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FLORMANDUCA\IGN\2017\SIGFOT\"/>
    </mc:Choice>
  </mc:AlternateContent>
  <bookViews>
    <workbookView xWindow="360" yWindow="75" windowWidth="14940" windowHeight="9315" tabRatio="835" activeTab="4"/>
  </bookViews>
  <sheets>
    <sheet name="Cover" sheetId="4" r:id="rId1"/>
    <sheet name="FeatureConcepts" sheetId="5" r:id="rId2"/>
    <sheet name="AttributeConcepts" sheetId="6" r:id="rId3"/>
    <sheet name="Datatypes" sheetId="7" r:id="rId4"/>
    <sheet name="DatatypeListedValues" sheetId="9" r:id="rId5"/>
    <sheet name="PhysicalQuantities" sheetId="13" r:id="rId6"/>
    <sheet name="UnitsOfMeasure" sheetId="12" r:id="rId7"/>
    <sheet name="Groups" sheetId="10" r:id="rId8"/>
    <sheet name="Subgroups" sheetId="11" r:id="rId9"/>
  </sheets>
  <definedNames>
    <definedName name="_xlnm._FilterDatabase" localSheetId="2" hidden="1">AttributeConcepts!$AA$2:$DD$2</definedName>
    <definedName name="_xlnm._FilterDatabase" localSheetId="3" hidden="1">Datatypes!$J$1:$T$1</definedName>
    <definedName name="_xlnm._FilterDatabase" localSheetId="1" hidden="1">FeatureConcepts!$AA$2:$DD$2</definedName>
    <definedName name="Feature_Def" localSheetId="2">FeatureConcepts!#REF!</definedName>
    <definedName name="Feature_Def" localSheetId="3">FeatureConcepts!#REF!</definedName>
    <definedName name="Feature_Def" localSheetId="1">FeatureConcepts!#REF!</definedName>
    <definedName name="Feature_Def" localSheetId="7">Groups!#REF!</definedName>
    <definedName name="Feature_Def" localSheetId="5">PhysicalQuantities!#REF!</definedName>
    <definedName name="Feature_Def" localSheetId="8">Subgroups!#REF!</definedName>
    <definedName name="Feature_Def" localSheetId="6">#REF!</definedName>
    <definedName name="Feature_Def">#REF!</definedName>
    <definedName name="IHO_T_FeatureType" localSheetId="7">#REF!</definedName>
    <definedName name="IHO_T_FeatureType" localSheetId="5">#REF!</definedName>
    <definedName name="IHO_T_FeatureType" localSheetId="8">#REF!</definedName>
    <definedName name="IHO_T_FeatureType" localSheetId="6">#REF!</definedName>
    <definedName name="IHO_T_FeatureType">#REF!</definedName>
    <definedName name="tblClassISO" localSheetId="7">#REF!</definedName>
    <definedName name="tblClassISO" localSheetId="5">#REF!</definedName>
    <definedName name="tblClassISO" localSheetId="8">#REF!</definedName>
    <definedName name="tblClassISO" localSheetId="6">#REF!</definedName>
    <definedName name="tblClassISO">#REF!</definedName>
    <definedName name="_xlnm.Print_Titles" localSheetId="1">FeatureConcepts!$B:$G</definedName>
    <definedName name="_xlnm.Print_Titles" localSheetId="7">Groups!$B:$E</definedName>
    <definedName name="_xlnm.Print_Titles" localSheetId="5">PhysicalQuantities!$B:$G</definedName>
    <definedName name="_xlnm.Print_Titles" localSheetId="8">Subgroups!$C:$F</definedName>
  </definedNames>
  <calcPr calcId="152511"/>
</workbook>
</file>

<file path=xl/calcChain.xml><?xml version="1.0" encoding="utf-8"?>
<calcChain xmlns="http://schemas.openxmlformats.org/spreadsheetml/2006/main">
  <c r="A15" i="10" l="1"/>
  <c r="A14" i="10"/>
  <c r="A13" i="10"/>
  <c r="A12" i="10"/>
  <c r="A11" i="10"/>
  <c r="A10" i="10"/>
  <c r="A9" i="10"/>
  <c r="A8" i="10"/>
  <c r="A7" i="10"/>
  <c r="A6" i="10"/>
  <c r="A5" i="10"/>
  <c r="A4" i="10"/>
  <c r="A3" i="10"/>
  <c r="A2" i="10"/>
  <c r="L1756" i="7"/>
  <c r="L1754" i="7"/>
  <c r="L1750" i="7"/>
  <c r="L1748" i="7"/>
  <c r="L1746" i="7"/>
  <c r="L1744" i="7"/>
  <c r="L1742" i="7"/>
  <c r="L1740" i="7"/>
  <c r="L1738" i="7"/>
  <c r="L1736" i="7"/>
  <c r="L1734" i="7"/>
  <c r="L1732" i="7"/>
  <c r="L1730" i="7"/>
  <c r="L1728" i="7"/>
  <c r="L1726" i="7"/>
  <c r="L1724" i="7"/>
  <c r="L1722" i="7"/>
  <c r="L1720" i="7"/>
  <c r="L1718" i="7"/>
  <c r="L1716" i="7"/>
  <c r="L1714" i="7"/>
  <c r="L1712" i="7"/>
  <c r="L1710" i="7"/>
  <c r="L1708" i="7"/>
  <c r="L1706" i="7"/>
  <c r="L1704" i="7"/>
  <c r="L1702" i="7"/>
  <c r="L1700" i="7"/>
  <c r="L1698" i="7"/>
  <c r="L1696" i="7"/>
  <c r="L1694" i="7"/>
  <c r="L1692" i="7"/>
  <c r="L1690" i="7"/>
  <c r="L1688" i="7"/>
  <c r="L1686" i="7"/>
  <c r="L1684" i="7"/>
  <c r="L1682" i="7"/>
  <c r="L1680" i="7"/>
  <c r="L1678" i="7"/>
  <c r="L1676" i="7"/>
  <c r="L1674" i="7"/>
  <c r="L1672" i="7"/>
  <c r="L1670" i="7"/>
  <c r="L1668" i="7"/>
  <c r="L1666" i="7"/>
  <c r="L1664" i="7"/>
  <c r="L1662" i="7"/>
  <c r="L1660" i="7"/>
  <c r="L1658" i="7"/>
  <c r="L1656" i="7"/>
  <c r="L1654" i="7"/>
  <c r="L1652" i="7"/>
  <c r="L1650" i="7"/>
  <c r="L1648" i="7"/>
  <c r="L1644" i="7"/>
  <c r="L1642" i="7"/>
  <c r="L1640" i="7"/>
  <c r="L1638" i="7"/>
  <c r="L1636" i="7"/>
  <c r="L1634" i="7"/>
  <c r="L1632" i="7"/>
  <c r="L1630" i="7"/>
  <c r="L1626" i="7"/>
  <c r="L1624" i="7"/>
  <c r="L1620" i="7"/>
  <c r="L1618" i="7"/>
  <c r="L1616" i="7"/>
  <c r="L1614" i="7"/>
  <c r="L1612" i="7"/>
  <c r="L1610" i="7"/>
  <c r="L1608" i="7"/>
  <c r="L1606" i="7"/>
  <c r="L1604" i="7"/>
  <c r="L1602" i="7"/>
  <c r="L1600" i="7"/>
  <c r="L1598" i="7"/>
  <c r="L1596" i="7"/>
  <c r="L1594" i="7"/>
  <c r="L1592" i="7"/>
  <c r="L1590" i="7"/>
  <c r="L1588" i="7"/>
  <c r="L1586" i="7"/>
  <c r="L1582" i="7"/>
  <c r="L1580" i="7"/>
  <c r="L1578" i="7"/>
  <c r="L1576" i="7"/>
  <c r="L1574" i="7"/>
  <c r="L1572" i="7"/>
  <c r="L1570" i="7"/>
  <c r="L1568" i="7"/>
  <c r="L1566" i="7"/>
  <c r="L1564" i="7"/>
  <c r="L1526" i="7"/>
  <c r="L1524" i="7"/>
  <c r="L1522" i="7"/>
  <c r="L1520" i="7"/>
  <c r="L1512" i="7"/>
  <c r="L1510" i="7"/>
  <c r="L1508" i="7"/>
  <c r="L1506" i="7"/>
  <c r="L1504" i="7"/>
  <c r="L1502" i="7"/>
  <c r="L1500" i="7"/>
  <c r="L1498" i="7"/>
  <c r="L1496" i="7"/>
  <c r="L1494" i="7"/>
  <c r="L1492" i="7"/>
  <c r="L1490" i="7"/>
  <c r="L1488" i="7"/>
  <c r="L1484" i="7"/>
  <c r="L1482" i="7"/>
  <c r="L1480" i="7"/>
  <c r="L1478" i="7"/>
  <c r="L1476" i="7"/>
  <c r="L1474" i="7"/>
  <c r="L1472" i="7"/>
  <c r="L1470" i="7"/>
  <c r="L1468" i="7"/>
  <c r="L1466" i="7"/>
  <c r="L1464" i="7"/>
  <c r="L1462" i="7"/>
  <c r="L1458" i="7"/>
  <c r="L1456" i="7"/>
  <c r="L1454" i="7"/>
  <c r="L1450" i="7"/>
  <c r="L1448" i="7"/>
  <c r="L1446" i="7"/>
  <c r="L1442" i="7"/>
  <c r="L1440" i="7"/>
  <c r="L1438" i="7"/>
  <c r="L1436" i="7"/>
  <c r="L1432" i="7"/>
  <c r="L1428" i="7"/>
  <c r="L1426" i="7"/>
  <c r="L1424" i="7"/>
  <c r="L1422" i="7"/>
  <c r="L1420" i="7"/>
  <c r="L1418" i="7"/>
  <c r="L1416" i="7"/>
  <c r="L1414" i="7"/>
  <c r="L1412" i="7"/>
  <c r="L1410" i="7"/>
  <c r="L1408" i="7"/>
  <c r="L1406" i="7"/>
  <c r="L1402" i="7"/>
  <c r="L1400" i="7"/>
  <c r="L1398" i="7"/>
  <c r="L1394" i="7"/>
  <c r="L1392" i="7"/>
  <c r="L1390" i="7"/>
  <c r="L1388" i="7"/>
  <c r="L1386" i="7"/>
  <c r="L1384" i="7"/>
  <c r="L1382" i="7"/>
  <c r="L1380" i="7"/>
  <c r="L1378" i="7"/>
  <c r="L1376" i="7"/>
  <c r="L1374" i="7"/>
  <c r="L1370" i="7"/>
  <c r="L1368" i="7"/>
  <c r="L1366" i="7"/>
  <c r="L1364" i="7"/>
  <c r="L1362" i="7"/>
  <c r="L1360" i="7"/>
  <c r="L1358" i="7"/>
  <c r="L1354" i="7"/>
  <c r="L1352" i="7"/>
  <c r="L1350" i="7"/>
  <c r="L1348" i="7"/>
  <c r="L1344" i="7"/>
  <c r="L1342" i="7"/>
  <c r="L1336" i="7"/>
  <c r="L1332" i="7"/>
  <c r="L1330" i="7"/>
  <c r="L1328" i="7"/>
  <c r="L1326" i="7"/>
  <c r="L1324" i="7"/>
  <c r="L1322" i="7"/>
  <c r="L1320" i="7"/>
  <c r="L1318" i="7"/>
  <c r="L1316" i="7"/>
  <c r="L1314" i="7"/>
  <c r="L1312" i="7"/>
  <c r="L1310" i="7"/>
  <c r="L1308" i="7"/>
  <c r="L1306" i="7"/>
  <c r="L1304" i="7"/>
  <c r="L1302" i="7"/>
  <c r="L1300" i="7"/>
  <c r="L1298" i="7"/>
  <c r="L1294" i="7"/>
  <c r="L1292" i="7"/>
  <c r="L1290" i="7"/>
  <c r="L1288" i="7"/>
  <c r="L1286" i="7"/>
  <c r="L1284" i="7"/>
  <c r="L1282" i="7"/>
  <c r="L1278" i="7"/>
  <c r="L1276" i="7"/>
  <c r="L1270" i="7"/>
  <c r="L1266" i="7"/>
  <c r="L1262" i="7"/>
  <c r="L1246" i="7"/>
  <c r="L1245" i="7"/>
  <c r="L1244" i="7"/>
  <c r="L1241" i="7"/>
  <c r="L1240" i="7"/>
  <c r="L1239" i="7"/>
  <c r="L1236" i="7"/>
  <c r="L1235" i="7"/>
  <c r="L1234" i="7"/>
  <c r="L1229" i="7"/>
  <c r="L1227" i="7"/>
  <c r="L1225" i="7"/>
  <c r="L1223" i="7"/>
  <c r="L1221" i="7"/>
  <c r="L1219" i="7"/>
  <c r="L1217" i="7"/>
  <c r="L1215" i="7"/>
  <c r="L1213" i="7"/>
  <c r="L1211" i="7"/>
  <c r="L1209" i="7"/>
  <c r="L1207" i="7"/>
  <c r="L1205" i="7"/>
  <c r="L1203" i="7"/>
  <c r="L1201" i="7"/>
  <c r="L1199" i="7"/>
  <c r="L1197" i="7"/>
  <c r="L1195" i="7"/>
  <c r="L1193" i="7"/>
  <c r="L1191" i="7"/>
  <c r="L1189" i="7"/>
  <c r="L1187" i="7"/>
  <c r="L1185" i="7"/>
  <c r="L1173" i="7"/>
  <c r="L1167" i="7"/>
  <c r="L1165" i="7"/>
  <c r="L1163" i="7"/>
  <c r="L1159" i="7"/>
  <c r="L1157" i="7"/>
  <c r="L1155" i="7"/>
  <c r="L1153" i="7"/>
  <c r="L1151" i="7"/>
  <c r="L1149" i="7"/>
  <c r="L1147" i="7"/>
  <c r="L1145" i="7"/>
  <c r="L1143" i="7"/>
  <c r="L1141" i="7"/>
  <c r="L1139" i="7"/>
  <c r="L1137" i="7"/>
  <c r="L1135" i="7"/>
  <c r="L1133" i="7"/>
  <c r="L1131" i="7"/>
  <c r="L1129" i="7"/>
  <c r="L1127" i="7"/>
  <c r="L1125" i="7"/>
  <c r="L1123" i="7"/>
  <c r="L1121" i="7"/>
  <c r="L1115" i="7"/>
  <c r="L1113" i="7"/>
  <c r="L1111" i="7"/>
  <c r="L1109" i="7"/>
  <c r="L1107" i="7"/>
  <c r="L1103" i="7"/>
  <c r="L1101" i="7"/>
  <c r="L1099" i="7"/>
  <c r="L1091" i="7"/>
  <c r="L1089" i="7"/>
  <c r="L1087" i="7"/>
  <c r="L1085" i="7"/>
  <c r="L1083" i="7"/>
  <c r="L1081" i="7"/>
  <c r="L1079" i="7"/>
  <c r="L1075" i="7"/>
  <c r="L1073" i="7"/>
  <c r="L1071" i="7"/>
  <c r="L1069" i="7"/>
  <c r="L1067" i="7"/>
  <c r="L1065" i="7"/>
  <c r="L1063" i="7"/>
  <c r="L1059" i="7"/>
  <c r="L1057" i="7"/>
  <c r="L1053" i="7"/>
  <c r="L1052" i="7"/>
  <c r="L1051" i="7"/>
  <c r="L1044" i="7"/>
  <c r="L1042" i="7"/>
  <c r="L1040" i="7"/>
  <c r="L1038" i="7"/>
  <c r="L1036" i="7"/>
  <c r="L1034" i="7"/>
  <c r="L1028" i="7"/>
  <c r="L1026" i="7"/>
  <c r="L1024" i="7"/>
  <c r="L1022" i="7"/>
  <c r="L1020" i="7"/>
  <c r="L1018" i="7"/>
  <c r="L1016" i="7"/>
  <c r="L1014" i="7"/>
  <c r="L1012" i="7"/>
  <c r="L1010" i="7"/>
  <c r="L1008" i="7"/>
  <c r="L1006" i="7"/>
  <c r="L1004" i="7"/>
  <c r="L1002" i="7"/>
  <c r="L992" i="7"/>
  <c r="L990" i="7"/>
  <c r="L988" i="7"/>
  <c r="L986" i="7"/>
  <c r="L984" i="7"/>
  <c r="L982" i="7"/>
  <c r="L978" i="7"/>
  <c r="L976" i="7"/>
  <c r="L972" i="7"/>
  <c r="L970" i="7"/>
  <c r="L968" i="7"/>
  <c r="L966" i="7"/>
  <c r="L964" i="7"/>
  <c r="L962" i="7"/>
  <c r="L960" i="7"/>
  <c r="L958" i="7"/>
  <c r="L956" i="7"/>
  <c r="L954" i="7"/>
  <c r="L952" i="7"/>
  <c r="L950" i="7"/>
  <c r="L948" i="7"/>
  <c r="L946" i="7"/>
  <c r="L944" i="7"/>
  <c r="L942" i="7"/>
  <c r="L940" i="7"/>
  <c r="L938" i="7"/>
  <c r="L936" i="7"/>
  <c r="L934" i="7"/>
  <c r="L932" i="7"/>
  <c r="L928" i="7"/>
  <c r="L926" i="7"/>
  <c r="L924" i="7"/>
  <c r="L922" i="7"/>
  <c r="L920" i="7"/>
  <c r="L918" i="7"/>
  <c r="L916" i="7"/>
  <c r="L914" i="7"/>
  <c r="L912" i="7"/>
  <c r="L908" i="7"/>
  <c r="L906" i="7"/>
  <c r="L904" i="7"/>
  <c r="L902" i="7"/>
  <c r="L900" i="7"/>
  <c r="L898" i="7"/>
  <c r="L896" i="7"/>
  <c r="L894" i="7"/>
  <c r="L892" i="7"/>
  <c r="L890" i="7"/>
  <c r="L888" i="7"/>
  <c r="L886" i="7"/>
  <c r="L884" i="7"/>
  <c r="L882" i="7"/>
  <c r="L880" i="7"/>
  <c r="L878" i="7"/>
  <c r="L876" i="7"/>
  <c r="L874" i="7"/>
  <c r="L872" i="7"/>
  <c r="L870" i="7"/>
  <c r="L868" i="7"/>
  <c r="L866" i="7"/>
  <c r="L864" i="7"/>
  <c r="L862" i="7"/>
  <c r="L860" i="7"/>
  <c r="L858" i="7"/>
  <c r="L856" i="7"/>
  <c r="L854" i="7"/>
  <c r="L852" i="7"/>
  <c r="L848" i="7"/>
  <c r="L844" i="7"/>
  <c r="L842" i="7"/>
  <c r="L840" i="7"/>
  <c r="L838" i="7"/>
  <c r="L836" i="7"/>
  <c r="L834" i="7"/>
  <c r="L832" i="7"/>
  <c r="L830" i="7"/>
  <c r="L828" i="7"/>
  <c r="L826" i="7"/>
  <c r="L824" i="7"/>
  <c r="L822" i="7"/>
  <c r="L820" i="7"/>
  <c r="L818" i="7"/>
  <c r="L808" i="7"/>
  <c r="L806" i="7"/>
  <c r="L804" i="7"/>
  <c r="L802" i="7"/>
  <c r="L800" i="7"/>
  <c r="L798" i="7"/>
  <c r="L780" i="7"/>
  <c r="L766" i="7"/>
  <c r="L764" i="7"/>
  <c r="L760" i="7"/>
  <c r="L758" i="7"/>
  <c r="L756" i="7"/>
  <c r="L752" i="7"/>
  <c r="L750" i="7"/>
  <c r="L740" i="7"/>
  <c r="L738" i="7"/>
  <c r="L736" i="7"/>
  <c r="L734" i="7"/>
  <c r="L732" i="7"/>
  <c r="L730" i="7"/>
  <c r="L728" i="7"/>
  <c r="L726" i="7"/>
  <c r="L724" i="7"/>
  <c r="L720" i="7"/>
  <c r="L718" i="7"/>
  <c r="L712" i="7"/>
  <c r="L710" i="7"/>
  <c r="L708" i="7"/>
  <c r="L706" i="7"/>
  <c r="L704" i="7"/>
  <c r="L702" i="7"/>
  <c r="L700" i="7"/>
  <c r="L698" i="7"/>
  <c r="L696" i="7"/>
  <c r="L694" i="7"/>
  <c r="L692" i="7"/>
  <c r="L690" i="7"/>
  <c r="L688" i="7"/>
  <c r="L686" i="7"/>
  <c r="L682" i="7"/>
  <c r="L680" i="7"/>
  <c r="L678" i="7"/>
  <c r="L676" i="7"/>
  <c r="L674" i="7"/>
  <c r="L672" i="7"/>
  <c r="L670" i="7"/>
  <c r="L668" i="7"/>
  <c r="L666" i="7"/>
  <c r="L664" i="7"/>
  <c r="L662" i="7"/>
  <c r="L660" i="7"/>
  <c r="L656" i="7"/>
  <c r="L654" i="7"/>
  <c r="L652" i="7"/>
  <c r="L650" i="7"/>
  <c r="L648" i="7"/>
  <c r="L646" i="7"/>
  <c r="L644" i="7"/>
  <c r="L642" i="7"/>
  <c r="L640" i="7"/>
  <c r="L638" i="7"/>
  <c r="L636" i="7"/>
  <c r="L634" i="7"/>
  <c r="L632" i="7"/>
  <c r="L630" i="7"/>
  <c r="L624" i="7"/>
  <c r="L622" i="7"/>
  <c r="L620" i="7"/>
  <c r="L618" i="7"/>
  <c r="L616" i="7"/>
  <c r="L614" i="7"/>
  <c r="L612" i="7"/>
  <c r="L610" i="7"/>
  <c r="L608" i="7"/>
  <c r="L606" i="7"/>
  <c r="L604" i="7"/>
  <c r="L602" i="7"/>
  <c r="L600" i="7"/>
  <c r="L598" i="7"/>
  <c r="L596" i="7"/>
  <c r="L594" i="7"/>
  <c r="L590" i="7"/>
  <c r="L588" i="7"/>
  <c r="L586" i="7"/>
  <c r="L584" i="7"/>
  <c r="L582" i="7"/>
  <c r="L580" i="7"/>
  <c r="L578" i="7"/>
  <c r="L568" i="7"/>
  <c r="L566" i="7"/>
  <c r="L562" i="7"/>
  <c r="L560" i="7"/>
  <c r="L558" i="7"/>
  <c r="L556" i="7"/>
  <c r="L554" i="7"/>
  <c r="L552" i="7"/>
  <c r="L550" i="7"/>
  <c r="L548" i="7"/>
  <c r="L546" i="7"/>
  <c r="L544" i="7"/>
  <c r="L540" i="7"/>
  <c r="L538" i="7"/>
  <c r="L536" i="7"/>
  <c r="L534" i="7"/>
  <c r="L532" i="7"/>
  <c r="L526" i="7"/>
  <c r="L524" i="7"/>
  <c r="L522" i="7"/>
  <c r="L520" i="7"/>
  <c r="L518" i="7"/>
  <c r="L516" i="7"/>
  <c r="L514" i="7"/>
  <c r="L512" i="7"/>
  <c r="L510" i="7"/>
  <c r="L508" i="7"/>
  <c r="L506" i="7"/>
  <c r="L504" i="7"/>
  <c r="L502" i="7"/>
  <c r="L500" i="7"/>
  <c r="L498" i="7"/>
  <c r="L496" i="7"/>
  <c r="L494" i="7"/>
  <c r="L492" i="7"/>
  <c r="L490" i="7"/>
  <c r="L488" i="7"/>
  <c r="L486" i="7"/>
  <c r="L484" i="7"/>
  <c r="L480" i="7"/>
  <c r="L476" i="7"/>
  <c r="L474" i="7"/>
  <c r="L472" i="7"/>
  <c r="L470" i="7"/>
  <c r="L468" i="7"/>
  <c r="L466" i="7"/>
  <c r="L464" i="7"/>
  <c r="L462" i="7"/>
  <c r="L460" i="7"/>
  <c r="L458" i="7"/>
  <c r="L456" i="7"/>
  <c r="L454" i="7"/>
  <c r="L452" i="7"/>
  <c r="L450" i="7"/>
  <c r="L448" i="7"/>
  <c r="L446" i="7"/>
  <c r="L442" i="7"/>
  <c r="L440" i="7"/>
  <c r="L436" i="7"/>
  <c r="L432" i="7"/>
  <c r="L420" i="7"/>
  <c r="L418" i="7"/>
  <c r="L416" i="7"/>
  <c r="L412" i="7"/>
  <c r="L410" i="7"/>
  <c r="L408" i="7"/>
  <c r="L406" i="7"/>
  <c r="L404" i="7"/>
  <c r="L402" i="7"/>
  <c r="L400" i="7"/>
  <c r="L398" i="7"/>
  <c r="L396" i="7"/>
  <c r="L394" i="7"/>
  <c r="L390" i="7"/>
  <c r="L388" i="7"/>
  <c r="L386" i="7"/>
  <c r="L384" i="7"/>
  <c r="L382" i="7"/>
  <c r="L378" i="7"/>
  <c r="L376" i="7"/>
  <c r="L374" i="7"/>
  <c r="L372" i="7"/>
  <c r="L370" i="7"/>
  <c r="L368" i="7"/>
  <c r="L366" i="7"/>
  <c r="L364" i="7"/>
  <c r="L362" i="7"/>
  <c r="L360" i="7"/>
  <c r="L356" i="7"/>
  <c r="L354" i="7"/>
  <c r="L352" i="7"/>
  <c r="L350" i="7"/>
  <c r="L348" i="7"/>
  <c r="L342" i="7"/>
  <c r="L340" i="7"/>
  <c r="L336" i="7"/>
  <c r="L332" i="7"/>
  <c r="L330" i="7"/>
  <c r="L328" i="7"/>
  <c r="L326" i="7"/>
  <c r="L324" i="7"/>
  <c r="L322" i="7"/>
  <c r="L320" i="7"/>
  <c r="L316" i="7"/>
  <c r="L314" i="7"/>
  <c r="L312" i="7"/>
  <c r="L308" i="7"/>
  <c r="L306" i="7"/>
  <c r="L304" i="7"/>
  <c r="L302" i="7"/>
  <c r="L300" i="7"/>
  <c r="L298" i="7"/>
  <c r="L296" i="7"/>
  <c r="L294" i="7"/>
  <c r="L292" i="7"/>
  <c r="L290" i="7"/>
  <c r="L288" i="7"/>
  <c r="L286" i="7"/>
  <c r="L284" i="7"/>
  <c r="L282" i="7"/>
  <c r="L280" i="7"/>
  <c r="L278" i="7"/>
  <c r="L276" i="7"/>
  <c r="L274" i="7"/>
  <c r="L272" i="7"/>
  <c r="L270" i="7"/>
  <c r="L268" i="7"/>
  <c r="L266" i="7"/>
  <c r="L264" i="7"/>
  <c r="L262" i="7"/>
  <c r="L260" i="7"/>
  <c r="L258" i="7"/>
  <c r="L256" i="7"/>
  <c r="L254" i="7"/>
  <c r="L252" i="7"/>
  <c r="L250" i="7"/>
  <c r="L248" i="7"/>
  <c r="L244" i="7"/>
  <c r="L242" i="7"/>
  <c r="L238" i="7"/>
  <c r="L236" i="7"/>
  <c r="L234" i="7"/>
  <c r="L232" i="7"/>
  <c r="L228" i="7"/>
  <c r="L226" i="7"/>
  <c r="L224" i="7"/>
  <c r="L222" i="7"/>
  <c r="L220" i="7"/>
  <c r="L216" i="7"/>
  <c r="L214" i="7"/>
  <c r="L212" i="7"/>
  <c r="L210" i="7"/>
  <c r="L208" i="7"/>
  <c r="L206" i="7"/>
  <c r="L204" i="7"/>
  <c r="L202" i="7"/>
  <c r="L200" i="7"/>
  <c r="L198" i="7"/>
  <c r="L196" i="7"/>
  <c r="L194" i="7"/>
  <c r="L192" i="7"/>
  <c r="L190" i="7"/>
  <c r="L188" i="7"/>
  <c r="L186" i="7"/>
  <c r="L184" i="7"/>
  <c r="L182" i="7"/>
  <c r="L180" i="7"/>
  <c r="L178" i="7"/>
  <c r="L176" i="7"/>
  <c r="L174" i="7"/>
  <c r="L172" i="7"/>
  <c r="L170" i="7"/>
  <c r="L168" i="7"/>
  <c r="L166" i="7"/>
  <c r="L164" i="7"/>
  <c r="L162" i="7"/>
  <c r="L160" i="7"/>
  <c r="L158" i="7"/>
  <c r="L156" i="7"/>
  <c r="L154" i="7"/>
  <c r="L152" i="7"/>
  <c r="L150" i="7"/>
  <c r="L148" i="7"/>
  <c r="L146" i="7"/>
  <c r="L144" i="7"/>
  <c r="L142" i="7"/>
  <c r="L140" i="7"/>
  <c r="L138" i="7"/>
  <c r="L136" i="7"/>
  <c r="L134" i="7"/>
  <c r="L132" i="7"/>
  <c r="L130" i="7"/>
  <c r="L128" i="7"/>
  <c r="L126" i="7"/>
  <c r="L124" i="7"/>
  <c r="L122" i="7"/>
  <c r="L120" i="7"/>
  <c r="L118" i="7"/>
  <c r="L112" i="7"/>
  <c r="L110" i="7"/>
  <c r="L108" i="7"/>
  <c r="L106" i="7"/>
  <c r="L102" i="7"/>
  <c r="L100" i="7"/>
  <c r="L98" i="7"/>
  <c r="L96" i="7"/>
  <c r="L94" i="7"/>
  <c r="L92" i="7"/>
  <c r="L90" i="7"/>
  <c r="L88" i="7"/>
  <c r="L86" i="7"/>
  <c r="L84" i="7"/>
  <c r="L82" i="7"/>
  <c r="L80" i="7"/>
  <c r="L78" i="7"/>
  <c r="L76" i="7"/>
  <c r="L74" i="7"/>
  <c r="L72" i="7"/>
  <c r="L68" i="7"/>
  <c r="L66" i="7"/>
  <c r="L64" i="7"/>
  <c r="L62" i="7"/>
  <c r="L60" i="7"/>
  <c r="L58" i="7"/>
  <c r="L56" i="7"/>
  <c r="L54" i="7"/>
  <c r="L52" i="7"/>
  <c r="L50" i="7"/>
  <c r="L48" i="7"/>
  <c r="L42" i="7"/>
  <c r="L40" i="7"/>
  <c r="L36" i="7"/>
  <c r="L34" i="7"/>
  <c r="L32" i="7"/>
  <c r="L30" i="7"/>
  <c r="L28" i="7"/>
  <c r="L22" i="7"/>
  <c r="L20" i="7"/>
  <c r="L10" i="7"/>
  <c r="L8" i="7"/>
  <c r="L6" i="7"/>
  <c r="L4" i="7"/>
  <c r="L2" i="7"/>
  <c r="N1776" i="6"/>
  <c r="J1776" i="6"/>
  <c r="N1775" i="6"/>
  <c r="J1775" i="6"/>
  <c r="J1774" i="6"/>
  <c r="J1773" i="6"/>
  <c r="J1772" i="6"/>
  <c r="J1771" i="6"/>
  <c r="J1770" i="6"/>
  <c r="J1769" i="6"/>
  <c r="N1768" i="6"/>
  <c r="J1768" i="6"/>
  <c r="J1767" i="6"/>
  <c r="J1766" i="6"/>
  <c r="N1765" i="6"/>
  <c r="J1765" i="6"/>
  <c r="J1764" i="6"/>
  <c r="J1763" i="6"/>
  <c r="J1762" i="6"/>
  <c r="J1761" i="6"/>
  <c r="J1760" i="6"/>
  <c r="J1759" i="6"/>
  <c r="J1758" i="6"/>
  <c r="J1757" i="6"/>
  <c r="J1756" i="6"/>
  <c r="N1755" i="6"/>
  <c r="J1755" i="6"/>
  <c r="N1754" i="6"/>
  <c r="J1754" i="6"/>
  <c r="N1753" i="6"/>
  <c r="J1753" i="6"/>
  <c r="N1752" i="6"/>
  <c r="J1752" i="6"/>
  <c r="N1751" i="6"/>
  <c r="J1751" i="6"/>
  <c r="N1750" i="6"/>
  <c r="J1750" i="6"/>
  <c r="J1749" i="6"/>
  <c r="N1748" i="6"/>
  <c r="J1748" i="6"/>
  <c r="N1747" i="6"/>
  <c r="J1747" i="6"/>
  <c r="N1746" i="6"/>
  <c r="J1746" i="6"/>
  <c r="N1745" i="6"/>
  <c r="J1745" i="6"/>
  <c r="N1744" i="6"/>
  <c r="J1744" i="6"/>
  <c r="N1743" i="6"/>
  <c r="J1743" i="6"/>
  <c r="N1742" i="6"/>
  <c r="J1742" i="6"/>
  <c r="N1741" i="6"/>
  <c r="J1741" i="6"/>
  <c r="N1740" i="6"/>
  <c r="J1740" i="6"/>
  <c r="N1739" i="6"/>
  <c r="J1739" i="6"/>
  <c r="N1738" i="6"/>
  <c r="J1738" i="6"/>
  <c r="N1737" i="6"/>
  <c r="J1737" i="6"/>
  <c r="J1736" i="6"/>
  <c r="N1735" i="6"/>
  <c r="J1735" i="6"/>
  <c r="J1734" i="6"/>
  <c r="N1733" i="6"/>
  <c r="J1733" i="6"/>
  <c r="J1732" i="6"/>
  <c r="J1731" i="6"/>
  <c r="J1730" i="6"/>
  <c r="N1729" i="6"/>
  <c r="J1729" i="6"/>
  <c r="N1728" i="6"/>
  <c r="J1728" i="6"/>
  <c r="N1727" i="6"/>
  <c r="J1727" i="6"/>
  <c r="J1726" i="6"/>
  <c r="N1725" i="6"/>
  <c r="J1725" i="6"/>
  <c r="N1724" i="6"/>
  <c r="J1724" i="6"/>
  <c r="N1723" i="6"/>
  <c r="J1723" i="6"/>
  <c r="N1722" i="6"/>
  <c r="J1722" i="6"/>
  <c r="N1721" i="6"/>
  <c r="J1721" i="6"/>
  <c r="J1720" i="6"/>
  <c r="N1719" i="6"/>
  <c r="J1719" i="6"/>
  <c r="J1718" i="6"/>
  <c r="J1717" i="6"/>
  <c r="J1716" i="6"/>
  <c r="J1715" i="6"/>
  <c r="J1714" i="6"/>
  <c r="J1713" i="6"/>
  <c r="N1712" i="6"/>
  <c r="J1712" i="6"/>
  <c r="J1711" i="6"/>
  <c r="J1710" i="6"/>
  <c r="N1709" i="6"/>
  <c r="J1709" i="6"/>
  <c r="J1708" i="6"/>
  <c r="N1707" i="6"/>
  <c r="J1707" i="6"/>
  <c r="N1706" i="6"/>
  <c r="J1706" i="6"/>
  <c r="N1705" i="6"/>
  <c r="J1705" i="6"/>
  <c r="N1704" i="6"/>
  <c r="J1704" i="6"/>
  <c r="J1703" i="6"/>
  <c r="N1702" i="6"/>
  <c r="J1702" i="6"/>
  <c r="N1701" i="6"/>
  <c r="J1701" i="6"/>
  <c r="N1700" i="6"/>
  <c r="J1700" i="6"/>
  <c r="J1699" i="6"/>
  <c r="N1698" i="6"/>
  <c r="J1698" i="6"/>
  <c r="N1697" i="6"/>
  <c r="J1697" i="6"/>
  <c r="J1696" i="6"/>
  <c r="J1695" i="6"/>
  <c r="N1694" i="6"/>
  <c r="J1694" i="6"/>
  <c r="J1693" i="6"/>
  <c r="N1692" i="6"/>
  <c r="J1692" i="6"/>
  <c r="N1691" i="6"/>
  <c r="J1691" i="6"/>
  <c r="N1690" i="6"/>
  <c r="J1690" i="6"/>
  <c r="J1689" i="6"/>
  <c r="J1688" i="6"/>
  <c r="J1687" i="6"/>
  <c r="N1686" i="6"/>
  <c r="J1686" i="6"/>
  <c r="N1685" i="6"/>
  <c r="J1685" i="6"/>
  <c r="J1684" i="6"/>
  <c r="N1683" i="6"/>
  <c r="J1683" i="6"/>
  <c r="N1682" i="6"/>
  <c r="J1682" i="6"/>
  <c r="J1681" i="6"/>
  <c r="N1680" i="6"/>
  <c r="J1680" i="6"/>
  <c r="N1679" i="6"/>
  <c r="J1679" i="6"/>
  <c r="J1678" i="6"/>
  <c r="J1677" i="6"/>
  <c r="J1676" i="6"/>
  <c r="N1675" i="6"/>
  <c r="J1675" i="6"/>
  <c r="J1674" i="6"/>
  <c r="N1673" i="6"/>
  <c r="J1673" i="6"/>
  <c r="J1672" i="6"/>
  <c r="J1671" i="6"/>
  <c r="J1670" i="6"/>
  <c r="J1669" i="6"/>
  <c r="N1668" i="6"/>
  <c r="J1668" i="6"/>
  <c r="J1667" i="6"/>
  <c r="N1666" i="6"/>
  <c r="J1666" i="6"/>
  <c r="J1665" i="6"/>
  <c r="J1664" i="6"/>
  <c r="J1663" i="6"/>
  <c r="N1662" i="6"/>
  <c r="J1662" i="6"/>
  <c r="J1661" i="6"/>
  <c r="J1660" i="6"/>
  <c r="N1659" i="6"/>
  <c r="J1659" i="6"/>
  <c r="N1658" i="6"/>
  <c r="J1658" i="6"/>
  <c r="J1657" i="6"/>
  <c r="J1656" i="6"/>
  <c r="J1655" i="6"/>
  <c r="J1654" i="6"/>
  <c r="J1653" i="6"/>
  <c r="N1652" i="6"/>
  <c r="J1652" i="6"/>
  <c r="J1651" i="6"/>
  <c r="J1650" i="6"/>
  <c r="J1649" i="6"/>
  <c r="J1648" i="6"/>
  <c r="N1647" i="6"/>
  <c r="J1647" i="6"/>
  <c r="N1646" i="6"/>
  <c r="J1646" i="6"/>
  <c r="J1645" i="6"/>
  <c r="J1644" i="6"/>
  <c r="J1643" i="6"/>
  <c r="J1642" i="6"/>
  <c r="N1641" i="6"/>
  <c r="J1641" i="6"/>
  <c r="N1640" i="6"/>
  <c r="J1640" i="6"/>
  <c r="N1639" i="6"/>
  <c r="J1639" i="6"/>
  <c r="J1638" i="6"/>
  <c r="J1637" i="6"/>
  <c r="N1636" i="6"/>
  <c r="J1636" i="6"/>
  <c r="N1635" i="6"/>
  <c r="J1635" i="6"/>
  <c r="J1634" i="6"/>
  <c r="J1633" i="6"/>
  <c r="J1632" i="6"/>
  <c r="J1631" i="6"/>
  <c r="J1630" i="6"/>
  <c r="J1629" i="6"/>
  <c r="J1628" i="6"/>
  <c r="J1627" i="6"/>
  <c r="J1626" i="6"/>
  <c r="J1625" i="6"/>
  <c r="N1624" i="6"/>
  <c r="J1624" i="6"/>
  <c r="N1623" i="6"/>
  <c r="J1623" i="6"/>
  <c r="N1622" i="6"/>
  <c r="J1622" i="6"/>
  <c r="J1621" i="6"/>
  <c r="N1620" i="6"/>
  <c r="J1620" i="6"/>
  <c r="N1619" i="6"/>
  <c r="J1619" i="6"/>
  <c r="N1618" i="6"/>
  <c r="J1618" i="6"/>
  <c r="J1617" i="6"/>
  <c r="J1616" i="6"/>
  <c r="J1615" i="6"/>
  <c r="J1614" i="6"/>
  <c r="N1613" i="6"/>
  <c r="J1613" i="6"/>
  <c r="N1612" i="6"/>
  <c r="J1612" i="6"/>
  <c r="N1611" i="6"/>
  <c r="J1611" i="6"/>
  <c r="N1610" i="6"/>
  <c r="J1610" i="6"/>
  <c r="J1609" i="6"/>
  <c r="N1608" i="6"/>
  <c r="J1608" i="6"/>
  <c r="J1607" i="6"/>
  <c r="N1606" i="6"/>
  <c r="J1606" i="6"/>
  <c r="N1605" i="6"/>
  <c r="J1605" i="6"/>
  <c r="J1604" i="6"/>
  <c r="J1603" i="6"/>
  <c r="J1602" i="6"/>
  <c r="J1601" i="6"/>
  <c r="J1600" i="6"/>
  <c r="J1599" i="6"/>
  <c r="J1598" i="6"/>
  <c r="J1597" i="6"/>
  <c r="J1596" i="6"/>
  <c r="J1595" i="6"/>
  <c r="J1594" i="6"/>
  <c r="J1593" i="6"/>
  <c r="J1592" i="6"/>
  <c r="N1591" i="6"/>
  <c r="J1591" i="6"/>
  <c r="N1590" i="6"/>
  <c r="J1590" i="6"/>
  <c r="J1589" i="6"/>
  <c r="N1588" i="6"/>
  <c r="J1588" i="6"/>
  <c r="J1587" i="6"/>
  <c r="J1586" i="6"/>
  <c r="N1585" i="6"/>
  <c r="J1585" i="6"/>
  <c r="J1584" i="6"/>
  <c r="J1583" i="6"/>
  <c r="J1582" i="6"/>
  <c r="J1581" i="6"/>
  <c r="J1580" i="6"/>
  <c r="J1579" i="6"/>
  <c r="J1578" i="6"/>
  <c r="J1577" i="6"/>
  <c r="J1576" i="6"/>
  <c r="J1575" i="6"/>
  <c r="J1574" i="6"/>
  <c r="J1573" i="6"/>
  <c r="J1572" i="6"/>
  <c r="J1571" i="6"/>
  <c r="J1570" i="6"/>
  <c r="J1569" i="6"/>
  <c r="J1568" i="6"/>
  <c r="J1567" i="6"/>
  <c r="J1566" i="6"/>
  <c r="J1565" i="6"/>
  <c r="J1564" i="6"/>
  <c r="J1563" i="6"/>
  <c r="J1562" i="6"/>
  <c r="J1561" i="6"/>
  <c r="J1560" i="6"/>
  <c r="J1559" i="6"/>
  <c r="J1558" i="6"/>
  <c r="J1557" i="6"/>
  <c r="J1556" i="6"/>
  <c r="J1555" i="6"/>
  <c r="J1554" i="6"/>
  <c r="J1553" i="6"/>
  <c r="J1552" i="6"/>
  <c r="J1551" i="6"/>
  <c r="J1550" i="6"/>
  <c r="J1549" i="6"/>
  <c r="J1548" i="6"/>
  <c r="J1547" i="6"/>
  <c r="J1546" i="6"/>
  <c r="J1545" i="6"/>
  <c r="J1544" i="6"/>
  <c r="J1543" i="6"/>
  <c r="J1542" i="6"/>
  <c r="J1541" i="6"/>
  <c r="J1540" i="6"/>
  <c r="J1539" i="6"/>
  <c r="J1538" i="6"/>
  <c r="J1537" i="6"/>
  <c r="J1536" i="6"/>
  <c r="N1535" i="6"/>
  <c r="J1535" i="6"/>
  <c r="N1534" i="6"/>
  <c r="J1534" i="6"/>
  <c r="J1533" i="6"/>
  <c r="J1532" i="6"/>
  <c r="J1531" i="6"/>
  <c r="N1530" i="6"/>
  <c r="J1530" i="6"/>
  <c r="N1529" i="6"/>
  <c r="J1529" i="6"/>
  <c r="J1528" i="6"/>
  <c r="N1527" i="6"/>
  <c r="J1527" i="6"/>
  <c r="J1526" i="6"/>
  <c r="N1525" i="6"/>
  <c r="J1525" i="6"/>
  <c r="N1524" i="6"/>
  <c r="J1524" i="6"/>
  <c r="N1523" i="6"/>
  <c r="J1523" i="6"/>
  <c r="J1522" i="6"/>
  <c r="N1521" i="6"/>
  <c r="J1521" i="6"/>
  <c r="J1520" i="6"/>
  <c r="N1519" i="6"/>
  <c r="J1519" i="6"/>
  <c r="J1518" i="6"/>
  <c r="J1517" i="6"/>
  <c r="J1516" i="6"/>
  <c r="N1515" i="6"/>
  <c r="J1515" i="6"/>
  <c r="J1514" i="6"/>
  <c r="N1513" i="6"/>
  <c r="J1513" i="6"/>
  <c r="N1512" i="6"/>
  <c r="J1512" i="6"/>
  <c r="N1511" i="6"/>
  <c r="J1511" i="6"/>
  <c r="J1510" i="6"/>
  <c r="J1509" i="6"/>
  <c r="J1508" i="6"/>
  <c r="J1507" i="6"/>
  <c r="J1506" i="6"/>
  <c r="J1505" i="6"/>
  <c r="J1504" i="6"/>
  <c r="N1503" i="6"/>
  <c r="J1503" i="6"/>
  <c r="N1502" i="6"/>
  <c r="J1502" i="6"/>
  <c r="N1501" i="6"/>
  <c r="J1501" i="6"/>
  <c r="N1500" i="6"/>
  <c r="J1500" i="6"/>
  <c r="J1499" i="6"/>
  <c r="N1498" i="6"/>
  <c r="J1498" i="6"/>
  <c r="N1497" i="6"/>
  <c r="J1497" i="6"/>
  <c r="J1496" i="6"/>
  <c r="N1495" i="6"/>
  <c r="J1495" i="6"/>
  <c r="N1494" i="6"/>
  <c r="J1494" i="6"/>
  <c r="N1493" i="6"/>
  <c r="J1493" i="6"/>
  <c r="J1492" i="6"/>
  <c r="N1491" i="6"/>
  <c r="J1491" i="6"/>
  <c r="N1490" i="6"/>
  <c r="J1490" i="6"/>
  <c r="J1489" i="6"/>
  <c r="J1488" i="6"/>
  <c r="N1487" i="6"/>
  <c r="J1487" i="6"/>
  <c r="N1486" i="6"/>
  <c r="J1486" i="6"/>
  <c r="J1485" i="6"/>
  <c r="J1484" i="6"/>
  <c r="J1483" i="6"/>
  <c r="J1482" i="6"/>
  <c r="N1481" i="6"/>
  <c r="J1481" i="6"/>
  <c r="N1480" i="6"/>
  <c r="J1480" i="6"/>
  <c r="J1479" i="6"/>
  <c r="N1478" i="6"/>
  <c r="J1478" i="6"/>
  <c r="N1477" i="6"/>
  <c r="J1477" i="6"/>
  <c r="J1476" i="6"/>
  <c r="J1475" i="6"/>
  <c r="N1474" i="6"/>
  <c r="J1474" i="6"/>
  <c r="N1473" i="6"/>
  <c r="J1473" i="6"/>
  <c r="J1472" i="6"/>
  <c r="J1471" i="6"/>
  <c r="J1470" i="6"/>
  <c r="N1469" i="6"/>
  <c r="J1469" i="6"/>
  <c r="J1468" i="6"/>
  <c r="N1467" i="6"/>
  <c r="J1467" i="6"/>
  <c r="J1466" i="6"/>
  <c r="J1465" i="6"/>
  <c r="J1464" i="6"/>
  <c r="J1463" i="6"/>
  <c r="N1462" i="6"/>
  <c r="J1462" i="6"/>
  <c r="N1461" i="6"/>
  <c r="J1461" i="6"/>
  <c r="N1460" i="6"/>
  <c r="J1460" i="6"/>
  <c r="J1459" i="6"/>
  <c r="J1458" i="6"/>
  <c r="J1457" i="6"/>
  <c r="J1456" i="6"/>
  <c r="J1455" i="6"/>
  <c r="J1454" i="6"/>
  <c r="N1453" i="6"/>
  <c r="J1453" i="6"/>
  <c r="N1452" i="6"/>
  <c r="J1452" i="6"/>
  <c r="N1451" i="6"/>
  <c r="J1451" i="6"/>
  <c r="J1450" i="6"/>
  <c r="N1449" i="6"/>
  <c r="J1449" i="6"/>
  <c r="J1448" i="6"/>
  <c r="J1447" i="6"/>
  <c r="N1446" i="6"/>
  <c r="J1446" i="6"/>
  <c r="J1445" i="6"/>
  <c r="N1444" i="6"/>
  <c r="J1444" i="6"/>
  <c r="N1443" i="6"/>
  <c r="J1443" i="6"/>
  <c r="J1442" i="6"/>
  <c r="J1441" i="6"/>
  <c r="J1440" i="6"/>
  <c r="J1439" i="6"/>
  <c r="N1438" i="6"/>
  <c r="J1438" i="6"/>
  <c r="J1437" i="6"/>
  <c r="N1436" i="6"/>
  <c r="J1436" i="6"/>
  <c r="J1435" i="6"/>
  <c r="N1434" i="6"/>
  <c r="J1434" i="6"/>
  <c r="J1433" i="6"/>
  <c r="N1432" i="6"/>
  <c r="J1432" i="6"/>
  <c r="J1431" i="6"/>
  <c r="J1430" i="6"/>
  <c r="N1429" i="6"/>
  <c r="J1429" i="6"/>
  <c r="J1428" i="6"/>
  <c r="N1427" i="6"/>
  <c r="J1427" i="6"/>
  <c r="N1426" i="6"/>
  <c r="J1426" i="6"/>
  <c r="N1425" i="6"/>
  <c r="J1425" i="6"/>
  <c r="N1424" i="6"/>
  <c r="J1424" i="6"/>
  <c r="N1423" i="6"/>
  <c r="J1423" i="6"/>
  <c r="N1422" i="6"/>
  <c r="J1422" i="6"/>
  <c r="N1421" i="6"/>
  <c r="J1421" i="6"/>
  <c r="J1420" i="6"/>
  <c r="N1419" i="6"/>
  <c r="J1419" i="6"/>
  <c r="J1418" i="6"/>
  <c r="J1417" i="6"/>
  <c r="J1416" i="6"/>
  <c r="J1415" i="6"/>
  <c r="N1414" i="6"/>
  <c r="J1414" i="6"/>
  <c r="J1413" i="6"/>
  <c r="J1412" i="6"/>
  <c r="J1411" i="6"/>
  <c r="N1410" i="6"/>
  <c r="J1410" i="6"/>
  <c r="N1409" i="6"/>
  <c r="J1409" i="6"/>
  <c r="J1408" i="6"/>
  <c r="J1407" i="6"/>
  <c r="J1406" i="6"/>
  <c r="J1405" i="6"/>
  <c r="N1404" i="6"/>
  <c r="J1404" i="6"/>
  <c r="N1403" i="6"/>
  <c r="J1403" i="6"/>
  <c r="J1402" i="6"/>
  <c r="J1401" i="6"/>
  <c r="N1400" i="6"/>
  <c r="J1400" i="6"/>
  <c r="N1399" i="6"/>
  <c r="J1399" i="6"/>
  <c r="J1398" i="6"/>
  <c r="N1397" i="6"/>
  <c r="J1397" i="6"/>
  <c r="J1396" i="6"/>
  <c r="J1395" i="6"/>
  <c r="N1394" i="6"/>
  <c r="J1394" i="6"/>
  <c r="J1393" i="6"/>
  <c r="N1392" i="6"/>
  <c r="J1392" i="6"/>
  <c r="N1391" i="6"/>
  <c r="J1391" i="6"/>
  <c r="J1390" i="6"/>
  <c r="N1389" i="6"/>
  <c r="J1389" i="6"/>
  <c r="N1388" i="6"/>
  <c r="J1388" i="6"/>
  <c r="N1387" i="6"/>
  <c r="J1387" i="6"/>
  <c r="J1386" i="6"/>
  <c r="N1385" i="6"/>
  <c r="J1385" i="6"/>
  <c r="N1384" i="6"/>
  <c r="J1384" i="6"/>
  <c r="J1383" i="6"/>
  <c r="J1382" i="6"/>
  <c r="J1381" i="6"/>
  <c r="J1380" i="6"/>
  <c r="N1379" i="6"/>
  <c r="J1379" i="6"/>
  <c r="N1378" i="6"/>
  <c r="J1378" i="6"/>
  <c r="J1377" i="6"/>
  <c r="J1376" i="6"/>
  <c r="N1375" i="6"/>
  <c r="J1375" i="6"/>
  <c r="N1374" i="6"/>
  <c r="J1374" i="6"/>
  <c r="J1373" i="6"/>
  <c r="N1372" i="6"/>
  <c r="J1372" i="6"/>
  <c r="J1371" i="6"/>
  <c r="J1370" i="6"/>
  <c r="J1369" i="6"/>
  <c r="J1368" i="6"/>
  <c r="J1367" i="6"/>
  <c r="J1366" i="6"/>
  <c r="J1365" i="6"/>
  <c r="J1364" i="6"/>
  <c r="N1363" i="6"/>
  <c r="J1363" i="6"/>
  <c r="J1362" i="6"/>
  <c r="J1361" i="6"/>
  <c r="N1360" i="6"/>
  <c r="J1360" i="6"/>
  <c r="N1359" i="6"/>
  <c r="J1359" i="6"/>
  <c r="J1358" i="6"/>
  <c r="J1357" i="6"/>
  <c r="N1356" i="6"/>
  <c r="J1356" i="6"/>
  <c r="N1355" i="6"/>
  <c r="J1355" i="6"/>
  <c r="J1354" i="6"/>
  <c r="J1353" i="6"/>
  <c r="J1352" i="6"/>
  <c r="N1351" i="6"/>
  <c r="J1351" i="6"/>
  <c r="J1350" i="6"/>
  <c r="J1349" i="6"/>
  <c r="J1348" i="6"/>
  <c r="J1347" i="6"/>
  <c r="J1346" i="6"/>
  <c r="J1345" i="6"/>
  <c r="J1344" i="6"/>
  <c r="J1343" i="6"/>
  <c r="J1342" i="6"/>
  <c r="J1341" i="6"/>
  <c r="J1340" i="6"/>
  <c r="N1339" i="6"/>
  <c r="J1339" i="6"/>
  <c r="J1338" i="6"/>
  <c r="J1337" i="6"/>
  <c r="J1336" i="6"/>
  <c r="N1335" i="6"/>
  <c r="J1335" i="6"/>
  <c r="J1334" i="6"/>
  <c r="N1333" i="6"/>
  <c r="J1333" i="6"/>
  <c r="N1332" i="6"/>
  <c r="J1332" i="6"/>
  <c r="J1331" i="6"/>
  <c r="N1330" i="6"/>
  <c r="J1330" i="6"/>
  <c r="N1329" i="6"/>
  <c r="J1329" i="6"/>
  <c r="J1328" i="6"/>
  <c r="J1327" i="6"/>
  <c r="J1326" i="6"/>
  <c r="N1325" i="6"/>
  <c r="J1325" i="6"/>
  <c r="N1324" i="6"/>
  <c r="J1324" i="6"/>
  <c r="J1323" i="6"/>
  <c r="N1322" i="6"/>
  <c r="J1322" i="6"/>
  <c r="N1321" i="6"/>
  <c r="J1321" i="6"/>
  <c r="J1320" i="6"/>
  <c r="N1319" i="6"/>
  <c r="J1319" i="6"/>
  <c r="J1318" i="6"/>
  <c r="J1317" i="6"/>
  <c r="N1316" i="6"/>
  <c r="J1316" i="6"/>
  <c r="J1315" i="6"/>
  <c r="N1314" i="6"/>
  <c r="J1314" i="6"/>
  <c r="J1313" i="6"/>
  <c r="J1312" i="6"/>
  <c r="N1311" i="6"/>
  <c r="J1311" i="6"/>
  <c r="N1310" i="6"/>
  <c r="J1310" i="6"/>
  <c r="N1309" i="6"/>
  <c r="J1309" i="6"/>
  <c r="J1308" i="6"/>
  <c r="J1307" i="6"/>
  <c r="J1306" i="6"/>
  <c r="J1305" i="6"/>
  <c r="J1304" i="6"/>
  <c r="N1303" i="6"/>
  <c r="J1303" i="6"/>
  <c r="J1302" i="6"/>
  <c r="N1301" i="6"/>
  <c r="J1301" i="6"/>
  <c r="J1300" i="6"/>
  <c r="N1299" i="6"/>
  <c r="J1299" i="6"/>
  <c r="J1298" i="6"/>
  <c r="J1297" i="6"/>
  <c r="J1296" i="6"/>
  <c r="J1295" i="6"/>
  <c r="J1294" i="6"/>
  <c r="J1293" i="6"/>
  <c r="N1292" i="6"/>
  <c r="J1292" i="6"/>
  <c r="J1291" i="6"/>
  <c r="J1290" i="6"/>
  <c r="J1289" i="6"/>
  <c r="N1288" i="6"/>
  <c r="J1288" i="6"/>
  <c r="J1287" i="6"/>
  <c r="J1286" i="6"/>
  <c r="N1285" i="6"/>
  <c r="J1285" i="6"/>
  <c r="N1284" i="6"/>
  <c r="J1284" i="6"/>
  <c r="N1283" i="6"/>
  <c r="J1283" i="6"/>
  <c r="J1282" i="6"/>
  <c r="J1281" i="6"/>
  <c r="J1280" i="6"/>
  <c r="J1279" i="6"/>
  <c r="J1278" i="6"/>
  <c r="J1277" i="6"/>
  <c r="N1276" i="6"/>
  <c r="J1276" i="6"/>
  <c r="N1275" i="6"/>
  <c r="J1275" i="6"/>
  <c r="J1274" i="6"/>
  <c r="J1273" i="6"/>
  <c r="N1272" i="6"/>
  <c r="J1272" i="6"/>
  <c r="N1271" i="6"/>
  <c r="J1271" i="6"/>
  <c r="J1270" i="6"/>
  <c r="J1269" i="6"/>
  <c r="J1268" i="6"/>
  <c r="J1267" i="6"/>
  <c r="J1266" i="6"/>
  <c r="J1265" i="6"/>
  <c r="J1264" i="6"/>
  <c r="N1263" i="6"/>
  <c r="J1263" i="6"/>
  <c r="J1262" i="6"/>
  <c r="N1261" i="6"/>
  <c r="J1261" i="6"/>
  <c r="J1260" i="6"/>
  <c r="J1259" i="6"/>
  <c r="N1258" i="6"/>
  <c r="J1258" i="6"/>
  <c r="J1257" i="6"/>
  <c r="J1256" i="6"/>
  <c r="J1255" i="6"/>
  <c r="N1254" i="6"/>
  <c r="J1254" i="6"/>
  <c r="N1253" i="6"/>
  <c r="J1253" i="6"/>
  <c r="J1252" i="6"/>
  <c r="N1251" i="6"/>
  <c r="J1251" i="6"/>
  <c r="J1250" i="6"/>
  <c r="J1249" i="6"/>
  <c r="N1248" i="6"/>
  <c r="J1248" i="6"/>
  <c r="J1247" i="6"/>
  <c r="N1246" i="6"/>
  <c r="J1246" i="6"/>
  <c r="J1245" i="6"/>
  <c r="N1244" i="6"/>
  <c r="J1244" i="6"/>
  <c r="J1243" i="6"/>
  <c r="J1242" i="6"/>
  <c r="N1241" i="6"/>
  <c r="J1241" i="6"/>
  <c r="N1240" i="6"/>
  <c r="J1240" i="6"/>
  <c r="N1239" i="6"/>
  <c r="J1239" i="6"/>
  <c r="N1238" i="6"/>
  <c r="J1238" i="6"/>
  <c r="N1237" i="6"/>
  <c r="J1237" i="6"/>
  <c r="N1236" i="6"/>
  <c r="J1236" i="6"/>
  <c r="J1235" i="6"/>
  <c r="J1234" i="6"/>
  <c r="J1233" i="6"/>
  <c r="N1232" i="6"/>
  <c r="J1232" i="6"/>
  <c r="J1231" i="6"/>
  <c r="J1230" i="6"/>
  <c r="N1229" i="6"/>
  <c r="J1229" i="6"/>
  <c r="N1228" i="6"/>
  <c r="J1228" i="6"/>
  <c r="N1227" i="6"/>
  <c r="J1227" i="6"/>
  <c r="N1226" i="6"/>
  <c r="J1226" i="6"/>
  <c r="N1225" i="6"/>
  <c r="J1225" i="6"/>
  <c r="J1224" i="6"/>
  <c r="N1223" i="6"/>
  <c r="J1223" i="6"/>
  <c r="N1222" i="6"/>
  <c r="J1222" i="6"/>
  <c r="J1221" i="6"/>
  <c r="N1220" i="6"/>
  <c r="J1220" i="6"/>
  <c r="N1219" i="6"/>
  <c r="J1219" i="6"/>
  <c r="J1218" i="6"/>
  <c r="N1217" i="6"/>
  <c r="J1217" i="6"/>
  <c r="J1216" i="6"/>
  <c r="J1215" i="6"/>
  <c r="J1214" i="6"/>
  <c r="J1213" i="6"/>
  <c r="J1212" i="6"/>
  <c r="J1211" i="6"/>
  <c r="J1210" i="6"/>
  <c r="J1209" i="6"/>
  <c r="J1208" i="6"/>
  <c r="J1207" i="6"/>
  <c r="J1206" i="6"/>
  <c r="J1205" i="6"/>
  <c r="J1204" i="6"/>
  <c r="N1203" i="6"/>
  <c r="J1203" i="6"/>
  <c r="J1202" i="6"/>
  <c r="J1201" i="6"/>
  <c r="J1200" i="6"/>
  <c r="N1199" i="6"/>
  <c r="J1199" i="6"/>
  <c r="J1198" i="6"/>
  <c r="J1197" i="6"/>
  <c r="J1196" i="6"/>
  <c r="N1195" i="6"/>
  <c r="J1195" i="6"/>
  <c r="J1194" i="6"/>
  <c r="J1193" i="6"/>
  <c r="N1192" i="6"/>
  <c r="J1192" i="6"/>
  <c r="J1191" i="6"/>
  <c r="J1190" i="6"/>
  <c r="J1189" i="6"/>
  <c r="J1188" i="6"/>
  <c r="J1187" i="6"/>
  <c r="N1186" i="6"/>
  <c r="J1186" i="6"/>
  <c r="J1185" i="6"/>
  <c r="J1184" i="6"/>
  <c r="J1183" i="6"/>
  <c r="J1182" i="6"/>
  <c r="J1181" i="6"/>
  <c r="J1180" i="6"/>
  <c r="J1179" i="6"/>
  <c r="J1178" i="6"/>
  <c r="J1177" i="6"/>
  <c r="J1176" i="6"/>
  <c r="J1175" i="6"/>
  <c r="J1174" i="6"/>
  <c r="J1173" i="6"/>
  <c r="J1172" i="6"/>
  <c r="J1171" i="6"/>
  <c r="N1170" i="6"/>
  <c r="J1170" i="6"/>
  <c r="N1169" i="6"/>
  <c r="J1169" i="6"/>
  <c r="J1168" i="6"/>
  <c r="N1167" i="6"/>
  <c r="J1167" i="6"/>
  <c r="N1166" i="6"/>
  <c r="J1166" i="6"/>
  <c r="J1165" i="6"/>
  <c r="J1164" i="6"/>
  <c r="J1163" i="6"/>
  <c r="N1162" i="6"/>
  <c r="J1162" i="6"/>
  <c r="N1161" i="6"/>
  <c r="J1161" i="6"/>
  <c r="J1160" i="6"/>
  <c r="J1159" i="6"/>
  <c r="J1158" i="6"/>
  <c r="J1157" i="6"/>
  <c r="N1156" i="6"/>
  <c r="J1156" i="6"/>
  <c r="J1155" i="6"/>
  <c r="J1154" i="6"/>
  <c r="N1153" i="6"/>
  <c r="J1153" i="6"/>
  <c r="N1152" i="6"/>
  <c r="J1152" i="6"/>
  <c r="N1151" i="6"/>
  <c r="J1151" i="6"/>
  <c r="N1150" i="6"/>
  <c r="J1150" i="6"/>
  <c r="N1149" i="6"/>
  <c r="J1149" i="6"/>
  <c r="N1148" i="6"/>
  <c r="J1148" i="6"/>
  <c r="N1147" i="6"/>
  <c r="J1147" i="6"/>
  <c r="J1146" i="6"/>
  <c r="N1145" i="6"/>
  <c r="J1145" i="6"/>
  <c r="J1144" i="6"/>
  <c r="J1143" i="6"/>
  <c r="J1142" i="6"/>
  <c r="N1141" i="6"/>
  <c r="J1141" i="6"/>
  <c r="N1140" i="6"/>
  <c r="J1140" i="6"/>
  <c r="J1139" i="6"/>
  <c r="N1138" i="6"/>
  <c r="J1138" i="6"/>
  <c r="N1137" i="6"/>
  <c r="J1137" i="6"/>
  <c r="J1136" i="6"/>
  <c r="J1135" i="6"/>
  <c r="J1134" i="6"/>
  <c r="J1133" i="6"/>
  <c r="J1132" i="6"/>
  <c r="J1131" i="6"/>
  <c r="J1130" i="6"/>
  <c r="J1129" i="6"/>
  <c r="J1128" i="6"/>
  <c r="J1127" i="6"/>
  <c r="N1126" i="6"/>
  <c r="J1126" i="6"/>
  <c r="J1125" i="6"/>
  <c r="N1124" i="6"/>
  <c r="J1124" i="6"/>
  <c r="N1123" i="6"/>
  <c r="J1123" i="6"/>
  <c r="N1122" i="6"/>
  <c r="J1122" i="6"/>
  <c r="J1121" i="6"/>
  <c r="N1120" i="6"/>
  <c r="J1120" i="6"/>
  <c r="J1119" i="6"/>
  <c r="J1118" i="6"/>
  <c r="J1117" i="6"/>
  <c r="J1116" i="6"/>
  <c r="J1115" i="6"/>
  <c r="N1114" i="6"/>
  <c r="J1114" i="6"/>
  <c r="J1113" i="6"/>
  <c r="J1112" i="6"/>
  <c r="J1111" i="6"/>
  <c r="J1110" i="6"/>
  <c r="J1109" i="6"/>
  <c r="J1108" i="6"/>
  <c r="N1107" i="6"/>
  <c r="J1107" i="6"/>
  <c r="N1106" i="6"/>
  <c r="J1106" i="6"/>
  <c r="J1105" i="6"/>
  <c r="J1104" i="6"/>
  <c r="J1103" i="6"/>
  <c r="J1102" i="6"/>
  <c r="J1101" i="6"/>
  <c r="J1100" i="6"/>
  <c r="N1099" i="6"/>
  <c r="J1099" i="6"/>
  <c r="N1098" i="6"/>
  <c r="J1098" i="6"/>
  <c r="J1097" i="6"/>
  <c r="J1096" i="6"/>
  <c r="J1095" i="6"/>
  <c r="N1094" i="6"/>
  <c r="J1094" i="6"/>
  <c r="N1093" i="6"/>
  <c r="J1093" i="6"/>
  <c r="N1092" i="6"/>
  <c r="J1092" i="6"/>
  <c r="N1091" i="6"/>
  <c r="J1091" i="6"/>
  <c r="N1090" i="6"/>
  <c r="J1090" i="6"/>
  <c r="J1089" i="6"/>
  <c r="J1088" i="6"/>
  <c r="J1087" i="6"/>
  <c r="J1086" i="6"/>
  <c r="J1085" i="6"/>
  <c r="J1084" i="6"/>
  <c r="J1083" i="6"/>
  <c r="J1082" i="6"/>
  <c r="J1081" i="6"/>
  <c r="J1080" i="6"/>
  <c r="J1079" i="6"/>
  <c r="J1078" i="6"/>
  <c r="J1077" i="6"/>
  <c r="N1076" i="6"/>
  <c r="J1076" i="6"/>
  <c r="N1075" i="6"/>
  <c r="J1075" i="6"/>
  <c r="N1074" i="6"/>
  <c r="J1074" i="6"/>
  <c r="N1073" i="6"/>
  <c r="J1073" i="6"/>
  <c r="N1072" i="6"/>
  <c r="J1072" i="6"/>
  <c r="N1071" i="6"/>
  <c r="J1071" i="6"/>
  <c r="J1070" i="6"/>
  <c r="J1069" i="6"/>
  <c r="J1068" i="6"/>
  <c r="J1067" i="6"/>
  <c r="J1066" i="6"/>
  <c r="J1065" i="6"/>
  <c r="N1064" i="6"/>
  <c r="J1064" i="6"/>
  <c r="J1063" i="6"/>
  <c r="J1062" i="6"/>
  <c r="J1061" i="6"/>
  <c r="J1060" i="6"/>
  <c r="J1059" i="6"/>
  <c r="J1058" i="6"/>
  <c r="J1057" i="6"/>
  <c r="J1056" i="6"/>
  <c r="N1055" i="6"/>
  <c r="J1055" i="6"/>
  <c r="N1054" i="6"/>
  <c r="J1054" i="6"/>
  <c r="J1053" i="6"/>
  <c r="J1052" i="6"/>
  <c r="J1051" i="6"/>
  <c r="J1050" i="6"/>
  <c r="N1049" i="6"/>
  <c r="J1049" i="6"/>
  <c r="N1048" i="6"/>
  <c r="J1048" i="6"/>
  <c r="J1047" i="6"/>
  <c r="J1046" i="6"/>
  <c r="N1045" i="6"/>
  <c r="J1045" i="6"/>
  <c r="J1044" i="6"/>
  <c r="N1043" i="6"/>
  <c r="J1043" i="6"/>
  <c r="N1042" i="6"/>
  <c r="J1042" i="6"/>
  <c r="N1041" i="6"/>
  <c r="J1041" i="6"/>
  <c r="J1040" i="6"/>
  <c r="J1039" i="6"/>
  <c r="J1038" i="6"/>
  <c r="N1037" i="6"/>
  <c r="J1037" i="6"/>
  <c r="N1036" i="6"/>
  <c r="J1036" i="6"/>
  <c r="N1035" i="6"/>
  <c r="J1035" i="6"/>
  <c r="N1034" i="6"/>
  <c r="J1034" i="6"/>
  <c r="N1033" i="6"/>
  <c r="J1033" i="6"/>
  <c r="N1032" i="6"/>
  <c r="J1032" i="6"/>
  <c r="J1031" i="6"/>
  <c r="N1030" i="6"/>
  <c r="J1030" i="6"/>
  <c r="N1029" i="6"/>
  <c r="J1029" i="6"/>
  <c r="N1028" i="6"/>
  <c r="J1028" i="6"/>
  <c r="N1027" i="6"/>
  <c r="J1027" i="6"/>
  <c r="N1026" i="6"/>
  <c r="J1026" i="6"/>
  <c r="J1025" i="6"/>
  <c r="N1024" i="6"/>
  <c r="J1024" i="6"/>
  <c r="J1023" i="6"/>
  <c r="N1022" i="6"/>
  <c r="J1022" i="6"/>
  <c r="N1021" i="6"/>
  <c r="J1021" i="6"/>
  <c r="J1020" i="6"/>
  <c r="J1019" i="6"/>
  <c r="J1018" i="6"/>
  <c r="J1017" i="6"/>
  <c r="J1016" i="6"/>
  <c r="J1015" i="6"/>
  <c r="J1014" i="6"/>
  <c r="J1013" i="6"/>
  <c r="J1012" i="6"/>
  <c r="J1011" i="6"/>
  <c r="J1010" i="6"/>
  <c r="J1009" i="6"/>
  <c r="J1008" i="6"/>
  <c r="J1007" i="6"/>
  <c r="N1006" i="6"/>
  <c r="J1006" i="6"/>
  <c r="N1005" i="6"/>
  <c r="J1005" i="6"/>
  <c r="N1004" i="6"/>
  <c r="J1004" i="6"/>
  <c r="N1003" i="6"/>
  <c r="J1003" i="6"/>
  <c r="N1002" i="6"/>
  <c r="J1002" i="6"/>
  <c r="J1001" i="6"/>
  <c r="J1000" i="6"/>
  <c r="N999" i="6"/>
  <c r="J999" i="6"/>
  <c r="J998" i="6"/>
  <c r="J997" i="6"/>
  <c r="N996" i="6"/>
  <c r="J996" i="6"/>
  <c r="N995" i="6"/>
  <c r="J995" i="6"/>
  <c r="J994" i="6"/>
  <c r="J993" i="6"/>
  <c r="J992" i="6"/>
  <c r="J991" i="6"/>
  <c r="J990" i="6"/>
  <c r="J989" i="6"/>
  <c r="J988" i="6"/>
  <c r="J987" i="6"/>
  <c r="J986" i="6"/>
  <c r="J985" i="6"/>
  <c r="J984" i="6"/>
  <c r="J983" i="6"/>
  <c r="J982" i="6"/>
  <c r="J981" i="6"/>
  <c r="J980" i="6"/>
  <c r="N979" i="6"/>
  <c r="J979" i="6"/>
  <c r="N978" i="6"/>
  <c r="J978" i="6"/>
  <c r="N977" i="6"/>
  <c r="J977" i="6"/>
  <c r="N976" i="6"/>
  <c r="J976" i="6"/>
  <c r="N975" i="6"/>
  <c r="J975" i="6"/>
  <c r="J974" i="6"/>
  <c r="N973" i="6"/>
  <c r="J973" i="6"/>
  <c r="N972" i="6"/>
  <c r="J972" i="6"/>
  <c r="N971" i="6"/>
  <c r="J971" i="6"/>
  <c r="N970" i="6"/>
  <c r="J970" i="6"/>
  <c r="N969" i="6"/>
  <c r="J969" i="6"/>
  <c r="J968" i="6"/>
  <c r="N967" i="6"/>
  <c r="J967" i="6"/>
  <c r="N966" i="6"/>
  <c r="J966" i="6"/>
  <c r="N965" i="6"/>
  <c r="J965" i="6"/>
  <c r="N964" i="6"/>
  <c r="J964" i="6"/>
  <c r="N963" i="6"/>
  <c r="J963" i="6"/>
  <c r="N962" i="6"/>
  <c r="J962" i="6"/>
  <c r="J961" i="6"/>
  <c r="N960" i="6"/>
  <c r="J960" i="6"/>
  <c r="N959" i="6"/>
  <c r="J959" i="6"/>
  <c r="N958" i="6"/>
  <c r="J958" i="6"/>
  <c r="N957" i="6"/>
  <c r="J957" i="6"/>
  <c r="J956" i="6"/>
  <c r="N955" i="6"/>
  <c r="J955" i="6"/>
  <c r="J954" i="6"/>
  <c r="J953" i="6"/>
  <c r="J952" i="6"/>
  <c r="N951" i="6"/>
  <c r="J951" i="6"/>
  <c r="N950" i="6"/>
  <c r="J950" i="6"/>
  <c r="J949" i="6"/>
  <c r="N948" i="6"/>
  <c r="J948" i="6"/>
  <c r="N947" i="6"/>
  <c r="J947" i="6"/>
  <c r="N946" i="6"/>
  <c r="J946" i="6"/>
  <c r="N945" i="6"/>
  <c r="J945" i="6"/>
  <c r="N944" i="6"/>
  <c r="J944" i="6"/>
  <c r="J943" i="6"/>
  <c r="J942" i="6"/>
  <c r="J941" i="6"/>
  <c r="J940" i="6"/>
  <c r="J939" i="6"/>
  <c r="J938" i="6"/>
  <c r="J937" i="6"/>
  <c r="J936" i="6"/>
  <c r="N935" i="6"/>
  <c r="J935" i="6"/>
  <c r="N934" i="6"/>
  <c r="J934" i="6"/>
  <c r="J933" i="6"/>
  <c r="J932" i="6"/>
  <c r="J931" i="6"/>
  <c r="J930" i="6"/>
  <c r="N929" i="6"/>
  <c r="J929" i="6"/>
  <c r="J928" i="6"/>
  <c r="N927" i="6"/>
  <c r="J927" i="6"/>
  <c r="J926" i="6"/>
  <c r="J925" i="6"/>
  <c r="J924" i="6"/>
  <c r="J923" i="6"/>
  <c r="J922" i="6"/>
  <c r="J921" i="6"/>
  <c r="J920" i="6"/>
  <c r="J919" i="6"/>
  <c r="J918" i="6"/>
  <c r="J917" i="6"/>
  <c r="J916" i="6"/>
  <c r="J915" i="6"/>
  <c r="J914" i="6"/>
  <c r="J913" i="6"/>
  <c r="J912" i="6"/>
  <c r="J911" i="6"/>
  <c r="N910" i="6"/>
  <c r="J910" i="6"/>
  <c r="N909" i="6"/>
  <c r="J909" i="6"/>
  <c r="N908" i="6"/>
  <c r="J908" i="6"/>
  <c r="N907" i="6"/>
  <c r="J907" i="6"/>
  <c r="N906" i="6"/>
  <c r="J906" i="6"/>
  <c r="N905" i="6"/>
  <c r="J905" i="6"/>
  <c r="N904" i="6"/>
  <c r="J904" i="6"/>
  <c r="N903" i="6"/>
  <c r="J903" i="6"/>
  <c r="N902" i="6"/>
  <c r="J902" i="6"/>
  <c r="N901" i="6"/>
  <c r="J901" i="6"/>
  <c r="J900" i="6"/>
  <c r="N899" i="6"/>
  <c r="J899" i="6"/>
  <c r="J898" i="6"/>
  <c r="N897" i="6"/>
  <c r="J897" i="6"/>
  <c r="N896" i="6"/>
  <c r="J896" i="6"/>
  <c r="N895" i="6"/>
  <c r="J895" i="6"/>
  <c r="N894" i="6"/>
  <c r="J894" i="6"/>
  <c r="N893" i="6"/>
  <c r="J893" i="6"/>
  <c r="N892" i="6"/>
  <c r="J892" i="6"/>
  <c r="N891" i="6"/>
  <c r="J891" i="6"/>
  <c r="N890" i="6"/>
  <c r="J890" i="6"/>
  <c r="N889" i="6"/>
  <c r="J889" i="6"/>
  <c r="N888" i="6"/>
  <c r="J888" i="6"/>
  <c r="N887" i="6"/>
  <c r="J887" i="6"/>
  <c r="N886" i="6"/>
  <c r="J886" i="6"/>
  <c r="N885" i="6"/>
  <c r="J885" i="6"/>
  <c r="J884" i="6"/>
  <c r="N883" i="6"/>
  <c r="J883" i="6"/>
  <c r="N882" i="6"/>
  <c r="J882" i="6"/>
  <c r="N881" i="6"/>
  <c r="J881" i="6"/>
  <c r="J880" i="6"/>
  <c r="J879" i="6"/>
  <c r="J878" i="6"/>
  <c r="J877" i="6"/>
  <c r="J876" i="6"/>
  <c r="J875" i="6"/>
  <c r="J874" i="6"/>
  <c r="J873" i="6"/>
  <c r="J872" i="6"/>
  <c r="J871" i="6"/>
  <c r="J870" i="6"/>
  <c r="J869" i="6"/>
  <c r="J868" i="6"/>
  <c r="J867" i="6"/>
  <c r="J866" i="6"/>
  <c r="J865" i="6"/>
  <c r="J864" i="6"/>
  <c r="J863" i="6"/>
  <c r="J862" i="6"/>
  <c r="J861" i="6"/>
  <c r="J860" i="6"/>
  <c r="N859" i="6"/>
  <c r="J859" i="6"/>
  <c r="J858" i="6"/>
  <c r="J857" i="6"/>
  <c r="J856" i="6"/>
  <c r="J855" i="6"/>
  <c r="J854" i="6"/>
  <c r="J853" i="6"/>
  <c r="J852" i="6"/>
  <c r="N851" i="6"/>
  <c r="J851" i="6"/>
  <c r="J850" i="6"/>
  <c r="J849" i="6"/>
  <c r="J848" i="6"/>
  <c r="N847" i="6"/>
  <c r="J847" i="6"/>
  <c r="J846" i="6"/>
  <c r="J845" i="6"/>
  <c r="J844" i="6"/>
  <c r="J843" i="6"/>
  <c r="N842" i="6"/>
  <c r="J842" i="6"/>
  <c r="J841" i="6"/>
  <c r="N840" i="6"/>
  <c r="J840" i="6"/>
  <c r="J839" i="6"/>
  <c r="J838" i="6"/>
  <c r="J837" i="6"/>
  <c r="J836" i="6"/>
  <c r="J835" i="6"/>
  <c r="N834" i="6"/>
  <c r="J834" i="6"/>
  <c r="N833" i="6"/>
  <c r="J833" i="6"/>
  <c r="N832" i="6"/>
  <c r="J832" i="6"/>
  <c r="N831" i="6"/>
  <c r="J831" i="6"/>
  <c r="J830" i="6"/>
  <c r="J829" i="6"/>
  <c r="N828" i="6"/>
  <c r="J828" i="6"/>
  <c r="N827" i="6"/>
  <c r="J827" i="6"/>
  <c r="N826" i="6"/>
  <c r="J826" i="6"/>
  <c r="J825" i="6"/>
  <c r="J824" i="6"/>
  <c r="J823" i="6"/>
  <c r="J822" i="6"/>
  <c r="J821" i="6"/>
  <c r="J820" i="6"/>
  <c r="J819" i="6"/>
  <c r="J818" i="6"/>
  <c r="J817" i="6"/>
  <c r="N816" i="6"/>
  <c r="J816" i="6"/>
  <c r="J815" i="6"/>
  <c r="J814" i="6"/>
  <c r="J813" i="6"/>
  <c r="J812" i="6"/>
  <c r="N811" i="6"/>
  <c r="J811" i="6"/>
  <c r="J810" i="6"/>
  <c r="N809" i="6"/>
  <c r="J809" i="6"/>
  <c r="J808" i="6"/>
  <c r="J807" i="6"/>
  <c r="J806" i="6"/>
  <c r="J805" i="6"/>
  <c r="J804" i="6"/>
  <c r="J803" i="6"/>
  <c r="J802" i="6"/>
  <c r="J801" i="6"/>
  <c r="N800" i="6"/>
  <c r="J800" i="6"/>
  <c r="N799" i="6"/>
  <c r="J799" i="6"/>
  <c r="J798" i="6"/>
  <c r="N797" i="6"/>
  <c r="J797" i="6"/>
  <c r="N796" i="6"/>
  <c r="J796" i="6"/>
  <c r="J795" i="6"/>
  <c r="J794" i="6"/>
  <c r="J793" i="6"/>
  <c r="J792" i="6"/>
  <c r="N791" i="6"/>
  <c r="J791" i="6"/>
  <c r="N790" i="6"/>
  <c r="J790" i="6"/>
  <c r="J789" i="6"/>
  <c r="J788" i="6"/>
  <c r="N787" i="6"/>
  <c r="J787" i="6"/>
  <c r="J786" i="6"/>
  <c r="J785" i="6"/>
  <c r="J784" i="6"/>
  <c r="J783" i="6"/>
  <c r="J782" i="6"/>
  <c r="J781" i="6"/>
  <c r="J780" i="6"/>
  <c r="J779" i="6"/>
  <c r="J778" i="6"/>
  <c r="J777" i="6"/>
  <c r="N776" i="6"/>
  <c r="J776" i="6"/>
  <c r="J775" i="6"/>
  <c r="N774" i="6"/>
  <c r="J774" i="6"/>
  <c r="J773" i="6"/>
  <c r="N772" i="6"/>
  <c r="J772" i="6"/>
  <c r="N771" i="6"/>
  <c r="J771" i="6"/>
  <c r="J770" i="6"/>
  <c r="N769" i="6"/>
  <c r="J769" i="6"/>
  <c r="J768" i="6"/>
  <c r="J767" i="6"/>
  <c r="J766" i="6"/>
  <c r="N765" i="6"/>
  <c r="J765" i="6"/>
  <c r="N764" i="6"/>
  <c r="J764" i="6"/>
  <c r="J763" i="6"/>
  <c r="J762" i="6"/>
  <c r="J761" i="6"/>
  <c r="J760" i="6"/>
  <c r="N759" i="6"/>
  <c r="J759" i="6"/>
  <c r="N758" i="6"/>
  <c r="J758" i="6"/>
  <c r="J757" i="6"/>
  <c r="N756" i="6"/>
  <c r="J756" i="6"/>
  <c r="N755" i="6"/>
  <c r="J755" i="6"/>
  <c r="J754" i="6"/>
  <c r="N753" i="6"/>
  <c r="J753" i="6"/>
  <c r="J752" i="6"/>
  <c r="J751" i="6"/>
  <c r="J750" i="6"/>
  <c r="N749" i="6"/>
  <c r="J749" i="6"/>
  <c r="J748" i="6"/>
  <c r="J747" i="6"/>
  <c r="N746" i="6"/>
  <c r="J746" i="6"/>
  <c r="J745" i="6"/>
  <c r="J744" i="6"/>
  <c r="N743" i="6"/>
  <c r="J743" i="6"/>
  <c r="J742" i="6"/>
  <c r="N741" i="6"/>
  <c r="J741" i="6"/>
  <c r="J740" i="6"/>
  <c r="J739" i="6"/>
  <c r="J738" i="6"/>
  <c r="J737" i="6"/>
  <c r="J736" i="6"/>
  <c r="N735" i="6"/>
  <c r="J735" i="6"/>
  <c r="J734" i="6"/>
  <c r="J733" i="6"/>
  <c r="J732" i="6"/>
  <c r="J731" i="6"/>
  <c r="N730" i="6"/>
  <c r="J730" i="6"/>
  <c r="N729" i="6"/>
  <c r="J729" i="6"/>
  <c r="N728" i="6"/>
  <c r="J728" i="6"/>
  <c r="J727" i="6"/>
  <c r="N726" i="6"/>
  <c r="J726" i="6"/>
  <c r="J725" i="6"/>
  <c r="J724" i="6"/>
  <c r="J723" i="6"/>
  <c r="N722" i="6"/>
  <c r="J722" i="6"/>
  <c r="J721" i="6"/>
  <c r="N720" i="6"/>
  <c r="J720" i="6"/>
  <c r="N719" i="6"/>
  <c r="J719" i="6"/>
  <c r="N718" i="6"/>
  <c r="J718" i="6"/>
  <c r="N717" i="6"/>
  <c r="J717" i="6"/>
  <c r="N716" i="6"/>
  <c r="J716" i="6"/>
  <c r="N715" i="6"/>
  <c r="J715" i="6"/>
  <c r="J714" i="6"/>
  <c r="J713" i="6"/>
  <c r="J712" i="6"/>
  <c r="J711" i="6"/>
  <c r="N710" i="6"/>
  <c r="J710" i="6"/>
  <c r="J709" i="6"/>
  <c r="J708" i="6"/>
  <c r="N707" i="6"/>
  <c r="J707" i="6"/>
  <c r="J706" i="6"/>
  <c r="J705" i="6"/>
  <c r="J704" i="6"/>
  <c r="J703" i="6"/>
  <c r="J702" i="6"/>
  <c r="J701" i="6"/>
  <c r="N700" i="6"/>
  <c r="J700" i="6"/>
  <c r="J699" i="6"/>
  <c r="J698" i="6"/>
  <c r="J697" i="6"/>
  <c r="J696" i="6"/>
  <c r="J695" i="6"/>
  <c r="N694" i="6"/>
  <c r="J694" i="6"/>
  <c r="N693" i="6"/>
  <c r="J693" i="6"/>
  <c r="J692" i="6"/>
  <c r="J691" i="6"/>
  <c r="J690" i="6"/>
  <c r="J689" i="6"/>
  <c r="J688" i="6"/>
  <c r="J687" i="6"/>
  <c r="J686" i="6"/>
  <c r="J685" i="6"/>
  <c r="J684" i="6"/>
  <c r="J683" i="6"/>
  <c r="J682" i="6"/>
  <c r="J681" i="6"/>
  <c r="J680" i="6"/>
  <c r="J679" i="6"/>
  <c r="N678" i="6"/>
  <c r="J678" i="6"/>
  <c r="N677" i="6"/>
  <c r="J677" i="6"/>
  <c r="N676" i="6"/>
  <c r="J676" i="6"/>
  <c r="N675" i="6"/>
  <c r="J675" i="6"/>
  <c r="N674" i="6"/>
  <c r="J674" i="6"/>
  <c r="J673" i="6"/>
  <c r="N672" i="6"/>
  <c r="J672" i="6"/>
  <c r="N671" i="6"/>
  <c r="J671" i="6"/>
  <c r="J670" i="6"/>
  <c r="J669" i="6"/>
  <c r="N668" i="6"/>
  <c r="J668" i="6"/>
  <c r="J667" i="6"/>
  <c r="J666" i="6"/>
  <c r="J665" i="6"/>
  <c r="J664" i="6"/>
  <c r="N663" i="6"/>
  <c r="J663" i="6"/>
  <c r="N662" i="6"/>
  <c r="J662" i="6"/>
  <c r="J661" i="6"/>
  <c r="J660" i="6"/>
  <c r="J659" i="6"/>
  <c r="J658" i="6"/>
  <c r="J657" i="6"/>
  <c r="J656" i="6"/>
  <c r="J655" i="6"/>
  <c r="N654" i="6"/>
  <c r="J654" i="6"/>
  <c r="J653" i="6"/>
  <c r="N652" i="6"/>
  <c r="J652" i="6"/>
  <c r="N651" i="6"/>
  <c r="J651" i="6"/>
  <c r="J650" i="6"/>
  <c r="J649" i="6"/>
  <c r="J648" i="6"/>
  <c r="N647" i="6"/>
  <c r="J647" i="6"/>
  <c r="N646" i="6"/>
  <c r="J646" i="6"/>
  <c r="N645" i="6"/>
  <c r="J645" i="6"/>
  <c r="J644" i="6"/>
  <c r="N643" i="6"/>
  <c r="J643" i="6"/>
  <c r="J642" i="6"/>
  <c r="N641" i="6"/>
  <c r="J641" i="6"/>
  <c r="J640" i="6"/>
  <c r="J639" i="6"/>
  <c r="N638" i="6"/>
  <c r="J638" i="6"/>
  <c r="N637" i="6"/>
  <c r="J637" i="6"/>
  <c r="J636" i="6"/>
  <c r="N635" i="6"/>
  <c r="J635" i="6"/>
  <c r="N634" i="6"/>
  <c r="J634" i="6"/>
  <c r="J633" i="6"/>
  <c r="J632" i="6"/>
  <c r="J631" i="6"/>
  <c r="N630" i="6"/>
  <c r="J630" i="6"/>
  <c r="J629" i="6"/>
  <c r="N628" i="6"/>
  <c r="J628" i="6"/>
  <c r="J627" i="6"/>
  <c r="J626" i="6"/>
  <c r="N625" i="6"/>
  <c r="J625" i="6"/>
  <c r="J624" i="6"/>
  <c r="J623" i="6"/>
  <c r="J622" i="6"/>
  <c r="J621" i="6"/>
  <c r="N620" i="6"/>
  <c r="J620" i="6"/>
  <c r="J619" i="6"/>
  <c r="J618" i="6"/>
  <c r="J617" i="6"/>
  <c r="J616" i="6"/>
  <c r="J615" i="6"/>
  <c r="N614" i="6"/>
  <c r="J614" i="6"/>
  <c r="N613" i="6"/>
  <c r="J613" i="6"/>
  <c r="J612" i="6"/>
  <c r="J611" i="6"/>
  <c r="J610" i="6"/>
  <c r="J609" i="6"/>
  <c r="N608" i="6"/>
  <c r="J608" i="6"/>
  <c r="N607" i="6"/>
  <c r="J607" i="6"/>
  <c r="J606" i="6"/>
  <c r="J605" i="6"/>
  <c r="N604" i="6"/>
  <c r="J604" i="6"/>
  <c r="N603" i="6"/>
  <c r="J603" i="6"/>
  <c r="J602" i="6"/>
  <c r="J601" i="6"/>
  <c r="N600" i="6"/>
  <c r="J600" i="6"/>
  <c r="J599" i="6"/>
  <c r="N598" i="6"/>
  <c r="J598" i="6"/>
  <c r="N597" i="6"/>
  <c r="J597" i="6"/>
  <c r="N596" i="6"/>
  <c r="J596" i="6"/>
  <c r="N595" i="6"/>
  <c r="J595" i="6"/>
  <c r="N594" i="6"/>
  <c r="J594" i="6"/>
  <c r="N593" i="6"/>
  <c r="J593" i="6"/>
  <c r="J592" i="6"/>
  <c r="N591" i="6"/>
  <c r="J591" i="6"/>
  <c r="J590" i="6"/>
  <c r="N589" i="6"/>
  <c r="J589" i="6"/>
  <c r="N588" i="6"/>
  <c r="J588" i="6"/>
  <c r="N587" i="6"/>
  <c r="J587" i="6"/>
  <c r="J586" i="6"/>
  <c r="J585" i="6"/>
  <c r="J584" i="6"/>
  <c r="N583" i="6"/>
  <c r="J583" i="6"/>
  <c r="N582" i="6"/>
  <c r="J582" i="6"/>
  <c r="J581" i="6"/>
  <c r="J580" i="6"/>
  <c r="N579" i="6"/>
  <c r="J579" i="6"/>
  <c r="J578" i="6"/>
  <c r="J577" i="6"/>
  <c r="J576" i="6"/>
  <c r="N575" i="6"/>
  <c r="J575" i="6"/>
  <c r="J574" i="6"/>
  <c r="J573" i="6"/>
  <c r="J572" i="6"/>
  <c r="J571" i="6"/>
  <c r="J570" i="6"/>
  <c r="J569" i="6"/>
  <c r="J568" i="6"/>
  <c r="J567" i="6"/>
  <c r="J566" i="6"/>
  <c r="N565" i="6"/>
  <c r="J565" i="6"/>
  <c r="J564" i="6"/>
  <c r="N563" i="6"/>
  <c r="J563" i="6"/>
  <c r="J562" i="6"/>
  <c r="J561" i="6"/>
  <c r="J560" i="6"/>
  <c r="J559" i="6"/>
  <c r="N558" i="6"/>
  <c r="J558" i="6"/>
  <c r="N557" i="6"/>
  <c r="J557" i="6"/>
  <c r="J556" i="6"/>
  <c r="J555" i="6"/>
  <c r="J554" i="6"/>
  <c r="J553" i="6"/>
  <c r="J552" i="6"/>
  <c r="J551" i="6"/>
  <c r="N550" i="6"/>
  <c r="J550" i="6"/>
  <c r="J549" i="6"/>
  <c r="J548" i="6"/>
  <c r="J547" i="6"/>
  <c r="J546" i="6"/>
  <c r="N545" i="6"/>
  <c r="J545" i="6"/>
  <c r="J544" i="6"/>
  <c r="J543" i="6"/>
  <c r="N542" i="6"/>
  <c r="J542" i="6"/>
  <c r="N541" i="6"/>
  <c r="J541" i="6"/>
  <c r="N540" i="6"/>
  <c r="J540" i="6"/>
  <c r="N539" i="6"/>
  <c r="J539" i="6"/>
  <c r="N538" i="6"/>
  <c r="J538" i="6"/>
  <c r="N537" i="6"/>
  <c r="J537" i="6"/>
  <c r="J536" i="6"/>
  <c r="J535" i="6"/>
  <c r="N534" i="6"/>
  <c r="J534" i="6"/>
  <c r="N533" i="6"/>
  <c r="J533" i="6"/>
  <c r="J532" i="6"/>
  <c r="J531" i="6"/>
  <c r="J530" i="6"/>
  <c r="J529" i="6"/>
  <c r="N528" i="6"/>
  <c r="J528" i="6"/>
  <c r="J527" i="6"/>
  <c r="J526" i="6"/>
  <c r="N525" i="6"/>
  <c r="J525" i="6"/>
  <c r="J524" i="6"/>
  <c r="J523" i="6"/>
  <c r="N522" i="6"/>
  <c r="J522" i="6"/>
  <c r="N521" i="6"/>
  <c r="J521" i="6"/>
  <c r="J520" i="6"/>
  <c r="J519" i="6"/>
  <c r="J518" i="6"/>
  <c r="J517" i="6"/>
  <c r="N516" i="6"/>
  <c r="J516" i="6"/>
  <c r="J515" i="6"/>
  <c r="N514" i="6"/>
  <c r="J514" i="6"/>
  <c r="N513" i="6"/>
  <c r="J513" i="6"/>
  <c r="N512" i="6"/>
  <c r="J512" i="6"/>
  <c r="J511" i="6"/>
  <c r="N510" i="6"/>
  <c r="J510" i="6"/>
  <c r="N509" i="6"/>
  <c r="J509" i="6"/>
  <c r="N508" i="6"/>
  <c r="J508" i="6"/>
  <c r="N507" i="6"/>
  <c r="J507" i="6"/>
  <c r="N506" i="6"/>
  <c r="J506" i="6"/>
  <c r="N505" i="6"/>
  <c r="J505" i="6"/>
  <c r="N504" i="6"/>
  <c r="J504" i="6"/>
  <c r="J503" i="6"/>
  <c r="J502" i="6"/>
  <c r="N501" i="6"/>
  <c r="J501" i="6"/>
  <c r="J500" i="6"/>
  <c r="J499" i="6"/>
  <c r="J498" i="6"/>
  <c r="J497" i="6"/>
  <c r="N496" i="6"/>
  <c r="J496" i="6"/>
  <c r="J495" i="6"/>
  <c r="N494" i="6"/>
  <c r="J494" i="6"/>
  <c r="J493" i="6"/>
  <c r="J492" i="6"/>
  <c r="J491" i="6"/>
  <c r="J490" i="6"/>
  <c r="J489" i="6"/>
  <c r="J488" i="6"/>
  <c r="J487" i="6"/>
  <c r="J486" i="6"/>
  <c r="J485" i="6"/>
  <c r="N484" i="6"/>
  <c r="J484" i="6"/>
  <c r="N483" i="6"/>
  <c r="J483" i="6"/>
  <c r="N482" i="6"/>
  <c r="J482" i="6"/>
  <c r="N481" i="6"/>
  <c r="J481" i="6"/>
  <c r="N480" i="6"/>
  <c r="J480" i="6"/>
  <c r="J479" i="6"/>
  <c r="J478" i="6"/>
  <c r="J477" i="6"/>
  <c r="J476" i="6"/>
  <c r="N475" i="6"/>
  <c r="J475" i="6"/>
  <c r="J474" i="6"/>
  <c r="J473" i="6"/>
  <c r="N472" i="6"/>
  <c r="J472" i="6"/>
  <c r="J471" i="6"/>
  <c r="N470" i="6"/>
  <c r="J470" i="6"/>
  <c r="N469" i="6"/>
  <c r="J469" i="6"/>
  <c r="J468" i="6"/>
  <c r="N467" i="6"/>
  <c r="J467" i="6"/>
  <c r="J466" i="6"/>
  <c r="J465" i="6"/>
  <c r="N464" i="6"/>
  <c r="J464" i="6"/>
  <c r="N463" i="6"/>
  <c r="J463" i="6"/>
  <c r="J462" i="6"/>
  <c r="J461" i="6"/>
  <c r="J460" i="6"/>
  <c r="N459" i="6"/>
  <c r="J459" i="6"/>
  <c r="J458" i="6"/>
  <c r="N457" i="6"/>
  <c r="J457" i="6"/>
  <c r="J456" i="6"/>
  <c r="N455" i="6"/>
  <c r="J455" i="6"/>
  <c r="J454" i="6"/>
  <c r="N453" i="6"/>
  <c r="J453" i="6"/>
  <c r="J452" i="6"/>
  <c r="J451" i="6"/>
  <c r="J450" i="6"/>
  <c r="N449" i="6"/>
  <c r="J449" i="6"/>
  <c r="N448" i="6"/>
  <c r="J448" i="6"/>
  <c r="N447" i="6"/>
  <c r="J447" i="6"/>
  <c r="N446" i="6"/>
  <c r="J446" i="6"/>
  <c r="N445" i="6"/>
  <c r="J445" i="6"/>
  <c r="J444" i="6"/>
  <c r="J443" i="6"/>
  <c r="J442" i="6"/>
  <c r="J441" i="6"/>
  <c r="J440" i="6"/>
  <c r="N439" i="6"/>
  <c r="J439" i="6"/>
  <c r="J438" i="6"/>
  <c r="J437" i="6"/>
  <c r="J436" i="6"/>
  <c r="N435" i="6"/>
  <c r="J435" i="6"/>
  <c r="J434" i="6"/>
  <c r="N433" i="6"/>
  <c r="J433" i="6"/>
  <c r="N432" i="6"/>
  <c r="J432" i="6"/>
  <c r="J431" i="6"/>
  <c r="J430" i="6"/>
  <c r="J429" i="6"/>
  <c r="J428" i="6"/>
  <c r="J427" i="6"/>
  <c r="J426" i="6"/>
  <c r="N425" i="6"/>
  <c r="J425" i="6"/>
  <c r="J424" i="6"/>
  <c r="J423" i="6"/>
  <c r="J422" i="6"/>
  <c r="J421" i="6"/>
  <c r="J420" i="6"/>
  <c r="J419" i="6"/>
  <c r="J418" i="6"/>
  <c r="J417" i="6"/>
  <c r="J416" i="6"/>
  <c r="J415" i="6"/>
  <c r="J414" i="6"/>
  <c r="J413" i="6"/>
  <c r="J412" i="6"/>
  <c r="J411" i="6"/>
  <c r="N410" i="6"/>
  <c r="J410" i="6"/>
  <c r="J409" i="6"/>
  <c r="J408" i="6"/>
  <c r="J407" i="6"/>
  <c r="J406" i="6"/>
  <c r="J405" i="6"/>
  <c r="J404" i="6"/>
  <c r="J403" i="6"/>
  <c r="J402" i="6"/>
  <c r="N401" i="6"/>
  <c r="J401" i="6"/>
  <c r="J400" i="6"/>
  <c r="J399" i="6"/>
  <c r="J398" i="6"/>
  <c r="N397" i="6"/>
  <c r="J397" i="6"/>
  <c r="N396" i="6"/>
  <c r="J396" i="6"/>
  <c r="J395" i="6"/>
  <c r="J394" i="6"/>
  <c r="J393" i="6"/>
  <c r="J392" i="6"/>
  <c r="J391" i="6"/>
  <c r="J390" i="6"/>
  <c r="N389" i="6"/>
  <c r="J389" i="6"/>
  <c r="J388" i="6"/>
  <c r="J387" i="6"/>
  <c r="J386" i="6"/>
  <c r="J385" i="6"/>
  <c r="N384" i="6"/>
  <c r="J384" i="6"/>
  <c r="J383" i="6"/>
  <c r="N382" i="6"/>
  <c r="J382" i="6"/>
  <c r="J381" i="6"/>
  <c r="J380" i="6"/>
  <c r="J379" i="6"/>
  <c r="J378" i="6"/>
  <c r="J377" i="6"/>
  <c r="J376" i="6"/>
  <c r="N375" i="6"/>
  <c r="J375" i="6"/>
  <c r="N374" i="6"/>
  <c r="J374" i="6"/>
  <c r="J373" i="6"/>
  <c r="N372" i="6"/>
  <c r="J372" i="6"/>
  <c r="J371" i="6"/>
  <c r="N370" i="6"/>
  <c r="J370" i="6"/>
  <c r="N369" i="6"/>
  <c r="J369" i="6"/>
  <c r="J368" i="6"/>
  <c r="J367" i="6"/>
  <c r="N366" i="6"/>
  <c r="J366" i="6"/>
  <c r="N365" i="6"/>
  <c r="J365" i="6"/>
  <c r="J364" i="6"/>
  <c r="J363" i="6"/>
  <c r="N362" i="6"/>
  <c r="J362" i="6"/>
  <c r="N361" i="6"/>
  <c r="J361" i="6"/>
  <c r="J360" i="6"/>
  <c r="N359" i="6"/>
  <c r="J359" i="6"/>
  <c r="J358" i="6"/>
  <c r="J357" i="6"/>
  <c r="J356" i="6"/>
  <c r="J355" i="6"/>
  <c r="N354" i="6"/>
  <c r="J354" i="6"/>
  <c r="N353" i="6"/>
  <c r="J353" i="6"/>
  <c r="J352" i="6"/>
  <c r="N351" i="6"/>
  <c r="J351" i="6"/>
  <c r="J350" i="6"/>
  <c r="N349" i="6"/>
  <c r="J349" i="6"/>
  <c r="J348" i="6"/>
  <c r="J347" i="6"/>
  <c r="J346" i="6"/>
  <c r="N345" i="6"/>
  <c r="J345" i="6"/>
  <c r="J344" i="6"/>
  <c r="N343" i="6"/>
  <c r="J343" i="6"/>
  <c r="N342" i="6"/>
  <c r="J342" i="6"/>
  <c r="N341" i="6"/>
  <c r="J341" i="6"/>
  <c r="N340" i="6"/>
  <c r="J340" i="6"/>
  <c r="J339" i="6"/>
  <c r="J338" i="6"/>
  <c r="J337" i="6"/>
  <c r="J336" i="6"/>
  <c r="N335" i="6"/>
  <c r="J335" i="6"/>
  <c r="N334" i="6"/>
  <c r="J334" i="6"/>
  <c r="N333" i="6"/>
  <c r="J333" i="6"/>
  <c r="J332" i="6"/>
  <c r="N331" i="6"/>
  <c r="J331" i="6"/>
  <c r="N330" i="6"/>
  <c r="J330" i="6"/>
  <c r="N329" i="6"/>
  <c r="J329" i="6"/>
  <c r="N328" i="6"/>
  <c r="J328" i="6"/>
  <c r="N327" i="6"/>
  <c r="J327" i="6"/>
  <c r="J326" i="6"/>
  <c r="J325" i="6"/>
  <c r="J324" i="6"/>
  <c r="N323" i="6"/>
  <c r="J323" i="6"/>
  <c r="J322" i="6"/>
  <c r="N321" i="6"/>
  <c r="J321" i="6"/>
  <c r="J320" i="6"/>
  <c r="J319" i="6"/>
  <c r="J318" i="6"/>
  <c r="N317" i="6"/>
  <c r="J317" i="6"/>
  <c r="J316" i="6"/>
  <c r="J315" i="6"/>
  <c r="N314" i="6"/>
  <c r="J314" i="6"/>
  <c r="N313" i="6"/>
  <c r="J313" i="6"/>
  <c r="J312" i="6"/>
  <c r="J311" i="6"/>
  <c r="N310" i="6"/>
  <c r="J310" i="6"/>
  <c r="J309" i="6"/>
  <c r="J308" i="6"/>
  <c r="J307" i="6"/>
  <c r="J306" i="6"/>
  <c r="J305" i="6"/>
  <c r="J304" i="6"/>
  <c r="J303" i="6"/>
  <c r="N302" i="6"/>
  <c r="J302" i="6"/>
  <c r="N301" i="6"/>
  <c r="J301" i="6"/>
  <c r="J300" i="6"/>
  <c r="N299" i="6"/>
  <c r="J299" i="6"/>
  <c r="N298" i="6"/>
  <c r="J298" i="6"/>
  <c r="J297" i="6"/>
  <c r="J296" i="6"/>
  <c r="J295" i="6"/>
  <c r="N294" i="6"/>
  <c r="J294" i="6"/>
  <c r="J293" i="6"/>
  <c r="J292" i="6"/>
  <c r="N291" i="6"/>
  <c r="J291" i="6"/>
  <c r="N290" i="6"/>
  <c r="J290" i="6"/>
  <c r="J289" i="6"/>
  <c r="J288" i="6"/>
  <c r="N287" i="6"/>
  <c r="J287" i="6"/>
  <c r="J286" i="6"/>
  <c r="J285" i="6"/>
  <c r="J284" i="6"/>
  <c r="N283" i="6"/>
  <c r="J283" i="6"/>
  <c r="J282" i="6"/>
  <c r="N281" i="6"/>
  <c r="J281" i="6"/>
  <c r="J280" i="6"/>
  <c r="N279" i="6"/>
  <c r="J279" i="6"/>
  <c r="J278" i="6"/>
  <c r="J277" i="6"/>
  <c r="N276" i="6"/>
  <c r="J276" i="6"/>
  <c r="N275" i="6"/>
  <c r="J275" i="6"/>
  <c r="J274" i="6"/>
  <c r="J273" i="6"/>
  <c r="J272" i="6"/>
  <c r="N271" i="6"/>
  <c r="J271" i="6"/>
  <c r="N270" i="6"/>
  <c r="J270" i="6"/>
  <c r="N269" i="6"/>
  <c r="J269" i="6"/>
  <c r="N268" i="6"/>
  <c r="J268" i="6"/>
  <c r="N267" i="6"/>
  <c r="J267" i="6"/>
  <c r="N266" i="6"/>
  <c r="J266" i="6"/>
  <c r="J265" i="6"/>
  <c r="N264" i="6"/>
  <c r="J264" i="6"/>
  <c r="N263" i="6"/>
  <c r="J263" i="6"/>
  <c r="N262" i="6"/>
  <c r="J262" i="6"/>
  <c r="N261" i="6"/>
  <c r="J261" i="6"/>
  <c r="N260" i="6"/>
  <c r="J260" i="6"/>
  <c r="N259" i="6"/>
  <c r="J259" i="6"/>
  <c r="J258" i="6"/>
  <c r="N257" i="6"/>
  <c r="J257" i="6"/>
  <c r="N256" i="6"/>
  <c r="J256" i="6"/>
  <c r="J255" i="6"/>
  <c r="J254" i="6"/>
  <c r="N253" i="6"/>
  <c r="J253" i="6"/>
  <c r="N252" i="6"/>
  <c r="J252" i="6"/>
  <c r="N251" i="6"/>
  <c r="J251" i="6"/>
  <c r="N250" i="6"/>
  <c r="J250" i="6"/>
  <c r="J249" i="6"/>
  <c r="N248" i="6"/>
  <c r="J248" i="6"/>
  <c r="J247" i="6"/>
  <c r="J246" i="6"/>
  <c r="N245" i="6"/>
  <c r="J245" i="6"/>
  <c r="N244" i="6"/>
  <c r="J244" i="6"/>
  <c r="J243" i="6"/>
  <c r="N242" i="6"/>
  <c r="J242" i="6"/>
  <c r="N241" i="6"/>
  <c r="J241" i="6"/>
  <c r="N240" i="6"/>
  <c r="J240" i="6"/>
  <c r="N239" i="6"/>
  <c r="J239" i="6"/>
  <c r="J238" i="6"/>
  <c r="N237" i="6"/>
  <c r="J237" i="6"/>
  <c r="N236" i="6"/>
  <c r="J236" i="6"/>
  <c r="N235" i="6"/>
  <c r="J235" i="6"/>
  <c r="J234" i="6"/>
  <c r="N233" i="6"/>
  <c r="J233" i="6"/>
  <c r="J232" i="6"/>
  <c r="J231" i="6"/>
  <c r="N230" i="6"/>
  <c r="J230" i="6"/>
  <c r="N229" i="6"/>
  <c r="J229" i="6"/>
  <c r="J228" i="6"/>
  <c r="J227" i="6"/>
  <c r="J226" i="6"/>
  <c r="J225" i="6"/>
  <c r="J224" i="6"/>
  <c r="J223" i="6"/>
  <c r="J222" i="6"/>
  <c r="J221" i="6"/>
  <c r="J220" i="6"/>
  <c r="J219" i="6"/>
  <c r="N218" i="6"/>
  <c r="J218" i="6"/>
  <c r="N217" i="6"/>
  <c r="J217" i="6"/>
  <c r="N216" i="6"/>
  <c r="J216" i="6"/>
  <c r="J215" i="6"/>
  <c r="N214" i="6"/>
  <c r="J214" i="6"/>
  <c r="N213" i="6"/>
  <c r="J213" i="6"/>
  <c r="N212" i="6"/>
  <c r="J212" i="6"/>
  <c r="J211" i="6"/>
  <c r="J210" i="6"/>
  <c r="N209" i="6"/>
  <c r="J209" i="6"/>
  <c r="J208" i="6"/>
  <c r="J207" i="6"/>
  <c r="N206" i="6"/>
  <c r="J206" i="6"/>
  <c r="N205" i="6"/>
  <c r="J205" i="6"/>
  <c r="J204" i="6"/>
  <c r="N203" i="6"/>
  <c r="J203" i="6"/>
  <c r="N202" i="6"/>
  <c r="J202" i="6"/>
  <c r="N201" i="6"/>
  <c r="J201" i="6"/>
  <c r="N200" i="6"/>
  <c r="J200" i="6"/>
  <c r="N199" i="6"/>
  <c r="J199" i="6"/>
  <c r="N198" i="6"/>
  <c r="J198" i="6"/>
  <c r="N197" i="6"/>
  <c r="J197" i="6"/>
  <c r="J196" i="6"/>
  <c r="N195" i="6"/>
  <c r="J195" i="6"/>
  <c r="N194" i="6"/>
  <c r="J194" i="6"/>
  <c r="N193" i="6"/>
  <c r="J193" i="6"/>
  <c r="N192" i="6"/>
  <c r="J192" i="6"/>
  <c r="J191" i="6"/>
  <c r="J190" i="6"/>
  <c r="J189" i="6"/>
  <c r="J188" i="6"/>
  <c r="J187" i="6"/>
  <c r="J186" i="6"/>
  <c r="J185" i="6"/>
  <c r="J184" i="6"/>
  <c r="N183" i="6"/>
  <c r="J183" i="6"/>
  <c r="N182" i="6"/>
  <c r="J182" i="6"/>
  <c r="N181" i="6"/>
  <c r="J181" i="6"/>
  <c r="N180" i="6"/>
  <c r="J180" i="6"/>
  <c r="J179" i="6"/>
  <c r="J178" i="6"/>
  <c r="J177" i="6"/>
  <c r="J176" i="6"/>
  <c r="J175" i="6"/>
  <c r="J174" i="6"/>
  <c r="J173" i="6"/>
  <c r="J172" i="6"/>
  <c r="J171" i="6"/>
  <c r="N170" i="6"/>
  <c r="J170" i="6"/>
  <c r="N169" i="6"/>
  <c r="J169" i="6"/>
  <c r="J168" i="6"/>
  <c r="J167" i="6"/>
  <c r="N166" i="6"/>
  <c r="J166" i="6"/>
  <c r="N165" i="6"/>
  <c r="J165" i="6"/>
  <c r="N164" i="6"/>
  <c r="J164" i="6"/>
  <c r="J163" i="6"/>
  <c r="N162" i="6"/>
  <c r="J162" i="6"/>
  <c r="N161" i="6"/>
  <c r="J161" i="6"/>
  <c r="N160" i="6"/>
  <c r="J160" i="6"/>
  <c r="J159" i="6"/>
  <c r="N158" i="6"/>
  <c r="J158" i="6"/>
  <c r="N157" i="6"/>
  <c r="J157" i="6"/>
  <c r="J156" i="6"/>
  <c r="J155" i="6"/>
  <c r="N154" i="6"/>
  <c r="J154" i="6"/>
  <c r="N153" i="6"/>
  <c r="J153" i="6"/>
  <c r="J152" i="6"/>
  <c r="N151" i="6"/>
  <c r="J151" i="6"/>
  <c r="J150" i="6"/>
  <c r="N149" i="6"/>
  <c r="J149" i="6"/>
  <c r="J148" i="6"/>
  <c r="J147" i="6"/>
  <c r="J146" i="6"/>
  <c r="N145" i="6"/>
  <c r="J145" i="6"/>
  <c r="N144" i="6"/>
  <c r="J144" i="6"/>
  <c r="N143" i="6"/>
  <c r="J143" i="6"/>
  <c r="J142" i="6"/>
  <c r="J141" i="6"/>
  <c r="N140" i="6"/>
  <c r="J140" i="6"/>
  <c r="J139" i="6"/>
  <c r="N138" i="6"/>
  <c r="J138" i="6"/>
  <c r="J137" i="6"/>
  <c r="J136" i="6"/>
  <c r="N135" i="6"/>
  <c r="J135" i="6"/>
  <c r="N134" i="6"/>
  <c r="J134" i="6"/>
  <c r="N133" i="6"/>
  <c r="J133" i="6"/>
  <c r="N132" i="6"/>
  <c r="J132" i="6"/>
  <c r="N131" i="6"/>
  <c r="J131" i="6"/>
  <c r="N130" i="6"/>
  <c r="J130" i="6"/>
  <c r="N129" i="6"/>
  <c r="J129" i="6"/>
  <c r="J128" i="6"/>
  <c r="N127" i="6"/>
  <c r="J127" i="6"/>
  <c r="J126" i="6"/>
  <c r="N125" i="6"/>
  <c r="J125" i="6"/>
  <c r="J124" i="6"/>
  <c r="N123" i="6"/>
  <c r="J123" i="6"/>
  <c r="N122" i="6"/>
  <c r="J122" i="6"/>
  <c r="J121" i="6"/>
  <c r="N120" i="6"/>
  <c r="J120" i="6"/>
  <c r="J119" i="6"/>
  <c r="J118" i="6"/>
  <c r="N117" i="6"/>
  <c r="J117" i="6"/>
  <c r="J116" i="6"/>
  <c r="J115" i="6"/>
  <c r="N114" i="6"/>
  <c r="J114" i="6"/>
  <c r="J113" i="6"/>
  <c r="N112" i="6"/>
  <c r="J112" i="6"/>
  <c r="N111" i="6"/>
  <c r="J111" i="6"/>
  <c r="J110" i="6"/>
  <c r="N109" i="6"/>
  <c r="J109" i="6"/>
  <c r="J108" i="6"/>
  <c r="J107" i="6"/>
  <c r="J106" i="6"/>
  <c r="N105" i="6"/>
  <c r="J105" i="6"/>
  <c r="N104" i="6"/>
  <c r="J104" i="6"/>
  <c r="N103" i="6"/>
  <c r="J103" i="6"/>
  <c r="N102" i="6"/>
  <c r="J102" i="6"/>
  <c r="J101" i="6"/>
  <c r="N100" i="6"/>
  <c r="J100" i="6"/>
  <c r="N99" i="6"/>
  <c r="J99" i="6"/>
  <c r="J98" i="6"/>
  <c r="N97" i="6"/>
  <c r="J97" i="6"/>
  <c r="J96" i="6"/>
  <c r="J95" i="6"/>
  <c r="N94" i="6"/>
  <c r="J94" i="6"/>
  <c r="N93" i="6"/>
  <c r="J93" i="6"/>
  <c r="J92" i="6"/>
  <c r="N91" i="6"/>
  <c r="J91" i="6"/>
  <c r="J90" i="6"/>
  <c r="N89" i="6"/>
  <c r="J89" i="6"/>
  <c r="N88" i="6"/>
  <c r="J88" i="6"/>
  <c r="J87" i="6"/>
  <c r="J86" i="6"/>
  <c r="N85" i="6"/>
  <c r="J85" i="6"/>
  <c r="N84" i="6"/>
  <c r="J84" i="6"/>
  <c r="J83" i="6"/>
  <c r="N82" i="6"/>
  <c r="J82" i="6"/>
  <c r="N81" i="6"/>
  <c r="J81" i="6"/>
  <c r="J80" i="6"/>
  <c r="J79" i="6"/>
  <c r="J78" i="6"/>
  <c r="J77" i="6"/>
  <c r="J76" i="6"/>
  <c r="N75" i="6"/>
  <c r="J75" i="6"/>
  <c r="N74" i="6"/>
  <c r="J74" i="6"/>
  <c r="N73" i="6"/>
  <c r="J73" i="6"/>
  <c r="N72" i="6"/>
  <c r="J72" i="6"/>
  <c r="J71" i="6"/>
  <c r="N70" i="6"/>
  <c r="J70" i="6"/>
  <c r="J69" i="6"/>
  <c r="J68" i="6"/>
  <c r="N67" i="6"/>
  <c r="J67" i="6"/>
  <c r="J66" i="6"/>
  <c r="N65" i="6"/>
  <c r="J65" i="6"/>
  <c r="N64" i="6"/>
  <c r="J64" i="6"/>
  <c r="N63" i="6"/>
  <c r="J63" i="6"/>
  <c r="N62" i="6"/>
  <c r="J62" i="6"/>
  <c r="N61" i="6"/>
  <c r="J61" i="6"/>
  <c r="J60" i="6"/>
  <c r="J59" i="6"/>
  <c r="J58" i="6"/>
  <c r="J57" i="6"/>
  <c r="J56" i="6"/>
  <c r="N55" i="6"/>
  <c r="J55" i="6"/>
  <c r="J54" i="6"/>
  <c r="J53" i="6"/>
  <c r="J52" i="6"/>
  <c r="N51" i="6"/>
  <c r="J51" i="6"/>
  <c r="J50" i="6"/>
  <c r="N49" i="6"/>
  <c r="J49" i="6"/>
  <c r="J48" i="6"/>
  <c r="N47" i="6"/>
  <c r="J47" i="6"/>
  <c r="N46" i="6"/>
  <c r="J46" i="6"/>
  <c r="J45" i="6"/>
  <c r="J44" i="6"/>
  <c r="J43" i="6"/>
  <c r="J42" i="6"/>
  <c r="J41" i="6"/>
  <c r="J40" i="6"/>
  <c r="N39" i="6"/>
  <c r="J39" i="6"/>
  <c r="J38" i="6"/>
  <c r="N37" i="6"/>
  <c r="J37" i="6"/>
  <c r="J36" i="6"/>
  <c r="J35" i="6"/>
  <c r="N34" i="6"/>
  <c r="J34" i="6"/>
  <c r="N33" i="6"/>
  <c r="J33" i="6"/>
  <c r="J32" i="6"/>
  <c r="J31" i="6"/>
  <c r="J30" i="6"/>
  <c r="J29" i="6"/>
  <c r="J28" i="6"/>
  <c r="J27" i="6"/>
  <c r="J26" i="6"/>
  <c r="J25" i="6"/>
  <c r="N24" i="6"/>
  <c r="J24" i="6"/>
  <c r="N23" i="6"/>
  <c r="J23" i="6"/>
  <c r="N22" i="6"/>
  <c r="J22" i="6"/>
  <c r="J21" i="6"/>
  <c r="J20" i="6"/>
  <c r="N19" i="6"/>
  <c r="J19" i="6"/>
  <c r="J18" i="6"/>
  <c r="J17" i="6"/>
  <c r="J16" i="6"/>
  <c r="J15" i="6"/>
  <c r="J14" i="6"/>
  <c r="J13" i="6"/>
  <c r="J12" i="6"/>
  <c r="J11" i="6"/>
  <c r="J10" i="6"/>
  <c r="N9" i="6"/>
  <c r="J9" i="6"/>
  <c r="J8" i="6"/>
  <c r="J7" i="6"/>
  <c r="J6" i="6"/>
  <c r="J5" i="6"/>
  <c r="J4" i="6"/>
  <c r="J3" i="6"/>
  <c r="A82" i="11"/>
  <c r="A76" i="11"/>
  <c r="A74" i="11"/>
  <c r="A69" i="11"/>
  <c r="A66" i="11"/>
  <c r="A63" i="11"/>
  <c r="A58" i="11"/>
  <c r="A56" i="11"/>
  <c r="A48" i="11"/>
  <c r="A39" i="11"/>
  <c r="A27" i="11"/>
  <c r="A17" i="11"/>
  <c r="A10" i="11"/>
  <c r="A2" i="11"/>
  <c r="B10766" i="9"/>
  <c r="B10761" i="9"/>
  <c r="B10754" i="9"/>
  <c r="B10751" i="9"/>
  <c r="B10738" i="9"/>
  <c r="B10724" i="9"/>
  <c r="B10710" i="9"/>
  <c r="B10705" i="9"/>
  <c r="B10695" i="9"/>
  <c r="B10691" i="9"/>
  <c r="B10686" i="9"/>
  <c r="B10680" i="9"/>
  <c r="B10674" i="9"/>
  <c r="B10671" i="9"/>
  <c r="B10667" i="9"/>
  <c r="B10665" i="9"/>
  <c r="B10663" i="9"/>
  <c r="B10660" i="9"/>
  <c r="B10647" i="9"/>
  <c r="B10643" i="9"/>
  <c r="B10629" i="9"/>
  <c r="B10621" i="9"/>
  <c r="B10502" i="9"/>
  <c r="B10493" i="9"/>
  <c r="B10483" i="9"/>
  <c r="B10476" i="9"/>
  <c r="B10467" i="9"/>
  <c r="B10462" i="9"/>
  <c r="B10458" i="9"/>
  <c r="B10453" i="9"/>
  <c r="B10449" i="9"/>
  <c r="B10441" i="9"/>
  <c r="B10435" i="9"/>
  <c r="B10413" i="9"/>
  <c r="B10409" i="9"/>
  <c r="B10404" i="9"/>
  <c r="B10390" i="9"/>
  <c r="B10386" i="9"/>
  <c r="B10377" i="9"/>
  <c r="B10374" i="9"/>
  <c r="B10371" i="9"/>
  <c r="B10355" i="9"/>
  <c r="B10352" i="9"/>
  <c r="B10337" i="9"/>
  <c r="B10335" i="9"/>
  <c r="B10324" i="9"/>
  <c r="B10321" i="9"/>
  <c r="B10314" i="9"/>
  <c r="B10311" i="9"/>
  <c r="B10176" i="9"/>
  <c r="B10171" i="9"/>
  <c r="B10167" i="9"/>
  <c r="B10159" i="9"/>
  <c r="B10152" i="9"/>
  <c r="B10148" i="9"/>
  <c r="B10141" i="9"/>
  <c r="B10134" i="9"/>
  <c r="B10124" i="9"/>
  <c r="B10063" i="9"/>
  <c r="B10034" i="9"/>
  <c r="B10025" i="9"/>
  <c r="B10002" i="9"/>
  <c r="B9998" i="9"/>
  <c r="B9995" i="9"/>
  <c r="B9990" i="9"/>
  <c r="B9987" i="9"/>
  <c r="B9982" i="9"/>
  <c r="B9980" i="9"/>
  <c r="B9977" i="9"/>
  <c r="B9971" i="9"/>
  <c r="B9946" i="9"/>
  <c r="B9942" i="9"/>
  <c r="B9932" i="9"/>
  <c r="B9905" i="9"/>
  <c r="B9903" i="9"/>
  <c r="B9893" i="9"/>
  <c r="B9886" i="9"/>
  <c r="B9883" i="9"/>
  <c r="B9879" i="9"/>
  <c r="B9866" i="9"/>
  <c r="B9844" i="9"/>
  <c r="B9830" i="9"/>
  <c r="B9811" i="9"/>
  <c r="B9774" i="9"/>
  <c r="B9767" i="9"/>
  <c r="B9760" i="9"/>
  <c r="B9758" i="9"/>
  <c r="B9752" i="9"/>
  <c r="B9743" i="9"/>
  <c r="B9726" i="9"/>
  <c r="B9722" i="9"/>
  <c r="B9711" i="9"/>
  <c r="B9625" i="9"/>
  <c r="B9613" i="9"/>
  <c r="B9534" i="9"/>
  <c r="B9532" i="9"/>
  <c r="B9529" i="9"/>
  <c r="B9526" i="9"/>
  <c r="B9514" i="9"/>
  <c r="B9501" i="9"/>
  <c r="B9499" i="9"/>
  <c r="B9497" i="9"/>
  <c r="B9495" i="9"/>
  <c r="B9143" i="9"/>
  <c r="B9132" i="9"/>
  <c r="B9129" i="9"/>
  <c r="B9107" i="9"/>
  <c r="B9097" i="9"/>
  <c r="B9094" i="9"/>
  <c r="B9091" i="9"/>
  <c r="B9078" i="9"/>
  <c r="B8957" i="9"/>
  <c r="B8955" i="9"/>
  <c r="B8950" i="9"/>
  <c r="B8947" i="9"/>
  <c r="B8944" i="9"/>
  <c r="B8912" i="9"/>
  <c r="B8779" i="9"/>
  <c r="B8769" i="9"/>
  <c r="B8754" i="9"/>
  <c r="B8752" i="9"/>
  <c r="B8747" i="9"/>
  <c r="B8737" i="9"/>
  <c r="B8723" i="9"/>
  <c r="B8718" i="9"/>
  <c r="B8712" i="9"/>
  <c r="B8708" i="9"/>
  <c r="B8703" i="9"/>
  <c r="B8695" i="9"/>
  <c r="B8538" i="9"/>
  <c r="B8483" i="9"/>
  <c r="B8473" i="9"/>
  <c r="B8468" i="9"/>
  <c r="B8465" i="9"/>
  <c r="B8419" i="9"/>
  <c r="B8416" i="9"/>
  <c r="B8412" i="9"/>
  <c r="B8406" i="9"/>
  <c r="B8227" i="9"/>
  <c r="B8209" i="9"/>
  <c r="B8199" i="9"/>
  <c r="B8178" i="9"/>
  <c r="B8146" i="9"/>
  <c r="B8114" i="9"/>
  <c r="B8105" i="9"/>
  <c r="B8102" i="9"/>
  <c r="B8099" i="9"/>
  <c r="B8094" i="9"/>
  <c r="B8092" i="9"/>
  <c r="B8082" i="9"/>
  <c r="B8079" i="9"/>
  <c r="B8061" i="9"/>
  <c r="B8056" i="9"/>
  <c r="B8052" i="9"/>
  <c r="B8048" i="9"/>
  <c r="B8044" i="9"/>
  <c r="B8036" i="9"/>
  <c r="B8021" i="9"/>
  <c r="B8016" i="9"/>
  <c r="B8011" i="9"/>
  <c r="B7962" i="9"/>
  <c r="B7960" i="9"/>
  <c r="B7937" i="9"/>
  <c r="B7930" i="9"/>
  <c r="B7843" i="9"/>
  <c r="B7832" i="9"/>
  <c r="B7827" i="9"/>
  <c r="B7810" i="9"/>
  <c r="B7806" i="9"/>
  <c r="B7798" i="9"/>
  <c r="B7795" i="9"/>
  <c r="B7793" i="9"/>
  <c r="B7784" i="9"/>
  <c r="B7765" i="9"/>
  <c r="B7760" i="9"/>
  <c r="B7757" i="9"/>
  <c r="B7755" i="9"/>
  <c r="B7739" i="9"/>
  <c r="B7734" i="9"/>
  <c r="B7729" i="9"/>
  <c r="B7686" i="9"/>
  <c r="B7675" i="9"/>
  <c r="B7665" i="9"/>
  <c r="B7593" i="9"/>
  <c r="B7589" i="9"/>
  <c r="B7584" i="9"/>
  <c r="B7573" i="9"/>
  <c r="B7566" i="9"/>
  <c r="B7564" i="9"/>
  <c r="B7415" i="9"/>
  <c r="B7397" i="9"/>
  <c r="B7391" i="9"/>
  <c r="B7386" i="9"/>
  <c r="B7364" i="9"/>
  <c r="B7349" i="9"/>
  <c r="B7334" i="9"/>
  <c r="B7280" i="9"/>
  <c r="B7277" i="9"/>
  <c r="B7272" i="9"/>
  <c r="B7270" i="9"/>
  <c r="B7261" i="9"/>
  <c r="B7258" i="9"/>
  <c r="B7145" i="9"/>
  <c r="B7138" i="9"/>
  <c r="B7132" i="9"/>
  <c r="B7121" i="9"/>
  <c r="B7118" i="9"/>
  <c r="B7114" i="9"/>
  <c r="B7111" i="9"/>
  <c r="B7096" i="9"/>
  <c r="B7089" i="9"/>
  <c r="B7084" i="9"/>
  <c r="B7081" i="9"/>
  <c r="B7076" i="9"/>
  <c r="B7064" i="9"/>
  <c r="B7058" i="9"/>
  <c r="B7053" i="9"/>
  <c r="B7044" i="9"/>
  <c r="B7034" i="9"/>
  <c r="B7029" i="9"/>
  <c r="B7012" i="9"/>
  <c r="B7004" i="9"/>
  <c r="B6998" i="9"/>
  <c r="B6994" i="9"/>
  <c r="B6837" i="9"/>
  <c r="B6835" i="9"/>
  <c r="B6831" i="9"/>
  <c r="B6805" i="9"/>
  <c r="B6801" i="9"/>
  <c r="B6783" i="9"/>
  <c r="B6778" i="9"/>
  <c r="B6775" i="9"/>
  <c r="B6768" i="9"/>
  <c r="B6763" i="9"/>
  <c r="B6755" i="9"/>
  <c r="B6746" i="9"/>
  <c r="B6737" i="9"/>
  <c r="B6699" i="9"/>
  <c r="B6692" i="9"/>
  <c r="B6683" i="9"/>
  <c r="B6680" i="9"/>
  <c r="B6676" i="9"/>
  <c r="B6672" i="9"/>
  <c r="B6664" i="9"/>
  <c r="B6658" i="9"/>
  <c r="B6655" i="9"/>
  <c r="B6651" i="9"/>
  <c r="B6648" i="9"/>
  <c r="B6642" i="9"/>
  <c r="B6638" i="9"/>
  <c r="B6634" i="9"/>
  <c r="B6632" i="9"/>
  <c r="B6630" i="9"/>
  <c r="B6617" i="9"/>
  <c r="B6590" i="9"/>
  <c r="B6588" i="9"/>
  <c r="B6586" i="9"/>
  <c r="B6574" i="9"/>
  <c r="B6565" i="9"/>
  <c r="B6563" i="9"/>
  <c r="B6559" i="9"/>
  <c r="B6546" i="9"/>
  <c r="B6542" i="9"/>
  <c r="B6536" i="9"/>
  <c r="B6533" i="9"/>
  <c r="B6528" i="9"/>
  <c r="B6525" i="9"/>
  <c r="B6523" i="9"/>
  <c r="B6516" i="9"/>
  <c r="B6513" i="9"/>
  <c r="B6509" i="9"/>
  <c r="B6506" i="9"/>
  <c r="B6486" i="9"/>
  <c r="B6482" i="9"/>
  <c r="B6478" i="9"/>
  <c r="B6400" i="9"/>
  <c r="B6394" i="9"/>
  <c r="B6381" i="9"/>
  <c r="B6355" i="9"/>
  <c r="B6350" i="9"/>
  <c r="B6322" i="9"/>
  <c r="B6318" i="9"/>
  <c r="B6302" i="9"/>
  <c r="B6292" i="9"/>
  <c r="B6282" i="9"/>
  <c r="B6274" i="9"/>
  <c r="B6261" i="9"/>
  <c r="B6258" i="9"/>
  <c r="B6235" i="9"/>
  <c r="B6232" i="9"/>
  <c r="B6228" i="9"/>
  <c r="B6225" i="9"/>
  <c r="B6220" i="9"/>
  <c r="B6216" i="9"/>
  <c r="B6211" i="9"/>
  <c r="B6203" i="9"/>
  <c r="B6200" i="9"/>
  <c r="B6198" i="9"/>
  <c r="B6186" i="9"/>
  <c r="B6161" i="9"/>
  <c r="B6157" i="9"/>
  <c r="B6155" i="9"/>
  <c r="B6143" i="9"/>
  <c r="B6140" i="9"/>
  <c r="B6136" i="9"/>
  <c r="B6132" i="9"/>
  <c r="B6118" i="9"/>
  <c r="B6115" i="9"/>
  <c r="B6107" i="9"/>
  <c r="B6100" i="9"/>
  <c r="B6098" i="9"/>
  <c r="B6095" i="9"/>
  <c r="B6093" i="9"/>
  <c r="B6088" i="9"/>
  <c r="B6082" i="9"/>
  <c r="B6075" i="9"/>
  <c r="B6072" i="9"/>
  <c r="B6068" i="9"/>
  <c r="B6064" i="9"/>
  <c r="B6056" i="9"/>
  <c r="B6053" i="9"/>
  <c r="B6046" i="9"/>
  <c r="B6031" i="9"/>
  <c r="B6027" i="9"/>
  <c r="B6025" i="9"/>
  <c r="B6021" i="9"/>
  <c r="B6011" i="9"/>
  <c r="B6005" i="9"/>
  <c r="B6003" i="9"/>
  <c r="B5803" i="9"/>
  <c r="B5780" i="9"/>
  <c r="B5775" i="9"/>
  <c r="B5749" i="9"/>
  <c r="B5733" i="9"/>
  <c r="B5729" i="9"/>
  <c r="B5726" i="9"/>
  <c r="B5722" i="9"/>
  <c r="B5718" i="9"/>
  <c r="B5707" i="9"/>
  <c r="B5702" i="9"/>
  <c r="B5693" i="9"/>
  <c r="B5668" i="9"/>
  <c r="B5659" i="9"/>
  <c r="B5629" i="9"/>
  <c r="B5620" i="9"/>
  <c r="B5539" i="9"/>
  <c r="B5533" i="9"/>
  <c r="B5514" i="9"/>
  <c r="B5505" i="9"/>
  <c r="B5491" i="9"/>
  <c r="B5449" i="9"/>
  <c r="B5441" i="9"/>
  <c r="B5438" i="9"/>
  <c r="B5423" i="9"/>
  <c r="B5421" i="9"/>
  <c r="B5413" i="9"/>
  <c r="B5410" i="9"/>
  <c r="B5407" i="9"/>
  <c r="B5403" i="9"/>
  <c r="B5375" i="9"/>
  <c r="B5371" i="9"/>
  <c r="B5368" i="9"/>
  <c r="B5365" i="9"/>
  <c r="B5332" i="9"/>
  <c r="B5327" i="9"/>
  <c r="B5325" i="9"/>
  <c r="B5301" i="9"/>
  <c r="B5296" i="9"/>
  <c r="B5293" i="9"/>
  <c r="B5285" i="9"/>
  <c r="B5283" i="9"/>
  <c r="B5280" i="9"/>
  <c r="B5277" i="9"/>
  <c r="B5270" i="9"/>
  <c r="B5268" i="9"/>
  <c r="B5212" i="9"/>
  <c r="B5208" i="9"/>
  <c r="B5202" i="9"/>
  <c r="B5164" i="9"/>
  <c r="B5161" i="9"/>
  <c r="B5152" i="9"/>
  <c r="B4980" i="9"/>
  <c r="B4972" i="9"/>
  <c r="B4970" i="9"/>
  <c r="B4961" i="9"/>
  <c r="B4955" i="9"/>
  <c r="B4936" i="9"/>
  <c r="B4933" i="9"/>
  <c r="B4924" i="9"/>
  <c r="B4910" i="9"/>
  <c r="B4903" i="9"/>
  <c r="B4899" i="9"/>
  <c r="B4897" i="9"/>
  <c r="B4885" i="9"/>
  <c r="B4872" i="9"/>
  <c r="B4868" i="9"/>
  <c r="B4864" i="9"/>
  <c r="B4842" i="9"/>
  <c r="B4834" i="9"/>
  <c r="B4809" i="9"/>
  <c r="B4787" i="9"/>
  <c r="B4784" i="9"/>
  <c r="B4780" i="9"/>
  <c r="B4773" i="9"/>
  <c r="B4766" i="9"/>
  <c r="B4765" i="9"/>
  <c r="B4759" i="9"/>
  <c r="B4754" i="9"/>
  <c r="B4743" i="9"/>
  <c r="B4730" i="9"/>
  <c r="B4708" i="9"/>
  <c r="B4704" i="9"/>
  <c r="B4702" i="9"/>
  <c r="B4694" i="9"/>
  <c r="B4684" i="9"/>
  <c r="B4681" i="9"/>
  <c r="B4678" i="9"/>
  <c r="B4666" i="9"/>
  <c r="B4664" i="9"/>
  <c r="B4650" i="9"/>
  <c r="B4647" i="9"/>
  <c r="B4636" i="9"/>
  <c r="B4629" i="9"/>
  <c r="B4615" i="9"/>
  <c r="B4610" i="9"/>
  <c r="B4606" i="9"/>
  <c r="B4602" i="9"/>
  <c r="B4587" i="9"/>
  <c r="B4585" i="9"/>
  <c r="B4580" i="9"/>
  <c r="B4563" i="9"/>
  <c r="B4550" i="9"/>
  <c r="B4544" i="9"/>
  <c r="B4534" i="9"/>
  <c r="B4522" i="9"/>
  <c r="B4516" i="9"/>
  <c r="B4506" i="9"/>
  <c r="B4502" i="9"/>
  <c r="B4482" i="9"/>
  <c r="B4472" i="9"/>
  <c r="B4159" i="9"/>
  <c r="B4150" i="9"/>
  <c r="B4146" i="9"/>
  <c r="B4117" i="9"/>
  <c r="B4111" i="9"/>
  <c r="B4101" i="9"/>
  <c r="B4097" i="9"/>
  <c r="B4095" i="9"/>
  <c r="B4089" i="9"/>
  <c r="B4074" i="9"/>
  <c r="B4071" i="9"/>
  <c r="B4059" i="9"/>
  <c r="B4052" i="9"/>
  <c r="B4044" i="9"/>
  <c r="B4038" i="9"/>
  <c r="B4031" i="9"/>
  <c r="B4026" i="9"/>
  <c r="B4013" i="9"/>
  <c r="B4009" i="9"/>
  <c r="B4004" i="9"/>
  <c r="B4000" i="9"/>
  <c r="B3997" i="9"/>
  <c r="B3988" i="9"/>
  <c r="B3985" i="9"/>
  <c r="B3982" i="9"/>
  <c r="B3973" i="9"/>
  <c r="B3968" i="9"/>
  <c r="B3963" i="9"/>
  <c r="B3658" i="9"/>
  <c r="B3654" i="9"/>
  <c r="B3646" i="9"/>
  <c r="B3642" i="9"/>
  <c r="B3610" i="9"/>
  <c r="B3596" i="9"/>
  <c r="B3594" i="9"/>
  <c r="B3543" i="9"/>
  <c r="B3534" i="9"/>
  <c r="B3530" i="9"/>
  <c r="B3527" i="9"/>
  <c r="B3496" i="9"/>
  <c r="B3492" i="9"/>
  <c r="B3483" i="9"/>
  <c r="B3473" i="9"/>
  <c r="B3447" i="9"/>
  <c r="B3431" i="9"/>
  <c r="B3421" i="9"/>
  <c r="B3417" i="9"/>
  <c r="B3411" i="9"/>
  <c r="B3405" i="9"/>
  <c r="B3400" i="9"/>
  <c r="B3396" i="9"/>
  <c r="B3387" i="9"/>
  <c r="B3381" i="9"/>
  <c r="B3375" i="9"/>
  <c r="B3369" i="9"/>
  <c r="B3367" i="9"/>
  <c r="B3360" i="9"/>
  <c r="B3352" i="9"/>
  <c r="B3349" i="9"/>
  <c r="B3345" i="9"/>
  <c r="B3337" i="9"/>
  <c r="B3329" i="9"/>
  <c r="B3315" i="9"/>
  <c r="B3309" i="9"/>
  <c r="B3307" i="9"/>
  <c r="B3302" i="9"/>
  <c r="B3298" i="9"/>
  <c r="B3295" i="9"/>
  <c r="B3292" i="9"/>
  <c r="B3289" i="9"/>
  <c r="B3286" i="9"/>
  <c r="B2934" i="9"/>
  <c r="B2926" i="9"/>
  <c r="B2907" i="9"/>
  <c r="B2904" i="9"/>
  <c r="B2899" i="9"/>
  <c r="B2895" i="9"/>
  <c r="B2889" i="9"/>
  <c r="B2886" i="9"/>
  <c r="B2884" i="9"/>
  <c r="B2878" i="9"/>
  <c r="B2875" i="9"/>
  <c r="B2868" i="9"/>
  <c r="B2862" i="9"/>
  <c r="B2857" i="9"/>
  <c r="B2855" i="9"/>
  <c r="B2847" i="9"/>
  <c r="B2844" i="9"/>
  <c r="B2840" i="9"/>
  <c r="B2826" i="9"/>
  <c r="B2817" i="9"/>
  <c r="B2810" i="9"/>
  <c r="B2800" i="9"/>
  <c r="B2796" i="9"/>
  <c r="B2643" i="9"/>
  <c r="B2639" i="9"/>
  <c r="B2634" i="9"/>
  <c r="B2629" i="9"/>
  <c r="B2625" i="9"/>
  <c r="B2621" i="9"/>
  <c r="B2615" i="9"/>
  <c r="B2609" i="9"/>
  <c r="B2602" i="9"/>
  <c r="B2580" i="9"/>
  <c r="B2575" i="9"/>
  <c r="B2573" i="9"/>
  <c r="B2568" i="9"/>
  <c r="B2560" i="9"/>
  <c r="B2554" i="9"/>
  <c r="B2551" i="9"/>
  <c r="B2549" i="9"/>
  <c r="B2541" i="9"/>
  <c r="B2537" i="9"/>
  <c r="B2533" i="9"/>
  <c r="B2522" i="9"/>
  <c r="B2513" i="9"/>
  <c r="B2506" i="9"/>
  <c r="B2493" i="9"/>
  <c r="B2481" i="9"/>
  <c r="B2475" i="9"/>
  <c r="B2459" i="9"/>
  <c r="B2452" i="9"/>
  <c r="B2450" i="9"/>
  <c r="B2437" i="9"/>
  <c r="B2430" i="9"/>
  <c r="B2396" i="9"/>
  <c r="B2384" i="9"/>
  <c r="B2323" i="9"/>
  <c r="B2315" i="9"/>
  <c r="B2310" i="9"/>
  <c r="B2305" i="9"/>
  <c r="B2298" i="9"/>
  <c r="B2292" i="9"/>
  <c r="B2290" i="9"/>
  <c r="B2276" i="9"/>
  <c r="B2269" i="9"/>
  <c r="B2255" i="9"/>
  <c r="B2252" i="9"/>
  <c r="B2230" i="9"/>
  <c r="B2227" i="9"/>
  <c r="B2221" i="9"/>
  <c r="B2124" i="9"/>
  <c r="B2115" i="9"/>
  <c r="B2106" i="9"/>
  <c r="B2103" i="9"/>
  <c r="B2086" i="9"/>
  <c r="B2080" i="9"/>
  <c r="B2077" i="9"/>
  <c r="B2058" i="9"/>
  <c r="B2050" i="9"/>
  <c r="B2048" i="9"/>
  <c r="B2045" i="9"/>
  <c r="B2038" i="9"/>
  <c r="B2033" i="9"/>
  <c r="B2029" i="9"/>
  <c r="B1998" i="9"/>
  <c r="B1991" i="9"/>
  <c r="B1975" i="9"/>
  <c r="B1972" i="9"/>
  <c r="B1958" i="9"/>
  <c r="B1954" i="9"/>
  <c r="B1949" i="9"/>
  <c r="B1947" i="9"/>
  <c r="B1928" i="9"/>
  <c r="B1902" i="9"/>
  <c r="B1899" i="9"/>
  <c r="B1895" i="9"/>
  <c r="B1890" i="9"/>
  <c r="B1874" i="9"/>
  <c r="B1863" i="9"/>
  <c r="B1860" i="9"/>
  <c r="B1855" i="9"/>
  <c r="B1843" i="9"/>
  <c r="B1839" i="9"/>
  <c r="B1836" i="9"/>
  <c r="B1829" i="9"/>
  <c r="B1821" i="9"/>
  <c r="B1803" i="9"/>
  <c r="B1795" i="9"/>
  <c r="B1788" i="9"/>
  <c r="B1756" i="9"/>
  <c r="B1718" i="9"/>
  <c r="B1700" i="9"/>
  <c r="B1678" i="9"/>
  <c r="B1675" i="9"/>
  <c r="B1672" i="9"/>
  <c r="B1654" i="9"/>
  <c r="B1580" i="9"/>
  <c r="B1577" i="9"/>
  <c r="B1572" i="9"/>
  <c r="B1552" i="9"/>
  <c r="B1532" i="9"/>
  <c r="B1528" i="9"/>
  <c r="B1524" i="9"/>
  <c r="B1517" i="9"/>
  <c r="B1502" i="9"/>
  <c r="B1494" i="9"/>
  <c r="B1460" i="9"/>
  <c r="B1457" i="9"/>
  <c r="B1454" i="9"/>
  <c r="B1450" i="9"/>
  <c r="B1432" i="9"/>
  <c r="B1429" i="9"/>
  <c r="B1416" i="9"/>
  <c r="B1410" i="9"/>
  <c r="B1403" i="9"/>
  <c r="B1397" i="9"/>
  <c r="B1360" i="9"/>
  <c r="B1357" i="9"/>
  <c r="B1350" i="9"/>
  <c r="B1292" i="9"/>
  <c r="B1277" i="9"/>
  <c r="B1273" i="9"/>
  <c r="B1271" i="9"/>
  <c r="B1265" i="9"/>
  <c r="B1260" i="9"/>
  <c r="B1252" i="9"/>
  <c r="B1249" i="9"/>
  <c r="B1246" i="9"/>
  <c r="B1239" i="9"/>
  <c r="B1233" i="9"/>
  <c r="B1225" i="9"/>
  <c r="B1222" i="9"/>
  <c r="B1215" i="9"/>
  <c r="B1206" i="9"/>
  <c r="B1197" i="9"/>
  <c r="B1192" i="9"/>
  <c r="B1177" i="9"/>
  <c r="B1174" i="9"/>
  <c r="B1171" i="9"/>
  <c r="B1163" i="9"/>
  <c r="B1153" i="9"/>
  <c r="B1143" i="9"/>
  <c r="B1134" i="9"/>
  <c r="B1124" i="9"/>
  <c r="B1119" i="9"/>
  <c r="B1082" i="9"/>
  <c r="B1077" i="9"/>
  <c r="B1060" i="9"/>
  <c r="B1057" i="9"/>
  <c r="B1053" i="9"/>
  <c r="B963" i="9"/>
  <c r="B952" i="9"/>
  <c r="B942" i="9"/>
  <c r="B921" i="9"/>
  <c r="B917" i="9"/>
  <c r="B908" i="9"/>
  <c r="B900" i="9"/>
  <c r="B879" i="9"/>
  <c r="B874" i="9"/>
  <c r="B867" i="9"/>
  <c r="B844" i="9"/>
  <c r="B831" i="9"/>
  <c r="B829" i="9"/>
  <c r="B806" i="9"/>
  <c r="B454" i="9"/>
  <c r="B102" i="9"/>
  <c r="B96" i="9"/>
  <c r="B88" i="9"/>
  <c r="B79" i="9"/>
  <c r="B70" i="9"/>
  <c r="B68" i="9"/>
  <c r="B55" i="9"/>
  <c r="B48" i="9"/>
  <c r="B25" i="9"/>
  <c r="B2" i="9"/>
  <c r="K10770" i="9"/>
  <c r="A10770" i="9" s="1"/>
  <c r="K10769" i="9"/>
  <c r="A10769" i="9" s="1"/>
  <c r="K10768" i="9"/>
  <c r="A10768" i="9" s="1"/>
  <c r="K10767" i="9"/>
  <c r="A10767" i="9" s="1"/>
  <c r="K10766" i="9"/>
  <c r="A10766" i="9" s="1"/>
  <c r="K10765" i="9"/>
  <c r="A10765" i="9" s="1"/>
  <c r="K10764" i="9"/>
  <c r="A10764" i="9" s="1"/>
  <c r="A10763" i="9"/>
  <c r="K10763" i="9"/>
  <c r="K10762" i="9"/>
  <c r="A10762" i="9" s="1"/>
  <c r="K10761" i="9"/>
  <c r="A10761" i="9" s="1"/>
  <c r="K10760" i="9"/>
  <c r="A10760" i="9" s="1"/>
  <c r="K10758" i="9"/>
  <c r="A10758" i="9" s="1"/>
  <c r="K10759" i="9"/>
  <c r="A10759" i="9" s="1"/>
  <c r="K10757" i="9"/>
  <c r="A10757" i="9" s="1"/>
  <c r="K10756" i="9"/>
  <c r="A10756" i="9" s="1"/>
  <c r="K10755" i="9"/>
  <c r="A10755" i="9" s="1"/>
  <c r="K10754" i="9"/>
  <c r="A10754" i="9" s="1"/>
  <c r="K10752" i="9"/>
  <c r="A10752" i="9" s="1"/>
  <c r="K10753" i="9"/>
  <c r="A10753" i="9" s="1"/>
  <c r="K10751" i="9"/>
  <c r="A10751" i="9" s="1"/>
  <c r="K10750" i="9"/>
  <c r="A10750" i="9" s="1"/>
  <c r="K10749" i="9"/>
  <c r="A10749" i="9" s="1"/>
  <c r="K10748" i="9"/>
  <c r="A10748" i="9" s="1"/>
  <c r="A10747" i="9"/>
  <c r="K10747" i="9"/>
  <c r="K10746" i="9"/>
  <c r="A10746" i="9" s="1"/>
  <c r="K10745" i="9"/>
  <c r="A10745" i="9" s="1"/>
  <c r="K10744" i="9"/>
  <c r="A10744" i="9" s="1"/>
  <c r="K10743" i="9"/>
  <c r="A10743" i="9" s="1"/>
  <c r="K10742" i="9"/>
  <c r="A10742" i="9" s="1"/>
  <c r="K10741" i="9"/>
  <c r="A10741" i="9" s="1"/>
  <c r="K10740" i="9"/>
  <c r="A10740" i="9" s="1"/>
  <c r="K10739" i="9"/>
  <c r="A10739" i="9" s="1"/>
  <c r="K10738" i="9"/>
  <c r="A10738" i="9" s="1"/>
  <c r="K10737" i="9"/>
  <c r="A10737" i="9" s="1"/>
  <c r="K10736" i="9"/>
  <c r="A10736" i="9" s="1"/>
  <c r="K10735" i="9"/>
  <c r="A10735" i="9" s="1"/>
  <c r="K10734" i="9"/>
  <c r="A10734" i="9" s="1"/>
  <c r="K10733" i="9"/>
  <c r="A10733" i="9" s="1"/>
  <c r="K10732" i="9"/>
  <c r="A10732" i="9" s="1"/>
  <c r="A10731" i="9"/>
  <c r="K10731" i="9"/>
  <c r="K10730" i="9"/>
  <c r="A10730" i="9" s="1"/>
  <c r="K10729" i="9"/>
  <c r="A10729" i="9" s="1"/>
  <c r="K10728" i="9"/>
  <c r="A10728" i="9" s="1"/>
  <c r="K10727" i="9"/>
  <c r="A10727" i="9" s="1"/>
  <c r="K10726" i="9"/>
  <c r="A10726" i="9" s="1"/>
  <c r="K10725" i="9"/>
  <c r="A10725" i="9" s="1"/>
  <c r="K10724" i="9"/>
  <c r="A10724" i="9" s="1"/>
  <c r="K10723" i="9"/>
  <c r="A10723" i="9" s="1"/>
  <c r="K10722" i="9"/>
  <c r="A10722" i="9" s="1"/>
  <c r="A10721" i="9"/>
  <c r="K10721" i="9"/>
  <c r="K10720" i="9"/>
  <c r="A10720" i="9" s="1"/>
  <c r="K10719" i="9"/>
  <c r="A10719" i="9" s="1"/>
  <c r="K10718" i="9"/>
  <c r="A10718" i="9" s="1"/>
  <c r="K10717" i="9"/>
  <c r="A10717" i="9" s="1"/>
  <c r="K10716" i="9"/>
  <c r="A10716" i="9" s="1"/>
  <c r="K10715" i="9"/>
  <c r="A10715" i="9" s="1"/>
  <c r="K10714" i="9"/>
  <c r="A10714" i="9" s="1"/>
  <c r="K10713" i="9"/>
  <c r="A10713" i="9" s="1"/>
  <c r="K10712" i="9"/>
  <c r="A10712" i="9" s="1"/>
  <c r="K10711" i="9"/>
  <c r="A10711" i="9" s="1"/>
  <c r="K10710" i="9"/>
  <c r="A10710" i="9" s="1"/>
  <c r="K10709" i="9"/>
  <c r="A10709" i="9" s="1"/>
  <c r="K10708" i="9"/>
  <c r="A10708" i="9" s="1"/>
  <c r="A10707" i="9"/>
  <c r="K10707" i="9"/>
  <c r="K10706" i="9"/>
  <c r="A10706" i="9" s="1"/>
  <c r="K10705" i="9"/>
  <c r="A10705" i="9" s="1"/>
  <c r="K10704" i="9"/>
  <c r="A10704" i="9" s="1"/>
  <c r="K10703" i="9"/>
  <c r="A10703" i="9" s="1"/>
  <c r="K10702" i="9"/>
  <c r="A10702" i="9" s="1"/>
  <c r="K10701" i="9"/>
  <c r="A10701" i="9" s="1"/>
  <c r="K10700" i="9"/>
  <c r="A10700" i="9" s="1"/>
  <c r="K10699" i="9"/>
  <c r="A10699" i="9" s="1"/>
  <c r="K10698" i="9"/>
  <c r="A10698" i="9" s="1"/>
  <c r="K10697" i="9"/>
  <c r="A10697" i="9" s="1"/>
  <c r="K10696" i="9"/>
  <c r="A10696" i="9" s="1"/>
  <c r="K10695" i="9"/>
  <c r="A10695" i="9" s="1"/>
  <c r="K10694" i="9"/>
  <c r="A10694" i="9" s="1"/>
  <c r="K10693" i="9"/>
  <c r="A10693" i="9" s="1"/>
  <c r="K10692" i="9"/>
  <c r="A10692" i="9" s="1"/>
  <c r="A10691" i="9"/>
  <c r="K10691" i="9"/>
  <c r="K10690" i="9"/>
  <c r="A10690" i="9" s="1"/>
  <c r="K10689" i="9"/>
  <c r="A10689" i="9" s="1"/>
  <c r="K10688" i="9"/>
  <c r="A10688" i="9" s="1"/>
  <c r="K10687" i="9"/>
  <c r="A10687" i="9" s="1"/>
  <c r="K10686" i="9"/>
  <c r="A10686" i="9" s="1"/>
  <c r="K10685" i="9"/>
  <c r="A10685" i="9" s="1"/>
  <c r="K10684" i="9"/>
  <c r="A10684" i="9" s="1"/>
  <c r="K10683" i="9"/>
  <c r="A10683" i="9" s="1"/>
  <c r="K10682" i="9"/>
  <c r="A10682" i="9" s="1"/>
  <c r="K10681" i="9"/>
  <c r="A10681" i="9" s="1"/>
  <c r="K10680" i="9"/>
  <c r="A10680" i="9" s="1"/>
  <c r="K10679" i="9"/>
  <c r="A10679" i="9" s="1"/>
  <c r="K10678" i="9"/>
  <c r="A10678" i="9" s="1"/>
  <c r="K10677" i="9"/>
  <c r="A10677" i="9" s="1"/>
  <c r="K10676" i="9"/>
  <c r="A10676" i="9" s="1"/>
  <c r="A10675" i="9"/>
  <c r="K10675" i="9"/>
  <c r="K10674" i="9"/>
  <c r="A10674" i="9" s="1"/>
  <c r="K10673" i="9"/>
  <c r="A10673" i="9" s="1"/>
  <c r="K10672" i="9"/>
  <c r="A10672" i="9" s="1"/>
  <c r="K10671" i="9"/>
  <c r="A10671" i="9" s="1"/>
  <c r="K10670" i="9"/>
  <c r="A10670" i="9" s="1"/>
  <c r="K10669" i="9"/>
  <c r="A10669" i="9" s="1"/>
  <c r="K10668" i="9"/>
  <c r="A10668" i="9" s="1"/>
  <c r="K10667" i="9"/>
  <c r="A10667" i="9" s="1"/>
  <c r="K10666" i="9"/>
  <c r="A10666" i="9" s="1"/>
  <c r="K10665" i="9"/>
  <c r="A10665" i="9" s="1"/>
  <c r="K10664" i="9"/>
  <c r="A10664" i="9" s="1"/>
  <c r="K10663" i="9"/>
  <c r="A10663" i="9" s="1"/>
  <c r="K10662" i="9"/>
  <c r="A10662" i="9" s="1"/>
  <c r="K10661" i="9"/>
  <c r="A10661" i="9" s="1"/>
  <c r="K10660" i="9"/>
  <c r="A10660" i="9" s="1"/>
  <c r="A10659" i="9"/>
  <c r="K10659" i="9"/>
  <c r="K10658" i="9"/>
  <c r="A10658" i="9" s="1"/>
  <c r="K10657" i="9"/>
  <c r="A10657" i="9" s="1"/>
  <c r="K10656" i="9"/>
  <c r="A10656" i="9" s="1"/>
  <c r="K10655" i="9"/>
  <c r="A10655" i="9" s="1"/>
  <c r="K10654" i="9"/>
  <c r="A10654" i="9" s="1"/>
  <c r="K10652" i="9"/>
  <c r="A10652" i="9" s="1"/>
  <c r="K10650" i="9"/>
  <c r="A10650" i="9" s="1"/>
  <c r="A10649" i="9"/>
  <c r="K10649" i="9"/>
  <c r="K10651" i="9"/>
  <c r="A10651" i="9" s="1"/>
  <c r="K10648" i="9"/>
  <c r="A10648" i="9" s="1"/>
  <c r="K10653" i="9"/>
  <c r="A10653" i="9" s="1"/>
  <c r="K10647" i="9"/>
  <c r="A10647" i="9" s="1"/>
  <c r="K10646" i="9"/>
  <c r="A10646" i="9" s="1"/>
  <c r="K10645" i="9"/>
  <c r="A10645" i="9" s="1"/>
  <c r="K10644" i="9"/>
  <c r="A10644" i="9" s="1"/>
  <c r="K10643" i="9"/>
  <c r="A10643" i="9" s="1"/>
  <c r="K10642" i="9"/>
  <c r="A10642" i="9" s="1"/>
  <c r="K10641" i="9"/>
  <c r="A10641" i="9" s="1"/>
  <c r="K10640" i="9"/>
  <c r="A10640" i="9" s="1"/>
  <c r="K10639" i="9"/>
  <c r="A10639" i="9" s="1"/>
  <c r="K10638" i="9"/>
  <c r="A10638" i="9" s="1"/>
  <c r="K10637" i="9"/>
  <c r="A10637" i="9" s="1"/>
  <c r="K10636" i="9"/>
  <c r="A10636" i="9" s="1"/>
  <c r="A10635" i="9"/>
  <c r="K10635" i="9"/>
  <c r="K10634" i="9"/>
  <c r="A10634" i="9" s="1"/>
  <c r="K10633" i="9"/>
  <c r="A10633" i="9" s="1"/>
  <c r="K10632" i="9"/>
  <c r="A10632" i="9" s="1"/>
  <c r="K10631" i="9"/>
  <c r="A10631" i="9" s="1"/>
  <c r="K10630" i="9"/>
  <c r="A10630" i="9" s="1"/>
  <c r="K10629" i="9"/>
  <c r="A10629" i="9" s="1"/>
  <c r="K10628" i="9"/>
  <c r="A10628" i="9" s="1"/>
  <c r="A10627" i="9"/>
  <c r="K10627" i="9"/>
  <c r="K10626" i="9"/>
  <c r="A10626" i="9" s="1"/>
  <c r="K10625" i="9"/>
  <c r="A10625" i="9" s="1"/>
  <c r="K10624" i="9"/>
  <c r="A10624" i="9" s="1"/>
  <c r="K10623" i="9"/>
  <c r="A10623" i="9" s="1"/>
  <c r="K10622" i="9"/>
  <c r="A10622" i="9" s="1"/>
  <c r="K10621" i="9"/>
  <c r="A10621" i="9" s="1"/>
  <c r="K10620" i="9"/>
  <c r="A10620" i="9" s="1"/>
  <c r="A10619" i="9"/>
  <c r="K10619" i="9"/>
  <c r="K10618" i="9"/>
  <c r="A10618" i="9" s="1"/>
  <c r="K10617" i="9"/>
  <c r="A10617" i="9" s="1"/>
  <c r="K10616" i="9"/>
  <c r="A10616" i="9" s="1"/>
  <c r="K10615" i="9"/>
  <c r="A10615" i="9" s="1"/>
  <c r="K10614" i="9"/>
  <c r="A10614" i="9" s="1"/>
  <c r="K10613" i="9"/>
  <c r="A10613" i="9" s="1"/>
  <c r="K10612" i="9"/>
  <c r="A10612" i="9" s="1"/>
  <c r="K10611" i="9"/>
  <c r="A10611" i="9" s="1"/>
  <c r="K10610" i="9"/>
  <c r="A10610" i="9" s="1"/>
  <c r="K10609" i="9"/>
  <c r="A10609" i="9" s="1"/>
  <c r="K10608" i="9"/>
  <c r="A10608" i="9" s="1"/>
  <c r="K10607" i="9"/>
  <c r="A10607" i="9" s="1"/>
  <c r="K10606" i="9"/>
  <c r="A10606" i="9" s="1"/>
  <c r="K10605" i="9"/>
  <c r="A10605" i="9" s="1"/>
  <c r="K10604" i="9"/>
  <c r="A10604" i="9" s="1"/>
  <c r="A10603" i="9"/>
  <c r="K10603" i="9"/>
  <c r="K10601" i="9"/>
  <c r="A10601" i="9" s="1"/>
  <c r="K10602" i="9"/>
  <c r="A10602" i="9" s="1"/>
  <c r="K10600" i="9"/>
  <c r="A10600" i="9" s="1"/>
  <c r="K10599" i="9"/>
  <c r="A10599" i="9" s="1"/>
  <c r="K10598" i="9"/>
  <c r="A10598" i="9" s="1"/>
  <c r="K10596" i="9"/>
  <c r="A10596" i="9" s="1"/>
  <c r="K10597" i="9"/>
  <c r="A10597" i="9" s="1"/>
  <c r="K10595" i="9"/>
  <c r="A10595" i="9" s="1"/>
  <c r="K10594" i="9"/>
  <c r="A10594" i="9" s="1"/>
  <c r="K10593" i="9"/>
  <c r="A10593" i="9" s="1"/>
  <c r="K10592" i="9"/>
  <c r="A10592" i="9" s="1"/>
  <c r="A10591" i="9"/>
  <c r="K10591" i="9"/>
  <c r="K10590" i="9"/>
  <c r="A10590" i="9" s="1"/>
  <c r="K10589" i="9"/>
  <c r="A10589" i="9" s="1"/>
  <c r="K10588" i="9"/>
  <c r="A10588" i="9" s="1"/>
  <c r="K10587" i="9"/>
  <c r="A10587" i="9" s="1"/>
  <c r="K10586" i="9"/>
  <c r="A10586" i="9" s="1"/>
  <c r="K10585" i="9"/>
  <c r="A10585" i="9" s="1"/>
  <c r="K10584" i="9"/>
  <c r="A10584" i="9" s="1"/>
  <c r="A10583" i="9"/>
  <c r="K10583" i="9"/>
  <c r="K10582" i="9"/>
  <c r="A10582" i="9" s="1"/>
  <c r="K10581" i="9"/>
  <c r="A10581" i="9" s="1"/>
  <c r="K10580" i="9"/>
  <c r="A10580" i="9" s="1"/>
  <c r="K10579" i="9"/>
  <c r="A10579" i="9" s="1"/>
  <c r="K10578" i="9"/>
  <c r="A10578" i="9" s="1"/>
  <c r="K10577" i="9"/>
  <c r="A10577" i="9" s="1"/>
  <c r="K10576" i="9"/>
  <c r="A10576" i="9" s="1"/>
  <c r="K10575" i="9"/>
  <c r="A10575" i="9" s="1"/>
  <c r="K10574" i="9"/>
  <c r="A10574" i="9" s="1"/>
  <c r="A10573" i="9"/>
  <c r="K10573" i="9"/>
  <c r="K10572" i="9"/>
  <c r="A10572" i="9" s="1"/>
  <c r="K10571" i="9"/>
  <c r="A10571" i="9" s="1"/>
  <c r="K10570" i="9"/>
  <c r="A10570" i="9" s="1"/>
  <c r="K10569" i="9"/>
  <c r="A10569" i="9" s="1"/>
  <c r="K10568" i="9"/>
  <c r="A10568" i="9" s="1"/>
  <c r="K10567" i="9"/>
  <c r="A10567" i="9" s="1"/>
  <c r="K10566" i="9"/>
  <c r="A10566" i="9" s="1"/>
  <c r="K10565" i="9"/>
  <c r="A10565" i="9" s="1"/>
  <c r="K10564" i="9"/>
  <c r="A10564" i="9" s="1"/>
  <c r="K10563" i="9"/>
  <c r="A10563" i="9" s="1"/>
  <c r="K10562" i="9"/>
  <c r="A10562" i="9" s="1"/>
  <c r="K10561" i="9"/>
  <c r="A10561" i="9" s="1"/>
  <c r="K10560" i="9"/>
  <c r="A10560" i="9" s="1"/>
  <c r="A10559" i="9"/>
  <c r="K10559" i="9"/>
  <c r="K10558" i="9"/>
  <c r="A10558" i="9" s="1"/>
  <c r="K10557" i="9"/>
  <c r="A10557" i="9" s="1"/>
  <c r="K10556" i="9"/>
  <c r="A10556" i="9" s="1"/>
  <c r="K10555" i="9"/>
  <c r="A10555" i="9" s="1"/>
  <c r="K10554" i="9"/>
  <c r="A10554" i="9" s="1"/>
  <c r="K10553" i="9"/>
  <c r="A10553" i="9" s="1"/>
  <c r="K10552" i="9"/>
  <c r="A10552" i="9" s="1"/>
  <c r="A10551" i="9"/>
  <c r="K10551" i="9"/>
  <c r="K10550" i="9"/>
  <c r="A10550" i="9" s="1"/>
  <c r="K10549" i="9"/>
  <c r="A10549" i="9" s="1"/>
  <c r="K10548" i="9"/>
  <c r="A10548" i="9" s="1"/>
  <c r="K10547" i="9"/>
  <c r="A10547" i="9" s="1"/>
  <c r="K10546" i="9"/>
  <c r="A10546" i="9" s="1"/>
  <c r="K10545" i="9"/>
  <c r="A10545" i="9" s="1"/>
  <c r="K10544" i="9"/>
  <c r="A10544" i="9" s="1"/>
  <c r="K10543" i="9"/>
  <c r="A10543" i="9" s="1"/>
  <c r="K10542" i="9"/>
  <c r="A10542" i="9" s="1"/>
  <c r="A10541" i="9"/>
  <c r="K10541" i="9"/>
  <c r="K10540" i="9"/>
  <c r="A10540" i="9" s="1"/>
  <c r="K10539" i="9"/>
  <c r="A10539" i="9" s="1"/>
  <c r="K10538" i="9"/>
  <c r="A10538" i="9" s="1"/>
  <c r="K10537" i="9"/>
  <c r="A10537" i="9" s="1"/>
  <c r="K10536" i="9"/>
  <c r="A10536" i="9" s="1"/>
  <c r="K10535" i="9"/>
  <c r="A10535" i="9" s="1"/>
  <c r="K10534" i="9"/>
  <c r="A10534" i="9" s="1"/>
  <c r="K10533" i="9"/>
  <c r="A10533" i="9" s="1"/>
  <c r="K10532" i="9"/>
  <c r="A10532" i="9" s="1"/>
  <c r="K10531" i="9"/>
  <c r="A10531" i="9" s="1"/>
  <c r="K10530" i="9"/>
  <c r="A10530" i="9" s="1"/>
  <c r="K10529" i="9"/>
  <c r="A10529" i="9" s="1"/>
  <c r="K10528" i="9"/>
  <c r="A10528" i="9" s="1"/>
  <c r="A10527" i="9"/>
  <c r="K10527" i="9"/>
  <c r="K10526" i="9"/>
  <c r="A10526" i="9" s="1"/>
  <c r="K10525" i="9"/>
  <c r="A10525" i="9" s="1"/>
  <c r="K10524" i="9"/>
  <c r="A10524" i="9" s="1"/>
  <c r="K10523" i="9"/>
  <c r="A10523" i="9" s="1"/>
  <c r="K10522" i="9"/>
  <c r="A10522" i="9" s="1"/>
  <c r="K10521" i="9"/>
  <c r="A10521" i="9" s="1"/>
  <c r="K10520" i="9"/>
  <c r="A10520" i="9" s="1"/>
  <c r="A10519" i="9"/>
  <c r="K10519" i="9"/>
  <c r="K10518" i="9"/>
  <c r="A10518" i="9" s="1"/>
  <c r="K10517" i="9"/>
  <c r="A10517" i="9" s="1"/>
  <c r="K10516" i="9"/>
  <c r="A10516" i="9" s="1"/>
  <c r="K10515" i="9"/>
  <c r="A10515" i="9" s="1"/>
  <c r="K10514" i="9"/>
  <c r="A10514" i="9" s="1"/>
  <c r="K10513" i="9"/>
  <c r="A10513" i="9" s="1"/>
  <c r="K10512" i="9"/>
  <c r="A10512" i="9" s="1"/>
  <c r="K10511" i="9"/>
  <c r="A10511" i="9" s="1"/>
  <c r="K10510" i="9"/>
  <c r="A10510" i="9" s="1"/>
  <c r="A10509" i="9"/>
  <c r="K10509" i="9"/>
  <c r="K10508" i="9"/>
  <c r="A10508" i="9" s="1"/>
  <c r="K10507" i="9"/>
  <c r="A10507" i="9" s="1"/>
  <c r="K10506" i="9"/>
  <c r="A10506" i="9" s="1"/>
  <c r="K10505" i="9"/>
  <c r="A10505" i="9" s="1"/>
  <c r="K10504" i="9"/>
  <c r="A10504" i="9" s="1"/>
  <c r="K10503" i="9"/>
  <c r="A10503" i="9" s="1"/>
  <c r="K10502" i="9"/>
  <c r="A10502" i="9" s="1"/>
  <c r="K10501" i="9"/>
  <c r="A10501" i="9" s="1"/>
  <c r="K10500" i="9"/>
  <c r="A10500" i="9" s="1"/>
  <c r="K10499" i="9"/>
  <c r="A10499" i="9" s="1"/>
  <c r="K10497" i="9"/>
  <c r="A10497" i="9" s="1"/>
  <c r="K10498" i="9"/>
  <c r="A10498" i="9" s="1"/>
  <c r="K10496" i="9"/>
  <c r="A10496" i="9" s="1"/>
  <c r="A10494" i="9"/>
  <c r="K10494" i="9"/>
  <c r="K10495" i="9"/>
  <c r="A10495" i="9" s="1"/>
  <c r="K10493" i="9"/>
  <c r="A10493" i="9" s="1"/>
  <c r="K10492" i="9"/>
  <c r="A10492" i="9" s="1"/>
  <c r="K10491" i="9"/>
  <c r="A10491" i="9" s="1"/>
  <c r="K10490" i="9"/>
  <c r="A10490" i="9" s="1"/>
  <c r="K10489" i="9"/>
  <c r="A10489" i="9" s="1"/>
  <c r="K10488" i="9"/>
  <c r="A10488" i="9" s="1"/>
  <c r="A10487" i="9"/>
  <c r="K10487" i="9"/>
  <c r="K10486" i="9"/>
  <c r="A10486" i="9" s="1"/>
  <c r="K10485" i="9"/>
  <c r="A10485" i="9" s="1"/>
  <c r="K10484" i="9"/>
  <c r="A10484" i="9" s="1"/>
  <c r="K10483" i="9"/>
  <c r="A10483" i="9" s="1"/>
  <c r="K10482" i="9"/>
  <c r="A10482" i="9" s="1"/>
  <c r="K10481" i="9"/>
  <c r="A10481" i="9" s="1"/>
  <c r="K10480" i="9"/>
  <c r="A10480" i="9" s="1"/>
  <c r="K10479" i="9"/>
  <c r="A10479" i="9" s="1"/>
  <c r="K10478" i="9"/>
  <c r="A10478" i="9" s="1"/>
  <c r="K10477" i="9"/>
  <c r="A10477" i="9" s="1"/>
  <c r="K10476" i="9"/>
  <c r="A10476" i="9" s="1"/>
  <c r="A10475" i="9"/>
  <c r="K10475" i="9"/>
  <c r="K10474" i="9"/>
  <c r="A10474" i="9" s="1"/>
  <c r="K10473" i="9"/>
  <c r="A10473" i="9" s="1"/>
  <c r="A10472" i="9"/>
  <c r="K10472" i="9"/>
  <c r="K10471" i="9"/>
  <c r="A10471" i="9" s="1"/>
  <c r="K10470" i="9"/>
  <c r="A10470" i="9" s="1"/>
  <c r="K10469" i="9"/>
  <c r="A10469" i="9" s="1"/>
  <c r="K10468" i="9"/>
  <c r="A10468" i="9" s="1"/>
  <c r="K10467" i="9"/>
  <c r="A10467" i="9" s="1"/>
  <c r="K10466" i="9"/>
  <c r="A10466" i="9" s="1"/>
  <c r="K10465" i="9"/>
  <c r="A10465" i="9" s="1"/>
  <c r="K10464" i="9"/>
  <c r="A10464" i="9" s="1"/>
  <c r="K10463" i="9"/>
  <c r="A10463" i="9" s="1"/>
  <c r="K10462" i="9"/>
  <c r="A10462" i="9" s="1"/>
  <c r="K10461" i="9"/>
  <c r="A10461" i="9" s="1"/>
  <c r="K10460" i="9"/>
  <c r="A10460" i="9" s="1"/>
  <c r="K10459" i="9"/>
  <c r="A10459" i="9" s="1"/>
  <c r="K10458" i="9"/>
  <c r="A10458" i="9" s="1"/>
  <c r="K10457" i="9"/>
  <c r="A10457" i="9" s="1"/>
  <c r="A10456" i="9"/>
  <c r="K10456" i="9"/>
  <c r="K10455" i="9"/>
  <c r="A10455" i="9" s="1"/>
  <c r="K10454" i="9"/>
  <c r="A10454" i="9" s="1"/>
  <c r="K10453" i="9"/>
  <c r="A10453" i="9" s="1"/>
  <c r="K10452" i="9"/>
  <c r="A10452" i="9" s="1"/>
  <c r="K10451" i="9"/>
  <c r="A10451" i="9" s="1"/>
  <c r="K10450" i="9"/>
  <c r="A10450" i="9" s="1"/>
  <c r="K10449" i="9"/>
  <c r="A10449" i="9" s="1"/>
  <c r="K10448" i="9"/>
  <c r="A10448" i="9" s="1"/>
  <c r="K10447" i="9"/>
  <c r="A10447" i="9" s="1"/>
  <c r="K10446" i="9"/>
  <c r="A10446" i="9" s="1"/>
  <c r="K10445" i="9"/>
  <c r="A10445" i="9" s="1"/>
  <c r="K10444" i="9"/>
  <c r="A10444" i="9" s="1"/>
  <c r="K10443" i="9"/>
  <c r="A10443" i="9" s="1"/>
  <c r="K10442" i="9"/>
  <c r="A10442" i="9" s="1"/>
  <c r="K10441" i="9"/>
  <c r="A10441" i="9" s="1"/>
  <c r="A10440" i="9"/>
  <c r="K10440" i="9"/>
  <c r="K10439" i="9"/>
  <c r="A10439" i="9" s="1"/>
  <c r="K10438" i="9"/>
  <c r="A10438" i="9" s="1"/>
  <c r="K10437" i="9"/>
  <c r="A10437" i="9" s="1"/>
  <c r="K10436" i="9"/>
  <c r="A10436" i="9" s="1"/>
  <c r="K10435" i="9"/>
  <c r="A10435" i="9" s="1"/>
  <c r="K10423" i="9"/>
  <c r="A10423" i="9" s="1"/>
  <c r="K10434" i="9"/>
  <c r="A10434" i="9" s="1"/>
  <c r="A10422" i="9"/>
  <c r="K10422" i="9"/>
  <c r="K10433" i="9"/>
  <c r="A10433" i="9" s="1"/>
  <c r="K10421" i="9"/>
  <c r="A10421" i="9" s="1"/>
  <c r="K10431" i="9"/>
  <c r="A10431" i="9" s="1"/>
  <c r="K10419" i="9"/>
  <c r="A10419" i="9" s="1"/>
  <c r="K10432" i="9"/>
  <c r="A10432" i="9" s="1"/>
  <c r="K10420" i="9"/>
  <c r="A10420" i="9" s="1"/>
  <c r="K10430" i="9"/>
  <c r="A10430" i="9" s="1"/>
  <c r="K10418" i="9"/>
  <c r="A10418" i="9" s="1"/>
  <c r="K10429" i="9"/>
  <c r="A10429" i="9" s="1"/>
  <c r="A10417" i="9"/>
  <c r="K10417" i="9"/>
  <c r="K10427" i="9"/>
  <c r="A10427" i="9" s="1"/>
  <c r="K10415" i="9"/>
  <c r="A10415" i="9" s="1"/>
  <c r="K10426" i="9"/>
  <c r="A10426" i="9" s="1"/>
  <c r="K10414" i="9"/>
  <c r="A10414" i="9" s="1"/>
  <c r="K10428" i="9"/>
  <c r="A10428" i="9" s="1"/>
  <c r="K10416" i="9"/>
  <c r="A10416" i="9" s="1"/>
  <c r="K10425" i="9"/>
  <c r="A10425" i="9" s="1"/>
  <c r="K10413" i="9"/>
  <c r="A10413" i="9" s="1"/>
  <c r="K10424" i="9"/>
  <c r="A10424" i="9" s="1"/>
  <c r="K10412" i="9"/>
  <c r="A10412" i="9" s="1"/>
  <c r="K10411" i="9"/>
  <c r="A10411" i="9" s="1"/>
  <c r="K10410" i="9"/>
  <c r="A10410" i="9" s="1"/>
  <c r="K10409" i="9"/>
  <c r="A10409" i="9" s="1"/>
  <c r="A10408" i="9"/>
  <c r="K10408" i="9"/>
  <c r="K10407" i="9"/>
  <c r="A10407" i="9" s="1"/>
  <c r="K10406" i="9"/>
  <c r="A10406" i="9" s="1"/>
  <c r="K10405" i="9"/>
  <c r="A10405" i="9" s="1"/>
  <c r="K10404" i="9"/>
  <c r="A10404" i="9" s="1"/>
  <c r="K10403" i="9"/>
  <c r="A10403" i="9" s="1"/>
  <c r="K10402" i="9"/>
  <c r="A10402" i="9" s="1"/>
  <c r="K10401" i="9"/>
  <c r="A10401" i="9" s="1"/>
  <c r="K10400" i="9"/>
  <c r="A10400" i="9" s="1"/>
  <c r="K10399" i="9"/>
  <c r="A10399" i="9" s="1"/>
  <c r="K10398" i="9"/>
  <c r="A10398" i="9" s="1"/>
  <c r="K10397" i="9"/>
  <c r="A10397" i="9" s="1"/>
  <c r="K10396" i="9"/>
  <c r="A10396" i="9" s="1"/>
  <c r="K10395" i="9"/>
  <c r="A10395" i="9" s="1"/>
  <c r="K10394" i="9"/>
  <c r="A10394" i="9" s="1"/>
  <c r="K10393" i="9"/>
  <c r="A10393" i="9" s="1"/>
  <c r="A10392" i="9"/>
  <c r="K10392" i="9"/>
  <c r="K10391" i="9"/>
  <c r="A10391" i="9" s="1"/>
  <c r="K10390" i="9"/>
  <c r="A10390" i="9" s="1"/>
  <c r="K10389" i="9"/>
  <c r="A10389" i="9" s="1"/>
  <c r="K10388" i="9"/>
  <c r="A10388" i="9" s="1"/>
  <c r="K10387" i="9"/>
  <c r="A10387" i="9" s="1"/>
  <c r="K10386" i="9"/>
  <c r="A10386" i="9" s="1"/>
  <c r="K10385" i="9"/>
  <c r="A10385" i="9" s="1"/>
  <c r="K10384" i="9"/>
  <c r="A10384" i="9" s="1"/>
  <c r="K10383" i="9"/>
  <c r="A10383" i="9" s="1"/>
  <c r="K10382" i="9"/>
  <c r="A10382" i="9" s="1"/>
  <c r="K10381" i="9"/>
  <c r="A10381" i="9" s="1"/>
  <c r="K10380" i="9"/>
  <c r="A10380" i="9" s="1"/>
  <c r="K10379" i="9"/>
  <c r="A10379" i="9" s="1"/>
  <c r="K10378" i="9"/>
  <c r="A10378" i="9" s="1"/>
  <c r="K10377" i="9"/>
  <c r="A10377" i="9" s="1"/>
  <c r="A10376" i="9"/>
  <c r="K10376" i="9"/>
  <c r="K10375" i="9"/>
  <c r="A10375" i="9" s="1"/>
  <c r="K10374" i="9"/>
  <c r="A10374" i="9" s="1"/>
  <c r="K10373" i="9"/>
  <c r="A10373" i="9" s="1"/>
  <c r="K10372" i="9"/>
  <c r="A10372" i="9" s="1"/>
  <c r="K10371" i="9"/>
  <c r="A10371" i="9" s="1"/>
  <c r="K10370" i="9"/>
  <c r="A10370" i="9" s="1"/>
  <c r="K10369" i="9"/>
  <c r="A10369" i="9" s="1"/>
  <c r="A10368" i="9"/>
  <c r="K10368" i="9"/>
  <c r="K10367" i="9"/>
  <c r="A10367" i="9" s="1"/>
  <c r="K10366" i="9"/>
  <c r="A10366" i="9" s="1"/>
  <c r="K10365" i="9"/>
  <c r="A10365" i="9" s="1"/>
  <c r="K10364" i="9"/>
  <c r="A10364" i="9" s="1"/>
  <c r="K10363" i="9"/>
  <c r="A10363" i="9" s="1"/>
  <c r="K10362" i="9"/>
  <c r="A10362" i="9" s="1"/>
  <c r="K10361" i="9"/>
  <c r="A10361" i="9" s="1"/>
  <c r="K10360" i="9"/>
  <c r="A10360" i="9" s="1"/>
  <c r="K10359" i="9"/>
  <c r="A10359" i="9" s="1"/>
  <c r="K10358" i="9"/>
  <c r="A10358" i="9" s="1"/>
  <c r="K10357" i="9"/>
  <c r="A10357" i="9" s="1"/>
  <c r="K10356" i="9"/>
  <c r="A10356" i="9" s="1"/>
  <c r="K10355" i="9"/>
  <c r="A10355" i="9" s="1"/>
  <c r="K10354" i="9"/>
  <c r="A10354" i="9" s="1"/>
  <c r="K10353" i="9"/>
  <c r="A10353" i="9" s="1"/>
  <c r="A10352" i="9"/>
  <c r="K10352" i="9"/>
  <c r="K10348" i="9"/>
  <c r="A10348" i="9" s="1"/>
  <c r="K10349" i="9"/>
  <c r="A10349" i="9" s="1"/>
  <c r="K10347" i="9"/>
  <c r="A10347" i="9" s="1"/>
  <c r="K10346" i="9"/>
  <c r="A10346" i="9" s="1"/>
  <c r="K10345" i="9"/>
  <c r="A10345" i="9" s="1"/>
  <c r="K10344" i="9"/>
  <c r="A10344" i="9" s="1"/>
  <c r="K10343" i="9"/>
  <c r="A10343" i="9" s="1"/>
  <c r="K10342" i="9"/>
  <c r="A10342" i="9" s="1"/>
  <c r="K10340" i="9"/>
  <c r="A10340" i="9" s="1"/>
  <c r="K10338" i="9"/>
  <c r="A10338" i="9" s="1"/>
  <c r="K10337" i="9"/>
  <c r="A10337" i="9" s="1"/>
  <c r="K10351" i="9"/>
  <c r="A10351" i="9" s="1"/>
  <c r="K10341" i="9"/>
  <c r="A10341" i="9" s="1"/>
  <c r="K10339" i="9"/>
  <c r="A10339" i="9" s="1"/>
  <c r="K10350" i="9"/>
  <c r="A10350" i="9" s="1"/>
  <c r="A10336" i="9"/>
  <c r="K10336" i="9"/>
  <c r="K10335" i="9"/>
  <c r="A10335" i="9" s="1"/>
  <c r="K10334" i="9"/>
  <c r="A10334" i="9" s="1"/>
  <c r="K10333" i="9"/>
  <c r="A10333" i="9" s="1"/>
  <c r="K10332" i="9"/>
  <c r="A10332" i="9" s="1"/>
  <c r="K10331" i="9"/>
  <c r="A10331" i="9" s="1"/>
  <c r="K10330" i="9"/>
  <c r="A10330" i="9" s="1"/>
  <c r="K10329" i="9"/>
  <c r="A10329" i="9" s="1"/>
  <c r="K10328" i="9"/>
  <c r="A10328" i="9" s="1"/>
  <c r="K10327" i="9"/>
  <c r="A10327" i="9" s="1"/>
  <c r="K10326" i="9"/>
  <c r="A10326" i="9" s="1"/>
  <c r="K10325" i="9"/>
  <c r="A10325" i="9" s="1"/>
  <c r="K10324" i="9"/>
  <c r="A10324" i="9" s="1"/>
  <c r="K10323" i="9"/>
  <c r="A10323" i="9" s="1"/>
  <c r="K10322" i="9"/>
  <c r="A10322" i="9" s="1"/>
  <c r="K10321" i="9"/>
  <c r="A10321" i="9" s="1"/>
  <c r="A10320" i="9"/>
  <c r="K10320" i="9"/>
  <c r="K10319" i="9"/>
  <c r="A10319" i="9" s="1"/>
  <c r="K10318" i="9"/>
  <c r="A10318" i="9" s="1"/>
  <c r="K10317" i="9"/>
  <c r="A10317" i="9" s="1"/>
  <c r="K10316" i="9"/>
  <c r="A10316" i="9" s="1"/>
  <c r="K10315" i="9"/>
  <c r="A10315" i="9" s="1"/>
  <c r="K10314" i="9"/>
  <c r="A10314" i="9" s="1"/>
  <c r="K10313" i="9"/>
  <c r="A10313" i="9" s="1"/>
  <c r="K10312" i="9"/>
  <c r="A10312" i="9" s="1"/>
  <c r="K10311" i="9"/>
  <c r="A10311" i="9" s="1"/>
  <c r="A10310" i="9"/>
  <c r="K10310" i="9"/>
  <c r="K10309" i="9"/>
  <c r="A10309" i="9" s="1"/>
  <c r="K10308" i="9"/>
  <c r="A10308" i="9" s="1"/>
  <c r="K10307" i="9"/>
  <c r="A10307" i="9" s="1"/>
  <c r="K10306" i="9"/>
  <c r="A10306" i="9" s="1"/>
  <c r="K10305" i="9"/>
  <c r="A10305" i="9" s="1"/>
  <c r="K10304" i="9"/>
  <c r="A10304" i="9" s="1"/>
  <c r="K10303" i="9"/>
  <c r="A10303" i="9" s="1"/>
  <c r="K10302" i="9"/>
  <c r="A10302" i="9" s="1"/>
  <c r="K10301" i="9"/>
  <c r="A10301" i="9" s="1"/>
  <c r="K10300" i="9"/>
  <c r="A10300" i="9" s="1"/>
  <c r="K10299" i="9"/>
  <c r="A10299" i="9" s="1"/>
  <c r="K10298" i="9"/>
  <c r="A10298" i="9" s="1"/>
  <c r="K10297" i="9"/>
  <c r="A10297" i="9" s="1"/>
  <c r="A10296" i="9"/>
  <c r="K10296" i="9"/>
  <c r="K10295" i="9"/>
  <c r="A10295" i="9" s="1"/>
  <c r="K10294" i="9"/>
  <c r="A10294" i="9" s="1"/>
  <c r="K10293" i="9"/>
  <c r="A10293" i="9" s="1"/>
  <c r="K10292" i="9"/>
  <c r="A10292" i="9" s="1"/>
  <c r="K10291" i="9"/>
  <c r="A10291" i="9" s="1"/>
  <c r="K10290" i="9"/>
  <c r="A10290" i="9" s="1"/>
  <c r="K10289" i="9"/>
  <c r="A10289" i="9" s="1"/>
  <c r="A10288" i="9"/>
  <c r="K10288" i="9"/>
  <c r="K10287" i="9"/>
  <c r="A10287" i="9" s="1"/>
  <c r="K10286" i="9"/>
  <c r="A10286" i="9" s="1"/>
  <c r="K10285" i="9"/>
  <c r="A10285" i="9" s="1"/>
  <c r="K10284" i="9"/>
  <c r="A10284" i="9" s="1"/>
  <c r="K10283" i="9"/>
  <c r="A10283" i="9" s="1"/>
  <c r="K10281" i="9"/>
  <c r="A10281" i="9" s="1"/>
  <c r="K10280" i="9"/>
  <c r="A10280" i="9" s="1"/>
  <c r="K10279" i="9"/>
  <c r="A10279" i="9" s="1"/>
  <c r="K10278" i="9"/>
  <c r="A10278" i="9" s="1"/>
  <c r="K10277" i="9"/>
  <c r="A10277" i="9" s="1"/>
  <c r="K10276" i="9"/>
  <c r="A10276" i="9" s="1"/>
  <c r="K10275" i="9"/>
  <c r="A10275" i="9" s="1"/>
  <c r="K10274" i="9"/>
  <c r="A10274" i="9" s="1"/>
  <c r="K10273" i="9"/>
  <c r="A10273" i="9" s="1"/>
  <c r="K10272" i="9"/>
  <c r="A10272" i="9" s="1"/>
  <c r="K10271" i="9"/>
  <c r="A10271" i="9" s="1"/>
  <c r="K10270" i="9"/>
  <c r="A10270" i="9" s="1"/>
  <c r="K10269" i="9"/>
  <c r="A10269" i="9" s="1"/>
  <c r="K10268" i="9"/>
  <c r="A10268" i="9" s="1"/>
  <c r="K10267" i="9"/>
  <c r="A10267" i="9" s="1"/>
  <c r="K10266" i="9"/>
  <c r="A10266" i="9" s="1"/>
  <c r="K10265" i="9"/>
  <c r="A10265" i="9" s="1"/>
  <c r="K10264" i="9"/>
  <c r="A10264" i="9" s="1"/>
  <c r="K10263" i="9"/>
  <c r="A10263" i="9" s="1"/>
  <c r="K10262" i="9"/>
  <c r="A10262" i="9" s="1"/>
  <c r="K10261" i="9"/>
  <c r="A10261" i="9" s="1"/>
  <c r="K10260" i="9"/>
  <c r="A10260" i="9" s="1"/>
  <c r="K10259" i="9"/>
  <c r="A10259" i="9" s="1"/>
  <c r="K10258" i="9"/>
  <c r="A10258" i="9" s="1"/>
  <c r="K10256" i="9"/>
  <c r="A10256" i="9" s="1"/>
  <c r="K10255" i="9"/>
  <c r="A10255" i="9" s="1"/>
  <c r="A10254" i="9"/>
  <c r="K10254" i="9"/>
  <c r="K10253" i="9"/>
  <c r="A10253" i="9" s="1"/>
  <c r="K10252" i="9"/>
  <c r="A10252" i="9" s="1"/>
  <c r="K10251" i="9"/>
  <c r="A10251" i="9" s="1"/>
  <c r="K10250" i="9"/>
  <c r="A10250" i="9" s="1"/>
  <c r="K10249" i="9"/>
  <c r="A10249" i="9" s="1"/>
  <c r="K10248" i="9"/>
  <c r="A10248" i="9" s="1"/>
  <c r="K10247" i="9"/>
  <c r="A10247" i="9" s="1"/>
  <c r="K10282" i="9"/>
  <c r="A10282" i="9" s="1"/>
  <c r="K10246" i="9"/>
  <c r="A10246" i="9" s="1"/>
  <c r="A10245" i="9"/>
  <c r="K10245" i="9"/>
  <c r="K10244" i="9"/>
  <c r="A10244" i="9" s="1"/>
  <c r="K10243" i="9"/>
  <c r="A10243" i="9" s="1"/>
  <c r="K10242" i="9"/>
  <c r="A10242" i="9" s="1"/>
  <c r="K10241" i="9"/>
  <c r="A10241" i="9" s="1"/>
  <c r="K10240" i="9"/>
  <c r="A10240" i="9" s="1"/>
  <c r="K10239" i="9"/>
  <c r="A10239" i="9" s="1"/>
  <c r="K10238" i="9"/>
  <c r="A10238" i="9" s="1"/>
  <c r="K10237" i="9"/>
  <c r="A10237" i="9" s="1"/>
  <c r="K10236" i="9"/>
  <c r="A10236" i="9" s="1"/>
  <c r="K10235" i="9"/>
  <c r="A10235" i="9" s="1"/>
  <c r="K10234" i="9"/>
  <c r="A10234" i="9" s="1"/>
  <c r="K10233" i="9"/>
  <c r="A10233" i="9" s="1"/>
  <c r="K10232" i="9"/>
  <c r="A10232" i="9" s="1"/>
  <c r="A10231" i="9"/>
  <c r="K10231" i="9"/>
  <c r="K10230" i="9"/>
  <c r="A10230" i="9" s="1"/>
  <c r="K10223" i="9"/>
  <c r="A10223" i="9" s="1"/>
  <c r="K10229" i="9"/>
  <c r="A10229" i="9" s="1"/>
  <c r="K10228" i="9"/>
  <c r="A10228" i="9" s="1"/>
  <c r="K10227" i="9"/>
  <c r="A10227" i="9" s="1"/>
  <c r="K10226" i="9"/>
  <c r="A10226" i="9" s="1"/>
  <c r="K10225" i="9"/>
  <c r="A10225" i="9" s="1"/>
  <c r="K10224" i="9"/>
  <c r="A10224" i="9" s="1"/>
  <c r="K10222" i="9"/>
  <c r="A10222" i="9" s="1"/>
  <c r="K10221" i="9"/>
  <c r="A10221" i="9" s="1"/>
  <c r="K10220" i="9"/>
  <c r="A10220" i="9" s="1"/>
  <c r="K10219" i="9"/>
  <c r="A10219" i="9" s="1"/>
  <c r="K10218" i="9"/>
  <c r="A10218" i="9" s="1"/>
  <c r="K10217" i="9"/>
  <c r="A10217" i="9" s="1"/>
  <c r="K10216" i="9"/>
  <c r="A10216" i="9" s="1"/>
  <c r="A10215" i="9"/>
  <c r="K10215" i="9"/>
  <c r="K10214" i="9"/>
  <c r="A10214" i="9" s="1"/>
  <c r="K10213" i="9"/>
  <c r="A10213" i="9" s="1"/>
  <c r="K10212" i="9"/>
  <c r="A10212" i="9" s="1"/>
  <c r="K10211" i="9"/>
  <c r="A10211" i="9" s="1"/>
  <c r="K10210" i="9"/>
  <c r="A10210" i="9" s="1"/>
  <c r="K10209" i="9"/>
  <c r="A10209" i="9" s="1"/>
  <c r="K10257" i="9"/>
  <c r="A10257" i="9" s="1"/>
  <c r="A10208" i="9"/>
  <c r="K10208" i="9"/>
  <c r="K10207" i="9"/>
  <c r="A10207" i="9" s="1"/>
  <c r="K10206" i="9"/>
  <c r="A10206" i="9" s="1"/>
  <c r="K10205" i="9"/>
  <c r="A10205" i="9" s="1"/>
  <c r="K10204" i="9"/>
  <c r="A10204" i="9" s="1"/>
  <c r="K10202" i="9"/>
  <c r="A10202" i="9" s="1"/>
  <c r="K10203" i="9"/>
  <c r="A10203" i="9" s="1"/>
  <c r="K10201" i="9"/>
  <c r="A10201" i="9" s="1"/>
  <c r="A10200" i="9"/>
  <c r="K10200" i="9"/>
  <c r="K10199" i="9"/>
  <c r="A10199" i="9" s="1"/>
  <c r="K10198" i="9"/>
  <c r="A10198" i="9" s="1"/>
  <c r="K10197" i="9"/>
  <c r="A10197" i="9" s="1"/>
  <c r="K10196" i="9"/>
  <c r="A10196" i="9" s="1"/>
  <c r="K10195" i="9"/>
  <c r="A10195" i="9" s="1"/>
  <c r="K10194" i="9"/>
  <c r="A10194" i="9" s="1"/>
  <c r="K10193" i="9"/>
  <c r="A10193" i="9" s="1"/>
  <c r="K10192" i="9"/>
  <c r="A10192" i="9" s="1"/>
  <c r="K10191" i="9"/>
  <c r="A10191" i="9" s="1"/>
  <c r="K10190" i="9"/>
  <c r="A10190" i="9" s="1"/>
  <c r="K10189" i="9"/>
  <c r="A10189" i="9" s="1"/>
  <c r="K10188" i="9"/>
  <c r="A10188" i="9" s="1"/>
  <c r="K10187" i="9"/>
  <c r="A10187" i="9" s="1"/>
  <c r="K10186" i="9"/>
  <c r="A10186" i="9" s="1"/>
  <c r="K10185" i="9"/>
  <c r="A10185" i="9" s="1"/>
  <c r="K10184" i="9"/>
  <c r="A10184" i="9" s="1"/>
  <c r="K10183" i="9"/>
  <c r="A10183" i="9" s="1"/>
  <c r="K10182" i="9"/>
  <c r="A10182" i="9" s="1"/>
  <c r="K10181" i="9"/>
  <c r="A10181" i="9" s="1"/>
  <c r="K10180" i="9"/>
  <c r="A10180" i="9" s="1"/>
  <c r="A10179" i="9"/>
  <c r="K10179" i="9"/>
  <c r="K10178" i="9"/>
  <c r="A10178" i="9" s="1"/>
  <c r="K10177" i="9"/>
  <c r="A10177" i="9" s="1"/>
  <c r="K10176" i="9"/>
  <c r="A10176" i="9" s="1"/>
  <c r="K10175" i="9"/>
  <c r="A10175" i="9" s="1"/>
  <c r="K10174" i="9"/>
  <c r="A10174" i="9" s="1"/>
  <c r="K10173" i="9"/>
  <c r="A10173" i="9" s="1"/>
  <c r="K10172" i="9"/>
  <c r="A10172" i="9" s="1"/>
  <c r="K10171" i="9"/>
  <c r="A10171" i="9" s="1"/>
  <c r="K10170" i="9"/>
  <c r="A10170" i="9" s="1"/>
  <c r="A10169" i="9"/>
  <c r="K10169" i="9"/>
  <c r="K10168" i="9"/>
  <c r="A10168" i="9" s="1"/>
  <c r="K10167" i="9"/>
  <c r="A10167" i="9" s="1"/>
  <c r="K10166" i="9"/>
  <c r="A10166" i="9" s="1"/>
  <c r="K10165" i="9"/>
  <c r="A10165" i="9" s="1"/>
  <c r="K10162" i="9"/>
  <c r="A10162" i="9" s="1"/>
  <c r="K10161" i="9"/>
  <c r="A10161" i="9" s="1"/>
  <c r="K10164" i="9"/>
  <c r="A10164" i="9" s="1"/>
  <c r="K10163" i="9"/>
  <c r="A10163" i="9" s="1"/>
  <c r="K10160" i="9"/>
  <c r="A10160" i="9" s="1"/>
  <c r="K10159" i="9"/>
  <c r="A10159" i="9" s="1"/>
  <c r="K10158" i="9"/>
  <c r="A10158" i="9" s="1"/>
  <c r="K10157" i="9"/>
  <c r="A10157" i="9" s="1"/>
  <c r="K10156" i="9"/>
  <c r="A10156" i="9" s="1"/>
  <c r="A10155" i="9"/>
  <c r="K10155" i="9"/>
  <c r="K10154" i="9"/>
  <c r="A10154" i="9" s="1"/>
  <c r="K10153" i="9"/>
  <c r="A10153" i="9" s="1"/>
  <c r="K10152" i="9"/>
  <c r="A10152" i="9" s="1"/>
  <c r="K10151" i="9"/>
  <c r="A10151" i="9" s="1"/>
  <c r="K10150" i="9"/>
  <c r="A10150" i="9" s="1"/>
  <c r="K10149" i="9"/>
  <c r="A10149" i="9" s="1"/>
  <c r="K10148" i="9"/>
  <c r="A10148" i="9" s="1"/>
  <c r="A10145" i="9"/>
  <c r="K10145" i="9"/>
  <c r="K10147" i="9"/>
  <c r="A10147" i="9" s="1"/>
  <c r="K10146" i="9"/>
  <c r="A10146" i="9" s="1"/>
  <c r="K10143" i="9"/>
  <c r="A10143" i="9" s="1"/>
  <c r="K10144" i="9"/>
  <c r="A10144" i="9" s="1"/>
  <c r="K10142" i="9"/>
  <c r="A10142" i="9" s="1"/>
  <c r="K10141" i="9"/>
  <c r="A10141" i="9" s="1"/>
  <c r="K10140" i="9"/>
  <c r="A10140" i="9" s="1"/>
  <c r="K10137" i="9"/>
  <c r="A10137" i="9" s="1"/>
  <c r="K10136" i="9"/>
  <c r="A10136" i="9" s="1"/>
  <c r="A10139" i="9"/>
  <c r="K10139" i="9"/>
  <c r="K10138" i="9"/>
  <c r="A10138" i="9" s="1"/>
  <c r="K10135" i="9"/>
  <c r="A10135" i="9" s="1"/>
  <c r="K10134" i="9"/>
  <c r="A10134" i="9" s="1"/>
  <c r="K10133" i="9"/>
  <c r="A10133" i="9" s="1"/>
  <c r="K10132" i="9"/>
  <c r="A10132" i="9" s="1"/>
  <c r="K10131" i="9"/>
  <c r="A10131" i="9" s="1"/>
  <c r="K10130" i="9"/>
  <c r="A10130" i="9" s="1"/>
  <c r="K10129" i="9"/>
  <c r="A10129" i="9" s="1"/>
  <c r="K10128" i="9"/>
  <c r="A10128" i="9" s="1"/>
  <c r="K10127" i="9"/>
  <c r="A10127" i="9" s="1"/>
  <c r="K10126" i="9"/>
  <c r="A10126" i="9" s="1"/>
  <c r="K10125" i="9"/>
  <c r="A10125" i="9" s="1"/>
  <c r="K10124" i="9"/>
  <c r="A10124" i="9" s="1"/>
  <c r="A10123" i="9"/>
  <c r="K10123" i="9"/>
  <c r="K10122" i="9"/>
  <c r="A10122" i="9" s="1"/>
  <c r="K10121" i="9"/>
  <c r="A10121" i="9" s="1"/>
  <c r="K10120" i="9"/>
  <c r="A10120" i="9" s="1"/>
  <c r="K10119" i="9"/>
  <c r="A10119" i="9" s="1"/>
  <c r="K10118" i="9"/>
  <c r="A10118" i="9" s="1"/>
  <c r="K10117" i="9"/>
  <c r="A10117" i="9" s="1"/>
  <c r="K10116" i="9"/>
  <c r="A10116" i="9" s="1"/>
  <c r="A10115" i="9"/>
  <c r="K10115" i="9"/>
  <c r="K10114" i="9"/>
  <c r="A10114" i="9" s="1"/>
  <c r="K10113" i="9"/>
  <c r="A10113" i="9" s="1"/>
  <c r="K10112" i="9"/>
  <c r="A10112" i="9" s="1"/>
  <c r="K10092" i="9"/>
  <c r="A10092" i="9" s="1"/>
  <c r="K10111" i="9"/>
  <c r="A10111" i="9" s="1"/>
  <c r="K10110" i="9"/>
  <c r="A10110" i="9" s="1"/>
  <c r="K10109" i="9"/>
  <c r="A10109" i="9" s="1"/>
  <c r="K10108" i="9"/>
  <c r="A10108" i="9" s="1"/>
  <c r="K10107" i="9"/>
  <c r="A10107" i="9" s="1"/>
  <c r="A10106" i="9"/>
  <c r="K10106" i="9"/>
  <c r="K10105" i="9"/>
  <c r="A10105" i="9" s="1"/>
  <c r="K10104" i="9"/>
  <c r="A10104" i="9" s="1"/>
  <c r="K10103" i="9"/>
  <c r="A10103" i="9" s="1"/>
  <c r="K10102" i="9"/>
  <c r="A10102" i="9" s="1"/>
  <c r="K10101" i="9"/>
  <c r="A10101" i="9" s="1"/>
  <c r="K10100" i="9"/>
  <c r="A10100" i="9" s="1"/>
  <c r="K10099" i="9"/>
  <c r="A10099" i="9" s="1"/>
  <c r="K10098" i="9"/>
  <c r="A10098" i="9" s="1"/>
  <c r="K10097" i="9"/>
  <c r="A10097" i="9" s="1"/>
  <c r="K10096" i="9"/>
  <c r="A10096" i="9" s="1"/>
  <c r="K10095" i="9"/>
  <c r="A10095" i="9" s="1"/>
  <c r="K10094" i="9"/>
  <c r="A10094" i="9" s="1"/>
  <c r="K10093" i="9"/>
  <c r="A10093" i="9" s="1"/>
  <c r="A10091" i="9"/>
  <c r="K10091" i="9"/>
  <c r="K10090" i="9"/>
  <c r="A10090" i="9" s="1"/>
  <c r="K10089" i="9"/>
  <c r="A10089" i="9" s="1"/>
  <c r="K10088" i="9"/>
  <c r="A10088" i="9" s="1"/>
  <c r="K10087" i="9"/>
  <c r="A10087" i="9" s="1"/>
  <c r="K10086" i="9"/>
  <c r="A10086" i="9" s="1"/>
  <c r="K10085" i="9"/>
  <c r="A10085" i="9" s="1"/>
  <c r="K10084" i="9"/>
  <c r="A10084" i="9" s="1"/>
  <c r="K10083" i="9"/>
  <c r="A10083" i="9" s="1"/>
  <c r="K10082" i="9"/>
  <c r="A10082" i="9" s="1"/>
  <c r="K10081" i="9"/>
  <c r="A10081" i="9" s="1"/>
  <c r="K10080" i="9"/>
  <c r="A10080" i="9" s="1"/>
  <c r="K10079" i="9"/>
  <c r="A10079" i="9" s="1"/>
  <c r="K10078" i="9"/>
  <c r="A10078" i="9" s="1"/>
  <c r="K10077" i="9"/>
  <c r="A10077" i="9" s="1"/>
  <c r="K10076" i="9"/>
  <c r="A10076" i="9" s="1"/>
  <c r="K10075" i="9"/>
  <c r="A10075" i="9" s="1"/>
  <c r="K10074" i="9"/>
  <c r="A10074" i="9" s="1"/>
  <c r="K10073" i="9"/>
  <c r="A10073" i="9" s="1"/>
  <c r="K10072" i="9"/>
  <c r="A10072" i="9" s="1"/>
  <c r="K10071" i="9"/>
  <c r="A10071" i="9" s="1"/>
  <c r="K10070" i="9"/>
  <c r="A10070" i="9" s="1"/>
  <c r="K10069" i="9"/>
  <c r="A10069" i="9" s="1"/>
  <c r="K10068" i="9"/>
  <c r="A10068" i="9" s="1"/>
  <c r="K10067" i="9"/>
  <c r="A10067" i="9" s="1"/>
  <c r="K10066" i="9"/>
  <c r="A10066" i="9" s="1"/>
  <c r="K10065" i="9"/>
  <c r="A10065" i="9" s="1"/>
  <c r="K10064" i="9"/>
  <c r="A10064" i="9" s="1"/>
  <c r="K10063" i="9"/>
  <c r="A10063" i="9" s="1"/>
  <c r="K10062" i="9"/>
  <c r="A10062" i="9" s="1"/>
  <c r="K10060" i="9"/>
  <c r="A10060" i="9" s="1"/>
  <c r="K10061" i="9"/>
  <c r="A10061" i="9" s="1"/>
  <c r="A10059" i="9"/>
  <c r="K10059" i="9"/>
  <c r="K10058" i="9"/>
  <c r="A10058" i="9" s="1"/>
  <c r="K10057" i="9"/>
  <c r="A10057" i="9" s="1"/>
  <c r="K10056" i="9"/>
  <c r="A10056" i="9" s="1"/>
  <c r="K10055" i="9"/>
  <c r="A10055" i="9" s="1"/>
  <c r="K10054" i="9"/>
  <c r="A10054" i="9" s="1"/>
  <c r="K10053" i="9"/>
  <c r="A10053" i="9" s="1"/>
  <c r="K10052" i="9"/>
  <c r="A10052" i="9" s="1"/>
  <c r="A10051" i="9"/>
  <c r="K10051" i="9"/>
  <c r="K10050" i="9"/>
  <c r="A10050" i="9" s="1"/>
  <c r="K10049" i="9"/>
  <c r="A10049" i="9" s="1"/>
  <c r="K10048" i="9"/>
  <c r="A10048" i="9" s="1"/>
  <c r="K10046" i="9"/>
  <c r="A10046" i="9" s="1"/>
  <c r="K10047" i="9"/>
  <c r="A10047" i="9" s="1"/>
  <c r="K10045" i="9"/>
  <c r="A10045" i="9" s="1"/>
  <c r="K10044" i="9"/>
  <c r="A10044" i="9" s="1"/>
  <c r="K10043" i="9"/>
  <c r="A10043" i="9" s="1"/>
  <c r="K10042" i="9"/>
  <c r="A10042" i="9" s="1"/>
  <c r="A10041" i="9"/>
  <c r="K10041" i="9"/>
  <c r="K10040" i="9"/>
  <c r="A10040" i="9" s="1"/>
  <c r="K10039" i="9"/>
  <c r="A10039" i="9" s="1"/>
  <c r="K10038" i="9"/>
  <c r="A10038" i="9" s="1"/>
  <c r="K10037" i="9"/>
  <c r="A10037" i="9" s="1"/>
  <c r="K10036" i="9"/>
  <c r="A10036" i="9" s="1"/>
  <c r="A10035" i="9"/>
  <c r="K10035" i="9"/>
  <c r="K10034" i="9"/>
  <c r="A10034" i="9" s="1"/>
  <c r="K10033" i="9"/>
  <c r="A10033" i="9" s="1"/>
  <c r="K10032" i="9"/>
  <c r="A10032" i="9" s="1"/>
  <c r="K10031" i="9"/>
  <c r="A10031" i="9" s="1"/>
  <c r="K10030" i="9"/>
  <c r="A10030" i="9" s="1"/>
  <c r="K10029" i="9"/>
  <c r="A10029" i="9" s="1"/>
  <c r="K10028" i="9"/>
  <c r="A10028" i="9" s="1"/>
  <c r="A10027" i="9"/>
  <c r="K10027" i="9"/>
  <c r="K10026" i="9"/>
  <c r="A10026" i="9" s="1"/>
  <c r="A10025" i="9"/>
  <c r="K10025" i="9"/>
  <c r="K10024" i="9"/>
  <c r="A10024" i="9" s="1"/>
  <c r="K10023" i="9"/>
  <c r="A10023" i="9" s="1"/>
  <c r="K10022" i="9"/>
  <c r="A10022" i="9" s="1"/>
  <c r="K10021" i="9"/>
  <c r="A10021" i="9" s="1"/>
  <c r="K10020" i="9"/>
  <c r="A10020" i="9" s="1"/>
  <c r="A10019" i="9"/>
  <c r="K10019" i="9"/>
  <c r="K10018" i="9"/>
  <c r="A10018" i="9" s="1"/>
  <c r="K10017" i="9"/>
  <c r="A10017" i="9" s="1"/>
  <c r="K10016" i="9"/>
  <c r="A10016" i="9" s="1"/>
  <c r="K10015" i="9"/>
  <c r="A10015" i="9" s="1"/>
  <c r="K10014" i="9"/>
  <c r="A10014" i="9" s="1"/>
  <c r="K10013" i="9"/>
  <c r="A10013" i="9" s="1"/>
  <c r="K10012" i="9"/>
  <c r="A10012" i="9" s="1"/>
  <c r="A10011" i="9"/>
  <c r="K10011" i="9"/>
  <c r="K10010" i="9"/>
  <c r="A10010" i="9" s="1"/>
  <c r="A10009" i="9"/>
  <c r="K10009" i="9"/>
  <c r="K10008" i="9"/>
  <c r="A10008" i="9" s="1"/>
  <c r="K10007" i="9"/>
  <c r="A10007" i="9" s="1"/>
  <c r="K10006" i="9"/>
  <c r="A10006" i="9" s="1"/>
  <c r="K10005" i="9"/>
  <c r="A10005" i="9" s="1"/>
  <c r="K10004" i="9"/>
  <c r="A10004" i="9" s="1"/>
  <c r="K10003" i="9"/>
  <c r="A10003" i="9" s="1"/>
  <c r="K10002" i="9"/>
  <c r="A10002" i="9" s="1"/>
  <c r="K10001" i="9"/>
  <c r="A10001" i="9" s="1"/>
  <c r="K10000" i="9"/>
  <c r="A10000" i="9" s="1"/>
  <c r="K9999" i="9"/>
  <c r="A9999" i="9" s="1"/>
  <c r="K9998" i="9"/>
  <c r="A9998" i="9" s="1"/>
  <c r="K9997" i="9"/>
  <c r="A9997" i="9" s="1"/>
  <c r="K9996" i="9"/>
  <c r="A9996" i="9" s="1"/>
  <c r="K9995" i="9"/>
  <c r="A9995" i="9" s="1"/>
  <c r="K9994" i="9"/>
  <c r="A9994" i="9" s="1"/>
  <c r="K9993" i="9"/>
  <c r="A9993" i="9" s="1"/>
  <c r="K9992" i="9"/>
  <c r="A9992" i="9" s="1"/>
  <c r="K9991" i="9"/>
  <c r="A9991" i="9" s="1"/>
  <c r="K9990" i="9"/>
  <c r="A9990" i="9" s="1"/>
  <c r="K9989" i="9"/>
  <c r="A9989" i="9" s="1"/>
  <c r="K9988" i="9"/>
  <c r="A9988" i="9" s="1"/>
  <c r="A9987" i="9"/>
  <c r="K9987" i="9"/>
  <c r="K9986" i="9"/>
  <c r="A9986" i="9" s="1"/>
  <c r="K9985" i="9"/>
  <c r="A9985" i="9" s="1"/>
  <c r="K9984" i="9"/>
  <c r="A9984" i="9" s="1"/>
  <c r="K9983" i="9"/>
  <c r="A9983" i="9" s="1"/>
  <c r="K9982" i="9"/>
  <c r="A9982" i="9" s="1"/>
  <c r="K9981" i="9"/>
  <c r="A9981" i="9" s="1"/>
  <c r="K9980" i="9"/>
  <c r="A9980" i="9" s="1"/>
  <c r="K9979" i="9"/>
  <c r="A9979" i="9" s="1"/>
  <c r="K9978" i="9"/>
  <c r="A9978" i="9" s="1"/>
  <c r="A9977" i="9"/>
  <c r="K9977" i="9"/>
  <c r="K9976" i="9"/>
  <c r="A9976" i="9" s="1"/>
  <c r="K9975" i="9"/>
  <c r="A9975" i="9" s="1"/>
  <c r="K9974" i="9"/>
  <c r="A9974" i="9" s="1"/>
  <c r="K9973" i="9"/>
  <c r="A9973" i="9" s="1"/>
  <c r="K9972" i="9"/>
  <c r="A9972" i="9" s="1"/>
  <c r="A9971" i="9"/>
  <c r="K9971" i="9"/>
  <c r="K9970" i="9"/>
  <c r="A9970" i="9" s="1"/>
  <c r="K9969" i="9"/>
  <c r="A9969" i="9" s="1"/>
  <c r="K9968" i="9"/>
  <c r="A9968" i="9" s="1"/>
  <c r="K9967" i="9"/>
  <c r="A9967" i="9" s="1"/>
  <c r="K9966" i="9"/>
  <c r="A9966" i="9" s="1"/>
  <c r="K9965" i="9"/>
  <c r="A9965" i="9" s="1"/>
  <c r="K9964" i="9"/>
  <c r="A9964" i="9" s="1"/>
  <c r="A9963" i="9"/>
  <c r="K9963" i="9"/>
  <c r="K9962" i="9"/>
  <c r="A9962" i="9" s="1"/>
  <c r="A9961" i="9"/>
  <c r="K9961" i="9"/>
  <c r="K9960" i="9"/>
  <c r="A9960" i="9" s="1"/>
  <c r="K9959" i="9"/>
  <c r="A9959" i="9" s="1"/>
  <c r="K9958" i="9"/>
  <c r="A9958" i="9" s="1"/>
  <c r="K9957" i="9"/>
  <c r="A9957" i="9" s="1"/>
  <c r="K9956" i="9"/>
  <c r="A9956" i="9" s="1"/>
  <c r="A9955" i="9"/>
  <c r="K9955" i="9"/>
  <c r="K9954" i="9"/>
  <c r="A9954" i="9" s="1"/>
  <c r="K9953" i="9"/>
  <c r="A9953" i="9" s="1"/>
  <c r="K9952" i="9"/>
  <c r="A9952" i="9" s="1"/>
  <c r="K9951" i="9"/>
  <c r="A9951" i="9" s="1"/>
  <c r="K9950" i="9"/>
  <c r="A9950" i="9" s="1"/>
  <c r="K9949" i="9"/>
  <c r="A9949" i="9" s="1"/>
  <c r="K9948" i="9"/>
  <c r="A9948" i="9" s="1"/>
  <c r="A9947" i="9"/>
  <c r="K9947" i="9"/>
  <c r="K9946" i="9"/>
  <c r="A9946" i="9" s="1"/>
  <c r="A9945" i="9"/>
  <c r="K9945" i="9"/>
  <c r="K9944" i="9"/>
  <c r="A9944" i="9" s="1"/>
  <c r="K9943" i="9"/>
  <c r="A9943" i="9" s="1"/>
  <c r="K9942" i="9"/>
  <c r="A9942" i="9" s="1"/>
  <c r="K9941" i="9"/>
  <c r="A9941" i="9" s="1"/>
  <c r="K9940" i="9"/>
  <c r="A9940" i="9" s="1"/>
  <c r="K9939" i="9"/>
  <c r="A9939" i="9" s="1"/>
  <c r="K9938" i="9"/>
  <c r="A9938" i="9" s="1"/>
  <c r="K9937" i="9"/>
  <c r="A9937" i="9" s="1"/>
  <c r="K9936" i="9"/>
  <c r="A9936" i="9" s="1"/>
  <c r="K9935" i="9"/>
  <c r="A9935" i="9" s="1"/>
  <c r="K9934" i="9"/>
  <c r="A9934" i="9" s="1"/>
  <c r="K9933" i="9"/>
  <c r="A9933" i="9" s="1"/>
  <c r="K9932" i="9"/>
  <c r="A9932" i="9" s="1"/>
  <c r="K9931" i="9"/>
  <c r="A9931" i="9" s="1"/>
  <c r="K9930" i="9"/>
  <c r="A9930" i="9" s="1"/>
  <c r="K9929" i="9"/>
  <c r="A9929" i="9" s="1"/>
  <c r="K9928" i="9"/>
  <c r="A9928" i="9" s="1"/>
  <c r="K9927" i="9"/>
  <c r="A9927" i="9" s="1"/>
  <c r="K9926" i="9"/>
  <c r="A9926" i="9" s="1"/>
  <c r="K9925" i="9"/>
  <c r="A9925" i="9" s="1"/>
  <c r="K9924" i="9"/>
  <c r="A9924" i="9" s="1"/>
  <c r="A9923" i="9"/>
  <c r="K9923" i="9"/>
  <c r="K9922" i="9"/>
  <c r="A9922" i="9" s="1"/>
  <c r="K9921" i="9"/>
  <c r="A9921" i="9" s="1"/>
  <c r="K9920" i="9"/>
  <c r="A9920" i="9" s="1"/>
  <c r="K9919" i="9"/>
  <c r="A9919" i="9" s="1"/>
  <c r="K9918" i="9"/>
  <c r="A9918" i="9" s="1"/>
  <c r="K9917" i="9"/>
  <c r="A9917" i="9" s="1"/>
  <c r="K9916" i="9"/>
  <c r="A9916" i="9" s="1"/>
  <c r="K9915" i="9"/>
  <c r="A9915" i="9" s="1"/>
  <c r="K9914" i="9"/>
  <c r="A9914" i="9" s="1"/>
  <c r="A9913" i="9"/>
  <c r="K9913" i="9"/>
  <c r="K9912" i="9"/>
  <c r="A9912" i="9" s="1"/>
  <c r="K9911" i="9"/>
  <c r="A9911" i="9" s="1"/>
  <c r="K9910" i="9"/>
  <c r="A9910" i="9" s="1"/>
  <c r="K9909" i="9"/>
  <c r="A9909" i="9" s="1"/>
  <c r="K9908" i="9"/>
  <c r="A9908" i="9" s="1"/>
  <c r="K9907" i="9"/>
  <c r="A9907" i="9" s="1"/>
  <c r="K9906" i="9"/>
  <c r="A9906" i="9" s="1"/>
  <c r="K9905" i="9"/>
  <c r="A9905" i="9" s="1"/>
  <c r="K9904" i="9"/>
  <c r="A9904" i="9" s="1"/>
  <c r="K9903" i="9"/>
  <c r="A9903" i="9" s="1"/>
  <c r="K9902" i="9"/>
  <c r="A9902" i="9" s="1"/>
  <c r="K9901" i="9"/>
  <c r="A9901" i="9" s="1"/>
  <c r="K9900" i="9"/>
  <c r="A9900" i="9" s="1"/>
  <c r="A9899" i="9"/>
  <c r="K9899" i="9"/>
  <c r="K9898" i="9"/>
  <c r="A9898" i="9" s="1"/>
  <c r="K9897" i="9"/>
  <c r="A9897" i="9" s="1"/>
  <c r="K9896" i="9"/>
  <c r="A9896" i="9" s="1"/>
  <c r="K9895" i="9"/>
  <c r="A9895" i="9" s="1"/>
  <c r="K9894" i="9"/>
  <c r="A9894" i="9" s="1"/>
  <c r="K9893" i="9"/>
  <c r="A9893" i="9" s="1"/>
  <c r="K9892" i="9"/>
  <c r="A9892" i="9" s="1"/>
  <c r="A9891" i="9"/>
  <c r="K9891" i="9"/>
  <c r="K9890" i="9"/>
  <c r="A9890" i="9" s="1"/>
  <c r="K9889" i="9"/>
  <c r="A9889" i="9" s="1"/>
  <c r="K9888" i="9"/>
  <c r="A9888" i="9" s="1"/>
  <c r="K9887" i="9"/>
  <c r="A9887" i="9" s="1"/>
  <c r="K9886" i="9"/>
  <c r="A9886" i="9" s="1"/>
  <c r="K9885" i="9"/>
  <c r="A9885" i="9" s="1"/>
  <c r="K9884" i="9"/>
  <c r="A9884" i="9" s="1"/>
  <c r="K9883" i="9"/>
  <c r="A9883" i="9" s="1"/>
  <c r="K9882" i="9"/>
  <c r="A9882" i="9" s="1"/>
  <c r="A9881" i="9"/>
  <c r="K9881" i="9"/>
  <c r="K9880" i="9"/>
  <c r="A9880" i="9" s="1"/>
  <c r="K9879" i="9"/>
  <c r="A9879" i="9" s="1"/>
  <c r="K9878" i="9"/>
  <c r="A9878" i="9" s="1"/>
  <c r="K9877" i="9"/>
  <c r="A9877" i="9" s="1"/>
  <c r="K9876" i="9"/>
  <c r="A9876" i="9" s="1"/>
  <c r="K9875" i="9"/>
  <c r="A9875" i="9" s="1"/>
  <c r="K9874" i="9"/>
  <c r="A9874" i="9" s="1"/>
  <c r="K9873" i="9"/>
  <c r="A9873" i="9" s="1"/>
  <c r="K9872" i="9"/>
  <c r="A9872" i="9" s="1"/>
  <c r="K9871" i="9"/>
  <c r="A9871" i="9" s="1"/>
  <c r="K9870" i="9"/>
  <c r="A9870" i="9" s="1"/>
  <c r="K9869" i="9"/>
  <c r="A9869" i="9" s="1"/>
  <c r="K9868" i="9"/>
  <c r="A9868" i="9" s="1"/>
  <c r="A9867" i="9"/>
  <c r="K9867" i="9"/>
  <c r="K9866" i="9"/>
  <c r="A9866" i="9" s="1"/>
  <c r="K9865" i="9"/>
  <c r="A9865" i="9" s="1"/>
  <c r="K9864" i="9"/>
  <c r="A9864" i="9" s="1"/>
  <c r="K9863" i="9"/>
  <c r="A9863" i="9" s="1"/>
  <c r="K9862" i="9"/>
  <c r="A9862" i="9" s="1"/>
  <c r="K9861" i="9"/>
  <c r="A9861" i="9" s="1"/>
  <c r="K9860" i="9"/>
  <c r="A9860" i="9" s="1"/>
  <c r="A9859" i="9"/>
  <c r="K9859" i="9"/>
  <c r="K9858" i="9"/>
  <c r="A9858" i="9" s="1"/>
  <c r="K9857" i="9"/>
  <c r="A9857" i="9" s="1"/>
  <c r="K9856" i="9"/>
  <c r="A9856" i="9" s="1"/>
  <c r="K9855" i="9"/>
  <c r="A9855" i="9" s="1"/>
  <c r="K9854" i="9"/>
  <c r="A9854" i="9" s="1"/>
  <c r="K9853" i="9"/>
  <c r="A9853" i="9" s="1"/>
  <c r="K9852" i="9"/>
  <c r="A9852" i="9" s="1"/>
  <c r="K9851" i="9"/>
  <c r="A9851" i="9" s="1"/>
  <c r="K9850" i="9"/>
  <c r="A9850" i="9" s="1"/>
  <c r="A9849" i="9"/>
  <c r="K9849" i="9"/>
  <c r="K9848" i="9"/>
  <c r="A9848" i="9" s="1"/>
  <c r="K9847" i="9"/>
  <c r="A9847" i="9" s="1"/>
  <c r="K9846" i="9"/>
  <c r="A9846" i="9" s="1"/>
  <c r="K9845" i="9"/>
  <c r="A9845" i="9" s="1"/>
  <c r="K9844" i="9"/>
  <c r="A9844" i="9" s="1"/>
  <c r="A9834" i="9"/>
  <c r="K9834" i="9"/>
  <c r="K9843" i="9"/>
  <c r="A9843" i="9" s="1"/>
  <c r="K9842" i="9"/>
  <c r="A9842" i="9" s="1"/>
  <c r="K9841" i="9"/>
  <c r="A9841" i="9" s="1"/>
  <c r="K9840" i="9"/>
  <c r="A9840" i="9" s="1"/>
  <c r="K9833" i="9"/>
  <c r="A9833" i="9" s="1"/>
  <c r="K9839" i="9"/>
  <c r="A9839" i="9" s="1"/>
  <c r="K9838" i="9"/>
  <c r="A9838" i="9" s="1"/>
  <c r="A9837" i="9"/>
  <c r="K9837" i="9"/>
  <c r="K9836" i="9"/>
  <c r="A9836" i="9" s="1"/>
  <c r="A9835" i="9"/>
  <c r="K9835" i="9"/>
  <c r="K9832" i="9"/>
  <c r="A9832" i="9" s="1"/>
  <c r="K9831" i="9"/>
  <c r="A9831" i="9" s="1"/>
  <c r="K9830" i="9"/>
  <c r="A9830" i="9" s="1"/>
  <c r="K9829" i="9"/>
  <c r="A9829" i="9" s="1"/>
  <c r="K9828" i="9"/>
  <c r="A9828" i="9" s="1"/>
  <c r="K9827" i="9"/>
  <c r="A9827" i="9" s="1"/>
  <c r="K9826" i="9"/>
  <c r="A9826" i="9" s="1"/>
  <c r="K9825" i="9"/>
  <c r="A9825" i="9" s="1"/>
  <c r="K9824" i="9"/>
  <c r="A9824" i="9" s="1"/>
  <c r="K9823" i="9"/>
  <c r="A9823" i="9" s="1"/>
  <c r="K9822" i="9"/>
  <c r="A9822" i="9" s="1"/>
  <c r="K9821" i="9"/>
  <c r="A9821" i="9" s="1"/>
  <c r="K9820" i="9"/>
  <c r="A9820" i="9" s="1"/>
  <c r="K9819" i="9"/>
  <c r="A9819" i="9" s="1"/>
  <c r="K9818" i="9"/>
  <c r="A9818" i="9" s="1"/>
  <c r="K9817" i="9"/>
  <c r="A9817" i="9" s="1"/>
  <c r="K9816" i="9"/>
  <c r="A9816" i="9" s="1"/>
  <c r="K9815" i="9"/>
  <c r="A9815" i="9" s="1"/>
  <c r="K9814" i="9"/>
  <c r="A9814" i="9" s="1"/>
  <c r="K9813" i="9"/>
  <c r="A9813" i="9" s="1"/>
  <c r="K9812" i="9"/>
  <c r="A9812" i="9" s="1"/>
  <c r="K9811" i="9"/>
  <c r="A9811" i="9" s="1"/>
  <c r="K9794" i="9"/>
  <c r="A9794" i="9" s="1"/>
  <c r="K9810" i="9"/>
  <c r="A9810" i="9" s="1"/>
  <c r="K9809" i="9"/>
  <c r="A9809" i="9" s="1"/>
  <c r="K9793" i="9"/>
  <c r="A9793" i="9" s="1"/>
  <c r="K9792" i="9"/>
  <c r="A9792" i="9" s="1"/>
  <c r="K9801" i="9"/>
  <c r="A9801" i="9" s="1"/>
  <c r="K9802" i="9"/>
  <c r="A9802" i="9" s="1"/>
  <c r="A9800" i="9"/>
  <c r="K9800" i="9"/>
  <c r="K9799" i="9"/>
  <c r="A9799" i="9" s="1"/>
  <c r="K9798" i="9"/>
  <c r="A9798" i="9" s="1"/>
  <c r="K9797" i="9"/>
  <c r="A9797" i="9" s="1"/>
  <c r="K9796" i="9"/>
  <c r="A9796" i="9" s="1"/>
  <c r="K9795" i="9"/>
  <c r="A9795" i="9" s="1"/>
  <c r="K9791" i="9"/>
  <c r="A9791" i="9" s="1"/>
  <c r="K9790" i="9"/>
  <c r="A9790" i="9" s="1"/>
  <c r="A9789" i="9"/>
  <c r="K9789" i="9"/>
  <c r="K9788" i="9"/>
  <c r="A9788" i="9" s="1"/>
  <c r="K9787" i="9"/>
  <c r="A9787" i="9" s="1"/>
  <c r="K9786" i="9"/>
  <c r="A9786" i="9" s="1"/>
  <c r="K9785" i="9"/>
  <c r="A9785" i="9" s="1"/>
  <c r="K9784" i="9"/>
  <c r="A9784" i="9" s="1"/>
  <c r="K9783" i="9"/>
  <c r="A9783" i="9" s="1"/>
  <c r="K9782" i="9"/>
  <c r="A9782" i="9" s="1"/>
  <c r="K9781" i="9"/>
  <c r="A9781" i="9" s="1"/>
  <c r="K9780" i="9"/>
  <c r="A9780" i="9" s="1"/>
  <c r="A9779" i="9"/>
  <c r="K9779" i="9"/>
  <c r="K9778" i="9"/>
  <c r="A9778" i="9" s="1"/>
  <c r="K9777" i="9"/>
  <c r="A9777" i="9" s="1"/>
  <c r="K9776" i="9"/>
  <c r="A9776" i="9" s="1"/>
  <c r="K9775" i="9"/>
  <c r="A9775" i="9" s="1"/>
  <c r="K9774" i="9"/>
  <c r="A9774" i="9" s="1"/>
  <c r="A9808" i="9"/>
  <c r="K9808" i="9"/>
  <c r="K9807" i="9"/>
  <c r="A9807" i="9" s="1"/>
  <c r="K9805" i="9"/>
  <c r="A9805" i="9" s="1"/>
  <c r="K9804" i="9"/>
  <c r="A9804" i="9" s="1"/>
  <c r="K9806" i="9"/>
  <c r="A9806" i="9" s="1"/>
  <c r="K9803" i="9"/>
  <c r="A9803" i="9" s="1"/>
  <c r="K9773" i="9"/>
  <c r="A9773" i="9" s="1"/>
  <c r="K9772" i="9"/>
  <c r="A9772" i="9" s="1"/>
  <c r="A9771" i="9"/>
  <c r="K9771" i="9"/>
  <c r="K9770" i="9"/>
  <c r="A9770" i="9" s="1"/>
  <c r="A9769" i="9"/>
  <c r="K9769" i="9"/>
  <c r="K9768" i="9"/>
  <c r="A9768" i="9" s="1"/>
  <c r="K9767" i="9"/>
  <c r="A9767" i="9" s="1"/>
  <c r="K9766" i="9"/>
  <c r="A9766" i="9" s="1"/>
  <c r="K9765" i="9"/>
  <c r="A9765" i="9" s="1"/>
  <c r="K9764" i="9"/>
  <c r="A9764" i="9" s="1"/>
  <c r="K9763" i="9"/>
  <c r="A9763" i="9" s="1"/>
  <c r="K9762" i="9"/>
  <c r="A9762" i="9" s="1"/>
  <c r="K9761" i="9"/>
  <c r="A9761" i="9" s="1"/>
  <c r="K9760" i="9"/>
  <c r="A9760" i="9" s="1"/>
  <c r="K9759" i="9"/>
  <c r="A9759" i="9" s="1"/>
  <c r="K9758" i="9"/>
  <c r="A9758" i="9" s="1"/>
  <c r="K9757" i="9"/>
  <c r="A9757" i="9" s="1"/>
  <c r="K9756" i="9"/>
  <c r="A9756" i="9" s="1"/>
  <c r="A9755" i="9"/>
  <c r="K9755" i="9"/>
  <c r="K9754" i="9"/>
  <c r="A9754" i="9" s="1"/>
  <c r="K9753" i="9"/>
  <c r="A9753" i="9" s="1"/>
  <c r="K9752" i="9"/>
  <c r="A9752" i="9" s="1"/>
  <c r="K9751" i="9"/>
  <c r="A9751" i="9" s="1"/>
  <c r="K9750" i="9"/>
  <c r="A9750" i="9" s="1"/>
  <c r="K9749" i="9"/>
  <c r="A9749" i="9" s="1"/>
  <c r="K9748" i="9"/>
  <c r="A9748" i="9" s="1"/>
  <c r="K9747" i="9"/>
  <c r="A9747" i="9" s="1"/>
  <c r="K9746" i="9"/>
  <c r="A9746" i="9" s="1"/>
  <c r="K9745" i="9"/>
  <c r="A9745" i="9" s="1"/>
  <c r="K9744" i="9"/>
  <c r="A9744" i="9" s="1"/>
  <c r="K9743" i="9"/>
  <c r="A9743" i="9" s="1"/>
  <c r="K9742" i="9"/>
  <c r="A9742" i="9" s="1"/>
  <c r="K9741" i="9"/>
  <c r="A9741" i="9" s="1"/>
  <c r="K9740" i="9"/>
  <c r="A9740" i="9" s="1"/>
  <c r="K9739" i="9"/>
  <c r="A9739" i="9" s="1"/>
  <c r="K9738" i="9"/>
  <c r="A9738" i="9" s="1"/>
  <c r="K9737" i="9"/>
  <c r="A9737" i="9" s="1"/>
  <c r="K9736" i="9"/>
  <c r="A9736" i="9" s="1"/>
  <c r="K9735" i="9"/>
  <c r="A9735" i="9" s="1"/>
  <c r="K9734" i="9"/>
  <c r="A9734" i="9" s="1"/>
  <c r="K9733" i="9"/>
  <c r="A9733" i="9" s="1"/>
  <c r="K9732" i="9"/>
  <c r="A9732" i="9" s="1"/>
  <c r="A9731" i="9"/>
  <c r="K9731" i="9"/>
  <c r="K9730" i="9"/>
  <c r="A9730" i="9" s="1"/>
  <c r="K9729" i="9"/>
  <c r="A9729" i="9" s="1"/>
  <c r="K9728" i="9"/>
  <c r="A9728" i="9" s="1"/>
  <c r="K9727" i="9"/>
  <c r="A9727" i="9" s="1"/>
  <c r="K9726" i="9"/>
  <c r="A9726" i="9" s="1"/>
  <c r="K9725" i="9"/>
  <c r="A9725" i="9" s="1"/>
  <c r="K9724" i="9"/>
  <c r="A9724" i="9" s="1"/>
  <c r="K9723" i="9"/>
  <c r="A9723" i="9" s="1"/>
  <c r="K9722" i="9"/>
  <c r="A9722" i="9" s="1"/>
  <c r="A9721" i="9"/>
  <c r="K9721" i="9"/>
  <c r="K9720" i="9"/>
  <c r="A9720" i="9" s="1"/>
  <c r="K9719" i="9"/>
  <c r="A9719" i="9" s="1"/>
  <c r="K9718" i="9"/>
  <c r="A9718" i="9" s="1"/>
  <c r="K9717" i="9"/>
  <c r="A9717" i="9" s="1"/>
  <c r="K9716" i="9"/>
  <c r="A9716" i="9" s="1"/>
  <c r="A9715" i="9"/>
  <c r="K9715" i="9"/>
  <c r="K9714" i="9"/>
  <c r="A9714" i="9" s="1"/>
  <c r="K9713" i="9"/>
  <c r="A9713" i="9" s="1"/>
  <c r="K9712" i="9"/>
  <c r="A9712" i="9" s="1"/>
  <c r="K9711" i="9"/>
  <c r="A9711" i="9" s="1"/>
  <c r="K9710" i="9"/>
  <c r="A9710" i="9" s="1"/>
  <c r="K9709" i="9"/>
  <c r="A9709" i="9" s="1"/>
  <c r="K9708" i="9"/>
  <c r="A9708" i="9" s="1"/>
  <c r="A9707" i="9"/>
  <c r="K9707" i="9"/>
  <c r="K9706" i="9"/>
  <c r="A9706" i="9" s="1"/>
  <c r="A9705" i="9"/>
  <c r="K9705" i="9"/>
  <c r="K9704" i="9"/>
  <c r="A9704" i="9" s="1"/>
  <c r="K9703" i="9"/>
  <c r="A9703" i="9" s="1"/>
  <c r="K9702" i="9"/>
  <c r="A9702" i="9" s="1"/>
  <c r="K9701" i="9"/>
  <c r="A9701" i="9" s="1"/>
  <c r="K9700" i="9"/>
  <c r="A9700" i="9" s="1"/>
  <c r="A9699" i="9"/>
  <c r="K9699" i="9"/>
  <c r="K9698" i="9"/>
  <c r="A9698" i="9" s="1"/>
  <c r="K9697" i="9"/>
  <c r="A9697" i="9" s="1"/>
  <c r="K9696" i="9"/>
  <c r="A9696" i="9" s="1"/>
  <c r="K9695" i="9"/>
  <c r="A9695" i="9" s="1"/>
  <c r="K9694" i="9"/>
  <c r="A9694" i="9" s="1"/>
  <c r="K9693" i="9"/>
  <c r="A9693" i="9" s="1"/>
  <c r="K9692" i="9"/>
  <c r="A9692" i="9" s="1"/>
  <c r="A9691" i="9"/>
  <c r="K9691" i="9"/>
  <c r="K9690" i="9"/>
  <c r="A9690" i="9" s="1"/>
  <c r="A9689" i="9"/>
  <c r="K9689" i="9"/>
  <c r="K9688" i="9"/>
  <c r="A9688" i="9" s="1"/>
  <c r="K9687" i="9"/>
  <c r="A9687" i="9" s="1"/>
  <c r="K9686" i="9"/>
  <c r="A9686" i="9" s="1"/>
  <c r="K9685" i="9"/>
  <c r="A9685" i="9" s="1"/>
  <c r="K9684" i="9"/>
  <c r="A9684" i="9" s="1"/>
  <c r="K9683" i="9"/>
  <c r="A9683" i="9" s="1"/>
  <c r="K9682" i="9"/>
  <c r="A9682" i="9" s="1"/>
  <c r="K9681" i="9"/>
  <c r="A9681" i="9" s="1"/>
  <c r="K9680" i="9"/>
  <c r="A9680" i="9" s="1"/>
  <c r="K9679" i="9"/>
  <c r="A9679" i="9" s="1"/>
  <c r="K9678" i="9"/>
  <c r="A9678" i="9" s="1"/>
  <c r="K9677" i="9"/>
  <c r="A9677" i="9" s="1"/>
  <c r="K9676" i="9"/>
  <c r="A9676" i="9" s="1"/>
  <c r="K9675" i="9"/>
  <c r="A9675" i="9" s="1"/>
  <c r="K9674" i="9"/>
  <c r="A9674" i="9" s="1"/>
  <c r="K9673" i="9"/>
  <c r="A9673" i="9" s="1"/>
  <c r="K9672" i="9"/>
  <c r="A9672" i="9" s="1"/>
  <c r="K9671" i="9"/>
  <c r="A9671" i="9" s="1"/>
  <c r="K9670" i="9"/>
  <c r="A9670" i="9" s="1"/>
  <c r="K9669" i="9"/>
  <c r="A9669" i="9" s="1"/>
  <c r="K9668" i="9"/>
  <c r="A9668" i="9" s="1"/>
  <c r="A9667" i="9"/>
  <c r="K9667" i="9"/>
  <c r="K9666" i="9"/>
  <c r="A9666" i="9" s="1"/>
  <c r="K9665" i="9"/>
  <c r="A9665" i="9" s="1"/>
  <c r="K9664" i="9"/>
  <c r="A9664" i="9" s="1"/>
  <c r="K9663" i="9"/>
  <c r="A9663" i="9" s="1"/>
  <c r="K9662" i="9"/>
  <c r="A9662" i="9" s="1"/>
  <c r="K9661" i="9"/>
  <c r="A9661" i="9" s="1"/>
  <c r="K9660" i="9"/>
  <c r="A9660" i="9" s="1"/>
  <c r="K9659" i="9"/>
  <c r="A9659" i="9" s="1"/>
  <c r="K9658" i="9"/>
  <c r="A9658" i="9" s="1"/>
  <c r="A9657" i="9"/>
  <c r="K9657" i="9"/>
  <c r="K9656" i="9"/>
  <c r="A9656" i="9" s="1"/>
  <c r="K9655" i="9"/>
  <c r="A9655" i="9" s="1"/>
  <c r="K9654" i="9"/>
  <c r="A9654" i="9" s="1"/>
  <c r="K9653" i="9"/>
  <c r="A9653" i="9" s="1"/>
  <c r="K9652" i="9"/>
  <c r="A9652" i="9" s="1"/>
  <c r="K9651" i="9"/>
  <c r="A9651" i="9" s="1"/>
  <c r="K9650" i="9"/>
  <c r="A9650" i="9" s="1"/>
  <c r="K9649" i="9"/>
  <c r="A9649" i="9" s="1"/>
  <c r="K9648" i="9"/>
  <c r="A9648" i="9" s="1"/>
  <c r="K9647" i="9"/>
  <c r="A9647" i="9" s="1"/>
  <c r="K9646" i="9"/>
  <c r="A9646" i="9" s="1"/>
  <c r="K9645" i="9"/>
  <c r="A9645" i="9" s="1"/>
  <c r="K9644" i="9"/>
  <c r="A9644" i="9" s="1"/>
  <c r="A9643" i="9"/>
  <c r="K9643" i="9"/>
  <c r="K9642" i="9"/>
  <c r="A9642" i="9" s="1"/>
  <c r="K9641" i="9"/>
  <c r="A9641" i="9" s="1"/>
  <c r="K9640" i="9"/>
  <c r="A9640" i="9" s="1"/>
  <c r="K9639" i="9"/>
  <c r="A9639" i="9" s="1"/>
  <c r="K9638" i="9"/>
  <c r="A9638" i="9" s="1"/>
  <c r="K9637" i="9"/>
  <c r="A9637" i="9" s="1"/>
  <c r="K9636" i="9"/>
  <c r="A9636" i="9" s="1"/>
  <c r="A9635" i="9"/>
  <c r="K9635" i="9"/>
  <c r="K9634" i="9"/>
  <c r="A9634" i="9" s="1"/>
  <c r="K9633" i="9"/>
  <c r="A9633" i="9" s="1"/>
  <c r="K9632" i="9"/>
  <c r="A9632" i="9" s="1"/>
  <c r="K9631" i="9"/>
  <c r="A9631" i="9" s="1"/>
  <c r="K9630" i="9"/>
  <c r="A9630" i="9" s="1"/>
  <c r="K9629" i="9"/>
  <c r="A9629" i="9" s="1"/>
  <c r="K9628" i="9"/>
  <c r="A9628" i="9" s="1"/>
  <c r="K9627" i="9"/>
  <c r="A9627" i="9" s="1"/>
  <c r="K9626" i="9"/>
  <c r="A9626" i="9" s="1"/>
  <c r="A9625" i="9"/>
  <c r="K9625" i="9"/>
  <c r="K9624" i="9"/>
  <c r="A9624" i="9" s="1"/>
  <c r="K9623" i="9"/>
  <c r="A9623" i="9" s="1"/>
  <c r="K9622" i="9"/>
  <c r="A9622" i="9" s="1"/>
  <c r="K9621" i="9"/>
  <c r="A9621" i="9" s="1"/>
  <c r="K9620" i="9"/>
  <c r="A9620" i="9" s="1"/>
  <c r="K9619" i="9"/>
  <c r="A9619" i="9" s="1"/>
  <c r="K9618" i="9"/>
  <c r="A9618" i="9" s="1"/>
  <c r="K9617" i="9"/>
  <c r="A9617" i="9" s="1"/>
  <c r="K9616" i="9"/>
  <c r="A9616" i="9" s="1"/>
  <c r="K9615" i="9"/>
  <c r="A9615" i="9" s="1"/>
  <c r="K9614" i="9"/>
  <c r="A9614" i="9" s="1"/>
  <c r="K9613" i="9"/>
  <c r="A9613" i="9" s="1"/>
  <c r="K9612" i="9"/>
  <c r="A9612" i="9" s="1"/>
  <c r="A9611" i="9"/>
  <c r="K9611" i="9"/>
  <c r="K9610" i="9"/>
  <c r="A9610" i="9" s="1"/>
  <c r="K9609" i="9"/>
  <c r="A9609" i="9" s="1"/>
  <c r="K9608" i="9"/>
  <c r="A9608" i="9" s="1"/>
  <c r="K9607" i="9"/>
  <c r="A9607" i="9" s="1"/>
  <c r="K9606" i="9"/>
  <c r="A9606" i="9" s="1"/>
  <c r="K9605" i="9"/>
  <c r="A9605" i="9" s="1"/>
  <c r="K9604" i="9"/>
  <c r="A9604" i="9" s="1"/>
  <c r="A9603" i="9"/>
  <c r="K9603" i="9"/>
  <c r="K9602" i="9"/>
  <c r="A9602" i="9" s="1"/>
  <c r="K9601" i="9"/>
  <c r="A9601" i="9" s="1"/>
  <c r="K9600" i="9"/>
  <c r="A9600" i="9" s="1"/>
  <c r="K9599" i="9"/>
  <c r="A9599" i="9" s="1"/>
  <c r="K9598" i="9"/>
  <c r="A9598" i="9" s="1"/>
  <c r="K9597" i="9"/>
  <c r="A9597" i="9" s="1"/>
  <c r="K9596" i="9"/>
  <c r="A9596" i="9" s="1"/>
  <c r="K9595" i="9"/>
  <c r="A9595" i="9" s="1"/>
  <c r="K9594" i="9"/>
  <c r="A9594" i="9" s="1"/>
  <c r="A9593" i="9"/>
  <c r="K9593" i="9"/>
  <c r="K9592" i="9"/>
  <c r="A9592" i="9" s="1"/>
  <c r="K9591" i="9"/>
  <c r="A9591" i="9" s="1"/>
  <c r="K9590" i="9"/>
  <c r="A9590" i="9" s="1"/>
  <c r="K9589" i="9"/>
  <c r="A9589" i="9" s="1"/>
  <c r="K9588" i="9"/>
  <c r="A9588" i="9" s="1"/>
  <c r="K9587" i="9"/>
  <c r="A9587" i="9" s="1"/>
  <c r="K9586" i="9"/>
  <c r="A9586" i="9" s="1"/>
  <c r="K9585" i="9"/>
  <c r="A9585" i="9" s="1"/>
  <c r="K9584" i="9"/>
  <c r="A9584" i="9" s="1"/>
  <c r="K9583" i="9"/>
  <c r="A9583" i="9" s="1"/>
  <c r="K9582" i="9"/>
  <c r="A9582" i="9" s="1"/>
  <c r="K9581" i="9"/>
  <c r="A9581" i="9" s="1"/>
  <c r="A9580" i="9"/>
  <c r="K9580" i="9"/>
  <c r="K9579" i="9"/>
  <c r="A9579" i="9" s="1"/>
  <c r="K9578" i="9"/>
  <c r="A9578" i="9" s="1"/>
  <c r="K9577" i="9"/>
  <c r="A9577" i="9" s="1"/>
  <c r="A9576" i="9"/>
  <c r="K9576" i="9"/>
  <c r="K9575" i="9"/>
  <c r="A9575" i="9" s="1"/>
  <c r="K9574" i="9"/>
  <c r="A9574" i="9" s="1"/>
  <c r="K9573" i="9"/>
  <c r="A9573" i="9" s="1"/>
  <c r="A9572" i="9"/>
  <c r="K9572" i="9"/>
  <c r="K9571" i="9"/>
  <c r="A9571" i="9" s="1"/>
  <c r="A9570" i="9"/>
  <c r="K9570" i="9"/>
  <c r="K9569" i="9"/>
  <c r="A9569" i="9" s="1"/>
  <c r="A9568" i="9"/>
  <c r="K9568" i="9"/>
  <c r="K9567" i="9"/>
  <c r="A9567" i="9" s="1"/>
  <c r="K9566" i="9"/>
  <c r="A9566" i="9" s="1"/>
  <c r="K9565" i="9"/>
  <c r="A9565" i="9" s="1"/>
  <c r="A9564" i="9"/>
  <c r="K9564" i="9"/>
  <c r="K9563" i="9"/>
  <c r="A9563" i="9" s="1"/>
  <c r="A9562" i="9"/>
  <c r="K9562" i="9"/>
  <c r="K9561" i="9"/>
  <c r="A9561" i="9" s="1"/>
  <c r="K9560" i="9"/>
  <c r="A9560" i="9" s="1"/>
  <c r="K9559" i="9"/>
  <c r="A9559" i="9" s="1"/>
  <c r="K9558" i="9"/>
  <c r="A9558" i="9" s="1"/>
  <c r="K9557" i="9"/>
  <c r="A9557" i="9" s="1"/>
  <c r="A9556" i="9"/>
  <c r="K9556" i="9"/>
  <c r="K9555" i="9"/>
  <c r="A9555" i="9" s="1"/>
  <c r="K9554" i="9"/>
  <c r="A9554" i="9" s="1"/>
  <c r="K9551" i="9"/>
  <c r="A9551" i="9" s="1"/>
  <c r="K9553" i="9"/>
  <c r="A9553" i="9" s="1"/>
  <c r="K9552" i="9"/>
  <c r="A9552" i="9" s="1"/>
  <c r="K9550" i="9"/>
  <c r="A9550" i="9" s="1"/>
  <c r="K9548" i="9"/>
  <c r="A9548" i="9" s="1"/>
  <c r="A9547" i="9"/>
  <c r="K9547" i="9"/>
  <c r="K9546" i="9"/>
  <c r="A9546" i="9" s="1"/>
  <c r="K9549" i="9"/>
  <c r="A9549" i="9" s="1"/>
  <c r="K9545" i="9"/>
  <c r="A9545" i="9" s="1"/>
  <c r="A9544" i="9"/>
  <c r="K9544" i="9"/>
  <c r="K9543" i="9"/>
  <c r="A9543" i="9" s="1"/>
  <c r="K9542" i="9"/>
  <c r="A9542" i="9" s="1"/>
  <c r="K9541" i="9"/>
  <c r="A9541" i="9" s="1"/>
  <c r="A9540" i="9"/>
  <c r="K9540" i="9"/>
  <c r="K9539" i="9"/>
  <c r="A9539" i="9" s="1"/>
  <c r="A9538" i="9"/>
  <c r="K9538" i="9"/>
  <c r="K9537" i="9"/>
  <c r="A9537" i="9" s="1"/>
  <c r="A9536" i="9"/>
  <c r="K9536" i="9"/>
  <c r="K9535" i="9"/>
  <c r="A9535" i="9" s="1"/>
  <c r="K9534" i="9"/>
  <c r="A9534" i="9" s="1"/>
  <c r="K9533" i="9"/>
  <c r="A9533" i="9" s="1"/>
  <c r="A9532" i="9"/>
  <c r="K9532" i="9"/>
  <c r="K9531" i="9"/>
  <c r="A9531" i="9" s="1"/>
  <c r="A9530" i="9"/>
  <c r="K9530" i="9"/>
  <c r="K9529" i="9"/>
  <c r="A9529" i="9" s="1"/>
  <c r="K9528" i="9"/>
  <c r="A9528" i="9" s="1"/>
  <c r="K9527" i="9"/>
  <c r="A9527" i="9" s="1"/>
  <c r="K9526" i="9"/>
  <c r="A9526" i="9" s="1"/>
  <c r="K9525" i="9"/>
  <c r="A9525" i="9" s="1"/>
  <c r="A9524" i="9"/>
  <c r="K9524" i="9"/>
  <c r="K9523" i="9"/>
  <c r="A9523" i="9" s="1"/>
  <c r="K9522" i="9"/>
  <c r="A9522" i="9" s="1"/>
  <c r="K9521" i="9"/>
  <c r="A9521" i="9" s="1"/>
  <c r="K9520" i="9"/>
  <c r="A9520" i="9" s="1"/>
  <c r="K9519" i="9"/>
  <c r="A9519" i="9" s="1"/>
  <c r="K9518" i="9"/>
  <c r="A9518" i="9" s="1"/>
  <c r="K9517" i="9"/>
  <c r="A9517" i="9" s="1"/>
  <c r="A9516" i="9"/>
  <c r="K9516" i="9"/>
  <c r="K9515" i="9"/>
  <c r="A9515" i="9" s="1"/>
  <c r="K9514" i="9"/>
  <c r="A9514" i="9" s="1"/>
  <c r="K9513" i="9"/>
  <c r="A9513" i="9" s="1"/>
  <c r="A9512" i="9"/>
  <c r="K9512" i="9"/>
  <c r="K9511" i="9"/>
  <c r="A9511" i="9" s="1"/>
  <c r="K9510" i="9"/>
  <c r="A9510" i="9" s="1"/>
  <c r="K9509" i="9"/>
  <c r="A9509" i="9" s="1"/>
  <c r="A9508" i="9"/>
  <c r="K9508" i="9"/>
  <c r="K9507" i="9"/>
  <c r="A9507" i="9" s="1"/>
  <c r="A9506" i="9"/>
  <c r="K9506" i="9"/>
  <c r="K9505" i="9"/>
  <c r="A9505" i="9" s="1"/>
  <c r="A9504" i="9"/>
  <c r="K9504" i="9"/>
  <c r="K9503" i="9"/>
  <c r="A9503" i="9" s="1"/>
  <c r="K9501" i="9"/>
  <c r="A9501" i="9" s="1"/>
  <c r="K9502" i="9"/>
  <c r="A9502" i="9" s="1"/>
  <c r="A9500" i="9"/>
  <c r="K9500" i="9"/>
  <c r="K9499" i="9"/>
  <c r="A9499" i="9" s="1"/>
  <c r="A9498" i="9"/>
  <c r="K9498" i="9"/>
  <c r="K9497" i="9"/>
  <c r="A9497" i="9" s="1"/>
  <c r="K9496" i="9"/>
  <c r="A9496" i="9" s="1"/>
  <c r="K9495" i="9"/>
  <c r="A9495" i="9" s="1"/>
  <c r="K9160" i="9"/>
  <c r="A9160" i="9" s="1"/>
  <c r="K9159" i="9"/>
  <c r="A9159" i="9" s="1"/>
  <c r="A9420" i="9"/>
  <c r="K9420" i="9"/>
  <c r="K9419" i="9"/>
  <c r="A9419" i="9" s="1"/>
  <c r="K9418" i="9"/>
  <c r="A9418" i="9" s="1"/>
  <c r="K9417" i="9"/>
  <c r="A9417" i="9" s="1"/>
  <c r="K9416" i="9"/>
  <c r="A9416" i="9" s="1"/>
  <c r="K9415" i="9"/>
  <c r="A9415" i="9" s="1"/>
  <c r="K9414" i="9"/>
  <c r="A9414" i="9" s="1"/>
  <c r="K9413" i="9"/>
  <c r="A9413" i="9" s="1"/>
  <c r="A9412" i="9"/>
  <c r="K9412" i="9"/>
  <c r="K9411" i="9"/>
  <c r="A9411" i="9" s="1"/>
  <c r="K9410" i="9"/>
  <c r="A9410" i="9" s="1"/>
  <c r="K9409" i="9"/>
  <c r="A9409" i="9" s="1"/>
  <c r="A9408" i="9"/>
  <c r="K9408" i="9"/>
  <c r="K9407" i="9"/>
  <c r="A9407" i="9" s="1"/>
  <c r="K9406" i="9"/>
  <c r="A9406" i="9" s="1"/>
  <c r="K9405" i="9"/>
  <c r="A9405" i="9" s="1"/>
  <c r="A9404" i="9"/>
  <c r="K9404" i="9"/>
  <c r="K9403" i="9"/>
  <c r="A9403" i="9" s="1"/>
  <c r="A9402" i="9"/>
  <c r="K9402" i="9"/>
  <c r="K9401" i="9"/>
  <c r="A9401" i="9" s="1"/>
  <c r="K9400" i="9"/>
  <c r="A9400" i="9" s="1"/>
  <c r="K9399" i="9"/>
  <c r="A9399" i="9" s="1"/>
  <c r="K9398" i="9"/>
  <c r="A9398" i="9" s="1"/>
  <c r="K9397" i="9"/>
  <c r="A9397" i="9" s="1"/>
  <c r="K9396" i="9"/>
  <c r="A9396" i="9" s="1"/>
  <c r="K9395" i="9"/>
  <c r="A9395" i="9" s="1"/>
  <c r="A9394" i="9"/>
  <c r="K9394" i="9"/>
  <c r="K9393" i="9"/>
  <c r="A9393" i="9" s="1"/>
  <c r="A9392" i="9"/>
  <c r="K9392" i="9"/>
  <c r="K9391" i="9"/>
  <c r="A9391" i="9" s="1"/>
  <c r="K9158" i="9"/>
  <c r="A9158" i="9" s="1"/>
  <c r="K9157" i="9"/>
  <c r="A9157" i="9" s="1"/>
  <c r="K9390" i="9"/>
  <c r="A9390" i="9" s="1"/>
  <c r="K9389" i="9"/>
  <c r="A9389" i="9" s="1"/>
  <c r="A9388" i="9"/>
  <c r="K9388" i="9"/>
  <c r="K9387" i="9"/>
  <c r="A9387" i="9" s="1"/>
  <c r="K9386" i="9"/>
  <c r="A9386" i="9" s="1"/>
  <c r="K9385" i="9"/>
  <c r="A9385" i="9" s="1"/>
  <c r="K9384" i="9"/>
  <c r="A9384" i="9" s="1"/>
  <c r="K9383" i="9"/>
  <c r="A9383" i="9" s="1"/>
  <c r="K9382" i="9"/>
  <c r="A9382" i="9" s="1"/>
  <c r="K9381" i="9"/>
  <c r="A9381" i="9" s="1"/>
  <c r="A9380" i="9"/>
  <c r="K9380" i="9"/>
  <c r="K9379" i="9"/>
  <c r="A9379" i="9" s="1"/>
  <c r="A9378" i="9"/>
  <c r="K9378" i="9"/>
  <c r="K9377" i="9"/>
  <c r="A9377" i="9" s="1"/>
  <c r="K9376" i="9"/>
  <c r="A9376" i="9" s="1"/>
  <c r="K9375" i="9"/>
  <c r="A9375" i="9" s="1"/>
  <c r="K9374" i="9"/>
  <c r="A9374" i="9" s="1"/>
  <c r="K9373" i="9"/>
  <c r="A9373" i="9" s="1"/>
  <c r="K9372" i="9"/>
  <c r="A9372" i="9" s="1"/>
  <c r="K9371" i="9"/>
  <c r="A9371" i="9" s="1"/>
  <c r="K9370" i="9"/>
  <c r="A9370" i="9" s="1"/>
  <c r="K9369" i="9"/>
  <c r="A9369" i="9" s="1"/>
  <c r="K9368" i="9"/>
  <c r="A9368" i="9" s="1"/>
  <c r="K9367" i="9"/>
  <c r="A9367" i="9" s="1"/>
  <c r="K9366" i="9"/>
  <c r="A9366" i="9" s="1"/>
  <c r="K9365" i="9"/>
  <c r="A9365" i="9" s="1"/>
  <c r="A9364" i="9"/>
  <c r="K9364" i="9"/>
  <c r="K9363" i="9"/>
  <c r="A9363" i="9" s="1"/>
  <c r="K9362" i="9"/>
  <c r="A9362" i="9" s="1"/>
  <c r="K9361" i="9"/>
  <c r="A9361" i="9" s="1"/>
  <c r="K9156" i="9"/>
  <c r="A9156" i="9" s="1"/>
  <c r="K9155" i="9"/>
  <c r="A9155" i="9" s="1"/>
  <c r="K9360" i="9"/>
  <c r="A9360" i="9" s="1"/>
  <c r="K9359" i="9"/>
  <c r="A9359" i="9" s="1"/>
  <c r="A9358" i="9"/>
  <c r="K9358" i="9"/>
  <c r="K9357" i="9"/>
  <c r="A9357" i="9" s="1"/>
  <c r="K9356" i="9"/>
  <c r="A9356" i="9" s="1"/>
  <c r="K9355" i="9"/>
  <c r="A9355" i="9" s="1"/>
  <c r="K9354" i="9"/>
  <c r="A9354" i="9" s="1"/>
  <c r="K9353" i="9"/>
  <c r="A9353" i="9" s="1"/>
  <c r="K9352" i="9"/>
  <c r="A9352" i="9" s="1"/>
  <c r="K9351" i="9"/>
  <c r="A9351" i="9" s="1"/>
  <c r="K9350" i="9"/>
  <c r="A9350" i="9" s="1"/>
  <c r="K9349" i="9"/>
  <c r="A9349" i="9" s="1"/>
  <c r="A9348" i="9"/>
  <c r="K9348" i="9"/>
  <c r="K9347" i="9"/>
  <c r="A9347" i="9" s="1"/>
  <c r="K9346" i="9"/>
  <c r="A9346" i="9" s="1"/>
  <c r="K9345" i="9"/>
  <c r="A9345" i="9" s="1"/>
  <c r="K9344" i="9"/>
  <c r="A9344" i="9" s="1"/>
  <c r="K9343" i="9"/>
  <c r="A9343" i="9" s="1"/>
  <c r="K9342" i="9"/>
  <c r="A9342" i="9" s="1"/>
  <c r="K9341" i="9"/>
  <c r="A9341" i="9" s="1"/>
  <c r="K9154" i="9"/>
  <c r="A9154" i="9" s="1"/>
  <c r="K9153" i="9"/>
  <c r="A9153" i="9" s="1"/>
  <c r="K9340" i="9"/>
  <c r="A9340" i="9" s="1"/>
  <c r="K9339" i="9"/>
  <c r="A9339" i="9" s="1"/>
  <c r="K9338" i="9"/>
  <c r="A9338" i="9" s="1"/>
  <c r="K9337" i="9"/>
  <c r="A9337" i="9" s="1"/>
  <c r="A9336" i="9"/>
  <c r="K9336" i="9"/>
  <c r="K9335" i="9"/>
  <c r="A9335" i="9" s="1"/>
  <c r="K9334" i="9"/>
  <c r="A9334" i="9" s="1"/>
  <c r="K9333" i="9"/>
  <c r="A9333" i="9" s="1"/>
  <c r="K9332" i="9"/>
  <c r="A9332" i="9" s="1"/>
  <c r="K9331" i="9"/>
  <c r="A9331" i="9" s="1"/>
  <c r="K9330" i="9"/>
  <c r="A9330" i="9" s="1"/>
  <c r="K9329" i="9"/>
  <c r="A9329" i="9" s="1"/>
  <c r="A9328" i="9"/>
  <c r="K9328" i="9"/>
  <c r="K9327" i="9"/>
  <c r="A9327" i="9" s="1"/>
  <c r="K9326" i="9"/>
  <c r="A9326" i="9" s="1"/>
  <c r="K9325" i="9"/>
  <c r="A9325" i="9" s="1"/>
  <c r="A9324" i="9"/>
  <c r="K9324" i="9"/>
  <c r="K9323" i="9"/>
  <c r="A9323" i="9" s="1"/>
  <c r="A9322" i="9"/>
  <c r="K9322" i="9"/>
  <c r="K9321" i="9"/>
  <c r="A9321" i="9" s="1"/>
  <c r="A9152" i="9"/>
  <c r="K9152" i="9"/>
  <c r="K9151" i="9"/>
  <c r="A9151" i="9" s="1"/>
  <c r="K9320" i="9"/>
  <c r="A9320" i="9" s="1"/>
  <c r="K9319" i="9"/>
  <c r="A9319" i="9" s="1"/>
  <c r="A9318" i="9"/>
  <c r="K9318" i="9"/>
  <c r="K9317" i="9"/>
  <c r="A9317" i="9" s="1"/>
  <c r="A9316" i="9"/>
  <c r="K9316" i="9"/>
  <c r="K9315" i="9"/>
  <c r="A9315" i="9" s="1"/>
  <c r="K9314" i="9"/>
  <c r="A9314" i="9" s="1"/>
  <c r="K9313" i="9"/>
  <c r="A9313" i="9" s="1"/>
  <c r="K9312" i="9"/>
  <c r="A9312" i="9" s="1"/>
  <c r="K9311" i="9"/>
  <c r="A9311" i="9" s="1"/>
  <c r="A9310" i="9"/>
  <c r="K9310" i="9"/>
  <c r="K9309" i="9"/>
  <c r="A9309" i="9" s="1"/>
  <c r="K9308" i="9"/>
  <c r="A9308" i="9" s="1"/>
  <c r="K9307" i="9"/>
  <c r="A9307" i="9" s="1"/>
  <c r="K9306" i="9"/>
  <c r="A9306" i="9" s="1"/>
  <c r="K9305" i="9"/>
  <c r="A9305" i="9" s="1"/>
  <c r="K9304" i="9"/>
  <c r="A9304" i="9" s="1"/>
  <c r="K9303" i="9"/>
  <c r="A9303" i="9" s="1"/>
  <c r="A9302" i="9"/>
  <c r="K9302" i="9"/>
  <c r="K9301" i="9"/>
  <c r="A9301" i="9" s="1"/>
  <c r="K9300" i="9"/>
  <c r="A9300" i="9" s="1"/>
  <c r="K9299" i="9"/>
  <c r="A9299" i="9" s="1"/>
  <c r="A9298" i="9"/>
  <c r="K9298" i="9"/>
  <c r="K9297" i="9"/>
  <c r="A9297" i="9" s="1"/>
  <c r="K9296" i="9"/>
  <c r="A9296" i="9" s="1"/>
  <c r="K9295" i="9"/>
  <c r="A9295" i="9" s="1"/>
  <c r="A9294" i="9"/>
  <c r="K9294" i="9"/>
  <c r="K9293" i="9"/>
  <c r="A9293" i="9" s="1"/>
  <c r="A9292" i="9"/>
  <c r="K9292" i="9"/>
  <c r="K9291" i="9"/>
  <c r="A9291" i="9" s="1"/>
  <c r="A9290" i="9"/>
  <c r="K9290" i="9"/>
  <c r="K9150" i="9"/>
  <c r="A9150" i="9" s="1"/>
  <c r="K9149" i="9"/>
  <c r="A9149" i="9" s="1"/>
  <c r="K9289" i="9"/>
  <c r="A9289" i="9" s="1"/>
  <c r="A9288" i="9"/>
  <c r="K9288" i="9"/>
  <c r="K9287" i="9"/>
  <c r="A9287" i="9" s="1"/>
  <c r="A9286" i="9"/>
  <c r="K9286" i="9"/>
  <c r="K9285" i="9"/>
  <c r="A9285" i="9" s="1"/>
  <c r="K9284" i="9"/>
  <c r="A9284" i="9" s="1"/>
  <c r="K9283" i="9"/>
  <c r="A9283" i="9" s="1"/>
  <c r="K9282" i="9"/>
  <c r="A9282" i="9" s="1"/>
  <c r="K9281" i="9"/>
  <c r="A9281" i="9" s="1"/>
  <c r="A9280" i="9"/>
  <c r="K9280" i="9"/>
  <c r="K9279" i="9"/>
  <c r="A9279" i="9" s="1"/>
  <c r="K9278" i="9"/>
  <c r="A9278" i="9" s="1"/>
  <c r="K9277" i="9"/>
  <c r="A9277" i="9" s="1"/>
  <c r="K9276" i="9"/>
  <c r="A9276" i="9" s="1"/>
  <c r="K9275" i="9"/>
  <c r="A9275" i="9" s="1"/>
  <c r="K9274" i="9"/>
  <c r="A9274" i="9" s="1"/>
  <c r="K9273" i="9"/>
  <c r="A9273" i="9" s="1"/>
  <c r="A9272" i="9"/>
  <c r="K9272" i="9"/>
  <c r="K9271" i="9"/>
  <c r="A9271" i="9" s="1"/>
  <c r="K9270" i="9"/>
  <c r="A9270" i="9" s="1"/>
  <c r="K9269" i="9"/>
  <c r="A9269" i="9" s="1"/>
  <c r="A9268" i="9"/>
  <c r="K9268" i="9"/>
  <c r="K9267" i="9"/>
  <c r="A9267" i="9" s="1"/>
  <c r="K9266" i="9"/>
  <c r="A9266" i="9" s="1"/>
  <c r="K9265" i="9"/>
  <c r="A9265" i="9" s="1"/>
  <c r="A9264" i="9"/>
  <c r="K9264" i="9"/>
  <c r="K9263" i="9"/>
  <c r="A9263" i="9" s="1"/>
  <c r="A9262" i="9"/>
  <c r="K9262" i="9"/>
  <c r="K9261" i="9"/>
  <c r="A9261" i="9" s="1"/>
  <c r="A9260" i="9"/>
  <c r="K9260" i="9"/>
  <c r="K9259" i="9"/>
  <c r="A9259" i="9" s="1"/>
  <c r="K9258" i="9"/>
  <c r="A9258" i="9" s="1"/>
  <c r="K9257" i="9"/>
  <c r="A9257" i="9" s="1"/>
  <c r="A9256" i="9"/>
  <c r="K9256" i="9"/>
  <c r="K9255" i="9"/>
  <c r="A9255" i="9" s="1"/>
  <c r="A9148" i="9"/>
  <c r="K9148" i="9"/>
  <c r="K9147" i="9"/>
  <c r="A9147" i="9" s="1"/>
  <c r="K9254" i="9"/>
  <c r="A9254" i="9" s="1"/>
  <c r="K9253" i="9"/>
  <c r="A9253" i="9" s="1"/>
  <c r="K9252" i="9"/>
  <c r="A9252" i="9" s="1"/>
  <c r="K9251" i="9"/>
  <c r="A9251" i="9" s="1"/>
  <c r="A9250" i="9"/>
  <c r="K9250" i="9"/>
  <c r="K9249" i="9"/>
  <c r="A9249" i="9" s="1"/>
  <c r="K9248" i="9"/>
  <c r="A9248" i="9" s="1"/>
  <c r="K9247" i="9"/>
  <c r="A9247" i="9" s="1"/>
  <c r="K9246" i="9"/>
  <c r="A9246" i="9" s="1"/>
  <c r="K9245" i="9"/>
  <c r="A9245" i="9" s="1"/>
  <c r="K9244" i="9"/>
  <c r="A9244" i="9" s="1"/>
  <c r="K9243" i="9"/>
  <c r="A9243" i="9" s="1"/>
  <c r="A9242" i="9"/>
  <c r="K9242" i="9"/>
  <c r="K9241" i="9"/>
  <c r="A9241" i="9" s="1"/>
  <c r="K9240" i="9"/>
  <c r="A9240" i="9" s="1"/>
  <c r="K9239" i="9"/>
  <c r="A9239" i="9" s="1"/>
  <c r="A9238" i="9"/>
  <c r="K9238" i="9"/>
  <c r="K9237" i="9"/>
  <c r="A9237" i="9" s="1"/>
  <c r="K9236" i="9"/>
  <c r="A9236" i="9" s="1"/>
  <c r="K9235" i="9"/>
  <c r="A9235" i="9" s="1"/>
  <c r="A9234" i="9"/>
  <c r="K9234" i="9"/>
  <c r="K9233" i="9"/>
  <c r="A9233" i="9" s="1"/>
  <c r="A9232" i="9"/>
  <c r="K9232" i="9"/>
  <c r="K9231" i="9"/>
  <c r="A9231" i="9" s="1"/>
  <c r="A9230" i="9"/>
  <c r="K9230" i="9"/>
  <c r="K9229" i="9"/>
  <c r="A9229" i="9" s="1"/>
  <c r="K9228" i="9"/>
  <c r="A9228" i="9" s="1"/>
  <c r="K9227" i="9"/>
  <c r="A9227" i="9" s="1"/>
  <c r="A9226" i="9"/>
  <c r="K9226" i="9"/>
  <c r="K9225" i="9"/>
  <c r="A9225" i="9" s="1"/>
  <c r="A9224" i="9"/>
  <c r="K9224" i="9"/>
  <c r="K9223" i="9"/>
  <c r="A9223" i="9" s="1"/>
  <c r="K9222" i="9"/>
  <c r="A9222" i="9" s="1"/>
  <c r="K9221" i="9"/>
  <c r="A9221" i="9" s="1"/>
  <c r="K9220" i="9"/>
  <c r="A9220" i="9" s="1"/>
  <c r="K9146" i="9"/>
  <c r="A9146" i="9" s="1"/>
  <c r="A9145" i="9"/>
  <c r="K9145" i="9"/>
  <c r="K9219" i="9"/>
  <c r="A9219" i="9" s="1"/>
  <c r="K9218" i="9"/>
  <c r="A9218" i="9" s="1"/>
  <c r="K9217" i="9"/>
  <c r="A9217" i="9" s="1"/>
  <c r="K9216" i="9"/>
  <c r="A9216" i="9" s="1"/>
  <c r="K9215" i="9"/>
  <c r="A9215" i="9" s="1"/>
  <c r="A9214" i="9"/>
  <c r="K9214" i="9"/>
  <c r="K9213" i="9"/>
  <c r="A9213" i="9" s="1"/>
  <c r="A9212" i="9"/>
  <c r="K9212" i="9"/>
  <c r="K9211" i="9"/>
  <c r="A9211" i="9" s="1"/>
  <c r="K9210" i="9"/>
  <c r="A9210" i="9" s="1"/>
  <c r="K9209" i="9"/>
  <c r="A9209" i="9" s="1"/>
  <c r="K9208" i="9"/>
  <c r="A9208" i="9" s="1"/>
  <c r="K9207" i="9"/>
  <c r="A9207" i="9" s="1"/>
  <c r="A9206" i="9"/>
  <c r="K9206" i="9"/>
  <c r="K9205" i="9"/>
  <c r="A9205" i="9" s="1"/>
  <c r="A9204" i="9"/>
  <c r="K9204" i="9"/>
  <c r="K9203" i="9"/>
  <c r="A9203" i="9" s="1"/>
  <c r="K9202" i="9"/>
  <c r="A9202" i="9" s="1"/>
  <c r="K9201" i="9"/>
  <c r="A9201" i="9" s="1"/>
  <c r="K9200" i="9"/>
  <c r="A9200" i="9" s="1"/>
  <c r="K9199" i="9"/>
  <c r="A9199" i="9" s="1"/>
  <c r="A9198" i="9"/>
  <c r="K9198" i="9"/>
  <c r="K9197" i="9"/>
  <c r="A9197" i="9" s="1"/>
  <c r="A9196" i="9"/>
  <c r="K9196" i="9"/>
  <c r="K9195" i="9"/>
  <c r="A9195" i="9" s="1"/>
  <c r="A9194" i="9"/>
  <c r="K9194" i="9"/>
  <c r="K9193" i="9"/>
  <c r="A9193" i="9" s="1"/>
  <c r="K9192" i="9"/>
  <c r="A9192" i="9" s="1"/>
  <c r="K9191" i="9"/>
  <c r="A9191" i="9" s="1"/>
  <c r="A9190" i="9"/>
  <c r="K9190" i="9"/>
  <c r="K9189" i="9"/>
  <c r="A9189" i="9" s="1"/>
  <c r="A9188" i="9"/>
  <c r="K9188" i="9"/>
  <c r="K9187" i="9"/>
  <c r="A9187" i="9" s="1"/>
  <c r="K9186" i="9"/>
  <c r="A9186" i="9" s="1"/>
  <c r="K9185" i="9"/>
  <c r="A9185" i="9" s="1"/>
  <c r="K9144" i="9"/>
  <c r="A9144" i="9" s="1"/>
  <c r="K9143" i="9"/>
  <c r="A9143" i="9" s="1"/>
  <c r="A9184" i="9"/>
  <c r="K9184" i="9"/>
  <c r="K9183" i="9"/>
  <c r="A9183" i="9" s="1"/>
  <c r="A9182" i="9"/>
  <c r="K9182" i="9"/>
  <c r="K9181" i="9"/>
  <c r="A9181" i="9" s="1"/>
  <c r="K9180" i="9"/>
  <c r="A9180" i="9" s="1"/>
  <c r="K9179" i="9"/>
  <c r="A9179" i="9" s="1"/>
  <c r="K9178" i="9"/>
  <c r="A9178" i="9" s="1"/>
  <c r="K9177" i="9"/>
  <c r="A9177" i="9" s="1"/>
  <c r="A9176" i="9"/>
  <c r="K9176" i="9"/>
  <c r="K9175" i="9"/>
  <c r="A9175" i="9" s="1"/>
  <c r="A9174" i="9"/>
  <c r="K9174" i="9"/>
  <c r="K9173" i="9"/>
  <c r="A9173" i="9" s="1"/>
  <c r="K9172" i="9"/>
  <c r="A9172" i="9" s="1"/>
  <c r="K9171" i="9"/>
  <c r="A9171" i="9" s="1"/>
  <c r="K9170" i="9"/>
  <c r="A9170" i="9" s="1"/>
  <c r="K9169" i="9"/>
  <c r="A9169" i="9" s="1"/>
  <c r="A9168" i="9"/>
  <c r="K9168" i="9"/>
  <c r="K9167" i="9"/>
  <c r="A9167" i="9" s="1"/>
  <c r="A9166" i="9"/>
  <c r="K9166" i="9"/>
  <c r="K9165" i="9"/>
  <c r="A9165" i="9" s="1"/>
  <c r="A9494" i="9"/>
  <c r="K9494" i="9"/>
  <c r="K9493" i="9"/>
  <c r="A9493" i="9" s="1"/>
  <c r="K9492" i="9"/>
  <c r="A9492" i="9" s="1"/>
  <c r="K9491" i="9"/>
  <c r="A9491" i="9" s="1"/>
  <c r="K9490" i="9"/>
  <c r="A9490" i="9" s="1"/>
  <c r="K9489" i="9"/>
  <c r="A9489" i="9" s="1"/>
  <c r="K9488" i="9"/>
  <c r="A9488" i="9" s="1"/>
  <c r="K9487" i="9"/>
  <c r="A9487" i="9" s="1"/>
  <c r="A9486" i="9"/>
  <c r="K9486" i="9"/>
  <c r="K9485" i="9"/>
  <c r="A9485" i="9" s="1"/>
  <c r="K9484" i="9"/>
  <c r="A9484" i="9" s="1"/>
  <c r="K9483" i="9"/>
  <c r="A9483" i="9" s="1"/>
  <c r="K9482" i="9"/>
  <c r="A9482" i="9" s="1"/>
  <c r="K9481" i="9"/>
  <c r="A9481" i="9" s="1"/>
  <c r="K9164" i="9"/>
  <c r="A9164" i="9" s="1"/>
  <c r="K9163" i="9"/>
  <c r="A9163" i="9" s="1"/>
  <c r="K9480" i="9"/>
  <c r="A9480" i="9" s="1"/>
  <c r="K9479" i="9"/>
  <c r="A9479" i="9" s="1"/>
  <c r="K9478" i="9"/>
  <c r="A9478" i="9" s="1"/>
  <c r="K9477" i="9"/>
  <c r="A9477" i="9" s="1"/>
  <c r="K9476" i="9"/>
  <c r="A9476" i="9" s="1"/>
  <c r="K9475" i="9"/>
  <c r="A9475" i="9" s="1"/>
  <c r="K9474" i="9"/>
  <c r="A9474" i="9" s="1"/>
  <c r="K9473" i="9"/>
  <c r="A9473" i="9" s="1"/>
  <c r="K9472" i="9"/>
  <c r="A9472" i="9" s="1"/>
  <c r="K9471" i="9"/>
  <c r="A9471" i="9" s="1"/>
  <c r="K9470" i="9"/>
  <c r="A9470" i="9" s="1"/>
  <c r="K9469" i="9"/>
  <c r="A9469" i="9" s="1"/>
  <c r="K9468" i="9"/>
  <c r="A9468" i="9" s="1"/>
  <c r="K9467" i="9"/>
  <c r="A9467" i="9" s="1"/>
  <c r="K9466" i="9"/>
  <c r="A9466" i="9" s="1"/>
  <c r="K9465" i="9"/>
  <c r="A9465" i="9" s="1"/>
  <c r="A9464" i="9"/>
  <c r="K9464" i="9"/>
  <c r="K9463" i="9"/>
  <c r="A9463" i="9" s="1"/>
  <c r="K9462" i="9"/>
  <c r="A9462" i="9" s="1"/>
  <c r="K9461" i="9"/>
  <c r="A9461" i="9" s="1"/>
  <c r="K9460" i="9"/>
  <c r="A9460" i="9" s="1"/>
  <c r="K9459" i="9"/>
  <c r="A9459" i="9" s="1"/>
  <c r="K9458" i="9"/>
  <c r="A9458" i="9" s="1"/>
  <c r="K9457" i="9"/>
  <c r="A9457" i="9" s="1"/>
  <c r="A9456" i="9"/>
  <c r="K9456" i="9"/>
  <c r="K9455" i="9"/>
  <c r="A9455" i="9" s="1"/>
  <c r="K9454" i="9"/>
  <c r="A9454" i="9" s="1"/>
  <c r="K9453" i="9"/>
  <c r="A9453" i="9" s="1"/>
  <c r="K9452" i="9"/>
  <c r="A9452" i="9" s="1"/>
  <c r="K9451" i="9"/>
  <c r="A9451" i="9" s="1"/>
  <c r="K9162" i="9"/>
  <c r="A9162" i="9" s="1"/>
  <c r="K9161" i="9"/>
  <c r="A9161" i="9" s="1"/>
  <c r="K9450" i="9"/>
  <c r="A9450" i="9" s="1"/>
  <c r="K9449" i="9"/>
  <c r="A9449" i="9" s="1"/>
  <c r="K9448" i="9"/>
  <c r="A9448" i="9" s="1"/>
  <c r="K9447" i="9"/>
  <c r="A9447" i="9" s="1"/>
  <c r="K9446" i="9"/>
  <c r="A9446" i="9" s="1"/>
  <c r="K9445" i="9"/>
  <c r="A9445" i="9" s="1"/>
  <c r="K9444" i="9"/>
  <c r="A9444" i="9" s="1"/>
  <c r="K9443" i="9"/>
  <c r="A9443" i="9" s="1"/>
  <c r="K9442" i="9"/>
  <c r="A9442" i="9" s="1"/>
  <c r="K9441" i="9"/>
  <c r="A9441" i="9" s="1"/>
  <c r="K9440" i="9"/>
  <c r="A9440" i="9" s="1"/>
  <c r="K9439" i="9"/>
  <c r="A9439" i="9" s="1"/>
  <c r="K9438" i="9"/>
  <c r="A9438" i="9" s="1"/>
  <c r="K9437" i="9"/>
  <c r="A9437" i="9" s="1"/>
  <c r="K9436" i="9"/>
  <c r="A9436" i="9" s="1"/>
  <c r="K9435" i="9"/>
  <c r="A9435" i="9" s="1"/>
  <c r="A9434" i="9"/>
  <c r="K9434" i="9"/>
  <c r="K9433" i="9"/>
  <c r="A9433" i="9" s="1"/>
  <c r="K9432" i="9"/>
  <c r="A9432" i="9" s="1"/>
  <c r="K9431" i="9"/>
  <c r="A9431" i="9" s="1"/>
  <c r="K9430" i="9"/>
  <c r="A9430" i="9" s="1"/>
  <c r="K9429" i="9"/>
  <c r="A9429" i="9" s="1"/>
  <c r="K9428" i="9"/>
  <c r="A9428" i="9" s="1"/>
  <c r="K9427" i="9"/>
  <c r="A9427" i="9" s="1"/>
  <c r="A9426" i="9"/>
  <c r="K9426" i="9"/>
  <c r="K9425" i="9"/>
  <c r="A9425" i="9" s="1"/>
  <c r="K9424" i="9"/>
  <c r="A9424" i="9" s="1"/>
  <c r="K9423" i="9"/>
  <c r="A9423" i="9" s="1"/>
  <c r="K9422" i="9"/>
  <c r="A9422" i="9" s="1"/>
  <c r="K9421" i="9"/>
  <c r="A9421" i="9" s="1"/>
  <c r="K9142" i="9"/>
  <c r="A9142" i="9" s="1"/>
  <c r="K9141" i="9"/>
  <c r="A9141" i="9" s="1"/>
  <c r="K9140" i="9"/>
  <c r="A9140" i="9" s="1"/>
  <c r="K9139" i="9"/>
  <c r="A9139" i="9" s="1"/>
  <c r="K9138" i="9"/>
  <c r="A9138" i="9" s="1"/>
  <c r="K9137" i="9"/>
  <c r="A9137" i="9" s="1"/>
  <c r="K9136" i="9"/>
  <c r="A9136" i="9" s="1"/>
  <c r="K9135" i="9"/>
  <c r="A9135" i="9" s="1"/>
  <c r="K9134" i="9"/>
  <c r="A9134" i="9" s="1"/>
  <c r="K9133" i="9"/>
  <c r="A9133" i="9" s="1"/>
  <c r="A9132" i="9"/>
  <c r="K9132" i="9"/>
  <c r="K9131" i="9"/>
  <c r="A9131" i="9" s="1"/>
  <c r="K9130" i="9"/>
  <c r="A9130" i="9" s="1"/>
  <c r="K9129" i="9"/>
  <c r="A9129" i="9" s="1"/>
  <c r="K9128" i="9"/>
  <c r="A9128" i="9" s="1"/>
  <c r="K9127" i="9"/>
  <c r="A9127" i="9" s="1"/>
  <c r="K9126" i="9"/>
  <c r="A9126" i="9" s="1"/>
  <c r="K9125" i="9"/>
  <c r="A9125" i="9" s="1"/>
  <c r="A9124" i="9"/>
  <c r="K9124" i="9"/>
  <c r="K9123" i="9"/>
  <c r="A9123" i="9" s="1"/>
  <c r="K9122" i="9"/>
  <c r="A9122" i="9" s="1"/>
  <c r="K9121" i="9"/>
  <c r="A9121" i="9" s="1"/>
  <c r="K9120" i="9"/>
  <c r="A9120" i="9" s="1"/>
  <c r="K9119" i="9"/>
  <c r="A9119" i="9" s="1"/>
  <c r="K9118" i="9"/>
  <c r="A9118" i="9" s="1"/>
  <c r="K9117" i="9"/>
  <c r="A9117" i="9" s="1"/>
  <c r="K9116" i="9"/>
  <c r="A9116" i="9" s="1"/>
  <c r="K9115" i="9"/>
  <c r="A9115" i="9" s="1"/>
  <c r="K9114" i="9"/>
  <c r="A9114" i="9" s="1"/>
  <c r="K9113" i="9"/>
  <c r="A9113" i="9" s="1"/>
  <c r="K9112" i="9"/>
  <c r="A9112" i="9" s="1"/>
  <c r="K9111" i="9"/>
  <c r="A9111" i="9" s="1"/>
  <c r="K9110" i="9"/>
  <c r="A9110" i="9" s="1"/>
  <c r="K9109" i="9"/>
  <c r="A9109" i="9" s="1"/>
  <c r="K9108" i="9"/>
  <c r="A9108" i="9" s="1"/>
  <c r="K9107" i="9"/>
  <c r="A9107" i="9" s="1"/>
  <c r="K9106" i="9"/>
  <c r="A9106" i="9" s="1"/>
  <c r="K9105" i="9"/>
  <c r="A9105" i="9" s="1"/>
  <c r="K9104" i="9"/>
  <c r="A9104" i="9" s="1"/>
  <c r="K9103" i="9"/>
  <c r="A9103" i="9" s="1"/>
  <c r="K9102" i="9"/>
  <c r="A9102" i="9" s="1"/>
  <c r="K9101" i="9"/>
  <c r="A9101" i="9" s="1"/>
  <c r="K9100" i="9"/>
  <c r="A9100" i="9" s="1"/>
  <c r="K9099" i="9"/>
  <c r="A9099" i="9" s="1"/>
  <c r="K9098" i="9"/>
  <c r="A9098" i="9" s="1"/>
  <c r="K9097" i="9"/>
  <c r="A9097" i="9" s="1"/>
  <c r="K9096" i="9"/>
  <c r="A9096" i="9" s="1"/>
  <c r="K9095" i="9"/>
  <c r="A9095" i="9" s="1"/>
  <c r="K9094" i="9"/>
  <c r="A9094" i="9" s="1"/>
  <c r="K9093" i="9"/>
  <c r="A9093" i="9" s="1"/>
  <c r="A9092" i="9"/>
  <c r="K9092" i="9"/>
  <c r="K9091" i="9"/>
  <c r="A9091" i="9" s="1"/>
  <c r="K9090" i="9"/>
  <c r="A9090" i="9" s="1"/>
  <c r="K9089" i="9"/>
  <c r="A9089" i="9" s="1"/>
  <c r="K9088" i="9"/>
  <c r="A9088" i="9" s="1"/>
  <c r="K9087" i="9"/>
  <c r="A9087" i="9" s="1"/>
  <c r="K9086" i="9"/>
  <c r="A9086" i="9" s="1"/>
  <c r="K9085" i="9"/>
  <c r="A9085" i="9" s="1"/>
  <c r="A9083" i="9"/>
  <c r="K9083" i="9"/>
  <c r="K9084" i="9"/>
  <c r="A9084" i="9" s="1"/>
  <c r="K9082" i="9"/>
  <c r="A9082" i="9" s="1"/>
  <c r="K9081" i="9"/>
  <c r="A9081" i="9" s="1"/>
  <c r="K9080" i="9"/>
  <c r="A9080" i="9" s="1"/>
  <c r="K9079" i="9"/>
  <c r="A9079" i="9" s="1"/>
  <c r="K9078" i="9"/>
  <c r="A9078" i="9" s="1"/>
  <c r="K9077" i="9"/>
  <c r="A9077" i="9" s="1"/>
  <c r="K9076" i="9"/>
  <c r="A9076" i="9" s="1"/>
  <c r="K9075" i="9"/>
  <c r="A9075" i="9" s="1"/>
  <c r="K9074" i="9"/>
  <c r="A9074" i="9" s="1"/>
  <c r="K9073" i="9"/>
  <c r="A9073" i="9" s="1"/>
  <c r="K9072" i="9"/>
  <c r="A9072" i="9" s="1"/>
  <c r="K9071" i="9"/>
  <c r="A9071" i="9" s="1"/>
  <c r="K9070" i="9"/>
  <c r="A9070" i="9" s="1"/>
  <c r="K9069" i="9"/>
  <c r="A9069" i="9" s="1"/>
  <c r="K9068" i="9"/>
  <c r="A9068" i="9" s="1"/>
  <c r="K9067" i="9"/>
  <c r="A9067" i="9" s="1"/>
  <c r="K9066" i="9"/>
  <c r="A9066" i="9" s="1"/>
  <c r="K9065" i="9"/>
  <c r="A9065" i="9" s="1"/>
  <c r="K9064" i="9"/>
  <c r="A9064" i="9" s="1"/>
  <c r="K9063" i="9"/>
  <c r="A9063" i="9" s="1"/>
  <c r="K9062" i="9"/>
  <c r="A9062" i="9" s="1"/>
  <c r="K9061" i="9"/>
  <c r="A9061" i="9" s="1"/>
  <c r="A9060" i="9"/>
  <c r="K9060" i="9"/>
  <c r="K9059" i="9"/>
  <c r="A9059" i="9" s="1"/>
  <c r="K9058" i="9"/>
  <c r="A9058" i="9" s="1"/>
  <c r="K9057" i="9"/>
  <c r="A9057" i="9" s="1"/>
  <c r="K9056" i="9"/>
  <c r="A9056" i="9" s="1"/>
  <c r="K9055" i="9"/>
  <c r="A9055" i="9" s="1"/>
  <c r="K9054" i="9"/>
  <c r="A9054" i="9" s="1"/>
  <c r="K9053" i="9"/>
  <c r="A9053" i="9" s="1"/>
  <c r="A9052" i="9"/>
  <c r="K9052" i="9"/>
  <c r="K9051" i="9"/>
  <c r="A9051" i="9" s="1"/>
  <c r="K9050" i="9"/>
  <c r="A9050" i="9" s="1"/>
  <c r="K9049" i="9"/>
  <c r="A9049" i="9" s="1"/>
  <c r="K9048" i="9"/>
  <c r="A9048" i="9" s="1"/>
  <c r="K9047" i="9"/>
  <c r="A9047" i="9" s="1"/>
  <c r="K9046" i="9"/>
  <c r="A9046" i="9" s="1"/>
  <c r="K9045" i="9"/>
  <c r="A9045" i="9" s="1"/>
  <c r="K9044" i="9"/>
  <c r="A9044" i="9" s="1"/>
  <c r="K9043" i="9"/>
  <c r="A9043" i="9" s="1"/>
  <c r="K9042" i="9"/>
  <c r="A9042" i="9" s="1"/>
  <c r="K9041" i="9"/>
  <c r="A9041" i="9" s="1"/>
  <c r="K9040" i="9"/>
  <c r="A9040" i="9" s="1"/>
  <c r="K9039" i="9"/>
  <c r="A9039" i="9" s="1"/>
  <c r="K9038" i="9"/>
  <c r="A9038" i="9" s="1"/>
  <c r="K9037" i="9"/>
  <c r="A9037" i="9" s="1"/>
  <c r="A9036" i="9"/>
  <c r="K9036" i="9"/>
  <c r="K9035" i="9"/>
  <c r="A9035" i="9" s="1"/>
  <c r="K9034" i="9"/>
  <c r="A9034" i="9" s="1"/>
  <c r="K9033" i="9"/>
  <c r="A9033" i="9" s="1"/>
  <c r="K9032" i="9"/>
  <c r="A9032" i="9" s="1"/>
  <c r="K9031" i="9"/>
  <c r="A9031" i="9" s="1"/>
  <c r="K9030" i="9"/>
  <c r="A9030" i="9" s="1"/>
  <c r="K9029" i="9"/>
  <c r="A9029" i="9" s="1"/>
  <c r="A9028" i="9"/>
  <c r="K9028" i="9"/>
  <c r="K9027" i="9"/>
  <c r="A9027" i="9" s="1"/>
  <c r="K9026" i="9"/>
  <c r="A9026" i="9" s="1"/>
  <c r="K9025" i="9"/>
  <c r="A9025" i="9" s="1"/>
  <c r="K9024" i="9"/>
  <c r="A9024" i="9" s="1"/>
  <c r="K9023" i="9"/>
  <c r="A9023" i="9" s="1"/>
  <c r="K9022" i="9"/>
  <c r="A9022" i="9" s="1"/>
  <c r="K9021" i="9"/>
  <c r="A9021" i="9" s="1"/>
  <c r="K9020" i="9"/>
  <c r="A9020" i="9" s="1"/>
  <c r="K9019" i="9"/>
  <c r="A9019" i="9" s="1"/>
  <c r="K9018" i="9"/>
  <c r="A9018" i="9" s="1"/>
  <c r="K9017" i="9"/>
  <c r="A9017" i="9" s="1"/>
  <c r="K9016" i="9"/>
  <c r="A9016" i="9" s="1"/>
  <c r="K9015" i="9"/>
  <c r="A9015" i="9" s="1"/>
  <c r="K9014" i="9"/>
  <c r="A9014" i="9" s="1"/>
  <c r="K9013" i="9"/>
  <c r="A9013" i="9" s="1"/>
  <c r="K9012" i="9"/>
  <c r="A9012" i="9" s="1"/>
  <c r="K9011" i="9"/>
  <c r="A9011" i="9" s="1"/>
  <c r="K9010" i="9"/>
  <c r="A9010" i="9" s="1"/>
  <c r="K9009" i="9"/>
  <c r="A9009" i="9" s="1"/>
  <c r="K9008" i="9"/>
  <c r="A9008" i="9" s="1"/>
  <c r="K9007" i="9"/>
  <c r="A9007" i="9" s="1"/>
  <c r="K9006" i="9"/>
  <c r="A9006" i="9" s="1"/>
  <c r="K9005" i="9"/>
  <c r="A9005" i="9" s="1"/>
  <c r="K9004" i="9"/>
  <c r="A9004" i="9" s="1"/>
  <c r="K9003" i="9"/>
  <c r="A9003" i="9" s="1"/>
  <c r="K9002" i="9"/>
  <c r="A9002" i="9" s="1"/>
  <c r="K9001" i="9"/>
  <c r="A9001" i="9" s="1"/>
  <c r="K9000" i="9"/>
  <c r="A9000" i="9" s="1"/>
  <c r="K8999" i="9"/>
  <c r="A8999" i="9" s="1"/>
  <c r="K8998" i="9"/>
  <c r="A8998" i="9" s="1"/>
  <c r="K8997" i="9"/>
  <c r="A8997" i="9" s="1"/>
  <c r="A8996" i="9"/>
  <c r="K8996" i="9"/>
  <c r="K8995" i="9"/>
  <c r="A8995" i="9" s="1"/>
  <c r="K8994" i="9"/>
  <c r="A8994" i="9" s="1"/>
  <c r="K8993" i="9"/>
  <c r="A8993" i="9" s="1"/>
  <c r="K8992" i="9"/>
  <c r="A8992" i="9" s="1"/>
  <c r="K8991" i="9"/>
  <c r="A8991" i="9" s="1"/>
  <c r="K8990" i="9"/>
  <c r="A8990" i="9" s="1"/>
  <c r="K8989" i="9"/>
  <c r="A8989" i="9" s="1"/>
  <c r="K8988" i="9"/>
  <c r="A8988" i="9" s="1"/>
  <c r="K8987" i="9"/>
  <c r="A8987" i="9" s="1"/>
  <c r="K8986" i="9"/>
  <c r="A8986" i="9" s="1"/>
  <c r="K8985" i="9"/>
  <c r="A8985" i="9" s="1"/>
  <c r="K8984" i="9"/>
  <c r="A8984" i="9" s="1"/>
  <c r="K8983" i="9"/>
  <c r="A8983" i="9" s="1"/>
  <c r="K8982" i="9"/>
  <c r="A8982" i="9" s="1"/>
  <c r="K8981" i="9"/>
  <c r="A8981" i="9" s="1"/>
  <c r="K8980" i="9"/>
  <c r="A8980" i="9" s="1"/>
  <c r="K8979" i="9"/>
  <c r="A8979" i="9" s="1"/>
  <c r="K8978" i="9"/>
  <c r="A8978" i="9" s="1"/>
  <c r="K8977" i="9"/>
  <c r="A8977" i="9" s="1"/>
  <c r="K8976" i="9"/>
  <c r="A8976" i="9" s="1"/>
  <c r="K8975" i="9"/>
  <c r="A8975" i="9" s="1"/>
  <c r="K8974" i="9"/>
  <c r="A8974" i="9" s="1"/>
  <c r="K8973" i="9"/>
  <c r="A8973" i="9" s="1"/>
  <c r="A8972" i="9"/>
  <c r="K8972" i="9"/>
  <c r="K8971" i="9"/>
  <c r="A8971" i="9" s="1"/>
  <c r="K8970" i="9"/>
  <c r="A8970" i="9" s="1"/>
  <c r="K8969" i="9"/>
  <c r="A8969" i="9" s="1"/>
  <c r="K8968" i="9"/>
  <c r="A8968" i="9" s="1"/>
  <c r="K8967" i="9"/>
  <c r="A8967" i="9" s="1"/>
  <c r="K8966" i="9"/>
  <c r="A8966" i="9" s="1"/>
  <c r="K8965" i="9"/>
  <c r="A8965" i="9" s="1"/>
  <c r="A8964" i="9"/>
  <c r="K8964" i="9"/>
  <c r="K8963" i="9"/>
  <c r="A8963" i="9" s="1"/>
  <c r="K8962" i="9"/>
  <c r="A8962" i="9" s="1"/>
  <c r="K8961" i="9"/>
  <c r="A8961" i="9" s="1"/>
  <c r="K8960" i="9"/>
  <c r="A8960" i="9" s="1"/>
  <c r="K8959" i="9"/>
  <c r="A8959" i="9" s="1"/>
  <c r="K8958" i="9"/>
  <c r="A8958" i="9" s="1"/>
  <c r="K8957" i="9"/>
  <c r="A8957" i="9" s="1"/>
  <c r="K8956" i="9"/>
  <c r="A8956" i="9" s="1"/>
  <c r="K8955" i="9"/>
  <c r="A8955" i="9" s="1"/>
  <c r="K8954" i="9"/>
  <c r="A8954" i="9" s="1"/>
  <c r="K8953" i="9"/>
  <c r="A8953" i="9" s="1"/>
  <c r="K8952" i="9"/>
  <c r="A8952" i="9" s="1"/>
  <c r="K8951" i="9"/>
  <c r="A8951" i="9" s="1"/>
  <c r="K8950" i="9"/>
  <c r="A8950" i="9" s="1"/>
  <c r="K8949" i="9"/>
  <c r="A8949" i="9" s="1"/>
  <c r="K8948" i="9"/>
  <c r="A8948" i="9" s="1"/>
  <c r="K8947" i="9"/>
  <c r="A8947" i="9" s="1"/>
  <c r="K8946" i="9"/>
  <c r="A8946" i="9" s="1"/>
  <c r="K8945" i="9"/>
  <c r="A8945" i="9" s="1"/>
  <c r="K8944" i="9"/>
  <c r="A8944" i="9" s="1"/>
  <c r="K8943" i="9"/>
  <c r="A8943" i="9" s="1"/>
  <c r="K8942" i="9"/>
  <c r="A8942" i="9" s="1"/>
  <c r="K8941" i="9"/>
  <c r="A8941" i="9" s="1"/>
  <c r="K8940" i="9"/>
  <c r="A8940" i="9" s="1"/>
  <c r="K8939" i="9"/>
  <c r="A8939" i="9" s="1"/>
  <c r="K8938" i="9"/>
  <c r="A8938" i="9" s="1"/>
  <c r="K8937" i="9"/>
  <c r="A8937" i="9" s="1"/>
  <c r="K8936" i="9"/>
  <c r="A8936" i="9" s="1"/>
  <c r="K8935" i="9"/>
  <c r="A8935" i="9" s="1"/>
  <c r="K8933" i="9"/>
  <c r="A8933" i="9" s="1"/>
  <c r="K8932" i="9"/>
  <c r="A8932" i="9" s="1"/>
  <c r="A8931" i="9"/>
  <c r="K8931" i="9"/>
  <c r="K8930" i="9"/>
  <c r="A8930" i="9" s="1"/>
  <c r="K8929" i="9"/>
  <c r="A8929" i="9" s="1"/>
  <c r="K8928" i="9"/>
  <c r="A8928" i="9" s="1"/>
  <c r="K8926" i="9"/>
  <c r="A8926" i="9" s="1"/>
  <c r="K8925" i="9"/>
  <c r="A8925" i="9" s="1"/>
  <c r="K8924" i="9"/>
  <c r="A8924" i="9" s="1"/>
  <c r="K8927" i="9"/>
  <c r="A8927" i="9" s="1"/>
  <c r="K8934" i="9"/>
  <c r="A8934" i="9" s="1"/>
  <c r="K8923" i="9"/>
  <c r="A8923" i="9" s="1"/>
  <c r="K8922" i="9"/>
  <c r="A8922" i="9" s="1"/>
  <c r="K8921" i="9"/>
  <c r="A8921" i="9" s="1"/>
  <c r="K8919" i="9"/>
  <c r="A8919" i="9" s="1"/>
  <c r="K8918" i="9"/>
  <c r="A8918" i="9" s="1"/>
  <c r="K8917" i="9"/>
  <c r="A8917" i="9" s="1"/>
  <c r="K8920" i="9"/>
  <c r="A8920" i="9" s="1"/>
  <c r="K8916" i="9"/>
  <c r="A8916" i="9" s="1"/>
  <c r="K8915" i="9"/>
  <c r="A8915" i="9" s="1"/>
  <c r="K8914" i="9"/>
  <c r="A8914" i="9" s="1"/>
  <c r="K8913" i="9"/>
  <c r="A8913" i="9" s="1"/>
  <c r="K8912" i="9"/>
  <c r="A8912" i="9" s="1"/>
  <c r="K8911" i="9"/>
  <c r="A8911" i="9" s="1"/>
  <c r="K8910" i="9"/>
  <c r="A8910" i="9" s="1"/>
  <c r="K8909" i="9"/>
  <c r="A8909" i="9" s="1"/>
  <c r="A8908" i="9"/>
  <c r="K8908" i="9"/>
  <c r="K8907" i="9"/>
  <c r="A8907" i="9" s="1"/>
  <c r="K8906" i="9"/>
  <c r="A8906" i="9" s="1"/>
  <c r="K8905" i="9"/>
  <c r="A8905" i="9" s="1"/>
  <c r="K8904" i="9"/>
  <c r="A8904" i="9" s="1"/>
  <c r="K8903" i="9"/>
  <c r="A8903" i="9" s="1"/>
  <c r="K8902" i="9"/>
  <c r="A8902" i="9" s="1"/>
  <c r="K8901" i="9"/>
  <c r="A8901" i="9" s="1"/>
  <c r="A8900" i="9"/>
  <c r="K8900" i="9"/>
  <c r="K8899" i="9"/>
  <c r="A8899" i="9" s="1"/>
  <c r="K8898" i="9"/>
  <c r="A8898" i="9" s="1"/>
  <c r="K8897" i="9"/>
  <c r="A8897" i="9" s="1"/>
  <c r="K8896" i="9"/>
  <c r="A8896" i="9" s="1"/>
  <c r="K8895" i="9"/>
  <c r="A8895" i="9" s="1"/>
  <c r="K8894" i="9"/>
  <c r="A8894" i="9" s="1"/>
  <c r="K8893" i="9"/>
  <c r="A8893" i="9" s="1"/>
  <c r="K8892" i="9"/>
  <c r="A8892" i="9" s="1"/>
  <c r="K8891" i="9"/>
  <c r="A8891" i="9" s="1"/>
  <c r="K8890" i="9"/>
  <c r="A8890" i="9" s="1"/>
  <c r="K8889" i="9"/>
  <c r="A8889" i="9" s="1"/>
  <c r="K8888" i="9"/>
  <c r="A8888" i="9" s="1"/>
  <c r="K8887" i="9"/>
  <c r="A8887" i="9" s="1"/>
  <c r="K8886" i="9"/>
  <c r="A8886" i="9" s="1"/>
  <c r="K8885" i="9"/>
  <c r="A8885" i="9" s="1"/>
  <c r="K8884" i="9"/>
  <c r="A8884" i="9" s="1"/>
  <c r="K8883" i="9"/>
  <c r="A8883" i="9" s="1"/>
  <c r="K8882" i="9"/>
  <c r="A8882" i="9" s="1"/>
  <c r="K8881" i="9"/>
  <c r="A8881" i="9" s="1"/>
  <c r="K8880" i="9"/>
  <c r="A8880" i="9" s="1"/>
  <c r="K8879" i="9"/>
  <c r="A8879" i="9" s="1"/>
  <c r="K8878" i="9"/>
  <c r="A8878" i="9" s="1"/>
  <c r="K8877" i="9"/>
  <c r="A8877" i="9" s="1"/>
  <c r="K8876" i="9"/>
  <c r="A8876" i="9" s="1"/>
  <c r="K8875" i="9"/>
  <c r="A8875" i="9" s="1"/>
  <c r="K8874" i="9"/>
  <c r="A8874" i="9" s="1"/>
  <c r="K8873" i="9"/>
  <c r="A8873" i="9" s="1"/>
  <c r="K8872" i="9"/>
  <c r="A8872" i="9" s="1"/>
  <c r="K8871" i="9"/>
  <c r="A8871" i="9" s="1"/>
  <c r="K8870" i="9"/>
  <c r="A8870" i="9" s="1"/>
  <c r="K8869" i="9"/>
  <c r="A8869" i="9" s="1"/>
  <c r="A8868" i="9"/>
  <c r="K8868" i="9"/>
  <c r="K8867" i="9"/>
  <c r="A8867" i="9" s="1"/>
  <c r="K8866" i="9"/>
  <c r="A8866" i="9" s="1"/>
  <c r="K8865" i="9"/>
  <c r="A8865" i="9" s="1"/>
  <c r="K8864" i="9"/>
  <c r="A8864" i="9" s="1"/>
  <c r="K8863" i="9"/>
  <c r="A8863" i="9" s="1"/>
  <c r="K8862" i="9"/>
  <c r="A8862" i="9" s="1"/>
  <c r="K8861" i="9"/>
  <c r="A8861" i="9" s="1"/>
  <c r="K8860" i="9"/>
  <c r="A8860" i="9" s="1"/>
  <c r="K8859" i="9"/>
  <c r="A8859" i="9" s="1"/>
  <c r="K8858" i="9"/>
  <c r="A8858" i="9" s="1"/>
  <c r="K8857" i="9"/>
  <c r="A8857" i="9" s="1"/>
  <c r="K8856" i="9"/>
  <c r="A8856" i="9" s="1"/>
  <c r="K8855" i="9"/>
  <c r="A8855" i="9" s="1"/>
  <c r="K8854" i="9"/>
  <c r="A8854" i="9" s="1"/>
  <c r="K8853" i="9"/>
  <c r="A8853" i="9" s="1"/>
  <c r="K8852" i="9"/>
  <c r="A8852" i="9" s="1"/>
  <c r="K8851" i="9"/>
  <c r="A8851" i="9" s="1"/>
  <c r="K8850" i="9"/>
  <c r="A8850" i="9" s="1"/>
  <c r="K8849" i="9"/>
  <c r="A8849" i="9" s="1"/>
  <c r="K8848" i="9"/>
  <c r="A8848" i="9" s="1"/>
  <c r="K8847" i="9"/>
  <c r="A8847" i="9" s="1"/>
  <c r="K8846" i="9"/>
  <c r="A8846" i="9" s="1"/>
  <c r="K8845" i="9"/>
  <c r="A8845" i="9" s="1"/>
  <c r="A8844" i="9"/>
  <c r="K8844" i="9"/>
  <c r="K8843" i="9"/>
  <c r="A8843" i="9" s="1"/>
  <c r="K8842" i="9"/>
  <c r="A8842" i="9" s="1"/>
  <c r="K8841" i="9"/>
  <c r="A8841" i="9" s="1"/>
  <c r="K8840" i="9"/>
  <c r="A8840" i="9" s="1"/>
  <c r="K8839" i="9"/>
  <c r="A8839" i="9" s="1"/>
  <c r="K8838" i="9"/>
  <c r="A8838" i="9" s="1"/>
  <c r="K8837" i="9"/>
  <c r="A8837" i="9" s="1"/>
  <c r="A8836" i="9"/>
  <c r="K8836" i="9"/>
  <c r="K8835" i="9"/>
  <c r="A8835" i="9" s="1"/>
  <c r="K8834" i="9"/>
  <c r="A8834" i="9" s="1"/>
  <c r="K8833" i="9"/>
  <c r="A8833" i="9" s="1"/>
  <c r="K8832" i="9"/>
  <c r="A8832" i="9" s="1"/>
  <c r="K8831" i="9"/>
  <c r="A8831" i="9" s="1"/>
  <c r="K8830" i="9"/>
  <c r="A8830" i="9" s="1"/>
  <c r="K8829" i="9"/>
  <c r="A8829" i="9" s="1"/>
  <c r="K8828" i="9"/>
  <c r="A8828" i="9" s="1"/>
  <c r="K8827" i="9"/>
  <c r="A8827" i="9" s="1"/>
  <c r="K8826" i="9"/>
  <c r="A8826" i="9" s="1"/>
  <c r="K8825" i="9"/>
  <c r="A8825" i="9" s="1"/>
  <c r="K8824" i="9"/>
  <c r="A8824" i="9" s="1"/>
  <c r="K8823" i="9"/>
  <c r="A8823" i="9" s="1"/>
  <c r="K8822" i="9"/>
  <c r="A8822" i="9" s="1"/>
  <c r="K8821" i="9"/>
  <c r="A8821" i="9" s="1"/>
  <c r="K8820" i="9"/>
  <c r="A8820" i="9" s="1"/>
  <c r="K8819" i="9"/>
  <c r="A8819" i="9" s="1"/>
  <c r="K8818" i="9"/>
  <c r="A8818" i="9" s="1"/>
  <c r="K8817" i="9"/>
  <c r="A8817" i="9" s="1"/>
  <c r="A8816" i="9"/>
  <c r="K8816" i="9"/>
  <c r="K8815" i="9"/>
  <c r="A8815" i="9" s="1"/>
  <c r="K8814" i="9"/>
  <c r="A8814" i="9" s="1"/>
  <c r="K8813" i="9"/>
  <c r="A8813" i="9" s="1"/>
  <c r="K8812" i="9"/>
  <c r="A8812" i="9" s="1"/>
  <c r="K8811" i="9"/>
  <c r="A8811" i="9" s="1"/>
  <c r="K8810" i="9"/>
  <c r="A8810" i="9" s="1"/>
  <c r="K8809" i="9"/>
  <c r="A8809" i="9" s="1"/>
  <c r="A8808" i="9"/>
  <c r="K8808" i="9"/>
  <c r="K8807" i="9"/>
  <c r="A8807" i="9" s="1"/>
  <c r="K8806" i="9"/>
  <c r="A8806" i="9" s="1"/>
  <c r="K8805" i="9"/>
  <c r="A8805" i="9" s="1"/>
  <c r="K8804" i="9"/>
  <c r="A8804" i="9" s="1"/>
  <c r="K8803" i="9"/>
  <c r="A8803" i="9" s="1"/>
  <c r="K8802" i="9"/>
  <c r="A8802" i="9" s="1"/>
  <c r="K8801" i="9"/>
  <c r="A8801" i="9" s="1"/>
  <c r="A8800" i="9"/>
  <c r="K8800" i="9"/>
  <c r="K8799" i="9"/>
  <c r="A8799" i="9" s="1"/>
  <c r="K8798" i="9"/>
  <c r="A8798" i="9" s="1"/>
  <c r="K8797" i="9"/>
  <c r="A8797" i="9" s="1"/>
  <c r="K8796" i="9"/>
  <c r="A8796" i="9" s="1"/>
  <c r="K8795" i="9"/>
  <c r="A8795" i="9" s="1"/>
  <c r="K8794" i="9"/>
  <c r="A8794" i="9" s="1"/>
  <c r="K8793" i="9"/>
  <c r="A8793" i="9" s="1"/>
  <c r="A8792" i="9"/>
  <c r="K8792" i="9"/>
  <c r="K8791" i="9"/>
  <c r="A8791" i="9" s="1"/>
  <c r="K8790" i="9"/>
  <c r="A8790" i="9" s="1"/>
  <c r="K8789" i="9"/>
  <c r="A8789" i="9" s="1"/>
  <c r="K8788" i="9"/>
  <c r="A8788" i="9" s="1"/>
  <c r="K8787" i="9"/>
  <c r="A8787" i="9" s="1"/>
  <c r="K8786" i="9"/>
  <c r="A8786" i="9" s="1"/>
  <c r="K8785" i="9"/>
  <c r="A8785" i="9" s="1"/>
  <c r="A8784" i="9"/>
  <c r="K8784" i="9"/>
  <c r="K8783" i="9"/>
  <c r="A8783" i="9" s="1"/>
  <c r="K8782" i="9"/>
  <c r="A8782" i="9" s="1"/>
  <c r="K8781" i="9"/>
  <c r="A8781" i="9" s="1"/>
  <c r="K8780" i="9"/>
  <c r="A8780" i="9" s="1"/>
  <c r="K8779" i="9"/>
  <c r="A8779" i="9" s="1"/>
  <c r="K8778" i="9"/>
  <c r="A8778" i="9" s="1"/>
  <c r="K8777" i="9"/>
  <c r="A8777" i="9" s="1"/>
  <c r="A8776" i="9"/>
  <c r="K8776" i="9"/>
  <c r="K8775" i="9"/>
  <c r="A8775" i="9" s="1"/>
  <c r="K8774" i="9"/>
  <c r="A8774" i="9" s="1"/>
  <c r="K8773" i="9"/>
  <c r="A8773" i="9" s="1"/>
  <c r="K8772" i="9"/>
  <c r="A8772" i="9" s="1"/>
  <c r="K8771" i="9"/>
  <c r="A8771" i="9" s="1"/>
  <c r="K8770" i="9"/>
  <c r="A8770" i="9" s="1"/>
  <c r="K8769" i="9"/>
  <c r="A8769" i="9" s="1"/>
  <c r="A8768" i="9"/>
  <c r="K8768" i="9"/>
  <c r="K8767" i="9"/>
  <c r="A8767" i="9" s="1"/>
  <c r="K8766" i="9"/>
  <c r="A8766" i="9" s="1"/>
  <c r="K8765" i="9"/>
  <c r="A8765" i="9" s="1"/>
  <c r="K8764" i="9"/>
  <c r="A8764" i="9" s="1"/>
  <c r="K8763" i="9"/>
  <c r="A8763" i="9" s="1"/>
  <c r="K8762" i="9"/>
  <c r="A8762" i="9" s="1"/>
  <c r="K8761" i="9"/>
  <c r="A8761" i="9" s="1"/>
  <c r="A8760" i="9"/>
  <c r="K8760" i="9"/>
  <c r="K8759" i="9"/>
  <c r="A8759" i="9" s="1"/>
  <c r="A8758" i="9"/>
  <c r="K8758" i="9"/>
  <c r="K8757" i="9"/>
  <c r="A8757" i="9" s="1"/>
  <c r="K8756" i="9"/>
  <c r="A8756" i="9" s="1"/>
  <c r="K8755" i="9"/>
  <c r="A8755" i="9" s="1"/>
  <c r="K8754" i="9"/>
  <c r="A8754" i="9" s="1"/>
  <c r="K8753" i="9"/>
  <c r="A8753" i="9" s="1"/>
  <c r="A8752" i="9"/>
  <c r="K8752" i="9"/>
  <c r="K8751" i="9"/>
  <c r="A8751" i="9" s="1"/>
  <c r="K8750" i="9"/>
  <c r="A8750" i="9" s="1"/>
  <c r="K8749" i="9"/>
  <c r="A8749" i="9" s="1"/>
  <c r="K8748" i="9"/>
  <c r="A8748" i="9" s="1"/>
  <c r="K8747" i="9"/>
  <c r="A8747" i="9" s="1"/>
  <c r="K8746" i="9"/>
  <c r="A8746" i="9" s="1"/>
  <c r="K8745" i="9"/>
  <c r="A8745" i="9" s="1"/>
  <c r="A8744" i="9"/>
  <c r="K8744" i="9"/>
  <c r="K8743" i="9"/>
  <c r="A8743" i="9" s="1"/>
  <c r="A8742" i="9"/>
  <c r="K8742" i="9"/>
  <c r="K8741" i="9"/>
  <c r="A8741" i="9" s="1"/>
  <c r="K8740" i="9"/>
  <c r="A8740" i="9" s="1"/>
  <c r="K8739" i="9"/>
  <c r="A8739" i="9" s="1"/>
  <c r="K8738" i="9"/>
  <c r="A8738" i="9" s="1"/>
  <c r="K8737" i="9"/>
  <c r="A8737" i="9" s="1"/>
  <c r="A8736" i="9"/>
  <c r="K8736" i="9"/>
  <c r="K8735" i="9"/>
  <c r="A8735" i="9" s="1"/>
  <c r="K8734" i="9"/>
  <c r="A8734" i="9" s="1"/>
  <c r="K8733" i="9"/>
  <c r="A8733" i="9" s="1"/>
  <c r="K8732" i="9"/>
  <c r="A8732" i="9" s="1"/>
  <c r="K8731" i="9"/>
  <c r="A8731" i="9" s="1"/>
  <c r="K8730" i="9"/>
  <c r="A8730" i="9" s="1"/>
  <c r="K8729" i="9"/>
  <c r="A8729" i="9" s="1"/>
  <c r="A8728" i="9"/>
  <c r="K8728" i="9"/>
  <c r="K8727" i="9"/>
  <c r="A8727" i="9" s="1"/>
  <c r="K8726" i="9"/>
  <c r="A8726" i="9" s="1"/>
  <c r="K8725" i="9"/>
  <c r="A8725" i="9" s="1"/>
  <c r="K8724" i="9"/>
  <c r="A8724" i="9" s="1"/>
  <c r="K8723" i="9"/>
  <c r="A8723" i="9" s="1"/>
  <c r="K8722" i="9"/>
  <c r="A8722" i="9" s="1"/>
  <c r="K8721" i="9"/>
  <c r="A8721" i="9" s="1"/>
  <c r="A8720" i="9"/>
  <c r="K8720" i="9"/>
  <c r="K8719" i="9"/>
  <c r="A8719" i="9" s="1"/>
  <c r="K8718" i="9"/>
  <c r="A8718" i="9" s="1"/>
  <c r="K8717" i="9"/>
  <c r="A8717" i="9" s="1"/>
  <c r="K8716" i="9"/>
  <c r="A8716" i="9" s="1"/>
  <c r="K8715" i="9"/>
  <c r="A8715" i="9" s="1"/>
  <c r="K8714" i="9"/>
  <c r="A8714" i="9" s="1"/>
  <c r="K8713" i="9"/>
  <c r="A8713" i="9" s="1"/>
  <c r="A8712" i="9"/>
  <c r="K8712" i="9"/>
  <c r="K8711" i="9"/>
  <c r="A8711" i="9" s="1"/>
  <c r="K8710" i="9"/>
  <c r="A8710" i="9" s="1"/>
  <c r="K8709" i="9"/>
  <c r="A8709" i="9" s="1"/>
  <c r="K8708" i="9"/>
  <c r="A8708" i="9" s="1"/>
  <c r="K8707" i="9"/>
  <c r="A8707" i="9" s="1"/>
  <c r="K8706" i="9"/>
  <c r="A8706" i="9" s="1"/>
  <c r="K8705" i="9"/>
  <c r="A8705" i="9" s="1"/>
  <c r="A8704" i="9"/>
  <c r="K8704" i="9"/>
  <c r="K8703" i="9"/>
  <c r="A8703" i="9" s="1"/>
  <c r="K8702" i="9"/>
  <c r="A8702" i="9" s="1"/>
  <c r="K8701" i="9"/>
  <c r="A8701" i="9" s="1"/>
  <c r="K8700" i="9"/>
  <c r="A8700" i="9" s="1"/>
  <c r="K8699" i="9"/>
  <c r="A8699" i="9" s="1"/>
  <c r="K8698" i="9"/>
  <c r="A8698" i="9" s="1"/>
  <c r="K8697" i="9"/>
  <c r="A8697" i="9" s="1"/>
  <c r="A8696" i="9"/>
  <c r="K8696" i="9"/>
  <c r="K8695" i="9"/>
  <c r="A8695" i="9" s="1"/>
  <c r="A8645" i="9"/>
  <c r="K8645" i="9"/>
  <c r="K8693" i="9"/>
  <c r="A8693" i="9" s="1"/>
  <c r="K8692" i="9"/>
  <c r="A8692" i="9" s="1"/>
  <c r="K8694" i="9"/>
  <c r="A8694" i="9" s="1"/>
  <c r="K8644" i="9"/>
  <c r="A8644" i="9" s="1"/>
  <c r="K8643" i="9"/>
  <c r="A8643" i="9" s="1"/>
  <c r="A8642" i="9"/>
  <c r="K8642" i="9"/>
  <c r="K8641" i="9"/>
  <c r="A8641" i="9" s="1"/>
  <c r="K8691" i="9"/>
  <c r="A8691" i="9" s="1"/>
  <c r="K8690" i="9"/>
  <c r="A8690" i="9" s="1"/>
  <c r="K8689" i="9"/>
  <c r="A8689" i="9" s="1"/>
  <c r="K8688" i="9"/>
  <c r="A8688" i="9" s="1"/>
  <c r="K8684" i="9"/>
  <c r="A8684" i="9" s="1"/>
  <c r="K8640" i="9"/>
  <c r="A8640" i="9" s="1"/>
  <c r="A8680" i="9"/>
  <c r="K8680" i="9"/>
  <c r="K8679" i="9"/>
  <c r="A8679" i="9" s="1"/>
  <c r="K8638" i="9"/>
  <c r="A8638" i="9" s="1"/>
  <c r="K8637" i="9"/>
  <c r="A8637" i="9" s="1"/>
  <c r="K8636" i="9"/>
  <c r="A8636" i="9" s="1"/>
  <c r="K8635" i="9"/>
  <c r="A8635" i="9" s="1"/>
  <c r="K8634" i="9"/>
  <c r="A8634" i="9" s="1"/>
  <c r="K8633" i="9"/>
  <c r="A8633" i="9" s="1"/>
  <c r="A8639" i="9"/>
  <c r="K8639" i="9"/>
  <c r="K8678" i="9"/>
  <c r="A8678" i="9" s="1"/>
  <c r="K8677" i="9"/>
  <c r="A8677" i="9" s="1"/>
  <c r="K8676" i="9"/>
  <c r="A8676" i="9" s="1"/>
  <c r="K8675" i="9"/>
  <c r="A8675" i="9" s="1"/>
  <c r="K8674" i="9"/>
  <c r="A8674" i="9" s="1"/>
  <c r="K8683" i="9"/>
  <c r="A8683" i="9" s="1"/>
  <c r="K8673" i="9"/>
  <c r="A8673" i="9" s="1"/>
  <c r="A8672" i="9"/>
  <c r="K8672" i="9"/>
  <c r="K8671" i="9"/>
  <c r="A8671" i="9" s="1"/>
  <c r="K8670" i="9"/>
  <c r="A8670" i="9" s="1"/>
  <c r="K8669" i="9"/>
  <c r="A8669" i="9" s="1"/>
  <c r="K8668" i="9"/>
  <c r="A8668" i="9" s="1"/>
  <c r="K8667" i="9"/>
  <c r="A8667" i="9" s="1"/>
  <c r="K8666" i="9"/>
  <c r="A8666" i="9" s="1"/>
  <c r="K8665" i="9"/>
  <c r="A8665" i="9" s="1"/>
  <c r="A8664" i="9"/>
  <c r="K8664" i="9"/>
  <c r="K8663" i="9"/>
  <c r="A8663" i="9" s="1"/>
  <c r="K8662" i="9"/>
  <c r="A8662" i="9" s="1"/>
  <c r="K8661" i="9"/>
  <c r="A8661" i="9" s="1"/>
  <c r="K8660" i="9"/>
  <c r="A8660" i="9" s="1"/>
  <c r="K8659" i="9"/>
  <c r="A8659" i="9" s="1"/>
  <c r="K8658" i="9"/>
  <c r="A8658" i="9" s="1"/>
  <c r="K8657" i="9"/>
  <c r="A8657" i="9" s="1"/>
  <c r="A8656" i="9"/>
  <c r="K8656" i="9"/>
  <c r="K8655" i="9"/>
  <c r="A8655" i="9" s="1"/>
  <c r="K8654" i="9"/>
  <c r="A8654" i="9" s="1"/>
  <c r="K8653" i="9"/>
  <c r="A8653" i="9" s="1"/>
  <c r="K8652" i="9"/>
  <c r="A8652" i="9" s="1"/>
  <c r="K8651" i="9"/>
  <c r="A8651" i="9" s="1"/>
  <c r="K8650" i="9"/>
  <c r="A8650" i="9" s="1"/>
  <c r="K8649" i="9"/>
  <c r="A8649" i="9" s="1"/>
  <c r="A8632" i="9"/>
  <c r="K8632" i="9"/>
  <c r="K8648" i="9"/>
  <c r="A8648" i="9" s="1"/>
  <c r="K8647" i="9"/>
  <c r="A8647" i="9" s="1"/>
  <c r="K8646" i="9"/>
  <c r="A8646" i="9" s="1"/>
  <c r="K8682" i="9"/>
  <c r="A8682" i="9" s="1"/>
  <c r="K8594" i="9"/>
  <c r="A8594" i="9" s="1"/>
  <c r="K8593" i="9"/>
  <c r="A8593" i="9" s="1"/>
  <c r="K8592" i="9"/>
  <c r="A8592" i="9" s="1"/>
  <c r="A8591" i="9"/>
  <c r="K8591" i="9"/>
  <c r="K8590" i="9"/>
  <c r="A8590" i="9" s="1"/>
  <c r="A8589" i="9"/>
  <c r="K8589" i="9"/>
  <c r="K8588" i="9"/>
  <c r="A8588" i="9" s="1"/>
  <c r="K8587" i="9"/>
  <c r="A8587" i="9" s="1"/>
  <c r="K8586" i="9"/>
  <c r="A8586" i="9" s="1"/>
  <c r="K8631" i="9"/>
  <c r="A8631" i="9" s="1"/>
  <c r="K8630" i="9"/>
  <c r="A8630" i="9" s="1"/>
  <c r="A8629" i="9"/>
  <c r="K8629" i="9"/>
  <c r="K8628" i="9"/>
  <c r="A8628" i="9" s="1"/>
  <c r="K8627" i="9"/>
  <c r="A8627" i="9" s="1"/>
  <c r="K8626" i="9"/>
  <c r="A8626" i="9" s="1"/>
  <c r="K8585" i="9"/>
  <c r="A8585" i="9" s="1"/>
  <c r="K8681" i="9"/>
  <c r="A8681" i="9" s="1"/>
  <c r="K8584" i="9"/>
  <c r="A8584" i="9" s="1"/>
  <c r="K8583" i="9"/>
  <c r="A8583" i="9" s="1"/>
  <c r="A8625" i="9"/>
  <c r="K8625" i="9"/>
  <c r="K8578" i="9"/>
  <c r="A8578" i="9" s="1"/>
  <c r="A8582" i="9"/>
  <c r="K8582" i="9"/>
  <c r="K8579" i="9"/>
  <c r="A8579" i="9" s="1"/>
  <c r="K8581" i="9"/>
  <c r="A8581" i="9" s="1"/>
  <c r="K8580" i="9"/>
  <c r="A8580" i="9" s="1"/>
  <c r="K8624" i="9"/>
  <c r="A8624" i="9" s="1"/>
  <c r="K8577" i="9"/>
  <c r="A8577" i="9" s="1"/>
  <c r="A8576" i="9"/>
  <c r="K8576" i="9"/>
  <c r="K8575" i="9"/>
  <c r="A8575" i="9" s="1"/>
  <c r="K8617" i="9"/>
  <c r="A8617" i="9" s="1"/>
  <c r="K8574" i="9"/>
  <c r="A8574" i="9" s="1"/>
  <c r="K8623" i="9"/>
  <c r="A8623" i="9" s="1"/>
  <c r="K8621" i="9"/>
  <c r="A8621" i="9" s="1"/>
  <c r="K8620" i="9"/>
  <c r="A8620" i="9" s="1"/>
  <c r="K8622" i="9"/>
  <c r="A8622" i="9" s="1"/>
  <c r="A8573" i="9"/>
  <c r="K8573" i="9"/>
  <c r="K8572" i="9"/>
  <c r="A8572" i="9" s="1"/>
  <c r="K8571" i="9"/>
  <c r="A8571" i="9" s="1"/>
  <c r="K8570" i="9"/>
  <c r="A8570" i="9" s="1"/>
  <c r="K8569" i="9"/>
  <c r="A8569" i="9" s="1"/>
  <c r="K8568" i="9"/>
  <c r="A8568" i="9" s="1"/>
  <c r="K8619" i="9"/>
  <c r="A8619" i="9" s="1"/>
  <c r="K8567" i="9"/>
  <c r="A8567" i="9" s="1"/>
  <c r="A8566" i="9"/>
  <c r="K8566" i="9"/>
  <c r="K8565" i="9"/>
  <c r="A8565" i="9" s="1"/>
  <c r="K8564" i="9"/>
  <c r="A8564" i="9" s="1"/>
  <c r="K8563" i="9"/>
  <c r="A8563" i="9" s="1"/>
  <c r="K8618" i="9"/>
  <c r="A8618" i="9" s="1"/>
  <c r="K8562" i="9"/>
  <c r="A8562" i="9" s="1"/>
  <c r="K8561" i="9"/>
  <c r="A8561" i="9" s="1"/>
  <c r="K8554" i="9"/>
  <c r="A8554" i="9" s="1"/>
  <c r="A8553" i="9"/>
  <c r="K8553" i="9"/>
  <c r="K8560" i="9"/>
  <c r="A8560" i="9" s="1"/>
  <c r="K8559" i="9"/>
  <c r="A8559" i="9" s="1"/>
  <c r="K8558" i="9"/>
  <c r="A8558" i="9" s="1"/>
  <c r="K8557" i="9"/>
  <c r="A8557" i="9" s="1"/>
  <c r="K8555" i="9"/>
  <c r="A8555" i="9" s="1"/>
  <c r="K8556" i="9"/>
  <c r="A8556" i="9" s="1"/>
  <c r="K8552" i="9"/>
  <c r="A8552" i="9" s="1"/>
  <c r="A8551" i="9"/>
  <c r="K8551" i="9"/>
  <c r="K8550" i="9"/>
  <c r="A8550" i="9" s="1"/>
  <c r="K8549" i="9"/>
  <c r="A8549" i="9" s="1"/>
  <c r="K8548" i="9"/>
  <c r="A8548" i="9" s="1"/>
  <c r="K8615" i="9"/>
  <c r="A8615" i="9" s="1"/>
  <c r="K8616" i="9"/>
  <c r="A8616" i="9" s="1"/>
  <c r="K8547" i="9"/>
  <c r="A8547" i="9" s="1"/>
  <c r="K8614" i="9"/>
  <c r="A8614" i="9" s="1"/>
  <c r="A8613" i="9"/>
  <c r="K8613" i="9"/>
  <c r="K8612" i="9"/>
  <c r="A8612" i="9" s="1"/>
  <c r="A8611" i="9"/>
  <c r="K8611" i="9"/>
  <c r="K8610" i="9"/>
  <c r="A8610" i="9" s="1"/>
  <c r="K8609" i="9"/>
  <c r="A8609" i="9" s="1"/>
  <c r="K8608" i="9"/>
  <c r="A8608" i="9" s="1"/>
  <c r="K8607" i="9"/>
  <c r="A8607" i="9" s="1"/>
  <c r="K8606" i="9"/>
  <c r="A8606" i="9" s="1"/>
  <c r="A8605" i="9"/>
  <c r="K8605" i="9"/>
  <c r="K8604" i="9"/>
  <c r="A8604" i="9" s="1"/>
  <c r="K8603" i="9"/>
  <c r="A8603" i="9" s="1"/>
  <c r="K8546" i="9"/>
  <c r="A8546" i="9" s="1"/>
  <c r="A8545" i="9"/>
  <c r="K8545" i="9"/>
  <c r="K8544" i="9"/>
  <c r="A8544" i="9" s="1"/>
  <c r="K8543" i="9"/>
  <c r="A8543" i="9" s="1"/>
  <c r="K8599" i="9"/>
  <c r="A8599" i="9" s="1"/>
  <c r="A8598" i="9"/>
  <c r="K8598" i="9"/>
  <c r="K8602" i="9"/>
  <c r="A8602" i="9" s="1"/>
  <c r="A8601" i="9"/>
  <c r="K8601" i="9"/>
  <c r="K8597" i="9"/>
  <c r="A8597" i="9" s="1"/>
  <c r="K8542" i="9"/>
  <c r="A8542" i="9" s="1"/>
  <c r="K8541" i="9"/>
  <c r="A8541" i="9" s="1"/>
  <c r="K8600" i="9"/>
  <c r="A8600" i="9" s="1"/>
  <c r="K8540" i="9"/>
  <c r="A8540" i="9" s="1"/>
  <c r="A8539" i="9"/>
  <c r="K8539" i="9"/>
  <c r="K8538" i="9"/>
  <c r="A8538" i="9" s="1"/>
  <c r="K8595" i="9"/>
  <c r="A8595" i="9" s="1"/>
  <c r="K8596" i="9"/>
  <c r="A8596" i="9" s="1"/>
  <c r="K8687" i="9"/>
  <c r="A8687" i="9" s="1"/>
  <c r="K8686" i="9"/>
  <c r="A8686" i="9" s="1"/>
  <c r="K8685" i="9"/>
  <c r="A8685" i="9" s="1"/>
  <c r="K8529" i="9"/>
  <c r="A8529" i="9" s="1"/>
  <c r="A8537" i="9"/>
  <c r="K8537" i="9"/>
  <c r="K8536" i="9"/>
  <c r="A8536" i="9" s="1"/>
  <c r="K8535" i="9"/>
  <c r="A8535" i="9" s="1"/>
  <c r="K8534" i="9"/>
  <c r="A8534" i="9" s="1"/>
  <c r="K8533" i="9"/>
  <c r="A8533" i="9" s="1"/>
  <c r="K8532" i="9"/>
  <c r="A8532" i="9" s="1"/>
  <c r="K8531" i="9"/>
  <c r="A8531" i="9" s="1"/>
  <c r="K8530" i="9"/>
  <c r="A8530" i="9" s="1"/>
  <c r="A8528" i="9"/>
  <c r="K8528" i="9"/>
  <c r="K8527" i="9"/>
  <c r="A8527" i="9" s="1"/>
  <c r="K8526" i="9"/>
  <c r="A8526" i="9" s="1"/>
  <c r="K8525" i="9"/>
  <c r="A8525" i="9" s="1"/>
  <c r="A8524" i="9"/>
  <c r="K8524" i="9"/>
  <c r="K8523" i="9"/>
  <c r="A8523" i="9" s="1"/>
  <c r="K8522" i="9"/>
  <c r="A8522" i="9" s="1"/>
  <c r="K8521" i="9"/>
  <c r="A8521" i="9" s="1"/>
  <c r="A8520" i="9"/>
  <c r="K8520" i="9"/>
  <c r="K8518" i="9"/>
  <c r="A8518" i="9" s="1"/>
  <c r="A8519" i="9"/>
  <c r="K8519" i="9"/>
  <c r="K8517" i="9"/>
  <c r="A8517" i="9" s="1"/>
  <c r="K8516" i="9"/>
  <c r="A8516" i="9" s="1"/>
  <c r="K8515" i="9"/>
  <c r="A8515" i="9" s="1"/>
  <c r="K8514" i="9"/>
  <c r="A8514" i="9" s="1"/>
  <c r="K8513" i="9"/>
  <c r="A8513" i="9" s="1"/>
  <c r="A8512" i="9"/>
  <c r="K8512" i="9"/>
  <c r="K8511" i="9"/>
  <c r="A8511" i="9" s="1"/>
  <c r="K8510" i="9"/>
  <c r="A8510" i="9" s="1"/>
  <c r="K8509" i="9"/>
  <c r="A8509" i="9" s="1"/>
  <c r="A8508" i="9"/>
  <c r="K8508" i="9"/>
  <c r="K8507" i="9"/>
  <c r="A8507" i="9" s="1"/>
  <c r="K8506" i="9"/>
  <c r="A8506" i="9" s="1"/>
  <c r="K8505" i="9"/>
  <c r="A8505" i="9" s="1"/>
  <c r="A8504" i="9"/>
  <c r="K8504" i="9"/>
  <c r="K8503" i="9"/>
  <c r="A8503" i="9" s="1"/>
  <c r="A8502" i="9"/>
  <c r="K8502" i="9"/>
  <c r="K8501" i="9"/>
  <c r="A8501" i="9" s="1"/>
  <c r="K8500" i="9"/>
  <c r="A8500" i="9" s="1"/>
  <c r="K8499" i="9"/>
  <c r="A8499" i="9" s="1"/>
  <c r="K8498" i="9"/>
  <c r="A8498" i="9" s="1"/>
  <c r="K8497" i="9"/>
  <c r="A8497" i="9" s="1"/>
  <c r="A8496" i="9"/>
  <c r="K8496" i="9"/>
  <c r="K8494" i="9"/>
  <c r="A8494" i="9" s="1"/>
  <c r="K8495" i="9"/>
  <c r="A8495" i="9" s="1"/>
  <c r="K8493" i="9"/>
  <c r="A8493" i="9" s="1"/>
  <c r="A8492" i="9"/>
  <c r="K8492" i="9"/>
  <c r="K8491" i="9"/>
  <c r="A8491" i="9" s="1"/>
  <c r="K8489" i="9"/>
  <c r="A8489" i="9" s="1"/>
  <c r="K8488" i="9"/>
  <c r="A8488" i="9" s="1"/>
  <c r="A8487" i="9"/>
  <c r="K8487" i="9"/>
  <c r="K8486" i="9"/>
  <c r="A8486" i="9" s="1"/>
  <c r="A8485" i="9"/>
  <c r="K8485" i="9"/>
  <c r="K8490" i="9"/>
  <c r="A8490" i="9" s="1"/>
  <c r="K8484" i="9"/>
  <c r="A8484" i="9" s="1"/>
  <c r="K8483" i="9"/>
  <c r="A8483" i="9" s="1"/>
  <c r="K8481" i="9"/>
  <c r="A8481" i="9" s="1"/>
  <c r="K8482" i="9"/>
  <c r="A8482" i="9" s="1"/>
  <c r="A8480" i="9"/>
  <c r="K8480" i="9"/>
  <c r="K8479" i="9"/>
  <c r="A8479" i="9" s="1"/>
  <c r="K8478" i="9"/>
  <c r="A8478" i="9" s="1"/>
  <c r="K8477" i="9"/>
  <c r="A8477" i="9" s="1"/>
  <c r="K8476" i="9"/>
  <c r="A8476" i="9" s="1"/>
  <c r="K8475" i="9"/>
  <c r="A8475" i="9" s="1"/>
  <c r="K8474" i="9"/>
  <c r="A8474" i="9" s="1"/>
  <c r="K8473" i="9"/>
  <c r="A8473" i="9" s="1"/>
  <c r="A8471" i="9"/>
  <c r="K8471" i="9"/>
  <c r="K8470" i="9"/>
  <c r="A8470" i="9" s="1"/>
  <c r="K8469" i="9"/>
  <c r="A8469" i="9" s="1"/>
  <c r="K8472" i="9"/>
  <c r="A8472" i="9" s="1"/>
  <c r="K8468" i="9"/>
  <c r="A8468" i="9" s="1"/>
  <c r="K8467" i="9"/>
  <c r="A8467" i="9" s="1"/>
  <c r="K8466" i="9"/>
  <c r="A8466" i="9" s="1"/>
  <c r="K8465" i="9"/>
  <c r="A8465" i="9" s="1"/>
  <c r="A8464" i="9"/>
  <c r="K8464" i="9"/>
  <c r="K8463" i="9"/>
  <c r="A8463" i="9" s="1"/>
  <c r="K8462" i="9"/>
  <c r="A8462" i="9" s="1"/>
  <c r="K8461" i="9"/>
  <c r="A8461" i="9" s="1"/>
  <c r="A8460" i="9"/>
  <c r="K8460" i="9"/>
  <c r="K8459" i="9"/>
  <c r="A8459" i="9" s="1"/>
  <c r="K8458" i="9"/>
  <c r="A8458" i="9" s="1"/>
  <c r="K8457" i="9"/>
  <c r="A8457" i="9" s="1"/>
  <c r="A8456" i="9"/>
  <c r="K8456" i="9"/>
  <c r="K8452" i="9"/>
  <c r="A8452" i="9" s="1"/>
  <c r="A8451" i="9"/>
  <c r="K8451" i="9"/>
  <c r="K8450" i="9"/>
  <c r="A8450" i="9" s="1"/>
  <c r="K8455" i="9"/>
  <c r="A8455" i="9" s="1"/>
  <c r="K8454" i="9"/>
  <c r="A8454" i="9" s="1"/>
  <c r="K8453" i="9"/>
  <c r="A8453" i="9" s="1"/>
  <c r="K8446" i="9"/>
  <c r="A8446" i="9" s="1"/>
  <c r="A8445" i="9"/>
  <c r="K8445" i="9"/>
  <c r="K8444" i="9"/>
  <c r="A8444" i="9" s="1"/>
  <c r="K8449" i="9"/>
  <c r="A8449" i="9" s="1"/>
  <c r="K8448" i="9"/>
  <c r="A8448" i="9" s="1"/>
  <c r="A8447" i="9"/>
  <c r="K8447" i="9"/>
  <c r="K8440" i="9"/>
  <c r="A8440" i="9" s="1"/>
  <c r="K8439" i="9"/>
  <c r="A8439" i="9" s="1"/>
  <c r="K8438" i="9"/>
  <c r="A8438" i="9" s="1"/>
  <c r="A8437" i="9"/>
  <c r="K8437" i="9"/>
  <c r="K8436" i="9"/>
  <c r="A8436" i="9" s="1"/>
  <c r="A8443" i="9"/>
  <c r="K8443" i="9"/>
  <c r="K8442" i="9"/>
  <c r="A8442" i="9" s="1"/>
  <c r="K8441" i="9"/>
  <c r="A8441" i="9" s="1"/>
  <c r="K8435" i="9"/>
  <c r="A8435" i="9" s="1"/>
  <c r="K8432" i="9"/>
  <c r="A8432" i="9" s="1"/>
  <c r="K8434" i="9"/>
  <c r="A8434" i="9" s="1"/>
  <c r="A8433" i="9"/>
  <c r="K8433" i="9"/>
  <c r="K8429" i="9"/>
  <c r="A8429" i="9" s="1"/>
  <c r="K8428" i="9"/>
  <c r="A8428" i="9" s="1"/>
  <c r="K8427" i="9"/>
  <c r="A8427" i="9" s="1"/>
  <c r="A8426" i="9"/>
  <c r="K8426" i="9"/>
  <c r="K8431" i="9"/>
  <c r="A8431" i="9" s="1"/>
  <c r="K8430" i="9"/>
  <c r="A8430" i="9" s="1"/>
  <c r="K8425" i="9"/>
  <c r="A8425" i="9" s="1"/>
  <c r="A8424" i="9"/>
  <c r="K8424" i="9"/>
  <c r="K8423" i="9"/>
  <c r="A8423" i="9" s="1"/>
  <c r="A8420" i="9"/>
  <c r="K8420" i="9"/>
  <c r="K8422" i="9"/>
  <c r="A8422" i="9" s="1"/>
  <c r="K8421" i="9"/>
  <c r="A8421" i="9" s="1"/>
  <c r="K8419" i="9"/>
  <c r="A8419" i="9" s="1"/>
  <c r="K8418" i="9"/>
  <c r="A8418" i="9" s="1"/>
  <c r="K8417" i="9"/>
  <c r="A8417" i="9" s="1"/>
  <c r="A8416" i="9"/>
  <c r="K8416" i="9"/>
  <c r="K8415" i="9"/>
  <c r="A8415" i="9" s="1"/>
  <c r="K8414" i="9"/>
  <c r="A8414" i="9" s="1"/>
  <c r="K8413" i="9"/>
  <c r="A8413" i="9" s="1"/>
  <c r="K8412" i="9"/>
  <c r="A8412" i="9" s="1"/>
  <c r="K8411" i="9"/>
  <c r="A8411" i="9" s="1"/>
  <c r="K8410" i="9"/>
  <c r="A8410" i="9" s="1"/>
  <c r="K8409" i="9"/>
  <c r="A8409" i="9" s="1"/>
  <c r="A8408" i="9"/>
  <c r="K8408" i="9"/>
  <c r="K8407" i="9"/>
  <c r="A8407" i="9" s="1"/>
  <c r="K8406" i="9"/>
  <c r="A8406" i="9" s="1"/>
  <c r="K8405" i="9"/>
  <c r="A8405" i="9" s="1"/>
  <c r="K8404" i="9"/>
  <c r="A8404" i="9" s="1"/>
  <c r="K8403" i="9"/>
  <c r="A8403" i="9" s="1"/>
  <c r="K8402" i="9"/>
  <c r="A8402" i="9" s="1"/>
  <c r="K8401" i="9"/>
  <c r="A8401" i="9" s="1"/>
  <c r="A8400" i="9"/>
  <c r="K8400" i="9"/>
  <c r="K8399" i="9"/>
  <c r="A8399" i="9" s="1"/>
  <c r="K8398" i="9"/>
  <c r="A8398" i="9" s="1"/>
  <c r="K8397" i="9"/>
  <c r="A8397" i="9" s="1"/>
  <c r="K8396" i="9"/>
  <c r="A8396" i="9" s="1"/>
  <c r="K8395" i="9"/>
  <c r="A8395" i="9" s="1"/>
  <c r="K8394" i="9"/>
  <c r="A8394" i="9" s="1"/>
  <c r="K8393" i="9"/>
  <c r="A8393" i="9" s="1"/>
  <c r="K8392" i="9"/>
  <c r="A8392" i="9" s="1"/>
  <c r="K8391" i="9"/>
  <c r="A8391" i="9" s="1"/>
  <c r="K8390" i="9"/>
  <c r="A8390" i="9" s="1"/>
  <c r="K8389" i="9"/>
  <c r="A8389" i="9" s="1"/>
  <c r="A8388" i="9"/>
  <c r="K8388" i="9"/>
  <c r="K8387" i="9"/>
  <c r="A8387" i="9" s="1"/>
  <c r="K8386" i="9"/>
  <c r="A8386" i="9" s="1"/>
  <c r="K8385" i="9"/>
  <c r="A8385" i="9" s="1"/>
  <c r="A8384" i="9"/>
  <c r="K8384" i="9"/>
  <c r="K8383" i="9"/>
  <c r="A8383" i="9" s="1"/>
  <c r="K8382" i="9"/>
  <c r="A8382" i="9" s="1"/>
  <c r="K8381" i="9"/>
  <c r="A8381" i="9" s="1"/>
  <c r="K8380" i="9"/>
  <c r="A8380" i="9" s="1"/>
  <c r="K8379" i="9"/>
  <c r="A8379" i="9" s="1"/>
  <c r="K8378" i="9"/>
  <c r="A8378" i="9" s="1"/>
  <c r="K8377" i="9"/>
  <c r="A8377" i="9" s="1"/>
  <c r="K8376" i="9"/>
  <c r="A8376" i="9" s="1"/>
  <c r="K8375" i="9"/>
  <c r="A8375" i="9" s="1"/>
  <c r="K8374" i="9"/>
  <c r="A8374" i="9" s="1"/>
  <c r="K8373" i="9"/>
  <c r="A8373" i="9" s="1"/>
  <c r="K8372" i="9"/>
  <c r="A8372" i="9" s="1"/>
  <c r="K8371" i="9"/>
  <c r="A8371" i="9" s="1"/>
  <c r="K8370" i="9"/>
  <c r="A8370" i="9" s="1"/>
  <c r="K8369" i="9"/>
  <c r="A8369" i="9" s="1"/>
  <c r="A8368" i="9"/>
  <c r="K8368" i="9"/>
  <c r="K8367" i="9"/>
  <c r="A8367" i="9" s="1"/>
  <c r="K8366" i="9"/>
  <c r="A8366" i="9" s="1"/>
  <c r="K8365" i="9"/>
  <c r="A8365" i="9" s="1"/>
  <c r="K8364" i="9"/>
  <c r="A8364" i="9" s="1"/>
  <c r="K8363" i="9"/>
  <c r="A8363" i="9" s="1"/>
  <c r="K8362" i="9"/>
  <c r="A8362" i="9" s="1"/>
  <c r="K8361" i="9"/>
  <c r="A8361" i="9" s="1"/>
  <c r="K8360" i="9"/>
  <c r="A8360" i="9" s="1"/>
  <c r="K8359" i="9"/>
  <c r="A8359" i="9" s="1"/>
  <c r="K8358" i="9"/>
  <c r="A8358" i="9" s="1"/>
  <c r="K8357" i="9"/>
  <c r="A8357" i="9" s="1"/>
  <c r="A8356" i="9"/>
  <c r="K8356" i="9"/>
  <c r="K8355" i="9"/>
  <c r="A8355" i="9" s="1"/>
  <c r="K8354" i="9"/>
  <c r="A8354" i="9" s="1"/>
  <c r="K8353" i="9"/>
  <c r="A8353" i="9" s="1"/>
  <c r="A8352" i="9"/>
  <c r="K8352" i="9"/>
  <c r="K8351" i="9"/>
  <c r="A8351" i="9" s="1"/>
  <c r="K8350" i="9"/>
  <c r="A8350" i="9" s="1"/>
  <c r="K8349" i="9"/>
  <c r="A8349" i="9" s="1"/>
  <c r="K8348" i="9"/>
  <c r="A8348" i="9" s="1"/>
  <c r="K8347" i="9"/>
  <c r="A8347" i="9" s="1"/>
  <c r="K8346" i="9"/>
  <c r="A8346" i="9" s="1"/>
  <c r="K8345" i="9"/>
  <c r="A8345" i="9" s="1"/>
  <c r="A8344" i="9"/>
  <c r="K8344" i="9"/>
  <c r="K8343" i="9"/>
  <c r="A8343" i="9" s="1"/>
  <c r="K8342" i="9"/>
  <c r="A8342" i="9" s="1"/>
  <c r="K8341" i="9"/>
  <c r="A8341" i="9" s="1"/>
  <c r="K8340" i="9"/>
  <c r="A8340" i="9" s="1"/>
  <c r="K8339" i="9"/>
  <c r="A8339" i="9" s="1"/>
  <c r="K8338" i="9"/>
  <c r="A8338" i="9" s="1"/>
  <c r="K8337" i="9"/>
  <c r="A8337" i="9" s="1"/>
  <c r="A8336" i="9"/>
  <c r="K8336" i="9"/>
  <c r="K8335" i="9"/>
  <c r="A8335" i="9" s="1"/>
  <c r="K8334" i="9"/>
  <c r="A8334" i="9" s="1"/>
  <c r="K8333" i="9"/>
  <c r="A8333" i="9" s="1"/>
  <c r="K8332" i="9"/>
  <c r="A8332" i="9" s="1"/>
  <c r="K8331" i="9"/>
  <c r="A8331" i="9" s="1"/>
  <c r="K8330" i="9"/>
  <c r="A8330" i="9" s="1"/>
  <c r="K8329" i="9"/>
  <c r="A8329" i="9" s="1"/>
  <c r="A8328" i="9"/>
  <c r="K8328" i="9"/>
  <c r="K8327" i="9"/>
  <c r="A8327" i="9" s="1"/>
  <c r="K8326" i="9"/>
  <c r="A8326" i="9" s="1"/>
  <c r="K8325" i="9"/>
  <c r="A8325" i="9" s="1"/>
  <c r="A8324" i="9"/>
  <c r="K8324" i="9"/>
  <c r="K8323" i="9"/>
  <c r="A8323" i="9" s="1"/>
  <c r="K8322" i="9"/>
  <c r="A8322" i="9" s="1"/>
  <c r="K8321" i="9"/>
  <c r="A8321" i="9" s="1"/>
  <c r="A8320" i="9"/>
  <c r="K8320" i="9"/>
  <c r="K8319" i="9"/>
  <c r="A8319" i="9" s="1"/>
  <c r="K8318" i="9"/>
  <c r="A8318" i="9" s="1"/>
  <c r="K8317" i="9"/>
  <c r="A8317" i="9" s="1"/>
  <c r="K8316" i="9"/>
  <c r="A8316" i="9" s="1"/>
  <c r="K8315" i="9"/>
  <c r="A8315" i="9" s="1"/>
  <c r="K8314" i="9"/>
  <c r="A8314" i="9" s="1"/>
  <c r="K8313" i="9"/>
  <c r="A8313" i="9" s="1"/>
  <c r="K8312" i="9"/>
  <c r="A8312" i="9" s="1"/>
  <c r="K8311" i="9"/>
  <c r="A8311" i="9" s="1"/>
  <c r="K8310" i="9"/>
  <c r="A8310" i="9" s="1"/>
  <c r="K8309" i="9"/>
  <c r="A8309" i="9" s="1"/>
  <c r="A8308" i="9"/>
  <c r="K8308" i="9"/>
  <c r="K8307" i="9"/>
  <c r="A8307" i="9" s="1"/>
  <c r="K8306" i="9"/>
  <c r="A8306" i="9" s="1"/>
  <c r="K8305" i="9"/>
  <c r="A8305" i="9" s="1"/>
  <c r="A8304" i="9"/>
  <c r="K8304" i="9"/>
  <c r="K8303" i="9"/>
  <c r="A8303" i="9" s="1"/>
  <c r="K8302" i="9"/>
  <c r="A8302" i="9" s="1"/>
  <c r="K8301" i="9"/>
  <c r="A8301" i="9" s="1"/>
  <c r="K8300" i="9"/>
  <c r="A8300" i="9" s="1"/>
  <c r="K8299" i="9"/>
  <c r="A8299" i="9" s="1"/>
  <c r="K8298" i="9"/>
  <c r="A8298" i="9" s="1"/>
  <c r="K8297" i="9"/>
  <c r="A8297" i="9" s="1"/>
  <c r="K8296" i="9"/>
  <c r="A8296" i="9" s="1"/>
  <c r="K8295" i="9"/>
  <c r="A8295" i="9" s="1"/>
  <c r="K8294" i="9"/>
  <c r="A8294" i="9" s="1"/>
  <c r="K8293" i="9"/>
  <c r="A8293" i="9" s="1"/>
  <c r="K8292" i="9"/>
  <c r="A8292" i="9" s="1"/>
  <c r="K8291" i="9"/>
  <c r="A8291" i="9" s="1"/>
  <c r="K8290" i="9"/>
  <c r="A8290" i="9" s="1"/>
  <c r="K8289" i="9"/>
  <c r="A8289" i="9" s="1"/>
  <c r="A8288" i="9"/>
  <c r="K8288" i="9"/>
  <c r="K8287" i="9"/>
  <c r="A8287" i="9" s="1"/>
  <c r="K8286" i="9"/>
  <c r="A8286" i="9" s="1"/>
  <c r="K8285" i="9"/>
  <c r="A8285" i="9" s="1"/>
  <c r="K8284" i="9"/>
  <c r="A8284" i="9" s="1"/>
  <c r="K8283" i="9"/>
  <c r="A8283" i="9" s="1"/>
  <c r="K8282" i="9"/>
  <c r="A8282" i="9" s="1"/>
  <c r="K8281" i="9"/>
  <c r="A8281" i="9" s="1"/>
  <c r="A8280" i="9"/>
  <c r="K8280" i="9"/>
  <c r="K8279" i="9"/>
  <c r="A8279" i="9" s="1"/>
  <c r="K8278" i="9"/>
  <c r="A8278" i="9" s="1"/>
  <c r="K8277" i="9"/>
  <c r="A8277" i="9" s="1"/>
  <c r="K8276" i="9"/>
  <c r="A8276" i="9" s="1"/>
  <c r="K8275" i="9"/>
  <c r="A8275" i="9" s="1"/>
  <c r="K8274" i="9"/>
  <c r="A8274" i="9" s="1"/>
  <c r="K8273" i="9"/>
  <c r="A8273" i="9" s="1"/>
  <c r="K8272" i="9"/>
  <c r="A8272" i="9" s="1"/>
  <c r="K8271" i="9"/>
  <c r="A8271" i="9" s="1"/>
  <c r="K8270" i="9"/>
  <c r="A8270" i="9" s="1"/>
  <c r="K8269" i="9"/>
  <c r="A8269" i="9" s="1"/>
  <c r="K8268" i="9"/>
  <c r="A8268" i="9" s="1"/>
  <c r="K8267" i="9"/>
  <c r="A8267" i="9" s="1"/>
  <c r="K8266" i="9"/>
  <c r="A8266" i="9" s="1"/>
  <c r="K8265" i="9"/>
  <c r="A8265" i="9" s="1"/>
  <c r="A8264" i="9"/>
  <c r="K8264" i="9"/>
  <c r="K8263" i="9"/>
  <c r="A8263" i="9" s="1"/>
  <c r="K8262" i="9"/>
  <c r="A8262" i="9" s="1"/>
  <c r="K8261" i="9"/>
  <c r="A8261" i="9" s="1"/>
  <c r="K8260" i="9"/>
  <c r="A8260" i="9" s="1"/>
  <c r="K8259" i="9"/>
  <c r="A8259" i="9" s="1"/>
  <c r="K8258" i="9"/>
  <c r="A8258" i="9" s="1"/>
  <c r="K8257" i="9"/>
  <c r="A8257" i="9" s="1"/>
  <c r="A8256" i="9"/>
  <c r="K8256" i="9"/>
  <c r="K8255" i="9"/>
  <c r="A8255" i="9" s="1"/>
  <c r="K8254" i="9"/>
  <c r="A8254" i="9" s="1"/>
  <c r="K8253" i="9"/>
  <c r="A8253" i="9" s="1"/>
  <c r="K8252" i="9"/>
  <c r="A8252" i="9" s="1"/>
  <c r="K8251" i="9"/>
  <c r="A8251" i="9" s="1"/>
  <c r="K8250" i="9"/>
  <c r="A8250" i="9" s="1"/>
  <c r="K8249" i="9"/>
  <c r="A8249" i="9" s="1"/>
  <c r="A8248" i="9"/>
  <c r="K8248" i="9"/>
  <c r="K8247" i="9"/>
  <c r="A8247" i="9" s="1"/>
  <c r="K8246" i="9"/>
  <c r="A8246" i="9" s="1"/>
  <c r="K8245" i="9"/>
  <c r="A8245" i="9" s="1"/>
  <c r="K8244" i="9"/>
  <c r="A8244" i="9" s="1"/>
  <c r="K8243" i="9"/>
  <c r="A8243" i="9" s="1"/>
  <c r="K8242" i="9"/>
  <c r="A8242" i="9" s="1"/>
  <c r="K8241" i="9"/>
  <c r="A8241" i="9" s="1"/>
  <c r="K8240" i="9"/>
  <c r="A8240" i="9" s="1"/>
  <c r="K8239" i="9"/>
  <c r="A8239" i="9" s="1"/>
  <c r="K8238" i="9"/>
  <c r="A8238" i="9" s="1"/>
  <c r="K8237" i="9"/>
  <c r="A8237" i="9" s="1"/>
  <c r="A8236" i="9"/>
  <c r="K8236" i="9"/>
  <c r="K8235" i="9"/>
  <c r="A8235" i="9" s="1"/>
  <c r="K8234" i="9"/>
  <c r="A8234" i="9" s="1"/>
  <c r="K8233" i="9"/>
  <c r="A8233" i="9" s="1"/>
  <c r="A8232" i="9"/>
  <c r="K8232" i="9"/>
  <c r="K8231" i="9"/>
  <c r="A8231" i="9" s="1"/>
  <c r="K8230" i="9"/>
  <c r="A8230" i="9" s="1"/>
  <c r="K8229" i="9"/>
  <c r="A8229" i="9" s="1"/>
  <c r="K8228" i="9"/>
  <c r="A8228" i="9" s="1"/>
  <c r="K8227" i="9"/>
  <c r="A8227" i="9" s="1"/>
  <c r="K8226" i="9"/>
  <c r="A8226" i="9" s="1"/>
  <c r="K8220" i="9"/>
  <c r="A8220" i="9" s="1"/>
  <c r="K8224" i="9"/>
  <c r="A8224" i="9" s="1"/>
  <c r="K8210" i="9"/>
  <c r="A8210" i="9" s="1"/>
  <c r="K8218" i="9"/>
  <c r="A8218" i="9" s="1"/>
  <c r="K8217" i="9"/>
  <c r="A8217" i="9" s="1"/>
  <c r="A8216" i="9"/>
  <c r="K8216" i="9"/>
  <c r="K8215" i="9"/>
  <c r="A8215" i="9" s="1"/>
  <c r="K8222" i="9"/>
  <c r="A8222" i="9" s="1"/>
  <c r="K8221" i="9"/>
  <c r="A8221" i="9" s="1"/>
  <c r="A8214" i="9"/>
  <c r="K8214" i="9"/>
  <c r="K8225" i="9"/>
  <c r="A8225" i="9" s="1"/>
  <c r="K8219" i="9"/>
  <c r="A8219" i="9" s="1"/>
  <c r="K8223" i="9"/>
  <c r="A8223" i="9" s="1"/>
  <c r="K8209" i="9"/>
  <c r="A8209" i="9" s="1"/>
  <c r="K8211" i="9"/>
  <c r="A8211" i="9" s="1"/>
  <c r="K8213" i="9"/>
  <c r="A8213" i="9" s="1"/>
  <c r="K8212" i="9"/>
  <c r="A8212" i="9" s="1"/>
  <c r="K8208" i="9"/>
  <c r="A8208" i="9" s="1"/>
  <c r="K8207" i="9"/>
  <c r="A8207" i="9" s="1"/>
  <c r="K8206" i="9"/>
  <c r="A8206" i="9" s="1"/>
  <c r="K8205" i="9"/>
  <c r="A8205" i="9" s="1"/>
  <c r="K8204" i="9"/>
  <c r="A8204" i="9" s="1"/>
  <c r="K8203" i="9"/>
  <c r="A8203" i="9" s="1"/>
  <c r="K8202" i="9"/>
  <c r="A8202" i="9" s="1"/>
  <c r="K8201" i="9"/>
  <c r="A8201" i="9" s="1"/>
  <c r="A8200" i="9"/>
  <c r="K8200" i="9"/>
  <c r="K8199" i="9"/>
  <c r="A8199" i="9" s="1"/>
  <c r="K8198" i="9"/>
  <c r="A8198" i="9" s="1"/>
  <c r="K8197" i="9"/>
  <c r="A8197" i="9" s="1"/>
  <c r="K8196" i="9"/>
  <c r="A8196" i="9" s="1"/>
  <c r="K8195" i="9"/>
  <c r="A8195" i="9" s="1"/>
  <c r="K8194" i="9"/>
  <c r="A8194" i="9" s="1"/>
  <c r="K8193" i="9"/>
  <c r="A8193" i="9" s="1"/>
  <c r="A8192" i="9"/>
  <c r="K8192" i="9"/>
  <c r="K8191" i="9"/>
  <c r="A8191" i="9" s="1"/>
  <c r="K8190" i="9"/>
  <c r="A8190" i="9" s="1"/>
  <c r="K8189" i="9"/>
  <c r="A8189" i="9" s="1"/>
  <c r="K8188" i="9"/>
  <c r="A8188" i="9" s="1"/>
  <c r="K8187" i="9"/>
  <c r="A8187" i="9" s="1"/>
  <c r="K8186" i="9"/>
  <c r="A8186" i="9" s="1"/>
  <c r="K8185" i="9"/>
  <c r="A8185" i="9" s="1"/>
  <c r="A8184" i="9"/>
  <c r="K8184" i="9"/>
  <c r="K8183" i="9"/>
  <c r="A8183" i="9" s="1"/>
  <c r="K8182" i="9"/>
  <c r="A8182" i="9" s="1"/>
  <c r="K8181" i="9"/>
  <c r="A8181" i="9" s="1"/>
  <c r="K8180" i="9"/>
  <c r="A8180" i="9" s="1"/>
  <c r="K8179" i="9"/>
  <c r="A8179" i="9" s="1"/>
  <c r="K8178" i="9"/>
  <c r="A8178" i="9" s="1"/>
  <c r="K8177" i="9"/>
  <c r="A8177" i="9" s="1"/>
  <c r="K8176" i="9"/>
  <c r="A8176" i="9" s="1"/>
  <c r="K8175" i="9"/>
  <c r="A8175" i="9" s="1"/>
  <c r="K8174" i="9"/>
  <c r="A8174" i="9" s="1"/>
  <c r="K8173" i="9"/>
  <c r="A8173" i="9" s="1"/>
  <c r="A8172" i="9"/>
  <c r="K8172" i="9"/>
  <c r="K8171" i="9"/>
  <c r="A8171" i="9" s="1"/>
  <c r="K8170" i="9"/>
  <c r="A8170" i="9" s="1"/>
  <c r="K8169" i="9"/>
  <c r="A8169" i="9" s="1"/>
  <c r="A8168" i="9"/>
  <c r="K8168" i="9"/>
  <c r="K8167" i="9"/>
  <c r="A8167" i="9" s="1"/>
  <c r="K8166" i="9"/>
  <c r="A8166" i="9" s="1"/>
  <c r="K8165" i="9"/>
  <c r="A8165" i="9" s="1"/>
  <c r="K8164" i="9"/>
  <c r="A8164" i="9" s="1"/>
  <c r="K8163" i="9"/>
  <c r="A8163" i="9" s="1"/>
  <c r="K8162" i="9"/>
  <c r="A8162" i="9" s="1"/>
  <c r="K8161" i="9"/>
  <c r="A8161" i="9" s="1"/>
  <c r="K8160" i="9"/>
  <c r="A8160" i="9" s="1"/>
  <c r="K8159" i="9"/>
  <c r="A8159" i="9" s="1"/>
  <c r="K8158" i="9"/>
  <c r="A8158" i="9" s="1"/>
  <c r="K8157" i="9"/>
  <c r="A8157" i="9" s="1"/>
  <c r="A8155" i="9"/>
  <c r="K8155" i="9"/>
  <c r="K8156" i="9"/>
  <c r="A8156" i="9" s="1"/>
  <c r="K8154" i="9"/>
  <c r="A8154" i="9" s="1"/>
  <c r="K8153" i="9"/>
  <c r="A8153" i="9" s="1"/>
  <c r="A8152" i="9"/>
  <c r="K8152" i="9"/>
  <c r="K8151" i="9"/>
  <c r="A8151" i="9" s="1"/>
  <c r="K8150" i="9"/>
  <c r="A8150" i="9" s="1"/>
  <c r="K8149" i="9"/>
  <c r="A8149" i="9" s="1"/>
  <c r="K8148" i="9"/>
  <c r="A8148" i="9" s="1"/>
  <c r="K8147" i="9"/>
  <c r="A8147" i="9" s="1"/>
  <c r="K8146" i="9"/>
  <c r="A8146" i="9" s="1"/>
  <c r="K8145" i="9"/>
  <c r="A8145" i="9" s="1"/>
  <c r="K8144" i="9"/>
  <c r="A8144" i="9" s="1"/>
  <c r="K8143" i="9"/>
  <c r="A8143" i="9" s="1"/>
  <c r="K8142" i="9"/>
  <c r="A8142" i="9" s="1"/>
  <c r="K8141" i="9"/>
  <c r="A8141" i="9" s="1"/>
  <c r="K8140" i="9"/>
  <c r="A8140" i="9" s="1"/>
  <c r="K8139" i="9"/>
  <c r="A8139" i="9" s="1"/>
  <c r="K8138" i="9"/>
  <c r="A8138" i="9" s="1"/>
  <c r="K8137" i="9"/>
  <c r="A8137" i="9" s="1"/>
  <c r="A8136" i="9"/>
  <c r="K8136" i="9"/>
  <c r="K8135" i="9"/>
  <c r="A8135" i="9" s="1"/>
  <c r="K8134" i="9"/>
  <c r="A8134" i="9" s="1"/>
  <c r="K8133" i="9"/>
  <c r="A8133" i="9" s="1"/>
  <c r="K8132" i="9"/>
  <c r="A8132" i="9" s="1"/>
  <c r="K8131" i="9"/>
  <c r="A8131" i="9" s="1"/>
  <c r="K8130" i="9"/>
  <c r="A8130" i="9" s="1"/>
  <c r="K8129" i="9"/>
  <c r="A8129" i="9" s="1"/>
  <c r="A8128" i="9"/>
  <c r="K8128" i="9"/>
  <c r="K8127" i="9"/>
  <c r="A8127" i="9" s="1"/>
  <c r="K8126" i="9"/>
  <c r="A8126" i="9" s="1"/>
  <c r="K8125" i="9"/>
  <c r="A8125" i="9" s="1"/>
  <c r="K8124" i="9"/>
  <c r="A8124" i="9" s="1"/>
  <c r="K8123" i="9"/>
  <c r="A8123" i="9" s="1"/>
  <c r="K8122" i="9"/>
  <c r="A8122" i="9" s="1"/>
  <c r="K8121" i="9"/>
  <c r="A8121" i="9" s="1"/>
  <c r="A8120" i="9"/>
  <c r="K8120" i="9"/>
  <c r="K8119" i="9"/>
  <c r="A8119" i="9" s="1"/>
  <c r="K8118" i="9"/>
  <c r="A8118" i="9" s="1"/>
  <c r="K8117" i="9"/>
  <c r="A8117" i="9" s="1"/>
  <c r="K8116" i="9"/>
  <c r="A8116" i="9" s="1"/>
  <c r="K8115" i="9"/>
  <c r="A8115" i="9" s="1"/>
  <c r="K8114" i="9"/>
  <c r="A8114" i="9" s="1"/>
  <c r="K8113" i="9"/>
  <c r="A8113" i="9" s="1"/>
  <c r="K8112" i="9"/>
  <c r="A8112" i="9" s="1"/>
  <c r="K8111" i="9"/>
  <c r="A8111" i="9" s="1"/>
  <c r="K8110" i="9"/>
  <c r="A8110" i="9" s="1"/>
  <c r="K8109" i="9"/>
  <c r="A8109" i="9" s="1"/>
  <c r="A8108" i="9"/>
  <c r="K8108" i="9"/>
  <c r="K8107" i="9"/>
  <c r="A8107" i="9" s="1"/>
  <c r="K8106" i="9"/>
  <c r="A8106" i="9" s="1"/>
  <c r="K8105" i="9"/>
  <c r="A8105" i="9" s="1"/>
  <c r="A8104" i="9"/>
  <c r="K8104" i="9"/>
  <c r="K8103" i="9"/>
  <c r="A8103" i="9" s="1"/>
  <c r="K8102" i="9"/>
  <c r="A8102" i="9" s="1"/>
  <c r="K8101" i="9"/>
  <c r="A8101" i="9" s="1"/>
  <c r="K8099" i="9"/>
  <c r="A8099" i="9" s="1"/>
  <c r="K8100" i="9"/>
  <c r="A8100" i="9" s="1"/>
  <c r="K8098" i="9"/>
  <c r="A8098" i="9" s="1"/>
  <c r="K8097" i="9"/>
  <c r="A8097" i="9" s="1"/>
  <c r="K8096" i="9"/>
  <c r="A8096" i="9" s="1"/>
  <c r="K8095" i="9"/>
  <c r="A8095" i="9" s="1"/>
  <c r="K8094" i="9"/>
  <c r="A8094" i="9" s="1"/>
  <c r="K8093" i="9"/>
  <c r="A8093" i="9" s="1"/>
  <c r="A8092" i="9"/>
  <c r="K8092" i="9"/>
  <c r="K8091" i="9"/>
  <c r="A8091" i="9" s="1"/>
  <c r="K8090" i="9"/>
  <c r="A8090" i="9" s="1"/>
  <c r="K8089" i="9"/>
  <c r="A8089" i="9" s="1"/>
  <c r="A8088" i="9"/>
  <c r="K8088" i="9"/>
  <c r="K8087" i="9"/>
  <c r="A8087" i="9" s="1"/>
  <c r="K8086" i="9"/>
  <c r="A8086" i="9" s="1"/>
  <c r="K8085" i="9"/>
  <c r="A8085" i="9" s="1"/>
  <c r="K8084" i="9"/>
  <c r="A8084" i="9" s="1"/>
  <c r="K8083" i="9"/>
  <c r="A8083" i="9" s="1"/>
  <c r="K8082" i="9"/>
  <c r="A8082" i="9" s="1"/>
  <c r="K8081" i="9"/>
  <c r="A8081" i="9" s="1"/>
  <c r="K8080" i="9"/>
  <c r="A8080" i="9" s="1"/>
  <c r="K8079" i="9"/>
  <c r="A8079" i="9" s="1"/>
  <c r="K8078" i="9"/>
  <c r="A8078" i="9" s="1"/>
  <c r="K8077" i="9"/>
  <c r="A8077" i="9" s="1"/>
  <c r="K8076" i="9"/>
  <c r="A8076" i="9" s="1"/>
  <c r="K8075" i="9"/>
  <c r="A8075" i="9" s="1"/>
  <c r="K8074" i="9"/>
  <c r="A8074" i="9" s="1"/>
  <c r="K8073" i="9"/>
  <c r="A8073" i="9" s="1"/>
  <c r="A8065" i="9"/>
  <c r="K8065" i="9"/>
  <c r="K8072" i="9"/>
  <c r="A8072" i="9" s="1"/>
  <c r="K8071" i="9"/>
  <c r="A8071" i="9" s="1"/>
  <c r="K8070" i="9"/>
  <c r="A8070" i="9" s="1"/>
  <c r="K8069" i="9"/>
  <c r="A8069" i="9" s="1"/>
  <c r="K8068" i="9"/>
  <c r="A8068" i="9" s="1"/>
  <c r="K8067" i="9"/>
  <c r="A8067" i="9" s="1"/>
  <c r="K8066" i="9"/>
  <c r="A8066" i="9" s="1"/>
  <c r="A8064" i="9"/>
  <c r="K8064" i="9"/>
  <c r="K8063" i="9"/>
  <c r="A8063" i="9" s="1"/>
  <c r="K8062" i="9"/>
  <c r="A8062" i="9" s="1"/>
  <c r="K8061" i="9"/>
  <c r="A8061" i="9" s="1"/>
  <c r="K8060" i="9"/>
  <c r="A8060" i="9" s="1"/>
  <c r="K8059" i="9"/>
  <c r="A8059" i="9" s="1"/>
  <c r="A8058" i="9"/>
  <c r="K8058" i="9"/>
  <c r="K8057" i="9"/>
  <c r="A8057" i="9" s="1"/>
  <c r="K8056" i="9"/>
  <c r="A8056" i="9" s="1"/>
  <c r="K8055" i="9"/>
  <c r="A8055" i="9" s="1"/>
  <c r="K8054" i="9"/>
  <c r="A8054" i="9" s="1"/>
  <c r="K8052" i="9"/>
  <c r="A8052" i="9" s="1"/>
  <c r="K8053" i="9"/>
  <c r="A8053" i="9" s="1"/>
  <c r="K8051" i="9"/>
  <c r="A8051" i="9" s="1"/>
  <c r="K8050" i="9"/>
  <c r="A8050" i="9" s="1"/>
  <c r="K8049" i="9"/>
  <c r="A8049" i="9" s="1"/>
  <c r="K8048" i="9"/>
  <c r="A8048" i="9" s="1"/>
  <c r="K8047" i="9"/>
  <c r="A8047" i="9" s="1"/>
  <c r="K8046" i="9"/>
  <c r="A8046" i="9" s="1"/>
  <c r="K8045" i="9"/>
  <c r="A8045" i="9" s="1"/>
  <c r="A8044" i="9"/>
  <c r="K8044" i="9"/>
  <c r="K8043" i="9"/>
  <c r="A8043" i="9" s="1"/>
  <c r="K8042" i="9"/>
  <c r="A8042" i="9" s="1"/>
  <c r="K8041" i="9"/>
  <c r="A8041" i="9" s="1"/>
  <c r="K8040" i="9"/>
  <c r="A8040" i="9" s="1"/>
  <c r="K8039" i="9"/>
  <c r="A8039" i="9" s="1"/>
  <c r="K8038" i="9"/>
  <c r="A8038" i="9" s="1"/>
  <c r="K8037" i="9"/>
  <c r="A8037" i="9" s="1"/>
  <c r="K8036" i="9"/>
  <c r="A8036" i="9" s="1"/>
  <c r="K8035" i="9"/>
  <c r="A8035" i="9" s="1"/>
  <c r="K8033" i="9"/>
  <c r="A8033" i="9" s="1"/>
  <c r="K8034" i="9"/>
  <c r="A8034" i="9" s="1"/>
  <c r="K8031" i="9"/>
  <c r="A8031" i="9" s="1"/>
  <c r="K8032" i="9"/>
  <c r="A8032" i="9" s="1"/>
  <c r="K8029" i="9"/>
  <c r="A8029" i="9" s="1"/>
  <c r="K8030" i="9"/>
  <c r="A8030" i="9" s="1"/>
  <c r="K8028" i="9"/>
  <c r="A8028" i="9" s="1"/>
  <c r="K8027" i="9"/>
  <c r="A8027" i="9" s="1"/>
  <c r="K8026" i="9"/>
  <c r="A8026" i="9" s="1"/>
  <c r="K8025" i="9"/>
  <c r="A8025" i="9" s="1"/>
  <c r="K8024" i="9"/>
  <c r="A8024" i="9" s="1"/>
  <c r="K8023" i="9"/>
  <c r="A8023" i="9" s="1"/>
  <c r="K8022" i="9"/>
  <c r="A8022" i="9" s="1"/>
  <c r="K8021" i="9"/>
  <c r="A8021" i="9" s="1"/>
  <c r="A8020" i="9"/>
  <c r="K8020" i="9"/>
  <c r="K8019" i="9"/>
  <c r="A8019" i="9" s="1"/>
  <c r="K8018" i="9"/>
  <c r="A8018" i="9" s="1"/>
  <c r="K8017" i="9"/>
  <c r="A8017" i="9" s="1"/>
  <c r="K8016" i="9"/>
  <c r="A8016" i="9" s="1"/>
  <c r="K8015" i="9"/>
  <c r="A8015" i="9" s="1"/>
  <c r="K8014" i="9"/>
  <c r="A8014" i="9" s="1"/>
  <c r="K8013" i="9"/>
  <c r="A8013" i="9" s="1"/>
  <c r="A8012" i="9"/>
  <c r="K8012" i="9"/>
  <c r="K8011" i="9"/>
  <c r="A8011" i="9" s="1"/>
  <c r="K8010" i="9"/>
  <c r="A8010" i="9" s="1"/>
  <c r="K8009" i="9"/>
  <c r="A8009" i="9" s="1"/>
  <c r="K8008" i="9"/>
  <c r="A8008" i="9" s="1"/>
  <c r="K8007" i="9"/>
  <c r="A8007" i="9" s="1"/>
  <c r="K8006" i="9"/>
  <c r="A8006" i="9" s="1"/>
  <c r="K8005" i="9"/>
  <c r="A8005" i="9" s="1"/>
  <c r="K8004" i="9"/>
  <c r="A8004" i="9" s="1"/>
  <c r="K8002" i="9"/>
  <c r="A8002" i="9" s="1"/>
  <c r="K8003" i="9"/>
  <c r="A8003" i="9" s="1"/>
  <c r="K8001" i="9"/>
  <c r="A8001" i="9" s="1"/>
  <c r="K8000" i="9"/>
  <c r="A8000" i="9" s="1"/>
  <c r="K7999" i="9"/>
  <c r="A7999" i="9" s="1"/>
  <c r="K7998" i="9"/>
  <c r="A7998" i="9" s="1"/>
  <c r="K7997" i="9"/>
  <c r="A7997" i="9" s="1"/>
  <c r="K7996" i="9"/>
  <c r="A7996" i="9" s="1"/>
  <c r="K7995" i="9"/>
  <c r="A7995" i="9" s="1"/>
  <c r="K7994" i="9"/>
  <c r="A7994" i="9" s="1"/>
  <c r="K7993" i="9"/>
  <c r="A7993" i="9" s="1"/>
  <c r="K7992" i="9"/>
  <c r="A7992" i="9" s="1"/>
  <c r="K7991" i="9"/>
  <c r="A7991" i="9" s="1"/>
  <c r="K7990" i="9"/>
  <c r="A7990" i="9" s="1"/>
  <c r="K7989" i="9"/>
  <c r="A7989" i="9" s="1"/>
  <c r="K7988" i="9"/>
  <c r="A7988" i="9" s="1"/>
  <c r="K7987" i="9"/>
  <c r="A7987" i="9" s="1"/>
  <c r="K7986" i="9"/>
  <c r="A7986" i="9" s="1"/>
  <c r="K7985" i="9"/>
  <c r="A7985" i="9" s="1"/>
  <c r="K7984" i="9"/>
  <c r="A7984" i="9" s="1"/>
  <c r="K7983" i="9"/>
  <c r="A7983" i="9" s="1"/>
  <c r="K7982" i="9"/>
  <c r="A7982" i="9" s="1"/>
  <c r="K7981" i="9"/>
  <c r="A7981" i="9" s="1"/>
  <c r="A7980" i="9"/>
  <c r="K7980" i="9"/>
  <c r="K7979" i="9"/>
  <c r="A7979" i="9" s="1"/>
  <c r="K7978" i="9"/>
  <c r="A7978" i="9" s="1"/>
  <c r="K7977" i="9"/>
  <c r="A7977" i="9" s="1"/>
  <c r="K7976" i="9"/>
  <c r="A7976" i="9" s="1"/>
  <c r="K7975" i="9"/>
  <c r="A7975" i="9" s="1"/>
  <c r="K7974" i="9"/>
  <c r="A7974" i="9" s="1"/>
  <c r="K7973" i="9"/>
  <c r="A7973" i="9" s="1"/>
  <c r="K7972" i="9"/>
  <c r="A7972" i="9" s="1"/>
  <c r="K7971" i="9"/>
  <c r="A7971" i="9" s="1"/>
  <c r="K7970" i="9"/>
  <c r="A7970" i="9" s="1"/>
  <c r="K7969" i="9"/>
  <c r="A7969" i="9" s="1"/>
  <c r="K7968" i="9"/>
  <c r="A7968" i="9" s="1"/>
  <c r="K7967" i="9"/>
  <c r="A7967" i="9" s="1"/>
  <c r="K7966" i="9"/>
  <c r="A7966" i="9" s="1"/>
  <c r="K7965" i="9"/>
  <c r="A7965" i="9" s="1"/>
  <c r="A7964" i="9"/>
  <c r="K7964" i="9"/>
  <c r="K7963" i="9"/>
  <c r="A7963" i="9" s="1"/>
  <c r="K7962" i="9"/>
  <c r="A7962" i="9" s="1"/>
  <c r="K7961" i="9"/>
  <c r="A7961" i="9" s="1"/>
  <c r="K7960" i="9"/>
  <c r="A7960" i="9" s="1"/>
  <c r="K7959" i="9"/>
  <c r="A7959" i="9" s="1"/>
  <c r="K7958" i="9"/>
  <c r="A7958" i="9" s="1"/>
  <c r="K7957" i="9"/>
  <c r="A7957" i="9" s="1"/>
  <c r="K7956" i="9"/>
  <c r="A7956" i="9" s="1"/>
  <c r="K7955" i="9"/>
  <c r="A7955" i="9" s="1"/>
  <c r="K7954" i="9"/>
  <c r="A7954" i="9" s="1"/>
  <c r="K7953" i="9"/>
  <c r="A7953" i="9" s="1"/>
  <c r="K7952" i="9"/>
  <c r="A7952" i="9" s="1"/>
  <c r="K7951" i="9"/>
  <c r="A7951" i="9" s="1"/>
  <c r="K7950" i="9"/>
  <c r="A7950" i="9" s="1"/>
  <c r="K7948" i="9"/>
  <c r="A7948" i="9" s="1"/>
  <c r="A7947" i="9"/>
  <c r="K7947" i="9"/>
  <c r="K7946" i="9"/>
  <c r="A7946" i="9" s="1"/>
  <c r="K7949" i="9"/>
  <c r="A7949" i="9" s="1"/>
  <c r="K7945" i="9"/>
  <c r="A7945" i="9" s="1"/>
  <c r="K7944" i="9"/>
  <c r="A7944" i="9" s="1"/>
  <c r="K7937" i="9"/>
  <c r="A7937" i="9" s="1"/>
  <c r="K7943" i="9"/>
  <c r="A7943" i="9" s="1"/>
  <c r="K7942" i="9"/>
  <c r="A7942" i="9" s="1"/>
  <c r="K7939" i="9"/>
  <c r="A7939" i="9" s="1"/>
  <c r="K7941" i="9"/>
  <c r="A7941" i="9" s="1"/>
  <c r="K7940" i="9"/>
  <c r="A7940" i="9" s="1"/>
  <c r="K7938" i="9"/>
  <c r="A7938" i="9" s="1"/>
  <c r="A7936" i="9"/>
  <c r="K7936" i="9"/>
  <c r="K7935" i="9"/>
  <c r="A7935" i="9" s="1"/>
  <c r="K7934" i="9"/>
  <c r="A7934" i="9" s="1"/>
  <c r="K7933" i="9"/>
  <c r="A7933" i="9" s="1"/>
  <c r="K7932" i="9"/>
  <c r="A7932" i="9" s="1"/>
  <c r="K7931" i="9"/>
  <c r="A7931" i="9" s="1"/>
  <c r="A7930" i="9"/>
  <c r="K7930" i="9"/>
  <c r="K7929" i="9"/>
  <c r="A7929" i="9" s="1"/>
  <c r="K7928" i="9"/>
  <c r="A7928" i="9" s="1"/>
  <c r="K7927" i="9"/>
  <c r="A7927" i="9" s="1"/>
  <c r="K7926" i="9"/>
  <c r="A7926" i="9" s="1"/>
  <c r="K7925" i="9"/>
  <c r="A7925" i="9" s="1"/>
  <c r="K7924" i="9"/>
  <c r="A7924" i="9" s="1"/>
  <c r="K7923" i="9"/>
  <c r="A7923" i="9" s="1"/>
  <c r="K7922" i="9"/>
  <c r="A7922" i="9" s="1"/>
  <c r="K7921" i="9"/>
  <c r="A7921" i="9" s="1"/>
  <c r="K7920" i="9"/>
  <c r="A7920" i="9" s="1"/>
  <c r="K7919" i="9"/>
  <c r="A7919" i="9" s="1"/>
  <c r="K7918" i="9"/>
  <c r="A7918" i="9" s="1"/>
  <c r="K7917" i="9"/>
  <c r="A7917" i="9" s="1"/>
  <c r="A7916" i="9"/>
  <c r="K7916" i="9"/>
  <c r="K7915" i="9"/>
  <c r="A7915" i="9" s="1"/>
  <c r="K7914" i="9"/>
  <c r="A7914" i="9" s="1"/>
  <c r="K7913" i="9"/>
  <c r="A7913" i="9" s="1"/>
  <c r="K7912" i="9"/>
  <c r="A7912" i="9" s="1"/>
  <c r="K7911" i="9"/>
  <c r="A7911" i="9" s="1"/>
  <c r="K7910" i="9"/>
  <c r="A7910" i="9" s="1"/>
  <c r="K7909" i="9"/>
  <c r="A7909" i="9" s="1"/>
  <c r="K7908" i="9"/>
  <c r="A7908" i="9" s="1"/>
  <c r="K7907" i="9"/>
  <c r="A7907" i="9" s="1"/>
  <c r="K7906" i="9"/>
  <c r="A7906" i="9" s="1"/>
  <c r="K7905" i="9"/>
  <c r="A7905" i="9" s="1"/>
  <c r="K7904" i="9"/>
  <c r="A7904" i="9" s="1"/>
  <c r="K7903" i="9"/>
  <c r="A7903" i="9" s="1"/>
  <c r="K7902" i="9"/>
  <c r="A7902" i="9" s="1"/>
  <c r="K7901" i="9"/>
  <c r="A7901" i="9" s="1"/>
  <c r="K7900" i="9"/>
  <c r="A7900" i="9" s="1"/>
  <c r="K7899" i="9"/>
  <c r="A7899" i="9" s="1"/>
  <c r="K7898" i="9"/>
  <c r="A7898" i="9" s="1"/>
  <c r="K7897" i="9"/>
  <c r="A7897" i="9" s="1"/>
  <c r="K7896" i="9"/>
  <c r="A7896" i="9" s="1"/>
  <c r="K7895" i="9"/>
  <c r="A7895" i="9" s="1"/>
  <c r="K7894" i="9"/>
  <c r="A7894" i="9" s="1"/>
  <c r="K7893" i="9"/>
  <c r="A7893" i="9" s="1"/>
  <c r="A7892" i="9"/>
  <c r="K7892" i="9"/>
  <c r="K7891" i="9"/>
  <c r="A7891" i="9" s="1"/>
  <c r="K7890" i="9"/>
  <c r="A7890" i="9" s="1"/>
  <c r="K7889" i="9"/>
  <c r="A7889" i="9" s="1"/>
  <c r="K7888" i="9"/>
  <c r="A7888" i="9" s="1"/>
  <c r="K7887" i="9"/>
  <c r="A7887" i="9" s="1"/>
  <c r="K7886" i="9"/>
  <c r="A7886" i="9" s="1"/>
  <c r="K7885" i="9"/>
  <c r="A7885" i="9" s="1"/>
  <c r="A7884" i="9"/>
  <c r="K7884" i="9"/>
  <c r="K7883" i="9"/>
  <c r="A7883" i="9" s="1"/>
  <c r="K7882" i="9"/>
  <c r="A7882" i="9" s="1"/>
  <c r="K7881" i="9"/>
  <c r="A7881" i="9" s="1"/>
  <c r="K7880" i="9"/>
  <c r="A7880" i="9" s="1"/>
  <c r="K7879" i="9"/>
  <c r="A7879" i="9" s="1"/>
  <c r="K7878" i="9"/>
  <c r="A7878" i="9" s="1"/>
  <c r="K7877" i="9"/>
  <c r="A7877" i="9" s="1"/>
  <c r="K7876" i="9"/>
  <c r="A7876" i="9" s="1"/>
  <c r="K7875" i="9"/>
  <c r="A7875" i="9" s="1"/>
  <c r="K7874" i="9"/>
  <c r="A7874" i="9" s="1"/>
  <c r="K7873" i="9"/>
  <c r="A7873" i="9" s="1"/>
  <c r="K7872" i="9"/>
  <c r="A7872" i="9" s="1"/>
  <c r="K7871" i="9"/>
  <c r="A7871" i="9" s="1"/>
  <c r="K7870" i="9"/>
  <c r="A7870" i="9" s="1"/>
  <c r="K7869" i="9"/>
  <c r="A7869" i="9" s="1"/>
  <c r="K7868" i="9"/>
  <c r="A7868" i="9" s="1"/>
  <c r="K7867" i="9"/>
  <c r="A7867" i="9" s="1"/>
  <c r="K7866" i="9"/>
  <c r="A7866" i="9" s="1"/>
  <c r="K7865" i="9"/>
  <c r="A7865" i="9" s="1"/>
  <c r="K7864" i="9"/>
  <c r="A7864" i="9" s="1"/>
  <c r="K7863" i="9"/>
  <c r="A7863" i="9" s="1"/>
  <c r="K7862" i="9"/>
  <c r="A7862" i="9" s="1"/>
  <c r="K7861" i="9"/>
  <c r="A7861" i="9" s="1"/>
  <c r="K7860" i="9"/>
  <c r="A7860" i="9" s="1"/>
  <c r="K7859" i="9"/>
  <c r="A7859" i="9" s="1"/>
  <c r="K7858" i="9"/>
  <c r="A7858" i="9" s="1"/>
  <c r="K7857" i="9"/>
  <c r="A7857" i="9" s="1"/>
  <c r="K7856" i="9"/>
  <c r="A7856" i="9" s="1"/>
  <c r="K7855" i="9"/>
  <c r="A7855" i="9" s="1"/>
  <c r="K7854" i="9"/>
  <c r="A7854" i="9" s="1"/>
  <c r="K7853" i="9"/>
  <c r="A7853" i="9" s="1"/>
  <c r="A7852" i="9"/>
  <c r="K7852" i="9"/>
  <c r="K7851" i="9"/>
  <c r="A7851" i="9" s="1"/>
  <c r="K7850" i="9"/>
  <c r="A7850" i="9" s="1"/>
  <c r="K7849" i="9"/>
  <c r="A7849" i="9" s="1"/>
  <c r="K7848" i="9"/>
  <c r="A7848" i="9" s="1"/>
  <c r="K7847" i="9"/>
  <c r="A7847" i="9" s="1"/>
  <c r="K7846" i="9"/>
  <c r="A7846" i="9" s="1"/>
  <c r="K7845" i="9"/>
  <c r="A7845" i="9" s="1"/>
  <c r="K7844" i="9"/>
  <c r="A7844" i="9" s="1"/>
  <c r="K7843" i="9"/>
  <c r="A7843" i="9" s="1"/>
  <c r="K7842" i="9"/>
  <c r="A7842" i="9" s="1"/>
  <c r="K7841" i="9"/>
  <c r="A7841" i="9" s="1"/>
  <c r="K7840" i="9"/>
  <c r="A7840" i="9" s="1"/>
  <c r="K7839" i="9"/>
  <c r="A7839" i="9" s="1"/>
  <c r="K7838" i="9"/>
  <c r="A7838" i="9" s="1"/>
  <c r="K7837" i="9"/>
  <c r="A7837" i="9" s="1"/>
  <c r="A7836" i="9"/>
  <c r="K7836" i="9"/>
  <c r="K7835" i="9"/>
  <c r="A7835" i="9" s="1"/>
  <c r="K7834" i="9"/>
  <c r="A7834" i="9" s="1"/>
  <c r="K7833" i="9"/>
  <c r="A7833" i="9" s="1"/>
  <c r="K7832" i="9"/>
  <c r="A7832" i="9" s="1"/>
  <c r="K7831" i="9"/>
  <c r="A7831" i="9" s="1"/>
  <c r="K7830" i="9"/>
  <c r="A7830" i="9" s="1"/>
  <c r="K7829" i="9"/>
  <c r="A7829" i="9" s="1"/>
  <c r="K7828" i="9"/>
  <c r="A7828" i="9" s="1"/>
  <c r="K7827" i="9"/>
  <c r="A7827" i="9" s="1"/>
  <c r="K7826" i="9"/>
  <c r="A7826" i="9" s="1"/>
  <c r="K7825" i="9"/>
  <c r="A7825" i="9" s="1"/>
  <c r="K7824" i="9"/>
  <c r="A7824" i="9" s="1"/>
  <c r="K7823" i="9"/>
  <c r="A7823" i="9" s="1"/>
  <c r="K7822" i="9"/>
  <c r="A7822" i="9" s="1"/>
  <c r="K7821" i="9"/>
  <c r="A7821" i="9" s="1"/>
  <c r="A7820" i="9"/>
  <c r="K7820" i="9"/>
  <c r="K7819" i="9"/>
  <c r="A7819" i="9" s="1"/>
  <c r="K7818" i="9"/>
  <c r="A7818" i="9" s="1"/>
  <c r="K7817" i="9"/>
  <c r="A7817" i="9" s="1"/>
  <c r="K7816" i="9"/>
  <c r="A7816" i="9" s="1"/>
  <c r="K7815" i="9"/>
  <c r="A7815" i="9" s="1"/>
  <c r="K7814" i="9"/>
  <c r="A7814" i="9" s="1"/>
  <c r="K7813" i="9"/>
  <c r="A7813" i="9" s="1"/>
  <c r="K7812" i="9"/>
  <c r="A7812" i="9" s="1"/>
  <c r="K7811" i="9"/>
  <c r="A7811" i="9" s="1"/>
  <c r="K7810" i="9"/>
  <c r="A7810" i="9" s="1"/>
  <c r="K7809" i="9"/>
  <c r="A7809" i="9" s="1"/>
  <c r="A7808" i="9"/>
  <c r="K7808" i="9"/>
  <c r="K7807" i="9"/>
  <c r="A7807" i="9" s="1"/>
  <c r="K7806" i="9"/>
  <c r="A7806" i="9" s="1"/>
  <c r="K7805" i="9"/>
  <c r="A7805" i="9" s="1"/>
  <c r="K7804" i="9"/>
  <c r="A7804" i="9" s="1"/>
  <c r="K7803" i="9"/>
  <c r="A7803" i="9" s="1"/>
  <c r="A7802" i="9"/>
  <c r="K7802" i="9"/>
  <c r="K7801" i="9"/>
  <c r="A7801" i="9" s="1"/>
  <c r="K7800" i="9"/>
  <c r="A7800" i="9" s="1"/>
  <c r="K7799" i="9"/>
  <c r="A7799" i="9" s="1"/>
  <c r="K7798" i="9"/>
  <c r="A7798" i="9" s="1"/>
  <c r="K7797" i="9"/>
  <c r="A7797" i="9" s="1"/>
  <c r="K7796" i="9"/>
  <c r="A7796" i="9" s="1"/>
  <c r="K7795" i="9"/>
  <c r="A7795" i="9" s="1"/>
  <c r="K7794" i="9"/>
  <c r="A7794" i="9" s="1"/>
  <c r="K7793" i="9"/>
  <c r="A7793" i="9" s="1"/>
  <c r="K7792" i="9"/>
  <c r="A7792" i="9" s="1"/>
  <c r="K7791" i="9"/>
  <c r="A7791" i="9" s="1"/>
  <c r="K7790" i="9"/>
  <c r="A7790" i="9" s="1"/>
  <c r="K7789" i="9"/>
  <c r="A7789" i="9" s="1"/>
  <c r="A7788" i="9"/>
  <c r="K7788" i="9"/>
  <c r="K7787" i="9"/>
  <c r="A7787" i="9" s="1"/>
  <c r="K7786" i="9"/>
  <c r="A7786" i="9" s="1"/>
  <c r="K7785" i="9"/>
  <c r="A7785" i="9" s="1"/>
  <c r="K7784" i="9"/>
  <c r="A7784" i="9" s="1"/>
  <c r="K7783" i="9"/>
  <c r="A7783" i="9" s="1"/>
  <c r="K7782" i="9"/>
  <c r="A7782" i="9" s="1"/>
  <c r="K7781" i="9"/>
  <c r="A7781" i="9" s="1"/>
  <c r="K7780" i="9"/>
  <c r="A7780" i="9" s="1"/>
  <c r="K7779" i="9"/>
  <c r="A7779" i="9" s="1"/>
  <c r="K7778" i="9"/>
  <c r="A7778" i="9" s="1"/>
  <c r="K7777" i="9"/>
  <c r="A7777" i="9" s="1"/>
  <c r="K7776" i="9"/>
  <c r="A7776" i="9" s="1"/>
  <c r="K7775" i="9"/>
  <c r="A7775" i="9" s="1"/>
  <c r="K7774" i="9"/>
  <c r="A7774" i="9" s="1"/>
  <c r="K7773" i="9"/>
  <c r="A7773" i="9" s="1"/>
  <c r="K7772" i="9"/>
  <c r="A7772" i="9" s="1"/>
  <c r="K7771" i="9"/>
  <c r="A7771" i="9" s="1"/>
  <c r="K7770" i="9"/>
  <c r="A7770" i="9" s="1"/>
  <c r="K7769" i="9"/>
  <c r="A7769" i="9" s="1"/>
  <c r="K7768" i="9"/>
  <c r="A7768" i="9" s="1"/>
  <c r="K7767" i="9"/>
  <c r="A7767" i="9" s="1"/>
  <c r="K7766" i="9"/>
  <c r="A7766" i="9" s="1"/>
  <c r="K7765" i="9"/>
  <c r="A7765" i="9" s="1"/>
  <c r="A7764" i="9"/>
  <c r="K7764" i="9"/>
  <c r="K7763" i="9"/>
  <c r="A7763" i="9" s="1"/>
  <c r="K7762" i="9"/>
  <c r="A7762" i="9" s="1"/>
  <c r="K7761" i="9"/>
  <c r="A7761" i="9" s="1"/>
  <c r="K7760" i="9"/>
  <c r="A7760" i="9" s="1"/>
  <c r="K7759" i="9"/>
  <c r="A7759" i="9" s="1"/>
  <c r="K7758" i="9"/>
  <c r="A7758" i="9" s="1"/>
  <c r="K7757" i="9"/>
  <c r="A7757" i="9" s="1"/>
  <c r="K7756" i="9"/>
  <c r="A7756" i="9" s="1"/>
  <c r="K7755" i="9"/>
  <c r="A7755" i="9" s="1"/>
  <c r="K7754" i="9"/>
  <c r="A7754" i="9" s="1"/>
  <c r="K7753" i="9"/>
  <c r="A7753" i="9" s="1"/>
  <c r="K7752" i="9"/>
  <c r="A7752" i="9" s="1"/>
  <c r="K7751" i="9"/>
  <c r="A7751" i="9" s="1"/>
  <c r="K7750" i="9"/>
  <c r="A7750" i="9" s="1"/>
  <c r="K7749" i="9"/>
  <c r="A7749" i="9" s="1"/>
  <c r="K7748" i="9"/>
  <c r="A7748" i="9" s="1"/>
  <c r="K7747" i="9"/>
  <c r="A7747" i="9" s="1"/>
  <c r="K7746" i="9"/>
  <c r="A7746" i="9" s="1"/>
  <c r="K7745" i="9"/>
  <c r="A7745" i="9" s="1"/>
  <c r="A7744" i="9"/>
  <c r="K7744" i="9"/>
  <c r="K7743" i="9"/>
  <c r="A7743" i="9" s="1"/>
  <c r="K7742" i="9"/>
  <c r="A7742" i="9" s="1"/>
  <c r="K7740" i="9"/>
  <c r="A7740" i="9" s="1"/>
  <c r="K7741" i="9"/>
  <c r="A7741" i="9" s="1"/>
  <c r="K7739" i="9"/>
  <c r="A7739" i="9" s="1"/>
  <c r="A7738" i="9"/>
  <c r="K7738" i="9"/>
  <c r="K7737" i="9"/>
  <c r="A7737" i="9" s="1"/>
  <c r="A7736" i="9"/>
  <c r="K7736" i="9"/>
  <c r="K7735" i="9"/>
  <c r="A7735" i="9" s="1"/>
  <c r="K7734" i="9"/>
  <c r="A7734" i="9" s="1"/>
  <c r="K7733" i="9"/>
  <c r="A7733" i="9" s="1"/>
  <c r="A7732" i="9"/>
  <c r="K7732" i="9"/>
  <c r="K7731" i="9"/>
  <c r="A7731" i="9" s="1"/>
  <c r="A7730" i="9"/>
  <c r="K7730" i="9"/>
  <c r="K7729" i="9"/>
  <c r="A7729" i="9" s="1"/>
  <c r="K7728" i="9"/>
  <c r="A7728" i="9" s="1"/>
  <c r="K7727" i="9"/>
  <c r="A7727" i="9" s="1"/>
  <c r="K7726" i="9"/>
  <c r="A7726" i="9" s="1"/>
  <c r="K7725" i="9"/>
  <c r="A7725" i="9" s="1"/>
  <c r="K7724" i="9"/>
  <c r="A7724" i="9" s="1"/>
  <c r="K7723" i="9"/>
  <c r="A7723" i="9" s="1"/>
  <c r="K7722" i="9"/>
  <c r="A7722" i="9" s="1"/>
  <c r="K7721" i="9"/>
  <c r="A7721" i="9" s="1"/>
  <c r="K7720" i="9"/>
  <c r="A7720" i="9" s="1"/>
  <c r="K7719" i="9"/>
  <c r="A7719" i="9" s="1"/>
  <c r="K7718" i="9"/>
  <c r="A7718" i="9" s="1"/>
  <c r="K7717" i="9"/>
  <c r="A7717" i="9" s="1"/>
  <c r="K7716" i="9"/>
  <c r="A7716" i="9" s="1"/>
  <c r="K7715" i="9"/>
  <c r="A7715" i="9" s="1"/>
  <c r="K7714" i="9"/>
  <c r="A7714" i="9" s="1"/>
  <c r="K7713" i="9"/>
  <c r="A7713" i="9" s="1"/>
  <c r="A7712" i="9"/>
  <c r="K7712" i="9"/>
  <c r="K7711" i="9"/>
  <c r="A7711" i="9" s="1"/>
  <c r="K7710" i="9"/>
  <c r="A7710" i="9" s="1"/>
  <c r="K7709" i="9"/>
  <c r="A7709" i="9" s="1"/>
  <c r="K7708" i="9"/>
  <c r="A7708" i="9" s="1"/>
  <c r="K7707" i="9"/>
  <c r="A7707" i="9" s="1"/>
  <c r="A7706" i="9"/>
  <c r="K7706" i="9"/>
  <c r="K7705" i="9"/>
  <c r="A7705" i="9" s="1"/>
  <c r="K7704" i="9"/>
  <c r="A7704" i="9" s="1"/>
  <c r="K7703" i="9"/>
  <c r="A7703" i="9" s="1"/>
  <c r="K7702" i="9"/>
  <c r="A7702" i="9" s="1"/>
  <c r="K7701" i="9"/>
  <c r="A7701" i="9" s="1"/>
  <c r="A7700" i="9"/>
  <c r="K7700" i="9"/>
  <c r="K7699" i="9"/>
  <c r="A7699" i="9" s="1"/>
  <c r="K7698" i="9"/>
  <c r="A7698" i="9" s="1"/>
  <c r="K7697" i="9"/>
  <c r="A7697" i="9" s="1"/>
  <c r="K7696" i="9"/>
  <c r="A7696" i="9" s="1"/>
  <c r="K7695" i="9"/>
  <c r="A7695" i="9" s="1"/>
  <c r="K7694" i="9"/>
  <c r="A7694" i="9" s="1"/>
  <c r="K7693" i="9"/>
  <c r="A7693" i="9" s="1"/>
  <c r="K7692" i="9"/>
  <c r="A7692" i="9" s="1"/>
  <c r="K7691" i="9"/>
  <c r="A7691" i="9" s="1"/>
  <c r="K7690" i="9"/>
  <c r="A7690" i="9" s="1"/>
  <c r="K7689" i="9"/>
  <c r="A7689" i="9" s="1"/>
  <c r="K7688" i="9"/>
  <c r="A7688" i="9" s="1"/>
  <c r="K7687" i="9"/>
  <c r="A7687" i="9" s="1"/>
  <c r="K7686" i="9"/>
  <c r="A7686" i="9" s="1"/>
  <c r="K7685" i="9"/>
  <c r="A7685" i="9" s="1"/>
  <c r="K7684" i="9"/>
  <c r="A7684" i="9" s="1"/>
  <c r="K7683" i="9"/>
  <c r="A7683" i="9" s="1"/>
  <c r="K7682" i="9"/>
  <c r="A7682" i="9" s="1"/>
  <c r="K7681" i="9"/>
  <c r="A7681" i="9" s="1"/>
  <c r="A7680" i="9"/>
  <c r="K7680" i="9"/>
  <c r="K7679" i="9"/>
  <c r="A7679" i="9" s="1"/>
  <c r="K7678" i="9"/>
  <c r="A7678" i="9" s="1"/>
  <c r="K7677" i="9"/>
  <c r="A7677" i="9" s="1"/>
  <c r="K7676" i="9"/>
  <c r="A7676" i="9" s="1"/>
  <c r="K7675" i="9"/>
  <c r="A7675" i="9" s="1"/>
  <c r="A7674" i="9"/>
  <c r="K7674" i="9"/>
  <c r="K7673" i="9"/>
  <c r="A7673" i="9" s="1"/>
  <c r="A7672" i="9"/>
  <c r="K7672" i="9"/>
  <c r="K7671" i="9"/>
  <c r="A7671" i="9" s="1"/>
  <c r="K7670" i="9"/>
  <c r="A7670" i="9" s="1"/>
  <c r="K7669" i="9"/>
  <c r="A7669" i="9" s="1"/>
  <c r="A7668" i="9"/>
  <c r="K7668" i="9"/>
  <c r="K7667" i="9"/>
  <c r="A7667" i="9" s="1"/>
  <c r="A7666" i="9"/>
  <c r="K7666" i="9"/>
  <c r="K7665" i="9"/>
  <c r="A7665" i="9" s="1"/>
  <c r="K7664" i="9"/>
  <c r="A7664" i="9" s="1"/>
  <c r="K7663" i="9"/>
  <c r="A7663" i="9" s="1"/>
  <c r="K7662" i="9"/>
  <c r="A7662" i="9" s="1"/>
  <c r="K7661" i="9"/>
  <c r="A7661" i="9" s="1"/>
  <c r="K7660" i="9"/>
  <c r="A7660" i="9" s="1"/>
  <c r="K7659" i="9"/>
  <c r="A7659" i="9" s="1"/>
  <c r="K7658" i="9"/>
  <c r="A7658" i="9" s="1"/>
  <c r="K7657" i="9"/>
  <c r="A7657" i="9" s="1"/>
  <c r="K7656" i="9"/>
  <c r="A7656" i="9" s="1"/>
  <c r="K7655" i="9"/>
  <c r="A7655" i="9" s="1"/>
  <c r="K7654" i="9"/>
  <c r="A7654" i="9" s="1"/>
  <c r="K7653" i="9"/>
  <c r="A7653" i="9" s="1"/>
  <c r="K7652" i="9"/>
  <c r="A7652" i="9" s="1"/>
  <c r="K7651" i="9"/>
  <c r="A7651" i="9" s="1"/>
  <c r="K7650" i="9"/>
  <c r="A7650" i="9" s="1"/>
  <c r="K7649" i="9"/>
  <c r="A7649" i="9" s="1"/>
  <c r="A7648" i="9"/>
  <c r="K7648" i="9"/>
  <c r="K7647" i="9"/>
  <c r="A7647" i="9" s="1"/>
  <c r="K7646" i="9"/>
  <c r="A7646" i="9" s="1"/>
  <c r="K7645" i="9"/>
  <c r="A7645" i="9" s="1"/>
  <c r="K7644" i="9"/>
  <c r="A7644" i="9" s="1"/>
  <c r="K7643" i="9"/>
  <c r="A7643" i="9" s="1"/>
  <c r="A7642" i="9"/>
  <c r="K7642" i="9"/>
  <c r="K7641" i="9"/>
  <c r="A7641" i="9" s="1"/>
  <c r="K7640" i="9"/>
  <c r="A7640" i="9" s="1"/>
  <c r="K7639" i="9"/>
  <c r="A7639" i="9" s="1"/>
  <c r="K7638" i="9"/>
  <c r="A7638" i="9" s="1"/>
  <c r="K7637" i="9"/>
  <c r="A7637" i="9" s="1"/>
  <c r="A7636" i="9"/>
  <c r="K7636" i="9"/>
  <c r="K7635" i="9"/>
  <c r="A7635" i="9" s="1"/>
  <c r="K7634" i="9"/>
  <c r="A7634" i="9" s="1"/>
  <c r="K7633" i="9"/>
  <c r="A7633" i="9" s="1"/>
  <c r="K7632" i="9"/>
  <c r="A7632" i="9" s="1"/>
  <c r="K7631" i="9"/>
  <c r="A7631" i="9" s="1"/>
  <c r="K7630" i="9"/>
  <c r="A7630" i="9" s="1"/>
  <c r="K7629" i="9"/>
  <c r="A7629" i="9" s="1"/>
  <c r="K7628" i="9"/>
  <c r="A7628" i="9" s="1"/>
  <c r="K7627" i="9"/>
  <c r="A7627" i="9" s="1"/>
  <c r="K7626" i="9"/>
  <c r="A7626" i="9" s="1"/>
  <c r="K7625" i="9"/>
  <c r="A7625" i="9" s="1"/>
  <c r="K7624" i="9"/>
  <c r="A7624" i="9" s="1"/>
  <c r="K7623" i="9"/>
  <c r="A7623" i="9" s="1"/>
  <c r="K7622" i="9"/>
  <c r="A7622" i="9" s="1"/>
  <c r="K7621" i="9"/>
  <c r="A7621" i="9" s="1"/>
  <c r="K7620" i="9"/>
  <c r="A7620" i="9" s="1"/>
  <c r="K7619" i="9"/>
  <c r="A7619" i="9" s="1"/>
  <c r="K7618" i="9"/>
  <c r="A7618" i="9" s="1"/>
  <c r="K7617" i="9"/>
  <c r="A7617" i="9" s="1"/>
  <c r="A7616" i="9"/>
  <c r="K7616" i="9"/>
  <c r="K7615" i="9"/>
  <c r="A7615" i="9" s="1"/>
  <c r="K7614" i="9"/>
  <c r="A7614" i="9" s="1"/>
  <c r="K7613" i="9"/>
  <c r="A7613" i="9" s="1"/>
  <c r="K7612" i="9"/>
  <c r="A7612" i="9" s="1"/>
  <c r="K7611" i="9"/>
  <c r="A7611" i="9" s="1"/>
  <c r="A7610" i="9"/>
  <c r="K7610" i="9"/>
  <c r="K7609" i="9"/>
  <c r="A7609" i="9" s="1"/>
  <c r="A7608" i="9"/>
  <c r="K7608" i="9"/>
  <c r="K7607" i="9"/>
  <c r="A7607" i="9" s="1"/>
  <c r="K7606" i="9"/>
  <c r="A7606" i="9" s="1"/>
  <c r="K7605" i="9"/>
  <c r="A7605" i="9" s="1"/>
  <c r="A7604" i="9"/>
  <c r="K7604" i="9"/>
  <c r="K7603" i="9"/>
  <c r="A7603" i="9" s="1"/>
  <c r="A7602" i="9"/>
  <c r="K7602" i="9"/>
  <c r="K7601" i="9"/>
  <c r="A7601" i="9" s="1"/>
  <c r="K7600" i="9"/>
  <c r="A7600" i="9" s="1"/>
  <c r="K7599" i="9"/>
  <c r="A7599" i="9" s="1"/>
  <c r="K7598" i="9"/>
  <c r="A7598" i="9" s="1"/>
  <c r="K7597" i="9"/>
  <c r="A7597" i="9" s="1"/>
  <c r="K7596" i="9"/>
  <c r="A7596" i="9" s="1"/>
  <c r="K7595" i="9"/>
  <c r="A7595" i="9" s="1"/>
  <c r="K7594" i="9"/>
  <c r="A7594" i="9" s="1"/>
  <c r="K7593" i="9"/>
  <c r="A7593" i="9" s="1"/>
  <c r="K7592" i="9"/>
  <c r="A7592" i="9" s="1"/>
  <c r="K7591" i="9"/>
  <c r="A7591" i="9" s="1"/>
  <c r="K7590" i="9"/>
  <c r="A7590" i="9" s="1"/>
  <c r="K7589" i="9"/>
  <c r="A7589" i="9" s="1"/>
  <c r="K7588" i="9"/>
  <c r="A7588" i="9" s="1"/>
  <c r="K7587" i="9"/>
  <c r="A7587" i="9" s="1"/>
  <c r="K7586" i="9"/>
  <c r="A7586" i="9" s="1"/>
  <c r="K7585" i="9"/>
  <c r="A7585" i="9" s="1"/>
  <c r="A7584" i="9"/>
  <c r="K7584" i="9"/>
  <c r="K7583" i="9"/>
  <c r="A7583" i="9" s="1"/>
  <c r="K7582" i="9"/>
  <c r="A7582" i="9" s="1"/>
  <c r="K7581" i="9"/>
  <c r="A7581" i="9" s="1"/>
  <c r="K7580" i="9"/>
  <c r="A7580" i="9" s="1"/>
  <c r="K7579" i="9"/>
  <c r="A7579" i="9" s="1"/>
  <c r="A7578" i="9"/>
  <c r="K7578" i="9"/>
  <c r="K7577" i="9"/>
  <c r="A7577" i="9" s="1"/>
  <c r="K7576" i="9"/>
  <c r="A7576" i="9" s="1"/>
  <c r="K7575" i="9"/>
  <c r="A7575" i="9" s="1"/>
  <c r="K7574" i="9"/>
  <c r="A7574" i="9" s="1"/>
  <c r="K7573" i="9"/>
  <c r="A7573" i="9" s="1"/>
  <c r="A7572" i="9"/>
  <c r="K7572" i="9"/>
  <c r="K7571" i="9"/>
  <c r="A7571" i="9" s="1"/>
  <c r="K7570" i="9"/>
  <c r="A7570" i="9" s="1"/>
  <c r="K7569" i="9"/>
  <c r="A7569" i="9" s="1"/>
  <c r="K7568" i="9"/>
  <c r="A7568" i="9" s="1"/>
  <c r="K7567" i="9"/>
  <c r="A7567" i="9" s="1"/>
  <c r="K7566" i="9"/>
  <c r="A7566" i="9" s="1"/>
  <c r="K7565" i="9"/>
  <c r="A7565" i="9" s="1"/>
  <c r="K7564" i="9"/>
  <c r="A7564" i="9" s="1"/>
  <c r="K7520" i="9"/>
  <c r="A7520" i="9" s="1"/>
  <c r="K7562" i="9"/>
  <c r="A7562" i="9" s="1"/>
  <c r="K7561" i="9"/>
  <c r="A7561" i="9" s="1"/>
  <c r="K7563" i="9"/>
  <c r="A7563" i="9" s="1"/>
  <c r="K7519" i="9"/>
  <c r="A7519" i="9" s="1"/>
  <c r="K7518" i="9"/>
  <c r="A7518" i="9" s="1"/>
  <c r="K7517" i="9"/>
  <c r="A7517" i="9" s="1"/>
  <c r="A7516" i="9"/>
  <c r="K7516" i="9"/>
  <c r="K7560" i="9"/>
  <c r="A7560" i="9" s="1"/>
  <c r="A7559" i="9"/>
  <c r="K7559" i="9"/>
  <c r="K7558" i="9"/>
  <c r="A7558" i="9" s="1"/>
  <c r="K7557" i="9"/>
  <c r="A7557" i="9" s="1"/>
  <c r="K7553" i="9"/>
  <c r="A7553" i="9" s="1"/>
  <c r="K7515" i="9"/>
  <c r="A7515" i="9" s="1"/>
  <c r="K7549" i="9"/>
  <c r="A7549" i="9" s="1"/>
  <c r="K7513" i="9"/>
  <c r="A7513" i="9" s="1"/>
  <c r="K7512" i="9"/>
  <c r="A7512" i="9" s="1"/>
  <c r="K7511" i="9"/>
  <c r="A7511" i="9" s="1"/>
  <c r="K7510" i="9"/>
  <c r="A7510" i="9" s="1"/>
  <c r="K7509" i="9"/>
  <c r="A7509" i="9" s="1"/>
  <c r="K7508" i="9"/>
  <c r="A7508" i="9" s="1"/>
  <c r="K7514" i="9"/>
  <c r="A7514" i="9" s="1"/>
  <c r="K7547" i="9"/>
  <c r="A7547" i="9" s="1"/>
  <c r="A7548" i="9"/>
  <c r="K7548" i="9"/>
  <c r="K7546" i="9"/>
  <c r="A7546" i="9" s="1"/>
  <c r="K7552" i="9"/>
  <c r="A7552" i="9" s="1"/>
  <c r="K7545" i="9"/>
  <c r="A7545" i="9" s="1"/>
  <c r="K7544" i="9"/>
  <c r="A7544" i="9" s="1"/>
  <c r="K7543" i="9"/>
  <c r="A7543" i="9" s="1"/>
  <c r="K7542" i="9"/>
  <c r="A7542" i="9" s="1"/>
  <c r="K7541" i="9"/>
  <c r="A7541" i="9" s="1"/>
  <c r="K7540" i="9"/>
  <c r="A7540" i="9" s="1"/>
  <c r="K7539" i="9"/>
  <c r="A7539" i="9" s="1"/>
  <c r="K7538" i="9"/>
  <c r="A7538" i="9" s="1"/>
  <c r="K7537" i="9"/>
  <c r="A7537" i="9" s="1"/>
  <c r="K7536" i="9"/>
  <c r="A7536" i="9" s="1"/>
  <c r="K7535" i="9"/>
  <c r="A7535" i="9" s="1"/>
  <c r="K7534" i="9"/>
  <c r="A7534" i="9" s="1"/>
  <c r="K7533" i="9"/>
  <c r="A7533" i="9" s="1"/>
  <c r="A7532" i="9"/>
  <c r="K7532" i="9"/>
  <c r="K7531" i="9"/>
  <c r="A7531" i="9" s="1"/>
  <c r="A7530" i="9"/>
  <c r="K7530" i="9"/>
  <c r="K7529" i="9"/>
  <c r="A7529" i="9" s="1"/>
  <c r="K7528" i="9"/>
  <c r="A7528" i="9" s="1"/>
  <c r="K7527" i="9"/>
  <c r="A7527" i="9" s="1"/>
  <c r="K7526" i="9"/>
  <c r="A7526" i="9" s="1"/>
  <c r="K7525" i="9"/>
  <c r="A7525" i="9" s="1"/>
  <c r="K7524" i="9"/>
  <c r="A7524" i="9" s="1"/>
  <c r="K7523" i="9"/>
  <c r="A7523" i="9" s="1"/>
  <c r="K7507" i="9"/>
  <c r="A7507" i="9" s="1"/>
  <c r="K7522" i="9"/>
  <c r="A7522" i="9" s="1"/>
  <c r="K7521" i="9"/>
  <c r="A7521" i="9" s="1"/>
  <c r="K7551" i="9"/>
  <c r="A7551" i="9" s="1"/>
  <c r="K7469" i="9"/>
  <c r="A7469" i="9" s="1"/>
  <c r="K7468" i="9"/>
  <c r="A7468" i="9" s="1"/>
  <c r="A7467" i="9"/>
  <c r="K7467" i="9"/>
  <c r="K7466" i="9"/>
  <c r="A7466" i="9" s="1"/>
  <c r="K7465" i="9"/>
  <c r="A7465" i="9" s="1"/>
  <c r="K7464" i="9"/>
  <c r="A7464" i="9" s="1"/>
  <c r="K7463" i="9"/>
  <c r="A7463" i="9" s="1"/>
  <c r="K7462" i="9"/>
  <c r="A7462" i="9" s="1"/>
  <c r="K7461" i="9"/>
  <c r="A7461" i="9" s="1"/>
  <c r="K7506" i="9"/>
  <c r="A7506" i="9" s="1"/>
  <c r="K7505" i="9"/>
  <c r="A7505" i="9" s="1"/>
  <c r="K7504" i="9"/>
  <c r="A7504" i="9" s="1"/>
  <c r="K7503" i="9"/>
  <c r="A7503" i="9" s="1"/>
  <c r="K7502" i="9"/>
  <c r="A7502" i="9" s="1"/>
  <c r="K7501" i="9"/>
  <c r="A7501" i="9" s="1"/>
  <c r="K7550" i="9"/>
  <c r="A7550" i="9" s="1"/>
  <c r="K7460" i="9"/>
  <c r="A7460" i="9" s="1"/>
  <c r="K7459" i="9"/>
  <c r="A7459" i="9" s="1"/>
  <c r="A7500" i="9"/>
  <c r="K7500" i="9"/>
  <c r="K7454" i="9"/>
  <c r="A7454" i="9" s="1"/>
  <c r="A7458" i="9"/>
  <c r="K7458" i="9"/>
  <c r="K7455" i="9"/>
  <c r="A7455" i="9" s="1"/>
  <c r="K7457" i="9"/>
  <c r="A7457" i="9" s="1"/>
  <c r="K7456" i="9"/>
  <c r="A7456" i="9" s="1"/>
  <c r="K7499" i="9"/>
  <c r="A7499" i="9" s="1"/>
  <c r="K7453" i="9"/>
  <c r="A7453" i="9" s="1"/>
  <c r="K7452" i="9"/>
  <c r="A7452" i="9" s="1"/>
  <c r="K7451" i="9"/>
  <c r="A7451" i="9" s="1"/>
  <c r="K7492" i="9"/>
  <c r="A7492" i="9" s="1"/>
  <c r="K7450" i="9"/>
  <c r="A7450" i="9" s="1"/>
  <c r="K7498" i="9"/>
  <c r="A7498" i="9" s="1"/>
  <c r="K7496" i="9"/>
  <c r="A7496" i="9" s="1"/>
  <c r="K7495" i="9"/>
  <c r="A7495" i="9" s="1"/>
  <c r="K7497" i="9"/>
  <c r="A7497" i="9" s="1"/>
  <c r="A7449" i="9"/>
  <c r="K7449" i="9"/>
  <c r="K7448" i="9"/>
  <c r="A7448" i="9" s="1"/>
  <c r="K7447" i="9"/>
  <c r="A7447" i="9" s="1"/>
  <c r="K7446" i="9"/>
  <c r="A7446" i="9" s="1"/>
  <c r="K7445" i="9"/>
  <c r="A7445" i="9" s="1"/>
  <c r="K7444" i="9"/>
  <c r="A7444" i="9" s="1"/>
  <c r="K7494" i="9"/>
  <c r="A7494" i="9" s="1"/>
  <c r="K7443" i="9"/>
  <c r="A7443" i="9" s="1"/>
  <c r="K7442" i="9"/>
  <c r="A7442" i="9" s="1"/>
  <c r="K7441" i="9"/>
  <c r="A7441" i="9" s="1"/>
  <c r="K7440" i="9"/>
  <c r="A7440" i="9" s="1"/>
  <c r="K7439" i="9"/>
  <c r="A7439" i="9" s="1"/>
  <c r="K7493" i="9"/>
  <c r="A7493" i="9" s="1"/>
  <c r="K7438" i="9"/>
  <c r="A7438" i="9" s="1"/>
  <c r="K7437" i="9"/>
  <c r="A7437" i="9" s="1"/>
  <c r="K7430" i="9"/>
  <c r="A7430" i="9" s="1"/>
  <c r="A7429" i="9"/>
  <c r="K7429" i="9"/>
  <c r="K7436" i="9"/>
  <c r="A7436" i="9" s="1"/>
  <c r="A7435" i="9"/>
  <c r="K7435" i="9"/>
  <c r="K7434" i="9"/>
  <c r="A7434" i="9" s="1"/>
  <c r="K7433" i="9"/>
  <c r="A7433" i="9" s="1"/>
  <c r="K7431" i="9"/>
  <c r="A7431" i="9" s="1"/>
  <c r="K7432" i="9"/>
  <c r="A7432" i="9" s="1"/>
  <c r="K7428" i="9"/>
  <c r="A7428" i="9" s="1"/>
  <c r="K7427" i="9"/>
  <c r="A7427" i="9" s="1"/>
  <c r="K7426" i="9"/>
  <c r="A7426" i="9" s="1"/>
  <c r="K7425" i="9"/>
  <c r="A7425" i="9" s="1"/>
  <c r="K7424" i="9"/>
  <c r="A7424" i="9" s="1"/>
  <c r="K7490" i="9"/>
  <c r="A7490" i="9" s="1"/>
  <c r="K7491" i="9"/>
  <c r="A7491" i="9" s="1"/>
  <c r="K7423" i="9"/>
  <c r="A7423" i="9" s="1"/>
  <c r="K7489" i="9"/>
  <c r="A7489" i="9" s="1"/>
  <c r="A7488" i="9"/>
  <c r="K7488" i="9"/>
  <c r="K7487" i="9"/>
  <c r="A7487" i="9" s="1"/>
  <c r="K7486" i="9"/>
  <c r="A7486" i="9" s="1"/>
  <c r="K7485" i="9"/>
  <c r="A7485" i="9" s="1"/>
  <c r="K7484" i="9"/>
  <c r="A7484" i="9" s="1"/>
  <c r="K7483" i="9"/>
  <c r="A7483" i="9" s="1"/>
  <c r="K7482" i="9"/>
  <c r="A7482" i="9" s="1"/>
  <c r="K7481" i="9"/>
  <c r="A7481" i="9" s="1"/>
  <c r="K7480" i="9"/>
  <c r="A7480" i="9" s="1"/>
  <c r="K7479" i="9"/>
  <c r="A7479" i="9" s="1"/>
  <c r="K7478" i="9"/>
  <c r="A7478" i="9" s="1"/>
  <c r="K7422" i="9"/>
  <c r="A7422" i="9" s="1"/>
  <c r="K7421" i="9"/>
  <c r="A7421" i="9" s="1"/>
  <c r="K7420" i="9"/>
  <c r="A7420" i="9" s="1"/>
  <c r="K7474" i="9"/>
  <c r="A7474" i="9" s="1"/>
  <c r="K7473" i="9"/>
  <c r="A7473" i="9" s="1"/>
  <c r="A7477" i="9"/>
  <c r="K7477" i="9"/>
  <c r="K7476" i="9"/>
  <c r="A7476" i="9" s="1"/>
  <c r="A7472" i="9"/>
  <c r="K7472" i="9"/>
  <c r="K7419" i="9"/>
  <c r="A7419" i="9" s="1"/>
  <c r="K7418" i="9"/>
  <c r="A7418" i="9" s="1"/>
  <c r="K7475" i="9"/>
  <c r="A7475" i="9" s="1"/>
  <c r="K7417" i="9"/>
  <c r="A7417" i="9" s="1"/>
  <c r="K7416" i="9"/>
  <c r="A7416" i="9" s="1"/>
  <c r="K7415" i="9"/>
  <c r="A7415" i="9" s="1"/>
  <c r="K7470" i="9"/>
  <c r="A7470" i="9" s="1"/>
  <c r="K7471" i="9"/>
  <c r="A7471" i="9" s="1"/>
  <c r="K7556" i="9"/>
  <c r="A7556" i="9" s="1"/>
  <c r="K7555" i="9"/>
  <c r="A7555" i="9" s="1"/>
  <c r="K7554" i="9"/>
  <c r="A7554" i="9" s="1"/>
  <c r="K7408" i="9"/>
  <c r="A7408" i="9" s="1"/>
  <c r="K7414" i="9"/>
  <c r="A7414" i="9" s="1"/>
  <c r="A7412" i="9"/>
  <c r="K7412" i="9"/>
  <c r="K7410" i="9"/>
  <c r="A7410" i="9" s="1"/>
  <c r="K7407" i="9"/>
  <c r="A7407" i="9" s="1"/>
  <c r="K7405" i="9"/>
  <c r="A7405" i="9" s="1"/>
  <c r="K7403" i="9"/>
  <c r="A7403" i="9" s="1"/>
  <c r="K7401" i="9"/>
  <c r="A7401" i="9" s="1"/>
  <c r="K7399" i="9"/>
  <c r="A7399" i="9" s="1"/>
  <c r="K7397" i="9"/>
  <c r="A7397" i="9" s="1"/>
  <c r="K7413" i="9"/>
  <c r="A7413" i="9" s="1"/>
  <c r="K7411" i="9"/>
  <c r="A7411" i="9" s="1"/>
  <c r="K7409" i="9"/>
  <c r="A7409" i="9" s="1"/>
  <c r="K7406" i="9"/>
  <c r="A7406" i="9" s="1"/>
  <c r="K7404" i="9"/>
  <c r="A7404" i="9" s="1"/>
  <c r="K7402" i="9"/>
  <c r="A7402" i="9" s="1"/>
  <c r="K7400" i="9"/>
  <c r="A7400" i="9" s="1"/>
  <c r="K7398" i="9"/>
  <c r="A7398" i="9" s="1"/>
  <c r="A7396" i="9"/>
  <c r="K7396" i="9"/>
  <c r="K7395" i="9"/>
  <c r="A7395" i="9" s="1"/>
  <c r="A7394" i="9"/>
  <c r="K7394" i="9"/>
  <c r="K7393" i="9"/>
  <c r="A7393" i="9" s="1"/>
  <c r="K7392" i="9"/>
  <c r="A7392" i="9" s="1"/>
  <c r="K7391" i="9"/>
  <c r="A7391" i="9" s="1"/>
  <c r="K7390" i="9"/>
  <c r="A7390" i="9" s="1"/>
  <c r="K7389" i="9"/>
  <c r="A7389" i="9" s="1"/>
  <c r="K7388" i="9"/>
  <c r="A7388" i="9" s="1"/>
  <c r="K7387" i="9"/>
  <c r="A7387" i="9" s="1"/>
  <c r="K7386" i="9"/>
  <c r="A7386" i="9" s="1"/>
  <c r="K7385" i="9"/>
  <c r="A7385" i="9" s="1"/>
  <c r="K7384" i="9"/>
  <c r="A7384" i="9" s="1"/>
  <c r="K7383" i="9"/>
  <c r="A7383" i="9" s="1"/>
  <c r="K7382" i="9"/>
  <c r="A7382" i="9" s="1"/>
  <c r="K7381" i="9"/>
  <c r="A7381" i="9" s="1"/>
  <c r="A7380" i="9"/>
  <c r="K7380" i="9"/>
  <c r="K7379" i="9"/>
  <c r="A7379" i="9" s="1"/>
  <c r="K7378" i="9"/>
  <c r="A7378" i="9" s="1"/>
  <c r="K7377" i="9"/>
  <c r="A7377" i="9" s="1"/>
  <c r="K7376" i="9"/>
  <c r="A7376" i="9" s="1"/>
  <c r="K7375" i="9"/>
  <c r="A7375" i="9" s="1"/>
  <c r="K7374" i="9"/>
  <c r="A7374" i="9" s="1"/>
  <c r="K7373" i="9"/>
  <c r="A7373" i="9" s="1"/>
  <c r="K7372" i="9"/>
  <c r="A7372" i="9" s="1"/>
  <c r="K7371" i="9"/>
  <c r="A7371" i="9" s="1"/>
  <c r="K7370" i="9"/>
  <c r="A7370" i="9" s="1"/>
  <c r="K7369" i="9"/>
  <c r="A7369" i="9" s="1"/>
  <c r="K7368" i="9"/>
  <c r="A7368" i="9" s="1"/>
  <c r="K7367" i="9"/>
  <c r="A7367" i="9" s="1"/>
  <c r="K7366" i="9"/>
  <c r="A7366" i="9" s="1"/>
  <c r="K7365" i="9"/>
  <c r="A7365" i="9" s="1"/>
  <c r="A7364" i="9"/>
  <c r="K7364" i="9"/>
  <c r="K7363" i="9"/>
  <c r="A7363" i="9" s="1"/>
  <c r="A7362" i="9"/>
  <c r="K7362" i="9"/>
  <c r="K7361" i="9"/>
  <c r="A7361" i="9" s="1"/>
  <c r="K7360" i="9"/>
  <c r="A7360" i="9" s="1"/>
  <c r="K7359" i="9"/>
  <c r="A7359" i="9" s="1"/>
  <c r="K7358" i="9"/>
  <c r="A7358" i="9" s="1"/>
  <c r="K7357" i="9"/>
  <c r="A7357" i="9" s="1"/>
  <c r="K7356" i="9"/>
  <c r="A7356" i="9" s="1"/>
  <c r="K7355" i="9"/>
  <c r="A7355" i="9" s="1"/>
  <c r="K7354" i="9"/>
  <c r="A7354" i="9" s="1"/>
  <c r="K7353" i="9"/>
  <c r="A7353" i="9" s="1"/>
  <c r="K7352" i="9"/>
  <c r="A7352" i="9" s="1"/>
  <c r="K7351" i="9"/>
  <c r="A7351" i="9" s="1"/>
  <c r="K7350" i="9"/>
  <c r="A7350" i="9" s="1"/>
  <c r="K7349" i="9"/>
  <c r="A7349" i="9" s="1"/>
  <c r="A7348" i="9"/>
  <c r="K7348" i="9"/>
  <c r="K7347" i="9"/>
  <c r="A7347" i="9" s="1"/>
  <c r="K7346" i="9"/>
  <c r="A7346" i="9" s="1"/>
  <c r="K7345" i="9"/>
  <c r="A7345" i="9" s="1"/>
  <c r="K7344" i="9"/>
  <c r="A7344" i="9" s="1"/>
  <c r="K7343" i="9"/>
  <c r="A7343" i="9" s="1"/>
  <c r="K7342" i="9"/>
  <c r="A7342" i="9" s="1"/>
  <c r="K7341" i="9"/>
  <c r="A7341" i="9" s="1"/>
  <c r="K7340" i="9"/>
  <c r="A7340" i="9" s="1"/>
  <c r="K7339" i="9"/>
  <c r="A7339" i="9" s="1"/>
  <c r="K7338" i="9"/>
  <c r="A7338" i="9" s="1"/>
  <c r="K7337" i="9"/>
  <c r="A7337" i="9" s="1"/>
  <c r="K7336" i="9"/>
  <c r="A7336" i="9" s="1"/>
  <c r="K7335" i="9"/>
  <c r="A7335" i="9" s="1"/>
  <c r="K7334" i="9"/>
  <c r="A7334" i="9" s="1"/>
  <c r="K7333" i="9"/>
  <c r="A7333" i="9" s="1"/>
  <c r="A7332" i="9"/>
  <c r="K7332" i="9"/>
  <c r="K7331" i="9"/>
  <c r="A7331" i="9" s="1"/>
  <c r="A7330" i="9"/>
  <c r="K7330" i="9"/>
  <c r="K7329" i="9"/>
  <c r="A7329" i="9" s="1"/>
  <c r="K7328" i="9"/>
  <c r="A7328" i="9" s="1"/>
  <c r="K7327" i="9"/>
  <c r="A7327" i="9" s="1"/>
  <c r="K7326" i="9"/>
  <c r="A7326" i="9" s="1"/>
  <c r="K7325" i="9"/>
  <c r="A7325" i="9" s="1"/>
  <c r="K7324" i="9"/>
  <c r="A7324" i="9" s="1"/>
  <c r="K7323" i="9"/>
  <c r="A7323" i="9" s="1"/>
  <c r="K7322" i="9"/>
  <c r="A7322" i="9" s="1"/>
  <c r="K7321" i="9"/>
  <c r="A7321" i="9" s="1"/>
  <c r="K7320" i="9"/>
  <c r="A7320" i="9" s="1"/>
  <c r="K7319" i="9"/>
  <c r="A7319" i="9" s="1"/>
  <c r="K7318" i="9"/>
  <c r="A7318" i="9" s="1"/>
  <c r="K7317" i="9"/>
  <c r="A7317" i="9" s="1"/>
  <c r="A7316" i="9"/>
  <c r="K7316" i="9"/>
  <c r="K7315" i="9"/>
  <c r="A7315" i="9" s="1"/>
  <c r="K7314" i="9"/>
  <c r="A7314" i="9" s="1"/>
  <c r="K7313" i="9"/>
  <c r="A7313" i="9" s="1"/>
  <c r="K7312" i="9"/>
  <c r="A7312" i="9" s="1"/>
  <c r="K7311" i="9"/>
  <c r="A7311" i="9" s="1"/>
  <c r="K7310" i="9"/>
  <c r="A7310" i="9" s="1"/>
  <c r="K7309" i="9"/>
  <c r="A7309" i="9" s="1"/>
  <c r="K7308" i="9"/>
  <c r="A7308" i="9" s="1"/>
  <c r="K7307" i="9"/>
  <c r="A7307" i="9" s="1"/>
  <c r="K7306" i="9"/>
  <c r="A7306" i="9" s="1"/>
  <c r="K7305" i="9"/>
  <c r="A7305" i="9" s="1"/>
  <c r="K7304" i="9"/>
  <c r="A7304" i="9" s="1"/>
  <c r="K7303" i="9"/>
  <c r="A7303" i="9" s="1"/>
  <c r="K7302" i="9"/>
  <c r="A7302" i="9" s="1"/>
  <c r="K7301" i="9"/>
  <c r="A7301" i="9" s="1"/>
  <c r="A7300" i="9"/>
  <c r="K7300" i="9"/>
  <c r="K7299" i="9"/>
  <c r="A7299" i="9" s="1"/>
  <c r="A7298" i="9"/>
  <c r="K7298" i="9"/>
  <c r="K7297" i="9"/>
  <c r="A7297" i="9" s="1"/>
  <c r="K7296" i="9"/>
  <c r="A7296" i="9" s="1"/>
  <c r="K7295" i="9"/>
  <c r="A7295" i="9" s="1"/>
  <c r="K7294" i="9"/>
  <c r="A7294" i="9" s="1"/>
  <c r="K7293" i="9"/>
  <c r="A7293" i="9" s="1"/>
  <c r="K7292" i="9"/>
  <c r="A7292" i="9" s="1"/>
  <c r="K7291" i="9"/>
  <c r="A7291" i="9" s="1"/>
  <c r="K7290" i="9"/>
  <c r="A7290" i="9" s="1"/>
  <c r="K7289" i="9"/>
  <c r="A7289" i="9" s="1"/>
  <c r="K7288" i="9"/>
  <c r="A7288" i="9" s="1"/>
  <c r="K7287" i="9"/>
  <c r="A7287" i="9" s="1"/>
  <c r="K7286" i="9"/>
  <c r="A7286" i="9" s="1"/>
  <c r="K7285" i="9"/>
  <c r="A7285" i="9" s="1"/>
  <c r="A7284" i="9"/>
  <c r="K7284" i="9"/>
  <c r="K7283" i="9"/>
  <c r="A7283" i="9" s="1"/>
  <c r="K7282" i="9"/>
  <c r="A7282" i="9" s="1"/>
  <c r="K7281" i="9"/>
  <c r="A7281" i="9" s="1"/>
  <c r="K7280" i="9"/>
  <c r="A7280" i="9" s="1"/>
  <c r="K7279" i="9"/>
  <c r="A7279" i="9" s="1"/>
  <c r="K7278" i="9"/>
  <c r="A7278" i="9" s="1"/>
  <c r="K7277" i="9"/>
  <c r="A7277" i="9" s="1"/>
  <c r="K7276" i="9"/>
  <c r="A7276" i="9" s="1"/>
  <c r="K7275" i="9"/>
  <c r="A7275" i="9" s="1"/>
  <c r="K7274" i="9"/>
  <c r="A7274" i="9" s="1"/>
  <c r="K7273" i="9"/>
  <c r="A7273" i="9" s="1"/>
  <c r="K7272" i="9"/>
  <c r="A7272" i="9" s="1"/>
  <c r="K7271" i="9"/>
  <c r="A7271" i="9" s="1"/>
  <c r="K7270" i="9"/>
  <c r="A7270" i="9" s="1"/>
  <c r="K7269" i="9"/>
  <c r="A7269" i="9" s="1"/>
  <c r="A7268" i="9"/>
  <c r="K7268" i="9"/>
  <c r="K7267" i="9"/>
  <c r="A7267" i="9" s="1"/>
  <c r="A7266" i="9"/>
  <c r="K7266" i="9"/>
  <c r="K7265" i="9"/>
  <c r="A7265" i="9" s="1"/>
  <c r="K7264" i="9"/>
  <c r="A7264" i="9" s="1"/>
  <c r="K7263" i="9"/>
  <c r="A7263" i="9" s="1"/>
  <c r="K7262" i="9"/>
  <c r="A7262" i="9" s="1"/>
  <c r="K7261" i="9"/>
  <c r="A7261" i="9" s="1"/>
  <c r="K7260" i="9"/>
  <c r="A7260" i="9" s="1"/>
  <c r="K7259" i="9"/>
  <c r="A7259" i="9" s="1"/>
  <c r="K7258" i="9"/>
  <c r="A7258" i="9" s="1"/>
  <c r="K7257" i="9"/>
  <c r="A7257" i="9" s="1"/>
  <c r="K7256" i="9"/>
  <c r="A7256" i="9" s="1"/>
  <c r="K7255" i="9"/>
  <c r="A7255" i="9" s="1"/>
  <c r="K7254" i="9"/>
  <c r="A7254" i="9" s="1"/>
  <c r="K7253" i="9"/>
  <c r="A7253" i="9" s="1"/>
  <c r="A7252" i="9"/>
  <c r="K7252" i="9"/>
  <c r="K7251" i="9"/>
  <c r="A7251" i="9" s="1"/>
  <c r="K7250" i="9"/>
  <c r="A7250" i="9" s="1"/>
  <c r="K7249" i="9"/>
  <c r="A7249" i="9" s="1"/>
  <c r="K7248" i="9"/>
  <c r="A7248" i="9" s="1"/>
  <c r="K7247" i="9"/>
  <c r="A7247" i="9" s="1"/>
  <c r="K7246" i="9"/>
  <c r="A7246" i="9" s="1"/>
  <c r="K7245" i="9"/>
  <c r="A7245" i="9" s="1"/>
  <c r="K7244" i="9"/>
  <c r="A7244" i="9" s="1"/>
  <c r="K7243" i="9"/>
  <c r="A7243" i="9" s="1"/>
  <c r="K7242" i="9"/>
  <c r="A7242" i="9" s="1"/>
  <c r="K7241" i="9"/>
  <c r="A7241" i="9" s="1"/>
  <c r="K7240" i="9"/>
  <c r="A7240" i="9" s="1"/>
  <c r="K7239" i="9"/>
  <c r="A7239" i="9" s="1"/>
  <c r="K7238" i="9"/>
  <c r="A7238" i="9" s="1"/>
  <c r="K7237" i="9"/>
  <c r="A7237" i="9" s="1"/>
  <c r="A7236" i="9"/>
  <c r="K7236" i="9"/>
  <c r="K7235" i="9"/>
  <c r="A7235" i="9" s="1"/>
  <c r="A7234" i="9"/>
  <c r="K7234" i="9"/>
  <c r="K7233" i="9"/>
  <c r="A7233" i="9" s="1"/>
  <c r="K7232" i="9"/>
  <c r="A7232" i="9" s="1"/>
  <c r="K7231" i="9"/>
  <c r="A7231" i="9" s="1"/>
  <c r="K7230" i="9"/>
  <c r="A7230" i="9" s="1"/>
  <c r="K7229" i="9"/>
  <c r="A7229" i="9" s="1"/>
  <c r="K7228" i="9"/>
  <c r="A7228" i="9" s="1"/>
  <c r="K7227" i="9"/>
  <c r="A7227" i="9" s="1"/>
  <c r="K7226" i="9"/>
  <c r="A7226" i="9" s="1"/>
  <c r="K7225" i="9"/>
  <c r="A7225" i="9" s="1"/>
  <c r="K7224" i="9"/>
  <c r="A7224" i="9" s="1"/>
  <c r="K7223" i="9"/>
  <c r="A7223" i="9" s="1"/>
  <c r="K7222" i="9"/>
  <c r="A7222" i="9" s="1"/>
  <c r="K7221" i="9"/>
  <c r="A7221" i="9" s="1"/>
  <c r="A7220" i="9"/>
  <c r="K7220" i="9"/>
  <c r="K7219" i="9"/>
  <c r="A7219" i="9" s="1"/>
  <c r="K7218" i="9"/>
  <c r="A7218" i="9" s="1"/>
  <c r="K7217" i="9"/>
  <c r="A7217" i="9" s="1"/>
  <c r="K7216" i="9"/>
  <c r="A7216" i="9" s="1"/>
  <c r="K7215" i="9"/>
  <c r="A7215" i="9" s="1"/>
  <c r="K7214" i="9"/>
  <c r="A7214" i="9" s="1"/>
  <c r="K7213" i="9"/>
  <c r="A7213" i="9" s="1"/>
  <c r="K7212" i="9"/>
  <c r="A7212" i="9" s="1"/>
  <c r="K7211" i="9"/>
  <c r="A7211" i="9" s="1"/>
  <c r="K7210" i="9"/>
  <c r="A7210" i="9" s="1"/>
  <c r="K7209" i="9"/>
  <c r="A7209" i="9" s="1"/>
  <c r="K7208" i="9"/>
  <c r="A7208" i="9" s="1"/>
  <c r="K7207" i="9"/>
  <c r="A7207" i="9" s="1"/>
  <c r="K7206" i="9"/>
  <c r="A7206" i="9" s="1"/>
  <c r="K7205" i="9"/>
  <c r="A7205" i="9" s="1"/>
  <c r="A7204" i="9"/>
  <c r="K7204" i="9"/>
  <c r="K7203" i="9"/>
  <c r="A7203" i="9" s="1"/>
  <c r="A7201" i="9"/>
  <c r="K7201" i="9"/>
  <c r="K7202" i="9"/>
  <c r="A7202" i="9" s="1"/>
  <c r="K7200" i="9"/>
  <c r="A7200" i="9" s="1"/>
  <c r="K7199" i="9"/>
  <c r="A7199" i="9" s="1"/>
  <c r="K7198" i="9"/>
  <c r="A7198" i="9" s="1"/>
  <c r="K7197" i="9"/>
  <c r="A7197" i="9" s="1"/>
  <c r="K7196" i="9"/>
  <c r="A7196" i="9" s="1"/>
  <c r="K7195" i="9"/>
  <c r="A7195" i="9" s="1"/>
  <c r="K7194" i="9"/>
  <c r="A7194" i="9" s="1"/>
  <c r="K7193" i="9"/>
  <c r="A7193" i="9" s="1"/>
  <c r="K7192" i="9"/>
  <c r="A7192" i="9" s="1"/>
  <c r="K7191" i="9"/>
  <c r="A7191" i="9" s="1"/>
  <c r="K7190" i="9"/>
  <c r="A7190" i="9" s="1"/>
  <c r="K7189" i="9"/>
  <c r="A7189" i="9" s="1"/>
  <c r="A7188" i="9"/>
  <c r="K7188" i="9"/>
  <c r="K7187" i="9"/>
  <c r="A7187" i="9" s="1"/>
  <c r="K7186" i="9"/>
  <c r="A7186" i="9" s="1"/>
  <c r="K7185" i="9"/>
  <c r="A7185" i="9" s="1"/>
  <c r="K7184" i="9"/>
  <c r="A7184" i="9" s="1"/>
  <c r="K7183" i="9"/>
  <c r="A7183" i="9" s="1"/>
  <c r="K7182" i="9"/>
  <c r="A7182" i="9" s="1"/>
  <c r="K7181" i="9"/>
  <c r="A7181" i="9" s="1"/>
  <c r="K7180" i="9"/>
  <c r="A7180" i="9" s="1"/>
  <c r="K7179" i="9"/>
  <c r="A7179" i="9" s="1"/>
  <c r="K7178" i="9"/>
  <c r="A7178" i="9" s="1"/>
  <c r="K7177" i="9"/>
  <c r="A7177" i="9" s="1"/>
  <c r="K7176" i="9"/>
  <c r="A7176" i="9" s="1"/>
  <c r="K7175" i="9"/>
  <c r="A7175" i="9" s="1"/>
  <c r="K7174" i="9"/>
  <c r="A7174" i="9" s="1"/>
  <c r="K7173" i="9"/>
  <c r="A7173" i="9" s="1"/>
  <c r="A7172" i="9"/>
  <c r="K7172" i="9"/>
  <c r="K7171" i="9"/>
  <c r="A7171" i="9" s="1"/>
  <c r="A7170" i="9"/>
  <c r="K7170" i="9"/>
  <c r="K7169" i="9"/>
  <c r="A7169" i="9" s="1"/>
  <c r="K7168" i="9"/>
  <c r="A7168" i="9" s="1"/>
  <c r="K7167" i="9"/>
  <c r="A7167" i="9" s="1"/>
  <c r="K7166" i="9"/>
  <c r="A7166" i="9" s="1"/>
  <c r="K7165" i="9"/>
  <c r="A7165" i="9" s="1"/>
  <c r="K7164" i="9"/>
  <c r="A7164" i="9" s="1"/>
  <c r="K7163" i="9"/>
  <c r="A7163" i="9" s="1"/>
  <c r="K7162" i="9"/>
  <c r="A7162" i="9" s="1"/>
  <c r="K7161" i="9"/>
  <c r="A7161" i="9" s="1"/>
  <c r="K7160" i="9"/>
  <c r="A7160" i="9" s="1"/>
  <c r="K7159" i="9"/>
  <c r="A7159" i="9" s="1"/>
  <c r="K7158" i="9"/>
  <c r="A7158" i="9" s="1"/>
  <c r="K7157" i="9"/>
  <c r="A7157" i="9" s="1"/>
  <c r="A7156" i="9"/>
  <c r="K7156" i="9"/>
  <c r="K7155" i="9"/>
  <c r="A7155" i="9" s="1"/>
  <c r="K7154" i="9"/>
  <c r="A7154" i="9" s="1"/>
  <c r="K7153" i="9"/>
  <c r="A7153" i="9" s="1"/>
  <c r="K7152" i="9"/>
  <c r="A7152" i="9" s="1"/>
  <c r="K7151" i="9"/>
  <c r="A7151" i="9" s="1"/>
  <c r="K7150" i="9"/>
  <c r="A7150" i="9" s="1"/>
  <c r="K7149" i="9"/>
  <c r="A7149" i="9" s="1"/>
  <c r="K7148" i="9"/>
  <c r="A7148" i="9" s="1"/>
  <c r="K7147" i="9"/>
  <c r="A7147" i="9" s="1"/>
  <c r="K7146" i="9"/>
  <c r="A7146" i="9" s="1"/>
  <c r="K7145" i="9"/>
  <c r="A7145" i="9" s="1"/>
  <c r="K7144" i="9"/>
  <c r="A7144" i="9" s="1"/>
  <c r="K7143" i="9"/>
  <c r="A7143" i="9" s="1"/>
  <c r="K7142" i="9"/>
  <c r="A7142" i="9" s="1"/>
  <c r="K7141" i="9"/>
  <c r="A7141" i="9" s="1"/>
  <c r="A7140" i="9"/>
  <c r="K7140" i="9"/>
  <c r="K7139" i="9"/>
  <c r="A7139" i="9" s="1"/>
  <c r="A7138" i="9"/>
  <c r="K7138" i="9"/>
  <c r="K7135" i="9"/>
  <c r="A7135" i="9" s="1"/>
  <c r="K7134" i="9"/>
  <c r="A7134" i="9" s="1"/>
  <c r="K7132" i="9"/>
  <c r="A7132" i="9" s="1"/>
  <c r="K7136" i="9"/>
  <c r="A7136" i="9" s="1"/>
  <c r="K7137" i="9"/>
  <c r="A7137" i="9" s="1"/>
  <c r="K7133" i="9"/>
  <c r="A7133" i="9" s="1"/>
  <c r="K7131" i="9"/>
  <c r="A7131" i="9" s="1"/>
  <c r="K7130" i="9"/>
  <c r="A7130" i="9" s="1"/>
  <c r="K7129" i="9"/>
  <c r="A7129" i="9" s="1"/>
  <c r="A7128" i="9"/>
  <c r="K7128" i="9"/>
  <c r="K7127" i="9"/>
  <c r="A7127" i="9" s="1"/>
  <c r="K7126" i="9"/>
  <c r="A7126" i="9" s="1"/>
  <c r="K7125" i="9"/>
  <c r="A7125" i="9" s="1"/>
  <c r="K7124" i="9"/>
  <c r="A7124" i="9" s="1"/>
  <c r="K7123" i="9"/>
  <c r="A7123" i="9" s="1"/>
  <c r="A7122" i="9"/>
  <c r="K7122" i="9"/>
  <c r="K7121" i="9"/>
  <c r="A7121" i="9" s="1"/>
  <c r="K7120" i="9"/>
  <c r="A7120" i="9" s="1"/>
  <c r="K7119" i="9"/>
  <c r="A7119" i="9" s="1"/>
  <c r="K7118" i="9"/>
  <c r="A7118" i="9" s="1"/>
  <c r="K7117" i="9"/>
  <c r="A7117" i="9" s="1"/>
  <c r="A7116" i="9"/>
  <c r="K7116" i="9"/>
  <c r="K7115" i="9"/>
  <c r="A7115" i="9" s="1"/>
  <c r="K7114" i="9"/>
  <c r="A7114" i="9" s="1"/>
  <c r="K7113" i="9"/>
  <c r="A7113" i="9" s="1"/>
  <c r="K7112" i="9"/>
  <c r="A7112" i="9" s="1"/>
  <c r="K7111" i="9"/>
  <c r="A7111" i="9" s="1"/>
  <c r="K7110" i="9"/>
  <c r="A7110" i="9" s="1"/>
  <c r="K7109" i="9"/>
  <c r="A7109" i="9" s="1"/>
  <c r="K7108" i="9"/>
  <c r="A7108" i="9" s="1"/>
  <c r="K7107" i="9"/>
  <c r="A7107" i="9" s="1"/>
  <c r="K7106" i="9"/>
  <c r="A7106" i="9" s="1"/>
  <c r="K7105" i="9"/>
  <c r="A7105" i="9" s="1"/>
  <c r="A7104" i="9"/>
  <c r="K7104" i="9"/>
  <c r="K7103" i="9"/>
  <c r="A7103" i="9" s="1"/>
  <c r="K7102" i="9"/>
  <c r="A7102" i="9" s="1"/>
  <c r="K7101" i="9"/>
  <c r="A7101" i="9" s="1"/>
  <c r="A7100" i="9"/>
  <c r="K7100" i="9"/>
  <c r="K7098" i="9"/>
  <c r="A7098" i="9" s="1"/>
  <c r="A7099" i="9"/>
  <c r="K7099" i="9"/>
  <c r="K7097" i="9"/>
  <c r="A7097" i="9" s="1"/>
  <c r="K7096" i="9"/>
  <c r="A7096" i="9" s="1"/>
  <c r="K7095" i="9"/>
  <c r="A7095" i="9" s="1"/>
  <c r="K7094" i="9"/>
  <c r="A7094" i="9" s="1"/>
  <c r="K7093" i="9"/>
  <c r="A7093" i="9" s="1"/>
  <c r="K7092" i="9"/>
  <c r="A7092" i="9" s="1"/>
  <c r="K7091" i="9"/>
  <c r="A7091" i="9" s="1"/>
  <c r="K7090" i="9"/>
  <c r="A7090" i="9" s="1"/>
  <c r="K7089" i="9"/>
  <c r="A7089" i="9" s="1"/>
  <c r="K7088" i="9"/>
  <c r="A7088" i="9" s="1"/>
  <c r="K7087" i="9"/>
  <c r="A7087" i="9" s="1"/>
  <c r="K7086" i="9"/>
  <c r="A7086" i="9" s="1"/>
  <c r="K7085" i="9"/>
  <c r="A7085" i="9" s="1"/>
  <c r="K7084" i="9"/>
  <c r="A7084" i="9" s="1"/>
  <c r="K7083" i="9"/>
  <c r="A7083" i="9" s="1"/>
  <c r="K7082" i="9"/>
  <c r="A7082" i="9" s="1"/>
  <c r="K7081" i="9"/>
  <c r="A7081" i="9" s="1"/>
  <c r="K7080" i="9"/>
  <c r="A7080" i="9" s="1"/>
  <c r="K7079" i="9"/>
  <c r="A7079" i="9" s="1"/>
  <c r="K7078" i="9"/>
  <c r="A7078" i="9" s="1"/>
  <c r="K7077" i="9"/>
  <c r="A7077" i="9" s="1"/>
  <c r="K7076" i="9"/>
  <c r="A7076" i="9" s="1"/>
  <c r="K7075" i="9"/>
  <c r="A7075" i="9" s="1"/>
  <c r="K7074" i="9"/>
  <c r="A7074" i="9" s="1"/>
  <c r="K7073" i="9"/>
  <c r="A7073" i="9" s="1"/>
  <c r="A7072" i="9"/>
  <c r="K7072" i="9"/>
  <c r="K7071" i="9"/>
  <c r="A7071" i="9" s="1"/>
  <c r="K7070" i="9"/>
  <c r="A7070" i="9" s="1"/>
  <c r="K7069" i="9"/>
  <c r="A7069" i="9" s="1"/>
  <c r="A7068" i="9"/>
  <c r="K7068" i="9"/>
  <c r="K7067" i="9"/>
  <c r="A7067" i="9" s="1"/>
  <c r="A7066" i="9"/>
  <c r="K7066" i="9"/>
  <c r="K7065" i="9"/>
  <c r="A7065" i="9" s="1"/>
  <c r="K7064" i="9"/>
  <c r="A7064" i="9" s="1"/>
  <c r="K7063" i="9"/>
  <c r="A7063" i="9" s="1"/>
  <c r="K7062" i="9"/>
  <c r="A7062" i="9" s="1"/>
  <c r="K7061" i="9"/>
  <c r="A7061" i="9" s="1"/>
  <c r="K7060" i="9"/>
  <c r="A7060" i="9" s="1"/>
  <c r="K7059" i="9"/>
  <c r="A7059" i="9" s="1"/>
  <c r="K7058" i="9"/>
  <c r="A7058" i="9" s="1"/>
  <c r="K7057" i="9"/>
  <c r="A7057" i="9" s="1"/>
  <c r="K7056" i="9"/>
  <c r="A7056" i="9" s="1"/>
  <c r="K7055" i="9"/>
  <c r="A7055" i="9" s="1"/>
  <c r="K7054" i="9"/>
  <c r="A7054" i="9" s="1"/>
  <c r="K7053" i="9"/>
  <c r="A7053" i="9" s="1"/>
  <c r="K7052" i="9"/>
  <c r="A7052" i="9" s="1"/>
  <c r="K7051" i="9"/>
  <c r="A7051" i="9" s="1"/>
  <c r="K7050" i="9"/>
  <c r="A7050" i="9" s="1"/>
  <c r="K7049" i="9"/>
  <c r="A7049" i="9" s="1"/>
  <c r="K7048" i="9"/>
  <c r="A7048" i="9" s="1"/>
  <c r="K7047" i="9"/>
  <c r="A7047" i="9" s="1"/>
  <c r="K7046" i="9"/>
  <c r="A7046" i="9" s="1"/>
  <c r="K7045" i="9"/>
  <c r="A7045" i="9" s="1"/>
  <c r="A7044" i="9"/>
  <c r="K7044" i="9"/>
  <c r="K7043" i="9"/>
  <c r="A7043" i="9" s="1"/>
  <c r="K7042" i="9"/>
  <c r="A7042" i="9" s="1"/>
  <c r="K7041" i="9"/>
  <c r="A7041" i="9" s="1"/>
  <c r="K7040" i="9"/>
  <c r="A7040" i="9" s="1"/>
  <c r="K7039" i="9"/>
  <c r="A7039" i="9" s="1"/>
  <c r="K7038" i="9"/>
  <c r="A7038" i="9" s="1"/>
  <c r="K7037" i="9"/>
  <c r="A7037" i="9" s="1"/>
  <c r="K7036" i="9"/>
  <c r="A7036" i="9" s="1"/>
  <c r="K7035" i="9"/>
  <c r="A7035" i="9" s="1"/>
  <c r="K7034" i="9"/>
  <c r="A7034" i="9" s="1"/>
  <c r="K7033" i="9"/>
  <c r="A7033" i="9" s="1"/>
  <c r="A7032" i="9"/>
  <c r="K7032" i="9"/>
  <c r="K7031" i="9"/>
  <c r="A7031" i="9" s="1"/>
  <c r="K7030" i="9"/>
  <c r="A7030" i="9" s="1"/>
  <c r="K7029" i="9"/>
  <c r="A7029" i="9" s="1"/>
  <c r="K7028" i="9"/>
  <c r="A7028" i="9" s="1"/>
  <c r="K7027" i="9"/>
  <c r="A7027" i="9" s="1"/>
  <c r="A7026" i="9"/>
  <c r="K7026" i="9"/>
  <c r="K7025" i="9"/>
  <c r="A7025" i="9" s="1"/>
  <c r="K7024" i="9"/>
  <c r="A7024" i="9" s="1"/>
  <c r="K7023" i="9"/>
  <c r="A7023" i="9" s="1"/>
  <c r="K7022" i="9"/>
  <c r="A7022" i="9" s="1"/>
  <c r="K7021" i="9"/>
  <c r="A7021" i="9" s="1"/>
  <c r="K7020" i="9"/>
  <c r="A7020" i="9" s="1"/>
  <c r="K7019" i="9"/>
  <c r="A7019" i="9" s="1"/>
  <c r="K7018" i="9"/>
  <c r="A7018" i="9" s="1"/>
  <c r="K7017" i="9"/>
  <c r="A7017" i="9" s="1"/>
  <c r="K7016" i="9"/>
  <c r="A7016" i="9" s="1"/>
  <c r="K7015" i="9"/>
  <c r="A7015" i="9" s="1"/>
  <c r="K7014" i="9"/>
  <c r="A7014" i="9" s="1"/>
  <c r="K7013" i="9"/>
  <c r="A7013" i="9" s="1"/>
  <c r="A7012" i="9"/>
  <c r="K7012" i="9"/>
  <c r="K7011" i="9"/>
  <c r="A7011" i="9" s="1"/>
  <c r="K7010" i="9"/>
  <c r="A7010" i="9" s="1"/>
  <c r="K7009" i="9"/>
  <c r="A7009" i="9" s="1"/>
  <c r="K7008" i="9"/>
  <c r="A7008" i="9" s="1"/>
  <c r="K7007" i="9"/>
  <c r="A7007" i="9" s="1"/>
  <c r="K7006" i="9"/>
  <c r="A7006" i="9" s="1"/>
  <c r="K7005" i="9"/>
  <c r="A7005" i="9" s="1"/>
  <c r="K7004" i="9"/>
  <c r="A7004" i="9" s="1"/>
  <c r="K7003" i="9"/>
  <c r="A7003" i="9" s="1"/>
  <c r="K7002" i="9"/>
  <c r="A7002" i="9" s="1"/>
  <c r="K7001" i="9"/>
  <c r="A7001" i="9" s="1"/>
  <c r="A7000" i="9"/>
  <c r="K7000" i="9"/>
  <c r="K6999" i="9"/>
  <c r="A6999" i="9" s="1"/>
  <c r="K6998" i="9"/>
  <c r="A6998" i="9" s="1"/>
  <c r="K6997" i="9"/>
  <c r="A6997" i="9" s="1"/>
  <c r="K6996" i="9"/>
  <c r="A6996" i="9" s="1"/>
  <c r="K6995" i="9"/>
  <c r="A6995" i="9" s="1"/>
  <c r="A6994" i="9"/>
  <c r="K6994" i="9"/>
  <c r="K6993" i="9"/>
  <c r="A6993" i="9" s="1"/>
  <c r="K6992" i="9"/>
  <c r="A6992" i="9" s="1"/>
  <c r="K6991" i="9"/>
  <c r="A6991" i="9" s="1"/>
  <c r="K6990" i="9"/>
  <c r="A6990" i="9" s="1"/>
  <c r="K6989" i="9"/>
  <c r="A6989" i="9" s="1"/>
  <c r="A6988" i="9"/>
  <c r="K6988" i="9"/>
  <c r="K6987" i="9"/>
  <c r="A6987" i="9" s="1"/>
  <c r="K6986" i="9"/>
  <c r="A6986" i="9" s="1"/>
  <c r="K6985" i="9"/>
  <c r="A6985" i="9" s="1"/>
  <c r="K6984" i="9"/>
  <c r="A6984" i="9" s="1"/>
  <c r="K6983" i="9"/>
  <c r="A6983" i="9" s="1"/>
  <c r="K6982" i="9"/>
  <c r="A6982" i="9" s="1"/>
  <c r="K6981" i="9"/>
  <c r="A6981" i="9" s="1"/>
  <c r="K6980" i="9"/>
  <c r="A6980" i="9" s="1"/>
  <c r="K6979" i="9"/>
  <c r="A6979" i="9" s="1"/>
  <c r="K6978" i="9"/>
  <c r="A6978" i="9" s="1"/>
  <c r="K6977" i="9"/>
  <c r="A6977" i="9" s="1"/>
  <c r="K6976" i="9"/>
  <c r="A6976" i="9" s="1"/>
  <c r="K6975" i="9"/>
  <c r="A6975" i="9" s="1"/>
  <c r="K6974" i="9"/>
  <c r="A6974" i="9" s="1"/>
  <c r="K6973" i="9"/>
  <c r="A6973" i="9" s="1"/>
  <c r="A6972" i="9"/>
  <c r="K6972" i="9"/>
  <c r="K6971" i="9"/>
  <c r="A6971" i="9" s="1"/>
  <c r="K6970" i="9"/>
  <c r="A6970" i="9" s="1"/>
  <c r="K6969" i="9"/>
  <c r="A6969" i="9" s="1"/>
  <c r="K6968" i="9"/>
  <c r="A6968" i="9" s="1"/>
  <c r="K6967" i="9"/>
  <c r="A6967" i="9" s="1"/>
  <c r="K6966" i="9"/>
  <c r="A6966" i="9" s="1"/>
  <c r="K6965" i="9"/>
  <c r="A6965" i="9" s="1"/>
  <c r="K6964" i="9"/>
  <c r="A6964" i="9" s="1"/>
  <c r="K6963" i="9"/>
  <c r="A6963" i="9" s="1"/>
  <c r="K6962" i="9"/>
  <c r="A6962" i="9" s="1"/>
  <c r="K6961" i="9"/>
  <c r="A6961" i="9" s="1"/>
  <c r="K6960" i="9"/>
  <c r="A6960" i="9" s="1"/>
  <c r="K6959" i="9"/>
  <c r="A6959" i="9" s="1"/>
  <c r="K6958" i="9"/>
  <c r="A6958" i="9" s="1"/>
  <c r="K6957" i="9"/>
  <c r="A6957" i="9" s="1"/>
  <c r="K6956" i="9"/>
  <c r="A6956" i="9" s="1"/>
  <c r="K6955" i="9"/>
  <c r="A6955" i="9" s="1"/>
  <c r="K6954" i="9"/>
  <c r="A6954" i="9" s="1"/>
  <c r="K6953" i="9"/>
  <c r="A6953" i="9" s="1"/>
  <c r="K6952" i="9"/>
  <c r="A6952" i="9" s="1"/>
  <c r="K6951" i="9"/>
  <c r="A6951" i="9" s="1"/>
  <c r="K6950" i="9"/>
  <c r="A6950" i="9" s="1"/>
  <c r="K6949" i="9"/>
  <c r="A6949" i="9" s="1"/>
  <c r="K6948" i="9"/>
  <c r="A6948" i="9" s="1"/>
  <c r="K6947" i="9"/>
  <c r="A6947" i="9" s="1"/>
  <c r="K6946" i="9"/>
  <c r="A6946" i="9" s="1"/>
  <c r="K6945" i="9"/>
  <c r="A6945" i="9" s="1"/>
  <c r="K6944" i="9"/>
  <c r="A6944" i="9" s="1"/>
  <c r="K6942" i="9"/>
  <c r="A6942" i="9" s="1"/>
  <c r="K6943" i="9"/>
  <c r="A6943" i="9" s="1"/>
  <c r="K6941" i="9"/>
  <c r="A6941" i="9" s="1"/>
  <c r="A6940" i="9"/>
  <c r="K6940" i="9"/>
  <c r="K6939" i="9"/>
  <c r="A6939" i="9" s="1"/>
  <c r="K6938" i="9"/>
  <c r="A6938" i="9" s="1"/>
  <c r="K6937" i="9"/>
  <c r="A6937" i="9" s="1"/>
  <c r="K6936" i="9"/>
  <c r="A6936" i="9" s="1"/>
  <c r="K6935" i="9"/>
  <c r="A6935" i="9" s="1"/>
  <c r="K6934" i="9"/>
  <c r="A6934" i="9" s="1"/>
  <c r="K6933" i="9"/>
  <c r="A6933" i="9" s="1"/>
  <c r="K6932" i="9"/>
  <c r="A6932" i="9" s="1"/>
  <c r="K6931" i="9"/>
  <c r="A6931" i="9" s="1"/>
  <c r="K6929" i="9"/>
  <c r="A6929" i="9" s="1"/>
  <c r="K6930" i="9"/>
  <c r="A6930" i="9" s="1"/>
  <c r="K6928" i="9"/>
  <c r="A6928" i="9" s="1"/>
  <c r="K6927" i="9"/>
  <c r="A6927" i="9" s="1"/>
  <c r="K6926" i="9"/>
  <c r="A6926" i="9" s="1"/>
  <c r="K6925" i="9"/>
  <c r="A6925" i="9" s="1"/>
  <c r="K6924" i="9"/>
  <c r="A6924" i="9" s="1"/>
  <c r="K6923" i="9"/>
  <c r="A6923" i="9" s="1"/>
  <c r="K6922" i="9"/>
  <c r="A6922" i="9" s="1"/>
  <c r="K6921" i="9"/>
  <c r="A6921" i="9" s="1"/>
  <c r="K6920" i="9"/>
  <c r="A6920" i="9" s="1"/>
  <c r="K6919" i="9"/>
  <c r="A6919" i="9" s="1"/>
  <c r="K6918" i="9"/>
  <c r="A6918" i="9" s="1"/>
  <c r="K6917" i="9"/>
  <c r="A6917" i="9" s="1"/>
  <c r="A6916" i="9"/>
  <c r="K6916" i="9"/>
  <c r="K6915" i="9"/>
  <c r="A6915" i="9" s="1"/>
  <c r="K6914" i="9"/>
  <c r="A6914" i="9" s="1"/>
  <c r="K6913" i="9"/>
  <c r="A6913" i="9" s="1"/>
  <c r="K6912" i="9"/>
  <c r="A6912" i="9" s="1"/>
  <c r="K6911" i="9"/>
  <c r="A6911" i="9" s="1"/>
  <c r="K6910" i="9"/>
  <c r="A6910" i="9" s="1"/>
  <c r="K6909" i="9"/>
  <c r="A6909" i="9" s="1"/>
  <c r="K6908" i="9"/>
  <c r="A6908" i="9" s="1"/>
  <c r="K6907" i="9"/>
  <c r="A6907" i="9" s="1"/>
  <c r="K6906" i="9"/>
  <c r="A6906" i="9" s="1"/>
  <c r="K6905" i="9"/>
  <c r="A6905" i="9" s="1"/>
  <c r="A6904" i="9"/>
  <c r="K6904" i="9"/>
  <c r="K6903" i="9"/>
  <c r="A6903" i="9" s="1"/>
  <c r="K6902" i="9"/>
  <c r="A6902" i="9" s="1"/>
  <c r="K6901" i="9"/>
  <c r="A6901" i="9" s="1"/>
  <c r="K6900" i="9"/>
  <c r="A6900" i="9" s="1"/>
  <c r="K6899" i="9"/>
  <c r="A6899" i="9" s="1"/>
  <c r="A6898" i="9"/>
  <c r="K6898" i="9"/>
  <c r="K6897" i="9"/>
  <c r="A6897" i="9" s="1"/>
  <c r="K6896" i="9"/>
  <c r="A6896" i="9" s="1"/>
  <c r="K6895" i="9"/>
  <c r="A6895" i="9" s="1"/>
  <c r="K6894" i="9"/>
  <c r="A6894" i="9" s="1"/>
  <c r="K6893" i="9"/>
  <c r="A6893" i="9" s="1"/>
  <c r="K6892" i="9"/>
  <c r="A6892" i="9" s="1"/>
  <c r="K6891" i="9"/>
  <c r="A6891" i="9" s="1"/>
  <c r="K6890" i="9"/>
  <c r="A6890" i="9" s="1"/>
  <c r="K6889" i="9"/>
  <c r="A6889" i="9" s="1"/>
  <c r="K6888" i="9"/>
  <c r="A6888" i="9" s="1"/>
  <c r="K6887" i="9"/>
  <c r="A6887" i="9" s="1"/>
  <c r="K6886" i="9"/>
  <c r="A6886" i="9" s="1"/>
  <c r="K6885" i="9"/>
  <c r="A6885" i="9" s="1"/>
  <c r="A6884" i="9"/>
  <c r="K6884" i="9"/>
  <c r="K6882" i="9"/>
  <c r="A6882" i="9" s="1"/>
  <c r="K6883" i="9"/>
  <c r="A6883" i="9" s="1"/>
  <c r="K6881" i="9"/>
  <c r="A6881" i="9" s="1"/>
  <c r="K6880" i="9"/>
  <c r="A6880" i="9" s="1"/>
  <c r="K6879" i="9"/>
  <c r="A6879" i="9" s="1"/>
  <c r="K6878" i="9"/>
  <c r="A6878" i="9" s="1"/>
  <c r="K6877" i="9"/>
  <c r="A6877" i="9" s="1"/>
  <c r="K6876" i="9"/>
  <c r="A6876" i="9" s="1"/>
  <c r="K6875" i="9"/>
  <c r="A6875" i="9" s="1"/>
  <c r="K6874" i="9"/>
  <c r="A6874" i="9" s="1"/>
  <c r="K6873" i="9"/>
  <c r="A6873" i="9" s="1"/>
  <c r="A6872" i="9"/>
  <c r="K6872" i="9"/>
  <c r="K6871" i="9"/>
  <c r="A6871" i="9" s="1"/>
  <c r="K6870" i="9"/>
  <c r="A6870" i="9" s="1"/>
  <c r="K6869" i="9"/>
  <c r="A6869" i="9" s="1"/>
  <c r="K6868" i="9"/>
  <c r="A6868" i="9" s="1"/>
  <c r="K6867" i="9"/>
  <c r="A6867" i="9" s="1"/>
  <c r="A6866" i="9"/>
  <c r="K6866" i="9"/>
  <c r="K6865" i="9"/>
  <c r="A6865" i="9" s="1"/>
  <c r="K6864" i="9"/>
  <c r="A6864" i="9" s="1"/>
  <c r="K6863" i="9"/>
  <c r="A6863" i="9" s="1"/>
  <c r="K6862" i="9"/>
  <c r="A6862" i="9" s="1"/>
  <c r="K6861" i="9"/>
  <c r="A6861" i="9" s="1"/>
  <c r="A6860" i="9"/>
  <c r="K6860" i="9"/>
  <c r="K6859" i="9"/>
  <c r="A6859" i="9" s="1"/>
  <c r="K6858" i="9"/>
  <c r="A6858" i="9" s="1"/>
  <c r="K6857" i="9"/>
  <c r="A6857" i="9" s="1"/>
  <c r="K6856" i="9"/>
  <c r="A6856" i="9" s="1"/>
  <c r="K6855" i="9"/>
  <c r="A6855" i="9" s="1"/>
  <c r="K6854" i="9"/>
  <c r="A6854" i="9" s="1"/>
  <c r="K6853" i="9"/>
  <c r="A6853" i="9" s="1"/>
  <c r="K6852" i="9"/>
  <c r="A6852" i="9" s="1"/>
  <c r="K6851" i="9"/>
  <c r="A6851" i="9" s="1"/>
  <c r="K6850" i="9"/>
  <c r="A6850" i="9" s="1"/>
  <c r="K6849" i="9"/>
  <c r="A6849" i="9" s="1"/>
  <c r="A6848" i="9"/>
  <c r="K6848" i="9"/>
  <c r="K6847" i="9"/>
  <c r="A6847" i="9" s="1"/>
  <c r="K6846" i="9"/>
  <c r="A6846" i="9" s="1"/>
  <c r="K6845" i="9"/>
  <c r="A6845" i="9" s="1"/>
  <c r="A6844" i="9"/>
  <c r="K6844" i="9"/>
  <c r="K6843" i="9"/>
  <c r="A6843" i="9" s="1"/>
  <c r="A6842" i="9"/>
  <c r="K6842" i="9"/>
  <c r="K6841" i="9"/>
  <c r="A6841" i="9" s="1"/>
  <c r="K6840" i="9"/>
  <c r="A6840" i="9" s="1"/>
  <c r="K6839" i="9"/>
  <c r="A6839" i="9" s="1"/>
  <c r="K6838" i="9"/>
  <c r="A6838" i="9" s="1"/>
  <c r="K6837" i="9"/>
  <c r="A6837" i="9" s="1"/>
  <c r="K6836" i="9"/>
  <c r="A6836" i="9" s="1"/>
  <c r="K6835" i="9"/>
  <c r="A6835" i="9" s="1"/>
  <c r="K6834" i="9"/>
  <c r="A6834" i="9" s="1"/>
  <c r="K6833" i="9"/>
  <c r="A6833" i="9" s="1"/>
  <c r="K6832" i="9"/>
  <c r="A6832" i="9" s="1"/>
  <c r="K6831" i="9"/>
  <c r="A6831" i="9" s="1"/>
  <c r="K6830" i="9"/>
  <c r="A6830" i="9" s="1"/>
  <c r="K6829" i="9"/>
  <c r="A6829" i="9" s="1"/>
  <c r="K6828" i="9"/>
  <c r="A6828" i="9" s="1"/>
  <c r="K6827" i="9"/>
  <c r="A6827" i="9" s="1"/>
  <c r="A6826" i="9"/>
  <c r="K6826" i="9"/>
  <c r="K6825" i="9"/>
  <c r="A6825" i="9" s="1"/>
  <c r="K6824" i="9"/>
  <c r="A6824" i="9" s="1"/>
  <c r="K6823" i="9"/>
  <c r="A6823" i="9" s="1"/>
  <c r="K6822" i="9"/>
  <c r="A6822" i="9" s="1"/>
  <c r="K6821" i="9"/>
  <c r="A6821" i="9" s="1"/>
  <c r="K6820" i="9"/>
  <c r="A6820" i="9" s="1"/>
  <c r="K6819" i="9"/>
  <c r="A6819" i="9" s="1"/>
  <c r="K6818" i="9"/>
  <c r="A6818" i="9" s="1"/>
  <c r="K6817" i="9"/>
  <c r="A6817" i="9" s="1"/>
  <c r="K6816" i="9"/>
  <c r="A6816" i="9" s="1"/>
  <c r="K6815" i="9"/>
  <c r="A6815" i="9" s="1"/>
  <c r="K6814" i="9"/>
  <c r="A6814" i="9" s="1"/>
  <c r="K6813" i="9"/>
  <c r="A6813" i="9" s="1"/>
  <c r="K6812" i="9"/>
  <c r="A6812" i="9" s="1"/>
  <c r="K6811" i="9"/>
  <c r="A6811" i="9" s="1"/>
  <c r="K6810" i="9"/>
  <c r="A6810" i="9" s="1"/>
  <c r="K6809" i="9"/>
  <c r="A6809" i="9" s="1"/>
  <c r="K6808" i="9"/>
  <c r="A6808" i="9" s="1"/>
  <c r="K6807" i="9"/>
  <c r="A6807" i="9" s="1"/>
  <c r="K6806" i="9"/>
  <c r="A6806" i="9" s="1"/>
  <c r="K6805" i="9"/>
  <c r="A6805" i="9" s="1"/>
  <c r="A6804" i="9"/>
  <c r="K6804" i="9"/>
  <c r="K6803" i="9"/>
  <c r="A6803" i="9" s="1"/>
  <c r="K6802" i="9"/>
  <c r="A6802" i="9" s="1"/>
  <c r="K6801" i="9"/>
  <c r="A6801" i="9" s="1"/>
  <c r="K6800" i="9"/>
  <c r="A6800" i="9" s="1"/>
  <c r="K6799" i="9"/>
  <c r="A6799" i="9" s="1"/>
  <c r="K6798" i="9"/>
  <c r="A6798" i="9" s="1"/>
  <c r="K6797" i="9"/>
  <c r="A6797" i="9" s="1"/>
  <c r="K6796" i="9"/>
  <c r="A6796" i="9" s="1"/>
  <c r="K6795" i="9"/>
  <c r="A6795" i="9" s="1"/>
  <c r="K6794" i="9"/>
  <c r="A6794" i="9" s="1"/>
  <c r="K6793" i="9"/>
  <c r="A6793" i="9" s="1"/>
  <c r="K6792" i="9"/>
  <c r="A6792" i="9" s="1"/>
  <c r="K6791" i="9"/>
  <c r="A6791" i="9" s="1"/>
  <c r="K6790" i="9"/>
  <c r="A6790" i="9" s="1"/>
  <c r="K6789" i="9"/>
  <c r="A6789" i="9" s="1"/>
  <c r="A6788" i="9"/>
  <c r="K6788" i="9"/>
  <c r="K6787" i="9"/>
  <c r="A6787" i="9" s="1"/>
  <c r="K6786" i="9"/>
  <c r="A6786" i="9" s="1"/>
  <c r="K6785" i="9"/>
  <c r="A6785" i="9" s="1"/>
  <c r="K6784" i="9"/>
  <c r="A6784" i="9" s="1"/>
  <c r="K6783" i="9"/>
  <c r="A6783" i="9" s="1"/>
  <c r="K6782" i="9"/>
  <c r="A6782" i="9" s="1"/>
  <c r="K6781" i="9"/>
  <c r="A6781" i="9" s="1"/>
  <c r="K6780" i="9"/>
  <c r="A6780" i="9" s="1"/>
  <c r="K6779" i="9"/>
  <c r="A6779" i="9" s="1"/>
  <c r="K6778" i="9"/>
  <c r="A6778" i="9" s="1"/>
  <c r="K6777" i="9"/>
  <c r="A6777" i="9" s="1"/>
  <c r="K6776" i="9"/>
  <c r="A6776" i="9" s="1"/>
  <c r="K6775" i="9"/>
  <c r="A6775" i="9" s="1"/>
  <c r="K6774" i="9"/>
  <c r="A6774" i="9" s="1"/>
  <c r="K6773" i="9"/>
  <c r="A6773" i="9" s="1"/>
  <c r="K6772" i="9"/>
  <c r="A6772" i="9" s="1"/>
  <c r="K6771" i="9"/>
  <c r="A6771" i="9" s="1"/>
  <c r="A6770" i="9"/>
  <c r="K6770" i="9"/>
  <c r="K6769" i="9"/>
  <c r="A6769" i="9" s="1"/>
  <c r="K6768" i="9"/>
  <c r="A6768" i="9" s="1"/>
  <c r="K6767" i="9"/>
  <c r="A6767" i="9" s="1"/>
  <c r="K6766" i="9"/>
  <c r="A6766" i="9" s="1"/>
  <c r="K6765" i="9"/>
  <c r="A6765" i="9" s="1"/>
  <c r="A6764" i="9"/>
  <c r="K6764" i="9"/>
  <c r="K6763" i="9"/>
  <c r="A6763" i="9" s="1"/>
  <c r="K6762" i="9"/>
  <c r="A6762" i="9" s="1"/>
  <c r="K6761" i="9"/>
  <c r="A6761" i="9" s="1"/>
  <c r="K6760" i="9"/>
  <c r="A6760" i="9" s="1"/>
  <c r="K6759" i="9"/>
  <c r="A6759" i="9" s="1"/>
  <c r="K6758" i="9"/>
  <c r="A6758" i="9" s="1"/>
  <c r="K6757" i="9"/>
  <c r="A6757" i="9" s="1"/>
  <c r="K6756" i="9"/>
  <c r="A6756" i="9" s="1"/>
  <c r="K6755" i="9"/>
  <c r="A6755" i="9" s="1"/>
  <c r="A6754" i="9"/>
  <c r="K6754" i="9"/>
  <c r="K6753" i="9"/>
  <c r="A6753" i="9" s="1"/>
  <c r="K6752" i="9"/>
  <c r="A6752" i="9" s="1"/>
  <c r="K6751" i="9"/>
  <c r="A6751" i="9" s="1"/>
  <c r="K6750" i="9"/>
  <c r="A6750" i="9" s="1"/>
  <c r="K6749" i="9"/>
  <c r="A6749" i="9" s="1"/>
  <c r="A6747" i="9"/>
  <c r="K6747" i="9"/>
  <c r="K6748" i="9"/>
  <c r="A6748" i="9" s="1"/>
  <c r="K6746" i="9"/>
  <c r="A6746" i="9" s="1"/>
  <c r="K6745" i="9"/>
  <c r="A6745" i="9" s="1"/>
  <c r="K6744" i="9"/>
  <c r="A6744" i="9" s="1"/>
  <c r="K6743" i="9"/>
  <c r="A6743" i="9" s="1"/>
  <c r="K6742" i="9"/>
  <c r="A6742" i="9" s="1"/>
  <c r="K6741" i="9"/>
  <c r="A6741" i="9" s="1"/>
  <c r="K6740" i="9"/>
  <c r="A6740" i="9" s="1"/>
  <c r="K6738" i="9"/>
  <c r="A6738" i="9" s="1"/>
  <c r="K6739" i="9"/>
  <c r="A6739" i="9" s="1"/>
  <c r="K6737" i="9"/>
  <c r="A6737" i="9" s="1"/>
  <c r="K6736" i="9"/>
  <c r="A6736" i="9" s="1"/>
  <c r="K6735" i="9"/>
  <c r="A6735" i="9" s="1"/>
  <c r="K6734" i="9"/>
  <c r="A6734" i="9" s="1"/>
  <c r="K6733" i="9"/>
  <c r="A6733" i="9" s="1"/>
  <c r="A6732" i="9"/>
  <c r="K6732" i="9"/>
  <c r="K6731" i="9"/>
  <c r="A6731" i="9" s="1"/>
  <c r="A6730" i="9"/>
  <c r="K6730" i="9"/>
  <c r="K6729" i="9"/>
  <c r="A6729" i="9" s="1"/>
  <c r="K6728" i="9"/>
  <c r="A6728" i="9" s="1"/>
  <c r="K6727" i="9"/>
  <c r="A6727" i="9" s="1"/>
  <c r="K6726" i="9"/>
  <c r="A6726" i="9" s="1"/>
  <c r="K6725" i="9"/>
  <c r="A6725" i="9" s="1"/>
  <c r="K6724" i="9"/>
  <c r="A6724" i="9" s="1"/>
  <c r="K6723" i="9"/>
  <c r="A6723" i="9" s="1"/>
  <c r="K6722" i="9"/>
  <c r="A6722" i="9" s="1"/>
  <c r="K6721" i="9"/>
  <c r="A6721" i="9" s="1"/>
  <c r="A6720" i="9"/>
  <c r="K6720" i="9"/>
  <c r="K6719" i="9"/>
  <c r="A6719" i="9" s="1"/>
  <c r="K6718" i="9"/>
  <c r="A6718" i="9" s="1"/>
  <c r="K6717" i="9"/>
  <c r="A6717" i="9" s="1"/>
  <c r="K6716" i="9"/>
  <c r="A6716" i="9" s="1"/>
  <c r="K6715" i="9"/>
  <c r="A6715" i="9" s="1"/>
  <c r="A6714" i="9"/>
  <c r="K6714" i="9"/>
  <c r="K6713" i="9"/>
  <c r="A6713" i="9" s="1"/>
  <c r="K6712" i="9"/>
  <c r="A6712" i="9" s="1"/>
  <c r="K6711" i="9"/>
  <c r="A6711" i="9" s="1"/>
  <c r="K6710" i="9"/>
  <c r="A6710" i="9" s="1"/>
  <c r="K6709" i="9"/>
  <c r="A6709" i="9" s="1"/>
  <c r="K6708" i="9"/>
  <c r="A6708" i="9" s="1"/>
  <c r="K6707" i="9"/>
  <c r="A6707" i="9" s="1"/>
  <c r="K6706" i="9"/>
  <c r="A6706" i="9" s="1"/>
  <c r="K6705" i="9"/>
  <c r="A6705" i="9" s="1"/>
  <c r="K6704" i="9"/>
  <c r="A6704" i="9" s="1"/>
  <c r="K6703" i="9"/>
  <c r="A6703" i="9" s="1"/>
  <c r="K6702" i="9"/>
  <c r="A6702" i="9" s="1"/>
  <c r="K6701" i="9"/>
  <c r="A6701" i="9" s="1"/>
  <c r="K6700" i="9"/>
  <c r="A6700" i="9" s="1"/>
  <c r="K6699" i="9"/>
  <c r="A6699" i="9" s="1"/>
  <c r="A6698" i="9"/>
  <c r="K6698" i="9"/>
  <c r="K6697" i="9"/>
  <c r="A6697" i="9" s="1"/>
  <c r="K6696" i="9"/>
  <c r="A6696" i="9" s="1"/>
  <c r="K6695" i="9"/>
  <c r="A6695" i="9" s="1"/>
  <c r="K6694" i="9"/>
  <c r="A6694" i="9" s="1"/>
  <c r="K6693" i="9"/>
  <c r="A6693" i="9" s="1"/>
  <c r="K6692" i="9"/>
  <c r="A6692" i="9" s="1"/>
  <c r="K6691" i="9"/>
  <c r="A6691" i="9" s="1"/>
  <c r="K6690" i="9"/>
  <c r="A6690" i="9" s="1"/>
  <c r="K6689" i="9"/>
  <c r="A6689" i="9" s="1"/>
  <c r="K6688" i="9"/>
  <c r="A6688" i="9" s="1"/>
  <c r="K6687" i="9"/>
  <c r="A6687" i="9" s="1"/>
  <c r="K6686" i="9"/>
  <c r="A6686" i="9" s="1"/>
  <c r="K6685" i="9"/>
  <c r="A6685" i="9" s="1"/>
  <c r="K6684" i="9"/>
  <c r="A6684" i="9" s="1"/>
  <c r="K6683" i="9"/>
  <c r="A6683" i="9" s="1"/>
  <c r="K6682" i="9"/>
  <c r="A6682" i="9" s="1"/>
  <c r="K6681" i="9"/>
  <c r="A6681" i="9" s="1"/>
  <c r="K6680" i="9"/>
  <c r="A6680" i="9" s="1"/>
  <c r="K6679" i="9"/>
  <c r="A6679" i="9" s="1"/>
  <c r="K6678" i="9"/>
  <c r="A6678" i="9" s="1"/>
  <c r="K6677" i="9"/>
  <c r="A6677" i="9" s="1"/>
  <c r="A6676" i="9"/>
  <c r="K6676" i="9"/>
  <c r="K6675" i="9"/>
  <c r="A6675" i="9" s="1"/>
  <c r="K6674" i="9"/>
  <c r="A6674" i="9" s="1"/>
  <c r="K6673" i="9"/>
  <c r="A6673" i="9" s="1"/>
  <c r="K6672" i="9"/>
  <c r="A6672" i="9" s="1"/>
  <c r="K6671" i="9"/>
  <c r="A6671" i="9" s="1"/>
  <c r="K6670" i="9"/>
  <c r="A6670" i="9" s="1"/>
  <c r="K6669" i="9"/>
  <c r="A6669" i="9" s="1"/>
  <c r="K6668" i="9"/>
  <c r="A6668" i="9" s="1"/>
  <c r="K6667" i="9"/>
  <c r="A6667" i="9" s="1"/>
  <c r="K6666" i="9"/>
  <c r="A6666" i="9" s="1"/>
  <c r="K6665" i="9"/>
  <c r="A6665" i="9" s="1"/>
  <c r="K6664" i="9"/>
  <c r="A6664" i="9" s="1"/>
  <c r="K6663" i="9"/>
  <c r="A6663" i="9" s="1"/>
  <c r="K6662" i="9"/>
  <c r="A6662" i="9" s="1"/>
  <c r="K6661" i="9"/>
  <c r="A6661" i="9" s="1"/>
  <c r="A6660" i="9"/>
  <c r="K6660" i="9"/>
  <c r="K6659" i="9"/>
  <c r="A6659" i="9" s="1"/>
  <c r="K6658" i="9"/>
  <c r="A6658" i="9" s="1"/>
  <c r="K6657" i="9"/>
  <c r="A6657" i="9" s="1"/>
  <c r="K6656" i="9"/>
  <c r="A6656" i="9" s="1"/>
  <c r="K6655" i="9"/>
  <c r="A6655" i="9" s="1"/>
  <c r="K6654" i="9"/>
  <c r="A6654" i="9" s="1"/>
  <c r="K6653" i="9"/>
  <c r="A6653" i="9" s="1"/>
  <c r="A6652" i="9"/>
  <c r="K6652" i="9"/>
  <c r="K6651" i="9"/>
  <c r="A6651" i="9" s="1"/>
  <c r="K6650" i="9"/>
  <c r="A6650" i="9" s="1"/>
  <c r="K6649" i="9"/>
  <c r="A6649" i="9" s="1"/>
  <c r="K6648" i="9"/>
  <c r="A6648" i="9" s="1"/>
  <c r="K6647" i="9"/>
  <c r="A6647" i="9" s="1"/>
  <c r="K6646" i="9"/>
  <c r="A6646" i="9" s="1"/>
  <c r="K6645" i="9"/>
  <c r="A6645" i="9" s="1"/>
  <c r="K6644" i="9"/>
  <c r="A6644" i="9" s="1"/>
  <c r="K6643" i="9"/>
  <c r="A6643" i="9" s="1"/>
  <c r="A6642" i="9"/>
  <c r="K6642" i="9"/>
  <c r="K6641" i="9"/>
  <c r="A6641" i="9" s="1"/>
  <c r="K6640" i="9"/>
  <c r="A6640" i="9" s="1"/>
  <c r="K6639" i="9"/>
  <c r="A6639" i="9" s="1"/>
  <c r="K6638" i="9"/>
  <c r="A6638" i="9" s="1"/>
  <c r="K6637" i="9"/>
  <c r="A6637" i="9" s="1"/>
  <c r="K6636" i="9"/>
  <c r="A6636" i="9" s="1"/>
  <c r="K6635" i="9"/>
  <c r="A6635" i="9" s="1"/>
  <c r="K6634" i="9"/>
  <c r="A6634" i="9" s="1"/>
  <c r="K6633" i="9"/>
  <c r="A6633" i="9" s="1"/>
  <c r="K6632" i="9"/>
  <c r="A6632" i="9" s="1"/>
  <c r="K6631" i="9"/>
  <c r="A6631" i="9" s="1"/>
  <c r="K6630" i="9"/>
  <c r="A6630" i="9" s="1"/>
  <c r="K6629" i="9"/>
  <c r="A6629" i="9" s="1"/>
  <c r="K6628" i="9"/>
  <c r="A6628" i="9" s="1"/>
  <c r="K6627" i="9"/>
  <c r="A6627" i="9" s="1"/>
  <c r="A6626" i="9"/>
  <c r="K6626" i="9"/>
  <c r="K6625" i="9"/>
  <c r="A6625" i="9" s="1"/>
  <c r="A6624" i="9"/>
  <c r="K6624" i="9"/>
  <c r="K6623" i="9"/>
  <c r="A6623" i="9" s="1"/>
  <c r="K6622" i="9"/>
  <c r="A6622" i="9" s="1"/>
  <c r="K6621" i="9"/>
  <c r="A6621" i="9" s="1"/>
  <c r="A6620" i="9"/>
  <c r="K6620" i="9"/>
  <c r="K6619" i="9"/>
  <c r="A6619" i="9" s="1"/>
  <c r="A6618" i="9"/>
  <c r="K6618" i="9"/>
  <c r="K6617" i="9"/>
  <c r="A6617" i="9" s="1"/>
  <c r="K6616" i="9"/>
  <c r="A6616" i="9" s="1"/>
  <c r="K6615" i="9"/>
  <c r="A6615" i="9" s="1"/>
  <c r="K6614" i="9"/>
  <c r="A6614" i="9" s="1"/>
  <c r="K6613" i="9"/>
  <c r="A6613" i="9" s="1"/>
  <c r="K6612" i="9"/>
  <c r="A6612" i="9" s="1"/>
  <c r="K6611" i="9"/>
  <c r="A6611" i="9" s="1"/>
  <c r="K6610" i="9"/>
  <c r="A6610" i="9" s="1"/>
  <c r="K6609" i="9"/>
  <c r="A6609" i="9" s="1"/>
  <c r="K6608" i="9"/>
  <c r="A6608" i="9" s="1"/>
  <c r="K6607" i="9"/>
  <c r="A6607" i="9" s="1"/>
  <c r="K6606" i="9"/>
  <c r="A6606" i="9" s="1"/>
  <c r="K6605" i="9"/>
  <c r="A6605" i="9" s="1"/>
  <c r="A6604" i="9"/>
  <c r="K6604" i="9"/>
  <c r="K6603" i="9"/>
  <c r="A6603" i="9" s="1"/>
  <c r="K6602" i="9"/>
  <c r="A6602" i="9" s="1"/>
  <c r="K6601" i="9"/>
  <c r="A6601" i="9" s="1"/>
  <c r="K6600" i="9"/>
  <c r="A6600" i="9" s="1"/>
  <c r="K6599" i="9"/>
  <c r="A6599" i="9" s="1"/>
  <c r="K6598" i="9"/>
  <c r="A6598" i="9" s="1"/>
  <c r="K6597" i="9"/>
  <c r="A6597" i="9" s="1"/>
  <c r="K6596" i="9"/>
  <c r="A6596" i="9" s="1"/>
  <c r="K6595" i="9"/>
  <c r="A6595" i="9" s="1"/>
  <c r="K6594" i="9"/>
  <c r="A6594" i="9" s="1"/>
  <c r="K6593" i="9"/>
  <c r="A6593" i="9" s="1"/>
  <c r="A6592" i="9"/>
  <c r="K6592" i="9"/>
  <c r="K6591" i="9"/>
  <c r="A6591" i="9" s="1"/>
  <c r="K6590" i="9"/>
  <c r="A6590" i="9" s="1"/>
  <c r="K6589" i="9"/>
  <c r="A6589" i="9" s="1"/>
  <c r="K6588" i="9"/>
  <c r="A6588" i="9" s="1"/>
  <c r="K6587" i="9"/>
  <c r="A6587" i="9" s="1"/>
  <c r="A6586" i="9"/>
  <c r="K6586" i="9"/>
  <c r="K6585" i="9"/>
  <c r="A6585" i="9" s="1"/>
  <c r="K6584" i="9"/>
  <c r="A6584" i="9" s="1"/>
  <c r="K6583" i="9"/>
  <c r="A6583" i="9" s="1"/>
  <c r="K6582" i="9"/>
  <c r="A6582" i="9" s="1"/>
  <c r="K6581" i="9"/>
  <c r="A6581" i="9" s="1"/>
  <c r="K6580" i="9"/>
  <c r="A6580" i="9" s="1"/>
  <c r="K6579" i="9"/>
  <c r="A6579" i="9" s="1"/>
  <c r="K6578" i="9"/>
  <c r="A6578" i="9" s="1"/>
  <c r="K6577" i="9"/>
  <c r="A6577" i="9" s="1"/>
  <c r="K6576" i="9"/>
  <c r="A6576" i="9" s="1"/>
  <c r="K6575" i="9"/>
  <c r="A6575" i="9" s="1"/>
  <c r="K6574" i="9"/>
  <c r="A6574" i="9" s="1"/>
  <c r="K6573" i="9"/>
  <c r="A6573" i="9" s="1"/>
  <c r="K6572" i="9"/>
  <c r="A6572" i="9" s="1"/>
  <c r="K6571" i="9"/>
  <c r="A6571" i="9" s="1"/>
  <c r="A6570" i="9"/>
  <c r="K6570" i="9"/>
  <c r="K6569" i="9"/>
  <c r="A6569" i="9" s="1"/>
  <c r="K6568" i="9"/>
  <c r="A6568" i="9" s="1"/>
  <c r="K6567" i="9"/>
  <c r="A6567" i="9" s="1"/>
  <c r="K6566" i="9"/>
  <c r="A6566" i="9" s="1"/>
  <c r="K6565" i="9"/>
  <c r="A6565" i="9" s="1"/>
  <c r="K6564" i="9"/>
  <c r="A6564" i="9" s="1"/>
  <c r="K6563" i="9"/>
  <c r="A6563" i="9" s="1"/>
  <c r="K6562" i="9"/>
  <c r="A6562" i="9" s="1"/>
  <c r="K6561" i="9"/>
  <c r="A6561" i="9" s="1"/>
  <c r="K6560" i="9"/>
  <c r="A6560" i="9" s="1"/>
  <c r="K6559" i="9"/>
  <c r="A6559" i="9" s="1"/>
  <c r="K6558" i="9"/>
  <c r="A6558" i="9" s="1"/>
  <c r="K6557" i="9"/>
  <c r="A6557" i="9" s="1"/>
  <c r="K6556" i="9"/>
  <c r="A6556" i="9" s="1"/>
  <c r="K6555" i="9"/>
  <c r="A6555" i="9" s="1"/>
  <c r="K6554" i="9"/>
  <c r="A6554" i="9" s="1"/>
  <c r="K6553" i="9"/>
  <c r="A6553" i="9" s="1"/>
  <c r="K6552" i="9"/>
  <c r="A6552" i="9" s="1"/>
  <c r="K6551" i="9"/>
  <c r="A6551" i="9" s="1"/>
  <c r="K6550" i="9"/>
  <c r="A6550" i="9" s="1"/>
  <c r="K6549" i="9"/>
  <c r="A6549" i="9" s="1"/>
  <c r="A6548" i="9"/>
  <c r="K6548" i="9"/>
  <c r="K6547" i="9"/>
  <c r="A6547" i="9" s="1"/>
  <c r="K6546" i="9"/>
  <c r="A6546" i="9" s="1"/>
  <c r="K6545" i="9"/>
  <c r="A6545" i="9" s="1"/>
  <c r="K6544" i="9"/>
  <c r="A6544" i="9" s="1"/>
  <c r="K6543" i="9"/>
  <c r="A6543" i="9" s="1"/>
  <c r="K6542" i="9"/>
  <c r="A6542" i="9" s="1"/>
  <c r="K6541" i="9"/>
  <c r="A6541" i="9" s="1"/>
  <c r="K6540" i="9"/>
  <c r="A6540" i="9" s="1"/>
  <c r="K6539" i="9"/>
  <c r="A6539" i="9" s="1"/>
  <c r="K6538" i="9"/>
  <c r="A6538" i="9" s="1"/>
  <c r="K6537" i="9"/>
  <c r="A6537" i="9" s="1"/>
  <c r="K6536" i="9"/>
  <c r="A6536" i="9" s="1"/>
  <c r="K6535" i="9"/>
  <c r="A6535" i="9" s="1"/>
  <c r="K6534" i="9"/>
  <c r="A6534" i="9" s="1"/>
  <c r="K6533" i="9"/>
  <c r="A6533" i="9" s="1"/>
  <c r="A6532" i="9"/>
  <c r="K6532" i="9"/>
  <c r="K6531" i="9"/>
  <c r="A6531" i="9" s="1"/>
  <c r="K6530" i="9"/>
  <c r="A6530" i="9" s="1"/>
  <c r="K6529" i="9"/>
  <c r="A6529" i="9" s="1"/>
  <c r="K6528" i="9"/>
  <c r="A6528" i="9" s="1"/>
  <c r="K6527" i="9"/>
  <c r="A6527" i="9" s="1"/>
  <c r="K6526" i="9"/>
  <c r="A6526" i="9" s="1"/>
  <c r="K6525" i="9"/>
  <c r="A6525" i="9" s="1"/>
  <c r="K6524" i="9"/>
  <c r="A6524" i="9" s="1"/>
  <c r="K6523" i="9"/>
  <c r="A6523" i="9" s="1"/>
  <c r="K6522" i="9"/>
  <c r="A6522" i="9" s="1"/>
  <c r="K6521" i="9"/>
  <c r="A6521" i="9" s="1"/>
  <c r="K6520" i="9"/>
  <c r="A6520" i="9" s="1"/>
  <c r="K6519" i="9"/>
  <c r="A6519" i="9" s="1"/>
  <c r="K6518" i="9"/>
  <c r="A6518" i="9" s="1"/>
  <c r="K6517" i="9"/>
  <c r="A6517" i="9" s="1"/>
  <c r="K6516" i="9"/>
  <c r="A6516" i="9" s="1"/>
  <c r="K6515" i="9"/>
  <c r="A6515" i="9" s="1"/>
  <c r="A6514" i="9"/>
  <c r="K6514" i="9"/>
  <c r="K6513" i="9"/>
  <c r="A6513" i="9" s="1"/>
  <c r="K6512" i="9"/>
  <c r="A6512" i="9" s="1"/>
  <c r="K6511" i="9"/>
  <c r="A6511" i="9" s="1"/>
  <c r="K6510" i="9"/>
  <c r="A6510" i="9" s="1"/>
  <c r="K6509" i="9"/>
  <c r="A6509" i="9" s="1"/>
  <c r="A6508" i="9"/>
  <c r="K6508" i="9"/>
  <c r="K6507" i="9"/>
  <c r="A6507" i="9" s="1"/>
  <c r="K6506" i="9"/>
  <c r="A6506" i="9" s="1"/>
  <c r="K6505" i="9"/>
  <c r="A6505" i="9" s="1"/>
  <c r="K6504" i="9"/>
  <c r="A6504" i="9" s="1"/>
  <c r="K6503" i="9"/>
  <c r="A6503" i="9" s="1"/>
  <c r="K6502" i="9"/>
  <c r="A6502" i="9" s="1"/>
  <c r="K6501" i="9"/>
  <c r="A6501" i="9" s="1"/>
  <c r="K6500" i="9"/>
  <c r="A6500" i="9" s="1"/>
  <c r="K6499" i="9"/>
  <c r="A6499" i="9" s="1"/>
  <c r="A6498" i="9"/>
  <c r="K6498" i="9"/>
  <c r="K6497" i="9"/>
  <c r="A6497" i="9" s="1"/>
  <c r="K6496" i="9"/>
  <c r="A6496" i="9" s="1"/>
  <c r="K6495" i="9"/>
  <c r="A6495" i="9" s="1"/>
  <c r="K6494" i="9"/>
  <c r="A6494" i="9" s="1"/>
  <c r="K6493" i="9"/>
  <c r="A6493" i="9" s="1"/>
  <c r="A6492" i="9"/>
  <c r="K6492" i="9"/>
  <c r="K6491" i="9"/>
  <c r="A6491" i="9" s="1"/>
  <c r="K6490" i="9"/>
  <c r="A6490" i="9" s="1"/>
  <c r="K6489" i="9"/>
  <c r="A6489" i="9" s="1"/>
  <c r="K6488" i="9"/>
  <c r="A6488" i="9" s="1"/>
  <c r="K6487" i="9"/>
  <c r="A6487" i="9" s="1"/>
  <c r="K6486" i="9"/>
  <c r="A6486" i="9" s="1"/>
  <c r="K6485" i="9"/>
  <c r="A6485" i="9" s="1"/>
  <c r="K6484" i="9"/>
  <c r="A6484" i="9" s="1"/>
  <c r="K6483" i="9"/>
  <c r="A6483" i="9" s="1"/>
  <c r="K6482" i="9"/>
  <c r="A6482" i="9" s="1"/>
  <c r="K6481" i="9"/>
  <c r="A6481" i="9" s="1"/>
  <c r="K6480" i="9"/>
  <c r="A6480" i="9" s="1"/>
  <c r="K6479" i="9"/>
  <c r="A6479" i="9" s="1"/>
  <c r="K6478" i="9"/>
  <c r="A6478" i="9" s="1"/>
  <c r="K6473" i="9"/>
  <c r="A6473" i="9" s="1"/>
  <c r="A6477" i="9"/>
  <c r="K6477" i="9"/>
  <c r="K6475" i="9"/>
  <c r="A6475" i="9" s="1"/>
  <c r="A6474" i="9"/>
  <c r="K6474" i="9"/>
  <c r="K6476" i="9"/>
  <c r="A6476" i="9" s="1"/>
  <c r="K6457" i="9"/>
  <c r="A6457" i="9" s="1"/>
  <c r="K6472" i="9"/>
  <c r="A6472" i="9" s="1"/>
  <c r="K6471" i="9"/>
  <c r="A6471" i="9" s="1"/>
  <c r="K6470" i="9"/>
  <c r="A6470" i="9" s="1"/>
  <c r="K6469" i="9"/>
  <c r="A6469" i="9" s="1"/>
  <c r="K6467" i="9"/>
  <c r="A6467" i="9" s="1"/>
  <c r="K6468" i="9"/>
  <c r="A6468" i="9" s="1"/>
  <c r="K6466" i="9"/>
  <c r="A6466" i="9" s="1"/>
  <c r="A6465" i="9"/>
  <c r="K6465" i="9"/>
  <c r="K6464" i="9"/>
  <c r="A6464" i="9" s="1"/>
  <c r="A6463" i="9"/>
  <c r="K6463" i="9"/>
  <c r="K6461" i="9"/>
  <c r="A6461" i="9" s="1"/>
  <c r="A6456" i="9"/>
  <c r="K6456" i="9"/>
  <c r="K6462" i="9"/>
  <c r="A6462" i="9" s="1"/>
  <c r="A6460" i="9"/>
  <c r="K6460" i="9"/>
  <c r="K6459" i="9"/>
  <c r="A6459" i="9" s="1"/>
  <c r="A6458" i="9"/>
  <c r="K6458" i="9"/>
  <c r="K6455" i="9"/>
  <c r="A6455" i="9" s="1"/>
  <c r="A6454" i="9"/>
  <c r="K6454" i="9"/>
  <c r="K6453" i="9"/>
  <c r="A6453" i="9" s="1"/>
  <c r="A6452" i="9"/>
  <c r="K6452" i="9"/>
  <c r="K6451" i="9"/>
  <c r="A6451" i="9" s="1"/>
  <c r="K6450" i="9"/>
  <c r="A6450" i="9" s="1"/>
  <c r="K6449" i="9"/>
  <c r="A6449" i="9" s="1"/>
  <c r="K6448" i="9"/>
  <c r="A6448" i="9" s="1"/>
  <c r="K6447" i="9"/>
  <c r="A6447" i="9" s="1"/>
  <c r="K6446" i="9"/>
  <c r="A6446" i="9" s="1"/>
  <c r="K6444" i="9"/>
  <c r="A6444" i="9" s="1"/>
  <c r="K6445" i="9"/>
  <c r="A6445" i="9" s="1"/>
  <c r="K6443" i="9"/>
  <c r="A6443" i="9" s="1"/>
  <c r="K6442" i="9"/>
  <c r="A6442" i="9" s="1"/>
  <c r="K6441" i="9"/>
  <c r="A6441" i="9" s="1"/>
  <c r="K6440" i="9"/>
  <c r="A6440" i="9" s="1"/>
  <c r="K6439" i="9"/>
  <c r="A6439" i="9" s="1"/>
  <c r="K6438" i="9"/>
  <c r="A6438" i="9" s="1"/>
  <c r="K6436" i="9"/>
  <c r="A6436" i="9" s="1"/>
  <c r="K6435" i="9"/>
  <c r="A6435" i="9" s="1"/>
  <c r="K6437" i="9"/>
  <c r="A6437" i="9" s="1"/>
  <c r="K6434" i="9"/>
  <c r="A6434" i="9" s="1"/>
  <c r="K6433" i="9"/>
  <c r="A6433" i="9" s="1"/>
  <c r="K6432" i="9"/>
  <c r="A6432" i="9" s="1"/>
  <c r="K6430" i="9"/>
  <c r="A6430" i="9" s="1"/>
  <c r="K6429" i="9"/>
  <c r="A6429" i="9" s="1"/>
  <c r="K6431" i="9"/>
  <c r="A6431" i="9" s="1"/>
  <c r="K6428" i="9"/>
  <c r="A6428" i="9" s="1"/>
  <c r="K6427" i="9"/>
  <c r="A6427" i="9" s="1"/>
  <c r="K6426" i="9"/>
  <c r="A6426" i="9" s="1"/>
  <c r="K6425" i="9"/>
  <c r="A6425" i="9" s="1"/>
  <c r="K6424" i="9"/>
  <c r="A6424" i="9" s="1"/>
  <c r="K6422" i="9"/>
  <c r="A6422" i="9" s="1"/>
  <c r="K6420" i="9"/>
  <c r="A6420" i="9" s="1"/>
  <c r="K6423" i="9"/>
  <c r="A6423" i="9" s="1"/>
  <c r="A6421" i="9"/>
  <c r="K6421" i="9"/>
  <c r="K6419" i="9"/>
  <c r="A6419" i="9" s="1"/>
  <c r="K6418" i="9"/>
  <c r="A6418" i="9" s="1"/>
  <c r="K6417" i="9"/>
  <c r="A6417" i="9" s="1"/>
  <c r="K6416" i="9"/>
  <c r="A6416" i="9" s="1"/>
  <c r="K6415" i="9"/>
  <c r="A6415" i="9" s="1"/>
  <c r="K6414" i="9"/>
  <c r="A6414" i="9" s="1"/>
  <c r="K6413" i="9"/>
  <c r="A6413" i="9" s="1"/>
  <c r="K6412" i="9"/>
  <c r="A6412" i="9" s="1"/>
  <c r="K6411" i="9"/>
  <c r="A6411" i="9" s="1"/>
  <c r="K6410" i="9"/>
  <c r="A6410" i="9" s="1"/>
  <c r="K6409" i="9"/>
  <c r="A6409" i="9" s="1"/>
  <c r="K6408" i="9"/>
  <c r="A6408" i="9" s="1"/>
  <c r="K6407" i="9"/>
  <c r="A6407" i="9" s="1"/>
  <c r="K6406" i="9"/>
  <c r="A6406" i="9" s="1"/>
  <c r="K6405" i="9"/>
  <c r="A6405" i="9" s="1"/>
  <c r="K6404" i="9"/>
  <c r="A6404" i="9" s="1"/>
  <c r="K6402" i="9"/>
  <c r="A6402" i="9" s="1"/>
  <c r="K6403" i="9"/>
  <c r="A6403" i="9" s="1"/>
  <c r="K6401" i="9"/>
  <c r="A6401" i="9" s="1"/>
  <c r="K6400" i="9"/>
  <c r="A6400" i="9" s="1"/>
  <c r="K6399" i="9"/>
  <c r="A6399" i="9" s="1"/>
  <c r="K6398" i="9"/>
  <c r="A6398" i="9" s="1"/>
  <c r="K6397" i="9"/>
  <c r="A6397" i="9" s="1"/>
  <c r="A6396" i="9"/>
  <c r="K6396" i="9"/>
  <c r="K6395" i="9"/>
  <c r="A6395" i="9" s="1"/>
  <c r="K6394" i="9"/>
  <c r="A6394" i="9" s="1"/>
  <c r="K6393" i="9"/>
  <c r="A6393" i="9" s="1"/>
  <c r="K6392" i="9"/>
  <c r="A6392" i="9" s="1"/>
  <c r="K6391" i="9"/>
  <c r="A6391" i="9" s="1"/>
  <c r="K6390" i="9"/>
  <c r="A6390" i="9" s="1"/>
  <c r="K6389" i="9"/>
  <c r="A6389" i="9" s="1"/>
  <c r="A6388" i="9"/>
  <c r="K6388" i="9"/>
  <c r="K6387" i="9"/>
  <c r="A6387" i="9" s="1"/>
  <c r="K6386" i="9"/>
  <c r="A6386" i="9" s="1"/>
  <c r="K6385" i="9"/>
  <c r="A6385" i="9" s="1"/>
  <c r="K6384" i="9"/>
  <c r="A6384" i="9" s="1"/>
  <c r="K6383" i="9"/>
  <c r="A6383" i="9" s="1"/>
  <c r="K6382" i="9"/>
  <c r="A6382" i="9" s="1"/>
  <c r="K6381" i="9"/>
  <c r="A6381" i="9" s="1"/>
  <c r="K6380" i="9"/>
  <c r="A6380" i="9" s="1"/>
  <c r="K6379" i="9"/>
  <c r="A6379" i="9" s="1"/>
  <c r="K6378" i="9"/>
  <c r="A6378" i="9" s="1"/>
  <c r="K6377" i="9"/>
  <c r="A6377" i="9" s="1"/>
  <c r="K6376" i="9"/>
  <c r="A6376" i="9" s="1"/>
  <c r="K6375" i="9"/>
  <c r="A6375" i="9" s="1"/>
  <c r="K6374" i="9"/>
  <c r="A6374" i="9" s="1"/>
  <c r="K6373" i="9"/>
  <c r="A6373" i="9" s="1"/>
  <c r="K6372" i="9"/>
  <c r="A6372" i="9" s="1"/>
  <c r="K6371" i="9"/>
  <c r="A6371" i="9" s="1"/>
  <c r="K6370" i="9"/>
  <c r="A6370" i="9" s="1"/>
  <c r="K6369" i="9"/>
  <c r="A6369" i="9" s="1"/>
  <c r="K6368" i="9"/>
  <c r="A6368" i="9" s="1"/>
  <c r="K6367" i="9"/>
  <c r="A6367" i="9" s="1"/>
  <c r="K6366" i="9"/>
  <c r="A6366" i="9" s="1"/>
  <c r="K6365" i="9"/>
  <c r="A6365" i="9" s="1"/>
  <c r="K6364" i="9"/>
  <c r="A6364" i="9" s="1"/>
  <c r="K6363" i="9"/>
  <c r="A6363" i="9" s="1"/>
  <c r="K6362" i="9"/>
  <c r="A6362" i="9" s="1"/>
  <c r="K6361" i="9"/>
  <c r="A6361" i="9" s="1"/>
  <c r="K6360" i="9"/>
  <c r="A6360" i="9" s="1"/>
  <c r="K6359" i="9"/>
  <c r="A6359" i="9" s="1"/>
  <c r="K6358" i="9"/>
  <c r="A6358" i="9" s="1"/>
  <c r="K6357" i="9"/>
  <c r="A6357" i="9" s="1"/>
  <c r="A6356" i="9"/>
  <c r="K6356" i="9"/>
  <c r="K6355" i="9"/>
  <c r="A6355" i="9" s="1"/>
  <c r="K6354" i="9"/>
  <c r="A6354" i="9" s="1"/>
  <c r="K6353" i="9"/>
  <c r="A6353" i="9" s="1"/>
  <c r="K6352" i="9"/>
  <c r="A6352" i="9" s="1"/>
  <c r="K6351" i="9"/>
  <c r="A6351" i="9" s="1"/>
  <c r="K6350" i="9"/>
  <c r="A6350" i="9" s="1"/>
  <c r="K6349" i="9"/>
  <c r="A6349" i="9" s="1"/>
  <c r="K6348" i="9"/>
  <c r="A6348" i="9" s="1"/>
  <c r="K6347" i="9"/>
  <c r="A6347" i="9" s="1"/>
  <c r="K6346" i="9"/>
  <c r="A6346" i="9" s="1"/>
  <c r="K6345" i="9"/>
  <c r="A6345" i="9" s="1"/>
  <c r="K6344" i="9"/>
  <c r="A6344" i="9" s="1"/>
  <c r="K6343" i="9"/>
  <c r="A6343" i="9" s="1"/>
  <c r="K6342" i="9"/>
  <c r="A6342" i="9" s="1"/>
  <c r="K6341" i="9"/>
  <c r="A6341" i="9" s="1"/>
  <c r="K6340" i="9"/>
  <c r="A6340" i="9" s="1"/>
  <c r="K6339" i="9"/>
  <c r="A6339" i="9" s="1"/>
  <c r="K6338" i="9"/>
  <c r="A6338" i="9" s="1"/>
  <c r="K6337" i="9"/>
  <c r="A6337" i="9" s="1"/>
  <c r="K6336" i="9"/>
  <c r="A6336" i="9" s="1"/>
  <c r="K6335" i="9"/>
  <c r="A6335" i="9" s="1"/>
  <c r="K6334" i="9"/>
  <c r="A6334" i="9" s="1"/>
  <c r="K6333" i="9"/>
  <c r="A6333" i="9" s="1"/>
  <c r="A6332" i="9"/>
  <c r="K6332" i="9"/>
  <c r="K6331" i="9"/>
  <c r="A6331" i="9" s="1"/>
  <c r="K6330" i="9"/>
  <c r="A6330" i="9" s="1"/>
  <c r="K6329" i="9"/>
  <c r="A6329" i="9" s="1"/>
  <c r="K6328" i="9"/>
  <c r="A6328" i="9" s="1"/>
  <c r="K6327" i="9"/>
  <c r="A6327" i="9" s="1"/>
  <c r="K6326" i="9"/>
  <c r="A6326" i="9" s="1"/>
  <c r="K6325" i="9"/>
  <c r="A6325" i="9" s="1"/>
  <c r="A6324" i="9"/>
  <c r="K6324" i="9"/>
  <c r="K6323" i="9"/>
  <c r="A6323" i="9" s="1"/>
  <c r="K6322" i="9"/>
  <c r="A6322" i="9" s="1"/>
  <c r="K6321" i="9"/>
  <c r="A6321" i="9" s="1"/>
  <c r="K6320" i="9"/>
  <c r="A6320" i="9" s="1"/>
  <c r="K6319" i="9"/>
  <c r="A6319" i="9" s="1"/>
  <c r="K6318" i="9"/>
  <c r="A6318" i="9" s="1"/>
  <c r="K6317" i="9"/>
  <c r="A6317" i="9" s="1"/>
  <c r="K6316" i="9"/>
  <c r="A6316" i="9" s="1"/>
  <c r="K6315" i="9"/>
  <c r="A6315" i="9" s="1"/>
  <c r="K6314" i="9"/>
  <c r="A6314" i="9" s="1"/>
  <c r="K6313" i="9"/>
  <c r="A6313" i="9" s="1"/>
  <c r="K6312" i="9"/>
  <c r="A6312" i="9" s="1"/>
  <c r="K6311" i="9"/>
  <c r="A6311" i="9" s="1"/>
  <c r="K6310" i="9"/>
  <c r="A6310" i="9" s="1"/>
  <c r="K6309" i="9"/>
  <c r="A6309" i="9" s="1"/>
  <c r="K6308" i="9"/>
  <c r="A6308" i="9" s="1"/>
  <c r="K6307" i="9"/>
  <c r="A6307" i="9" s="1"/>
  <c r="K6306" i="9"/>
  <c r="A6306" i="9" s="1"/>
  <c r="K6305" i="9"/>
  <c r="A6305" i="9" s="1"/>
  <c r="K6304" i="9"/>
  <c r="A6304" i="9" s="1"/>
  <c r="K6303" i="9"/>
  <c r="A6303" i="9" s="1"/>
  <c r="K6302" i="9"/>
  <c r="A6302" i="9" s="1"/>
  <c r="K6301" i="9"/>
  <c r="A6301" i="9" s="1"/>
  <c r="K6300" i="9"/>
  <c r="A6300" i="9" s="1"/>
  <c r="K6299" i="9"/>
  <c r="A6299" i="9" s="1"/>
  <c r="K6298" i="9"/>
  <c r="A6298" i="9" s="1"/>
  <c r="K6297" i="9"/>
  <c r="A6297" i="9" s="1"/>
  <c r="K6296" i="9"/>
  <c r="A6296" i="9" s="1"/>
  <c r="K6295" i="9"/>
  <c r="A6295" i="9" s="1"/>
  <c r="K6294" i="9"/>
  <c r="A6294" i="9" s="1"/>
  <c r="K6293" i="9"/>
  <c r="A6293" i="9" s="1"/>
  <c r="A6292" i="9"/>
  <c r="K6292" i="9"/>
  <c r="K6291" i="9"/>
  <c r="A6291" i="9" s="1"/>
  <c r="K6290" i="9"/>
  <c r="A6290" i="9" s="1"/>
  <c r="K6289" i="9"/>
  <c r="A6289" i="9" s="1"/>
  <c r="K6288" i="9"/>
  <c r="A6288" i="9" s="1"/>
  <c r="K6287" i="9"/>
  <c r="A6287" i="9" s="1"/>
  <c r="K6286" i="9"/>
  <c r="A6286" i="9" s="1"/>
  <c r="K6285" i="9"/>
  <c r="A6285" i="9" s="1"/>
  <c r="K6284" i="9"/>
  <c r="A6284" i="9" s="1"/>
  <c r="K6283" i="9"/>
  <c r="A6283" i="9" s="1"/>
  <c r="K6282" i="9"/>
  <c r="A6282" i="9" s="1"/>
  <c r="K6281" i="9"/>
  <c r="A6281" i="9" s="1"/>
  <c r="K6280" i="9"/>
  <c r="A6280" i="9" s="1"/>
  <c r="K6279" i="9"/>
  <c r="A6279" i="9" s="1"/>
  <c r="K6278" i="9"/>
  <c r="A6278" i="9" s="1"/>
  <c r="K6277" i="9"/>
  <c r="A6277" i="9" s="1"/>
  <c r="K6276" i="9"/>
  <c r="A6276" i="9" s="1"/>
  <c r="K6275" i="9"/>
  <c r="A6275" i="9" s="1"/>
  <c r="K6274" i="9"/>
  <c r="A6274" i="9" s="1"/>
  <c r="K6273" i="9"/>
  <c r="A6273" i="9" s="1"/>
  <c r="K6272" i="9"/>
  <c r="A6272" i="9" s="1"/>
  <c r="K6271" i="9"/>
  <c r="A6271" i="9" s="1"/>
  <c r="K6270" i="9"/>
  <c r="A6270" i="9" s="1"/>
  <c r="K6269" i="9"/>
  <c r="A6269" i="9" s="1"/>
  <c r="A6268" i="9"/>
  <c r="K6268" i="9"/>
  <c r="K6267" i="9"/>
  <c r="A6267" i="9" s="1"/>
  <c r="K6266" i="9"/>
  <c r="A6266" i="9" s="1"/>
  <c r="K6265" i="9"/>
  <c r="A6265" i="9" s="1"/>
  <c r="K6264" i="9"/>
  <c r="A6264" i="9" s="1"/>
  <c r="K6263" i="9"/>
  <c r="A6263" i="9" s="1"/>
  <c r="K6262" i="9"/>
  <c r="A6262" i="9" s="1"/>
  <c r="K6261" i="9"/>
  <c r="A6261" i="9" s="1"/>
  <c r="A6260" i="9"/>
  <c r="K6260" i="9"/>
  <c r="K6259" i="9"/>
  <c r="A6259" i="9" s="1"/>
  <c r="K6258" i="9"/>
  <c r="A6258" i="9" s="1"/>
  <c r="K6257" i="9"/>
  <c r="A6257" i="9" s="1"/>
  <c r="K6256" i="9"/>
  <c r="A6256" i="9" s="1"/>
  <c r="K6255" i="9"/>
  <c r="A6255" i="9" s="1"/>
  <c r="K6254" i="9"/>
  <c r="A6254" i="9" s="1"/>
  <c r="K6253" i="9"/>
  <c r="A6253" i="9" s="1"/>
  <c r="K6252" i="9"/>
  <c r="A6252" i="9" s="1"/>
  <c r="K6251" i="9"/>
  <c r="A6251" i="9" s="1"/>
  <c r="K6250" i="9"/>
  <c r="A6250" i="9" s="1"/>
  <c r="K6249" i="9"/>
  <c r="A6249" i="9" s="1"/>
  <c r="K6248" i="9"/>
  <c r="A6248" i="9" s="1"/>
  <c r="K6247" i="9"/>
  <c r="A6247" i="9" s="1"/>
  <c r="K6246" i="9"/>
  <c r="A6246" i="9" s="1"/>
  <c r="K6245" i="9"/>
  <c r="A6245" i="9" s="1"/>
  <c r="K6244" i="9"/>
  <c r="A6244" i="9" s="1"/>
  <c r="K6243" i="9"/>
  <c r="A6243" i="9" s="1"/>
  <c r="K6242" i="9"/>
  <c r="A6242" i="9" s="1"/>
  <c r="K6241" i="9"/>
  <c r="A6241" i="9" s="1"/>
  <c r="K6240" i="9"/>
  <c r="A6240" i="9" s="1"/>
  <c r="K6239" i="9"/>
  <c r="A6239" i="9" s="1"/>
  <c r="K6238" i="9"/>
  <c r="A6238" i="9" s="1"/>
  <c r="K6237" i="9"/>
  <c r="A6237" i="9" s="1"/>
  <c r="K6236" i="9"/>
  <c r="A6236" i="9" s="1"/>
  <c r="K6235" i="9"/>
  <c r="A6235" i="9" s="1"/>
  <c r="K6234" i="9"/>
  <c r="A6234" i="9" s="1"/>
  <c r="K6233" i="9"/>
  <c r="A6233" i="9" s="1"/>
  <c r="K6232" i="9"/>
  <c r="A6232" i="9" s="1"/>
  <c r="K6231" i="9"/>
  <c r="A6231" i="9" s="1"/>
  <c r="K6230" i="9"/>
  <c r="A6230" i="9" s="1"/>
  <c r="K6229" i="9"/>
  <c r="A6229" i="9" s="1"/>
  <c r="A6228" i="9"/>
  <c r="K6228" i="9"/>
  <c r="K6227" i="9"/>
  <c r="A6227" i="9" s="1"/>
  <c r="K6226" i="9"/>
  <c r="A6226" i="9" s="1"/>
  <c r="K6225" i="9"/>
  <c r="A6225" i="9" s="1"/>
  <c r="K6224" i="9"/>
  <c r="A6224" i="9" s="1"/>
  <c r="K6223" i="9"/>
  <c r="A6223" i="9" s="1"/>
  <c r="K6222" i="9"/>
  <c r="A6222" i="9" s="1"/>
  <c r="K6221" i="9"/>
  <c r="A6221" i="9" s="1"/>
  <c r="K6220" i="9"/>
  <c r="A6220" i="9" s="1"/>
  <c r="K6219" i="9"/>
  <c r="A6219" i="9" s="1"/>
  <c r="K6218" i="9"/>
  <c r="A6218" i="9" s="1"/>
  <c r="K6217" i="9"/>
  <c r="A6217" i="9" s="1"/>
  <c r="K6216" i="9"/>
  <c r="A6216" i="9" s="1"/>
  <c r="K6215" i="9"/>
  <c r="A6215" i="9" s="1"/>
  <c r="K6214" i="9"/>
  <c r="A6214" i="9" s="1"/>
  <c r="K6213" i="9"/>
  <c r="A6213" i="9" s="1"/>
  <c r="K6212" i="9"/>
  <c r="A6212" i="9" s="1"/>
  <c r="K6211" i="9"/>
  <c r="A6211" i="9" s="1"/>
  <c r="K6210" i="9"/>
  <c r="A6210" i="9" s="1"/>
  <c r="K6209" i="9"/>
  <c r="A6209" i="9" s="1"/>
  <c r="K6208" i="9"/>
  <c r="A6208" i="9" s="1"/>
  <c r="K6207" i="9"/>
  <c r="A6207" i="9" s="1"/>
  <c r="K6206" i="9"/>
  <c r="A6206" i="9" s="1"/>
  <c r="K6205" i="9"/>
  <c r="A6205" i="9" s="1"/>
  <c r="A6204" i="9"/>
  <c r="K6204" i="9"/>
  <c r="K6203" i="9"/>
  <c r="A6203" i="9" s="1"/>
  <c r="K6202" i="9"/>
  <c r="A6202" i="9" s="1"/>
  <c r="K6201" i="9"/>
  <c r="A6201" i="9" s="1"/>
  <c r="K6200" i="9"/>
  <c r="A6200" i="9" s="1"/>
  <c r="K6199" i="9"/>
  <c r="A6199" i="9" s="1"/>
  <c r="K6198" i="9"/>
  <c r="A6198" i="9" s="1"/>
  <c r="K6186" i="9"/>
  <c r="A6186" i="9" s="1"/>
  <c r="A6196" i="9"/>
  <c r="K6196" i="9"/>
  <c r="K6188" i="9"/>
  <c r="A6188" i="9" s="1"/>
  <c r="K6187" i="9"/>
  <c r="A6187" i="9" s="1"/>
  <c r="K6197" i="9"/>
  <c r="A6197" i="9" s="1"/>
  <c r="K6195" i="9"/>
  <c r="A6195" i="9" s="1"/>
  <c r="K6192" i="9"/>
  <c r="A6192" i="9" s="1"/>
  <c r="K6193" i="9"/>
  <c r="A6193" i="9" s="1"/>
  <c r="K6191" i="9"/>
  <c r="A6191" i="9" s="1"/>
  <c r="K6194" i="9"/>
  <c r="A6194" i="9" s="1"/>
  <c r="K6189" i="9"/>
  <c r="A6189" i="9" s="1"/>
  <c r="K6190" i="9"/>
  <c r="A6190" i="9" s="1"/>
  <c r="K6185" i="9"/>
  <c r="A6185" i="9" s="1"/>
  <c r="K6184" i="9"/>
  <c r="A6184" i="9" s="1"/>
  <c r="K6183" i="9"/>
  <c r="A6183" i="9" s="1"/>
  <c r="K6182" i="9"/>
  <c r="A6182" i="9" s="1"/>
  <c r="K6181" i="9"/>
  <c r="A6181" i="9" s="1"/>
  <c r="K6180" i="9"/>
  <c r="A6180" i="9" s="1"/>
  <c r="K6179" i="9"/>
  <c r="A6179" i="9" s="1"/>
  <c r="K6178" i="9"/>
  <c r="A6178" i="9" s="1"/>
  <c r="K6177" i="9"/>
  <c r="A6177" i="9" s="1"/>
  <c r="K6176" i="9"/>
  <c r="A6176" i="9" s="1"/>
  <c r="K6174" i="9"/>
  <c r="A6174" i="9" s="1"/>
  <c r="K6173" i="9"/>
  <c r="A6173" i="9" s="1"/>
  <c r="K6172" i="9"/>
  <c r="A6172" i="9" s="1"/>
  <c r="K6171" i="9"/>
  <c r="A6171" i="9" s="1"/>
  <c r="K6170" i="9"/>
  <c r="A6170" i="9" s="1"/>
  <c r="K6169" i="9"/>
  <c r="A6169" i="9" s="1"/>
  <c r="K6168" i="9"/>
  <c r="A6168" i="9" s="1"/>
  <c r="K6167" i="9"/>
  <c r="A6167" i="9" s="1"/>
  <c r="K6166" i="9"/>
  <c r="A6166" i="9" s="1"/>
  <c r="K6165" i="9"/>
  <c r="A6165" i="9" s="1"/>
  <c r="K6175" i="9"/>
  <c r="A6175" i="9" s="1"/>
  <c r="A6164" i="9"/>
  <c r="K6164" i="9"/>
  <c r="K6163" i="9"/>
  <c r="A6163" i="9" s="1"/>
  <c r="K6162" i="9"/>
  <c r="A6162" i="9" s="1"/>
  <c r="K6161" i="9"/>
  <c r="A6161" i="9" s="1"/>
  <c r="K6160" i="9"/>
  <c r="A6160" i="9" s="1"/>
  <c r="K6159" i="9"/>
  <c r="A6159" i="9" s="1"/>
  <c r="K6158" i="9"/>
  <c r="A6158" i="9" s="1"/>
  <c r="K6157" i="9"/>
  <c r="A6157" i="9" s="1"/>
  <c r="K6156" i="9"/>
  <c r="A6156" i="9" s="1"/>
  <c r="K6155" i="9"/>
  <c r="A6155" i="9" s="1"/>
  <c r="K6154" i="9"/>
  <c r="A6154" i="9" s="1"/>
  <c r="K6153" i="9"/>
  <c r="A6153" i="9" s="1"/>
  <c r="K6152" i="9"/>
  <c r="A6152" i="9" s="1"/>
  <c r="K6151" i="9"/>
  <c r="A6151" i="9" s="1"/>
  <c r="K6150" i="9"/>
  <c r="A6150" i="9" s="1"/>
  <c r="K6149" i="9"/>
  <c r="A6149" i="9" s="1"/>
  <c r="K6148" i="9"/>
  <c r="A6148" i="9" s="1"/>
  <c r="K6147" i="9"/>
  <c r="A6147" i="9" s="1"/>
  <c r="K6146" i="9"/>
  <c r="A6146" i="9" s="1"/>
  <c r="K6145" i="9"/>
  <c r="A6145" i="9" s="1"/>
  <c r="K6144" i="9"/>
  <c r="A6144" i="9" s="1"/>
  <c r="K6143" i="9"/>
  <c r="A6143" i="9" s="1"/>
  <c r="K6142" i="9"/>
  <c r="A6142" i="9" s="1"/>
  <c r="K6141" i="9"/>
  <c r="A6141" i="9" s="1"/>
  <c r="A6140" i="9"/>
  <c r="K6140" i="9"/>
  <c r="K6139" i="9"/>
  <c r="A6139" i="9" s="1"/>
  <c r="K6137" i="9"/>
  <c r="A6137" i="9" s="1"/>
  <c r="K6136" i="9"/>
  <c r="A6136" i="9" s="1"/>
  <c r="K6138" i="9"/>
  <c r="A6138" i="9" s="1"/>
  <c r="K6135" i="9"/>
  <c r="A6135" i="9" s="1"/>
  <c r="K6134" i="9"/>
  <c r="A6134" i="9" s="1"/>
  <c r="K6133" i="9"/>
  <c r="A6133" i="9" s="1"/>
  <c r="A6132" i="9"/>
  <c r="K6132" i="9"/>
  <c r="K6131" i="9"/>
  <c r="A6131" i="9" s="1"/>
  <c r="K6130" i="9"/>
  <c r="A6130" i="9" s="1"/>
  <c r="K6129" i="9"/>
  <c r="A6129" i="9" s="1"/>
  <c r="K6128" i="9"/>
  <c r="A6128" i="9" s="1"/>
  <c r="K6127" i="9"/>
  <c r="A6127" i="9" s="1"/>
  <c r="K6126" i="9"/>
  <c r="A6126" i="9" s="1"/>
  <c r="K6125" i="9"/>
  <c r="A6125" i="9" s="1"/>
  <c r="K6124" i="9"/>
  <c r="A6124" i="9" s="1"/>
  <c r="K6123" i="9"/>
  <c r="A6123" i="9" s="1"/>
  <c r="K6122" i="9"/>
  <c r="A6122" i="9" s="1"/>
  <c r="K6121" i="9"/>
  <c r="A6121" i="9" s="1"/>
  <c r="K6120" i="9"/>
  <c r="A6120" i="9" s="1"/>
  <c r="K6119" i="9"/>
  <c r="A6119" i="9" s="1"/>
  <c r="K6118" i="9"/>
  <c r="A6118" i="9" s="1"/>
  <c r="K6117" i="9"/>
  <c r="A6117" i="9" s="1"/>
  <c r="K6116" i="9"/>
  <c r="A6116" i="9" s="1"/>
  <c r="K6115" i="9"/>
  <c r="A6115" i="9" s="1"/>
  <c r="K6114" i="9"/>
  <c r="A6114" i="9" s="1"/>
  <c r="K6113" i="9"/>
  <c r="A6113" i="9" s="1"/>
  <c r="K6112" i="9"/>
  <c r="A6112" i="9" s="1"/>
  <c r="K6111" i="9"/>
  <c r="A6111" i="9" s="1"/>
  <c r="K6110" i="9"/>
  <c r="A6110" i="9" s="1"/>
  <c r="K6109" i="9"/>
  <c r="A6109" i="9" s="1"/>
  <c r="K6108" i="9"/>
  <c r="A6108" i="9" s="1"/>
  <c r="K6107" i="9"/>
  <c r="A6107" i="9" s="1"/>
  <c r="K6106" i="9"/>
  <c r="A6106" i="9" s="1"/>
  <c r="K6105" i="9"/>
  <c r="A6105" i="9" s="1"/>
  <c r="K6104" i="9"/>
  <c r="A6104" i="9" s="1"/>
  <c r="K6103" i="9"/>
  <c r="A6103" i="9" s="1"/>
  <c r="K6102" i="9"/>
  <c r="A6102" i="9" s="1"/>
  <c r="K6101" i="9"/>
  <c r="A6101" i="9" s="1"/>
  <c r="A6100" i="9"/>
  <c r="K6100" i="9"/>
  <c r="K6099" i="9"/>
  <c r="A6099" i="9" s="1"/>
  <c r="K6098" i="9"/>
  <c r="A6098" i="9" s="1"/>
  <c r="K6097" i="9"/>
  <c r="A6097" i="9" s="1"/>
  <c r="K6096" i="9"/>
  <c r="A6096" i="9" s="1"/>
  <c r="K6095" i="9"/>
  <c r="A6095" i="9" s="1"/>
  <c r="K6094" i="9"/>
  <c r="A6094" i="9" s="1"/>
  <c r="K6093" i="9"/>
  <c r="A6093" i="9" s="1"/>
  <c r="K6092" i="9"/>
  <c r="A6092" i="9" s="1"/>
  <c r="K6091" i="9"/>
  <c r="A6091" i="9" s="1"/>
  <c r="K6090" i="9"/>
  <c r="A6090" i="9" s="1"/>
  <c r="K6089" i="9"/>
  <c r="A6089" i="9" s="1"/>
  <c r="K6088" i="9"/>
  <c r="A6088" i="9" s="1"/>
  <c r="K6087" i="9"/>
  <c r="A6087" i="9" s="1"/>
  <c r="K6086" i="9"/>
  <c r="A6086" i="9" s="1"/>
  <c r="K6085" i="9"/>
  <c r="A6085" i="9" s="1"/>
  <c r="K6084" i="9"/>
  <c r="A6084" i="9" s="1"/>
  <c r="K6083" i="9"/>
  <c r="A6083" i="9" s="1"/>
  <c r="K6082" i="9"/>
  <c r="A6082" i="9" s="1"/>
  <c r="K6081" i="9"/>
  <c r="A6081" i="9" s="1"/>
  <c r="K6080" i="9"/>
  <c r="A6080" i="9" s="1"/>
  <c r="K6079" i="9"/>
  <c r="A6079" i="9" s="1"/>
  <c r="K6078" i="9"/>
  <c r="A6078" i="9" s="1"/>
  <c r="K6077" i="9"/>
  <c r="A6077" i="9" s="1"/>
  <c r="A6076" i="9"/>
  <c r="K6076" i="9"/>
  <c r="K6075" i="9"/>
  <c r="A6075" i="9" s="1"/>
  <c r="K6074" i="9"/>
  <c r="A6074" i="9" s="1"/>
  <c r="K6073" i="9"/>
  <c r="A6073" i="9" s="1"/>
  <c r="K6072" i="9"/>
  <c r="A6072" i="9" s="1"/>
  <c r="K6071" i="9"/>
  <c r="A6071" i="9" s="1"/>
  <c r="K6070" i="9"/>
  <c r="A6070" i="9" s="1"/>
  <c r="K6069" i="9"/>
  <c r="A6069" i="9" s="1"/>
  <c r="A6068" i="9"/>
  <c r="K6068" i="9"/>
  <c r="K6067" i="9"/>
  <c r="A6067" i="9" s="1"/>
  <c r="K6066" i="9"/>
  <c r="A6066" i="9" s="1"/>
  <c r="K6065" i="9"/>
  <c r="A6065" i="9" s="1"/>
  <c r="K6064" i="9"/>
  <c r="A6064" i="9" s="1"/>
  <c r="K6063" i="9"/>
  <c r="A6063" i="9" s="1"/>
  <c r="K6062" i="9"/>
  <c r="A6062" i="9" s="1"/>
  <c r="K6061" i="9"/>
  <c r="A6061" i="9" s="1"/>
  <c r="K6060" i="9"/>
  <c r="A6060" i="9" s="1"/>
  <c r="K6059" i="9"/>
  <c r="A6059" i="9" s="1"/>
  <c r="K6058" i="9"/>
  <c r="A6058" i="9" s="1"/>
  <c r="K6057" i="9"/>
  <c r="A6057" i="9" s="1"/>
  <c r="K6056" i="9"/>
  <c r="A6056" i="9" s="1"/>
  <c r="K6055" i="9"/>
  <c r="A6055" i="9" s="1"/>
  <c r="K6054" i="9"/>
  <c r="A6054" i="9" s="1"/>
  <c r="K6053" i="9"/>
  <c r="A6053" i="9" s="1"/>
  <c r="K6052" i="9"/>
  <c r="A6052" i="9" s="1"/>
  <c r="K6051" i="9"/>
  <c r="A6051" i="9" s="1"/>
  <c r="K6050" i="9"/>
  <c r="A6050" i="9" s="1"/>
  <c r="K6049" i="9"/>
  <c r="A6049" i="9" s="1"/>
  <c r="K6048" i="9"/>
  <c r="A6048" i="9" s="1"/>
  <c r="K6047" i="9"/>
  <c r="A6047" i="9" s="1"/>
  <c r="K6046" i="9"/>
  <c r="A6046" i="9" s="1"/>
  <c r="K6045" i="9"/>
  <c r="A6045" i="9" s="1"/>
  <c r="K6044" i="9"/>
  <c r="A6044" i="9" s="1"/>
  <c r="K6043" i="9"/>
  <c r="A6043" i="9" s="1"/>
  <c r="K6042" i="9"/>
  <c r="A6042" i="9" s="1"/>
  <c r="K6041" i="9"/>
  <c r="A6041" i="9" s="1"/>
  <c r="K6040" i="9"/>
  <c r="A6040" i="9" s="1"/>
  <c r="K6039" i="9"/>
  <c r="A6039" i="9" s="1"/>
  <c r="K6038" i="9"/>
  <c r="A6038" i="9" s="1"/>
  <c r="K6037" i="9"/>
  <c r="A6037" i="9" s="1"/>
  <c r="A6036" i="9"/>
  <c r="K6036" i="9"/>
  <c r="K6035" i="9"/>
  <c r="A6035" i="9" s="1"/>
  <c r="K6034" i="9"/>
  <c r="A6034" i="9" s="1"/>
  <c r="K6033" i="9"/>
  <c r="A6033" i="9" s="1"/>
  <c r="K6032" i="9"/>
  <c r="A6032" i="9" s="1"/>
  <c r="K6031" i="9"/>
  <c r="A6031" i="9" s="1"/>
  <c r="K6030" i="9"/>
  <c r="A6030" i="9" s="1"/>
  <c r="K6029" i="9"/>
  <c r="A6029" i="9" s="1"/>
  <c r="K6028" i="9"/>
  <c r="A6028" i="9" s="1"/>
  <c r="K6027" i="9"/>
  <c r="A6027" i="9" s="1"/>
  <c r="K6026" i="9"/>
  <c r="A6026" i="9" s="1"/>
  <c r="K6025" i="9"/>
  <c r="A6025" i="9" s="1"/>
  <c r="K6024" i="9"/>
  <c r="A6024" i="9" s="1"/>
  <c r="K6023" i="9"/>
  <c r="A6023" i="9" s="1"/>
  <c r="K6022" i="9"/>
  <c r="A6022" i="9" s="1"/>
  <c r="K6021" i="9"/>
  <c r="A6021" i="9" s="1"/>
  <c r="K6020" i="9"/>
  <c r="A6020" i="9" s="1"/>
  <c r="K6019" i="9"/>
  <c r="A6019" i="9" s="1"/>
  <c r="K6018" i="9"/>
  <c r="A6018" i="9" s="1"/>
  <c r="K6017" i="9"/>
  <c r="A6017" i="9" s="1"/>
  <c r="K6016" i="9"/>
  <c r="A6016" i="9" s="1"/>
  <c r="K6015" i="9"/>
  <c r="A6015" i="9" s="1"/>
  <c r="K6014" i="9"/>
  <c r="A6014" i="9" s="1"/>
  <c r="K6013" i="9"/>
  <c r="A6013" i="9" s="1"/>
  <c r="A6012" i="9"/>
  <c r="K6012" i="9"/>
  <c r="K6011" i="9"/>
  <c r="A6011" i="9" s="1"/>
  <c r="K6010" i="9"/>
  <c r="A6010" i="9" s="1"/>
  <c r="K6009" i="9"/>
  <c r="A6009" i="9" s="1"/>
  <c r="K6008" i="9"/>
  <c r="A6008" i="9" s="1"/>
  <c r="K6007" i="9"/>
  <c r="A6007" i="9" s="1"/>
  <c r="K6006" i="9"/>
  <c r="A6006" i="9" s="1"/>
  <c r="K6005" i="9"/>
  <c r="A6005" i="9" s="1"/>
  <c r="A6004" i="9"/>
  <c r="K6004" i="9"/>
  <c r="K6003" i="9"/>
  <c r="A6003" i="9" s="1"/>
  <c r="K6002" i="9"/>
  <c r="A6002" i="9" s="1"/>
  <c r="K6001" i="9"/>
  <c r="A6001" i="9" s="1"/>
  <c r="K6000" i="9"/>
  <c r="A6000" i="9" s="1"/>
  <c r="K5999" i="9"/>
  <c r="A5999" i="9" s="1"/>
  <c r="K5998" i="9"/>
  <c r="A5998" i="9" s="1"/>
  <c r="K5997" i="9"/>
  <c r="A5997" i="9" s="1"/>
  <c r="K5996" i="9"/>
  <c r="A5996" i="9" s="1"/>
  <c r="K5995" i="9"/>
  <c r="A5995" i="9" s="1"/>
  <c r="K5994" i="9"/>
  <c r="A5994" i="9" s="1"/>
  <c r="K5993" i="9"/>
  <c r="A5993" i="9" s="1"/>
  <c r="K5992" i="9"/>
  <c r="A5992" i="9" s="1"/>
  <c r="K5991" i="9"/>
  <c r="A5991" i="9" s="1"/>
  <c r="K5990" i="9"/>
  <c r="A5990" i="9" s="1"/>
  <c r="K5989" i="9"/>
  <c r="A5989" i="9" s="1"/>
  <c r="K5988" i="9"/>
  <c r="A5988" i="9" s="1"/>
  <c r="K5987" i="9"/>
  <c r="A5987" i="9" s="1"/>
  <c r="K5986" i="9"/>
  <c r="A5986" i="9" s="1"/>
  <c r="K5985" i="9"/>
  <c r="A5985" i="9" s="1"/>
  <c r="K5984" i="9"/>
  <c r="A5984" i="9" s="1"/>
  <c r="K5983" i="9"/>
  <c r="A5983" i="9" s="1"/>
  <c r="K5982" i="9"/>
  <c r="A5982" i="9" s="1"/>
  <c r="K5981" i="9"/>
  <c r="A5981" i="9" s="1"/>
  <c r="K5980" i="9"/>
  <c r="A5980" i="9" s="1"/>
  <c r="K5979" i="9"/>
  <c r="A5979" i="9" s="1"/>
  <c r="K5978" i="9"/>
  <c r="A5978" i="9" s="1"/>
  <c r="K5977" i="9"/>
  <c r="A5977" i="9" s="1"/>
  <c r="K5976" i="9"/>
  <c r="A5976" i="9" s="1"/>
  <c r="K5975" i="9"/>
  <c r="A5975" i="9" s="1"/>
  <c r="K5974" i="9"/>
  <c r="A5974" i="9" s="1"/>
  <c r="K5973" i="9"/>
  <c r="A5973" i="9" s="1"/>
  <c r="A5972" i="9"/>
  <c r="K5972" i="9"/>
  <c r="K5971" i="9"/>
  <c r="A5971" i="9" s="1"/>
  <c r="K5970" i="9"/>
  <c r="A5970" i="9" s="1"/>
  <c r="K5969" i="9"/>
  <c r="A5969" i="9" s="1"/>
  <c r="K5968" i="9"/>
  <c r="A5968" i="9" s="1"/>
  <c r="K5967" i="9"/>
  <c r="A5967" i="9" s="1"/>
  <c r="K5966" i="9"/>
  <c r="A5966" i="9" s="1"/>
  <c r="K5965" i="9"/>
  <c r="A5965" i="9" s="1"/>
  <c r="K5964" i="9"/>
  <c r="A5964" i="9" s="1"/>
  <c r="K5963" i="9"/>
  <c r="A5963" i="9" s="1"/>
  <c r="K5962" i="9"/>
  <c r="A5962" i="9" s="1"/>
  <c r="K5961" i="9"/>
  <c r="A5961" i="9" s="1"/>
  <c r="K5960" i="9"/>
  <c r="A5960" i="9" s="1"/>
  <c r="K5959" i="9"/>
  <c r="A5959" i="9" s="1"/>
  <c r="K5958" i="9"/>
  <c r="A5958" i="9" s="1"/>
  <c r="K5957" i="9"/>
  <c r="A5957" i="9" s="1"/>
  <c r="K5956" i="9"/>
  <c r="A5956" i="9" s="1"/>
  <c r="K5955" i="9"/>
  <c r="A5955" i="9" s="1"/>
  <c r="K5954" i="9"/>
  <c r="A5954" i="9" s="1"/>
  <c r="K5953" i="9"/>
  <c r="A5953" i="9" s="1"/>
  <c r="K5952" i="9"/>
  <c r="A5952" i="9" s="1"/>
  <c r="K5951" i="9"/>
  <c r="A5951" i="9" s="1"/>
  <c r="K5950" i="9"/>
  <c r="A5950" i="9" s="1"/>
  <c r="K5949" i="9"/>
  <c r="A5949" i="9" s="1"/>
  <c r="A5948" i="9"/>
  <c r="K5948" i="9"/>
  <c r="K5947" i="9"/>
  <c r="A5947" i="9" s="1"/>
  <c r="K5946" i="9"/>
  <c r="A5946" i="9" s="1"/>
  <c r="K5945" i="9"/>
  <c r="A5945" i="9" s="1"/>
  <c r="K5944" i="9"/>
  <c r="A5944" i="9" s="1"/>
  <c r="K5943" i="9"/>
  <c r="A5943" i="9" s="1"/>
  <c r="K5942" i="9"/>
  <c r="A5942" i="9" s="1"/>
  <c r="K5941" i="9"/>
  <c r="A5941" i="9" s="1"/>
  <c r="A5940" i="9"/>
  <c r="K5940" i="9"/>
  <c r="K5939" i="9"/>
  <c r="A5939" i="9" s="1"/>
  <c r="K5938" i="9"/>
  <c r="A5938" i="9" s="1"/>
  <c r="K5937" i="9"/>
  <c r="A5937" i="9" s="1"/>
  <c r="K5936" i="9"/>
  <c r="A5936" i="9" s="1"/>
  <c r="K5935" i="9"/>
  <c r="A5935" i="9" s="1"/>
  <c r="K5934" i="9"/>
  <c r="A5934" i="9" s="1"/>
  <c r="K5933" i="9"/>
  <c r="A5933" i="9" s="1"/>
  <c r="K5932" i="9"/>
  <c r="A5932" i="9" s="1"/>
  <c r="K5931" i="9"/>
  <c r="A5931" i="9" s="1"/>
  <c r="K5930" i="9"/>
  <c r="A5930" i="9" s="1"/>
  <c r="K5929" i="9"/>
  <c r="A5929" i="9" s="1"/>
  <c r="K5928" i="9"/>
  <c r="A5928" i="9" s="1"/>
  <c r="K5927" i="9"/>
  <c r="A5927" i="9" s="1"/>
  <c r="K5926" i="9"/>
  <c r="A5926" i="9" s="1"/>
  <c r="K5925" i="9"/>
  <c r="A5925" i="9" s="1"/>
  <c r="K5924" i="9"/>
  <c r="A5924" i="9" s="1"/>
  <c r="K5923" i="9"/>
  <c r="A5923" i="9" s="1"/>
  <c r="K5922" i="9"/>
  <c r="A5922" i="9" s="1"/>
  <c r="K5921" i="9"/>
  <c r="A5921" i="9" s="1"/>
  <c r="K5920" i="9"/>
  <c r="A5920" i="9" s="1"/>
  <c r="K5919" i="9"/>
  <c r="A5919" i="9" s="1"/>
  <c r="K5918" i="9"/>
  <c r="A5918" i="9" s="1"/>
  <c r="K5917" i="9"/>
  <c r="A5917" i="9" s="1"/>
  <c r="K5916" i="9"/>
  <c r="A5916" i="9" s="1"/>
  <c r="K5915" i="9"/>
  <c r="A5915" i="9" s="1"/>
  <c r="K5914" i="9"/>
  <c r="A5914" i="9" s="1"/>
  <c r="K5913" i="9"/>
  <c r="A5913" i="9" s="1"/>
  <c r="K5912" i="9"/>
  <c r="A5912" i="9" s="1"/>
  <c r="K5911" i="9"/>
  <c r="A5911" i="9" s="1"/>
  <c r="K5910" i="9"/>
  <c r="A5910" i="9" s="1"/>
  <c r="K5909" i="9"/>
  <c r="A5909" i="9" s="1"/>
  <c r="A5908" i="9"/>
  <c r="K5908" i="9"/>
  <c r="K5907" i="9"/>
  <c r="A5907" i="9" s="1"/>
  <c r="K5906" i="9"/>
  <c r="A5906" i="9" s="1"/>
  <c r="K5905" i="9"/>
  <c r="A5905" i="9" s="1"/>
  <c r="K5904" i="9"/>
  <c r="A5904" i="9" s="1"/>
  <c r="K5903" i="9"/>
  <c r="A5903" i="9" s="1"/>
  <c r="K5902" i="9"/>
  <c r="A5902" i="9" s="1"/>
  <c r="K5901" i="9"/>
  <c r="A5901" i="9" s="1"/>
  <c r="K5900" i="9"/>
  <c r="A5900" i="9" s="1"/>
  <c r="K5899" i="9"/>
  <c r="A5899" i="9" s="1"/>
  <c r="K5898" i="9"/>
  <c r="A5898" i="9" s="1"/>
  <c r="K5897" i="9"/>
  <c r="A5897" i="9" s="1"/>
  <c r="K5896" i="9"/>
  <c r="A5896" i="9" s="1"/>
  <c r="K5895" i="9"/>
  <c r="A5895" i="9" s="1"/>
  <c r="K5894" i="9"/>
  <c r="A5894" i="9" s="1"/>
  <c r="K5893" i="9"/>
  <c r="A5893" i="9" s="1"/>
  <c r="K5892" i="9"/>
  <c r="A5892" i="9" s="1"/>
  <c r="K5891" i="9"/>
  <c r="A5891" i="9" s="1"/>
  <c r="K5890" i="9"/>
  <c r="A5890" i="9" s="1"/>
  <c r="K5889" i="9"/>
  <c r="A5889" i="9" s="1"/>
  <c r="K5888" i="9"/>
  <c r="A5888" i="9" s="1"/>
  <c r="K5887" i="9"/>
  <c r="A5887" i="9" s="1"/>
  <c r="K5886" i="9"/>
  <c r="A5886" i="9" s="1"/>
  <c r="K5885" i="9"/>
  <c r="A5885" i="9" s="1"/>
  <c r="K5884" i="9"/>
  <c r="A5884" i="9" s="1"/>
  <c r="K5883" i="9"/>
  <c r="A5883" i="9" s="1"/>
  <c r="K5882" i="9"/>
  <c r="A5882" i="9" s="1"/>
  <c r="K5881" i="9"/>
  <c r="A5881" i="9" s="1"/>
  <c r="K5880" i="9"/>
  <c r="A5880" i="9" s="1"/>
  <c r="K5879" i="9"/>
  <c r="A5879" i="9" s="1"/>
  <c r="K5878" i="9"/>
  <c r="A5878" i="9" s="1"/>
  <c r="K5877" i="9"/>
  <c r="A5877" i="9" s="1"/>
  <c r="A5876" i="9"/>
  <c r="K5876" i="9"/>
  <c r="K5875" i="9"/>
  <c r="A5875" i="9" s="1"/>
  <c r="K5874" i="9"/>
  <c r="A5874" i="9" s="1"/>
  <c r="K5873" i="9"/>
  <c r="A5873" i="9" s="1"/>
  <c r="K5872" i="9"/>
  <c r="A5872" i="9" s="1"/>
  <c r="K5871" i="9"/>
  <c r="A5871" i="9" s="1"/>
  <c r="K5870" i="9"/>
  <c r="A5870" i="9" s="1"/>
  <c r="K5869" i="9"/>
  <c r="A5869" i="9" s="1"/>
  <c r="K5868" i="9"/>
  <c r="A5868" i="9" s="1"/>
  <c r="K5867" i="9"/>
  <c r="A5867" i="9" s="1"/>
  <c r="K5866" i="9"/>
  <c r="A5866" i="9" s="1"/>
  <c r="K5865" i="9"/>
  <c r="A5865" i="9" s="1"/>
  <c r="K5864" i="9"/>
  <c r="A5864" i="9" s="1"/>
  <c r="K5863" i="9"/>
  <c r="A5863" i="9" s="1"/>
  <c r="K5862" i="9"/>
  <c r="A5862" i="9" s="1"/>
  <c r="K5861" i="9"/>
  <c r="A5861" i="9" s="1"/>
  <c r="A5860" i="9"/>
  <c r="K5860" i="9"/>
  <c r="K5859" i="9"/>
  <c r="A5859" i="9" s="1"/>
  <c r="K5858" i="9"/>
  <c r="A5858" i="9" s="1"/>
  <c r="K5857" i="9"/>
  <c r="A5857" i="9" s="1"/>
  <c r="K5856" i="9"/>
  <c r="A5856" i="9" s="1"/>
  <c r="K5855" i="9"/>
  <c r="A5855" i="9" s="1"/>
  <c r="K5854" i="9"/>
  <c r="A5854" i="9" s="1"/>
  <c r="K5853" i="9"/>
  <c r="A5853" i="9" s="1"/>
  <c r="K5852" i="9"/>
  <c r="A5852" i="9" s="1"/>
  <c r="K5851" i="9"/>
  <c r="A5851" i="9" s="1"/>
  <c r="K5850" i="9"/>
  <c r="A5850" i="9" s="1"/>
  <c r="K5849" i="9"/>
  <c r="A5849" i="9" s="1"/>
  <c r="K5848" i="9"/>
  <c r="A5848" i="9" s="1"/>
  <c r="K5847" i="9"/>
  <c r="A5847" i="9" s="1"/>
  <c r="K5846" i="9"/>
  <c r="A5846" i="9" s="1"/>
  <c r="K5845" i="9"/>
  <c r="A5845" i="9" s="1"/>
  <c r="A5844" i="9"/>
  <c r="K5844" i="9"/>
  <c r="K5843" i="9"/>
  <c r="A5843" i="9" s="1"/>
  <c r="K5842" i="9"/>
  <c r="A5842" i="9" s="1"/>
  <c r="K5841" i="9"/>
  <c r="A5841" i="9" s="1"/>
  <c r="K5840" i="9"/>
  <c r="A5840" i="9" s="1"/>
  <c r="K5839" i="9"/>
  <c r="A5839" i="9" s="1"/>
  <c r="K5838" i="9"/>
  <c r="A5838" i="9" s="1"/>
  <c r="K5837" i="9"/>
  <c r="A5837" i="9" s="1"/>
  <c r="K5836" i="9"/>
  <c r="A5836" i="9" s="1"/>
  <c r="K5835" i="9"/>
  <c r="A5835" i="9" s="1"/>
  <c r="K5834" i="9"/>
  <c r="A5834" i="9" s="1"/>
  <c r="K5833" i="9"/>
  <c r="A5833" i="9" s="1"/>
  <c r="K5832" i="9"/>
  <c r="A5832" i="9" s="1"/>
  <c r="K5831" i="9"/>
  <c r="A5831" i="9" s="1"/>
  <c r="K5830" i="9"/>
  <c r="A5830" i="9" s="1"/>
  <c r="K5829" i="9"/>
  <c r="A5829" i="9" s="1"/>
  <c r="K5828" i="9"/>
  <c r="A5828" i="9" s="1"/>
  <c r="K5827" i="9"/>
  <c r="A5827" i="9" s="1"/>
  <c r="K5826" i="9"/>
  <c r="A5826" i="9" s="1"/>
  <c r="K5825" i="9"/>
  <c r="A5825" i="9" s="1"/>
  <c r="K5824" i="9"/>
  <c r="A5824" i="9" s="1"/>
  <c r="K5823" i="9"/>
  <c r="A5823" i="9" s="1"/>
  <c r="K5822" i="9"/>
  <c r="A5822" i="9" s="1"/>
  <c r="K5821" i="9"/>
  <c r="A5821" i="9" s="1"/>
  <c r="A5820" i="9"/>
  <c r="K5820" i="9"/>
  <c r="K5819" i="9"/>
  <c r="A5819" i="9" s="1"/>
  <c r="K5818" i="9"/>
  <c r="A5818" i="9" s="1"/>
  <c r="K5817" i="9"/>
  <c r="A5817" i="9" s="1"/>
  <c r="K5816" i="9"/>
  <c r="A5816" i="9" s="1"/>
  <c r="K5815" i="9"/>
  <c r="A5815" i="9" s="1"/>
  <c r="K5814" i="9"/>
  <c r="A5814" i="9" s="1"/>
  <c r="K5813" i="9"/>
  <c r="A5813" i="9" s="1"/>
  <c r="A5812" i="9"/>
  <c r="K5812" i="9"/>
  <c r="K5811" i="9"/>
  <c r="A5811" i="9" s="1"/>
  <c r="K5810" i="9"/>
  <c r="A5810" i="9" s="1"/>
  <c r="K5809" i="9"/>
  <c r="A5809" i="9" s="1"/>
  <c r="K5808" i="9"/>
  <c r="A5808" i="9" s="1"/>
  <c r="K5807" i="9"/>
  <c r="A5807" i="9" s="1"/>
  <c r="K5806" i="9"/>
  <c r="A5806" i="9" s="1"/>
  <c r="K5805" i="9"/>
  <c r="A5805" i="9" s="1"/>
  <c r="K5804" i="9"/>
  <c r="A5804" i="9" s="1"/>
  <c r="K5803" i="9"/>
  <c r="A5803" i="9" s="1"/>
  <c r="K5802" i="9"/>
  <c r="A5802" i="9" s="1"/>
  <c r="K5801" i="9"/>
  <c r="A5801" i="9" s="1"/>
  <c r="K5800" i="9"/>
  <c r="A5800" i="9" s="1"/>
  <c r="K5799" i="9"/>
  <c r="A5799" i="9" s="1"/>
  <c r="K5798" i="9"/>
  <c r="A5798" i="9" s="1"/>
  <c r="K5797" i="9"/>
  <c r="A5797" i="9" s="1"/>
  <c r="K5796" i="9"/>
  <c r="A5796" i="9" s="1"/>
  <c r="K5795" i="9"/>
  <c r="A5795" i="9" s="1"/>
  <c r="K5794" i="9"/>
  <c r="A5794" i="9" s="1"/>
  <c r="K5793" i="9"/>
  <c r="A5793" i="9" s="1"/>
  <c r="K5792" i="9"/>
  <c r="A5792" i="9" s="1"/>
  <c r="K5791" i="9"/>
  <c r="A5791" i="9" s="1"/>
  <c r="K5790" i="9"/>
  <c r="A5790" i="9" s="1"/>
  <c r="K5789" i="9"/>
  <c r="A5789" i="9" s="1"/>
  <c r="K5788" i="9"/>
  <c r="A5788" i="9" s="1"/>
  <c r="K5787" i="9"/>
  <c r="A5787" i="9" s="1"/>
  <c r="K5786" i="9"/>
  <c r="A5786" i="9" s="1"/>
  <c r="K5785" i="9"/>
  <c r="A5785" i="9" s="1"/>
  <c r="K5784" i="9"/>
  <c r="A5784" i="9" s="1"/>
  <c r="K5783" i="9"/>
  <c r="A5783" i="9" s="1"/>
  <c r="K5782" i="9"/>
  <c r="A5782" i="9" s="1"/>
  <c r="K5781" i="9"/>
  <c r="A5781" i="9" s="1"/>
  <c r="A5780" i="9"/>
  <c r="K5780" i="9"/>
  <c r="K5779" i="9"/>
  <c r="A5779" i="9" s="1"/>
  <c r="K5778" i="9"/>
  <c r="A5778" i="9" s="1"/>
  <c r="K5777" i="9"/>
  <c r="A5777" i="9" s="1"/>
  <c r="K5776" i="9"/>
  <c r="A5776" i="9" s="1"/>
  <c r="K5775" i="9"/>
  <c r="A5775" i="9" s="1"/>
  <c r="K5774" i="9"/>
  <c r="A5774" i="9" s="1"/>
  <c r="K5773" i="9"/>
  <c r="A5773" i="9" s="1"/>
  <c r="K5772" i="9"/>
  <c r="A5772" i="9" s="1"/>
  <c r="K5771" i="9"/>
  <c r="A5771" i="9" s="1"/>
  <c r="K5770" i="9"/>
  <c r="A5770" i="9" s="1"/>
  <c r="K5769" i="9"/>
  <c r="A5769" i="9" s="1"/>
  <c r="K5768" i="9"/>
  <c r="A5768" i="9" s="1"/>
  <c r="K5767" i="9"/>
  <c r="A5767" i="9" s="1"/>
  <c r="K5766" i="9"/>
  <c r="A5766" i="9" s="1"/>
  <c r="K5765" i="9"/>
  <c r="A5765" i="9" s="1"/>
  <c r="K5764" i="9"/>
  <c r="A5764" i="9" s="1"/>
  <c r="K5763" i="9"/>
  <c r="A5763" i="9" s="1"/>
  <c r="K5762" i="9"/>
  <c r="A5762" i="9" s="1"/>
  <c r="K5761" i="9"/>
  <c r="A5761" i="9" s="1"/>
  <c r="K5760" i="9"/>
  <c r="A5760" i="9" s="1"/>
  <c r="K5759" i="9"/>
  <c r="A5759" i="9" s="1"/>
  <c r="K5758" i="9"/>
  <c r="A5758" i="9" s="1"/>
  <c r="K5757" i="9"/>
  <c r="A5757" i="9" s="1"/>
  <c r="K5756" i="9"/>
  <c r="A5756" i="9" s="1"/>
  <c r="K5755" i="9"/>
  <c r="A5755" i="9" s="1"/>
  <c r="K5754" i="9"/>
  <c r="A5754" i="9" s="1"/>
  <c r="K5753" i="9"/>
  <c r="A5753" i="9" s="1"/>
  <c r="K5752" i="9"/>
  <c r="A5752" i="9" s="1"/>
  <c r="K5751" i="9"/>
  <c r="A5751" i="9" s="1"/>
  <c r="K5750" i="9"/>
  <c r="A5750" i="9" s="1"/>
  <c r="K5749" i="9"/>
  <c r="A5749" i="9" s="1"/>
  <c r="A5748" i="9"/>
  <c r="K5748" i="9"/>
  <c r="K5747" i="9"/>
  <c r="A5747" i="9" s="1"/>
  <c r="K5746" i="9"/>
  <c r="A5746" i="9" s="1"/>
  <c r="K5745" i="9"/>
  <c r="A5745" i="9" s="1"/>
  <c r="K5744" i="9"/>
  <c r="A5744" i="9" s="1"/>
  <c r="K5743" i="9"/>
  <c r="A5743" i="9" s="1"/>
  <c r="K5742" i="9"/>
  <c r="A5742" i="9" s="1"/>
  <c r="K5741" i="9"/>
  <c r="A5741" i="9" s="1"/>
  <c r="K5740" i="9"/>
  <c r="A5740" i="9" s="1"/>
  <c r="K5739" i="9"/>
  <c r="A5739" i="9" s="1"/>
  <c r="K5738" i="9"/>
  <c r="A5738" i="9" s="1"/>
  <c r="K5737" i="9"/>
  <c r="A5737" i="9" s="1"/>
  <c r="K5736" i="9"/>
  <c r="A5736" i="9" s="1"/>
  <c r="K5735" i="9"/>
  <c r="A5735" i="9" s="1"/>
  <c r="K5734" i="9"/>
  <c r="A5734" i="9" s="1"/>
  <c r="K5733" i="9"/>
  <c r="A5733" i="9" s="1"/>
  <c r="A5732" i="9"/>
  <c r="K5732" i="9"/>
  <c r="K5730" i="9"/>
  <c r="A5730" i="9" s="1"/>
  <c r="K5731" i="9"/>
  <c r="A5731" i="9" s="1"/>
  <c r="K5729" i="9"/>
  <c r="A5729" i="9" s="1"/>
  <c r="K5728" i="9"/>
  <c r="A5728" i="9" s="1"/>
  <c r="K5727" i="9"/>
  <c r="A5727" i="9" s="1"/>
  <c r="K5726" i="9"/>
  <c r="A5726" i="9" s="1"/>
  <c r="K5725" i="9"/>
  <c r="A5725" i="9" s="1"/>
  <c r="K5724" i="9"/>
  <c r="A5724" i="9" s="1"/>
  <c r="K5723" i="9"/>
  <c r="A5723" i="9" s="1"/>
  <c r="K5722" i="9"/>
  <c r="A5722" i="9" s="1"/>
  <c r="K5721" i="9"/>
  <c r="A5721" i="9" s="1"/>
  <c r="K5720" i="9"/>
  <c r="A5720" i="9" s="1"/>
  <c r="K5719" i="9"/>
  <c r="A5719" i="9" s="1"/>
  <c r="K5718" i="9"/>
  <c r="A5718" i="9" s="1"/>
  <c r="K5717" i="9"/>
  <c r="A5717" i="9" s="1"/>
  <c r="A5716" i="9"/>
  <c r="K5716" i="9"/>
  <c r="K5715" i="9"/>
  <c r="A5715" i="9" s="1"/>
  <c r="K5714" i="9"/>
  <c r="A5714" i="9" s="1"/>
  <c r="K5713" i="9"/>
  <c r="A5713" i="9" s="1"/>
  <c r="K5712" i="9"/>
  <c r="A5712" i="9" s="1"/>
  <c r="K5711" i="9"/>
  <c r="A5711" i="9" s="1"/>
  <c r="K5710" i="9"/>
  <c r="A5710" i="9" s="1"/>
  <c r="K5709" i="9"/>
  <c r="A5709" i="9" s="1"/>
  <c r="K5708" i="9"/>
  <c r="A5708" i="9" s="1"/>
  <c r="K5707" i="9"/>
  <c r="A5707" i="9" s="1"/>
  <c r="K5706" i="9"/>
  <c r="A5706" i="9" s="1"/>
  <c r="K5705" i="9"/>
  <c r="A5705" i="9" s="1"/>
  <c r="K5704" i="9"/>
  <c r="A5704" i="9" s="1"/>
  <c r="K5703" i="9"/>
  <c r="A5703" i="9" s="1"/>
  <c r="K5702" i="9"/>
  <c r="A5702" i="9" s="1"/>
  <c r="K5701" i="9"/>
  <c r="A5701" i="9" s="1"/>
  <c r="K5700" i="9"/>
  <c r="A5700" i="9" s="1"/>
  <c r="K5699" i="9"/>
  <c r="A5699" i="9" s="1"/>
  <c r="K5698" i="9"/>
  <c r="A5698" i="9" s="1"/>
  <c r="K5697" i="9"/>
  <c r="A5697" i="9" s="1"/>
  <c r="K5696" i="9"/>
  <c r="A5696" i="9" s="1"/>
  <c r="K5695" i="9"/>
  <c r="A5695" i="9" s="1"/>
  <c r="K5694" i="9"/>
  <c r="A5694" i="9" s="1"/>
  <c r="K5693" i="9"/>
  <c r="A5693" i="9" s="1"/>
  <c r="A5692" i="9"/>
  <c r="K5692" i="9"/>
  <c r="K5691" i="9"/>
  <c r="A5691" i="9" s="1"/>
  <c r="K5690" i="9"/>
  <c r="A5690" i="9" s="1"/>
  <c r="K5689" i="9"/>
  <c r="A5689" i="9" s="1"/>
  <c r="K5688" i="9"/>
  <c r="A5688" i="9" s="1"/>
  <c r="K5687" i="9"/>
  <c r="A5687" i="9" s="1"/>
  <c r="K5686" i="9"/>
  <c r="A5686" i="9" s="1"/>
  <c r="K5685" i="9"/>
  <c r="A5685" i="9" s="1"/>
  <c r="A5684" i="9"/>
  <c r="K5684" i="9"/>
  <c r="K5683" i="9"/>
  <c r="A5683" i="9" s="1"/>
  <c r="K5682" i="9"/>
  <c r="A5682" i="9" s="1"/>
  <c r="K5681" i="9"/>
  <c r="A5681" i="9" s="1"/>
  <c r="K5680" i="9"/>
  <c r="A5680" i="9" s="1"/>
  <c r="K5679" i="9"/>
  <c r="A5679" i="9" s="1"/>
  <c r="K5678" i="9"/>
  <c r="A5678" i="9" s="1"/>
  <c r="K5677" i="9"/>
  <c r="A5677" i="9" s="1"/>
  <c r="K5676" i="9"/>
  <c r="A5676" i="9" s="1"/>
  <c r="K5675" i="9"/>
  <c r="A5675" i="9" s="1"/>
  <c r="K5674" i="9"/>
  <c r="A5674" i="9" s="1"/>
  <c r="K5673" i="9"/>
  <c r="A5673" i="9" s="1"/>
  <c r="K5672" i="9"/>
  <c r="A5672" i="9" s="1"/>
  <c r="K5671" i="9"/>
  <c r="A5671" i="9" s="1"/>
  <c r="K5670" i="9"/>
  <c r="A5670" i="9" s="1"/>
  <c r="K5669" i="9"/>
  <c r="A5669" i="9" s="1"/>
  <c r="K5668" i="9"/>
  <c r="A5668" i="9" s="1"/>
  <c r="K5667" i="9"/>
  <c r="A5667" i="9" s="1"/>
  <c r="K5666" i="9"/>
  <c r="A5666" i="9" s="1"/>
  <c r="K5665" i="9"/>
  <c r="A5665" i="9" s="1"/>
  <c r="K5664" i="9"/>
  <c r="A5664" i="9" s="1"/>
  <c r="K5663" i="9"/>
  <c r="A5663" i="9" s="1"/>
  <c r="K5662" i="9"/>
  <c r="A5662" i="9" s="1"/>
  <c r="K5661" i="9"/>
  <c r="A5661" i="9" s="1"/>
  <c r="K5660" i="9"/>
  <c r="A5660" i="9" s="1"/>
  <c r="K5659" i="9"/>
  <c r="A5659" i="9" s="1"/>
  <c r="K5658" i="9"/>
  <c r="A5658" i="9" s="1"/>
  <c r="K5657" i="9"/>
  <c r="A5657" i="9" s="1"/>
  <c r="K5656" i="9"/>
  <c r="A5656" i="9" s="1"/>
  <c r="K5655" i="9"/>
  <c r="A5655" i="9" s="1"/>
  <c r="K5654" i="9"/>
  <c r="A5654" i="9" s="1"/>
  <c r="K5653" i="9"/>
  <c r="A5653" i="9" s="1"/>
  <c r="A5652" i="9"/>
  <c r="K5652" i="9"/>
  <c r="K5651" i="9"/>
  <c r="A5651" i="9" s="1"/>
  <c r="K5650" i="9"/>
  <c r="A5650" i="9" s="1"/>
  <c r="K5649" i="9"/>
  <c r="A5649" i="9" s="1"/>
  <c r="K5648" i="9"/>
  <c r="A5648" i="9" s="1"/>
  <c r="K5647" i="9"/>
  <c r="A5647" i="9" s="1"/>
  <c r="K5646" i="9"/>
  <c r="A5646" i="9" s="1"/>
  <c r="K5645" i="9"/>
  <c r="A5645" i="9" s="1"/>
  <c r="K5644" i="9"/>
  <c r="A5644" i="9" s="1"/>
  <c r="K5643" i="9"/>
  <c r="A5643" i="9" s="1"/>
  <c r="K5642" i="9"/>
  <c r="A5642" i="9" s="1"/>
  <c r="K5641" i="9"/>
  <c r="A5641" i="9" s="1"/>
  <c r="K5640" i="9"/>
  <c r="A5640" i="9" s="1"/>
  <c r="K5639" i="9"/>
  <c r="A5639" i="9" s="1"/>
  <c r="K5638" i="9"/>
  <c r="A5638" i="9" s="1"/>
  <c r="K5637" i="9"/>
  <c r="A5637" i="9" s="1"/>
  <c r="K5636" i="9"/>
  <c r="A5636" i="9" s="1"/>
  <c r="K5635" i="9"/>
  <c r="A5635" i="9" s="1"/>
  <c r="K5634" i="9"/>
  <c r="A5634" i="9" s="1"/>
  <c r="K5633" i="9"/>
  <c r="A5633" i="9" s="1"/>
  <c r="K5632" i="9"/>
  <c r="A5632" i="9" s="1"/>
  <c r="K5631" i="9"/>
  <c r="A5631" i="9" s="1"/>
  <c r="K5630" i="9"/>
  <c r="A5630" i="9" s="1"/>
  <c r="K5629" i="9"/>
  <c r="A5629" i="9" s="1"/>
  <c r="K5628" i="9"/>
  <c r="A5628" i="9" s="1"/>
  <c r="K5627" i="9"/>
  <c r="A5627" i="9" s="1"/>
  <c r="K5626" i="9"/>
  <c r="A5626" i="9" s="1"/>
  <c r="K5625" i="9"/>
  <c r="A5625" i="9" s="1"/>
  <c r="K5624" i="9"/>
  <c r="A5624" i="9" s="1"/>
  <c r="K5623" i="9"/>
  <c r="A5623" i="9" s="1"/>
  <c r="K5622" i="9"/>
  <c r="A5622" i="9" s="1"/>
  <c r="K5621" i="9"/>
  <c r="A5621" i="9" s="1"/>
  <c r="A5620" i="9"/>
  <c r="K5620" i="9"/>
  <c r="K5619" i="9"/>
  <c r="A5619" i="9" s="1"/>
  <c r="K5618" i="9"/>
  <c r="A5618" i="9" s="1"/>
  <c r="K5617" i="9"/>
  <c r="A5617" i="9" s="1"/>
  <c r="K5616" i="9"/>
  <c r="A5616" i="9" s="1"/>
  <c r="K5615" i="9"/>
  <c r="A5615" i="9" s="1"/>
  <c r="K5614" i="9"/>
  <c r="A5614" i="9" s="1"/>
  <c r="K5613" i="9"/>
  <c r="A5613" i="9" s="1"/>
  <c r="K5612" i="9"/>
  <c r="A5612" i="9" s="1"/>
  <c r="K5611" i="9"/>
  <c r="A5611" i="9" s="1"/>
  <c r="K5610" i="9"/>
  <c r="A5610" i="9" s="1"/>
  <c r="K5609" i="9"/>
  <c r="A5609" i="9" s="1"/>
  <c r="K5608" i="9"/>
  <c r="A5608" i="9" s="1"/>
  <c r="K5607" i="9"/>
  <c r="A5607" i="9" s="1"/>
  <c r="K5606" i="9"/>
  <c r="A5606" i="9" s="1"/>
  <c r="K5605" i="9"/>
  <c r="A5605" i="9" s="1"/>
  <c r="A5604" i="9"/>
  <c r="K5604" i="9"/>
  <c r="K5603" i="9"/>
  <c r="A5603" i="9" s="1"/>
  <c r="K5602" i="9"/>
  <c r="A5602" i="9" s="1"/>
  <c r="K5601" i="9"/>
  <c r="A5601" i="9" s="1"/>
  <c r="K5600" i="9"/>
  <c r="A5600" i="9" s="1"/>
  <c r="K5599" i="9"/>
  <c r="A5599" i="9" s="1"/>
  <c r="K5598" i="9"/>
  <c r="A5598" i="9" s="1"/>
  <c r="K5597" i="9"/>
  <c r="A5597" i="9" s="1"/>
  <c r="K5596" i="9"/>
  <c r="A5596" i="9" s="1"/>
  <c r="K5595" i="9"/>
  <c r="A5595" i="9" s="1"/>
  <c r="K5594" i="9"/>
  <c r="A5594" i="9" s="1"/>
  <c r="K5593" i="9"/>
  <c r="A5593" i="9" s="1"/>
  <c r="K5592" i="9"/>
  <c r="A5592" i="9" s="1"/>
  <c r="K5591" i="9"/>
  <c r="A5591" i="9" s="1"/>
  <c r="K5590" i="9"/>
  <c r="A5590" i="9" s="1"/>
  <c r="K5589" i="9"/>
  <c r="A5589" i="9" s="1"/>
  <c r="A5588" i="9"/>
  <c r="K5588" i="9"/>
  <c r="K5587" i="9"/>
  <c r="A5587" i="9" s="1"/>
  <c r="K5586" i="9"/>
  <c r="A5586" i="9" s="1"/>
  <c r="K5585" i="9"/>
  <c r="A5585" i="9" s="1"/>
  <c r="K5584" i="9"/>
  <c r="A5584" i="9" s="1"/>
  <c r="K5583" i="9"/>
  <c r="A5583" i="9" s="1"/>
  <c r="K5582" i="9"/>
  <c r="A5582" i="9" s="1"/>
  <c r="K5581" i="9"/>
  <c r="A5581" i="9" s="1"/>
  <c r="K5580" i="9"/>
  <c r="A5580" i="9" s="1"/>
  <c r="K5579" i="9"/>
  <c r="A5579" i="9" s="1"/>
  <c r="K5578" i="9"/>
  <c r="A5578" i="9" s="1"/>
  <c r="K5577" i="9"/>
  <c r="A5577" i="9" s="1"/>
  <c r="K5576" i="9"/>
  <c r="A5576" i="9" s="1"/>
  <c r="K5575" i="9"/>
  <c r="A5575" i="9" s="1"/>
  <c r="K5574" i="9"/>
  <c r="A5574" i="9" s="1"/>
  <c r="K5573" i="9"/>
  <c r="A5573" i="9" s="1"/>
  <c r="K5572" i="9"/>
  <c r="A5572" i="9" s="1"/>
  <c r="K5571" i="9"/>
  <c r="A5571" i="9" s="1"/>
  <c r="K5570" i="9"/>
  <c r="A5570" i="9" s="1"/>
  <c r="K5569" i="9"/>
  <c r="A5569" i="9" s="1"/>
  <c r="K5568" i="9"/>
  <c r="A5568" i="9" s="1"/>
  <c r="K5567" i="9"/>
  <c r="A5567" i="9" s="1"/>
  <c r="K5566" i="9"/>
  <c r="A5566" i="9" s="1"/>
  <c r="K5565" i="9"/>
  <c r="A5565" i="9" s="1"/>
  <c r="A5564" i="9"/>
  <c r="K5564" i="9"/>
  <c r="K5563" i="9"/>
  <c r="A5563" i="9" s="1"/>
  <c r="K5562" i="9"/>
  <c r="A5562" i="9" s="1"/>
  <c r="K5561" i="9"/>
  <c r="A5561" i="9" s="1"/>
  <c r="K5560" i="9"/>
  <c r="A5560" i="9" s="1"/>
  <c r="K5559" i="9"/>
  <c r="A5559" i="9" s="1"/>
  <c r="K5558" i="9"/>
  <c r="A5558" i="9" s="1"/>
  <c r="K5557" i="9"/>
  <c r="A5557" i="9" s="1"/>
  <c r="A5556" i="9"/>
  <c r="K5556" i="9"/>
  <c r="K5555" i="9"/>
  <c r="A5555" i="9" s="1"/>
  <c r="K5554" i="9"/>
  <c r="A5554" i="9" s="1"/>
  <c r="K5553" i="9"/>
  <c r="A5553" i="9" s="1"/>
  <c r="K5552" i="9"/>
  <c r="A5552" i="9" s="1"/>
  <c r="K5551" i="9"/>
  <c r="A5551" i="9" s="1"/>
  <c r="K5550" i="9"/>
  <c r="A5550" i="9" s="1"/>
  <c r="K5549" i="9"/>
  <c r="A5549" i="9" s="1"/>
  <c r="K5548" i="9"/>
  <c r="A5548" i="9" s="1"/>
  <c r="K5547" i="9"/>
  <c r="A5547" i="9" s="1"/>
  <c r="K5546" i="9"/>
  <c r="A5546" i="9" s="1"/>
  <c r="K5545" i="9"/>
  <c r="A5545" i="9" s="1"/>
  <c r="K5544" i="9"/>
  <c r="A5544" i="9" s="1"/>
  <c r="K5543" i="9"/>
  <c r="A5543" i="9" s="1"/>
  <c r="K5542" i="9"/>
  <c r="A5542" i="9" s="1"/>
  <c r="K5541" i="9"/>
  <c r="A5541" i="9" s="1"/>
  <c r="K5540" i="9"/>
  <c r="A5540" i="9" s="1"/>
  <c r="K5539" i="9"/>
  <c r="A5539" i="9" s="1"/>
  <c r="K5538" i="9"/>
  <c r="A5538" i="9" s="1"/>
  <c r="K5537" i="9"/>
  <c r="A5537" i="9" s="1"/>
  <c r="K5536" i="9"/>
  <c r="A5536" i="9" s="1"/>
  <c r="K5535" i="9"/>
  <c r="A5535" i="9" s="1"/>
  <c r="K5534" i="9"/>
  <c r="A5534" i="9" s="1"/>
  <c r="K5533" i="9"/>
  <c r="A5533" i="9" s="1"/>
  <c r="K5532" i="9"/>
  <c r="A5532" i="9" s="1"/>
  <c r="K5531" i="9"/>
  <c r="A5531" i="9" s="1"/>
  <c r="K5530" i="9"/>
  <c r="A5530" i="9" s="1"/>
  <c r="K5529" i="9"/>
  <c r="A5529" i="9" s="1"/>
  <c r="K5528" i="9"/>
  <c r="A5528" i="9" s="1"/>
  <c r="K5527" i="9"/>
  <c r="A5527" i="9" s="1"/>
  <c r="K5526" i="9"/>
  <c r="A5526" i="9" s="1"/>
  <c r="K5525" i="9"/>
  <c r="A5525" i="9" s="1"/>
  <c r="A5524" i="9"/>
  <c r="K5524" i="9"/>
  <c r="K5523" i="9"/>
  <c r="A5523" i="9" s="1"/>
  <c r="K5522" i="9"/>
  <c r="A5522" i="9" s="1"/>
  <c r="K5521" i="9"/>
  <c r="A5521" i="9" s="1"/>
  <c r="K5520" i="9"/>
  <c r="A5520" i="9" s="1"/>
  <c r="K5519" i="9"/>
  <c r="A5519" i="9" s="1"/>
  <c r="K5518" i="9"/>
  <c r="A5518" i="9" s="1"/>
  <c r="K5517" i="9"/>
  <c r="A5517" i="9" s="1"/>
  <c r="K5516" i="9"/>
  <c r="A5516" i="9" s="1"/>
  <c r="K5515" i="9"/>
  <c r="A5515" i="9" s="1"/>
  <c r="K5514" i="9"/>
  <c r="A5514" i="9" s="1"/>
  <c r="K5513" i="9"/>
  <c r="A5513" i="9" s="1"/>
  <c r="K5512" i="9"/>
  <c r="A5512" i="9" s="1"/>
  <c r="K5511" i="9"/>
  <c r="A5511" i="9" s="1"/>
  <c r="K5510" i="9"/>
  <c r="A5510" i="9" s="1"/>
  <c r="K5509" i="9"/>
  <c r="A5509" i="9" s="1"/>
  <c r="K5508" i="9"/>
  <c r="A5508" i="9" s="1"/>
  <c r="K5507" i="9"/>
  <c r="A5507" i="9" s="1"/>
  <c r="K5506" i="9"/>
  <c r="A5506" i="9" s="1"/>
  <c r="K5505" i="9"/>
  <c r="A5505" i="9" s="1"/>
  <c r="K5504" i="9"/>
  <c r="A5504" i="9" s="1"/>
  <c r="K5503" i="9"/>
  <c r="A5503" i="9" s="1"/>
  <c r="K5502" i="9"/>
  <c r="A5502" i="9" s="1"/>
  <c r="K5501" i="9"/>
  <c r="A5501" i="9" s="1"/>
  <c r="K5500" i="9"/>
  <c r="A5500" i="9" s="1"/>
  <c r="K5499" i="9"/>
  <c r="A5499" i="9" s="1"/>
  <c r="K5498" i="9"/>
  <c r="A5498" i="9" s="1"/>
  <c r="K5497" i="9"/>
  <c r="A5497" i="9" s="1"/>
  <c r="K5496" i="9"/>
  <c r="A5496" i="9" s="1"/>
  <c r="K5495" i="9"/>
  <c r="A5495" i="9" s="1"/>
  <c r="K5494" i="9"/>
  <c r="A5494" i="9" s="1"/>
  <c r="K5493" i="9"/>
  <c r="A5493" i="9" s="1"/>
  <c r="A5492" i="9"/>
  <c r="K5492" i="9"/>
  <c r="K5491" i="9"/>
  <c r="A5491" i="9" s="1"/>
  <c r="K5490" i="9"/>
  <c r="A5490" i="9" s="1"/>
  <c r="K5489" i="9"/>
  <c r="A5489" i="9" s="1"/>
  <c r="K5488" i="9"/>
  <c r="A5488" i="9" s="1"/>
  <c r="K5487" i="9"/>
  <c r="A5487" i="9" s="1"/>
  <c r="K5486" i="9"/>
  <c r="A5486" i="9" s="1"/>
  <c r="K5485" i="9"/>
  <c r="A5485" i="9" s="1"/>
  <c r="K5484" i="9"/>
  <c r="A5484" i="9" s="1"/>
  <c r="K5483" i="9"/>
  <c r="A5483" i="9" s="1"/>
  <c r="K5482" i="9"/>
  <c r="A5482" i="9" s="1"/>
  <c r="K5481" i="9"/>
  <c r="A5481" i="9" s="1"/>
  <c r="K5480" i="9"/>
  <c r="A5480" i="9" s="1"/>
  <c r="K5479" i="9"/>
  <c r="A5479" i="9" s="1"/>
  <c r="K5478" i="9"/>
  <c r="A5478" i="9" s="1"/>
  <c r="K5477" i="9"/>
  <c r="A5477" i="9" s="1"/>
  <c r="A5476" i="9"/>
  <c r="K5476" i="9"/>
  <c r="K5475" i="9"/>
  <c r="A5475" i="9" s="1"/>
  <c r="K5474" i="9"/>
  <c r="A5474" i="9" s="1"/>
  <c r="K5473" i="9"/>
  <c r="A5473" i="9" s="1"/>
  <c r="K5472" i="9"/>
  <c r="A5472" i="9" s="1"/>
  <c r="K5471" i="9"/>
  <c r="A5471" i="9" s="1"/>
  <c r="K5470" i="9"/>
  <c r="A5470" i="9" s="1"/>
  <c r="K5467" i="9"/>
  <c r="A5467" i="9" s="1"/>
  <c r="K5469" i="9"/>
  <c r="A5469" i="9" s="1"/>
  <c r="K5468" i="9"/>
  <c r="A5468" i="9" s="1"/>
  <c r="K5466" i="9"/>
  <c r="A5466" i="9" s="1"/>
  <c r="K5465" i="9"/>
  <c r="A5465" i="9" s="1"/>
  <c r="K5464" i="9"/>
  <c r="A5464" i="9" s="1"/>
  <c r="K5463" i="9"/>
  <c r="A5463" i="9" s="1"/>
  <c r="K5461" i="9"/>
  <c r="A5461" i="9" s="1"/>
  <c r="K5460" i="9"/>
  <c r="A5460" i="9" s="1"/>
  <c r="A5462" i="9"/>
  <c r="K5462" i="9"/>
  <c r="K5459" i="9"/>
  <c r="A5459" i="9" s="1"/>
  <c r="K5458" i="9"/>
  <c r="A5458" i="9" s="1"/>
  <c r="K5457" i="9"/>
  <c r="A5457" i="9" s="1"/>
  <c r="K5456" i="9"/>
  <c r="A5456" i="9" s="1"/>
  <c r="K5455" i="9"/>
  <c r="A5455" i="9" s="1"/>
  <c r="K5454" i="9"/>
  <c r="A5454" i="9" s="1"/>
  <c r="K5453" i="9"/>
  <c r="A5453" i="9" s="1"/>
  <c r="K5452" i="9"/>
  <c r="A5452" i="9" s="1"/>
  <c r="K5451" i="9"/>
  <c r="A5451" i="9" s="1"/>
  <c r="K5450" i="9"/>
  <c r="A5450" i="9" s="1"/>
  <c r="K5449" i="9"/>
  <c r="A5449" i="9" s="1"/>
  <c r="K5448" i="9"/>
  <c r="A5448" i="9" s="1"/>
  <c r="K5447" i="9"/>
  <c r="A5447" i="9" s="1"/>
  <c r="K5446" i="9"/>
  <c r="A5446" i="9" s="1"/>
  <c r="K5445" i="9"/>
  <c r="A5445" i="9" s="1"/>
  <c r="K5444" i="9"/>
  <c r="A5444" i="9" s="1"/>
  <c r="K5443" i="9"/>
  <c r="A5443" i="9" s="1"/>
  <c r="K5442" i="9"/>
  <c r="A5442" i="9" s="1"/>
  <c r="K5441" i="9"/>
  <c r="A5441" i="9" s="1"/>
  <c r="K5440" i="9"/>
  <c r="A5440" i="9" s="1"/>
  <c r="K5439" i="9"/>
  <c r="A5439" i="9" s="1"/>
  <c r="K5438" i="9"/>
  <c r="A5438" i="9" s="1"/>
  <c r="K5437" i="9"/>
  <c r="A5437" i="9" s="1"/>
  <c r="A5436" i="9"/>
  <c r="K5436" i="9"/>
  <c r="K5435" i="9"/>
  <c r="A5435" i="9" s="1"/>
  <c r="K5434" i="9"/>
  <c r="A5434" i="9" s="1"/>
  <c r="K5433" i="9"/>
  <c r="A5433" i="9" s="1"/>
  <c r="K5432" i="9"/>
  <c r="A5432" i="9" s="1"/>
  <c r="K5431" i="9"/>
  <c r="A5431" i="9" s="1"/>
  <c r="K5430" i="9"/>
  <c r="A5430" i="9" s="1"/>
  <c r="K5429" i="9"/>
  <c r="A5429" i="9" s="1"/>
  <c r="A5428" i="9"/>
  <c r="K5428" i="9"/>
  <c r="K5427" i="9"/>
  <c r="A5427" i="9" s="1"/>
  <c r="K5426" i="9"/>
  <c r="A5426" i="9" s="1"/>
  <c r="K5425" i="9"/>
  <c r="A5425" i="9" s="1"/>
  <c r="K5424" i="9"/>
  <c r="A5424" i="9" s="1"/>
  <c r="K5423" i="9"/>
  <c r="A5423" i="9" s="1"/>
  <c r="K5422" i="9"/>
  <c r="A5422" i="9" s="1"/>
  <c r="K5421" i="9"/>
  <c r="A5421" i="9" s="1"/>
  <c r="K5420" i="9"/>
  <c r="A5420" i="9" s="1"/>
  <c r="K5419" i="9"/>
  <c r="A5419" i="9" s="1"/>
  <c r="K5418" i="9"/>
  <c r="A5418" i="9" s="1"/>
  <c r="K5417" i="9"/>
  <c r="A5417" i="9" s="1"/>
  <c r="K5416" i="9"/>
  <c r="A5416" i="9" s="1"/>
  <c r="K5415" i="9"/>
  <c r="A5415" i="9" s="1"/>
  <c r="K5414" i="9"/>
  <c r="A5414" i="9" s="1"/>
  <c r="K5413" i="9"/>
  <c r="A5413" i="9" s="1"/>
  <c r="K5412" i="9"/>
  <c r="A5412" i="9" s="1"/>
  <c r="K5411" i="9"/>
  <c r="A5411" i="9" s="1"/>
  <c r="K5410" i="9"/>
  <c r="A5410" i="9" s="1"/>
  <c r="K5409" i="9"/>
  <c r="A5409" i="9" s="1"/>
  <c r="K5408" i="9"/>
  <c r="A5408" i="9" s="1"/>
  <c r="K5407" i="9"/>
  <c r="A5407" i="9" s="1"/>
  <c r="K5406" i="9"/>
  <c r="A5406" i="9" s="1"/>
  <c r="K5405" i="9"/>
  <c r="A5405" i="9" s="1"/>
  <c r="K5404" i="9"/>
  <c r="A5404" i="9" s="1"/>
  <c r="K5403" i="9"/>
  <c r="A5403" i="9" s="1"/>
  <c r="K5402" i="9"/>
  <c r="A5402" i="9" s="1"/>
  <c r="K5401" i="9"/>
  <c r="A5401" i="9" s="1"/>
  <c r="K5400" i="9"/>
  <c r="A5400" i="9" s="1"/>
  <c r="K5399" i="9"/>
  <c r="A5399" i="9" s="1"/>
  <c r="K5398" i="9"/>
  <c r="A5398" i="9" s="1"/>
  <c r="K5397" i="9"/>
  <c r="A5397" i="9" s="1"/>
  <c r="A5396" i="9"/>
  <c r="K5396" i="9"/>
  <c r="K5395" i="9"/>
  <c r="A5395" i="9" s="1"/>
  <c r="K5394" i="9"/>
  <c r="A5394" i="9" s="1"/>
  <c r="K5393" i="9"/>
  <c r="A5393" i="9" s="1"/>
  <c r="K5392" i="9"/>
  <c r="A5392" i="9" s="1"/>
  <c r="K5391" i="9"/>
  <c r="A5391" i="9" s="1"/>
  <c r="K5390" i="9"/>
  <c r="A5390" i="9" s="1"/>
  <c r="K5389" i="9"/>
  <c r="A5389" i="9" s="1"/>
  <c r="K5388" i="9"/>
  <c r="A5388" i="9" s="1"/>
  <c r="K5387" i="9"/>
  <c r="A5387" i="9" s="1"/>
  <c r="K5386" i="9"/>
  <c r="A5386" i="9" s="1"/>
  <c r="K5385" i="9"/>
  <c r="A5385" i="9" s="1"/>
  <c r="K5384" i="9"/>
  <c r="A5384" i="9" s="1"/>
  <c r="K5383" i="9"/>
  <c r="A5383" i="9" s="1"/>
  <c r="K5382" i="9"/>
  <c r="A5382" i="9" s="1"/>
  <c r="K5381" i="9"/>
  <c r="A5381" i="9" s="1"/>
  <c r="K5380" i="9"/>
  <c r="A5380" i="9" s="1"/>
  <c r="K5379" i="9"/>
  <c r="A5379" i="9" s="1"/>
  <c r="K5378" i="9"/>
  <c r="A5378" i="9" s="1"/>
  <c r="K5377" i="9"/>
  <c r="A5377" i="9" s="1"/>
  <c r="K5376" i="9"/>
  <c r="A5376" i="9" s="1"/>
  <c r="K5375" i="9"/>
  <c r="A5375" i="9" s="1"/>
  <c r="K5374" i="9"/>
  <c r="A5374" i="9" s="1"/>
  <c r="K5373" i="9"/>
  <c r="A5373" i="9" s="1"/>
  <c r="K5372" i="9"/>
  <c r="A5372" i="9" s="1"/>
  <c r="K5371" i="9"/>
  <c r="A5371" i="9" s="1"/>
  <c r="K5370" i="9"/>
  <c r="A5370" i="9" s="1"/>
  <c r="K5369" i="9"/>
  <c r="A5369" i="9" s="1"/>
  <c r="K5368" i="9"/>
  <c r="A5368" i="9" s="1"/>
  <c r="K5367" i="9"/>
  <c r="A5367" i="9" s="1"/>
  <c r="K5366" i="9"/>
  <c r="A5366" i="9" s="1"/>
  <c r="K5365" i="9"/>
  <c r="A5365" i="9" s="1"/>
  <c r="A5364" i="9"/>
  <c r="K5364" i="9"/>
  <c r="K5363" i="9"/>
  <c r="A5363" i="9" s="1"/>
  <c r="K5362" i="9"/>
  <c r="A5362" i="9" s="1"/>
  <c r="K5361" i="9"/>
  <c r="A5361" i="9" s="1"/>
  <c r="K5360" i="9"/>
  <c r="A5360" i="9" s="1"/>
  <c r="K5359" i="9"/>
  <c r="A5359" i="9" s="1"/>
  <c r="K5358" i="9"/>
  <c r="A5358" i="9" s="1"/>
  <c r="K5357" i="9"/>
  <c r="A5357" i="9" s="1"/>
  <c r="K5356" i="9"/>
  <c r="A5356" i="9" s="1"/>
  <c r="K5355" i="9"/>
  <c r="A5355" i="9" s="1"/>
  <c r="K5354" i="9"/>
  <c r="A5354" i="9" s="1"/>
  <c r="K5353" i="9"/>
  <c r="A5353" i="9" s="1"/>
  <c r="K5352" i="9"/>
  <c r="A5352" i="9" s="1"/>
  <c r="K5351" i="9"/>
  <c r="A5351" i="9" s="1"/>
  <c r="K5350" i="9"/>
  <c r="A5350" i="9" s="1"/>
  <c r="K5349" i="9"/>
  <c r="A5349" i="9" s="1"/>
  <c r="A5348" i="9"/>
  <c r="K5348" i="9"/>
  <c r="K5347" i="9"/>
  <c r="A5347" i="9" s="1"/>
  <c r="K5346" i="9"/>
  <c r="A5346" i="9" s="1"/>
  <c r="K5345" i="9"/>
  <c r="A5345" i="9" s="1"/>
  <c r="K5344" i="9"/>
  <c r="A5344" i="9" s="1"/>
  <c r="K5343" i="9"/>
  <c r="A5343" i="9" s="1"/>
  <c r="K5342" i="9"/>
  <c r="A5342" i="9" s="1"/>
  <c r="K5341" i="9"/>
  <c r="A5341" i="9" s="1"/>
  <c r="K5340" i="9"/>
  <c r="A5340" i="9" s="1"/>
  <c r="K5339" i="9"/>
  <c r="A5339" i="9" s="1"/>
  <c r="K5338" i="9"/>
  <c r="A5338" i="9" s="1"/>
  <c r="K5337" i="9"/>
  <c r="A5337" i="9" s="1"/>
  <c r="K5336" i="9"/>
  <c r="A5336" i="9" s="1"/>
  <c r="K5335" i="9"/>
  <c r="A5335" i="9" s="1"/>
  <c r="K5334" i="9"/>
  <c r="A5334" i="9" s="1"/>
  <c r="K5332" i="9"/>
  <c r="A5332" i="9" s="1"/>
  <c r="A5333" i="9"/>
  <c r="K5333" i="9"/>
  <c r="K5331" i="9"/>
  <c r="A5331" i="9" s="1"/>
  <c r="K5330" i="9"/>
  <c r="A5330" i="9" s="1"/>
  <c r="K5329" i="9"/>
  <c r="A5329" i="9" s="1"/>
  <c r="K5328" i="9"/>
  <c r="A5328" i="9" s="1"/>
  <c r="K5327" i="9"/>
  <c r="A5327" i="9" s="1"/>
  <c r="K5326" i="9"/>
  <c r="A5326" i="9" s="1"/>
  <c r="K5325" i="9"/>
  <c r="A5325" i="9" s="1"/>
  <c r="K5324" i="9"/>
  <c r="A5324" i="9" s="1"/>
  <c r="K5323" i="9"/>
  <c r="A5323" i="9" s="1"/>
  <c r="K5322" i="9"/>
  <c r="A5322" i="9" s="1"/>
  <c r="K5321" i="9"/>
  <c r="A5321" i="9" s="1"/>
  <c r="K5320" i="9"/>
  <c r="A5320" i="9" s="1"/>
  <c r="K5319" i="9"/>
  <c r="A5319" i="9" s="1"/>
  <c r="K5318" i="9"/>
  <c r="A5318" i="9" s="1"/>
  <c r="K5317" i="9"/>
  <c r="A5317" i="9" s="1"/>
  <c r="K5316" i="9"/>
  <c r="A5316" i="9" s="1"/>
  <c r="K5315" i="9"/>
  <c r="A5315" i="9" s="1"/>
  <c r="K5314" i="9"/>
  <c r="A5314" i="9" s="1"/>
  <c r="K5313" i="9"/>
  <c r="A5313" i="9" s="1"/>
  <c r="K5312" i="9"/>
  <c r="A5312" i="9" s="1"/>
  <c r="K5311" i="9"/>
  <c r="A5311" i="9" s="1"/>
  <c r="K5310" i="9"/>
  <c r="A5310" i="9" s="1"/>
  <c r="K5309" i="9"/>
  <c r="A5309" i="9" s="1"/>
  <c r="A5308" i="9"/>
  <c r="K5308" i="9"/>
  <c r="K5307" i="9"/>
  <c r="A5307" i="9" s="1"/>
  <c r="K5306" i="9"/>
  <c r="A5306" i="9" s="1"/>
  <c r="K5305" i="9"/>
  <c r="A5305" i="9" s="1"/>
  <c r="K5304" i="9"/>
  <c r="A5304" i="9" s="1"/>
  <c r="K5303" i="9"/>
  <c r="A5303" i="9" s="1"/>
  <c r="K5302" i="9"/>
  <c r="A5302" i="9" s="1"/>
  <c r="K5301" i="9"/>
  <c r="A5301" i="9" s="1"/>
  <c r="A5300" i="9"/>
  <c r="K5300" i="9"/>
  <c r="K5299" i="9"/>
  <c r="A5299" i="9" s="1"/>
  <c r="K5298" i="9"/>
  <c r="A5298" i="9" s="1"/>
  <c r="K5297" i="9"/>
  <c r="A5297" i="9" s="1"/>
  <c r="K5296" i="9"/>
  <c r="A5296" i="9" s="1"/>
  <c r="K5295" i="9"/>
  <c r="A5295" i="9" s="1"/>
  <c r="K5294" i="9"/>
  <c r="A5294" i="9" s="1"/>
  <c r="K5293" i="9"/>
  <c r="A5293" i="9" s="1"/>
  <c r="K5292" i="9"/>
  <c r="A5292" i="9" s="1"/>
  <c r="K5291" i="9"/>
  <c r="A5291" i="9" s="1"/>
  <c r="K5290" i="9"/>
  <c r="A5290" i="9" s="1"/>
  <c r="K5289" i="9"/>
  <c r="A5289" i="9" s="1"/>
  <c r="K5288" i="9"/>
  <c r="A5288" i="9" s="1"/>
  <c r="K5287" i="9"/>
  <c r="A5287" i="9" s="1"/>
  <c r="K5286" i="9"/>
  <c r="A5286" i="9" s="1"/>
  <c r="K5285" i="9"/>
  <c r="A5285" i="9" s="1"/>
  <c r="K5284" i="9"/>
  <c r="A5284" i="9" s="1"/>
  <c r="K5283" i="9"/>
  <c r="A5283" i="9" s="1"/>
  <c r="K5282" i="9"/>
  <c r="A5282" i="9" s="1"/>
  <c r="K5281" i="9"/>
  <c r="A5281" i="9" s="1"/>
  <c r="K5280" i="9"/>
  <c r="A5280" i="9" s="1"/>
  <c r="K5279" i="9"/>
  <c r="A5279" i="9" s="1"/>
  <c r="K5278" i="9"/>
  <c r="A5278" i="9" s="1"/>
  <c r="K5277" i="9"/>
  <c r="A5277" i="9" s="1"/>
  <c r="K5276" i="9"/>
  <c r="A5276" i="9" s="1"/>
  <c r="K5275" i="9"/>
  <c r="A5275" i="9" s="1"/>
  <c r="K5274" i="9"/>
  <c r="A5274" i="9" s="1"/>
  <c r="K5273" i="9"/>
  <c r="A5273" i="9" s="1"/>
  <c r="K5272" i="9"/>
  <c r="A5272" i="9" s="1"/>
  <c r="K5271" i="9"/>
  <c r="A5271" i="9" s="1"/>
  <c r="K5270" i="9"/>
  <c r="A5270" i="9" s="1"/>
  <c r="K5269" i="9"/>
  <c r="A5269" i="9" s="1"/>
  <c r="A5268" i="9"/>
  <c r="K5268" i="9"/>
  <c r="K5267" i="9"/>
  <c r="A5267" i="9" s="1"/>
  <c r="K5266" i="9"/>
  <c r="A5266" i="9" s="1"/>
  <c r="K5265" i="9"/>
  <c r="A5265" i="9" s="1"/>
  <c r="K5264" i="9"/>
  <c r="A5264" i="9" s="1"/>
  <c r="K5263" i="9"/>
  <c r="A5263" i="9" s="1"/>
  <c r="K5262" i="9"/>
  <c r="A5262" i="9" s="1"/>
  <c r="K5261" i="9"/>
  <c r="A5261" i="9" s="1"/>
  <c r="K5260" i="9"/>
  <c r="A5260" i="9" s="1"/>
  <c r="K5259" i="9"/>
  <c r="A5259" i="9" s="1"/>
  <c r="K5258" i="9"/>
  <c r="A5258" i="9" s="1"/>
  <c r="K5257" i="9"/>
  <c r="A5257" i="9" s="1"/>
  <c r="K5256" i="9"/>
  <c r="A5256" i="9" s="1"/>
  <c r="K5255" i="9"/>
  <c r="A5255" i="9" s="1"/>
  <c r="K5254" i="9"/>
  <c r="A5254" i="9" s="1"/>
  <c r="K5253" i="9"/>
  <c r="A5253" i="9" s="1"/>
  <c r="K5252" i="9"/>
  <c r="A5252" i="9" s="1"/>
  <c r="K5251" i="9"/>
  <c r="A5251" i="9" s="1"/>
  <c r="K5250" i="9"/>
  <c r="A5250" i="9" s="1"/>
  <c r="K5249" i="9"/>
  <c r="A5249" i="9" s="1"/>
  <c r="K5248" i="9"/>
  <c r="A5248" i="9" s="1"/>
  <c r="K5247" i="9"/>
  <c r="A5247" i="9" s="1"/>
  <c r="K5246" i="9"/>
  <c r="A5246" i="9" s="1"/>
  <c r="K5245" i="9"/>
  <c r="A5245" i="9" s="1"/>
  <c r="K5244" i="9"/>
  <c r="A5244" i="9" s="1"/>
  <c r="K5243" i="9"/>
  <c r="A5243" i="9" s="1"/>
  <c r="K5242" i="9"/>
  <c r="A5242" i="9" s="1"/>
  <c r="K5241" i="9"/>
  <c r="A5241" i="9" s="1"/>
  <c r="K5240" i="9"/>
  <c r="A5240" i="9" s="1"/>
  <c r="K5239" i="9"/>
  <c r="A5239" i="9" s="1"/>
  <c r="K5238" i="9"/>
  <c r="A5238" i="9" s="1"/>
  <c r="K5237" i="9"/>
  <c r="A5237" i="9" s="1"/>
  <c r="A5236" i="9"/>
  <c r="K5236" i="9"/>
  <c r="K5235" i="9"/>
  <c r="A5235" i="9" s="1"/>
  <c r="K5234" i="9"/>
  <c r="A5234" i="9" s="1"/>
  <c r="K5233" i="9"/>
  <c r="A5233" i="9" s="1"/>
  <c r="K5232" i="9"/>
  <c r="A5232" i="9" s="1"/>
  <c r="K5231" i="9"/>
  <c r="A5231" i="9" s="1"/>
  <c r="K5230" i="9"/>
  <c r="A5230" i="9" s="1"/>
  <c r="K5229" i="9"/>
  <c r="A5229" i="9" s="1"/>
  <c r="K5228" i="9"/>
  <c r="A5228" i="9" s="1"/>
  <c r="K5227" i="9"/>
  <c r="A5227" i="9" s="1"/>
  <c r="K5226" i="9"/>
  <c r="A5226" i="9" s="1"/>
  <c r="K5225" i="9"/>
  <c r="A5225" i="9" s="1"/>
  <c r="K5224" i="9"/>
  <c r="A5224" i="9" s="1"/>
  <c r="K5223" i="9"/>
  <c r="A5223" i="9" s="1"/>
  <c r="K5222" i="9"/>
  <c r="A5222" i="9" s="1"/>
  <c r="K5221" i="9"/>
  <c r="A5221" i="9" s="1"/>
  <c r="A5220" i="9"/>
  <c r="K5220" i="9"/>
  <c r="K5219" i="9"/>
  <c r="A5219" i="9" s="1"/>
  <c r="K5218" i="9"/>
  <c r="A5218" i="9" s="1"/>
  <c r="K5217" i="9"/>
  <c r="A5217" i="9" s="1"/>
  <c r="K5216" i="9"/>
  <c r="A5216" i="9" s="1"/>
  <c r="K5215" i="9"/>
  <c r="A5215" i="9" s="1"/>
  <c r="K5214" i="9"/>
  <c r="A5214" i="9" s="1"/>
  <c r="K5213" i="9"/>
  <c r="A5213" i="9" s="1"/>
  <c r="K5212" i="9"/>
  <c r="A5212" i="9" s="1"/>
  <c r="K5211" i="9"/>
  <c r="A5211" i="9" s="1"/>
  <c r="K5210" i="9"/>
  <c r="A5210" i="9" s="1"/>
  <c r="K5209" i="9"/>
  <c r="A5209" i="9" s="1"/>
  <c r="K5208" i="9"/>
  <c r="A5208" i="9" s="1"/>
  <c r="K5207" i="9"/>
  <c r="A5207" i="9" s="1"/>
  <c r="K5206" i="9"/>
  <c r="A5206" i="9" s="1"/>
  <c r="K5205" i="9"/>
  <c r="A5205" i="9" s="1"/>
  <c r="A5204" i="9"/>
  <c r="K5204" i="9"/>
  <c r="K5203" i="9"/>
  <c r="A5203" i="9" s="1"/>
  <c r="K5202" i="9"/>
  <c r="A5202" i="9" s="1"/>
  <c r="K5201" i="9"/>
  <c r="A5201" i="9" s="1"/>
  <c r="K5200" i="9"/>
  <c r="A5200" i="9" s="1"/>
  <c r="K5199" i="9"/>
  <c r="A5199" i="9" s="1"/>
  <c r="K5198" i="9"/>
  <c r="A5198" i="9" s="1"/>
  <c r="K5197" i="9"/>
  <c r="A5197" i="9" s="1"/>
  <c r="K5196" i="9"/>
  <c r="A5196" i="9" s="1"/>
  <c r="K5195" i="9"/>
  <c r="A5195" i="9" s="1"/>
  <c r="K5194" i="9"/>
  <c r="A5194" i="9" s="1"/>
  <c r="K5193" i="9"/>
  <c r="A5193" i="9" s="1"/>
  <c r="K5192" i="9"/>
  <c r="A5192" i="9" s="1"/>
  <c r="K5191" i="9"/>
  <c r="A5191" i="9" s="1"/>
  <c r="K5190" i="9"/>
  <c r="A5190" i="9" s="1"/>
  <c r="K5189" i="9"/>
  <c r="A5189" i="9" s="1"/>
  <c r="K5188" i="9"/>
  <c r="A5188" i="9" s="1"/>
  <c r="K5187" i="9"/>
  <c r="A5187" i="9" s="1"/>
  <c r="K5186" i="9"/>
  <c r="A5186" i="9" s="1"/>
  <c r="K5185" i="9"/>
  <c r="A5185" i="9" s="1"/>
  <c r="K5184" i="9"/>
  <c r="A5184" i="9" s="1"/>
  <c r="K5183" i="9"/>
  <c r="A5183" i="9" s="1"/>
  <c r="K5182" i="9"/>
  <c r="A5182" i="9" s="1"/>
  <c r="K5181" i="9"/>
  <c r="A5181" i="9" s="1"/>
  <c r="A5180" i="9"/>
  <c r="K5180" i="9"/>
  <c r="K5179" i="9"/>
  <c r="A5179" i="9" s="1"/>
  <c r="K5178" i="9"/>
  <c r="A5178" i="9" s="1"/>
  <c r="K5177" i="9"/>
  <c r="A5177" i="9" s="1"/>
  <c r="K5176" i="9"/>
  <c r="A5176" i="9" s="1"/>
  <c r="K5174" i="9"/>
  <c r="A5174" i="9" s="1"/>
  <c r="K5175" i="9"/>
  <c r="A5175" i="9" s="1"/>
  <c r="K5173" i="9"/>
  <c r="A5173" i="9" s="1"/>
  <c r="A5172" i="9"/>
  <c r="K5172" i="9"/>
  <c r="K5171" i="9"/>
  <c r="A5171" i="9" s="1"/>
  <c r="A5170" i="9"/>
  <c r="K5170" i="9"/>
  <c r="K5169" i="9"/>
  <c r="A5169" i="9" s="1"/>
  <c r="K5168" i="9"/>
  <c r="A5168" i="9" s="1"/>
  <c r="K5167" i="9"/>
  <c r="A5167" i="9" s="1"/>
  <c r="K5166" i="9"/>
  <c r="A5166" i="9" s="1"/>
  <c r="K5165" i="9"/>
  <c r="A5165" i="9" s="1"/>
  <c r="K5164" i="9"/>
  <c r="A5164" i="9" s="1"/>
  <c r="K5163" i="9"/>
  <c r="A5163" i="9" s="1"/>
  <c r="K5162" i="9"/>
  <c r="A5162" i="9" s="1"/>
  <c r="K5161" i="9"/>
  <c r="A5161" i="9" s="1"/>
  <c r="K5160" i="9"/>
  <c r="A5160" i="9" s="1"/>
  <c r="K5159" i="9"/>
  <c r="A5159" i="9" s="1"/>
  <c r="K5158" i="9"/>
  <c r="A5158" i="9" s="1"/>
  <c r="K5157" i="9"/>
  <c r="A5157" i="9" s="1"/>
  <c r="A5156" i="9"/>
  <c r="K5156" i="9"/>
  <c r="K5155" i="9"/>
  <c r="A5155" i="9" s="1"/>
  <c r="K5154" i="9"/>
  <c r="A5154" i="9" s="1"/>
  <c r="K5153" i="9"/>
  <c r="A5153" i="9" s="1"/>
  <c r="K5152" i="9"/>
  <c r="A5152" i="9" s="1"/>
  <c r="K5151" i="9"/>
  <c r="A5151" i="9" s="1"/>
  <c r="K5150" i="9"/>
  <c r="A5150" i="9" s="1"/>
  <c r="K5149" i="9"/>
  <c r="A5149" i="9" s="1"/>
  <c r="K5147" i="9"/>
  <c r="A5147" i="9" s="1"/>
  <c r="K5148" i="9"/>
  <c r="A5148" i="9" s="1"/>
  <c r="K5146" i="9"/>
  <c r="A5146" i="9" s="1"/>
  <c r="K5145" i="9"/>
  <c r="A5145" i="9" s="1"/>
  <c r="K5144" i="9"/>
  <c r="A5144" i="9" s="1"/>
  <c r="K5143" i="9"/>
  <c r="A5143" i="9" s="1"/>
  <c r="K5142" i="9"/>
  <c r="A5142" i="9" s="1"/>
  <c r="K5141" i="9"/>
  <c r="A5141" i="9" s="1"/>
  <c r="K5140" i="9"/>
  <c r="A5140" i="9" s="1"/>
  <c r="K5139" i="9"/>
  <c r="A5139" i="9" s="1"/>
  <c r="K5138" i="9"/>
  <c r="A5138" i="9" s="1"/>
  <c r="K5137" i="9"/>
  <c r="A5137" i="9" s="1"/>
  <c r="K5136" i="9"/>
  <c r="A5136" i="9" s="1"/>
  <c r="K5135" i="9"/>
  <c r="A5135" i="9" s="1"/>
  <c r="K5134" i="9"/>
  <c r="A5134" i="9" s="1"/>
  <c r="K5133" i="9"/>
  <c r="A5133" i="9" s="1"/>
  <c r="A5132" i="9"/>
  <c r="K5132" i="9"/>
  <c r="K5131" i="9"/>
  <c r="A5131" i="9" s="1"/>
  <c r="K5130" i="9"/>
  <c r="A5130" i="9" s="1"/>
  <c r="K5129" i="9"/>
  <c r="A5129" i="9" s="1"/>
  <c r="K5128" i="9"/>
  <c r="A5128" i="9" s="1"/>
  <c r="K5127" i="9"/>
  <c r="A5127" i="9" s="1"/>
  <c r="K5126" i="9"/>
  <c r="A5126" i="9" s="1"/>
  <c r="K5125" i="9"/>
  <c r="A5125" i="9" s="1"/>
  <c r="K5124" i="9"/>
  <c r="A5124" i="9" s="1"/>
  <c r="K5123" i="9"/>
  <c r="A5123" i="9" s="1"/>
  <c r="A5122" i="9"/>
  <c r="K5122" i="9"/>
  <c r="K5121" i="9"/>
  <c r="A5121" i="9" s="1"/>
  <c r="K5120" i="9"/>
  <c r="A5120" i="9" s="1"/>
  <c r="K5119" i="9"/>
  <c r="A5119" i="9" s="1"/>
  <c r="K5118" i="9"/>
  <c r="A5118" i="9" s="1"/>
  <c r="K5117" i="9"/>
  <c r="A5117" i="9" s="1"/>
  <c r="K5116" i="9"/>
  <c r="A5116" i="9" s="1"/>
  <c r="K5115" i="9"/>
  <c r="A5115" i="9" s="1"/>
  <c r="K5114" i="9"/>
  <c r="A5114" i="9" s="1"/>
  <c r="K5113" i="9"/>
  <c r="A5113" i="9" s="1"/>
  <c r="K5112" i="9"/>
  <c r="A5112" i="9" s="1"/>
  <c r="K5111" i="9"/>
  <c r="A5111" i="9" s="1"/>
  <c r="K5110" i="9"/>
  <c r="A5110" i="9" s="1"/>
  <c r="K5109" i="9"/>
  <c r="A5109" i="9" s="1"/>
  <c r="A5108" i="9"/>
  <c r="K5108" i="9"/>
  <c r="K5107" i="9"/>
  <c r="A5107" i="9" s="1"/>
  <c r="K5106" i="9"/>
  <c r="A5106" i="9" s="1"/>
  <c r="K5105" i="9"/>
  <c r="A5105" i="9" s="1"/>
  <c r="K5104" i="9"/>
  <c r="A5104" i="9" s="1"/>
  <c r="K5094" i="9"/>
  <c r="A5094" i="9" s="1"/>
  <c r="K5103" i="9"/>
  <c r="A5103" i="9" s="1"/>
  <c r="K5102" i="9"/>
  <c r="A5102" i="9" s="1"/>
  <c r="A5101" i="9"/>
  <c r="K5101" i="9"/>
  <c r="K5100" i="9"/>
  <c r="A5100" i="9" s="1"/>
  <c r="K5099" i="9"/>
  <c r="A5099" i="9" s="1"/>
  <c r="K5095" i="9"/>
  <c r="A5095" i="9" s="1"/>
  <c r="K5093" i="9"/>
  <c r="A5093" i="9" s="1"/>
  <c r="K5092" i="9"/>
  <c r="A5092" i="9" s="1"/>
  <c r="K5091" i="9"/>
  <c r="A5091" i="9" s="1"/>
  <c r="K5090" i="9"/>
  <c r="A5090" i="9" s="1"/>
  <c r="K5089" i="9"/>
  <c r="A5089" i="9" s="1"/>
  <c r="K5088" i="9"/>
  <c r="A5088" i="9" s="1"/>
  <c r="A5087" i="9"/>
  <c r="K5087" i="9"/>
  <c r="K5086" i="9"/>
  <c r="A5086" i="9" s="1"/>
  <c r="K5085" i="9"/>
  <c r="A5085" i="9" s="1"/>
  <c r="K5083" i="9"/>
  <c r="A5083" i="9" s="1"/>
  <c r="K5084" i="9"/>
  <c r="A5084" i="9" s="1"/>
  <c r="K5082" i="9"/>
  <c r="A5082" i="9" s="1"/>
  <c r="K5081" i="9"/>
  <c r="A5081" i="9" s="1"/>
  <c r="K5080" i="9"/>
  <c r="A5080" i="9" s="1"/>
  <c r="K5079" i="9"/>
  <c r="A5079" i="9" s="1"/>
  <c r="K5078" i="9"/>
  <c r="A5078" i="9" s="1"/>
  <c r="K5077" i="9"/>
  <c r="A5077" i="9" s="1"/>
  <c r="K5076" i="9"/>
  <c r="A5076" i="9" s="1"/>
  <c r="K5075" i="9"/>
  <c r="A5075" i="9" s="1"/>
  <c r="K5074" i="9"/>
  <c r="A5074" i="9" s="1"/>
  <c r="K5073" i="9"/>
  <c r="A5073" i="9" s="1"/>
  <c r="K5072" i="9"/>
  <c r="A5072" i="9" s="1"/>
  <c r="K5071" i="9"/>
  <c r="A5071" i="9" s="1"/>
  <c r="K5070" i="9"/>
  <c r="A5070" i="9" s="1"/>
  <c r="K5069" i="9"/>
  <c r="A5069" i="9" s="1"/>
  <c r="K5068" i="9"/>
  <c r="A5068" i="9" s="1"/>
  <c r="K5067" i="9"/>
  <c r="A5067" i="9" s="1"/>
  <c r="K5066" i="9"/>
  <c r="A5066" i="9" s="1"/>
  <c r="A5065" i="9"/>
  <c r="K5065" i="9"/>
  <c r="K5064" i="9"/>
  <c r="A5064" i="9" s="1"/>
  <c r="K5063" i="9"/>
  <c r="A5063" i="9" s="1"/>
  <c r="K5062" i="9"/>
  <c r="A5062" i="9" s="1"/>
  <c r="K5061" i="9"/>
  <c r="A5061" i="9" s="1"/>
  <c r="K5060" i="9"/>
  <c r="A5060" i="9" s="1"/>
  <c r="K5059" i="9"/>
  <c r="A5059" i="9" s="1"/>
  <c r="K5058" i="9"/>
  <c r="A5058" i="9" s="1"/>
  <c r="K5057" i="9"/>
  <c r="A5057" i="9" s="1"/>
  <c r="K5056" i="9"/>
  <c r="A5056" i="9" s="1"/>
  <c r="A5055" i="9"/>
  <c r="K5055" i="9"/>
  <c r="K5054" i="9"/>
  <c r="A5054" i="9" s="1"/>
  <c r="K5053" i="9"/>
  <c r="A5053" i="9" s="1"/>
  <c r="K5052" i="9"/>
  <c r="A5052" i="9" s="1"/>
  <c r="K5051" i="9"/>
  <c r="A5051" i="9" s="1"/>
  <c r="K5050" i="9"/>
  <c r="A5050" i="9" s="1"/>
  <c r="K5049" i="9"/>
  <c r="A5049" i="9" s="1"/>
  <c r="K5048" i="9"/>
  <c r="A5048" i="9" s="1"/>
  <c r="K5047" i="9"/>
  <c r="A5047" i="9" s="1"/>
  <c r="K5046" i="9"/>
  <c r="A5046" i="9" s="1"/>
  <c r="K5045" i="9"/>
  <c r="A5045" i="9" s="1"/>
  <c r="K5044" i="9"/>
  <c r="A5044" i="9" s="1"/>
  <c r="K5043" i="9"/>
  <c r="A5043" i="9" s="1"/>
  <c r="K5042" i="9"/>
  <c r="A5042" i="9" s="1"/>
  <c r="A5041" i="9"/>
  <c r="K5041" i="9"/>
  <c r="K5040" i="9"/>
  <c r="A5040" i="9" s="1"/>
  <c r="K5039" i="9"/>
  <c r="A5039" i="9" s="1"/>
  <c r="K5038" i="9"/>
  <c r="A5038" i="9" s="1"/>
  <c r="K5037" i="9"/>
  <c r="A5037" i="9" s="1"/>
  <c r="K5036" i="9"/>
  <c r="A5036" i="9" s="1"/>
  <c r="K5035" i="9"/>
  <c r="A5035" i="9" s="1"/>
  <c r="K5034" i="9"/>
  <c r="A5034" i="9" s="1"/>
  <c r="K5033" i="9"/>
  <c r="A5033" i="9" s="1"/>
  <c r="K5032" i="9"/>
  <c r="A5032" i="9" s="1"/>
  <c r="K5031" i="9"/>
  <c r="A5031" i="9" s="1"/>
  <c r="K5030" i="9"/>
  <c r="A5030" i="9" s="1"/>
  <c r="K5029" i="9"/>
  <c r="A5029" i="9" s="1"/>
  <c r="K5028" i="9"/>
  <c r="A5028" i="9" s="1"/>
  <c r="K5027" i="9"/>
  <c r="A5027" i="9" s="1"/>
  <c r="K5026" i="9"/>
  <c r="A5026" i="9" s="1"/>
  <c r="K5025" i="9"/>
  <c r="A5025" i="9" s="1"/>
  <c r="K5024" i="9"/>
  <c r="A5024" i="9" s="1"/>
  <c r="K5023" i="9"/>
  <c r="A5023" i="9" s="1"/>
  <c r="K5022" i="9"/>
  <c r="A5022" i="9" s="1"/>
  <c r="K5021" i="9"/>
  <c r="A5021" i="9" s="1"/>
  <c r="K5020" i="9"/>
  <c r="A5020" i="9" s="1"/>
  <c r="K5019" i="9"/>
  <c r="A5019" i="9" s="1"/>
  <c r="K5018" i="9"/>
  <c r="A5018" i="9" s="1"/>
  <c r="K5017" i="9"/>
  <c r="A5017" i="9" s="1"/>
  <c r="K5016" i="9"/>
  <c r="A5016" i="9" s="1"/>
  <c r="K5009" i="9"/>
  <c r="A5009" i="9" s="1"/>
  <c r="K5011" i="9"/>
  <c r="A5011" i="9" s="1"/>
  <c r="K5008" i="9"/>
  <c r="A5008" i="9" s="1"/>
  <c r="K5010" i="9"/>
  <c r="A5010" i="9" s="1"/>
  <c r="K5007" i="9"/>
  <c r="A5007" i="9" s="1"/>
  <c r="K5006" i="9"/>
  <c r="A5006" i="9" s="1"/>
  <c r="A5005" i="9"/>
  <c r="K5005" i="9"/>
  <c r="K5004" i="9"/>
  <c r="A5004" i="9" s="1"/>
  <c r="K5003" i="9"/>
  <c r="A5003" i="9" s="1"/>
  <c r="K5015" i="9"/>
  <c r="A5015" i="9" s="1"/>
  <c r="K5014" i="9"/>
  <c r="A5014" i="9" s="1"/>
  <c r="K5013" i="9"/>
  <c r="A5013" i="9" s="1"/>
  <c r="K5012" i="9"/>
  <c r="A5012" i="9" s="1"/>
  <c r="K5002" i="9"/>
  <c r="A5002" i="9" s="1"/>
  <c r="A5001" i="9"/>
  <c r="K5001" i="9"/>
  <c r="K5000" i="9"/>
  <c r="A5000" i="9" s="1"/>
  <c r="K4999" i="9"/>
  <c r="A4999" i="9" s="1"/>
  <c r="K4998" i="9"/>
  <c r="A4998" i="9" s="1"/>
  <c r="K4997" i="9"/>
  <c r="A4997" i="9" s="1"/>
  <c r="K4996" i="9"/>
  <c r="A4996" i="9" s="1"/>
  <c r="K4995" i="9"/>
  <c r="A4995" i="9" s="1"/>
  <c r="K4994" i="9"/>
  <c r="A4994" i="9" s="1"/>
  <c r="K4993" i="9"/>
  <c r="A4993" i="9" s="1"/>
  <c r="K4992" i="9"/>
  <c r="A4992" i="9" s="1"/>
  <c r="A4991" i="9"/>
  <c r="K4991" i="9"/>
  <c r="K4990" i="9"/>
  <c r="A4990" i="9" s="1"/>
  <c r="K4989" i="9"/>
  <c r="A4989" i="9" s="1"/>
  <c r="K4988" i="9"/>
  <c r="A4988" i="9" s="1"/>
  <c r="K4987" i="9"/>
  <c r="A4987" i="9" s="1"/>
  <c r="K4986" i="9"/>
  <c r="A4986" i="9" s="1"/>
  <c r="K4980" i="9"/>
  <c r="A4980" i="9" s="1"/>
  <c r="K4985" i="9"/>
  <c r="A4985" i="9" s="1"/>
  <c r="K4984" i="9"/>
  <c r="A4984" i="9" s="1"/>
  <c r="K4983" i="9"/>
  <c r="A4983" i="9" s="1"/>
  <c r="K4982" i="9"/>
  <c r="A4982" i="9" s="1"/>
  <c r="K4981" i="9"/>
  <c r="A4981" i="9" s="1"/>
  <c r="K5098" i="9"/>
  <c r="A5098" i="9" s="1"/>
  <c r="K5097" i="9"/>
  <c r="A5097" i="9" s="1"/>
  <c r="A5096" i="9"/>
  <c r="K5096" i="9"/>
  <c r="K4979" i="9"/>
  <c r="A4979" i="9" s="1"/>
  <c r="K4978" i="9"/>
  <c r="A4978" i="9" s="1"/>
  <c r="K4977" i="9"/>
  <c r="A4977" i="9" s="1"/>
  <c r="K4976" i="9"/>
  <c r="A4976" i="9" s="1"/>
  <c r="K4975" i="9"/>
  <c r="A4975" i="9" s="1"/>
  <c r="K4974" i="9"/>
  <c r="A4974" i="9" s="1"/>
  <c r="K4973" i="9"/>
  <c r="A4973" i="9" s="1"/>
  <c r="K4972" i="9"/>
  <c r="A4972" i="9" s="1"/>
  <c r="K4971" i="9"/>
  <c r="A4971" i="9" s="1"/>
  <c r="K4970" i="9"/>
  <c r="A4970" i="9" s="1"/>
  <c r="K4969" i="9"/>
  <c r="A4969" i="9" s="1"/>
  <c r="K4968" i="9"/>
  <c r="A4968" i="9" s="1"/>
  <c r="K4967" i="9"/>
  <c r="A4967" i="9" s="1"/>
  <c r="K4966" i="9"/>
  <c r="A4966" i="9" s="1"/>
  <c r="K4963" i="9"/>
  <c r="A4963" i="9" s="1"/>
  <c r="K4965" i="9"/>
  <c r="A4965" i="9" s="1"/>
  <c r="K4964" i="9"/>
  <c r="A4964" i="9" s="1"/>
  <c r="K4962" i="9"/>
  <c r="A4962" i="9" s="1"/>
  <c r="K4961" i="9"/>
  <c r="A4961" i="9" s="1"/>
  <c r="K4960" i="9"/>
  <c r="A4960" i="9" s="1"/>
  <c r="K4959" i="9"/>
  <c r="A4959" i="9" s="1"/>
  <c r="K4958" i="9"/>
  <c r="A4958" i="9" s="1"/>
  <c r="K4957" i="9"/>
  <c r="A4957" i="9" s="1"/>
  <c r="K4956" i="9"/>
  <c r="A4956" i="9" s="1"/>
  <c r="K4955" i="9"/>
  <c r="A4955" i="9" s="1"/>
  <c r="K4954" i="9"/>
  <c r="A4954" i="9" s="1"/>
  <c r="K4953" i="9"/>
  <c r="A4953" i="9" s="1"/>
  <c r="K4952" i="9"/>
  <c r="A4952" i="9" s="1"/>
  <c r="K4951" i="9"/>
  <c r="A4951" i="9" s="1"/>
  <c r="K4949" i="9"/>
  <c r="A4949" i="9" s="1"/>
  <c r="K4950" i="9"/>
  <c r="A4950" i="9" s="1"/>
  <c r="K4948" i="9"/>
  <c r="A4948" i="9" s="1"/>
  <c r="K4947" i="9"/>
  <c r="A4947" i="9" s="1"/>
  <c r="K4945" i="9"/>
  <c r="A4945" i="9" s="1"/>
  <c r="K4946" i="9"/>
  <c r="A4946" i="9" s="1"/>
  <c r="K4944" i="9"/>
  <c r="A4944" i="9" s="1"/>
  <c r="K4941" i="9"/>
  <c r="A4941" i="9" s="1"/>
  <c r="K4940" i="9"/>
  <c r="A4940" i="9" s="1"/>
  <c r="K4943" i="9"/>
  <c r="A4943" i="9" s="1"/>
  <c r="A4942" i="9"/>
  <c r="K4942" i="9"/>
  <c r="K4939" i="9"/>
  <c r="A4939" i="9" s="1"/>
  <c r="K4938" i="9"/>
  <c r="A4938" i="9" s="1"/>
  <c r="K4936" i="9"/>
  <c r="A4936" i="9" s="1"/>
  <c r="K4937" i="9"/>
  <c r="A4937" i="9" s="1"/>
  <c r="K4935" i="9"/>
  <c r="A4935" i="9" s="1"/>
  <c r="K4934" i="9"/>
  <c r="A4934" i="9" s="1"/>
  <c r="K4933" i="9"/>
  <c r="A4933" i="9" s="1"/>
  <c r="K4932" i="9"/>
  <c r="A4932" i="9" s="1"/>
  <c r="K4931" i="9"/>
  <c r="A4931" i="9" s="1"/>
  <c r="A4930" i="9"/>
  <c r="K4930" i="9"/>
  <c r="K4929" i="9"/>
  <c r="A4929" i="9" s="1"/>
  <c r="K4928" i="9"/>
  <c r="A4928" i="9" s="1"/>
  <c r="K4927" i="9"/>
  <c r="A4927" i="9" s="1"/>
  <c r="K4926" i="9"/>
  <c r="A4926" i="9" s="1"/>
  <c r="K4925" i="9"/>
  <c r="A4925" i="9" s="1"/>
  <c r="A4924" i="9"/>
  <c r="K4924" i="9"/>
  <c r="K4923" i="9"/>
  <c r="A4923" i="9" s="1"/>
  <c r="K4922" i="9"/>
  <c r="A4922" i="9" s="1"/>
  <c r="K4921" i="9"/>
  <c r="A4921" i="9" s="1"/>
  <c r="K4920" i="9"/>
  <c r="A4920" i="9" s="1"/>
  <c r="K4919" i="9"/>
  <c r="A4919" i="9" s="1"/>
  <c r="K4918" i="9"/>
  <c r="A4918" i="9" s="1"/>
  <c r="K4917" i="9"/>
  <c r="A4917" i="9" s="1"/>
  <c r="A4916" i="9"/>
  <c r="K4916" i="9"/>
  <c r="K4914" i="9"/>
  <c r="A4914" i="9" s="1"/>
  <c r="A4915" i="9"/>
  <c r="K4915" i="9"/>
  <c r="K4913" i="9"/>
  <c r="A4913" i="9" s="1"/>
  <c r="K4911" i="9"/>
  <c r="A4911" i="9" s="1"/>
  <c r="K4910" i="9"/>
  <c r="A4910" i="9" s="1"/>
  <c r="K4912" i="9"/>
  <c r="A4912" i="9" s="1"/>
  <c r="K4909" i="9"/>
  <c r="A4909" i="9" s="1"/>
  <c r="K4905" i="9"/>
  <c r="A4905" i="9" s="1"/>
  <c r="K4904" i="9"/>
  <c r="A4904" i="9" s="1"/>
  <c r="K4903" i="9"/>
  <c r="A4903" i="9" s="1"/>
  <c r="K4906" i="9"/>
  <c r="A4906" i="9" s="1"/>
  <c r="K4907" i="9"/>
  <c r="A4907" i="9" s="1"/>
  <c r="K4908" i="9"/>
  <c r="A4908" i="9" s="1"/>
  <c r="K4902" i="9"/>
  <c r="A4902" i="9" s="1"/>
  <c r="K4901" i="9"/>
  <c r="A4901" i="9" s="1"/>
  <c r="A4900" i="9"/>
  <c r="K4900" i="9"/>
  <c r="K4899" i="9"/>
  <c r="A4899" i="9" s="1"/>
  <c r="K4898" i="9"/>
  <c r="A4898" i="9" s="1"/>
  <c r="K4897" i="9"/>
  <c r="A4897" i="9" s="1"/>
  <c r="K4895" i="9"/>
  <c r="A4895" i="9" s="1"/>
  <c r="K4896" i="9"/>
  <c r="A4896" i="9" s="1"/>
  <c r="K4894" i="9"/>
  <c r="A4894" i="9" s="1"/>
  <c r="K4893" i="9"/>
  <c r="A4893" i="9" s="1"/>
  <c r="K4892" i="9"/>
  <c r="A4892" i="9" s="1"/>
  <c r="K4891" i="9"/>
  <c r="A4891" i="9" s="1"/>
  <c r="K4890" i="9"/>
  <c r="A4890" i="9" s="1"/>
  <c r="K4889" i="9"/>
  <c r="A4889" i="9" s="1"/>
  <c r="K4888" i="9"/>
  <c r="A4888" i="9" s="1"/>
  <c r="K4887" i="9"/>
  <c r="A4887" i="9" s="1"/>
  <c r="K4886" i="9"/>
  <c r="A4886" i="9" s="1"/>
  <c r="K4885" i="9"/>
  <c r="A4885" i="9" s="1"/>
  <c r="K4884" i="9"/>
  <c r="A4884" i="9" s="1"/>
  <c r="K4883" i="9"/>
  <c r="A4883" i="9" s="1"/>
  <c r="K4882" i="9"/>
  <c r="A4882" i="9" s="1"/>
  <c r="K4881" i="9"/>
  <c r="A4881" i="9" s="1"/>
  <c r="K4880" i="9"/>
  <c r="A4880" i="9" s="1"/>
  <c r="K4879" i="9"/>
  <c r="A4879" i="9" s="1"/>
  <c r="K4878" i="9"/>
  <c r="A4878" i="9" s="1"/>
  <c r="K4877" i="9"/>
  <c r="A4877" i="9" s="1"/>
  <c r="A4876" i="9"/>
  <c r="K4876" i="9"/>
  <c r="K4875" i="9"/>
  <c r="A4875" i="9" s="1"/>
  <c r="K4874" i="9"/>
  <c r="A4874" i="9" s="1"/>
  <c r="K4873" i="9"/>
  <c r="A4873" i="9" s="1"/>
  <c r="K4872" i="9"/>
  <c r="A4872" i="9" s="1"/>
  <c r="K4871" i="9"/>
  <c r="A4871" i="9" s="1"/>
  <c r="K4870" i="9"/>
  <c r="A4870" i="9" s="1"/>
  <c r="K4869" i="9"/>
  <c r="A4869" i="9" s="1"/>
  <c r="K4868" i="9"/>
  <c r="A4868" i="9" s="1"/>
  <c r="K4867" i="9"/>
  <c r="A4867" i="9" s="1"/>
  <c r="A4866" i="9"/>
  <c r="K4866" i="9"/>
  <c r="K4865" i="9"/>
  <c r="A4865" i="9" s="1"/>
  <c r="K4864" i="9"/>
  <c r="A4864" i="9" s="1"/>
  <c r="K4863" i="9"/>
  <c r="A4863" i="9" s="1"/>
  <c r="K4862" i="9"/>
  <c r="A4862" i="9" s="1"/>
  <c r="K4861" i="9"/>
  <c r="A4861" i="9" s="1"/>
  <c r="K4860" i="9"/>
  <c r="A4860" i="9" s="1"/>
  <c r="K4859" i="9"/>
  <c r="A4859" i="9" s="1"/>
  <c r="K4858" i="9"/>
  <c r="A4858" i="9" s="1"/>
  <c r="K4857" i="9"/>
  <c r="A4857" i="9" s="1"/>
  <c r="K4856" i="9"/>
  <c r="A4856" i="9" s="1"/>
  <c r="K4855" i="9"/>
  <c r="A4855" i="9" s="1"/>
  <c r="K4854" i="9"/>
  <c r="A4854" i="9" s="1"/>
  <c r="K4853" i="9"/>
  <c r="A4853" i="9" s="1"/>
  <c r="A4852" i="9"/>
  <c r="K4852" i="9"/>
  <c r="K4851" i="9"/>
  <c r="A4851" i="9" s="1"/>
  <c r="K4850" i="9"/>
  <c r="A4850" i="9" s="1"/>
  <c r="K4849" i="9"/>
  <c r="A4849" i="9" s="1"/>
  <c r="K4848" i="9"/>
  <c r="A4848" i="9" s="1"/>
  <c r="K4847" i="9"/>
  <c r="A4847" i="9" s="1"/>
  <c r="K4846" i="9"/>
  <c r="A4846" i="9" s="1"/>
  <c r="K4845" i="9"/>
  <c r="A4845" i="9" s="1"/>
  <c r="A4844" i="9"/>
  <c r="K4844" i="9"/>
  <c r="K4843" i="9"/>
  <c r="A4843" i="9" s="1"/>
  <c r="K4842" i="9"/>
  <c r="A4842" i="9" s="1"/>
  <c r="K4841" i="9"/>
  <c r="A4841" i="9" s="1"/>
  <c r="K4840" i="9"/>
  <c r="A4840" i="9" s="1"/>
  <c r="K4839" i="9"/>
  <c r="A4839" i="9" s="1"/>
  <c r="K4838" i="9"/>
  <c r="A4838" i="9" s="1"/>
  <c r="K4837" i="9"/>
  <c r="A4837" i="9" s="1"/>
  <c r="K4836" i="9"/>
  <c r="A4836" i="9" s="1"/>
  <c r="K4835" i="9"/>
  <c r="A4835" i="9" s="1"/>
  <c r="A4834" i="9"/>
  <c r="K4834" i="9"/>
  <c r="K4833" i="9"/>
  <c r="A4833" i="9" s="1"/>
  <c r="K4831" i="9"/>
  <c r="A4831" i="9" s="1"/>
  <c r="K4832" i="9"/>
  <c r="A4832" i="9" s="1"/>
  <c r="K4830" i="9"/>
  <c r="A4830" i="9" s="1"/>
  <c r="K4829" i="9"/>
  <c r="A4829" i="9" s="1"/>
  <c r="K4828" i="9"/>
  <c r="A4828" i="9" s="1"/>
  <c r="K4827" i="9"/>
  <c r="A4827" i="9" s="1"/>
  <c r="K4826" i="9"/>
  <c r="A4826" i="9" s="1"/>
  <c r="K4825" i="9"/>
  <c r="A4825" i="9" s="1"/>
  <c r="K4824" i="9"/>
  <c r="A4824" i="9" s="1"/>
  <c r="K4823" i="9"/>
  <c r="A4823" i="9" s="1"/>
  <c r="K4822" i="9"/>
  <c r="A4822" i="9" s="1"/>
  <c r="K4821" i="9"/>
  <c r="A4821" i="9" s="1"/>
  <c r="K4816" i="9"/>
  <c r="A4816" i="9" s="1"/>
  <c r="K4820" i="9"/>
  <c r="A4820" i="9" s="1"/>
  <c r="K4819" i="9"/>
  <c r="A4819" i="9" s="1"/>
  <c r="K4818" i="9"/>
  <c r="A4818" i="9" s="1"/>
  <c r="K4817" i="9"/>
  <c r="A4817" i="9" s="1"/>
  <c r="K4815" i="9"/>
  <c r="A4815" i="9" s="1"/>
  <c r="K4814" i="9"/>
  <c r="A4814" i="9" s="1"/>
  <c r="K4813" i="9"/>
  <c r="A4813" i="9" s="1"/>
  <c r="A4812" i="9"/>
  <c r="K4812" i="9"/>
  <c r="K4811" i="9"/>
  <c r="A4811" i="9" s="1"/>
  <c r="K4810" i="9"/>
  <c r="A4810" i="9" s="1"/>
  <c r="K4809" i="9"/>
  <c r="A4809" i="9" s="1"/>
  <c r="K4808" i="9"/>
  <c r="A4808" i="9" s="1"/>
  <c r="K4807" i="9"/>
  <c r="A4807" i="9" s="1"/>
  <c r="K4806" i="9"/>
  <c r="A4806" i="9" s="1"/>
  <c r="K4805" i="9"/>
  <c r="A4805" i="9" s="1"/>
  <c r="K4804" i="9"/>
  <c r="A4804" i="9" s="1"/>
  <c r="K4803" i="9"/>
  <c r="A4803" i="9" s="1"/>
  <c r="A4802" i="9"/>
  <c r="K4802" i="9"/>
  <c r="K4801" i="9"/>
  <c r="A4801" i="9" s="1"/>
  <c r="K4800" i="9"/>
  <c r="A4800" i="9" s="1"/>
  <c r="K4799" i="9"/>
  <c r="A4799" i="9" s="1"/>
  <c r="K4798" i="9"/>
  <c r="A4798" i="9" s="1"/>
  <c r="K4797" i="9"/>
  <c r="A4797" i="9" s="1"/>
  <c r="K4796" i="9"/>
  <c r="A4796" i="9" s="1"/>
  <c r="K4795" i="9"/>
  <c r="A4795" i="9" s="1"/>
  <c r="K4794" i="9"/>
  <c r="A4794" i="9" s="1"/>
  <c r="K4793" i="9"/>
  <c r="A4793" i="9" s="1"/>
  <c r="K4792" i="9"/>
  <c r="A4792" i="9" s="1"/>
  <c r="K4791" i="9"/>
  <c r="A4791" i="9" s="1"/>
  <c r="K4790" i="9"/>
  <c r="A4790" i="9" s="1"/>
  <c r="K4789" i="9"/>
  <c r="A4789" i="9" s="1"/>
  <c r="A4788" i="9"/>
  <c r="K4788" i="9"/>
  <c r="K4787" i="9"/>
  <c r="A4787" i="9" s="1"/>
  <c r="K4786" i="9"/>
  <c r="A4786" i="9" s="1"/>
  <c r="K4785" i="9"/>
  <c r="A4785" i="9" s="1"/>
  <c r="K4784" i="9"/>
  <c r="A4784" i="9" s="1"/>
  <c r="K4783" i="9"/>
  <c r="A4783" i="9" s="1"/>
  <c r="K4782" i="9"/>
  <c r="A4782" i="9" s="1"/>
  <c r="K4781" i="9"/>
  <c r="A4781" i="9" s="1"/>
  <c r="K4780" i="9"/>
  <c r="A4780" i="9" s="1"/>
  <c r="K4779" i="9"/>
  <c r="A4779" i="9" s="1"/>
  <c r="K4778" i="9"/>
  <c r="A4778" i="9" s="1"/>
  <c r="K4777" i="9"/>
  <c r="A4777" i="9" s="1"/>
  <c r="K4776" i="9"/>
  <c r="A4776" i="9" s="1"/>
  <c r="K4775" i="9"/>
  <c r="A4775" i="9" s="1"/>
  <c r="K4774" i="9"/>
  <c r="A4774" i="9" s="1"/>
  <c r="K4773" i="9"/>
  <c r="A4773" i="9" s="1"/>
  <c r="K4772" i="9"/>
  <c r="A4772" i="9" s="1"/>
  <c r="K4769" i="9"/>
  <c r="A4769" i="9" s="1"/>
  <c r="K4768" i="9"/>
  <c r="A4768" i="9" s="1"/>
  <c r="K4771" i="9"/>
  <c r="A4771" i="9" s="1"/>
  <c r="K4770" i="9"/>
  <c r="A4770" i="9" s="1"/>
  <c r="K4767" i="9"/>
  <c r="A4767" i="9" s="1"/>
  <c r="K4766" i="9"/>
  <c r="A4766" i="9" s="1"/>
  <c r="K4765" i="9"/>
  <c r="A4765" i="9" s="1"/>
  <c r="K4764" i="9"/>
  <c r="A4764" i="9" s="1"/>
  <c r="K4763" i="9"/>
  <c r="A4763" i="9" s="1"/>
  <c r="K4762" i="9"/>
  <c r="A4762" i="9" s="1"/>
  <c r="K4761" i="9"/>
  <c r="A4761" i="9" s="1"/>
  <c r="K4760" i="9"/>
  <c r="A4760" i="9" s="1"/>
  <c r="K4759" i="9"/>
  <c r="A4759" i="9" s="1"/>
  <c r="K4758" i="9"/>
  <c r="A4758" i="9" s="1"/>
  <c r="K4757" i="9"/>
  <c r="A4757" i="9" s="1"/>
  <c r="A4756" i="9"/>
  <c r="K4756" i="9"/>
  <c r="K4755" i="9"/>
  <c r="A4755" i="9" s="1"/>
  <c r="K4754" i="9"/>
  <c r="A4754" i="9" s="1"/>
  <c r="K4753" i="9"/>
  <c r="A4753" i="9" s="1"/>
  <c r="K4752" i="9"/>
  <c r="A4752" i="9" s="1"/>
  <c r="K4751" i="9"/>
  <c r="A4751" i="9" s="1"/>
  <c r="K4750" i="9"/>
  <c r="A4750" i="9" s="1"/>
  <c r="K4749" i="9"/>
  <c r="A4749" i="9" s="1"/>
  <c r="K4748" i="9"/>
  <c r="A4748" i="9" s="1"/>
  <c r="K4747" i="9"/>
  <c r="A4747" i="9" s="1"/>
  <c r="K4746" i="9"/>
  <c r="A4746" i="9" s="1"/>
  <c r="K4745" i="9"/>
  <c r="A4745" i="9" s="1"/>
  <c r="K4744" i="9"/>
  <c r="A4744" i="9" s="1"/>
  <c r="K4743" i="9"/>
  <c r="A4743" i="9" s="1"/>
  <c r="K4742" i="9"/>
  <c r="A4742" i="9" s="1"/>
  <c r="K4741" i="9"/>
  <c r="A4741" i="9" s="1"/>
  <c r="K4740" i="9"/>
  <c r="A4740" i="9" s="1"/>
  <c r="K4739" i="9"/>
  <c r="A4739" i="9" s="1"/>
  <c r="K4738" i="9"/>
  <c r="A4738" i="9" s="1"/>
  <c r="K4737" i="9"/>
  <c r="A4737" i="9" s="1"/>
  <c r="K4736" i="9"/>
  <c r="A4736" i="9" s="1"/>
  <c r="K4735" i="9"/>
  <c r="A4735" i="9" s="1"/>
  <c r="K4734" i="9"/>
  <c r="A4734" i="9" s="1"/>
  <c r="K4733" i="9"/>
  <c r="A4733" i="9" s="1"/>
  <c r="K4732" i="9"/>
  <c r="A4732" i="9" s="1"/>
  <c r="K4731" i="9"/>
  <c r="A4731" i="9" s="1"/>
  <c r="K4730" i="9"/>
  <c r="A4730" i="9" s="1"/>
  <c r="K4729" i="9"/>
  <c r="A4729" i="9" s="1"/>
  <c r="K4728" i="9"/>
  <c r="A4728" i="9" s="1"/>
  <c r="K4726" i="9"/>
  <c r="A4726" i="9" s="1"/>
  <c r="K4727" i="9"/>
  <c r="A4727" i="9" s="1"/>
  <c r="K4725" i="9"/>
  <c r="A4725" i="9" s="1"/>
  <c r="K4724" i="9"/>
  <c r="A4724" i="9" s="1"/>
  <c r="K4723" i="9"/>
  <c r="A4723" i="9" s="1"/>
  <c r="K4722" i="9"/>
  <c r="A4722" i="9" s="1"/>
  <c r="K4721" i="9"/>
  <c r="A4721" i="9" s="1"/>
  <c r="K4720" i="9"/>
  <c r="A4720" i="9" s="1"/>
  <c r="K4719" i="9"/>
  <c r="A4719" i="9" s="1"/>
  <c r="K4718" i="9"/>
  <c r="A4718" i="9" s="1"/>
  <c r="K4717" i="9"/>
  <c r="A4717" i="9" s="1"/>
  <c r="A4716" i="9"/>
  <c r="K4716" i="9"/>
  <c r="K4715" i="9"/>
  <c r="A4715" i="9" s="1"/>
  <c r="K4714" i="9"/>
  <c r="A4714" i="9" s="1"/>
  <c r="K4713" i="9"/>
  <c r="A4713" i="9" s="1"/>
  <c r="K4712" i="9"/>
  <c r="A4712" i="9" s="1"/>
  <c r="K4711" i="9"/>
  <c r="A4711" i="9" s="1"/>
  <c r="K4710" i="9"/>
  <c r="A4710" i="9" s="1"/>
  <c r="K4709" i="9"/>
  <c r="A4709" i="9" s="1"/>
  <c r="K4708" i="9"/>
  <c r="A4708" i="9" s="1"/>
  <c r="K4707" i="9"/>
  <c r="A4707" i="9" s="1"/>
  <c r="A4706" i="9"/>
  <c r="K4706" i="9"/>
  <c r="K4705" i="9"/>
  <c r="A4705" i="9" s="1"/>
  <c r="K4704" i="9"/>
  <c r="A4704" i="9" s="1"/>
  <c r="K4703" i="9"/>
  <c r="A4703" i="9" s="1"/>
  <c r="K4702" i="9"/>
  <c r="A4702" i="9" s="1"/>
  <c r="K4701" i="9"/>
  <c r="A4701" i="9" s="1"/>
  <c r="K4700" i="9"/>
  <c r="A4700" i="9" s="1"/>
  <c r="K4699" i="9"/>
  <c r="A4699" i="9" s="1"/>
  <c r="K4698" i="9"/>
  <c r="A4698" i="9" s="1"/>
  <c r="K4697" i="9"/>
  <c r="A4697" i="9" s="1"/>
  <c r="K4696" i="9"/>
  <c r="A4696" i="9" s="1"/>
  <c r="K4695" i="9"/>
  <c r="A4695" i="9" s="1"/>
  <c r="K4694" i="9"/>
  <c r="A4694" i="9" s="1"/>
  <c r="K4693" i="9"/>
  <c r="A4693" i="9" s="1"/>
  <c r="A4692" i="9"/>
  <c r="K4692" i="9"/>
  <c r="K4691" i="9"/>
  <c r="A4691" i="9" s="1"/>
  <c r="K4690" i="9"/>
  <c r="A4690" i="9" s="1"/>
  <c r="K4689" i="9"/>
  <c r="A4689" i="9" s="1"/>
  <c r="K4688" i="9"/>
  <c r="A4688" i="9" s="1"/>
  <c r="K4687" i="9"/>
  <c r="A4687" i="9" s="1"/>
  <c r="K4686" i="9"/>
  <c r="A4686" i="9" s="1"/>
  <c r="K4685" i="9"/>
  <c r="A4685" i="9" s="1"/>
  <c r="K4684" i="9"/>
  <c r="A4684" i="9" s="1"/>
  <c r="K4683" i="9"/>
  <c r="A4683" i="9" s="1"/>
  <c r="K4682" i="9"/>
  <c r="A4682" i="9" s="1"/>
  <c r="K4681" i="9"/>
  <c r="A4681" i="9" s="1"/>
  <c r="K4680" i="9"/>
  <c r="A4680" i="9" s="1"/>
  <c r="K4679" i="9"/>
  <c r="A4679" i="9" s="1"/>
  <c r="K4678" i="9"/>
  <c r="A4678" i="9" s="1"/>
  <c r="K4677" i="9"/>
  <c r="A4677" i="9" s="1"/>
  <c r="K4676" i="9"/>
  <c r="A4676" i="9" s="1"/>
  <c r="K4675" i="9"/>
  <c r="A4675" i="9" s="1"/>
  <c r="K4674" i="9"/>
  <c r="A4674" i="9" s="1"/>
  <c r="K4673" i="9"/>
  <c r="A4673" i="9" s="1"/>
  <c r="K4672" i="9"/>
  <c r="A4672" i="9" s="1"/>
  <c r="K4671" i="9"/>
  <c r="A4671" i="9" s="1"/>
  <c r="K4670" i="9"/>
  <c r="A4670" i="9" s="1"/>
  <c r="K4669" i="9"/>
  <c r="A4669" i="9" s="1"/>
  <c r="K4668" i="9"/>
  <c r="A4668" i="9" s="1"/>
  <c r="K4667" i="9"/>
  <c r="A4667" i="9" s="1"/>
  <c r="K4666" i="9"/>
  <c r="A4666" i="9" s="1"/>
  <c r="K4665" i="9"/>
  <c r="A4665" i="9" s="1"/>
  <c r="K4664" i="9"/>
  <c r="A4664" i="9" s="1"/>
  <c r="K4663" i="9"/>
  <c r="A4663" i="9" s="1"/>
  <c r="K4662" i="9"/>
  <c r="A4662" i="9" s="1"/>
  <c r="K4661" i="9"/>
  <c r="A4661" i="9" s="1"/>
  <c r="K4660" i="9"/>
  <c r="A4660" i="9" s="1"/>
  <c r="K4659" i="9"/>
  <c r="A4659" i="9" s="1"/>
  <c r="K4658" i="9"/>
  <c r="A4658" i="9" s="1"/>
  <c r="K4657" i="9"/>
  <c r="A4657" i="9" s="1"/>
  <c r="K4656" i="9"/>
  <c r="A4656" i="9" s="1"/>
  <c r="K4655" i="9"/>
  <c r="A4655" i="9" s="1"/>
  <c r="K4654" i="9"/>
  <c r="A4654" i="9" s="1"/>
  <c r="K4653" i="9"/>
  <c r="A4653" i="9" s="1"/>
  <c r="A4652" i="9"/>
  <c r="K4652" i="9"/>
  <c r="K4651" i="9"/>
  <c r="A4651" i="9" s="1"/>
  <c r="K4650" i="9"/>
  <c r="A4650" i="9" s="1"/>
  <c r="K4649" i="9"/>
  <c r="A4649" i="9" s="1"/>
  <c r="K4648" i="9"/>
  <c r="A4648" i="9" s="1"/>
  <c r="K4647" i="9"/>
  <c r="A4647" i="9" s="1"/>
  <c r="K4646" i="9"/>
  <c r="A4646" i="9" s="1"/>
  <c r="K4645" i="9"/>
  <c r="A4645" i="9" s="1"/>
  <c r="K4644" i="9"/>
  <c r="A4644" i="9" s="1"/>
  <c r="K4643" i="9"/>
  <c r="A4643" i="9" s="1"/>
  <c r="A4642" i="9"/>
  <c r="K4642" i="9"/>
  <c r="K4641" i="9"/>
  <c r="A4641" i="9" s="1"/>
  <c r="K4640" i="9"/>
  <c r="A4640" i="9" s="1"/>
  <c r="K4639" i="9"/>
  <c r="A4639" i="9" s="1"/>
  <c r="K4638" i="9"/>
  <c r="A4638" i="9" s="1"/>
  <c r="K4637" i="9"/>
  <c r="A4637" i="9" s="1"/>
  <c r="K4636" i="9"/>
  <c r="A4636" i="9" s="1"/>
  <c r="K4633" i="9"/>
  <c r="A4633" i="9" s="1"/>
  <c r="K4634" i="9"/>
  <c r="A4634" i="9" s="1"/>
  <c r="K4632" i="9"/>
  <c r="A4632" i="9" s="1"/>
  <c r="K4631" i="9"/>
  <c r="A4631" i="9" s="1"/>
  <c r="K4630" i="9"/>
  <c r="A4630" i="9" s="1"/>
  <c r="K4635" i="9"/>
  <c r="A4635" i="9" s="1"/>
  <c r="K4629" i="9"/>
  <c r="A4629" i="9" s="1"/>
  <c r="A4628" i="9"/>
  <c r="K4628" i="9"/>
  <c r="K4627" i="9"/>
  <c r="A4627" i="9" s="1"/>
  <c r="K4626" i="9"/>
  <c r="A4626" i="9" s="1"/>
  <c r="K4625" i="9"/>
  <c r="A4625" i="9" s="1"/>
  <c r="K4624" i="9"/>
  <c r="A4624" i="9" s="1"/>
  <c r="K4623" i="9"/>
  <c r="A4623" i="9" s="1"/>
  <c r="K4622" i="9"/>
  <c r="A4622" i="9" s="1"/>
  <c r="K4621" i="9"/>
  <c r="A4621" i="9" s="1"/>
  <c r="K4620" i="9"/>
  <c r="A4620" i="9" s="1"/>
  <c r="K4619" i="9"/>
  <c r="A4619" i="9" s="1"/>
  <c r="K4618" i="9"/>
  <c r="A4618" i="9" s="1"/>
  <c r="K4617" i="9"/>
  <c r="A4617" i="9" s="1"/>
  <c r="K4616" i="9"/>
  <c r="A4616" i="9" s="1"/>
  <c r="K4615" i="9"/>
  <c r="A4615" i="9" s="1"/>
  <c r="K4614" i="9"/>
  <c r="A4614" i="9" s="1"/>
  <c r="K4613" i="9"/>
  <c r="A4613" i="9" s="1"/>
  <c r="K4611" i="9"/>
  <c r="A4611" i="9" s="1"/>
  <c r="K4612" i="9"/>
  <c r="A4612" i="9" s="1"/>
  <c r="K4610" i="9"/>
  <c r="A4610" i="9" s="1"/>
  <c r="K4609" i="9"/>
  <c r="A4609" i="9" s="1"/>
  <c r="K4608" i="9"/>
  <c r="A4608" i="9" s="1"/>
  <c r="K4607" i="9"/>
  <c r="A4607" i="9" s="1"/>
  <c r="K4606" i="9"/>
  <c r="A4606" i="9" s="1"/>
  <c r="K4605" i="9"/>
  <c r="A4605" i="9" s="1"/>
  <c r="K4604" i="9"/>
  <c r="A4604" i="9" s="1"/>
  <c r="K4603" i="9"/>
  <c r="A4603" i="9" s="1"/>
  <c r="K4602" i="9"/>
  <c r="A4602" i="9" s="1"/>
  <c r="K4601" i="9"/>
  <c r="A4601" i="9" s="1"/>
  <c r="K4600" i="9"/>
  <c r="A4600" i="9" s="1"/>
  <c r="K4599" i="9"/>
  <c r="A4599" i="9" s="1"/>
  <c r="K4598" i="9"/>
  <c r="A4598" i="9" s="1"/>
  <c r="K4597" i="9"/>
  <c r="A4597" i="9" s="1"/>
  <c r="K4596" i="9"/>
  <c r="A4596" i="9" s="1"/>
  <c r="K4595" i="9"/>
  <c r="A4595" i="9" s="1"/>
  <c r="K4594" i="9"/>
  <c r="A4594" i="9" s="1"/>
  <c r="K4593" i="9"/>
  <c r="A4593" i="9" s="1"/>
  <c r="K4592" i="9"/>
  <c r="A4592" i="9" s="1"/>
  <c r="K4591" i="9"/>
  <c r="A4591" i="9" s="1"/>
  <c r="K4590" i="9"/>
  <c r="A4590" i="9" s="1"/>
  <c r="K4589" i="9"/>
  <c r="A4589" i="9" s="1"/>
  <c r="A4588" i="9"/>
  <c r="K4588" i="9"/>
  <c r="K4587" i="9"/>
  <c r="A4587" i="9" s="1"/>
  <c r="K4586" i="9"/>
  <c r="A4586" i="9" s="1"/>
  <c r="K4585" i="9"/>
  <c r="A4585" i="9" s="1"/>
  <c r="K4584" i="9"/>
  <c r="A4584" i="9" s="1"/>
  <c r="K4583" i="9"/>
  <c r="A4583" i="9" s="1"/>
  <c r="K4582" i="9"/>
  <c r="A4582" i="9" s="1"/>
  <c r="K4581" i="9"/>
  <c r="A4581" i="9" s="1"/>
  <c r="K4580" i="9"/>
  <c r="A4580" i="9" s="1"/>
  <c r="K4579" i="9"/>
  <c r="A4579" i="9" s="1"/>
  <c r="A4578" i="9"/>
  <c r="K4578" i="9"/>
  <c r="K4577" i="9"/>
  <c r="A4577" i="9" s="1"/>
  <c r="K4576" i="9"/>
  <c r="A4576" i="9" s="1"/>
  <c r="K4575" i="9"/>
  <c r="A4575" i="9" s="1"/>
  <c r="K4574" i="9"/>
  <c r="A4574" i="9" s="1"/>
  <c r="K4573" i="9"/>
  <c r="A4573" i="9" s="1"/>
  <c r="K4572" i="9"/>
  <c r="A4572" i="9" s="1"/>
  <c r="K4571" i="9"/>
  <c r="A4571" i="9" s="1"/>
  <c r="K4570" i="9"/>
  <c r="A4570" i="9" s="1"/>
  <c r="K4569" i="9"/>
  <c r="A4569" i="9" s="1"/>
  <c r="K4568" i="9"/>
  <c r="A4568" i="9" s="1"/>
  <c r="K4567" i="9"/>
  <c r="A4567" i="9" s="1"/>
  <c r="K4566" i="9"/>
  <c r="A4566" i="9" s="1"/>
  <c r="K4565" i="9"/>
  <c r="A4565" i="9" s="1"/>
  <c r="A4564" i="9"/>
  <c r="K4564" i="9"/>
  <c r="K4563" i="9"/>
  <c r="A4563" i="9" s="1"/>
  <c r="K4562" i="9"/>
  <c r="A4562" i="9" s="1"/>
  <c r="K4561" i="9"/>
  <c r="A4561" i="9" s="1"/>
  <c r="K4560" i="9"/>
  <c r="A4560" i="9" s="1"/>
  <c r="K4559" i="9"/>
  <c r="A4559" i="9" s="1"/>
  <c r="K4558" i="9"/>
  <c r="A4558" i="9" s="1"/>
  <c r="K4557" i="9"/>
  <c r="A4557" i="9" s="1"/>
  <c r="K4556" i="9"/>
  <c r="A4556" i="9" s="1"/>
  <c r="K4555" i="9"/>
  <c r="A4555" i="9" s="1"/>
  <c r="K4554" i="9"/>
  <c r="A4554" i="9" s="1"/>
  <c r="K4553" i="9"/>
  <c r="A4553" i="9" s="1"/>
  <c r="K4552" i="9"/>
  <c r="A4552" i="9" s="1"/>
  <c r="K4551" i="9"/>
  <c r="A4551" i="9" s="1"/>
  <c r="K4550" i="9"/>
  <c r="A4550" i="9" s="1"/>
  <c r="K4549" i="9"/>
  <c r="A4549" i="9" s="1"/>
  <c r="K4548" i="9"/>
  <c r="A4548" i="9" s="1"/>
  <c r="K4547" i="9"/>
  <c r="A4547" i="9" s="1"/>
  <c r="K4546" i="9"/>
  <c r="A4546" i="9" s="1"/>
  <c r="K4545" i="9"/>
  <c r="A4545" i="9" s="1"/>
  <c r="K4544" i="9"/>
  <c r="A4544" i="9" s="1"/>
  <c r="K4543" i="9"/>
  <c r="A4543" i="9" s="1"/>
  <c r="K4542" i="9"/>
  <c r="A4542" i="9" s="1"/>
  <c r="K4541" i="9"/>
  <c r="A4541" i="9" s="1"/>
  <c r="K4540" i="9"/>
  <c r="A4540" i="9" s="1"/>
  <c r="K4539" i="9"/>
  <c r="A4539" i="9" s="1"/>
  <c r="K4538" i="9"/>
  <c r="A4538" i="9" s="1"/>
  <c r="K4537" i="9"/>
  <c r="A4537" i="9" s="1"/>
  <c r="K4536" i="9"/>
  <c r="A4536" i="9" s="1"/>
  <c r="K4535" i="9"/>
  <c r="A4535" i="9" s="1"/>
  <c r="K4534" i="9"/>
  <c r="A4534" i="9" s="1"/>
  <c r="K4533" i="9"/>
  <c r="A4533" i="9" s="1"/>
  <c r="K4532" i="9"/>
  <c r="A4532" i="9" s="1"/>
  <c r="K4531" i="9"/>
  <c r="A4531" i="9" s="1"/>
  <c r="K4530" i="9"/>
  <c r="A4530" i="9" s="1"/>
  <c r="K4529" i="9"/>
  <c r="A4529" i="9" s="1"/>
  <c r="K4528" i="9"/>
  <c r="A4528" i="9" s="1"/>
  <c r="K4527" i="9"/>
  <c r="A4527" i="9" s="1"/>
  <c r="K4526" i="9"/>
  <c r="A4526" i="9" s="1"/>
  <c r="K4525" i="9"/>
  <c r="A4525" i="9" s="1"/>
  <c r="A4524" i="9"/>
  <c r="K4524" i="9"/>
  <c r="K4523" i="9"/>
  <c r="A4523" i="9" s="1"/>
  <c r="K4522" i="9"/>
  <c r="A4522" i="9" s="1"/>
  <c r="K4521" i="9"/>
  <c r="A4521" i="9" s="1"/>
  <c r="K4520" i="9"/>
  <c r="A4520" i="9" s="1"/>
  <c r="K4519" i="9"/>
  <c r="A4519" i="9" s="1"/>
  <c r="K4518" i="9"/>
  <c r="A4518" i="9" s="1"/>
  <c r="K4517" i="9"/>
  <c r="A4517" i="9" s="1"/>
  <c r="K4516" i="9"/>
  <c r="A4516" i="9" s="1"/>
  <c r="K4515" i="9"/>
  <c r="A4515" i="9" s="1"/>
  <c r="A4514" i="9"/>
  <c r="K4514" i="9"/>
  <c r="K4513" i="9"/>
  <c r="A4513" i="9" s="1"/>
  <c r="K4512" i="9"/>
  <c r="A4512" i="9" s="1"/>
  <c r="K4511" i="9"/>
  <c r="A4511" i="9" s="1"/>
  <c r="K4510" i="9"/>
  <c r="A4510" i="9" s="1"/>
  <c r="K4509" i="9"/>
  <c r="A4509" i="9" s="1"/>
  <c r="K4508" i="9"/>
  <c r="A4508" i="9" s="1"/>
  <c r="K4507" i="9"/>
  <c r="A4507" i="9" s="1"/>
  <c r="K4506" i="9"/>
  <c r="A4506" i="9" s="1"/>
  <c r="K4505" i="9"/>
  <c r="A4505" i="9" s="1"/>
  <c r="K4504" i="9"/>
  <c r="A4504" i="9" s="1"/>
  <c r="K4503" i="9"/>
  <c r="A4503" i="9" s="1"/>
  <c r="K4502" i="9"/>
  <c r="A4502" i="9" s="1"/>
  <c r="K4500" i="9"/>
  <c r="A4500" i="9" s="1"/>
  <c r="A4501" i="9"/>
  <c r="K4501" i="9"/>
  <c r="K4499" i="9"/>
  <c r="A4499" i="9" s="1"/>
  <c r="K4498" i="9"/>
  <c r="A4498" i="9" s="1"/>
  <c r="K4497" i="9"/>
  <c r="A4497" i="9" s="1"/>
  <c r="K4496" i="9"/>
  <c r="A4496" i="9" s="1"/>
  <c r="K4495" i="9"/>
  <c r="A4495" i="9" s="1"/>
  <c r="K4494" i="9"/>
  <c r="A4494" i="9" s="1"/>
  <c r="K4493" i="9"/>
  <c r="A4493" i="9" s="1"/>
  <c r="K4492" i="9"/>
  <c r="A4492" i="9" s="1"/>
  <c r="K4491" i="9"/>
  <c r="A4491" i="9" s="1"/>
  <c r="K4490" i="9"/>
  <c r="A4490" i="9" s="1"/>
  <c r="K4489" i="9"/>
  <c r="A4489" i="9" s="1"/>
  <c r="K4488" i="9"/>
  <c r="A4488" i="9" s="1"/>
  <c r="K4487" i="9"/>
  <c r="A4487" i="9" s="1"/>
  <c r="K4486" i="9"/>
  <c r="A4486" i="9" s="1"/>
  <c r="K4485" i="9"/>
  <c r="A4485" i="9" s="1"/>
  <c r="K4484" i="9"/>
  <c r="A4484" i="9" s="1"/>
  <c r="K4483" i="9"/>
  <c r="A4483" i="9" s="1"/>
  <c r="K4482" i="9"/>
  <c r="A4482" i="9" s="1"/>
  <c r="K4481" i="9"/>
  <c r="A4481" i="9" s="1"/>
  <c r="K4480" i="9"/>
  <c r="A4480" i="9" s="1"/>
  <c r="K4479" i="9"/>
  <c r="A4479" i="9" s="1"/>
  <c r="K4478" i="9"/>
  <c r="A4478" i="9" s="1"/>
  <c r="K4477" i="9"/>
  <c r="A4477" i="9" s="1"/>
  <c r="K4476" i="9"/>
  <c r="A4476" i="9" s="1"/>
  <c r="K4475" i="9"/>
  <c r="A4475" i="9" s="1"/>
  <c r="K4474" i="9"/>
  <c r="A4474" i="9" s="1"/>
  <c r="K4473" i="9"/>
  <c r="A4473" i="9" s="1"/>
  <c r="K4472" i="9"/>
  <c r="A4472" i="9" s="1"/>
  <c r="K4471" i="9"/>
  <c r="A4471" i="9" s="1"/>
  <c r="K4470" i="9"/>
  <c r="A4470" i="9" s="1"/>
  <c r="K4469" i="9"/>
  <c r="A4469" i="9" s="1"/>
  <c r="K4468" i="9"/>
  <c r="A4468" i="9" s="1"/>
  <c r="K4467" i="9"/>
  <c r="A4467" i="9" s="1"/>
  <c r="K4466" i="9"/>
  <c r="A4466" i="9" s="1"/>
  <c r="K4464" i="9"/>
  <c r="A4464" i="9" s="1"/>
  <c r="K4465" i="9"/>
  <c r="A4465" i="9" s="1"/>
  <c r="K4463" i="9"/>
  <c r="A4463" i="9" s="1"/>
  <c r="K4462" i="9"/>
  <c r="A4462" i="9" s="1"/>
  <c r="K4461" i="9"/>
  <c r="A4461" i="9" s="1"/>
  <c r="A4460" i="9"/>
  <c r="K4460" i="9"/>
  <c r="K4459" i="9"/>
  <c r="A4459" i="9" s="1"/>
  <c r="K4458" i="9"/>
  <c r="A4458" i="9" s="1"/>
  <c r="K4457" i="9"/>
  <c r="A4457" i="9" s="1"/>
  <c r="K4456" i="9"/>
  <c r="A4456" i="9" s="1"/>
  <c r="K4455" i="9"/>
  <c r="A4455" i="9" s="1"/>
  <c r="K4454" i="9"/>
  <c r="A4454" i="9" s="1"/>
  <c r="K4453" i="9"/>
  <c r="A4453" i="9" s="1"/>
  <c r="K4452" i="9"/>
  <c r="A4452" i="9" s="1"/>
  <c r="K4451" i="9"/>
  <c r="A4451" i="9" s="1"/>
  <c r="A4450" i="9"/>
  <c r="K4450" i="9"/>
  <c r="K4449" i="9"/>
  <c r="A4449" i="9" s="1"/>
  <c r="K4448" i="9"/>
  <c r="A4448" i="9" s="1"/>
  <c r="K4446" i="9"/>
  <c r="A4446" i="9" s="1"/>
  <c r="K4447" i="9"/>
  <c r="A4447" i="9" s="1"/>
  <c r="K4445" i="9"/>
  <c r="A4445" i="9" s="1"/>
  <c r="K4443" i="9"/>
  <c r="A4443" i="9" s="1"/>
  <c r="K4444" i="9"/>
  <c r="A4444" i="9" s="1"/>
  <c r="K4442" i="9"/>
  <c r="A4442" i="9" s="1"/>
  <c r="K4441" i="9"/>
  <c r="A4441" i="9" s="1"/>
  <c r="K4440" i="9"/>
  <c r="A4440" i="9" s="1"/>
  <c r="K4423" i="9"/>
  <c r="A4423" i="9" s="1"/>
  <c r="K4439" i="9"/>
  <c r="A4439" i="9" s="1"/>
  <c r="K4438" i="9"/>
  <c r="A4438" i="9" s="1"/>
  <c r="A4437" i="9"/>
  <c r="K4437" i="9"/>
  <c r="K4436" i="9"/>
  <c r="A4436" i="9" s="1"/>
  <c r="K4435" i="9"/>
  <c r="A4435" i="9" s="1"/>
  <c r="K4434" i="9"/>
  <c r="A4434" i="9" s="1"/>
  <c r="K4433" i="9"/>
  <c r="A4433" i="9" s="1"/>
  <c r="K4432" i="9"/>
  <c r="A4432" i="9" s="1"/>
  <c r="K4431" i="9"/>
  <c r="A4431" i="9" s="1"/>
  <c r="K4430" i="9"/>
  <c r="A4430" i="9" s="1"/>
  <c r="K4429" i="9"/>
  <c r="A4429" i="9" s="1"/>
  <c r="K4428" i="9"/>
  <c r="A4428" i="9" s="1"/>
  <c r="K4427" i="9"/>
  <c r="A4427" i="9" s="1"/>
  <c r="K4426" i="9"/>
  <c r="A4426" i="9" s="1"/>
  <c r="K4425" i="9"/>
  <c r="A4425" i="9" s="1"/>
  <c r="K4424" i="9"/>
  <c r="A4424" i="9" s="1"/>
  <c r="K4422" i="9"/>
  <c r="A4422" i="9" s="1"/>
  <c r="K4421" i="9"/>
  <c r="A4421" i="9" s="1"/>
  <c r="K4420" i="9"/>
  <c r="A4420" i="9" s="1"/>
  <c r="K4419" i="9"/>
  <c r="A4419" i="9" s="1"/>
  <c r="K4418" i="9"/>
  <c r="A4418" i="9" s="1"/>
  <c r="K4417" i="9"/>
  <c r="A4417" i="9" s="1"/>
  <c r="K4416" i="9"/>
  <c r="A4416" i="9" s="1"/>
  <c r="K4415" i="9"/>
  <c r="A4415" i="9" s="1"/>
  <c r="K4414" i="9"/>
  <c r="A4414" i="9" s="1"/>
  <c r="K4413" i="9"/>
  <c r="A4413" i="9" s="1"/>
  <c r="K4412" i="9"/>
  <c r="A4412" i="9" s="1"/>
  <c r="K4411" i="9"/>
  <c r="A4411" i="9" s="1"/>
  <c r="K4410" i="9"/>
  <c r="A4410" i="9" s="1"/>
  <c r="K4409" i="9"/>
  <c r="A4409" i="9" s="1"/>
  <c r="K4408" i="9"/>
  <c r="A4408" i="9" s="1"/>
  <c r="K4407" i="9"/>
  <c r="A4407" i="9" s="1"/>
  <c r="K4406" i="9"/>
  <c r="A4406" i="9" s="1"/>
  <c r="K4405" i="9"/>
  <c r="A4405" i="9" s="1"/>
  <c r="K4404" i="9"/>
  <c r="A4404" i="9" s="1"/>
  <c r="K4403" i="9"/>
  <c r="A4403" i="9" s="1"/>
  <c r="K4402" i="9"/>
  <c r="A4402" i="9" s="1"/>
  <c r="K4401" i="9"/>
  <c r="A4401" i="9" s="1"/>
  <c r="K4400" i="9"/>
  <c r="A4400" i="9" s="1"/>
  <c r="K4399" i="9"/>
  <c r="A4399" i="9" s="1"/>
  <c r="K4398" i="9"/>
  <c r="A4398" i="9" s="1"/>
  <c r="K4397" i="9"/>
  <c r="A4397" i="9" s="1"/>
  <c r="A4396" i="9"/>
  <c r="K4396" i="9"/>
  <c r="K4395" i="9"/>
  <c r="A4395" i="9" s="1"/>
  <c r="K4385" i="9"/>
  <c r="A4385" i="9" s="1"/>
  <c r="K4394" i="9"/>
  <c r="A4394" i="9" s="1"/>
  <c r="K4393" i="9"/>
  <c r="A4393" i="9" s="1"/>
  <c r="K4392" i="9"/>
  <c r="A4392" i="9" s="1"/>
  <c r="K4391" i="9"/>
  <c r="A4391" i="9" s="1"/>
  <c r="K4390" i="9"/>
  <c r="A4390" i="9" s="1"/>
  <c r="K4389" i="9"/>
  <c r="A4389" i="9" s="1"/>
  <c r="K4388" i="9"/>
  <c r="A4388" i="9" s="1"/>
  <c r="A4387" i="9"/>
  <c r="K4387" i="9"/>
  <c r="K4386" i="9"/>
  <c r="A4386" i="9" s="1"/>
  <c r="K4384" i="9"/>
  <c r="A4384" i="9" s="1"/>
  <c r="K4383" i="9"/>
  <c r="A4383" i="9" s="1"/>
  <c r="K4382" i="9"/>
  <c r="A4382" i="9" s="1"/>
  <c r="K4381" i="9"/>
  <c r="A4381" i="9" s="1"/>
  <c r="K4380" i="9"/>
  <c r="A4380" i="9" s="1"/>
  <c r="K4379" i="9"/>
  <c r="A4379" i="9" s="1"/>
  <c r="K4378" i="9"/>
  <c r="A4378" i="9" s="1"/>
  <c r="K4377" i="9"/>
  <c r="A4377" i="9" s="1"/>
  <c r="K4376" i="9"/>
  <c r="A4376" i="9" s="1"/>
  <c r="K4375" i="9"/>
  <c r="A4375" i="9" s="1"/>
  <c r="K4369" i="9"/>
  <c r="A4369" i="9" s="1"/>
  <c r="K4374" i="9"/>
  <c r="A4374" i="9" s="1"/>
  <c r="A4372" i="9"/>
  <c r="K4372" i="9"/>
  <c r="K4371" i="9"/>
  <c r="A4371" i="9" s="1"/>
  <c r="K4373" i="9"/>
  <c r="A4373" i="9" s="1"/>
  <c r="K4370" i="9"/>
  <c r="A4370" i="9" s="1"/>
  <c r="K4368" i="9"/>
  <c r="A4368" i="9" s="1"/>
  <c r="K4367" i="9"/>
  <c r="A4367" i="9" s="1"/>
  <c r="K4366" i="9"/>
  <c r="A4366" i="9" s="1"/>
  <c r="K4365" i="9"/>
  <c r="A4365" i="9" s="1"/>
  <c r="K4364" i="9"/>
  <c r="A4364" i="9" s="1"/>
  <c r="K4363" i="9"/>
  <c r="A4363" i="9" s="1"/>
  <c r="K4362" i="9"/>
  <c r="A4362" i="9" s="1"/>
  <c r="K4361" i="9"/>
  <c r="A4361" i="9" s="1"/>
  <c r="K4360" i="9"/>
  <c r="A4360" i="9" s="1"/>
  <c r="K4359" i="9"/>
  <c r="A4359" i="9" s="1"/>
  <c r="K4358" i="9"/>
  <c r="A4358" i="9" s="1"/>
  <c r="K4357" i="9"/>
  <c r="A4357" i="9" s="1"/>
  <c r="K4356" i="9"/>
  <c r="A4356" i="9" s="1"/>
  <c r="K4355" i="9"/>
  <c r="A4355" i="9" s="1"/>
  <c r="K4354" i="9"/>
  <c r="A4354" i="9" s="1"/>
  <c r="K4353" i="9"/>
  <c r="A4353" i="9" s="1"/>
  <c r="K4352" i="9"/>
  <c r="A4352" i="9" s="1"/>
  <c r="K4351" i="9"/>
  <c r="A4351" i="9" s="1"/>
  <c r="K4350" i="9"/>
  <c r="A4350" i="9" s="1"/>
  <c r="K4349" i="9"/>
  <c r="A4349" i="9" s="1"/>
  <c r="K4348" i="9"/>
  <c r="A4348" i="9" s="1"/>
  <c r="K4347" i="9"/>
  <c r="A4347" i="9" s="1"/>
  <c r="K4346" i="9"/>
  <c r="A4346" i="9" s="1"/>
  <c r="K4345" i="9"/>
  <c r="A4345" i="9" s="1"/>
  <c r="K4344" i="9"/>
  <c r="A4344" i="9" s="1"/>
  <c r="K4343" i="9"/>
  <c r="A4343" i="9" s="1"/>
  <c r="K4342" i="9"/>
  <c r="A4342" i="9" s="1"/>
  <c r="K4341" i="9"/>
  <c r="A4341" i="9" s="1"/>
  <c r="K4340" i="9"/>
  <c r="A4340" i="9" s="1"/>
  <c r="K4339" i="9"/>
  <c r="A4339" i="9" s="1"/>
  <c r="K4338" i="9"/>
  <c r="A4338" i="9" s="1"/>
  <c r="K4337" i="9"/>
  <c r="A4337" i="9" s="1"/>
  <c r="K4336" i="9"/>
  <c r="A4336" i="9" s="1"/>
  <c r="K4335" i="9"/>
  <c r="A4335" i="9" s="1"/>
  <c r="K4334" i="9"/>
  <c r="A4334" i="9" s="1"/>
  <c r="K4333" i="9"/>
  <c r="A4333" i="9" s="1"/>
  <c r="A4332" i="9"/>
  <c r="K4332" i="9"/>
  <c r="K4331" i="9"/>
  <c r="A4331" i="9" s="1"/>
  <c r="K4330" i="9"/>
  <c r="A4330" i="9" s="1"/>
  <c r="K4329" i="9"/>
  <c r="A4329" i="9" s="1"/>
  <c r="K4328" i="9"/>
  <c r="A4328" i="9" s="1"/>
  <c r="K4327" i="9"/>
  <c r="A4327" i="9" s="1"/>
  <c r="K4326" i="9"/>
  <c r="A4326" i="9" s="1"/>
  <c r="K4325" i="9"/>
  <c r="A4325" i="9" s="1"/>
  <c r="K4324" i="9"/>
  <c r="A4324" i="9" s="1"/>
  <c r="K4323" i="9"/>
  <c r="A4323" i="9" s="1"/>
  <c r="A4322" i="9"/>
  <c r="K4322" i="9"/>
  <c r="K4321" i="9"/>
  <c r="A4321" i="9" s="1"/>
  <c r="K4320" i="9"/>
  <c r="A4320" i="9" s="1"/>
  <c r="K4319" i="9"/>
  <c r="A4319" i="9" s="1"/>
  <c r="K4318" i="9"/>
  <c r="A4318" i="9" s="1"/>
  <c r="K4317" i="9"/>
  <c r="A4317" i="9" s="1"/>
  <c r="K4316" i="9"/>
  <c r="A4316" i="9" s="1"/>
  <c r="K4315" i="9"/>
  <c r="A4315" i="9" s="1"/>
  <c r="K4314" i="9"/>
  <c r="A4314" i="9" s="1"/>
  <c r="K4313" i="9"/>
  <c r="A4313" i="9" s="1"/>
  <c r="K4312" i="9"/>
  <c r="A4312" i="9" s="1"/>
  <c r="K4311" i="9"/>
  <c r="A4311" i="9" s="1"/>
  <c r="K4310" i="9"/>
  <c r="A4310" i="9" s="1"/>
  <c r="K4309" i="9"/>
  <c r="A4309" i="9" s="1"/>
  <c r="A4308" i="9"/>
  <c r="K4308" i="9"/>
  <c r="K4307" i="9"/>
  <c r="A4307" i="9" s="1"/>
  <c r="K4306" i="9"/>
  <c r="A4306" i="9" s="1"/>
  <c r="K4305" i="9"/>
  <c r="A4305" i="9" s="1"/>
  <c r="K4304" i="9"/>
  <c r="A4304" i="9" s="1"/>
  <c r="K4303" i="9"/>
  <c r="A4303" i="9" s="1"/>
  <c r="K4302" i="9"/>
  <c r="A4302" i="9" s="1"/>
  <c r="K4301" i="9"/>
  <c r="A4301" i="9" s="1"/>
  <c r="A4300" i="9"/>
  <c r="K4300" i="9"/>
  <c r="K4299" i="9"/>
  <c r="A4299" i="9" s="1"/>
  <c r="K4298" i="9"/>
  <c r="A4298" i="9" s="1"/>
  <c r="K4297" i="9"/>
  <c r="A4297" i="9" s="1"/>
  <c r="K4296" i="9"/>
  <c r="A4296" i="9" s="1"/>
  <c r="K4295" i="9"/>
  <c r="A4295" i="9" s="1"/>
  <c r="K4294" i="9"/>
  <c r="A4294" i="9" s="1"/>
  <c r="K4293" i="9"/>
  <c r="A4293" i="9" s="1"/>
  <c r="K4292" i="9"/>
  <c r="A4292" i="9" s="1"/>
  <c r="K4291" i="9"/>
  <c r="A4291" i="9" s="1"/>
  <c r="A4290" i="9"/>
  <c r="K4290" i="9"/>
  <c r="K4289" i="9"/>
  <c r="A4289" i="9" s="1"/>
  <c r="K4288" i="9"/>
  <c r="A4288" i="9" s="1"/>
  <c r="K4287" i="9"/>
  <c r="A4287" i="9" s="1"/>
  <c r="K4286" i="9"/>
  <c r="A4286" i="9" s="1"/>
  <c r="K4285" i="9"/>
  <c r="A4285" i="9" s="1"/>
  <c r="K4280" i="9"/>
  <c r="A4280" i="9" s="1"/>
  <c r="K4279" i="9"/>
  <c r="A4279" i="9" s="1"/>
  <c r="K4278" i="9"/>
  <c r="A4278" i="9" s="1"/>
  <c r="K4277" i="9"/>
  <c r="A4277" i="9" s="1"/>
  <c r="K4276" i="9"/>
  <c r="A4276" i="9" s="1"/>
  <c r="K4275" i="9"/>
  <c r="A4275" i="9" s="1"/>
  <c r="K4274" i="9"/>
  <c r="A4274" i="9" s="1"/>
  <c r="K4284" i="9"/>
  <c r="A4284" i="9" s="1"/>
  <c r="K4283" i="9"/>
  <c r="A4283" i="9" s="1"/>
  <c r="K4282" i="9"/>
  <c r="A4282" i="9" s="1"/>
  <c r="K4281" i="9"/>
  <c r="A4281" i="9" s="1"/>
  <c r="K4273" i="9"/>
  <c r="A4273" i="9" s="1"/>
  <c r="K4272" i="9"/>
  <c r="A4272" i="9" s="1"/>
  <c r="K4271" i="9"/>
  <c r="A4271" i="9" s="1"/>
  <c r="K4270" i="9"/>
  <c r="A4270" i="9" s="1"/>
  <c r="K4269" i="9"/>
  <c r="A4269" i="9" s="1"/>
  <c r="A4268" i="9"/>
  <c r="K4268" i="9"/>
  <c r="K4267" i="9"/>
  <c r="A4267" i="9" s="1"/>
  <c r="K4266" i="9"/>
  <c r="A4266" i="9" s="1"/>
  <c r="K4265" i="9"/>
  <c r="A4265" i="9" s="1"/>
  <c r="K4264" i="9"/>
  <c r="A4264" i="9" s="1"/>
  <c r="K4263" i="9"/>
  <c r="A4263" i="9" s="1"/>
  <c r="K4262" i="9"/>
  <c r="A4262" i="9" s="1"/>
  <c r="K4261" i="9"/>
  <c r="A4261" i="9" s="1"/>
  <c r="K4260" i="9"/>
  <c r="A4260" i="9" s="1"/>
  <c r="K4259" i="9"/>
  <c r="A4259" i="9" s="1"/>
  <c r="A4258" i="9"/>
  <c r="K4258" i="9"/>
  <c r="K4257" i="9"/>
  <c r="A4257" i="9" s="1"/>
  <c r="K4256" i="9"/>
  <c r="A4256" i="9" s="1"/>
  <c r="K4255" i="9"/>
  <c r="A4255" i="9" s="1"/>
  <c r="K4254" i="9"/>
  <c r="A4254" i="9" s="1"/>
  <c r="K4253" i="9"/>
  <c r="A4253" i="9" s="1"/>
  <c r="K4252" i="9"/>
  <c r="A4252" i="9" s="1"/>
  <c r="K4251" i="9"/>
  <c r="A4251" i="9" s="1"/>
  <c r="K4233" i="9"/>
  <c r="A4233" i="9" s="1"/>
  <c r="K4250" i="9"/>
  <c r="A4250" i="9" s="1"/>
  <c r="K4249" i="9"/>
  <c r="A4249" i="9" s="1"/>
  <c r="K4248" i="9"/>
  <c r="A4248" i="9" s="1"/>
  <c r="K4247" i="9"/>
  <c r="A4247" i="9" s="1"/>
  <c r="K4246" i="9"/>
  <c r="A4246" i="9" s="1"/>
  <c r="A4245" i="9"/>
  <c r="K4245" i="9"/>
  <c r="K4244" i="9"/>
  <c r="A4244" i="9" s="1"/>
  <c r="K4243" i="9"/>
  <c r="A4243" i="9" s="1"/>
  <c r="K4242" i="9"/>
  <c r="A4242" i="9" s="1"/>
  <c r="K4241" i="9"/>
  <c r="A4241" i="9" s="1"/>
  <c r="K4240" i="9"/>
  <c r="A4240" i="9" s="1"/>
  <c r="K4239" i="9"/>
  <c r="A4239" i="9" s="1"/>
  <c r="K4238" i="9"/>
  <c r="A4238" i="9" s="1"/>
  <c r="A4237" i="9"/>
  <c r="K4237" i="9"/>
  <c r="K4236" i="9"/>
  <c r="A4236" i="9" s="1"/>
  <c r="K4235" i="9"/>
  <c r="A4235" i="9" s="1"/>
  <c r="K4234" i="9"/>
  <c r="A4234" i="9" s="1"/>
  <c r="K4231" i="9"/>
  <c r="A4231" i="9" s="1"/>
  <c r="K4230" i="9"/>
  <c r="A4230" i="9" s="1"/>
  <c r="K4229" i="9"/>
  <c r="A4229" i="9" s="1"/>
  <c r="K4228" i="9"/>
  <c r="A4228" i="9" s="1"/>
  <c r="K4227" i="9"/>
  <c r="A4227" i="9" s="1"/>
  <c r="K4226" i="9"/>
  <c r="A4226" i="9" s="1"/>
  <c r="A4225" i="9"/>
  <c r="K4225" i="9"/>
  <c r="K4224" i="9"/>
  <c r="A4224" i="9" s="1"/>
  <c r="K4223" i="9"/>
  <c r="A4223" i="9" s="1"/>
  <c r="K4232" i="9"/>
  <c r="A4232" i="9" s="1"/>
  <c r="K4222" i="9"/>
  <c r="A4222" i="9" s="1"/>
  <c r="K4221" i="9"/>
  <c r="A4221" i="9" s="1"/>
  <c r="K4220" i="9"/>
  <c r="A4220" i="9" s="1"/>
  <c r="K4219" i="9"/>
  <c r="A4219" i="9" s="1"/>
  <c r="K4218" i="9"/>
  <c r="A4218" i="9" s="1"/>
  <c r="K4216" i="9"/>
  <c r="A4216" i="9" s="1"/>
  <c r="K4217" i="9"/>
  <c r="A4217" i="9" s="1"/>
  <c r="K4215" i="9"/>
  <c r="A4215" i="9" s="1"/>
  <c r="K4214" i="9"/>
  <c r="A4214" i="9" s="1"/>
  <c r="K4213" i="9"/>
  <c r="A4213" i="9" s="1"/>
  <c r="K4212" i="9"/>
  <c r="A4212" i="9" s="1"/>
  <c r="K4211" i="9"/>
  <c r="A4211" i="9" s="1"/>
  <c r="K4210" i="9"/>
  <c r="A4210" i="9" s="1"/>
  <c r="K4209" i="9"/>
  <c r="A4209" i="9" s="1"/>
  <c r="K4208" i="9"/>
  <c r="A4208" i="9" s="1"/>
  <c r="K4207" i="9"/>
  <c r="A4207" i="9" s="1"/>
  <c r="K4206" i="9"/>
  <c r="A4206" i="9" s="1"/>
  <c r="K4205" i="9"/>
  <c r="A4205" i="9" s="1"/>
  <c r="A4204" i="9"/>
  <c r="K4204" i="9"/>
  <c r="K4203" i="9"/>
  <c r="A4203" i="9" s="1"/>
  <c r="K4202" i="9"/>
  <c r="A4202" i="9" s="1"/>
  <c r="K4201" i="9"/>
  <c r="A4201" i="9" s="1"/>
  <c r="K4200" i="9"/>
  <c r="A4200" i="9" s="1"/>
  <c r="K4199" i="9"/>
  <c r="A4199" i="9" s="1"/>
  <c r="K4198" i="9"/>
  <c r="A4198" i="9" s="1"/>
  <c r="K4197" i="9"/>
  <c r="A4197" i="9" s="1"/>
  <c r="K4196" i="9"/>
  <c r="A4196" i="9" s="1"/>
  <c r="K4195" i="9"/>
  <c r="A4195" i="9" s="1"/>
  <c r="A4194" i="9"/>
  <c r="K4194" i="9"/>
  <c r="K4193" i="9"/>
  <c r="A4193" i="9" s="1"/>
  <c r="K4192" i="9"/>
  <c r="A4192" i="9" s="1"/>
  <c r="K4191" i="9"/>
  <c r="A4191" i="9" s="1"/>
  <c r="K4190" i="9"/>
  <c r="A4190" i="9" s="1"/>
  <c r="K4189" i="9"/>
  <c r="A4189" i="9" s="1"/>
  <c r="K4188" i="9"/>
  <c r="A4188" i="9" s="1"/>
  <c r="K4187" i="9"/>
  <c r="A4187" i="9" s="1"/>
  <c r="K4186" i="9"/>
  <c r="A4186" i="9" s="1"/>
  <c r="K4185" i="9"/>
  <c r="A4185" i="9" s="1"/>
  <c r="K4184" i="9"/>
  <c r="A4184" i="9" s="1"/>
  <c r="K4183" i="9"/>
  <c r="A4183" i="9" s="1"/>
  <c r="K4182" i="9"/>
  <c r="A4182" i="9" s="1"/>
  <c r="K4181" i="9"/>
  <c r="A4181" i="9" s="1"/>
  <c r="K4180" i="9"/>
  <c r="A4180" i="9" s="1"/>
  <c r="K4179" i="9"/>
  <c r="A4179" i="9" s="1"/>
  <c r="K4178" i="9"/>
  <c r="A4178" i="9" s="1"/>
  <c r="K4177" i="9"/>
  <c r="A4177" i="9" s="1"/>
  <c r="K4176" i="9"/>
  <c r="A4176" i="9" s="1"/>
  <c r="K4175" i="9"/>
  <c r="A4175" i="9" s="1"/>
  <c r="A4174" i="9"/>
  <c r="K4174" i="9"/>
  <c r="K4173" i="9"/>
  <c r="A4173" i="9" s="1"/>
  <c r="K4172" i="9"/>
  <c r="A4172" i="9" s="1"/>
  <c r="K4171" i="9"/>
  <c r="A4171" i="9" s="1"/>
  <c r="K4170" i="9"/>
  <c r="A4170" i="9" s="1"/>
  <c r="K4169" i="9"/>
  <c r="A4169" i="9" s="1"/>
  <c r="K4168" i="9"/>
  <c r="A4168" i="9" s="1"/>
  <c r="K4167" i="9"/>
  <c r="A4167" i="9" s="1"/>
  <c r="K4166" i="9"/>
  <c r="A4166" i="9" s="1"/>
  <c r="K4165" i="9"/>
  <c r="A4165" i="9" s="1"/>
  <c r="K4164" i="9"/>
  <c r="A4164" i="9" s="1"/>
  <c r="K4163" i="9"/>
  <c r="A4163" i="9" s="1"/>
  <c r="K4162" i="9"/>
  <c r="A4162" i="9" s="1"/>
  <c r="K4161" i="9"/>
  <c r="A4161" i="9" s="1"/>
  <c r="K4160" i="9"/>
  <c r="A4160" i="9" s="1"/>
  <c r="K4159" i="9"/>
  <c r="A4159" i="9" s="1"/>
  <c r="K4158" i="9"/>
  <c r="A4158" i="9" s="1"/>
  <c r="K4157" i="9"/>
  <c r="A4157" i="9" s="1"/>
  <c r="K4156" i="9"/>
  <c r="A4156" i="9" s="1"/>
  <c r="K4155" i="9"/>
  <c r="A4155" i="9" s="1"/>
  <c r="K4154" i="9"/>
  <c r="A4154" i="9" s="1"/>
  <c r="K4153" i="9"/>
  <c r="A4153" i="9" s="1"/>
  <c r="K4152" i="9"/>
  <c r="A4152" i="9" s="1"/>
  <c r="K4151" i="9"/>
  <c r="A4151" i="9" s="1"/>
  <c r="A4150" i="9"/>
  <c r="K4150" i="9"/>
  <c r="K4149" i="9"/>
  <c r="A4149" i="9" s="1"/>
  <c r="K4148" i="9"/>
  <c r="A4148" i="9" s="1"/>
  <c r="K4147" i="9"/>
  <c r="A4147" i="9" s="1"/>
  <c r="K4146" i="9"/>
  <c r="A4146" i="9" s="1"/>
  <c r="K4145" i="9"/>
  <c r="A4145" i="9" s="1"/>
  <c r="K4144" i="9"/>
  <c r="A4144" i="9" s="1"/>
  <c r="K4143" i="9"/>
  <c r="A4143" i="9" s="1"/>
  <c r="A4142" i="9"/>
  <c r="K4142" i="9"/>
  <c r="K4141" i="9"/>
  <c r="A4141" i="9" s="1"/>
  <c r="K4140" i="9"/>
  <c r="A4140" i="9" s="1"/>
  <c r="K4139" i="9"/>
  <c r="A4139" i="9" s="1"/>
  <c r="A4138" i="9"/>
  <c r="K4138" i="9"/>
  <c r="K4137" i="9"/>
  <c r="A4137" i="9" s="1"/>
  <c r="K4136" i="9"/>
  <c r="A4136" i="9" s="1"/>
  <c r="K4135" i="9"/>
  <c r="A4135" i="9" s="1"/>
  <c r="K4134" i="9"/>
  <c r="A4134" i="9" s="1"/>
  <c r="K4133" i="9"/>
  <c r="A4133" i="9" s="1"/>
  <c r="A4132" i="9"/>
  <c r="K4132" i="9"/>
  <c r="K4131" i="9"/>
  <c r="A4131" i="9" s="1"/>
  <c r="K4130" i="9"/>
  <c r="A4130" i="9" s="1"/>
  <c r="K4129" i="9"/>
  <c r="A4129" i="9" s="1"/>
  <c r="K4128" i="9"/>
  <c r="A4128" i="9" s="1"/>
  <c r="K4127" i="9"/>
  <c r="A4127" i="9" s="1"/>
  <c r="A4126" i="9"/>
  <c r="K4126" i="9"/>
  <c r="K4125" i="9"/>
  <c r="A4125" i="9" s="1"/>
  <c r="K4124" i="9"/>
  <c r="A4124" i="9" s="1"/>
  <c r="K4123" i="9"/>
  <c r="A4123" i="9" s="1"/>
  <c r="K4122" i="9"/>
  <c r="A4122" i="9" s="1"/>
  <c r="K4121" i="9"/>
  <c r="A4121" i="9" s="1"/>
  <c r="K4120" i="9"/>
  <c r="A4120" i="9" s="1"/>
  <c r="K4119" i="9"/>
  <c r="A4119" i="9" s="1"/>
  <c r="A4118" i="9"/>
  <c r="K4118" i="9"/>
  <c r="K4117" i="9"/>
  <c r="A4117" i="9" s="1"/>
  <c r="K4113" i="9"/>
  <c r="A4113" i="9" s="1"/>
  <c r="K4112" i="9"/>
  <c r="A4112" i="9" s="1"/>
  <c r="K4116" i="9"/>
  <c r="A4116" i="9" s="1"/>
  <c r="K4111" i="9"/>
  <c r="A4111" i="9" s="1"/>
  <c r="K4115" i="9"/>
  <c r="A4115" i="9" s="1"/>
  <c r="K4114" i="9"/>
  <c r="A4114" i="9" s="1"/>
  <c r="A4109" i="9"/>
  <c r="K4109" i="9"/>
  <c r="K4110" i="9"/>
  <c r="A4110" i="9" s="1"/>
  <c r="K4108" i="9"/>
  <c r="A4108" i="9" s="1"/>
  <c r="K4107" i="9"/>
  <c r="A4107" i="9" s="1"/>
  <c r="A4106" i="9"/>
  <c r="K4106" i="9"/>
  <c r="K4105" i="9"/>
  <c r="A4105" i="9" s="1"/>
  <c r="K4104" i="9"/>
  <c r="A4104" i="9" s="1"/>
  <c r="K4102" i="9"/>
  <c r="A4102" i="9" s="1"/>
  <c r="K4103" i="9"/>
  <c r="A4103" i="9" s="1"/>
  <c r="K4101" i="9"/>
  <c r="A4101" i="9" s="1"/>
  <c r="A4100" i="9"/>
  <c r="K4100" i="9"/>
  <c r="K4099" i="9"/>
  <c r="A4099" i="9" s="1"/>
  <c r="K4098" i="9"/>
  <c r="A4098" i="9" s="1"/>
  <c r="K4097" i="9"/>
  <c r="A4097" i="9" s="1"/>
  <c r="K4096" i="9"/>
  <c r="A4096" i="9" s="1"/>
  <c r="K4095" i="9"/>
  <c r="A4095" i="9" s="1"/>
  <c r="A4094" i="9"/>
  <c r="K4094" i="9"/>
  <c r="K4093" i="9"/>
  <c r="A4093" i="9" s="1"/>
  <c r="K4092" i="9"/>
  <c r="A4092" i="9" s="1"/>
  <c r="K4091" i="9"/>
  <c r="A4091" i="9" s="1"/>
  <c r="K4090" i="9"/>
  <c r="A4090" i="9" s="1"/>
  <c r="K4089" i="9"/>
  <c r="A4089" i="9" s="1"/>
  <c r="K4088" i="9"/>
  <c r="A4088" i="9" s="1"/>
  <c r="K4087" i="9"/>
  <c r="A4087" i="9" s="1"/>
  <c r="A4086" i="9"/>
  <c r="K4086" i="9"/>
  <c r="K4085" i="9"/>
  <c r="A4085" i="9" s="1"/>
  <c r="K4084" i="9"/>
  <c r="A4084" i="9" s="1"/>
  <c r="K4083" i="9"/>
  <c r="A4083" i="9" s="1"/>
  <c r="K4082" i="9"/>
  <c r="A4082" i="9" s="1"/>
  <c r="K4081" i="9"/>
  <c r="A4081" i="9" s="1"/>
  <c r="K4080" i="9"/>
  <c r="A4080" i="9" s="1"/>
  <c r="K4079" i="9"/>
  <c r="A4079" i="9" s="1"/>
  <c r="A4078" i="9"/>
  <c r="K4078" i="9"/>
  <c r="K4077" i="9"/>
  <c r="A4077" i="9" s="1"/>
  <c r="K4076" i="9"/>
  <c r="A4076" i="9" s="1"/>
  <c r="K4075" i="9"/>
  <c r="A4075" i="9" s="1"/>
  <c r="A4074" i="9"/>
  <c r="K4074" i="9"/>
  <c r="K4073" i="9"/>
  <c r="A4073" i="9" s="1"/>
  <c r="K4072" i="9"/>
  <c r="A4072" i="9" s="1"/>
  <c r="K4071" i="9"/>
  <c r="A4071" i="9" s="1"/>
  <c r="K4070" i="9"/>
  <c r="A4070" i="9" s="1"/>
  <c r="K4069" i="9"/>
  <c r="A4069" i="9" s="1"/>
  <c r="A4068" i="9"/>
  <c r="K4068" i="9"/>
  <c r="K4067" i="9"/>
  <c r="A4067" i="9" s="1"/>
  <c r="K4066" i="9"/>
  <c r="A4066" i="9" s="1"/>
  <c r="K4065" i="9"/>
  <c r="A4065" i="9" s="1"/>
  <c r="K4064" i="9"/>
  <c r="A4064" i="9" s="1"/>
  <c r="K4063" i="9"/>
  <c r="A4063" i="9" s="1"/>
  <c r="A4062" i="9"/>
  <c r="K4062" i="9"/>
  <c r="K4061" i="9"/>
  <c r="A4061" i="9" s="1"/>
  <c r="K4060" i="9"/>
  <c r="A4060" i="9" s="1"/>
  <c r="K4059" i="9"/>
  <c r="A4059" i="9" s="1"/>
  <c r="K4058" i="9"/>
  <c r="A4058" i="9" s="1"/>
  <c r="K4057" i="9"/>
  <c r="A4057" i="9" s="1"/>
  <c r="K4056" i="9"/>
  <c r="A4056" i="9" s="1"/>
  <c r="K4055" i="9"/>
  <c r="A4055" i="9" s="1"/>
  <c r="A4054" i="9"/>
  <c r="K4054" i="9"/>
  <c r="K4053" i="9"/>
  <c r="A4053" i="9" s="1"/>
  <c r="K4052" i="9"/>
  <c r="A4052" i="9" s="1"/>
  <c r="K4051" i="9"/>
  <c r="A4051" i="9" s="1"/>
  <c r="K4050" i="9"/>
  <c r="A4050" i="9" s="1"/>
  <c r="K4049" i="9"/>
  <c r="A4049" i="9" s="1"/>
  <c r="K4048" i="9"/>
  <c r="A4048" i="9" s="1"/>
  <c r="K4047" i="9"/>
  <c r="A4047" i="9" s="1"/>
  <c r="A4046" i="9"/>
  <c r="K4046" i="9"/>
  <c r="K4045" i="9"/>
  <c r="A4045" i="9" s="1"/>
  <c r="K4044" i="9"/>
  <c r="A4044" i="9" s="1"/>
  <c r="K4043" i="9"/>
  <c r="A4043" i="9" s="1"/>
  <c r="A4042" i="9"/>
  <c r="K4042" i="9"/>
  <c r="K4041" i="9"/>
  <c r="A4041" i="9" s="1"/>
  <c r="K4040" i="9"/>
  <c r="A4040" i="9" s="1"/>
  <c r="K4039" i="9"/>
  <c r="A4039" i="9" s="1"/>
  <c r="K4038" i="9"/>
  <c r="A4038" i="9" s="1"/>
  <c r="K4037" i="9"/>
  <c r="A4037" i="9" s="1"/>
  <c r="A4036" i="9"/>
  <c r="K4036" i="9"/>
  <c r="K4035" i="9"/>
  <c r="A4035" i="9" s="1"/>
  <c r="K4034" i="9"/>
  <c r="A4034" i="9" s="1"/>
  <c r="K4033" i="9"/>
  <c r="A4033" i="9" s="1"/>
  <c r="K4032" i="9"/>
  <c r="A4032" i="9" s="1"/>
  <c r="K4031" i="9"/>
  <c r="A4031" i="9" s="1"/>
  <c r="A4030" i="9"/>
  <c r="K4030" i="9"/>
  <c r="K4029" i="9"/>
  <c r="A4029" i="9" s="1"/>
  <c r="K4028" i="9"/>
  <c r="A4028" i="9" s="1"/>
  <c r="K4027" i="9"/>
  <c r="A4027" i="9" s="1"/>
  <c r="K4026" i="9"/>
  <c r="A4026" i="9" s="1"/>
  <c r="K4025" i="9"/>
  <c r="A4025" i="9" s="1"/>
  <c r="K4024" i="9"/>
  <c r="A4024" i="9" s="1"/>
  <c r="K4023" i="9"/>
  <c r="A4023" i="9" s="1"/>
  <c r="A4022" i="9"/>
  <c r="K4022" i="9"/>
  <c r="K4021" i="9"/>
  <c r="A4021" i="9" s="1"/>
  <c r="K4020" i="9"/>
  <c r="A4020" i="9" s="1"/>
  <c r="K4019" i="9"/>
  <c r="A4019" i="9" s="1"/>
  <c r="K4018" i="9"/>
  <c r="A4018" i="9" s="1"/>
  <c r="K4017" i="9"/>
  <c r="A4017" i="9" s="1"/>
  <c r="K4016" i="9"/>
  <c r="A4016" i="9" s="1"/>
  <c r="K4015" i="9"/>
  <c r="A4015" i="9" s="1"/>
  <c r="A4014" i="9"/>
  <c r="K4014" i="9"/>
  <c r="K4013" i="9"/>
  <c r="A4013" i="9" s="1"/>
  <c r="K4012" i="9"/>
  <c r="A4012" i="9" s="1"/>
  <c r="K4011" i="9"/>
  <c r="A4011" i="9" s="1"/>
  <c r="A4010" i="9"/>
  <c r="K4010" i="9"/>
  <c r="K4009" i="9"/>
  <c r="A4009" i="9" s="1"/>
  <c r="K4008" i="9"/>
  <c r="A4008" i="9" s="1"/>
  <c r="K4007" i="9"/>
  <c r="A4007" i="9" s="1"/>
  <c r="K4006" i="9"/>
  <c r="A4006" i="9" s="1"/>
  <c r="K4005" i="9"/>
  <c r="A4005" i="9" s="1"/>
  <c r="A4004" i="9"/>
  <c r="K4004" i="9"/>
  <c r="K4003" i="9"/>
  <c r="A4003" i="9" s="1"/>
  <c r="K4002" i="9"/>
  <c r="A4002" i="9" s="1"/>
  <c r="K4001" i="9"/>
  <c r="A4001" i="9" s="1"/>
  <c r="K4000" i="9"/>
  <c r="A4000" i="9" s="1"/>
  <c r="K3999" i="9"/>
  <c r="A3999" i="9" s="1"/>
  <c r="A3997" i="9"/>
  <c r="K3997" i="9"/>
  <c r="K3998" i="9"/>
  <c r="A3998" i="9" s="1"/>
  <c r="K3996" i="9"/>
  <c r="A3996" i="9" s="1"/>
  <c r="K3995" i="9"/>
  <c r="A3995" i="9" s="1"/>
  <c r="K3994" i="9"/>
  <c r="A3994" i="9" s="1"/>
  <c r="K3993" i="9"/>
  <c r="A3993" i="9" s="1"/>
  <c r="K3992" i="9"/>
  <c r="A3992" i="9" s="1"/>
  <c r="K3989" i="9"/>
  <c r="A3989" i="9" s="1"/>
  <c r="K3991" i="9"/>
  <c r="A3991" i="9" s="1"/>
  <c r="K3990" i="9"/>
  <c r="A3990" i="9" s="1"/>
  <c r="K3988" i="9"/>
  <c r="A3988" i="9" s="1"/>
  <c r="K3987" i="9"/>
  <c r="A3987" i="9" s="1"/>
  <c r="K3986" i="9"/>
  <c r="A3986" i="9" s="1"/>
  <c r="K3985" i="9"/>
  <c r="A3985" i="9" s="1"/>
  <c r="K3984" i="9"/>
  <c r="A3984" i="9" s="1"/>
  <c r="K3983" i="9"/>
  <c r="A3983" i="9" s="1"/>
  <c r="A3982" i="9"/>
  <c r="K3982" i="9"/>
  <c r="K3981" i="9"/>
  <c r="A3981" i="9" s="1"/>
  <c r="K3980" i="9"/>
  <c r="A3980" i="9" s="1"/>
  <c r="K3979" i="9"/>
  <c r="A3979" i="9" s="1"/>
  <c r="K3978" i="9"/>
  <c r="A3978" i="9" s="1"/>
  <c r="K3977" i="9"/>
  <c r="A3977" i="9" s="1"/>
  <c r="K3976" i="9"/>
  <c r="A3976" i="9" s="1"/>
  <c r="K3975" i="9"/>
  <c r="A3975" i="9" s="1"/>
  <c r="K3974" i="9"/>
  <c r="A3974" i="9" s="1"/>
  <c r="K3973" i="9"/>
  <c r="A3973" i="9" s="1"/>
  <c r="K3972" i="9"/>
  <c r="A3972" i="9" s="1"/>
  <c r="K3971" i="9"/>
  <c r="A3971" i="9" s="1"/>
  <c r="K3970" i="9"/>
  <c r="A3970" i="9" s="1"/>
  <c r="K3969" i="9"/>
  <c r="A3969" i="9" s="1"/>
  <c r="K3968" i="9"/>
  <c r="A3968" i="9" s="1"/>
  <c r="K3967" i="9"/>
  <c r="A3967" i="9" s="1"/>
  <c r="A3966" i="9"/>
  <c r="K3966" i="9"/>
  <c r="K3965" i="9"/>
  <c r="A3965" i="9" s="1"/>
  <c r="K3964" i="9"/>
  <c r="A3964" i="9" s="1"/>
  <c r="K3963" i="9"/>
  <c r="A3963" i="9" s="1"/>
  <c r="K3962" i="9"/>
  <c r="A3962" i="9" s="1"/>
  <c r="K3961" i="9"/>
  <c r="A3961" i="9" s="1"/>
  <c r="K3960" i="9"/>
  <c r="A3960" i="9" s="1"/>
  <c r="K3959" i="9"/>
  <c r="A3959" i="9" s="1"/>
  <c r="A3958" i="9"/>
  <c r="K3958" i="9"/>
  <c r="K3957" i="9"/>
  <c r="A3957" i="9" s="1"/>
  <c r="A3956" i="9"/>
  <c r="K3956" i="9"/>
  <c r="K3955" i="9"/>
  <c r="A3955" i="9" s="1"/>
  <c r="K3954" i="9"/>
  <c r="A3954" i="9" s="1"/>
  <c r="K3953" i="9"/>
  <c r="A3953" i="9" s="1"/>
  <c r="K3952" i="9"/>
  <c r="A3952" i="9" s="1"/>
  <c r="K3951" i="9"/>
  <c r="A3951" i="9" s="1"/>
  <c r="A3950" i="9"/>
  <c r="K3950" i="9"/>
  <c r="K3949" i="9"/>
  <c r="A3949" i="9" s="1"/>
  <c r="K3948" i="9"/>
  <c r="A3948" i="9" s="1"/>
  <c r="K3947" i="9"/>
  <c r="A3947" i="9" s="1"/>
  <c r="A3946" i="9"/>
  <c r="K3946" i="9"/>
  <c r="K3945" i="9"/>
  <c r="A3945" i="9" s="1"/>
  <c r="K3944" i="9"/>
  <c r="A3944" i="9" s="1"/>
  <c r="K3943" i="9"/>
  <c r="A3943" i="9" s="1"/>
  <c r="K3942" i="9"/>
  <c r="A3942" i="9" s="1"/>
  <c r="K3941" i="9"/>
  <c r="A3941" i="9" s="1"/>
  <c r="A3940" i="9"/>
  <c r="K3940" i="9"/>
  <c r="K3939" i="9"/>
  <c r="A3939" i="9" s="1"/>
  <c r="K3938" i="9"/>
  <c r="A3938" i="9" s="1"/>
  <c r="K3937" i="9"/>
  <c r="A3937" i="9" s="1"/>
  <c r="K3936" i="9"/>
  <c r="A3936" i="9" s="1"/>
  <c r="K3935" i="9"/>
  <c r="A3935" i="9" s="1"/>
  <c r="A3934" i="9"/>
  <c r="K3934" i="9"/>
  <c r="K3933" i="9"/>
  <c r="A3933" i="9" s="1"/>
  <c r="K3932" i="9"/>
  <c r="A3932" i="9" s="1"/>
  <c r="K3931" i="9"/>
  <c r="A3931" i="9" s="1"/>
  <c r="K3930" i="9"/>
  <c r="A3930" i="9" s="1"/>
  <c r="K3929" i="9"/>
  <c r="A3929" i="9" s="1"/>
  <c r="K3928" i="9"/>
  <c r="A3928" i="9" s="1"/>
  <c r="K3927" i="9"/>
  <c r="A3927" i="9" s="1"/>
  <c r="K3926" i="9"/>
  <c r="A3926" i="9" s="1"/>
  <c r="K3925" i="9"/>
  <c r="A3925" i="9" s="1"/>
  <c r="K3924" i="9"/>
  <c r="A3924" i="9" s="1"/>
  <c r="K3923" i="9"/>
  <c r="A3923" i="9" s="1"/>
  <c r="K3922" i="9"/>
  <c r="A3922" i="9" s="1"/>
  <c r="K3921" i="9"/>
  <c r="A3921" i="9" s="1"/>
  <c r="K3920" i="9"/>
  <c r="A3920" i="9" s="1"/>
  <c r="K3919" i="9"/>
  <c r="A3919" i="9" s="1"/>
  <c r="A3918" i="9"/>
  <c r="K3918" i="9"/>
  <c r="K3917" i="9"/>
  <c r="A3917" i="9" s="1"/>
  <c r="K3916" i="9"/>
  <c r="A3916" i="9" s="1"/>
  <c r="K3915" i="9"/>
  <c r="A3915" i="9" s="1"/>
  <c r="A3914" i="9"/>
  <c r="K3914" i="9"/>
  <c r="K3913" i="9"/>
  <c r="A3913" i="9" s="1"/>
  <c r="K3912" i="9"/>
  <c r="A3912" i="9" s="1"/>
  <c r="K3911" i="9"/>
  <c r="A3911" i="9" s="1"/>
  <c r="K3910" i="9"/>
  <c r="A3910" i="9" s="1"/>
  <c r="K3909" i="9"/>
  <c r="A3909" i="9" s="1"/>
  <c r="A3908" i="9"/>
  <c r="K3908" i="9"/>
  <c r="K3907" i="9"/>
  <c r="A3907" i="9" s="1"/>
  <c r="K3906" i="9"/>
  <c r="A3906" i="9" s="1"/>
  <c r="K3905" i="9"/>
  <c r="A3905" i="9" s="1"/>
  <c r="K3904" i="9"/>
  <c r="A3904" i="9" s="1"/>
  <c r="K3903" i="9"/>
  <c r="A3903" i="9" s="1"/>
  <c r="K3902" i="9"/>
  <c r="A3902" i="9" s="1"/>
  <c r="K3901" i="9"/>
  <c r="A3901" i="9" s="1"/>
  <c r="K3900" i="9"/>
  <c r="A3900" i="9" s="1"/>
  <c r="K3899" i="9"/>
  <c r="A3899" i="9" s="1"/>
  <c r="K3898" i="9"/>
  <c r="A3898" i="9" s="1"/>
  <c r="K3897" i="9"/>
  <c r="A3897" i="9" s="1"/>
  <c r="K3896" i="9"/>
  <c r="A3896" i="9" s="1"/>
  <c r="K3895" i="9"/>
  <c r="A3895" i="9" s="1"/>
  <c r="A3894" i="9"/>
  <c r="K3894" i="9"/>
  <c r="K3893" i="9"/>
  <c r="A3893" i="9" s="1"/>
  <c r="K3892" i="9"/>
  <c r="A3892" i="9" s="1"/>
  <c r="K3891" i="9"/>
  <c r="A3891" i="9" s="1"/>
  <c r="K3890" i="9"/>
  <c r="A3890" i="9" s="1"/>
  <c r="K3889" i="9"/>
  <c r="A3889" i="9" s="1"/>
  <c r="K3888" i="9"/>
  <c r="A3888" i="9" s="1"/>
  <c r="K3887" i="9"/>
  <c r="A3887" i="9" s="1"/>
  <c r="K3886" i="9"/>
  <c r="A3886" i="9" s="1"/>
  <c r="K3885" i="9"/>
  <c r="A3885" i="9" s="1"/>
  <c r="K3884" i="9"/>
  <c r="A3884" i="9" s="1"/>
  <c r="K3883" i="9"/>
  <c r="A3883" i="9" s="1"/>
  <c r="A3882" i="9"/>
  <c r="K3882" i="9"/>
  <c r="K3881" i="9"/>
  <c r="A3881" i="9" s="1"/>
  <c r="K3880" i="9"/>
  <c r="A3880" i="9" s="1"/>
  <c r="K3879" i="9"/>
  <c r="A3879" i="9" s="1"/>
  <c r="K3878" i="9"/>
  <c r="A3878" i="9" s="1"/>
  <c r="K3877" i="9"/>
  <c r="A3877" i="9" s="1"/>
  <c r="A3876" i="9"/>
  <c r="K3876" i="9"/>
  <c r="K3875" i="9"/>
  <c r="A3875" i="9" s="1"/>
  <c r="K3874" i="9"/>
  <c r="A3874" i="9" s="1"/>
  <c r="K3873" i="9"/>
  <c r="A3873" i="9" s="1"/>
  <c r="K3872" i="9"/>
  <c r="A3872" i="9" s="1"/>
  <c r="K3871" i="9"/>
  <c r="A3871" i="9" s="1"/>
  <c r="A3870" i="9"/>
  <c r="K3870" i="9"/>
  <c r="K3869" i="9"/>
  <c r="A3869" i="9" s="1"/>
  <c r="K3868" i="9"/>
  <c r="A3868" i="9" s="1"/>
  <c r="K3867" i="9"/>
  <c r="A3867" i="9" s="1"/>
  <c r="K3865" i="9"/>
  <c r="A3865" i="9" s="1"/>
  <c r="K3866" i="9"/>
  <c r="A3866" i="9" s="1"/>
  <c r="K3864" i="9"/>
  <c r="A3864" i="9" s="1"/>
  <c r="K3863" i="9"/>
  <c r="A3863" i="9" s="1"/>
  <c r="A3862" i="9"/>
  <c r="K3862" i="9"/>
  <c r="K3861" i="9"/>
  <c r="A3861" i="9" s="1"/>
  <c r="K3860" i="9"/>
  <c r="A3860" i="9" s="1"/>
  <c r="K3859" i="9"/>
  <c r="A3859" i="9" s="1"/>
  <c r="K3858" i="9"/>
  <c r="A3858" i="9" s="1"/>
  <c r="K3857" i="9"/>
  <c r="A3857" i="9" s="1"/>
  <c r="K3856" i="9"/>
  <c r="A3856" i="9" s="1"/>
  <c r="K3855" i="9"/>
  <c r="A3855" i="9" s="1"/>
  <c r="A3854" i="9"/>
  <c r="K3854" i="9"/>
  <c r="K3853" i="9"/>
  <c r="A3853" i="9" s="1"/>
  <c r="A3852" i="9"/>
  <c r="K3852" i="9"/>
  <c r="K3851" i="9"/>
  <c r="A3851" i="9" s="1"/>
  <c r="A3849" i="9"/>
  <c r="K3849" i="9"/>
  <c r="K3848" i="9"/>
  <c r="A3848" i="9" s="1"/>
  <c r="K3850" i="9"/>
  <c r="A3850" i="9" s="1"/>
  <c r="K3847" i="9"/>
  <c r="A3847" i="9" s="1"/>
  <c r="A3846" i="9"/>
  <c r="K3846" i="9"/>
  <c r="K3845" i="9"/>
  <c r="A3845" i="9" s="1"/>
  <c r="A3844" i="9"/>
  <c r="K3844" i="9"/>
  <c r="K3843" i="9"/>
  <c r="A3843" i="9" s="1"/>
  <c r="K3842" i="9"/>
  <c r="A3842" i="9" s="1"/>
  <c r="K3841" i="9"/>
  <c r="A3841" i="9" s="1"/>
  <c r="K3840" i="9"/>
  <c r="A3840" i="9" s="1"/>
  <c r="K3839" i="9"/>
  <c r="A3839" i="9" s="1"/>
  <c r="K3838" i="9"/>
  <c r="A3838" i="9" s="1"/>
  <c r="K3837" i="9"/>
  <c r="A3837" i="9" s="1"/>
  <c r="K3836" i="9"/>
  <c r="A3836" i="9" s="1"/>
  <c r="K3835" i="9"/>
  <c r="A3835" i="9" s="1"/>
  <c r="K3834" i="9"/>
  <c r="A3834" i="9" s="1"/>
  <c r="K3833" i="9"/>
  <c r="A3833" i="9" s="1"/>
  <c r="K3832" i="9"/>
  <c r="A3832" i="9" s="1"/>
  <c r="K3831" i="9"/>
  <c r="A3831" i="9" s="1"/>
  <c r="A3830" i="9"/>
  <c r="K3830" i="9"/>
  <c r="K3829" i="9"/>
  <c r="A3829" i="9" s="1"/>
  <c r="K3828" i="9"/>
  <c r="A3828" i="9" s="1"/>
  <c r="K3827" i="9"/>
  <c r="A3827" i="9" s="1"/>
  <c r="K3826" i="9"/>
  <c r="A3826" i="9" s="1"/>
  <c r="K3825" i="9"/>
  <c r="A3825" i="9" s="1"/>
  <c r="K3824" i="9"/>
  <c r="A3824" i="9" s="1"/>
  <c r="K3823" i="9"/>
  <c r="A3823" i="9" s="1"/>
  <c r="K3822" i="9"/>
  <c r="A3822" i="9" s="1"/>
  <c r="K3821" i="9"/>
  <c r="A3821" i="9" s="1"/>
  <c r="K3820" i="9"/>
  <c r="A3820" i="9" s="1"/>
  <c r="K3819" i="9"/>
  <c r="A3819" i="9" s="1"/>
  <c r="A3818" i="9"/>
  <c r="K3818" i="9"/>
  <c r="K3817" i="9"/>
  <c r="A3817" i="9" s="1"/>
  <c r="K3816" i="9"/>
  <c r="A3816" i="9" s="1"/>
  <c r="K3815" i="9"/>
  <c r="A3815" i="9" s="1"/>
  <c r="K3814" i="9"/>
  <c r="A3814" i="9" s="1"/>
  <c r="K3813" i="9"/>
  <c r="A3813" i="9" s="1"/>
  <c r="A3812" i="9"/>
  <c r="K3812" i="9"/>
  <c r="K3811" i="9"/>
  <c r="A3811" i="9" s="1"/>
  <c r="A3810" i="9"/>
  <c r="K3810" i="9"/>
  <c r="K3809" i="9"/>
  <c r="A3809" i="9" s="1"/>
  <c r="K3808" i="9"/>
  <c r="A3808" i="9" s="1"/>
  <c r="K3807" i="9"/>
  <c r="A3807" i="9" s="1"/>
  <c r="A3806" i="9"/>
  <c r="K3806" i="9"/>
  <c r="K3805" i="9"/>
  <c r="A3805" i="9" s="1"/>
  <c r="A3804" i="9"/>
  <c r="K3804" i="9"/>
  <c r="K3803" i="9"/>
  <c r="A3803" i="9" s="1"/>
  <c r="K3802" i="9"/>
  <c r="A3802" i="9" s="1"/>
  <c r="K3801" i="9"/>
  <c r="A3801" i="9" s="1"/>
  <c r="K3800" i="9"/>
  <c r="A3800" i="9" s="1"/>
  <c r="K3799" i="9"/>
  <c r="A3799" i="9" s="1"/>
  <c r="K3798" i="9"/>
  <c r="A3798" i="9" s="1"/>
  <c r="K3797" i="9"/>
  <c r="A3797" i="9" s="1"/>
  <c r="K3796" i="9"/>
  <c r="A3796" i="9" s="1"/>
  <c r="K3795" i="9"/>
  <c r="A3795" i="9" s="1"/>
  <c r="K3794" i="9"/>
  <c r="A3794" i="9" s="1"/>
  <c r="K3793" i="9"/>
  <c r="A3793" i="9" s="1"/>
  <c r="K3792" i="9"/>
  <c r="A3792" i="9" s="1"/>
  <c r="K3791" i="9"/>
  <c r="A3791" i="9" s="1"/>
  <c r="A3790" i="9"/>
  <c r="K3790" i="9"/>
  <c r="K3789" i="9"/>
  <c r="A3789" i="9" s="1"/>
  <c r="K3788" i="9"/>
  <c r="A3788" i="9" s="1"/>
  <c r="K3787" i="9"/>
  <c r="A3787" i="9" s="1"/>
  <c r="A3786" i="9"/>
  <c r="K3786" i="9"/>
  <c r="K3785" i="9"/>
  <c r="A3785" i="9" s="1"/>
  <c r="K3784" i="9"/>
  <c r="A3784" i="9" s="1"/>
  <c r="K3783" i="9"/>
  <c r="A3783" i="9" s="1"/>
  <c r="K3782" i="9"/>
  <c r="A3782" i="9" s="1"/>
  <c r="K3781" i="9"/>
  <c r="A3781" i="9" s="1"/>
  <c r="A3780" i="9"/>
  <c r="K3780" i="9"/>
  <c r="K3779" i="9"/>
  <c r="A3779" i="9" s="1"/>
  <c r="K3778" i="9"/>
  <c r="A3778" i="9" s="1"/>
  <c r="K3777" i="9"/>
  <c r="A3777" i="9" s="1"/>
  <c r="K3776" i="9"/>
  <c r="A3776" i="9" s="1"/>
  <c r="K3775" i="9"/>
  <c r="A3775" i="9" s="1"/>
  <c r="K3774" i="9"/>
  <c r="A3774" i="9" s="1"/>
  <c r="K3773" i="9"/>
  <c r="A3773" i="9" s="1"/>
  <c r="K3772" i="9"/>
  <c r="A3772" i="9" s="1"/>
  <c r="K3771" i="9"/>
  <c r="A3771" i="9" s="1"/>
  <c r="K3770" i="9"/>
  <c r="A3770" i="9" s="1"/>
  <c r="K3769" i="9"/>
  <c r="A3769" i="9" s="1"/>
  <c r="K3768" i="9"/>
  <c r="A3768" i="9" s="1"/>
  <c r="K3767" i="9"/>
  <c r="A3767" i="9" s="1"/>
  <c r="A3766" i="9"/>
  <c r="K3766" i="9"/>
  <c r="K3765" i="9"/>
  <c r="A3765" i="9" s="1"/>
  <c r="K3764" i="9"/>
  <c r="A3764" i="9" s="1"/>
  <c r="K3763" i="9"/>
  <c r="A3763" i="9" s="1"/>
  <c r="K3762" i="9"/>
  <c r="A3762" i="9" s="1"/>
  <c r="K3761" i="9"/>
  <c r="A3761" i="9" s="1"/>
  <c r="K3760" i="9"/>
  <c r="A3760" i="9" s="1"/>
  <c r="K3759" i="9"/>
  <c r="A3759" i="9" s="1"/>
  <c r="A3758" i="9"/>
  <c r="K3758" i="9"/>
  <c r="K3757" i="9"/>
  <c r="A3757" i="9" s="1"/>
  <c r="K3756" i="9"/>
  <c r="A3756" i="9" s="1"/>
  <c r="K3755" i="9"/>
  <c r="A3755" i="9" s="1"/>
  <c r="A3754" i="9"/>
  <c r="K3754" i="9"/>
  <c r="K3753" i="9"/>
  <c r="A3753" i="9" s="1"/>
  <c r="K3752" i="9"/>
  <c r="A3752" i="9" s="1"/>
  <c r="K3751" i="9"/>
  <c r="A3751" i="9" s="1"/>
  <c r="K3750" i="9"/>
  <c r="A3750" i="9" s="1"/>
  <c r="K3749" i="9"/>
  <c r="A3749" i="9" s="1"/>
  <c r="A3747" i="9"/>
  <c r="K3747" i="9"/>
  <c r="K3748" i="9"/>
  <c r="A3748" i="9" s="1"/>
  <c r="K3746" i="9"/>
  <c r="A3746" i="9" s="1"/>
  <c r="K3745" i="9"/>
  <c r="A3745" i="9" s="1"/>
  <c r="K3744" i="9"/>
  <c r="A3744" i="9" s="1"/>
  <c r="K3743" i="9"/>
  <c r="A3743" i="9" s="1"/>
  <c r="A3742" i="9"/>
  <c r="K3742" i="9"/>
  <c r="K3741" i="9"/>
  <c r="A3741" i="9" s="1"/>
  <c r="K3740" i="9"/>
  <c r="A3740" i="9" s="1"/>
  <c r="K3739" i="9"/>
  <c r="A3739" i="9" s="1"/>
  <c r="K3738" i="9"/>
  <c r="A3738" i="9" s="1"/>
  <c r="K3737" i="9"/>
  <c r="A3737" i="9" s="1"/>
  <c r="K3736" i="9"/>
  <c r="A3736" i="9" s="1"/>
  <c r="K3735" i="9"/>
  <c r="A3735" i="9" s="1"/>
  <c r="A3734" i="9"/>
  <c r="K3734" i="9"/>
  <c r="K3733" i="9"/>
  <c r="A3733" i="9" s="1"/>
  <c r="K3732" i="9"/>
  <c r="A3732" i="9" s="1"/>
  <c r="K3731" i="9"/>
  <c r="A3731" i="9" s="1"/>
  <c r="K3730" i="9"/>
  <c r="A3730" i="9" s="1"/>
  <c r="K3729" i="9"/>
  <c r="A3729" i="9" s="1"/>
  <c r="K3728" i="9"/>
  <c r="A3728" i="9" s="1"/>
  <c r="K3727" i="9"/>
  <c r="A3727" i="9" s="1"/>
  <c r="A3726" i="9"/>
  <c r="K3726" i="9"/>
  <c r="K3725" i="9"/>
  <c r="A3725" i="9" s="1"/>
  <c r="A3724" i="9"/>
  <c r="K3724" i="9"/>
  <c r="K3723" i="9"/>
  <c r="A3723" i="9" s="1"/>
  <c r="K3722" i="9"/>
  <c r="A3722" i="9" s="1"/>
  <c r="A3721" i="9"/>
  <c r="K3721" i="9"/>
  <c r="K3720" i="9"/>
  <c r="A3720" i="9" s="1"/>
  <c r="A3719" i="9"/>
  <c r="K3719" i="9"/>
  <c r="K3718" i="9"/>
  <c r="A3718" i="9" s="1"/>
  <c r="A3717" i="9"/>
  <c r="K3717" i="9"/>
  <c r="K3716" i="9"/>
  <c r="A3716" i="9" s="1"/>
  <c r="A3715" i="9"/>
  <c r="K3715" i="9"/>
  <c r="K3714" i="9"/>
  <c r="A3714" i="9" s="1"/>
  <c r="A3713" i="9"/>
  <c r="K3713" i="9"/>
  <c r="K3712" i="9"/>
  <c r="A3712" i="9" s="1"/>
  <c r="A3711" i="9"/>
  <c r="K3711" i="9"/>
  <c r="K3710" i="9"/>
  <c r="A3710" i="9" s="1"/>
  <c r="A3709" i="9"/>
  <c r="K3709" i="9"/>
  <c r="K3708" i="9"/>
  <c r="A3708" i="9" s="1"/>
  <c r="A3707" i="9"/>
  <c r="K3707" i="9"/>
  <c r="K3706" i="9"/>
  <c r="A3706" i="9" s="1"/>
  <c r="A3705" i="9"/>
  <c r="K3705" i="9"/>
  <c r="K3704" i="9"/>
  <c r="A3704" i="9" s="1"/>
  <c r="A3703" i="9"/>
  <c r="K3703" i="9"/>
  <c r="K3702" i="9"/>
  <c r="A3702" i="9" s="1"/>
  <c r="A3701" i="9"/>
  <c r="K3701" i="9"/>
  <c r="K3700" i="9"/>
  <c r="A3700" i="9" s="1"/>
  <c r="A3699" i="9"/>
  <c r="K3699" i="9"/>
  <c r="K3698" i="9"/>
  <c r="A3698" i="9" s="1"/>
  <c r="A3697" i="9"/>
  <c r="K3697" i="9"/>
  <c r="K3696" i="9"/>
  <c r="A3696" i="9" s="1"/>
  <c r="A3695" i="9"/>
  <c r="K3695" i="9"/>
  <c r="K3694" i="9"/>
  <c r="A3694" i="9" s="1"/>
  <c r="A3693" i="9"/>
  <c r="K3693" i="9"/>
  <c r="K3692" i="9"/>
  <c r="A3692" i="9" s="1"/>
  <c r="A3691" i="9"/>
  <c r="K3691" i="9"/>
  <c r="K3690" i="9"/>
  <c r="A3690" i="9" s="1"/>
  <c r="A3689" i="9"/>
  <c r="K3689" i="9"/>
  <c r="K3688" i="9"/>
  <c r="A3688" i="9" s="1"/>
  <c r="A3687" i="9"/>
  <c r="K3687" i="9"/>
  <c r="K3686" i="9"/>
  <c r="A3686" i="9" s="1"/>
  <c r="A3685" i="9"/>
  <c r="K3685" i="9"/>
  <c r="K3684" i="9"/>
  <c r="A3684" i="9" s="1"/>
  <c r="A3683" i="9"/>
  <c r="K3683" i="9"/>
  <c r="K3682" i="9"/>
  <c r="A3682" i="9" s="1"/>
  <c r="A3681" i="9"/>
  <c r="K3681" i="9"/>
  <c r="K3680" i="9"/>
  <c r="A3680" i="9" s="1"/>
  <c r="A3679" i="9"/>
  <c r="K3679" i="9"/>
  <c r="K3678" i="9"/>
  <c r="A3678" i="9" s="1"/>
  <c r="A3677" i="9"/>
  <c r="K3677" i="9"/>
  <c r="K3676" i="9"/>
  <c r="A3676" i="9" s="1"/>
  <c r="A3675" i="9"/>
  <c r="K3675" i="9"/>
  <c r="K3674" i="9"/>
  <c r="A3674" i="9" s="1"/>
  <c r="A3673" i="9"/>
  <c r="K3673" i="9"/>
  <c r="K3672" i="9"/>
  <c r="A3672" i="9" s="1"/>
  <c r="A3671" i="9"/>
  <c r="K3671" i="9"/>
  <c r="K3670" i="9"/>
  <c r="A3670" i="9" s="1"/>
  <c r="A3669" i="9"/>
  <c r="K3669" i="9"/>
  <c r="K3668" i="9"/>
  <c r="A3668" i="9" s="1"/>
  <c r="A3665" i="9"/>
  <c r="K3665" i="9"/>
  <c r="K3664" i="9"/>
  <c r="A3664" i="9" s="1"/>
  <c r="A3667" i="9"/>
  <c r="K3667" i="9"/>
  <c r="K3666" i="9"/>
  <c r="A3666" i="9" s="1"/>
  <c r="A3663" i="9"/>
  <c r="K3663" i="9"/>
  <c r="K3662" i="9"/>
  <c r="A3662" i="9" s="1"/>
  <c r="A3661" i="9"/>
  <c r="K3661" i="9"/>
  <c r="K3660" i="9"/>
  <c r="A3660" i="9" s="1"/>
  <c r="A3659" i="9"/>
  <c r="K3659" i="9"/>
  <c r="K3658" i="9"/>
  <c r="A3658" i="9" s="1"/>
  <c r="A3657" i="9"/>
  <c r="K3657" i="9"/>
  <c r="K3656" i="9"/>
  <c r="A3656" i="9" s="1"/>
  <c r="A3655" i="9"/>
  <c r="K3655" i="9"/>
  <c r="K3654" i="9"/>
  <c r="A3654" i="9" s="1"/>
  <c r="A3653" i="9"/>
  <c r="K3653" i="9"/>
  <c r="K3652" i="9"/>
  <c r="A3652" i="9" s="1"/>
  <c r="A3651" i="9"/>
  <c r="K3651" i="9"/>
  <c r="K3650" i="9"/>
  <c r="A3650" i="9" s="1"/>
  <c r="A3649" i="9"/>
  <c r="K3649" i="9"/>
  <c r="K3648" i="9"/>
  <c r="A3648" i="9" s="1"/>
  <c r="A3647" i="9"/>
  <c r="K3647" i="9"/>
  <c r="K3646" i="9"/>
  <c r="A3646" i="9" s="1"/>
  <c r="A3645" i="9"/>
  <c r="K3645" i="9"/>
  <c r="K3644" i="9"/>
  <c r="A3644" i="9" s="1"/>
  <c r="A3643" i="9"/>
  <c r="K3643" i="9"/>
  <c r="K3642" i="9"/>
  <c r="A3642" i="9" s="1"/>
  <c r="A3641" i="9"/>
  <c r="K3641" i="9"/>
  <c r="K3640" i="9"/>
  <c r="A3640" i="9" s="1"/>
  <c r="A3639" i="9"/>
  <c r="K3639" i="9"/>
  <c r="K3638" i="9"/>
  <c r="A3638" i="9" s="1"/>
  <c r="A3637" i="9"/>
  <c r="K3637" i="9"/>
  <c r="K3636" i="9"/>
  <c r="A3636" i="9" s="1"/>
  <c r="A3635" i="9"/>
  <c r="K3635" i="9"/>
  <c r="K3634" i="9"/>
  <c r="A3634" i="9" s="1"/>
  <c r="A3633" i="9"/>
  <c r="K3633" i="9"/>
  <c r="K3632" i="9"/>
  <c r="A3632" i="9" s="1"/>
  <c r="A3631" i="9"/>
  <c r="K3631" i="9"/>
  <c r="K3630" i="9"/>
  <c r="A3630" i="9" s="1"/>
  <c r="A3629" i="9"/>
  <c r="K3629" i="9"/>
  <c r="K3628" i="9"/>
  <c r="A3628" i="9" s="1"/>
  <c r="A3627" i="9"/>
  <c r="K3627" i="9"/>
  <c r="K3626" i="9"/>
  <c r="A3626" i="9" s="1"/>
  <c r="A3625" i="9"/>
  <c r="K3625" i="9"/>
  <c r="K3624" i="9"/>
  <c r="A3624" i="9" s="1"/>
  <c r="A3623" i="9"/>
  <c r="K3623" i="9"/>
  <c r="K3622" i="9"/>
  <c r="A3622" i="9" s="1"/>
  <c r="A3621" i="9"/>
  <c r="K3621" i="9"/>
  <c r="K3620" i="9"/>
  <c r="A3620" i="9" s="1"/>
  <c r="A3619" i="9"/>
  <c r="K3619" i="9"/>
  <c r="K3618" i="9"/>
  <c r="A3618" i="9" s="1"/>
  <c r="A3617" i="9"/>
  <c r="K3617" i="9"/>
  <c r="K3616" i="9"/>
  <c r="A3616" i="9" s="1"/>
  <c r="A3615" i="9"/>
  <c r="K3615" i="9"/>
  <c r="K3614" i="9"/>
  <c r="A3614" i="9" s="1"/>
  <c r="A3613" i="9"/>
  <c r="K3613" i="9"/>
  <c r="K3612" i="9"/>
  <c r="A3612" i="9" s="1"/>
  <c r="A3611" i="9"/>
  <c r="K3611" i="9"/>
  <c r="K3610" i="9"/>
  <c r="A3610" i="9" s="1"/>
  <c r="A3609" i="9"/>
  <c r="K3609" i="9"/>
  <c r="K3608" i="9"/>
  <c r="A3608" i="9" s="1"/>
  <c r="A3607" i="9"/>
  <c r="K3607" i="9"/>
  <c r="K3606" i="9"/>
  <c r="A3606" i="9" s="1"/>
  <c r="A3605" i="9"/>
  <c r="K3605" i="9"/>
  <c r="K3604" i="9"/>
  <c r="A3604" i="9" s="1"/>
  <c r="A3603" i="9"/>
  <c r="K3603" i="9"/>
  <c r="K3602" i="9"/>
  <c r="A3602" i="9" s="1"/>
  <c r="A3601" i="9"/>
  <c r="K3601" i="9"/>
  <c r="K3600" i="9"/>
  <c r="A3600" i="9" s="1"/>
  <c r="A3599" i="9"/>
  <c r="K3599" i="9"/>
  <c r="K3598" i="9"/>
  <c r="A3598" i="9" s="1"/>
  <c r="A3597" i="9"/>
  <c r="K3597" i="9"/>
  <c r="K3596" i="9"/>
  <c r="A3596" i="9" s="1"/>
  <c r="A3595" i="9"/>
  <c r="K3595" i="9"/>
  <c r="K3594" i="9"/>
  <c r="A3594" i="9" s="1"/>
  <c r="A3587" i="9"/>
  <c r="K3587" i="9"/>
  <c r="K3586" i="9"/>
  <c r="A3586" i="9" s="1"/>
  <c r="A3585" i="9"/>
  <c r="K3585" i="9"/>
  <c r="K3584" i="9"/>
  <c r="A3584" i="9" s="1"/>
  <c r="A3583" i="9"/>
  <c r="K3583" i="9"/>
  <c r="K3577" i="9"/>
  <c r="A3577" i="9" s="1"/>
  <c r="A3576" i="9"/>
  <c r="K3576" i="9"/>
  <c r="K3574" i="9"/>
  <c r="A3574" i="9" s="1"/>
  <c r="A3573" i="9"/>
  <c r="K3573" i="9"/>
  <c r="K3572" i="9"/>
  <c r="A3572" i="9" s="1"/>
  <c r="A3571" i="9"/>
  <c r="K3571" i="9"/>
  <c r="K3570" i="9"/>
  <c r="A3570" i="9" s="1"/>
  <c r="A3569" i="9"/>
  <c r="K3569" i="9"/>
  <c r="K3568" i="9"/>
  <c r="A3568" i="9" s="1"/>
  <c r="A3567" i="9"/>
  <c r="K3567" i="9"/>
  <c r="K3566" i="9"/>
  <c r="A3566" i="9" s="1"/>
  <c r="A3565" i="9"/>
  <c r="K3565" i="9"/>
  <c r="K3553" i="9"/>
  <c r="A3553" i="9" s="1"/>
  <c r="A3548" i="9"/>
  <c r="K3548" i="9"/>
  <c r="K3547" i="9"/>
  <c r="A3547" i="9" s="1"/>
  <c r="A3552" i="9"/>
  <c r="K3552" i="9"/>
  <c r="K3580" i="9"/>
  <c r="A3580" i="9" s="1"/>
  <c r="A3578" i="9"/>
  <c r="K3578" i="9"/>
  <c r="K3579" i="9"/>
  <c r="A3579" i="9" s="1"/>
  <c r="A3564" i="9"/>
  <c r="K3564" i="9"/>
  <c r="K3543" i="9"/>
  <c r="A3543" i="9" s="1"/>
  <c r="A3589" i="9"/>
  <c r="K3589" i="9"/>
  <c r="K3592" i="9"/>
  <c r="A3592" i="9" s="1"/>
  <c r="A3591" i="9"/>
  <c r="K3591" i="9"/>
  <c r="K3593" i="9"/>
  <c r="A3593" i="9" s="1"/>
  <c r="A3551" i="9"/>
  <c r="K3551" i="9"/>
  <c r="K3590" i="9"/>
  <c r="A3590" i="9" s="1"/>
  <c r="A3581" i="9"/>
  <c r="K3581" i="9"/>
  <c r="K3582" i="9"/>
  <c r="A3582" i="9" s="1"/>
  <c r="A3544" i="9"/>
  <c r="K3544" i="9"/>
  <c r="K3562" i="9"/>
  <c r="A3562" i="9" s="1"/>
  <c r="A3561" i="9"/>
  <c r="K3561" i="9"/>
  <c r="K3560" i="9"/>
  <c r="A3560" i="9" s="1"/>
  <c r="A3559" i="9"/>
  <c r="K3559" i="9"/>
  <c r="K3558" i="9"/>
  <c r="A3558" i="9" s="1"/>
  <c r="A3557" i="9"/>
  <c r="K3557" i="9"/>
  <c r="K3556" i="9"/>
  <c r="A3556" i="9" s="1"/>
  <c r="A3555" i="9"/>
  <c r="K3555" i="9"/>
  <c r="K3554" i="9"/>
  <c r="A3554" i="9" s="1"/>
  <c r="A3546" i="9"/>
  <c r="K3546" i="9"/>
  <c r="K3550" i="9"/>
  <c r="A3550" i="9" s="1"/>
  <c r="A3545" i="9"/>
  <c r="K3545" i="9"/>
  <c r="K3549" i="9"/>
  <c r="A3549" i="9" s="1"/>
  <c r="A3563" i="9"/>
  <c r="K3563" i="9"/>
  <c r="K3575" i="9"/>
  <c r="A3575" i="9" s="1"/>
  <c r="A3588" i="9"/>
  <c r="K3588" i="9"/>
  <c r="K3542" i="9"/>
  <c r="A3542" i="9" s="1"/>
  <c r="A3541" i="9"/>
  <c r="K3541" i="9"/>
  <c r="K3540" i="9"/>
  <c r="A3540" i="9" s="1"/>
  <c r="A3539" i="9"/>
  <c r="K3539" i="9"/>
  <c r="K3538" i="9"/>
  <c r="A3538" i="9" s="1"/>
  <c r="A3537" i="9"/>
  <c r="K3537" i="9"/>
  <c r="K3536" i="9"/>
  <c r="A3536" i="9" s="1"/>
  <c r="A3535" i="9"/>
  <c r="K3535" i="9"/>
  <c r="K3534" i="9"/>
  <c r="A3534" i="9" s="1"/>
  <c r="A3533" i="9"/>
  <c r="K3533" i="9"/>
  <c r="K3532" i="9"/>
  <c r="A3532" i="9" s="1"/>
  <c r="A3531" i="9"/>
  <c r="K3531" i="9"/>
  <c r="K3530" i="9"/>
  <c r="A3530" i="9" s="1"/>
  <c r="A3529" i="9"/>
  <c r="K3529" i="9"/>
  <c r="K3528" i="9"/>
  <c r="A3528" i="9" s="1"/>
  <c r="A3527" i="9"/>
  <c r="K3527" i="9"/>
  <c r="K3526" i="9"/>
  <c r="A3526" i="9" s="1"/>
  <c r="A3525" i="9"/>
  <c r="K3525" i="9"/>
  <c r="K3524" i="9"/>
  <c r="A3524" i="9" s="1"/>
  <c r="A3523" i="9"/>
  <c r="K3523" i="9"/>
  <c r="K3522" i="9"/>
  <c r="A3522" i="9" s="1"/>
  <c r="A3521" i="9"/>
  <c r="K3521" i="9"/>
  <c r="K3520" i="9"/>
  <c r="A3520" i="9" s="1"/>
  <c r="A3519" i="9"/>
  <c r="K3519" i="9"/>
  <c r="K3518" i="9"/>
  <c r="A3518" i="9" s="1"/>
  <c r="A3517" i="9"/>
  <c r="K3517" i="9"/>
  <c r="K3516" i="9"/>
  <c r="A3516" i="9" s="1"/>
  <c r="A3515" i="9"/>
  <c r="K3515" i="9"/>
  <c r="K3514" i="9"/>
  <c r="A3514" i="9" s="1"/>
  <c r="A3513" i="9"/>
  <c r="K3513" i="9"/>
  <c r="K3512" i="9"/>
  <c r="A3512" i="9" s="1"/>
  <c r="A3511" i="9"/>
  <c r="K3511" i="9"/>
  <c r="K3510" i="9"/>
  <c r="A3510" i="9" s="1"/>
  <c r="A3509" i="9"/>
  <c r="K3509" i="9"/>
  <c r="K3508" i="9"/>
  <c r="A3508" i="9" s="1"/>
  <c r="A3507" i="9"/>
  <c r="K3507" i="9"/>
  <c r="K3506" i="9"/>
  <c r="A3506" i="9" s="1"/>
  <c r="A3505" i="9"/>
  <c r="K3505" i="9"/>
  <c r="K3504" i="9"/>
  <c r="A3504" i="9" s="1"/>
  <c r="A3503" i="9"/>
  <c r="K3503" i="9"/>
  <c r="K3502" i="9"/>
  <c r="A3502" i="9" s="1"/>
  <c r="A3501" i="9"/>
  <c r="K3501" i="9"/>
  <c r="K3500" i="9"/>
  <c r="A3500" i="9" s="1"/>
  <c r="A3499" i="9"/>
  <c r="K3499" i="9"/>
  <c r="K3498" i="9"/>
  <c r="A3498" i="9" s="1"/>
  <c r="A3497" i="9"/>
  <c r="K3497" i="9"/>
  <c r="K3496" i="9"/>
  <c r="A3496" i="9" s="1"/>
  <c r="A3495" i="9"/>
  <c r="K3495" i="9"/>
  <c r="K3494" i="9"/>
  <c r="A3494" i="9" s="1"/>
  <c r="A3493" i="9"/>
  <c r="K3493" i="9"/>
  <c r="K3492" i="9"/>
  <c r="A3492" i="9" s="1"/>
  <c r="A3491" i="9"/>
  <c r="K3491" i="9"/>
  <c r="K3490" i="9"/>
  <c r="A3490" i="9" s="1"/>
  <c r="A3489" i="9"/>
  <c r="K3489" i="9"/>
  <c r="K3488" i="9"/>
  <c r="A3488" i="9" s="1"/>
  <c r="A3487" i="9"/>
  <c r="K3487" i="9"/>
  <c r="K3486" i="9"/>
  <c r="A3486" i="9" s="1"/>
  <c r="A3485" i="9"/>
  <c r="K3485" i="9"/>
  <c r="K3484" i="9"/>
  <c r="A3484" i="9" s="1"/>
  <c r="A3483" i="9"/>
  <c r="K3483" i="9"/>
  <c r="K3479" i="9"/>
  <c r="A3479" i="9" s="1"/>
  <c r="A3480" i="9"/>
  <c r="K3480" i="9"/>
  <c r="K3482" i="9"/>
  <c r="A3482" i="9" s="1"/>
  <c r="A3481" i="9"/>
  <c r="K3481" i="9"/>
  <c r="K3476" i="9"/>
  <c r="A3476" i="9" s="1"/>
  <c r="A3477" i="9"/>
  <c r="K3477" i="9"/>
  <c r="K3478" i="9"/>
  <c r="A3478" i="9" s="1"/>
  <c r="A3474" i="9"/>
  <c r="K3474" i="9"/>
  <c r="K3473" i="9"/>
  <c r="A3473" i="9" s="1"/>
  <c r="A3475" i="9"/>
  <c r="K3475" i="9"/>
  <c r="K3472" i="9"/>
  <c r="A3472" i="9" s="1"/>
  <c r="A3471" i="9"/>
  <c r="K3471" i="9"/>
  <c r="K3470" i="9"/>
  <c r="A3470" i="9" s="1"/>
  <c r="A3469" i="9"/>
  <c r="K3469" i="9"/>
  <c r="K3468" i="9"/>
  <c r="A3468" i="9" s="1"/>
  <c r="A3467" i="9"/>
  <c r="K3467" i="9"/>
  <c r="K3466" i="9"/>
  <c r="A3466" i="9" s="1"/>
  <c r="A3465" i="9"/>
  <c r="K3465" i="9"/>
  <c r="K3464" i="9"/>
  <c r="A3464" i="9" s="1"/>
  <c r="A3463" i="9"/>
  <c r="K3463" i="9"/>
  <c r="K3462" i="9"/>
  <c r="A3462" i="9" s="1"/>
  <c r="A3461" i="9"/>
  <c r="K3461" i="9"/>
  <c r="K3460" i="9"/>
  <c r="A3460" i="9" s="1"/>
  <c r="A3459" i="9"/>
  <c r="K3459" i="9"/>
  <c r="K3458" i="9"/>
  <c r="A3458" i="9" s="1"/>
  <c r="A3457" i="9"/>
  <c r="K3457" i="9"/>
  <c r="K3456" i="9"/>
  <c r="A3456" i="9" s="1"/>
  <c r="A3455" i="9"/>
  <c r="K3455" i="9"/>
  <c r="K3454" i="9"/>
  <c r="A3454" i="9" s="1"/>
  <c r="A3453" i="9"/>
  <c r="K3453" i="9"/>
  <c r="K3452" i="9"/>
  <c r="A3452" i="9" s="1"/>
  <c r="A3451" i="9"/>
  <c r="K3451" i="9"/>
  <c r="K3450" i="9"/>
  <c r="A3450" i="9" s="1"/>
  <c r="A3449" i="9"/>
  <c r="K3449" i="9"/>
  <c r="K3448" i="9"/>
  <c r="A3448" i="9" s="1"/>
  <c r="A3447" i="9"/>
  <c r="K3447" i="9"/>
  <c r="K3446" i="9"/>
  <c r="A3446" i="9" s="1"/>
  <c r="A3445" i="9"/>
  <c r="K3445" i="9"/>
  <c r="K3444" i="9"/>
  <c r="A3444" i="9" s="1"/>
  <c r="A3443" i="9"/>
  <c r="K3443" i="9"/>
  <c r="K3442" i="9"/>
  <c r="A3442" i="9" s="1"/>
  <c r="A3441" i="9"/>
  <c r="K3441" i="9"/>
  <c r="K3440" i="9"/>
  <c r="A3440" i="9" s="1"/>
  <c r="A3439" i="9"/>
  <c r="K3439" i="9"/>
  <c r="K3438" i="9"/>
  <c r="A3438" i="9" s="1"/>
  <c r="A3437" i="9"/>
  <c r="K3437" i="9"/>
  <c r="K3436" i="9"/>
  <c r="A3436" i="9" s="1"/>
  <c r="A3435" i="9"/>
  <c r="K3435" i="9"/>
  <c r="K3434" i="9"/>
  <c r="A3434" i="9" s="1"/>
  <c r="A3433" i="9"/>
  <c r="K3433" i="9"/>
  <c r="K3432" i="9"/>
  <c r="A3432" i="9" s="1"/>
  <c r="A3431" i="9"/>
  <c r="K3431" i="9"/>
  <c r="K3430" i="9"/>
  <c r="A3430" i="9" s="1"/>
  <c r="A3429" i="9"/>
  <c r="K3429" i="9"/>
  <c r="K3428" i="9"/>
  <c r="A3428" i="9" s="1"/>
  <c r="A3427" i="9"/>
  <c r="K3427" i="9"/>
  <c r="K3426" i="9"/>
  <c r="A3426" i="9" s="1"/>
  <c r="A3425" i="9"/>
  <c r="K3425" i="9"/>
  <c r="K3424" i="9"/>
  <c r="A3424" i="9" s="1"/>
  <c r="A3423" i="9"/>
  <c r="K3423" i="9"/>
  <c r="K3422" i="9"/>
  <c r="A3422" i="9" s="1"/>
  <c r="A3421" i="9"/>
  <c r="K3421" i="9"/>
  <c r="K3420" i="9"/>
  <c r="A3420" i="9" s="1"/>
  <c r="A3419" i="9"/>
  <c r="K3419" i="9"/>
  <c r="K3418" i="9"/>
  <c r="A3418" i="9" s="1"/>
  <c r="A3417" i="9"/>
  <c r="K3417" i="9"/>
  <c r="K3416" i="9"/>
  <c r="A3416" i="9" s="1"/>
  <c r="A3415" i="9"/>
  <c r="K3415" i="9"/>
  <c r="K3414" i="9"/>
  <c r="A3414" i="9" s="1"/>
  <c r="A3413" i="9"/>
  <c r="K3413" i="9"/>
  <c r="K3412" i="9"/>
  <c r="A3412" i="9" s="1"/>
  <c r="A3411" i="9"/>
  <c r="K3411" i="9"/>
  <c r="K3407" i="9"/>
  <c r="A3407" i="9" s="1"/>
  <c r="A3406" i="9"/>
  <c r="K3406" i="9"/>
  <c r="K3410" i="9"/>
  <c r="A3410" i="9" s="1"/>
  <c r="A3405" i="9"/>
  <c r="K3405" i="9"/>
  <c r="K3409" i="9"/>
  <c r="A3409" i="9" s="1"/>
  <c r="A3408" i="9"/>
  <c r="K3408" i="9"/>
  <c r="K3404" i="9"/>
  <c r="A3404" i="9" s="1"/>
  <c r="A3403" i="9"/>
  <c r="K3403" i="9"/>
  <c r="K3402" i="9"/>
  <c r="A3402" i="9" s="1"/>
  <c r="A3401" i="9"/>
  <c r="K3401" i="9"/>
  <c r="K3400" i="9"/>
  <c r="A3400" i="9" s="1"/>
  <c r="A3399" i="9"/>
  <c r="K3399" i="9"/>
  <c r="K3398" i="9"/>
  <c r="A3398" i="9" s="1"/>
  <c r="A3397" i="9"/>
  <c r="K3397" i="9"/>
  <c r="K3396" i="9"/>
  <c r="A3396" i="9" s="1"/>
  <c r="A3395" i="9"/>
  <c r="K3395" i="9"/>
  <c r="K3394" i="9"/>
  <c r="A3394" i="9" s="1"/>
  <c r="A3393" i="9"/>
  <c r="K3393" i="9"/>
  <c r="K3392" i="9"/>
  <c r="A3392" i="9" s="1"/>
  <c r="A3391" i="9"/>
  <c r="K3391" i="9"/>
  <c r="K3390" i="9"/>
  <c r="A3390" i="9" s="1"/>
  <c r="A3389" i="9"/>
  <c r="K3389" i="9"/>
  <c r="K3388" i="9"/>
  <c r="A3388" i="9" s="1"/>
  <c r="A3387" i="9"/>
  <c r="K3387" i="9"/>
  <c r="K3386" i="9"/>
  <c r="A3386" i="9" s="1"/>
  <c r="A3385" i="9"/>
  <c r="K3385" i="9"/>
  <c r="K3384" i="9"/>
  <c r="A3384" i="9" s="1"/>
  <c r="A3383" i="9"/>
  <c r="K3383" i="9"/>
  <c r="K3382" i="9"/>
  <c r="A3382" i="9" s="1"/>
  <c r="A3381" i="9"/>
  <c r="K3381" i="9"/>
  <c r="K3380" i="9"/>
  <c r="A3380" i="9" s="1"/>
  <c r="A3379" i="9"/>
  <c r="K3379" i="9"/>
  <c r="K3378" i="9"/>
  <c r="A3378" i="9" s="1"/>
  <c r="A3377" i="9"/>
  <c r="K3377" i="9"/>
  <c r="K3376" i="9"/>
  <c r="A3376" i="9" s="1"/>
  <c r="A3375" i="9"/>
  <c r="K3375" i="9"/>
  <c r="K3374" i="9"/>
  <c r="A3374" i="9" s="1"/>
  <c r="A3373" i="9"/>
  <c r="K3373" i="9"/>
  <c r="K3372" i="9"/>
  <c r="A3372" i="9" s="1"/>
  <c r="A3371" i="9"/>
  <c r="K3371" i="9"/>
  <c r="K3370" i="9"/>
  <c r="A3370" i="9" s="1"/>
  <c r="A3369" i="9"/>
  <c r="K3369" i="9"/>
  <c r="K3368" i="9"/>
  <c r="A3368" i="9" s="1"/>
  <c r="A3367" i="9"/>
  <c r="K3367" i="9"/>
  <c r="K3366" i="9"/>
  <c r="A3366" i="9" s="1"/>
  <c r="A3365" i="9"/>
  <c r="K3365" i="9"/>
  <c r="K3364" i="9"/>
  <c r="A3364" i="9" s="1"/>
  <c r="A3363" i="9"/>
  <c r="K3363" i="9"/>
  <c r="K3362" i="9"/>
  <c r="A3362" i="9" s="1"/>
  <c r="A3361" i="9"/>
  <c r="K3361" i="9"/>
  <c r="K3360" i="9"/>
  <c r="A3360" i="9" s="1"/>
  <c r="A3359" i="9"/>
  <c r="K3359" i="9"/>
  <c r="K3358" i="9"/>
  <c r="A3358" i="9" s="1"/>
  <c r="A3357" i="9"/>
  <c r="K3357" i="9"/>
  <c r="K3356" i="9"/>
  <c r="A3356" i="9" s="1"/>
  <c r="A3355" i="9"/>
  <c r="K3355" i="9"/>
  <c r="K3354" i="9"/>
  <c r="A3354" i="9" s="1"/>
  <c r="A3353" i="9"/>
  <c r="K3353" i="9"/>
  <c r="K3352" i="9"/>
  <c r="A3352" i="9" s="1"/>
  <c r="A3351" i="9"/>
  <c r="K3351" i="9"/>
  <c r="K3350" i="9"/>
  <c r="A3350" i="9" s="1"/>
  <c r="A3349" i="9"/>
  <c r="K3349" i="9"/>
  <c r="K3348" i="9"/>
  <c r="A3348" i="9" s="1"/>
  <c r="A3347" i="9"/>
  <c r="K3347" i="9"/>
  <c r="K3346" i="9"/>
  <c r="A3346" i="9" s="1"/>
  <c r="A3345" i="9"/>
  <c r="K3345" i="9"/>
  <c r="K3344" i="9"/>
  <c r="A3344" i="9" s="1"/>
  <c r="A3343" i="9"/>
  <c r="K3343" i="9"/>
  <c r="K3342" i="9"/>
  <c r="A3342" i="9" s="1"/>
  <c r="A3341" i="9"/>
  <c r="K3341" i="9"/>
  <c r="K3340" i="9"/>
  <c r="A3340" i="9" s="1"/>
  <c r="A3339" i="9"/>
  <c r="K3339" i="9"/>
  <c r="K3338" i="9"/>
  <c r="A3338" i="9" s="1"/>
  <c r="A3337" i="9"/>
  <c r="K3337" i="9"/>
  <c r="K3336" i="9"/>
  <c r="A3336" i="9" s="1"/>
  <c r="A3335" i="9"/>
  <c r="K3335" i="9"/>
  <c r="K3334" i="9"/>
  <c r="A3334" i="9" s="1"/>
  <c r="A3333" i="9"/>
  <c r="K3333" i="9"/>
  <c r="K3332" i="9"/>
  <c r="A3332" i="9" s="1"/>
  <c r="A3331" i="9"/>
  <c r="K3331" i="9"/>
  <c r="K3330" i="9"/>
  <c r="A3330" i="9" s="1"/>
  <c r="A3329" i="9"/>
  <c r="K3329" i="9"/>
  <c r="K3328" i="9"/>
  <c r="A3328" i="9" s="1"/>
  <c r="A3327" i="9"/>
  <c r="K3327" i="9"/>
  <c r="K3326" i="9"/>
  <c r="A3326" i="9" s="1"/>
  <c r="A3325" i="9"/>
  <c r="K3325" i="9"/>
  <c r="K3324" i="9"/>
  <c r="A3324" i="9" s="1"/>
  <c r="K3323" i="9"/>
  <c r="A3323" i="9" s="1"/>
  <c r="K3322" i="9"/>
  <c r="A3322" i="9" s="1"/>
  <c r="A3321" i="9"/>
  <c r="K3321" i="9"/>
  <c r="K3320" i="9"/>
  <c r="A3320" i="9" s="1"/>
  <c r="K3319" i="9"/>
  <c r="A3319" i="9" s="1"/>
  <c r="K3318" i="9"/>
  <c r="A3318" i="9" s="1"/>
  <c r="A3317" i="9"/>
  <c r="K3317" i="9"/>
  <c r="K3316" i="9"/>
  <c r="A3316" i="9" s="1"/>
  <c r="K3315" i="9"/>
  <c r="A3315" i="9" s="1"/>
  <c r="K3314" i="9"/>
  <c r="A3314" i="9" s="1"/>
  <c r="A3313" i="9"/>
  <c r="K3313" i="9"/>
  <c r="K3312" i="9"/>
  <c r="A3312" i="9" s="1"/>
  <c r="K3311" i="9"/>
  <c r="A3311" i="9" s="1"/>
  <c r="K3310" i="9"/>
  <c r="A3310" i="9" s="1"/>
  <c r="A3309" i="9"/>
  <c r="K3309" i="9"/>
  <c r="K3308" i="9"/>
  <c r="A3308" i="9" s="1"/>
  <c r="K3307" i="9"/>
  <c r="A3307" i="9" s="1"/>
  <c r="K3306" i="9"/>
  <c r="A3306" i="9" s="1"/>
  <c r="A3305" i="9"/>
  <c r="K3305" i="9"/>
  <c r="K3304" i="9"/>
  <c r="A3304" i="9" s="1"/>
  <c r="K3303" i="9"/>
  <c r="A3303" i="9" s="1"/>
  <c r="K3302" i="9"/>
  <c r="A3302" i="9" s="1"/>
  <c r="A3301" i="9"/>
  <c r="K3301" i="9"/>
  <c r="K3300" i="9"/>
  <c r="A3300" i="9" s="1"/>
  <c r="K3299" i="9"/>
  <c r="A3299" i="9" s="1"/>
  <c r="K3298" i="9"/>
  <c r="A3298" i="9" s="1"/>
  <c r="A3297" i="9"/>
  <c r="K3297" i="9"/>
  <c r="K3296" i="9"/>
  <c r="A3296" i="9" s="1"/>
  <c r="K3295" i="9"/>
  <c r="A3295" i="9" s="1"/>
  <c r="K3294" i="9"/>
  <c r="A3294" i="9" s="1"/>
  <c r="A3293" i="9"/>
  <c r="K3293" i="9"/>
  <c r="K3292" i="9"/>
  <c r="A3292" i="9" s="1"/>
  <c r="K3291" i="9"/>
  <c r="A3291" i="9" s="1"/>
  <c r="K3290" i="9"/>
  <c r="A3290" i="9" s="1"/>
  <c r="A3289" i="9"/>
  <c r="K3289" i="9"/>
  <c r="K3288" i="9"/>
  <c r="A3288" i="9" s="1"/>
  <c r="K3287" i="9"/>
  <c r="A3287" i="9" s="1"/>
  <c r="K3286" i="9"/>
  <c r="A3286" i="9" s="1"/>
  <c r="A2951" i="9"/>
  <c r="K2951" i="9"/>
  <c r="K2950" i="9"/>
  <c r="A2950" i="9" s="1"/>
  <c r="K3211" i="9"/>
  <c r="A3211" i="9" s="1"/>
  <c r="K3210" i="9"/>
  <c r="A3210" i="9" s="1"/>
  <c r="A3209" i="9"/>
  <c r="K3209" i="9"/>
  <c r="K3208" i="9"/>
  <c r="A3208" i="9" s="1"/>
  <c r="K3207" i="9"/>
  <c r="A3207" i="9" s="1"/>
  <c r="K3206" i="9"/>
  <c r="A3206" i="9" s="1"/>
  <c r="A3205" i="9"/>
  <c r="K3205" i="9"/>
  <c r="K3204" i="9"/>
  <c r="A3204" i="9" s="1"/>
  <c r="K3203" i="9"/>
  <c r="A3203" i="9" s="1"/>
  <c r="K3202" i="9"/>
  <c r="A3202" i="9" s="1"/>
  <c r="A3201" i="9"/>
  <c r="K3201" i="9"/>
  <c r="K3200" i="9"/>
  <c r="A3200" i="9" s="1"/>
  <c r="K3199" i="9"/>
  <c r="A3199" i="9" s="1"/>
  <c r="K3198" i="9"/>
  <c r="A3198" i="9" s="1"/>
  <c r="A3197" i="9"/>
  <c r="K3197" i="9"/>
  <c r="K3196" i="9"/>
  <c r="A3196" i="9" s="1"/>
  <c r="K3195" i="9"/>
  <c r="A3195" i="9" s="1"/>
  <c r="K3194" i="9"/>
  <c r="A3194" i="9" s="1"/>
  <c r="A3193" i="9"/>
  <c r="K3193" i="9"/>
  <c r="K3192" i="9"/>
  <c r="A3192" i="9" s="1"/>
  <c r="K3191" i="9"/>
  <c r="A3191" i="9" s="1"/>
  <c r="K3190" i="9"/>
  <c r="A3190" i="9" s="1"/>
  <c r="A3189" i="9"/>
  <c r="K3189" i="9"/>
  <c r="K3188" i="9"/>
  <c r="A3188" i="9" s="1"/>
  <c r="K3187" i="9"/>
  <c r="A3187" i="9" s="1"/>
  <c r="K3186" i="9"/>
  <c r="A3186" i="9" s="1"/>
  <c r="A3185" i="9"/>
  <c r="K3185" i="9"/>
  <c r="K3184" i="9"/>
  <c r="A3184" i="9" s="1"/>
  <c r="K3183" i="9"/>
  <c r="A3183" i="9" s="1"/>
  <c r="K3182" i="9"/>
  <c r="A3182" i="9" s="1"/>
  <c r="A2949" i="9"/>
  <c r="K2949" i="9"/>
  <c r="K2948" i="9"/>
  <c r="A2948" i="9" s="1"/>
  <c r="K3181" i="9"/>
  <c r="A3181" i="9" s="1"/>
  <c r="K3180" i="9"/>
  <c r="A3180" i="9" s="1"/>
  <c r="A3179" i="9"/>
  <c r="K3179" i="9"/>
  <c r="K3178" i="9"/>
  <c r="A3178" i="9" s="1"/>
  <c r="K3177" i="9"/>
  <c r="A3177" i="9" s="1"/>
  <c r="K3176" i="9"/>
  <c r="A3176" i="9" s="1"/>
  <c r="A3175" i="9"/>
  <c r="K3175" i="9"/>
  <c r="K3174" i="9"/>
  <c r="A3174" i="9" s="1"/>
  <c r="K3173" i="9"/>
  <c r="A3173" i="9" s="1"/>
  <c r="K3172" i="9"/>
  <c r="A3172" i="9" s="1"/>
  <c r="A3171" i="9"/>
  <c r="K3171" i="9"/>
  <c r="K3170" i="9"/>
  <c r="A3170" i="9" s="1"/>
  <c r="K3169" i="9"/>
  <c r="A3169" i="9" s="1"/>
  <c r="K3168" i="9"/>
  <c r="A3168" i="9" s="1"/>
  <c r="A3167" i="9"/>
  <c r="K3167" i="9"/>
  <c r="K3166" i="9"/>
  <c r="A3166" i="9" s="1"/>
  <c r="K3165" i="9"/>
  <c r="A3165" i="9" s="1"/>
  <c r="K3164" i="9"/>
  <c r="A3164" i="9" s="1"/>
  <c r="A3163" i="9"/>
  <c r="K3163" i="9"/>
  <c r="K3162" i="9"/>
  <c r="A3162" i="9" s="1"/>
  <c r="K3161" i="9"/>
  <c r="A3161" i="9" s="1"/>
  <c r="K3160" i="9"/>
  <c r="A3160" i="9" s="1"/>
  <c r="A3159" i="9"/>
  <c r="K3159" i="9"/>
  <c r="K3158" i="9"/>
  <c r="A3158" i="9" s="1"/>
  <c r="K3157" i="9"/>
  <c r="A3157" i="9" s="1"/>
  <c r="K3156" i="9"/>
  <c r="A3156" i="9" s="1"/>
  <c r="A3155" i="9"/>
  <c r="K3155" i="9"/>
  <c r="K3154" i="9"/>
  <c r="A3154" i="9" s="1"/>
  <c r="K3153" i="9"/>
  <c r="A3153" i="9" s="1"/>
  <c r="K3152" i="9"/>
  <c r="A3152" i="9" s="1"/>
  <c r="A2947" i="9"/>
  <c r="K2947" i="9"/>
  <c r="K2946" i="9"/>
  <c r="A2946" i="9" s="1"/>
  <c r="K3151" i="9"/>
  <c r="A3151" i="9" s="1"/>
  <c r="K3150" i="9"/>
  <c r="A3150" i="9" s="1"/>
  <c r="A3149" i="9"/>
  <c r="K3149" i="9"/>
  <c r="K3148" i="9"/>
  <c r="A3148" i="9" s="1"/>
  <c r="K3147" i="9"/>
  <c r="A3147" i="9" s="1"/>
  <c r="K3146" i="9"/>
  <c r="A3146" i="9" s="1"/>
  <c r="A3145" i="9"/>
  <c r="K3145" i="9"/>
  <c r="K3144" i="9"/>
  <c r="A3144" i="9" s="1"/>
  <c r="K3143" i="9"/>
  <c r="A3143" i="9" s="1"/>
  <c r="K3142" i="9"/>
  <c r="A3142" i="9" s="1"/>
  <c r="A3141" i="9"/>
  <c r="K3141" i="9"/>
  <c r="K3140" i="9"/>
  <c r="A3140" i="9" s="1"/>
  <c r="K3139" i="9"/>
  <c r="A3139" i="9" s="1"/>
  <c r="K3138" i="9"/>
  <c r="A3138" i="9" s="1"/>
  <c r="A3137" i="9"/>
  <c r="K3137" i="9"/>
  <c r="K3136" i="9"/>
  <c r="A3136" i="9" s="1"/>
  <c r="K3135" i="9"/>
  <c r="A3135" i="9" s="1"/>
  <c r="K3134" i="9"/>
  <c r="A3134" i="9" s="1"/>
  <c r="A3133" i="9"/>
  <c r="K3133" i="9"/>
  <c r="K3132" i="9"/>
  <c r="A3132" i="9" s="1"/>
  <c r="K2945" i="9"/>
  <c r="A2945" i="9" s="1"/>
  <c r="K2944" i="9"/>
  <c r="A2944" i="9" s="1"/>
  <c r="A3131" i="9"/>
  <c r="K3131" i="9"/>
  <c r="K3130" i="9"/>
  <c r="A3130" i="9" s="1"/>
  <c r="K3129" i="9"/>
  <c r="A3129" i="9" s="1"/>
  <c r="K3128" i="9"/>
  <c r="A3128" i="9" s="1"/>
  <c r="A3127" i="9"/>
  <c r="K3127" i="9"/>
  <c r="K3126" i="9"/>
  <c r="A3126" i="9" s="1"/>
  <c r="K3125" i="9"/>
  <c r="A3125" i="9" s="1"/>
  <c r="K3124" i="9"/>
  <c r="A3124" i="9" s="1"/>
  <c r="A3123" i="9"/>
  <c r="K3123" i="9"/>
  <c r="K3122" i="9"/>
  <c r="A3122" i="9" s="1"/>
  <c r="K3121" i="9"/>
  <c r="A3121" i="9" s="1"/>
  <c r="K3120" i="9"/>
  <c r="A3120" i="9" s="1"/>
  <c r="A3119" i="9"/>
  <c r="K3119" i="9"/>
  <c r="K3118" i="9"/>
  <c r="A3118" i="9" s="1"/>
  <c r="K3117" i="9"/>
  <c r="A3117" i="9" s="1"/>
  <c r="K3116" i="9"/>
  <c r="A3116" i="9" s="1"/>
  <c r="A3115" i="9"/>
  <c r="K3115" i="9"/>
  <c r="K3114" i="9"/>
  <c r="A3114" i="9" s="1"/>
  <c r="K3113" i="9"/>
  <c r="A3113" i="9" s="1"/>
  <c r="K3112" i="9"/>
  <c r="A3112" i="9" s="1"/>
  <c r="A2943" i="9"/>
  <c r="K2943" i="9"/>
  <c r="K2942" i="9"/>
  <c r="A2942" i="9" s="1"/>
  <c r="K3111" i="9"/>
  <c r="A3111" i="9" s="1"/>
  <c r="K3110" i="9"/>
  <c r="A3110" i="9" s="1"/>
  <c r="A3109" i="9"/>
  <c r="K3109" i="9"/>
  <c r="K3108" i="9"/>
  <c r="A3108" i="9" s="1"/>
  <c r="K3107" i="9"/>
  <c r="A3107" i="9" s="1"/>
  <c r="K3106" i="9"/>
  <c r="A3106" i="9" s="1"/>
  <c r="A3105" i="9"/>
  <c r="K3105" i="9"/>
  <c r="K3104" i="9"/>
  <c r="A3104" i="9" s="1"/>
  <c r="K3103" i="9"/>
  <c r="A3103" i="9" s="1"/>
  <c r="K3102" i="9"/>
  <c r="A3102" i="9" s="1"/>
  <c r="A3101" i="9"/>
  <c r="K3101" i="9"/>
  <c r="K3100" i="9"/>
  <c r="A3100" i="9" s="1"/>
  <c r="K3099" i="9"/>
  <c r="A3099" i="9" s="1"/>
  <c r="K3098" i="9"/>
  <c r="A3098" i="9" s="1"/>
  <c r="A3097" i="9"/>
  <c r="K3097" i="9"/>
  <c r="K3096" i="9"/>
  <c r="A3096" i="9" s="1"/>
  <c r="K3095" i="9"/>
  <c r="A3095" i="9" s="1"/>
  <c r="K3094" i="9"/>
  <c r="A3094" i="9" s="1"/>
  <c r="A3093" i="9"/>
  <c r="K3093" i="9"/>
  <c r="K3092" i="9"/>
  <c r="A3092" i="9" s="1"/>
  <c r="K3091" i="9"/>
  <c r="A3091" i="9" s="1"/>
  <c r="K3090" i="9"/>
  <c r="A3090" i="9" s="1"/>
  <c r="A3089" i="9"/>
  <c r="K3089" i="9"/>
  <c r="K3088" i="9"/>
  <c r="A3088" i="9" s="1"/>
  <c r="K3087" i="9"/>
  <c r="A3087" i="9" s="1"/>
  <c r="K3086" i="9"/>
  <c r="A3086" i="9" s="1"/>
  <c r="A3085" i="9"/>
  <c r="K3085" i="9"/>
  <c r="K3084" i="9"/>
  <c r="A3084" i="9" s="1"/>
  <c r="K3083" i="9"/>
  <c r="A3083" i="9" s="1"/>
  <c r="K3082" i="9"/>
  <c r="A3082" i="9" s="1"/>
  <c r="A3081" i="9"/>
  <c r="K3081" i="9"/>
  <c r="K2941" i="9"/>
  <c r="A2941" i="9" s="1"/>
  <c r="K2940" i="9"/>
  <c r="A2940" i="9" s="1"/>
  <c r="K3080" i="9"/>
  <c r="A3080" i="9" s="1"/>
  <c r="A3079" i="9"/>
  <c r="K3079" i="9"/>
  <c r="K3078" i="9"/>
  <c r="A3078" i="9" s="1"/>
  <c r="K3077" i="9"/>
  <c r="A3077" i="9" s="1"/>
  <c r="K3076" i="9"/>
  <c r="A3076" i="9" s="1"/>
  <c r="A3075" i="9"/>
  <c r="K3075" i="9"/>
  <c r="K3074" i="9"/>
  <c r="A3074" i="9" s="1"/>
  <c r="K3073" i="9"/>
  <c r="A3073" i="9" s="1"/>
  <c r="K3072" i="9"/>
  <c r="A3072" i="9" s="1"/>
  <c r="A3071" i="9"/>
  <c r="K3071" i="9"/>
  <c r="K3070" i="9"/>
  <c r="A3070" i="9" s="1"/>
  <c r="K3069" i="9"/>
  <c r="A3069" i="9" s="1"/>
  <c r="K3068" i="9"/>
  <c r="A3068" i="9" s="1"/>
  <c r="A3067" i="9"/>
  <c r="K3067" i="9"/>
  <c r="K3066" i="9"/>
  <c r="A3066" i="9" s="1"/>
  <c r="K3065" i="9"/>
  <c r="A3065" i="9" s="1"/>
  <c r="K3064" i="9"/>
  <c r="A3064" i="9" s="1"/>
  <c r="A3063" i="9"/>
  <c r="K3063" i="9"/>
  <c r="K3062" i="9"/>
  <c r="A3062" i="9" s="1"/>
  <c r="K3061" i="9"/>
  <c r="A3061" i="9" s="1"/>
  <c r="K3060" i="9"/>
  <c r="A3060" i="9" s="1"/>
  <c r="A3059" i="9"/>
  <c r="K3059" i="9"/>
  <c r="K3058" i="9"/>
  <c r="A3058" i="9" s="1"/>
  <c r="K3057" i="9"/>
  <c r="A3057" i="9" s="1"/>
  <c r="K3056" i="9"/>
  <c r="A3056" i="9" s="1"/>
  <c r="A3055" i="9"/>
  <c r="K3055" i="9"/>
  <c r="K3054" i="9"/>
  <c r="A3054" i="9" s="1"/>
  <c r="K3053" i="9"/>
  <c r="A3053" i="9" s="1"/>
  <c r="K3052" i="9"/>
  <c r="A3052" i="9" s="1"/>
  <c r="A3051" i="9"/>
  <c r="K3051" i="9"/>
  <c r="K3050" i="9"/>
  <c r="A3050" i="9" s="1"/>
  <c r="K3049" i="9"/>
  <c r="A3049" i="9" s="1"/>
  <c r="K3048" i="9"/>
  <c r="A3048" i="9" s="1"/>
  <c r="A3047" i="9"/>
  <c r="K3047" i="9"/>
  <c r="K3046" i="9"/>
  <c r="A3046" i="9" s="1"/>
  <c r="K2939" i="9"/>
  <c r="A2939" i="9" s="1"/>
  <c r="K2938" i="9"/>
  <c r="A2938" i="9" s="1"/>
  <c r="A3045" i="9"/>
  <c r="K3045" i="9"/>
  <c r="K3044" i="9"/>
  <c r="A3044" i="9" s="1"/>
  <c r="K3043" i="9"/>
  <c r="A3043" i="9" s="1"/>
  <c r="K3042" i="9"/>
  <c r="A3042" i="9" s="1"/>
  <c r="A3041" i="9"/>
  <c r="K3041" i="9"/>
  <c r="K3040" i="9"/>
  <c r="A3040" i="9" s="1"/>
  <c r="K3039" i="9"/>
  <c r="A3039" i="9" s="1"/>
  <c r="K3038" i="9"/>
  <c r="A3038" i="9" s="1"/>
  <c r="A3037" i="9"/>
  <c r="K3037" i="9"/>
  <c r="K3036" i="9"/>
  <c r="A3036" i="9" s="1"/>
  <c r="K3035" i="9"/>
  <c r="A3035" i="9" s="1"/>
  <c r="K3034" i="9"/>
  <c r="A3034" i="9" s="1"/>
  <c r="A3033" i="9"/>
  <c r="K3033" i="9"/>
  <c r="K3032" i="9"/>
  <c r="A3032" i="9" s="1"/>
  <c r="K3031" i="9"/>
  <c r="A3031" i="9" s="1"/>
  <c r="K3030" i="9"/>
  <c r="A3030" i="9" s="1"/>
  <c r="A3029" i="9"/>
  <c r="K3029" i="9"/>
  <c r="K3028" i="9"/>
  <c r="A3028" i="9" s="1"/>
  <c r="K3027" i="9"/>
  <c r="A3027" i="9" s="1"/>
  <c r="K3026" i="9"/>
  <c r="A3026" i="9" s="1"/>
  <c r="A3025" i="9"/>
  <c r="K3025" i="9"/>
  <c r="K3024" i="9"/>
  <c r="A3024" i="9" s="1"/>
  <c r="K3023" i="9"/>
  <c r="A3023" i="9" s="1"/>
  <c r="K3022" i="9"/>
  <c r="A3022" i="9" s="1"/>
  <c r="A3021" i="9"/>
  <c r="K3021" i="9"/>
  <c r="K3020" i="9"/>
  <c r="A3020" i="9" s="1"/>
  <c r="K3019" i="9"/>
  <c r="A3019" i="9" s="1"/>
  <c r="K3018" i="9"/>
  <c r="A3018" i="9" s="1"/>
  <c r="A3017" i="9"/>
  <c r="K3017" i="9"/>
  <c r="K3016" i="9"/>
  <c r="A3016" i="9" s="1"/>
  <c r="K3015" i="9"/>
  <c r="A3015" i="9" s="1"/>
  <c r="K3014" i="9"/>
  <c r="A3014" i="9" s="1"/>
  <c r="A3013" i="9"/>
  <c r="K3013" i="9"/>
  <c r="K3012" i="9"/>
  <c r="A3012" i="9" s="1"/>
  <c r="K3011" i="9"/>
  <c r="A3011" i="9" s="1"/>
  <c r="K2937" i="9"/>
  <c r="A2937" i="9" s="1"/>
  <c r="A2936" i="9"/>
  <c r="K2936" i="9"/>
  <c r="K3010" i="9"/>
  <c r="A3010" i="9" s="1"/>
  <c r="K3009" i="9"/>
  <c r="A3009" i="9" s="1"/>
  <c r="K3008" i="9"/>
  <c r="A3008" i="9" s="1"/>
  <c r="A3007" i="9"/>
  <c r="K3007" i="9"/>
  <c r="K3006" i="9"/>
  <c r="A3006" i="9" s="1"/>
  <c r="K3005" i="9"/>
  <c r="A3005" i="9" s="1"/>
  <c r="K3004" i="9"/>
  <c r="A3004" i="9" s="1"/>
  <c r="A3003" i="9"/>
  <c r="K3003" i="9"/>
  <c r="A3002" i="9"/>
  <c r="K3002" i="9"/>
  <c r="A3001" i="9"/>
  <c r="K3001" i="9"/>
  <c r="A3000" i="9"/>
  <c r="K3000" i="9"/>
  <c r="A2999" i="9"/>
  <c r="K2999" i="9"/>
  <c r="A2998" i="9"/>
  <c r="K2998" i="9"/>
  <c r="A2997" i="9"/>
  <c r="K2997" i="9"/>
  <c r="A2996" i="9"/>
  <c r="K2996" i="9"/>
  <c r="A2995" i="9"/>
  <c r="K2995" i="9"/>
  <c r="A2994" i="9"/>
  <c r="K2994" i="9"/>
  <c r="A2993" i="9"/>
  <c r="K2993" i="9"/>
  <c r="A2992" i="9"/>
  <c r="K2992" i="9"/>
  <c r="A2991" i="9"/>
  <c r="K2991" i="9"/>
  <c r="A2990" i="9"/>
  <c r="K2990" i="9"/>
  <c r="A2989" i="9"/>
  <c r="K2989" i="9"/>
  <c r="A2988" i="9"/>
  <c r="K2988" i="9"/>
  <c r="A2987" i="9"/>
  <c r="K2987" i="9"/>
  <c r="A2986" i="9"/>
  <c r="K2986" i="9"/>
  <c r="A2985" i="9"/>
  <c r="K2985" i="9"/>
  <c r="A2984" i="9"/>
  <c r="K2984" i="9"/>
  <c r="A2983" i="9"/>
  <c r="K2983" i="9"/>
  <c r="A2982" i="9"/>
  <c r="K2982" i="9"/>
  <c r="A2981" i="9"/>
  <c r="K2981" i="9"/>
  <c r="A2980" i="9"/>
  <c r="K2980" i="9"/>
  <c r="A2979" i="9"/>
  <c r="K2979" i="9"/>
  <c r="A2978" i="9"/>
  <c r="K2978" i="9"/>
  <c r="A2977" i="9"/>
  <c r="K2977" i="9"/>
  <c r="A2976" i="9"/>
  <c r="K2976" i="9"/>
  <c r="A2935" i="9"/>
  <c r="K2935" i="9"/>
  <c r="A2934" i="9"/>
  <c r="K2934" i="9"/>
  <c r="A2975" i="9"/>
  <c r="K2975" i="9"/>
  <c r="A2974" i="9"/>
  <c r="K2974" i="9"/>
  <c r="A2973" i="9"/>
  <c r="K2973" i="9"/>
  <c r="A2972" i="9"/>
  <c r="K2972" i="9"/>
  <c r="A2971" i="9"/>
  <c r="K2971" i="9"/>
  <c r="A2970" i="9"/>
  <c r="K2970" i="9"/>
  <c r="A2969" i="9"/>
  <c r="K2969" i="9"/>
  <c r="A2968" i="9"/>
  <c r="K2968" i="9"/>
  <c r="A2967" i="9"/>
  <c r="K2967" i="9"/>
  <c r="A2966" i="9"/>
  <c r="K2966" i="9"/>
  <c r="A2965" i="9"/>
  <c r="K2965" i="9"/>
  <c r="A2964" i="9"/>
  <c r="K2964" i="9"/>
  <c r="A2963" i="9"/>
  <c r="K2963" i="9"/>
  <c r="A2962" i="9"/>
  <c r="K2962" i="9"/>
  <c r="A2961" i="9"/>
  <c r="K2961" i="9"/>
  <c r="A2960" i="9"/>
  <c r="K2960" i="9"/>
  <c r="A2959" i="9"/>
  <c r="K2959" i="9"/>
  <c r="A2958" i="9"/>
  <c r="K2958" i="9"/>
  <c r="A2957" i="9"/>
  <c r="K2957" i="9"/>
  <c r="A2956" i="9"/>
  <c r="K2956" i="9"/>
  <c r="A3285" i="9"/>
  <c r="K3285" i="9"/>
  <c r="A3284" i="9"/>
  <c r="K3284" i="9"/>
  <c r="A3283" i="9"/>
  <c r="K3283" i="9"/>
  <c r="A3282" i="9"/>
  <c r="K3282" i="9"/>
  <c r="A3281" i="9"/>
  <c r="K3281" i="9"/>
  <c r="A3280" i="9"/>
  <c r="K3280" i="9"/>
  <c r="A3279" i="9"/>
  <c r="K3279" i="9"/>
  <c r="A3278" i="9"/>
  <c r="K3278" i="9"/>
  <c r="A3277" i="9"/>
  <c r="K3277" i="9"/>
  <c r="A3276" i="9"/>
  <c r="K3276" i="9"/>
  <c r="A3275" i="9"/>
  <c r="K3275" i="9"/>
  <c r="A3274" i="9"/>
  <c r="K3274" i="9"/>
  <c r="A3273" i="9"/>
  <c r="K3273" i="9"/>
  <c r="A3272" i="9"/>
  <c r="K3272" i="9"/>
  <c r="A2955" i="9"/>
  <c r="K2955" i="9"/>
  <c r="A2954" i="9"/>
  <c r="K2954" i="9"/>
  <c r="A3271" i="9"/>
  <c r="K3271" i="9"/>
  <c r="A3270" i="9"/>
  <c r="K3270" i="9"/>
  <c r="A3269" i="9"/>
  <c r="K3269" i="9"/>
  <c r="A3268" i="9"/>
  <c r="K3268" i="9"/>
  <c r="A3267" i="9"/>
  <c r="K3267" i="9"/>
  <c r="A3266" i="9"/>
  <c r="K3266" i="9"/>
  <c r="A3265" i="9"/>
  <c r="K3265" i="9"/>
  <c r="A3264" i="9"/>
  <c r="K3264" i="9"/>
  <c r="A3263" i="9"/>
  <c r="K3263" i="9"/>
  <c r="A3262" i="9"/>
  <c r="K3262" i="9"/>
  <c r="A3261" i="9"/>
  <c r="K3261" i="9"/>
  <c r="A3260" i="9"/>
  <c r="K3260" i="9"/>
  <c r="A3259" i="9"/>
  <c r="K3259" i="9"/>
  <c r="A3258" i="9"/>
  <c r="K3258" i="9"/>
  <c r="A3257" i="9"/>
  <c r="K3257" i="9"/>
  <c r="A3256" i="9"/>
  <c r="K3256" i="9"/>
  <c r="A3255" i="9"/>
  <c r="K3255" i="9"/>
  <c r="A3254" i="9"/>
  <c r="K3254" i="9"/>
  <c r="A3253" i="9"/>
  <c r="K3253" i="9"/>
  <c r="A3252" i="9"/>
  <c r="K3252" i="9"/>
  <c r="A3251" i="9"/>
  <c r="K3251" i="9"/>
  <c r="A3250" i="9"/>
  <c r="K3250" i="9"/>
  <c r="A3249" i="9"/>
  <c r="K3249" i="9"/>
  <c r="A3248" i="9"/>
  <c r="K3248" i="9"/>
  <c r="A3247" i="9"/>
  <c r="K3247" i="9"/>
  <c r="A3246" i="9"/>
  <c r="K3246" i="9"/>
  <c r="A3245" i="9"/>
  <c r="K3245" i="9"/>
  <c r="A3244" i="9"/>
  <c r="K3244" i="9"/>
  <c r="A3243" i="9"/>
  <c r="K3243" i="9"/>
  <c r="A3242" i="9"/>
  <c r="K3242" i="9"/>
  <c r="A2953" i="9"/>
  <c r="K2953" i="9"/>
  <c r="A2952" i="9"/>
  <c r="K2952" i="9"/>
  <c r="A3241" i="9"/>
  <c r="K3241" i="9"/>
  <c r="A3240" i="9"/>
  <c r="K3240" i="9"/>
  <c r="A3239" i="9"/>
  <c r="K3239" i="9"/>
  <c r="A3238" i="9"/>
  <c r="K3238" i="9"/>
  <c r="A3237" i="9"/>
  <c r="K3237" i="9"/>
  <c r="A3236" i="9"/>
  <c r="K3236" i="9"/>
  <c r="A3235" i="9"/>
  <c r="K3235" i="9"/>
  <c r="A3234" i="9"/>
  <c r="K3234" i="9"/>
  <c r="A3233" i="9"/>
  <c r="K3233" i="9"/>
  <c r="A3232" i="9"/>
  <c r="K3232" i="9"/>
  <c r="A3231" i="9"/>
  <c r="K3231" i="9"/>
  <c r="A3230" i="9"/>
  <c r="K3230" i="9"/>
  <c r="A3229" i="9"/>
  <c r="K3229" i="9"/>
  <c r="A3228" i="9"/>
  <c r="K3228" i="9"/>
  <c r="A3227" i="9"/>
  <c r="K3227" i="9"/>
  <c r="A3226" i="9"/>
  <c r="K3226" i="9"/>
  <c r="A3225" i="9"/>
  <c r="K3225" i="9"/>
  <c r="A3224" i="9"/>
  <c r="K3224" i="9"/>
  <c r="A3223" i="9"/>
  <c r="K3223" i="9"/>
  <c r="A3222" i="9"/>
  <c r="K3222" i="9"/>
  <c r="A3221" i="9"/>
  <c r="K3221" i="9"/>
  <c r="A3220" i="9"/>
  <c r="K3220" i="9"/>
  <c r="A3219" i="9"/>
  <c r="K3219" i="9"/>
  <c r="A3218" i="9"/>
  <c r="K3218" i="9"/>
  <c r="A3217" i="9"/>
  <c r="K3217" i="9"/>
  <c r="A3216" i="9"/>
  <c r="K3216" i="9"/>
  <c r="A3215" i="9"/>
  <c r="K3215" i="9"/>
  <c r="A3214" i="9"/>
  <c r="K3214" i="9"/>
  <c r="A3213" i="9"/>
  <c r="K3213" i="9"/>
  <c r="A3212" i="9"/>
  <c r="K3212" i="9"/>
  <c r="A2933" i="9"/>
  <c r="K2933" i="9"/>
  <c r="A2932" i="9"/>
  <c r="K2932" i="9"/>
  <c r="A2931" i="9"/>
  <c r="K2931" i="9"/>
  <c r="A2930" i="9"/>
  <c r="K2930" i="9"/>
  <c r="A2929" i="9"/>
  <c r="K2929" i="9"/>
  <c r="A2928" i="9"/>
  <c r="K2928" i="9"/>
  <c r="A2927" i="9"/>
  <c r="K2927" i="9"/>
  <c r="A2926" i="9"/>
  <c r="K2926" i="9"/>
  <c r="A2925" i="9"/>
  <c r="K2925" i="9"/>
  <c r="A2924" i="9"/>
  <c r="K2924" i="9"/>
  <c r="A2923" i="9"/>
  <c r="K2923" i="9"/>
  <c r="A2922" i="9"/>
  <c r="K2922" i="9"/>
  <c r="A2921" i="9"/>
  <c r="K2921" i="9"/>
  <c r="A2920" i="9"/>
  <c r="K2920" i="9"/>
  <c r="A2919" i="9"/>
  <c r="K2919" i="9"/>
  <c r="A2918" i="9"/>
  <c r="K2918" i="9"/>
  <c r="A2917" i="9"/>
  <c r="K2917" i="9"/>
  <c r="A2916" i="9"/>
  <c r="K2916" i="9"/>
  <c r="A2915" i="9"/>
  <c r="K2915" i="9"/>
  <c r="A2914" i="9"/>
  <c r="K2914" i="9"/>
  <c r="A2913" i="9"/>
  <c r="K2913" i="9"/>
  <c r="A2912" i="9"/>
  <c r="K2912" i="9"/>
  <c r="A2911" i="9"/>
  <c r="K2911" i="9"/>
  <c r="A2910" i="9"/>
  <c r="K2910" i="9"/>
  <c r="A2909" i="9"/>
  <c r="K2909" i="9"/>
  <c r="A2908" i="9"/>
  <c r="K2908" i="9"/>
  <c r="A2907" i="9"/>
  <c r="K2907" i="9"/>
  <c r="A2906" i="9"/>
  <c r="K2906" i="9"/>
  <c r="A2905" i="9"/>
  <c r="K2905" i="9"/>
  <c r="A2904" i="9"/>
  <c r="K2904" i="9"/>
  <c r="A2903" i="9"/>
  <c r="K2903" i="9"/>
  <c r="A2902" i="9"/>
  <c r="K2902" i="9"/>
  <c r="A2901" i="9"/>
  <c r="K2901" i="9"/>
  <c r="A2900" i="9"/>
  <c r="K2900" i="9"/>
  <c r="A2899" i="9"/>
  <c r="K2899" i="9"/>
  <c r="A2898" i="9"/>
  <c r="K2898" i="9"/>
  <c r="A2897" i="9"/>
  <c r="K2897" i="9"/>
  <c r="A2896" i="9"/>
  <c r="K2896" i="9"/>
  <c r="A2895" i="9"/>
  <c r="K2895" i="9"/>
  <c r="A2894" i="9"/>
  <c r="K2894" i="9"/>
  <c r="A2893" i="9"/>
  <c r="K2893" i="9"/>
  <c r="A2892" i="9"/>
  <c r="K2892" i="9"/>
  <c r="A2891" i="9"/>
  <c r="K2891" i="9"/>
  <c r="A2890" i="9"/>
  <c r="K2890" i="9"/>
  <c r="A2889" i="9"/>
  <c r="K2889" i="9"/>
  <c r="A2888" i="9"/>
  <c r="K2888" i="9"/>
  <c r="A2887" i="9"/>
  <c r="K2887" i="9"/>
  <c r="A2886" i="9"/>
  <c r="K2886" i="9"/>
  <c r="A2885" i="9"/>
  <c r="K2885" i="9"/>
  <c r="A2884" i="9"/>
  <c r="K2884" i="9"/>
  <c r="A2883" i="9"/>
  <c r="K2883" i="9"/>
  <c r="A2882" i="9"/>
  <c r="K2882" i="9"/>
  <c r="A2881" i="9"/>
  <c r="K2881" i="9"/>
  <c r="A2880" i="9"/>
  <c r="K2880" i="9"/>
  <c r="A2879" i="9"/>
  <c r="K2879" i="9"/>
  <c r="A2878" i="9"/>
  <c r="K2878" i="9"/>
  <c r="A2876" i="9"/>
  <c r="K2876" i="9"/>
  <c r="A2875" i="9"/>
  <c r="K2875" i="9"/>
  <c r="A2877" i="9"/>
  <c r="K2877" i="9"/>
  <c r="A2874" i="9"/>
  <c r="K2874" i="9"/>
  <c r="A2873" i="9"/>
  <c r="K2873" i="9"/>
  <c r="A2872" i="9"/>
  <c r="K2872" i="9"/>
  <c r="A2871" i="9"/>
  <c r="K2871" i="9"/>
  <c r="A2870" i="9"/>
  <c r="K2870" i="9"/>
  <c r="A2869" i="9"/>
  <c r="K2869" i="9"/>
  <c r="A2868" i="9"/>
  <c r="K2868" i="9"/>
  <c r="A2867" i="9"/>
  <c r="K2867" i="9"/>
  <c r="A2866" i="9"/>
  <c r="K2866" i="9"/>
  <c r="A2865" i="9"/>
  <c r="K2865" i="9"/>
  <c r="A2864" i="9"/>
  <c r="K2864" i="9"/>
  <c r="A2863" i="9"/>
  <c r="K2863" i="9"/>
  <c r="A2862" i="9"/>
  <c r="K2862" i="9"/>
  <c r="A2861" i="9"/>
  <c r="K2861" i="9"/>
  <c r="A2860" i="9"/>
  <c r="K2860" i="9"/>
  <c r="A2859" i="9"/>
  <c r="K2859" i="9"/>
  <c r="A2858" i="9"/>
  <c r="K2858" i="9"/>
  <c r="A2857" i="9"/>
  <c r="K2857" i="9"/>
  <c r="A2856" i="9"/>
  <c r="K2856" i="9"/>
  <c r="A2855" i="9"/>
  <c r="K2855" i="9"/>
  <c r="A2854" i="9"/>
  <c r="K2854" i="9"/>
  <c r="A2853" i="9"/>
  <c r="K2853" i="9"/>
  <c r="A2852" i="9"/>
  <c r="K2852" i="9"/>
  <c r="A2851" i="9"/>
  <c r="K2851" i="9"/>
  <c r="A2850" i="9"/>
  <c r="K2850" i="9"/>
  <c r="A2849" i="9"/>
  <c r="K2849" i="9"/>
  <c r="A2848" i="9"/>
  <c r="K2848" i="9"/>
  <c r="A2847" i="9"/>
  <c r="K2847" i="9"/>
  <c r="A2846" i="9"/>
  <c r="K2846" i="9"/>
  <c r="A2845" i="9"/>
  <c r="K2845" i="9"/>
  <c r="A2844" i="9"/>
  <c r="K2844" i="9"/>
  <c r="A2843" i="9"/>
  <c r="K2843" i="9"/>
  <c r="A2842" i="9"/>
  <c r="K2842" i="9"/>
  <c r="A2841" i="9"/>
  <c r="K2841" i="9"/>
  <c r="A2840" i="9"/>
  <c r="K2840" i="9"/>
  <c r="A2839" i="9"/>
  <c r="K2839" i="9"/>
  <c r="A2838" i="9"/>
  <c r="K2838" i="9"/>
  <c r="A2837" i="9"/>
  <c r="K2837" i="9"/>
  <c r="A2836" i="9"/>
  <c r="K2836" i="9"/>
  <c r="A2835" i="9"/>
  <c r="K2835" i="9"/>
  <c r="A2834" i="9"/>
  <c r="K2834" i="9"/>
  <c r="A2833" i="9"/>
  <c r="K2833" i="9"/>
  <c r="A2832" i="9"/>
  <c r="K2832" i="9"/>
  <c r="A2831" i="9"/>
  <c r="K2831" i="9"/>
  <c r="A2830" i="9"/>
  <c r="K2830" i="9"/>
  <c r="A2829" i="9"/>
  <c r="K2829" i="9"/>
  <c r="A2828" i="9"/>
  <c r="K2828" i="9"/>
  <c r="A2827" i="9"/>
  <c r="K2827" i="9"/>
  <c r="A2826" i="9"/>
  <c r="K2826" i="9"/>
  <c r="A2825" i="9"/>
  <c r="K2825" i="9"/>
  <c r="A2824" i="9"/>
  <c r="K2824" i="9"/>
  <c r="A2823" i="9"/>
  <c r="K2823" i="9"/>
  <c r="A2822" i="9"/>
  <c r="K2822" i="9"/>
  <c r="A2821" i="9"/>
  <c r="K2821" i="9"/>
  <c r="A2820" i="9"/>
  <c r="K2820" i="9"/>
  <c r="A2819" i="9"/>
  <c r="K2819" i="9"/>
  <c r="A2818" i="9"/>
  <c r="K2818" i="9"/>
  <c r="A2817" i="9"/>
  <c r="K2817" i="9"/>
  <c r="A2816" i="9"/>
  <c r="K2816" i="9"/>
  <c r="A2815" i="9"/>
  <c r="K2815" i="9"/>
  <c r="A2814" i="9"/>
  <c r="K2814" i="9"/>
  <c r="A2813" i="9"/>
  <c r="K2813" i="9"/>
  <c r="A2812" i="9"/>
  <c r="K2812" i="9"/>
  <c r="A2811" i="9"/>
  <c r="K2811" i="9"/>
  <c r="A2810" i="9"/>
  <c r="K2810" i="9"/>
  <c r="A2809" i="9"/>
  <c r="K2809" i="9"/>
  <c r="A2808" i="9"/>
  <c r="K2808" i="9"/>
  <c r="A2807" i="9"/>
  <c r="K2807" i="9"/>
  <c r="A2806" i="9"/>
  <c r="K2806" i="9"/>
  <c r="A2805" i="9"/>
  <c r="K2805" i="9"/>
  <c r="A2804" i="9"/>
  <c r="K2804" i="9"/>
  <c r="A2803" i="9"/>
  <c r="K2803" i="9"/>
  <c r="A2802" i="9"/>
  <c r="K2802" i="9"/>
  <c r="A2801" i="9"/>
  <c r="K2801" i="9"/>
  <c r="A2800" i="9"/>
  <c r="K2800" i="9"/>
  <c r="A2799" i="9"/>
  <c r="K2799" i="9"/>
  <c r="A2798" i="9"/>
  <c r="K2798" i="9"/>
  <c r="A2797" i="9"/>
  <c r="K2797" i="9"/>
  <c r="A2796" i="9"/>
  <c r="K2796" i="9"/>
  <c r="A2795" i="9"/>
  <c r="K2795" i="9"/>
  <c r="A2794" i="9"/>
  <c r="K2794" i="9"/>
  <c r="A2793" i="9"/>
  <c r="K2793" i="9"/>
  <c r="A2792" i="9"/>
  <c r="K2792" i="9"/>
  <c r="A2791" i="9"/>
  <c r="K2791" i="9"/>
  <c r="A2790" i="9"/>
  <c r="K2790" i="9"/>
  <c r="A2789" i="9"/>
  <c r="K2789" i="9"/>
  <c r="A2788" i="9"/>
  <c r="K2788" i="9"/>
  <c r="A2787" i="9"/>
  <c r="K2787" i="9"/>
  <c r="A2786" i="9"/>
  <c r="K2786" i="9"/>
  <c r="A2785" i="9"/>
  <c r="K2785" i="9"/>
  <c r="A2784" i="9"/>
  <c r="K2784" i="9"/>
  <c r="A2783" i="9"/>
  <c r="K2783" i="9"/>
  <c r="A2782" i="9"/>
  <c r="K2782" i="9"/>
  <c r="A2781" i="9"/>
  <c r="K2781" i="9"/>
  <c r="A2780" i="9"/>
  <c r="K2780" i="9"/>
  <c r="A2779" i="9"/>
  <c r="K2779" i="9"/>
  <c r="A2778" i="9"/>
  <c r="K2778" i="9"/>
  <c r="A2777" i="9"/>
  <c r="K2777" i="9"/>
  <c r="A2776" i="9"/>
  <c r="K2776" i="9"/>
  <c r="A2775" i="9"/>
  <c r="K2775" i="9"/>
  <c r="A2774" i="9"/>
  <c r="K2774" i="9"/>
  <c r="A2773" i="9"/>
  <c r="K2773" i="9"/>
  <c r="A2772" i="9"/>
  <c r="K2772" i="9"/>
  <c r="A2771" i="9"/>
  <c r="K2771" i="9"/>
  <c r="A2770" i="9"/>
  <c r="K2770" i="9"/>
  <c r="A2769" i="9"/>
  <c r="K2769" i="9"/>
  <c r="A2768" i="9"/>
  <c r="K2768" i="9"/>
  <c r="A2767" i="9"/>
  <c r="K2767" i="9"/>
  <c r="A2766" i="9"/>
  <c r="K2766" i="9"/>
  <c r="A2765" i="9"/>
  <c r="K2765" i="9"/>
  <c r="A2764" i="9"/>
  <c r="K2764" i="9"/>
  <c r="A2763" i="9"/>
  <c r="K2763" i="9"/>
  <c r="A2762" i="9"/>
  <c r="K2762" i="9"/>
  <c r="A2761" i="9"/>
  <c r="K2761" i="9"/>
  <c r="A2760" i="9"/>
  <c r="K2760" i="9"/>
  <c r="A2759" i="9"/>
  <c r="K2759" i="9"/>
  <c r="A2758" i="9"/>
  <c r="K2758" i="9"/>
  <c r="A2757" i="9"/>
  <c r="K2757" i="9"/>
  <c r="A2756" i="9"/>
  <c r="K2756" i="9"/>
  <c r="A2755" i="9"/>
  <c r="K2755" i="9"/>
  <c r="A2754" i="9"/>
  <c r="K2754" i="9"/>
  <c r="A2753" i="9"/>
  <c r="K2753" i="9"/>
  <c r="A2752" i="9"/>
  <c r="K2752" i="9"/>
  <c r="A2751" i="9"/>
  <c r="K2751" i="9"/>
  <c r="A2750" i="9"/>
  <c r="K2750" i="9"/>
  <c r="A2749" i="9"/>
  <c r="K2749" i="9"/>
  <c r="A2748" i="9"/>
  <c r="K2748" i="9"/>
  <c r="A2747" i="9"/>
  <c r="K2747" i="9"/>
  <c r="A2746" i="9"/>
  <c r="K2746" i="9"/>
  <c r="A2745" i="9"/>
  <c r="K2745" i="9"/>
  <c r="A2744" i="9"/>
  <c r="K2744" i="9"/>
  <c r="A2743" i="9"/>
  <c r="K2743" i="9"/>
  <c r="A2742" i="9"/>
  <c r="K2742" i="9"/>
  <c r="A2741" i="9"/>
  <c r="K2741" i="9"/>
  <c r="A2740" i="9"/>
  <c r="K2740" i="9"/>
  <c r="A2739" i="9"/>
  <c r="K2739" i="9"/>
  <c r="A2738" i="9"/>
  <c r="K2738" i="9"/>
  <c r="A2737" i="9"/>
  <c r="K2737" i="9"/>
  <c r="A2736" i="9"/>
  <c r="K2736" i="9"/>
  <c r="A2735" i="9"/>
  <c r="K2735" i="9"/>
  <c r="A2734" i="9"/>
  <c r="K2734" i="9"/>
  <c r="A2733" i="9"/>
  <c r="K2733" i="9"/>
  <c r="A2732" i="9"/>
  <c r="K2732" i="9"/>
  <c r="A2731" i="9"/>
  <c r="K2731" i="9"/>
  <c r="A2730" i="9"/>
  <c r="K2730" i="9"/>
  <c r="A2729" i="9"/>
  <c r="K2729" i="9"/>
  <c r="A2728" i="9"/>
  <c r="K2728" i="9"/>
  <c r="A2727" i="9"/>
  <c r="K2727" i="9"/>
  <c r="A2726" i="9"/>
  <c r="K2726" i="9"/>
  <c r="A2725" i="9"/>
  <c r="K2725" i="9"/>
  <c r="A2724" i="9"/>
  <c r="K2724" i="9"/>
  <c r="A2723" i="9"/>
  <c r="K2723" i="9"/>
  <c r="A2722" i="9"/>
  <c r="K2722" i="9"/>
  <c r="A2721" i="9"/>
  <c r="K2721" i="9"/>
  <c r="A2720" i="9"/>
  <c r="K2720" i="9"/>
  <c r="A2719" i="9"/>
  <c r="K2719" i="9"/>
  <c r="A2718" i="9"/>
  <c r="K2718" i="9"/>
  <c r="A2717" i="9"/>
  <c r="K2717" i="9"/>
  <c r="A2716" i="9"/>
  <c r="K2716" i="9"/>
  <c r="A2715" i="9"/>
  <c r="K2715" i="9"/>
  <c r="A2714" i="9"/>
  <c r="K2714" i="9"/>
  <c r="A2713" i="9"/>
  <c r="K2713" i="9"/>
  <c r="A2712" i="9"/>
  <c r="K2712" i="9"/>
  <c r="A2711" i="9"/>
  <c r="K2711" i="9"/>
  <c r="A2710" i="9"/>
  <c r="K2710" i="9"/>
  <c r="A2709" i="9"/>
  <c r="K2709" i="9"/>
  <c r="A2708" i="9"/>
  <c r="K2708" i="9"/>
  <c r="A2707" i="9"/>
  <c r="K2707" i="9"/>
  <c r="A2706" i="9"/>
  <c r="K2706" i="9"/>
  <c r="A2705" i="9"/>
  <c r="K2705" i="9"/>
  <c r="A2704" i="9"/>
  <c r="K2704" i="9"/>
  <c r="A2703" i="9"/>
  <c r="K2703" i="9"/>
  <c r="A2702" i="9"/>
  <c r="K2702" i="9"/>
  <c r="A2701" i="9"/>
  <c r="K2701" i="9"/>
  <c r="A2700" i="9"/>
  <c r="K2700" i="9"/>
  <c r="A2699" i="9"/>
  <c r="K2699" i="9"/>
  <c r="A2698" i="9"/>
  <c r="K2698" i="9"/>
  <c r="A2697" i="9"/>
  <c r="K2697" i="9"/>
  <c r="A2696" i="9"/>
  <c r="K2696" i="9"/>
  <c r="A2695" i="9"/>
  <c r="K2695" i="9"/>
  <c r="A2694" i="9"/>
  <c r="K2694" i="9"/>
  <c r="A2693" i="9"/>
  <c r="K2693" i="9"/>
  <c r="A2692" i="9"/>
  <c r="K2692" i="9"/>
  <c r="A2691" i="9"/>
  <c r="K2691" i="9"/>
  <c r="A2690" i="9"/>
  <c r="K2690" i="9"/>
  <c r="A2689" i="9"/>
  <c r="K2689" i="9"/>
  <c r="A2688" i="9"/>
  <c r="K2688" i="9"/>
  <c r="A2687" i="9"/>
  <c r="K2687" i="9"/>
  <c r="A2686" i="9"/>
  <c r="K2686" i="9"/>
  <c r="A2685" i="9"/>
  <c r="K2685" i="9"/>
  <c r="A2684" i="9"/>
  <c r="K2684" i="9"/>
  <c r="A2683" i="9"/>
  <c r="K2683" i="9"/>
  <c r="A2682" i="9"/>
  <c r="K2682" i="9"/>
  <c r="A2681" i="9"/>
  <c r="K2681" i="9"/>
  <c r="A2680" i="9"/>
  <c r="K2680" i="9"/>
  <c r="A2679" i="9"/>
  <c r="K2679" i="9"/>
  <c r="A2678" i="9"/>
  <c r="K2678" i="9"/>
  <c r="A2677" i="9"/>
  <c r="K2677" i="9"/>
  <c r="A2676" i="9"/>
  <c r="K2676" i="9"/>
  <c r="A2675" i="9"/>
  <c r="K2675" i="9"/>
  <c r="A2674" i="9"/>
  <c r="K2674" i="9"/>
  <c r="A2673" i="9"/>
  <c r="K2673" i="9"/>
  <c r="A2672" i="9"/>
  <c r="K2672" i="9"/>
  <c r="A2671" i="9"/>
  <c r="K2671" i="9"/>
  <c r="A2670" i="9"/>
  <c r="K2670" i="9"/>
  <c r="A2669" i="9"/>
  <c r="K2669" i="9"/>
  <c r="A2668" i="9"/>
  <c r="K2668" i="9"/>
  <c r="A2667" i="9"/>
  <c r="K2667" i="9"/>
  <c r="A2666" i="9"/>
  <c r="K2666" i="9"/>
  <c r="A2665" i="9"/>
  <c r="K2665" i="9"/>
  <c r="A2664" i="9"/>
  <c r="K2664" i="9"/>
  <c r="A2663" i="9"/>
  <c r="K2663" i="9"/>
  <c r="A2662" i="9"/>
  <c r="K2662" i="9"/>
  <c r="A2661" i="9"/>
  <c r="K2661" i="9"/>
  <c r="A2660" i="9"/>
  <c r="K2660" i="9"/>
  <c r="A2659" i="9"/>
  <c r="K2659" i="9"/>
  <c r="A2658" i="9"/>
  <c r="K2658" i="9"/>
  <c r="A2657" i="9"/>
  <c r="K2657" i="9"/>
  <c r="A2656" i="9"/>
  <c r="K2656" i="9"/>
  <c r="A2655" i="9"/>
  <c r="K2655" i="9"/>
  <c r="A2654" i="9"/>
  <c r="K2654" i="9"/>
  <c r="A2653" i="9"/>
  <c r="K2653" i="9"/>
  <c r="A2652" i="9"/>
  <c r="K2652" i="9"/>
  <c r="A2651" i="9"/>
  <c r="K2651" i="9"/>
  <c r="A2650" i="9"/>
  <c r="K2650" i="9"/>
  <c r="A2649" i="9"/>
  <c r="K2649" i="9"/>
  <c r="A2648" i="9"/>
  <c r="K2648" i="9"/>
  <c r="A2647" i="9"/>
  <c r="K2647" i="9"/>
  <c r="A2646" i="9"/>
  <c r="K2646" i="9"/>
  <c r="A2645" i="9"/>
  <c r="K2645" i="9"/>
  <c r="A2644" i="9"/>
  <c r="K2644" i="9"/>
  <c r="A2643" i="9"/>
  <c r="K2643" i="9"/>
  <c r="A2642" i="9"/>
  <c r="K2642" i="9"/>
  <c r="A2641" i="9"/>
  <c r="K2641" i="9"/>
  <c r="A2640" i="9"/>
  <c r="K2640" i="9"/>
  <c r="A2639" i="9"/>
  <c r="K2639" i="9"/>
  <c r="A2638" i="9"/>
  <c r="K2638" i="9"/>
  <c r="A2637" i="9"/>
  <c r="K2637" i="9"/>
  <c r="A2636" i="9"/>
  <c r="K2636" i="9"/>
  <c r="A2635" i="9"/>
  <c r="K2635" i="9"/>
  <c r="A2634" i="9"/>
  <c r="K2634" i="9"/>
  <c r="A2633" i="9"/>
  <c r="K2633" i="9"/>
  <c r="A2632" i="9"/>
  <c r="K2632" i="9"/>
  <c r="A2631" i="9"/>
  <c r="K2631" i="9"/>
  <c r="A2630" i="9"/>
  <c r="K2630" i="9"/>
  <c r="A2629" i="9"/>
  <c r="K2629" i="9"/>
  <c r="A2628" i="9"/>
  <c r="K2628" i="9"/>
  <c r="A2627" i="9"/>
  <c r="K2627" i="9"/>
  <c r="A2626" i="9"/>
  <c r="K2626" i="9"/>
  <c r="A2625" i="9"/>
  <c r="K2625" i="9"/>
  <c r="A2624" i="9"/>
  <c r="K2624" i="9"/>
  <c r="A2623" i="9"/>
  <c r="K2623" i="9"/>
  <c r="A2622" i="9"/>
  <c r="K2622" i="9"/>
  <c r="A2621" i="9"/>
  <c r="K2621" i="9"/>
  <c r="A2620" i="9"/>
  <c r="K2620" i="9"/>
  <c r="A2619" i="9"/>
  <c r="K2619" i="9"/>
  <c r="A2618" i="9"/>
  <c r="K2618" i="9"/>
  <c r="A2617" i="9"/>
  <c r="K2617" i="9"/>
  <c r="A2616" i="9"/>
  <c r="K2616" i="9"/>
  <c r="A2615" i="9"/>
  <c r="K2615" i="9"/>
  <c r="A2614" i="9"/>
  <c r="K2614" i="9"/>
  <c r="A2613" i="9"/>
  <c r="K2613" i="9"/>
  <c r="A2612" i="9"/>
  <c r="K2612" i="9"/>
  <c r="A2611" i="9"/>
  <c r="K2611" i="9"/>
  <c r="A2610" i="9"/>
  <c r="K2610" i="9"/>
  <c r="A2609" i="9"/>
  <c r="K2609" i="9"/>
  <c r="A2608" i="9"/>
  <c r="K2608" i="9"/>
  <c r="A2607" i="9"/>
  <c r="K2607" i="9"/>
  <c r="A2606" i="9"/>
  <c r="K2606" i="9"/>
  <c r="A2605" i="9"/>
  <c r="K2605" i="9"/>
  <c r="A2604" i="9"/>
  <c r="K2604" i="9"/>
  <c r="A2603" i="9"/>
  <c r="K2603" i="9"/>
  <c r="A2602" i="9"/>
  <c r="K2602" i="9"/>
  <c r="A2601" i="9"/>
  <c r="K2601" i="9"/>
  <c r="A2600" i="9"/>
  <c r="K2600" i="9"/>
  <c r="A2599" i="9"/>
  <c r="K2599" i="9"/>
  <c r="A2598" i="9"/>
  <c r="K2598" i="9"/>
  <c r="A2597" i="9"/>
  <c r="K2597" i="9"/>
  <c r="A2596" i="9"/>
  <c r="K2596" i="9"/>
  <c r="A2595" i="9"/>
  <c r="K2595" i="9"/>
  <c r="A2594" i="9"/>
  <c r="K2594" i="9"/>
  <c r="A2593" i="9"/>
  <c r="K2593" i="9"/>
  <c r="A2592" i="9"/>
  <c r="K2592" i="9"/>
  <c r="A2591" i="9"/>
  <c r="K2591" i="9"/>
  <c r="A2590" i="9"/>
  <c r="K2590" i="9"/>
  <c r="A2589" i="9"/>
  <c r="K2589" i="9"/>
  <c r="A2588" i="9"/>
  <c r="K2588" i="9"/>
  <c r="A2587" i="9"/>
  <c r="K2587" i="9"/>
  <c r="A2586" i="9"/>
  <c r="K2586" i="9"/>
  <c r="A2585" i="9"/>
  <c r="K2585" i="9"/>
  <c r="A2584" i="9"/>
  <c r="K2584" i="9"/>
  <c r="A2583" i="9"/>
  <c r="K2583" i="9"/>
  <c r="A2582" i="9"/>
  <c r="K2582" i="9"/>
  <c r="A2581" i="9"/>
  <c r="K2581" i="9"/>
  <c r="A2580" i="9"/>
  <c r="K2580" i="9"/>
  <c r="A2579" i="9"/>
  <c r="K2579" i="9"/>
  <c r="A2578" i="9"/>
  <c r="K2578" i="9"/>
  <c r="A2577" i="9"/>
  <c r="K2577" i="9"/>
  <c r="A2576" i="9"/>
  <c r="K2576" i="9"/>
  <c r="A2575" i="9"/>
  <c r="K2575" i="9"/>
  <c r="A2574" i="9"/>
  <c r="K2574" i="9"/>
  <c r="A2573" i="9"/>
  <c r="K2573" i="9"/>
  <c r="A2572" i="9"/>
  <c r="K2572" i="9"/>
  <c r="A2571" i="9"/>
  <c r="K2571" i="9"/>
  <c r="A2570" i="9"/>
  <c r="K2570" i="9"/>
  <c r="A2569" i="9"/>
  <c r="K2569" i="9"/>
  <c r="A2568" i="9"/>
  <c r="K2568" i="9"/>
  <c r="A2567" i="9"/>
  <c r="K2567" i="9"/>
  <c r="A2566" i="9"/>
  <c r="K2566" i="9"/>
  <c r="A2565" i="9"/>
  <c r="K2565" i="9"/>
  <c r="A2564" i="9"/>
  <c r="K2564" i="9"/>
  <c r="A2563" i="9"/>
  <c r="K2563" i="9"/>
  <c r="A2562" i="9"/>
  <c r="K2562" i="9"/>
  <c r="A2561" i="9"/>
  <c r="K2561" i="9"/>
  <c r="A2560" i="9"/>
  <c r="K2560" i="9"/>
  <c r="A2559" i="9"/>
  <c r="K2559" i="9"/>
  <c r="A2558" i="9"/>
  <c r="K2558" i="9"/>
  <c r="A2557" i="9"/>
  <c r="K2557" i="9"/>
  <c r="A2556" i="9"/>
  <c r="K2556" i="9"/>
  <c r="A2555" i="9"/>
  <c r="K2555" i="9"/>
  <c r="A2554" i="9"/>
  <c r="K2554" i="9"/>
  <c r="A2553" i="9"/>
  <c r="K2553" i="9"/>
  <c r="A2552" i="9"/>
  <c r="K2552" i="9"/>
  <c r="A2551" i="9"/>
  <c r="K2551" i="9"/>
  <c r="A2550" i="9"/>
  <c r="K2550" i="9"/>
  <c r="A2549" i="9"/>
  <c r="K2549" i="9"/>
  <c r="A2547" i="9"/>
  <c r="K2547" i="9"/>
  <c r="A2548" i="9"/>
  <c r="K2548" i="9"/>
  <c r="A2546" i="9"/>
  <c r="K2546" i="9"/>
  <c r="A2545" i="9"/>
  <c r="K2545" i="9"/>
  <c r="A2544" i="9"/>
  <c r="K2544" i="9"/>
  <c r="A2543" i="9"/>
  <c r="K2543" i="9"/>
  <c r="A2542" i="9"/>
  <c r="K2542" i="9"/>
  <c r="A2541" i="9"/>
  <c r="K2541" i="9"/>
  <c r="A2540" i="9"/>
  <c r="K2540" i="9"/>
  <c r="A2539" i="9"/>
  <c r="K2539" i="9"/>
  <c r="A2538" i="9"/>
  <c r="K2538" i="9"/>
  <c r="A2537" i="9"/>
  <c r="K2537" i="9"/>
  <c r="A2536" i="9"/>
  <c r="K2536" i="9"/>
  <c r="A2535" i="9"/>
  <c r="K2535" i="9"/>
  <c r="A2534" i="9"/>
  <c r="K2534" i="9"/>
  <c r="A2533" i="9"/>
  <c r="K2533" i="9"/>
  <c r="A2532" i="9"/>
  <c r="K2532" i="9"/>
  <c r="A2531" i="9"/>
  <c r="K2531" i="9"/>
  <c r="A2530" i="9"/>
  <c r="K2530" i="9"/>
  <c r="A2529" i="9"/>
  <c r="K2529" i="9"/>
  <c r="A2528" i="9"/>
  <c r="K2528" i="9"/>
  <c r="A2527" i="9"/>
  <c r="K2527" i="9"/>
  <c r="A2526" i="9"/>
  <c r="K2526" i="9"/>
  <c r="A2525" i="9"/>
  <c r="K2525" i="9"/>
  <c r="A2523" i="9"/>
  <c r="K2523" i="9"/>
  <c r="A2524" i="9"/>
  <c r="K2524" i="9"/>
  <c r="A2522" i="9"/>
  <c r="K2522" i="9"/>
  <c r="A2521" i="9"/>
  <c r="K2521" i="9"/>
  <c r="A2520" i="9"/>
  <c r="K2520" i="9"/>
  <c r="A2519" i="9"/>
  <c r="K2519" i="9"/>
  <c r="A2518" i="9"/>
  <c r="K2518" i="9"/>
  <c r="A2517" i="9"/>
  <c r="K2517" i="9"/>
  <c r="A2516" i="9"/>
  <c r="K2516" i="9"/>
  <c r="A2515" i="9"/>
  <c r="K2515" i="9"/>
  <c r="A2514" i="9"/>
  <c r="K2514" i="9"/>
  <c r="A2513" i="9"/>
  <c r="K2513" i="9"/>
  <c r="A2512" i="9"/>
  <c r="K2512" i="9"/>
  <c r="A2511" i="9"/>
  <c r="K2511" i="9"/>
  <c r="A2510" i="9"/>
  <c r="K2510" i="9"/>
  <c r="A2509" i="9"/>
  <c r="K2509" i="9"/>
  <c r="A2508" i="9"/>
  <c r="K2508" i="9"/>
  <c r="A2507" i="9"/>
  <c r="K2507" i="9"/>
  <c r="A2506" i="9"/>
  <c r="K2506" i="9"/>
  <c r="A2505" i="9"/>
  <c r="K2505" i="9"/>
  <c r="A2504" i="9"/>
  <c r="K2504" i="9"/>
  <c r="A2503" i="9"/>
  <c r="K2503" i="9"/>
  <c r="A2502" i="9"/>
  <c r="K2502" i="9"/>
  <c r="A2501" i="9"/>
  <c r="K2501" i="9"/>
  <c r="A2500" i="9"/>
  <c r="K2500" i="9"/>
  <c r="A2499" i="9"/>
  <c r="K2499" i="9"/>
  <c r="A2498" i="9"/>
  <c r="K2498" i="9"/>
  <c r="A2497" i="9"/>
  <c r="K2497" i="9"/>
  <c r="A2496" i="9"/>
  <c r="K2496" i="9"/>
  <c r="A2495" i="9"/>
  <c r="K2495" i="9"/>
  <c r="A2494" i="9"/>
  <c r="K2494" i="9"/>
  <c r="A2493" i="9"/>
  <c r="K2493" i="9"/>
  <c r="A2492" i="9"/>
  <c r="K2492" i="9"/>
  <c r="A2491" i="9"/>
  <c r="K2491" i="9"/>
  <c r="A2490" i="9"/>
  <c r="K2490" i="9"/>
  <c r="A2489" i="9"/>
  <c r="K2489" i="9"/>
  <c r="A2488" i="9"/>
  <c r="K2488" i="9"/>
  <c r="A2487" i="9"/>
  <c r="K2487" i="9"/>
  <c r="A2486" i="9"/>
  <c r="K2486" i="9"/>
  <c r="A2485" i="9"/>
  <c r="K2485" i="9"/>
  <c r="A2483" i="9"/>
  <c r="K2483" i="9"/>
  <c r="A2482" i="9"/>
  <c r="K2482" i="9"/>
  <c r="A2484" i="9"/>
  <c r="K2484" i="9"/>
  <c r="A2481" i="9"/>
  <c r="K2481" i="9"/>
  <c r="A2480" i="9"/>
  <c r="K2480" i="9"/>
  <c r="A2479" i="9"/>
  <c r="K2479" i="9"/>
  <c r="A2478" i="9"/>
  <c r="K2478" i="9"/>
  <c r="A2477" i="9"/>
  <c r="K2477" i="9"/>
  <c r="A2476" i="9"/>
  <c r="K2476" i="9"/>
  <c r="A2475" i="9"/>
  <c r="K2475" i="9"/>
  <c r="A2474" i="9"/>
  <c r="K2474" i="9"/>
  <c r="A2473" i="9"/>
  <c r="K2473" i="9"/>
  <c r="A2472" i="9"/>
  <c r="K2472" i="9"/>
  <c r="A2471" i="9"/>
  <c r="K2471" i="9"/>
  <c r="A2470" i="9"/>
  <c r="K2470" i="9"/>
  <c r="A2469" i="9"/>
  <c r="K2469" i="9"/>
  <c r="A2468" i="9"/>
  <c r="K2468" i="9"/>
  <c r="A2467" i="9"/>
  <c r="K2467" i="9"/>
  <c r="A2466" i="9"/>
  <c r="K2466" i="9"/>
  <c r="A2465" i="9"/>
  <c r="K2465" i="9"/>
  <c r="A2464" i="9"/>
  <c r="K2464" i="9"/>
  <c r="A2463" i="9"/>
  <c r="K2463" i="9"/>
  <c r="A2462" i="9"/>
  <c r="K2462" i="9"/>
  <c r="A2461" i="9"/>
  <c r="K2461" i="9"/>
  <c r="A2460" i="9"/>
  <c r="K2460" i="9"/>
  <c r="A2459" i="9"/>
  <c r="K2459" i="9"/>
  <c r="A2458" i="9"/>
  <c r="K2458" i="9"/>
  <c r="A2457" i="9"/>
  <c r="K2457" i="9"/>
  <c r="A2456" i="9"/>
  <c r="K2456" i="9"/>
  <c r="A2455" i="9"/>
  <c r="K2455" i="9"/>
  <c r="A2454" i="9"/>
  <c r="K2454" i="9"/>
  <c r="A2453" i="9"/>
  <c r="K2453" i="9"/>
  <c r="A2452" i="9"/>
  <c r="K2452" i="9"/>
  <c r="A2451" i="9"/>
  <c r="K2451" i="9"/>
  <c r="A2450" i="9"/>
  <c r="K2450" i="9"/>
  <c r="A2449" i="9"/>
  <c r="K2449" i="9"/>
  <c r="A2448" i="9"/>
  <c r="K2448" i="9"/>
  <c r="A2447" i="9"/>
  <c r="K2447" i="9"/>
  <c r="A2446" i="9"/>
  <c r="K2446" i="9"/>
  <c r="A2445" i="9"/>
  <c r="K2445" i="9"/>
  <c r="A2444" i="9"/>
  <c r="K2444" i="9"/>
  <c r="A2443" i="9"/>
  <c r="K2443" i="9"/>
  <c r="A2442" i="9"/>
  <c r="K2442" i="9"/>
  <c r="A2441" i="9"/>
  <c r="K2441" i="9"/>
  <c r="A2440" i="9"/>
  <c r="K2440" i="9"/>
  <c r="A2439" i="9"/>
  <c r="K2439" i="9"/>
  <c r="A2438" i="9"/>
  <c r="K2438" i="9"/>
  <c r="A2437" i="9"/>
  <c r="K2437" i="9"/>
  <c r="A2436" i="9"/>
  <c r="K2436" i="9"/>
  <c r="A2435" i="9"/>
  <c r="K2435" i="9"/>
  <c r="A2434" i="9"/>
  <c r="K2434" i="9"/>
  <c r="A2433" i="9"/>
  <c r="K2433" i="9"/>
  <c r="A2432" i="9"/>
  <c r="K2432" i="9"/>
  <c r="A2431" i="9"/>
  <c r="K2431" i="9"/>
  <c r="A2430" i="9"/>
  <c r="K2430" i="9"/>
  <c r="A2429" i="9"/>
  <c r="K2429" i="9"/>
  <c r="A2428" i="9"/>
  <c r="K2428" i="9"/>
  <c r="A2427" i="9"/>
  <c r="K2427" i="9"/>
  <c r="A2426" i="9"/>
  <c r="K2426" i="9"/>
  <c r="A2421" i="9"/>
  <c r="K2421" i="9"/>
  <c r="A2425" i="9"/>
  <c r="K2425" i="9"/>
  <c r="A2424" i="9"/>
  <c r="K2424" i="9"/>
  <c r="A2423" i="9"/>
  <c r="K2423" i="9"/>
  <c r="A2422" i="9"/>
  <c r="K2422" i="9"/>
  <c r="A2420" i="9"/>
  <c r="K2420" i="9"/>
  <c r="A2419" i="9"/>
  <c r="K2419" i="9"/>
  <c r="A2418" i="9"/>
  <c r="K2418" i="9"/>
  <c r="A2417" i="9"/>
  <c r="K2417" i="9"/>
  <c r="A2416" i="9"/>
  <c r="K2416" i="9"/>
  <c r="A2415" i="9"/>
  <c r="K2415" i="9"/>
  <c r="A2414" i="9"/>
  <c r="K2414" i="9"/>
  <c r="A2413" i="9"/>
  <c r="K2413" i="9"/>
  <c r="A2412" i="9"/>
  <c r="K2412" i="9"/>
  <c r="A2411" i="9"/>
  <c r="K2411" i="9"/>
  <c r="A2410" i="9"/>
  <c r="K2410" i="9"/>
  <c r="A2409" i="9"/>
  <c r="K2409" i="9"/>
  <c r="A2408" i="9"/>
  <c r="K2408" i="9"/>
  <c r="A2407" i="9"/>
  <c r="K2407" i="9"/>
  <c r="A2406" i="9"/>
  <c r="K2406" i="9"/>
  <c r="A2405" i="9"/>
  <c r="K2405" i="9"/>
  <c r="A2404" i="9"/>
  <c r="K2404" i="9"/>
  <c r="A2403" i="9"/>
  <c r="K2403" i="9"/>
  <c r="A2402" i="9"/>
  <c r="K2402" i="9"/>
  <c r="A2401" i="9"/>
  <c r="K2401" i="9"/>
  <c r="A2400" i="9"/>
  <c r="K2400" i="9"/>
  <c r="A2399" i="9"/>
  <c r="K2399" i="9"/>
  <c r="A2398" i="9"/>
  <c r="K2398" i="9"/>
  <c r="A2397" i="9"/>
  <c r="K2397" i="9"/>
  <c r="A2396" i="9"/>
  <c r="K2396" i="9"/>
  <c r="A2395" i="9"/>
  <c r="K2395" i="9"/>
  <c r="A2394" i="9"/>
  <c r="K2394" i="9"/>
  <c r="A2393" i="9"/>
  <c r="K2393" i="9"/>
  <c r="A2392" i="9"/>
  <c r="K2392" i="9"/>
  <c r="A2391" i="9"/>
  <c r="K2391" i="9"/>
  <c r="A2390" i="9"/>
  <c r="K2390" i="9"/>
  <c r="A2389" i="9"/>
  <c r="K2389" i="9"/>
  <c r="A2388" i="9"/>
  <c r="K2388" i="9"/>
  <c r="A2387" i="9"/>
  <c r="K2387" i="9"/>
  <c r="A2386" i="9"/>
  <c r="K2386" i="9"/>
  <c r="A2385" i="9"/>
  <c r="K2385" i="9"/>
  <c r="A2384" i="9"/>
  <c r="K2384" i="9"/>
  <c r="A2383" i="9"/>
  <c r="K2383" i="9"/>
  <c r="A2382" i="9"/>
  <c r="K2382" i="9"/>
  <c r="A2381" i="9"/>
  <c r="K2381" i="9"/>
  <c r="A2380" i="9"/>
  <c r="K2380" i="9"/>
  <c r="A2379" i="9"/>
  <c r="K2379" i="9"/>
  <c r="A2378" i="9"/>
  <c r="K2378" i="9"/>
  <c r="A2377" i="9"/>
  <c r="K2377" i="9"/>
  <c r="A2376" i="9"/>
  <c r="K2376" i="9"/>
  <c r="A2375" i="9"/>
  <c r="K2375" i="9"/>
  <c r="A2374" i="9"/>
  <c r="K2374" i="9"/>
  <c r="A2373" i="9"/>
  <c r="K2373" i="9"/>
  <c r="A2372" i="9"/>
  <c r="K2372" i="9"/>
  <c r="A2371" i="9"/>
  <c r="K2371" i="9"/>
  <c r="A2370" i="9"/>
  <c r="K2370" i="9"/>
  <c r="A2369" i="9"/>
  <c r="K2369" i="9"/>
  <c r="A2368" i="9"/>
  <c r="K2368" i="9"/>
  <c r="A2367" i="9"/>
  <c r="K2367" i="9"/>
  <c r="A2366" i="9"/>
  <c r="K2366" i="9"/>
  <c r="A2365" i="9"/>
  <c r="K2365" i="9"/>
  <c r="A2364" i="9"/>
  <c r="K2364" i="9"/>
  <c r="A2363" i="9"/>
  <c r="K2363" i="9"/>
  <c r="A2362" i="9"/>
  <c r="K2362" i="9"/>
  <c r="A2361" i="9"/>
  <c r="K2361" i="9"/>
  <c r="A2360" i="9"/>
  <c r="K2360" i="9"/>
  <c r="A2359" i="9"/>
  <c r="K2359" i="9"/>
  <c r="A2358" i="9"/>
  <c r="K2358" i="9"/>
  <c r="A2357" i="9"/>
  <c r="K2357" i="9"/>
  <c r="A2356" i="9"/>
  <c r="K2356" i="9"/>
  <c r="A2355" i="9"/>
  <c r="K2355" i="9"/>
  <c r="A2354" i="9"/>
  <c r="K2354" i="9"/>
  <c r="A2353" i="9"/>
  <c r="K2353" i="9"/>
  <c r="A2352" i="9"/>
  <c r="K2352" i="9"/>
  <c r="A2351" i="9"/>
  <c r="K2351" i="9"/>
  <c r="A2350" i="9"/>
  <c r="K2350" i="9"/>
  <c r="A2349" i="9"/>
  <c r="K2349" i="9"/>
  <c r="A2348" i="9"/>
  <c r="K2348" i="9"/>
  <c r="A2347" i="9"/>
  <c r="K2347" i="9"/>
  <c r="A2346" i="9"/>
  <c r="K2346" i="9"/>
  <c r="A2345" i="9"/>
  <c r="K2345" i="9"/>
  <c r="A2344" i="9"/>
  <c r="K2344" i="9"/>
  <c r="A2343" i="9"/>
  <c r="K2343" i="9"/>
  <c r="A2342" i="9"/>
  <c r="K2342" i="9"/>
  <c r="A2341" i="9"/>
  <c r="K2341" i="9"/>
  <c r="A2340" i="9"/>
  <c r="K2340" i="9"/>
  <c r="A2339" i="9"/>
  <c r="K2339" i="9"/>
  <c r="A2338" i="9"/>
  <c r="K2338" i="9"/>
  <c r="A2337" i="9"/>
  <c r="K2337" i="9"/>
  <c r="A2336" i="9"/>
  <c r="K2336" i="9"/>
  <c r="A2335" i="9"/>
  <c r="K2335" i="9"/>
  <c r="A2334" i="9"/>
  <c r="K2334" i="9"/>
  <c r="A2333" i="9"/>
  <c r="K2333" i="9"/>
  <c r="A2332" i="9"/>
  <c r="K2332" i="9"/>
  <c r="A2331" i="9"/>
  <c r="K2331" i="9"/>
  <c r="A2330" i="9"/>
  <c r="K2330" i="9"/>
  <c r="A2329" i="9"/>
  <c r="K2329" i="9"/>
  <c r="A2328" i="9"/>
  <c r="K2328" i="9"/>
  <c r="A2327" i="9"/>
  <c r="K2327" i="9"/>
  <c r="A2326" i="9"/>
  <c r="K2326" i="9"/>
  <c r="A2325" i="9"/>
  <c r="K2325" i="9"/>
  <c r="A2324" i="9"/>
  <c r="K2324" i="9"/>
  <c r="A2323" i="9"/>
  <c r="K2323" i="9"/>
  <c r="A2322" i="9"/>
  <c r="K2322" i="9"/>
  <c r="A2321" i="9"/>
  <c r="K2321" i="9"/>
  <c r="A2320" i="9"/>
  <c r="K2320" i="9"/>
  <c r="A2319" i="9"/>
  <c r="K2319" i="9"/>
  <c r="A2318" i="9"/>
  <c r="K2318" i="9"/>
  <c r="A2317" i="9"/>
  <c r="K2317" i="9"/>
  <c r="A2316" i="9"/>
  <c r="K2316" i="9"/>
  <c r="A2315" i="9"/>
  <c r="K2315" i="9"/>
  <c r="A2314" i="9"/>
  <c r="K2314" i="9"/>
  <c r="A2313" i="9"/>
  <c r="K2313" i="9"/>
  <c r="A2312" i="9"/>
  <c r="K2312" i="9"/>
  <c r="A2311" i="9"/>
  <c r="K2311" i="9"/>
  <c r="A2310" i="9"/>
  <c r="K2310" i="9"/>
  <c r="A2309" i="9"/>
  <c r="K2309" i="9"/>
  <c r="A2308" i="9"/>
  <c r="K2308" i="9"/>
  <c r="A2307" i="9"/>
  <c r="K2307" i="9"/>
  <c r="A2306" i="9"/>
  <c r="K2306" i="9"/>
  <c r="A2305" i="9"/>
  <c r="K2305" i="9"/>
  <c r="A2304" i="9"/>
  <c r="K2304" i="9"/>
  <c r="A2303" i="9"/>
  <c r="K2303" i="9"/>
  <c r="A2302" i="9"/>
  <c r="K2302" i="9"/>
  <c r="A2301" i="9"/>
  <c r="K2301" i="9"/>
  <c r="A2300" i="9"/>
  <c r="K2300" i="9"/>
  <c r="A2299" i="9"/>
  <c r="K2299" i="9"/>
  <c r="A2298" i="9"/>
  <c r="K2298" i="9"/>
  <c r="A2297" i="9"/>
  <c r="K2297" i="9"/>
  <c r="A2296" i="9"/>
  <c r="K2296" i="9"/>
  <c r="A2295" i="9"/>
  <c r="K2295" i="9"/>
  <c r="A2294" i="9"/>
  <c r="K2294" i="9"/>
  <c r="A2293" i="9"/>
  <c r="K2293" i="9"/>
  <c r="A2292" i="9"/>
  <c r="K2292" i="9"/>
  <c r="A2291" i="9"/>
  <c r="K2291" i="9"/>
  <c r="A2290" i="9"/>
  <c r="K2290" i="9"/>
  <c r="A2289" i="9"/>
  <c r="K2289" i="9"/>
  <c r="A2288" i="9"/>
  <c r="K2288" i="9"/>
  <c r="A2287" i="9"/>
  <c r="K2287" i="9"/>
  <c r="A2286" i="9"/>
  <c r="K2286" i="9"/>
  <c r="A2285" i="9"/>
  <c r="K2285" i="9"/>
  <c r="A2284" i="9"/>
  <c r="K2284" i="9"/>
  <c r="A2283" i="9"/>
  <c r="K2283" i="9"/>
  <c r="A2282" i="9"/>
  <c r="K2282" i="9"/>
  <c r="A2281" i="9"/>
  <c r="K2281" i="9"/>
  <c r="A2280" i="9"/>
  <c r="K2280" i="9"/>
  <c r="A2279" i="9"/>
  <c r="K2279" i="9"/>
  <c r="A2278" i="9"/>
  <c r="K2278" i="9"/>
  <c r="A2277" i="9"/>
  <c r="K2277" i="9"/>
  <c r="A2276" i="9"/>
  <c r="K2276" i="9"/>
  <c r="A2275" i="9"/>
  <c r="K2275" i="9"/>
  <c r="A2274" i="9"/>
  <c r="K2274" i="9"/>
  <c r="A2273" i="9"/>
  <c r="K2273" i="9"/>
  <c r="A2272" i="9"/>
  <c r="K2272" i="9"/>
  <c r="A2271" i="9"/>
  <c r="K2271" i="9"/>
  <c r="A2270" i="9"/>
  <c r="K2270" i="9"/>
  <c r="A2269" i="9"/>
  <c r="K2269" i="9"/>
  <c r="A2268" i="9"/>
  <c r="K2268" i="9"/>
  <c r="A2267" i="9"/>
  <c r="K2267" i="9"/>
  <c r="A2266" i="9"/>
  <c r="K2266" i="9"/>
  <c r="A2265" i="9"/>
  <c r="K2265" i="9"/>
  <c r="A2264" i="9"/>
  <c r="K2264" i="9"/>
  <c r="A2263" i="9"/>
  <c r="K2263" i="9"/>
  <c r="A2262" i="9"/>
  <c r="K2262" i="9"/>
  <c r="A2261" i="9"/>
  <c r="K2261" i="9"/>
  <c r="A2260" i="9"/>
  <c r="K2260" i="9"/>
  <c r="A2259" i="9"/>
  <c r="K2259" i="9"/>
  <c r="A2258" i="9"/>
  <c r="K2258" i="9"/>
  <c r="A2257" i="9"/>
  <c r="K2257" i="9"/>
  <c r="A2256" i="9"/>
  <c r="K2256" i="9"/>
  <c r="A2255" i="9"/>
  <c r="K2255" i="9"/>
  <c r="A2254" i="9"/>
  <c r="K2254" i="9"/>
  <c r="A2253" i="9"/>
  <c r="K2253" i="9"/>
  <c r="A2252" i="9"/>
  <c r="K2252" i="9"/>
  <c r="A2251" i="9"/>
  <c r="K2251" i="9"/>
  <c r="A2250" i="9"/>
  <c r="K2250" i="9"/>
  <c r="A2249" i="9"/>
  <c r="K2249" i="9"/>
  <c r="A2248" i="9"/>
  <c r="K2248" i="9"/>
  <c r="A2247" i="9"/>
  <c r="K2247" i="9"/>
  <c r="A2246" i="9"/>
  <c r="K2246" i="9"/>
  <c r="A2245" i="9"/>
  <c r="K2245" i="9"/>
  <c r="A2244" i="9"/>
  <c r="K2244" i="9"/>
  <c r="A2243" i="9"/>
  <c r="K2243" i="9"/>
  <c r="A2242" i="9"/>
  <c r="K2242" i="9"/>
  <c r="A2241" i="9"/>
  <c r="K2241" i="9"/>
  <c r="A2240" i="9"/>
  <c r="K2240" i="9"/>
  <c r="A2239" i="9"/>
  <c r="K2239" i="9"/>
  <c r="A2238" i="9"/>
  <c r="K2238" i="9"/>
  <c r="A2237" i="9"/>
  <c r="K2237" i="9"/>
  <c r="A2236" i="9"/>
  <c r="K2236" i="9"/>
  <c r="A2235" i="9"/>
  <c r="K2235" i="9"/>
  <c r="A2234" i="9"/>
  <c r="K2234" i="9"/>
  <c r="A2233" i="9"/>
  <c r="K2233" i="9"/>
  <c r="A2232" i="9"/>
  <c r="K2232" i="9"/>
  <c r="A2231" i="9"/>
  <c r="K2231" i="9"/>
  <c r="A2230" i="9"/>
  <c r="K2230" i="9"/>
  <c r="A2229" i="9"/>
  <c r="K2229" i="9"/>
  <c r="A2228" i="9"/>
  <c r="K2228" i="9"/>
  <c r="A2227" i="9"/>
  <c r="K2227" i="9"/>
  <c r="A2226" i="9"/>
  <c r="K2226" i="9"/>
  <c r="A2225" i="9"/>
  <c r="K2225" i="9"/>
  <c r="A2224" i="9"/>
  <c r="K2224" i="9"/>
  <c r="A2223" i="9"/>
  <c r="K2223" i="9"/>
  <c r="A2222" i="9"/>
  <c r="K2222" i="9"/>
  <c r="A2221" i="9"/>
  <c r="K2221" i="9"/>
  <c r="A2220" i="9"/>
  <c r="K2220" i="9"/>
  <c r="A2219" i="9"/>
  <c r="K2219" i="9"/>
  <c r="A2218" i="9"/>
  <c r="K2218" i="9"/>
  <c r="A2217" i="9"/>
  <c r="K2217" i="9"/>
  <c r="A2216" i="9"/>
  <c r="K2216" i="9"/>
  <c r="A2215" i="9"/>
  <c r="K2215" i="9"/>
  <c r="A2214" i="9"/>
  <c r="K2214" i="9"/>
  <c r="A2213" i="9"/>
  <c r="K2213" i="9"/>
  <c r="A2212" i="9"/>
  <c r="K2212" i="9"/>
  <c r="A2211" i="9"/>
  <c r="K2211" i="9"/>
  <c r="A2210" i="9"/>
  <c r="K2210" i="9"/>
  <c r="A2209" i="9"/>
  <c r="K2209" i="9"/>
  <c r="A2208" i="9"/>
  <c r="K2208" i="9"/>
  <c r="A2207" i="9"/>
  <c r="K2207" i="9"/>
  <c r="A2206" i="9"/>
  <c r="K2206" i="9"/>
  <c r="A2205" i="9"/>
  <c r="K2205" i="9"/>
  <c r="A2204" i="9"/>
  <c r="K2204" i="9"/>
  <c r="A2203" i="9"/>
  <c r="K2203" i="9"/>
  <c r="A2202" i="9"/>
  <c r="K2202" i="9"/>
  <c r="A2201" i="9"/>
  <c r="K2201" i="9"/>
  <c r="A2200" i="9"/>
  <c r="K2200" i="9"/>
  <c r="A2199" i="9"/>
  <c r="K2199" i="9"/>
  <c r="A2198" i="9"/>
  <c r="K2198" i="9"/>
  <c r="A2197" i="9"/>
  <c r="K2197" i="9"/>
  <c r="A2196" i="9"/>
  <c r="K2196" i="9"/>
  <c r="A2195" i="9"/>
  <c r="K2195" i="9"/>
  <c r="A2194" i="9"/>
  <c r="K2194" i="9"/>
  <c r="A2193" i="9"/>
  <c r="K2193" i="9"/>
  <c r="A2192" i="9"/>
  <c r="K2192" i="9"/>
  <c r="A2191" i="9"/>
  <c r="K2191" i="9"/>
  <c r="A2190" i="9"/>
  <c r="K2190" i="9"/>
  <c r="A2189" i="9"/>
  <c r="K2189" i="9"/>
  <c r="A2188" i="9"/>
  <c r="K2188" i="9"/>
  <c r="A2187" i="9"/>
  <c r="K2187" i="9"/>
  <c r="A2186" i="9"/>
  <c r="K2186" i="9"/>
  <c r="A2185" i="9"/>
  <c r="K2185" i="9"/>
  <c r="A2184" i="9"/>
  <c r="K2184" i="9"/>
  <c r="A2183" i="9"/>
  <c r="K2183" i="9"/>
  <c r="A2182" i="9"/>
  <c r="K2182" i="9"/>
  <c r="A2181" i="9"/>
  <c r="K2181" i="9"/>
  <c r="A2180" i="9"/>
  <c r="K2180" i="9"/>
  <c r="A2179" i="9"/>
  <c r="K2179" i="9"/>
  <c r="A2178" i="9"/>
  <c r="K2178" i="9"/>
  <c r="A2177" i="9"/>
  <c r="K2177" i="9"/>
  <c r="A2176" i="9"/>
  <c r="K2176" i="9"/>
  <c r="A2175" i="9"/>
  <c r="K2175" i="9"/>
  <c r="A2174" i="9"/>
  <c r="K2174" i="9"/>
  <c r="A2173" i="9"/>
  <c r="K2173" i="9"/>
  <c r="A2172" i="9"/>
  <c r="K2172" i="9"/>
  <c r="A2171" i="9"/>
  <c r="K2171" i="9"/>
  <c r="A2170" i="9"/>
  <c r="K2170" i="9"/>
  <c r="A2169" i="9"/>
  <c r="K2169" i="9"/>
  <c r="A2168" i="9"/>
  <c r="K2168" i="9"/>
  <c r="A2167" i="9"/>
  <c r="K2167" i="9"/>
  <c r="A2166" i="9"/>
  <c r="K2166" i="9"/>
  <c r="A2165" i="9"/>
  <c r="K2165" i="9"/>
  <c r="A2164" i="9"/>
  <c r="K2164" i="9"/>
  <c r="A2163" i="9"/>
  <c r="K2163" i="9"/>
  <c r="A2162" i="9"/>
  <c r="K2162" i="9"/>
  <c r="A2161" i="9"/>
  <c r="K2161" i="9"/>
  <c r="A2160" i="9"/>
  <c r="K2160" i="9"/>
  <c r="A2159" i="9"/>
  <c r="K2159" i="9"/>
  <c r="A2158" i="9"/>
  <c r="K2158" i="9"/>
  <c r="A2157" i="9"/>
  <c r="K2157" i="9"/>
  <c r="A2156" i="9"/>
  <c r="K2156" i="9"/>
  <c r="A2155" i="9"/>
  <c r="K2155" i="9"/>
  <c r="A2154" i="9"/>
  <c r="K2154" i="9"/>
  <c r="A2153" i="9"/>
  <c r="K2153" i="9"/>
  <c r="A2152" i="9"/>
  <c r="K2152" i="9"/>
  <c r="A2151" i="9"/>
  <c r="K2151" i="9"/>
  <c r="A2150" i="9"/>
  <c r="K2150" i="9"/>
  <c r="A2149" i="9"/>
  <c r="K2149" i="9"/>
  <c r="A2148" i="9"/>
  <c r="K2148" i="9"/>
  <c r="A2147" i="9"/>
  <c r="K2147" i="9"/>
  <c r="A2146" i="9"/>
  <c r="K2146" i="9"/>
  <c r="A2145" i="9"/>
  <c r="K2145" i="9"/>
  <c r="A2144" i="9"/>
  <c r="K2144" i="9"/>
  <c r="A2143" i="9"/>
  <c r="K2143" i="9"/>
  <c r="A2142" i="9"/>
  <c r="K2142" i="9"/>
  <c r="A2141" i="9"/>
  <c r="K2141" i="9"/>
  <c r="A2140" i="9"/>
  <c r="K2140" i="9"/>
  <c r="A2139" i="9"/>
  <c r="K2139" i="9"/>
  <c r="A2138" i="9"/>
  <c r="K2138" i="9"/>
  <c r="A2137" i="9"/>
  <c r="K2137" i="9"/>
  <c r="A2136" i="9"/>
  <c r="K2136" i="9"/>
  <c r="A2135" i="9"/>
  <c r="K2135" i="9"/>
  <c r="A2134" i="9"/>
  <c r="K2134" i="9"/>
  <c r="A2133" i="9"/>
  <c r="K2133" i="9"/>
  <c r="A2132" i="9"/>
  <c r="K2132" i="9"/>
  <c r="A2131" i="9"/>
  <c r="K2131" i="9"/>
  <c r="A2130" i="9"/>
  <c r="K2130" i="9"/>
  <c r="A2129" i="9"/>
  <c r="K2129" i="9"/>
  <c r="A2128" i="9"/>
  <c r="K2128" i="9"/>
  <c r="A2127" i="9"/>
  <c r="K2127" i="9"/>
  <c r="A2126" i="9"/>
  <c r="K2126" i="9"/>
  <c r="A2125" i="9"/>
  <c r="K2125" i="9"/>
  <c r="A2124" i="9"/>
  <c r="K2124" i="9"/>
  <c r="A2123" i="9"/>
  <c r="K2123" i="9"/>
  <c r="A2122" i="9"/>
  <c r="K2122" i="9"/>
  <c r="A2121" i="9"/>
  <c r="K2121" i="9"/>
  <c r="A2120" i="9"/>
  <c r="K2120" i="9"/>
  <c r="A2119" i="9"/>
  <c r="K2119" i="9"/>
  <c r="A2118" i="9"/>
  <c r="K2118" i="9"/>
  <c r="A2117" i="9"/>
  <c r="K2117" i="9"/>
  <c r="A2116" i="9"/>
  <c r="K2116" i="9"/>
  <c r="A2115" i="9"/>
  <c r="K2115" i="9"/>
  <c r="A2114" i="9"/>
  <c r="K2114" i="9"/>
  <c r="A2113" i="9"/>
  <c r="K2113" i="9"/>
  <c r="A2112" i="9"/>
  <c r="K2112" i="9"/>
  <c r="A2111" i="9"/>
  <c r="K2111" i="9"/>
  <c r="A2110" i="9"/>
  <c r="K2110" i="9"/>
  <c r="A2109" i="9"/>
  <c r="K2109" i="9"/>
  <c r="A2108" i="9"/>
  <c r="K2108" i="9"/>
  <c r="A2107" i="9"/>
  <c r="K2107" i="9"/>
  <c r="A2106" i="9"/>
  <c r="K2106" i="9"/>
  <c r="A2105" i="9"/>
  <c r="K2105" i="9"/>
  <c r="A2104" i="9"/>
  <c r="K2104" i="9"/>
  <c r="A2103" i="9"/>
  <c r="K2103" i="9"/>
  <c r="A2102" i="9"/>
  <c r="K2102" i="9"/>
  <c r="A2101" i="9"/>
  <c r="K2101" i="9"/>
  <c r="A2100" i="9"/>
  <c r="K2100" i="9"/>
  <c r="A2099" i="9"/>
  <c r="K2099" i="9"/>
  <c r="A2098" i="9"/>
  <c r="K2098" i="9"/>
  <c r="A2097" i="9"/>
  <c r="K2097" i="9"/>
  <c r="A2096" i="9"/>
  <c r="K2096" i="9"/>
  <c r="A2095" i="9"/>
  <c r="K2095" i="9"/>
  <c r="A2094" i="9"/>
  <c r="K2094" i="9"/>
  <c r="A2093" i="9"/>
  <c r="K2093" i="9"/>
  <c r="A2092" i="9"/>
  <c r="K2092" i="9"/>
  <c r="A2091" i="9"/>
  <c r="K2091" i="9"/>
  <c r="A2090" i="9"/>
  <c r="K2090" i="9"/>
  <c r="A2089" i="9"/>
  <c r="K2089" i="9"/>
  <c r="A2088" i="9"/>
  <c r="K2088" i="9"/>
  <c r="A2087" i="9"/>
  <c r="K2087" i="9"/>
  <c r="A2086" i="9"/>
  <c r="K2086" i="9"/>
  <c r="A2085" i="9"/>
  <c r="K2085" i="9"/>
  <c r="A2084" i="9"/>
  <c r="K2084" i="9"/>
  <c r="A2083" i="9"/>
  <c r="K2083" i="9"/>
  <c r="A2082" i="9"/>
  <c r="K2082" i="9"/>
  <c r="A2081" i="9"/>
  <c r="K2081" i="9"/>
  <c r="A2080" i="9"/>
  <c r="K2080" i="9"/>
  <c r="A2079" i="9"/>
  <c r="K2079" i="9"/>
  <c r="A2078" i="9"/>
  <c r="K2078" i="9"/>
  <c r="A2077" i="9"/>
  <c r="K2077" i="9"/>
  <c r="A2076" i="9"/>
  <c r="K2076" i="9"/>
  <c r="A2075" i="9"/>
  <c r="K2075" i="9"/>
  <c r="A2074" i="9"/>
  <c r="K2074" i="9"/>
  <c r="A2073" i="9"/>
  <c r="K2073" i="9"/>
  <c r="A2072" i="9"/>
  <c r="K2072" i="9"/>
  <c r="A2071" i="9"/>
  <c r="K2071" i="9"/>
  <c r="A2070" i="9"/>
  <c r="K2070" i="9"/>
  <c r="A2069" i="9"/>
  <c r="K2069" i="9"/>
  <c r="A2068" i="9"/>
  <c r="K2068" i="9"/>
  <c r="A2067" i="9"/>
  <c r="K2067" i="9"/>
  <c r="A2066" i="9"/>
  <c r="K2066" i="9"/>
  <c r="A2065" i="9"/>
  <c r="K2065" i="9"/>
  <c r="A2064" i="9"/>
  <c r="K2064" i="9"/>
  <c r="A2063" i="9"/>
  <c r="K2063" i="9"/>
  <c r="A2062" i="9"/>
  <c r="K2062" i="9"/>
  <c r="A2061" i="9"/>
  <c r="K2061" i="9"/>
  <c r="A2060" i="9"/>
  <c r="K2060" i="9"/>
  <c r="A2059" i="9"/>
  <c r="K2059" i="9"/>
  <c r="A2058" i="9"/>
  <c r="K2058" i="9"/>
  <c r="A2057" i="9"/>
  <c r="K2057" i="9"/>
  <c r="A2056" i="9"/>
  <c r="K2056" i="9"/>
  <c r="A2055" i="9"/>
  <c r="K2055" i="9"/>
  <c r="A2054" i="9"/>
  <c r="K2054" i="9"/>
  <c r="A2053" i="9"/>
  <c r="K2053" i="9"/>
  <c r="A2052" i="9"/>
  <c r="K2052" i="9"/>
  <c r="A2051" i="9"/>
  <c r="K2051" i="9"/>
  <c r="A2050" i="9"/>
  <c r="K2050" i="9"/>
  <c r="A2049" i="9"/>
  <c r="K2049" i="9"/>
  <c r="A2048" i="9"/>
  <c r="K2048" i="9"/>
  <c r="A2047" i="9"/>
  <c r="K2047" i="9"/>
  <c r="A2046" i="9"/>
  <c r="K2046" i="9"/>
  <c r="A2045" i="9"/>
  <c r="K2045" i="9"/>
  <c r="A2044" i="9"/>
  <c r="K2044" i="9"/>
  <c r="A2043" i="9"/>
  <c r="K2043" i="9"/>
  <c r="A2042" i="9"/>
  <c r="K2042" i="9"/>
  <c r="A2040" i="9"/>
  <c r="K2040" i="9"/>
  <c r="A2041" i="9"/>
  <c r="K2041" i="9"/>
  <c r="A2039" i="9"/>
  <c r="K2039" i="9"/>
  <c r="A2038" i="9"/>
  <c r="K2038" i="9"/>
  <c r="A2037" i="9"/>
  <c r="K2037" i="9"/>
  <c r="A2035" i="9"/>
  <c r="K2035" i="9"/>
  <c r="A2036" i="9"/>
  <c r="K2036" i="9"/>
  <c r="A2034" i="9"/>
  <c r="K2034" i="9"/>
  <c r="A2033" i="9"/>
  <c r="K2033" i="9"/>
  <c r="A2032" i="9"/>
  <c r="K2032" i="9"/>
  <c r="A2031" i="9"/>
  <c r="K2031" i="9"/>
  <c r="A2030" i="9"/>
  <c r="K2030" i="9"/>
  <c r="A2029" i="9"/>
  <c r="K2029" i="9"/>
  <c r="A2028" i="9"/>
  <c r="K2028" i="9"/>
  <c r="A2027" i="9"/>
  <c r="K2027" i="9"/>
  <c r="A2026" i="9"/>
  <c r="K2026" i="9"/>
  <c r="A2025" i="9"/>
  <c r="K2025" i="9"/>
  <c r="A2024" i="9"/>
  <c r="K2024" i="9"/>
  <c r="A2023" i="9"/>
  <c r="K2023" i="9"/>
  <c r="A2022" i="9"/>
  <c r="K2022" i="9"/>
  <c r="A2021" i="9"/>
  <c r="K2021" i="9"/>
  <c r="A2020" i="9"/>
  <c r="K2020" i="9"/>
  <c r="A2019" i="9"/>
  <c r="K2019" i="9"/>
  <c r="A2018" i="9"/>
  <c r="K2018" i="9"/>
  <c r="A2017" i="9"/>
  <c r="K2017" i="9"/>
  <c r="A2016" i="9"/>
  <c r="K2016" i="9"/>
  <c r="A2015" i="9"/>
  <c r="K2015" i="9"/>
  <c r="A2014" i="9"/>
  <c r="K2014" i="9"/>
  <c r="A2013" i="9"/>
  <c r="K2013" i="9"/>
  <c r="A2012" i="9"/>
  <c r="K2012" i="9"/>
  <c r="A2011" i="9"/>
  <c r="K2011" i="9"/>
  <c r="A2010" i="9"/>
  <c r="K2010" i="9"/>
  <c r="A2009" i="9"/>
  <c r="K2009" i="9"/>
  <c r="A2008" i="9"/>
  <c r="K2008" i="9"/>
  <c r="A2007" i="9"/>
  <c r="K2007" i="9"/>
  <c r="A2006" i="9"/>
  <c r="K2006" i="9"/>
  <c r="A2005" i="9"/>
  <c r="K2005" i="9"/>
  <c r="A2004" i="9"/>
  <c r="K2004" i="9"/>
  <c r="A2003" i="9"/>
  <c r="K2003" i="9"/>
  <c r="A2002" i="9"/>
  <c r="K2002" i="9"/>
  <c r="A2001" i="9"/>
  <c r="K2001" i="9"/>
  <c r="A2000" i="9"/>
  <c r="K2000" i="9"/>
  <c r="A1999" i="9"/>
  <c r="K1999" i="9"/>
  <c r="A1998" i="9"/>
  <c r="K1998" i="9"/>
  <c r="A1997" i="9"/>
  <c r="K1997" i="9"/>
  <c r="A1996" i="9"/>
  <c r="K1996" i="9"/>
  <c r="A1995" i="9"/>
  <c r="K1995" i="9"/>
  <c r="A1994" i="9"/>
  <c r="K1994" i="9"/>
  <c r="A1993" i="9"/>
  <c r="K1993" i="9"/>
  <c r="A1992" i="9"/>
  <c r="K1992" i="9"/>
  <c r="A1991" i="9"/>
  <c r="K1991" i="9"/>
  <c r="A1990" i="9"/>
  <c r="K1990" i="9"/>
  <c r="A1989" i="9"/>
  <c r="K1989" i="9"/>
  <c r="A1988" i="9"/>
  <c r="K1988" i="9"/>
  <c r="A1987" i="9"/>
  <c r="K1987" i="9"/>
  <c r="A1986" i="9"/>
  <c r="K1986" i="9"/>
  <c r="A1985" i="9"/>
  <c r="K1985" i="9"/>
  <c r="A1984" i="9"/>
  <c r="K1984" i="9"/>
  <c r="A1983" i="9"/>
  <c r="K1983" i="9"/>
  <c r="A1982" i="9"/>
  <c r="K1982" i="9"/>
  <c r="A1981" i="9"/>
  <c r="K1981" i="9"/>
  <c r="A1980" i="9"/>
  <c r="K1980" i="9"/>
  <c r="A1979" i="9"/>
  <c r="K1979" i="9"/>
  <c r="A1978" i="9"/>
  <c r="K1978" i="9"/>
  <c r="A1977" i="9"/>
  <c r="K1977" i="9"/>
  <c r="A1976" i="9"/>
  <c r="K1976" i="9"/>
  <c r="A1975" i="9"/>
  <c r="K1975" i="9"/>
  <c r="A1974" i="9"/>
  <c r="K1974" i="9"/>
  <c r="A1973" i="9"/>
  <c r="K1973" i="9"/>
  <c r="A1972" i="9"/>
  <c r="K1972" i="9"/>
  <c r="A1971" i="9"/>
  <c r="K1971" i="9"/>
  <c r="A1970" i="9"/>
  <c r="K1970" i="9"/>
  <c r="A1969" i="9"/>
  <c r="K1969" i="9"/>
  <c r="A1968" i="9"/>
  <c r="K1968" i="9"/>
  <c r="A1967" i="9"/>
  <c r="K1967" i="9"/>
  <c r="A1966" i="9"/>
  <c r="K1966" i="9"/>
  <c r="A1965" i="9"/>
  <c r="K1965" i="9"/>
  <c r="A1964" i="9"/>
  <c r="K1964" i="9"/>
  <c r="A1963" i="9"/>
  <c r="K1963" i="9"/>
  <c r="A1962" i="9"/>
  <c r="K1962" i="9"/>
  <c r="A1961" i="9"/>
  <c r="K1961" i="9"/>
  <c r="A1960" i="9"/>
  <c r="K1960" i="9"/>
  <c r="A1959" i="9"/>
  <c r="K1959" i="9"/>
  <c r="A1958" i="9"/>
  <c r="K1958" i="9"/>
  <c r="A1957" i="9"/>
  <c r="K1957" i="9"/>
  <c r="A1956" i="9"/>
  <c r="K1956" i="9"/>
  <c r="A1955" i="9"/>
  <c r="K1955" i="9"/>
  <c r="A1954" i="9"/>
  <c r="K1954" i="9"/>
  <c r="A1953" i="9"/>
  <c r="K1953" i="9"/>
  <c r="A1952" i="9"/>
  <c r="K1952" i="9"/>
  <c r="A1951" i="9"/>
  <c r="K1951" i="9"/>
  <c r="A1950" i="9"/>
  <c r="K1950" i="9"/>
  <c r="A1949" i="9"/>
  <c r="K1949" i="9"/>
  <c r="A1948" i="9"/>
  <c r="K1948" i="9"/>
  <c r="A1947" i="9"/>
  <c r="K1947" i="9"/>
  <c r="A1946" i="9"/>
  <c r="K1946" i="9"/>
  <c r="A1945" i="9"/>
  <c r="K1945" i="9"/>
  <c r="A1944" i="9"/>
  <c r="K1944" i="9"/>
  <c r="A1943" i="9"/>
  <c r="K1943" i="9"/>
  <c r="A1942" i="9"/>
  <c r="K1942" i="9"/>
  <c r="A1941" i="9"/>
  <c r="K1941" i="9"/>
  <c r="A1940" i="9"/>
  <c r="K1940" i="9"/>
  <c r="A1939" i="9"/>
  <c r="K1939" i="9"/>
  <c r="A1938" i="9"/>
  <c r="K1938" i="9"/>
  <c r="A1937" i="9"/>
  <c r="K1937" i="9"/>
  <c r="A1936" i="9"/>
  <c r="K1936" i="9"/>
  <c r="A1935" i="9"/>
  <c r="K1935" i="9"/>
  <c r="A1934" i="9"/>
  <c r="K1934" i="9"/>
  <c r="A1933" i="9"/>
  <c r="K1933" i="9"/>
  <c r="A1932" i="9"/>
  <c r="K1932" i="9"/>
  <c r="A1931" i="9"/>
  <c r="K1931" i="9"/>
  <c r="A1930" i="9"/>
  <c r="K1930" i="9"/>
  <c r="A1929" i="9"/>
  <c r="K1929" i="9"/>
  <c r="A1928" i="9"/>
  <c r="K1928" i="9"/>
  <c r="A1927" i="9"/>
  <c r="K1927" i="9"/>
  <c r="A1926" i="9"/>
  <c r="K1926" i="9"/>
  <c r="A1921" i="9"/>
  <c r="K1921" i="9"/>
  <c r="A1920" i="9"/>
  <c r="K1920" i="9"/>
  <c r="A1924" i="9"/>
  <c r="K1924" i="9"/>
  <c r="A1925" i="9"/>
  <c r="K1925" i="9"/>
  <c r="A1923" i="9"/>
  <c r="K1923" i="9"/>
  <c r="A1922" i="9"/>
  <c r="K1922" i="9"/>
  <c r="A1918" i="9"/>
  <c r="K1918" i="9"/>
  <c r="A1917" i="9"/>
  <c r="K1917" i="9"/>
  <c r="A1919" i="9"/>
  <c r="K1919" i="9"/>
  <c r="A1916" i="9"/>
  <c r="K1916" i="9"/>
  <c r="A1915" i="9"/>
  <c r="K1915" i="9"/>
  <c r="A1914" i="9"/>
  <c r="K1914" i="9"/>
  <c r="A1913" i="9"/>
  <c r="K1913" i="9"/>
  <c r="A1912" i="9"/>
  <c r="K1912" i="9"/>
  <c r="A1911" i="9"/>
  <c r="K1911" i="9"/>
  <c r="A1910" i="9"/>
  <c r="K1910" i="9"/>
  <c r="A1909" i="9"/>
  <c r="K1909" i="9"/>
  <c r="A1908" i="9"/>
  <c r="K1908" i="9"/>
  <c r="A1907" i="9"/>
  <c r="K1907" i="9"/>
  <c r="A1906" i="9"/>
  <c r="K1906" i="9"/>
  <c r="A1905" i="9"/>
  <c r="K1905" i="9"/>
  <c r="A1904" i="9"/>
  <c r="K1904" i="9"/>
  <c r="A1903" i="9"/>
  <c r="K1903" i="9"/>
  <c r="A1902" i="9"/>
  <c r="K1902" i="9"/>
  <c r="A1901" i="9"/>
  <c r="K1901" i="9"/>
  <c r="A1900" i="9"/>
  <c r="K1900" i="9"/>
  <c r="A1899" i="9"/>
  <c r="K1899" i="9"/>
  <c r="A1898" i="9"/>
  <c r="K1898" i="9"/>
  <c r="A1897" i="9"/>
  <c r="K1897" i="9"/>
  <c r="A1896" i="9"/>
  <c r="K1896" i="9"/>
  <c r="A1895" i="9"/>
  <c r="K1895" i="9"/>
  <c r="A1894" i="9"/>
  <c r="K1894" i="9"/>
  <c r="A1893" i="9"/>
  <c r="K1893" i="9"/>
  <c r="A1892" i="9"/>
  <c r="K1892" i="9"/>
  <c r="A1891" i="9"/>
  <c r="K1891" i="9"/>
  <c r="A1890" i="9"/>
  <c r="K1890" i="9"/>
  <c r="A1889" i="9"/>
  <c r="K1889" i="9"/>
  <c r="A1888" i="9"/>
  <c r="K1888" i="9"/>
  <c r="A1887" i="9"/>
  <c r="K1887" i="9"/>
  <c r="A1886" i="9"/>
  <c r="K1886" i="9"/>
  <c r="A1885" i="9"/>
  <c r="K1885" i="9"/>
  <c r="A1884" i="9"/>
  <c r="K1884" i="9"/>
  <c r="A1883" i="9"/>
  <c r="K1883" i="9"/>
  <c r="A1882" i="9"/>
  <c r="K1882" i="9"/>
  <c r="A1881" i="9"/>
  <c r="K1881" i="9"/>
  <c r="A1880" i="9"/>
  <c r="K1880" i="9"/>
  <c r="A1879" i="9"/>
  <c r="K1879" i="9"/>
  <c r="A1878" i="9"/>
  <c r="K1878" i="9"/>
  <c r="A1877" i="9"/>
  <c r="K1877" i="9"/>
  <c r="A1876" i="9"/>
  <c r="K1876" i="9"/>
  <c r="A1875" i="9"/>
  <c r="K1875" i="9"/>
  <c r="A1874" i="9"/>
  <c r="K1874" i="9"/>
  <c r="A1873" i="9"/>
  <c r="K1873" i="9"/>
  <c r="A1872" i="9"/>
  <c r="K1872" i="9"/>
  <c r="A1871" i="9"/>
  <c r="K1871" i="9"/>
  <c r="A1870" i="9"/>
  <c r="K1870" i="9"/>
  <c r="A1869" i="9"/>
  <c r="K1869" i="9"/>
  <c r="A1868" i="9"/>
  <c r="K1868" i="9"/>
  <c r="A1867" i="9"/>
  <c r="K1867" i="9"/>
  <c r="A1866" i="9"/>
  <c r="K1866" i="9"/>
  <c r="A1865" i="9"/>
  <c r="K1865" i="9"/>
  <c r="A1864" i="9"/>
  <c r="K1864" i="9"/>
  <c r="A1863" i="9"/>
  <c r="K1863" i="9"/>
  <c r="A1862" i="9"/>
  <c r="K1862" i="9"/>
  <c r="A1861" i="9"/>
  <c r="K1861" i="9"/>
  <c r="A1860" i="9"/>
  <c r="K1860" i="9"/>
  <c r="A1859" i="9"/>
  <c r="K1859" i="9"/>
  <c r="A1858" i="9"/>
  <c r="K1858" i="9"/>
  <c r="A1857" i="9"/>
  <c r="K1857" i="9"/>
  <c r="A1856" i="9"/>
  <c r="K1856" i="9"/>
  <c r="A1855" i="9"/>
  <c r="K1855" i="9"/>
  <c r="A1854" i="9"/>
  <c r="K1854" i="9"/>
  <c r="A1853" i="9"/>
  <c r="K1853" i="9"/>
  <c r="A1852" i="9"/>
  <c r="K1852" i="9"/>
  <c r="A1851" i="9"/>
  <c r="K1851" i="9"/>
  <c r="A1850" i="9"/>
  <c r="K1850" i="9"/>
  <c r="A1849" i="9"/>
  <c r="K1849" i="9"/>
  <c r="A1848" i="9"/>
  <c r="K1848" i="9"/>
  <c r="A1847" i="9"/>
  <c r="K1847" i="9"/>
  <c r="A1846" i="9"/>
  <c r="K1846" i="9"/>
  <c r="A1845" i="9"/>
  <c r="K1845" i="9"/>
  <c r="A1844" i="9"/>
  <c r="K1844" i="9"/>
  <c r="A1843" i="9"/>
  <c r="K1843" i="9"/>
  <c r="A1842" i="9"/>
  <c r="K1842" i="9"/>
  <c r="A1841" i="9"/>
  <c r="K1841" i="9"/>
  <c r="A1840" i="9"/>
  <c r="K1840" i="9"/>
  <c r="A1839" i="9"/>
  <c r="K1839" i="9"/>
  <c r="A1838" i="9"/>
  <c r="K1838" i="9"/>
  <c r="A1837" i="9"/>
  <c r="K1837" i="9"/>
  <c r="A1836" i="9"/>
  <c r="K1836" i="9"/>
  <c r="A1835" i="9"/>
  <c r="K1835" i="9"/>
  <c r="A1834" i="9"/>
  <c r="K1834" i="9"/>
  <c r="A1833" i="9"/>
  <c r="K1833" i="9"/>
  <c r="A1832" i="9"/>
  <c r="K1832" i="9"/>
  <c r="A1831" i="9"/>
  <c r="K1831" i="9"/>
  <c r="A1830" i="9"/>
  <c r="K1830" i="9"/>
  <c r="A1829" i="9"/>
  <c r="K1829" i="9"/>
  <c r="A1828" i="9"/>
  <c r="K1828" i="9"/>
  <c r="A1827" i="9"/>
  <c r="K1827" i="9"/>
  <c r="A1826" i="9"/>
  <c r="K1826" i="9"/>
  <c r="A1825" i="9"/>
  <c r="K1825" i="9"/>
  <c r="A1824" i="9"/>
  <c r="K1824" i="9"/>
  <c r="A1823" i="9"/>
  <c r="K1823" i="9"/>
  <c r="A1822" i="9"/>
  <c r="K1822" i="9"/>
  <c r="A1821" i="9"/>
  <c r="K1821" i="9"/>
  <c r="A1820" i="9"/>
  <c r="K1820" i="9"/>
  <c r="A1819" i="9"/>
  <c r="K1819" i="9"/>
  <c r="A1818" i="9"/>
  <c r="K1818" i="9"/>
  <c r="A1817" i="9"/>
  <c r="K1817" i="9"/>
  <c r="A1816" i="9"/>
  <c r="K1816" i="9"/>
  <c r="A1815" i="9"/>
  <c r="K1815" i="9"/>
  <c r="A1814" i="9"/>
  <c r="K1814" i="9"/>
  <c r="A1813" i="9"/>
  <c r="K1813" i="9"/>
  <c r="A1812" i="9"/>
  <c r="K1812" i="9"/>
  <c r="A1811" i="9"/>
  <c r="K1811" i="9"/>
  <c r="A1810" i="9"/>
  <c r="K1810" i="9"/>
  <c r="A1809" i="9"/>
  <c r="K1809" i="9"/>
  <c r="A1808" i="9"/>
  <c r="K1808" i="9"/>
  <c r="A1807" i="9"/>
  <c r="K1807" i="9"/>
  <c r="A1806" i="9"/>
  <c r="K1806" i="9"/>
  <c r="A1805" i="9"/>
  <c r="K1805" i="9"/>
  <c r="A1804" i="9"/>
  <c r="K1804" i="9"/>
  <c r="A1803" i="9"/>
  <c r="K1803" i="9"/>
  <c r="A1802" i="9"/>
  <c r="K1802" i="9"/>
  <c r="A1801" i="9"/>
  <c r="K1801" i="9"/>
  <c r="A1800" i="9"/>
  <c r="K1800" i="9"/>
  <c r="A1799" i="9"/>
  <c r="K1799" i="9"/>
  <c r="A1798" i="9"/>
  <c r="K1798" i="9"/>
  <c r="A1797" i="9"/>
  <c r="K1797" i="9"/>
  <c r="A1796" i="9"/>
  <c r="K1796" i="9"/>
  <c r="A1795" i="9"/>
  <c r="K1795" i="9"/>
  <c r="A1794" i="9"/>
  <c r="K1794" i="9"/>
  <c r="A1793" i="9"/>
  <c r="K1793" i="9"/>
  <c r="A1792" i="9"/>
  <c r="K1792" i="9"/>
  <c r="A1791" i="9"/>
  <c r="K1791" i="9"/>
  <c r="A1790" i="9"/>
  <c r="K1790" i="9"/>
  <c r="A1789" i="9"/>
  <c r="K1789" i="9"/>
  <c r="A1788" i="9"/>
  <c r="K1788" i="9"/>
  <c r="A1787" i="9"/>
  <c r="K1787" i="9"/>
  <c r="A1786" i="9"/>
  <c r="K1786" i="9"/>
  <c r="A1785" i="9"/>
  <c r="K1785" i="9"/>
  <c r="A1784" i="9"/>
  <c r="K1784" i="9"/>
  <c r="A1783" i="9"/>
  <c r="K1783" i="9"/>
  <c r="A1782" i="9"/>
  <c r="K1782" i="9"/>
  <c r="A1781" i="9"/>
  <c r="K1781" i="9"/>
  <c r="A1780" i="9"/>
  <c r="K1780" i="9"/>
  <c r="A1779" i="9"/>
  <c r="K1779" i="9"/>
  <c r="A1778" i="9"/>
  <c r="K1778" i="9"/>
  <c r="A1777" i="9"/>
  <c r="K1777" i="9"/>
  <c r="A1776" i="9"/>
  <c r="K1776" i="9"/>
  <c r="A1775" i="9"/>
  <c r="K1775" i="9"/>
  <c r="A1774" i="9"/>
  <c r="K1774" i="9"/>
  <c r="A1773" i="9"/>
  <c r="K1773" i="9"/>
  <c r="A1772" i="9"/>
  <c r="K1772" i="9"/>
  <c r="A1771" i="9"/>
  <c r="K1771" i="9"/>
  <c r="A1770" i="9"/>
  <c r="K1770" i="9"/>
  <c r="A1769" i="9"/>
  <c r="K1769" i="9"/>
  <c r="A1768" i="9"/>
  <c r="K1768" i="9"/>
  <c r="A1767" i="9"/>
  <c r="K1767" i="9"/>
  <c r="A1766" i="9"/>
  <c r="K1766" i="9"/>
  <c r="A1765" i="9"/>
  <c r="K1765" i="9"/>
  <c r="A1764" i="9"/>
  <c r="K1764" i="9"/>
  <c r="A1763" i="9"/>
  <c r="K1763" i="9"/>
  <c r="A1762" i="9"/>
  <c r="K1762" i="9"/>
  <c r="A1761" i="9"/>
  <c r="K1761" i="9"/>
  <c r="A1760" i="9"/>
  <c r="K1760" i="9"/>
  <c r="A1759" i="9"/>
  <c r="K1759" i="9"/>
  <c r="A1758" i="9"/>
  <c r="K1758" i="9"/>
  <c r="A1757" i="9"/>
  <c r="K1757" i="9"/>
  <c r="A1756" i="9"/>
  <c r="K1756" i="9"/>
  <c r="A1755" i="9"/>
  <c r="K1755" i="9"/>
  <c r="A1754" i="9"/>
  <c r="K1754" i="9"/>
  <c r="A1753" i="9"/>
  <c r="K1753" i="9"/>
  <c r="A1752" i="9"/>
  <c r="K1752" i="9"/>
  <c r="A1751" i="9"/>
  <c r="K1751" i="9"/>
  <c r="A1750" i="9"/>
  <c r="K1750" i="9"/>
  <c r="A1749" i="9"/>
  <c r="K1749" i="9"/>
  <c r="A1748" i="9"/>
  <c r="K1748" i="9"/>
  <c r="A1747" i="9"/>
  <c r="K1747" i="9"/>
  <c r="A1746" i="9"/>
  <c r="K1746" i="9"/>
  <c r="A1745" i="9"/>
  <c r="K1745" i="9"/>
  <c r="A1744" i="9"/>
  <c r="K1744" i="9"/>
  <c r="A1743" i="9"/>
  <c r="K1743" i="9"/>
  <c r="A1742" i="9"/>
  <c r="K1742" i="9"/>
  <c r="A1741" i="9"/>
  <c r="K1741" i="9"/>
  <c r="A1740" i="9"/>
  <c r="K1740" i="9"/>
  <c r="A1739" i="9"/>
  <c r="K1739" i="9"/>
  <c r="A1738" i="9"/>
  <c r="K1738" i="9"/>
  <c r="A1737" i="9"/>
  <c r="K1737" i="9"/>
  <c r="A1736" i="9"/>
  <c r="K1736" i="9"/>
  <c r="A1735" i="9"/>
  <c r="K1735" i="9"/>
  <c r="A1734" i="9"/>
  <c r="K1734" i="9"/>
  <c r="A1733" i="9"/>
  <c r="K1733" i="9"/>
  <c r="A1732" i="9"/>
  <c r="K1732" i="9"/>
  <c r="A1731" i="9"/>
  <c r="K1731" i="9"/>
  <c r="A1730" i="9"/>
  <c r="K1730" i="9"/>
  <c r="A1729" i="9"/>
  <c r="K1729" i="9"/>
  <c r="A1728" i="9"/>
  <c r="K1728" i="9"/>
  <c r="A1727" i="9"/>
  <c r="K1727" i="9"/>
  <c r="A1726" i="9"/>
  <c r="K1726" i="9"/>
  <c r="A1725" i="9"/>
  <c r="K1725" i="9"/>
  <c r="A1723" i="9"/>
  <c r="K1723" i="9"/>
  <c r="A1724" i="9"/>
  <c r="K1724" i="9"/>
  <c r="A1722" i="9"/>
  <c r="K1722" i="9"/>
  <c r="A1721" i="9"/>
  <c r="K1721" i="9"/>
  <c r="A1720" i="9"/>
  <c r="K1720" i="9"/>
  <c r="A1719" i="9"/>
  <c r="K1719" i="9"/>
  <c r="A1718" i="9"/>
  <c r="K1718" i="9"/>
  <c r="A1717" i="9"/>
  <c r="K1717" i="9"/>
  <c r="A1716" i="9"/>
  <c r="K1716" i="9"/>
  <c r="A1715" i="9"/>
  <c r="K1715" i="9"/>
  <c r="A1714" i="9"/>
  <c r="K1714" i="9"/>
  <c r="A1713" i="9"/>
  <c r="K1713" i="9"/>
  <c r="A1712" i="9"/>
  <c r="K1712" i="9"/>
  <c r="A1711" i="9"/>
  <c r="K1711" i="9"/>
  <c r="A1710" i="9"/>
  <c r="K1710" i="9"/>
  <c r="A1709" i="9"/>
  <c r="K1709" i="9"/>
  <c r="A1708" i="9"/>
  <c r="K1708" i="9"/>
  <c r="A1707" i="9"/>
  <c r="K1707" i="9"/>
  <c r="A1706" i="9"/>
  <c r="K1706" i="9"/>
  <c r="A1705" i="9"/>
  <c r="K1705" i="9"/>
  <c r="A1704" i="9"/>
  <c r="K1704" i="9"/>
  <c r="A1703" i="9"/>
  <c r="K1703" i="9"/>
  <c r="A1702" i="9"/>
  <c r="K1702" i="9"/>
  <c r="A1701" i="9"/>
  <c r="K1701" i="9"/>
  <c r="A1700" i="9"/>
  <c r="K1700" i="9"/>
  <c r="A1699" i="9"/>
  <c r="K1699" i="9"/>
  <c r="A1698" i="9"/>
  <c r="K1698" i="9"/>
  <c r="A1697" i="9"/>
  <c r="K1697" i="9"/>
  <c r="A1696" i="9"/>
  <c r="K1696" i="9"/>
  <c r="A1695" i="9"/>
  <c r="K1695" i="9"/>
  <c r="A1694" i="9"/>
  <c r="K1694" i="9"/>
  <c r="A1693" i="9"/>
  <c r="K1693" i="9"/>
  <c r="A1692" i="9"/>
  <c r="K1692" i="9"/>
  <c r="A1691" i="9"/>
  <c r="K1691" i="9"/>
  <c r="A1690" i="9"/>
  <c r="K1690" i="9"/>
  <c r="A1689" i="9"/>
  <c r="K1689" i="9"/>
  <c r="A1688" i="9"/>
  <c r="K1688" i="9"/>
  <c r="A1687" i="9"/>
  <c r="K1687" i="9"/>
  <c r="A1686" i="9"/>
  <c r="K1686" i="9"/>
  <c r="A1685" i="9"/>
  <c r="K1685" i="9"/>
  <c r="A1684" i="9"/>
  <c r="K1684" i="9"/>
  <c r="A1683" i="9"/>
  <c r="K1683" i="9"/>
  <c r="A1682" i="9"/>
  <c r="K1682" i="9"/>
  <c r="A1681" i="9"/>
  <c r="K1681" i="9"/>
  <c r="A1680" i="9"/>
  <c r="K1680" i="9"/>
  <c r="A1679" i="9"/>
  <c r="K1679" i="9"/>
  <c r="A1678" i="9"/>
  <c r="K1678" i="9"/>
  <c r="A1677" i="9"/>
  <c r="K1677" i="9"/>
  <c r="A1676" i="9"/>
  <c r="K1676" i="9"/>
  <c r="A1675" i="9"/>
  <c r="K1675" i="9"/>
  <c r="A1674" i="9"/>
  <c r="K1674" i="9"/>
  <c r="A1673" i="9"/>
  <c r="K1673" i="9"/>
  <c r="A1672" i="9"/>
  <c r="K1672" i="9"/>
  <c r="A1658" i="9"/>
  <c r="K1658" i="9"/>
  <c r="A1662" i="9"/>
  <c r="K1662" i="9"/>
  <c r="A1671" i="9"/>
  <c r="K1671" i="9"/>
  <c r="A1666" i="9"/>
  <c r="K1666" i="9"/>
  <c r="A1665" i="9"/>
  <c r="K1665" i="9"/>
  <c r="A1661" i="9"/>
  <c r="K1661" i="9"/>
  <c r="A1660" i="9"/>
  <c r="K1660" i="9"/>
  <c r="A1659" i="9"/>
  <c r="K1659" i="9"/>
  <c r="A1657" i="9"/>
  <c r="K1657" i="9"/>
  <c r="A1670" i="9"/>
  <c r="K1670" i="9"/>
  <c r="A1668" i="9"/>
  <c r="K1668" i="9"/>
  <c r="A1656" i="9"/>
  <c r="K1656" i="9"/>
  <c r="A1669" i="9"/>
  <c r="K1669" i="9"/>
  <c r="A1664" i="9"/>
  <c r="K1664" i="9"/>
  <c r="A1663" i="9"/>
  <c r="K1663" i="9"/>
  <c r="A1655" i="9"/>
  <c r="K1655" i="9"/>
  <c r="A1667" i="9"/>
  <c r="K1667" i="9"/>
  <c r="A1654" i="9"/>
  <c r="K1654" i="9"/>
  <c r="A1601" i="9"/>
  <c r="K1601" i="9"/>
  <c r="A1580" i="9"/>
  <c r="K1580" i="9"/>
  <c r="A1648" i="9"/>
  <c r="K1648" i="9"/>
  <c r="A1650" i="9"/>
  <c r="K1650" i="9"/>
  <c r="A1598" i="9"/>
  <c r="K1598" i="9"/>
  <c r="A1597" i="9"/>
  <c r="K1597" i="9"/>
  <c r="A1614" i="9"/>
  <c r="K1614" i="9"/>
  <c r="A1596" i="9"/>
  <c r="K1596" i="9"/>
  <c r="A1595" i="9"/>
  <c r="K1595" i="9"/>
  <c r="A1649" i="9"/>
  <c r="K1649" i="9"/>
  <c r="A1602" i="9"/>
  <c r="K1602" i="9"/>
  <c r="A1653" i="9"/>
  <c r="K1653" i="9"/>
  <c r="A1652" i="9"/>
  <c r="K1652" i="9"/>
  <c r="A1613" i="9"/>
  <c r="K1613" i="9"/>
  <c r="A1612" i="9"/>
  <c r="K1612" i="9"/>
  <c r="A1611" i="9"/>
  <c r="K1611" i="9"/>
  <c r="A1610" i="9"/>
  <c r="K1610" i="9"/>
  <c r="A1609" i="9"/>
  <c r="K1609" i="9"/>
  <c r="A1608" i="9"/>
  <c r="K1608" i="9"/>
  <c r="A1607" i="9"/>
  <c r="K1607" i="9"/>
  <c r="A1606" i="9"/>
  <c r="K1606" i="9"/>
  <c r="A1605" i="9"/>
  <c r="K1605" i="9"/>
  <c r="A1604" i="9"/>
  <c r="K1604" i="9"/>
  <c r="A1603" i="9"/>
  <c r="K1603" i="9"/>
  <c r="A1643" i="9"/>
  <c r="K1643" i="9"/>
  <c r="A1599" i="9"/>
  <c r="K1599" i="9"/>
  <c r="A1586" i="9"/>
  <c r="K1586" i="9"/>
  <c r="A1585" i="9"/>
  <c r="K1585" i="9"/>
  <c r="A1584" i="9"/>
  <c r="K1584" i="9"/>
  <c r="A1583" i="9"/>
  <c r="K1583" i="9"/>
  <c r="A1582" i="9"/>
  <c r="K1582" i="9"/>
  <c r="A1647" i="9"/>
  <c r="K1647" i="9"/>
  <c r="A1646" i="9"/>
  <c r="K1646" i="9"/>
  <c r="A1645" i="9"/>
  <c r="K1645" i="9"/>
  <c r="A1644" i="9"/>
  <c r="K1644" i="9"/>
  <c r="A1581" i="9"/>
  <c r="K1581" i="9"/>
  <c r="A1594" i="9"/>
  <c r="K1594" i="9"/>
  <c r="A1593" i="9"/>
  <c r="K1593" i="9"/>
  <c r="A1592" i="9"/>
  <c r="K1592" i="9"/>
  <c r="A1591" i="9"/>
  <c r="K1591" i="9"/>
  <c r="A1590" i="9"/>
  <c r="K1590" i="9"/>
  <c r="A1589" i="9"/>
  <c r="K1589" i="9"/>
  <c r="A1588" i="9"/>
  <c r="K1588" i="9"/>
  <c r="A1587" i="9"/>
  <c r="K1587" i="9"/>
  <c r="A1642" i="9"/>
  <c r="K1642" i="9"/>
  <c r="A1600" i="9"/>
  <c r="K1600" i="9"/>
  <c r="A1641" i="9"/>
  <c r="K1641" i="9"/>
  <c r="A1640" i="9"/>
  <c r="K1640" i="9"/>
  <c r="A1639" i="9"/>
  <c r="K1639" i="9"/>
  <c r="A1638" i="9"/>
  <c r="K1638" i="9"/>
  <c r="A1651" i="9"/>
  <c r="K1651" i="9"/>
  <c r="A1637" i="9"/>
  <c r="K1637" i="9"/>
  <c r="A1636" i="9"/>
  <c r="K1636" i="9"/>
  <c r="A1635" i="9"/>
  <c r="K1635" i="9"/>
  <c r="A1634" i="9"/>
  <c r="K1634" i="9"/>
  <c r="A1633" i="9"/>
  <c r="K1633" i="9"/>
  <c r="A1632" i="9"/>
  <c r="K1632" i="9"/>
  <c r="A1631" i="9"/>
  <c r="K1631" i="9"/>
  <c r="A1630" i="9"/>
  <c r="K1630" i="9"/>
  <c r="A1629" i="9"/>
  <c r="K1629" i="9"/>
  <c r="A1628" i="9"/>
  <c r="K1628" i="9"/>
  <c r="A1627" i="9"/>
  <c r="K1627" i="9"/>
  <c r="A1626" i="9"/>
  <c r="K1626" i="9"/>
  <c r="A1625" i="9"/>
  <c r="K1625" i="9"/>
  <c r="A1624" i="9"/>
  <c r="K1624" i="9"/>
  <c r="A1623" i="9"/>
  <c r="K1623" i="9"/>
  <c r="A1622" i="9"/>
  <c r="K1622" i="9"/>
  <c r="A1621" i="9"/>
  <c r="K1621" i="9"/>
  <c r="A1620" i="9"/>
  <c r="K1620" i="9"/>
  <c r="A1619" i="9"/>
  <c r="K1619" i="9"/>
  <c r="A1618" i="9"/>
  <c r="K1618" i="9"/>
  <c r="A1617" i="9"/>
  <c r="K1617" i="9"/>
  <c r="A1616" i="9"/>
  <c r="K1616" i="9"/>
  <c r="A1615" i="9"/>
  <c r="K1615" i="9"/>
  <c r="A1579" i="9"/>
  <c r="K1579" i="9"/>
  <c r="A1578" i="9"/>
  <c r="K1578" i="9"/>
  <c r="A1577" i="9"/>
  <c r="K1577" i="9"/>
  <c r="A1576" i="9"/>
  <c r="K1576" i="9"/>
  <c r="A1575" i="9"/>
  <c r="K1575" i="9"/>
  <c r="A1574" i="9"/>
  <c r="K1574" i="9"/>
  <c r="A1573" i="9"/>
  <c r="K1573" i="9"/>
  <c r="A1572" i="9"/>
  <c r="K1572" i="9"/>
  <c r="A1571" i="9"/>
  <c r="K1571" i="9"/>
  <c r="A1570" i="9"/>
  <c r="K1570" i="9"/>
  <c r="A1569" i="9"/>
  <c r="K1569" i="9"/>
  <c r="A1568" i="9"/>
  <c r="K1568" i="9"/>
  <c r="A1567" i="9"/>
  <c r="K1567" i="9"/>
  <c r="A1566" i="9"/>
  <c r="K1566" i="9"/>
  <c r="A1565" i="9"/>
  <c r="K1565" i="9"/>
  <c r="A1564" i="9"/>
  <c r="K1564" i="9"/>
  <c r="A1563" i="9"/>
  <c r="K1563" i="9"/>
  <c r="A1562" i="9"/>
  <c r="K1562" i="9"/>
  <c r="A1561" i="9"/>
  <c r="K1561" i="9"/>
  <c r="A1560" i="9"/>
  <c r="K1560" i="9"/>
  <c r="A1559" i="9"/>
  <c r="K1559" i="9"/>
  <c r="A1558" i="9"/>
  <c r="K1558" i="9"/>
  <c r="A1557" i="9"/>
  <c r="K1557" i="9"/>
  <c r="A1556" i="9"/>
  <c r="K1556" i="9"/>
  <c r="A1555" i="9"/>
  <c r="K1555" i="9"/>
  <c r="A1554" i="9"/>
  <c r="K1554" i="9"/>
  <c r="A1553" i="9"/>
  <c r="K1553" i="9"/>
  <c r="A1552" i="9"/>
  <c r="K1552" i="9"/>
  <c r="A1551" i="9"/>
  <c r="K1551" i="9"/>
  <c r="A1550" i="9"/>
  <c r="K1550" i="9"/>
  <c r="A1549" i="9"/>
  <c r="K1549" i="9"/>
  <c r="A1548" i="9"/>
  <c r="K1548" i="9"/>
  <c r="A1547" i="9"/>
  <c r="K1547" i="9"/>
  <c r="A1546" i="9"/>
  <c r="K1546" i="9"/>
  <c r="A1545" i="9"/>
  <c r="K1545" i="9"/>
  <c r="A1544" i="9"/>
  <c r="K1544" i="9"/>
  <c r="A1543" i="9"/>
  <c r="K1543" i="9"/>
  <c r="A1542" i="9"/>
  <c r="K1542" i="9"/>
  <c r="A1541" i="9"/>
  <c r="K1541" i="9"/>
  <c r="A1540" i="9"/>
  <c r="K1540" i="9"/>
  <c r="A1539" i="9"/>
  <c r="K1539" i="9"/>
  <c r="A1538" i="9"/>
  <c r="K1538" i="9"/>
  <c r="A1537" i="9"/>
  <c r="K1537" i="9"/>
  <c r="A1536" i="9"/>
  <c r="K1536" i="9"/>
  <c r="A1535" i="9"/>
  <c r="K1535" i="9"/>
  <c r="A1534" i="9"/>
  <c r="K1534" i="9"/>
  <c r="A1533" i="9"/>
  <c r="K1533" i="9"/>
  <c r="A1532" i="9"/>
  <c r="K1532" i="9"/>
  <c r="A1531" i="9"/>
  <c r="K1531" i="9"/>
  <c r="A1530" i="9"/>
  <c r="K1530" i="9"/>
  <c r="A1529" i="9"/>
  <c r="K1529" i="9"/>
  <c r="A1528" i="9"/>
  <c r="K1528" i="9"/>
  <c r="A1527" i="9"/>
  <c r="K1527" i="9"/>
  <c r="A1526" i="9"/>
  <c r="K1526" i="9"/>
  <c r="A1525" i="9"/>
  <c r="K1525" i="9"/>
  <c r="A1524" i="9"/>
  <c r="K1524" i="9"/>
  <c r="A1523" i="9"/>
  <c r="K1523" i="9"/>
  <c r="A1522" i="9"/>
  <c r="K1522" i="9"/>
  <c r="A1521" i="9"/>
  <c r="K1521" i="9"/>
  <c r="A1520" i="9"/>
  <c r="K1520" i="9"/>
  <c r="A1519" i="9"/>
  <c r="K1519" i="9"/>
  <c r="A1518" i="9"/>
  <c r="K1518" i="9"/>
  <c r="A1517" i="9"/>
  <c r="K1517" i="9"/>
  <c r="A1516" i="9"/>
  <c r="K1516" i="9"/>
  <c r="A1515" i="9"/>
  <c r="K1515" i="9"/>
  <c r="A1514" i="9"/>
  <c r="K1514" i="9"/>
  <c r="A1513" i="9"/>
  <c r="K1513" i="9"/>
  <c r="A1512" i="9"/>
  <c r="K1512" i="9"/>
  <c r="A1511" i="9"/>
  <c r="K1511" i="9"/>
  <c r="A1510" i="9"/>
  <c r="K1510" i="9"/>
  <c r="A1509" i="9"/>
  <c r="K1509" i="9"/>
  <c r="A1508" i="9"/>
  <c r="K1508" i="9"/>
  <c r="A1507" i="9"/>
  <c r="K1507" i="9"/>
  <c r="A1506" i="9"/>
  <c r="K1506" i="9"/>
  <c r="A1505" i="9"/>
  <c r="K1505" i="9"/>
  <c r="A1504" i="9"/>
  <c r="K1504" i="9"/>
  <c r="A1503" i="9"/>
  <c r="K1503" i="9"/>
  <c r="A1502" i="9"/>
  <c r="K1502" i="9"/>
  <c r="A1501" i="9"/>
  <c r="K1501" i="9"/>
  <c r="A1500" i="9"/>
  <c r="K1500" i="9"/>
  <c r="A1499" i="9"/>
  <c r="K1499" i="9"/>
  <c r="A1498" i="9"/>
  <c r="K1498" i="9"/>
  <c r="A1497" i="9"/>
  <c r="K1497" i="9"/>
  <c r="A1496" i="9"/>
  <c r="K1496" i="9"/>
  <c r="A1495" i="9"/>
  <c r="K1495" i="9"/>
  <c r="A1494" i="9"/>
  <c r="K1494" i="9"/>
  <c r="A1491" i="9"/>
  <c r="K1491" i="9"/>
  <c r="A1493" i="9"/>
  <c r="K1493" i="9"/>
  <c r="A1492" i="9"/>
  <c r="K1492" i="9"/>
  <c r="A1490" i="9"/>
  <c r="K1490" i="9"/>
  <c r="A1489" i="9"/>
  <c r="K1489" i="9"/>
  <c r="A1488" i="9"/>
  <c r="K1488" i="9"/>
  <c r="A1487" i="9"/>
  <c r="K1487" i="9"/>
  <c r="A1486" i="9"/>
  <c r="K1486" i="9"/>
  <c r="A1485" i="9"/>
  <c r="K1485" i="9"/>
  <c r="A1483" i="9"/>
  <c r="K1483" i="9"/>
  <c r="A1482" i="9"/>
  <c r="K1482" i="9"/>
  <c r="A1480" i="9"/>
  <c r="K1480" i="9"/>
  <c r="A1481" i="9"/>
  <c r="K1481" i="9"/>
  <c r="A1479" i="9"/>
  <c r="K1479" i="9"/>
  <c r="A1478" i="9"/>
  <c r="K1478" i="9"/>
  <c r="A1472" i="9"/>
  <c r="K1472" i="9"/>
  <c r="A1475" i="9"/>
  <c r="K1475" i="9"/>
  <c r="A1477" i="9"/>
  <c r="K1477" i="9"/>
  <c r="A1476" i="9"/>
  <c r="K1476" i="9"/>
  <c r="A1474" i="9"/>
  <c r="K1474" i="9"/>
  <c r="A1473" i="9"/>
  <c r="K1473" i="9"/>
  <c r="A1469" i="9"/>
  <c r="K1469" i="9"/>
  <c r="K1468" i="9"/>
  <c r="A1468" i="9" s="1"/>
  <c r="A1471" i="9"/>
  <c r="K1471" i="9"/>
  <c r="K1470" i="9"/>
  <c r="A1470" i="9" s="1"/>
  <c r="A1467" i="9"/>
  <c r="K1467" i="9"/>
  <c r="K1466" i="9"/>
  <c r="A1466" i="9" s="1"/>
  <c r="A1465" i="9"/>
  <c r="K1465" i="9"/>
  <c r="K1464" i="9"/>
  <c r="A1464" i="9" s="1"/>
  <c r="A1484" i="9"/>
  <c r="K1484" i="9"/>
  <c r="K1463" i="9"/>
  <c r="A1463" i="9" s="1"/>
  <c r="A1461" i="9"/>
  <c r="K1461" i="9"/>
  <c r="K1460" i="9"/>
  <c r="A1460" i="9" s="1"/>
  <c r="A1462" i="9"/>
  <c r="K1462" i="9"/>
  <c r="K1459" i="9"/>
  <c r="A1459" i="9" s="1"/>
  <c r="A1458" i="9"/>
  <c r="K1458" i="9"/>
  <c r="K1457" i="9"/>
  <c r="A1457" i="9" s="1"/>
  <c r="A1456" i="9"/>
  <c r="K1456" i="9"/>
  <c r="K1455" i="9"/>
  <c r="A1455" i="9" s="1"/>
  <c r="A1454" i="9"/>
  <c r="K1454" i="9"/>
  <c r="K1453" i="9"/>
  <c r="A1453" i="9" s="1"/>
  <c r="A1452" i="9"/>
  <c r="K1452" i="9"/>
  <c r="K1451" i="9"/>
  <c r="A1451" i="9" s="1"/>
  <c r="A1450" i="9"/>
  <c r="K1450" i="9"/>
  <c r="K1449" i="9"/>
  <c r="A1449" i="9" s="1"/>
  <c r="A1448" i="9"/>
  <c r="K1448" i="9"/>
  <c r="K1447" i="9"/>
  <c r="A1447" i="9" s="1"/>
  <c r="A1446" i="9"/>
  <c r="K1446" i="9"/>
  <c r="K1445" i="9"/>
  <c r="A1445" i="9" s="1"/>
  <c r="A1444" i="9"/>
  <c r="K1444" i="9"/>
  <c r="K1443" i="9"/>
  <c r="A1443" i="9" s="1"/>
  <c r="A1442" i="9"/>
  <c r="K1442" i="9"/>
  <c r="K1441" i="9"/>
  <c r="A1441" i="9" s="1"/>
  <c r="A1440" i="9"/>
  <c r="K1440" i="9"/>
  <c r="K1439" i="9"/>
  <c r="A1439" i="9" s="1"/>
  <c r="A1438" i="9"/>
  <c r="K1438" i="9"/>
  <c r="K1437" i="9"/>
  <c r="A1437" i="9" s="1"/>
  <c r="K1436" i="9"/>
  <c r="A1436" i="9" s="1"/>
  <c r="K1435" i="9"/>
  <c r="A1435" i="9" s="1"/>
  <c r="K1434" i="9"/>
  <c r="A1434" i="9" s="1"/>
  <c r="K1433" i="9"/>
  <c r="A1433" i="9" s="1"/>
  <c r="A1432" i="9"/>
  <c r="K1432" i="9"/>
  <c r="K1431" i="9"/>
  <c r="A1431" i="9" s="1"/>
  <c r="A1430" i="9"/>
  <c r="K1430" i="9"/>
  <c r="K1429" i="9"/>
  <c r="A1429" i="9" s="1"/>
  <c r="K1428" i="9"/>
  <c r="A1428" i="9" s="1"/>
  <c r="K1427" i="9"/>
  <c r="A1427" i="9" s="1"/>
  <c r="K1426" i="9"/>
  <c r="A1426" i="9" s="1"/>
  <c r="K1425" i="9"/>
  <c r="A1425" i="9" s="1"/>
  <c r="A1424" i="9"/>
  <c r="K1424" i="9"/>
  <c r="K1423" i="9"/>
  <c r="A1423" i="9" s="1"/>
  <c r="A1422" i="9"/>
  <c r="K1422" i="9"/>
  <c r="K1421" i="9"/>
  <c r="A1421" i="9" s="1"/>
  <c r="K1420" i="9"/>
  <c r="A1420" i="9" s="1"/>
  <c r="K1419" i="9"/>
  <c r="A1419" i="9" s="1"/>
  <c r="K1418" i="9"/>
  <c r="A1418" i="9" s="1"/>
  <c r="K1417" i="9"/>
  <c r="A1417" i="9" s="1"/>
  <c r="A1416" i="9"/>
  <c r="K1416" i="9"/>
  <c r="K1415" i="9"/>
  <c r="A1415" i="9" s="1"/>
  <c r="A1414" i="9"/>
  <c r="K1414" i="9"/>
  <c r="K1413" i="9"/>
  <c r="A1413" i="9" s="1"/>
  <c r="K1412" i="9"/>
  <c r="A1412" i="9" s="1"/>
  <c r="K1411" i="9"/>
  <c r="A1411" i="9" s="1"/>
  <c r="K1410" i="9"/>
  <c r="A1410" i="9" s="1"/>
  <c r="K1409" i="9"/>
  <c r="A1409" i="9" s="1"/>
  <c r="A1408" i="9"/>
  <c r="K1408" i="9"/>
  <c r="K1407" i="9"/>
  <c r="A1407" i="9" s="1"/>
  <c r="A1406" i="9"/>
  <c r="K1406" i="9"/>
  <c r="K1405" i="9"/>
  <c r="A1405" i="9" s="1"/>
  <c r="K1404" i="9"/>
  <c r="A1404" i="9" s="1"/>
  <c r="K1403" i="9"/>
  <c r="A1403" i="9" s="1"/>
  <c r="K1402" i="9"/>
  <c r="A1402" i="9" s="1"/>
  <c r="K1401" i="9"/>
  <c r="A1401" i="9" s="1"/>
  <c r="A1400" i="9"/>
  <c r="K1400" i="9"/>
  <c r="K1399" i="9"/>
  <c r="A1399" i="9" s="1"/>
  <c r="A1397" i="9"/>
  <c r="K1397" i="9"/>
  <c r="K1398" i="9"/>
  <c r="A1398" i="9" s="1"/>
  <c r="K1396" i="9"/>
  <c r="A1396" i="9" s="1"/>
  <c r="K1395" i="9"/>
  <c r="A1395" i="9" s="1"/>
  <c r="K1394" i="9"/>
  <c r="A1394" i="9" s="1"/>
  <c r="K1393" i="9"/>
  <c r="A1393" i="9" s="1"/>
  <c r="A1392" i="9"/>
  <c r="K1392" i="9"/>
  <c r="K1391" i="9"/>
  <c r="A1391" i="9" s="1"/>
  <c r="A1390" i="9"/>
  <c r="K1390" i="9"/>
  <c r="K1389" i="9"/>
  <c r="A1389" i="9" s="1"/>
  <c r="K1388" i="9"/>
  <c r="A1388" i="9" s="1"/>
  <c r="K1387" i="9"/>
  <c r="A1387" i="9" s="1"/>
  <c r="K1386" i="9"/>
  <c r="A1386" i="9" s="1"/>
  <c r="K1385" i="9"/>
  <c r="A1385" i="9" s="1"/>
  <c r="A1384" i="9"/>
  <c r="K1384" i="9"/>
  <c r="K1383" i="9"/>
  <c r="A1383" i="9" s="1"/>
  <c r="A1382" i="9"/>
  <c r="K1382" i="9"/>
  <c r="K1381" i="9"/>
  <c r="A1381" i="9" s="1"/>
  <c r="K1380" i="9"/>
  <c r="A1380" i="9" s="1"/>
  <c r="K1379" i="9"/>
  <c r="A1379" i="9" s="1"/>
  <c r="K1378" i="9"/>
  <c r="A1378" i="9" s="1"/>
  <c r="K1377" i="9"/>
  <c r="A1377" i="9" s="1"/>
  <c r="A1376" i="9"/>
  <c r="K1376" i="9"/>
  <c r="K1375" i="9"/>
  <c r="A1375" i="9" s="1"/>
  <c r="A1374" i="9"/>
  <c r="K1374" i="9"/>
  <c r="K1373" i="9"/>
  <c r="A1373" i="9" s="1"/>
  <c r="K1372" i="9"/>
  <c r="A1372" i="9" s="1"/>
  <c r="K1371" i="9"/>
  <c r="A1371" i="9" s="1"/>
  <c r="K1370" i="9"/>
  <c r="A1370" i="9" s="1"/>
  <c r="K1369" i="9"/>
  <c r="A1369" i="9" s="1"/>
  <c r="A1368" i="9"/>
  <c r="K1368" i="9"/>
  <c r="K1367" i="9"/>
  <c r="A1367" i="9" s="1"/>
  <c r="A1366" i="9"/>
  <c r="K1366" i="9"/>
  <c r="K1365" i="9"/>
  <c r="A1365" i="9" s="1"/>
  <c r="K1364" i="9"/>
  <c r="A1364" i="9" s="1"/>
  <c r="K1363" i="9"/>
  <c r="A1363" i="9" s="1"/>
  <c r="K1362" i="9"/>
  <c r="A1362" i="9" s="1"/>
  <c r="K1361" i="9"/>
  <c r="A1361" i="9" s="1"/>
  <c r="A1360" i="9"/>
  <c r="K1360" i="9"/>
  <c r="K1359" i="9"/>
  <c r="A1359" i="9" s="1"/>
  <c r="A1358" i="9"/>
  <c r="K1358" i="9"/>
  <c r="K1357" i="9"/>
  <c r="A1357" i="9" s="1"/>
  <c r="K1356" i="9"/>
  <c r="A1356" i="9" s="1"/>
  <c r="K1355" i="9"/>
  <c r="A1355" i="9" s="1"/>
  <c r="K1354" i="9"/>
  <c r="A1354" i="9" s="1"/>
  <c r="K1353" i="9"/>
  <c r="A1353" i="9" s="1"/>
  <c r="A1352" i="9"/>
  <c r="K1352" i="9"/>
  <c r="K1351" i="9"/>
  <c r="A1351" i="9" s="1"/>
  <c r="A1350" i="9"/>
  <c r="K1350" i="9"/>
  <c r="K1349" i="9"/>
  <c r="A1349" i="9" s="1"/>
  <c r="K1348" i="9"/>
  <c r="A1348" i="9" s="1"/>
  <c r="K1347" i="9"/>
  <c r="A1347" i="9" s="1"/>
  <c r="K1346" i="9"/>
  <c r="A1346" i="9" s="1"/>
  <c r="K1345" i="9"/>
  <c r="A1345" i="9" s="1"/>
  <c r="A1344" i="9"/>
  <c r="K1344" i="9"/>
  <c r="K1343" i="9"/>
  <c r="A1343" i="9" s="1"/>
  <c r="A1342" i="9"/>
  <c r="K1342" i="9"/>
  <c r="K1341" i="9"/>
  <c r="A1341" i="9" s="1"/>
  <c r="K1340" i="9"/>
  <c r="A1340" i="9" s="1"/>
  <c r="K1339" i="9"/>
  <c r="A1339" i="9" s="1"/>
  <c r="K1338" i="9"/>
  <c r="A1338" i="9" s="1"/>
  <c r="K1337" i="9"/>
  <c r="A1337" i="9" s="1"/>
  <c r="A1336" i="9"/>
  <c r="K1336" i="9"/>
  <c r="K1335" i="9"/>
  <c r="A1335" i="9" s="1"/>
  <c r="A1334" i="9"/>
  <c r="K1334" i="9"/>
  <c r="K1333" i="9"/>
  <c r="A1333" i="9" s="1"/>
  <c r="K1332" i="9"/>
  <c r="A1332" i="9" s="1"/>
  <c r="K1331" i="9"/>
  <c r="A1331" i="9" s="1"/>
  <c r="K1330" i="9"/>
  <c r="A1330" i="9" s="1"/>
  <c r="K1329" i="9"/>
  <c r="A1329" i="9" s="1"/>
  <c r="A1328" i="9"/>
  <c r="K1328" i="9"/>
  <c r="K1327" i="9"/>
  <c r="A1327" i="9" s="1"/>
  <c r="A1326" i="9"/>
  <c r="K1326" i="9"/>
  <c r="K1325" i="9"/>
  <c r="A1325" i="9" s="1"/>
  <c r="K1324" i="9"/>
  <c r="A1324" i="9" s="1"/>
  <c r="K1323" i="9"/>
  <c r="A1323" i="9" s="1"/>
  <c r="K1322" i="9"/>
  <c r="A1322" i="9" s="1"/>
  <c r="K1321" i="9"/>
  <c r="A1321" i="9" s="1"/>
  <c r="A1320" i="9"/>
  <c r="K1320" i="9"/>
  <c r="K1319" i="9"/>
  <c r="A1319" i="9" s="1"/>
  <c r="A1318" i="9"/>
  <c r="K1318" i="9"/>
  <c r="K1317" i="9"/>
  <c r="A1317" i="9" s="1"/>
  <c r="K1316" i="9"/>
  <c r="A1316" i="9" s="1"/>
  <c r="K1315" i="9"/>
  <c r="A1315" i="9" s="1"/>
  <c r="K1314" i="9"/>
  <c r="A1314" i="9" s="1"/>
  <c r="K1313" i="9"/>
  <c r="A1313" i="9" s="1"/>
  <c r="A1312" i="9"/>
  <c r="K1312" i="9"/>
  <c r="K1311" i="9"/>
  <c r="A1311" i="9" s="1"/>
  <c r="A1310" i="9"/>
  <c r="K1310" i="9"/>
  <c r="K1309" i="9"/>
  <c r="A1309" i="9" s="1"/>
  <c r="K1308" i="9"/>
  <c r="A1308" i="9" s="1"/>
  <c r="K1306" i="9"/>
  <c r="A1306" i="9" s="1"/>
  <c r="K1305" i="9"/>
  <c r="A1305" i="9" s="1"/>
  <c r="K1304" i="9"/>
  <c r="A1304" i="9" s="1"/>
  <c r="A1303" i="9"/>
  <c r="K1303" i="9"/>
  <c r="K1302" i="9"/>
  <c r="A1302" i="9" s="1"/>
  <c r="A1301" i="9"/>
  <c r="K1301" i="9"/>
  <c r="K1300" i="9"/>
  <c r="A1300" i="9" s="1"/>
  <c r="K1299" i="9"/>
  <c r="A1299" i="9" s="1"/>
  <c r="K1298" i="9"/>
  <c r="A1298" i="9" s="1"/>
  <c r="K1297" i="9"/>
  <c r="A1297" i="9" s="1"/>
  <c r="K1296" i="9"/>
  <c r="A1296" i="9" s="1"/>
  <c r="A1295" i="9"/>
  <c r="K1295" i="9"/>
  <c r="K1294" i="9"/>
  <c r="A1294" i="9" s="1"/>
  <c r="A1293" i="9"/>
  <c r="K1293" i="9"/>
  <c r="K1292" i="9"/>
  <c r="A1292" i="9" s="1"/>
  <c r="K1307" i="9"/>
  <c r="A1307" i="9" s="1"/>
  <c r="K1291" i="9"/>
  <c r="A1291" i="9" s="1"/>
  <c r="K1290" i="9"/>
  <c r="A1290" i="9" s="1"/>
  <c r="K1289" i="9"/>
  <c r="A1289" i="9" s="1"/>
  <c r="A1288" i="9"/>
  <c r="K1288" i="9"/>
  <c r="K1287" i="9"/>
  <c r="A1287" i="9" s="1"/>
  <c r="A1286" i="9"/>
  <c r="K1286" i="9"/>
  <c r="K1285" i="9"/>
  <c r="A1285" i="9" s="1"/>
  <c r="K1284" i="9"/>
  <c r="A1284" i="9" s="1"/>
  <c r="K1283" i="9"/>
  <c r="A1283" i="9" s="1"/>
  <c r="K1282" i="9"/>
  <c r="A1282" i="9" s="1"/>
  <c r="K1281" i="9"/>
  <c r="A1281" i="9" s="1"/>
  <c r="A1280" i="9"/>
  <c r="K1280" i="9"/>
  <c r="K1279" i="9"/>
  <c r="A1279" i="9" s="1"/>
  <c r="A1278" i="9"/>
  <c r="K1278" i="9"/>
  <c r="K1277" i="9"/>
  <c r="A1277" i="9" s="1"/>
  <c r="K1276" i="9"/>
  <c r="A1276" i="9" s="1"/>
  <c r="K1275" i="9"/>
  <c r="A1275" i="9" s="1"/>
  <c r="K1274" i="9"/>
  <c r="A1274" i="9" s="1"/>
  <c r="K1273" i="9"/>
  <c r="A1273" i="9" s="1"/>
  <c r="A1272" i="9"/>
  <c r="K1272" i="9"/>
  <c r="K1271" i="9"/>
  <c r="A1271" i="9" s="1"/>
  <c r="A1270" i="9"/>
  <c r="K1270" i="9"/>
  <c r="K1269" i="9"/>
  <c r="A1269" i="9" s="1"/>
  <c r="K1268" i="9"/>
  <c r="A1268" i="9" s="1"/>
  <c r="K1267" i="9"/>
  <c r="A1267" i="9" s="1"/>
  <c r="K1266" i="9"/>
  <c r="A1266" i="9" s="1"/>
  <c r="K1265" i="9"/>
  <c r="A1265" i="9" s="1"/>
  <c r="A1264" i="9"/>
  <c r="K1264" i="9"/>
  <c r="K1263" i="9"/>
  <c r="A1263" i="9" s="1"/>
  <c r="A1262" i="9"/>
  <c r="K1262" i="9"/>
  <c r="K1261" i="9"/>
  <c r="A1261" i="9" s="1"/>
  <c r="K1260" i="9"/>
  <c r="A1260" i="9" s="1"/>
  <c r="K1259" i="9"/>
  <c r="A1259" i="9" s="1"/>
  <c r="K1258" i="9"/>
  <c r="A1258" i="9" s="1"/>
  <c r="K1257" i="9"/>
  <c r="A1257" i="9" s="1"/>
  <c r="A1256" i="9"/>
  <c r="K1256" i="9"/>
  <c r="K1255" i="9"/>
  <c r="A1255" i="9" s="1"/>
  <c r="A1254" i="9"/>
  <c r="K1254" i="9"/>
  <c r="K1253" i="9"/>
  <c r="A1253" i="9" s="1"/>
  <c r="K1252" i="9"/>
  <c r="A1252" i="9" s="1"/>
  <c r="K1251" i="9"/>
  <c r="A1251" i="9" s="1"/>
  <c r="K1250" i="9"/>
  <c r="A1250" i="9" s="1"/>
  <c r="K1249" i="9"/>
  <c r="A1249" i="9" s="1"/>
  <c r="A1248" i="9"/>
  <c r="K1248" i="9"/>
  <c r="K1247" i="9"/>
  <c r="A1247" i="9" s="1"/>
  <c r="A1246" i="9"/>
  <c r="K1246" i="9"/>
  <c r="K1245" i="9"/>
  <c r="A1245" i="9" s="1"/>
  <c r="K1244" i="9"/>
  <c r="A1244" i="9" s="1"/>
  <c r="K1243" i="9"/>
  <c r="A1243" i="9" s="1"/>
  <c r="K1242" i="9"/>
  <c r="A1242" i="9" s="1"/>
  <c r="K1241" i="9"/>
  <c r="A1241" i="9" s="1"/>
  <c r="A1240" i="9"/>
  <c r="K1240" i="9"/>
  <c r="K1239" i="9"/>
  <c r="A1239" i="9" s="1"/>
  <c r="A1238" i="9"/>
  <c r="K1238" i="9"/>
  <c r="K1237" i="9"/>
  <c r="A1237" i="9" s="1"/>
  <c r="K1236" i="9"/>
  <c r="A1236" i="9" s="1"/>
  <c r="K1235" i="9"/>
  <c r="A1235" i="9" s="1"/>
  <c r="K1234" i="9"/>
  <c r="A1234" i="9" s="1"/>
  <c r="K1233" i="9"/>
  <c r="A1233" i="9" s="1"/>
  <c r="A1232" i="9"/>
  <c r="K1232" i="9"/>
  <c r="K1231" i="9"/>
  <c r="A1231" i="9" s="1"/>
  <c r="A1230" i="9"/>
  <c r="K1230" i="9"/>
  <c r="K1229" i="9"/>
  <c r="A1229" i="9" s="1"/>
  <c r="K1228" i="9"/>
  <c r="A1228" i="9" s="1"/>
  <c r="K1227" i="9"/>
  <c r="A1227" i="9" s="1"/>
  <c r="K1226" i="9"/>
  <c r="A1226" i="9" s="1"/>
  <c r="K1225" i="9"/>
  <c r="A1225" i="9" s="1"/>
  <c r="A1224" i="9"/>
  <c r="K1224" i="9"/>
  <c r="K1223" i="9"/>
  <c r="A1223" i="9" s="1"/>
  <c r="A1222" i="9"/>
  <c r="K1222" i="9"/>
  <c r="K1221" i="9"/>
  <c r="A1221" i="9" s="1"/>
  <c r="K1220" i="9"/>
  <c r="A1220" i="9" s="1"/>
  <c r="K1218" i="9"/>
  <c r="A1218" i="9" s="1"/>
  <c r="K1219" i="9"/>
  <c r="A1219" i="9" s="1"/>
  <c r="K1217" i="9"/>
  <c r="A1217" i="9" s="1"/>
  <c r="A1216" i="9"/>
  <c r="K1216" i="9"/>
  <c r="K1215" i="9"/>
  <c r="A1215" i="9" s="1"/>
  <c r="A1214" i="9"/>
  <c r="K1214" i="9"/>
  <c r="K1213" i="9"/>
  <c r="A1213" i="9" s="1"/>
  <c r="K1212" i="9"/>
  <c r="A1212" i="9" s="1"/>
  <c r="K1211" i="9"/>
  <c r="A1211" i="9" s="1"/>
  <c r="K1210" i="9"/>
  <c r="A1210" i="9" s="1"/>
  <c r="K1209" i="9"/>
  <c r="A1209" i="9" s="1"/>
  <c r="A1208" i="9"/>
  <c r="K1208" i="9"/>
  <c r="K1207" i="9"/>
  <c r="A1207" i="9" s="1"/>
  <c r="A1206" i="9"/>
  <c r="K1206" i="9"/>
  <c r="K1205" i="9"/>
  <c r="A1205" i="9" s="1"/>
  <c r="K1204" i="9"/>
  <c r="A1204" i="9" s="1"/>
  <c r="K1203" i="9"/>
  <c r="A1203" i="9" s="1"/>
  <c r="K1202" i="9"/>
  <c r="A1202" i="9" s="1"/>
  <c r="K1201" i="9"/>
  <c r="A1201" i="9" s="1"/>
  <c r="A1200" i="9"/>
  <c r="K1200" i="9"/>
  <c r="K1199" i="9"/>
  <c r="A1199" i="9" s="1"/>
  <c r="A1198" i="9"/>
  <c r="K1198" i="9"/>
  <c r="K1197" i="9"/>
  <c r="A1197" i="9" s="1"/>
  <c r="K1196" i="9"/>
  <c r="A1196" i="9" s="1"/>
  <c r="K1195" i="9"/>
  <c r="A1195" i="9" s="1"/>
  <c r="K1194" i="9"/>
  <c r="A1194" i="9" s="1"/>
  <c r="K1193" i="9"/>
  <c r="A1193" i="9" s="1"/>
  <c r="A1192" i="9"/>
  <c r="K1192" i="9"/>
  <c r="K1191" i="9"/>
  <c r="A1191" i="9" s="1"/>
  <c r="A1190" i="9"/>
  <c r="K1190" i="9"/>
  <c r="K1189" i="9"/>
  <c r="A1189" i="9" s="1"/>
  <c r="K1188" i="9"/>
  <c r="A1188" i="9" s="1"/>
  <c r="K1187" i="9"/>
  <c r="A1187" i="9" s="1"/>
  <c r="K1186" i="9"/>
  <c r="A1186" i="9" s="1"/>
  <c r="K1185" i="9"/>
  <c r="A1185" i="9" s="1"/>
  <c r="A1184" i="9"/>
  <c r="K1184" i="9"/>
  <c r="K1183" i="9"/>
  <c r="A1183" i="9" s="1"/>
  <c r="A1182" i="9"/>
  <c r="K1182" i="9"/>
  <c r="K1181" i="9"/>
  <c r="A1181" i="9" s="1"/>
  <c r="K1179" i="9"/>
  <c r="A1179" i="9" s="1"/>
  <c r="K1180" i="9"/>
  <c r="A1180" i="9" s="1"/>
  <c r="K1178" i="9"/>
  <c r="A1178" i="9" s="1"/>
  <c r="K1177" i="9"/>
  <c r="A1177" i="9" s="1"/>
  <c r="A1176" i="9"/>
  <c r="K1176" i="9"/>
  <c r="K1175" i="9"/>
  <c r="A1175" i="9" s="1"/>
  <c r="A1174" i="9"/>
  <c r="K1174" i="9"/>
  <c r="K1173" i="9"/>
  <c r="A1173" i="9" s="1"/>
  <c r="K1172" i="9"/>
  <c r="A1172" i="9" s="1"/>
  <c r="K1171" i="9"/>
  <c r="A1171" i="9" s="1"/>
  <c r="A1170" i="9"/>
  <c r="K1170" i="9"/>
  <c r="K1169" i="9"/>
  <c r="A1169" i="9" s="1"/>
  <c r="A1168" i="9"/>
  <c r="K1168" i="9"/>
  <c r="K1167" i="9"/>
  <c r="A1167" i="9" s="1"/>
  <c r="A1166" i="9"/>
  <c r="K1166" i="9"/>
  <c r="K1165" i="9"/>
  <c r="A1165" i="9" s="1"/>
  <c r="K1164" i="9"/>
  <c r="A1164" i="9" s="1"/>
  <c r="K1163" i="9"/>
  <c r="A1163" i="9" s="1"/>
  <c r="A1162" i="9"/>
  <c r="K1162" i="9"/>
  <c r="K1161" i="9"/>
  <c r="A1161" i="9" s="1"/>
  <c r="A1160" i="9"/>
  <c r="K1160" i="9"/>
  <c r="K1159" i="9"/>
  <c r="A1159" i="9" s="1"/>
  <c r="A1158" i="9"/>
  <c r="K1158" i="9"/>
  <c r="K1157" i="9"/>
  <c r="A1157" i="9" s="1"/>
  <c r="K1156" i="9"/>
  <c r="A1156" i="9" s="1"/>
  <c r="K1155" i="9"/>
  <c r="A1155" i="9" s="1"/>
  <c r="A1154" i="9"/>
  <c r="K1154" i="9"/>
  <c r="K1153" i="9"/>
  <c r="A1153" i="9" s="1"/>
  <c r="A1152" i="9"/>
  <c r="K1152" i="9"/>
  <c r="K1151" i="9"/>
  <c r="A1151" i="9" s="1"/>
  <c r="A1150" i="9"/>
  <c r="K1150" i="9"/>
  <c r="K1149" i="9"/>
  <c r="A1149" i="9" s="1"/>
  <c r="K1148" i="9"/>
  <c r="A1148" i="9" s="1"/>
  <c r="K1147" i="9"/>
  <c r="A1147" i="9" s="1"/>
  <c r="A1146" i="9"/>
  <c r="K1146" i="9"/>
  <c r="K1145" i="9"/>
  <c r="A1145" i="9" s="1"/>
  <c r="A1144" i="9"/>
  <c r="K1144" i="9"/>
  <c r="K1143" i="9"/>
  <c r="A1143" i="9" s="1"/>
  <c r="A1142" i="9"/>
  <c r="K1142" i="9"/>
  <c r="K1141" i="9"/>
  <c r="A1141" i="9" s="1"/>
  <c r="K1140" i="9"/>
  <c r="A1140" i="9" s="1"/>
  <c r="K1139" i="9"/>
  <c r="A1139" i="9" s="1"/>
  <c r="A1138" i="9"/>
  <c r="K1138" i="9"/>
  <c r="K1137" i="9"/>
  <c r="A1137" i="9" s="1"/>
  <c r="A1136" i="9"/>
  <c r="K1136" i="9"/>
  <c r="K1135" i="9"/>
  <c r="A1135" i="9" s="1"/>
  <c r="A1134" i="9"/>
  <c r="K1134" i="9"/>
  <c r="K1133" i="9"/>
  <c r="A1133" i="9" s="1"/>
  <c r="K1132" i="9"/>
  <c r="A1132" i="9" s="1"/>
  <c r="K1131" i="9"/>
  <c r="A1131" i="9" s="1"/>
  <c r="A1130" i="9"/>
  <c r="K1130" i="9"/>
  <c r="K1129" i="9"/>
  <c r="A1129" i="9" s="1"/>
  <c r="A1128" i="9"/>
  <c r="K1128" i="9"/>
  <c r="K1127" i="9"/>
  <c r="A1127" i="9" s="1"/>
  <c r="A1126" i="9"/>
  <c r="K1126" i="9"/>
  <c r="K1125" i="9"/>
  <c r="A1125" i="9" s="1"/>
  <c r="K1124" i="9"/>
  <c r="A1124" i="9" s="1"/>
  <c r="K1123" i="9"/>
  <c r="A1123" i="9" s="1"/>
  <c r="A1122" i="9"/>
  <c r="K1122" i="9"/>
  <c r="K1121" i="9"/>
  <c r="A1121" i="9" s="1"/>
  <c r="A1120" i="9"/>
  <c r="K1120" i="9"/>
  <c r="K1119" i="9"/>
  <c r="A1119" i="9" s="1"/>
  <c r="A1118" i="9"/>
  <c r="K1118" i="9"/>
  <c r="K1117" i="9"/>
  <c r="A1117" i="9" s="1"/>
  <c r="K1116" i="9"/>
  <c r="A1116" i="9" s="1"/>
  <c r="K1115" i="9"/>
  <c r="A1115" i="9" s="1"/>
  <c r="A1114" i="9"/>
  <c r="K1114" i="9"/>
  <c r="K1113" i="9"/>
  <c r="A1113" i="9" s="1"/>
  <c r="A1112" i="9"/>
  <c r="K1112" i="9"/>
  <c r="K1111" i="9"/>
  <c r="A1111" i="9" s="1"/>
  <c r="A1110" i="9"/>
  <c r="K1110" i="9"/>
  <c r="K1109" i="9"/>
  <c r="A1109" i="9" s="1"/>
  <c r="K1108" i="9"/>
  <c r="A1108" i="9" s="1"/>
  <c r="K1107" i="9"/>
  <c r="A1107" i="9" s="1"/>
  <c r="A1106" i="9"/>
  <c r="K1106" i="9"/>
  <c r="K1105" i="9"/>
  <c r="A1105" i="9" s="1"/>
  <c r="A1104" i="9"/>
  <c r="K1104" i="9"/>
  <c r="K1103" i="9"/>
  <c r="A1103" i="9" s="1"/>
  <c r="A1102" i="9"/>
  <c r="K1102" i="9"/>
  <c r="K1101" i="9"/>
  <c r="A1101" i="9" s="1"/>
  <c r="K1100" i="9"/>
  <c r="A1100" i="9" s="1"/>
  <c r="K1099" i="9"/>
  <c r="A1099" i="9" s="1"/>
  <c r="A1098" i="9"/>
  <c r="K1098" i="9"/>
  <c r="K1097" i="9"/>
  <c r="A1097" i="9" s="1"/>
  <c r="A1096" i="9"/>
  <c r="K1096" i="9"/>
  <c r="K1095" i="9"/>
  <c r="A1095" i="9" s="1"/>
  <c r="A1094" i="9"/>
  <c r="K1094" i="9"/>
  <c r="K1087" i="9"/>
  <c r="A1087" i="9" s="1"/>
  <c r="K1093" i="9"/>
  <c r="A1093" i="9" s="1"/>
  <c r="K1092" i="9"/>
  <c r="A1092" i="9" s="1"/>
  <c r="A1091" i="9"/>
  <c r="K1091" i="9"/>
  <c r="K1090" i="9"/>
  <c r="A1090" i="9" s="1"/>
  <c r="A1089" i="9"/>
  <c r="K1089" i="9"/>
  <c r="K1088" i="9"/>
  <c r="A1088" i="9" s="1"/>
  <c r="A1086" i="9"/>
  <c r="K1086" i="9"/>
  <c r="K1085" i="9"/>
  <c r="A1085" i="9" s="1"/>
  <c r="K1084" i="9"/>
  <c r="A1084" i="9" s="1"/>
  <c r="K1083" i="9"/>
  <c r="A1083" i="9" s="1"/>
  <c r="A1082" i="9"/>
  <c r="K1082" i="9"/>
  <c r="K1081" i="9"/>
  <c r="A1081" i="9" s="1"/>
  <c r="A1080" i="9"/>
  <c r="K1080" i="9"/>
  <c r="K1079" i="9"/>
  <c r="A1079" i="9" s="1"/>
  <c r="A1078" i="9"/>
  <c r="K1078" i="9"/>
  <c r="K1077" i="9"/>
  <c r="A1077" i="9" s="1"/>
  <c r="K1076" i="9"/>
  <c r="A1076" i="9" s="1"/>
  <c r="K1075" i="9"/>
  <c r="A1075" i="9" s="1"/>
  <c r="A1074" i="9"/>
  <c r="K1074" i="9"/>
  <c r="K1073" i="9"/>
  <c r="A1073" i="9" s="1"/>
  <c r="A1072" i="9"/>
  <c r="K1072" i="9"/>
  <c r="K1071" i="9"/>
  <c r="A1071" i="9" s="1"/>
  <c r="A1070" i="9"/>
  <c r="K1070" i="9"/>
  <c r="K1069" i="9"/>
  <c r="A1069" i="9" s="1"/>
  <c r="K1068" i="9"/>
  <c r="A1068" i="9" s="1"/>
  <c r="K1067" i="9"/>
  <c r="A1067" i="9" s="1"/>
  <c r="A1066" i="9"/>
  <c r="K1066" i="9"/>
  <c r="K1065" i="9"/>
  <c r="A1065" i="9" s="1"/>
  <c r="A1064" i="9"/>
  <c r="K1064" i="9"/>
  <c r="K1063" i="9"/>
  <c r="A1063" i="9" s="1"/>
  <c r="A1062" i="9"/>
  <c r="K1062" i="9"/>
  <c r="K1061" i="9"/>
  <c r="A1061" i="9" s="1"/>
  <c r="K1060" i="9"/>
  <c r="A1060" i="9" s="1"/>
  <c r="K1059" i="9"/>
  <c r="A1059" i="9" s="1"/>
  <c r="A1058" i="9"/>
  <c r="K1058" i="9"/>
  <c r="K1057" i="9"/>
  <c r="A1057" i="9" s="1"/>
  <c r="A1056" i="9"/>
  <c r="K1056" i="9"/>
  <c r="K1055" i="9"/>
  <c r="A1055" i="9" s="1"/>
  <c r="A1054" i="9"/>
  <c r="K1054" i="9"/>
  <c r="K1053" i="9"/>
  <c r="A1053" i="9" s="1"/>
  <c r="K1052" i="9"/>
  <c r="A1052" i="9" s="1"/>
  <c r="K1051" i="9"/>
  <c r="A1051" i="9" s="1"/>
  <c r="A1050" i="9"/>
  <c r="K1050" i="9"/>
  <c r="K1049" i="9"/>
  <c r="A1049" i="9" s="1"/>
  <c r="A1048" i="9"/>
  <c r="K1048" i="9"/>
  <c r="K1047" i="9"/>
  <c r="A1047" i="9" s="1"/>
  <c r="A1046" i="9"/>
  <c r="K1046" i="9"/>
  <c r="K1045" i="9"/>
  <c r="A1045" i="9" s="1"/>
  <c r="K1044" i="9"/>
  <c r="A1044" i="9" s="1"/>
  <c r="K1043" i="9"/>
  <c r="A1043" i="9" s="1"/>
  <c r="A1042" i="9"/>
  <c r="K1042" i="9"/>
  <c r="K1041" i="9"/>
  <c r="A1041" i="9" s="1"/>
  <c r="A1040" i="9"/>
  <c r="K1040" i="9"/>
  <c r="K1039" i="9"/>
  <c r="A1039" i="9" s="1"/>
  <c r="A1038" i="9"/>
  <c r="K1038" i="9"/>
  <c r="K1037" i="9"/>
  <c r="A1037" i="9" s="1"/>
  <c r="K1036" i="9"/>
  <c r="A1036" i="9" s="1"/>
  <c r="K1035" i="9"/>
  <c r="A1035" i="9" s="1"/>
  <c r="A1034" i="9"/>
  <c r="K1034" i="9"/>
  <c r="K1033" i="9"/>
  <c r="A1033" i="9" s="1"/>
  <c r="A1032" i="9"/>
  <c r="K1032" i="9"/>
  <c r="K1031" i="9"/>
  <c r="A1031" i="9" s="1"/>
  <c r="A1030" i="9"/>
  <c r="K1030" i="9"/>
  <c r="K1029" i="9"/>
  <c r="A1029" i="9" s="1"/>
  <c r="K1028" i="9"/>
  <c r="A1028" i="9" s="1"/>
  <c r="K1027" i="9"/>
  <c r="A1027" i="9" s="1"/>
  <c r="A1026" i="9"/>
  <c r="K1026" i="9"/>
  <c r="K1025" i="9"/>
  <c r="A1025" i="9" s="1"/>
  <c r="A1024" i="9"/>
  <c r="K1024" i="9"/>
  <c r="K1023" i="9"/>
  <c r="A1023" i="9" s="1"/>
  <c r="A1022" i="9"/>
  <c r="K1022" i="9"/>
  <c r="K1021" i="9"/>
  <c r="A1021" i="9" s="1"/>
  <c r="K1020" i="9"/>
  <c r="A1020" i="9" s="1"/>
  <c r="K1019" i="9"/>
  <c r="A1019" i="9" s="1"/>
  <c r="A1018" i="9"/>
  <c r="K1018" i="9"/>
  <c r="K1017" i="9"/>
  <c r="A1017" i="9" s="1"/>
  <c r="A1016" i="9"/>
  <c r="K1016" i="9"/>
  <c r="K1015" i="9"/>
  <c r="A1015" i="9" s="1"/>
  <c r="A1014" i="9"/>
  <c r="K1014" i="9"/>
  <c r="K1013" i="9"/>
  <c r="A1013" i="9" s="1"/>
  <c r="K1012" i="9"/>
  <c r="A1012" i="9" s="1"/>
  <c r="K1011" i="9"/>
  <c r="A1011" i="9" s="1"/>
  <c r="A1010" i="9"/>
  <c r="K1010" i="9"/>
  <c r="K1009" i="9"/>
  <c r="A1009" i="9" s="1"/>
  <c r="A1008" i="9"/>
  <c r="K1008" i="9"/>
  <c r="K1007" i="9"/>
  <c r="A1007" i="9" s="1"/>
  <c r="A1006" i="9"/>
  <c r="K1006" i="9"/>
  <c r="K1005" i="9"/>
  <c r="A1005" i="9" s="1"/>
  <c r="K1004" i="9"/>
  <c r="A1004" i="9" s="1"/>
  <c r="K1003" i="9"/>
  <c r="A1003" i="9" s="1"/>
  <c r="A1001" i="9"/>
  <c r="K1001" i="9"/>
  <c r="K1002" i="9"/>
  <c r="A1002" i="9" s="1"/>
  <c r="A1000" i="9"/>
  <c r="K1000" i="9"/>
  <c r="K999" i="9"/>
  <c r="A999" i="9" s="1"/>
  <c r="A998" i="9"/>
  <c r="K998" i="9"/>
  <c r="K997" i="9"/>
  <c r="A997" i="9" s="1"/>
  <c r="K996" i="9"/>
  <c r="A996" i="9" s="1"/>
  <c r="K995" i="9"/>
  <c r="A995" i="9" s="1"/>
  <c r="A994" i="9"/>
  <c r="K994" i="9"/>
  <c r="K993" i="9"/>
  <c r="A993" i="9" s="1"/>
  <c r="A992" i="9"/>
  <c r="K992" i="9"/>
  <c r="K991" i="9"/>
  <c r="A991" i="9" s="1"/>
  <c r="A990" i="9"/>
  <c r="K990" i="9"/>
  <c r="K989" i="9"/>
  <c r="A989" i="9" s="1"/>
  <c r="K988" i="9"/>
  <c r="A988" i="9" s="1"/>
  <c r="K987" i="9"/>
  <c r="A987" i="9" s="1"/>
  <c r="A986" i="9"/>
  <c r="K986" i="9"/>
  <c r="K985" i="9"/>
  <c r="A985" i="9" s="1"/>
  <c r="A984" i="9"/>
  <c r="K984" i="9"/>
  <c r="K983" i="9"/>
  <c r="A983" i="9" s="1"/>
  <c r="A978" i="9"/>
  <c r="K978" i="9"/>
  <c r="K979" i="9"/>
  <c r="A979" i="9" s="1"/>
  <c r="K976" i="9"/>
  <c r="A976" i="9" s="1"/>
  <c r="K982" i="9"/>
  <c r="A982" i="9" s="1"/>
  <c r="A981" i="9"/>
  <c r="K981" i="9"/>
  <c r="K980" i="9"/>
  <c r="A980" i="9" s="1"/>
  <c r="A977" i="9"/>
  <c r="K977" i="9"/>
  <c r="K975" i="9"/>
  <c r="A975" i="9" s="1"/>
  <c r="A974" i="9"/>
  <c r="K974" i="9"/>
  <c r="K973" i="9"/>
  <c r="A973" i="9" s="1"/>
  <c r="K972" i="9"/>
  <c r="A972" i="9" s="1"/>
  <c r="K971" i="9"/>
  <c r="A971" i="9" s="1"/>
  <c r="A970" i="9"/>
  <c r="K970" i="9"/>
  <c r="K969" i="9"/>
  <c r="A969" i="9" s="1"/>
  <c r="A968" i="9"/>
  <c r="K968" i="9"/>
  <c r="K967" i="9"/>
  <c r="A967" i="9" s="1"/>
  <c r="A966" i="9"/>
  <c r="K966" i="9"/>
  <c r="K965" i="9"/>
  <c r="A965" i="9" s="1"/>
  <c r="K964" i="9"/>
  <c r="A964" i="9" s="1"/>
  <c r="K963" i="9"/>
  <c r="A963" i="9" s="1"/>
  <c r="A962" i="9"/>
  <c r="K962" i="9"/>
  <c r="K961" i="9"/>
  <c r="A961" i="9" s="1"/>
  <c r="A960" i="9"/>
  <c r="K960" i="9"/>
  <c r="K959" i="9"/>
  <c r="A959" i="9" s="1"/>
  <c r="A958" i="9"/>
  <c r="K958" i="9"/>
  <c r="K957" i="9"/>
  <c r="A957" i="9" s="1"/>
  <c r="K956" i="9"/>
  <c r="A956" i="9" s="1"/>
  <c r="K954" i="9"/>
  <c r="A954" i="9" s="1"/>
  <c r="A953" i="9"/>
  <c r="K953" i="9"/>
  <c r="K952" i="9"/>
  <c r="A952" i="9" s="1"/>
  <c r="A955" i="9"/>
  <c r="K955" i="9"/>
  <c r="K951" i="9"/>
  <c r="A951" i="9" s="1"/>
  <c r="A950" i="9"/>
  <c r="K950" i="9"/>
  <c r="K949" i="9"/>
  <c r="A949" i="9" s="1"/>
  <c r="K948" i="9"/>
  <c r="A948" i="9" s="1"/>
  <c r="K947" i="9"/>
  <c r="A947" i="9" s="1"/>
  <c r="A946" i="9"/>
  <c r="K946" i="9"/>
  <c r="K945" i="9"/>
  <c r="A945" i="9" s="1"/>
  <c r="A944" i="9"/>
  <c r="K944" i="9"/>
  <c r="K943" i="9"/>
  <c r="A943" i="9" s="1"/>
  <c r="A942" i="9"/>
  <c r="K942" i="9"/>
  <c r="K941" i="9"/>
  <c r="A941" i="9" s="1"/>
  <c r="K940" i="9"/>
  <c r="A940" i="9" s="1"/>
  <c r="K939" i="9"/>
  <c r="A939" i="9" s="1"/>
  <c r="A938" i="9"/>
  <c r="K938" i="9"/>
  <c r="K937" i="9"/>
  <c r="A937" i="9" s="1"/>
  <c r="A936" i="9"/>
  <c r="K936" i="9"/>
  <c r="K935" i="9"/>
  <c r="A935" i="9" s="1"/>
  <c r="A934" i="9"/>
  <c r="K934" i="9"/>
  <c r="K933" i="9"/>
  <c r="A933" i="9" s="1"/>
  <c r="K932" i="9"/>
  <c r="A932" i="9" s="1"/>
  <c r="K931" i="9"/>
  <c r="A931" i="9" s="1"/>
  <c r="A930" i="9"/>
  <c r="K930" i="9"/>
  <c r="K925" i="9"/>
  <c r="A925" i="9" s="1"/>
  <c r="A929" i="9"/>
  <c r="K929" i="9"/>
  <c r="K928" i="9"/>
  <c r="A928" i="9" s="1"/>
  <c r="A927" i="9"/>
  <c r="K927" i="9"/>
  <c r="K926" i="9"/>
  <c r="A926" i="9" s="1"/>
  <c r="K924" i="9"/>
  <c r="A924" i="9" s="1"/>
  <c r="K923" i="9"/>
  <c r="A923" i="9" s="1"/>
  <c r="A922" i="9"/>
  <c r="K922" i="9"/>
  <c r="K921" i="9"/>
  <c r="A921" i="9" s="1"/>
  <c r="A920" i="9"/>
  <c r="K920" i="9"/>
  <c r="K919" i="9"/>
  <c r="A919" i="9" s="1"/>
  <c r="A918" i="9"/>
  <c r="K918" i="9"/>
  <c r="K917" i="9"/>
  <c r="A917" i="9" s="1"/>
  <c r="K916" i="9"/>
  <c r="A916" i="9" s="1"/>
  <c r="K915" i="9"/>
  <c r="A915" i="9" s="1"/>
  <c r="A914" i="9"/>
  <c r="K914" i="9"/>
  <c r="K913" i="9"/>
  <c r="A913" i="9" s="1"/>
  <c r="A912" i="9"/>
  <c r="K912" i="9"/>
  <c r="K911" i="9"/>
  <c r="A911" i="9" s="1"/>
  <c r="A910" i="9"/>
  <c r="K910" i="9"/>
  <c r="K909" i="9"/>
  <c r="A909" i="9" s="1"/>
  <c r="K908" i="9"/>
  <c r="A908" i="9" s="1"/>
  <c r="K907" i="9"/>
  <c r="A907" i="9" s="1"/>
  <c r="A906" i="9"/>
  <c r="K906" i="9"/>
  <c r="K905" i="9"/>
  <c r="A905" i="9" s="1"/>
  <c r="A904" i="9"/>
  <c r="K904" i="9"/>
  <c r="K903" i="9"/>
  <c r="A903" i="9" s="1"/>
  <c r="A902" i="9"/>
  <c r="K902" i="9"/>
  <c r="K901" i="9"/>
  <c r="A901" i="9" s="1"/>
  <c r="K900" i="9"/>
  <c r="A900" i="9" s="1"/>
  <c r="K899" i="9"/>
  <c r="A899" i="9" s="1"/>
  <c r="A898" i="9"/>
  <c r="K898" i="9"/>
  <c r="K897" i="9"/>
  <c r="A897" i="9" s="1"/>
  <c r="A896" i="9"/>
  <c r="K896" i="9"/>
  <c r="K895" i="9"/>
  <c r="A895" i="9" s="1"/>
  <c r="A894" i="9"/>
  <c r="K894" i="9"/>
  <c r="K893" i="9"/>
  <c r="A893" i="9" s="1"/>
  <c r="K892" i="9"/>
  <c r="A892" i="9" s="1"/>
  <c r="K891" i="9"/>
  <c r="A891" i="9" s="1"/>
  <c r="A890" i="9"/>
  <c r="K890" i="9"/>
  <c r="K889" i="9"/>
  <c r="A889" i="9" s="1"/>
  <c r="A888" i="9"/>
  <c r="K888" i="9"/>
  <c r="K887" i="9"/>
  <c r="A887" i="9" s="1"/>
  <c r="A886" i="9"/>
  <c r="K886" i="9"/>
  <c r="K885" i="9"/>
  <c r="A885" i="9" s="1"/>
  <c r="K884" i="9"/>
  <c r="A884" i="9" s="1"/>
  <c r="K883" i="9"/>
  <c r="A883" i="9" s="1"/>
  <c r="A882" i="9"/>
  <c r="K882" i="9"/>
  <c r="K881" i="9"/>
  <c r="A881" i="9" s="1"/>
  <c r="A880" i="9"/>
  <c r="K880" i="9"/>
  <c r="K879" i="9"/>
  <c r="A879" i="9" s="1"/>
  <c r="A878" i="9"/>
  <c r="K878" i="9"/>
  <c r="K877" i="9"/>
  <c r="A877" i="9" s="1"/>
  <c r="K876" i="9"/>
  <c r="A876" i="9" s="1"/>
  <c r="K875" i="9"/>
  <c r="A875" i="9" s="1"/>
  <c r="A874" i="9"/>
  <c r="K874" i="9"/>
  <c r="K873" i="9"/>
  <c r="A873" i="9" s="1"/>
  <c r="A872" i="9"/>
  <c r="K872" i="9"/>
  <c r="K871" i="9"/>
  <c r="A871" i="9" s="1"/>
  <c r="A870" i="9"/>
  <c r="K870" i="9"/>
  <c r="K869" i="9"/>
  <c r="A869" i="9" s="1"/>
  <c r="K868" i="9"/>
  <c r="A868" i="9" s="1"/>
  <c r="K867" i="9"/>
  <c r="A867" i="9" s="1"/>
  <c r="A866" i="9"/>
  <c r="K866" i="9"/>
  <c r="K865" i="9"/>
  <c r="A865" i="9" s="1"/>
  <c r="A864" i="9"/>
  <c r="K864" i="9"/>
  <c r="K863" i="9"/>
  <c r="A863" i="9" s="1"/>
  <c r="A862" i="9"/>
  <c r="K862" i="9"/>
  <c r="K861" i="9"/>
  <c r="A861" i="9" s="1"/>
  <c r="K860" i="9"/>
  <c r="A860" i="9" s="1"/>
  <c r="K859" i="9"/>
  <c r="A859" i="9" s="1"/>
  <c r="A858" i="9"/>
  <c r="K858" i="9"/>
  <c r="K857" i="9"/>
  <c r="A857" i="9" s="1"/>
  <c r="A856" i="9"/>
  <c r="K856" i="9"/>
  <c r="K855" i="9"/>
  <c r="A855" i="9" s="1"/>
  <c r="A854" i="9"/>
  <c r="K854" i="9"/>
  <c r="K853" i="9"/>
  <c r="A853" i="9" s="1"/>
  <c r="K852" i="9"/>
  <c r="A852" i="9" s="1"/>
  <c r="K851" i="9"/>
  <c r="A851" i="9" s="1"/>
  <c r="A850" i="9"/>
  <c r="K850" i="9"/>
  <c r="K849" i="9"/>
  <c r="A849" i="9" s="1"/>
  <c r="A848" i="9"/>
  <c r="K848" i="9"/>
  <c r="K847" i="9"/>
  <c r="A847" i="9" s="1"/>
  <c r="A846" i="9"/>
  <c r="K846" i="9"/>
  <c r="K845" i="9"/>
  <c r="A845" i="9" s="1"/>
  <c r="K844" i="9"/>
  <c r="A844" i="9" s="1"/>
  <c r="K843" i="9"/>
  <c r="A843" i="9" s="1"/>
  <c r="A842" i="9"/>
  <c r="K842" i="9"/>
  <c r="K841" i="9"/>
  <c r="A841" i="9" s="1"/>
  <c r="A840" i="9"/>
  <c r="K840" i="9"/>
  <c r="K839" i="9"/>
  <c r="A839" i="9" s="1"/>
  <c r="A838" i="9"/>
  <c r="K838" i="9"/>
  <c r="K837" i="9"/>
  <c r="A837" i="9" s="1"/>
  <c r="K836" i="9"/>
  <c r="A836" i="9" s="1"/>
  <c r="K835" i="9"/>
  <c r="A835" i="9" s="1"/>
  <c r="A834" i="9"/>
  <c r="K834" i="9"/>
  <c r="K833" i="9"/>
  <c r="A833" i="9" s="1"/>
  <c r="A832" i="9"/>
  <c r="K832" i="9"/>
  <c r="K831" i="9"/>
  <c r="A831" i="9" s="1"/>
  <c r="A830" i="9"/>
  <c r="K830" i="9"/>
  <c r="K829" i="9"/>
  <c r="A829" i="9" s="1"/>
  <c r="K828" i="9"/>
  <c r="A828" i="9" s="1"/>
  <c r="K826" i="9"/>
  <c r="A826" i="9" s="1"/>
  <c r="A827" i="9"/>
  <c r="K827" i="9"/>
  <c r="K824" i="9"/>
  <c r="A824" i="9" s="1"/>
  <c r="A825" i="9"/>
  <c r="K825" i="9"/>
  <c r="K823" i="9"/>
  <c r="A823" i="9" s="1"/>
  <c r="A822" i="9"/>
  <c r="K822" i="9"/>
  <c r="K821" i="9"/>
  <c r="A821" i="9" s="1"/>
  <c r="K820" i="9"/>
  <c r="A820" i="9" s="1"/>
  <c r="K818" i="9"/>
  <c r="A818" i="9" s="1"/>
  <c r="A817" i="9"/>
  <c r="K817" i="9"/>
  <c r="K819" i="9"/>
  <c r="A819" i="9" s="1"/>
  <c r="A816" i="9"/>
  <c r="K816" i="9"/>
  <c r="K815" i="9"/>
  <c r="A815" i="9" s="1"/>
  <c r="A814" i="9"/>
  <c r="K814" i="9"/>
  <c r="K813" i="9"/>
  <c r="A813" i="9" s="1"/>
  <c r="K812" i="9"/>
  <c r="A812" i="9" s="1"/>
  <c r="K811" i="9"/>
  <c r="A811" i="9" s="1"/>
  <c r="A810" i="9"/>
  <c r="K810" i="9"/>
  <c r="K809" i="9"/>
  <c r="A809" i="9" s="1"/>
  <c r="A808" i="9"/>
  <c r="K808" i="9"/>
  <c r="K807" i="9"/>
  <c r="A807" i="9" s="1"/>
  <c r="A806" i="9"/>
  <c r="K806" i="9"/>
  <c r="K471" i="9"/>
  <c r="A471" i="9" s="1"/>
  <c r="K470" i="9"/>
  <c r="A470" i="9" s="1"/>
  <c r="K731" i="9"/>
  <c r="A731" i="9" s="1"/>
  <c r="A730" i="9"/>
  <c r="K730" i="9"/>
  <c r="K729" i="9"/>
  <c r="A729" i="9" s="1"/>
  <c r="A728" i="9"/>
  <c r="K728" i="9"/>
  <c r="K727" i="9"/>
  <c r="A727" i="9" s="1"/>
  <c r="A726" i="9"/>
  <c r="K726" i="9"/>
  <c r="K725" i="9"/>
  <c r="A725" i="9" s="1"/>
  <c r="K724" i="9"/>
  <c r="A724" i="9" s="1"/>
  <c r="K723" i="9"/>
  <c r="A723" i="9" s="1"/>
  <c r="A722" i="9"/>
  <c r="K722" i="9"/>
  <c r="K721" i="9"/>
  <c r="A721" i="9" s="1"/>
  <c r="A720" i="9"/>
  <c r="K720" i="9"/>
  <c r="K719" i="9"/>
  <c r="A719" i="9" s="1"/>
  <c r="A718" i="9"/>
  <c r="K718" i="9"/>
  <c r="K717" i="9"/>
  <c r="A717" i="9" s="1"/>
  <c r="K716" i="9"/>
  <c r="A716" i="9" s="1"/>
  <c r="K715" i="9"/>
  <c r="A715" i="9" s="1"/>
  <c r="A714" i="9"/>
  <c r="K714" i="9"/>
  <c r="K713" i="9"/>
  <c r="A713" i="9" s="1"/>
  <c r="A712" i="9"/>
  <c r="K712" i="9"/>
  <c r="K711" i="9"/>
  <c r="A711" i="9" s="1"/>
  <c r="A710" i="9"/>
  <c r="K710" i="9"/>
  <c r="K709" i="9"/>
  <c r="A709" i="9" s="1"/>
  <c r="K708" i="9"/>
  <c r="A708" i="9" s="1"/>
  <c r="K707" i="9"/>
  <c r="A707" i="9" s="1"/>
  <c r="A706" i="9"/>
  <c r="K706" i="9"/>
  <c r="K705" i="9"/>
  <c r="A705" i="9" s="1"/>
  <c r="A704" i="9"/>
  <c r="K704" i="9"/>
  <c r="K703" i="9"/>
  <c r="A703" i="9" s="1"/>
  <c r="A702" i="9"/>
  <c r="K702" i="9"/>
  <c r="K469" i="9"/>
  <c r="A469" i="9" s="1"/>
  <c r="K468" i="9"/>
  <c r="A468" i="9" s="1"/>
  <c r="K701" i="9"/>
  <c r="A701" i="9" s="1"/>
  <c r="A700" i="9"/>
  <c r="K700" i="9"/>
  <c r="K699" i="9"/>
  <c r="A699" i="9" s="1"/>
  <c r="A698" i="9"/>
  <c r="K698" i="9"/>
  <c r="K697" i="9"/>
  <c r="A697" i="9" s="1"/>
  <c r="A696" i="9"/>
  <c r="K696" i="9"/>
  <c r="K695" i="9"/>
  <c r="A695" i="9" s="1"/>
  <c r="K694" i="9"/>
  <c r="A694" i="9" s="1"/>
  <c r="K693" i="9"/>
  <c r="A693" i="9" s="1"/>
  <c r="A692" i="9"/>
  <c r="K692" i="9"/>
  <c r="K691" i="9"/>
  <c r="A691" i="9" s="1"/>
  <c r="A690" i="9"/>
  <c r="K690" i="9"/>
  <c r="K689" i="9"/>
  <c r="A689" i="9" s="1"/>
  <c r="A688" i="9"/>
  <c r="K688" i="9"/>
  <c r="K687" i="9"/>
  <c r="A687" i="9" s="1"/>
  <c r="K686" i="9"/>
  <c r="A686" i="9" s="1"/>
  <c r="K685" i="9"/>
  <c r="A685" i="9" s="1"/>
  <c r="A684" i="9"/>
  <c r="K684" i="9"/>
  <c r="K683" i="9"/>
  <c r="A683" i="9" s="1"/>
  <c r="A682" i="9"/>
  <c r="K682" i="9"/>
  <c r="K681" i="9"/>
  <c r="A681" i="9" s="1"/>
  <c r="A680" i="9"/>
  <c r="K680" i="9"/>
  <c r="K679" i="9"/>
  <c r="A679" i="9" s="1"/>
  <c r="K678" i="9"/>
  <c r="A678" i="9" s="1"/>
  <c r="K677" i="9"/>
  <c r="A677" i="9" s="1"/>
  <c r="A676" i="9"/>
  <c r="K676" i="9"/>
  <c r="K675" i="9"/>
  <c r="A675" i="9" s="1"/>
  <c r="A674" i="9"/>
  <c r="K674" i="9"/>
  <c r="K673" i="9"/>
  <c r="A673" i="9" s="1"/>
  <c r="A672" i="9"/>
  <c r="K672" i="9"/>
  <c r="K467" i="9"/>
  <c r="A467" i="9" s="1"/>
  <c r="K466" i="9"/>
  <c r="A466" i="9" s="1"/>
  <c r="K671" i="9"/>
  <c r="A671" i="9" s="1"/>
  <c r="A670" i="9"/>
  <c r="K670" i="9"/>
  <c r="K669" i="9"/>
  <c r="A669" i="9" s="1"/>
  <c r="A668" i="9"/>
  <c r="K668" i="9"/>
  <c r="K667" i="9"/>
  <c r="A667" i="9" s="1"/>
  <c r="A666" i="9"/>
  <c r="K666" i="9"/>
  <c r="K665" i="9"/>
  <c r="A665" i="9" s="1"/>
  <c r="K664" i="9"/>
  <c r="A664" i="9" s="1"/>
  <c r="K663" i="9"/>
  <c r="A663" i="9" s="1"/>
  <c r="A662" i="9"/>
  <c r="K662" i="9"/>
  <c r="K661" i="9"/>
  <c r="A661" i="9" s="1"/>
  <c r="A660" i="9"/>
  <c r="K660" i="9"/>
  <c r="K659" i="9"/>
  <c r="A659" i="9" s="1"/>
  <c r="A658" i="9"/>
  <c r="K658" i="9"/>
  <c r="K657" i="9"/>
  <c r="A657" i="9" s="1"/>
  <c r="K656" i="9"/>
  <c r="A656" i="9" s="1"/>
  <c r="K655" i="9"/>
  <c r="A655" i="9" s="1"/>
  <c r="A654" i="9"/>
  <c r="K654" i="9"/>
  <c r="K653" i="9"/>
  <c r="A653" i="9" s="1"/>
  <c r="A652" i="9"/>
  <c r="K652" i="9"/>
  <c r="K465" i="9"/>
  <c r="A465" i="9" s="1"/>
  <c r="A464" i="9"/>
  <c r="K464" i="9"/>
  <c r="K651" i="9"/>
  <c r="A651" i="9" s="1"/>
  <c r="K650" i="9"/>
  <c r="A650" i="9" s="1"/>
  <c r="K649" i="9"/>
  <c r="A649" i="9" s="1"/>
  <c r="A648" i="9"/>
  <c r="K648" i="9"/>
  <c r="K647" i="9"/>
  <c r="A647" i="9" s="1"/>
  <c r="A646" i="9"/>
  <c r="K646" i="9"/>
  <c r="K645" i="9"/>
  <c r="A645" i="9" s="1"/>
  <c r="A644" i="9"/>
  <c r="K644" i="9"/>
  <c r="K643" i="9"/>
  <c r="A643" i="9" s="1"/>
  <c r="K642" i="9"/>
  <c r="A642" i="9" s="1"/>
  <c r="K641" i="9"/>
  <c r="A641" i="9" s="1"/>
  <c r="A640" i="9"/>
  <c r="K640" i="9"/>
  <c r="K639" i="9"/>
  <c r="A639" i="9" s="1"/>
  <c r="A638" i="9"/>
  <c r="K638" i="9"/>
  <c r="K637" i="9"/>
  <c r="A637" i="9" s="1"/>
  <c r="A636" i="9"/>
  <c r="K636" i="9"/>
  <c r="K635" i="9"/>
  <c r="A635" i="9" s="1"/>
  <c r="K634" i="9"/>
  <c r="A634" i="9" s="1"/>
  <c r="K633" i="9"/>
  <c r="A633" i="9" s="1"/>
  <c r="A632" i="9"/>
  <c r="K632" i="9"/>
  <c r="K463" i="9"/>
  <c r="A463" i="9" s="1"/>
  <c r="A462" i="9"/>
  <c r="K462" i="9"/>
  <c r="K631" i="9"/>
  <c r="A631" i="9" s="1"/>
  <c r="A630" i="9"/>
  <c r="K630" i="9"/>
  <c r="K629" i="9"/>
  <c r="A629" i="9" s="1"/>
  <c r="K628" i="9"/>
  <c r="A628" i="9" s="1"/>
  <c r="K627" i="9"/>
  <c r="A627" i="9" s="1"/>
  <c r="A626" i="9"/>
  <c r="K626" i="9"/>
  <c r="K625" i="9"/>
  <c r="A625" i="9" s="1"/>
  <c r="A624" i="9"/>
  <c r="K624" i="9"/>
  <c r="K623" i="9"/>
  <c r="A623" i="9" s="1"/>
  <c r="A622" i="9"/>
  <c r="K622" i="9"/>
  <c r="K621" i="9"/>
  <c r="A621" i="9" s="1"/>
  <c r="K620" i="9"/>
  <c r="A620" i="9" s="1"/>
  <c r="K619" i="9"/>
  <c r="A619" i="9" s="1"/>
  <c r="A618" i="9"/>
  <c r="K618" i="9"/>
  <c r="K617" i="9"/>
  <c r="A617" i="9" s="1"/>
  <c r="A616" i="9"/>
  <c r="K616" i="9"/>
  <c r="K615" i="9"/>
  <c r="A615" i="9" s="1"/>
  <c r="A614" i="9"/>
  <c r="K614" i="9"/>
  <c r="K613" i="9"/>
  <c r="A613" i="9" s="1"/>
  <c r="K612" i="9"/>
  <c r="A612" i="9" s="1"/>
  <c r="K611" i="9"/>
  <c r="A611" i="9" s="1"/>
  <c r="A610" i="9"/>
  <c r="K610" i="9"/>
  <c r="K609" i="9"/>
  <c r="A609" i="9" s="1"/>
  <c r="A608" i="9"/>
  <c r="K608" i="9"/>
  <c r="K607" i="9"/>
  <c r="A607" i="9" s="1"/>
  <c r="A606" i="9"/>
  <c r="K606" i="9"/>
  <c r="K605" i="9"/>
  <c r="A605" i="9" s="1"/>
  <c r="K604" i="9"/>
  <c r="A604" i="9" s="1"/>
  <c r="K603" i="9"/>
  <c r="A603" i="9" s="1"/>
  <c r="A602" i="9"/>
  <c r="K602" i="9"/>
  <c r="K601" i="9"/>
  <c r="A601" i="9" s="1"/>
  <c r="A461" i="9"/>
  <c r="K461" i="9"/>
  <c r="K460" i="9"/>
  <c r="A460" i="9" s="1"/>
  <c r="A600" i="9"/>
  <c r="K600" i="9"/>
  <c r="K599" i="9"/>
  <c r="A599" i="9" s="1"/>
  <c r="K598" i="9"/>
  <c r="A598" i="9" s="1"/>
  <c r="K597" i="9"/>
  <c r="A597" i="9" s="1"/>
  <c r="A596" i="9"/>
  <c r="K596" i="9"/>
  <c r="K595" i="9"/>
  <c r="A595" i="9" s="1"/>
  <c r="A594" i="9"/>
  <c r="K594" i="9"/>
  <c r="K593" i="9"/>
  <c r="A593" i="9" s="1"/>
  <c r="A592" i="9"/>
  <c r="K592" i="9"/>
  <c r="K591" i="9"/>
  <c r="A591" i="9" s="1"/>
  <c r="K590" i="9"/>
  <c r="A590" i="9" s="1"/>
  <c r="K589" i="9"/>
  <c r="A589" i="9" s="1"/>
  <c r="A588" i="9"/>
  <c r="K588" i="9"/>
  <c r="K587" i="9"/>
  <c r="A587" i="9" s="1"/>
  <c r="A586" i="9"/>
  <c r="K586" i="9"/>
  <c r="K585" i="9"/>
  <c r="A585" i="9" s="1"/>
  <c r="A584" i="9"/>
  <c r="K584" i="9"/>
  <c r="K583" i="9"/>
  <c r="A583" i="9" s="1"/>
  <c r="K582" i="9"/>
  <c r="A582" i="9" s="1"/>
  <c r="K581" i="9"/>
  <c r="A581" i="9" s="1"/>
  <c r="A580" i="9"/>
  <c r="K580" i="9"/>
  <c r="K579" i="9"/>
  <c r="A579" i="9" s="1"/>
  <c r="A578" i="9"/>
  <c r="K578" i="9"/>
  <c r="K577" i="9"/>
  <c r="A577" i="9" s="1"/>
  <c r="A576" i="9"/>
  <c r="K576" i="9"/>
  <c r="K575" i="9"/>
  <c r="A575" i="9" s="1"/>
  <c r="K574" i="9"/>
  <c r="A574" i="9" s="1"/>
  <c r="K573" i="9"/>
  <c r="A573" i="9" s="1"/>
  <c r="A572" i="9"/>
  <c r="K572" i="9"/>
  <c r="K571" i="9"/>
  <c r="A571" i="9" s="1"/>
  <c r="A570" i="9"/>
  <c r="K570" i="9"/>
  <c r="K569" i="9"/>
  <c r="A569" i="9" s="1"/>
  <c r="A568" i="9"/>
  <c r="K568" i="9"/>
  <c r="K567" i="9"/>
  <c r="A567" i="9" s="1"/>
  <c r="K566" i="9"/>
  <c r="A566" i="9" s="1"/>
  <c r="K459" i="9"/>
  <c r="A459" i="9" s="1"/>
  <c r="A458" i="9"/>
  <c r="K458" i="9"/>
  <c r="K565" i="9"/>
  <c r="A565" i="9" s="1"/>
  <c r="A564" i="9"/>
  <c r="K564" i="9"/>
  <c r="K563" i="9"/>
  <c r="A563" i="9" s="1"/>
  <c r="A562" i="9"/>
  <c r="K562" i="9"/>
  <c r="K561" i="9"/>
  <c r="A561" i="9" s="1"/>
  <c r="K560" i="9"/>
  <c r="A560" i="9" s="1"/>
  <c r="K559" i="9"/>
  <c r="A559" i="9" s="1"/>
  <c r="A558" i="9"/>
  <c r="K558" i="9"/>
  <c r="K557" i="9"/>
  <c r="A557" i="9" s="1"/>
  <c r="A556" i="9"/>
  <c r="K556" i="9"/>
  <c r="K555" i="9"/>
  <c r="A555" i="9" s="1"/>
  <c r="A554" i="9"/>
  <c r="K554" i="9"/>
  <c r="K553" i="9"/>
  <c r="A553" i="9" s="1"/>
  <c r="K552" i="9"/>
  <c r="A552" i="9" s="1"/>
  <c r="K551" i="9"/>
  <c r="A551" i="9" s="1"/>
  <c r="A550" i="9"/>
  <c r="K550" i="9"/>
  <c r="K549" i="9"/>
  <c r="A549" i="9" s="1"/>
  <c r="A548" i="9"/>
  <c r="K548" i="9"/>
  <c r="K547" i="9"/>
  <c r="A547" i="9" s="1"/>
  <c r="A546" i="9"/>
  <c r="K546" i="9"/>
  <c r="K545" i="9"/>
  <c r="A545" i="9" s="1"/>
  <c r="K544" i="9"/>
  <c r="A544" i="9" s="1"/>
  <c r="K543" i="9"/>
  <c r="A543" i="9" s="1"/>
  <c r="A542" i="9"/>
  <c r="K542" i="9"/>
  <c r="K541" i="9"/>
  <c r="A541" i="9" s="1"/>
  <c r="A540" i="9"/>
  <c r="K540" i="9"/>
  <c r="K539" i="9"/>
  <c r="A539" i="9" s="1"/>
  <c r="A538" i="9"/>
  <c r="K538" i="9"/>
  <c r="K537" i="9"/>
  <c r="A537" i="9" s="1"/>
  <c r="K536" i="9"/>
  <c r="A536" i="9" s="1"/>
  <c r="K535" i="9"/>
  <c r="A535" i="9" s="1"/>
  <c r="A534" i="9"/>
  <c r="K534" i="9"/>
  <c r="K533" i="9"/>
  <c r="A533" i="9" s="1"/>
  <c r="A532" i="9"/>
  <c r="K532" i="9"/>
  <c r="K531" i="9"/>
  <c r="A531" i="9" s="1"/>
  <c r="A457" i="9"/>
  <c r="K457" i="9"/>
  <c r="K456" i="9"/>
  <c r="A456" i="9" s="1"/>
  <c r="K530" i="9"/>
  <c r="A530" i="9" s="1"/>
  <c r="K529" i="9"/>
  <c r="A529" i="9" s="1"/>
  <c r="A528" i="9"/>
  <c r="K528" i="9"/>
  <c r="K527" i="9"/>
  <c r="A527" i="9" s="1"/>
  <c r="A526" i="9"/>
  <c r="K526" i="9"/>
  <c r="K525" i="9"/>
  <c r="A525" i="9" s="1"/>
  <c r="A524" i="9"/>
  <c r="K524" i="9"/>
  <c r="K523" i="9"/>
  <c r="A523" i="9" s="1"/>
  <c r="K522" i="9"/>
  <c r="A522" i="9" s="1"/>
  <c r="K521" i="9"/>
  <c r="A521" i="9" s="1"/>
  <c r="A520" i="9"/>
  <c r="K520" i="9"/>
  <c r="K519" i="9"/>
  <c r="A519" i="9" s="1"/>
  <c r="A518" i="9"/>
  <c r="K518" i="9"/>
  <c r="K517" i="9"/>
  <c r="A517" i="9" s="1"/>
  <c r="A516" i="9"/>
  <c r="K516" i="9"/>
  <c r="K515" i="9"/>
  <c r="A515" i="9" s="1"/>
  <c r="K514" i="9"/>
  <c r="A514" i="9" s="1"/>
  <c r="K513" i="9"/>
  <c r="A513" i="9" s="1"/>
  <c r="A512" i="9"/>
  <c r="K512" i="9"/>
  <c r="K511" i="9"/>
  <c r="A511" i="9" s="1"/>
  <c r="A510" i="9"/>
  <c r="K510" i="9"/>
  <c r="K509" i="9"/>
  <c r="A509" i="9" s="1"/>
  <c r="A508" i="9"/>
  <c r="K508" i="9"/>
  <c r="K507" i="9"/>
  <c r="A507" i="9" s="1"/>
  <c r="K506" i="9"/>
  <c r="A506" i="9" s="1"/>
  <c r="K505" i="9"/>
  <c r="A505" i="9" s="1"/>
  <c r="A504" i="9"/>
  <c r="K504" i="9"/>
  <c r="K503" i="9"/>
  <c r="A503" i="9" s="1"/>
  <c r="A502" i="9"/>
  <c r="K502" i="9"/>
  <c r="K501" i="9"/>
  <c r="A501" i="9" s="1"/>
  <c r="A500" i="9"/>
  <c r="K500" i="9"/>
  <c r="K499" i="9"/>
  <c r="A499" i="9" s="1"/>
  <c r="K498" i="9"/>
  <c r="A498" i="9" s="1"/>
  <c r="K497" i="9"/>
  <c r="A497" i="9" s="1"/>
  <c r="A496" i="9"/>
  <c r="K496" i="9"/>
  <c r="K455" i="9"/>
  <c r="A455" i="9" s="1"/>
  <c r="A454" i="9"/>
  <c r="K454" i="9"/>
  <c r="K495" i="9"/>
  <c r="A495" i="9" s="1"/>
  <c r="A494" i="9"/>
  <c r="K494" i="9"/>
  <c r="K493" i="9"/>
  <c r="A493" i="9" s="1"/>
  <c r="K492" i="9"/>
  <c r="A492" i="9" s="1"/>
  <c r="K491" i="9"/>
  <c r="A491" i="9" s="1"/>
  <c r="A490" i="9"/>
  <c r="K490" i="9"/>
  <c r="K489" i="9"/>
  <c r="A489" i="9" s="1"/>
  <c r="A488" i="9"/>
  <c r="K488" i="9"/>
  <c r="K487" i="9"/>
  <c r="A487" i="9" s="1"/>
  <c r="A486" i="9"/>
  <c r="K486" i="9"/>
  <c r="K485" i="9"/>
  <c r="A485" i="9" s="1"/>
  <c r="K484" i="9"/>
  <c r="A484" i="9" s="1"/>
  <c r="K483" i="9"/>
  <c r="A483" i="9" s="1"/>
  <c r="A482" i="9"/>
  <c r="K482" i="9"/>
  <c r="K481" i="9"/>
  <c r="A481" i="9" s="1"/>
  <c r="A480" i="9"/>
  <c r="K480" i="9"/>
  <c r="K479" i="9"/>
  <c r="A479" i="9" s="1"/>
  <c r="A478" i="9"/>
  <c r="K478" i="9"/>
  <c r="K477" i="9"/>
  <c r="A477" i="9" s="1"/>
  <c r="K476" i="9"/>
  <c r="A476" i="9" s="1"/>
  <c r="K805" i="9"/>
  <c r="A805" i="9" s="1"/>
  <c r="A804" i="9"/>
  <c r="K804" i="9"/>
  <c r="K803" i="9"/>
  <c r="A803" i="9" s="1"/>
  <c r="A802" i="9"/>
  <c r="K802" i="9"/>
  <c r="K801" i="9"/>
  <c r="A801" i="9" s="1"/>
  <c r="A800" i="9"/>
  <c r="K800" i="9"/>
  <c r="K799" i="9"/>
  <c r="A799" i="9" s="1"/>
  <c r="K798" i="9"/>
  <c r="A798" i="9" s="1"/>
  <c r="K797" i="9"/>
  <c r="A797" i="9" s="1"/>
  <c r="A796" i="9"/>
  <c r="K796" i="9"/>
  <c r="K795" i="9"/>
  <c r="A795" i="9" s="1"/>
  <c r="A794" i="9"/>
  <c r="K794" i="9"/>
  <c r="K793" i="9"/>
  <c r="A793" i="9" s="1"/>
  <c r="A792" i="9"/>
  <c r="K792" i="9"/>
  <c r="K475" i="9"/>
  <c r="A475" i="9" s="1"/>
  <c r="K474" i="9"/>
  <c r="A474" i="9" s="1"/>
  <c r="K791" i="9"/>
  <c r="A791" i="9" s="1"/>
  <c r="A790" i="9"/>
  <c r="K790" i="9"/>
  <c r="K789" i="9"/>
  <c r="A789" i="9" s="1"/>
  <c r="A788" i="9"/>
  <c r="K788" i="9"/>
  <c r="K787" i="9"/>
  <c r="A787" i="9" s="1"/>
  <c r="A786" i="9"/>
  <c r="K786" i="9"/>
  <c r="K785" i="9"/>
  <c r="A785" i="9" s="1"/>
  <c r="K784" i="9"/>
  <c r="A784" i="9" s="1"/>
  <c r="K783" i="9"/>
  <c r="A783" i="9" s="1"/>
  <c r="A782" i="9"/>
  <c r="K782" i="9"/>
  <c r="K781" i="9"/>
  <c r="A781" i="9" s="1"/>
  <c r="A780" i="9"/>
  <c r="K780" i="9"/>
  <c r="K779" i="9"/>
  <c r="A779" i="9" s="1"/>
  <c r="A778" i="9"/>
  <c r="K778" i="9"/>
  <c r="K777" i="9"/>
  <c r="A777" i="9" s="1"/>
  <c r="K776" i="9"/>
  <c r="A776" i="9" s="1"/>
  <c r="K775" i="9"/>
  <c r="A775" i="9" s="1"/>
  <c r="A774" i="9"/>
  <c r="K774" i="9"/>
  <c r="K773" i="9"/>
  <c r="A773" i="9" s="1"/>
  <c r="A772" i="9"/>
  <c r="K772" i="9"/>
  <c r="K771" i="9"/>
  <c r="A771" i="9" s="1"/>
  <c r="A770" i="9"/>
  <c r="K770" i="9"/>
  <c r="K769" i="9"/>
  <c r="A769" i="9" s="1"/>
  <c r="K768" i="9"/>
  <c r="A768" i="9" s="1"/>
  <c r="K767" i="9"/>
  <c r="A767" i="9" s="1"/>
  <c r="A766" i="9"/>
  <c r="K766" i="9"/>
  <c r="K765" i="9"/>
  <c r="A765" i="9" s="1"/>
  <c r="A764" i="9"/>
  <c r="K764" i="9"/>
  <c r="K763" i="9"/>
  <c r="A763" i="9" s="1"/>
  <c r="A762" i="9"/>
  <c r="K762" i="9"/>
  <c r="K473" i="9"/>
  <c r="A473" i="9" s="1"/>
  <c r="K472" i="9"/>
  <c r="A472" i="9" s="1"/>
  <c r="K761" i="9"/>
  <c r="A761" i="9" s="1"/>
  <c r="A760" i="9"/>
  <c r="K760" i="9"/>
  <c r="K759" i="9"/>
  <c r="A759" i="9" s="1"/>
  <c r="A758" i="9"/>
  <c r="K758" i="9"/>
  <c r="K757" i="9"/>
  <c r="A757" i="9" s="1"/>
  <c r="A756" i="9"/>
  <c r="K756" i="9"/>
  <c r="K755" i="9"/>
  <c r="A755" i="9" s="1"/>
  <c r="K754" i="9"/>
  <c r="A754" i="9" s="1"/>
  <c r="K753" i="9"/>
  <c r="A753" i="9" s="1"/>
  <c r="A752" i="9"/>
  <c r="K752" i="9"/>
  <c r="K751" i="9"/>
  <c r="A751" i="9" s="1"/>
  <c r="A750" i="9"/>
  <c r="K750" i="9"/>
  <c r="K749" i="9"/>
  <c r="A749" i="9" s="1"/>
  <c r="A748" i="9"/>
  <c r="K748" i="9"/>
  <c r="K747" i="9"/>
  <c r="A747" i="9" s="1"/>
  <c r="K746" i="9"/>
  <c r="A746" i="9" s="1"/>
  <c r="K745" i="9"/>
  <c r="A745" i="9" s="1"/>
  <c r="A744" i="9"/>
  <c r="K744" i="9"/>
  <c r="K743" i="9"/>
  <c r="A743" i="9" s="1"/>
  <c r="A742" i="9"/>
  <c r="K742" i="9"/>
  <c r="K741" i="9"/>
  <c r="A741" i="9" s="1"/>
  <c r="A740" i="9"/>
  <c r="K740" i="9"/>
  <c r="K739" i="9"/>
  <c r="A739" i="9" s="1"/>
  <c r="K738" i="9"/>
  <c r="A738" i="9" s="1"/>
  <c r="K737" i="9"/>
  <c r="A737" i="9" s="1"/>
  <c r="A736" i="9"/>
  <c r="K736" i="9"/>
  <c r="K735" i="9"/>
  <c r="A735" i="9" s="1"/>
  <c r="A734" i="9"/>
  <c r="K734" i="9"/>
  <c r="K733" i="9"/>
  <c r="A733" i="9" s="1"/>
  <c r="A732" i="9"/>
  <c r="K732" i="9"/>
  <c r="K119" i="9"/>
  <c r="A119" i="9" s="1"/>
  <c r="K118" i="9"/>
  <c r="A118" i="9" s="1"/>
  <c r="K379" i="9"/>
  <c r="A379" i="9" s="1"/>
  <c r="A378" i="9"/>
  <c r="K378" i="9"/>
  <c r="K377" i="9"/>
  <c r="A377" i="9" s="1"/>
  <c r="A376" i="9"/>
  <c r="K376" i="9"/>
  <c r="K375" i="9"/>
  <c r="A375" i="9" s="1"/>
  <c r="A374" i="9"/>
  <c r="K374" i="9"/>
  <c r="K373" i="9"/>
  <c r="A373" i="9" s="1"/>
  <c r="K372" i="9"/>
  <c r="A372" i="9" s="1"/>
  <c r="K371" i="9"/>
  <c r="A371" i="9" s="1"/>
  <c r="A370" i="9"/>
  <c r="K370" i="9"/>
  <c r="K369" i="9"/>
  <c r="A369" i="9" s="1"/>
  <c r="A368" i="9"/>
  <c r="K368" i="9"/>
  <c r="K367" i="9"/>
  <c r="A367" i="9" s="1"/>
  <c r="A366" i="9"/>
  <c r="K366" i="9"/>
  <c r="K365" i="9"/>
  <c r="A365" i="9" s="1"/>
  <c r="K364" i="9"/>
  <c r="A364" i="9" s="1"/>
  <c r="K363" i="9"/>
  <c r="A363" i="9" s="1"/>
  <c r="A362" i="9"/>
  <c r="K362" i="9"/>
  <c r="K361" i="9"/>
  <c r="A361" i="9" s="1"/>
  <c r="A360" i="9"/>
  <c r="K360" i="9"/>
  <c r="K359" i="9"/>
  <c r="A359" i="9" s="1"/>
  <c r="A358" i="9"/>
  <c r="K358" i="9"/>
  <c r="K357" i="9"/>
  <c r="A357" i="9" s="1"/>
  <c r="K356" i="9"/>
  <c r="A356" i="9" s="1"/>
  <c r="K355" i="9"/>
  <c r="A355" i="9" s="1"/>
  <c r="A354" i="9"/>
  <c r="K354" i="9"/>
  <c r="K353" i="9"/>
  <c r="A353" i="9" s="1"/>
  <c r="A352" i="9"/>
  <c r="K352" i="9"/>
  <c r="K351" i="9"/>
  <c r="A351" i="9" s="1"/>
  <c r="A350" i="9"/>
  <c r="K350" i="9"/>
  <c r="K117" i="9"/>
  <c r="A117" i="9" s="1"/>
  <c r="K116" i="9"/>
  <c r="A116" i="9" s="1"/>
  <c r="K349" i="9"/>
  <c r="A349" i="9" s="1"/>
  <c r="A348" i="9"/>
  <c r="K348" i="9"/>
  <c r="K347" i="9"/>
  <c r="A347" i="9" s="1"/>
  <c r="A346" i="9"/>
  <c r="K346" i="9"/>
  <c r="K345" i="9"/>
  <c r="A345" i="9" s="1"/>
  <c r="A344" i="9"/>
  <c r="K344" i="9"/>
  <c r="K343" i="9"/>
  <c r="A343" i="9" s="1"/>
  <c r="K342" i="9"/>
  <c r="A342" i="9" s="1"/>
  <c r="K341" i="9"/>
  <c r="A341" i="9" s="1"/>
  <c r="A340" i="9"/>
  <c r="K340" i="9"/>
  <c r="K339" i="9"/>
  <c r="A339" i="9" s="1"/>
  <c r="A338" i="9"/>
  <c r="K338" i="9"/>
  <c r="K337" i="9"/>
  <c r="A337" i="9" s="1"/>
  <c r="A336" i="9"/>
  <c r="K336" i="9"/>
  <c r="K335" i="9"/>
  <c r="A335" i="9" s="1"/>
  <c r="K334" i="9"/>
  <c r="A334" i="9" s="1"/>
  <c r="K333" i="9"/>
  <c r="A333" i="9" s="1"/>
  <c r="A332" i="9"/>
  <c r="K332" i="9"/>
  <c r="K331" i="9"/>
  <c r="A331" i="9" s="1"/>
  <c r="A330" i="9"/>
  <c r="K330" i="9"/>
  <c r="K329" i="9"/>
  <c r="A329" i="9" s="1"/>
  <c r="A328" i="9"/>
  <c r="K328" i="9"/>
  <c r="K327" i="9"/>
  <c r="A327" i="9" s="1"/>
  <c r="K326" i="9"/>
  <c r="A326" i="9" s="1"/>
  <c r="K325" i="9"/>
  <c r="A325" i="9" s="1"/>
  <c r="A324" i="9"/>
  <c r="K324" i="9"/>
  <c r="K323" i="9"/>
  <c r="A323" i="9" s="1"/>
  <c r="A322" i="9"/>
  <c r="K322" i="9"/>
  <c r="K321" i="9"/>
  <c r="A321" i="9" s="1"/>
  <c r="A320" i="9"/>
  <c r="K320" i="9"/>
  <c r="K115" i="9"/>
  <c r="A115" i="9" s="1"/>
  <c r="K114" i="9"/>
  <c r="A114" i="9" s="1"/>
  <c r="K319" i="9"/>
  <c r="A319" i="9" s="1"/>
  <c r="A318" i="9"/>
  <c r="K318" i="9"/>
  <c r="K317" i="9"/>
  <c r="A317" i="9" s="1"/>
  <c r="A316" i="9"/>
  <c r="K316" i="9"/>
  <c r="K315" i="9"/>
  <c r="A315" i="9" s="1"/>
  <c r="A314" i="9"/>
  <c r="K314" i="9"/>
  <c r="K313" i="9"/>
  <c r="A313" i="9" s="1"/>
  <c r="K312" i="9"/>
  <c r="A312" i="9" s="1"/>
  <c r="K311" i="9"/>
  <c r="A311" i="9" s="1"/>
  <c r="A310" i="9"/>
  <c r="K310" i="9"/>
  <c r="K309" i="9"/>
  <c r="A309" i="9" s="1"/>
  <c r="A308" i="9"/>
  <c r="K308" i="9"/>
  <c r="K307" i="9"/>
  <c r="A307" i="9" s="1"/>
  <c r="A306" i="9"/>
  <c r="K306" i="9"/>
  <c r="K305" i="9"/>
  <c r="A305" i="9" s="1"/>
  <c r="K304" i="9"/>
  <c r="A304" i="9" s="1"/>
  <c r="K303" i="9"/>
  <c r="A303" i="9" s="1"/>
  <c r="A302" i="9"/>
  <c r="K302" i="9"/>
  <c r="K301" i="9"/>
  <c r="A301" i="9" s="1"/>
  <c r="A300" i="9"/>
  <c r="K300" i="9"/>
  <c r="K113" i="9"/>
  <c r="A113" i="9" s="1"/>
  <c r="A112" i="9"/>
  <c r="K112" i="9"/>
  <c r="K299" i="9"/>
  <c r="A299" i="9" s="1"/>
  <c r="K298" i="9"/>
  <c r="A298" i="9" s="1"/>
  <c r="K297" i="9"/>
  <c r="A297" i="9" s="1"/>
  <c r="A296" i="9"/>
  <c r="K296" i="9"/>
  <c r="K295" i="9"/>
  <c r="A295" i="9" s="1"/>
  <c r="A294" i="9"/>
  <c r="K294" i="9"/>
  <c r="K293" i="9"/>
  <c r="A293" i="9" s="1"/>
  <c r="A292" i="9"/>
  <c r="K292" i="9"/>
  <c r="K291" i="9"/>
  <c r="A291" i="9" s="1"/>
  <c r="K290" i="9"/>
  <c r="A290" i="9" s="1"/>
  <c r="K289" i="9"/>
  <c r="A289" i="9" s="1"/>
  <c r="A288" i="9"/>
  <c r="K288" i="9"/>
  <c r="K287" i="9"/>
  <c r="A287" i="9" s="1"/>
  <c r="A286" i="9"/>
  <c r="K286" i="9"/>
  <c r="K285" i="9"/>
  <c r="A285" i="9" s="1"/>
  <c r="A284" i="9"/>
  <c r="K284" i="9"/>
  <c r="K283" i="9"/>
  <c r="A283" i="9" s="1"/>
  <c r="K282" i="9"/>
  <c r="A282" i="9" s="1"/>
  <c r="K281" i="9"/>
  <c r="A281" i="9" s="1"/>
  <c r="A280" i="9"/>
  <c r="K280" i="9"/>
  <c r="K111" i="9"/>
  <c r="A111" i="9" s="1"/>
  <c r="A110" i="9"/>
  <c r="K110" i="9"/>
  <c r="K279" i="9"/>
  <c r="A279" i="9" s="1"/>
  <c r="A278" i="9"/>
  <c r="K278" i="9"/>
  <c r="K277" i="9"/>
  <c r="A277" i="9" s="1"/>
  <c r="K276" i="9"/>
  <c r="A276" i="9" s="1"/>
  <c r="K275" i="9"/>
  <c r="A275" i="9" s="1"/>
  <c r="A274" i="9"/>
  <c r="K274" i="9"/>
  <c r="K273" i="9"/>
  <c r="A273" i="9" s="1"/>
  <c r="A272" i="9"/>
  <c r="K272" i="9"/>
  <c r="K271" i="9"/>
  <c r="A271" i="9" s="1"/>
  <c r="A270" i="9"/>
  <c r="K270" i="9"/>
  <c r="K269" i="9"/>
  <c r="A269" i="9" s="1"/>
  <c r="K268" i="9"/>
  <c r="A268" i="9" s="1"/>
  <c r="K267" i="9"/>
  <c r="A267" i="9" s="1"/>
  <c r="A266" i="9"/>
  <c r="K266" i="9"/>
  <c r="K265" i="9"/>
  <c r="A265" i="9" s="1"/>
  <c r="A264" i="9"/>
  <c r="K264" i="9"/>
  <c r="K263" i="9"/>
  <c r="A263" i="9" s="1"/>
  <c r="A262" i="9"/>
  <c r="K262" i="9"/>
  <c r="K261" i="9"/>
  <c r="A261" i="9" s="1"/>
  <c r="K260" i="9"/>
  <c r="A260" i="9" s="1"/>
  <c r="K259" i="9"/>
  <c r="A259" i="9" s="1"/>
  <c r="A258" i="9"/>
  <c r="K258" i="9"/>
  <c r="K257" i="9"/>
  <c r="A257" i="9" s="1"/>
  <c r="A256" i="9"/>
  <c r="K256" i="9"/>
  <c r="K255" i="9"/>
  <c r="A255" i="9" s="1"/>
  <c r="A254" i="9"/>
  <c r="K254" i="9"/>
  <c r="K253" i="9"/>
  <c r="A253" i="9" s="1"/>
  <c r="K252" i="9"/>
  <c r="A252" i="9" s="1"/>
  <c r="K251" i="9"/>
  <c r="A251" i="9" s="1"/>
  <c r="A250" i="9"/>
  <c r="K250" i="9"/>
  <c r="K249" i="9"/>
  <c r="A249" i="9" s="1"/>
  <c r="A109" i="9"/>
  <c r="K109" i="9"/>
  <c r="K108" i="9"/>
  <c r="A108" i="9" s="1"/>
  <c r="A248" i="9"/>
  <c r="K248" i="9"/>
  <c r="K247" i="9"/>
  <c r="A247" i="9" s="1"/>
  <c r="K246" i="9"/>
  <c r="A246" i="9" s="1"/>
  <c r="K245" i="9"/>
  <c r="A245" i="9" s="1"/>
  <c r="A244" i="9"/>
  <c r="K244" i="9"/>
  <c r="K243" i="9"/>
  <c r="A243" i="9" s="1"/>
  <c r="A242" i="9"/>
  <c r="K242" i="9"/>
  <c r="K241" i="9"/>
  <c r="A241" i="9" s="1"/>
  <c r="A240" i="9"/>
  <c r="K240" i="9"/>
  <c r="K239" i="9"/>
  <c r="A239" i="9" s="1"/>
  <c r="K238" i="9"/>
  <c r="A238" i="9" s="1"/>
  <c r="K237" i="9"/>
  <c r="A237" i="9" s="1"/>
  <c r="A236" i="9"/>
  <c r="K236" i="9"/>
  <c r="K235" i="9"/>
  <c r="A235" i="9" s="1"/>
  <c r="A234" i="9"/>
  <c r="K234" i="9"/>
  <c r="K233" i="9"/>
  <c r="A233" i="9" s="1"/>
  <c r="A232" i="9"/>
  <c r="K232" i="9"/>
  <c r="K231" i="9"/>
  <c r="A231" i="9" s="1"/>
  <c r="K230" i="9"/>
  <c r="A230" i="9" s="1"/>
  <c r="K229" i="9"/>
  <c r="A229" i="9" s="1"/>
  <c r="A228" i="9"/>
  <c r="K228" i="9"/>
  <c r="K227" i="9"/>
  <c r="A227" i="9" s="1"/>
  <c r="A226" i="9"/>
  <c r="K226" i="9"/>
  <c r="K225" i="9"/>
  <c r="A225" i="9" s="1"/>
  <c r="A224" i="9"/>
  <c r="K224" i="9"/>
  <c r="K223" i="9"/>
  <c r="A223" i="9" s="1"/>
  <c r="K222" i="9"/>
  <c r="A222" i="9" s="1"/>
  <c r="K221" i="9"/>
  <c r="A221" i="9" s="1"/>
  <c r="A220" i="9"/>
  <c r="K220" i="9"/>
  <c r="K219" i="9"/>
  <c r="A219" i="9" s="1"/>
  <c r="A218" i="9"/>
  <c r="K218" i="9"/>
  <c r="K217" i="9"/>
  <c r="A217" i="9" s="1"/>
  <c r="A216" i="9"/>
  <c r="K216" i="9"/>
  <c r="K215" i="9"/>
  <c r="A215" i="9" s="1"/>
  <c r="K214" i="9"/>
  <c r="A214" i="9" s="1"/>
  <c r="K107" i="9"/>
  <c r="A107" i="9" s="1"/>
  <c r="A106" i="9"/>
  <c r="K106" i="9"/>
  <c r="K213" i="9"/>
  <c r="A213" i="9" s="1"/>
  <c r="A212" i="9"/>
  <c r="K212" i="9"/>
  <c r="K211" i="9"/>
  <c r="A211" i="9" s="1"/>
  <c r="A210" i="9"/>
  <c r="K210" i="9"/>
  <c r="K209" i="9"/>
  <c r="A209" i="9" s="1"/>
  <c r="K208" i="9"/>
  <c r="A208" i="9" s="1"/>
  <c r="K207" i="9"/>
  <c r="A207" i="9" s="1"/>
  <c r="A206" i="9"/>
  <c r="K206" i="9"/>
  <c r="K205" i="9"/>
  <c r="A205" i="9" s="1"/>
  <c r="A204" i="9"/>
  <c r="K204" i="9"/>
  <c r="K203" i="9"/>
  <c r="A203" i="9" s="1"/>
  <c r="A202" i="9"/>
  <c r="K202" i="9"/>
  <c r="K201" i="9"/>
  <c r="A201" i="9" s="1"/>
  <c r="K200" i="9"/>
  <c r="A200" i="9" s="1"/>
  <c r="K199" i="9"/>
  <c r="A199" i="9" s="1"/>
  <c r="A198" i="9"/>
  <c r="K198" i="9"/>
  <c r="K197" i="9"/>
  <c r="A197" i="9" s="1"/>
  <c r="A196" i="9"/>
  <c r="K196" i="9"/>
  <c r="K195" i="9"/>
  <c r="A195" i="9" s="1"/>
  <c r="A194" i="9"/>
  <c r="K194" i="9"/>
  <c r="K193" i="9"/>
  <c r="A193" i="9" s="1"/>
  <c r="K192" i="9"/>
  <c r="A192" i="9" s="1"/>
  <c r="K191" i="9"/>
  <c r="A191" i="9" s="1"/>
  <c r="A190" i="9"/>
  <c r="K190" i="9"/>
  <c r="K189" i="9"/>
  <c r="A189" i="9" s="1"/>
  <c r="A188" i="9"/>
  <c r="K188" i="9"/>
  <c r="K187" i="9"/>
  <c r="A187" i="9" s="1"/>
  <c r="A186" i="9"/>
  <c r="K186" i="9"/>
  <c r="K185" i="9"/>
  <c r="A185" i="9" s="1"/>
  <c r="K184" i="9"/>
  <c r="A184" i="9" s="1"/>
  <c r="K183" i="9"/>
  <c r="A183" i="9" s="1"/>
  <c r="A182" i="9"/>
  <c r="K182" i="9"/>
  <c r="K181" i="9"/>
  <c r="A181" i="9" s="1"/>
  <c r="A180" i="9"/>
  <c r="K180" i="9"/>
  <c r="K179" i="9"/>
  <c r="A179" i="9" s="1"/>
  <c r="A105" i="9"/>
  <c r="K105" i="9"/>
  <c r="K104" i="9"/>
  <c r="A104" i="9" s="1"/>
  <c r="K178" i="9"/>
  <c r="A178" i="9" s="1"/>
  <c r="K177" i="9"/>
  <c r="A177" i="9" s="1"/>
  <c r="A176" i="9"/>
  <c r="K176" i="9"/>
  <c r="K175" i="9"/>
  <c r="A175" i="9" s="1"/>
  <c r="A174" i="9"/>
  <c r="K174" i="9"/>
  <c r="K173" i="9"/>
  <c r="A173" i="9" s="1"/>
  <c r="A172" i="9"/>
  <c r="K172" i="9"/>
  <c r="K171" i="9"/>
  <c r="A171" i="9" s="1"/>
  <c r="K170" i="9"/>
  <c r="A170" i="9" s="1"/>
  <c r="K169" i="9"/>
  <c r="A169" i="9" s="1"/>
  <c r="A168" i="9"/>
  <c r="K168" i="9"/>
  <c r="K167" i="9"/>
  <c r="A167" i="9" s="1"/>
  <c r="A166" i="9"/>
  <c r="K166" i="9"/>
  <c r="K165" i="9"/>
  <c r="A165" i="9" s="1"/>
  <c r="A164" i="9"/>
  <c r="K164" i="9"/>
  <c r="K163" i="9"/>
  <c r="A163" i="9" s="1"/>
  <c r="K162" i="9"/>
  <c r="A162" i="9" s="1"/>
  <c r="K161" i="9"/>
  <c r="A161" i="9" s="1"/>
  <c r="A160" i="9"/>
  <c r="K160" i="9"/>
  <c r="K159" i="9"/>
  <c r="A159" i="9" s="1"/>
  <c r="A158" i="9"/>
  <c r="K158" i="9"/>
  <c r="K157" i="9"/>
  <c r="A157" i="9" s="1"/>
  <c r="A156" i="9"/>
  <c r="K156" i="9"/>
  <c r="K155" i="9"/>
  <c r="A155" i="9" s="1"/>
  <c r="K154" i="9"/>
  <c r="A154" i="9" s="1"/>
  <c r="K153" i="9"/>
  <c r="A153" i="9" s="1"/>
  <c r="A152" i="9"/>
  <c r="K152" i="9"/>
  <c r="K151" i="9"/>
  <c r="A151" i="9" s="1"/>
  <c r="A150" i="9"/>
  <c r="K150" i="9"/>
  <c r="K149" i="9"/>
  <c r="A149" i="9" s="1"/>
  <c r="A148" i="9"/>
  <c r="K148" i="9"/>
  <c r="K147" i="9"/>
  <c r="A147" i="9" s="1"/>
  <c r="K146" i="9"/>
  <c r="A146" i="9" s="1"/>
  <c r="K145" i="9"/>
  <c r="A145" i="9" s="1"/>
  <c r="A144" i="9"/>
  <c r="K144" i="9"/>
  <c r="K103" i="9"/>
  <c r="A103" i="9" s="1"/>
  <c r="A102" i="9"/>
  <c r="K102" i="9"/>
  <c r="K143" i="9"/>
  <c r="A143" i="9" s="1"/>
  <c r="A142" i="9"/>
  <c r="K142" i="9"/>
  <c r="K141" i="9"/>
  <c r="A141" i="9" s="1"/>
  <c r="K140" i="9"/>
  <c r="A140" i="9" s="1"/>
  <c r="K139" i="9"/>
  <c r="A139" i="9" s="1"/>
  <c r="A138" i="9"/>
  <c r="K138" i="9"/>
  <c r="K137" i="9"/>
  <c r="A137" i="9" s="1"/>
  <c r="A136" i="9"/>
  <c r="K136" i="9"/>
  <c r="K135" i="9"/>
  <c r="A135" i="9" s="1"/>
  <c r="A134" i="9"/>
  <c r="K134" i="9"/>
  <c r="K133" i="9"/>
  <c r="A133" i="9" s="1"/>
  <c r="K132" i="9"/>
  <c r="A132" i="9" s="1"/>
  <c r="K131" i="9"/>
  <c r="A131" i="9" s="1"/>
  <c r="A130" i="9"/>
  <c r="K130" i="9"/>
  <c r="K129" i="9"/>
  <c r="A129" i="9" s="1"/>
  <c r="A128" i="9"/>
  <c r="K128" i="9"/>
  <c r="K127" i="9"/>
  <c r="A127" i="9" s="1"/>
  <c r="A126" i="9"/>
  <c r="K126" i="9"/>
  <c r="K125" i="9"/>
  <c r="A125" i="9" s="1"/>
  <c r="K124" i="9"/>
  <c r="A124" i="9" s="1"/>
  <c r="K453" i="9"/>
  <c r="A453" i="9" s="1"/>
  <c r="A452" i="9"/>
  <c r="K452" i="9"/>
  <c r="K451" i="9"/>
  <c r="A451" i="9" s="1"/>
  <c r="A450" i="9"/>
  <c r="K450" i="9"/>
  <c r="K449" i="9"/>
  <c r="A449" i="9" s="1"/>
  <c r="A448" i="9"/>
  <c r="K448" i="9"/>
  <c r="K447" i="9"/>
  <c r="A447" i="9" s="1"/>
  <c r="K446" i="9"/>
  <c r="A446" i="9" s="1"/>
  <c r="K445" i="9"/>
  <c r="A445" i="9" s="1"/>
  <c r="A444" i="9"/>
  <c r="K444" i="9"/>
  <c r="K443" i="9"/>
  <c r="A443" i="9" s="1"/>
  <c r="A442" i="9"/>
  <c r="K442" i="9"/>
  <c r="K441" i="9"/>
  <c r="A441" i="9" s="1"/>
  <c r="A440" i="9"/>
  <c r="K440" i="9"/>
  <c r="K123" i="9"/>
  <c r="A123" i="9" s="1"/>
  <c r="K122" i="9"/>
  <c r="A122" i="9" s="1"/>
  <c r="K439" i="9"/>
  <c r="A439" i="9" s="1"/>
  <c r="A438" i="9"/>
  <c r="K438" i="9"/>
  <c r="K437" i="9"/>
  <c r="A437" i="9" s="1"/>
  <c r="A436" i="9"/>
  <c r="K436" i="9"/>
  <c r="K435" i="9"/>
  <c r="A435" i="9" s="1"/>
  <c r="A434" i="9"/>
  <c r="K434" i="9"/>
  <c r="K433" i="9"/>
  <c r="A433" i="9" s="1"/>
  <c r="K432" i="9"/>
  <c r="A432" i="9" s="1"/>
  <c r="K431" i="9"/>
  <c r="A431" i="9" s="1"/>
  <c r="A430" i="9"/>
  <c r="K430" i="9"/>
  <c r="K429" i="9"/>
  <c r="A429" i="9" s="1"/>
  <c r="A428" i="9"/>
  <c r="K428" i="9"/>
  <c r="K427" i="9"/>
  <c r="A427" i="9" s="1"/>
  <c r="A426" i="9"/>
  <c r="K426" i="9"/>
  <c r="K425" i="9"/>
  <c r="A425" i="9" s="1"/>
  <c r="K424" i="9"/>
  <c r="A424" i="9" s="1"/>
  <c r="K423" i="9"/>
  <c r="A423" i="9" s="1"/>
  <c r="A422" i="9"/>
  <c r="K422" i="9"/>
  <c r="K421" i="9"/>
  <c r="A421" i="9" s="1"/>
  <c r="A420" i="9"/>
  <c r="K420" i="9"/>
  <c r="K419" i="9"/>
  <c r="A419" i="9" s="1"/>
  <c r="A418" i="9"/>
  <c r="K418" i="9"/>
  <c r="K417" i="9"/>
  <c r="A417" i="9" s="1"/>
  <c r="K416" i="9"/>
  <c r="A416" i="9" s="1"/>
  <c r="K415" i="9"/>
  <c r="A415" i="9" s="1"/>
  <c r="A414" i="9"/>
  <c r="K414" i="9"/>
  <c r="K413" i="9"/>
  <c r="A413" i="9" s="1"/>
  <c r="A412" i="9"/>
  <c r="K412" i="9"/>
  <c r="K411" i="9"/>
  <c r="A411" i="9" s="1"/>
  <c r="A410" i="9"/>
  <c r="K410" i="9"/>
  <c r="K121" i="9"/>
  <c r="A121" i="9" s="1"/>
  <c r="K120" i="9"/>
  <c r="A120" i="9" s="1"/>
  <c r="K409" i="9"/>
  <c r="A409" i="9" s="1"/>
  <c r="A408" i="9"/>
  <c r="K408" i="9"/>
  <c r="K407" i="9"/>
  <c r="A407" i="9" s="1"/>
  <c r="A406" i="9"/>
  <c r="K406" i="9"/>
  <c r="K405" i="9"/>
  <c r="A405" i="9" s="1"/>
  <c r="A404" i="9"/>
  <c r="K404" i="9"/>
  <c r="K403" i="9"/>
  <c r="A403" i="9" s="1"/>
  <c r="K402" i="9"/>
  <c r="A402" i="9" s="1"/>
  <c r="K401" i="9"/>
  <c r="A401" i="9" s="1"/>
  <c r="A400" i="9"/>
  <c r="K400" i="9"/>
  <c r="K399" i="9"/>
  <c r="A399" i="9" s="1"/>
  <c r="A398" i="9"/>
  <c r="K398" i="9"/>
  <c r="K397" i="9"/>
  <c r="A397" i="9" s="1"/>
  <c r="A396" i="9"/>
  <c r="K396" i="9"/>
  <c r="K395" i="9"/>
  <c r="A395" i="9" s="1"/>
  <c r="K394" i="9"/>
  <c r="A394" i="9" s="1"/>
  <c r="K393" i="9"/>
  <c r="A393" i="9" s="1"/>
  <c r="A392" i="9"/>
  <c r="K392" i="9"/>
  <c r="K391" i="9"/>
  <c r="A391" i="9" s="1"/>
  <c r="A390" i="9"/>
  <c r="K390" i="9"/>
  <c r="K389" i="9"/>
  <c r="A389" i="9" s="1"/>
  <c r="A388" i="9"/>
  <c r="K388" i="9"/>
  <c r="K387" i="9"/>
  <c r="A387" i="9" s="1"/>
  <c r="K386" i="9"/>
  <c r="A386" i="9" s="1"/>
  <c r="K385" i="9"/>
  <c r="A385" i="9" s="1"/>
  <c r="A384" i="9"/>
  <c r="K384" i="9"/>
  <c r="K383" i="9"/>
  <c r="A383" i="9" s="1"/>
  <c r="A382" i="9"/>
  <c r="K382" i="9"/>
  <c r="K381" i="9"/>
  <c r="A381" i="9" s="1"/>
  <c r="A380" i="9"/>
  <c r="K380" i="9"/>
  <c r="K101" i="9"/>
  <c r="A101" i="9" s="1"/>
  <c r="K100" i="9"/>
  <c r="A100" i="9" s="1"/>
  <c r="K99" i="9"/>
  <c r="A99" i="9" s="1"/>
  <c r="A98" i="9"/>
  <c r="K98" i="9"/>
  <c r="K97" i="9"/>
  <c r="A97" i="9" s="1"/>
  <c r="A96" i="9"/>
  <c r="K96" i="9"/>
  <c r="K95" i="9"/>
  <c r="A95" i="9" s="1"/>
  <c r="A94" i="9"/>
  <c r="K94" i="9"/>
  <c r="K93" i="9"/>
  <c r="A93" i="9" s="1"/>
  <c r="K92" i="9"/>
  <c r="A92" i="9" s="1"/>
  <c r="K91" i="9"/>
  <c r="A91" i="9" s="1"/>
  <c r="A90" i="9"/>
  <c r="K90" i="9"/>
  <c r="K89" i="9"/>
  <c r="A89" i="9" s="1"/>
  <c r="A88" i="9"/>
  <c r="K88" i="9"/>
  <c r="K87" i="9"/>
  <c r="A87" i="9" s="1"/>
  <c r="A86" i="9"/>
  <c r="K86" i="9"/>
  <c r="K85" i="9"/>
  <c r="A85" i="9" s="1"/>
  <c r="K84" i="9"/>
  <c r="A84" i="9" s="1"/>
  <c r="K82" i="9"/>
  <c r="A82" i="9" s="1"/>
  <c r="A81" i="9"/>
  <c r="K81" i="9"/>
  <c r="K80" i="9"/>
  <c r="A80" i="9" s="1"/>
  <c r="A83" i="9"/>
  <c r="K83" i="9"/>
  <c r="K79" i="9"/>
  <c r="A79" i="9" s="1"/>
  <c r="A78" i="9"/>
  <c r="K78" i="9"/>
  <c r="K77" i="9"/>
  <c r="A77" i="9" s="1"/>
  <c r="K76" i="9"/>
  <c r="A76" i="9" s="1"/>
  <c r="K75" i="9"/>
  <c r="A75" i="9" s="1"/>
  <c r="A74" i="9"/>
  <c r="K74" i="9"/>
  <c r="K73" i="9"/>
  <c r="A73" i="9" s="1"/>
  <c r="A72" i="9"/>
  <c r="K72" i="9"/>
  <c r="K71" i="9"/>
  <c r="A71" i="9" s="1"/>
  <c r="A70" i="9"/>
  <c r="K70" i="9"/>
  <c r="K69" i="9"/>
  <c r="A69" i="9" s="1"/>
  <c r="K68" i="9"/>
  <c r="A68" i="9" s="1"/>
  <c r="K67" i="9"/>
  <c r="A67" i="9" s="1"/>
  <c r="A66" i="9"/>
  <c r="K66" i="9"/>
  <c r="K65" i="9"/>
  <c r="A65" i="9" s="1"/>
  <c r="A64" i="9"/>
  <c r="K64" i="9"/>
  <c r="K63" i="9"/>
  <c r="A63" i="9" s="1"/>
  <c r="A62" i="9"/>
  <c r="K62" i="9"/>
  <c r="K61" i="9"/>
  <c r="A61" i="9" s="1"/>
  <c r="K60" i="9"/>
  <c r="A60" i="9" s="1"/>
  <c r="K59" i="9"/>
  <c r="A59" i="9" s="1"/>
  <c r="A58" i="9"/>
  <c r="K58" i="9"/>
  <c r="K57" i="9"/>
  <c r="A57" i="9" s="1"/>
  <c r="A56" i="9"/>
  <c r="K56" i="9"/>
  <c r="K55" i="9"/>
  <c r="A55" i="9" s="1"/>
  <c r="A54" i="9"/>
  <c r="K54" i="9"/>
  <c r="K53" i="9"/>
  <c r="A53" i="9" s="1"/>
  <c r="K52" i="9"/>
  <c r="A52" i="9" s="1"/>
  <c r="K51" i="9"/>
  <c r="A51" i="9" s="1"/>
  <c r="A50" i="9"/>
  <c r="K50" i="9"/>
  <c r="K49" i="9"/>
  <c r="A49" i="9" s="1"/>
  <c r="A48" i="9"/>
  <c r="K48" i="9"/>
  <c r="K47" i="9"/>
  <c r="A47" i="9" s="1"/>
  <c r="A46" i="9"/>
  <c r="K46" i="9"/>
  <c r="K45" i="9"/>
  <c r="A45" i="9" s="1"/>
  <c r="K44" i="9"/>
  <c r="A44" i="9" s="1"/>
  <c r="K43" i="9"/>
  <c r="A43" i="9" s="1"/>
  <c r="A42" i="9"/>
  <c r="K42" i="9"/>
  <c r="K41" i="9"/>
  <c r="A41" i="9" s="1"/>
  <c r="A40" i="9"/>
  <c r="K40" i="9"/>
  <c r="K39" i="9"/>
  <c r="A39" i="9" s="1"/>
  <c r="A38" i="9"/>
  <c r="K38" i="9"/>
  <c r="K37" i="9"/>
  <c r="A37" i="9" s="1"/>
  <c r="K36" i="9"/>
  <c r="A36" i="9" s="1"/>
  <c r="K35" i="9"/>
  <c r="A35" i="9" s="1"/>
  <c r="A34" i="9"/>
  <c r="K34" i="9"/>
  <c r="K33" i="9"/>
  <c r="A33" i="9" s="1"/>
  <c r="A32" i="9"/>
  <c r="K32" i="9"/>
  <c r="K31" i="9"/>
  <c r="A31" i="9" s="1"/>
  <c r="A30" i="9"/>
  <c r="K30" i="9"/>
  <c r="K29" i="9"/>
  <c r="A29" i="9" s="1"/>
  <c r="K28" i="9"/>
  <c r="A28" i="9" s="1"/>
  <c r="K27" i="9"/>
  <c r="A27" i="9" s="1"/>
  <c r="A26" i="9"/>
  <c r="K26" i="9"/>
  <c r="K25" i="9"/>
  <c r="A25" i="9" s="1"/>
  <c r="A24" i="9"/>
  <c r="K24" i="9"/>
  <c r="K23" i="9"/>
  <c r="A23" i="9" s="1"/>
  <c r="A22" i="9"/>
  <c r="K22" i="9"/>
  <c r="K21" i="9"/>
  <c r="A21" i="9" s="1"/>
  <c r="K20" i="9"/>
  <c r="A20" i="9" s="1"/>
  <c r="K19" i="9"/>
  <c r="A19" i="9" s="1"/>
  <c r="A18" i="9"/>
  <c r="K18" i="9"/>
  <c r="K17" i="9"/>
  <c r="A17" i="9" s="1"/>
  <c r="A16" i="9"/>
  <c r="K16" i="9"/>
  <c r="K15" i="9"/>
  <c r="A15" i="9" s="1"/>
  <c r="A14" i="9"/>
  <c r="K14" i="9"/>
  <c r="K13" i="9"/>
  <c r="A13" i="9" s="1"/>
  <c r="K12" i="9"/>
  <c r="A12" i="9" s="1"/>
  <c r="K11" i="9"/>
  <c r="A11" i="9" s="1"/>
  <c r="A10" i="9"/>
  <c r="K10" i="9"/>
  <c r="K9" i="9"/>
  <c r="A9" i="9" s="1"/>
  <c r="A8" i="9"/>
  <c r="K8" i="9"/>
  <c r="K7" i="9"/>
  <c r="A7" i="9" s="1"/>
  <c r="A6" i="9"/>
  <c r="K6" i="9"/>
  <c r="K5" i="9"/>
  <c r="A5" i="9" s="1"/>
  <c r="K4" i="9"/>
  <c r="A4" i="9" s="1"/>
  <c r="K3" i="9"/>
  <c r="A3" i="9" s="1"/>
  <c r="A2" i="9"/>
  <c r="K2" i="9"/>
  <c r="A1756" i="7"/>
  <c r="V1756" i="7"/>
  <c r="A1754" i="7"/>
  <c r="V1754" i="7"/>
  <c r="A1752" i="7"/>
  <c r="V1752" i="7"/>
  <c r="A1750" i="7"/>
  <c r="V1750" i="7"/>
  <c r="A1748" i="7"/>
  <c r="V1748" i="7"/>
  <c r="A1746" i="7"/>
  <c r="V1746" i="7"/>
  <c r="A1744" i="7"/>
  <c r="V1744" i="7"/>
  <c r="A1742" i="7"/>
  <c r="V1742" i="7"/>
  <c r="A1740" i="7"/>
  <c r="V1740" i="7"/>
  <c r="A1738" i="7"/>
  <c r="V1738" i="7"/>
  <c r="A1736" i="7"/>
  <c r="V1736" i="7"/>
  <c r="A1734" i="7"/>
  <c r="V1734" i="7"/>
  <c r="A1732" i="7"/>
  <c r="V1732" i="7"/>
  <c r="A1730" i="7"/>
  <c r="V1730" i="7"/>
  <c r="A1728" i="7"/>
  <c r="V1728" i="7"/>
  <c r="A1726" i="7"/>
  <c r="V1726" i="7"/>
  <c r="A1724" i="7"/>
  <c r="V1724" i="7"/>
  <c r="A1722" i="7"/>
  <c r="V1722" i="7"/>
  <c r="A1720" i="7"/>
  <c r="V1720" i="7"/>
  <c r="A1718" i="7"/>
  <c r="V1718" i="7"/>
  <c r="A1716" i="7"/>
  <c r="V1716" i="7"/>
  <c r="A1714" i="7"/>
  <c r="V1714" i="7"/>
  <c r="A1712" i="7"/>
  <c r="V1712" i="7"/>
  <c r="A1710" i="7"/>
  <c r="V1710" i="7"/>
  <c r="A1708" i="7"/>
  <c r="V1708" i="7"/>
  <c r="A1706" i="7"/>
  <c r="V1706" i="7"/>
  <c r="A1704" i="7"/>
  <c r="V1704" i="7"/>
  <c r="A1702" i="7"/>
  <c r="V1702" i="7"/>
  <c r="A1700" i="7"/>
  <c r="V1700" i="7"/>
  <c r="A1698" i="7"/>
  <c r="V1698" i="7"/>
  <c r="A1696" i="7"/>
  <c r="V1696" i="7"/>
  <c r="A1694" i="7"/>
  <c r="V1694" i="7"/>
  <c r="A1692" i="7"/>
  <c r="V1692" i="7"/>
  <c r="A1690" i="7"/>
  <c r="V1690" i="7"/>
  <c r="A1688" i="7"/>
  <c r="V1688" i="7"/>
  <c r="A1686" i="7"/>
  <c r="V1686" i="7"/>
  <c r="A1684" i="7"/>
  <c r="V1684" i="7"/>
  <c r="A1682" i="7"/>
  <c r="V1682" i="7"/>
  <c r="A1680" i="7"/>
  <c r="V1680" i="7"/>
  <c r="A1678" i="7"/>
  <c r="V1678" i="7"/>
  <c r="A1676" i="7"/>
  <c r="V1676" i="7"/>
  <c r="A1674" i="7"/>
  <c r="V1674" i="7"/>
  <c r="A1672" i="7"/>
  <c r="V1672" i="7"/>
  <c r="A1670" i="7"/>
  <c r="V1670" i="7"/>
  <c r="A1668" i="7"/>
  <c r="V1668" i="7"/>
  <c r="A1666" i="7"/>
  <c r="V1666" i="7"/>
  <c r="A1664" i="7"/>
  <c r="V1664" i="7"/>
  <c r="A1662" i="7"/>
  <c r="V1662" i="7"/>
  <c r="A1660" i="7"/>
  <c r="V1660" i="7"/>
  <c r="A1658" i="7"/>
  <c r="V1658" i="7"/>
  <c r="A1656" i="7"/>
  <c r="V1656" i="7"/>
  <c r="A1654" i="7"/>
  <c r="V1654" i="7"/>
  <c r="A1652" i="7"/>
  <c r="V1652" i="7"/>
  <c r="A1650" i="7"/>
  <c r="V1650" i="7"/>
  <c r="A1648" i="7"/>
  <c r="V1648" i="7"/>
  <c r="A1646" i="7"/>
  <c r="V1646" i="7"/>
  <c r="A1644" i="7"/>
  <c r="V1644" i="7"/>
  <c r="A1642" i="7"/>
  <c r="V1642" i="7"/>
  <c r="A1640" i="7"/>
  <c r="V1640" i="7"/>
  <c r="A1638" i="7"/>
  <c r="V1638" i="7"/>
  <c r="A1636" i="7"/>
  <c r="V1636" i="7"/>
  <c r="A1634" i="7"/>
  <c r="V1634" i="7"/>
  <c r="A1632" i="7"/>
  <c r="V1632" i="7"/>
  <c r="A1630" i="7"/>
  <c r="V1630" i="7"/>
  <c r="A1628" i="7"/>
  <c r="V1628" i="7"/>
  <c r="A1626" i="7"/>
  <c r="V1626" i="7"/>
  <c r="A1624" i="7"/>
  <c r="V1624" i="7"/>
  <c r="A1622" i="7"/>
  <c r="V1622" i="7"/>
  <c r="A1620" i="7"/>
  <c r="V1620" i="7"/>
  <c r="A1618" i="7"/>
  <c r="V1618" i="7"/>
  <c r="A1616" i="7"/>
  <c r="V1616" i="7"/>
  <c r="A1614" i="7"/>
  <c r="V1614" i="7"/>
  <c r="A1612" i="7"/>
  <c r="V1612" i="7"/>
  <c r="A1610" i="7"/>
  <c r="V1610" i="7"/>
  <c r="A1608" i="7"/>
  <c r="V1608" i="7"/>
  <c r="A1606" i="7"/>
  <c r="V1606" i="7"/>
  <c r="A1604" i="7"/>
  <c r="V1604" i="7"/>
  <c r="A1602" i="7"/>
  <c r="V1602" i="7"/>
  <c r="A1600" i="7"/>
  <c r="V1600" i="7"/>
  <c r="A1598" i="7"/>
  <c r="V1598" i="7"/>
  <c r="A1596" i="7"/>
  <c r="V1596" i="7"/>
  <c r="A1594" i="7"/>
  <c r="V1594" i="7"/>
  <c r="A1592" i="7"/>
  <c r="V1592" i="7"/>
  <c r="A1590" i="7"/>
  <c r="V1590" i="7"/>
  <c r="A1588" i="7"/>
  <c r="V1588" i="7"/>
  <c r="A1586" i="7"/>
  <c r="V1586" i="7"/>
  <c r="A1584" i="7"/>
  <c r="V1584" i="7"/>
  <c r="A1582" i="7"/>
  <c r="V1582" i="7"/>
  <c r="A1580" i="7"/>
  <c r="V1580" i="7"/>
  <c r="A1578" i="7"/>
  <c r="V1578" i="7"/>
  <c r="A1576" i="7"/>
  <c r="V1576" i="7"/>
  <c r="A1574" i="7"/>
  <c r="V1574" i="7"/>
  <c r="A1572" i="7"/>
  <c r="V1572" i="7"/>
  <c r="A1570" i="7"/>
  <c r="V1570" i="7"/>
  <c r="A1568" i="7"/>
  <c r="V1568" i="7"/>
  <c r="A1566" i="7"/>
  <c r="V1566" i="7"/>
  <c r="A1564" i="7"/>
  <c r="V1564" i="7"/>
  <c r="A1562" i="7"/>
  <c r="V1562" i="7"/>
  <c r="A1560" i="7"/>
  <c r="V1560" i="7"/>
  <c r="A1558" i="7"/>
  <c r="V1558" i="7"/>
  <c r="A1556" i="7"/>
  <c r="V1556" i="7"/>
  <c r="A1554" i="7"/>
  <c r="V1554" i="7"/>
  <c r="A1552" i="7"/>
  <c r="V1552" i="7"/>
  <c r="A1550" i="7"/>
  <c r="V1550" i="7"/>
  <c r="A1548" i="7"/>
  <c r="V1548" i="7"/>
  <c r="A1546" i="7"/>
  <c r="V1546" i="7"/>
  <c r="A1544" i="7"/>
  <c r="V1544" i="7"/>
  <c r="A1542" i="7"/>
  <c r="V1542" i="7"/>
  <c r="A1540" i="7"/>
  <c r="V1540" i="7"/>
  <c r="A1538" i="7"/>
  <c r="V1538" i="7"/>
  <c r="A1536" i="7"/>
  <c r="V1536" i="7"/>
  <c r="A1534" i="7"/>
  <c r="V1534" i="7"/>
  <c r="A1532" i="7"/>
  <c r="V1532" i="7"/>
  <c r="A1530" i="7"/>
  <c r="V1530" i="7"/>
  <c r="A1528" i="7"/>
  <c r="V1528" i="7"/>
  <c r="A1526" i="7"/>
  <c r="V1526" i="7"/>
  <c r="A1524" i="7"/>
  <c r="V1524" i="7"/>
  <c r="A1522" i="7"/>
  <c r="V1522" i="7"/>
  <c r="A1520" i="7"/>
  <c r="V1520" i="7"/>
  <c r="A1518" i="7"/>
  <c r="V1518" i="7"/>
  <c r="A1516" i="7"/>
  <c r="V1516" i="7"/>
  <c r="A1514" i="7"/>
  <c r="V1514" i="7"/>
  <c r="A1512" i="7"/>
  <c r="V1512" i="7"/>
  <c r="A1510" i="7"/>
  <c r="V1510" i="7"/>
  <c r="A1508" i="7"/>
  <c r="V1508" i="7"/>
  <c r="A1506" i="7"/>
  <c r="V1506" i="7"/>
  <c r="A1504" i="7"/>
  <c r="V1504" i="7"/>
  <c r="A1502" i="7"/>
  <c r="V1502" i="7"/>
  <c r="A1500" i="7"/>
  <c r="V1500" i="7"/>
  <c r="A1498" i="7"/>
  <c r="V1498" i="7"/>
  <c r="A1496" i="7"/>
  <c r="V1496" i="7"/>
  <c r="A1494" i="7"/>
  <c r="V1494" i="7"/>
  <c r="A1492" i="7"/>
  <c r="V1492" i="7"/>
  <c r="A1490" i="7"/>
  <c r="V1490" i="7"/>
  <c r="A1488" i="7"/>
  <c r="V1488" i="7"/>
  <c r="A1486" i="7"/>
  <c r="V1486" i="7"/>
  <c r="A1484" i="7"/>
  <c r="V1484" i="7"/>
  <c r="A1482" i="7"/>
  <c r="V1482" i="7"/>
  <c r="A1480" i="7"/>
  <c r="V1480" i="7"/>
  <c r="A1478" i="7"/>
  <c r="V1478" i="7"/>
  <c r="A1476" i="7"/>
  <c r="V1476" i="7"/>
  <c r="A1474" i="7"/>
  <c r="V1474" i="7"/>
  <c r="A1472" i="7"/>
  <c r="V1472" i="7"/>
  <c r="A1470" i="7"/>
  <c r="V1470" i="7"/>
  <c r="A1468" i="7"/>
  <c r="V1468" i="7"/>
  <c r="A1466" i="7"/>
  <c r="V1466" i="7"/>
  <c r="A1464" i="7"/>
  <c r="V1464" i="7"/>
  <c r="A1462" i="7"/>
  <c r="V1462" i="7"/>
  <c r="A1460" i="7"/>
  <c r="V1460" i="7"/>
  <c r="A1458" i="7"/>
  <c r="V1458" i="7"/>
  <c r="A1456" i="7"/>
  <c r="V1456" i="7"/>
  <c r="A1454" i="7"/>
  <c r="V1454" i="7"/>
  <c r="A1452" i="7"/>
  <c r="V1452" i="7"/>
  <c r="A1450" i="7"/>
  <c r="V1450" i="7"/>
  <c r="A1448" i="7"/>
  <c r="V1448" i="7"/>
  <c r="A1446" i="7"/>
  <c r="V1446" i="7"/>
  <c r="A1444" i="7"/>
  <c r="V1444" i="7"/>
  <c r="A1442" i="7"/>
  <c r="V1442" i="7"/>
  <c r="A1440" i="7"/>
  <c r="V1440" i="7"/>
  <c r="A1438" i="7"/>
  <c r="V1438" i="7"/>
  <c r="A1436" i="7"/>
  <c r="V1436" i="7"/>
  <c r="A1434" i="7"/>
  <c r="V1434" i="7"/>
  <c r="A1432" i="7"/>
  <c r="V1432" i="7"/>
  <c r="A1430" i="7"/>
  <c r="V1430" i="7"/>
  <c r="A1428" i="7"/>
  <c r="V1428" i="7"/>
  <c r="A1426" i="7"/>
  <c r="V1426" i="7"/>
  <c r="A1424" i="7"/>
  <c r="V1424" i="7"/>
  <c r="A1422" i="7"/>
  <c r="V1422" i="7"/>
  <c r="A1420" i="7"/>
  <c r="V1420" i="7"/>
  <c r="A1418" i="7"/>
  <c r="V1418" i="7"/>
  <c r="A1416" i="7"/>
  <c r="V1416" i="7"/>
  <c r="A1414" i="7"/>
  <c r="V1414" i="7"/>
  <c r="A1412" i="7"/>
  <c r="V1412" i="7"/>
  <c r="A1410" i="7"/>
  <c r="V1410" i="7"/>
  <c r="A1408" i="7"/>
  <c r="V1408" i="7"/>
  <c r="A1406" i="7"/>
  <c r="V1406" i="7"/>
  <c r="A1404" i="7"/>
  <c r="V1404" i="7"/>
  <c r="A1402" i="7"/>
  <c r="V1402" i="7"/>
  <c r="A1400" i="7"/>
  <c r="V1400" i="7"/>
  <c r="A1398" i="7"/>
  <c r="V1398" i="7"/>
  <c r="A1396" i="7"/>
  <c r="V1396" i="7"/>
  <c r="A1394" i="7"/>
  <c r="V1394" i="7"/>
  <c r="A1392" i="7"/>
  <c r="V1392" i="7"/>
  <c r="A1390" i="7"/>
  <c r="V1390" i="7"/>
  <c r="A1388" i="7"/>
  <c r="V1388" i="7"/>
  <c r="A1386" i="7"/>
  <c r="V1386" i="7"/>
  <c r="A1384" i="7"/>
  <c r="V1384" i="7"/>
  <c r="A1382" i="7"/>
  <c r="V1382" i="7"/>
  <c r="A1380" i="7"/>
  <c r="V1380" i="7"/>
  <c r="A1378" i="7"/>
  <c r="V1378" i="7"/>
  <c r="A1376" i="7"/>
  <c r="V1376" i="7"/>
  <c r="A1374" i="7"/>
  <c r="V1374" i="7"/>
  <c r="A1372" i="7"/>
  <c r="V1372" i="7"/>
  <c r="A1370" i="7"/>
  <c r="V1370" i="7"/>
  <c r="A1368" i="7"/>
  <c r="V1368" i="7"/>
  <c r="A1366" i="7"/>
  <c r="V1366" i="7"/>
  <c r="A1364" i="7"/>
  <c r="V1364" i="7"/>
  <c r="A1362" i="7"/>
  <c r="V1362" i="7"/>
  <c r="A1360" i="7"/>
  <c r="V1360" i="7"/>
  <c r="A1358" i="7"/>
  <c r="V1358" i="7"/>
  <c r="A1356" i="7"/>
  <c r="V1356" i="7"/>
  <c r="A1354" i="7"/>
  <c r="V1354" i="7"/>
  <c r="A1352" i="7"/>
  <c r="V1352" i="7"/>
  <c r="A1350" i="7"/>
  <c r="V1350" i="7"/>
  <c r="A1348" i="7"/>
  <c r="V1348" i="7"/>
  <c r="A1346" i="7"/>
  <c r="V1346" i="7"/>
  <c r="A1344" i="7"/>
  <c r="V1344" i="7"/>
  <c r="A1342" i="7"/>
  <c r="V1342" i="7"/>
  <c r="A1340" i="7"/>
  <c r="V1340" i="7"/>
  <c r="A1338" i="7"/>
  <c r="V1338" i="7"/>
  <c r="A1336" i="7"/>
  <c r="V1336" i="7"/>
  <c r="A1334" i="7"/>
  <c r="V1334" i="7"/>
  <c r="A1332" i="7"/>
  <c r="V1332" i="7"/>
  <c r="A1330" i="7"/>
  <c r="V1330" i="7"/>
  <c r="A1328" i="7"/>
  <c r="V1328" i="7"/>
  <c r="A1326" i="7"/>
  <c r="V1326" i="7"/>
  <c r="A1324" i="7"/>
  <c r="V1324" i="7"/>
  <c r="A1322" i="7"/>
  <c r="V1322" i="7"/>
  <c r="A1320" i="7"/>
  <c r="V1320" i="7"/>
  <c r="A1318" i="7"/>
  <c r="V1318" i="7"/>
  <c r="A1316" i="7"/>
  <c r="V1316" i="7"/>
  <c r="A1314" i="7"/>
  <c r="V1314" i="7"/>
  <c r="A1312" i="7"/>
  <c r="V1312" i="7"/>
  <c r="A1310" i="7"/>
  <c r="V1310" i="7"/>
  <c r="A1308" i="7"/>
  <c r="V1308" i="7"/>
  <c r="A1306" i="7"/>
  <c r="V1306" i="7"/>
  <c r="A1304" i="7"/>
  <c r="V1304" i="7"/>
  <c r="A1302" i="7"/>
  <c r="V1302" i="7"/>
  <c r="A1300" i="7"/>
  <c r="V1300" i="7"/>
  <c r="A1298" i="7"/>
  <c r="V1298" i="7"/>
  <c r="A1296" i="7"/>
  <c r="V1296" i="7"/>
  <c r="A1294" i="7"/>
  <c r="V1294" i="7"/>
  <c r="A1292" i="7"/>
  <c r="V1292" i="7"/>
  <c r="A1290" i="7"/>
  <c r="V1290" i="7"/>
  <c r="A1288" i="7"/>
  <c r="V1288" i="7"/>
  <c r="A1286" i="7"/>
  <c r="V1286" i="7"/>
  <c r="A1284" i="7"/>
  <c r="V1284" i="7"/>
  <c r="A1282" i="7"/>
  <c r="V1282" i="7"/>
  <c r="A1280" i="7"/>
  <c r="V1280" i="7"/>
  <c r="A1278" i="7"/>
  <c r="V1278" i="7"/>
  <c r="A1276" i="7"/>
  <c r="V1276" i="7"/>
  <c r="A1274" i="7"/>
  <c r="V1274" i="7"/>
  <c r="A1272" i="7"/>
  <c r="V1272" i="7"/>
  <c r="A1270" i="7"/>
  <c r="V1270" i="7"/>
  <c r="A1268" i="7"/>
  <c r="V1268" i="7"/>
  <c r="A1266" i="7"/>
  <c r="V1266" i="7"/>
  <c r="A1264" i="7"/>
  <c r="V1264" i="7"/>
  <c r="A1262" i="7"/>
  <c r="V1262" i="7"/>
  <c r="A1260" i="7"/>
  <c r="V1260" i="7"/>
  <c r="A1258" i="7"/>
  <c r="V1258" i="7"/>
  <c r="A1256" i="7"/>
  <c r="V1256" i="7"/>
  <c r="A1254" i="7"/>
  <c r="V1254" i="7"/>
  <c r="A1252" i="7"/>
  <c r="V1252" i="7"/>
  <c r="A1250" i="7"/>
  <c r="V1250" i="7"/>
  <c r="A1248" i="7"/>
  <c r="V1248" i="7"/>
  <c r="A1246" i="7"/>
  <c r="V1246" i="7"/>
  <c r="A1245" i="7"/>
  <c r="V1245" i="7"/>
  <c r="A1244" i="7"/>
  <c r="V1244" i="7"/>
  <c r="A1243" i="7"/>
  <c r="V1243" i="7"/>
  <c r="A1241" i="7"/>
  <c r="V1241" i="7"/>
  <c r="A1240" i="7"/>
  <c r="V1240" i="7"/>
  <c r="A1239" i="7"/>
  <c r="V1239" i="7"/>
  <c r="A1238" i="7"/>
  <c r="V1238" i="7"/>
  <c r="A1236" i="7"/>
  <c r="V1236" i="7"/>
  <c r="A1235" i="7"/>
  <c r="V1235" i="7"/>
  <c r="A1234" i="7"/>
  <c r="V1234" i="7"/>
  <c r="A1233" i="7"/>
  <c r="V1233" i="7"/>
  <c r="A1231" i="7"/>
  <c r="V1231" i="7"/>
  <c r="A1229" i="7"/>
  <c r="V1229" i="7"/>
  <c r="A1227" i="7"/>
  <c r="V1227" i="7"/>
  <c r="A1225" i="7"/>
  <c r="V1225" i="7"/>
  <c r="A1223" i="7"/>
  <c r="V1223" i="7"/>
  <c r="A1221" i="7"/>
  <c r="V1221" i="7"/>
  <c r="A1219" i="7"/>
  <c r="V1219" i="7"/>
  <c r="A1217" i="7"/>
  <c r="V1217" i="7"/>
  <c r="A1215" i="7"/>
  <c r="V1215" i="7"/>
  <c r="A1213" i="7"/>
  <c r="V1213" i="7"/>
  <c r="A1211" i="7"/>
  <c r="V1211" i="7"/>
  <c r="A1209" i="7"/>
  <c r="V1209" i="7"/>
  <c r="A1207" i="7"/>
  <c r="V1207" i="7"/>
  <c r="A1205" i="7"/>
  <c r="V1205" i="7"/>
  <c r="A1203" i="7"/>
  <c r="V1203" i="7"/>
  <c r="A1201" i="7"/>
  <c r="V1201" i="7"/>
  <c r="A1199" i="7"/>
  <c r="V1199" i="7"/>
  <c r="A1197" i="7"/>
  <c r="V1197" i="7"/>
  <c r="A1195" i="7"/>
  <c r="V1195" i="7"/>
  <c r="A1193" i="7"/>
  <c r="V1193" i="7"/>
  <c r="A1191" i="7"/>
  <c r="V1191" i="7"/>
  <c r="A1189" i="7"/>
  <c r="V1189" i="7"/>
  <c r="A1187" i="7"/>
  <c r="V1187" i="7"/>
  <c r="A1185" i="7"/>
  <c r="V1185" i="7"/>
  <c r="A1183" i="7"/>
  <c r="V1183" i="7"/>
  <c r="A1181" i="7"/>
  <c r="V1181" i="7"/>
  <c r="A1179" i="7"/>
  <c r="V1179" i="7"/>
  <c r="A1177" i="7"/>
  <c r="V1177" i="7"/>
  <c r="A1175" i="7"/>
  <c r="V1175" i="7"/>
  <c r="A1173" i="7"/>
  <c r="V1173" i="7"/>
  <c r="A1171" i="7"/>
  <c r="V1171" i="7"/>
  <c r="V1169" i="7"/>
  <c r="A1169" i="7" s="1"/>
  <c r="A1167" i="7"/>
  <c r="V1167" i="7"/>
  <c r="V1165" i="7"/>
  <c r="A1165" i="7" s="1"/>
  <c r="A1163" i="7"/>
  <c r="V1163" i="7"/>
  <c r="V1161" i="7"/>
  <c r="A1161" i="7" s="1"/>
  <c r="A1159" i="7"/>
  <c r="V1159" i="7"/>
  <c r="V1157" i="7"/>
  <c r="A1157" i="7" s="1"/>
  <c r="A1155" i="7"/>
  <c r="V1155" i="7"/>
  <c r="V1153" i="7"/>
  <c r="A1153" i="7" s="1"/>
  <c r="A1151" i="7"/>
  <c r="V1151" i="7"/>
  <c r="V1149" i="7"/>
  <c r="A1149" i="7" s="1"/>
  <c r="A1147" i="7"/>
  <c r="V1147" i="7"/>
  <c r="V1145" i="7"/>
  <c r="A1145" i="7" s="1"/>
  <c r="A1143" i="7"/>
  <c r="V1143" i="7"/>
  <c r="V1141" i="7"/>
  <c r="A1141" i="7" s="1"/>
  <c r="A1139" i="7"/>
  <c r="V1139" i="7"/>
  <c r="V1137" i="7"/>
  <c r="A1137" i="7" s="1"/>
  <c r="A1135" i="7"/>
  <c r="V1135" i="7"/>
  <c r="V1133" i="7"/>
  <c r="A1133" i="7" s="1"/>
  <c r="A1131" i="7"/>
  <c r="V1131" i="7"/>
  <c r="V1129" i="7"/>
  <c r="A1129" i="7" s="1"/>
  <c r="A1127" i="7"/>
  <c r="V1127" i="7"/>
  <c r="V1125" i="7"/>
  <c r="A1125" i="7" s="1"/>
  <c r="A1123" i="7"/>
  <c r="V1123" i="7"/>
  <c r="V1121" i="7"/>
  <c r="A1121" i="7" s="1"/>
  <c r="A1119" i="7"/>
  <c r="V1119" i="7"/>
  <c r="V1117" i="7"/>
  <c r="A1117" i="7" s="1"/>
  <c r="A1115" i="7"/>
  <c r="V1115" i="7"/>
  <c r="V1113" i="7"/>
  <c r="A1113" i="7" s="1"/>
  <c r="A1111" i="7"/>
  <c r="V1111" i="7"/>
  <c r="V1109" i="7"/>
  <c r="A1109" i="7" s="1"/>
  <c r="A1107" i="7"/>
  <c r="V1107" i="7"/>
  <c r="V1105" i="7"/>
  <c r="A1105" i="7" s="1"/>
  <c r="A1103" i="7"/>
  <c r="V1103" i="7"/>
  <c r="V1101" i="7"/>
  <c r="A1101" i="7" s="1"/>
  <c r="A1099" i="7"/>
  <c r="V1099" i="7"/>
  <c r="V1097" i="7"/>
  <c r="A1097" i="7" s="1"/>
  <c r="A1095" i="7"/>
  <c r="V1095" i="7"/>
  <c r="V1093" i="7"/>
  <c r="A1093" i="7" s="1"/>
  <c r="A1091" i="7"/>
  <c r="V1091" i="7"/>
  <c r="V1089" i="7"/>
  <c r="A1089" i="7" s="1"/>
  <c r="A1087" i="7"/>
  <c r="V1087" i="7"/>
  <c r="V1085" i="7"/>
  <c r="A1085" i="7" s="1"/>
  <c r="A1083" i="7"/>
  <c r="V1083" i="7"/>
  <c r="V1081" i="7"/>
  <c r="A1081" i="7" s="1"/>
  <c r="A1079" i="7"/>
  <c r="V1079" i="7"/>
  <c r="V1077" i="7"/>
  <c r="A1077" i="7" s="1"/>
  <c r="A1075" i="7"/>
  <c r="V1075" i="7"/>
  <c r="V1073" i="7"/>
  <c r="A1073" i="7" s="1"/>
  <c r="A1071" i="7"/>
  <c r="V1071" i="7"/>
  <c r="V1069" i="7"/>
  <c r="A1069" i="7" s="1"/>
  <c r="A1067" i="7"/>
  <c r="V1067" i="7"/>
  <c r="V1065" i="7"/>
  <c r="A1065" i="7" s="1"/>
  <c r="A1063" i="7"/>
  <c r="V1063" i="7"/>
  <c r="V1061" i="7"/>
  <c r="A1061" i="7" s="1"/>
  <c r="A1059" i="7"/>
  <c r="V1059" i="7"/>
  <c r="V1057" i="7"/>
  <c r="A1057" i="7" s="1"/>
  <c r="A1055" i="7"/>
  <c r="V1055" i="7"/>
  <c r="V1053" i="7"/>
  <c r="A1053" i="7" s="1"/>
  <c r="A1052" i="7"/>
  <c r="V1052" i="7"/>
  <c r="V1051" i="7"/>
  <c r="A1051" i="7" s="1"/>
  <c r="A1050" i="7"/>
  <c r="V1050" i="7"/>
  <c r="V1048" i="7"/>
  <c r="A1048" i="7" s="1"/>
  <c r="A1046" i="7"/>
  <c r="V1046" i="7"/>
  <c r="V1044" i="7"/>
  <c r="A1044" i="7" s="1"/>
  <c r="A1042" i="7"/>
  <c r="V1042" i="7"/>
  <c r="V1040" i="7"/>
  <c r="A1040" i="7" s="1"/>
  <c r="A1038" i="7"/>
  <c r="V1038" i="7"/>
  <c r="V1036" i="7"/>
  <c r="A1036" i="7" s="1"/>
  <c r="A1034" i="7"/>
  <c r="V1034" i="7"/>
  <c r="V1032" i="7"/>
  <c r="A1032" i="7" s="1"/>
  <c r="A1030" i="7"/>
  <c r="V1030" i="7"/>
  <c r="V1028" i="7"/>
  <c r="A1028" i="7" s="1"/>
  <c r="A1026" i="7"/>
  <c r="V1026" i="7"/>
  <c r="V1024" i="7"/>
  <c r="A1024" i="7" s="1"/>
  <c r="A1022" i="7"/>
  <c r="V1022" i="7"/>
  <c r="V1020" i="7"/>
  <c r="A1020" i="7" s="1"/>
  <c r="A1018" i="7"/>
  <c r="V1018" i="7"/>
  <c r="V1016" i="7"/>
  <c r="A1016" i="7" s="1"/>
  <c r="A1014" i="7"/>
  <c r="V1014" i="7"/>
  <c r="V1012" i="7"/>
  <c r="A1012" i="7" s="1"/>
  <c r="A1010" i="7"/>
  <c r="V1010" i="7"/>
  <c r="V1008" i="7"/>
  <c r="A1008" i="7" s="1"/>
  <c r="A1006" i="7"/>
  <c r="V1006" i="7"/>
  <c r="V1004" i="7"/>
  <c r="A1004" i="7" s="1"/>
  <c r="A1002" i="7"/>
  <c r="V1002" i="7"/>
  <c r="V1000" i="7"/>
  <c r="A1000" i="7" s="1"/>
  <c r="A998" i="7"/>
  <c r="V998" i="7"/>
  <c r="V996" i="7"/>
  <c r="A996" i="7" s="1"/>
  <c r="A994" i="7"/>
  <c r="V994" i="7"/>
  <c r="V992" i="7"/>
  <c r="A992" i="7" s="1"/>
  <c r="A990" i="7"/>
  <c r="V990" i="7"/>
  <c r="V988" i="7"/>
  <c r="A988" i="7" s="1"/>
  <c r="A986" i="7"/>
  <c r="V986" i="7"/>
  <c r="V984" i="7"/>
  <c r="A984" i="7" s="1"/>
  <c r="V982" i="7"/>
  <c r="A982" i="7" s="1"/>
  <c r="A980" i="7"/>
  <c r="V980" i="7"/>
  <c r="V978" i="7"/>
  <c r="A978" i="7" s="1"/>
  <c r="A976" i="7"/>
  <c r="V976" i="7"/>
  <c r="V974" i="7"/>
  <c r="A974" i="7" s="1"/>
  <c r="V972" i="7"/>
  <c r="A972" i="7" s="1"/>
  <c r="V970" i="7"/>
  <c r="A970" i="7" s="1"/>
  <c r="V968" i="7"/>
  <c r="A968" i="7" s="1"/>
  <c r="V966" i="7"/>
  <c r="A966" i="7" s="1"/>
  <c r="A964" i="7"/>
  <c r="V964" i="7"/>
  <c r="V962" i="7"/>
  <c r="A962" i="7" s="1"/>
  <c r="V960" i="7"/>
  <c r="A960" i="7" s="1"/>
  <c r="V958" i="7"/>
  <c r="A958" i="7" s="1"/>
  <c r="V956" i="7"/>
  <c r="A956" i="7" s="1"/>
  <c r="V954" i="7"/>
  <c r="A954" i="7" s="1"/>
  <c r="V952" i="7"/>
  <c r="A952" i="7" s="1"/>
  <c r="V950" i="7"/>
  <c r="A950" i="7" s="1"/>
  <c r="A948" i="7"/>
  <c r="V948" i="7"/>
  <c r="V946" i="7"/>
  <c r="A946" i="7" s="1"/>
  <c r="A944" i="7"/>
  <c r="V944" i="7"/>
  <c r="V942" i="7"/>
  <c r="A942" i="7" s="1"/>
  <c r="V940" i="7"/>
  <c r="A940" i="7" s="1"/>
  <c r="V938" i="7"/>
  <c r="A938" i="7" s="1"/>
  <c r="V936" i="7"/>
  <c r="A936" i="7" s="1"/>
  <c r="V934" i="7"/>
  <c r="A934" i="7" s="1"/>
  <c r="A932" i="7"/>
  <c r="V932" i="7"/>
  <c r="V930" i="7"/>
  <c r="A930" i="7" s="1"/>
  <c r="V928" i="7"/>
  <c r="A928" i="7" s="1"/>
  <c r="V926" i="7"/>
  <c r="A926" i="7" s="1"/>
  <c r="V924" i="7"/>
  <c r="A924" i="7" s="1"/>
  <c r="V922" i="7"/>
  <c r="A922" i="7" s="1"/>
  <c r="V920" i="7"/>
  <c r="A920" i="7" s="1"/>
  <c r="V918" i="7"/>
  <c r="A918" i="7" s="1"/>
  <c r="A916" i="7"/>
  <c r="V916" i="7"/>
  <c r="V914" i="7"/>
  <c r="A914" i="7" s="1"/>
  <c r="A912" i="7"/>
  <c r="V912" i="7"/>
  <c r="V910" i="7"/>
  <c r="A910" i="7" s="1"/>
  <c r="V908" i="7"/>
  <c r="A908" i="7" s="1"/>
  <c r="V906" i="7"/>
  <c r="A906" i="7" s="1"/>
  <c r="V904" i="7"/>
  <c r="A904" i="7" s="1"/>
  <c r="V902" i="7"/>
  <c r="A902" i="7" s="1"/>
  <c r="A900" i="7"/>
  <c r="V900" i="7"/>
  <c r="V898" i="7"/>
  <c r="A898" i="7" s="1"/>
  <c r="V896" i="7"/>
  <c r="A896" i="7" s="1"/>
  <c r="V894" i="7"/>
  <c r="A894" i="7" s="1"/>
  <c r="V892" i="7"/>
  <c r="A892" i="7" s="1"/>
  <c r="V890" i="7"/>
  <c r="A890" i="7" s="1"/>
  <c r="V888" i="7"/>
  <c r="A888" i="7" s="1"/>
  <c r="V886" i="7"/>
  <c r="A886" i="7" s="1"/>
  <c r="A884" i="7"/>
  <c r="V884" i="7"/>
  <c r="V882" i="7"/>
  <c r="A882" i="7" s="1"/>
  <c r="A880" i="7"/>
  <c r="V880" i="7"/>
  <c r="V878" i="7"/>
  <c r="A878" i="7" s="1"/>
  <c r="V876" i="7"/>
  <c r="A876" i="7" s="1"/>
  <c r="V874" i="7"/>
  <c r="A874" i="7" s="1"/>
  <c r="V872" i="7"/>
  <c r="A872" i="7" s="1"/>
  <c r="V870" i="7"/>
  <c r="A870" i="7" s="1"/>
  <c r="A868" i="7"/>
  <c r="V868" i="7"/>
  <c r="V866" i="7"/>
  <c r="A866" i="7" s="1"/>
  <c r="V864" i="7"/>
  <c r="A864" i="7" s="1"/>
  <c r="V862" i="7"/>
  <c r="A862" i="7" s="1"/>
  <c r="V860" i="7"/>
  <c r="A860" i="7" s="1"/>
  <c r="V858" i="7"/>
  <c r="A858" i="7" s="1"/>
  <c r="V856" i="7"/>
  <c r="A856" i="7" s="1"/>
  <c r="V854" i="7"/>
  <c r="A854" i="7" s="1"/>
  <c r="A852" i="7"/>
  <c r="V852" i="7"/>
  <c r="V850" i="7"/>
  <c r="A850" i="7" s="1"/>
  <c r="A848" i="7"/>
  <c r="V848" i="7"/>
  <c r="V846" i="7"/>
  <c r="A846" i="7" s="1"/>
  <c r="V844" i="7"/>
  <c r="A844" i="7" s="1"/>
  <c r="V842" i="7"/>
  <c r="A842" i="7" s="1"/>
  <c r="V840" i="7"/>
  <c r="A840" i="7" s="1"/>
  <c r="V838" i="7"/>
  <c r="A838" i="7" s="1"/>
  <c r="A836" i="7"/>
  <c r="V836" i="7"/>
  <c r="V834" i="7"/>
  <c r="A834" i="7" s="1"/>
  <c r="V832" i="7"/>
  <c r="A832" i="7" s="1"/>
  <c r="V830" i="7"/>
  <c r="A830" i="7" s="1"/>
  <c r="V828" i="7"/>
  <c r="A828" i="7" s="1"/>
  <c r="V826" i="7"/>
  <c r="A826" i="7" s="1"/>
  <c r="V824" i="7"/>
  <c r="A824" i="7" s="1"/>
  <c r="V822" i="7"/>
  <c r="A822" i="7" s="1"/>
  <c r="A820" i="7"/>
  <c r="V820" i="7"/>
  <c r="V818" i="7"/>
  <c r="A818" i="7" s="1"/>
  <c r="A816" i="7"/>
  <c r="V816" i="7"/>
  <c r="V814" i="7"/>
  <c r="A814" i="7" s="1"/>
  <c r="V812" i="7"/>
  <c r="A812" i="7" s="1"/>
  <c r="V810" i="7"/>
  <c r="A810" i="7" s="1"/>
  <c r="V808" i="7"/>
  <c r="A808" i="7" s="1"/>
  <c r="V806" i="7"/>
  <c r="A806" i="7" s="1"/>
  <c r="A804" i="7"/>
  <c r="V804" i="7"/>
  <c r="V802" i="7"/>
  <c r="A802" i="7" s="1"/>
  <c r="V800" i="7"/>
  <c r="A800" i="7" s="1"/>
  <c r="V798" i="7"/>
  <c r="A798" i="7" s="1"/>
  <c r="V796" i="7"/>
  <c r="A796" i="7" s="1"/>
  <c r="V794" i="7"/>
  <c r="A794" i="7" s="1"/>
  <c r="V792" i="7"/>
  <c r="A792" i="7" s="1"/>
  <c r="V790" i="7"/>
  <c r="A790" i="7" s="1"/>
  <c r="A788" i="7"/>
  <c r="V788" i="7"/>
  <c r="V786" i="7"/>
  <c r="A786" i="7" s="1"/>
  <c r="A784" i="7"/>
  <c r="V784" i="7"/>
  <c r="V782" i="7"/>
  <c r="A782" i="7" s="1"/>
  <c r="V780" i="7"/>
  <c r="A780" i="7" s="1"/>
  <c r="V778" i="7"/>
  <c r="A778" i="7" s="1"/>
  <c r="V776" i="7"/>
  <c r="A776" i="7" s="1"/>
  <c r="V774" i="7"/>
  <c r="A774" i="7" s="1"/>
  <c r="A772" i="7"/>
  <c r="V772" i="7"/>
  <c r="V770" i="7"/>
  <c r="A770" i="7" s="1"/>
  <c r="V768" i="7"/>
  <c r="A768" i="7" s="1"/>
  <c r="V766" i="7"/>
  <c r="A766" i="7" s="1"/>
  <c r="V764" i="7"/>
  <c r="A764" i="7" s="1"/>
  <c r="V762" i="7"/>
  <c r="A762" i="7" s="1"/>
  <c r="V760" i="7"/>
  <c r="A760" i="7" s="1"/>
  <c r="V758" i="7"/>
  <c r="A758" i="7" s="1"/>
  <c r="A756" i="7"/>
  <c r="V756" i="7"/>
  <c r="V754" i="7"/>
  <c r="A754" i="7" s="1"/>
  <c r="A752" i="7"/>
  <c r="V752" i="7"/>
  <c r="V750" i="7"/>
  <c r="A750" i="7" s="1"/>
  <c r="V748" i="7"/>
  <c r="A748" i="7" s="1"/>
  <c r="V746" i="7"/>
  <c r="A746" i="7" s="1"/>
  <c r="V744" i="7"/>
  <c r="A744" i="7" s="1"/>
  <c r="V742" i="7"/>
  <c r="A742" i="7" s="1"/>
  <c r="A740" i="7"/>
  <c r="V740" i="7"/>
  <c r="V738" i="7"/>
  <c r="A738" i="7" s="1"/>
  <c r="V736" i="7"/>
  <c r="A736" i="7" s="1"/>
  <c r="V734" i="7"/>
  <c r="A734" i="7" s="1"/>
  <c r="V732" i="7"/>
  <c r="A732" i="7" s="1"/>
  <c r="V730" i="7"/>
  <c r="A730" i="7" s="1"/>
  <c r="V728" i="7"/>
  <c r="A728" i="7" s="1"/>
  <c r="V726" i="7"/>
  <c r="A726" i="7" s="1"/>
  <c r="A724" i="7"/>
  <c r="V724" i="7"/>
  <c r="V722" i="7"/>
  <c r="A722" i="7" s="1"/>
  <c r="A720" i="7"/>
  <c r="V720" i="7"/>
  <c r="V718" i="7"/>
  <c r="A718" i="7" s="1"/>
  <c r="V716" i="7"/>
  <c r="A716" i="7" s="1"/>
  <c r="V714" i="7"/>
  <c r="A714" i="7" s="1"/>
  <c r="V712" i="7"/>
  <c r="A712" i="7" s="1"/>
  <c r="V710" i="7"/>
  <c r="A710" i="7" s="1"/>
  <c r="A708" i="7"/>
  <c r="V708" i="7"/>
  <c r="V706" i="7"/>
  <c r="A706" i="7" s="1"/>
  <c r="V704" i="7"/>
  <c r="A704" i="7" s="1"/>
  <c r="V702" i="7"/>
  <c r="A702" i="7" s="1"/>
  <c r="V700" i="7"/>
  <c r="A700" i="7" s="1"/>
  <c r="V698" i="7"/>
  <c r="A698" i="7" s="1"/>
  <c r="V696" i="7"/>
  <c r="A696" i="7" s="1"/>
  <c r="V694" i="7"/>
  <c r="A694" i="7" s="1"/>
  <c r="A692" i="7"/>
  <c r="V692" i="7"/>
  <c r="V690" i="7"/>
  <c r="A690" i="7" s="1"/>
  <c r="A688" i="7"/>
  <c r="V688" i="7"/>
  <c r="V686" i="7"/>
  <c r="A686" i="7" s="1"/>
  <c r="V684" i="7"/>
  <c r="A684" i="7" s="1"/>
  <c r="V682" i="7"/>
  <c r="A682" i="7" s="1"/>
  <c r="V680" i="7"/>
  <c r="A680" i="7" s="1"/>
  <c r="V678" i="7"/>
  <c r="A678" i="7" s="1"/>
  <c r="A676" i="7"/>
  <c r="V676" i="7"/>
  <c r="V674" i="7"/>
  <c r="A674" i="7" s="1"/>
  <c r="V672" i="7"/>
  <c r="A672" i="7" s="1"/>
  <c r="V670" i="7"/>
  <c r="A670" i="7" s="1"/>
  <c r="V668" i="7"/>
  <c r="A668" i="7" s="1"/>
  <c r="V666" i="7"/>
  <c r="A666" i="7" s="1"/>
  <c r="V664" i="7"/>
  <c r="A664" i="7" s="1"/>
  <c r="V662" i="7"/>
  <c r="A662" i="7" s="1"/>
  <c r="A660" i="7"/>
  <c r="V660" i="7"/>
  <c r="V658" i="7"/>
  <c r="A658" i="7" s="1"/>
  <c r="A656" i="7"/>
  <c r="V656" i="7"/>
  <c r="V654" i="7"/>
  <c r="A654" i="7" s="1"/>
  <c r="V652" i="7"/>
  <c r="A652" i="7" s="1"/>
  <c r="V650" i="7"/>
  <c r="A650" i="7" s="1"/>
  <c r="V648" i="7"/>
  <c r="A648" i="7" s="1"/>
  <c r="V646" i="7"/>
  <c r="A646" i="7" s="1"/>
  <c r="A644" i="7"/>
  <c r="V644" i="7"/>
  <c r="V642" i="7"/>
  <c r="A642" i="7" s="1"/>
  <c r="V640" i="7"/>
  <c r="A640" i="7" s="1"/>
  <c r="V638" i="7"/>
  <c r="A638" i="7" s="1"/>
  <c r="V636" i="7"/>
  <c r="A636" i="7" s="1"/>
  <c r="V634" i="7"/>
  <c r="A634" i="7" s="1"/>
  <c r="V632" i="7"/>
  <c r="A632" i="7" s="1"/>
  <c r="V630" i="7"/>
  <c r="A630" i="7" s="1"/>
  <c r="A628" i="7"/>
  <c r="V628" i="7"/>
  <c r="V626" i="7"/>
  <c r="A626" i="7" s="1"/>
  <c r="A624" i="7"/>
  <c r="V624" i="7"/>
  <c r="V622" i="7"/>
  <c r="A622" i="7" s="1"/>
  <c r="V620" i="7"/>
  <c r="A620" i="7" s="1"/>
  <c r="V618" i="7"/>
  <c r="A618" i="7" s="1"/>
  <c r="V616" i="7"/>
  <c r="A616" i="7" s="1"/>
  <c r="V614" i="7"/>
  <c r="A614" i="7" s="1"/>
  <c r="A612" i="7"/>
  <c r="V612" i="7"/>
  <c r="V610" i="7"/>
  <c r="A610" i="7" s="1"/>
  <c r="V608" i="7"/>
  <c r="A608" i="7" s="1"/>
  <c r="V606" i="7"/>
  <c r="A606" i="7" s="1"/>
  <c r="V604" i="7"/>
  <c r="A604" i="7" s="1"/>
  <c r="V602" i="7"/>
  <c r="A602" i="7" s="1"/>
  <c r="V600" i="7"/>
  <c r="A600" i="7" s="1"/>
  <c r="V598" i="7"/>
  <c r="A598" i="7" s="1"/>
  <c r="A596" i="7"/>
  <c r="V596" i="7"/>
  <c r="V594" i="7"/>
  <c r="A594" i="7" s="1"/>
  <c r="A592" i="7"/>
  <c r="V592" i="7"/>
  <c r="V590" i="7"/>
  <c r="A590" i="7" s="1"/>
  <c r="V588" i="7"/>
  <c r="A588" i="7" s="1"/>
  <c r="V586" i="7"/>
  <c r="A586" i="7" s="1"/>
  <c r="V584" i="7"/>
  <c r="A584" i="7" s="1"/>
  <c r="V582" i="7"/>
  <c r="A582" i="7" s="1"/>
  <c r="A580" i="7"/>
  <c r="V580" i="7"/>
  <c r="V578" i="7"/>
  <c r="A578" i="7" s="1"/>
  <c r="V576" i="7"/>
  <c r="A576" i="7" s="1"/>
  <c r="V574" i="7"/>
  <c r="A574" i="7" s="1"/>
  <c r="V572" i="7"/>
  <c r="A572" i="7" s="1"/>
  <c r="V570" i="7"/>
  <c r="A570" i="7" s="1"/>
  <c r="V568" i="7"/>
  <c r="A568" i="7" s="1"/>
  <c r="V566" i="7"/>
  <c r="A566" i="7" s="1"/>
  <c r="A564" i="7"/>
  <c r="V564" i="7"/>
  <c r="V562" i="7"/>
  <c r="A562" i="7" s="1"/>
  <c r="A560" i="7"/>
  <c r="V560" i="7"/>
  <c r="V558" i="7"/>
  <c r="A558" i="7" s="1"/>
  <c r="V556" i="7"/>
  <c r="A556" i="7" s="1"/>
  <c r="V554" i="7"/>
  <c r="A554" i="7" s="1"/>
  <c r="V552" i="7"/>
  <c r="A552" i="7" s="1"/>
  <c r="V550" i="7"/>
  <c r="A550" i="7" s="1"/>
  <c r="A548" i="7"/>
  <c r="V548" i="7"/>
  <c r="V546" i="7"/>
  <c r="A546" i="7" s="1"/>
  <c r="V544" i="7"/>
  <c r="A544" i="7" s="1"/>
  <c r="V542" i="7"/>
  <c r="A542" i="7" s="1"/>
  <c r="V540" i="7"/>
  <c r="A540" i="7" s="1"/>
  <c r="V538" i="7"/>
  <c r="A538" i="7" s="1"/>
  <c r="V536" i="7"/>
  <c r="A536" i="7" s="1"/>
  <c r="V534" i="7"/>
  <c r="A534" i="7" s="1"/>
  <c r="A532" i="7"/>
  <c r="V532" i="7"/>
  <c r="V530" i="7"/>
  <c r="A530" i="7" s="1"/>
  <c r="A528" i="7"/>
  <c r="V528" i="7"/>
  <c r="V526" i="7"/>
  <c r="A526" i="7" s="1"/>
  <c r="V524" i="7"/>
  <c r="A524" i="7" s="1"/>
  <c r="V522" i="7"/>
  <c r="A522" i="7" s="1"/>
  <c r="V520" i="7"/>
  <c r="A520" i="7" s="1"/>
  <c r="V518" i="7"/>
  <c r="A518" i="7" s="1"/>
  <c r="A516" i="7"/>
  <c r="V516" i="7"/>
  <c r="V514" i="7"/>
  <c r="A514" i="7" s="1"/>
  <c r="V512" i="7"/>
  <c r="A512" i="7" s="1"/>
  <c r="V510" i="7"/>
  <c r="A510" i="7" s="1"/>
  <c r="V508" i="7"/>
  <c r="A508" i="7" s="1"/>
  <c r="V506" i="7"/>
  <c r="A506" i="7" s="1"/>
  <c r="V504" i="7"/>
  <c r="A504" i="7" s="1"/>
  <c r="A502" i="7"/>
  <c r="V502" i="7"/>
  <c r="V500" i="7"/>
  <c r="A500" i="7" s="1"/>
  <c r="V498" i="7"/>
  <c r="A498" i="7" s="1"/>
  <c r="V496" i="7"/>
  <c r="A496" i="7" s="1"/>
  <c r="V494" i="7"/>
  <c r="A494" i="7" s="1"/>
  <c r="V492" i="7"/>
  <c r="A492" i="7" s="1"/>
  <c r="A490" i="7"/>
  <c r="V490" i="7"/>
  <c r="V488" i="7"/>
  <c r="A488" i="7" s="1"/>
  <c r="A486" i="7"/>
  <c r="V486" i="7"/>
  <c r="V484" i="7"/>
  <c r="A484" i="7" s="1"/>
  <c r="V482" i="7"/>
  <c r="A482" i="7" s="1"/>
  <c r="V480" i="7"/>
  <c r="A480" i="7" s="1"/>
  <c r="V478" i="7"/>
  <c r="A478" i="7" s="1"/>
  <c r="V476" i="7"/>
  <c r="A476" i="7" s="1"/>
  <c r="A474" i="7"/>
  <c r="V474" i="7"/>
  <c r="V472" i="7"/>
  <c r="A472" i="7" s="1"/>
  <c r="A470" i="7"/>
  <c r="V470" i="7"/>
  <c r="V468" i="7"/>
  <c r="A468" i="7" s="1"/>
  <c r="V466" i="7"/>
  <c r="A466" i="7" s="1"/>
  <c r="V464" i="7"/>
  <c r="A464" i="7" s="1"/>
  <c r="V462" i="7"/>
  <c r="A462" i="7" s="1"/>
  <c r="V460" i="7"/>
  <c r="A460" i="7" s="1"/>
  <c r="A458" i="7"/>
  <c r="V458" i="7"/>
  <c r="V456" i="7"/>
  <c r="A456" i="7" s="1"/>
  <c r="A454" i="7"/>
  <c r="V454" i="7"/>
  <c r="V452" i="7"/>
  <c r="A452" i="7" s="1"/>
  <c r="V450" i="7"/>
  <c r="A450" i="7" s="1"/>
  <c r="V448" i="7"/>
  <c r="A448" i="7" s="1"/>
  <c r="V446" i="7"/>
  <c r="A446" i="7" s="1"/>
  <c r="V444" i="7"/>
  <c r="A444" i="7" s="1"/>
  <c r="A442" i="7"/>
  <c r="V442" i="7"/>
  <c r="V440" i="7"/>
  <c r="A440" i="7" s="1"/>
  <c r="A438" i="7"/>
  <c r="V438" i="7"/>
  <c r="V436" i="7"/>
  <c r="A436" i="7" s="1"/>
  <c r="V434" i="7"/>
  <c r="A434" i="7" s="1"/>
  <c r="V432" i="7"/>
  <c r="A432" i="7" s="1"/>
  <c r="V430" i="7"/>
  <c r="A430" i="7" s="1"/>
  <c r="V428" i="7"/>
  <c r="A428" i="7" s="1"/>
  <c r="A426" i="7"/>
  <c r="V426" i="7"/>
  <c r="V424" i="7"/>
  <c r="A424" i="7" s="1"/>
  <c r="A422" i="7"/>
  <c r="V422" i="7"/>
  <c r="V420" i="7"/>
  <c r="A420" i="7" s="1"/>
  <c r="V418" i="7"/>
  <c r="A418" i="7" s="1"/>
  <c r="V416" i="7"/>
  <c r="A416" i="7" s="1"/>
  <c r="V414" i="7"/>
  <c r="A414" i="7" s="1"/>
  <c r="V412" i="7"/>
  <c r="A412" i="7" s="1"/>
  <c r="A410" i="7"/>
  <c r="V410" i="7"/>
  <c r="V408" i="7"/>
  <c r="A408" i="7" s="1"/>
  <c r="A406" i="7"/>
  <c r="V406" i="7"/>
  <c r="V404" i="7"/>
  <c r="A404" i="7" s="1"/>
  <c r="V402" i="7"/>
  <c r="A402" i="7" s="1"/>
  <c r="V400" i="7"/>
  <c r="A400" i="7" s="1"/>
  <c r="V398" i="7"/>
  <c r="A398" i="7" s="1"/>
  <c r="V396" i="7"/>
  <c r="A396" i="7" s="1"/>
  <c r="A394" i="7"/>
  <c r="V394" i="7"/>
  <c r="V392" i="7"/>
  <c r="A392" i="7" s="1"/>
  <c r="A390" i="7"/>
  <c r="V390" i="7"/>
  <c r="V388" i="7"/>
  <c r="A388" i="7" s="1"/>
  <c r="V386" i="7"/>
  <c r="A386" i="7" s="1"/>
  <c r="V384" i="7"/>
  <c r="A384" i="7" s="1"/>
  <c r="V382" i="7"/>
  <c r="A382" i="7" s="1"/>
  <c r="V380" i="7"/>
  <c r="A380" i="7" s="1"/>
  <c r="A378" i="7"/>
  <c r="V378" i="7"/>
  <c r="V376" i="7"/>
  <c r="A376" i="7" s="1"/>
  <c r="A374" i="7"/>
  <c r="V374" i="7"/>
  <c r="V372" i="7"/>
  <c r="A372" i="7" s="1"/>
  <c r="V370" i="7"/>
  <c r="A370" i="7" s="1"/>
  <c r="V368" i="7"/>
  <c r="A368" i="7" s="1"/>
  <c r="V366" i="7"/>
  <c r="A366" i="7" s="1"/>
  <c r="V364" i="7"/>
  <c r="A364" i="7" s="1"/>
  <c r="A362" i="7"/>
  <c r="V362" i="7"/>
  <c r="V360" i="7"/>
  <c r="A360" i="7" s="1"/>
  <c r="A358" i="7"/>
  <c r="V358" i="7"/>
  <c r="V356" i="7"/>
  <c r="A356" i="7" s="1"/>
  <c r="V354" i="7"/>
  <c r="A354" i="7" s="1"/>
  <c r="V352" i="7"/>
  <c r="A352" i="7" s="1"/>
  <c r="V350" i="7"/>
  <c r="A350" i="7" s="1"/>
  <c r="V348" i="7"/>
  <c r="A348" i="7" s="1"/>
  <c r="A346" i="7"/>
  <c r="V346" i="7"/>
  <c r="V344" i="7"/>
  <c r="A344" i="7" s="1"/>
  <c r="A342" i="7"/>
  <c r="V342" i="7"/>
  <c r="V340" i="7"/>
  <c r="A340" i="7" s="1"/>
  <c r="V338" i="7"/>
  <c r="A338" i="7" s="1"/>
  <c r="V336" i="7"/>
  <c r="A336" i="7" s="1"/>
  <c r="V334" i="7"/>
  <c r="A334" i="7" s="1"/>
  <c r="V332" i="7"/>
  <c r="A332" i="7" s="1"/>
  <c r="A330" i="7"/>
  <c r="V330" i="7"/>
  <c r="V328" i="7"/>
  <c r="A328" i="7" s="1"/>
  <c r="A326" i="7"/>
  <c r="V326" i="7"/>
  <c r="V324" i="7"/>
  <c r="A324" i="7" s="1"/>
  <c r="V322" i="7"/>
  <c r="A322" i="7" s="1"/>
  <c r="V320" i="7"/>
  <c r="A320" i="7" s="1"/>
  <c r="V318" i="7"/>
  <c r="A318" i="7" s="1"/>
  <c r="V316" i="7"/>
  <c r="A316" i="7" s="1"/>
  <c r="A314" i="7"/>
  <c r="V314" i="7"/>
  <c r="V312" i="7"/>
  <c r="A312" i="7" s="1"/>
  <c r="A310" i="7"/>
  <c r="V310" i="7"/>
  <c r="V308" i="7"/>
  <c r="A308" i="7" s="1"/>
  <c r="V306" i="7"/>
  <c r="A306" i="7" s="1"/>
  <c r="V304" i="7"/>
  <c r="A304" i="7" s="1"/>
  <c r="V302" i="7"/>
  <c r="A302" i="7" s="1"/>
  <c r="V300" i="7"/>
  <c r="A300" i="7" s="1"/>
  <c r="A298" i="7"/>
  <c r="V298" i="7"/>
  <c r="V296" i="7"/>
  <c r="A296" i="7" s="1"/>
  <c r="A294" i="7"/>
  <c r="V294" i="7"/>
  <c r="V292" i="7"/>
  <c r="A292" i="7" s="1"/>
  <c r="V290" i="7"/>
  <c r="A290" i="7" s="1"/>
  <c r="V288" i="7"/>
  <c r="A288" i="7" s="1"/>
  <c r="V286" i="7"/>
  <c r="A286" i="7" s="1"/>
  <c r="V284" i="7"/>
  <c r="A284" i="7" s="1"/>
  <c r="A282" i="7"/>
  <c r="V282" i="7"/>
  <c r="V280" i="7"/>
  <c r="A280" i="7" s="1"/>
  <c r="A278" i="7"/>
  <c r="V278" i="7"/>
  <c r="V276" i="7"/>
  <c r="A276" i="7" s="1"/>
  <c r="V274" i="7"/>
  <c r="A274" i="7" s="1"/>
  <c r="V272" i="7"/>
  <c r="A272" i="7" s="1"/>
  <c r="V270" i="7"/>
  <c r="A270" i="7" s="1"/>
  <c r="V268" i="7"/>
  <c r="A268" i="7" s="1"/>
  <c r="A266" i="7"/>
  <c r="V266" i="7"/>
  <c r="V264" i="7"/>
  <c r="A264" i="7" s="1"/>
  <c r="A262" i="7"/>
  <c r="V262" i="7"/>
  <c r="V260" i="7"/>
  <c r="A260" i="7" s="1"/>
  <c r="V258" i="7"/>
  <c r="A258" i="7" s="1"/>
  <c r="V256" i="7"/>
  <c r="A256" i="7" s="1"/>
  <c r="V254" i="7"/>
  <c r="A254" i="7" s="1"/>
  <c r="V252" i="7"/>
  <c r="A252" i="7" s="1"/>
  <c r="A250" i="7"/>
  <c r="V250" i="7"/>
  <c r="V248" i="7"/>
  <c r="A248" i="7" s="1"/>
  <c r="A246" i="7"/>
  <c r="V246" i="7"/>
  <c r="V244" i="7"/>
  <c r="A244" i="7" s="1"/>
  <c r="V242" i="7"/>
  <c r="A242" i="7" s="1"/>
  <c r="V240" i="7"/>
  <c r="A240" i="7" s="1"/>
  <c r="V238" i="7"/>
  <c r="A238" i="7" s="1"/>
  <c r="V236" i="7"/>
  <c r="A236" i="7" s="1"/>
  <c r="A234" i="7"/>
  <c r="V234" i="7"/>
  <c r="V232" i="7"/>
  <c r="A232" i="7" s="1"/>
  <c r="A230" i="7"/>
  <c r="V230" i="7"/>
  <c r="V228" i="7"/>
  <c r="A228" i="7" s="1"/>
  <c r="V226" i="7"/>
  <c r="A226" i="7" s="1"/>
  <c r="V224" i="7"/>
  <c r="A224" i="7" s="1"/>
  <c r="V222" i="7"/>
  <c r="A222" i="7" s="1"/>
  <c r="V220" i="7"/>
  <c r="A220" i="7" s="1"/>
  <c r="A218" i="7"/>
  <c r="V218" i="7"/>
  <c r="V216" i="7"/>
  <c r="A216" i="7" s="1"/>
  <c r="A214" i="7"/>
  <c r="V214" i="7"/>
  <c r="V212" i="7"/>
  <c r="A212" i="7" s="1"/>
  <c r="V210" i="7"/>
  <c r="A210" i="7" s="1"/>
  <c r="V208" i="7"/>
  <c r="A208" i="7" s="1"/>
  <c r="V206" i="7"/>
  <c r="A206" i="7" s="1"/>
  <c r="V204" i="7"/>
  <c r="A204" i="7" s="1"/>
  <c r="A202" i="7"/>
  <c r="V202" i="7"/>
  <c r="V200" i="7"/>
  <c r="A200" i="7" s="1"/>
  <c r="A198" i="7"/>
  <c r="V198" i="7"/>
  <c r="V196" i="7"/>
  <c r="A196" i="7" s="1"/>
  <c r="V194" i="7"/>
  <c r="A194" i="7" s="1"/>
  <c r="V192" i="7"/>
  <c r="A192" i="7" s="1"/>
  <c r="V190" i="7"/>
  <c r="A190" i="7" s="1"/>
  <c r="V188" i="7"/>
  <c r="A188" i="7" s="1"/>
  <c r="A186" i="7"/>
  <c r="V186" i="7"/>
  <c r="V184" i="7"/>
  <c r="A184" i="7" s="1"/>
  <c r="A182" i="7"/>
  <c r="V182" i="7"/>
  <c r="V180" i="7"/>
  <c r="A180" i="7" s="1"/>
  <c r="V178" i="7"/>
  <c r="A178" i="7" s="1"/>
  <c r="V176" i="7"/>
  <c r="A176" i="7" s="1"/>
  <c r="V174" i="7"/>
  <c r="A174" i="7" s="1"/>
  <c r="V172" i="7"/>
  <c r="A172" i="7" s="1"/>
  <c r="A170" i="7"/>
  <c r="V170" i="7"/>
  <c r="V168" i="7"/>
  <c r="A168" i="7" s="1"/>
  <c r="A166" i="7"/>
  <c r="V166" i="7"/>
  <c r="V164" i="7"/>
  <c r="A164" i="7" s="1"/>
  <c r="V162" i="7"/>
  <c r="A162" i="7" s="1"/>
  <c r="V160" i="7"/>
  <c r="A160" i="7" s="1"/>
  <c r="V158" i="7"/>
  <c r="A158" i="7" s="1"/>
  <c r="V156" i="7"/>
  <c r="A156" i="7" s="1"/>
  <c r="A154" i="7"/>
  <c r="V154" i="7"/>
  <c r="V152" i="7"/>
  <c r="A152" i="7" s="1"/>
  <c r="A150" i="7"/>
  <c r="V150" i="7"/>
  <c r="V148" i="7"/>
  <c r="A148" i="7" s="1"/>
  <c r="V146" i="7"/>
  <c r="A146" i="7" s="1"/>
  <c r="V144" i="7"/>
  <c r="A144" i="7" s="1"/>
  <c r="V142" i="7"/>
  <c r="A142" i="7" s="1"/>
  <c r="V140" i="7"/>
  <c r="A140" i="7" s="1"/>
  <c r="A138" i="7"/>
  <c r="V138" i="7"/>
  <c r="V136" i="7"/>
  <c r="A136" i="7" s="1"/>
  <c r="A134" i="7"/>
  <c r="V134" i="7"/>
  <c r="V132" i="7"/>
  <c r="A132" i="7" s="1"/>
  <c r="V130" i="7"/>
  <c r="A130" i="7" s="1"/>
  <c r="V128" i="7"/>
  <c r="A128" i="7" s="1"/>
  <c r="V126" i="7"/>
  <c r="A126" i="7" s="1"/>
  <c r="V124" i="7"/>
  <c r="A124" i="7" s="1"/>
  <c r="A122" i="7"/>
  <c r="V122" i="7"/>
  <c r="V120" i="7"/>
  <c r="A120" i="7" s="1"/>
  <c r="A118" i="7"/>
  <c r="V118" i="7"/>
  <c r="V116" i="7"/>
  <c r="A116" i="7" s="1"/>
  <c r="V114" i="7"/>
  <c r="A114" i="7" s="1"/>
  <c r="V112" i="7"/>
  <c r="A112" i="7" s="1"/>
  <c r="V110" i="7"/>
  <c r="A110" i="7" s="1"/>
  <c r="V108" i="7"/>
  <c r="A108" i="7" s="1"/>
  <c r="A106" i="7"/>
  <c r="V106" i="7"/>
  <c r="V104" i="7"/>
  <c r="A104" i="7" s="1"/>
  <c r="A102" i="7"/>
  <c r="V102" i="7"/>
  <c r="V100" i="7"/>
  <c r="A100" i="7" s="1"/>
  <c r="V98" i="7"/>
  <c r="A98" i="7" s="1"/>
  <c r="V96" i="7"/>
  <c r="A96" i="7" s="1"/>
  <c r="V94" i="7"/>
  <c r="A94" i="7" s="1"/>
  <c r="V92" i="7"/>
  <c r="A92" i="7" s="1"/>
  <c r="A90" i="7"/>
  <c r="V90" i="7"/>
  <c r="V88" i="7"/>
  <c r="A88" i="7" s="1"/>
  <c r="A86" i="7"/>
  <c r="V86" i="7"/>
  <c r="V84" i="7"/>
  <c r="A84" i="7" s="1"/>
  <c r="V82" i="7"/>
  <c r="A82" i="7" s="1"/>
  <c r="V80" i="7"/>
  <c r="A80" i="7" s="1"/>
  <c r="V78" i="7"/>
  <c r="A78" i="7" s="1"/>
  <c r="V76" i="7"/>
  <c r="A76" i="7" s="1"/>
  <c r="A74" i="7"/>
  <c r="V74" i="7"/>
  <c r="V72" i="7"/>
  <c r="A72" i="7" s="1"/>
  <c r="A70" i="7"/>
  <c r="V70" i="7"/>
  <c r="V68" i="7"/>
  <c r="A68" i="7" s="1"/>
  <c r="V66" i="7"/>
  <c r="A66" i="7" s="1"/>
  <c r="V64" i="7"/>
  <c r="A64" i="7" s="1"/>
  <c r="V62" i="7"/>
  <c r="A62" i="7" s="1"/>
  <c r="V60" i="7"/>
  <c r="A60" i="7" s="1"/>
  <c r="A58" i="7"/>
  <c r="V58" i="7"/>
  <c r="V56" i="7"/>
  <c r="A56" i="7" s="1"/>
  <c r="A54" i="7"/>
  <c r="V54" i="7"/>
  <c r="V52" i="7"/>
  <c r="A52" i="7" s="1"/>
  <c r="V50" i="7"/>
  <c r="A50" i="7" s="1"/>
  <c r="V48" i="7"/>
  <c r="A48" i="7" s="1"/>
  <c r="V46" i="7"/>
  <c r="A46" i="7" s="1"/>
  <c r="V44" i="7"/>
  <c r="A44" i="7" s="1"/>
  <c r="A42" i="7"/>
  <c r="V42" i="7"/>
  <c r="V40" i="7"/>
  <c r="A40" i="7" s="1"/>
  <c r="A38" i="7"/>
  <c r="V38" i="7"/>
  <c r="V36" i="7"/>
  <c r="A36" i="7" s="1"/>
  <c r="V34" i="7"/>
  <c r="A34" i="7" s="1"/>
  <c r="V32" i="7"/>
  <c r="A32" i="7" s="1"/>
  <c r="V30" i="7"/>
  <c r="A30" i="7" s="1"/>
  <c r="V28" i="7"/>
  <c r="A28" i="7" s="1"/>
  <c r="A26" i="7"/>
  <c r="V26" i="7"/>
  <c r="V24" i="7"/>
  <c r="A24" i="7" s="1"/>
  <c r="A22" i="7"/>
  <c r="V22" i="7"/>
  <c r="V20" i="7"/>
  <c r="A20" i="7" s="1"/>
  <c r="V18" i="7"/>
  <c r="A18" i="7" s="1"/>
  <c r="V16" i="7"/>
  <c r="A16" i="7" s="1"/>
  <c r="V14" i="7"/>
  <c r="A14" i="7" s="1"/>
  <c r="V12" i="7"/>
  <c r="A12" i="7" s="1"/>
  <c r="A10" i="7"/>
  <c r="V10" i="7"/>
  <c r="V8" i="7"/>
  <c r="A8" i="7" s="1"/>
  <c r="A6" i="7"/>
  <c r="V6" i="7"/>
  <c r="V4" i="7"/>
  <c r="A4" i="7" s="1"/>
  <c r="V2" i="7"/>
  <c r="A2" i="7" s="1"/>
  <c r="Q1776" i="6"/>
  <c r="A1776" i="6" s="1"/>
  <c r="Q1775" i="6"/>
  <c r="A1775" i="6" s="1"/>
  <c r="Q1774" i="6"/>
  <c r="A1774" i="6" s="1"/>
  <c r="A1773" i="6"/>
  <c r="Q1773" i="6"/>
  <c r="Q1772" i="6"/>
  <c r="A1772" i="6" s="1"/>
  <c r="A1771" i="6"/>
  <c r="Q1771" i="6"/>
  <c r="Q1770" i="6"/>
  <c r="A1770" i="6" s="1"/>
  <c r="Q1769" i="6"/>
  <c r="A1769" i="6" s="1"/>
  <c r="L1769" i="6"/>
  <c r="K1769" i="6"/>
  <c r="Q1768" i="6"/>
  <c r="A1768" i="6" s="1"/>
  <c r="Q1767" i="6"/>
  <c r="A1767" i="6" s="1"/>
  <c r="L1767" i="6"/>
  <c r="K1767" i="6"/>
  <c r="Q1766" i="6"/>
  <c r="A1766" i="6" s="1"/>
  <c r="A1765" i="6"/>
  <c r="Q1765" i="6"/>
  <c r="Q1764" i="6"/>
  <c r="A1764" i="6" s="1"/>
  <c r="L1764" i="6"/>
  <c r="K1764" i="6"/>
  <c r="Q1763" i="6"/>
  <c r="A1763" i="6" s="1"/>
  <c r="L1763" i="6"/>
  <c r="K1763" i="6"/>
  <c r="Q1762" i="6"/>
  <c r="A1762" i="6" s="1"/>
  <c r="L1762" i="6"/>
  <c r="K1762" i="6"/>
  <c r="Q1761" i="6"/>
  <c r="A1761" i="6" s="1"/>
  <c r="L1761" i="6"/>
  <c r="K1761" i="6"/>
  <c r="Q1760" i="6"/>
  <c r="A1760" i="6" s="1"/>
  <c r="L1760" i="6"/>
  <c r="K1760" i="6"/>
  <c r="Q1759" i="6"/>
  <c r="A1759" i="6" s="1"/>
  <c r="L1759" i="6"/>
  <c r="K1759" i="6"/>
  <c r="Q1758" i="6"/>
  <c r="A1758" i="6" s="1"/>
  <c r="L1758" i="6"/>
  <c r="K1758" i="6"/>
  <c r="Q1757" i="6"/>
  <c r="A1757" i="6" s="1"/>
  <c r="L1757" i="6"/>
  <c r="K1757" i="6"/>
  <c r="Q1756" i="6"/>
  <c r="A1756" i="6" s="1"/>
  <c r="A1755" i="6"/>
  <c r="Q1755" i="6"/>
  <c r="Q1754" i="6"/>
  <c r="A1754" i="6" s="1"/>
  <c r="Q1753" i="6"/>
  <c r="A1753" i="6" s="1"/>
  <c r="Q1752" i="6"/>
  <c r="A1752" i="6" s="1"/>
  <c r="Q1751" i="6"/>
  <c r="A1751" i="6" s="1"/>
  <c r="Q1750" i="6"/>
  <c r="A1750" i="6" s="1"/>
  <c r="A1749" i="6"/>
  <c r="Q1749" i="6"/>
  <c r="L1749" i="6"/>
  <c r="K1749" i="6"/>
  <c r="A1748" i="6"/>
  <c r="Q1748" i="6"/>
  <c r="Q1747" i="6"/>
  <c r="A1747" i="6" s="1"/>
  <c r="A1746" i="6"/>
  <c r="Q1746" i="6"/>
  <c r="Q1745" i="6"/>
  <c r="A1745" i="6" s="1"/>
  <c r="Q1744" i="6"/>
  <c r="A1744" i="6" s="1"/>
  <c r="Q1743" i="6"/>
  <c r="A1743" i="6" s="1"/>
  <c r="Q1742" i="6"/>
  <c r="A1742" i="6" s="1"/>
  <c r="Q1741" i="6"/>
  <c r="A1741" i="6" s="1"/>
  <c r="A1740" i="6"/>
  <c r="Q1740" i="6"/>
  <c r="Q1739" i="6"/>
  <c r="A1739" i="6" s="1"/>
  <c r="A1738" i="6"/>
  <c r="Q1738" i="6"/>
  <c r="Q1737" i="6"/>
  <c r="A1737" i="6" s="1"/>
  <c r="Q1736" i="6"/>
  <c r="A1736" i="6" s="1"/>
  <c r="Q1735" i="6"/>
  <c r="A1735" i="6" s="1"/>
  <c r="Q1734" i="6"/>
  <c r="A1734" i="6" s="1"/>
  <c r="L1734" i="6"/>
  <c r="K1734" i="6"/>
  <c r="Q1733" i="6"/>
  <c r="A1733" i="6" s="1"/>
  <c r="Q1732" i="6"/>
  <c r="A1732" i="6" s="1"/>
  <c r="L1732" i="6"/>
  <c r="K1732" i="6"/>
  <c r="Q1731" i="6"/>
  <c r="A1731" i="6" s="1"/>
  <c r="L1731" i="6"/>
  <c r="K1731" i="6"/>
  <c r="Q1730" i="6"/>
  <c r="A1730" i="6" s="1"/>
  <c r="Q1729" i="6"/>
  <c r="A1729" i="6" s="1"/>
  <c r="Q1728" i="6"/>
  <c r="A1728" i="6" s="1"/>
  <c r="Q1727" i="6"/>
  <c r="A1727" i="6" s="1"/>
  <c r="Q1726" i="6"/>
  <c r="A1726" i="6" s="1"/>
  <c r="L1726" i="6"/>
  <c r="K1726" i="6"/>
  <c r="Q1725" i="6"/>
  <c r="A1725" i="6" s="1"/>
  <c r="A1724" i="6"/>
  <c r="Q1724" i="6"/>
  <c r="Q1723" i="6"/>
  <c r="A1723" i="6" s="1"/>
  <c r="Q1722" i="6"/>
  <c r="A1722" i="6" s="1"/>
  <c r="Q1721" i="6"/>
  <c r="A1721" i="6" s="1"/>
  <c r="Q1720" i="6"/>
  <c r="A1720" i="6" s="1"/>
  <c r="L1720" i="6"/>
  <c r="K1720" i="6"/>
  <c r="Q1719" i="6"/>
  <c r="A1719" i="6" s="1"/>
  <c r="Q1718" i="6"/>
  <c r="A1718" i="6" s="1"/>
  <c r="L1718" i="6"/>
  <c r="K1718" i="6"/>
  <c r="Q1717" i="6"/>
  <c r="A1717" i="6" s="1"/>
  <c r="L1717" i="6"/>
  <c r="K1717" i="6"/>
  <c r="Q1716" i="6"/>
  <c r="A1716" i="6" s="1"/>
  <c r="L1716" i="6"/>
  <c r="K1716" i="6"/>
  <c r="Q1715" i="6"/>
  <c r="A1715" i="6" s="1"/>
  <c r="L1715" i="6"/>
  <c r="K1715" i="6"/>
  <c r="Q1714" i="6"/>
  <c r="A1714" i="6" s="1"/>
  <c r="L1714" i="6"/>
  <c r="K1714" i="6"/>
  <c r="Q1713" i="6"/>
  <c r="A1713" i="6" s="1"/>
  <c r="L1713" i="6"/>
  <c r="K1713" i="6"/>
  <c r="Q1712" i="6"/>
  <c r="A1712" i="6" s="1"/>
  <c r="Q1711" i="6"/>
  <c r="A1711" i="6" s="1"/>
  <c r="L1711" i="6"/>
  <c r="K1711" i="6"/>
  <c r="Q1710" i="6"/>
  <c r="A1710" i="6" s="1"/>
  <c r="L1710" i="6"/>
  <c r="K1710" i="6"/>
  <c r="Q1709" i="6"/>
  <c r="A1709" i="6" s="1"/>
  <c r="Q1708" i="6"/>
  <c r="A1708" i="6" s="1"/>
  <c r="L1708" i="6"/>
  <c r="K1708" i="6"/>
  <c r="Q1707" i="6"/>
  <c r="A1707" i="6" s="1"/>
  <c r="A1706" i="6"/>
  <c r="Q1706" i="6"/>
  <c r="Q1705" i="6"/>
  <c r="A1705" i="6" s="1"/>
  <c r="A1704" i="6"/>
  <c r="Q1704" i="6"/>
  <c r="Q1703" i="6"/>
  <c r="A1703" i="6" s="1"/>
  <c r="L1703" i="6"/>
  <c r="K1703" i="6"/>
  <c r="Q1702" i="6"/>
  <c r="A1702" i="6" s="1"/>
  <c r="Q1701" i="6"/>
  <c r="A1701" i="6" s="1"/>
  <c r="Q1700" i="6"/>
  <c r="A1700" i="6" s="1"/>
  <c r="A1699" i="6"/>
  <c r="Q1699" i="6"/>
  <c r="Q1698" i="6"/>
  <c r="A1698" i="6" s="1"/>
  <c r="A1697" i="6"/>
  <c r="Q1697" i="6"/>
  <c r="Q1696" i="6"/>
  <c r="A1696" i="6" s="1"/>
  <c r="Q1695" i="6"/>
  <c r="A1695" i="6" s="1"/>
  <c r="L1695" i="6"/>
  <c r="K1695" i="6"/>
  <c r="Q1694" i="6"/>
  <c r="A1694" i="6" s="1"/>
  <c r="Q1693" i="6"/>
  <c r="A1693" i="6" s="1"/>
  <c r="Q1692" i="6"/>
  <c r="A1692" i="6" s="1"/>
  <c r="Q1691" i="6"/>
  <c r="A1691" i="6" s="1"/>
  <c r="A1690" i="6"/>
  <c r="Q1690" i="6"/>
  <c r="Q1689" i="6"/>
  <c r="A1689" i="6" s="1"/>
  <c r="A1688" i="6"/>
  <c r="Q1688" i="6"/>
  <c r="Q1687" i="6"/>
  <c r="A1687" i="6" s="1"/>
  <c r="Q1686" i="6"/>
  <c r="A1686" i="6" s="1"/>
  <c r="Q1685" i="6"/>
  <c r="A1685" i="6" s="1"/>
  <c r="Q1684" i="6"/>
  <c r="A1684" i="6" s="1"/>
  <c r="Q1683" i="6"/>
  <c r="A1683" i="6" s="1"/>
  <c r="A1682" i="6"/>
  <c r="Q1682" i="6"/>
  <c r="Q1681" i="6"/>
  <c r="A1681" i="6" s="1"/>
  <c r="M1681" i="6"/>
  <c r="L1681" i="6"/>
  <c r="K1681" i="6"/>
  <c r="Q1680" i="6"/>
  <c r="A1680" i="6" s="1"/>
  <c r="A1679" i="6"/>
  <c r="Q1679" i="6"/>
  <c r="Q1678" i="6"/>
  <c r="A1678" i="6" s="1"/>
  <c r="M1678" i="6"/>
  <c r="L1678" i="6"/>
  <c r="K1678" i="6"/>
  <c r="Q1677" i="6"/>
  <c r="A1677" i="6" s="1"/>
  <c r="Q1676" i="6"/>
  <c r="A1676" i="6" s="1"/>
  <c r="M1676" i="6"/>
  <c r="L1676" i="6"/>
  <c r="K1676" i="6"/>
  <c r="Q1675" i="6"/>
  <c r="A1675" i="6" s="1"/>
  <c r="A1674" i="6"/>
  <c r="Q1674" i="6"/>
  <c r="Q1673" i="6"/>
  <c r="A1673" i="6" s="1"/>
  <c r="A1672" i="6"/>
  <c r="Q1672" i="6"/>
  <c r="L1672" i="6"/>
  <c r="K1672" i="6"/>
  <c r="A1671" i="6"/>
  <c r="Q1671" i="6"/>
  <c r="L1671" i="6"/>
  <c r="K1671" i="6"/>
  <c r="A1670" i="6"/>
  <c r="Q1670" i="6"/>
  <c r="L1670" i="6"/>
  <c r="K1670" i="6"/>
  <c r="A1669" i="6"/>
  <c r="Q1669" i="6"/>
  <c r="Q1668" i="6"/>
  <c r="A1668" i="6" s="1"/>
  <c r="A1667" i="6"/>
  <c r="Q1667" i="6"/>
  <c r="L1667" i="6"/>
  <c r="K1667" i="6"/>
  <c r="A1666" i="6"/>
  <c r="Q1666" i="6"/>
  <c r="Q1665" i="6"/>
  <c r="A1665" i="6" s="1"/>
  <c r="A1664" i="6"/>
  <c r="Q1664" i="6"/>
  <c r="Q1663" i="6"/>
  <c r="A1663" i="6" s="1"/>
  <c r="L1663" i="6"/>
  <c r="K1663" i="6"/>
  <c r="Q1662" i="6"/>
  <c r="A1662" i="6" s="1"/>
  <c r="A1661" i="6"/>
  <c r="Q1661" i="6"/>
  <c r="Q1660" i="6"/>
  <c r="A1660" i="6" s="1"/>
  <c r="A1659" i="6"/>
  <c r="Q1659" i="6"/>
  <c r="Q1658" i="6"/>
  <c r="A1658" i="6" s="1"/>
  <c r="A1657" i="6"/>
  <c r="Q1657" i="6"/>
  <c r="L1657" i="6"/>
  <c r="K1657" i="6"/>
  <c r="A1656" i="6"/>
  <c r="Q1656" i="6"/>
  <c r="L1656" i="6"/>
  <c r="K1656" i="6"/>
  <c r="A1655" i="6"/>
  <c r="Q1655" i="6"/>
  <c r="L1655" i="6"/>
  <c r="K1655" i="6"/>
  <c r="A1654" i="6"/>
  <c r="Q1654" i="6"/>
  <c r="L1654" i="6"/>
  <c r="K1654" i="6"/>
  <c r="A1653" i="6"/>
  <c r="Q1653" i="6"/>
  <c r="L1653" i="6"/>
  <c r="K1653" i="6"/>
  <c r="A1652" i="6"/>
  <c r="Q1652" i="6"/>
  <c r="Q1651" i="6"/>
  <c r="A1651" i="6" s="1"/>
  <c r="L1651" i="6"/>
  <c r="K1651" i="6"/>
  <c r="Q1650" i="6"/>
  <c r="A1650" i="6" s="1"/>
  <c r="L1650" i="6"/>
  <c r="K1650" i="6"/>
  <c r="Q1649" i="6"/>
  <c r="A1649" i="6" s="1"/>
  <c r="A1648" i="6"/>
  <c r="Q1648" i="6"/>
  <c r="Q1647" i="6"/>
  <c r="A1647" i="6" s="1"/>
  <c r="A1646" i="6"/>
  <c r="Q1646" i="6"/>
  <c r="Q1645" i="6"/>
  <c r="A1645" i="6" s="1"/>
  <c r="A1644" i="6"/>
  <c r="Q1644" i="6"/>
  <c r="Q1643" i="6"/>
  <c r="A1643" i="6" s="1"/>
  <c r="L1643" i="6"/>
  <c r="K1643" i="6"/>
  <c r="Q1642" i="6"/>
  <c r="A1642" i="6" s="1"/>
  <c r="L1642" i="6"/>
  <c r="K1642" i="6"/>
  <c r="Q1641" i="6"/>
  <c r="A1641" i="6" s="1"/>
  <c r="A1640" i="6"/>
  <c r="Q1640" i="6"/>
  <c r="Q1639" i="6"/>
  <c r="A1639" i="6" s="1"/>
  <c r="A1638" i="6"/>
  <c r="Q1638" i="6"/>
  <c r="L1638" i="6"/>
  <c r="K1638" i="6"/>
  <c r="A1637" i="6"/>
  <c r="Q1637" i="6"/>
  <c r="Q1636" i="6"/>
  <c r="A1636" i="6" s="1"/>
  <c r="A1635" i="6"/>
  <c r="Q1635" i="6"/>
  <c r="Q1634" i="6"/>
  <c r="A1634" i="6" s="1"/>
  <c r="A1633" i="6"/>
  <c r="Q1633" i="6"/>
  <c r="Q1632" i="6"/>
  <c r="A1632" i="6" s="1"/>
  <c r="L1632" i="6"/>
  <c r="K1632" i="6"/>
  <c r="Q1631" i="6"/>
  <c r="A1631" i="6" s="1"/>
  <c r="L1631" i="6"/>
  <c r="K1631" i="6"/>
  <c r="Q1630" i="6"/>
  <c r="A1630" i="6" s="1"/>
  <c r="L1630" i="6"/>
  <c r="K1630" i="6"/>
  <c r="Q1629" i="6"/>
  <c r="A1629" i="6" s="1"/>
  <c r="L1629" i="6"/>
  <c r="K1629" i="6"/>
  <c r="Q1628" i="6"/>
  <c r="A1628" i="6" s="1"/>
  <c r="L1628" i="6"/>
  <c r="K1628" i="6"/>
  <c r="Q1627" i="6"/>
  <c r="A1627" i="6" s="1"/>
  <c r="L1627" i="6"/>
  <c r="K1627" i="6"/>
  <c r="Q1626" i="6"/>
  <c r="A1626" i="6" s="1"/>
  <c r="L1626" i="6"/>
  <c r="K1626" i="6"/>
  <c r="Q1625" i="6"/>
  <c r="A1625" i="6" s="1"/>
  <c r="A1624" i="6"/>
  <c r="Q1624" i="6"/>
  <c r="Q1623" i="6"/>
  <c r="A1623" i="6" s="1"/>
  <c r="A1622" i="6"/>
  <c r="Q1622" i="6"/>
  <c r="Q1621" i="6"/>
  <c r="A1621" i="6" s="1"/>
  <c r="A1620" i="6"/>
  <c r="Q1620" i="6"/>
  <c r="Q1619" i="6"/>
  <c r="A1619" i="6" s="1"/>
  <c r="A1618" i="6"/>
  <c r="Q1618" i="6"/>
  <c r="Q1617" i="6"/>
  <c r="A1617" i="6" s="1"/>
  <c r="L1617" i="6"/>
  <c r="K1617" i="6"/>
  <c r="Q1616" i="6"/>
  <c r="A1616" i="6" s="1"/>
  <c r="L1616" i="6"/>
  <c r="K1616" i="6"/>
  <c r="Q1615" i="6"/>
  <c r="A1615" i="6" s="1"/>
  <c r="L1615" i="6"/>
  <c r="K1615" i="6"/>
  <c r="Q1614" i="6"/>
  <c r="A1614" i="6" s="1"/>
  <c r="A1613" i="6"/>
  <c r="Q1613" i="6"/>
  <c r="Q1612" i="6"/>
  <c r="A1612" i="6" s="1"/>
  <c r="A1611" i="6"/>
  <c r="Q1611" i="6"/>
  <c r="Q1610" i="6"/>
  <c r="A1610" i="6" s="1"/>
  <c r="A1609" i="6"/>
  <c r="Q1609" i="6"/>
  <c r="L1609" i="6"/>
  <c r="K1609" i="6"/>
  <c r="A1608" i="6"/>
  <c r="Q1608" i="6"/>
  <c r="Q1607" i="6"/>
  <c r="A1607" i="6" s="1"/>
  <c r="A1606" i="6"/>
  <c r="Q1606" i="6"/>
  <c r="Q1605" i="6"/>
  <c r="A1605" i="6" s="1"/>
  <c r="A1604" i="6"/>
  <c r="Q1604" i="6"/>
  <c r="Q1603" i="6"/>
  <c r="A1603" i="6" s="1"/>
  <c r="A1602" i="6"/>
  <c r="Q1602" i="6"/>
  <c r="L1602" i="6"/>
  <c r="K1602" i="6"/>
  <c r="A1601" i="6"/>
  <c r="Q1601" i="6"/>
  <c r="L1601" i="6"/>
  <c r="K1601" i="6"/>
  <c r="A1600" i="6"/>
  <c r="Q1600" i="6"/>
  <c r="L1600" i="6"/>
  <c r="K1600" i="6"/>
  <c r="A1599" i="6"/>
  <c r="Q1599" i="6"/>
  <c r="Q1598" i="6"/>
  <c r="A1598" i="6" s="1"/>
  <c r="L1598" i="6"/>
  <c r="K1598" i="6"/>
  <c r="Q1597" i="6"/>
  <c r="A1597" i="6" s="1"/>
  <c r="L1597" i="6"/>
  <c r="K1597" i="6"/>
  <c r="Q1596" i="6"/>
  <c r="A1596" i="6" s="1"/>
  <c r="L1596" i="6"/>
  <c r="K1596" i="6"/>
  <c r="Q1595" i="6"/>
  <c r="A1595" i="6" s="1"/>
  <c r="L1595" i="6"/>
  <c r="K1595" i="6"/>
  <c r="Q1594" i="6"/>
  <c r="A1594" i="6" s="1"/>
  <c r="L1594" i="6"/>
  <c r="K1594" i="6"/>
  <c r="Q1593" i="6"/>
  <c r="A1593" i="6" s="1"/>
  <c r="L1593" i="6"/>
  <c r="K1593" i="6"/>
  <c r="Q1592" i="6"/>
  <c r="A1592" i="6" s="1"/>
  <c r="L1592" i="6"/>
  <c r="K1592" i="6"/>
  <c r="Q1591" i="6"/>
  <c r="A1591" i="6" s="1"/>
  <c r="A1590" i="6"/>
  <c r="Q1590" i="6"/>
  <c r="Q1589" i="6"/>
  <c r="A1589" i="6" s="1"/>
  <c r="L1589" i="6"/>
  <c r="K1589" i="6"/>
  <c r="Q1588" i="6"/>
  <c r="A1588" i="6" s="1"/>
  <c r="A1587" i="6"/>
  <c r="Q1587" i="6"/>
  <c r="Q1586" i="6"/>
  <c r="A1586" i="6" s="1"/>
  <c r="A1585" i="6"/>
  <c r="Q1585" i="6"/>
  <c r="Q1584" i="6"/>
  <c r="A1584" i="6" s="1"/>
  <c r="L1584" i="6"/>
  <c r="K1584" i="6"/>
  <c r="Q1583" i="6"/>
  <c r="A1583" i="6" s="1"/>
  <c r="L1583" i="6"/>
  <c r="K1583" i="6"/>
  <c r="Q1582" i="6"/>
  <c r="A1582" i="6" s="1"/>
  <c r="L1582" i="6"/>
  <c r="K1582" i="6"/>
  <c r="Q1581" i="6"/>
  <c r="A1581" i="6" s="1"/>
  <c r="L1581" i="6"/>
  <c r="K1581" i="6"/>
  <c r="Q1580" i="6"/>
  <c r="A1580" i="6" s="1"/>
  <c r="L1580" i="6"/>
  <c r="K1580" i="6"/>
  <c r="Q1579" i="6"/>
  <c r="A1579" i="6" s="1"/>
  <c r="L1579" i="6"/>
  <c r="K1579" i="6"/>
  <c r="Q1578" i="6"/>
  <c r="A1578" i="6" s="1"/>
  <c r="L1578" i="6"/>
  <c r="K1578" i="6"/>
  <c r="Q1577" i="6"/>
  <c r="A1577" i="6" s="1"/>
  <c r="L1577" i="6"/>
  <c r="K1577" i="6"/>
  <c r="Q1576" i="6"/>
  <c r="A1576" i="6" s="1"/>
  <c r="L1576" i="6"/>
  <c r="K1576" i="6"/>
  <c r="Q1575" i="6"/>
  <c r="A1575" i="6" s="1"/>
  <c r="L1575" i="6"/>
  <c r="K1575" i="6"/>
  <c r="Q1574" i="6"/>
  <c r="A1574" i="6" s="1"/>
  <c r="L1574" i="6"/>
  <c r="K1574" i="6"/>
  <c r="Q1573" i="6"/>
  <c r="A1573" i="6" s="1"/>
  <c r="L1573" i="6"/>
  <c r="K1573" i="6"/>
  <c r="Q1572" i="6"/>
  <c r="A1572" i="6" s="1"/>
  <c r="L1572" i="6"/>
  <c r="K1572" i="6"/>
  <c r="Q1571" i="6"/>
  <c r="A1571" i="6" s="1"/>
  <c r="L1571" i="6"/>
  <c r="K1571" i="6"/>
  <c r="Q1570" i="6"/>
  <c r="A1570" i="6" s="1"/>
  <c r="L1570" i="6"/>
  <c r="K1570" i="6"/>
  <c r="Q1569" i="6"/>
  <c r="A1569" i="6" s="1"/>
  <c r="L1569" i="6"/>
  <c r="K1569" i="6"/>
  <c r="Q1568" i="6"/>
  <c r="A1568" i="6" s="1"/>
  <c r="L1568" i="6"/>
  <c r="K1568" i="6"/>
  <c r="Q1567" i="6"/>
  <c r="A1567" i="6" s="1"/>
  <c r="L1567" i="6"/>
  <c r="K1567" i="6"/>
  <c r="Q1566" i="6"/>
  <c r="A1566" i="6" s="1"/>
  <c r="L1566" i="6"/>
  <c r="K1566" i="6"/>
  <c r="Q1565" i="6"/>
  <c r="A1565" i="6" s="1"/>
  <c r="L1565" i="6"/>
  <c r="K1565" i="6"/>
  <c r="Q1564" i="6"/>
  <c r="A1564" i="6" s="1"/>
  <c r="L1564" i="6"/>
  <c r="K1564" i="6"/>
  <c r="Q1563" i="6"/>
  <c r="A1563" i="6" s="1"/>
  <c r="L1563" i="6"/>
  <c r="K1563" i="6"/>
  <c r="Q1562" i="6"/>
  <c r="A1562" i="6" s="1"/>
  <c r="L1562" i="6"/>
  <c r="K1562" i="6"/>
  <c r="Q1561" i="6"/>
  <c r="A1561" i="6" s="1"/>
  <c r="L1561" i="6"/>
  <c r="K1561" i="6"/>
  <c r="Q1560" i="6"/>
  <c r="A1560" i="6" s="1"/>
  <c r="L1560" i="6"/>
  <c r="K1560" i="6"/>
  <c r="Q1559" i="6"/>
  <c r="A1559" i="6" s="1"/>
  <c r="L1559" i="6"/>
  <c r="K1559" i="6"/>
  <c r="Q1558" i="6"/>
  <c r="A1558" i="6" s="1"/>
  <c r="L1558" i="6"/>
  <c r="K1558" i="6"/>
  <c r="Q1557" i="6"/>
  <c r="A1557" i="6" s="1"/>
  <c r="L1557" i="6"/>
  <c r="K1557" i="6"/>
  <c r="Q1556" i="6"/>
  <c r="A1556" i="6" s="1"/>
  <c r="L1556" i="6"/>
  <c r="K1556" i="6"/>
  <c r="Q1555" i="6"/>
  <c r="A1555" i="6" s="1"/>
  <c r="L1555" i="6"/>
  <c r="K1555" i="6"/>
  <c r="Q1554" i="6"/>
  <c r="A1554" i="6" s="1"/>
  <c r="L1554" i="6"/>
  <c r="K1554" i="6"/>
  <c r="Q1553" i="6"/>
  <c r="A1553" i="6" s="1"/>
  <c r="L1553" i="6"/>
  <c r="K1553" i="6"/>
  <c r="Q1552" i="6"/>
  <c r="A1552" i="6" s="1"/>
  <c r="L1552" i="6"/>
  <c r="K1552" i="6"/>
  <c r="Q1551" i="6"/>
  <c r="A1551" i="6" s="1"/>
  <c r="L1551" i="6"/>
  <c r="K1551" i="6"/>
  <c r="Q1550" i="6"/>
  <c r="A1550" i="6" s="1"/>
  <c r="L1550" i="6"/>
  <c r="K1550" i="6"/>
  <c r="Q1549" i="6"/>
  <c r="A1549" i="6" s="1"/>
  <c r="L1549" i="6"/>
  <c r="K1549" i="6"/>
  <c r="Q1548" i="6"/>
  <c r="A1548" i="6" s="1"/>
  <c r="L1548" i="6"/>
  <c r="K1548" i="6"/>
  <c r="Q1547" i="6"/>
  <c r="A1547" i="6" s="1"/>
  <c r="L1547" i="6"/>
  <c r="K1547" i="6"/>
  <c r="Q1546" i="6"/>
  <c r="A1546" i="6" s="1"/>
  <c r="L1546" i="6"/>
  <c r="K1546" i="6"/>
  <c r="Q1545" i="6"/>
  <c r="A1545" i="6" s="1"/>
  <c r="L1545" i="6"/>
  <c r="K1545" i="6"/>
  <c r="Q1544" i="6"/>
  <c r="A1544" i="6" s="1"/>
  <c r="L1544" i="6"/>
  <c r="K1544" i="6"/>
  <c r="Q1543" i="6"/>
  <c r="A1543" i="6" s="1"/>
  <c r="L1543" i="6"/>
  <c r="K1543" i="6"/>
  <c r="Q1542" i="6"/>
  <c r="A1542" i="6" s="1"/>
  <c r="L1542" i="6"/>
  <c r="K1542" i="6"/>
  <c r="Q1541" i="6"/>
  <c r="A1541" i="6" s="1"/>
  <c r="L1541" i="6"/>
  <c r="K1541" i="6"/>
  <c r="Q1540" i="6"/>
  <c r="A1540" i="6" s="1"/>
  <c r="L1540" i="6"/>
  <c r="K1540" i="6"/>
  <c r="Q1539" i="6"/>
  <c r="A1539" i="6" s="1"/>
  <c r="L1539" i="6"/>
  <c r="K1539" i="6"/>
  <c r="Q1538" i="6"/>
  <c r="A1538" i="6" s="1"/>
  <c r="L1538" i="6"/>
  <c r="K1538" i="6"/>
  <c r="Q1537" i="6"/>
  <c r="A1537" i="6" s="1"/>
  <c r="L1537" i="6"/>
  <c r="K1537" i="6"/>
  <c r="Q1536" i="6"/>
  <c r="A1536" i="6" s="1"/>
  <c r="L1536" i="6"/>
  <c r="K1536" i="6"/>
  <c r="Q1535" i="6"/>
  <c r="A1535" i="6" s="1"/>
  <c r="A1534" i="6"/>
  <c r="Q1534" i="6"/>
  <c r="Q1533" i="6"/>
  <c r="A1533" i="6" s="1"/>
  <c r="A1532" i="6"/>
  <c r="Q1532" i="6"/>
  <c r="L1532" i="6"/>
  <c r="K1532" i="6"/>
  <c r="A1531" i="6"/>
  <c r="Q1531" i="6"/>
  <c r="L1531" i="6"/>
  <c r="K1531" i="6"/>
  <c r="A1530" i="6"/>
  <c r="Q1530" i="6"/>
  <c r="Q1529" i="6"/>
  <c r="A1529" i="6" s="1"/>
  <c r="A1528" i="6"/>
  <c r="Q1528" i="6"/>
  <c r="Q1527" i="6"/>
  <c r="A1527" i="6" s="1"/>
  <c r="A1526" i="6"/>
  <c r="Q1526" i="6"/>
  <c r="L1526" i="6"/>
  <c r="K1526" i="6"/>
  <c r="A1525" i="6"/>
  <c r="Q1525" i="6"/>
  <c r="Q1524" i="6"/>
  <c r="A1524" i="6" s="1"/>
  <c r="A1523" i="6"/>
  <c r="Q1523" i="6"/>
  <c r="Q1522" i="6"/>
  <c r="A1522" i="6" s="1"/>
  <c r="A1521" i="6"/>
  <c r="Q1521" i="6"/>
  <c r="Q1520" i="6"/>
  <c r="A1520" i="6" s="1"/>
  <c r="L1520" i="6"/>
  <c r="K1520" i="6"/>
  <c r="Q1519" i="6"/>
  <c r="A1519" i="6" s="1"/>
  <c r="A1518" i="6"/>
  <c r="Q1518" i="6"/>
  <c r="Q1517" i="6"/>
  <c r="A1517" i="6" s="1"/>
  <c r="A1516" i="6"/>
  <c r="Q1516" i="6"/>
  <c r="Q1515" i="6"/>
  <c r="A1515" i="6" s="1"/>
  <c r="A1514" i="6"/>
  <c r="Q1514" i="6"/>
  <c r="L1514" i="6"/>
  <c r="K1514" i="6"/>
  <c r="A1513" i="6"/>
  <c r="Q1513" i="6"/>
  <c r="Q1512" i="6"/>
  <c r="A1512" i="6" s="1"/>
  <c r="A1511" i="6"/>
  <c r="Q1511" i="6"/>
  <c r="Q1510" i="6"/>
  <c r="A1510" i="6" s="1"/>
  <c r="A1509" i="6"/>
  <c r="Q1509" i="6"/>
  <c r="Q1508" i="6"/>
  <c r="A1508" i="6" s="1"/>
  <c r="L1508" i="6"/>
  <c r="K1508" i="6"/>
  <c r="Q1507" i="6"/>
  <c r="A1507" i="6" s="1"/>
  <c r="L1507" i="6"/>
  <c r="K1507" i="6"/>
  <c r="Q1506" i="6"/>
  <c r="A1506" i="6" s="1"/>
  <c r="L1506" i="6"/>
  <c r="K1506" i="6"/>
  <c r="Q1505" i="6"/>
  <c r="A1505" i="6" s="1"/>
  <c r="A1504" i="6"/>
  <c r="Q1504" i="6"/>
  <c r="Q1503" i="6"/>
  <c r="A1503" i="6" s="1"/>
  <c r="A1502" i="6"/>
  <c r="Q1502" i="6"/>
  <c r="Q1501" i="6"/>
  <c r="A1501" i="6" s="1"/>
  <c r="A1500" i="6"/>
  <c r="Q1500" i="6"/>
  <c r="Q1499" i="6"/>
  <c r="A1499" i="6" s="1"/>
  <c r="A1498" i="6"/>
  <c r="Q1498" i="6"/>
  <c r="Q1497" i="6"/>
  <c r="A1497" i="6" s="1"/>
  <c r="A1496" i="6"/>
  <c r="Q1496" i="6"/>
  <c r="Q1495" i="6"/>
  <c r="A1495" i="6" s="1"/>
  <c r="A1494" i="6"/>
  <c r="Q1494" i="6"/>
  <c r="Q1493" i="6"/>
  <c r="A1493" i="6" s="1"/>
  <c r="A1492" i="6"/>
  <c r="Q1492" i="6"/>
  <c r="Q1491" i="6"/>
  <c r="A1491" i="6" s="1"/>
  <c r="A1490" i="6"/>
  <c r="Q1490" i="6"/>
  <c r="Q1489" i="6"/>
  <c r="A1489" i="6" s="1"/>
  <c r="L1489" i="6"/>
  <c r="K1489" i="6"/>
  <c r="Q1488" i="6"/>
  <c r="A1488" i="6" s="1"/>
  <c r="L1488" i="6"/>
  <c r="K1488" i="6"/>
  <c r="Q1487" i="6"/>
  <c r="A1487" i="6" s="1"/>
  <c r="A1486" i="6"/>
  <c r="Q1486" i="6"/>
  <c r="Q1485" i="6"/>
  <c r="A1485" i="6" s="1"/>
  <c r="A1484" i="6"/>
  <c r="Q1484" i="6"/>
  <c r="Q1483" i="6"/>
  <c r="A1483" i="6" s="1"/>
  <c r="L1483" i="6"/>
  <c r="K1483" i="6"/>
  <c r="Q1482" i="6"/>
  <c r="A1482" i="6" s="1"/>
  <c r="L1482" i="6"/>
  <c r="K1482" i="6"/>
  <c r="Q1481" i="6"/>
  <c r="A1481" i="6" s="1"/>
  <c r="A1480" i="6"/>
  <c r="Q1480" i="6"/>
  <c r="Q1479" i="6"/>
  <c r="A1479" i="6" s="1"/>
  <c r="A1478" i="6"/>
  <c r="Q1478" i="6"/>
  <c r="Q1477" i="6"/>
  <c r="A1477" i="6" s="1"/>
  <c r="A1476" i="6"/>
  <c r="Q1476" i="6"/>
  <c r="L1476" i="6"/>
  <c r="K1476" i="6"/>
  <c r="A1475" i="6"/>
  <c r="Q1475" i="6"/>
  <c r="Q1474" i="6"/>
  <c r="A1474" i="6" s="1"/>
  <c r="A1473" i="6"/>
  <c r="Q1473" i="6"/>
  <c r="Q1472" i="6"/>
  <c r="A1472" i="6" s="1"/>
  <c r="L1472" i="6"/>
  <c r="K1472" i="6"/>
  <c r="Q1471" i="6"/>
  <c r="A1471" i="6" s="1"/>
  <c r="A1470" i="6"/>
  <c r="Q1470" i="6"/>
  <c r="Q1469" i="6"/>
  <c r="A1469" i="6" s="1"/>
  <c r="A1468" i="6"/>
  <c r="Q1468" i="6"/>
  <c r="L1468" i="6"/>
  <c r="K1468" i="6"/>
  <c r="A1467" i="6"/>
  <c r="Q1467" i="6"/>
  <c r="Q1466" i="6"/>
  <c r="A1466" i="6" s="1"/>
  <c r="A1465" i="6"/>
  <c r="Q1465" i="6"/>
  <c r="Q1464" i="6"/>
  <c r="A1464" i="6" s="1"/>
  <c r="L1464" i="6"/>
  <c r="K1464" i="6"/>
  <c r="Q1463" i="6"/>
  <c r="A1463" i="6" s="1"/>
  <c r="L1463" i="6"/>
  <c r="K1463" i="6"/>
  <c r="Q1462" i="6"/>
  <c r="A1462" i="6" s="1"/>
  <c r="A1461" i="6"/>
  <c r="Q1461" i="6"/>
  <c r="Q1460" i="6"/>
  <c r="A1460" i="6" s="1"/>
  <c r="A1459" i="6"/>
  <c r="Q1459" i="6"/>
  <c r="L1459" i="6"/>
  <c r="K1459" i="6"/>
  <c r="A1458" i="6"/>
  <c r="Q1458" i="6"/>
  <c r="L1458" i="6"/>
  <c r="K1458" i="6"/>
  <c r="A1457" i="6"/>
  <c r="Q1457" i="6"/>
  <c r="L1457" i="6"/>
  <c r="K1457" i="6"/>
  <c r="A1456" i="6"/>
  <c r="Q1456" i="6"/>
  <c r="L1456" i="6"/>
  <c r="K1456" i="6"/>
  <c r="A1455" i="6"/>
  <c r="Q1455" i="6"/>
  <c r="L1455" i="6"/>
  <c r="K1455" i="6"/>
  <c r="A1454" i="6"/>
  <c r="Q1454" i="6"/>
  <c r="Q1453" i="6"/>
  <c r="A1453" i="6" s="1"/>
  <c r="A1452" i="6"/>
  <c r="Q1452" i="6"/>
  <c r="Q1451" i="6"/>
  <c r="A1451" i="6" s="1"/>
  <c r="A1450" i="6"/>
  <c r="Q1450" i="6"/>
  <c r="Q1449" i="6"/>
  <c r="A1449" i="6" s="1"/>
  <c r="A1448" i="6"/>
  <c r="Q1448" i="6"/>
  <c r="Q1447" i="6"/>
  <c r="A1447" i="6" s="1"/>
  <c r="A1446" i="6"/>
  <c r="Q1446" i="6"/>
  <c r="Q1445" i="6"/>
  <c r="A1445" i="6" s="1"/>
  <c r="A1444" i="6"/>
  <c r="Q1444" i="6"/>
  <c r="Q1443" i="6"/>
  <c r="A1443" i="6" s="1"/>
  <c r="A1442" i="6"/>
  <c r="Q1442" i="6"/>
  <c r="Q1441" i="6"/>
  <c r="A1441" i="6" s="1"/>
  <c r="A1440" i="6"/>
  <c r="Q1440" i="6"/>
  <c r="Q1439" i="6"/>
  <c r="A1439" i="6" s="1"/>
  <c r="A1438" i="6"/>
  <c r="Q1438" i="6"/>
  <c r="Q1437" i="6"/>
  <c r="A1437" i="6" s="1"/>
  <c r="A1436" i="6"/>
  <c r="Q1436" i="6"/>
  <c r="Q1435" i="6"/>
  <c r="A1435" i="6" s="1"/>
  <c r="A1434" i="6"/>
  <c r="Q1434" i="6"/>
  <c r="Q1433" i="6"/>
  <c r="A1433" i="6" s="1"/>
  <c r="A1432" i="6"/>
  <c r="Q1432" i="6"/>
  <c r="Q1431" i="6"/>
  <c r="A1431" i="6" s="1"/>
  <c r="A1430" i="6"/>
  <c r="Q1430" i="6"/>
  <c r="Q1429" i="6"/>
  <c r="A1429" i="6" s="1"/>
  <c r="A1428" i="6"/>
  <c r="Q1428" i="6"/>
  <c r="Q1427" i="6"/>
  <c r="A1427" i="6" s="1"/>
  <c r="A1426" i="6"/>
  <c r="Q1426" i="6"/>
  <c r="Q1425" i="6"/>
  <c r="A1425" i="6" s="1"/>
  <c r="A1424" i="6"/>
  <c r="Q1424" i="6"/>
  <c r="Q1423" i="6"/>
  <c r="A1423" i="6" s="1"/>
  <c r="A1422" i="6"/>
  <c r="Q1422" i="6"/>
  <c r="Q1421" i="6"/>
  <c r="A1421" i="6" s="1"/>
  <c r="A1420" i="6"/>
  <c r="Q1420" i="6"/>
  <c r="L1420" i="6"/>
  <c r="K1420" i="6"/>
  <c r="A1419" i="6"/>
  <c r="Q1419" i="6"/>
  <c r="Q1418" i="6"/>
  <c r="A1418" i="6" s="1"/>
  <c r="L1418" i="6"/>
  <c r="K1418" i="6"/>
  <c r="Q1417" i="6"/>
  <c r="A1417" i="6" s="1"/>
  <c r="A1416" i="6"/>
  <c r="Q1416" i="6"/>
  <c r="Q1415" i="6"/>
  <c r="A1415" i="6" s="1"/>
  <c r="L1415" i="6"/>
  <c r="K1415" i="6"/>
  <c r="Q1414" i="6"/>
  <c r="A1414" i="6" s="1"/>
  <c r="A1413" i="6"/>
  <c r="Q1413" i="6"/>
  <c r="L1413" i="6"/>
  <c r="K1413" i="6"/>
  <c r="A1412" i="6"/>
  <c r="Q1412" i="6"/>
  <c r="L1412" i="6"/>
  <c r="K1412" i="6"/>
  <c r="A1411" i="6"/>
  <c r="Q1411" i="6"/>
  <c r="L1411" i="6"/>
  <c r="K1411" i="6"/>
  <c r="A1410" i="6"/>
  <c r="Q1410" i="6"/>
  <c r="Q1409" i="6"/>
  <c r="A1409" i="6" s="1"/>
  <c r="A1408" i="6"/>
  <c r="Q1408" i="6"/>
  <c r="L1408" i="6"/>
  <c r="K1408" i="6"/>
  <c r="A1407" i="6"/>
  <c r="Q1407" i="6"/>
  <c r="L1407" i="6"/>
  <c r="K1407" i="6"/>
  <c r="A1406" i="6"/>
  <c r="Q1406" i="6"/>
  <c r="L1406" i="6"/>
  <c r="K1406" i="6"/>
  <c r="A1405" i="6"/>
  <c r="Q1405" i="6"/>
  <c r="Q1404" i="6"/>
  <c r="A1404" i="6" s="1"/>
  <c r="A1403" i="6"/>
  <c r="Q1403" i="6"/>
  <c r="Q1402" i="6"/>
  <c r="A1402" i="6" s="1"/>
  <c r="A1401" i="6"/>
  <c r="Q1401" i="6"/>
  <c r="Q1400" i="6"/>
  <c r="A1400" i="6" s="1"/>
  <c r="A1399" i="6"/>
  <c r="Q1399" i="6"/>
  <c r="Q1398" i="6"/>
  <c r="A1398" i="6" s="1"/>
  <c r="A1397" i="6"/>
  <c r="Q1397" i="6"/>
  <c r="Q1396" i="6"/>
  <c r="A1396" i="6" s="1"/>
  <c r="A1395" i="6"/>
  <c r="Q1395" i="6"/>
  <c r="Q1394" i="6"/>
  <c r="A1394" i="6" s="1"/>
  <c r="A1393" i="6"/>
  <c r="Q1393" i="6"/>
  <c r="Q1392" i="6"/>
  <c r="A1392" i="6" s="1"/>
  <c r="A1391" i="6"/>
  <c r="Q1391" i="6"/>
  <c r="Q1390" i="6"/>
  <c r="A1390" i="6" s="1"/>
  <c r="L1390" i="6"/>
  <c r="K1390" i="6"/>
  <c r="Q1389" i="6"/>
  <c r="A1389" i="6" s="1"/>
  <c r="A1388" i="6"/>
  <c r="Q1388" i="6"/>
  <c r="Q1387" i="6"/>
  <c r="A1387" i="6" s="1"/>
  <c r="A1386" i="6"/>
  <c r="Q1386" i="6"/>
  <c r="Q1385" i="6"/>
  <c r="A1385" i="6" s="1"/>
  <c r="A1384" i="6"/>
  <c r="Q1384" i="6"/>
  <c r="Q1383" i="6"/>
  <c r="A1383" i="6" s="1"/>
  <c r="L1383" i="6"/>
  <c r="K1383" i="6"/>
  <c r="Q1382" i="6"/>
  <c r="A1382" i="6" s="1"/>
  <c r="A1381" i="6"/>
  <c r="Q1381" i="6"/>
  <c r="L1381" i="6"/>
  <c r="K1381" i="6"/>
  <c r="A1380" i="6"/>
  <c r="Q1380" i="6"/>
  <c r="L1380" i="6"/>
  <c r="K1380" i="6"/>
  <c r="A1379" i="6"/>
  <c r="Q1379" i="6"/>
  <c r="Q1378" i="6"/>
  <c r="A1378" i="6" s="1"/>
  <c r="A1377" i="6"/>
  <c r="Q1377" i="6"/>
  <c r="Q1376" i="6"/>
  <c r="A1376" i="6" s="1"/>
  <c r="A1375" i="6"/>
  <c r="Q1375" i="6"/>
  <c r="Q1374" i="6"/>
  <c r="A1374" i="6" s="1"/>
  <c r="A1373" i="6"/>
  <c r="Q1373" i="6"/>
  <c r="Q1372" i="6"/>
  <c r="A1372" i="6" s="1"/>
  <c r="A1371" i="6"/>
  <c r="Q1371" i="6"/>
  <c r="Q1370" i="6"/>
  <c r="A1370" i="6" s="1"/>
  <c r="A1369" i="6"/>
  <c r="Q1369" i="6"/>
  <c r="L1369" i="6"/>
  <c r="K1369" i="6"/>
  <c r="A1368" i="6"/>
  <c r="Q1368" i="6"/>
  <c r="Q1367" i="6"/>
  <c r="A1367" i="6" s="1"/>
  <c r="L1367" i="6"/>
  <c r="K1367" i="6"/>
  <c r="Q1366" i="6"/>
  <c r="A1366" i="6" s="1"/>
  <c r="L1366" i="6"/>
  <c r="K1366" i="6"/>
  <c r="Q1365" i="6"/>
  <c r="A1365" i="6" s="1"/>
  <c r="L1365" i="6"/>
  <c r="K1365" i="6"/>
  <c r="Q1364" i="6"/>
  <c r="A1364" i="6" s="1"/>
  <c r="A1363" i="6"/>
  <c r="Q1363" i="6"/>
  <c r="Q1362" i="6"/>
  <c r="A1362" i="6" s="1"/>
  <c r="L1362" i="6"/>
  <c r="K1362" i="6"/>
  <c r="Q1361" i="6"/>
  <c r="A1361" i="6" s="1"/>
  <c r="A1360" i="6"/>
  <c r="Q1360" i="6"/>
  <c r="Q1359" i="6"/>
  <c r="A1359" i="6" s="1"/>
  <c r="A1358" i="6"/>
  <c r="Q1358" i="6"/>
  <c r="L1358" i="6"/>
  <c r="K1358" i="6"/>
  <c r="A1357" i="6"/>
  <c r="Q1357" i="6"/>
  <c r="Q1356" i="6"/>
  <c r="A1356" i="6" s="1"/>
  <c r="A1355" i="6"/>
  <c r="Q1355" i="6"/>
  <c r="Q1354" i="6"/>
  <c r="A1354" i="6" s="1"/>
  <c r="A1353" i="6"/>
  <c r="Q1353" i="6"/>
  <c r="L1353" i="6"/>
  <c r="K1353" i="6"/>
  <c r="A1352" i="6"/>
  <c r="Q1352" i="6"/>
  <c r="L1352" i="6"/>
  <c r="K1352" i="6"/>
  <c r="A1351" i="6"/>
  <c r="Q1351" i="6"/>
  <c r="Q1350" i="6"/>
  <c r="A1350" i="6" s="1"/>
  <c r="L1350" i="6"/>
  <c r="K1350" i="6"/>
  <c r="Q1349" i="6"/>
  <c r="A1349" i="6" s="1"/>
  <c r="L1349" i="6"/>
  <c r="K1349" i="6"/>
  <c r="Q1348" i="6"/>
  <c r="A1348" i="6" s="1"/>
  <c r="L1348" i="6"/>
  <c r="K1348" i="6"/>
  <c r="Q1347" i="6"/>
  <c r="A1347" i="6" s="1"/>
  <c r="L1347" i="6"/>
  <c r="K1347" i="6"/>
  <c r="Q1346" i="6"/>
  <c r="A1346" i="6" s="1"/>
  <c r="A1345" i="6"/>
  <c r="Q1345" i="6"/>
  <c r="L1345" i="6"/>
  <c r="K1345" i="6"/>
  <c r="A1344" i="6"/>
  <c r="Q1344" i="6"/>
  <c r="L1344" i="6"/>
  <c r="K1344" i="6"/>
  <c r="A1343" i="6"/>
  <c r="Q1343" i="6"/>
  <c r="L1343" i="6"/>
  <c r="K1343" i="6"/>
  <c r="A1342" i="6"/>
  <c r="Q1342" i="6"/>
  <c r="Q1341" i="6"/>
  <c r="A1341" i="6" s="1"/>
  <c r="A1340" i="6"/>
  <c r="Q1340" i="6"/>
  <c r="L1340" i="6"/>
  <c r="K1340" i="6"/>
  <c r="A1339" i="6"/>
  <c r="Q1339" i="6"/>
  <c r="Q1338" i="6"/>
  <c r="A1338" i="6" s="1"/>
  <c r="A1337" i="6"/>
  <c r="Q1337" i="6"/>
  <c r="Q1336" i="6"/>
  <c r="A1336" i="6" s="1"/>
  <c r="A1335" i="6"/>
  <c r="Q1335" i="6"/>
  <c r="Q1334" i="6"/>
  <c r="A1334" i="6" s="1"/>
  <c r="L1334" i="6"/>
  <c r="K1334" i="6"/>
  <c r="Q1333" i="6"/>
  <c r="A1333" i="6" s="1"/>
  <c r="A1332" i="6"/>
  <c r="Q1332" i="6"/>
  <c r="Q1331" i="6"/>
  <c r="A1331" i="6" s="1"/>
  <c r="L1331" i="6"/>
  <c r="K1331" i="6"/>
  <c r="Q1330" i="6"/>
  <c r="A1330" i="6" s="1"/>
  <c r="A1329" i="6"/>
  <c r="Q1329" i="6"/>
  <c r="Q1328" i="6"/>
  <c r="A1328" i="6" s="1"/>
  <c r="L1328" i="6"/>
  <c r="K1328" i="6"/>
  <c r="Q1327" i="6"/>
  <c r="A1327" i="6" s="1"/>
  <c r="L1327" i="6"/>
  <c r="K1327" i="6"/>
  <c r="Q1326" i="6"/>
  <c r="A1326" i="6" s="1"/>
  <c r="L1326" i="6"/>
  <c r="K1326" i="6"/>
  <c r="Q1325" i="6"/>
  <c r="A1325" i="6" s="1"/>
  <c r="A1324" i="6"/>
  <c r="Q1324" i="6"/>
  <c r="Q1323" i="6"/>
  <c r="A1323" i="6" s="1"/>
  <c r="A1322" i="6"/>
  <c r="Q1322" i="6"/>
  <c r="Q1321" i="6"/>
  <c r="A1321" i="6" s="1"/>
  <c r="A1320" i="6"/>
  <c r="Q1320" i="6"/>
  <c r="Q1319" i="6"/>
  <c r="A1319" i="6" s="1"/>
  <c r="A1318" i="6"/>
  <c r="Q1318" i="6"/>
  <c r="L1318" i="6"/>
  <c r="K1318" i="6"/>
  <c r="A1317" i="6"/>
  <c r="Q1317" i="6"/>
  <c r="Q1316" i="6"/>
  <c r="A1316" i="6" s="1"/>
  <c r="A1315" i="6"/>
  <c r="Q1315" i="6"/>
  <c r="L1315" i="6"/>
  <c r="K1315" i="6"/>
  <c r="A1314" i="6"/>
  <c r="Q1314" i="6"/>
  <c r="Q1313" i="6"/>
  <c r="A1313" i="6" s="1"/>
  <c r="L1313" i="6"/>
  <c r="K1313" i="6"/>
  <c r="Q1312" i="6"/>
  <c r="A1312" i="6" s="1"/>
  <c r="L1312" i="6"/>
  <c r="K1312" i="6"/>
  <c r="Q1311" i="6"/>
  <c r="A1311" i="6" s="1"/>
  <c r="A1310" i="6"/>
  <c r="Q1310" i="6"/>
  <c r="Q1309" i="6"/>
  <c r="A1309" i="6" s="1"/>
  <c r="A1308" i="6"/>
  <c r="Q1308" i="6"/>
  <c r="Q1307" i="6"/>
  <c r="A1307" i="6" s="1"/>
  <c r="L1307" i="6"/>
  <c r="K1307" i="6"/>
  <c r="Q1306" i="6"/>
  <c r="A1306" i="6" s="1"/>
  <c r="L1306" i="6"/>
  <c r="K1306" i="6"/>
  <c r="Q1305" i="6"/>
  <c r="A1305" i="6" s="1"/>
  <c r="L1305" i="6"/>
  <c r="K1305" i="6"/>
  <c r="Q1304" i="6"/>
  <c r="A1304" i="6" s="1"/>
  <c r="L1304" i="6"/>
  <c r="K1304" i="6"/>
  <c r="Q1303" i="6"/>
  <c r="A1303" i="6" s="1"/>
  <c r="A1302" i="6"/>
  <c r="Q1302" i="6"/>
  <c r="L1302" i="6"/>
  <c r="K1302" i="6"/>
  <c r="A1301" i="6"/>
  <c r="Q1301" i="6"/>
  <c r="Q1300" i="6"/>
  <c r="A1300" i="6" s="1"/>
  <c r="A1299" i="6"/>
  <c r="Q1299" i="6"/>
  <c r="Q1298" i="6"/>
  <c r="A1298" i="6" s="1"/>
  <c r="A1297" i="6"/>
  <c r="Q1297" i="6"/>
  <c r="Q1296" i="6"/>
  <c r="A1296" i="6" s="1"/>
  <c r="L1296" i="6"/>
  <c r="K1296" i="6"/>
  <c r="Q1295" i="6"/>
  <c r="A1295" i="6" s="1"/>
  <c r="L1295" i="6"/>
  <c r="K1295" i="6"/>
  <c r="Q1294" i="6"/>
  <c r="A1294" i="6" s="1"/>
  <c r="A1293" i="6"/>
  <c r="Q1293" i="6"/>
  <c r="L1293" i="6"/>
  <c r="K1293" i="6"/>
  <c r="A1292" i="6"/>
  <c r="Q1292" i="6"/>
  <c r="Q1291" i="6"/>
  <c r="A1291" i="6" s="1"/>
  <c r="A1290" i="6"/>
  <c r="Q1290" i="6"/>
  <c r="Q1289" i="6"/>
  <c r="A1289" i="6" s="1"/>
  <c r="A1288" i="6"/>
  <c r="Q1288" i="6"/>
  <c r="Q1287" i="6"/>
  <c r="A1287" i="6" s="1"/>
  <c r="L1287" i="6"/>
  <c r="K1287" i="6"/>
  <c r="Q1286" i="6"/>
  <c r="A1286" i="6" s="1"/>
  <c r="L1286" i="6"/>
  <c r="K1286" i="6"/>
  <c r="Q1285" i="6"/>
  <c r="A1285" i="6" s="1"/>
  <c r="A1284" i="6"/>
  <c r="Q1284" i="6"/>
  <c r="Q1283" i="6"/>
  <c r="A1283" i="6" s="1"/>
  <c r="A1282" i="6"/>
  <c r="Q1282" i="6"/>
  <c r="Q1281" i="6"/>
  <c r="A1281" i="6" s="1"/>
  <c r="A1280" i="6"/>
  <c r="Q1280" i="6"/>
  <c r="Q1279" i="6"/>
  <c r="A1279" i="6" s="1"/>
  <c r="L1279" i="6"/>
  <c r="K1279" i="6"/>
  <c r="Q1278" i="6"/>
  <c r="A1278" i="6" s="1"/>
  <c r="A1277" i="6"/>
  <c r="Q1277" i="6"/>
  <c r="Q1276" i="6"/>
  <c r="A1276" i="6" s="1"/>
  <c r="A1275" i="6"/>
  <c r="Q1275" i="6"/>
  <c r="Q1274" i="6"/>
  <c r="A1274" i="6" s="1"/>
  <c r="A1273" i="6"/>
  <c r="Q1273" i="6"/>
  <c r="Q1272" i="6"/>
  <c r="A1272" i="6" s="1"/>
  <c r="A1271" i="6"/>
  <c r="Q1271" i="6"/>
  <c r="Q1270" i="6"/>
  <c r="A1270" i="6" s="1"/>
  <c r="L1270" i="6"/>
  <c r="K1270" i="6"/>
  <c r="Q1269" i="6"/>
  <c r="A1269" i="6" s="1"/>
  <c r="A1268" i="6"/>
  <c r="Q1268" i="6"/>
  <c r="Q1267" i="6"/>
  <c r="A1267" i="6" s="1"/>
  <c r="A1266" i="6"/>
  <c r="Q1266" i="6"/>
  <c r="Q1265" i="6"/>
  <c r="A1265" i="6" s="1"/>
  <c r="A1264" i="6"/>
  <c r="Q1264" i="6"/>
  <c r="Q1263" i="6"/>
  <c r="A1263" i="6" s="1"/>
  <c r="A1262" i="6"/>
  <c r="Q1262" i="6"/>
  <c r="Q1261" i="6"/>
  <c r="A1261" i="6" s="1"/>
  <c r="A1260" i="6"/>
  <c r="Q1260" i="6"/>
  <c r="Q1259" i="6"/>
  <c r="A1259" i="6" s="1"/>
  <c r="M1259" i="6"/>
  <c r="L1259" i="6"/>
  <c r="K1259" i="6"/>
  <c r="Q1258" i="6"/>
  <c r="A1258" i="6" s="1"/>
  <c r="Q1257" i="6"/>
  <c r="A1257" i="6" s="1"/>
  <c r="M1257" i="6"/>
  <c r="L1257" i="6"/>
  <c r="K1257" i="6"/>
  <c r="A1256" i="6"/>
  <c r="Q1256" i="6"/>
  <c r="A1255" i="6"/>
  <c r="Q1255" i="6"/>
  <c r="A1254" i="6"/>
  <c r="Q1254" i="6"/>
  <c r="A1253" i="6"/>
  <c r="Q1253" i="6"/>
  <c r="A1252" i="6"/>
  <c r="Q1252" i="6"/>
  <c r="L1252" i="6"/>
  <c r="K1252" i="6"/>
  <c r="A1251" i="6"/>
  <c r="Q1251" i="6"/>
  <c r="A1250" i="6"/>
  <c r="Q1250" i="6"/>
  <c r="L1250" i="6"/>
  <c r="K1250" i="6"/>
  <c r="A1249" i="6"/>
  <c r="Q1249" i="6"/>
  <c r="L1249" i="6"/>
  <c r="K1249" i="6"/>
  <c r="A1248" i="6"/>
  <c r="Q1248" i="6"/>
  <c r="A1247" i="6"/>
  <c r="Q1247" i="6"/>
  <c r="L1247" i="6"/>
  <c r="K1247" i="6"/>
  <c r="A1246" i="6"/>
  <c r="Q1246" i="6"/>
  <c r="A1245" i="6"/>
  <c r="Q1245" i="6"/>
  <c r="A1244" i="6"/>
  <c r="Q1244" i="6"/>
  <c r="A1243" i="6"/>
  <c r="Q1243" i="6"/>
  <c r="L1243" i="6"/>
  <c r="K1243" i="6"/>
  <c r="A1242" i="6"/>
  <c r="Q1242" i="6"/>
  <c r="L1242" i="6"/>
  <c r="K1242" i="6"/>
  <c r="A1241" i="6"/>
  <c r="Q1241" i="6"/>
  <c r="A1240" i="6"/>
  <c r="Q1240" i="6"/>
  <c r="A1239" i="6"/>
  <c r="Q1239" i="6"/>
  <c r="A1238" i="6"/>
  <c r="Q1238" i="6"/>
  <c r="A1237" i="6"/>
  <c r="Q1237" i="6"/>
  <c r="A1236" i="6"/>
  <c r="Q1236" i="6"/>
  <c r="A1235" i="6"/>
  <c r="Q1235" i="6"/>
  <c r="A1234" i="6"/>
  <c r="Q1234" i="6"/>
  <c r="A1233" i="6"/>
  <c r="Q1233" i="6"/>
  <c r="L1233" i="6"/>
  <c r="K1233" i="6"/>
  <c r="A1232" i="6"/>
  <c r="Q1232" i="6"/>
  <c r="A1231" i="6"/>
  <c r="Q1231" i="6"/>
  <c r="A1230" i="6"/>
  <c r="Q1230" i="6"/>
  <c r="A1229" i="6"/>
  <c r="Q1229" i="6"/>
  <c r="A1228" i="6"/>
  <c r="Q1228" i="6"/>
  <c r="A1227" i="6"/>
  <c r="Q1227" i="6"/>
  <c r="A1226" i="6"/>
  <c r="Q1226" i="6"/>
  <c r="A1225" i="6"/>
  <c r="Q1225" i="6"/>
  <c r="A1224" i="6"/>
  <c r="Q1224" i="6"/>
  <c r="A1223" i="6"/>
  <c r="Q1223" i="6"/>
  <c r="A1222" i="6"/>
  <c r="Q1222" i="6"/>
  <c r="A1221" i="6"/>
  <c r="Q1221" i="6"/>
  <c r="A1220" i="6"/>
  <c r="Q1220" i="6"/>
  <c r="A1219" i="6"/>
  <c r="Q1219" i="6"/>
  <c r="A1218" i="6"/>
  <c r="Q1218" i="6"/>
  <c r="L1218" i="6"/>
  <c r="K1218" i="6"/>
  <c r="A1217" i="6"/>
  <c r="Q1217" i="6"/>
  <c r="A1216" i="6"/>
  <c r="Q1216" i="6"/>
  <c r="A1215" i="6"/>
  <c r="Q1215" i="6"/>
  <c r="A1214" i="6"/>
  <c r="Q1214" i="6"/>
  <c r="A1213" i="6"/>
  <c r="Q1213" i="6"/>
  <c r="A1212" i="6"/>
  <c r="Q1212" i="6"/>
  <c r="L1212" i="6"/>
  <c r="K1212" i="6"/>
  <c r="A1211" i="6"/>
  <c r="Q1211" i="6"/>
  <c r="A1210" i="6"/>
  <c r="Q1210" i="6"/>
  <c r="L1210" i="6"/>
  <c r="K1210" i="6"/>
  <c r="A1209" i="6"/>
  <c r="Q1209" i="6"/>
  <c r="A1208" i="6"/>
  <c r="Q1208" i="6"/>
  <c r="L1208" i="6"/>
  <c r="K1208" i="6"/>
  <c r="A1207" i="6"/>
  <c r="Q1207" i="6"/>
  <c r="L1207" i="6"/>
  <c r="K1207" i="6"/>
  <c r="A1206" i="6"/>
  <c r="Q1206" i="6"/>
  <c r="L1206" i="6"/>
  <c r="K1206" i="6"/>
  <c r="A1205" i="6"/>
  <c r="Q1205" i="6"/>
  <c r="L1205" i="6"/>
  <c r="K1205" i="6"/>
  <c r="A1204" i="6"/>
  <c r="Q1204" i="6"/>
  <c r="L1204" i="6"/>
  <c r="K1204" i="6"/>
  <c r="A1203" i="6"/>
  <c r="Q1203" i="6"/>
  <c r="A1202" i="6"/>
  <c r="Q1202" i="6"/>
  <c r="L1202" i="6"/>
  <c r="K1202" i="6"/>
  <c r="A1201" i="6"/>
  <c r="Q1201" i="6"/>
  <c r="A1200" i="6"/>
  <c r="Q1200" i="6"/>
  <c r="A1199" i="6"/>
  <c r="Q1199" i="6"/>
  <c r="A1198" i="6"/>
  <c r="Q1198" i="6"/>
  <c r="Q1197" i="6"/>
  <c r="A1197" i="6" s="1"/>
  <c r="L1197" i="6"/>
  <c r="K1197" i="6"/>
  <c r="Q1196" i="6"/>
  <c r="A1196" i="6" s="1"/>
  <c r="A1195" i="6"/>
  <c r="Q1195" i="6"/>
  <c r="Q1194" i="6"/>
  <c r="A1194" i="6" s="1"/>
  <c r="L1194" i="6"/>
  <c r="K1194" i="6"/>
  <c r="Q1193" i="6"/>
  <c r="A1193" i="6" s="1"/>
  <c r="A1192" i="6"/>
  <c r="Q1192" i="6"/>
  <c r="Q1191" i="6"/>
  <c r="A1191" i="6" s="1"/>
  <c r="L1191" i="6"/>
  <c r="K1191" i="6"/>
  <c r="Q1190" i="6"/>
  <c r="A1190" i="6" s="1"/>
  <c r="A1189" i="6"/>
  <c r="Q1189" i="6"/>
  <c r="L1189" i="6"/>
  <c r="K1189" i="6"/>
  <c r="A1188" i="6"/>
  <c r="Q1188" i="6"/>
  <c r="L1188" i="6"/>
  <c r="K1188" i="6"/>
  <c r="A1187" i="6"/>
  <c r="Q1187" i="6"/>
  <c r="L1187" i="6"/>
  <c r="K1187" i="6"/>
  <c r="A1186" i="6"/>
  <c r="Q1186" i="6"/>
  <c r="Q1185" i="6"/>
  <c r="A1185" i="6" s="1"/>
  <c r="L1185" i="6"/>
  <c r="K1185" i="6"/>
  <c r="Q1184" i="6"/>
  <c r="A1184" i="6" s="1"/>
  <c r="L1184" i="6"/>
  <c r="K1184" i="6"/>
  <c r="Q1183" i="6"/>
  <c r="A1183" i="6" s="1"/>
  <c r="L1183" i="6"/>
  <c r="K1183" i="6"/>
  <c r="Q1182" i="6"/>
  <c r="A1182" i="6" s="1"/>
  <c r="L1182" i="6"/>
  <c r="K1182" i="6"/>
  <c r="Q1181" i="6"/>
  <c r="A1181" i="6" s="1"/>
  <c r="L1181" i="6"/>
  <c r="K1181" i="6"/>
  <c r="Q1180" i="6"/>
  <c r="A1180" i="6" s="1"/>
  <c r="L1180" i="6"/>
  <c r="K1180" i="6"/>
  <c r="Q1179" i="6"/>
  <c r="A1179" i="6" s="1"/>
  <c r="L1179" i="6"/>
  <c r="K1179" i="6"/>
  <c r="Q1178" i="6"/>
  <c r="A1178" i="6" s="1"/>
  <c r="L1178" i="6"/>
  <c r="K1178" i="6"/>
  <c r="Q1177" i="6"/>
  <c r="A1177" i="6" s="1"/>
  <c r="L1177" i="6"/>
  <c r="K1177" i="6"/>
  <c r="Q1176" i="6"/>
  <c r="A1176" i="6" s="1"/>
  <c r="L1176" i="6"/>
  <c r="K1176" i="6"/>
  <c r="Q1175" i="6"/>
  <c r="A1175" i="6" s="1"/>
  <c r="A1174" i="6"/>
  <c r="Q1174" i="6"/>
  <c r="L1174" i="6"/>
  <c r="K1174" i="6"/>
  <c r="A1173" i="6"/>
  <c r="Q1173" i="6"/>
  <c r="L1173" i="6"/>
  <c r="K1173" i="6"/>
  <c r="A1172" i="6"/>
  <c r="Q1172" i="6"/>
  <c r="L1172" i="6"/>
  <c r="K1172" i="6"/>
  <c r="A1171" i="6"/>
  <c r="Q1171" i="6"/>
  <c r="L1171" i="6"/>
  <c r="K1171" i="6"/>
  <c r="A1170" i="6"/>
  <c r="Q1170" i="6"/>
  <c r="Q1169" i="6"/>
  <c r="A1169" i="6" s="1"/>
  <c r="A1168" i="6"/>
  <c r="Q1168" i="6"/>
  <c r="L1168" i="6"/>
  <c r="K1168" i="6"/>
  <c r="A1167" i="6"/>
  <c r="Q1167" i="6"/>
  <c r="Q1166" i="6"/>
  <c r="A1166" i="6" s="1"/>
  <c r="A1165" i="6"/>
  <c r="Q1165" i="6"/>
  <c r="L1165" i="6"/>
  <c r="K1165" i="6"/>
  <c r="A1164" i="6"/>
  <c r="Q1164" i="6"/>
  <c r="Q1163" i="6"/>
  <c r="A1163" i="6" s="1"/>
  <c r="A1162" i="6"/>
  <c r="Q1162" i="6"/>
  <c r="Q1161" i="6"/>
  <c r="A1161" i="6" s="1"/>
  <c r="A1160" i="6"/>
  <c r="Q1160" i="6"/>
  <c r="Q1159" i="6"/>
  <c r="A1159" i="6" s="1"/>
  <c r="A1158" i="6"/>
  <c r="Q1158" i="6"/>
  <c r="L1158" i="6"/>
  <c r="K1158" i="6"/>
  <c r="A1157" i="6"/>
  <c r="Q1157" i="6"/>
  <c r="L1157" i="6"/>
  <c r="K1157" i="6"/>
  <c r="A1156" i="6"/>
  <c r="Q1156" i="6"/>
  <c r="Q1155" i="6"/>
  <c r="A1155" i="6" s="1"/>
  <c r="L1155" i="6"/>
  <c r="K1155" i="6"/>
  <c r="Q1154" i="6"/>
  <c r="A1154" i="6" s="1"/>
  <c r="A1153" i="6"/>
  <c r="Q1153" i="6"/>
  <c r="Q1152" i="6"/>
  <c r="A1152" i="6" s="1"/>
  <c r="A1151" i="6"/>
  <c r="Q1151" i="6"/>
  <c r="Q1150" i="6"/>
  <c r="A1150" i="6" s="1"/>
  <c r="A1149" i="6"/>
  <c r="Q1149" i="6"/>
  <c r="Q1148" i="6"/>
  <c r="A1148" i="6" s="1"/>
  <c r="A1147" i="6"/>
  <c r="Q1147" i="6"/>
  <c r="Q1146" i="6"/>
  <c r="A1146" i="6" s="1"/>
  <c r="A1145" i="6"/>
  <c r="Q1145" i="6"/>
  <c r="Q1144" i="6"/>
  <c r="A1144" i="6" s="1"/>
  <c r="A1143" i="6"/>
  <c r="Q1143" i="6"/>
  <c r="Q1142" i="6"/>
  <c r="A1142" i="6" s="1"/>
  <c r="A1141" i="6"/>
  <c r="Q1141" i="6"/>
  <c r="Q1140" i="6"/>
  <c r="A1140" i="6" s="1"/>
  <c r="A1139" i="6"/>
  <c r="Q1139" i="6"/>
  <c r="Q1138" i="6"/>
  <c r="A1138" i="6" s="1"/>
  <c r="A1137" i="6"/>
  <c r="Q1137" i="6"/>
  <c r="Q1136" i="6"/>
  <c r="A1136" i="6" s="1"/>
  <c r="L1136" i="6"/>
  <c r="K1136" i="6"/>
  <c r="Q1135" i="6"/>
  <c r="A1135" i="6" s="1"/>
  <c r="A1134" i="6"/>
  <c r="Q1134" i="6"/>
  <c r="Q1133" i="6"/>
  <c r="A1133" i="6" s="1"/>
  <c r="A1132" i="6"/>
  <c r="Q1132" i="6"/>
  <c r="Q1131" i="6"/>
  <c r="A1131" i="6" s="1"/>
  <c r="L1131" i="6"/>
  <c r="K1131" i="6"/>
  <c r="Q1130" i="6"/>
  <c r="A1130" i="6" s="1"/>
  <c r="L1130" i="6"/>
  <c r="K1130" i="6"/>
  <c r="Q1129" i="6"/>
  <c r="A1129" i="6" s="1"/>
  <c r="A1128" i="6"/>
  <c r="Q1128" i="6"/>
  <c r="Q1127" i="6"/>
  <c r="A1127" i="6" s="1"/>
  <c r="A1126" i="6"/>
  <c r="Q1126" i="6"/>
  <c r="Q1125" i="6"/>
  <c r="A1125" i="6" s="1"/>
  <c r="L1125" i="6"/>
  <c r="K1125" i="6"/>
  <c r="Q1124" i="6"/>
  <c r="A1124" i="6" s="1"/>
  <c r="A1123" i="6"/>
  <c r="Q1123" i="6"/>
  <c r="Q1122" i="6"/>
  <c r="A1122" i="6" s="1"/>
  <c r="A1121" i="6"/>
  <c r="Q1121" i="6"/>
  <c r="L1121" i="6"/>
  <c r="K1121" i="6"/>
  <c r="A1120" i="6"/>
  <c r="Q1120" i="6"/>
  <c r="Q1119" i="6"/>
  <c r="A1119" i="6" s="1"/>
  <c r="A1118" i="6"/>
  <c r="Q1118" i="6"/>
  <c r="Q1117" i="6"/>
  <c r="A1117" i="6" s="1"/>
  <c r="A1116" i="6"/>
  <c r="Q1116" i="6"/>
  <c r="Q1115" i="6"/>
  <c r="A1115" i="6" s="1"/>
  <c r="A1114" i="6"/>
  <c r="Q1114" i="6"/>
  <c r="Q1113" i="6"/>
  <c r="A1113" i="6" s="1"/>
  <c r="L1113" i="6"/>
  <c r="K1113" i="6"/>
  <c r="Q1112" i="6"/>
  <c r="A1112" i="6" s="1"/>
  <c r="L1112" i="6"/>
  <c r="K1112" i="6"/>
  <c r="Q1111" i="6"/>
  <c r="A1111" i="6" s="1"/>
  <c r="L1111" i="6"/>
  <c r="K1111" i="6"/>
  <c r="Q1110" i="6"/>
  <c r="A1110" i="6" s="1"/>
  <c r="L1110" i="6"/>
  <c r="K1110" i="6"/>
  <c r="Q1109" i="6"/>
  <c r="A1109" i="6" s="1"/>
  <c r="L1109" i="6"/>
  <c r="K1109" i="6"/>
  <c r="Q1108" i="6"/>
  <c r="A1108" i="6" s="1"/>
  <c r="L1108" i="6"/>
  <c r="K1108" i="6"/>
  <c r="Q1107" i="6"/>
  <c r="A1107" i="6" s="1"/>
  <c r="A1106" i="6"/>
  <c r="Q1106" i="6"/>
  <c r="Q1105" i="6"/>
  <c r="A1105" i="6" s="1"/>
  <c r="A1104" i="6"/>
  <c r="Q1104" i="6"/>
  <c r="Q1103" i="6"/>
  <c r="A1103" i="6" s="1"/>
  <c r="A1102" i="6"/>
  <c r="Q1102" i="6"/>
  <c r="Q1101" i="6"/>
  <c r="A1101" i="6" s="1"/>
  <c r="A1100" i="6"/>
  <c r="Q1100" i="6"/>
  <c r="Q1099" i="6"/>
  <c r="A1099" i="6" s="1"/>
  <c r="A1098" i="6"/>
  <c r="Q1098" i="6"/>
  <c r="Q1097" i="6"/>
  <c r="A1097" i="6" s="1"/>
  <c r="L1097" i="6"/>
  <c r="K1097" i="6"/>
  <c r="Q1096" i="6"/>
  <c r="A1096" i="6" s="1"/>
  <c r="A1095" i="6"/>
  <c r="Q1095" i="6"/>
  <c r="Q1094" i="6"/>
  <c r="A1094" i="6" s="1"/>
  <c r="A1093" i="6"/>
  <c r="Q1093" i="6"/>
  <c r="Q1092" i="6"/>
  <c r="A1092" i="6" s="1"/>
  <c r="A1091" i="6"/>
  <c r="Q1091" i="6"/>
  <c r="Q1090" i="6"/>
  <c r="A1090" i="6" s="1"/>
  <c r="A1089" i="6"/>
  <c r="Q1089" i="6"/>
  <c r="L1089" i="6"/>
  <c r="K1089" i="6"/>
  <c r="A1088" i="6"/>
  <c r="Q1088" i="6"/>
  <c r="L1088" i="6"/>
  <c r="K1088" i="6"/>
  <c r="A1087" i="6"/>
  <c r="Q1087" i="6"/>
  <c r="L1087" i="6"/>
  <c r="K1087" i="6"/>
  <c r="A1086" i="6"/>
  <c r="Q1086" i="6"/>
  <c r="L1086" i="6"/>
  <c r="K1086" i="6"/>
  <c r="A1085" i="6"/>
  <c r="Q1085" i="6"/>
  <c r="L1085" i="6"/>
  <c r="K1085" i="6"/>
  <c r="A1084" i="6"/>
  <c r="Q1084" i="6"/>
  <c r="L1084" i="6"/>
  <c r="K1084" i="6"/>
  <c r="A1083" i="6"/>
  <c r="Q1083" i="6"/>
  <c r="L1083" i="6"/>
  <c r="K1083" i="6"/>
  <c r="A1082" i="6"/>
  <c r="Q1082" i="6"/>
  <c r="Q1081" i="6"/>
  <c r="A1081" i="6" s="1"/>
  <c r="L1081" i="6"/>
  <c r="K1081" i="6"/>
  <c r="Q1080" i="6"/>
  <c r="A1080" i="6" s="1"/>
  <c r="L1080" i="6"/>
  <c r="K1080" i="6"/>
  <c r="Q1079" i="6"/>
  <c r="A1079" i="6" s="1"/>
  <c r="L1079" i="6"/>
  <c r="K1079" i="6"/>
  <c r="Q1078" i="6"/>
  <c r="A1078" i="6" s="1"/>
  <c r="A1077" i="6"/>
  <c r="Q1077" i="6"/>
  <c r="L1077" i="6"/>
  <c r="K1077" i="6"/>
  <c r="A1076" i="6"/>
  <c r="Q1076" i="6"/>
  <c r="Q1075" i="6"/>
  <c r="A1075" i="6" s="1"/>
  <c r="A1074" i="6"/>
  <c r="Q1074" i="6"/>
  <c r="Q1073" i="6"/>
  <c r="A1073" i="6" s="1"/>
  <c r="A1072" i="6"/>
  <c r="Q1072" i="6"/>
  <c r="Q1071" i="6"/>
  <c r="A1071" i="6" s="1"/>
  <c r="A1070" i="6"/>
  <c r="Q1070" i="6"/>
  <c r="Q1069" i="6"/>
  <c r="A1069" i="6" s="1"/>
  <c r="A1068" i="6"/>
  <c r="Q1068" i="6"/>
  <c r="L1068" i="6"/>
  <c r="K1068" i="6"/>
  <c r="A1067" i="6"/>
  <c r="Q1067" i="6"/>
  <c r="L1067" i="6"/>
  <c r="K1067" i="6"/>
  <c r="A1066" i="6"/>
  <c r="Q1066" i="6"/>
  <c r="L1066" i="6"/>
  <c r="K1066" i="6"/>
  <c r="A1065" i="6"/>
  <c r="Q1065" i="6"/>
  <c r="Q1064" i="6"/>
  <c r="A1064" i="6" s="1"/>
  <c r="A1063" i="6"/>
  <c r="Q1063" i="6"/>
  <c r="Q1062" i="6"/>
  <c r="A1062" i="6" s="1"/>
  <c r="L1062" i="6"/>
  <c r="K1062" i="6"/>
  <c r="Q1061" i="6"/>
  <c r="A1061" i="6" s="1"/>
  <c r="L1061" i="6"/>
  <c r="K1061" i="6"/>
  <c r="Q1060" i="6"/>
  <c r="A1060" i="6" s="1"/>
  <c r="A1059" i="6"/>
  <c r="Q1059" i="6"/>
  <c r="Q1058" i="6"/>
  <c r="A1058" i="6" s="1"/>
  <c r="A1057" i="6"/>
  <c r="Q1057" i="6"/>
  <c r="Q1056" i="6"/>
  <c r="A1056" i="6" s="1"/>
  <c r="A1055" i="6"/>
  <c r="Q1055" i="6"/>
  <c r="Q1054" i="6"/>
  <c r="A1054" i="6" s="1"/>
  <c r="A1053" i="6"/>
  <c r="Q1053" i="6"/>
  <c r="Q1052" i="6"/>
  <c r="A1052" i="6" s="1"/>
  <c r="L1052" i="6"/>
  <c r="K1052" i="6"/>
  <c r="Q1051" i="6"/>
  <c r="A1051" i="6" s="1"/>
  <c r="A1050" i="6"/>
  <c r="Q1050" i="6"/>
  <c r="L1050" i="6"/>
  <c r="K1050" i="6"/>
  <c r="A1049" i="6"/>
  <c r="Q1049" i="6"/>
  <c r="Q1048" i="6"/>
  <c r="A1048" i="6" s="1"/>
  <c r="A1047" i="6"/>
  <c r="Q1047" i="6"/>
  <c r="L1047" i="6"/>
  <c r="K1047" i="6"/>
  <c r="A1046" i="6"/>
  <c r="Q1046" i="6"/>
  <c r="Q1045" i="6"/>
  <c r="A1045" i="6" s="1"/>
  <c r="A1044" i="6"/>
  <c r="Q1044" i="6"/>
  <c r="Q1043" i="6"/>
  <c r="A1043" i="6" s="1"/>
  <c r="A1042" i="6"/>
  <c r="Q1042" i="6"/>
  <c r="Q1041" i="6"/>
  <c r="A1041" i="6" s="1"/>
  <c r="A1040" i="6"/>
  <c r="Q1040" i="6"/>
  <c r="Q1039" i="6"/>
  <c r="A1039" i="6" s="1"/>
  <c r="A1038" i="6"/>
  <c r="Q1038" i="6"/>
  <c r="Q1037" i="6"/>
  <c r="A1037" i="6" s="1"/>
  <c r="A1036" i="6"/>
  <c r="Q1036" i="6"/>
  <c r="Q1035" i="6"/>
  <c r="A1035" i="6" s="1"/>
  <c r="A1034" i="6"/>
  <c r="Q1034" i="6"/>
  <c r="Q1033" i="6"/>
  <c r="A1033" i="6" s="1"/>
  <c r="A1032" i="6"/>
  <c r="Q1032" i="6"/>
  <c r="Q1031" i="6"/>
  <c r="A1031" i="6" s="1"/>
  <c r="A1030" i="6"/>
  <c r="Q1030" i="6"/>
  <c r="Q1029" i="6"/>
  <c r="A1029" i="6" s="1"/>
  <c r="A1028" i="6"/>
  <c r="Q1028" i="6"/>
  <c r="Q1027" i="6"/>
  <c r="A1027" i="6" s="1"/>
  <c r="A1026" i="6"/>
  <c r="Q1026" i="6"/>
  <c r="Q1025" i="6"/>
  <c r="A1025" i="6" s="1"/>
  <c r="A1024" i="6"/>
  <c r="Q1024" i="6"/>
  <c r="Q1023" i="6"/>
  <c r="A1023" i="6" s="1"/>
  <c r="L1023" i="6"/>
  <c r="K1023" i="6"/>
  <c r="Q1022" i="6"/>
  <c r="A1022" i="6" s="1"/>
  <c r="A1021" i="6"/>
  <c r="Q1021" i="6"/>
  <c r="Q1020" i="6"/>
  <c r="A1020" i="6" s="1"/>
  <c r="A1019" i="6"/>
  <c r="Q1019" i="6"/>
  <c r="Q1018" i="6"/>
  <c r="A1018" i="6" s="1"/>
  <c r="A1017" i="6"/>
  <c r="Q1017" i="6"/>
  <c r="Q1016" i="6"/>
  <c r="A1016" i="6" s="1"/>
  <c r="A1015" i="6"/>
  <c r="Q1015" i="6"/>
  <c r="Q1014" i="6"/>
  <c r="A1014" i="6" s="1"/>
  <c r="A1013" i="6"/>
  <c r="Q1013" i="6"/>
  <c r="Q1012" i="6"/>
  <c r="A1012" i="6" s="1"/>
  <c r="A1011" i="6"/>
  <c r="Q1011" i="6"/>
  <c r="Q1010" i="6"/>
  <c r="A1010" i="6" s="1"/>
  <c r="A1009" i="6"/>
  <c r="Q1009" i="6"/>
  <c r="L1009" i="6"/>
  <c r="K1009" i="6"/>
  <c r="A1008" i="6"/>
  <c r="Q1008" i="6"/>
  <c r="Q1007" i="6"/>
  <c r="A1007" i="6" s="1"/>
  <c r="L1007" i="6"/>
  <c r="K1007" i="6"/>
  <c r="Q1006" i="6"/>
  <c r="A1006" i="6" s="1"/>
  <c r="A1005" i="6"/>
  <c r="Q1005" i="6"/>
  <c r="Q1004" i="6"/>
  <c r="A1004" i="6" s="1"/>
  <c r="A1003" i="6"/>
  <c r="Q1003" i="6"/>
  <c r="Q1002" i="6"/>
  <c r="A1002" i="6" s="1"/>
  <c r="A1001" i="6"/>
  <c r="Q1001" i="6"/>
  <c r="Q1000" i="6"/>
  <c r="A1000" i="6" s="1"/>
  <c r="A999" i="6"/>
  <c r="Q999" i="6"/>
  <c r="Q998" i="6"/>
  <c r="A998" i="6" s="1"/>
  <c r="A997" i="6"/>
  <c r="Q997" i="6"/>
  <c r="Q996" i="6"/>
  <c r="A996" i="6" s="1"/>
  <c r="A995" i="6"/>
  <c r="Q995" i="6"/>
  <c r="Q994" i="6"/>
  <c r="A994" i="6" s="1"/>
  <c r="L994" i="6"/>
  <c r="K994" i="6"/>
  <c r="Q993" i="6"/>
  <c r="A993" i="6" s="1"/>
  <c r="L993" i="6"/>
  <c r="K993" i="6"/>
  <c r="Q992" i="6"/>
  <c r="A992" i="6" s="1"/>
  <c r="M992" i="6"/>
  <c r="L992" i="6"/>
  <c r="K992" i="6"/>
  <c r="A991" i="6"/>
  <c r="Q991" i="6"/>
  <c r="L991" i="6"/>
  <c r="K991" i="6"/>
  <c r="A990" i="6"/>
  <c r="Q990" i="6"/>
  <c r="L990" i="6"/>
  <c r="K990" i="6"/>
  <c r="A989" i="6"/>
  <c r="Q989" i="6"/>
  <c r="M989" i="6"/>
  <c r="L989" i="6"/>
  <c r="K989" i="6"/>
  <c r="A988" i="6"/>
  <c r="Q988" i="6"/>
  <c r="L988" i="6"/>
  <c r="K988" i="6"/>
  <c r="A987" i="6"/>
  <c r="Q987" i="6"/>
  <c r="M987" i="6"/>
  <c r="L987" i="6"/>
  <c r="K987" i="6"/>
  <c r="A986" i="6"/>
  <c r="Q986" i="6"/>
  <c r="L986" i="6"/>
  <c r="K986" i="6"/>
  <c r="A985" i="6"/>
  <c r="Q985" i="6"/>
  <c r="L985" i="6"/>
  <c r="K985" i="6"/>
  <c r="A984" i="6"/>
  <c r="Q984" i="6"/>
  <c r="L984" i="6"/>
  <c r="K984" i="6"/>
  <c r="A983" i="6"/>
  <c r="Q983" i="6"/>
  <c r="A982" i="6"/>
  <c r="Q982" i="6"/>
  <c r="L982" i="6"/>
  <c r="K982" i="6"/>
  <c r="A981" i="6"/>
  <c r="Q981" i="6"/>
  <c r="L981" i="6"/>
  <c r="K981" i="6"/>
  <c r="A980" i="6"/>
  <c r="Q980" i="6"/>
  <c r="M980" i="6"/>
  <c r="L980" i="6"/>
  <c r="K980" i="6"/>
  <c r="A979" i="6"/>
  <c r="Q979" i="6"/>
  <c r="Q978" i="6"/>
  <c r="A978" i="6" s="1"/>
  <c r="A977" i="6"/>
  <c r="Q977" i="6"/>
  <c r="Q976" i="6"/>
  <c r="A976" i="6" s="1"/>
  <c r="A975" i="6"/>
  <c r="Q975" i="6"/>
  <c r="Q974" i="6"/>
  <c r="A974" i="6" s="1"/>
  <c r="A973" i="6"/>
  <c r="Q973" i="6"/>
  <c r="Q972" i="6"/>
  <c r="A972" i="6" s="1"/>
  <c r="A971" i="6"/>
  <c r="Q971" i="6"/>
  <c r="Q970" i="6"/>
  <c r="A970" i="6" s="1"/>
  <c r="A969" i="6"/>
  <c r="Q969" i="6"/>
  <c r="Q968" i="6"/>
  <c r="A968" i="6" s="1"/>
  <c r="L968" i="6"/>
  <c r="K968" i="6"/>
  <c r="Q967" i="6"/>
  <c r="A967" i="6" s="1"/>
  <c r="A966" i="6"/>
  <c r="Q966" i="6"/>
  <c r="Q965" i="6"/>
  <c r="A965" i="6" s="1"/>
  <c r="A964" i="6"/>
  <c r="Q964" i="6"/>
  <c r="Q963" i="6"/>
  <c r="A963" i="6" s="1"/>
  <c r="A962" i="6"/>
  <c r="Q962" i="6"/>
  <c r="Q961" i="6"/>
  <c r="A961" i="6" s="1"/>
  <c r="L961" i="6"/>
  <c r="K961" i="6"/>
  <c r="Q960" i="6"/>
  <c r="A960" i="6" s="1"/>
  <c r="A959" i="6"/>
  <c r="Q959" i="6"/>
  <c r="Q958" i="6"/>
  <c r="A958" i="6" s="1"/>
  <c r="A957" i="6"/>
  <c r="Q957" i="6"/>
  <c r="Q956" i="6"/>
  <c r="A956" i="6" s="1"/>
  <c r="A955" i="6"/>
  <c r="Q955" i="6"/>
  <c r="Q954" i="6"/>
  <c r="A954" i="6" s="1"/>
  <c r="L954" i="6"/>
  <c r="K954" i="6"/>
  <c r="Q953" i="6"/>
  <c r="A953" i="6" s="1"/>
  <c r="L953" i="6"/>
  <c r="K953" i="6"/>
  <c r="Q952" i="6"/>
  <c r="A952" i="6" s="1"/>
  <c r="A951" i="6"/>
  <c r="Q951" i="6"/>
  <c r="Q950" i="6"/>
  <c r="A950" i="6" s="1"/>
  <c r="A949" i="6"/>
  <c r="Q949" i="6"/>
  <c r="Q948" i="6"/>
  <c r="A948" i="6" s="1"/>
  <c r="A947" i="6"/>
  <c r="Q947" i="6"/>
  <c r="Q946" i="6"/>
  <c r="A946" i="6" s="1"/>
  <c r="A945" i="6"/>
  <c r="Q945" i="6"/>
  <c r="Q944" i="6"/>
  <c r="A944" i="6" s="1"/>
  <c r="A943" i="6"/>
  <c r="Q943" i="6"/>
  <c r="L943" i="6"/>
  <c r="K943" i="6"/>
  <c r="A942" i="6"/>
  <c r="Q942" i="6"/>
  <c r="L942" i="6"/>
  <c r="K942" i="6"/>
  <c r="A941" i="6"/>
  <c r="Q941" i="6"/>
  <c r="L941" i="6"/>
  <c r="K941" i="6"/>
  <c r="A940" i="6"/>
  <c r="Q940" i="6"/>
  <c r="L940" i="6"/>
  <c r="K940" i="6"/>
  <c r="A939" i="6"/>
  <c r="Q939" i="6"/>
  <c r="L939" i="6"/>
  <c r="K939" i="6"/>
  <c r="A938" i="6"/>
  <c r="Q938" i="6"/>
  <c r="L938" i="6"/>
  <c r="K938" i="6"/>
  <c r="A937" i="6"/>
  <c r="Q937" i="6"/>
  <c r="L937" i="6"/>
  <c r="K937" i="6"/>
  <c r="A936" i="6"/>
  <c r="Q936" i="6"/>
  <c r="L936" i="6"/>
  <c r="K936" i="6"/>
  <c r="A935" i="6"/>
  <c r="Q935" i="6"/>
  <c r="Q934" i="6"/>
  <c r="A934" i="6" s="1"/>
  <c r="A933" i="6"/>
  <c r="Q933" i="6"/>
  <c r="L933" i="6"/>
  <c r="K933" i="6"/>
  <c r="A932" i="6"/>
  <c r="Q932" i="6"/>
  <c r="Q931" i="6"/>
  <c r="A931" i="6" s="1"/>
  <c r="A930" i="6"/>
  <c r="Q930" i="6"/>
  <c r="Q929" i="6"/>
  <c r="A929" i="6" s="1"/>
  <c r="A928" i="6"/>
  <c r="Q928" i="6"/>
  <c r="Q927" i="6"/>
  <c r="A927" i="6" s="1"/>
  <c r="A926" i="6"/>
  <c r="Q926" i="6"/>
  <c r="Q925" i="6"/>
  <c r="A925" i="6" s="1"/>
  <c r="L925" i="6"/>
  <c r="K925" i="6"/>
  <c r="Q924" i="6"/>
  <c r="A924" i="6" s="1"/>
  <c r="L924" i="6"/>
  <c r="K924" i="6"/>
  <c r="Q923" i="6"/>
  <c r="A923" i="6" s="1"/>
  <c r="L923" i="6"/>
  <c r="K923" i="6"/>
  <c r="Q922" i="6"/>
  <c r="A922" i="6" s="1"/>
  <c r="L922" i="6"/>
  <c r="K922" i="6"/>
  <c r="Q921" i="6"/>
  <c r="A921" i="6" s="1"/>
  <c r="L921" i="6"/>
  <c r="K921" i="6"/>
  <c r="Q920" i="6"/>
  <c r="A920" i="6" s="1"/>
  <c r="L920" i="6"/>
  <c r="K920" i="6"/>
  <c r="Q919" i="6"/>
  <c r="A919" i="6" s="1"/>
  <c r="L919" i="6"/>
  <c r="K919" i="6"/>
  <c r="Q918" i="6"/>
  <c r="A918" i="6" s="1"/>
  <c r="L918" i="6"/>
  <c r="K918" i="6"/>
  <c r="Q917" i="6"/>
  <c r="A917" i="6" s="1"/>
  <c r="A916" i="6"/>
  <c r="Q916" i="6"/>
  <c r="Q915" i="6"/>
  <c r="A915" i="6" s="1"/>
  <c r="L915" i="6"/>
  <c r="K915" i="6"/>
  <c r="Q914" i="6"/>
  <c r="A914" i="6" s="1"/>
  <c r="L914" i="6"/>
  <c r="K914" i="6"/>
  <c r="Q913" i="6"/>
  <c r="A913" i="6" s="1"/>
  <c r="L913" i="6"/>
  <c r="K913" i="6"/>
  <c r="Q912" i="6"/>
  <c r="A912" i="6" s="1"/>
  <c r="M912" i="6"/>
  <c r="L912" i="6"/>
  <c r="K912" i="6"/>
  <c r="A911" i="6"/>
  <c r="Q911" i="6"/>
  <c r="L911" i="6"/>
  <c r="K911" i="6"/>
  <c r="A910" i="6"/>
  <c r="Q910" i="6"/>
  <c r="A909" i="6"/>
  <c r="Q909" i="6"/>
  <c r="A908" i="6"/>
  <c r="Q908" i="6"/>
  <c r="A907" i="6"/>
  <c r="Q907" i="6"/>
  <c r="A906" i="6"/>
  <c r="Q906" i="6"/>
  <c r="A905" i="6"/>
  <c r="Q905" i="6"/>
  <c r="A904" i="6"/>
  <c r="Q904" i="6"/>
  <c r="A903" i="6"/>
  <c r="Q903" i="6"/>
  <c r="A902" i="6"/>
  <c r="Q902" i="6"/>
  <c r="A901" i="6"/>
  <c r="Q901" i="6"/>
  <c r="A900" i="6"/>
  <c r="Q900" i="6"/>
  <c r="A899" i="6"/>
  <c r="Q899" i="6"/>
  <c r="A898" i="6"/>
  <c r="Q898" i="6"/>
  <c r="A897" i="6"/>
  <c r="Q897" i="6"/>
  <c r="A896" i="6"/>
  <c r="Q896" i="6"/>
  <c r="A895" i="6"/>
  <c r="Q895" i="6"/>
  <c r="A894" i="6"/>
  <c r="Q894" i="6"/>
  <c r="A893" i="6"/>
  <c r="Q893" i="6"/>
  <c r="A892" i="6"/>
  <c r="Q892" i="6"/>
  <c r="A891" i="6"/>
  <c r="Q891" i="6"/>
  <c r="A890" i="6"/>
  <c r="Q890" i="6"/>
  <c r="A889" i="6"/>
  <c r="Q889" i="6"/>
  <c r="A888" i="6"/>
  <c r="Q888" i="6"/>
  <c r="A887" i="6"/>
  <c r="Q887" i="6"/>
  <c r="A886" i="6"/>
  <c r="Q886" i="6"/>
  <c r="A885" i="6"/>
  <c r="Q885" i="6"/>
  <c r="A884" i="6"/>
  <c r="Q884" i="6"/>
  <c r="L884" i="6"/>
  <c r="K884" i="6"/>
  <c r="A883" i="6"/>
  <c r="Q883" i="6"/>
  <c r="A882" i="6"/>
  <c r="Q882" i="6"/>
  <c r="A881" i="6"/>
  <c r="Q881" i="6"/>
  <c r="A880" i="6"/>
  <c r="Q880" i="6"/>
  <c r="A879" i="6"/>
  <c r="Q879" i="6"/>
  <c r="A878" i="6"/>
  <c r="Q878" i="6"/>
  <c r="A877" i="6"/>
  <c r="Q877" i="6"/>
  <c r="A876" i="6"/>
  <c r="Q876" i="6"/>
  <c r="L876" i="6"/>
  <c r="K876" i="6"/>
  <c r="A875" i="6"/>
  <c r="Q875" i="6"/>
  <c r="L875" i="6"/>
  <c r="K875" i="6"/>
  <c r="A874" i="6"/>
  <c r="Q874" i="6"/>
  <c r="L874" i="6"/>
  <c r="K874" i="6"/>
  <c r="A873" i="6"/>
  <c r="Q873" i="6"/>
  <c r="L873" i="6"/>
  <c r="K873" i="6"/>
  <c r="A872" i="6"/>
  <c r="Q872" i="6"/>
  <c r="A871" i="6"/>
  <c r="Q871" i="6"/>
  <c r="L871" i="6"/>
  <c r="K871" i="6"/>
  <c r="A870" i="6"/>
  <c r="Q870" i="6"/>
  <c r="A869" i="6"/>
  <c r="Q869" i="6"/>
  <c r="A868" i="6"/>
  <c r="Q868" i="6"/>
  <c r="A867" i="6"/>
  <c r="Q867" i="6"/>
  <c r="A866" i="6"/>
  <c r="Q866" i="6"/>
  <c r="L866" i="6"/>
  <c r="K866" i="6"/>
  <c r="A865" i="6"/>
  <c r="Q865" i="6"/>
  <c r="L865" i="6"/>
  <c r="K865" i="6"/>
  <c r="A864" i="6"/>
  <c r="Q864" i="6"/>
  <c r="L864" i="6"/>
  <c r="K864" i="6"/>
  <c r="A863" i="6"/>
  <c r="Q863" i="6"/>
  <c r="L863" i="6"/>
  <c r="K863" i="6"/>
  <c r="A862" i="6"/>
  <c r="Q862" i="6"/>
  <c r="L862" i="6"/>
  <c r="K862" i="6"/>
  <c r="A861" i="6"/>
  <c r="Q861" i="6"/>
  <c r="L861" i="6"/>
  <c r="K861" i="6"/>
  <c r="A860" i="6"/>
  <c r="Q860" i="6"/>
  <c r="L860" i="6"/>
  <c r="K860" i="6"/>
  <c r="A859" i="6"/>
  <c r="Q859" i="6"/>
  <c r="A858" i="6"/>
  <c r="Q858" i="6"/>
  <c r="L858" i="6"/>
  <c r="K858" i="6"/>
  <c r="A857" i="6"/>
  <c r="Q857" i="6"/>
  <c r="L857" i="6"/>
  <c r="K857" i="6"/>
  <c r="A856" i="6"/>
  <c r="Q856" i="6"/>
  <c r="L856" i="6"/>
  <c r="K856" i="6"/>
  <c r="A855" i="6"/>
  <c r="Q855" i="6"/>
  <c r="L855" i="6"/>
  <c r="K855" i="6"/>
  <c r="A854" i="6"/>
  <c r="Q854" i="6"/>
  <c r="L854" i="6"/>
  <c r="K854" i="6"/>
  <c r="A853" i="6"/>
  <c r="Q853" i="6"/>
  <c r="L853" i="6"/>
  <c r="K853" i="6"/>
  <c r="A852" i="6"/>
  <c r="Q852" i="6"/>
  <c r="A851" i="6"/>
  <c r="Q851" i="6"/>
  <c r="A850" i="6"/>
  <c r="Q850" i="6"/>
  <c r="L850" i="6"/>
  <c r="K850" i="6"/>
  <c r="A849" i="6"/>
  <c r="Q849" i="6"/>
  <c r="A848" i="6"/>
  <c r="Q848" i="6"/>
  <c r="L848" i="6"/>
  <c r="K848" i="6"/>
  <c r="A847" i="6"/>
  <c r="Q847" i="6"/>
  <c r="A846" i="6"/>
  <c r="Q846" i="6"/>
  <c r="A845" i="6"/>
  <c r="Q845" i="6"/>
  <c r="L845" i="6"/>
  <c r="K845" i="6"/>
  <c r="A844" i="6"/>
  <c r="Q844" i="6"/>
  <c r="L844" i="6"/>
  <c r="K844" i="6"/>
  <c r="A843" i="6"/>
  <c r="Q843" i="6"/>
  <c r="A842" i="6"/>
  <c r="Q842" i="6"/>
  <c r="A841" i="6"/>
  <c r="Q841" i="6"/>
  <c r="A840" i="6"/>
  <c r="Q840" i="6"/>
  <c r="A839" i="6"/>
  <c r="Q839" i="6"/>
  <c r="L839" i="6"/>
  <c r="K839" i="6"/>
  <c r="A838" i="6"/>
  <c r="Q838" i="6"/>
  <c r="L838" i="6"/>
  <c r="K838" i="6"/>
  <c r="A837" i="6"/>
  <c r="Q837" i="6"/>
  <c r="L837" i="6"/>
  <c r="K837" i="6"/>
  <c r="A836" i="6"/>
  <c r="Q836" i="6"/>
  <c r="L836" i="6"/>
  <c r="K836" i="6"/>
  <c r="A835" i="6"/>
  <c r="Q835" i="6"/>
  <c r="L835" i="6"/>
  <c r="K835" i="6"/>
  <c r="A834" i="6"/>
  <c r="Q834" i="6"/>
  <c r="A833" i="6"/>
  <c r="Q833" i="6"/>
  <c r="A832" i="6"/>
  <c r="Q832" i="6"/>
  <c r="A831" i="6"/>
  <c r="Q831" i="6"/>
  <c r="A830" i="6"/>
  <c r="Q830" i="6"/>
  <c r="A829" i="6"/>
  <c r="Q829" i="6"/>
  <c r="A828" i="6"/>
  <c r="Q828" i="6"/>
  <c r="A827" i="6"/>
  <c r="Q827" i="6"/>
  <c r="A826" i="6"/>
  <c r="Q826" i="6"/>
  <c r="A825" i="6"/>
  <c r="Q825" i="6"/>
  <c r="A824" i="6"/>
  <c r="Q824" i="6"/>
  <c r="L824" i="6"/>
  <c r="K824" i="6"/>
  <c r="A823" i="6"/>
  <c r="Q823" i="6"/>
  <c r="L823" i="6"/>
  <c r="K823" i="6"/>
  <c r="A822" i="6"/>
  <c r="Q822" i="6"/>
  <c r="L822" i="6"/>
  <c r="K822" i="6"/>
  <c r="A821" i="6"/>
  <c r="Q821" i="6"/>
  <c r="A820" i="6"/>
  <c r="Q820" i="6"/>
  <c r="L820" i="6"/>
  <c r="K820" i="6"/>
  <c r="A819" i="6"/>
  <c r="Q819" i="6"/>
  <c r="A818" i="6"/>
  <c r="Q818" i="6"/>
  <c r="L818" i="6"/>
  <c r="K818" i="6"/>
  <c r="A817" i="6"/>
  <c r="Q817" i="6"/>
  <c r="L817" i="6"/>
  <c r="K817" i="6"/>
  <c r="A816" i="6"/>
  <c r="Q816" i="6"/>
  <c r="A815" i="6"/>
  <c r="Q815" i="6"/>
  <c r="L815" i="6"/>
  <c r="K815" i="6"/>
  <c r="A814" i="6"/>
  <c r="Q814" i="6"/>
  <c r="L814" i="6"/>
  <c r="K814" i="6"/>
  <c r="A813" i="6"/>
  <c r="Q813" i="6"/>
  <c r="L813" i="6"/>
  <c r="K813" i="6"/>
  <c r="A812" i="6"/>
  <c r="Q812" i="6"/>
  <c r="L812" i="6"/>
  <c r="K812" i="6"/>
  <c r="A811" i="6"/>
  <c r="Q811" i="6"/>
  <c r="A810" i="6"/>
  <c r="Q810" i="6"/>
  <c r="L810" i="6"/>
  <c r="K810" i="6"/>
  <c r="A809" i="6"/>
  <c r="Q809" i="6"/>
  <c r="A808" i="6"/>
  <c r="Q808" i="6"/>
  <c r="L808" i="6"/>
  <c r="K808" i="6"/>
  <c r="A807" i="6"/>
  <c r="Q807" i="6"/>
  <c r="L807" i="6"/>
  <c r="K807" i="6"/>
  <c r="A806" i="6"/>
  <c r="Q806" i="6"/>
  <c r="A805" i="6"/>
  <c r="Q805" i="6"/>
  <c r="A804" i="6"/>
  <c r="Q804" i="6"/>
  <c r="A803" i="6"/>
  <c r="Q803" i="6"/>
  <c r="A802" i="6"/>
  <c r="Q802" i="6"/>
  <c r="A801" i="6"/>
  <c r="Q801" i="6"/>
  <c r="A800" i="6"/>
  <c r="Q800" i="6"/>
  <c r="A799" i="6"/>
  <c r="Q799" i="6"/>
  <c r="A798" i="6"/>
  <c r="Q798" i="6"/>
  <c r="A797" i="6"/>
  <c r="Q797" i="6"/>
  <c r="A796" i="6"/>
  <c r="Q796" i="6"/>
  <c r="A795" i="6"/>
  <c r="Q795" i="6"/>
  <c r="A794" i="6"/>
  <c r="Q794" i="6"/>
  <c r="L794" i="6"/>
  <c r="K794" i="6"/>
  <c r="A793" i="6"/>
  <c r="Q793" i="6"/>
  <c r="L793" i="6"/>
  <c r="K793" i="6"/>
  <c r="A792" i="6"/>
  <c r="Q792" i="6"/>
  <c r="A791" i="6"/>
  <c r="Q791" i="6"/>
  <c r="A790" i="6"/>
  <c r="Q790" i="6"/>
  <c r="A789" i="6"/>
  <c r="Q789" i="6"/>
  <c r="A788" i="6"/>
  <c r="Q788" i="6"/>
  <c r="A787" i="6"/>
  <c r="Q787" i="6"/>
  <c r="A786" i="6"/>
  <c r="Q786" i="6"/>
  <c r="A785" i="6"/>
  <c r="Q785" i="6"/>
  <c r="A784" i="6"/>
  <c r="Q784" i="6"/>
  <c r="A783" i="6"/>
  <c r="Q783" i="6"/>
  <c r="A782" i="6"/>
  <c r="Q782" i="6"/>
  <c r="A781" i="6"/>
  <c r="Q781" i="6"/>
  <c r="A780" i="6"/>
  <c r="Q780" i="6"/>
  <c r="A779" i="6"/>
  <c r="Q779" i="6"/>
  <c r="A778" i="6"/>
  <c r="Q778" i="6"/>
  <c r="A777" i="6"/>
  <c r="Q777" i="6"/>
  <c r="A776" i="6"/>
  <c r="Q776" i="6"/>
  <c r="A775" i="6"/>
  <c r="Q775" i="6"/>
  <c r="L775" i="6"/>
  <c r="K775" i="6"/>
  <c r="A774" i="6"/>
  <c r="Q774" i="6"/>
  <c r="A773" i="6"/>
  <c r="Q773" i="6"/>
  <c r="A772" i="6"/>
  <c r="Q772" i="6"/>
  <c r="A771" i="6"/>
  <c r="Q771" i="6"/>
  <c r="A770" i="6"/>
  <c r="Q770" i="6"/>
  <c r="A769" i="6"/>
  <c r="Q769" i="6"/>
  <c r="A768" i="6"/>
  <c r="Q768" i="6"/>
  <c r="A767" i="6"/>
  <c r="Q767" i="6"/>
  <c r="A766" i="6"/>
  <c r="Q766" i="6"/>
  <c r="A765" i="6"/>
  <c r="Q765" i="6"/>
  <c r="A764" i="6"/>
  <c r="Q764" i="6"/>
  <c r="A763" i="6"/>
  <c r="Q763" i="6"/>
  <c r="L763" i="6"/>
  <c r="K763" i="6"/>
  <c r="A762" i="6"/>
  <c r="Q762" i="6"/>
  <c r="L762" i="6"/>
  <c r="K762" i="6"/>
  <c r="A761" i="6"/>
  <c r="Q761" i="6"/>
  <c r="L761" i="6"/>
  <c r="K761" i="6"/>
  <c r="A760" i="6"/>
  <c r="Q760" i="6"/>
  <c r="L760" i="6"/>
  <c r="K760" i="6"/>
  <c r="A759" i="6"/>
  <c r="Q759" i="6"/>
  <c r="A758" i="6"/>
  <c r="Q758" i="6"/>
  <c r="A757" i="6"/>
  <c r="Q757" i="6"/>
  <c r="A756" i="6"/>
  <c r="Q756" i="6"/>
  <c r="A755" i="6"/>
  <c r="Q755" i="6"/>
  <c r="A754" i="6"/>
  <c r="Q754" i="6"/>
  <c r="A753" i="6"/>
  <c r="Q753" i="6"/>
  <c r="A752" i="6"/>
  <c r="Q752" i="6"/>
  <c r="L752" i="6"/>
  <c r="K752" i="6"/>
  <c r="A751" i="6"/>
  <c r="Q751" i="6"/>
  <c r="A750" i="6"/>
  <c r="Q750" i="6"/>
  <c r="L750" i="6"/>
  <c r="K750" i="6"/>
  <c r="A749" i="6"/>
  <c r="Q749" i="6"/>
  <c r="A748" i="6"/>
  <c r="Q748" i="6"/>
  <c r="A747" i="6"/>
  <c r="Q747" i="6"/>
  <c r="A746" i="6"/>
  <c r="Q746" i="6"/>
  <c r="A745" i="6"/>
  <c r="Q745" i="6"/>
  <c r="L745" i="6"/>
  <c r="K745" i="6"/>
  <c r="A744" i="6"/>
  <c r="Q744" i="6"/>
  <c r="L744" i="6"/>
  <c r="K744" i="6"/>
  <c r="A743" i="6"/>
  <c r="Q743" i="6"/>
  <c r="A742" i="6"/>
  <c r="Q742" i="6"/>
  <c r="L742" i="6"/>
  <c r="K742" i="6"/>
  <c r="A741" i="6"/>
  <c r="Q741" i="6"/>
  <c r="A740" i="6"/>
  <c r="Q740" i="6"/>
  <c r="A739" i="6"/>
  <c r="Q739" i="6"/>
  <c r="L739" i="6"/>
  <c r="K739" i="6"/>
  <c r="A738" i="6"/>
  <c r="Q738" i="6"/>
  <c r="A737" i="6"/>
  <c r="Q737" i="6"/>
  <c r="L737" i="6"/>
  <c r="K737" i="6"/>
  <c r="A736" i="6"/>
  <c r="Q736" i="6"/>
  <c r="L736" i="6"/>
  <c r="K736" i="6"/>
  <c r="A735" i="6"/>
  <c r="Q735" i="6"/>
  <c r="A734" i="6"/>
  <c r="Q734" i="6"/>
  <c r="A733" i="6"/>
  <c r="Q733" i="6"/>
  <c r="A732" i="6"/>
  <c r="Q732" i="6"/>
  <c r="A731" i="6"/>
  <c r="Q731" i="6"/>
  <c r="A730" i="6"/>
  <c r="Q730" i="6"/>
  <c r="A729" i="6"/>
  <c r="Q729" i="6"/>
  <c r="A728" i="6"/>
  <c r="Q728" i="6"/>
  <c r="A727" i="6"/>
  <c r="Q727" i="6"/>
  <c r="A726" i="6"/>
  <c r="Q726" i="6"/>
  <c r="A725" i="6"/>
  <c r="Q725" i="6"/>
  <c r="L725" i="6"/>
  <c r="K725" i="6"/>
  <c r="A724" i="6"/>
  <c r="Q724" i="6"/>
  <c r="L724" i="6"/>
  <c r="K724" i="6"/>
  <c r="A723" i="6"/>
  <c r="Q723" i="6"/>
  <c r="A722" i="6"/>
  <c r="Q722" i="6"/>
  <c r="A721" i="6"/>
  <c r="Q721" i="6"/>
  <c r="L721" i="6"/>
  <c r="K721" i="6"/>
  <c r="A720" i="6"/>
  <c r="Q720" i="6"/>
  <c r="A719" i="6"/>
  <c r="Q719" i="6"/>
  <c r="A718" i="6"/>
  <c r="Q718" i="6"/>
  <c r="A717" i="6"/>
  <c r="Q717" i="6"/>
  <c r="A716" i="6"/>
  <c r="Q716" i="6"/>
  <c r="A715" i="6"/>
  <c r="Q715" i="6"/>
  <c r="A714" i="6"/>
  <c r="Q714" i="6"/>
  <c r="A713" i="6"/>
  <c r="Q713" i="6"/>
  <c r="A712" i="6"/>
  <c r="Q712" i="6"/>
  <c r="L712" i="6"/>
  <c r="K712" i="6"/>
  <c r="A711" i="6"/>
  <c r="Q711" i="6"/>
  <c r="L711" i="6"/>
  <c r="K711" i="6"/>
  <c r="A710" i="6"/>
  <c r="Q710" i="6"/>
  <c r="A709" i="6"/>
  <c r="Q709" i="6"/>
  <c r="Q708" i="6"/>
  <c r="A708" i="6" s="1"/>
  <c r="M708" i="6"/>
  <c r="L708" i="6"/>
  <c r="K708" i="6"/>
  <c r="Q707" i="6"/>
  <c r="A707" i="6" s="1"/>
  <c r="A706" i="6"/>
  <c r="Q706" i="6"/>
  <c r="L706" i="6"/>
  <c r="K706" i="6"/>
  <c r="A705" i="6"/>
  <c r="Q705" i="6"/>
  <c r="M705" i="6"/>
  <c r="L705" i="6"/>
  <c r="K705" i="6"/>
  <c r="A704" i="6"/>
  <c r="Q704" i="6"/>
  <c r="L704" i="6"/>
  <c r="K704" i="6"/>
  <c r="Q703" i="6"/>
  <c r="A703" i="6" s="1"/>
  <c r="L703" i="6"/>
  <c r="K703" i="6"/>
  <c r="Q702" i="6"/>
  <c r="A702" i="6" s="1"/>
  <c r="A701" i="6"/>
  <c r="Q701" i="6"/>
  <c r="Q700" i="6"/>
  <c r="A700" i="6" s="1"/>
  <c r="A699" i="6"/>
  <c r="Q699" i="6"/>
  <c r="L699" i="6"/>
  <c r="K699" i="6"/>
  <c r="A698" i="6"/>
  <c r="Q698" i="6"/>
  <c r="L698" i="6"/>
  <c r="K698" i="6"/>
  <c r="A697" i="6"/>
  <c r="Q697" i="6"/>
  <c r="L697" i="6"/>
  <c r="K697" i="6"/>
  <c r="A696" i="6"/>
  <c r="Q696" i="6"/>
  <c r="Q695" i="6"/>
  <c r="A695" i="6" s="1"/>
  <c r="A694" i="6"/>
  <c r="Q694" i="6"/>
  <c r="Q693" i="6"/>
  <c r="A693" i="6" s="1"/>
  <c r="A692" i="6"/>
  <c r="Q692" i="6"/>
  <c r="L692" i="6"/>
  <c r="K692" i="6"/>
  <c r="A691" i="6"/>
  <c r="Q691" i="6"/>
  <c r="L691" i="6"/>
  <c r="K691" i="6"/>
  <c r="A690" i="6"/>
  <c r="Q690" i="6"/>
  <c r="L690" i="6"/>
  <c r="K690" i="6"/>
  <c r="A689" i="6"/>
  <c r="Q689" i="6"/>
  <c r="L689" i="6"/>
  <c r="K689" i="6"/>
  <c r="A688" i="6"/>
  <c r="Q688" i="6"/>
  <c r="L688" i="6"/>
  <c r="K688" i="6"/>
  <c r="A687" i="6"/>
  <c r="Q687" i="6"/>
  <c r="L687" i="6"/>
  <c r="K687" i="6"/>
  <c r="A686" i="6"/>
  <c r="Q686" i="6"/>
  <c r="L686" i="6"/>
  <c r="K686" i="6"/>
  <c r="A685" i="6"/>
  <c r="Q685" i="6"/>
  <c r="L685" i="6"/>
  <c r="K685" i="6"/>
  <c r="A684" i="6"/>
  <c r="Q684" i="6"/>
  <c r="L684" i="6"/>
  <c r="K684" i="6"/>
  <c r="A683" i="6"/>
  <c r="Q683" i="6"/>
  <c r="L683" i="6"/>
  <c r="K683" i="6"/>
  <c r="A682" i="6"/>
  <c r="Q682" i="6"/>
  <c r="L682" i="6"/>
  <c r="K682" i="6"/>
  <c r="A681" i="6"/>
  <c r="Q681" i="6"/>
  <c r="L681" i="6"/>
  <c r="K681" i="6"/>
  <c r="A680" i="6"/>
  <c r="Q680" i="6"/>
  <c r="Q679" i="6"/>
  <c r="A679" i="6" s="1"/>
  <c r="A678" i="6"/>
  <c r="Q678" i="6"/>
  <c r="Q677" i="6"/>
  <c r="A677" i="6" s="1"/>
  <c r="A676" i="6"/>
  <c r="Q676" i="6"/>
  <c r="Q675" i="6"/>
  <c r="A675" i="6" s="1"/>
  <c r="A674" i="6"/>
  <c r="Q674" i="6"/>
  <c r="Q673" i="6"/>
  <c r="A673" i="6" s="1"/>
  <c r="A672" i="6"/>
  <c r="Q672" i="6"/>
  <c r="Q671" i="6"/>
  <c r="A671" i="6" s="1"/>
  <c r="A670" i="6"/>
  <c r="Q670" i="6"/>
  <c r="L670" i="6"/>
  <c r="K670" i="6"/>
  <c r="A669" i="6"/>
  <c r="Q669" i="6"/>
  <c r="L669" i="6"/>
  <c r="K669" i="6"/>
  <c r="A668" i="6"/>
  <c r="Q668" i="6"/>
  <c r="Q667" i="6"/>
  <c r="A667" i="6" s="1"/>
  <c r="A666" i="6"/>
  <c r="Q666" i="6"/>
  <c r="Q665" i="6"/>
  <c r="A665" i="6" s="1"/>
  <c r="A664" i="6"/>
  <c r="Q664" i="6"/>
  <c r="L664" i="6"/>
  <c r="K664" i="6"/>
  <c r="A663" i="6"/>
  <c r="Q663" i="6"/>
  <c r="Q662" i="6"/>
  <c r="A662" i="6" s="1"/>
  <c r="A661" i="6"/>
  <c r="Q661" i="6"/>
  <c r="L661" i="6"/>
  <c r="K661" i="6"/>
  <c r="A660" i="6"/>
  <c r="Q660" i="6"/>
  <c r="L660" i="6"/>
  <c r="K660" i="6"/>
  <c r="A659" i="6"/>
  <c r="Q659" i="6"/>
  <c r="Q658" i="6"/>
  <c r="A658" i="6" s="1"/>
  <c r="L658" i="6"/>
  <c r="K658" i="6"/>
  <c r="Q657" i="6"/>
  <c r="A657" i="6" s="1"/>
  <c r="L657" i="6"/>
  <c r="K657" i="6"/>
  <c r="Q656" i="6"/>
  <c r="A656" i="6" s="1"/>
  <c r="L656" i="6"/>
  <c r="K656" i="6"/>
  <c r="Q655" i="6"/>
  <c r="A655" i="6" s="1"/>
  <c r="L655" i="6"/>
  <c r="K655" i="6"/>
  <c r="Q654" i="6"/>
  <c r="A654" i="6" s="1"/>
  <c r="A653" i="6"/>
  <c r="Q653" i="6"/>
  <c r="L653" i="6"/>
  <c r="K653" i="6"/>
  <c r="A652" i="6"/>
  <c r="Q652" i="6"/>
  <c r="Q651" i="6"/>
  <c r="A651" i="6" s="1"/>
  <c r="A650" i="6"/>
  <c r="Q650" i="6"/>
  <c r="L650" i="6"/>
  <c r="K650" i="6"/>
  <c r="A649" i="6"/>
  <c r="Q649" i="6"/>
  <c r="L649" i="6"/>
  <c r="K649" i="6"/>
  <c r="A648" i="6"/>
  <c r="Q648" i="6"/>
  <c r="L648" i="6"/>
  <c r="K648" i="6"/>
  <c r="A647" i="6"/>
  <c r="Q647" i="6"/>
  <c r="Q646" i="6"/>
  <c r="A646" i="6" s="1"/>
  <c r="A645" i="6"/>
  <c r="Q645" i="6"/>
  <c r="Q644" i="6"/>
  <c r="A644" i="6" s="1"/>
  <c r="A643" i="6"/>
  <c r="Q643" i="6"/>
  <c r="Q642" i="6"/>
  <c r="A642" i="6" s="1"/>
  <c r="A641" i="6"/>
  <c r="Q641" i="6"/>
  <c r="Q640" i="6"/>
  <c r="A640" i="6" s="1"/>
  <c r="L640" i="6"/>
  <c r="K640" i="6"/>
  <c r="Q639" i="6"/>
  <c r="A639" i="6" s="1"/>
  <c r="L639" i="6"/>
  <c r="K639" i="6"/>
  <c r="Q638" i="6"/>
  <c r="A638" i="6" s="1"/>
  <c r="A637" i="6"/>
  <c r="Q637" i="6"/>
  <c r="Q636" i="6"/>
  <c r="A636" i="6" s="1"/>
  <c r="L636" i="6"/>
  <c r="K636" i="6"/>
  <c r="Q635" i="6"/>
  <c r="A635" i="6" s="1"/>
  <c r="A634" i="6"/>
  <c r="Q634" i="6"/>
  <c r="Q633" i="6"/>
  <c r="A633" i="6" s="1"/>
  <c r="A632" i="6"/>
  <c r="Q632" i="6"/>
  <c r="L632" i="6"/>
  <c r="K632" i="6"/>
  <c r="A631" i="6"/>
  <c r="Q631" i="6"/>
  <c r="L631" i="6"/>
  <c r="K631" i="6"/>
  <c r="A630" i="6"/>
  <c r="Q630" i="6"/>
  <c r="Q629" i="6"/>
  <c r="A629" i="6" s="1"/>
  <c r="L629" i="6"/>
  <c r="K629" i="6"/>
  <c r="Q628" i="6"/>
  <c r="A628" i="6" s="1"/>
  <c r="A627" i="6"/>
  <c r="Q627" i="6"/>
  <c r="Q626" i="6"/>
  <c r="A626" i="6" s="1"/>
  <c r="A625" i="6"/>
  <c r="Q625" i="6"/>
  <c r="Q624" i="6"/>
  <c r="A624" i="6" s="1"/>
  <c r="L624" i="6"/>
  <c r="K624" i="6"/>
  <c r="Q623" i="6"/>
  <c r="A623" i="6" s="1"/>
  <c r="A622" i="6"/>
  <c r="Q622" i="6"/>
  <c r="Q621" i="6"/>
  <c r="A621" i="6" s="1"/>
  <c r="A620" i="6"/>
  <c r="Q620" i="6"/>
  <c r="Q619" i="6"/>
  <c r="A619" i="6" s="1"/>
  <c r="L619" i="6"/>
  <c r="K619" i="6"/>
  <c r="Q618" i="6"/>
  <c r="A618" i="6" s="1"/>
  <c r="L618" i="6"/>
  <c r="K618" i="6"/>
  <c r="Q617" i="6"/>
  <c r="A617" i="6" s="1"/>
  <c r="L617" i="6"/>
  <c r="K617" i="6"/>
  <c r="Q616" i="6"/>
  <c r="A616" i="6" s="1"/>
  <c r="L616" i="6"/>
  <c r="K616" i="6"/>
  <c r="Q615" i="6"/>
  <c r="A615" i="6" s="1"/>
  <c r="A614" i="6"/>
  <c r="Q614" i="6"/>
  <c r="Q613" i="6"/>
  <c r="A613" i="6" s="1"/>
  <c r="A612" i="6"/>
  <c r="Q612" i="6"/>
  <c r="Q611" i="6"/>
  <c r="A611" i="6" s="1"/>
  <c r="A610" i="6"/>
  <c r="Q610" i="6"/>
  <c r="Q609" i="6"/>
  <c r="A609" i="6" s="1"/>
  <c r="A608" i="6"/>
  <c r="Q608" i="6"/>
  <c r="Q607" i="6"/>
  <c r="A607" i="6" s="1"/>
  <c r="A606" i="6"/>
  <c r="Q606" i="6"/>
  <c r="L606" i="6"/>
  <c r="K606" i="6"/>
  <c r="A605" i="6"/>
  <c r="Q605" i="6"/>
  <c r="Q604" i="6"/>
  <c r="A604" i="6" s="1"/>
  <c r="A603" i="6"/>
  <c r="Q603" i="6"/>
  <c r="Q602" i="6"/>
  <c r="A602" i="6" s="1"/>
  <c r="L602" i="6"/>
  <c r="K602" i="6"/>
  <c r="Q601" i="6"/>
  <c r="A601" i="6" s="1"/>
  <c r="M601" i="6"/>
  <c r="L601" i="6"/>
  <c r="K601" i="6"/>
  <c r="Q600" i="6"/>
  <c r="A600" i="6" s="1"/>
  <c r="A599" i="6"/>
  <c r="Q599" i="6"/>
  <c r="Q598" i="6"/>
  <c r="A598" i="6" s="1"/>
  <c r="A597" i="6"/>
  <c r="Q597" i="6"/>
  <c r="Q596" i="6"/>
  <c r="A596" i="6" s="1"/>
  <c r="A595" i="6"/>
  <c r="Q595" i="6"/>
  <c r="Q594" i="6"/>
  <c r="A594" i="6" s="1"/>
  <c r="A593" i="6"/>
  <c r="Q593" i="6"/>
  <c r="Q592" i="6"/>
  <c r="A592" i="6" s="1"/>
  <c r="L592" i="6"/>
  <c r="K592" i="6"/>
  <c r="Q591" i="6"/>
  <c r="A591" i="6" s="1"/>
  <c r="A590" i="6"/>
  <c r="Q590" i="6"/>
  <c r="Q589" i="6"/>
  <c r="A589" i="6" s="1"/>
  <c r="A588" i="6"/>
  <c r="Q588" i="6"/>
  <c r="Q587" i="6"/>
  <c r="A587" i="6" s="1"/>
  <c r="A586" i="6"/>
  <c r="Q586" i="6"/>
  <c r="Q585" i="6"/>
  <c r="A585" i="6" s="1"/>
  <c r="A584" i="6"/>
  <c r="Q584" i="6"/>
  <c r="Q583" i="6"/>
  <c r="A583" i="6" s="1"/>
  <c r="A582" i="6"/>
  <c r="Q582" i="6"/>
  <c r="Q581" i="6"/>
  <c r="A581" i="6" s="1"/>
  <c r="A580" i="6"/>
  <c r="Q580" i="6"/>
  <c r="Q579" i="6"/>
  <c r="A579" i="6" s="1"/>
  <c r="A578" i="6"/>
  <c r="Q578" i="6"/>
  <c r="Q577" i="6"/>
  <c r="A577" i="6" s="1"/>
  <c r="L577" i="6"/>
  <c r="K577" i="6"/>
  <c r="Q576" i="6"/>
  <c r="A576" i="6" s="1"/>
  <c r="A575" i="6"/>
  <c r="Q575" i="6"/>
  <c r="Q574" i="6"/>
  <c r="A574" i="6" s="1"/>
  <c r="L574" i="6"/>
  <c r="K574" i="6"/>
  <c r="Q573" i="6"/>
  <c r="A573" i="6" s="1"/>
  <c r="A572" i="6"/>
  <c r="Q572" i="6"/>
  <c r="Q571" i="6"/>
  <c r="A571" i="6" s="1"/>
  <c r="A570" i="6"/>
  <c r="Q570" i="6"/>
  <c r="Q569" i="6"/>
  <c r="A569" i="6" s="1"/>
  <c r="A568" i="6"/>
  <c r="Q568" i="6"/>
  <c r="Q567" i="6"/>
  <c r="A567" i="6" s="1"/>
  <c r="L567" i="6"/>
  <c r="K567" i="6"/>
  <c r="Q566" i="6"/>
  <c r="A566" i="6" s="1"/>
  <c r="A565" i="6"/>
  <c r="Q565" i="6"/>
  <c r="Q564" i="6"/>
  <c r="A564" i="6" s="1"/>
  <c r="A563" i="6"/>
  <c r="Q563" i="6"/>
  <c r="Q562" i="6"/>
  <c r="A562" i="6" s="1"/>
  <c r="A561" i="6"/>
  <c r="Q561" i="6"/>
  <c r="L561" i="6"/>
  <c r="K561" i="6"/>
  <c r="A560" i="6"/>
  <c r="Q560" i="6"/>
  <c r="Q559" i="6"/>
  <c r="A559" i="6" s="1"/>
  <c r="A558" i="6"/>
  <c r="Q558" i="6"/>
  <c r="Q557" i="6"/>
  <c r="A557" i="6" s="1"/>
  <c r="A556" i="6"/>
  <c r="Q556" i="6"/>
  <c r="L556" i="6"/>
  <c r="K556" i="6"/>
  <c r="A555" i="6"/>
  <c r="Q555" i="6"/>
  <c r="L555" i="6"/>
  <c r="K555" i="6"/>
  <c r="A554" i="6"/>
  <c r="Q554" i="6"/>
  <c r="L554" i="6"/>
  <c r="K554" i="6"/>
  <c r="A553" i="6"/>
  <c r="Q553" i="6"/>
  <c r="L553" i="6"/>
  <c r="K553" i="6"/>
  <c r="A552" i="6"/>
  <c r="Q552" i="6"/>
  <c r="Q551" i="6"/>
  <c r="A551" i="6" s="1"/>
  <c r="L551" i="6"/>
  <c r="K551" i="6"/>
  <c r="Q550" i="6"/>
  <c r="A550" i="6" s="1"/>
  <c r="A549" i="6"/>
  <c r="Q549" i="6"/>
  <c r="Q548" i="6"/>
  <c r="A548" i="6" s="1"/>
  <c r="L548" i="6"/>
  <c r="K548" i="6"/>
  <c r="Q547" i="6"/>
  <c r="A547" i="6" s="1"/>
  <c r="L547" i="6"/>
  <c r="K547" i="6"/>
  <c r="Q546" i="6"/>
  <c r="A546" i="6" s="1"/>
  <c r="L546" i="6"/>
  <c r="K546" i="6"/>
  <c r="Q545" i="6"/>
  <c r="A545" i="6" s="1"/>
  <c r="A544" i="6"/>
  <c r="Q544" i="6"/>
  <c r="L544" i="6"/>
  <c r="K544" i="6"/>
  <c r="A543" i="6"/>
  <c r="Q543" i="6"/>
  <c r="Q542" i="6"/>
  <c r="A542" i="6" s="1"/>
  <c r="A541" i="6"/>
  <c r="Q541" i="6"/>
  <c r="Q540" i="6"/>
  <c r="A540" i="6" s="1"/>
  <c r="A539" i="6"/>
  <c r="Q539" i="6"/>
  <c r="Q538" i="6"/>
  <c r="A538" i="6" s="1"/>
  <c r="A537" i="6"/>
  <c r="Q537" i="6"/>
  <c r="Q536" i="6"/>
  <c r="A536" i="6" s="1"/>
  <c r="A535" i="6"/>
  <c r="Q535" i="6"/>
  <c r="Q534" i="6"/>
  <c r="A534" i="6" s="1"/>
  <c r="A533" i="6"/>
  <c r="Q533" i="6"/>
  <c r="Q532" i="6"/>
  <c r="A532" i="6" s="1"/>
  <c r="A531" i="6"/>
  <c r="Q531" i="6"/>
  <c r="Q530" i="6"/>
  <c r="A530" i="6" s="1"/>
  <c r="A529" i="6"/>
  <c r="Q529" i="6"/>
  <c r="Q528" i="6"/>
  <c r="A528" i="6" s="1"/>
  <c r="A527" i="6"/>
  <c r="Q527" i="6"/>
  <c r="L527" i="6"/>
  <c r="K527" i="6"/>
  <c r="A526" i="6"/>
  <c r="Q526" i="6"/>
  <c r="Q525" i="6"/>
  <c r="A525" i="6" s="1"/>
  <c r="A524" i="6"/>
  <c r="Q524" i="6"/>
  <c r="Q523" i="6"/>
  <c r="A523" i="6" s="1"/>
  <c r="A522" i="6"/>
  <c r="Q522" i="6"/>
  <c r="Q521" i="6"/>
  <c r="A521" i="6" s="1"/>
  <c r="A520" i="6"/>
  <c r="Q520" i="6"/>
  <c r="L520" i="6"/>
  <c r="K520" i="6"/>
  <c r="A519" i="6"/>
  <c r="Q519" i="6"/>
  <c r="L519" i="6"/>
  <c r="K519" i="6"/>
  <c r="A518" i="6"/>
  <c r="Q518" i="6"/>
  <c r="L518" i="6"/>
  <c r="K518" i="6"/>
  <c r="A517" i="6"/>
  <c r="Q517" i="6"/>
  <c r="L517" i="6"/>
  <c r="K517" i="6"/>
  <c r="A516" i="6"/>
  <c r="Q516" i="6"/>
  <c r="Q515" i="6"/>
  <c r="A515" i="6" s="1"/>
  <c r="L515" i="6"/>
  <c r="K515" i="6"/>
  <c r="Q514" i="6"/>
  <c r="A514" i="6" s="1"/>
  <c r="A513" i="6"/>
  <c r="Q513" i="6"/>
  <c r="Q512" i="6"/>
  <c r="A512" i="6" s="1"/>
  <c r="A511" i="6"/>
  <c r="Q511" i="6"/>
  <c r="Q510" i="6"/>
  <c r="A510" i="6" s="1"/>
  <c r="A509" i="6"/>
  <c r="Q509" i="6"/>
  <c r="Q508" i="6"/>
  <c r="A508" i="6" s="1"/>
  <c r="A507" i="6"/>
  <c r="Q507" i="6"/>
  <c r="Q506" i="6"/>
  <c r="A506" i="6" s="1"/>
  <c r="A505" i="6"/>
  <c r="Q505" i="6"/>
  <c r="Q504" i="6"/>
  <c r="A504" i="6" s="1"/>
  <c r="A503" i="6"/>
  <c r="Q503" i="6"/>
  <c r="M503" i="6"/>
  <c r="L503" i="6"/>
  <c r="K503" i="6"/>
  <c r="A502" i="6"/>
  <c r="Q502" i="6"/>
  <c r="L502" i="6"/>
  <c r="K502" i="6"/>
  <c r="A501" i="6"/>
  <c r="Q501" i="6"/>
  <c r="A500" i="6"/>
  <c r="Q500" i="6"/>
  <c r="L500" i="6"/>
  <c r="K500" i="6"/>
  <c r="A499" i="6"/>
  <c r="Q499" i="6"/>
  <c r="L499" i="6"/>
  <c r="K499" i="6"/>
  <c r="A498" i="6"/>
  <c r="Q498" i="6"/>
  <c r="L498" i="6"/>
  <c r="K498" i="6"/>
  <c r="A497" i="6"/>
  <c r="Q497" i="6"/>
  <c r="L497" i="6"/>
  <c r="K497" i="6"/>
  <c r="A496" i="6"/>
  <c r="Q496" i="6"/>
  <c r="A495" i="6"/>
  <c r="Q495" i="6"/>
  <c r="L495" i="6"/>
  <c r="K495" i="6"/>
  <c r="A494" i="6"/>
  <c r="Q494" i="6"/>
  <c r="A493" i="6"/>
  <c r="Q493" i="6"/>
  <c r="L493" i="6"/>
  <c r="K493" i="6"/>
  <c r="A492" i="6"/>
  <c r="Q492" i="6"/>
  <c r="L492" i="6"/>
  <c r="K492" i="6"/>
  <c r="A491" i="6"/>
  <c r="Q491" i="6"/>
  <c r="L491" i="6"/>
  <c r="K491" i="6"/>
  <c r="A490" i="6"/>
  <c r="Q490" i="6"/>
  <c r="L490" i="6"/>
  <c r="K490" i="6"/>
  <c r="A489" i="6"/>
  <c r="Q489" i="6"/>
  <c r="L489" i="6"/>
  <c r="K489" i="6"/>
  <c r="A488" i="6"/>
  <c r="Q488" i="6"/>
  <c r="L488" i="6"/>
  <c r="K488" i="6"/>
  <c r="A487" i="6"/>
  <c r="Q487" i="6"/>
  <c r="L487" i="6"/>
  <c r="K487" i="6"/>
  <c r="A486" i="6"/>
  <c r="Q486" i="6"/>
  <c r="L486" i="6"/>
  <c r="K486" i="6"/>
  <c r="A485" i="6"/>
  <c r="Q485" i="6"/>
  <c r="L485" i="6"/>
  <c r="K485" i="6"/>
  <c r="A484" i="6"/>
  <c r="Q484" i="6"/>
  <c r="A483" i="6"/>
  <c r="Q483" i="6"/>
  <c r="A482" i="6"/>
  <c r="Q482" i="6"/>
  <c r="A481" i="6"/>
  <c r="Q481" i="6"/>
  <c r="A480" i="6"/>
  <c r="Q480" i="6"/>
  <c r="A479" i="6"/>
  <c r="Q479" i="6"/>
  <c r="L479" i="6"/>
  <c r="K479" i="6"/>
  <c r="A478" i="6"/>
  <c r="Q478" i="6"/>
  <c r="L478" i="6"/>
  <c r="K478" i="6"/>
  <c r="A477" i="6"/>
  <c r="Q477" i="6"/>
  <c r="L477" i="6"/>
  <c r="K477" i="6"/>
  <c r="A476" i="6"/>
  <c r="Q476" i="6"/>
  <c r="L476" i="6"/>
  <c r="K476" i="6"/>
  <c r="A475" i="6"/>
  <c r="Q475" i="6"/>
  <c r="A474" i="6"/>
  <c r="Q474" i="6"/>
  <c r="A473" i="6"/>
  <c r="Q473" i="6"/>
  <c r="L473" i="6"/>
  <c r="K473" i="6"/>
  <c r="A472" i="6"/>
  <c r="Q472" i="6"/>
  <c r="A471" i="6"/>
  <c r="Q471" i="6"/>
  <c r="A470" i="6"/>
  <c r="Q470" i="6"/>
  <c r="A469" i="6"/>
  <c r="Q469" i="6"/>
  <c r="A468" i="6"/>
  <c r="Q468" i="6"/>
  <c r="A467" i="6"/>
  <c r="Q467" i="6"/>
  <c r="A466" i="6"/>
  <c r="Q466" i="6"/>
  <c r="L466" i="6"/>
  <c r="K466" i="6"/>
  <c r="A465" i="6"/>
  <c r="Q465" i="6"/>
  <c r="L465" i="6"/>
  <c r="K465" i="6"/>
  <c r="A464" i="6"/>
  <c r="Q464" i="6"/>
  <c r="A463" i="6"/>
  <c r="Q463" i="6"/>
  <c r="A462" i="6"/>
  <c r="Q462" i="6"/>
  <c r="L462" i="6"/>
  <c r="K462" i="6"/>
  <c r="A461" i="6"/>
  <c r="Q461" i="6"/>
  <c r="L461" i="6"/>
  <c r="K461" i="6"/>
  <c r="A460" i="6"/>
  <c r="Q460" i="6"/>
  <c r="L460" i="6"/>
  <c r="K460" i="6"/>
  <c r="A459" i="6"/>
  <c r="Q459" i="6"/>
  <c r="A458" i="6"/>
  <c r="Q458" i="6"/>
  <c r="A457" i="6"/>
  <c r="Q457" i="6"/>
  <c r="A456" i="6"/>
  <c r="Q456" i="6"/>
  <c r="L456" i="6"/>
  <c r="K456" i="6"/>
  <c r="A455" i="6"/>
  <c r="Q455" i="6"/>
  <c r="A454" i="6"/>
  <c r="Q454" i="6"/>
  <c r="L454" i="6"/>
  <c r="K454" i="6"/>
  <c r="A453" i="6"/>
  <c r="Q453" i="6"/>
  <c r="A452" i="6"/>
  <c r="Q452" i="6"/>
  <c r="L452" i="6"/>
  <c r="K452" i="6"/>
  <c r="A451" i="6"/>
  <c r="Q451" i="6"/>
  <c r="A450" i="6"/>
  <c r="Q450" i="6"/>
  <c r="L450" i="6"/>
  <c r="K450" i="6"/>
  <c r="A449" i="6"/>
  <c r="Q449" i="6"/>
  <c r="A448" i="6"/>
  <c r="Q448" i="6"/>
  <c r="A447" i="6"/>
  <c r="Q447" i="6"/>
  <c r="A446" i="6"/>
  <c r="Q446" i="6"/>
  <c r="A445" i="6"/>
  <c r="Q445" i="6"/>
  <c r="A444" i="6"/>
  <c r="Q444" i="6"/>
  <c r="L444" i="6"/>
  <c r="K444" i="6"/>
  <c r="A443" i="6"/>
  <c r="Q443" i="6"/>
  <c r="L443" i="6"/>
  <c r="K443" i="6"/>
  <c r="A442" i="6"/>
  <c r="Q442" i="6"/>
  <c r="L442" i="6"/>
  <c r="K442" i="6"/>
  <c r="A441" i="6"/>
  <c r="Q441" i="6"/>
  <c r="L441" i="6"/>
  <c r="K441" i="6"/>
  <c r="A440" i="6"/>
  <c r="Q440" i="6"/>
  <c r="L440" i="6"/>
  <c r="K440" i="6"/>
  <c r="A439" i="6"/>
  <c r="Q439" i="6"/>
  <c r="A438" i="6"/>
  <c r="Q438" i="6"/>
  <c r="L438" i="6"/>
  <c r="K438" i="6"/>
  <c r="A437" i="6"/>
  <c r="Q437" i="6"/>
  <c r="L437" i="6"/>
  <c r="K437" i="6"/>
  <c r="A436" i="6"/>
  <c r="Q436" i="6"/>
  <c r="A435" i="6"/>
  <c r="Q435" i="6"/>
  <c r="A434" i="6"/>
  <c r="Q434" i="6"/>
  <c r="A433" i="6"/>
  <c r="Q433" i="6"/>
  <c r="A432" i="6"/>
  <c r="Q432" i="6"/>
  <c r="A431" i="6"/>
  <c r="Q431" i="6"/>
  <c r="Q430" i="6"/>
  <c r="A430" i="6" s="1"/>
  <c r="A429" i="6"/>
  <c r="Q429" i="6"/>
  <c r="Q428" i="6"/>
  <c r="A428" i="6" s="1"/>
  <c r="A427" i="6"/>
  <c r="Q427" i="6"/>
  <c r="L427" i="6"/>
  <c r="K427" i="6"/>
  <c r="A426" i="6"/>
  <c r="Q426" i="6"/>
  <c r="L426" i="6"/>
  <c r="K426" i="6"/>
  <c r="A425" i="6"/>
  <c r="Q425" i="6"/>
  <c r="Q424" i="6"/>
  <c r="A424" i="6" s="1"/>
  <c r="L424" i="6"/>
  <c r="K424" i="6"/>
  <c r="Q423" i="6"/>
  <c r="A423" i="6" s="1"/>
  <c r="L423" i="6"/>
  <c r="K423" i="6"/>
  <c r="Q422" i="6"/>
  <c r="A422" i="6" s="1"/>
  <c r="L422" i="6"/>
  <c r="K422" i="6"/>
  <c r="Q421" i="6"/>
  <c r="A421" i="6" s="1"/>
  <c r="L421" i="6"/>
  <c r="K421" i="6"/>
  <c r="Q420" i="6"/>
  <c r="A420" i="6" s="1"/>
  <c r="A419" i="6"/>
  <c r="Q419" i="6"/>
  <c r="Q418" i="6"/>
  <c r="A418" i="6" s="1"/>
  <c r="L418" i="6"/>
  <c r="K418" i="6"/>
  <c r="Q417" i="6"/>
  <c r="A417" i="6" s="1"/>
  <c r="L417" i="6"/>
  <c r="K417" i="6"/>
  <c r="Q416" i="6"/>
  <c r="A416" i="6" s="1"/>
  <c r="L416" i="6"/>
  <c r="K416" i="6"/>
  <c r="Q415" i="6"/>
  <c r="A415" i="6" s="1"/>
  <c r="A414" i="6"/>
  <c r="Q414" i="6"/>
  <c r="L414" i="6"/>
  <c r="K414" i="6"/>
  <c r="A413" i="6"/>
  <c r="Q413" i="6"/>
  <c r="L413" i="6"/>
  <c r="K413" i="6"/>
  <c r="A412" i="6"/>
  <c r="Q412" i="6"/>
  <c r="L412" i="6"/>
  <c r="K412" i="6"/>
  <c r="A411" i="6"/>
  <c r="Q411" i="6"/>
  <c r="L411" i="6"/>
  <c r="K411" i="6"/>
  <c r="A410" i="6"/>
  <c r="Q410" i="6"/>
  <c r="Q409" i="6"/>
  <c r="A409" i="6" s="1"/>
  <c r="Q408" i="6"/>
  <c r="A408" i="6" s="1"/>
  <c r="Q407" i="6"/>
  <c r="A407" i="6" s="1"/>
  <c r="Q406" i="6"/>
  <c r="A406" i="6" s="1"/>
  <c r="Q405" i="6"/>
  <c r="A405" i="6" s="1"/>
  <c r="A404" i="6"/>
  <c r="Q404" i="6"/>
  <c r="Q403" i="6"/>
  <c r="A403" i="6" s="1"/>
  <c r="A402" i="6"/>
  <c r="Q402" i="6"/>
  <c r="L402" i="6"/>
  <c r="K402" i="6"/>
  <c r="A401" i="6"/>
  <c r="Q401" i="6"/>
  <c r="Q400" i="6"/>
  <c r="A400" i="6" s="1"/>
  <c r="Q399" i="6"/>
  <c r="A399" i="6" s="1"/>
  <c r="Q398" i="6"/>
  <c r="A398" i="6" s="1"/>
  <c r="Q397" i="6"/>
  <c r="A397" i="6" s="1"/>
  <c r="Q396" i="6"/>
  <c r="A396" i="6" s="1"/>
  <c r="A395" i="6"/>
  <c r="Q395" i="6"/>
  <c r="L395" i="6"/>
  <c r="K395" i="6"/>
  <c r="A394" i="6"/>
  <c r="Q394" i="6"/>
  <c r="L394" i="6"/>
  <c r="K394" i="6"/>
  <c r="A393" i="6"/>
  <c r="Q393" i="6"/>
  <c r="Q392" i="6"/>
  <c r="A392" i="6" s="1"/>
  <c r="L392" i="6"/>
  <c r="K392" i="6"/>
  <c r="Q391" i="6"/>
  <c r="A391" i="6" s="1"/>
  <c r="L391" i="6"/>
  <c r="K391" i="6"/>
  <c r="Q390" i="6"/>
  <c r="A390" i="6" s="1"/>
  <c r="L390" i="6"/>
  <c r="K390" i="6"/>
  <c r="Q389" i="6"/>
  <c r="A389" i="6" s="1"/>
  <c r="A388" i="6"/>
  <c r="Q388" i="6"/>
  <c r="L388" i="6"/>
  <c r="K388" i="6"/>
  <c r="A387" i="6"/>
  <c r="Q387" i="6"/>
  <c r="L387" i="6"/>
  <c r="K387" i="6"/>
  <c r="A386" i="6"/>
  <c r="Q386" i="6"/>
  <c r="L386" i="6"/>
  <c r="K386" i="6"/>
  <c r="A385" i="6"/>
  <c r="Q385" i="6"/>
  <c r="L385" i="6"/>
  <c r="K385" i="6"/>
  <c r="A384" i="6"/>
  <c r="Q384" i="6"/>
  <c r="Q383" i="6"/>
  <c r="A383" i="6" s="1"/>
  <c r="A382" i="6"/>
  <c r="Q382" i="6"/>
  <c r="Q381" i="6"/>
  <c r="A381" i="6" s="1"/>
  <c r="Q380" i="6"/>
  <c r="A380" i="6" s="1"/>
  <c r="Q379" i="6"/>
  <c r="A379" i="6" s="1"/>
  <c r="Q378" i="6"/>
  <c r="A378" i="6" s="1"/>
  <c r="L378" i="6"/>
  <c r="K378" i="6"/>
  <c r="Q377" i="6"/>
  <c r="A377" i="6" s="1"/>
  <c r="Q376" i="6"/>
  <c r="A376" i="6" s="1"/>
  <c r="A375" i="6"/>
  <c r="Q375" i="6"/>
  <c r="Q374" i="6"/>
  <c r="A374" i="6" s="1"/>
  <c r="A373" i="6"/>
  <c r="Q373" i="6"/>
  <c r="L373" i="6"/>
  <c r="K373" i="6"/>
  <c r="A372" i="6"/>
  <c r="Q372" i="6"/>
  <c r="Q371" i="6"/>
  <c r="A371" i="6" s="1"/>
  <c r="L371" i="6"/>
  <c r="K371" i="6"/>
  <c r="Q370" i="6"/>
  <c r="A370" i="6" s="1"/>
  <c r="Q369" i="6"/>
  <c r="A369" i="6" s="1"/>
  <c r="Q368" i="6"/>
  <c r="A368" i="6" s="1"/>
  <c r="L368" i="6"/>
  <c r="K368" i="6"/>
  <c r="Q367" i="6"/>
  <c r="A367" i="6" s="1"/>
  <c r="L367" i="6"/>
  <c r="K367" i="6"/>
  <c r="Q366" i="6"/>
  <c r="A366" i="6" s="1"/>
  <c r="Q365" i="6"/>
  <c r="A365" i="6" s="1"/>
  <c r="Q364" i="6"/>
  <c r="A364" i="6" s="1"/>
  <c r="Q363" i="6"/>
  <c r="A363" i="6" s="1"/>
  <c r="Q362" i="6"/>
  <c r="A362" i="6" s="1"/>
  <c r="A361" i="6"/>
  <c r="Q361" i="6"/>
  <c r="Q360" i="6"/>
  <c r="A360" i="6" s="1"/>
  <c r="L360" i="6"/>
  <c r="K360" i="6"/>
  <c r="Q359" i="6"/>
  <c r="A359" i="6" s="1"/>
  <c r="Q358" i="6"/>
  <c r="A358" i="6" s="1"/>
  <c r="L358" i="6"/>
  <c r="K358" i="6"/>
  <c r="Q357" i="6"/>
  <c r="A357" i="6" s="1"/>
  <c r="L357" i="6"/>
  <c r="K357" i="6"/>
  <c r="Q356" i="6"/>
  <c r="A356" i="6" s="1"/>
  <c r="L356" i="6"/>
  <c r="K356" i="6"/>
  <c r="Q355" i="6"/>
  <c r="A355" i="6" s="1"/>
  <c r="Q354" i="6"/>
  <c r="A354" i="6" s="1"/>
  <c r="Q353" i="6"/>
  <c r="A353" i="6" s="1"/>
  <c r="Q352" i="6"/>
  <c r="A352" i="6" s="1"/>
  <c r="A351" i="6"/>
  <c r="Q351" i="6"/>
  <c r="Q350" i="6"/>
  <c r="A350" i="6" s="1"/>
  <c r="L350" i="6"/>
  <c r="K350" i="6"/>
  <c r="Q349" i="6"/>
  <c r="A349" i="6" s="1"/>
  <c r="Q348" i="6"/>
  <c r="A348" i="6" s="1"/>
  <c r="Q347" i="6"/>
  <c r="A347" i="6" s="1"/>
  <c r="Q346" i="6"/>
  <c r="A346" i="6" s="1"/>
  <c r="Q345" i="6"/>
  <c r="A345" i="6" s="1"/>
  <c r="A344" i="6"/>
  <c r="Q344" i="6"/>
  <c r="Q343" i="6"/>
  <c r="A343" i="6" s="1"/>
  <c r="A342" i="6"/>
  <c r="Q342" i="6"/>
  <c r="Q341" i="6"/>
  <c r="A341" i="6" s="1"/>
  <c r="Q340" i="6"/>
  <c r="A340" i="6" s="1"/>
  <c r="Q339" i="6"/>
  <c r="A339" i="6" s="1"/>
  <c r="Q338" i="6"/>
  <c r="A338" i="6" s="1"/>
  <c r="Q337" i="6"/>
  <c r="A337" i="6" s="1"/>
  <c r="A336" i="6"/>
  <c r="Q336" i="6"/>
  <c r="Q335" i="6"/>
  <c r="A335" i="6" s="1"/>
  <c r="A334" i="6"/>
  <c r="Q334" i="6"/>
  <c r="Q333" i="6"/>
  <c r="A333" i="6" s="1"/>
  <c r="Q332" i="6"/>
  <c r="A332" i="6" s="1"/>
  <c r="Q331" i="6"/>
  <c r="A331" i="6" s="1"/>
  <c r="Q330" i="6"/>
  <c r="A330" i="6" s="1"/>
  <c r="Q329" i="6"/>
  <c r="A329" i="6" s="1"/>
  <c r="A328" i="6"/>
  <c r="Q328" i="6"/>
  <c r="Q327" i="6"/>
  <c r="A327" i="6" s="1"/>
  <c r="A326" i="6"/>
  <c r="Q326" i="6"/>
  <c r="Q325" i="6"/>
  <c r="A325" i="6" s="1"/>
  <c r="Q324" i="6"/>
  <c r="A324" i="6" s="1"/>
  <c r="Q323" i="6"/>
  <c r="A323" i="6" s="1"/>
  <c r="Q322" i="6"/>
  <c r="A322" i="6" s="1"/>
  <c r="Q321" i="6"/>
  <c r="A321" i="6" s="1"/>
  <c r="A320" i="6"/>
  <c r="Q320" i="6"/>
  <c r="Q319" i="6"/>
  <c r="A319" i="6" s="1"/>
  <c r="A318" i="6"/>
  <c r="Q318" i="6"/>
  <c r="Q317" i="6"/>
  <c r="A317" i="6" s="1"/>
  <c r="Q316" i="6"/>
  <c r="A316" i="6" s="1"/>
  <c r="Q315" i="6"/>
  <c r="A315" i="6" s="1"/>
  <c r="Q314" i="6"/>
  <c r="A314" i="6" s="1"/>
  <c r="Q313" i="6"/>
  <c r="A313" i="6" s="1"/>
  <c r="A312" i="6"/>
  <c r="Q312" i="6"/>
  <c r="Q311" i="6"/>
  <c r="A311" i="6" s="1"/>
  <c r="A310" i="6"/>
  <c r="Q310" i="6"/>
  <c r="Q309" i="6"/>
  <c r="A309" i="6" s="1"/>
  <c r="Q308" i="6"/>
  <c r="A308" i="6" s="1"/>
  <c r="Q307" i="6"/>
  <c r="A307" i="6" s="1"/>
  <c r="Q306" i="6"/>
  <c r="A306" i="6" s="1"/>
  <c r="Q305" i="6"/>
  <c r="A305" i="6" s="1"/>
  <c r="A304" i="6"/>
  <c r="Q304" i="6"/>
  <c r="Q303" i="6"/>
  <c r="A303" i="6" s="1"/>
  <c r="L303" i="6"/>
  <c r="K303" i="6"/>
  <c r="Q302" i="6"/>
  <c r="A302" i="6" s="1"/>
  <c r="Q301" i="6"/>
  <c r="A301" i="6" s="1"/>
  <c r="Q300" i="6"/>
  <c r="A300" i="6" s="1"/>
  <c r="Q299" i="6"/>
  <c r="A299" i="6" s="1"/>
  <c r="Q298" i="6"/>
  <c r="A298" i="6" s="1"/>
  <c r="A297" i="6"/>
  <c r="Q297" i="6"/>
  <c r="Q296" i="6"/>
  <c r="A296" i="6" s="1"/>
  <c r="A295" i="6"/>
  <c r="Q295" i="6"/>
  <c r="Q294" i="6"/>
  <c r="A294" i="6" s="1"/>
  <c r="Q293" i="6"/>
  <c r="A293" i="6" s="1"/>
  <c r="L293" i="6"/>
  <c r="K293" i="6"/>
  <c r="Q292" i="6"/>
  <c r="A292" i="6" s="1"/>
  <c r="L292" i="6"/>
  <c r="K292" i="6"/>
  <c r="Q291" i="6"/>
  <c r="A291" i="6" s="1"/>
  <c r="Q290" i="6"/>
  <c r="A290" i="6" s="1"/>
  <c r="Q289" i="6"/>
  <c r="A289" i="6" s="1"/>
  <c r="Q288" i="6"/>
  <c r="A288" i="6" s="1"/>
  <c r="A287" i="6"/>
  <c r="Q287" i="6"/>
  <c r="Q286" i="6"/>
  <c r="A286" i="6" s="1"/>
  <c r="L286" i="6"/>
  <c r="K286" i="6"/>
  <c r="Q285" i="6"/>
  <c r="A285" i="6" s="1"/>
  <c r="L285" i="6"/>
  <c r="K285" i="6"/>
  <c r="Q284" i="6"/>
  <c r="A284" i="6" s="1"/>
  <c r="L284" i="6"/>
  <c r="K284" i="6"/>
  <c r="Q283" i="6"/>
  <c r="A283" i="6" s="1"/>
  <c r="A282" i="6"/>
  <c r="Q282" i="6"/>
  <c r="Q281" i="6"/>
  <c r="A281" i="6" s="1"/>
  <c r="A280" i="6"/>
  <c r="Q280" i="6"/>
  <c r="L280" i="6"/>
  <c r="K280" i="6"/>
  <c r="A279" i="6"/>
  <c r="Q279" i="6"/>
  <c r="Q278" i="6"/>
  <c r="A278" i="6" s="1"/>
  <c r="Q277" i="6"/>
  <c r="A277" i="6" s="1"/>
  <c r="L277" i="6"/>
  <c r="K277" i="6"/>
  <c r="Q276" i="6"/>
  <c r="A276" i="6" s="1"/>
  <c r="Q275" i="6"/>
  <c r="A275" i="6" s="1"/>
  <c r="Q274" i="6"/>
  <c r="A274" i="6" s="1"/>
  <c r="Q273" i="6"/>
  <c r="A273" i="6" s="1"/>
  <c r="A272" i="6"/>
  <c r="Q272" i="6"/>
  <c r="Q271" i="6"/>
  <c r="A271" i="6" s="1"/>
  <c r="A270" i="6"/>
  <c r="Q270" i="6"/>
  <c r="Q269" i="6"/>
  <c r="A269" i="6" s="1"/>
  <c r="Q268" i="6"/>
  <c r="A268" i="6" s="1"/>
  <c r="Q267" i="6"/>
  <c r="A267" i="6" s="1"/>
  <c r="Q266" i="6"/>
  <c r="A266" i="6" s="1"/>
  <c r="Q265" i="6"/>
  <c r="A265" i="6" s="1"/>
  <c r="L265" i="6"/>
  <c r="K265" i="6"/>
  <c r="Q264" i="6"/>
  <c r="A264" i="6" s="1"/>
  <c r="A263" i="6"/>
  <c r="Q263" i="6"/>
  <c r="Q262" i="6"/>
  <c r="A262" i="6" s="1"/>
  <c r="Q261" i="6"/>
  <c r="A261" i="6" s="1"/>
  <c r="Q260" i="6"/>
  <c r="A260" i="6" s="1"/>
  <c r="Q259" i="6"/>
  <c r="A259" i="6" s="1"/>
  <c r="Q258" i="6"/>
  <c r="A258" i="6" s="1"/>
  <c r="L258" i="6"/>
  <c r="K258" i="6"/>
  <c r="Q257" i="6"/>
  <c r="A257" i="6" s="1"/>
  <c r="A256" i="6"/>
  <c r="Q256" i="6"/>
  <c r="Q255" i="6"/>
  <c r="A255" i="6" s="1"/>
  <c r="Q254" i="6"/>
  <c r="A254" i="6" s="1"/>
  <c r="Q253" i="6"/>
  <c r="A253" i="6" s="1"/>
  <c r="Q252" i="6"/>
  <c r="A252" i="6" s="1"/>
  <c r="Q251" i="6"/>
  <c r="A251" i="6" s="1"/>
  <c r="A250" i="6"/>
  <c r="Q250" i="6"/>
  <c r="Q249" i="6"/>
  <c r="A249" i="6" s="1"/>
  <c r="A248" i="6"/>
  <c r="Q248" i="6"/>
  <c r="Q247" i="6"/>
  <c r="A247" i="6" s="1"/>
  <c r="Q246" i="6"/>
  <c r="A246" i="6" s="1"/>
  <c r="Q245" i="6"/>
  <c r="A245" i="6" s="1"/>
  <c r="Q244" i="6"/>
  <c r="A244" i="6" s="1"/>
  <c r="Q243" i="6"/>
  <c r="A243" i="6" s="1"/>
  <c r="A242" i="6"/>
  <c r="Q242" i="6"/>
  <c r="Q241" i="6"/>
  <c r="A241" i="6" s="1"/>
  <c r="A240" i="6"/>
  <c r="Q240" i="6"/>
  <c r="Q239" i="6"/>
  <c r="A239" i="6" s="1"/>
  <c r="Q238" i="6"/>
  <c r="A238" i="6" s="1"/>
  <c r="Q237" i="6"/>
  <c r="A237" i="6" s="1"/>
  <c r="Q236" i="6"/>
  <c r="A236" i="6" s="1"/>
  <c r="Q235" i="6"/>
  <c r="A235" i="6" s="1"/>
  <c r="A234" i="6"/>
  <c r="Q234" i="6"/>
  <c r="Q233" i="6"/>
  <c r="A233" i="6" s="1"/>
  <c r="A232" i="6"/>
  <c r="Q232" i="6"/>
  <c r="L232" i="6"/>
  <c r="K232" i="6"/>
  <c r="A231" i="6"/>
  <c r="Q231" i="6"/>
  <c r="L231" i="6"/>
  <c r="K231" i="6"/>
  <c r="A230" i="6"/>
  <c r="Q230" i="6"/>
  <c r="Q229" i="6"/>
  <c r="A229" i="6" s="1"/>
  <c r="Q228" i="6"/>
  <c r="A228" i="6" s="1"/>
  <c r="Q227" i="6"/>
  <c r="A227" i="6" s="1"/>
  <c r="L227" i="6"/>
  <c r="K227" i="6"/>
  <c r="Q226" i="6"/>
  <c r="A226" i="6" s="1"/>
  <c r="A225" i="6"/>
  <c r="Q225" i="6"/>
  <c r="L225" i="6"/>
  <c r="K225" i="6"/>
  <c r="A224" i="6"/>
  <c r="Q224" i="6"/>
  <c r="L224" i="6"/>
  <c r="K224" i="6"/>
  <c r="A223" i="6"/>
  <c r="Q223" i="6"/>
  <c r="L223" i="6"/>
  <c r="K223" i="6"/>
  <c r="A222" i="6"/>
  <c r="Q222" i="6"/>
  <c r="Q221" i="6"/>
  <c r="A221" i="6" s="1"/>
  <c r="L221" i="6"/>
  <c r="K221" i="6"/>
  <c r="Q220" i="6"/>
  <c r="A220" i="6" s="1"/>
  <c r="L220" i="6"/>
  <c r="K220" i="6"/>
  <c r="Q219" i="6"/>
  <c r="A219" i="6" s="1"/>
  <c r="L219" i="6"/>
  <c r="K219" i="6"/>
  <c r="Q218" i="6"/>
  <c r="A218" i="6" s="1"/>
  <c r="A217" i="6"/>
  <c r="Q217" i="6"/>
  <c r="Q216" i="6"/>
  <c r="A216" i="6" s="1"/>
  <c r="A215" i="6"/>
  <c r="Q215" i="6"/>
  <c r="Q214" i="6"/>
  <c r="A214" i="6" s="1"/>
  <c r="Q213" i="6"/>
  <c r="A213" i="6" s="1"/>
  <c r="Q212" i="6"/>
  <c r="A212" i="6" s="1"/>
  <c r="Q211" i="6"/>
  <c r="A211" i="6" s="1"/>
  <c r="Q210" i="6"/>
  <c r="A210" i="6" s="1"/>
  <c r="L210" i="6"/>
  <c r="K210" i="6"/>
  <c r="Q209" i="6"/>
  <c r="A209" i="6" s="1"/>
  <c r="A208" i="6"/>
  <c r="Q208" i="6"/>
  <c r="Q207" i="6"/>
  <c r="A207" i="6" s="1"/>
  <c r="L207" i="6"/>
  <c r="K207" i="6"/>
  <c r="Q206" i="6"/>
  <c r="A206" i="6" s="1"/>
  <c r="Q205" i="6"/>
  <c r="A205" i="6" s="1"/>
  <c r="Q204" i="6"/>
  <c r="A204" i="6" s="1"/>
  <c r="A203" i="6"/>
  <c r="Q203" i="6"/>
  <c r="Q202" i="6"/>
  <c r="A202" i="6" s="1"/>
  <c r="A201" i="6"/>
  <c r="Q201" i="6"/>
  <c r="Q200" i="6"/>
  <c r="A200" i="6" s="1"/>
  <c r="Q199" i="6"/>
  <c r="A199" i="6" s="1"/>
  <c r="Q198" i="6"/>
  <c r="A198" i="6" s="1"/>
  <c r="Q197" i="6"/>
  <c r="A197" i="6" s="1"/>
  <c r="Q196" i="6"/>
  <c r="A196" i="6" s="1"/>
  <c r="L196" i="6"/>
  <c r="K196" i="6"/>
  <c r="Q195" i="6"/>
  <c r="A195" i="6" s="1"/>
  <c r="A194" i="6"/>
  <c r="Q194" i="6"/>
  <c r="Q193" i="6"/>
  <c r="A193" i="6" s="1"/>
  <c r="Q192" i="6"/>
  <c r="A192" i="6" s="1"/>
  <c r="Q191" i="6"/>
  <c r="A191" i="6" s="1"/>
  <c r="Q190" i="6"/>
  <c r="A190" i="6" s="1"/>
  <c r="Q189" i="6"/>
  <c r="A189" i="6" s="1"/>
  <c r="L189" i="6"/>
  <c r="K189" i="6"/>
  <c r="Q188" i="6"/>
  <c r="A188" i="6" s="1"/>
  <c r="L188" i="6"/>
  <c r="K188" i="6"/>
  <c r="Q187" i="6"/>
  <c r="A187" i="6" s="1"/>
  <c r="Q186" i="6"/>
  <c r="A186" i="6" s="1"/>
  <c r="L186" i="6"/>
  <c r="K186" i="6"/>
  <c r="Q185" i="6"/>
  <c r="A185" i="6" s="1"/>
  <c r="L185" i="6"/>
  <c r="K185" i="6"/>
  <c r="Q184" i="6"/>
  <c r="A184" i="6" s="1"/>
  <c r="L184" i="6"/>
  <c r="K184" i="6"/>
  <c r="Q183" i="6"/>
  <c r="A183" i="6" s="1"/>
  <c r="Q182" i="6"/>
  <c r="A182" i="6" s="1"/>
  <c r="Q181" i="6"/>
  <c r="A181" i="6" s="1"/>
  <c r="Q180" i="6"/>
  <c r="A180" i="6" s="1"/>
  <c r="A179" i="6"/>
  <c r="Q179" i="6"/>
  <c r="Q178" i="6"/>
  <c r="A178" i="6" s="1"/>
  <c r="L178" i="6"/>
  <c r="K178" i="6"/>
  <c r="Q177" i="6"/>
  <c r="A177" i="6" s="1"/>
  <c r="L177" i="6"/>
  <c r="K177" i="6"/>
  <c r="Q176" i="6"/>
  <c r="A176" i="6" s="1"/>
  <c r="M176" i="6"/>
  <c r="L176" i="6"/>
  <c r="K176" i="6"/>
  <c r="Q175" i="6"/>
  <c r="A175" i="6" s="1"/>
  <c r="L175" i="6"/>
  <c r="K175" i="6"/>
  <c r="Q174" i="6"/>
  <c r="A174" i="6" s="1"/>
  <c r="L174" i="6"/>
  <c r="K174" i="6"/>
  <c r="Q173" i="6"/>
  <c r="A173" i="6" s="1"/>
  <c r="L173" i="6"/>
  <c r="K173" i="6"/>
  <c r="Q172" i="6"/>
  <c r="A172" i="6" s="1"/>
  <c r="L172" i="6"/>
  <c r="K172" i="6"/>
  <c r="Q171" i="6"/>
  <c r="A171" i="6" s="1"/>
  <c r="L171" i="6"/>
  <c r="K171" i="6"/>
  <c r="Q170" i="6"/>
  <c r="A170" i="6" s="1"/>
  <c r="A169" i="6"/>
  <c r="Q169" i="6"/>
  <c r="Q168" i="6"/>
  <c r="A168" i="6" s="1"/>
  <c r="A167" i="6"/>
  <c r="Q167" i="6"/>
  <c r="L167" i="6"/>
  <c r="K167" i="6"/>
  <c r="A166" i="6"/>
  <c r="Q166" i="6"/>
  <c r="Q165" i="6"/>
  <c r="A165" i="6" s="1"/>
  <c r="A164" i="6"/>
  <c r="Q164" i="6"/>
  <c r="Q163" i="6"/>
  <c r="A163" i="6" s="1"/>
  <c r="L163" i="6"/>
  <c r="K163" i="6"/>
  <c r="Q162" i="6"/>
  <c r="A162" i="6" s="1"/>
  <c r="A161" i="6"/>
  <c r="Q161" i="6"/>
  <c r="Q160" i="6"/>
  <c r="A160" i="6" s="1"/>
  <c r="A159" i="6"/>
  <c r="Q159" i="6"/>
  <c r="Q158" i="6"/>
  <c r="A158" i="6" s="1"/>
  <c r="A157" i="6"/>
  <c r="Q157" i="6"/>
  <c r="Q156" i="6"/>
  <c r="A156" i="6" s="1"/>
  <c r="L156" i="6"/>
  <c r="K156" i="6"/>
  <c r="Q155" i="6"/>
  <c r="A155" i="6" s="1"/>
  <c r="A154" i="6"/>
  <c r="Q154" i="6"/>
  <c r="Q153" i="6"/>
  <c r="A153" i="6" s="1"/>
  <c r="A152" i="6"/>
  <c r="Q152" i="6"/>
  <c r="L152" i="6"/>
  <c r="K152" i="6"/>
  <c r="A151" i="6"/>
  <c r="Q151" i="6"/>
  <c r="Q150" i="6"/>
  <c r="A150" i="6" s="1"/>
  <c r="L150" i="6"/>
  <c r="K150" i="6"/>
  <c r="Q149" i="6"/>
  <c r="A149" i="6" s="1"/>
  <c r="A148" i="6"/>
  <c r="Q148" i="6"/>
  <c r="L148" i="6"/>
  <c r="K148" i="6"/>
  <c r="A147" i="6"/>
  <c r="Q147" i="6"/>
  <c r="L147" i="6"/>
  <c r="K147" i="6"/>
  <c r="A146" i="6"/>
  <c r="Q146" i="6"/>
  <c r="L146" i="6"/>
  <c r="K146" i="6"/>
  <c r="A145" i="6"/>
  <c r="Q145" i="6"/>
  <c r="Q144" i="6"/>
  <c r="A144" i="6" s="1"/>
  <c r="A143" i="6"/>
  <c r="Q143" i="6"/>
  <c r="Q142" i="6"/>
  <c r="A142" i="6" s="1"/>
  <c r="A141" i="6"/>
  <c r="Q141" i="6"/>
  <c r="Q140" i="6"/>
  <c r="A140" i="6" s="1"/>
  <c r="A139" i="6"/>
  <c r="Q139" i="6"/>
  <c r="L139" i="6"/>
  <c r="K139" i="6"/>
  <c r="A138" i="6"/>
  <c r="Q138" i="6"/>
  <c r="Q137" i="6"/>
  <c r="A137" i="6" s="1"/>
  <c r="A136" i="6"/>
  <c r="Q136" i="6"/>
  <c r="Q135" i="6"/>
  <c r="A135" i="6" s="1"/>
  <c r="A134" i="6"/>
  <c r="Q134" i="6"/>
  <c r="Q133" i="6"/>
  <c r="A133" i="6" s="1"/>
  <c r="A132" i="6"/>
  <c r="Q132" i="6"/>
  <c r="Q131" i="6"/>
  <c r="A131" i="6" s="1"/>
  <c r="A130" i="6"/>
  <c r="Q130" i="6"/>
  <c r="Q129" i="6"/>
  <c r="A129" i="6" s="1"/>
  <c r="A128" i="6"/>
  <c r="Q128" i="6"/>
  <c r="Q127" i="6"/>
  <c r="A127" i="6" s="1"/>
  <c r="A126" i="6"/>
  <c r="Q126" i="6"/>
  <c r="Q125" i="6"/>
  <c r="A125" i="6" s="1"/>
  <c r="A124" i="6"/>
  <c r="Q124" i="6"/>
  <c r="L124" i="6"/>
  <c r="K124" i="6"/>
  <c r="A123" i="6"/>
  <c r="Q123" i="6"/>
  <c r="Q122" i="6"/>
  <c r="A122" i="6" s="1"/>
  <c r="A121" i="6"/>
  <c r="Q121" i="6"/>
  <c r="Q120" i="6"/>
  <c r="A120" i="6" s="1"/>
  <c r="A119" i="6"/>
  <c r="Q119" i="6"/>
  <c r="Q118" i="6"/>
  <c r="A118" i="6" s="1"/>
  <c r="L118" i="6"/>
  <c r="K118" i="6"/>
  <c r="Q117" i="6"/>
  <c r="A117" i="6" s="1"/>
  <c r="A116" i="6"/>
  <c r="Q116" i="6"/>
  <c r="Q115" i="6"/>
  <c r="A115" i="6" s="1"/>
  <c r="A114" i="6"/>
  <c r="Q114" i="6"/>
  <c r="Q113" i="6"/>
  <c r="A113" i="6" s="1"/>
  <c r="L113" i="6"/>
  <c r="K113" i="6"/>
  <c r="Q112" i="6"/>
  <c r="A112" i="6" s="1"/>
  <c r="A111" i="6"/>
  <c r="Q111" i="6"/>
  <c r="Q110" i="6"/>
  <c r="A110" i="6" s="1"/>
  <c r="L110" i="6"/>
  <c r="K110" i="6"/>
  <c r="Q109" i="6"/>
  <c r="A109" i="6" s="1"/>
  <c r="A108" i="6"/>
  <c r="Q108" i="6"/>
  <c r="Q107" i="6"/>
  <c r="A107" i="6" s="1"/>
  <c r="A106" i="6"/>
  <c r="Q106" i="6"/>
  <c r="Q105" i="6"/>
  <c r="A105" i="6" s="1"/>
  <c r="A104" i="6"/>
  <c r="Q104" i="6"/>
  <c r="Q103" i="6"/>
  <c r="A103" i="6" s="1"/>
  <c r="A102" i="6"/>
  <c r="Q102" i="6"/>
  <c r="Q101" i="6"/>
  <c r="A101" i="6" s="1"/>
  <c r="A100" i="6"/>
  <c r="Q100" i="6"/>
  <c r="Q99" i="6"/>
  <c r="A99" i="6" s="1"/>
  <c r="A98" i="6"/>
  <c r="Q98" i="6"/>
  <c r="Q97" i="6"/>
  <c r="A97" i="6" s="1"/>
  <c r="A96" i="6"/>
  <c r="Q96" i="6"/>
  <c r="Q95" i="6"/>
  <c r="A95" i="6" s="1"/>
  <c r="L95" i="6"/>
  <c r="K95" i="6"/>
  <c r="Q94" i="6"/>
  <c r="A94" i="6" s="1"/>
  <c r="A93" i="6"/>
  <c r="Q93" i="6"/>
  <c r="Q92" i="6"/>
  <c r="A92" i="6" s="1"/>
  <c r="A91" i="6"/>
  <c r="Q91" i="6"/>
  <c r="Q90" i="6"/>
  <c r="A90" i="6" s="1"/>
  <c r="A89" i="6"/>
  <c r="Q89" i="6"/>
  <c r="Q88" i="6"/>
  <c r="A88" i="6" s="1"/>
  <c r="A87" i="6"/>
  <c r="Q87" i="6"/>
  <c r="Q86" i="6"/>
  <c r="A86" i="6" s="1"/>
  <c r="A85" i="6"/>
  <c r="Q85" i="6"/>
  <c r="Q84" i="6"/>
  <c r="A84" i="6" s="1"/>
  <c r="A83" i="6"/>
  <c r="Q83" i="6"/>
  <c r="Q82" i="6"/>
  <c r="A82" i="6" s="1"/>
  <c r="A81" i="6"/>
  <c r="Q81" i="6"/>
  <c r="Q80" i="6"/>
  <c r="A80" i="6" s="1"/>
  <c r="A79" i="6"/>
  <c r="Q79" i="6"/>
  <c r="Q78" i="6"/>
  <c r="A78" i="6" s="1"/>
  <c r="A77" i="6"/>
  <c r="Q77" i="6"/>
  <c r="Q76" i="6"/>
  <c r="A76" i="6" s="1"/>
  <c r="A75" i="6"/>
  <c r="Q75" i="6"/>
  <c r="Q74" i="6"/>
  <c r="A74" i="6" s="1"/>
  <c r="A73" i="6"/>
  <c r="Q73" i="6"/>
  <c r="Q72" i="6"/>
  <c r="A72" i="6" s="1"/>
  <c r="A71" i="6"/>
  <c r="Q71" i="6"/>
  <c r="Q70" i="6"/>
  <c r="A70" i="6" s="1"/>
  <c r="A69" i="6"/>
  <c r="Q69" i="6"/>
  <c r="Q68" i="6"/>
  <c r="A68" i="6" s="1"/>
  <c r="L68" i="6"/>
  <c r="K68" i="6"/>
  <c r="Q67" i="6"/>
  <c r="A67" i="6" s="1"/>
  <c r="A66" i="6"/>
  <c r="Q66" i="6"/>
  <c r="Q65" i="6"/>
  <c r="A65" i="6" s="1"/>
  <c r="A64" i="6"/>
  <c r="Q64" i="6"/>
  <c r="Q63" i="6"/>
  <c r="A63" i="6" s="1"/>
  <c r="A62" i="6"/>
  <c r="Q62" i="6"/>
  <c r="Q61" i="6"/>
  <c r="A61" i="6" s="1"/>
  <c r="A60" i="6"/>
  <c r="Q60" i="6"/>
  <c r="L60" i="6"/>
  <c r="K60" i="6"/>
  <c r="A59" i="6"/>
  <c r="Q59" i="6"/>
  <c r="Q58" i="6"/>
  <c r="A58" i="6" s="1"/>
  <c r="A57" i="6"/>
  <c r="Q57" i="6"/>
  <c r="Q56" i="6"/>
  <c r="A56" i="6" s="1"/>
  <c r="A55" i="6"/>
  <c r="Q55" i="6"/>
  <c r="Q54" i="6"/>
  <c r="A54" i="6" s="1"/>
  <c r="A53" i="6"/>
  <c r="Q53" i="6"/>
  <c r="Q52" i="6"/>
  <c r="A52" i="6" s="1"/>
  <c r="L52" i="6"/>
  <c r="K52" i="6"/>
  <c r="Q51" i="6"/>
  <c r="A51" i="6" s="1"/>
  <c r="A50" i="6"/>
  <c r="Q50" i="6"/>
  <c r="Q49" i="6"/>
  <c r="A49" i="6" s="1"/>
  <c r="A48" i="6"/>
  <c r="Q48" i="6"/>
  <c r="Q47" i="6"/>
  <c r="A47" i="6" s="1"/>
  <c r="A46" i="6"/>
  <c r="Q46" i="6"/>
  <c r="Q45" i="6"/>
  <c r="A45" i="6" s="1"/>
  <c r="A44" i="6"/>
  <c r="Q44" i="6"/>
  <c r="Q43" i="6"/>
  <c r="A43" i="6" s="1"/>
  <c r="M43" i="6"/>
  <c r="L43" i="6"/>
  <c r="K43" i="6"/>
  <c r="A42" i="6"/>
  <c r="Q42" i="6"/>
  <c r="Q41" i="6"/>
  <c r="A41" i="6" s="1"/>
  <c r="Q40" i="6"/>
  <c r="A40" i="6" s="1"/>
  <c r="Q39" i="6"/>
  <c r="A39" i="6" s="1"/>
  <c r="Q38" i="6"/>
  <c r="A38" i="6" s="1"/>
  <c r="Q37" i="6"/>
  <c r="A37" i="6" s="1"/>
  <c r="A36" i="6"/>
  <c r="Q36" i="6"/>
  <c r="Q35" i="6"/>
  <c r="A35" i="6" s="1"/>
  <c r="A34" i="6"/>
  <c r="Q34" i="6"/>
  <c r="Q33" i="6"/>
  <c r="A33" i="6" s="1"/>
  <c r="Q32" i="6"/>
  <c r="A32" i="6" s="1"/>
  <c r="Q31" i="6"/>
  <c r="A31" i="6" s="1"/>
  <c r="L31" i="6"/>
  <c r="K31" i="6"/>
  <c r="Q30" i="6"/>
  <c r="A30" i="6" s="1"/>
  <c r="A29" i="6"/>
  <c r="Q29" i="6"/>
  <c r="Q28" i="6"/>
  <c r="A28" i="6" s="1"/>
  <c r="A27" i="6"/>
  <c r="Q27" i="6"/>
  <c r="Q26" i="6"/>
  <c r="A26" i="6" s="1"/>
  <c r="Q25" i="6"/>
  <c r="A25" i="6" s="1"/>
  <c r="L25" i="6"/>
  <c r="K25" i="6"/>
  <c r="Q24" i="6"/>
  <c r="A24" i="6" s="1"/>
  <c r="Q23" i="6"/>
  <c r="A23" i="6" s="1"/>
  <c r="Q22" i="6"/>
  <c r="A22" i="6" s="1"/>
  <c r="Q21" i="6"/>
  <c r="A21" i="6" s="1"/>
  <c r="A20" i="6"/>
  <c r="Q20" i="6"/>
  <c r="L20" i="6"/>
  <c r="K20" i="6"/>
  <c r="A19" i="6"/>
  <c r="Q19" i="6"/>
  <c r="Q18" i="6"/>
  <c r="A18" i="6" s="1"/>
  <c r="L18" i="6"/>
  <c r="K18" i="6"/>
  <c r="Q17" i="6"/>
  <c r="A17" i="6" s="1"/>
  <c r="L17" i="6"/>
  <c r="K17" i="6"/>
  <c r="Q16" i="6"/>
  <c r="A16" i="6" s="1"/>
  <c r="L16" i="6"/>
  <c r="K16" i="6"/>
  <c r="Q15" i="6"/>
  <c r="A15" i="6" s="1"/>
  <c r="L15" i="6"/>
  <c r="K15" i="6"/>
  <c r="Q14" i="6"/>
  <c r="A14" i="6" s="1"/>
  <c r="L14" i="6"/>
  <c r="K14" i="6"/>
  <c r="Q13" i="6"/>
  <c r="A13" i="6" s="1"/>
  <c r="L13" i="6"/>
  <c r="K13" i="6"/>
  <c r="Q12" i="6"/>
  <c r="A12" i="6" s="1"/>
  <c r="L12" i="6"/>
  <c r="K12" i="6"/>
  <c r="Q11" i="6"/>
  <c r="A11" i="6" s="1"/>
  <c r="L11" i="6"/>
  <c r="K11" i="6"/>
  <c r="Q10" i="6"/>
  <c r="A10" i="6" s="1"/>
  <c r="L10" i="6"/>
  <c r="K10" i="6"/>
  <c r="Q9" i="6"/>
  <c r="A9" i="6" s="1"/>
  <c r="Q8" i="6"/>
  <c r="A8" i="6" s="1"/>
  <c r="L8" i="6"/>
  <c r="K8" i="6"/>
  <c r="Q7" i="6"/>
  <c r="A7" i="6" s="1"/>
  <c r="L7" i="6"/>
  <c r="K7" i="6"/>
  <c r="Q6" i="6"/>
  <c r="A6" i="6" s="1"/>
  <c r="L6" i="6"/>
  <c r="K6" i="6"/>
  <c r="Q5" i="6"/>
  <c r="A5" i="6" s="1"/>
  <c r="L5" i="6"/>
  <c r="K5" i="6"/>
  <c r="Q4" i="6"/>
  <c r="A4" i="6" s="1"/>
  <c r="L4" i="6"/>
  <c r="K4" i="6"/>
  <c r="Q3" i="6"/>
  <c r="A3" i="6" s="1"/>
  <c r="L3" i="6"/>
  <c r="K3" i="6"/>
  <c r="I937" i="5"/>
  <c r="A937" i="5" s="1"/>
  <c r="I936" i="5"/>
  <c r="A936" i="5" s="1"/>
  <c r="I935" i="5"/>
  <c r="A935" i="5" s="1"/>
  <c r="I934" i="5"/>
  <c r="A934" i="5" s="1"/>
  <c r="A933" i="5"/>
  <c r="I933" i="5"/>
  <c r="I932" i="5"/>
  <c r="A932" i="5" s="1"/>
  <c r="A931" i="5"/>
  <c r="I931" i="5"/>
  <c r="I930" i="5"/>
  <c r="A930" i="5" s="1"/>
  <c r="I929" i="5"/>
  <c r="A929" i="5" s="1"/>
  <c r="I928" i="5"/>
  <c r="A928" i="5" s="1"/>
  <c r="I927" i="5"/>
  <c r="A927" i="5" s="1"/>
  <c r="I926" i="5"/>
  <c r="A926" i="5" s="1"/>
  <c r="A925" i="5"/>
  <c r="I925" i="5"/>
  <c r="I924" i="5"/>
  <c r="A924" i="5" s="1"/>
  <c r="A923" i="5"/>
  <c r="I923" i="5"/>
  <c r="I922" i="5"/>
  <c r="A922" i="5" s="1"/>
  <c r="I921" i="5"/>
  <c r="A921" i="5" s="1"/>
  <c r="I920" i="5"/>
  <c r="A920" i="5" s="1"/>
  <c r="I919" i="5"/>
  <c r="A919" i="5" s="1"/>
  <c r="I918" i="5"/>
  <c r="A918" i="5" s="1"/>
  <c r="A917" i="5"/>
  <c r="I917" i="5"/>
  <c r="I916" i="5"/>
  <c r="A916" i="5" s="1"/>
  <c r="A915" i="5"/>
  <c r="I915" i="5"/>
  <c r="I914" i="5"/>
  <c r="A914" i="5" s="1"/>
  <c r="I913" i="5"/>
  <c r="A913" i="5" s="1"/>
  <c r="I912" i="5"/>
  <c r="A912" i="5" s="1"/>
  <c r="I911" i="5"/>
  <c r="A911" i="5" s="1"/>
  <c r="I910" i="5"/>
  <c r="A910" i="5" s="1"/>
  <c r="A909" i="5"/>
  <c r="I909" i="5"/>
  <c r="I908" i="5"/>
  <c r="A908" i="5" s="1"/>
  <c r="A907" i="5"/>
  <c r="I907" i="5"/>
  <c r="I906" i="5"/>
  <c r="A906" i="5" s="1"/>
  <c r="I905" i="5"/>
  <c r="A905" i="5" s="1"/>
  <c r="I904" i="5"/>
  <c r="A904" i="5" s="1"/>
  <c r="I903" i="5"/>
  <c r="A903" i="5" s="1"/>
  <c r="I902" i="5"/>
  <c r="A902" i="5" s="1"/>
  <c r="A901" i="5"/>
  <c r="I901" i="5"/>
  <c r="I900" i="5"/>
  <c r="A900" i="5" s="1"/>
  <c r="A899" i="5"/>
  <c r="I899" i="5"/>
  <c r="I898" i="5"/>
  <c r="A898" i="5" s="1"/>
  <c r="I897" i="5"/>
  <c r="A897" i="5" s="1"/>
  <c r="I896" i="5"/>
  <c r="A896" i="5" s="1"/>
  <c r="I895" i="5"/>
  <c r="A895" i="5" s="1"/>
  <c r="I894" i="5"/>
  <c r="A894" i="5" s="1"/>
  <c r="A893" i="5"/>
  <c r="I893" i="5"/>
  <c r="I892" i="5"/>
  <c r="A892" i="5" s="1"/>
  <c r="A891" i="5"/>
  <c r="I891" i="5"/>
  <c r="I890" i="5"/>
  <c r="A890" i="5" s="1"/>
  <c r="I889" i="5"/>
  <c r="A889" i="5" s="1"/>
  <c r="I888" i="5"/>
  <c r="A888" i="5" s="1"/>
  <c r="I887" i="5"/>
  <c r="A887" i="5" s="1"/>
  <c r="I886" i="5"/>
  <c r="A886" i="5" s="1"/>
  <c r="A885" i="5"/>
  <c r="I885" i="5"/>
  <c r="I884" i="5"/>
  <c r="A884" i="5" s="1"/>
  <c r="A883" i="5"/>
  <c r="I883" i="5"/>
  <c r="I882" i="5"/>
  <c r="A882" i="5" s="1"/>
  <c r="I881" i="5"/>
  <c r="A881" i="5" s="1"/>
  <c r="I880" i="5"/>
  <c r="A880" i="5" s="1"/>
  <c r="I879" i="5"/>
  <c r="A879" i="5" s="1"/>
  <c r="I878" i="5"/>
  <c r="A878" i="5" s="1"/>
  <c r="A877" i="5"/>
  <c r="I877" i="5"/>
  <c r="I876" i="5"/>
  <c r="A876" i="5" s="1"/>
  <c r="A875" i="5"/>
  <c r="I875" i="5"/>
  <c r="I874" i="5"/>
  <c r="A874" i="5" s="1"/>
  <c r="I873" i="5"/>
  <c r="A873" i="5" s="1"/>
  <c r="I872" i="5"/>
  <c r="A872" i="5" s="1"/>
  <c r="I871" i="5"/>
  <c r="A871" i="5" s="1"/>
  <c r="I870" i="5"/>
  <c r="A870" i="5" s="1"/>
  <c r="A869" i="5"/>
  <c r="I869" i="5"/>
  <c r="I868" i="5"/>
  <c r="A868" i="5" s="1"/>
  <c r="A867" i="5"/>
  <c r="I867" i="5"/>
  <c r="I866" i="5"/>
  <c r="A866" i="5" s="1"/>
  <c r="I865" i="5"/>
  <c r="A865" i="5" s="1"/>
  <c r="I864" i="5"/>
  <c r="A864" i="5" s="1"/>
  <c r="I863" i="5"/>
  <c r="A863" i="5" s="1"/>
  <c r="I862" i="5"/>
  <c r="A862" i="5" s="1"/>
  <c r="A861" i="5"/>
  <c r="I861" i="5"/>
  <c r="I860" i="5"/>
  <c r="A860" i="5" s="1"/>
  <c r="A859" i="5"/>
  <c r="I859" i="5"/>
  <c r="I858" i="5"/>
  <c r="A858" i="5" s="1"/>
  <c r="I857" i="5"/>
  <c r="A857" i="5" s="1"/>
  <c r="I856" i="5"/>
  <c r="A856" i="5" s="1"/>
  <c r="I855" i="5"/>
  <c r="A855" i="5" s="1"/>
  <c r="I854" i="5"/>
  <c r="A854" i="5" s="1"/>
  <c r="A853" i="5"/>
  <c r="I853" i="5"/>
  <c r="I852" i="5"/>
  <c r="A852" i="5" s="1"/>
  <c r="A851" i="5"/>
  <c r="I851" i="5"/>
  <c r="I850" i="5"/>
  <c r="A850" i="5" s="1"/>
  <c r="I849" i="5"/>
  <c r="A849" i="5" s="1"/>
  <c r="I848" i="5"/>
  <c r="A848" i="5" s="1"/>
  <c r="I847" i="5"/>
  <c r="A847" i="5" s="1"/>
  <c r="I846" i="5"/>
  <c r="A846" i="5" s="1"/>
  <c r="A845" i="5"/>
  <c r="I845" i="5"/>
  <c r="I844" i="5"/>
  <c r="A844" i="5" s="1"/>
  <c r="A843" i="5"/>
  <c r="I843" i="5"/>
  <c r="I842" i="5"/>
  <c r="A842" i="5" s="1"/>
  <c r="I841" i="5"/>
  <c r="A841" i="5" s="1"/>
  <c r="I840" i="5"/>
  <c r="A840" i="5" s="1"/>
  <c r="I839" i="5"/>
  <c r="A839" i="5" s="1"/>
  <c r="I838" i="5"/>
  <c r="A838" i="5" s="1"/>
  <c r="A837" i="5"/>
  <c r="I837" i="5"/>
  <c r="I836" i="5"/>
  <c r="A836" i="5" s="1"/>
  <c r="A835" i="5"/>
  <c r="I835" i="5"/>
  <c r="I834" i="5"/>
  <c r="A834" i="5" s="1"/>
  <c r="I833" i="5"/>
  <c r="A833" i="5" s="1"/>
  <c r="I832" i="5"/>
  <c r="A832" i="5" s="1"/>
  <c r="I831" i="5"/>
  <c r="A831" i="5" s="1"/>
  <c r="I830" i="5"/>
  <c r="A830" i="5" s="1"/>
  <c r="A829" i="5"/>
  <c r="I829" i="5"/>
  <c r="I828" i="5"/>
  <c r="A828" i="5" s="1"/>
  <c r="A827" i="5"/>
  <c r="I827" i="5"/>
  <c r="I826" i="5"/>
  <c r="A826" i="5" s="1"/>
  <c r="I825" i="5"/>
  <c r="A825" i="5" s="1"/>
  <c r="I824" i="5"/>
  <c r="A824" i="5" s="1"/>
  <c r="I823" i="5"/>
  <c r="A823" i="5" s="1"/>
  <c r="I822" i="5"/>
  <c r="A822" i="5" s="1"/>
  <c r="A821" i="5"/>
  <c r="I821" i="5"/>
  <c r="I820" i="5"/>
  <c r="A820" i="5" s="1"/>
  <c r="A819" i="5"/>
  <c r="I819" i="5"/>
  <c r="I818" i="5"/>
  <c r="A818" i="5" s="1"/>
  <c r="I817" i="5"/>
  <c r="A817" i="5" s="1"/>
  <c r="I816" i="5"/>
  <c r="A816" i="5" s="1"/>
  <c r="I815" i="5"/>
  <c r="A815" i="5" s="1"/>
  <c r="I814" i="5"/>
  <c r="A814" i="5" s="1"/>
  <c r="A813" i="5"/>
  <c r="I813" i="5"/>
  <c r="I812" i="5"/>
  <c r="A812" i="5" s="1"/>
  <c r="A811" i="5"/>
  <c r="I811" i="5"/>
  <c r="I810" i="5"/>
  <c r="A810" i="5" s="1"/>
  <c r="I809" i="5"/>
  <c r="A809" i="5" s="1"/>
  <c r="I808" i="5"/>
  <c r="A808" i="5" s="1"/>
  <c r="I807" i="5"/>
  <c r="A807" i="5" s="1"/>
  <c r="I806" i="5"/>
  <c r="A806" i="5" s="1"/>
  <c r="A805" i="5"/>
  <c r="I805" i="5"/>
  <c r="I804" i="5"/>
  <c r="A804" i="5" s="1"/>
  <c r="A803" i="5"/>
  <c r="I803" i="5"/>
  <c r="I802" i="5"/>
  <c r="A802" i="5" s="1"/>
  <c r="I801" i="5"/>
  <c r="A801" i="5" s="1"/>
  <c r="I800" i="5"/>
  <c r="A800" i="5" s="1"/>
  <c r="I799" i="5"/>
  <c r="A799" i="5" s="1"/>
  <c r="I798" i="5"/>
  <c r="A798" i="5" s="1"/>
  <c r="A797" i="5"/>
  <c r="I797" i="5"/>
  <c r="I796" i="5"/>
  <c r="A796" i="5" s="1"/>
  <c r="A795" i="5"/>
  <c r="I795" i="5"/>
  <c r="I794" i="5"/>
  <c r="A794" i="5" s="1"/>
  <c r="I793" i="5"/>
  <c r="A793" i="5" s="1"/>
  <c r="I792" i="5"/>
  <c r="A792" i="5" s="1"/>
  <c r="I791" i="5"/>
  <c r="A791" i="5" s="1"/>
  <c r="I790" i="5"/>
  <c r="A790" i="5" s="1"/>
  <c r="A789" i="5"/>
  <c r="I789" i="5"/>
  <c r="I788" i="5"/>
  <c r="A788" i="5" s="1"/>
  <c r="A787" i="5"/>
  <c r="I787" i="5"/>
  <c r="I786" i="5"/>
  <c r="A786" i="5" s="1"/>
  <c r="I785" i="5"/>
  <c r="A785" i="5" s="1"/>
  <c r="I784" i="5"/>
  <c r="A784" i="5" s="1"/>
  <c r="I783" i="5"/>
  <c r="A783" i="5" s="1"/>
  <c r="I782" i="5"/>
  <c r="A782" i="5" s="1"/>
  <c r="A781" i="5"/>
  <c r="I781" i="5"/>
  <c r="I780" i="5"/>
  <c r="A780" i="5" s="1"/>
  <c r="A779" i="5"/>
  <c r="I779" i="5"/>
  <c r="I778" i="5"/>
  <c r="A778" i="5" s="1"/>
  <c r="I777" i="5"/>
  <c r="A777" i="5" s="1"/>
  <c r="I776" i="5"/>
  <c r="A776" i="5" s="1"/>
  <c r="I775" i="5"/>
  <c r="A775" i="5" s="1"/>
  <c r="I774" i="5"/>
  <c r="A774" i="5" s="1"/>
  <c r="A773" i="5"/>
  <c r="I773" i="5"/>
  <c r="I772" i="5"/>
  <c r="A772" i="5" s="1"/>
  <c r="A771" i="5"/>
  <c r="I771" i="5"/>
  <c r="I770" i="5"/>
  <c r="A770" i="5" s="1"/>
  <c r="I769" i="5"/>
  <c r="A769" i="5" s="1"/>
  <c r="I768" i="5"/>
  <c r="A768" i="5" s="1"/>
  <c r="I767" i="5"/>
  <c r="A767" i="5" s="1"/>
  <c r="I766" i="5"/>
  <c r="A766" i="5" s="1"/>
  <c r="A765" i="5"/>
  <c r="I765" i="5"/>
  <c r="I764" i="5"/>
  <c r="A764" i="5" s="1"/>
  <c r="A763" i="5"/>
  <c r="I763" i="5"/>
  <c r="I762" i="5"/>
  <c r="A762" i="5" s="1"/>
  <c r="I761" i="5"/>
  <c r="A761" i="5" s="1"/>
  <c r="I760" i="5"/>
  <c r="A760" i="5" s="1"/>
  <c r="I759" i="5"/>
  <c r="A759" i="5" s="1"/>
  <c r="I758" i="5"/>
  <c r="A758" i="5" s="1"/>
  <c r="A757" i="5"/>
  <c r="I757" i="5"/>
  <c r="I756" i="5"/>
  <c r="A756" i="5" s="1"/>
  <c r="A755" i="5"/>
  <c r="I755" i="5"/>
  <c r="I754" i="5"/>
  <c r="A754" i="5" s="1"/>
  <c r="I753" i="5"/>
  <c r="A753" i="5" s="1"/>
  <c r="I752" i="5"/>
  <c r="A752" i="5" s="1"/>
  <c r="I751" i="5"/>
  <c r="A751" i="5" s="1"/>
  <c r="I750" i="5"/>
  <c r="A750" i="5" s="1"/>
  <c r="A749" i="5"/>
  <c r="I749" i="5"/>
  <c r="I748" i="5"/>
  <c r="A748" i="5" s="1"/>
  <c r="A747" i="5"/>
  <c r="I747" i="5"/>
  <c r="I746" i="5"/>
  <c r="A746" i="5" s="1"/>
  <c r="I745" i="5"/>
  <c r="A745" i="5" s="1"/>
  <c r="I744" i="5"/>
  <c r="A744" i="5" s="1"/>
  <c r="I743" i="5"/>
  <c r="A743" i="5" s="1"/>
  <c r="I742" i="5"/>
  <c r="A742" i="5" s="1"/>
  <c r="A741" i="5"/>
  <c r="I741" i="5"/>
  <c r="I740" i="5"/>
  <c r="A740" i="5" s="1"/>
  <c r="A739" i="5"/>
  <c r="I739" i="5"/>
  <c r="I738" i="5"/>
  <c r="A738" i="5" s="1"/>
  <c r="I737" i="5"/>
  <c r="A737" i="5" s="1"/>
  <c r="I736" i="5"/>
  <c r="A736" i="5" s="1"/>
  <c r="I735" i="5"/>
  <c r="A735" i="5" s="1"/>
  <c r="I734" i="5"/>
  <c r="A734" i="5" s="1"/>
  <c r="A733" i="5"/>
  <c r="I733" i="5"/>
  <c r="I732" i="5"/>
  <c r="A732" i="5" s="1"/>
  <c r="A731" i="5"/>
  <c r="I731" i="5"/>
  <c r="I730" i="5"/>
  <c r="A730" i="5" s="1"/>
  <c r="I729" i="5"/>
  <c r="A729" i="5" s="1"/>
  <c r="I728" i="5"/>
  <c r="A728" i="5" s="1"/>
  <c r="I727" i="5"/>
  <c r="A727" i="5" s="1"/>
  <c r="I726" i="5"/>
  <c r="A726" i="5" s="1"/>
  <c r="A725" i="5"/>
  <c r="I725" i="5"/>
  <c r="I724" i="5"/>
  <c r="A724" i="5" s="1"/>
  <c r="A723" i="5"/>
  <c r="I723" i="5"/>
  <c r="I722" i="5"/>
  <c r="A722" i="5" s="1"/>
  <c r="I721" i="5"/>
  <c r="A721" i="5" s="1"/>
  <c r="I720" i="5"/>
  <c r="A720" i="5" s="1"/>
  <c r="I719" i="5"/>
  <c r="A719" i="5" s="1"/>
  <c r="I718" i="5"/>
  <c r="A718" i="5" s="1"/>
  <c r="A717" i="5"/>
  <c r="I717" i="5"/>
  <c r="I716" i="5"/>
  <c r="A716" i="5" s="1"/>
  <c r="A715" i="5"/>
  <c r="I715" i="5"/>
  <c r="I714" i="5"/>
  <c r="A714" i="5" s="1"/>
  <c r="I713" i="5"/>
  <c r="A713" i="5" s="1"/>
  <c r="I712" i="5"/>
  <c r="A712" i="5" s="1"/>
  <c r="I711" i="5"/>
  <c r="A711" i="5" s="1"/>
  <c r="I710" i="5"/>
  <c r="A710" i="5" s="1"/>
  <c r="A709" i="5"/>
  <c r="I709" i="5"/>
  <c r="I708" i="5"/>
  <c r="A708" i="5" s="1"/>
  <c r="A707" i="5"/>
  <c r="I707" i="5"/>
  <c r="I706" i="5"/>
  <c r="A706" i="5" s="1"/>
  <c r="I705" i="5"/>
  <c r="A705" i="5" s="1"/>
  <c r="I704" i="5"/>
  <c r="A704" i="5" s="1"/>
  <c r="I703" i="5"/>
  <c r="A703" i="5" s="1"/>
  <c r="I702" i="5"/>
  <c r="A702" i="5" s="1"/>
  <c r="A701" i="5"/>
  <c r="I701" i="5"/>
  <c r="I700" i="5"/>
  <c r="A700" i="5" s="1"/>
  <c r="A699" i="5"/>
  <c r="I699" i="5"/>
  <c r="I698" i="5"/>
  <c r="A698" i="5" s="1"/>
  <c r="I697" i="5"/>
  <c r="A697" i="5" s="1"/>
  <c r="I696" i="5"/>
  <c r="A696" i="5" s="1"/>
  <c r="I695" i="5"/>
  <c r="A695" i="5" s="1"/>
  <c r="I694" i="5"/>
  <c r="A694" i="5" s="1"/>
  <c r="A693" i="5"/>
  <c r="I693" i="5"/>
  <c r="I692" i="5"/>
  <c r="A692" i="5" s="1"/>
  <c r="A691" i="5"/>
  <c r="I691" i="5"/>
  <c r="I690" i="5"/>
  <c r="A690" i="5" s="1"/>
  <c r="I689" i="5"/>
  <c r="A689" i="5" s="1"/>
  <c r="I688" i="5"/>
  <c r="A688" i="5" s="1"/>
  <c r="I687" i="5"/>
  <c r="A687" i="5" s="1"/>
  <c r="I686" i="5"/>
  <c r="A686" i="5" s="1"/>
  <c r="A685" i="5"/>
  <c r="I685" i="5"/>
  <c r="I684" i="5"/>
  <c r="A684" i="5" s="1"/>
  <c r="A683" i="5"/>
  <c r="I683" i="5"/>
  <c r="I682" i="5"/>
  <c r="A682" i="5" s="1"/>
  <c r="I681" i="5"/>
  <c r="A681" i="5" s="1"/>
  <c r="I680" i="5"/>
  <c r="A680" i="5" s="1"/>
  <c r="I679" i="5"/>
  <c r="A679" i="5" s="1"/>
  <c r="I678" i="5"/>
  <c r="A678" i="5" s="1"/>
  <c r="A677" i="5"/>
  <c r="I677" i="5"/>
  <c r="I676" i="5"/>
  <c r="A676" i="5" s="1"/>
  <c r="A675" i="5"/>
  <c r="I675" i="5"/>
  <c r="I674" i="5"/>
  <c r="A674" i="5" s="1"/>
  <c r="I673" i="5"/>
  <c r="A673" i="5" s="1"/>
  <c r="I672" i="5"/>
  <c r="A672" i="5" s="1"/>
  <c r="I671" i="5"/>
  <c r="A671" i="5" s="1"/>
  <c r="I670" i="5"/>
  <c r="A670" i="5" s="1"/>
  <c r="A669" i="5"/>
  <c r="I669" i="5"/>
  <c r="I668" i="5"/>
  <c r="A668" i="5" s="1"/>
  <c r="A667" i="5"/>
  <c r="I667" i="5"/>
  <c r="I666" i="5"/>
  <c r="A666" i="5" s="1"/>
  <c r="I665" i="5"/>
  <c r="A665" i="5" s="1"/>
  <c r="I664" i="5"/>
  <c r="A664" i="5" s="1"/>
  <c r="I663" i="5"/>
  <c r="A663" i="5" s="1"/>
  <c r="I662" i="5"/>
  <c r="A662" i="5" s="1"/>
  <c r="A661" i="5"/>
  <c r="I661" i="5"/>
  <c r="I660" i="5"/>
  <c r="A660" i="5" s="1"/>
  <c r="A659" i="5"/>
  <c r="I659" i="5"/>
  <c r="I658" i="5"/>
  <c r="A658" i="5" s="1"/>
  <c r="I657" i="5"/>
  <c r="A657" i="5" s="1"/>
  <c r="I656" i="5"/>
  <c r="A656" i="5" s="1"/>
  <c r="I655" i="5"/>
  <c r="A655" i="5" s="1"/>
  <c r="I654" i="5"/>
  <c r="A654" i="5" s="1"/>
  <c r="A653" i="5"/>
  <c r="I653" i="5"/>
  <c r="I652" i="5"/>
  <c r="A652" i="5" s="1"/>
  <c r="A651" i="5"/>
  <c r="I651" i="5"/>
  <c r="I650" i="5"/>
  <c r="A650" i="5" s="1"/>
  <c r="I649" i="5"/>
  <c r="A649" i="5" s="1"/>
  <c r="I648" i="5"/>
  <c r="A648" i="5" s="1"/>
  <c r="I647" i="5"/>
  <c r="A647" i="5" s="1"/>
  <c r="I646" i="5"/>
  <c r="A646" i="5" s="1"/>
  <c r="A645" i="5"/>
  <c r="I645" i="5"/>
  <c r="I644" i="5"/>
  <c r="A644" i="5" s="1"/>
  <c r="A643" i="5"/>
  <c r="I643" i="5"/>
  <c r="I642" i="5"/>
  <c r="A642" i="5" s="1"/>
  <c r="I641" i="5"/>
  <c r="A641" i="5" s="1"/>
  <c r="I640" i="5"/>
  <c r="A640" i="5" s="1"/>
  <c r="I639" i="5"/>
  <c r="A639" i="5" s="1"/>
  <c r="I638" i="5"/>
  <c r="A638" i="5" s="1"/>
  <c r="A637" i="5"/>
  <c r="I637" i="5"/>
  <c r="I636" i="5"/>
  <c r="A636" i="5" s="1"/>
  <c r="A635" i="5"/>
  <c r="I635" i="5"/>
  <c r="I634" i="5"/>
  <c r="A634" i="5" s="1"/>
  <c r="I633" i="5"/>
  <c r="A633" i="5" s="1"/>
  <c r="I632" i="5"/>
  <c r="A632" i="5" s="1"/>
  <c r="I631" i="5"/>
  <c r="A631" i="5" s="1"/>
  <c r="I630" i="5"/>
  <c r="A630" i="5" s="1"/>
  <c r="A629" i="5"/>
  <c r="I629" i="5"/>
  <c r="I628" i="5"/>
  <c r="A628" i="5" s="1"/>
  <c r="A627" i="5"/>
  <c r="I627" i="5"/>
  <c r="I626" i="5"/>
  <c r="A626" i="5" s="1"/>
  <c r="I625" i="5"/>
  <c r="A625" i="5" s="1"/>
  <c r="I624" i="5"/>
  <c r="A624" i="5" s="1"/>
  <c r="I623" i="5"/>
  <c r="A623" i="5" s="1"/>
  <c r="I622" i="5"/>
  <c r="A622" i="5" s="1"/>
  <c r="A621" i="5"/>
  <c r="I621" i="5"/>
  <c r="I620" i="5"/>
  <c r="A620" i="5" s="1"/>
  <c r="A619" i="5"/>
  <c r="I619" i="5"/>
  <c r="I618" i="5"/>
  <c r="A618" i="5" s="1"/>
  <c r="I617" i="5"/>
  <c r="A617" i="5" s="1"/>
  <c r="I616" i="5"/>
  <c r="A616" i="5" s="1"/>
  <c r="I615" i="5"/>
  <c r="A615" i="5" s="1"/>
  <c r="I614" i="5"/>
  <c r="A614" i="5" s="1"/>
  <c r="A613" i="5"/>
  <c r="I613" i="5"/>
  <c r="I612" i="5"/>
  <c r="A612" i="5" s="1"/>
  <c r="A611" i="5"/>
  <c r="I611" i="5"/>
  <c r="I610" i="5"/>
  <c r="A610" i="5" s="1"/>
  <c r="I609" i="5"/>
  <c r="A609" i="5" s="1"/>
  <c r="I608" i="5"/>
  <c r="A608" i="5" s="1"/>
  <c r="I607" i="5"/>
  <c r="A607" i="5" s="1"/>
  <c r="I606" i="5"/>
  <c r="A606" i="5" s="1"/>
  <c r="A605" i="5"/>
  <c r="I605" i="5"/>
  <c r="I604" i="5"/>
  <c r="A604" i="5" s="1"/>
  <c r="A603" i="5"/>
  <c r="I603" i="5"/>
  <c r="I602" i="5"/>
  <c r="A602" i="5" s="1"/>
  <c r="I601" i="5"/>
  <c r="A601" i="5" s="1"/>
  <c r="I600" i="5"/>
  <c r="A600" i="5" s="1"/>
  <c r="I599" i="5"/>
  <c r="A599" i="5" s="1"/>
  <c r="I598" i="5"/>
  <c r="A598" i="5" s="1"/>
  <c r="A597" i="5"/>
  <c r="I597" i="5"/>
  <c r="I596" i="5"/>
  <c r="A596" i="5" s="1"/>
  <c r="A595" i="5"/>
  <c r="I595" i="5"/>
  <c r="I594" i="5"/>
  <c r="A594" i="5" s="1"/>
  <c r="I593" i="5"/>
  <c r="A593" i="5" s="1"/>
  <c r="I592" i="5"/>
  <c r="A592" i="5" s="1"/>
  <c r="I591" i="5"/>
  <c r="A591" i="5" s="1"/>
  <c r="I590" i="5"/>
  <c r="A590" i="5" s="1"/>
  <c r="A589" i="5"/>
  <c r="I589" i="5"/>
  <c r="I588" i="5"/>
  <c r="A588" i="5" s="1"/>
  <c r="A587" i="5"/>
  <c r="I587" i="5"/>
  <c r="I586" i="5"/>
  <c r="A586" i="5" s="1"/>
  <c r="I585" i="5"/>
  <c r="A585" i="5" s="1"/>
  <c r="I584" i="5"/>
  <c r="A584" i="5" s="1"/>
  <c r="I583" i="5"/>
  <c r="A583" i="5" s="1"/>
  <c r="I582" i="5"/>
  <c r="A582" i="5" s="1"/>
  <c r="A581" i="5"/>
  <c r="I581" i="5"/>
  <c r="I580" i="5"/>
  <c r="A580" i="5" s="1"/>
  <c r="A579" i="5"/>
  <c r="I579" i="5"/>
  <c r="I578" i="5"/>
  <c r="A578" i="5" s="1"/>
  <c r="I577" i="5"/>
  <c r="A577" i="5" s="1"/>
  <c r="I576" i="5"/>
  <c r="A576" i="5" s="1"/>
  <c r="I575" i="5"/>
  <c r="A575" i="5" s="1"/>
  <c r="I574" i="5"/>
  <c r="A574" i="5" s="1"/>
  <c r="A573" i="5"/>
  <c r="I573" i="5"/>
  <c r="I572" i="5"/>
  <c r="A572" i="5" s="1"/>
  <c r="A571" i="5"/>
  <c r="I571" i="5"/>
  <c r="I570" i="5"/>
  <c r="A570" i="5" s="1"/>
  <c r="I569" i="5"/>
  <c r="A569" i="5" s="1"/>
  <c r="I568" i="5"/>
  <c r="A568" i="5" s="1"/>
  <c r="I567" i="5"/>
  <c r="A567" i="5" s="1"/>
  <c r="I566" i="5"/>
  <c r="A566" i="5" s="1"/>
  <c r="A565" i="5"/>
  <c r="I565" i="5"/>
  <c r="I564" i="5"/>
  <c r="A564" i="5" s="1"/>
  <c r="A563" i="5"/>
  <c r="I563" i="5"/>
  <c r="I562" i="5"/>
  <c r="A562" i="5" s="1"/>
  <c r="I561" i="5"/>
  <c r="A561" i="5" s="1"/>
  <c r="I560" i="5"/>
  <c r="A560" i="5" s="1"/>
  <c r="I559" i="5"/>
  <c r="A559" i="5" s="1"/>
  <c r="I558" i="5"/>
  <c r="A558" i="5" s="1"/>
  <c r="A557" i="5"/>
  <c r="I557" i="5"/>
  <c r="I556" i="5"/>
  <c r="A556" i="5" s="1"/>
  <c r="A555" i="5"/>
  <c r="I555" i="5"/>
  <c r="I554" i="5"/>
  <c r="A554" i="5" s="1"/>
  <c r="I553" i="5"/>
  <c r="A553" i="5" s="1"/>
  <c r="I552" i="5"/>
  <c r="A552" i="5" s="1"/>
  <c r="I551" i="5"/>
  <c r="A551" i="5" s="1"/>
  <c r="I550" i="5"/>
  <c r="A550" i="5" s="1"/>
  <c r="A549" i="5"/>
  <c r="I549" i="5"/>
  <c r="I548" i="5"/>
  <c r="A548" i="5" s="1"/>
  <c r="A547" i="5"/>
  <c r="I547" i="5"/>
  <c r="I546" i="5"/>
  <c r="A546" i="5" s="1"/>
  <c r="I545" i="5"/>
  <c r="A545" i="5" s="1"/>
  <c r="I544" i="5"/>
  <c r="A544" i="5" s="1"/>
  <c r="I543" i="5"/>
  <c r="A543" i="5" s="1"/>
  <c r="I542" i="5"/>
  <c r="A542" i="5" s="1"/>
  <c r="A541" i="5"/>
  <c r="I541" i="5"/>
  <c r="I540" i="5"/>
  <c r="A540" i="5" s="1"/>
  <c r="A539" i="5"/>
  <c r="I539" i="5"/>
  <c r="I538" i="5"/>
  <c r="A538" i="5" s="1"/>
  <c r="I537" i="5"/>
  <c r="A537" i="5" s="1"/>
  <c r="I536" i="5"/>
  <c r="A536" i="5" s="1"/>
  <c r="I535" i="5"/>
  <c r="A535" i="5" s="1"/>
  <c r="I534" i="5"/>
  <c r="A534" i="5" s="1"/>
  <c r="A533" i="5"/>
  <c r="I533" i="5"/>
  <c r="I532" i="5"/>
  <c r="A532" i="5" s="1"/>
  <c r="A531" i="5"/>
  <c r="I531" i="5"/>
  <c r="I530" i="5"/>
  <c r="A530" i="5" s="1"/>
  <c r="I529" i="5"/>
  <c r="A529" i="5" s="1"/>
  <c r="I528" i="5"/>
  <c r="A528" i="5" s="1"/>
  <c r="I527" i="5"/>
  <c r="A527" i="5" s="1"/>
  <c r="I526" i="5"/>
  <c r="A526" i="5" s="1"/>
  <c r="A525" i="5"/>
  <c r="I525" i="5"/>
  <c r="I524" i="5"/>
  <c r="A524" i="5" s="1"/>
  <c r="A523" i="5"/>
  <c r="I523" i="5"/>
  <c r="I522" i="5"/>
  <c r="A522" i="5" s="1"/>
  <c r="I521" i="5"/>
  <c r="A521" i="5" s="1"/>
  <c r="I520" i="5"/>
  <c r="A520" i="5" s="1"/>
  <c r="I519" i="5"/>
  <c r="A519" i="5" s="1"/>
  <c r="I518" i="5"/>
  <c r="A518" i="5" s="1"/>
  <c r="A517" i="5"/>
  <c r="I517" i="5"/>
  <c r="I516" i="5"/>
  <c r="A516" i="5" s="1"/>
  <c r="A515" i="5"/>
  <c r="I515" i="5"/>
  <c r="I514" i="5"/>
  <c r="A514" i="5" s="1"/>
  <c r="I513" i="5"/>
  <c r="A513" i="5" s="1"/>
  <c r="I512" i="5"/>
  <c r="A512" i="5" s="1"/>
  <c r="I511" i="5"/>
  <c r="A511" i="5" s="1"/>
  <c r="I510" i="5"/>
  <c r="A510" i="5" s="1"/>
  <c r="A509" i="5"/>
  <c r="I509" i="5"/>
  <c r="I508" i="5"/>
  <c r="A508" i="5" s="1"/>
  <c r="A507" i="5"/>
  <c r="I507" i="5"/>
  <c r="I506" i="5"/>
  <c r="A506" i="5" s="1"/>
  <c r="I505" i="5"/>
  <c r="A505" i="5" s="1"/>
  <c r="I504" i="5"/>
  <c r="A504" i="5" s="1"/>
  <c r="I503" i="5"/>
  <c r="A503" i="5" s="1"/>
  <c r="I502" i="5"/>
  <c r="A502" i="5" s="1"/>
  <c r="A501" i="5"/>
  <c r="I501" i="5"/>
  <c r="I500" i="5"/>
  <c r="A500" i="5" s="1"/>
  <c r="A499" i="5"/>
  <c r="I499" i="5"/>
  <c r="I498" i="5"/>
  <c r="A498" i="5" s="1"/>
  <c r="I497" i="5"/>
  <c r="A497" i="5" s="1"/>
  <c r="I496" i="5"/>
  <c r="A496" i="5" s="1"/>
  <c r="I495" i="5"/>
  <c r="A495" i="5" s="1"/>
  <c r="I494" i="5"/>
  <c r="A494" i="5" s="1"/>
  <c r="A493" i="5"/>
  <c r="I493" i="5"/>
  <c r="I492" i="5"/>
  <c r="A492" i="5" s="1"/>
  <c r="A491" i="5"/>
  <c r="I491" i="5"/>
  <c r="I490" i="5"/>
  <c r="A490" i="5" s="1"/>
  <c r="I489" i="5"/>
  <c r="A489" i="5" s="1"/>
  <c r="I488" i="5"/>
  <c r="A488" i="5" s="1"/>
  <c r="I487" i="5"/>
  <c r="A487" i="5" s="1"/>
  <c r="I486" i="5"/>
  <c r="A486" i="5" s="1"/>
  <c r="A485" i="5"/>
  <c r="I485" i="5"/>
  <c r="I484" i="5"/>
  <c r="A484" i="5" s="1"/>
  <c r="A483" i="5"/>
  <c r="I483" i="5"/>
  <c r="I482" i="5"/>
  <c r="A482" i="5" s="1"/>
  <c r="I481" i="5"/>
  <c r="A481" i="5" s="1"/>
  <c r="I480" i="5"/>
  <c r="A480" i="5" s="1"/>
  <c r="I479" i="5"/>
  <c r="A479" i="5" s="1"/>
  <c r="I478" i="5"/>
  <c r="A478" i="5" s="1"/>
  <c r="A477" i="5"/>
  <c r="I477" i="5"/>
  <c r="I476" i="5"/>
  <c r="A476" i="5" s="1"/>
  <c r="A475" i="5"/>
  <c r="I475" i="5"/>
  <c r="I474" i="5"/>
  <c r="A474" i="5" s="1"/>
  <c r="I473" i="5"/>
  <c r="A473" i="5" s="1"/>
  <c r="I472" i="5"/>
  <c r="A472" i="5" s="1"/>
  <c r="I471" i="5"/>
  <c r="A471" i="5" s="1"/>
  <c r="I470" i="5"/>
  <c r="A470" i="5" s="1"/>
  <c r="A469" i="5"/>
  <c r="I469" i="5"/>
  <c r="I468" i="5"/>
  <c r="A468" i="5" s="1"/>
  <c r="A467" i="5"/>
  <c r="I467" i="5"/>
  <c r="I466" i="5"/>
  <c r="A466" i="5" s="1"/>
  <c r="I465" i="5"/>
  <c r="A465" i="5" s="1"/>
  <c r="I464" i="5"/>
  <c r="A464" i="5" s="1"/>
  <c r="I463" i="5"/>
  <c r="A463" i="5" s="1"/>
  <c r="I462" i="5"/>
  <c r="A462" i="5" s="1"/>
  <c r="A461" i="5"/>
  <c r="I461" i="5"/>
  <c r="I460" i="5"/>
  <c r="A460" i="5" s="1"/>
  <c r="A459" i="5"/>
  <c r="I459" i="5"/>
  <c r="I458" i="5"/>
  <c r="A458" i="5" s="1"/>
  <c r="I457" i="5"/>
  <c r="A457" i="5" s="1"/>
  <c r="I456" i="5"/>
  <c r="A456" i="5" s="1"/>
  <c r="I455" i="5"/>
  <c r="A455" i="5" s="1"/>
  <c r="I454" i="5"/>
  <c r="A454" i="5" s="1"/>
  <c r="A453" i="5"/>
  <c r="I453" i="5"/>
  <c r="I452" i="5"/>
  <c r="A452" i="5" s="1"/>
  <c r="A451" i="5"/>
  <c r="I451" i="5"/>
  <c r="I450" i="5"/>
  <c r="A450" i="5" s="1"/>
  <c r="I449" i="5"/>
  <c r="A449" i="5" s="1"/>
  <c r="I448" i="5"/>
  <c r="A448" i="5" s="1"/>
  <c r="I447" i="5"/>
  <c r="A447" i="5" s="1"/>
  <c r="I446" i="5"/>
  <c r="A446" i="5" s="1"/>
  <c r="A445" i="5"/>
  <c r="I445" i="5"/>
  <c r="I444" i="5"/>
  <c r="A444" i="5" s="1"/>
  <c r="A443" i="5"/>
  <c r="I443" i="5"/>
  <c r="I442" i="5"/>
  <c r="A442" i="5" s="1"/>
  <c r="I441" i="5"/>
  <c r="A441" i="5" s="1"/>
  <c r="I440" i="5"/>
  <c r="A440" i="5" s="1"/>
  <c r="I439" i="5"/>
  <c r="A439" i="5" s="1"/>
  <c r="I438" i="5"/>
  <c r="A438" i="5" s="1"/>
  <c r="A437" i="5"/>
  <c r="I437" i="5"/>
  <c r="I436" i="5"/>
  <c r="A436" i="5" s="1"/>
  <c r="A435" i="5"/>
  <c r="I435" i="5"/>
  <c r="I434" i="5"/>
  <c r="A434" i="5" s="1"/>
  <c r="I433" i="5"/>
  <c r="A433" i="5" s="1"/>
  <c r="I432" i="5"/>
  <c r="A432" i="5" s="1"/>
  <c r="I431" i="5"/>
  <c r="A431" i="5" s="1"/>
  <c r="I430" i="5"/>
  <c r="A430" i="5" s="1"/>
  <c r="A429" i="5"/>
  <c r="I429" i="5"/>
  <c r="I428" i="5"/>
  <c r="A428" i="5" s="1"/>
  <c r="A427" i="5"/>
  <c r="I427" i="5"/>
  <c r="I426" i="5"/>
  <c r="A426" i="5" s="1"/>
  <c r="I425" i="5"/>
  <c r="A425" i="5" s="1"/>
  <c r="I424" i="5"/>
  <c r="A424" i="5" s="1"/>
  <c r="I423" i="5"/>
  <c r="A423" i="5" s="1"/>
  <c r="I422" i="5"/>
  <c r="A422" i="5" s="1"/>
  <c r="A421" i="5"/>
  <c r="I421" i="5"/>
  <c r="I420" i="5"/>
  <c r="A420" i="5" s="1"/>
  <c r="A419" i="5"/>
  <c r="I419" i="5"/>
  <c r="I418" i="5"/>
  <c r="A418" i="5" s="1"/>
  <c r="I417" i="5"/>
  <c r="A417" i="5" s="1"/>
  <c r="I416" i="5"/>
  <c r="A416" i="5" s="1"/>
  <c r="I415" i="5"/>
  <c r="A415" i="5" s="1"/>
  <c r="I414" i="5"/>
  <c r="A414" i="5" s="1"/>
  <c r="A413" i="5"/>
  <c r="I413" i="5"/>
  <c r="I412" i="5"/>
  <c r="A412" i="5" s="1"/>
  <c r="A411" i="5"/>
  <c r="I411" i="5"/>
  <c r="I410" i="5"/>
  <c r="A410" i="5" s="1"/>
  <c r="I409" i="5"/>
  <c r="A409" i="5" s="1"/>
  <c r="I408" i="5"/>
  <c r="A408" i="5" s="1"/>
  <c r="I407" i="5"/>
  <c r="A407" i="5" s="1"/>
  <c r="I406" i="5"/>
  <c r="A406" i="5" s="1"/>
  <c r="A405" i="5"/>
  <c r="I405" i="5"/>
  <c r="I404" i="5"/>
  <c r="A404" i="5" s="1"/>
  <c r="A403" i="5"/>
  <c r="I403" i="5"/>
  <c r="I402" i="5"/>
  <c r="A402" i="5" s="1"/>
  <c r="I401" i="5"/>
  <c r="A401" i="5" s="1"/>
  <c r="I400" i="5"/>
  <c r="A400" i="5" s="1"/>
  <c r="I399" i="5"/>
  <c r="A399" i="5" s="1"/>
  <c r="I398" i="5"/>
  <c r="A398" i="5" s="1"/>
  <c r="A397" i="5"/>
  <c r="I397" i="5"/>
  <c r="I396" i="5"/>
  <c r="A396" i="5" s="1"/>
  <c r="A395" i="5"/>
  <c r="I395" i="5"/>
  <c r="I394" i="5"/>
  <c r="A394" i="5" s="1"/>
  <c r="I393" i="5"/>
  <c r="A393" i="5" s="1"/>
  <c r="I392" i="5"/>
  <c r="A392" i="5" s="1"/>
  <c r="I391" i="5"/>
  <c r="A391" i="5" s="1"/>
  <c r="I390" i="5"/>
  <c r="A390" i="5" s="1"/>
  <c r="A389" i="5"/>
  <c r="I389" i="5"/>
  <c r="I388" i="5"/>
  <c r="A388" i="5" s="1"/>
  <c r="A387" i="5"/>
  <c r="I387" i="5"/>
  <c r="I386" i="5"/>
  <c r="A386" i="5" s="1"/>
  <c r="I385" i="5"/>
  <c r="A385" i="5" s="1"/>
  <c r="I384" i="5"/>
  <c r="A384" i="5" s="1"/>
  <c r="I383" i="5"/>
  <c r="A383" i="5" s="1"/>
  <c r="I382" i="5"/>
  <c r="A382" i="5" s="1"/>
  <c r="A381" i="5"/>
  <c r="I381" i="5"/>
  <c r="I380" i="5"/>
  <c r="A380" i="5" s="1"/>
  <c r="A379" i="5"/>
  <c r="I379" i="5"/>
  <c r="I378" i="5"/>
  <c r="A378" i="5" s="1"/>
  <c r="I377" i="5"/>
  <c r="A377" i="5" s="1"/>
  <c r="I376" i="5"/>
  <c r="A376" i="5" s="1"/>
  <c r="I375" i="5"/>
  <c r="A375" i="5" s="1"/>
  <c r="I374" i="5"/>
  <c r="A374" i="5" s="1"/>
  <c r="A373" i="5"/>
  <c r="I373" i="5"/>
  <c r="I372" i="5"/>
  <c r="A372" i="5" s="1"/>
  <c r="A371" i="5"/>
  <c r="I371" i="5"/>
  <c r="I370" i="5"/>
  <c r="A370" i="5" s="1"/>
  <c r="I369" i="5"/>
  <c r="A369" i="5" s="1"/>
  <c r="I368" i="5"/>
  <c r="A368" i="5" s="1"/>
  <c r="I367" i="5"/>
  <c r="A367" i="5" s="1"/>
  <c r="I366" i="5"/>
  <c r="A366" i="5" s="1"/>
  <c r="A365" i="5"/>
  <c r="I365" i="5"/>
  <c r="I364" i="5"/>
  <c r="A364" i="5" s="1"/>
  <c r="A363" i="5"/>
  <c r="I363" i="5"/>
  <c r="I362" i="5"/>
  <c r="A362" i="5" s="1"/>
  <c r="I361" i="5"/>
  <c r="A361" i="5" s="1"/>
  <c r="I360" i="5"/>
  <c r="A360" i="5" s="1"/>
  <c r="I359" i="5"/>
  <c r="A359" i="5" s="1"/>
  <c r="I358" i="5"/>
  <c r="A358" i="5" s="1"/>
  <c r="A357" i="5"/>
  <c r="I357" i="5"/>
  <c r="I356" i="5"/>
  <c r="A356" i="5" s="1"/>
  <c r="A355" i="5"/>
  <c r="I355" i="5"/>
  <c r="I354" i="5"/>
  <c r="A354" i="5" s="1"/>
  <c r="I353" i="5"/>
  <c r="A353" i="5" s="1"/>
  <c r="I352" i="5"/>
  <c r="A352" i="5" s="1"/>
  <c r="I351" i="5"/>
  <c r="A351" i="5" s="1"/>
  <c r="I350" i="5"/>
  <c r="A350" i="5" s="1"/>
  <c r="A349" i="5"/>
  <c r="I349" i="5"/>
  <c r="I348" i="5"/>
  <c r="A348" i="5" s="1"/>
  <c r="A347" i="5"/>
  <c r="I347" i="5"/>
  <c r="I346" i="5"/>
  <c r="A346" i="5" s="1"/>
  <c r="I345" i="5"/>
  <c r="A345" i="5" s="1"/>
  <c r="I344" i="5"/>
  <c r="A344" i="5" s="1"/>
  <c r="I343" i="5"/>
  <c r="A343" i="5" s="1"/>
  <c r="I342" i="5"/>
  <c r="A342" i="5" s="1"/>
  <c r="A341" i="5"/>
  <c r="I341" i="5"/>
  <c r="I340" i="5"/>
  <c r="A340" i="5" s="1"/>
  <c r="A339" i="5"/>
  <c r="I339" i="5"/>
  <c r="I338" i="5"/>
  <c r="A338" i="5" s="1"/>
  <c r="I337" i="5"/>
  <c r="A337" i="5" s="1"/>
  <c r="I336" i="5"/>
  <c r="A336" i="5" s="1"/>
  <c r="I335" i="5"/>
  <c r="A335" i="5" s="1"/>
  <c r="I334" i="5"/>
  <c r="A334" i="5" s="1"/>
  <c r="A333" i="5"/>
  <c r="I333" i="5"/>
  <c r="I332" i="5"/>
  <c r="A332" i="5" s="1"/>
  <c r="A331" i="5"/>
  <c r="I331" i="5"/>
  <c r="I330" i="5"/>
  <c r="A330" i="5" s="1"/>
  <c r="I329" i="5"/>
  <c r="A329" i="5" s="1"/>
  <c r="I328" i="5"/>
  <c r="A328" i="5" s="1"/>
  <c r="I327" i="5"/>
  <c r="A327" i="5" s="1"/>
  <c r="I326" i="5"/>
  <c r="A326" i="5" s="1"/>
  <c r="A325" i="5"/>
  <c r="I325" i="5"/>
  <c r="I324" i="5"/>
  <c r="A324" i="5" s="1"/>
  <c r="A323" i="5"/>
  <c r="I323" i="5"/>
  <c r="I322" i="5"/>
  <c r="A322" i="5" s="1"/>
  <c r="I321" i="5"/>
  <c r="A321" i="5" s="1"/>
  <c r="I320" i="5"/>
  <c r="A320" i="5" s="1"/>
  <c r="I319" i="5"/>
  <c r="A319" i="5" s="1"/>
  <c r="I318" i="5"/>
  <c r="A318" i="5" s="1"/>
  <c r="A317" i="5"/>
  <c r="I317" i="5"/>
  <c r="I316" i="5"/>
  <c r="A316" i="5" s="1"/>
  <c r="A315" i="5"/>
  <c r="I315" i="5"/>
  <c r="I314" i="5"/>
  <c r="A314" i="5" s="1"/>
  <c r="I313" i="5"/>
  <c r="A313" i="5" s="1"/>
  <c r="I312" i="5"/>
  <c r="A312" i="5" s="1"/>
  <c r="I311" i="5"/>
  <c r="A311" i="5" s="1"/>
  <c r="I310" i="5"/>
  <c r="A310" i="5" s="1"/>
  <c r="A309" i="5"/>
  <c r="I309" i="5"/>
  <c r="I308" i="5"/>
  <c r="A308" i="5" s="1"/>
  <c r="A307" i="5"/>
  <c r="I307" i="5"/>
  <c r="I306" i="5"/>
  <c r="A306" i="5" s="1"/>
  <c r="I305" i="5"/>
  <c r="A305" i="5" s="1"/>
  <c r="I304" i="5"/>
  <c r="A304" i="5" s="1"/>
  <c r="I303" i="5"/>
  <c r="A303" i="5" s="1"/>
  <c r="I302" i="5"/>
  <c r="A302" i="5" s="1"/>
  <c r="A301" i="5"/>
  <c r="I301" i="5"/>
  <c r="I300" i="5"/>
  <c r="A300" i="5" s="1"/>
  <c r="A299" i="5"/>
  <c r="I299" i="5"/>
  <c r="I298" i="5"/>
  <c r="A298" i="5" s="1"/>
  <c r="I297" i="5"/>
  <c r="A297" i="5" s="1"/>
  <c r="I296" i="5"/>
  <c r="A296" i="5" s="1"/>
  <c r="I295" i="5"/>
  <c r="A295" i="5" s="1"/>
  <c r="I294" i="5"/>
  <c r="A294" i="5" s="1"/>
  <c r="A293" i="5"/>
  <c r="I293" i="5"/>
  <c r="I292" i="5"/>
  <c r="A292" i="5" s="1"/>
  <c r="A291" i="5"/>
  <c r="I291" i="5"/>
  <c r="I290" i="5"/>
  <c r="A290" i="5" s="1"/>
  <c r="A289" i="5"/>
  <c r="I289" i="5"/>
  <c r="I288" i="5"/>
  <c r="A288" i="5" s="1"/>
  <c r="A287" i="5"/>
  <c r="I287" i="5"/>
  <c r="I286" i="5"/>
  <c r="A286" i="5" s="1"/>
  <c r="A285" i="5"/>
  <c r="I285" i="5"/>
  <c r="I284" i="5"/>
  <c r="A284" i="5" s="1"/>
  <c r="A283" i="5"/>
  <c r="I283" i="5"/>
  <c r="I282" i="5"/>
  <c r="A282" i="5" s="1"/>
  <c r="A281" i="5"/>
  <c r="I281" i="5"/>
  <c r="I280" i="5"/>
  <c r="A280" i="5" s="1"/>
  <c r="A279" i="5"/>
  <c r="I279" i="5"/>
  <c r="I278" i="5"/>
  <c r="A278" i="5" s="1"/>
  <c r="A277" i="5"/>
  <c r="I277" i="5"/>
  <c r="I276" i="5"/>
  <c r="A276" i="5" s="1"/>
  <c r="A275" i="5"/>
  <c r="I275" i="5"/>
  <c r="I274" i="5"/>
  <c r="A274" i="5" s="1"/>
  <c r="A273" i="5"/>
  <c r="I273" i="5"/>
  <c r="I272" i="5"/>
  <c r="A272" i="5" s="1"/>
  <c r="A271" i="5"/>
  <c r="I271" i="5"/>
  <c r="I270" i="5"/>
  <c r="A270" i="5" s="1"/>
  <c r="A269" i="5"/>
  <c r="I269" i="5"/>
  <c r="I268" i="5"/>
  <c r="A268" i="5" s="1"/>
  <c r="A267" i="5"/>
  <c r="I267" i="5"/>
  <c r="I266" i="5"/>
  <c r="A266" i="5" s="1"/>
  <c r="A265" i="5"/>
  <c r="I265" i="5"/>
  <c r="I264" i="5"/>
  <c r="A264" i="5" s="1"/>
  <c r="A263" i="5"/>
  <c r="I263" i="5"/>
  <c r="I262" i="5"/>
  <c r="A262" i="5" s="1"/>
  <c r="A261" i="5"/>
  <c r="I261" i="5"/>
  <c r="I260" i="5"/>
  <c r="A260" i="5" s="1"/>
  <c r="A259" i="5"/>
  <c r="I259" i="5"/>
  <c r="I258" i="5"/>
  <c r="A258" i="5" s="1"/>
  <c r="A257" i="5"/>
  <c r="I257" i="5"/>
  <c r="I256" i="5"/>
  <c r="A256" i="5" s="1"/>
  <c r="A255" i="5"/>
  <c r="I255" i="5"/>
  <c r="I254" i="5"/>
  <c r="A254" i="5" s="1"/>
  <c r="A253" i="5"/>
  <c r="I253" i="5"/>
  <c r="I252" i="5"/>
  <c r="A252" i="5" s="1"/>
  <c r="A251" i="5"/>
  <c r="I251" i="5"/>
  <c r="I250" i="5"/>
  <c r="A250" i="5" s="1"/>
  <c r="A249" i="5"/>
  <c r="I249" i="5"/>
  <c r="I248" i="5"/>
  <c r="A248" i="5" s="1"/>
  <c r="A247" i="5"/>
  <c r="I247" i="5"/>
  <c r="I246" i="5"/>
  <c r="A246" i="5" s="1"/>
  <c r="A245" i="5"/>
  <c r="I245" i="5"/>
  <c r="I244" i="5"/>
  <c r="A244" i="5" s="1"/>
  <c r="A243" i="5"/>
  <c r="I243" i="5"/>
  <c r="I242" i="5"/>
  <c r="A242" i="5" s="1"/>
  <c r="A241" i="5"/>
  <c r="I241" i="5"/>
  <c r="I240" i="5"/>
  <c r="A240" i="5" s="1"/>
  <c r="A239" i="5"/>
  <c r="I239" i="5"/>
  <c r="I238" i="5"/>
  <c r="A238" i="5" s="1"/>
  <c r="A237" i="5"/>
  <c r="I237" i="5"/>
  <c r="I236" i="5"/>
  <c r="A236" i="5" s="1"/>
  <c r="A235" i="5"/>
  <c r="I235" i="5"/>
  <c r="I234" i="5"/>
  <c r="A234" i="5" s="1"/>
  <c r="A233" i="5"/>
  <c r="I233" i="5"/>
  <c r="I232" i="5"/>
  <c r="A232" i="5" s="1"/>
  <c r="A231" i="5"/>
  <c r="I231" i="5"/>
  <c r="I230" i="5"/>
  <c r="A230" i="5" s="1"/>
  <c r="A229" i="5"/>
  <c r="I229" i="5"/>
  <c r="I228" i="5"/>
  <c r="A228" i="5" s="1"/>
  <c r="A227" i="5"/>
  <c r="I227" i="5"/>
  <c r="I226" i="5"/>
  <c r="A226" i="5" s="1"/>
  <c r="A225" i="5"/>
  <c r="I225" i="5"/>
  <c r="I224" i="5"/>
  <c r="A224" i="5" s="1"/>
  <c r="A223" i="5"/>
  <c r="I223" i="5"/>
  <c r="I222" i="5"/>
  <c r="A222" i="5" s="1"/>
  <c r="A221" i="5"/>
  <c r="I221" i="5"/>
  <c r="I220" i="5"/>
  <c r="A220" i="5" s="1"/>
  <c r="A219" i="5"/>
  <c r="I219" i="5"/>
  <c r="I218" i="5"/>
  <c r="A218" i="5" s="1"/>
  <c r="A217" i="5"/>
  <c r="I217" i="5"/>
  <c r="I216" i="5"/>
  <c r="A216" i="5" s="1"/>
  <c r="A215" i="5"/>
  <c r="I215" i="5"/>
  <c r="I214" i="5"/>
  <c r="A214" i="5" s="1"/>
  <c r="A213" i="5"/>
  <c r="I213" i="5"/>
  <c r="I212" i="5"/>
  <c r="A212" i="5" s="1"/>
  <c r="A211" i="5"/>
  <c r="I211" i="5"/>
  <c r="I210" i="5"/>
  <c r="A210" i="5" s="1"/>
  <c r="A209" i="5"/>
  <c r="I209" i="5"/>
  <c r="I208" i="5"/>
  <c r="A208" i="5" s="1"/>
  <c r="A207" i="5"/>
  <c r="I207" i="5"/>
  <c r="I206" i="5"/>
  <c r="A206" i="5" s="1"/>
  <c r="A205" i="5"/>
  <c r="I205" i="5"/>
  <c r="I204" i="5"/>
  <c r="A204" i="5" s="1"/>
  <c r="A203" i="5"/>
  <c r="I203" i="5"/>
  <c r="I202" i="5"/>
  <c r="A202" i="5" s="1"/>
  <c r="A201" i="5"/>
  <c r="I201" i="5"/>
  <c r="I200" i="5"/>
  <c r="A200" i="5" s="1"/>
  <c r="A199" i="5"/>
  <c r="I199" i="5"/>
  <c r="I198" i="5"/>
  <c r="A198" i="5" s="1"/>
  <c r="A197" i="5"/>
  <c r="I197" i="5"/>
  <c r="I196" i="5"/>
  <c r="A196" i="5" s="1"/>
  <c r="A195" i="5"/>
  <c r="I195" i="5"/>
  <c r="I194" i="5"/>
  <c r="A194" i="5" s="1"/>
  <c r="A193" i="5"/>
  <c r="I193" i="5"/>
  <c r="I192" i="5"/>
  <c r="A192" i="5" s="1"/>
  <c r="A191" i="5"/>
  <c r="I191" i="5"/>
  <c r="I190" i="5"/>
  <c r="A190" i="5" s="1"/>
  <c r="A189" i="5"/>
  <c r="I189" i="5"/>
  <c r="I188" i="5"/>
  <c r="A188" i="5" s="1"/>
  <c r="A187" i="5"/>
  <c r="I187" i="5"/>
  <c r="I186" i="5"/>
  <c r="A186" i="5" s="1"/>
  <c r="A185" i="5"/>
  <c r="I185" i="5"/>
  <c r="I184" i="5"/>
  <c r="A184" i="5" s="1"/>
  <c r="A183" i="5"/>
  <c r="I183" i="5"/>
  <c r="I182" i="5"/>
  <c r="A182" i="5" s="1"/>
  <c r="A181" i="5"/>
  <c r="I181" i="5"/>
  <c r="I180" i="5"/>
  <c r="A180" i="5" s="1"/>
  <c r="A179" i="5"/>
  <c r="I179" i="5"/>
  <c r="I178" i="5"/>
  <c r="A178" i="5" s="1"/>
  <c r="A177" i="5"/>
  <c r="I177" i="5"/>
  <c r="I176" i="5"/>
  <c r="A176" i="5" s="1"/>
  <c r="A175" i="5"/>
  <c r="I175" i="5"/>
  <c r="I174" i="5"/>
  <c r="A174" i="5" s="1"/>
  <c r="A173" i="5"/>
  <c r="I173" i="5"/>
  <c r="I172" i="5"/>
  <c r="A172" i="5" s="1"/>
  <c r="A171" i="5"/>
  <c r="I171" i="5"/>
  <c r="I170" i="5"/>
  <c r="A170" i="5" s="1"/>
  <c r="A169" i="5"/>
  <c r="I169" i="5"/>
  <c r="I168" i="5"/>
  <c r="A168" i="5" s="1"/>
  <c r="A167" i="5"/>
  <c r="I167" i="5"/>
  <c r="I166" i="5"/>
  <c r="A166" i="5" s="1"/>
  <c r="A165" i="5"/>
  <c r="I165" i="5"/>
  <c r="I164" i="5"/>
  <c r="A164" i="5" s="1"/>
  <c r="A163" i="5"/>
  <c r="I163" i="5"/>
  <c r="I162" i="5"/>
  <c r="A162" i="5" s="1"/>
  <c r="A161" i="5"/>
  <c r="I161" i="5"/>
  <c r="I160" i="5"/>
  <c r="A160" i="5" s="1"/>
  <c r="A159" i="5"/>
  <c r="I159" i="5"/>
  <c r="I158" i="5"/>
  <c r="A158" i="5" s="1"/>
  <c r="A157" i="5"/>
  <c r="I157" i="5"/>
  <c r="I156" i="5"/>
  <c r="A156" i="5" s="1"/>
  <c r="A155" i="5"/>
  <c r="I155" i="5"/>
  <c r="I154" i="5"/>
  <c r="A154" i="5" s="1"/>
  <c r="A153" i="5"/>
  <c r="I153" i="5"/>
  <c r="I152" i="5"/>
  <c r="A152" i="5" s="1"/>
  <c r="A151" i="5"/>
  <c r="I151" i="5"/>
  <c r="I150" i="5"/>
  <c r="A150" i="5" s="1"/>
  <c r="A149" i="5"/>
  <c r="I149" i="5"/>
  <c r="I148" i="5"/>
  <c r="A148" i="5" s="1"/>
  <c r="A147" i="5"/>
  <c r="I147" i="5"/>
  <c r="I146" i="5"/>
  <c r="A146" i="5" s="1"/>
  <c r="A145" i="5"/>
  <c r="I145" i="5"/>
  <c r="I144" i="5"/>
  <c r="A144" i="5" s="1"/>
  <c r="A143" i="5"/>
  <c r="I143" i="5"/>
  <c r="I142" i="5"/>
  <c r="A142" i="5" s="1"/>
  <c r="A141" i="5"/>
  <c r="I141" i="5"/>
  <c r="I140" i="5"/>
  <c r="A140" i="5" s="1"/>
  <c r="A139" i="5"/>
  <c r="I139" i="5"/>
  <c r="I138" i="5"/>
  <c r="A138" i="5" s="1"/>
  <c r="A137" i="5"/>
  <c r="I137" i="5"/>
  <c r="I136" i="5"/>
  <c r="A136" i="5" s="1"/>
  <c r="A135" i="5"/>
  <c r="I135" i="5"/>
  <c r="I134" i="5"/>
  <c r="A134" i="5" s="1"/>
  <c r="A133" i="5"/>
  <c r="I133" i="5"/>
  <c r="I132" i="5"/>
  <c r="A132" i="5" s="1"/>
  <c r="A131" i="5"/>
  <c r="I131" i="5"/>
  <c r="I130" i="5"/>
  <c r="A130" i="5" s="1"/>
  <c r="A129" i="5"/>
  <c r="I129" i="5"/>
  <c r="I128" i="5"/>
  <c r="A128" i="5" s="1"/>
  <c r="A127" i="5"/>
  <c r="I127" i="5"/>
  <c r="I126" i="5"/>
  <c r="A126" i="5" s="1"/>
  <c r="A125" i="5"/>
  <c r="I125" i="5"/>
  <c r="I124" i="5"/>
  <c r="A124" i="5" s="1"/>
  <c r="A123" i="5"/>
  <c r="I123" i="5"/>
  <c r="I122" i="5"/>
  <c r="A122" i="5" s="1"/>
  <c r="A121" i="5"/>
  <c r="I121" i="5"/>
  <c r="I120" i="5"/>
  <c r="A120" i="5" s="1"/>
  <c r="A119" i="5"/>
  <c r="I119" i="5"/>
  <c r="I118" i="5"/>
  <c r="A118" i="5" s="1"/>
  <c r="A117" i="5"/>
  <c r="I117" i="5"/>
  <c r="I116" i="5"/>
  <c r="A116" i="5" s="1"/>
  <c r="A115" i="5"/>
  <c r="I115" i="5"/>
  <c r="I114" i="5"/>
  <c r="A114" i="5" s="1"/>
  <c r="A113" i="5"/>
  <c r="I113" i="5"/>
  <c r="I112" i="5"/>
  <c r="A112" i="5" s="1"/>
  <c r="A111" i="5"/>
  <c r="I111" i="5"/>
  <c r="I110" i="5"/>
  <c r="A110" i="5" s="1"/>
  <c r="A109" i="5"/>
  <c r="I109" i="5"/>
  <c r="I108" i="5"/>
  <c r="A108" i="5" s="1"/>
  <c r="A107" i="5"/>
  <c r="I107" i="5"/>
  <c r="I106" i="5"/>
  <c r="A106" i="5" s="1"/>
  <c r="A105" i="5"/>
  <c r="I105" i="5"/>
  <c r="I104" i="5"/>
  <c r="A104" i="5" s="1"/>
  <c r="A103" i="5"/>
  <c r="I103" i="5"/>
  <c r="I102" i="5"/>
  <c r="A102" i="5" s="1"/>
  <c r="A101" i="5"/>
  <c r="I101" i="5"/>
  <c r="I100" i="5"/>
  <c r="A100" i="5" s="1"/>
  <c r="A99" i="5"/>
  <c r="I99" i="5"/>
  <c r="I98" i="5"/>
  <c r="A98" i="5" s="1"/>
  <c r="A97" i="5"/>
  <c r="I97" i="5"/>
  <c r="I96" i="5"/>
  <c r="A96" i="5" s="1"/>
  <c r="A95" i="5"/>
  <c r="I95" i="5"/>
  <c r="I94" i="5"/>
  <c r="A94" i="5" s="1"/>
  <c r="A93" i="5"/>
  <c r="I93" i="5"/>
  <c r="I92" i="5"/>
  <c r="A92" i="5" s="1"/>
  <c r="A91" i="5"/>
  <c r="I91" i="5"/>
  <c r="I90" i="5"/>
  <c r="A90" i="5" s="1"/>
  <c r="A89" i="5"/>
  <c r="I89" i="5"/>
  <c r="I88" i="5"/>
  <c r="A88" i="5" s="1"/>
  <c r="A87" i="5"/>
  <c r="I87" i="5"/>
  <c r="I86" i="5"/>
  <c r="A86" i="5" s="1"/>
  <c r="A85" i="5"/>
  <c r="I85" i="5"/>
  <c r="I84" i="5"/>
  <c r="A84" i="5" s="1"/>
  <c r="A83" i="5"/>
  <c r="I83" i="5"/>
  <c r="I82" i="5"/>
  <c r="A82" i="5" s="1"/>
  <c r="A81" i="5"/>
  <c r="I81" i="5"/>
  <c r="I80" i="5"/>
  <c r="A80" i="5" s="1"/>
  <c r="A79" i="5"/>
  <c r="I79" i="5"/>
  <c r="I78" i="5"/>
  <c r="A78" i="5" s="1"/>
  <c r="A77" i="5"/>
  <c r="I77" i="5"/>
  <c r="I76" i="5"/>
  <c r="A76" i="5" s="1"/>
  <c r="A75" i="5"/>
  <c r="I75" i="5"/>
  <c r="I74" i="5"/>
  <c r="A74" i="5" s="1"/>
  <c r="A73" i="5"/>
  <c r="I73" i="5"/>
  <c r="I72" i="5"/>
  <c r="A72" i="5" s="1"/>
  <c r="A71" i="5"/>
  <c r="I71" i="5"/>
  <c r="I70" i="5"/>
  <c r="A70" i="5" s="1"/>
  <c r="A69" i="5"/>
  <c r="I69" i="5"/>
  <c r="I68" i="5"/>
  <c r="A68" i="5" s="1"/>
  <c r="A67" i="5"/>
  <c r="I67" i="5"/>
  <c r="I66" i="5"/>
  <c r="A66" i="5" s="1"/>
  <c r="A65" i="5"/>
  <c r="I65" i="5"/>
  <c r="I64" i="5"/>
  <c r="A64" i="5" s="1"/>
  <c r="A63" i="5"/>
  <c r="I63" i="5"/>
  <c r="I62" i="5"/>
  <c r="A62" i="5" s="1"/>
  <c r="A61" i="5"/>
  <c r="I61" i="5"/>
  <c r="I60" i="5"/>
  <c r="A60" i="5" s="1"/>
  <c r="A59" i="5"/>
  <c r="I59" i="5"/>
  <c r="I58" i="5"/>
  <c r="A58" i="5" s="1"/>
  <c r="A57" i="5"/>
  <c r="I57" i="5"/>
  <c r="I56" i="5"/>
  <c r="A56" i="5" s="1"/>
  <c r="A55" i="5"/>
  <c r="I55" i="5"/>
  <c r="I54" i="5"/>
  <c r="A54" i="5" s="1"/>
  <c r="A53" i="5"/>
  <c r="I53" i="5"/>
  <c r="I52" i="5"/>
  <c r="A52" i="5" s="1"/>
  <c r="A51" i="5"/>
  <c r="I51" i="5"/>
  <c r="I50" i="5"/>
  <c r="A50" i="5" s="1"/>
  <c r="A49" i="5"/>
  <c r="I49" i="5"/>
  <c r="I48" i="5"/>
  <c r="A48" i="5" s="1"/>
  <c r="A47" i="5"/>
  <c r="I47" i="5"/>
  <c r="I46" i="5"/>
  <c r="A46" i="5" s="1"/>
  <c r="A45" i="5"/>
  <c r="I45" i="5"/>
  <c r="I44" i="5"/>
  <c r="A44" i="5" s="1"/>
  <c r="A43" i="5"/>
  <c r="I43" i="5"/>
  <c r="I42" i="5"/>
  <c r="A42" i="5" s="1"/>
  <c r="A41" i="5"/>
  <c r="I41" i="5"/>
  <c r="I40" i="5"/>
  <c r="A40" i="5" s="1"/>
  <c r="A39" i="5"/>
  <c r="I39" i="5"/>
  <c r="I38" i="5"/>
  <c r="A38" i="5" s="1"/>
  <c r="A37" i="5"/>
  <c r="I37" i="5"/>
  <c r="I36" i="5"/>
  <c r="A36" i="5" s="1"/>
  <c r="A35" i="5"/>
  <c r="I35" i="5"/>
  <c r="I34" i="5"/>
  <c r="A34" i="5" s="1"/>
  <c r="A33" i="5"/>
  <c r="I33" i="5"/>
  <c r="I32" i="5"/>
  <c r="A32" i="5" s="1"/>
  <c r="A31" i="5"/>
  <c r="I31" i="5"/>
  <c r="I30" i="5"/>
  <c r="A30" i="5" s="1"/>
  <c r="A29" i="5"/>
  <c r="I29" i="5"/>
  <c r="I28" i="5"/>
  <c r="A28" i="5" s="1"/>
  <c r="A27" i="5"/>
  <c r="I27" i="5"/>
  <c r="I26" i="5"/>
  <c r="A26" i="5" s="1"/>
  <c r="A25" i="5"/>
  <c r="I25" i="5"/>
  <c r="I24" i="5"/>
  <c r="A24" i="5" s="1"/>
  <c r="A23" i="5"/>
  <c r="I23" i="5"/>
  <c r="I22" i="5"/>
  <c r="A22" i="5" s="1"/>
  <c r="A21" i="5"/>
  <c r="I21" i="5"/>
  <c r="I20" i="5"/>
  <c r="A20" i="5" s="1"/>
  <c r="A19" i="5"/>
  <c r="I19" i="5"/>
  <c r="I18" i="5"/>
  <c r="A18" i="5" s="1"/>
  <c r="A17" i="5"/>
  <c r="I17" i="5"/>
  <c r="I16" i="5"/>
  <c r="A16" i="5" s="1"/>
  <c r="A15" i="5"/>
  <c r="I15" i="5"/>
  <c r="I14" i="5"/>
  <c r="A14" i="5" s="1"/>
  <c r="A13" i="5"/>
  <c r="I13" i="5"/>
  <c r="I12" i="5"/>
  <c r="A12" i="5" s="1"/>
  <c r="A11" i="5"/>
  <c r="I11" i="5"/>
  <c r="I10" i="5"/>
  <c r="A10" i="5" s="1"/>
  <c r="A9" i="5"/>
  <c r="I9" i="5"/>
  <c r="I8" i="5"/>
  <c r="A8" i="5" s="1"/>
  <c r="A7" i="5"/>
  <c r="I7" i="5"/>
  <c r="I6" i="5"/>
  <c r="A6" i="5" s="1"/>
  <c r="A5" i="5"/>
  <c r="I5" i="5"/>
  <c r="I4" i="5"/>
  <c r="A4" i="5" s="1"/>
  <c r="A3" i="5"/>
  <c r="I3" i="5"/>
  <c r="H54" i="13"/>
  <c r="H53" i="13"/>
  <c r="H52" i="13"/>
  <c r="H51" i="13"/>
  <c r="H50" i="13"/>
  <c r="H49" i="13"/>
  <c r="H48" i="13"/>
  <c r="H47" i="13"/>
  <c r="H46" i="13"/>
  <c r="H45" i="13"/>
  <c r="H44" i="13"/>
  <c r="H43" i="13"/>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11" i="13"/>
  <c r="H10" i="13"/>
  <c r="H9" i="13"/>
  <c r="H8" i="13"/>
  <c r="H7" i="13"/>
  <c r="H6" i="13"/>
  <c r="H5" i="13"/>
  <c r="H4" i="13"/>
  <c r="H3" i="13"/>
  <c r="H2" i="13"/>
  <c r="B297" i="12"/>
  <c r="B288" i="12"/>
  <c r="B272" i="12"/>
  <c r="B264" i="12"/>
  <c r="B261" i="12"/>
  <c r="B259" i="12"/>
  <c r="B246" i="12"/>
  <c r="B244" i="12"/>
  <c r="B243" i="12"/>
  <c r="B238" i="12"/>
  <c r="B235" i="12"/>
  <c r="B228" i="12"/>
  <c r="B224" i="12"/>
  <c r="B222" i="12"/>
  <c r="B220" i="12"/>
  <c r="B213" i="12"/>
  <c r="B200" i="12"/>
  <c r="B197" i="12"/>
  <c r="B194" i="12"/>
  <c r="B180" i="12"/>
  <c r="B156" i="12"/>
  <c r="B154" i="12"/>
  <c r="B151" i="12"/>
  <c r="B147" i="12"/>
  <c r="B144" i="12"/>
  <c r="B137" i="12"/>
  <c r="B126" i="12"/>
  <c r="B124" i="12"/>
  <c r="B121" i="12"/>
  <c r="B117" i="12"/>
  <c r="B116" i="12"/>
  <c r="B115" i="12"/>
  <c r="B113" i="12"/>
  <c r="B111" i="12"/>
  <c r="B80" i="12"/>
  <c r="B78" i="12"/>
  <c r="B76" i="12"/>
  <c r="B73" i="12"/>
  <c r="B72" i="12"/>
  <c r="B68" i="12"/>
  <c r="B63" i="12"/>
  <c r="B53" i="12"/>
  <c r="B49" i="12"/>
  <c r="B45" i="12"/>
  <c r="B42" i="12"/>
  <c r="B38" i="12"/>
  <c r="B30" i="12"/>
  <c r="B27" i="12"/>
  <c r="B23" i="12"/>
  <c r="B19" i="12"/>
  <c r="B7" i="12"/>
  <c r="B6" i="12"/>
  <c r="B2" i="12"/>
  <c r="A297" i="12"/>
  <c r="K297" i="12"/>
  <c r="K296" i="12"/>
  <c r="A296" i="12" s="1"/>
  <c r="A295" i="12"/>
  <c r="K295" i="12"/>
  <c r="K294" i="12"/>
  <c r="A294" i="12" s="1"/>
  <c r="A293" i="12"/>
  <c r="K293" i="12"/>
  <c r="K292" i="12"/>
  <c r="A292" i="12" s="1"/>
  <c r="A291" i="12"/>
  <c r="K291" i="12"/>
  <c r="K290" i="12"/>
  <c r="A290" i="12" s="1"/>
  <c r="A289" i="12"/>
  <c r="K289" i="12"/>
  <c r="K288" i="12"/>
  <c r="A288" i="12" s="1"/>
  <c r="A287" i="12"/>
  <c r="K287" i="12"/>
  <c r="K286" i="12"/>
  <c r="A286" i="12" s="1"/>
  <c r="A285" i="12"/>
  <c r="K285" i="12"/>
  <c r="K284" i="12"/>
  <c r="A284" i="12" s="1"/>
  <c r="A283" i="12"/>
  <c r="K283" i="12"/>
  <c r="K282" i="12"/>
  <c r="A282" i="12" s="1"/>
  <c r="A281" i="12"/>
  <c r="K281" i="12"/>
  <c r="K280" i="12"/>
  <c r="A280" i="12" s="1"/>
  <c r="A279" i="12"/>
  <c r="K279" i="12"/>
  <c r="K278" i="12"/>
  <c r="A278" i="12" s="1"/>
  <c r="A277" i="12"/>
  <c r="K277" i="12"/>
  <c r="K276" i="12"/>
  <c r="A276" i="12" s="1"/>
  <c r="A275" i="12"/>
  <c r="K275" i="12"/>
  <c r="K274" i="12"/>
  <c r="A274" i="12" s="1"/>
  <c r="A273" i="12"/>
  <c r="K273" i="12"/>
  <c r="K272" i="12"/>
  <c r="A272" i="12" s="1"/>
  <c r="A271" i="12"/>
  <c r="K271" i="12"/>
  <c r="K270" i="12"/>
  <c r="A270" i="12" s="1"/>
  <c r="A269" i="12"/>
  <c r="K269" i="12"/>
  <c r="K268" i="12"/>
  <c r="A268" i="12" s="1"/>
  <c r="A267" i="12"/>
  <c r="K267" i="12"/>
  <c r="K266" i="12"/>
  <c r="A266" i="12" s="1"/>
  <c r="A265" i="12"/>
  <c r="K265" i="12"/>
  <c r="K264" i="12"/>
  <c r="A264" i="12" s="1"/>
  <c r="A263" i="12"/>
  <c r="K263" i="12"/>
  <c r="K262" i="12"/>
  <c r="A262" i="12" s="1"/>
  <c r="A261" i="12"/>
  <c r="K261" i="12"/>
  <c r="K260" i="12"/>
  <c r="A260" i="12" s="1"/>
  <c r="A259" i="12"/>
  <c r="K259" i="12"/>
  <c r="K258" i="12"/>
  <c r="A258" i="12" s="1"/>
  <c r="A257" i="12"/>
  <c r="K257" i="12"/>
  <c r="K256" i="12"/>
  <c r="A256" i="12" s="1"/>
  <c r="A255" i="12"/>
  <c r="K255" i="12"/>
  <c r="K254" i="12"/>
  <c r="A254" i="12" s="1"/>
  <c r="A253" i="12"/>
  <c r="K253" i="12"/>
  <c r="K252" i="12"/>
  <c r="A252" i="12" s="1"/>
  <c r="A251" i="12"/>
  <c r="K251" i="12"/>
  <c r="K250" i="12"/>
  <c r="A250" i="12" s="1"/>
  <c r="A249" i="12"/>
  <c r="K249" i="12"/>
  <c r="K248" i="12"/>
  <c r="A248" i="12" s="1"/>
  <c r="A247" i="12"/>
  <c r="K247" i="12"/>
  <c r="K246" i="12"/>
  <c r="A246" i="12" s="1"/>
  <c r="A245" i="12"/>
  <c r="K245" i="12"/>
  <c r="K244" i="12"/>
  <c r="A244" i="12" s="1"/>
  <c r="A243" i="12"/>
  <c r="K243" i="12"/>
  <c r="K242" i="12"/>
  <c r="A242" i="12" s="1"/>
  <c r="A241" i="12"/>
  <c r="K241" i="12"/>
  <c r="K240" i="12"/>
  <c r="A240" i="12" s="1"/>
  <c r="A239" i="12"/>
  <c r="K239" i="12"/>
  <c r="K238" i="12"/>
  <c r="A238" i="12" s="1"/>
  <c r="A237" i="12"/>
  <c r="K237" i="12"/>
  <c r="K236" i="12"/>
  <c r="A236" i="12" s="1"/>
  <c r="A235" i="12"/>
  <c r="K235" i="12"/>
  <c r="K234" i="12"/>
  <c r="A234" i="12" s="1"/>
  <c r="A233" i="12"/>
  <c r="K233" i="12"/>
  <c r="K232" i="12"/>
  <c r="A232" i="12" s="1"/>
  <c r="A231" i="12"/>
  <c r="K231" i="12"/>
  <c r="K230" i="12"/>
  <c r="A230" i="12" s="1"/>
  <c r="A229" i="12"/>
  <c r="K229" i="12"/>
  <c r="K228" i="12"/>
  <c r="A228" i="12" s="1"/>
  <c r="A227" i="12"/>
  <c r="K227" i="12"/>
  <c r="K226" i="12"/>
  <c r="A226" i="12" s="1"/>
  <c r="A225" i="12"/>
  <c r="K225" i="12"/>
  <c r="K224" i="12"/>
  <c r="A224" i="12" s="1"/>
  <c r="A223" i="12"/>
  <c r="K223" i="12"/>
  <c r="K222" i="12"/>
  <c r="A222" i="12" s="1"/>
  <c r="A221" i="12"/>
  <c r="K221" i="12"/>
  <c r="K220" i="12"/>
  <c r="A220" i="12" s="1"/>
  <c r="A219" i="12"/>
  <c r="K219" i="12"/>
  <c r="K218" i="12"/>
  <c r="A218" i="12" s="1"/>
  <c r="A217" i="12"/>
  <c r="K217" i="12"/>
  <c r="K216" i="12"/>
  <c r="A216" i="12" s="1"/>
  <c r="A215" i="12"/>
  <c r="K215" i="12"/>
  <c r="K214" i="12"/>
  <c r="A214" i="12" s="1"/>
  <c r="A213" i="12"/>
  <c r="K213" i="12"/>
  <c r="K212" i="12"/>
  <c r="A212" i="12" s="1"/>
  <c r="A211" i="12"/>
  <c r="K211" i="12"/>
  <c r="K210" i="12"/>
  <c r="A210" i="12" s="1"/>
  <c r="A209" i="12"/>
  <c r="K209" i="12"/>
  <c r="K208" i="12"/>
  <c r="A208" i="12" s="1"/>
  <c r="A207" i="12"/>
  <c r="K207" i="12"/>
  <c r="K206" i="12"/>
  <c r="A206" i="12" s="1"/>
  <c r="A205" i="12"/>
  <c r="K205" i="12"/>
  <c r="K204" i="12"/>
  <c r="A204" i="12" s="1"/>
  <c r="A203" i="12"/>
  <c r="K203" i="12"/>
  <c r="K202" i="12"/>
  <c r="A202" i="12" s="1"/>
  <c r="A201" i="12"/>
  <c r="K201" i="12"/>
  <c r="K200" i="12"/>
  <c r="A200" i="12" s="1"/>
  <c r="A199" i="12"/>
  <c r="K199" i="12"/>
  <c r="K198" i="12"/>
  <c r="A198" i="12" s="1"/>
  <c r="A197" i="12"/>
  <c r="K197" i="12"/>
  <c r="K196" i="12"/>
  <c r="A196" i="12" s="1"/>
  <c r="A195" i="12"/>
  <c r="K195" i="12"/>
  <c r="K194" i="12"/>
  <c r="A194" i="12" s="1"/>
  <c r="A193" i="12"/>
  <c r="K193" i="12"/>
  <c r="K192" i="12"/>
  <c r="A192" i="12" s="1"/>
  <c r="A191" i="12"/>
  <c r="K191" i="12"/>
  <c r="K190" i="12"/>
  <c r="A190" i="12" s="1"/>
  <c r="A189" i="12"/>
  <c r="K189" i="12"/>
  <c r="K188" i="12"/>
  <c r="A188" i="12" s="1"/>
  <c r="A187" i="12"/>
  <c r="K187" i="12"/>
  <c r="K186" i="12"/>
  <c r="A186" i="12" s="1"/>
  <c r="A185" i="12"/>
  <c r="K185" i="12"/>
  <c r="K184" i="12"/>
  <c r="A184" i="12" s="1"/>
  <c r="A183" i="12"/>
  <c r="K183" i="12"/>
  <c r="K182" i="12"/>
  <c r="A182" i="12" s="1"/>
  <c r="A181" i="12"/>
  <c r="K181" i="12"/>
  <c r="K180" i="12"/>
  <c r="A180" i="12" s="1"/>
  <c r="A179" i="12"/>
  <c r="K179" i="12"/>
  <c r="K178" i="12"/>
  <c r="A178" i="12" s="1"/>
  <c r="A177" i="12"/>
  <c r="K177" i="12"/>
  <c r="K176" i="12"/>
  <c r="A176" i="12" s="1"/>
  <c r="A175" i="12"/>
  <c r="K175" i="12"/>
  <c r="K174" i="12"/>
  <c r="A174" i="12" s="1"/>
  <c r="A173" i="12"/>
  <c r="K173" i="12"/>
  <c r="K172" i="12"/>
  <c r="A172" i="12" s="1"/>
  <c r="A171" i="12"/>
  <c r="K171" i="12"/>
  <c r="K170" i="12"/>
  <c r="A170" i="12" s="1"/>
  <c r="A169" i="12"/>
  <c r="K169" i="12"/>
  <c r="K168" i="12"/>
  <c r="A168" i="12" s="1"/>
  <c r="A167" i="12"/>
  <c r="K167" i="12"/>
  <c r="K166" i="12"/>
  <c r="A166" i="12" s="1"/>
  <c r="A165" i="12"/>
  <c r="K165" i="12"/>
  <c r="K164" i="12"/>
  <c r="A164" i="12" s="1"/>
  <c r="A163" i="12"/>
  <c r="K163" i="12"/>
  <c r="K162" i="12"/>
  <c r="A162" i="12" s="1"/>
  <c r="A161" i="12"/>
  <c r="K161" i="12"/>
  <c r="K160" i="12"/>
  <c r="A160" i="12" s="1"/>
  <c r="A159" i="12"/>
  <c r="K159" i="12"/>
  <c r="K158" i="12"/>
  <c r="A158" i="12" s="1"/>
  <c r="A157" i="12"/>
  <c r="K157" i="12"/>
  <c r="K156" i="12"/>
  <c r="A156" i="12" s="1"/>
  <c r="A155" i="12"/>
  <c r="K155" i="12"/>
  <c r="K154" i="12"/>
  <c r="A154" i="12" s="1"/>
  <c r="A153" i="12"/>
  <c r="K153" i="12"/>
  <c r="K152" i="12"/>
  <c r="A152" i="12" s="1"/>
  <c r="A151" i="12"/>
  <c r="K151" i="12"/>
  <c r="K150" i="12"/>
  <c r="A150" i="12" s="1"/>
  <c r="A149" i="12"/>
  <c r="K149" i="12"/>
  <c r="K148" i="12"/>
  <c r="A148" i="12" s="1"/>
  <c r="A147" i="12"/>
  <c r="K147" i="12"/>
  <c r="K146" i="12"/>
  <c r="A146" i="12" s="1"/>
  <c r="A145" i="12"/>
  <c r="K145" i="12"/>
  <c r="K144" i="12"/>
  <c r="A144" i="12" s="1"/>
  <c r="A143" i="12"/>
  <c r="K143" i="12"/>
  <c r="K142" i="12"/>
  <c r="A142" i="12" s="1"/>
  <c r="A141" i="12"/>
  <c r="K141" i="12"/>
  <c r="K140" i="12"/>
  <c r="A140" i="12" s="1"/>
  <c r="A139" i="12"/>
  <c r="K139" i="12"/>
  <c r="K138" i="12"/>
  <c r="A138" i="12" s="1"/>
  <c r="A137" i="12"/>
  <c r="K137" i="12"/>
  <c r="K136" i="12"/>
  <c r="A136" i="12" s="1"/>
  <c r="A135" i="12"/>
  <c r="K135" i="12"/>
  <c r="K134" i="12"/>
  <c r="A134" i="12" s="1"/>
  <c r="A133" i="12"/>
  <c r="K133" i="12"/>
  <c r="K132" i="12"/>
  <c r="A132" i="12" s="1"/>
  <c r="A131" i="12"/>
  <c r="K131" i="12"/>
  <c r="K130" i="12"/>
  <c r="A130" i="12" s="1"/>
  <c r="A129" i="12"/>
  <c r="K129" i="12"/>
  <c r="K128" i="12"/>
  <c r="A128" i="12" s="1"/>
  <c r="A127" i="12"/>
  <c r="K127" i="12"/>
  <c r="K126" i="12"/>
  <c r="A126" i="12" s="1"/>
  <c r="A125" i="12"/>
  <c r="K125" i="12"/>
  <c r="K124" i="12"/>
  <c r="A124" i="12" s="1"/>
  <c r="A123" i="12"/>
  <c r="K123" i="12"/>
  <c r="K122" i="12"/>
  <c r="A122" i="12" s="1"/>
  <c r="A121" i="12"/>
  <c r="K121" i="12"/>
  <c r="K120" i="12"/>
  <c r="A120" i="12" s="1"/>
  <c r="A119" i="12"/>
  <c r="K119" i="12"/>
  <c r="K118" i="12"/>
  <c r="A118" i="12" s="1"/>
  <c r="A117" i="12"/>
  <c r="K117" i="12"/>
  <c r="K116" i="12"/>
  <c r="A116" i="12" s="1"/>
  <c r="A115" i="12"/>
  <c r="K115" i="12"/>
  <c r="K114" i="12"/>
  <c r="A114" i="12" s="1"/>
  <c r="A113" i="12"/>
  <c r="K113" i="12"/>
  <c r="K112" i="12"/>
  <c r="A112" i="12" s="1"/>
  <c r="A111" i="12"/>
  <c r="K111" i="12"/>
  <c r="K110" i="12"/>
  <c r="A110" i="12" s="1"/>
  <c r="A109" i="12"/>
  <c r="K109" i="12"/>
  <c r="K108" i="12"/>
  <c r="A108" i="12" s="1"/>
  <c r="A107" i="12"/>
  <c r="K107" i="12"/>
  <c r="K106" i="12"/>
  <c r="A106" i="12" s="1"/>
  <c r="A105" i="12"/>
  <c r="K105" i="12"/>
  <c r="K104" i="12"/>
  <c r="A104" i="12" s="1"/>
  <c r="A103" i="12"/>
  <c r="K103" i="12"/>
  <c r="K102" i="12"/>
  <c r="A102" i="12" s="1"/>
  <c r="A101" i="12"/>
  <c r="K101" i="12"/>
  <c r="K100" i="12"/>
  <c r="A100" i="12" s="1"/>
  <c r="A99" i="12"/>
  <c r="K99" i="12"/>
  <c r="K98" i="12"/>
  <c r="A98" i="12" s="1"/>
  <c r="A97" i="12"/>
  <c r="K97" i="12"/>
  <c r="K96" i="12"/>
  <c r="A96" i="12" s="1"/>
  <c r="A95" i="12"/>
  <c r="K95" i="12"/>
  <c r="K94" i="12"/>
  <c r="A94" i="12" s="1"/>
  <c r="A93" i="12"/>
  <c r="K93" i="12"/>
  <c r="K92" i="12"/>
  <c r="A92" i="12" s="1"/>
  <c r="A91" i="12"/>
  <c r="K91" i="12"/>
  <c r="K90" i="12"/>
  <c r="A90" i="12" s="1"/>
  <c r="A89" i="12"/>
  <c r="K89" i="12"/>
  <c r="K88" i="12"/>
  <c r="A88" i="12" s="1"/>
  <c r="A87" i="12"/>
  <c r="K87" i="12"/>
  <c r="K86" i="12"/>
  <c r="A86" i="12" s="1"/>
  <c r="A85" i="12"/>
  <c r="K85" i="12"/>
  <c r="K84" i="12"/>
  <c r="A84" i="12" s="1"/>
  <c r="A83" i="12"/>
  <c r="K83" i="12"/>
  <c r="K82" i="12"/>
  <c r="A82" i="12" s="1"/>
  <c r="A81" i="12"/>
  <c r="K81" i="12"/>
  <c r="K80" i="12"/>
  <c r="A80" i="12" s="1"/>
  <c r="A79" i="12"/>
  <c r="K79" i="12"/>
  <c r="K78" i="12"/>
  <c r="A78" i="12" s="1"/>
  <c r="A77" i="12"/>
  <c r="K77" i="12"/>
  <c r="K76" i="12"/>
  <c r="A76" i="12" s="1"/>
  <c r="A75" i="12"/>
  <c r="K75" i="12"/>
  <c r="K74" i="12"/>
  <c r="A74" i="12" s="1"/>
  <c r="A73" i="12"/>
  <c r="K73" i="12"/>
  <c r="K72" i="12"/>
  <c r="A72" i="12" s="1"/>
  <c r="A71" i="12"/>
  <c r="K71" i="12"/>
  <c r="K70" i="12"/>
  <c r="A70" i="12" s="1"/>
  <c r="A69" i="12"/>
  <c r="K69" i="12"/>
  <c r="K68" i="12"/>
  <c r="A68" i="12" s="1"/>
  <c r="A67" i="12"/>
  <c r="K67" i="12"/>
  <c r="K66" i="12"/>
  <c r="A66" i="12" s="1"/>
  <c r="A65" i="12"/>
  <c r="K65" i="12"/>
  <c r="K64" i="12"/>
  <c r="A64" i="12" s="1"/>
  <c r="A63" i="12"/>
  <c r="K63" i="12"/>
  <c r="K62" i="12"/>
  <c r="A62" i="12" s="1"/>
  <c r="A61" i="12"/>
  <c r="K61" i="12"/>
  <c r="K60" i="12"/>
  <c r="A60" i="12" s="1"/>
  <c r="A59" i="12"/>
  <c r="K59" i="12"/>
  <c r="K58" i="12"/>
  <c r="A58" i="12" s="1"/>
  <c r="A57" i="12"/>
  <c r="K57" i="12"/>
  <c r="K56" i="12"/>
  <c r="A56" i="12" s="1"/>
  <c r="A55" i="12"/>
  <c r="K55" i="12"/>
  <c r="K54" i="12"/>
  <c r="A54" i="12" s="1"/>
  <c r="A53" i="12"/>
  <c r="K53" i="12"/>
  <c r="K52" i="12"/>
  <c r="A52" i="12" s="1"/>
  <c r="A51" i="12"/>
  <c r="K51" i="12"/>
  <c r="K50" i="12"/>
  <c r="A50" i="12" s="1"/>
  <c r="A49" i="12"/>
  <c r="K49" i="12"/>
  <c r="K48" i="12"/>
  <c r="A48" i="12" s="1"/>
  <c r="A47" i="12"/>
  <c r="K47" i="12"/>
  <c r="K46" i="12"/>
  <c r="A46" i="12" s="1"/>
  <c r="A45" i="12"/>
  <c r="K45" i="12"/>
  <c r="K44" i="12"/>
  <c r="A44" i="12" s="1"/>
  <c r="A43" i="12"/>
  <c r="K43" i="12"/>
  <c r="K42" i="12"/>
  <c r="A42" i="12" s="1"/>
  <c r="A41" i="12"/>
  <c r="K41" i="12"/>
  <c r="K40" i="12"/>
  <c r="A40" i="12" s="1"/>
  <c r="A39" i="12"/>
  <c r="K39" i="12"/>
  <c r="K38" i="12"/>
  <c r="A38" i="12" s="1"/>
  <c r="A37" i="12"/>
  <c r="K37" i="12"/>
  <c r="K36" i="12"/>
  <c r="A36" i="12" s="1"/>
  <c r="A35" i="12"/>
  <c r="K35" i="12"/>
  <c r="K34" i="12"/>
  <c r="A34" i="12" s="1"/>
  <c r="A33" i="12"/>
  <c r="K33" i="12"/>
  <c r="K32" i="12"/>
  <c r="A32" i="12" s="1"/>
  <c r="A31" i="12"/>
  <c r="K31" i="12"/>
  <c r="K30" i="12"/>
  <c r="A30" i="12" s="1"/>
  <c r="A29" i="12"/>
  <c r="K29" i="12"/>
  <c r="K28" i="12"/>
  <c r="A28" i="12" s="1"/>
  <c r="A27" i="12"/>
  <c r="K27" i="12"/>
  <c r="K26" i="12"/>
  <c r="A26" i="12" s="1"/>
  <c r="A25" i="12"/>
  <c r="K25" i="12"/>
  <c r="K24" i="12"/>
  <c r="A24" i="12" s="1"/>
  <c r="A23" i="12"/>
  <c r="K23" i="12"/>
  <c r="K22" i="12"/>
  <c r="A22" i="12" s="1"/>
  <c r="A21" i="12"/>
  <c r="K21" i="12"/>
  <c r="K20" i="12"/>
  <c r="A20" i="12" s="1"/>
  <c r="A19" i="12"/>
  <c r="K19" i="12"/>
  <c r="K18" i="12"/>
  <c r="A18" i="12" s="1"/>
  <c r="A17" i="12"/>
  <c r="K17" i="12"/>
  <c r="K16" i="12"/>
  <c r="A16" i="12" s="1"/>
  <c r="A15" i="12"/>
  <c r="K15" i="12"/>
  <c r="K14" i="12"/>
  <c r="A14" i="12" s="1"/>
  <c r="A13" i="12"/>
  <c r="K13" i="12"/>
  <c r="K12" i="12"/>
  <c r="A12" i="12" s="1"/>
  <c r="A11" i="12"/>
  <c r="K11" i="12"/>
  <c r="K10" i="12"/>
  <c r="A10" i="12" s="1"/>
  <c r="A9" i="12"/>
  <c r="K9" i="12"/>
  <c r="K8" i="12"/>
  <c r="A8" i="12" s="1"/>
  <c r="A7" i="12"/>
  <c r="K7" i="12"/>
  <c r="K6" i="12"/>
  <c r="A6" i="12" s="1"/>
  <c r="A5" i="12"/>
  <c r="K5" i="12"/>
  <c r="K4" i="12"/>
  <c r="A4" i="12" s="1"/>
  <c r="A3" i="12"/>
  <c r="K3" i="12"/>
  <c r="K2" i="12"/>
  <c r="A2" i="12" s="1"/>
  <c r="A54" i="13"/>
  <c r="J54" i="13"/>
  <c r="J53" i="13"/>
  <c r="A53" i="13" s="1"/>
  <c r="A52" i="13"/>
  <c r="J52" i="13"/>
  <c r="J51" i="13"/>
  <c r="A51" i="13" s="1"/>
  <c r="A50" i="13"/>
  <c r="J50" i="13"/>
  <c r="J49" i="13"/>
  <c r="A49" i="13" s="1"/>
  <c r="A48" i="13"/>
  <c r="J48" i="13"/>
  <c r="J47" i="13"/>
  <c r="A47" i="13" s="1"/>
  <c r="A46" i="13"/>
  <c r="J46" i="13"/>
  <c r="J45" i="13"/>
  <c r="A45" i="13" s="1"/>
  <c r="A44" i="13"/>
  <c r="J44" i="13"/>
  <c r="J43" i="13"/>
  <c r="A43" i="13" s="1"/>
  <c r="A42" i="13"/>
  <c r="J42" i="13"/>
  <c r="J41" i="13"/>
  <c r="A41" i="13" s="1"/>
  <c r="A40" i="13"/>
  <c r="J40" i="13"/>
  <c r="J39" i="13"/>
  <c r="A39" i="13" s="1"/>
  <c r="A38" i="13"/>
  <c r="J38" i="13"/>
  <c r="J37" i="13"/>
  <c r="A37" i="13" s="1"/>
  <c r="A36" i="13"/>
  <c r="J36" i="13"/>
  <c r="J35" i="13"/>
  <c r="A35" i="13" s="1"/>
  <c r="A34" i="13"/>
  <c r="J34" i="13"/>
  <c r="J33" i="13"/>
  <c r="A33" i="13" s="1"/>
  <c r="A32" i="13"/>
  <c r="J32" i="13"/>
  <c r="J31" i="13"/>
  <c r="A31" i="13" s="1"/>
  <c r="A30" i="13"/>
  <c r="J30" i="13"/>
  <c r="J29" i="13"/>
  <c r="A29" i="13" s="1"/>
  <c r="A28" i="13"/>
  <c r="J28" i="13"/>
  <c r="J27" i="13"/>
  <c r="A27" i="13" s="1"/>
  <c r="A26" i="13"/>
  <c r="J26" i="13"/>
  <c r="J25" i="13"/>
  <c r="A25" i="13" s="1"/>
  <c r="A24" i="13"/>
  <c r="J24" i="13"/>
  <c r="J23" i="13"/>
  <c r="A23" i="13" s="1"/>
  <c r="A22" i="13"/>
  <c r="J22" i="13"/>
  <c r="J21" i="13"/>
  <c r="A21" i="13" s="1"/>
  <c r="A20" i="13"/>
  <c r="J20" i="13"/>
  <c r="J19" i="13"/>
  <c r="A19" i="13" s="1"/>
  <c r="A18" i="13"/>
  <c r="J18" i="13"/>
  <c r="J17" i="13"/>
  <c r="A17" i="13" s="1"/>
  <c r="A16" i="13"/>
  <c r="J16" i="13"/>
  <c r="J15" i="13"/>
  <c r="A15" i="13" s="1"/>
  <c r="A14" i="13"/>
  <c r="J14" i="13"/>
  <c r="J13" i="13"/>
  <c r="A13" i="13" s="1"/>
  <c r="A12" i="13"/>
  <c r="J12" i="13"/>
  <c r="J11" i="13"/>
  <c r="A11" i="13" s="1"/>
  <c r="A10" i="13"/>
  <c r="J10" i="13"/>
  <c r="J9" i="13"/>
  <c r="A9" i="13" s="1"/>
  <c r="A8" i="13"/>
  <c r="J8" i="13"/>
  <c r="J7" i="13"/>
  <c r="A7" i="13" s="1"/>
  <c r="A6" i="13"/>
  <c r="J6" i="13"/>
  <c r="J5" i="13"/>
  <c r="A5" i="13" s="1"/>
  <c r="A4" i="13"/>
  <c r="J4" i="13"/>
  <c r="J3" i="13"/>
  <c r="A3" i="13" s="1"/>
  <c r="A2" i="13"/>
  <c r="J2" i="13"/>
  <c r="DD2" i="6" l="1"/>
  <c r="DC2" i="6"/>
  <c r="DB2" i="6"/>
  <c r="DA2" i="6"/>
  <c r="CZ2" i="6"/>
  <c r="CY2" i="6"/>
  <c r="CX2" i="6"/>
  <c r="CW2" i="6"/>
  <c r="CV2" i="6"/>
  <c r="CU2" i="6"/>
  <c r="CT2" i="6"/>
  <c r="CS2" i="6"/>
  <c r="CR2" i="6"/>
  <c r="CQ2" i="6"/>
  <c r="CP2" i="6"/>
  <c r="DC1" i="6"/>
  <c r="CW1" i="6"/>
  <c r="CU1" i="6"/>
  <c r="CP1" i="6"/>
  <c r="CO2" i="6"/>
  <c r="CN2" i="6"/>
  <c r="CM2" i="6"/>
  <c r="CL2" i="6"/>
  <c r="CK2" i="6"/>
  <c r="CJ2" i="6"/>
  <c r="CI2" i="6"/>
  <c r="CH2" i="6"/>
  <c r="CG2" i="6"/>
  <c r="CF2" i="6"/>
  <c r="CE2" i="6"/>
  <c r="CD2" i="6"/>
  <c r="CC2" i="6"/>
  <c r="CB2" i="6"/>
  <c r="CA2" i="6"/>
  <c r="BZ2" i="6"/>
  <c r="BY2" i="6"/>
  <c r="BX2" i="6"/>
  <c r="BW2" i="6"/>
  <c r="BV2" i="6"/>
  <c r="BU2" i="6"/>
  <c r="BT2" i="6"/>
  <c r="BS2" i="6"/>
  <c r="BR2" i="6"/>
  <c r="BQ2" i="6"/>
  <c r="BP2" i="6"/>
  <c r="BO2" i="6"/>
  <c r="BN2" i="6"/>
  <c r="BM2" i="6"/>
  <c r="BL2" i="6"/>
  <c r="BK2" i="6"/>
  <c r="BJ2" i="6"/>
  <c r="BI2" i="6"/>
  <c r="BH2" i="6"/>
  <c r="BG2" i="6"/>
  <c r="BF2" i="6"/>
  <c r="BE2" i="6"/>
  <c r="BD2" i="6"/>
  <c r="BC2" i="6"/>
  <c r="BB2" i="6"/>
  <c r="BA2" i="6"/>
  <c r="AZ2" i="6"/>
  <c r="AY2" i="6"/>
  <c r="AX2" i="6"/>
  <c r="AW2" i="6"/>
  <c r="AV2" i="6"/>
  <c r="AU2" i="6"/>
  <c r="AT2" i="6"/>
  <c r="AS2" i="6"/>
  <c r="AR2" i="6"/>
  <c r="AQ2" i="6"/>
  <c r="AP2" i="6"/>
  <c r="AO2" i="6"/>
  <c r="AN2" i="6"/>
  <c r="AM2" i="6"/>
  <c r="AL2" i="6"/>
  <c r="AK2" i="6"/>
  <c r="AJ2" i="6"/>
  <c r="AI2" i="6"/>
  <c r="AH2" i="6"/>
  <c r="AG2" i="6"/>
  <c r="AF2" i="6"/>
  <c r="AE2" i="6"/>
  <c r="AD2" i="6"/>
  <c r="AC2" i="6"/>
  <c r="AB2" i="6"/>
  <c r="AA2" i="6"/>
  <c r="CM1" i="6"/>
  <c r="CJ1" i="6"/>
  <c r="CE1" i="6"/>
  <c r="CC1" i="6"/>
  <c r="BU1" i="6"/>
  <c r="BL1" i="6"/>
  <c r="AZ1" i="6"/>
  <c r="AP1" i="6"/>
  <c r="AI1" i="6"/>
  <c r="AA1" i="6"/>
  <c r="AK2" i="5"/>
  <c r="AL2" i="5"/>
  <c r="AM2" i="5"/>
  <c r="AN2" i="5"/>
  <c r="AO2" i="5"/>
  <c r="AP2" i="5"/>
  <c r="AQ2" i="5"/>
  <c r="AR2" i="5"/>
  <c r="AS2" i="5"/>
  <c r="AT2" i="5"/>
  <c r="AU2" i="5"/>
  <c r="AV2" i="5"/>
  <c r="AW2" i="5"/>
  <c r="AX2" i="5"/>
  <c r="AY2" i="5"/>
  <c r="AZ2" i="5"/>
  <c r="BA2" i="5"/>
  <c r="BB2" i="5"/>
  <c r="BC2" i="5"/>
  <c r="BD2" i="5"/>
  <c r="BE2" i="5"/>
  <c r="BF2" i="5"/>
  <c r="BG2" i="5"/>
  <c r="BH2" i="5"/>
  <c r="BI2" i="5"/>
  <c r="BJ2" i="5"/>
  <c r="BK2" i="5"/>
  <c r="BL2" i="5"/>
  <c r="BM2" i="5"/>
  <c r="BN2" i="5"/>
  <c r="BO2" i="5"/>
  <c r="BP2" i="5"/>
  <c r="BQ2" i="5"/>
  <c r="BR2" i="5"/>
  <c r="BS2" i="5"/>
  <c r="BT2" i="5"/>
  <c r="BU2" i="5"/>
  <c r="BV2" i="5"/>
  <c r="BW2" i="5"/>
  <c r="BX2" i="5"/>
  <c r="BY2" i="5"/>
  <c r="BZ2" i="5"/>
  <c r="CA2" i="5"/>
  <c r="CB2" i="5"/>
  <c r="CC2" i="5"/>
  <c r="CD2" i="5"/>
  <c r="CE2" i="5"/>
  <c r="CF2" i="5"/>
  <c r="CG2" i="5"/>
  <c r="CH2" i="5"/>
  <c r="CI2" i="5"/>
  <c r="CJ2" i="5"/>
  <c r="CK2" i="5"/>
  <c r="CL2" i="5"/>
  <c r="CM2" i="5"/>
  <c r="CN2" i="5"/>
  <c r="CO2" i="5"/>
  <c r="CP2" i="5"/>
  <c r="CQ2" i="5"/>
  <c r="CR2" i="5"/>
  <c r="CS2" i="5"/>
  <c r="CT2" i="5"/>
  <c r="CU2" i="5"/>
  <c r="CV2" i="5"/>
  <c r="CW2" i="5"/>
  <c r="CX2" i="5"/>
  <c r="CY2" i="5"/>
  <c r="CZ2" i="5"/>
  <c r="DA2" i="5"/>
  <c r="DB2" i="5"/>
  <c r="DC2" i="5"/>
  <c r="DD2" i="5"/>
  <c r="AI2" i="5"/>
  <c r="AJ2" i="5"/>
  <c r="AH2" i="5"/>
  <c r="AG2" i="5"/>
  <c r="AF2" i="5"/>
  <c r="AE2" i="5"/>
  <c r="AD2" i="5"/>
  <c r="AC2" i="5"/>
  <c r="AA1" i="5"/>
  <c r="CW1" i="5"/>
  <c r="CU1" i="5"/>
  <c r="CM1" i="5"/>
  <c r="AZ1" i="5"/>
  <c r="DC1" i="5"/>
  <c r="CP1" i="5"/>
  <c r="CJ1" i="5"/>
  <c r="CE1" i="5"/>
  <c r="CC1" i="5"/>
  <c r="BU1" i="5"/>
  <c r="BL1" i="5"/>
  <c r="AP1" i="5"/>
  <c r="AI1" i="5"/>
  <c r="AB2" i="5"/>
  <c r="AA2" i="5"/>
</calcChain>
</file>

<file path=xl/sharedStrings.xml><?xml version="1.0" encoding="utf-8"?>
<sst xmlns="http://schemas.openxmlformats.org/spreadsheetml/2006/main" count="78891" uniqueCount="56195">
  <si>
    <t>A compact and human-readable designator that, when the field is not directly encodable using a data primitive, is used to denote the datatype concept and is intended for information processing.</t>
  </si>
  <si>
    <r>
      <t>A positive integer (</t>
    </r>
    <r>
      <rPr>
        <i/>
        <sz val="10"/>
        <rFont val="Arial"/>
        <family val="2"/>
      </rPr>
      <t>i.e.</t>
    </r>
    <r>
      <rPr>
        <sz val="10"/>
        <rFont val="Arial"/>
        <family val="2"/>
      </rPr>
      <t>, greater than zero) that constrains the maximum length of character string values that may be assigned to the datatype. If the length is not specified, then the character string length is unconstrained (</t>
    </r>
    <r>
      <rPr>
        <i/>
        <sz val="10"/>
        <rFont val="Arial"/>
        <family val="2"/>
      </rPr>
      <t xml:space="preserve">i.e., </t>
    </r>
    <r>
      <rPr>
        <sz val="10"/>
        <rFont val="Arial"/>
        <family val="2"/>
      </rPr>
      <t>unlimited).</t>
    </r>
  </si>
  <si>
    <t>A character string specifying a reference physical quantity for allowed values that may be assigned to the attribute concept if its datatype is based on a numeric representation.</t>
  </si>
  <si>
    <t>For example, the members "Male" and "Female" in the domain of the datatype "Sex Type".</t>
  </si>
  <si>
    <t>For example: "1", "0..1", "0..*" or "1..*", as in "[1..*] Real" to indicate that one or more Real values are stored, or "[1..*] Set&lt;Real&gt;" to indicate that one or more sets of Real values are stored.</t>
  </si>
  <si>
    <t>Datatype Listed Values</t>
  </si>
  <si>
    <t>A textual value specifying the number of discrete domain values that may be assigned to the attribute concept.</t>
  </si>
  <si>
    <t>A textual value indicating the type of collection that is used if this attribute concept has values that are collections of the specified datatype.</t>
  </si>
  <si>
    <t>For example, 'Set' or 'Sequence', as in "Set&lt;Real&gt;" to indicate that the attribute concept stores sets of Real values.</t>
  </si>
  <si>
    <r>
      <t xml:space="preserve">This is hyperlinked to its specification in the </t>
    </r>
    <r>
      <rPr>
        <b/>
        <sz val="10"/>
        <color indexed="12"/>
        <rFont val="Arial"/>
        <family val="2"/>
      </rPr>
      <t>Datatypes</t>
    </r>
    <r>
      <rPr>
        <sz val="10"/>
        <rFont val="Arial"/>
        <family val="2"/>
      </rPr>
      <t xml:space="preserve"> tab/sheet.</t>
    </r>
  </si>
  <si>
    <r>
      <t xml:space="preserve">A hyperlink to the set of allowed domain values in the </t>
    </r>
    <r>
      <rPr>
        <b/>
        <sz val="10"/>
        <color indexed="12"/>
        <rFont val="Arial"/>
        <family val="2"/>
      </rPr>
      <t>DatatypeListedValues</t>
    </r>
    <r>
      <rPr>
        <sz val="10"/>
        <rFont val="Arial"/>
        <family val="2"/>
      </rPr>
      <t xml:space="preserve"> tab/sheet if the attribute concept datatype is an Enumeration.</t>
    </r>
  </si>
  <si>
    <r>
      <t xml:space="preserve">For example, the Color (attribute) of a Flag (feature entity) may have the three enumerated values: Red, White, and Blue. In the case that the attribute concept datatype is not based on an enumerated type then this cell is </t>
    </r>
    <r>
      <rPr>
        <b/>
        <sz val="10"/>
        <color indexed="55"/>
        <rFont val="Arial"/>
        <family val="2"/>
      </rPr>
      <t>grey-filled</t>
    </r>
    <r>
      <rPr>
        <sz val="10"/>
        <rFont val="Arial"/>
        <family val="2"/>
      </rPr>
      <t xml:space="preserve"> and empty.</t>
    </r>
    <r>
      <rPr>
        <b/>
        <sz val="10"/>
        <color indexed="12"/>
        <rFont val="Arial"/>
        <family val="2"/>
      </rPr>
      <t/>
    </r>
  </si>
  <si>
    <r>
      <t xml:space="preserve">For increased clarity the information items specifying a Datatype (AlphaCode, Name, Definition, Description and dataype-specific constraints) are presented in </t>
    </r>
    <r>
      <rPr>
        <b/>
        <sz val="10"/>
        <color indexed="12"/>
        <rFont val="Arial"/>
        <family val="2"/>
      </rPr>
      <t>Blue</t>
    </r>
    <r>
      <rPr>
        <sz val="10"/>
        <rFont val="Arial"/>
        <family val="2"/>
      </rPr>
      <t>.</t>
    </r>
  </si>
  <si>
    <t>Datatypes</t>
  </si>
  <si>
    <r>
      <t xml:space="preserve">The information items specifying an attribute concept that is considered to be metadata are presented in </t>
    </r>
    <r>
      <rPr>
        <b/>
        <sz val="10"/>
        <color indexed="61"/>
        <rFont val="Arial"/>
        <family val="2"/>
      </rPr>
      <t>Plum</t>
    </r>
    <r>
      <rPr>
        <sz val="10"/>
        <rFont val="Arial"/>
        <family val="2"/>
      </rPr>
      <t>.</t>
    </r>
  </si>
  <si>
    <t>Additional information, if any, about the datatype.</t>
  </si>
  <si>
    <r>
      <t xml:space="preserve">In the case that no description is specified, then this cell is </t>
    </r>
    <r>
      <rPr>
        <b/>
        <sz val="10"/>
        <color indexed="23"/>
        <rFont val="Arial"/>
        <family val="2"/>
      </rPr>
      <t>grey-filled</t>
    </r>
    <r>
      <rPr>
        <sz val="10"/>
        <rFont val="Arial"/>
        <family val="2"/>
      </rPr>
      <t xml:space="preserve"> and empty.</t>
    </r>
  </si>
  <si>
    <t>Zero or more functionally equivalent synonyms for the concept.</t>
  </si>
  <si>
    <t>Column</t>
  </si>
  <si>
    <t>Purpose</t>
  </si>
  <si>
    <t>Notes</t>
  </si>
  <si>
    <t>Overview:</t>
  </si>
  <si>
    <t>Notes:</t>
  </si>
  <si>
    <t>A precise statement of the nature, properties, scope, or essential qualities of the concept.</t>
  </si>
  <si>
    <t>A compact and human-readable designator that is used to denote the concept.</t>
  </si>
  <si>
    <t>A statement of the nature, properties, scope, or non-essential qualities of the concept that are not specified by the definition.</t>
  </si>
  <si>
    <t>A positive integer (i.e., greater than zero) that is used to uniquely denote the item within the register and is intended for information processing.</t>
  </si>
  <si>
    <t>Characteristics of a feature.</t>
  </si>
  <si>
    <t>[Hidden column used to construct full URI for the item in the online information resource.]</t>
  </si>
  <si>
    <t>Alias(es)</t>
  </si>
  <si>
    <t>Code</t>
  </si>
  <si>
    <t>Description</t>
  </si>
  <si>
    <t>Name</t>
  </si>
  <si>
    <t>Definition</t>
  </si>
  <si>
    <t>Length</t>
  </si>
  <si>
    <t>AlphaCode</t>
  </si>
  <si>
    <t>A textual value that is used to denote the concept in data interchange outside of the scope of the register.</t>
  </si>
  <si>
    <t>An integer value that is used to denote the concept in data interchange outside of the scope of the register.</t>
  </si>
  <si>
    <t>[Column I]</t>
  </si>
  <si>
    <t>A textual value that is used to denote this domain member in data interchange outside of the scope of the register.</t>
  </si>
  <si>
    <t>An integer value that is used to denote this domain member in data interchange outside of the scope of the register.</t>
  </si>
  <si>
    <t>AlphaCode3</t>
  </si>
  <si>
    <t>AlphaCode2</t>
  </si>
  <si>
    <t>An alternative textual value that is used to denote the concept in data interchange outside of the scope of the register.</t>
  </si>
  <si>
    <t>An additional alternative textual value that is used to denote the concept in data interchange outside of the scope of the register.</t>
  </si>
  <si>
    <t>Note</t>
  </si>
  <si>
    <t>Item Identifier</t>
  </si>
  <si>
    <t>Multiplicity</t>
  </si>
  <si>
    <t>Collection?</t>
  </si>
  <si>
    <t>Datatype Name</t>
  </si>
  <si>
    <t>Field Code</t>
  </si>
  <si>
    <t>Lexical?</t>
  </si>
  <si>
    <t>Structure Specification</t>
  </si>
  <si>
    <t>Range Minimum</t>
  </si>
  <si>
    <t>Range Maximum</t>
  </si>
  <si>
    <t>Feature Concepts</t>
  </si>
  <si>
    <t>Feature        Concepts</t>
  </si>
  <si>
    <t>Attribute Concepts</t>
  </si>
  <si>
    <t>For example, the phenomenon named “Eiffel Tower” may be classified with other similar phenomena into a feature concept named “tower”.</t>
  </si>
  <si>
    <t>A hyperlink to an online information resource for this Feature Concept item.</t>
  </si>
  <si>
    <t>For example, an attribute concept named “length” may have an attribute value ’82.4’ which is specified using the datatype ‘real’.</t>
  </si>
  <si>
    <t>A hyperlink to an online information resource for this Attribute Concept item.</t>
  </si>
  <si>
    <t>A Boolean that constrains the range of character values that may be used in character string values that may be assigned to the datatype.</t>
  </si>
  <si>
    <t>A character string that specifies a scheme of one or more constraints on the structure of the text values that may be assigned to the datatype.</t>
  </si>
  <si>
    <t>A value that specifies the maximum end of the range of allowed values that may be assigned to the datatype if it is based on a numeric representation.</t>
  </si>
  <si>
    <t>A value that specifies the minimum end of the range of allowed values that may be assigned to the datatype if it is based on a numeric representation.</t>
  </si>
  <si>
    <t>A textual value that is used to denote the datatype of the attribute concept.</t>
  </si>
  <si>
    <t>A textual value that is used to denote the datatype concept in data interchange.</t>
  </si>
  <si>
    <t>A textual value that is used to denote the datatype field concept in data interchange.</t>
  </si>
  <si>
    <t>A compact and human-readable designator that is used to denote the datatype field concept.</t>
  </si>
  <si>
    <t>A precise statement of the nature, properties, scope, or essential qualities of the concept (either the datatype or the field, as appropriate).</t>
  </si>
  <si>
    <t>A statement of the nature, properties, scope, or non-essential qualities of the concept (either the datatype or the field, as appropriate) that are not specified by the definition.</t>
  </si>
  <si>
    <t>Range       Minimum</t>
  </si>
  <si>
    <t>Range      Maximum</t>
  </si>
  <si>
    <t>A compact and human-readable designator that is used to denote the datatype concept.</t>
  </si>
  <si>
    <t>In the case of an association to an Information Entity then this cell presents the association multiplicity.</t>
  </si>
  <si>
    <t>A textual value specifying the number of discrete domain values that may be assigned to the datatype field.</t>
  </si>
  <si>
    <t>A textual value indicating the type of collection that is used if this datatype field stores collections of the specified datatype.</t>
  </si>
  <si>
    <t>For example, 'Set' or 'Sequence', as in "Set&lt;Real&gt;" to indicate that the datatype field stores sets of Real values.</t>
  </si>
  <si>
    <t>For example; "1", "0..1", "0..*" or "1..*", as in "[1..*] Real" to indicate that one or more Real values are stored, or "[1..*] Set&lt;Real&gt;" to indicate that one or more sets of Real values are stored.</t>
  </si>
  <si>
    <t>Complete?</t>
  </si>
  <si>
    <r>
      <t>A positive integer (</t>
    </r>
    <r>
      <rPr>
        <i/>
        <sz val="10"/>
        <rFont val="Arial"/>
        <family val="2"/>
      </rPr>
      <t>i.e.</t>
    </r>
    <r>
      <rPr>
        <sz val="10"/>
        <rFont val="Arial"/>
        <family val="2"/>
      </rPr>
      <t>, greater than zero) that is used to uniquely denote the item within the register and is intended for information processing.</t>
    </r>
  </si>
  <si>
    <t>For example, 'True', in the case of an enumeration attribute 'Sex' with the domain values of 'Male' and 'Female'.</t>
  </si>
  <si>
    <t>A Boolean that identifies, if the attribute concept datatype is an Enumeration, that the set of specified domain values is complete.</t>
  </si>
  <si>
    <t>A Boolean that identifies, if the datatype is an enumeration, that the set of specified domain values is complete.</t>
  </si>
  <si>
    <t>For example, 'True', in the case of an enumeration datatype 'Sex' with the domain values of 'Male' and 'Female'.</t>
  </si>
  <si>
    <t>Subgroup</t>
  </si>
  <si>
    <t>Listed Values Link</t>
  </si>
  <si>
    <t>Group (Link)</t>
  </si>
  <si>
    <t>The link presentation is also a value (for example: the AlphaCode) that is used to denote the concept.</t>
  </si>
  <si>
    <t>This column may be hidden if these are not populated. It may be named differently depending on the FDD.</t>
  </si>
  <si>
    <t>Groups &amp; Subgroups</t>
  </si>
  <si>
    <t>A set of categories that may be used to characterize the concept for the purpose of discovery or comparison with possibly related concepts.</t>
  </si>
  <si>
    <t>Resource Reference URI:</t>
  </si>
  <si>
    <t>Datatype Link [AlphaCode]</t>
  </si>
  <si>
    <t>A hyperlink to an online information resource for this Datatype Concept item.</t>
  </si>
  <si>
    <t>Field
Name</t>
  </si>
  <si>
    <t>A textual value that, when the field is not directly encodable using a data primitive, is used to denote the field concept as an Attribute within the FDD and is intended for information processing.</t>
  </si>
  <si>
    <t>[Column U]</t>
  </si>
  <si>
    <t>A hyperlink to an online information resource for this enumerant item.</t>
  </si>
  <si>
    <t>The link presentation is also a value-pair (for example: the Datatype AlphaCode and Datatype Listed Value AlphaCode) that is used to denote the concept.</t>
  </si>
  <si>
    <t>The textual code value assigned to the Datatype of which this enumerant concept is a domain member.</t>
  </si>
  <si>
    <t>The textual name assigned to the Datatype of which this enumerant concept is a domain member.</t>
  </si>
  <si>
    <t>In the XXXX FDD this is an integer, for example: "4". This column may be hidden if these are not populated. It may be named differently depending on the FDD.</t>
  </si>
  <si>
    <t>Groups</t>
  </si>
  <si>
    <t>Group
(Link)</t>
  </si>
  <si>
    <r>
      <t xml:space="preserve">This is hyperlinked to its Subgroups as specified in the </t>
    </r>
    <r>
      <rPr>
        <b/>
        <sz val="10"/>
        <color rgb="FF0000FF"/>
        <rFont val="Arial"/>
        <family val="2"/>
      </rPr>
      <t>Subgroups</t>
    </r>
    <r>
      <rPr>
        <sz val="10"/>
        <rFont val="Arial"/>
        <family val="2"/>
      </rPr>
      <t xml:space="preserve"> tab..</t>
    </r>
  </si>
  <si>
    <t>Subgroups</t>
  </si>
  <si>
    <t>A textual value that is used to denote this Group in data interchange outside of the scope of the register.</t>
  </si>
  <si>
    <t>A two-digit integer value that is used to denote this Group.</t>
  </si>
  <si>
    <t>This is a CamelCase character string, for example: "HydrographyOceanography".</t>
  </si>
  <si>
    <t>A subordinate (within a Group) set of categories that may be used to further characterize the concept for the purpose of discovery or comparison with possibly related concepts.</t>
  </si>
  <si>
    <t>For example, the Group "Transportation" may be associated to Feature Concepts "Road" and "Canal".</t>
  </si>
  <si>
    <t>For example, the Subgroup "Water-borne Transportation" within the Group "Transportation" may be associated to Feature Concept "Canal".</t>
  </si>
  <si>
    <t>A five-character value consisting of a pair of two-digit integer values separated by a dot ('.') that is used to denote this Subgroup in data interchange outside of the scope of the register.</t>
  </si>
  <si>
    <t>A two-digit integer value that is used to denote the Group of which this Subgroup is a member.</t>
  </si>
  <si>
    <r>
      <t xml:space="preserve">This is hyperlinked to its specification in the </t>
    </r>
    <r>
      <rPr>
        <b/>
        <sz val="10"/>
        <color rgb="FF0000FF"/>
        <rFont val="Arial"/>
        <family val="2"/>
      </rPr>
      <t>Groups</t>
    </r>
    <r>
      <rPr>
        <sz val="10"/>
        <rFont val="Arial"/>
        <family val="2"/>
      </rPr>
      <t xml:space="preserve"> tab.</t>
    </r>
  </si>
  <si>
    <t>The first integer value identifier the Group; the second identifies this Subgroup within that Group.</t>
  </si>
  <si>
    <t>A textual value that is used to denote this Subgroup in data interchange outside of the scope of the register.</t>
  </si>
  <si>
    <t>This is a CamelCase character string, for example: "DistributionNetworks".</t>
  </si>
  <si>
    <t>This URI may be revised to reference an alternative resource site; all hyperlinks in this workbook are relative to this URI.</t>
  </si>
  <si>
    <t>The concept is associated with one or more Group/Subgroup pairs; this is indicated by an "X" in the corresponding column.</t>
  </si>
  <si>
    <r>
      <t xml:space="preserve">These are organized into a two-level hierarchy. The Group and Subgroup names (in the first and second rows, respectively) are linked to their specification in the </t>
    </r>
    <r>
      <rPr>
        <b/>
        <sz val="10"/>
        <color rgb="FF0000FF"/>
        <rFont val="Arial"/>
        <family val="2"/>
      </rPr>
      <t>Groups</t>
    </r>
    <r>
      <rPr>
        <sz val="10"/>
        <rFont val="Arial"/>
        <family val="2"/>
      </rPr>
      <t xml:space="preserve"> and </t>
    </r>
    <r>
      <rPr>
        <b/>
        <sz val="10"/>
        <color rgb="FF0000FF"/>
        <rFont val="Arial"/>
        <family val="2"/>
      </rPr>
      <t>Subgroups</t>
    </r>
    <r>
      <rPr>
        <sz val="10"/>
        <rFont val="Arial"/>
        <family val="2"/>
      </rPr>
      <t xml:space="preserve"> tabs.</t>
    </r>
  </si>
  <si>
    <r>
      <t>This is either a description of the datatype (</t>
    </r>
    <r>
      <rPr>
        <i/>
        <sz val="10"/>
        <rFont val="Arial"/>
        <family val="2"/>
      </rPr>
      <t>e.g.,</t>
    </r>
    <r>
      <rPr>
        <sz val="10"/>
        <rFont val="Arial"/>
        <family val="2"/>
      </rPr>
      <t xml:space="preserve"> "StructuredText") or is hyperlinked to its specification elsewhere in the </t>
    </r>
    <r>
      <rPr>
        <b/>
        <sz val="10"/>
        <color indexed="12"/>
        <rFont val="Arial"/>
        <family val="2"/>
      </rPr>
      <t>Datatypes</t>
    </r>
    <r>
      <rPr>
        <sz val="10"/>
        <rFont val="Arial"/>
        <family val="2"/>
      </rPr>
      <t xml:space="preserve"> tab/sheet.
- In the case that the datatype domain is a set of Listed Values (enumerants) then the specification is hyperlinked (in </t>
    </r>
    <r>
      <rPr>
        <sz val="10"/>
        <color indexed="17"/>
        <rFont val="Arial"/>
        <family val="2"/>
      </rPr>
      <t>green</t>
    </r>
    <r>
      <rPr>
        <sz val="10"/>
        <rFont val="Arial"/>
        <family val="2"/>
      </rPr>
      <t xml:space="preserve">) to that set in the </t>
    </r>
    <r>
      <rPr>
        <b/>
        <sz val="10"/>
        <color indexed="12"/>
        <rFont val="Arial"/>
        <family val="2"/>
      </rPr>
      <t>DatatypeListedValues</t>
    </r>
    <r>
      <rPr>
        <sz val="10"/>
        <rFont val="Arial"/>
        <family val="2"/>
      </rPr>
      <t xml:space="preserve"> tab/sheet.
- In the case that the datatype field is directly encodable using a standard representation (</t>
    </r>
    <r>
      <rPr>
        <i/>
        <sz val="10"/>
        <rFont val="Arial"/>
        <family val="2"/>
      </rPr>
      <t>e.g.,</t>
    </r>
    <r>
      <rPr>
        <sz val="10"/>
        <rFont val="Arial"/>
        <family val="2"/>
      </rPr>
      <t xml:space="preserve"> an IEEE 8-byte floating point data element) then the Note field specifies additional information.</t>
    </r>
  </si>
  <si>
    <t>This is an upper camel-case character string, for example: "RealNonNegInterval". This column may be hidden if these are not populated or if used as the basis for the Resource Link. It may be named differently depending on the FDD.</t>
  </si>
  <si>
    <t>Field
Coll'n?</t>
  </si>
  <si>
    <t>Field
Mult'</t>
  </si>
  <si>
    <t>Field         Multiplicity</t>
  </si>
  <si>
    <t>Field           Collection?</t>
  </si>
  <si>
    <t>Field                   Code</t>
  </si>
  <si>
    <t>Datatype        Name</t>
  </si>
  <si>
    <t>Field                 Name</t>
  </si>
  <si>
    <r>
      <t xml:space="preserve">Type or </t>
    </r>
    <r>
      <rPr>
        <b/>
        <sz val="10"/>
        <color rgb="FF0070C0"/>
        <rFont val="Arial"/>
        <family val="2"/>
      </rPr>
      <t>Field</t>
    </r>
    <r>
      <rPr>
        <b/>
        <sz val="10"/>
        <rFont val="Arial"/>
        <family val="2"/>
      </rPr>
      <t xml:space="preserve"> Specification</t>
    </r>
  </si>
  <si>
    <r>
      <rPr>
        <b/>
        <sz val="10"/>
        <color rgb="FF0000FF"/>
        <rFont val="Arial"/>
        <family val="2"/>
      </rPr>
      <t xml:space="preserve">Type or </t>
    </r>
    <r>
      <rPr>
        <b/>
        <sz val="10"/>
        <color indexed="48"/>
        <rFont val="Arial"/>
        <family val="2"/>
      </rPr>
      <t xml:space="preserve">Field </t>
    </r>
    <r>
      <rPr>
        <b/>
        <sz val="10"/>
        <color rgb="FF0000FF"/>
        <rFont val="Arial"/>
        <family val="2"/>
      </rPr>
      <t>Specification</t>
    </r>
  </si>
  <si>
    <t>Source</t>
  </si>
  <si>
    <t>Indicates whether the concept is profiled from the DFDD proper, or the DFDD US National Extensions.</t>
  </si>
  <si>
    <t>Additional Codes</t>
  </si>
  <si>
    <t>Additional alternative textual value(s) that is used to denote the concept in data interchange associated with specific contexts outside of the scope of the register.</t>
  </si>
  <si>
    <t>This column may be hidden if these are not populated. When populated it consists of a set of one or more context-code pairs.</t>
  </si>
  <si>
    <t>Physical Quantity</t>
  </si>
  <si>
    <t>Recommended
Unit of Measure</t>
  </si>
  <si>
    <t>[Column Q]</t>
  </si>
  <si>
    <t>A character string specifying a recommended unit of measure for allowed values that may be assigned to the attribute concept if its datatype is based on a numeric representation.</t>
  </si>
  <si>
    <t>Non-comparable
Unit of Measure</t>
  </si>
  <si>
    <t>Members Link</t>
  </si>
  <si>
    <t>Item
Identifier</t>
  </si>
  <si>
    <r>
      <t xml:space="preserve">Listed Values
</t>
    </r>
    <r>
      <rPr>
        <i/>
        <sz val="10"/>
        <color theme="9" tint="-0.499984740745262"/>
        <rFont val="Arial"/>
        <family val="2"/>
      </rPr>
      <t>[Link]</t>
    </r>
  </si>
  <si>
    <r>
      <t xml:space="preserve">Non-comparable
Unit of Measure
</t>
    </r>
    <r>
      <rPr>
        <i/>
        <sz val="10"/>
        <color rgb="FF0000FF"/>
        <rFont val="Arial"/>
        <family val="2"/>
      </rPr>
      <t>[Link]</t>
    </r>
  </si>
  <si>
    <r>
      <t xml:space="preserve">Recommended
Unit of Measure
</t>
    </r>
    <r>
      <rPr>
        <i/>
        <sz val="10"/>
        <color rgb="FF0000FF"/>
        <rFont val="Arial"/>
        <family val="2"/>
      </rPr>
      <t xml:space="preserve"> [Link]</t>
    </r>
  </si>
  <si>
    <r>
      <t xml:space="preserve">Physical Quantity
</t>
    </r>
    <r>
      <rPr>
        <i/>
        <sz val="10"/>
        <color rgb="FF0000FF"/>
        <rFont val="Arial"/>
        <family val="2"/>
      </rPr>
      <t>[Link]</t>
    </r>
  </si>
  <si>
    <t>Physical Quantities</t>
  </si>
  <si>
    <t>A set of physical quantities that characterize the properties of a phenomenon, body, or substance, where the property has a magnitude that can be expressed as a number (physical value) and a reference quantity - referred to as a "unit of measure".</t>
  </si>
  <si>
    <t>For a given physical quantity, the International System of Units (ISO 31, known as "SI") specifies a reference unit of measure (for example: in the case of time, the "second") as well as other "conventional" units of measure and their relationship to the reference unit through a factor or formula (for example: the "hour" which is related by the factor of 3600 to the "second").</t>
  </si>
  <si>
    <t>Units of Measure</t>
  </si>
  <si>
    <t>A set of units of measure, organized by physical quantity, where a unit of measure is a predefined amount of the concerned physical quantity (for example: a metre "of length" or kilogram "of mass").</t>
  </si>
  <si>
    <t>Units of measure that may be used with the same physical quantity are mutually comparable; a physical value expressed in terms of one unit of measure may be converted to a different physical value in terms of a different unit of measure - both expressing the same physical quantity.</t>
  </si>
  <si>
    <t>Resource Link
[Short Name]</t>
  </si>
  <si>
    <t>The link presentation is also a value (the 'Short Name') that is used to denote the concept.</t>
  </si>
  <si>
    <t>Short Name</t>
  </si>
  <si>
    <t>This is a character string, for example: "electricResistance".</t>
  </si>
  <si>
    <t>A hyperlink to an online information resource for this Physical Quantity item.</t>
  </si>
  <si>
    <r>
      <t xml:space="preserve">A hyperlink to the set of included units of measure in the </t>
    </r>
    <r>
      <rPr>
        <b/>
        <sz val="10"/>
        <color indexed="12"/>
        <rFont val="Arial"/>
        <family val="2"/>
      </rPr>
      <t>UnitsOfMeasure</t>
    </r>
    <r>
      <rPr>
        <sz val="10"/>
        <rFont val="Arial"/>
        <family val="2"/>
      </rPr>
      <t xml:space="preserve"> tab/sheet.</t>
    </r>
  </si>
  <si>
    <t>For example, the Force physical quantity may have two member units of measure: the Newton and the Dyne.</t>
  </si>
  <si>
    <t>[Column J]</t>
  </si>
  <si>
    <t>This column may be hidden if these are not populated.</t>
  </si>
  <si>
    <t>Resource Link
[Short Names]</t>
  </si>
  <si>
    <t>A hyperlink to an online information resource for this Unit of Measure item.</t>
  </si>
  <si>
    <t>The link presentation is also a value-pair (for example: the Physical Quantity AlphaCode and Dunit of Measure AlphaCode) that is used to denote the concept.</t>
  </si>
  <si>
    <t>Physical Quantity Name</t>
  </si>
  <si>
    <t>Physical Quantity Link
[Short Name]</t>
  </si>
  <si>
    <t>This is a character string, for example: electricResistance".</t>
  </si>
  <si>
    <t>The textual name assigned to the Physical Quantity of which this Unit of Measure concept is a member.</t>
  </si>
  <si>
    <t>The textual code value assigned to the Physical Quantity of which this Unit of Measure concept is a member.</t>
  </si>
  <si>
    <t>A textual value that is used to denote this Unit of Measure in data interchange outside of the scope of the register.</t>
  </si>
  <si>
    <t>This is a character string, for example: "metre". This column may be named differently depending on the FDD.</t>
  </si>
  <si>
    <t>An integer value that is used to denote this Unit of Measure in data interchange outside of the scope of the register.</t>
  </si>
  <si>
    <t>This is an integer, for example: "4". This column may be hidden if these are not populated. It may be named differently depending on the FDD.</t>
  </si>
  <si>
    <t>[Columns K-L]</t>
  </si>
  <si>
    <t>[Hidden columns used to construct full URI for the item in the online information resource.]</t>
  </si>
  <si>
    <r>
      <t xml:space="preserve">This is an upper camel-case character string, for example: "CofCode".
In the case that the Datatype is from a different register, then the cell is </t>
    </r>
    <r>
      <rPr>
        <b/>
        <sz val="10"/>
        <color theme="0" tint="-0.499984740745262"/>
        <rFont val="Arial"/>
        <family val="2"/>
      </rPr>
      <t>grey-filled</t>
    </r>
    <r>
      <rPr>
        <sz val="10"/>
        <rFont val="Arial"/>
        <family val="2"/>
      </rPr>
      <t xml:space="preserve"> and the link is not present.</t>
    </r>
  </si>
  <si>
    <t>Resource URI</t>
  </si>
  <si>
    <r>
      <t>A link to a net-based resource (</t>
    </r>
    <r>
      <rPr>
        <i/>
        <sz val="10"/>
        <rFont val="Arial"/>
        <family val="2"/>
      </rPr>
      <t>e.g.</t>
    </r>
    <r>
      <rPr>
        <sz val="10"/>
        <rFont val="Arial"/>
        <family val="2"/>
      </rPr>
      <t xml:space="preserve">, the DoD Data Services Environment Metadata Registry (MDR: </t>
    </r>
    <r>
      <rPr>
        <u/>
        <sz val="10"/>
        <color rgb="FF0000CC"/>
        <rFont val="Arial"/>
        <family val="2"/>
      </rPr>
      <t>http://metadata.ces.mil/mdr/</t>
    </r>
    <r>
      <rPr>
        <sz val="10"/>
        <rFont val="Arial"/>
        <family val="2"/>
      </rPr>
      <t>) where the specification of a CodeList or CodeList-based StructuredText is documented.</t>
    </r>
  </si>
  <si>
    <r>
      <t xml:space="preserve">In the case that the Information Entity Datatype does not have an associated resource, then this cell is </t>
    </r>
    <r>
      <rPr>
        <b/>
        <sz val="10"/>
        <color indexed="55"/>
        <rFont val="Arial"/>
        <family val="2"/>
      </rPr>
      <t>grey-filled</t>
    </r>
    <r>
      <rPr>
        <sz val="10"/>
        <rFont val="Arial"/>
        <family val="2"/>
      </rPr>
      <t xml:space="preserve"> and empty.</t>
    </r>
  </si>
  <si>
    <t>For example: "plane angle", "length", and "speed".  In the case that the datatype of the attribute concept is not based on a numeric representation, then this cell is grey-filled and empty.</t>
  </si>
  <si>
    <t>For example: "degree of arc", "foot", and "kilometre per hour".  In the case that the datatype of the attribute concept is not based on a numeric representation, then this cell is grey-filled and empty.</t>
  </si>
  <si>
    <t>A character string specifying a non-comparable unit of measure for allowed values that may be assigned to the attribute concept if its datatype is based on a numeric representation. A non-comparable unit of measure is one that is not a strict member of the specified physical quantity, but is related to that physical quantity through a complex context-sensitive computation.</t>
  </si>
  <si>
    <t>For example: "flight level".  In the case that the datatype of the attribute concept is not based on a numeric representation, or no non-comparable unit of measure is specified, then this cell is grey-filled and empty.</t>
  </si>
  <si>
    <t>A datatype specifies how the value of an Attribute shall be abstractly represented and consists of one or more fields, each capturing an aspect of information required to completely specify a value in the domain of the datatype. A simple datatype consists of a single field containing a primitive data value (e.g., a real number); a complex datatype consists of multiple fields, at least one of which contains a data value and others may contain metadata about the data value(s).</t>
  </si>
  <si>
    <t>For example, an "Elevation with Datum and Accuracy" datatype may consist of three fields: a "Real Value", a "Vertical Datum", and a "Height Accuracy". The first field specifies a real value, the second field specifies a vertical reference datum, and the third field specifies the accuracy of the elevation value.</t>
  </si>
  <si>
    <t>This is a camel-case character string, for example "lowerValue". It may be used in conjunction with the Datatype AlphaCode to create a "dot notation" accessor, for example: "RealNonNegInterval.lowerValue".</t>
  </si>
  <si>
    <t>This is a camel-case character string, for example "VoidValueReason". In the case that the datatype field is directly encodable using a standard representation (e.g., an IEEE 8-byte floating point data element) then the field code is empty and the cell is grey-filled. This column is normally hidden.</t>
  </si>
  <si>
    <t>For example, "80" (as in the maximum number of input characters allowed in a computer card field). In the case that the datatype is not based on a character string representation, then this cell is grey-filled and empty.</t>
  </si>
  <si>
    <t>Lexical character values encompass any character, including accents, diacritical marks, special characters, and any other ISO standardized alphabet. Non-lexical character values are limited to characters from the ASCII code (or, equivalently, ISO 646 International Reference Version alphabet). In the case that the datatype is not based on a character string representation, then this cell is grey-filled and empty.</t>
  </si>
  <si>
    <t>For example, “CCYYMMDD” where it is assumed for the purposes of this example that the meanings of ‘C’, ‘Y’, ‘M’, and ‘D’ are understood. In the case that the datatype is not based on the character string representation, then this cell is grey-filled and empty.</t>
  </si>
  <si>
    <t>For example, "0". In the case that the datatype is either not based on a numeric representation or no Range Minimum is specified, then this cell is grey-filled and empty.</t>
  </si>
  <si>
    <t>For example, "360". In the case that the datatype is either not based on a numeric representation or no Range Maximum is specified, then this cell is grey-filled and empty.</t>
  </si>
  <si>
    <t>Values that are members of the domain of a specific enumerated datatype. These listed values are often referred to simply as "enumerants".</t>
  </si>
  <si>
    <t>Abstractions of real-world phenomena.</t>
  </si>
  <si>
    <t xml:space="preserve">  DGIWG Feature Data Dictionary, Baseline 2013-1.00</t>
  </si>
  <si>
    <t>[workbook prepared 26 May 2014, 07:04 AM]</t>
  </si>
  <si>
    <t>https://www.dgiwg.org/FAD/</t>
  </si>
  <si>
    <t>The DGIWG Feature Data Dictionary (DFDD) exists as an online information resource maintained by the DGIWG Feature and Attribute Data (FAD) Project Team. The DFDD is realized as one of a set of registers within the DGIWG FAD Registry. The DGIWG FAD Registry is located at https://www.dgiwg.org/FAD/ . This workbook includes four sheets that specify a subset of information from valid items in the DFDD register as of the date it was created; for complete information regarding a given item a hyperlink is provided to the complete specification of that specific item in the online resource. Additional information available online that is not included in this workbook includes an item source, zero or more item lineages, and zero or more alternative expressions in languages other than that of the DGIWG FAD Registry (which uses English in accordance with the Oxford English Dictionary). Other information available online includes items that are not currently valid but may have historically been related to a valid item. The structure and content of the FAD Registry conform to ISO 19110, ISO 19135, and ISO 19126. Additional information regarding these standards and the structure/operation of the DGIWG FAD Registry are available at the resource site.</t>
  </si>
  <si>
    <t>In the event that the DGIWG site is offline, an alternative resource site for the DGIWG FAD Registry is maintained at https://geo.aitcnet.org/FAD/ . It should not, however, be considered the official source for DFDD information. In the presentation of fields in the following spreadsheets, values intentionally left empty are grey-filled; values that are not applicable are black-filled.</t>
  </si>
  <si>
    <t>In the DFDD this is a character string, for example: "AL015".</t>
  </si>
  <si>
    <t>This is not used in the DFDD.</t>
  </si>
  <si>
    <t>In the DFDD this is a character string, for example: "HGT".</t>
  </si>
  <si>
    <t>The link presentation is also a value-pair (the Datatype 'Short Name' and Datatype Listed Value 'ShortName' separated by an underscore ('_')) that is used to denote the concept.</t>
  </si>
  <si>
    <t>In the DFDD this is a character string, for example: "fuelStation".</t>
  </si>
  <si>
    <t>In the DFDD this is an integer, for example: "4".</t>
  </si>
  <si>
    <t>acceleration</t>
  </si>
  <si>
    <t>Acceleration</t>
  </si>
  <si>
    <t>The quantity of a (directionless) rate of change in speed (rate of change in the change in position per unit time).</t>
  </si>
  <si>
    <t>amountOfSubstance</t>
  </si>
  <si>
    <t>Amount of Substance</t>
  </si>
  <si>
    <t>The quantity of particles comprising an object.</t>
  </si>
  <si>
    <t>area</t>
  </si>
  <si>
    <t>Area</t>
  </si>
  <si>
    <t>The quantity of a two dimensional (square) region that is (generally) the product of length and width.</t>
  </si>
  <si>
    <t>capacitance</t>
  </si>
  <si>
    <t>Capacitance</t>
  </si>
  <si>
    <t>The quantity of an electrical circuit that permits it to store electric charge.</t>
  </si>
  <si>
    <t>electricCharge</t>
  </si>
  <si>
    <t>Electric Charge</t>
  </si>
  <si>
    <t>The quantity of an unbalanced excess or deficiency of elections in a body.</t>
  </si>
  <si>
    <t>electricConductance</t>
  </si>
  <si>
    <t>Electric Conductance</t>
  </si>
  <si>
    <t>The quantity of the ease with which an electric current flows through a conductor.</t>
  </si>
  <si>
    <t>electricConductivity</t>
  </si>
  <si>
    <t>Electric Conductivity</t>
  </si>
  <si>
    <t>The quantity of the ease with which an electric current flows through a conductor per unit length.</t>
  </si>
  <si>
    <t>electricCurrent</t>
  </si>
  <si>
    <t>Electric Current</t>
  </si>
  <si>
    <t>The quantity of a flow of electricity through a conductor.</t>
  </si>
  <si>
    <t>electricResistance</t>
  </si>
  <si>
    <t>Electric Resistance</t>
  </si>
  <si>
    <t>The quantity of a material's opposition to the flow of electric current.</t>
  </si>
  <si>
    <t>electricResistivity</t>
  </si>
  <si>
    <t>Electric Resistivity</t>
  </si>
  <si>
    <t>The quantity of a material's opposition to the flow of electric current per unit length.</t>
  </si>
  <si>
    <t>electromotiveForce</t>
  </si>
  <si>
    <t>Electromotive Force</t>
  </si>
  <si>
    <t>The quantity of the energy per unit electric charge in an electric circuit.</t>
  </si>
  <si>
    <t>energy</t>
  </si>
  <si>
    <t>Energy</t>
  </si>
  <si>
    <t>The thermodynamic quantity equivalent to the capacity of a physical system to do work.</t>
  </si>
  <si>
    <t>Work</t>
  </si>
  <si>
    <t>force</t>
  </si>
  <si>
    <t>Force</t>
  </si>
  <si>
    <t>The quantity of influence that produces a change in a physical quantity (for example: acceleration).</t>
  </si>
  <si>
    <t>frequency</t>
  </si>
  <si>
    <t>Frequency</t>
  </si>
  <si>
    <t>The quantity of the number of occurrences within a given time period.</t>
  </si>
  <si>
    <t>geopotentialEnergyLength</t>
  </si>
  <si>
    <t>Geopotential Energy Length</t>
  </si>
  <si>
    <t>The quantity of a height that is proportional to the potential energy of a mass relative to the geoid.</t>
  </si>
  <si>
    <t>illuminance</t>
  </si>
  <si>
    <t>Illuminance</t>
  </si>
  <si>
    <t>The quantity of luminous flux incident on a unit area.</t>
  </si>
  <si>
    <t>Luminous Emittance</t>
  </si>
  <si>
    <t>inductance</t>
  </si>
  <si>
    <t>Inductance</t>
  </si>
  <si>
    <t>The quantity of the capability of a coiled conductor to store energy in a magnetic field surrounding it.</t>
  </si>
  <si>
    <t>irradiance</t>
  </si>
  <si>
    <t>Irradiance</t>
  </si>
  <si>
    <t>The quantity of the power of electromagnetic radiation at a surface, per unit area.</t>
  </si>
  <si>
    <t>Radiant Emittance, Radiant Exitance</t>
  </si>
  <si>
    <t>length</t>
  </si>
  <si>
    <t>The quantity of a linear extent.</t>
  </si>
  <si>
    <t>linearDensity</t>
  </si>
  <si>
    <t>Linear Density</t>
  </si>
  <si>
    <t>The quantity of a linear extent per unit surface area.</t>
  </si>
  <si>
    <t>linearEnergyTransfer</t>
  </si>
  <si>
    <t>Linear Energy Transfer</t>
  </si>
  <si>
    <t>The quantity of a rate of energy transfer per unit distance.</t>
  </si>
  <si>
    <t>luminousFlux</t>
  </si>
  <si>
    <t>Luminous Flux</t>
  </si>
  <si>
    <t>The quantity of the power of light (rate of flow of light energy) as perceived by the human eye.</t>
  </si>
  <si>
    <t>luminousIntensity</t>
  </si>
  <si>
    <t>Luminous Intensity</t>
  </si>
  <si>
    <t>The quantity of the amount of wavelength-weighted power emitted by a light source per unit solid angle based on the sensitivity of the human eye.</t>
  </si>
  <si>
    <t>magneticFlux</t>
  </si>
  <si>
    <t>Magnetic Flux</t>
  </si>
  <si>
    <t>The quantity of the strength of a magnetic field over a given area.</t>
  </si>
  <si>
    <t>magneticFluxDensity</t>
  </si>
  <si>
    <t>Magnetic Flux Density</t>
  </si>
  <si>
    <t>The quantity of the magnetic flux in a unit area perpendicular to the direction of magnetic flow.</t>
  </si>
  <si>
    <t>magneticFluxDensityGradient</t>
  </si>
  <si>
    <t>Magnetic Flux Density Gradient</t>
  </si>
  <si>
    <t>The quantity of the rate of change of the magnetic flux density per unit distance along the direction of magnetic flow.</t>
  </si>
  <si>
    <t>mass</t>
  </si>
  <si>
    <t>Mass</t>
  </si>
  <si>
    <t>The quantity of the property of a body that causes it to have weight in a gravitational field.</t>
  </si>
  <si>
    <t>massDensity</t>
  </si>
  <si>
    <t>Mass Density</t>
  </si>
  <si>
    <t>The quantity of matter contained by a given volume.</t>
  </si>
  <si>
    <t>Mass/Volume Concentration</t>
  </si>
  <si>
    <t>massFraction</t>
  </si>
  <si>
    <t>Mass Fraction</t>
  </si>
  <si>
    <t>The quantity of the dimensionless ratio of two masses.</t>
  </si>
  <si>
    <t>massRate</t>
  </si>
  <si>
    <t>Mass Rate</t>
  </si>
  <si>
    <t>The quantity of mass, the property of a body that causes it to have weight in a gravitational field, per unit time.</t>
  </si>
  <si>
    <t>monetaryUnit</t>
  </si>
  <si>
    <t>Monetary Unit</t>
  </si>
  <si>
    <t>The monetary unit establishing a currency.</t>
  </si>
  <si>
    <t>noncomparable</t>
  </si>
  <si>
    <t>Noncomparable</t>
  </si>
  <si>
    <t>A quantity that is not related to any other quantity by a factor or formula.</t>
  </si>
  <si>
    <t>planeAngle</t>
  </si>
  <si>
    <t>Plane Angle</t>
  </si>
  <si>
    <t>The quantity of an angle in two dimensions (the angle between two half-lines terminating at the same point).</t>
  </si>
  <si>
    <t>power</t>
  </si>
  <si>
    <t>Power</t>
  </si>
  <si>
    <t>The quantity of the rate of doing work.</t>
  </si>
  <si>
    <t>powerLevelDifference</t>
  </si>
  <si>
    <t>Power Level Difference</t>
  </si>
  <si>
    <t>The quantity of the logarithmic ratio (base 10) between two power levels.</t>
  </si>
  <si>
    <t>powerLevelDiffLenGradient</t>
  </si>
  <si>
    <t>Power Level Difference Length Gradient</t>
  </si>
  <si>
    <t>The rate of power level difference change per unit distance.</t>
  </si>
  <si>
    <t>pressure</t>
  </si>
  <si>
    <t>Pressure</t>
  </si>
  <si>
    <t>The quantity of force applied to a unit area of surface.</t>
  </si>
  <si>
    <t>pureNumber</t>
  </si>
  <si>
    <t>Pure Number</t>
  </si>
  <si>
    <t>A dimensionless quantity (a quantity with the dimension of 1).</t>
  </si>
  <si>
    <t>radiationAbsorbedDose</t>
  </si>
  <si>
    <t>Radiation Absorbed Dose</t>
  </si>
  <si>
    <t>The quantity of absorption of ionizing radiation by matter.</t>
  </si>
  <si>
    <t>radiationDoseEquivalent</t>
  </si>
  <si>
    <t>Radiation Dose Equivalent</t>
  </si>
  <si>
    <t>The quantity of biological effects of radiation which are characterised by the absorbed radiation dose.</t>
  </si>
  <si>
    <t>radionuclideActivity</t>
  </si>
  <si>
    <t>Radionuclide Activity</t>
  </si>
  <si>
    <t>The quantity of the spontaneous emission of a stream of particles or electromagnetic rays in nuclear decay.</t>
  </si>
  <si>
    <t>rate</t>
  </si>
  <si>
    <t>Rate</t>
  </si>
  <si>
    <t>The quantity per unit time.</t>
  </si>
  <si>
    <t>reciprocalArea</t>
  </si>
  <si>
    <t>Reciprocal Area</t>
  </si>
  <si>
    <t>The inverse quantity of a two dimensional (square) region that is (generally) the product of length and width.</t>
  </si>
  <si>
    <t>Areal Density</t>
  </si>
  <si>
    <t>reciprocalTime</t>
  </si>
  <si>
    <t>Reciprocal Time</t>
  </si>
  <si>
    <t xml:space="preserve">The quantity of a reciprocal (inverse) time. </t>
  </si>
  <si>
    <t>solidAngle</t>
  </si>
  <si>
    <t>Solid Angle</t>
  </si>
  <si>
    <t>The quantity of an angle in three dimensions (the angle between three planes intersecting at the same point).</t>
  </si>
  <si>
    <t>soundSpeedRatio</t>
  </si>
  <si>
    <t>Sound Speed Ratio</t>
  </si>
  <si>
    <t>The quantity of the dimensionless ratio of the speed of an object to the speed of sound in the surrounding medium.</t>
  </si>
  <si>
    <t>speed</t>
  </si>
  <si>
    <t>Speed</t>
  </si>
  <si>
    <t>The quantity of a (directionless) rate of motion (change in position per unit time).</t>
  </si>
  <si>
    <t>surfaceMassDensityRate</t>
  </si>
  <si>
    <t>Surface Mass Density Rate</t>
  </si>
  <si>
    <t>The quantity of mass per unit surface area rate.</t>
  </si>
  <si>
    <t>thermodynamicTemperature</t>
  </si>
  <si>
    <t>Thermodynamic Temperature</t>
  </si>
  <si>
    <t>The quantity of internal energy that a substance contains.</t>
  </si>
  <si>
    <t>time</t>
  </si>
  <si>
    <t>Time</t>
  </si>
  <si>
    <t>The quantity by which events are compared in position and duration.</t>
  </si>
  <si>
    <t>volume</t>
  </si>
  <si>
    <t>Volume</t>
  </si>
  <si>
    <t>The quantity of a three dimensional (cubic) region that is (generally) the product of length, width, and height.</t>
  </si>
  <si>
    <t>volumeFlowRate</t>
  </si>
  <si>
    <t>Volume Flow Rate</t>
  </si>
  <si>
    <t>The quantity (volume) of fluid which passes through a given surface per unit time.</t>
  </si>
  <si>
    <t>volumeFraction</t>
  </si>
  <si>
    <t>Volume Fraction</t>
  </si>
  <si>
    <t>The quantity of the dimensionless ratio of two volumes.</t>
  </si>
  <si>
    <t>(UN Economic Commission for Europe (UNECE) Rec. 20: 'MSK')</t>
  </si>
  <si>
    <t>metrePerSecondSquare</t>
  </si>
  <si>
    <t>Metre per Second squared</t>
  </si>
  <si>
    <t>The derived unit of measurement of acceleration in the SI units system.</t>
  </si>
  <si>
    <t>acceleration_metrePerSecondSquare</t>
  </si>
  <si>
    <t>(UN Economic Commission for Europe (UNECE) Rec. 20: 'A76')</t>
  </si>
  <si>
    <t>gal</t>
  </si>
  <si>
    <t>Gal</t>
  </si>
  <si>
    <t>A conventional unit of measurement of acceleration that is 0.01 metres per second squared.</t>
  </si>
  <si>
    <t>acceleration_gal</t>
  </si>
  <si>
    <t>(UN Economic Commission for Europe (UNECE) Rec. 20: 'D88')</t>
  </si>
  <si>
    <t>milligal</t>
  </si>
  <si>
    <t>Milligal</t>
  </si>
  <si>
    <t>A conventional unit of measurement of acceleration that is one thousandth of a Gal, being 0.00001 metres per second squared.</t>
  </si>
  <si>
    <t>acceleration_milligal</t>
  </si>
  <si>
    <t>(UN Economic Commission for Europe (UNECE) Rec. 20: 'A73')</t>
  </si>
  <si>
    <t>footPerSecondSquare</t>
  </si>
  <si>
    <t>Foot per Second squared</t>
  </si>
  <si>
    <t>A conventional unit of measurement of acceleration that is 0.3408 metres per second squared.</t>
  </si>
  <si>
    <t>acceleration_footPerSecondSquare</t>
  </si>
  <si>
    <t>(UN Economic Commission for Europe (UNECE) Rec. 20: 'C34')</t>
  </si>
  <si>
    <t>mole</t>
  </si>
  <si>
    <t>Mole</t>
  </si>
  <si>
    <t>The base unit in SI for the physical quantity "amount of substance", defined as that of a system which contains as many elementary entities as there are atoms in 0.012 kilogram of carbon 12.</t>
  </si>
  <si>
    <t>Note: When the mole is used, the elementary entities must be specified and may be atoms, molecules, ions, electrons, other particles, or specified groups of such particles.</t>
  </si>
  <si>
    <t>amountOfSubstance_mole</t>
  </si>
  <si>
    <t>(UN Economic Commission for Europe (UNECE) Rec. 20: 'MTK')</t>
  </si>
  <si>
    <t>squareMetre</t>
  </si>
  <si>
    <t>Square Metre</t>
  </si>
  <si>
    <t>The derived unit of measurement of area in the SI units system.</t>
  </si>
  <si>
    <t>area_squareMetre</t>
  </si>
  <si>
    <t>(UN Economic Commission for Europe (UNECE) Rec. 20: 'KMK')</t>
  </si>
  <si>
    <t>squareKilometre</t>
  </si>
  <si>
    <t>Square Kilometre</t>
  </si>
  <si>
    <t>A conventional unit of measurement of area whose dimensions are one kilometre on each side, equal to one million square metres.</t>
  </si>
  <si>
    <t>area_squareKilometre</t>
  </si>
  <si>
    <t>(UN Economic Commission for Europe (UNECE) Rec. 20: 'HAR')</t>
  </si>
  <si>
    <t>hectare</t>
  </si>
  <si>
    <t>Hectare</t>
  </si>
  <si>
    <t>A conventional unit of measurement of area whose dimensions are one hectometre on each side, equal to ten thousand square metres.</t>
  </si>
  <si>
    <t>area_hectare</t>
  </si>
  <si>
    <t>squareDecametre</t>
  </si>
  <si>
    <t>Square Decametre</t>
  </si>
  <si>
    <t>A conventional unit of measurement of area whose dimensions are one decametre on each side, equal to one hundred square metres.</t>
  </si>
  <si>
    <t>area_squareDecametre</t>
  </si>
  <si>
    <t>(UN Economic Commission for Europe (UNECE) Rec. 20: 'DMK')</t>
  </si>
  <si>
    <t>squareDecimetre</t>
  </si>
  <si>
    <t>Square Decimetre</t>
  </si>
  <si>
    <t>A conventional unit of measurement of area whose dimensions are one decimetre on each side, equal to one hundredth of a square metre.</t>
  </si>
  <si>
    <t>area_squareDecimetre</t>
  </si>
  <si>
    <t>(UN Economic Commission for Europe (UNECE) Rec. 20: 'CMK')</t>
  </si>
  <si>
    <t>squareCentimetre</t>
  </si>
  <si>
    <t>Square Centimetre</t>
  </si>
  <si>
    <t>A conventional unit of measurement of area whose dimensions are one centimetre on each side, equal to one ten-thousandth of a square metre.</t>
  </si>
  <si>
    <t>area_squareCentimetre</t>
  </si>
  <si>
    <t>(UN Economic Commission for Europe (UNECE) Rec. 20: 'MMK')</t>
  </si>
  <si>
    <t>squareMillimetre</t>
  </si>
  <si>
    <t>Square Millimetre</t>
  </si>
  <si>
    <t>A conventional unit of measurement of area whose dimensions are one millimetre on each side, equal to one millionth of a square metre.</t>
  </si>
  <si>
    <t>area_squareMillimetre</t>
  </si>
  <si>
    <t>(UN Economic Commission for Europe (UNECE) Rec. 20: 'MIK')</t>
  </si>
  <si>
    <t>squareStatuteMile</t>
  </si>
  <si>
    <t>Square Statute Mile</t>
  </si>
  <si>
    <t>A conventional unit of measurement of area whose dimensions are one statute mile on each side, being 2,589.988 square kilometres.</t>
  </si>
  <si>
    <t>area_squareStatuteMile</t>
  </si>
  <si>
    <t>(UN Economic Commission for Europe (UNECE) Rec. 20: 'ACR')</t>
  </si>
  <si>
    <t>acre</t>
  </si>
  <si>
    <t>Acre</t>
  </si>
  <si>
    <t>A conventional unit of measurement of area equal to 4,840 square yards, being 4,046.856 square metres.</t>
  </si>
  <si>
    <t>area_acre</t>
  </si>
  <si>
    <t>(UN Economic Commission for Europe (UNECE) Rec. 20: 'YDK')</t>
  </si>
  <si>
    <t>squareYard</t>
  </si>
  <si>
    <t>Square Yard</t>
  </si>
  <si>
    <t>A conventional unit of measurement of area whose dimensions are one yard on each side, being 0.83612736 square metres.</t>
  </si>
  <si>
    <t>area_squareYard</t>
  </si>
  <si>
    <t>(UN Economic Commission for Europe (UNECE) Rec. 20: 'FTK')</t>
  </si>
  <si>
    <t>squareFoot</t>
  </si>
  <si>
    <t>Square Foot</t>
  </si>
  <si>
    <t>A conventional unit of measurement of area whose dimensions are one foot on each side, being 0.09290304 square metres.</t>
  </si>
  <si>
    <t>area_squareFoot</t>
  </si>
  <si>
    <t>(UN Economic Commission for Europe (UNECE) Rec. 20: 'INK')</t>
  </si>
  <si>
    <t>squareInch</t>
  </si>
  <si>
    <t>Square Inch</t>
  </si>
  <si>
    <t>A conventional unit of measurement of area whose dimensions are one inch on each side, being 0.00064516 square metres.</t>
  </si>
  <si>
    <t>area_squareInch</t>
  </si>
  <si>
    <t>(UN Economic Commission for Europe (UNECE) Rec. 20: 'FAR')</t>
  </si>
  <si>
    <t>farad</t>
  </si>
  <si>
    <t>Farad</t>
  </si>
  <si>
    <t>The derived unit of measurement of capacitance in the SI units system; one farad is the amount of electric charge delivered by one ampere in one second.</t>
  </si>
  <si>
    <t>capacitance_farad</t>
  </si>
  <si>
    <t>(UN Economic Commission for Europe (UNECE) Rec. 20: '4O')</t>
  </si>
  <si>
    <t>microfarad</t>
  </si>
  <si>
    <t>Microfarad</t>
  </si>
  <si>
    <t>A conventional unit of measurement of electric charge equal to one millionth of a farad.</t>
  </si>
  <si>
    <t>capacitance_microfarad</t>
  </si>
  <si>
    <t>(UN Economic Commission for Europe (UNECE) Rec. 20: 'C41')</t>
  </si>
  <si>
    <t>nanofarad</t>
  </si>
  <si>
    <t>Nanofarad</t>
  </si>
  <si>
    <t>A conventional unit of measurement of electric charge equal to one billionth of a farad.</t>
  </si>
  <si>
    <t>capacitance_nanofarad</t>
  </si>
  <si>
    <t>(UN Economic Commission for Europe (UNECE) Rec. 20: '4T')</t>
  </si>
  <si>
    <t>picofarad</t>
  </si>
  <si>
    <t>Picofarad</t>
  </si>
  <si>
    <t>A conventional unit of measurement of electric charge equal to one trillionth of a farad.</t>
  </si>
  <si>
    <t>capacitance_picofarad</t>
  </si>
  <si>
    <t>(UN Economic Commission for Europe (UNECE) Rec. 20: 'COU')</t>
  </si>
  <si>
    <t>coulomb</t>
  </si>
  <si>
    <t>Coulomb</t>
  </si>
  <si>
    <t>The derived unit of measurement of electric charge in the SI units system; one coulomb is the amount of electric charge transported in one second by a steady current of one ampere.</t>
  </si>
  <si>
    <t>electricCharge_coulomb</t>
  </si>
  <si>
    <t>(UN Economic Commission for Europe (UNECE) Rec. 20: 'D86')</t>
  </si>
  <si>
    <t>millicoulomb</t>
  </si>
  <si>
    <t>Millicoulomb</t>
  </si>
  <si>
    <t>A conventional unit of measurement of electric charge equal to one thousandth of a coulomb.</t>
  </si>
  <si>
    <t>electricCharge_millicoulomb</t>
  </si>
  <si>
    <t>(UN Economic Commission for Europe (UNECE) Rec. 20: 'B86')</t>
  </si>
  <si>
    <t>microcoulomb</t>
  </si>
  <si>
    <t>Microcoulomb</t>
  </si>
  <si>
    <t>A conventional unit of measurement of electric charge equal to one millionth of a coulomb.</t>
  </si>
  <si>
    <t>electricCharge_microcoulomb</t>
  </si>
  <si>
    <t>(UN Economic Commission for Europe (UNECE) Rec. 20: 'C40')</t>
  </si>
  <si>
    <t>nanocoulomb</t>
  </si>
  <si>
    <t>Nanocoulomb</t>
  </si>
  <si>
    <t>A conventional unit of measurement of electric charge equal to one billionth of a coulomb.</t>
  </si>
  <si>
    <t>electricCharge_nanocoulomb</t>
  </si>
  <si>
    <t>(UN Economic Commission for Europe (UNECE) Rec. 20: 'SIE')</t>
  </si>
  <si>
    <t>siemens</t>
  </si>
  <si>
    <t>Siemens</t>
  </si>
  <si>
    <t>The derived unit of measurement of electric conductance in the SI units system; one siemens is equal to the reciprocal of one ohm.</t>
  </si>
  <si>
    <t>Mho</t>
  </si>
  <si>
    <t>electricConductance_siemens</t>
  </si>
  <si>
    <t>(UN Economic Commission for Europe (UNECE) Rec. 20: 'C27')</t>
  </si>
  <si>
    <t>millisiemens</t>
  </si>
  <si>
    <t>Millisiemens</t>
  </si>
  <si>
    <t>A conventional unit of measurement of electric conductance equal to one thousandth of a siemens.</t>
  </si>
  <si>
    <t>electricConductance_millisiemens</t>
  </si>
  <si>
    <t>(UN Economic Commission for Europe (UNECE) Rec. 20: 'B99')</t>
  </si>
  <si>
    <t>microsiemens</t>
  </si>
  <si>
    <t>Microsiemens</t>
  </si>
  <si>
    <t>A conventional unit of measurement of electric conductance equal to one millionth of a siemens.</t>
  </si>
  <si>
    <t>electricConductance_microsiemens</t>
  </si>
  <si>
    <t>siemensPerCentimetre</t>
  </si>
  <si>
    <t>Siemens per Centimetre</t>
  </si>
  <si>
    <t>A conventional unit of measurement of electric conductivity equal to one hundred siemens per metre.</t>
  </si>
  <si>
    <t>Reciprocal Ohm per Centimetre</t>
  </si>
  <si>
    <t>electricConductivity_siemensPerCentimetre</t>
  </si>
  <si>
    <t>siemensPerMetre</t>
  </si>
  <si>
    <t>Siemens per Metre</t>
  </si>
  <si>
    <t>The derived unit of measurement of electric conductivity in the SI units system; one siemens per metre is equal to the reciprocal of one ohm metre.</t>
  </si>
  <si>
    <t>Reciprocal Ohm per Metre</t>
  </si>
  <si>
    <t>electricConductivity_siemensPerMetre</t>
  </si>
  <si>
    <t>microsiemensPerCentimetre</t>
  </si>
  <si>
    <t>Microsiemens per Centimetre</t>
  </si>
  <si>
    <t>A conventional unit of measurement of electric conductivity equal to one ten-thousandth of a siemens per metre.</t>
  </si>
  <si>
    <t>electricConductivity_microsiemensPerCentimetre</t>
  </si>
  <si>
    <t>microsiemensPerMetre</t>
  </si>
  <si>
    <t>Microsiemens per Metre</t>
  </si>
  <si>
    <t>A conventional unit of measurement of electric conductivity equal to one millionth of a siemens per metre.</t>
  </si>
  <si>
    <t>electricConductivity_microsiemensPerMetre</t>
  </si>
  <si>
    <t>siemensPerInch</t>
  </si>
  <si>
    <t>Siemens per Inch</t>
  </si>
  <si>
    <t>A conventional unit of measurement of electric conductivity equal to 39.3701 siemens per metre.</t>
  </si>
  <si>
    <t>electricConductivity_siemensPerInch</t>
  </si>
  <si>
    <t>siemensPerFoot</t>
  </si>
  <si>
    <t>Siemens per Foot</t>
  </si>
  <si>
    <t>A conventional unit of measurement of electric conductivity equal to 3.28084 siemens per metre.</t>
  </si>
  <si>
    <t>electricConductivity_siemensPerFoot</t>
  </si>
  <si>
    <t>microsiemensPerInch</t>
  </si>
  <si>
    <t>Microsiemens per Inch</t>
  </si>
  <si>
    <t>A conventional unit of measurement of electric conductivity equal to 0.0000393701 siemens per metre.</t>
  </si>
  <si>
    <t>electricConductivity_microsiemensPerInch</t>
  </si>
  <si>
    <t>microsiemensPerFoot</t>
  </si>
  <si>
    <t>Microsiemens per Foot</t>
  </si>
  <si>
    <t>A conventional unit of measurement of electric conductivity equal to 0.00000328084 siemens per metre.</t>
  </si>
  <si>
    <t>electricConductivity_microsiemensPerFoot</t>
  </si>
  <si>
    <t>(UN Economic Commission for Europe (UNECE) Rec. 20: 'B22')</t>
  </si>
  <si>
    <t>kiloampere</t>
  </si>
  <si>
    <t>Kiloampere</t>
  </si>
  <si>
    <t>A conventional unit of measurement of electric current equal to 1000 amperes.</t>
  </si>
  <si>
    <t>electricCurrent_kiloampere</t>
  </si>
  <si>
    <t>(UN Economic Commission for Europe (UNECE) Rec. 20: 'AMP')</t>
  </si>
  <si>
    <t>ampere</t>
  </si>
  <si>
    <t>Ampere</t>
  </si>
  <si>
    <t>The base unit in SI for the physical quantity "electric current", defined as that constant current which, if maintained in two straight parallel conductors of infinite length, of negligible circular cross-section, and placed 1 metre apart in vacuum, would produce between these conductors a force equal to 2 x 10-7 newton per metre of length.</t>
  </si>
  <si>
    <t>electricCurrent_ampere</t>
  </si>
  <si>
    <t>(UN Economic Commission for Europe (UNECE) Rec. 20: '4K')</t>
  </si>
  <si>
    <t>milliampere</t>
  </si>
  <si>
    <t>Milliampere</t>
  </si>
  <si>
    <t>A conventional unit of measurement of electric current equal to 0.001 amperes.</t>
  </si>
  <si>
    <t>electricCurrent_milliampere</t>
  </si>
  <si>
    <t>(UN Economic Commission for Europe (UNECE) Rec. 20: 'B84')</t>
  </si>
  <si>
    <t>microampere</t>
  </si>
  <si>
    <t>Microampere</t>
  </si>
  <si>
    <t>A conventional unit of measurement of electric current equal to 0.000001 amperes.</t>
  </si>
  <si>
    <t>electricCurrent_microampere</t>
  </si>
  <si>
    <t>(UN Economic Commission for Europe (UNECE) Rec. 20: 'B75')</t>
  </si>
  <si>
    <t>megaohm</t>
  </si>
  <si>
    <t>Megaohm</t>
  </si>
  <si>
    <t>A conventional unit of measurement of electric resistance equal to 1,000,000.0 ohms.</t>
  </si>
  <si>
    <t>electricResistance_megaohm</t>
  </si>
  <si>
    <t>(UN Economic Commission for Europe (UNECE) Rec. 20: 'B49')</t>
  </si>
  <si>
    <t>kilohm</t>
  </si>
  <si>
    <t>Kilohm</t>
  </si>
  <si>
    <t>A conventional unit of measurement of electric resistance equal to 1,000.0 ohms.</t>
  </si>
  <si>
    <t>electricResistance_kilohm</t>
  </si>
  <si>
    <t>(UN Economic Commission for Europe (UNECE) Rec. 20: 'OHM')</t>
  </si>
  <si>
    <t>ohm</t>
  </si>
  <si>
    <t>Ohm</t>
  </si>
  <si>
    <t>The derived unit of measurement of electric resistance in the SI units system; the resistance between two points of a conductor when a constant potential difference of 1 volt produces in the conductor a current of 1 ampere.</t>
  </si>
  <si>
    <t>electricResistance_ohm</t>
  </si>
  <si>
    <t>ohmMetre</t>
  </si>
  <si>
    <t>Ohm Metre</t>
  </si>
  <si>
    <t>The derived unit of measurement of electric resistivity in the SI units system; one ohm metre is equal to the reciprocal of one siemens per metre.</t>
  </si>
  <si>
    <t>electricResistivity_ohmMetre</t>
  </si>
  <si>
    <t>ohmCentimetre</t>
  </si>
  <si>
    <t>Ohm Centimetre</t>
  </si>
  <si>
    <t>A conventional unit of measurement of electric resistivity equal to one hundredth of an ohm metre.</t>
  </si>
  <si>
    <t>electricResistivity_ohmCentimetre</t>
  </si>
  <si>
    <t xml:space="preserve">ohmFoot </t>
  </si>
  <si>
    <t xml:space="preserve">Ohm Foot </t>
  </si>
  <si>
    <t>A conventional unit of measurement of electric resistivity equal to 0.3048 ohm metres.</t>
  </si>
  <si>
    <t xml:space="preserve">electricResistivity_ohmFoot </t>
  </si>
  <si>
    <t xml:space="preserve">ohmInch </t>
  </si>
  <si>
    <t xml:space="preserve">Ohm Inch </t>
  </si>
  <si>
    <t>A conventional unit of measurement of electric resistivity equal to 0.0254 ohm metres.</t>
  </si>
  <si>
    <t xml:space="preserve">electricResistivity_ohmInch </t>
  </si>
  <si>
    <t>(UN Economic Commission for Europe (UNECE) Rec. 20: 'KVT')</t>
  </si>
  <si>
    <t>kilovolt</t>
  </si>
  <si>
    <t>Kilovolt</t>
  </si>
  <si>
    <t>A conventional unit of measurement of electromotive force equal to one thousand volts.</t>
  </si>
  <si>
    <t>electromotiveForce_kilovolt</t>
  </si>
  <si>
    <t>(UN Economic Commission for Europe (UNECE) Rec. 20: 'VLT')</t>
  </si>
  <si>
    <t>volt</t>
  </si>
  <si>
    <t>Volt</t>
  </si>
  <si>
    <t>The derived unit of measurement of electromotive force in the SI units system.</t>
  </si>
  <si>
    <t>electromotiveForce_volt</t>
  </si>
  <si>
    <t>(UN Economic Commission for Europe (UNECE) Rec. 20: 'C29')</t>
  </si>
  <si>
    <t>millivolt</t>
  </si>
  <si>
    <t>Millivolt</t>
  </si>
  <si>
    <t>A conventional unit of measurement of electromotive force equal to one thousandth of a volt.</t>
  </si>
  <si>
    <t>electromotiveForce_millivolt</t>
  </si>
  <si>
    <t>(UN Economic Commission for Europe (UNECE) Rec. 20: 'D82')</t>
  </si>
  <si>
    <t>microvolt</t>
  </si>
  <si>
    <t>Microvolt</t>
  </si>
  <si>
    <t>A conventional unit of measurement of electromotive force equal to one millionth of a volt.</t>
  </si>
  <si>
    <t>electromotiveForce_microvolt</t>
  </si>
  <si>
    <t>(UN Economic Commission for Europe (UNECE) Rec. 20: 'KJO')</t>
  </si>
  <si>
    <t>kilojoule</t>
  </si>
  <si>
    <t>Kilojoule</t>
  </si>
  <si>
    <t>A conventional unit of measurement of energy and work equal to one thousand Joules.</t>
  </si>
  <si>
    <t>energy_kilojoule</t>
  </si>
  <si>
    <t>(UN Economic Commission for Europe (UNECE) Rec. 20: 'JOU')</t>
  </si>
  <si>
    <t>joule</t>
  </si>
  <si>
    <t>Joule</t>
  </si>
  <si>
    <t>The derived unit of measurement of energy and work in the SI units system.</t>
  </si>
  <si>
    <t>energy_joule</t>
  </si>
  <si>
    <t>(UN Economic Commission for Europe (UNECE) Rec. 20: 'A57')</t>
  </si>
  <si>
    <t>erg</t>
  </si>
  <si>
    <t>Erg</t>
  </si>
  <si>
    <t>A conventional unit of measurement of energy and work equal to one ten-millionth of a Joule.</t>
  </si>
  <si>
    <t>energy_erg</t>
  </si>
  <si>
    <t>(UN Economic Commission for Europe (UNECE) Rec. 20: 'D35')</t>
  </si>
  <si>
    <t>thermochemicalCalorie</t>
  </si>
  <si>
    <t>Thermochemical Calorie</t>
  </si>
  <si>
    <t>A conventional unit of measurement of energy and work equal to 4.184 Joules (and different than the International Table calorie).</t>
  </si>
  <si>
    <t>energy_thermochemicalCalorie</t>
  </si>
  <si>
    <t>(UN Economic Commission for Europe (UNECE) Rec. 20: 'A53')</t>
  </si>
  <si>
    <t>electronVolt</t>
  </si>
  <si>
    <t>Electron Volt</t>
  </si>
  <si>
    <t>A conventional unit of measurement of energy that is experimentally determined to be the kinetic energy acquired by an electron in passing through a potential difference of 1 volt in a vacuum, approximately 1.602177e-19 Joules.</t>
  </si>
  <si>
    <t>energy_electronVolt</t>
  </si>
  <si>
    <t>(UN Economic Commission for Europe (UNECE) Rec. 20: 'B38')</t>
  </si>
  <si>
    <t>kilogramForceMetre</t>
  </si>
  <si>
    <t>Kilogram-force Metre</t>
  </si>
  <si>
    <t>A conventional unit of measurement of energy and work equal to 9.80665 Joules.</t>
  </si>
  <si>
    <t>energy_kilogramForceMetre</t>
  </si>
  <si>
    <t>(UN Economic Commission for Europe (UNECE) Rec. 20: '85')</t>
  </si>
  <si>
    <t>footPoundForce</t>
  </si>
  <si>
    <t>Foot Pound-force</t>
  </si>
  <si>
    <t>A conventional unit of measurement of energy and work equal to 1.355818 Joules.</t>
  </si>
  <si>
    <t>energy_footPoundForce</t>
  </si>
  <si>
    <t>(UN Economic Commission for Europe (UNECE) Rec. 20: 'MWH')</t>
  </si>
  <si>
    <t>megawattHour</t>
  </si>
  <si>
    <t>Megawatt Hour</t>
  </si>
  <si>
    <t>A conventional unit of measurement of energy in electrical systems equal to 3,600,000,000 Joules.</t>
  </si>
  <si>
    <t>energy_megawattHour</t>
  </si>
  <si>
    <t>(UN Economic Commission for Europe (UNECE) Rec. 20: 'KWH')</t>
  </si>
  <si>
    <t>kilowattHour</t>
  </si>
  <si>
    <t>Kilowatt Hour</t>
  </si>
  <si>
    <t>A conventional unit of measurement of energy in electrical systems equal to 3,600,000 Joules.</t>
  </si>
  <si>
    <t>energy_kilowattHour</t>
  </si>
  <si>
    <t>(UN Economic Commission for Europe (UNECE) Rec. 20: 'WHR')</t>
  </si>
  <si>
    <t>wattHour</t>
  </si>
  <si>
    <t>Watt Hour</t>
  </si>
  <si>
    <t>A conventional unit of measurement of energy in electrical systems equal to 3600 Joules.</t>
  </si>
  <si>
    <t>energy_wattHour</t>
  </si>
  <si>
    <t>kilopoundForce</t>
  </si>
  <si>
    <t>Kilopound (force)</t>
  </si>
  <si>
    <t>A conventional unit of measurement of force equal to 1,000 pounds-force (4,448.222 Newtons).</t>
  </si>
  <si>
    <t>Kilopound-force</t>
  </si>
  <si>
    <t>force_kilopoundForce</t>
  </si>
  <si>
    <t>(UN Economic Commission for Europe (UNECE) Rec. 20: 'B37')</t>
  </si>
  <si>
    <t>kilogramForce</t>
  </si>
  <si>
    <t>Kilogram (force)</t>
  </si>
  <si>
    <t>A conventional unit of measurement of force equal to 9.80665 Newtons.</t>
  </si>
  <si>
    <t>Kilogram-force</t>
  </si>
  <si>
    <t>force_kilogramForce</t>
  </si>
  <si>
    <t>(UN Economic Commission for Europe (UNECE) Rec. 20: 'C78')</t>
  </si>
  <si>
    <t>poundForce</t>
  </si>
  <si>
    <t>Pound (force)</t>
  </si>
  <si>
    <t>A conventional unit of measurement of force equal to 4.448222 Newtons.</t>
  </si>
  <si>
    <t>Pound-force</t>
  </si>
  <si>
    <t>force_poundForce</t>
  </si>
  <si>
    <t>(UN Economic Commission for Europe (UNECE) Rec. 20: 'NEW')</t>
  </si>
  <si>
    <t>newton</t>
  </si>
  <si>
    <t>Newton</t>
  </si>
  <si>
    <t>The derived unit of measurement of force in the SI units system; it is equal to the amount of force required to accelerate a mass of one kilogram at a rate of one metre per second per second.</t>
  </si>
  <si>
    <t>force_newton</t>
  </si>
  <si>
    <t>(UN Economic Commission for Europe (UNECE) Rec. 20: 'DU')</t>
  </si>
  <si>
    <t>dyne</t>
  </si>
  <si>
    <t>Dyne</t>
  </si>
  <si>
    <t>A conventional unit of measurement of force equal to ten millionths of a Newton.</t>
  </si>
  <si>
    <t>force_dyne</t>
  </si>
  <si>
    <t>(UN Economic Commission for Europe (UNECE) Rec. 20: 'A86')</t>
  </si>
  <si>
    <t>gigahertz</t>
  </si>
  <si>
    <t>Gigahertz</t>
  </si>
  <si>
    <t>A conventional unit of measurement of frequency equal to one billion hertz.</t>
  </si>
  <si>
    <t>frequency_gigahertz</t>
  </si>
  <si>
    <t>(UN Economic Commission for Europe (UNECE) Rec. 20: 'MHZ')</t>
  </si>
  <si>
    <t>megahertz</t>
  </si>
  <si>
    <t>Megahertz</t>
  </si>
  <si>
    <t>A conventional unit of measurement of frequency equal to one million hertz.</t>
  </si>
  <si>
    <t>frequency_megahertz</t>
  </si>
  <si>
    <t>(UN Economic Commission for Europe (UNECE) Rec. 20: 'KHZ')</t>
  </si>
  <si>
    <t>kilohertz</t>
  </si>
  <si>
    <t>Kilohertz</t>
  </si>
  <si>
    <t>A conventional unit of measurement of frequency equal to one thousand hertz.</t>
  </si>
  <si>
    <t>frequency_kilohertz</t>
  </si>
  <si>
    <t>(UN Economic Commission for Europe (UNECE) Rec. 20: 'HTZ')</t>
  </si>
  <si>
    <t>hertz</t>
  </si>
  <si>
    <t>Hertz</t>
  </si>
  <si>
    <t>The derived unit of measurement of frequency in the SI units system.</t>
  </si>
  <si>
    <t>frequency_hertz</t>
  </si>
  <si>
    <t>geopotentialMetre</t>
  </si>
  <si>
    <t>Geopotential Metre</t>
  </si>
  <si>
    <t>A practical unit of specific energy that is based on geopotential where the height is proportional to the potential energy of a unit mass at that level, relative to the geoid.</t>
  </si>
  <si>
    <t>At the poles 1.0 gpm ~= 1.00258 metre, whereas at the equator 1.0 gpm ~=.99738 metre.</t>
  </si>
  <si>
    <t>geopotentialEnergyLength_geopotentialMetre</t>
  </si>
  <si>
    <t>(UN Economic Commission for Europe (UNECE) Rec. 20: 'LUX')</t>
  </si>
  <si>
    <t>lux</t>
  </si>
  <si>
    <t>Lux</t>
  </si>
  <si>
    <t>The derived unit of measurement of illuminance in the SI units system; one lux is equal to one lumen per square metre.</t>
  </si>
  <si>
    <t>illuminance_lux</t>
  </si>
  <si>
    <t>kilolux</t>
  </si>
  <si>
    <t>Kilolux</t>
  </si>
  <si>
    <t>A conventional unit of measurement of illuminance equal to 1,000.0 lux.</t>
  </si>
  <si>
    <t>illuminance_kilolux</t>
  </si>
  <si>
    <t>millilux</t>
  </si>
  <si>
    <t>Millilux</t>
  </si>
  <si>
    <t>A conventional unit of measurement of illuminance equal to 0.001 lux.</t>
  </si>
  <si>
    <t>illuminance_millilux</t>
  </si>
  <si>
    <t>(UN Economic Commission for Europe (UNECE) Rec. 20: '81')</t>
  </si>
  <si>
    <t>henry</t>
  </si>
  <si>
    <t>Henry</t>
  </si>
  <si>
    <t>The derived unit of measurement of inductance in the SI units system.</t>
  </si>
  <si>
    <t>inductance_henry</t>
  </si>
  <si>
    <t>(UN Economic Commission for Europe (UNECE) Rec. 20: 'B90')</t>
  </si>
  <si>
    <t>microhenry</t>
  </si>
  <si>
    <t>Microhenry</t>
  </si>
  <si>
    <t>A conventional unit of measurement of inductance that is one millionth of a henry.</t>
  </si>
  <si>
    <t>inductance_microhenry</t>
  </si>
  <si>
    <t>(UN Economic Commission for Europe (UNECE) Rec. 20: 'D54')</t>
  </si>
  <si>
    <t>wattPerSquareMetre</t>
  </si>
  <si>
    <t>Watt per square Metre</t>
  </si>
  <si>
    <t>The derived unit of measurement of irradiance (area power density) in the SI units system.</t>
  </si>
  <si>
    <t>irradiance_wattPerSquareMetre</t>
  </si>
  <si>
    <t>(UN Economic Commission for Europe (UNECE) Rec. 20: 'A65')</t>
  </si>
  <si>
    <t>ergsPerSqCmPerSecond</t>
  </si>
  <si>
    <t>Ergs per square Centimetre per Second</t>
  </si>
  <si>
    <t>A conventional unit of measurement of rradiance (area power density) equal to ten trillionths of a watt per square metre.</t>
  </si>
  <si>
    <t>irradiance_ergsPerSqCmPerSecond</t>
  </si>
  <si>
    <t>(UN Economic Commission for Europe (UNECE) Rec. 20: 'MTR')</t>
  </si>
  <si>
    <t>metre</t>
  </si>
  <si>
    <t>Metre</t>
  </si>
  <si>
    <t>The base unit in SI for the physical quantity "length", defined as the length of the path travelled by light in vacuum during a time interval of 1/299,792,458 of a second.</t>
  </si>
  <si>
    <t>length_metre</t>
  </si>
  <si>
    <t>hectokilometre</t>
  </si>
  <si>
    <t>Hectokilometre</t>
  </si>
  <si>
    <t>A conventional unit of measurement of length equal to 100,000.0 metres.</t>
  </si>
  <si>
    <t>length_hectokilometre</t>
  </si>
  <si>
    <t>decakilometre</t>
  </si>
  <si>
    <t>Decakilometre</t>
  </si>
  <si>
    <t>A conventional unit of measurement of length equal to 10,000.0 metres.</t>
  </si>
  <si>
    <t>length_decakilometre</t>
  </si>
  <si>
    <t>(UN Economic Commission for Europe (UNECE) Rec. 20: 'KMT')</t>
  </si>
  <si>
    <t>kilometre</t>
  </si>
  <si>
    <t>Kilometre</t>
  </si>
  <si>
    <t>A conventional unit of measurement of length equal to 1,000.0 metres.</t>
  </si>
  <si>
    <t>length_kilometre</t>
  </si>
  <si>
    <t>(UN Economic Commission for Europe (UNECE) Rec. 20: 'HMT')</t>
  </si>
  <si>
    <t>hectometre</t>
  </si>
  <si>
    <t>Hectometre</t>
  </si>
  <si>
    <t>A conventional unit of measurement of length equal to 100.0 metres</t>
  </si>
  <si>
    <t>length_hectometre</t>
  </si>
  <si>
    <t>halfHectometre</t>
  </si>
  <si>
    <t>Half-hectometre</t>
  </si>
  <si>
    <t>A conventional unit of measurement of length equal to 50.0 metres.</t>
  </si>
  <si>
    <t>length_halfHectometre</t>
  </si>
  <si>
    <t>(UN Economic Commission for Europe (UNECE) Rec. 20: 'A45')</t>
  </si>
  <si>
    <t>decametre</t>
  </si>
  <si>
    <t>Decametre</t>
  </si>
  <si>
    <t>A conventional unit of measurement of length equal to 10.0 metres.</t>
  </si>
  <si>
    <t>length_decametre</t>
  </si>
  <si>
    <t>halfMetre</t>
  </si>
  <si>
    <t>Half-metre</t>
  </si>
  <si>
    <t>A conventional unit of measurement of length equal to 0.5 metres.</t>
  </si>
  <si>
    <t>length_halfMetre</t>
  </si>
  <si>
    <t>(UN Economic Commission for Europe (UNECE) Rec. 20: 'DMT')</t>
  </si>
  <si>
    <t>decimetre</t>
  </si>
  <si>
    <t>Decimetre</t>
  </si>
  <si>
    <t>A conventional unit of measurement of length equal to 0.1 metres.</t>
  </si>
  <si>
    <t>length_decimetre</t>
  </si>
  <si>
    <t>(UN Economic Commission for Europe (UNECE) Rec. 20: 'CMT')</t>
  </si>
  <si>
    <t>centimetre</t>
  </si>
  <si>
    <t>Centimetre</t>
  </si>
  <si>
    <t>A conventional unit of measurement of length equal to 0.01 metres.</t>
  </si>
  <si>
    <t>length_centimetre</t>
  </si>
  <si>
    <t>(UN Economic Commission for Europe (UNECE) Rec. 20: 'MMT')</t>
  </si>
  <si>
    <t>millimetre</t>
  </si>
  <si>
    <t>Millimetre</t>
  </si>
  <si>
    <t>A conventional unit of measurement of length equal to 0.001 metres.</t>
  </si>
  <si>
    <t>length_millimetre</t>
  </si>
  <si>
    <t>(UN Economic Commission for Europe (UNECE) Rec. 20: '4H')</t>
  </si>
  <si>
    <t>micrometre</t>
  </si>
  <si>
    <t>Micrometre</t>
  </si>
  <si>
    <t>A conventional unit of measurement of length equal to 0.000001 metres.</t>
  </si>
  <si>
    <t>length_micrometre</t>
  </si>
  <si>
    <t>(UN Economic Commission for Europe (UNECE) Rec. 20: 'C45')</t>
  </si>
  <si>
    <t>nanometre</t>
  </si>
  <si>
    <t>Nanometre</t>
  </si>
  <si>
    <t>A conventional unit of measurement of length equal to 0.000000001 metres.</t>
  </si>
  <si>
    <t>length_nanometre</t>
  </si>
  <si>
    <t>(UN Economic Commission for Europe (UNECE) Rec. 20: 'C52')</t>
  </si>
  <si>
    <t>picometre</t>
  </si>
  <si>
    <t>Picometre</t>
  </si>
  <si>
    <t>A conventional unit of measurement of length equal to 0.000000000001 metres.</t>
  </si>
  <si>
    <t>length_picometre</t>
  </si>
  <si>
    <t>(UN Economic Commission for Europe (UNECE) Rec. 20: 'NMI')</t>
  </si>
  <si>
    <t>nauticalMile</t>
  </si>
  <si>
    <t>Nautical Mile</t>
  </si>
  <si>
    <t>A conventional unit of measurement of length equal to 1,852.0 metres.</t>
  </si>
  <si>
    <t>length_nauticalMile</t>
  </si>
  <si>
    <t>deciNauticalMile</t>
  </si>
  <si>
    <t>Deci-nautical Mile</t>
  </si>
  <si>
    <t>A conventional unit of measurement of length equal to one tenth of a nautical mile or 185.2 metres.</t>
  </si>
  <si>
    <t>length_deciNauticalMile</t>
  </si>
  <si>
    <t>(UN Economic Commission for Europe (UNECE) Rec. 20: 'SMI')</t>
  </si>
  <si>
    <t>statuteMile</t>
  </si>
  <si>
    <t>Statute Mile</t>
  </si>
  <si>
    <t>A conventional unit of measurement of length equal to 5,280 feet (1,609.344 metres).</t>
  </si>
  <si>
    <t>length_statuteMile</t>
  </si>
  <si>
    <t>dataMile</t>
  </si>
  <si>
    <t>Data Mile</t>
  </si>
  <si>
    <t>A conventional unit of measurement of length equal to 6,000 feet (1,828.8 metres).</t>
  </si>
  <si>
    <t>Used in the Joint Tactical Information Distribution System (JTIDS) and Variable Message Format (VMF).</t>
  </si>
  <si>
    <t>length_dataMile</t>
  </si>
  <si>
    <t>kiloyard</t>
  </si>
  <si>
    <t>Kiloyard</t>
  </si>
  <si>
    <t>A conventional unit of measurement of length equal to 1000 yards (914.4 metres)</t>
  </si>
  <si>
    <t>length_kiloyard</t>
  </si>
  <si>
    <t>kilofoot</t>
  </si>
  <si>
    <t>Kilofoot</t>
  </si>
  <si>
    <t>A conventional unit of measurement of length equal to 1000 feet (304.8 metres).</t>
  </si>
  <si>
    <t>length_kilofoot</t>
  </si>
  <si>
    <t>hectofoot</t>
  </si>
  <si>
    <t>Hectofoot</t>
  </si>
  <si>
    <t>A conventional unit of measurement of length equal to 100 feet (30.48 metres).</t>
  </si>
  <si>
    <t>length_hectofoot</t>
  </si>
  <si>
    <t>decafoot</t>
  </si>
  <si>
    <t>Decafoot</t>
  </si>
  <si>
    <t>A conventional unit of measurement of length equal to 10 feet (3.048 metres).</t>
  </si>
  <si>
    <t>length_decafoot</t>
  </si>
  <si>
    <t>(UN Economic Commission for Europe (UNECE) Rec. 20: 'YRD')</t>
  </si>
  <si>
    <t>yard</t>
  </si>
  <si>
    <t>Yard</t>
  </si>
  <si>
    <t>A conventional unit of measurement of length equal to 0.9144 metres.</t>
  </si>
  <si>
    <t>length_yard</t>
  </si>
  <si>
    <t>(UN Economic Commission for Europe (UNECE) Rec. 20: 'FOT')</t>
  </si>
  <si>
    <t>foot</t>
  </si>
  <si>
    <t>Foot</t>
  </si>
  <si>
    <t>A conventional unit of measurement of length equal to 0.3048 metres.</t>
  </si>
  <si>
    <t>length_foot</t>
  </si>
  <si>
    <t>halfFoot</t>
  </si>
  <si>
    <t>Half-foot</t>
  </si>
  <si>
    <t>A conventional unit of measurement of length equal to one half of a foot (0.1524 metres).</t>
  </si>
  <si>
    <t>length_halfFoot</t>
  </si>
  <si>
    <t>decifoot</t>
  </si>
  <si>
    <t>Decifoot</t>
  </si>
  <si>
    <t>A conventional unit of measurement of length equal to one tenth of a foot (0.03048 metres).</t>
  </si>
  <si>
    <t>length_decifoot</t>
  </si>
  <si>
    <t>(UN Economic Commission for Europe (UNECE) Rec. 20: 'INH')</t>
  </si>
  <si>
    <t>inch</t>
  </si>
  <si>
    <t>Inch</t>
  </si>
  <si>
    <t>A conventional unit of measurement of length equal to 0.0254 metres.</t>
  </si>
  <si>
    <t>length_inch</t>
  </si>
  <si>
    <t>(UN Economic Commission for Europe (UNECE) Rec. 20: 'AK')</t>
  </si>
  <si>
    <t>fathom</t>
  </si>
  <si>
    <t>Fathom</t>
  </si>
  <si>
    <t>A conventional unit of measurement of length equal to 6 feet (1.8288 metres).</t>
  </si>
  <si>
    <t>length_fathom</t>
  </si>
  <si>
    <t>usSurveyMile</t>
  </si>
  <si>
    <t>U.S. Survey Mile</t>
  </si>
  <si>
    <t>A conventional unit of measurement of length equal to 5,280 U.S. Survey Feet (1,609.347 metres).</t>
  </si>
  <si>
    <t>length_usSurveyMile</t>
  </si>
  <si>
    <t>usSurveyFoot</t>
  </si>
  <si>
    <t>U.S. Survey Foot</t>
  </si>
  <si>
    <t>A conventional unit of measurement of length equal to 0.3048006 metres.</t>
  </si>
  <si>
    <t>Set by the U.S. Coast and Geodetic Survey as exactly 1200/3937 metres.</t>
  </si>
  <si>
    <t>length_usSurveyFoot</t>
  </si>
  <si>
    <t>(UN Economic Commission for Europe (UNECE) Rec. 20: 'A12')</t>
  </si>
  <si>
    <t>astronomicUnit</t>
  </si>
  <si>
    <t>Astronomic Unit</t>
  </si>
  <si>
    <t>A conventional unit of measurement of length equal to 1.4959787 x 10^11 metres.</t>
  </si>
  <si>
    <t>length_astronomicUnit</t>
  </si>
  <si>
    <t>metrePerSquareMetre</t>
  </si>
  <si>
    <t>Metre per square Metre</t>
  </si>
  <si>
    <t>The derived unit of measurement of linear density in the SI units system.</t>
  </si>
  <si>
    <t>linearDensity_metrePerSquareMetre</t>
  </si>
  <si>
    <t>kilometrePerSquareKilometre</t>
  </si>
  <si>
    <t>Kilometre per square Kilometre</t>
  </si>
  <si>
    <t>A conventional unit of measurement of linear density equal to one thousandth of a metre per square metre.</t>
  </si>
  <si>
    <t>linearDensity_kilometrePerSquareKilometre</t>
  </si>
  <si>
    <t>(UN Economic Commission for Europe (UNECE) Rec. 20: 'B12')</t>
  </si>
  <si>
    <t>joulePerMetre</t>
  </si>
  <si>
    <t>Joule per Metre</t>
  </si>
  <si>
    <t>The derived unit of measurement of linear energy transfer in the SI units system.</t>
  </si>
  <si>
    <t>linearEnergyTransfer_joulePerMetre</t>
  </si>
  <si>
    <t>joulePerKilometre</t>
  </si>
  <si>
    <t>Joule per Kilometre</t>
  </si>
  <si>
    <t>A conventional unit of measurement of linear energy transfer equal to one thousandth of a joule per metre.</t>
  </si>
  <si>
    <t>linearEnergyTransfer_joulePerKilometre</t>
  </si>
  <si>
    <t>(UN Economic Commission for Europe (UNECE) Rec. 20: 'LUM')</t>
  </si>
  <si>
    <t>lumen</t>
  </si>
  <si>
    <t>Lumen</t>
  </si>
  <si>
    <t>The derived unit of measurement of luminious flux in the SI units system; a light source that uniformly radiates one candela in all directions radiates a total of 4pi lumens.</t>
  </si>
  <si>
    <t>luminousFlux_lumen</t>
  </si>
  <si>
    <t>(UN Economic Commission for Europe (UNECE) Rec. 20: 'CDL')</t>
  </si>
  <si>
    <t>candela</t>
  </si>
  <si>
    <t>Candela</t>
  </si>
  <si>
    <t>The base unit in SI for the physical quantity "luminous intensity", defined as the luminous intensity, in a given direction, of a source that emits monochromatic radiation of frequency 540x 10^12 hertz and that has a radiant intensity in that direction of 1/683 watt per steradian.</t>
  </si>
  <si>
    <t>luminousIntensity_candela</t>
  </si>
  <si>
    <t>(UN Economic Commission for Europe (UNECE) Rec. 20: 'WEB')</t>
  </si>
  <si>
    <t>weber</t>
  </si>
  <si>
    <t>Weber</t>
  </si>
  <si>
    <t>The derived unit of measurement of magnetic flux in the SI units system; it is the magnetic flux which, linking a circuit of one turn, would produce in it an electromotive force of 1 volt if it were reduced to zero at a uniform rate in 1 second.</t>
  </si>
  <si>
    <t>magneticFlux_weber</t>
  </si>
  <si>
    <t>(UN Economic Commission for Europe (UNECE) Rec. 20: 'C32')</t>
  </si>
  <si>
    <t>milliweber</t>
  </si>
  <si>
    <t>Milliweber</t>
  </si>
  <si>
    <t>A conventional unit of measurement of magnetic flux equal to one thousandth of a weber.</t>
  </si>
  <si>
    <t>magneticFlux_milliweber</t>
  </si>
  <si>
    <t>microweber</t>
  </si>
  <si>
    <t>Microweber</t>
  </si>
  <si>
    <t>A conventional unit of measurement of magnetic flux equal to one millionth of a weber.</t>
  </si>
  <si>
    <t>magneticFlux_microweber</t>
  </si>
  <si>
    <t>nanoweber</t>
  </si>
  <si>
    <t>Nanoweber</t>
  </si>
  <si>
    <t>A conventional unit of measurement of magnetic flux equal to one billionth of a weber.</t>
  </si>
  <si>
    <t>magneticFlux_nanoweber</t>
  </si>
  <si>
    <t>(UN Economic Commission for Europe (UNECE) Rec. 20: 'D33')</t>
  </si>
  <si>
    <t>tesla</t>
  </si>
  <si>
    <t>Tesla</t>
  </si>
  <si>
    <t>The derived unit of measurement of magnetic flux density in the SI units system; one tesla is equal to one weber per square metre.</t>
  </si>
  <si>
    <t>magneticFluxDensity_tesla</t>
  </si>
  <si>
    <t>(UN Economic Commission for Europe (UNECE) Rec. 20: 'C48')</t>
  </si>
  <si>
    <t>nanotesla</t>
  </si>
  <si>
    <t>Nanotesla</t>
  </si>
  <si>
    <t>A conventional unit of measurement of magnetic flux density equal to one billionth of a tesla.</t>
  </si>
  <si>
    <t>magneticFluxDensity_nanotesla</t>
  </si>
  <si>
    <t>(UN Economic Commission for Europe (UNECE) Rec. 20: '76')</t>
  </si>
  <si>
    <t>gauss</t>
  </si>
  <si>
    <t>Gauss</t>
  </si>
  <si>
    <t>A conventional unit of measurement of magnetic flux density equal to 0.0001 tesla; one gauss is defined as one maxwell per square centimetre.</t>
  </si>
  <si>
    <t>magneticFluxDensity_gauss</t>
  </si>
  <si>
    <t>teslaPerMetre</t>
  </si>
  <si>
    <t>Tesla per Metre</t>
  </si>
  <si>
    <t>The derived unit of measurement of magnetic flux density gradient in the SI units system.</t>
  </si>
  <si>
    <t>magneticFluxDensityGradient_teslaPerMetre</t>
  </si>
  <si>
    <t>nanoteslaPerMetre</t>
  </si>
  <si>
    <t>Nanotesla per Metre</t>
  </si>
  <si>
    <t>A conventional unit of measurement of magnetic flux density gradient equal to one billionth of a tesla per metre.</t>
  </si>
  <si>
    <t>magneticFluxDensityGradient_nanoteslaPerMetre</t>
  </si>
  <si>
    <t>(UN Economic Commission for Europe (UNECE) Rec. 20: 'TNE')</t>
  </si>
  <si>
    <t>tonne</t>
  </si>
  <si>
    <t>Tonne</t>
  </si>
  <si>
    <t>A conventional unit of measurement of mass equal to one thousand kilograms.</t>
  </si>
  <si>
    <t>mass_tonne</t>
  </si>
  <si>
    <t>(UN Economic Commission for Europe (UNECE) Rec. 20: 'KGM')</t>
  </si>
  <si>
    <t>kilogram</t>
  </si>
  <si>
    <t>Kilogram</t>
  </si>
  <si>
    <t>The base unit in SI for the physical quantity "mass", defined as equal to the mass of the international prototype of the kilogram.</t>
  </si>
  <si>
    <t>mass_kilogram</t>
  </si>
  <si>
    <t>(UN Economic Commission for Europe (UNECE) Rec. 20: 'GRM')</t>
  </si>
  <si>
    <t>gram</t>
  </si>
  <si>
    <t>Gram</t>
  </si>
  <si>
    <t>A conventional unit of measurement of mass equal to 0.001 kilogram.</t>
  </si>
  <si>
    <t>mass_gram</t>
  </si>
  <si>
    <t>(UN Economic Commission for Europe (UNECE) Rec. 20: 'MGM')</t>
  </si>
  <si>
    <t>milligram</t>
  </si>
  <si>
    <t>Milligram</t>
  </si>
  <si>
    <t>A conventional unit of measurement of mass equal to 0.000001 of a kilogram.</t>
  </si>
  <si>
    <t>mass_milligram</t>
  </si>
  <si>
    <t>(UN Economic Commission for Europe (UNECE) Rec. 20: 'MC')</t>
  </si>
  <si>
    <t>microgram</t>
  </si>
  <si>
    <t>Microgram</t>
  </si>
  <si>
    <t>A conventional unit of measurement of mass equal to 0.000000001 of a kilogram.</t>
  </si>
  <si>
    <t>mass_microgram</t>
  </si>
  <si>
    <t>(UN Economic Commission for Europe (UNECE) Rec. 20: 'LTN')</t>
  </si>
  <si>
    <t>longTon</t>
  </si>
  <si>
    <t>Long Ton</t>
  </si>
  <si>
    <t>A conventional unit of measurement of mass equal to 2,240 pounts (1.016047 tonne or 1,016.047 kilograms).</t>
  </si>
  <si>
    <t>Imperial Ton</t>
  </si>
  <si>
    <t>mass_longTon</t>
  </si>
  <si>
    <t>(UN Economic Commission for Europe (UNECE) Rec. 20: 'STN')</t>
  </si>
  <si>
    <t>shortTon</t>
  </si>
  <si>
    <t>Short Ton</t>
  </si>
  <si>
    <t>A conventional unit of measurement of mass equal to 2,000 pounts (0.9071847 tonne or 907.1847 kilograms).</t>
  </si>
  <si>
    <t>U.S. Ton</t>
  </si>
  <si>
    <t>mass_shortTon</t>
  </si>
  <si>
    <t>(UN Economic Commission for Europe (UNECE) Rec. 20: 'LBR')</t>
  </si>
  <si>
    <t>pound</t>
  </si>
  <si>
    <t>Pound (mass)</t>
  </si>
  <si>
    <t>A conventional unit of measurement of mass equal to 0.45359237 kilograms.</t>
  </si>
  <si>
    <t>mass_pound</t>
  </si>
  <si>
    <t>(UN Economic Commission for Europe (UNECE) Rec. 20: 'ONZ')</t>
  </si>
  <si>
    <t>ounce</t>
  </si>
  <si>
    <t>Ounce</t>
  </si>
  <si>
    <t>A conventional unit of measurement of mass equal to one sixteenth of a pound (28.34952 grams).</t>
  </si>
  <si>
    <t>mass_ounce</t>
  </si>
  <si>
    <t>(UN Economic Commission for Europe (UNECE) Rec. 20: 'D43')</t>
  </si>
  <si>
    <t>unifiedAtomicMassUnit</t>
  </si>
  <si>
    <t>Unified Atomic Mass Unit</t>
  </si>
  <si>
    <t>A conventional unit of measurement of mass that is experimentally determined to be equal to (1/12) of the mass of an atom of the nuclide carbon-14, approximately 1.660540e-27 kilograms.</t>
  </si>
  <si>
    <t>mass_unifiedAtomicMassUnit</t>
  </si>
  <si>
    <t>(UN Economic Commission for Europe (UNECE) Rec. 20: 'B51')</t>
  </si>
  <si>
    <t>kilopound</t>
  </si>
  <si>
    <t>Kilopound</t>
  </si>
  <si>
    <t>A conventional unit of measurement of mass equal to 453.59237 kilograms.</t>
  </si>
  <si>
    <t>mass_kilopound</t>
  </si>
  <si>
    <t>(UN Economic Commission for Europe (UNECE) Rec. 20: 'D41')</t>
  </si>
  <si>
    <t>tonnePerCubicMetre</t>
  </si>
  <si>
    <t>Tonne per cubic Metre</t>
  </si>
  <si>
    <t>A conventional unit of measurement of mass density equal to one thousand kilograms per cubic metre.</t>
  </si>
  <si>
    <t>massDensity_tonnePerCubicMetre</t>
  </si>
  <si>
    <t>(UN Economic Commission for Europe (UNECE) Rec. 20: 'KMQ')</t>
  </si>
  <si>
    <t>kilogramPerCubicMetre</t>
  </si>
  <si>
    <t>Kilogram per cubic Metre</t>
  </si>
  <si>
    <t>The derived unit of measurement of mass density in the SI units system.</t>
  </si>
  <si>
    <t>massDensity_kilogramPerCubicMetre</t>
  </si>
  <si>
    <t>(UN Economic Commission for Europe (UNECE) Rec. 20: 'GL')</t>
  </si>
  <si>
    <t>gramPerLitre</t>
  </si>
  <si>
    <t>Gram per Litre</t>
  </si>
  <si>
    <t>A conventional unit of measurement of mass density equal to one kilogram per cubic metre.</t>
  </si>
  <si>
    <t>massDensity_gramPerLitre</t>
  </si>
  <si>
    <t>(UN Economic Commission for Europe (UNECE) Rec. 20: 'A93')</t>
  </si>
  <si>
    <t>gramPerCubicMetre</t>
  </si>
  <si>
    <t>Gram per cubic Metre</t>
  </si>
  <si>
    <t>A conventional unit of measurement of mass density equal to 0.001 kilograms per cubic metre.</t>
  </si>
  <si>
    <t>Milligram per Litre</t>
  </si>
  <si>
    <t>massDensity_gramPerCubicMetre</t>
  </si>
  <si>
    <t>(UN Economic Commission for Europe (UNECE) Rec. 20: 'B35')</t>
  </si>
  <si>
    <t>kilogramPerLitre</t>
  </si>
  <si>
    <t>Kilogram per Litre</t>
  </si>
  <si>
    <t>massDensity_kilogramPerLitre</t>
  </si>
  <si>
    <t>(UN Economic Commission for Europe (UNECE) Rec. 20: '23')</t>
  </si>
  <si>
    <t>gramPerCubicCentimetre</t>
  </si>
  <si>
    <t>Gram per cubic Centimetre</t>
  </si>
  <si>
    <t>A conventional unit of measurement of mass density equal to a billionth of a kilogram per cubic metre.</t>
  </si>
  <si>
    <t>massDensity_gramPerCubicCentimetre</t>
  </si>
  <si>
    <t>(UN Economic Commission for Europe (UNECE) Rec. 20: 'GQ')</t>
  </si>
  <si>
    <t>microgramPerCubicMetre</t>
  </si>
  <si>
    <t>Microgram per cubic Metre</t>
  </si>
  <si>
    <t>massDensity_microgramPerCubicMetre</t>
  </si>
  <si>
    <t>kilogramPerKilogram</t>
  </si>
  <si>
    <t>Kilogram per Kilogram</t>
  </si>
  <si>
    <t>The derived unit of measurement of mass fraction in the SI units system.</t>
  </si>
  <si>
    <t>massFraction_kilogramPerKilogram</t>
  </si>
  <si>
    <t>(UN Economic Commission for Europe (UNECE) Rec. 20: 'GK')</t>
  </si>
  <si>
    <t>gramPerKilogram</t>
  </si>
  <si>
    <t>Gram per Kilogram</t>
  </si>
  <si>
    <t>A conventional unit of measurement of mass fraction equal to one thousandth of a kilogram per kilogram.</t>
  </si>
  <si>
    <t>massFraction_gramPerKilogram</t>
  </si>
  <si>
    <t>gramPerGram</t>
  </si>
  <si>
    <t>Gram per Gram</t>
  </si>
  <si>
    <t>A conventional unit of measurement of mass fraction equal to a kilogram per kilogram.</t>
  </si>
  <si>
    <t>massFraction_gramPerGram</t>
  </si>
  <si>
    <t>kilogramPerSecond</t>
  </si>
  <si>
    <t>Kilogram per Second</t>
  </si>
  <si>
    <t>The derived unit of measurement of mass rate in the SI units system.</t>
  </si>
  <si>
    <t>massRate_kilogramPerSecond</t>
  </si>
  <si>
    <t>(UN Economic Commission for Europe (UNECE) Rec. 20: 'E18')</t>
  </si>
  <si>
    <t>tonnePerHour</t>
  </si>
  <si>
    <t>Tonne per Hour</t>
  </si>
  <si>
    <t>A conventional unit of measurement of mass rate that is approximately 0.277778 kilograms per second.</t>
  </si>
  <si>
    <t>massRate_tonnePerHour</t>
  </si>
  <si>
    <t>tonnePerAnnum</t>
  </si>
  <si>
    <t>Tonne per Annum (tropical year)</t>
  </si>
  <si>
    <t>A conventional unit of measurement of mass rate that is approximately 0.000031686 kilograms per second.</t>
  </si>
  <si>
    <t>massRate_tonnePerAnnum</t>
  </si>
  <si>
    <t>tonnePerDay</t>
  </si>
  <si>
    <t>Tonne per Day</t>
  </si>
  <si>
    <t>A conventional unit of measurement of mass rate that is approximately 0.01157408 kilograms per second.</t>
  </si>
  <si>
    <t>massRate_tonnePerDay</t>
  </si>
  <si>
    <t>usDollar</t>
  </si>
  <si>
    <t>U.S. Dollar</t>
  </si>
  <si>
    <t>The unit of monetary exchange serving as legal tender in the United States, the dollar.</t>
  </si>
  <si>
    <t>monetaryUnit_usDollar</t>
  </si>
  <si>
    <t>euro</t>
  </si>
  <si>
    <t>Euro</t>
  </si>
  <si>
    <t>The unit of monetary exchange serving as legal tender in the European Union, the euro.</t>
  </si>
  <si>
    <t>monetaryUnit_euro</t>
  </si>
  <si>
    <t>poundSterling</t>
  </si>
  <si>
    <t>Pound Sterling</t>
  </si>
  <si>
    <t>The unit of monetary exchange serving as legal tender in the United Kingdom, the pound.</t>
  </si>
  <si>
    <t>The Pound Sterling is also legal tender in the Crown dependencies (the Isle of Man and the Channel Island bailiwicks of Jersey and Guernsey), and the British Overseas Territories of South Georgia and the South Sandwich Islands, British Antarctic Territory and British Indian Ocean Territory.</t>
  </si>
  <si>
    <t>monetaryUnit_poundSterling</t>
  </si>
  <si>
    <t>flightLevel</t>
  </si>
  <si>
    <t>Flight Level</t>
  </si>
  <si>
    <t>A surface of constant atmospheric pressure that is related to a specific world-wide fixed pressure datum (1013.25 hectoPascal) and is separated from other such surfaces by specific pressure intervals.</t>
  </si>
  <si>
    <t>It is conventionally given a numerical value to the nearest 1000 feet in units of 100 feet in accordance with the structure of the International Civil Aviation Organization (ICAO) Standard Atmosphere. For example, the 500-hPa level is written as "FL 180" where the corresponding ICAO standard height is 18,289 feet.</t>
  </si>
  <si>
    <t>noncomparable_flightLevel</t>
  </si>
  <si>
    <t>militaryLoadClass</t>
  </si>
  <si>
    <t>Military Load Class</t>
  </si>
  <si>
    <t>A dynamic live load weight-bearing capacity of a span of a horizontal construction that is calculated in accordance with STANAGs 2021 and 2253.</t>
  </si>
  <si>
    <t>The calculation is  based on the size, cross-sectional shape, and material of the longitudinal weight-bearing members of the span. It is similar to, but not the same as, the short ton.</t>
  </si>
  <si>
    <t>noncomparable_militaryLoadClass</t>
  </si>
  <si>
    <t>(UN Economic Commission for Europe (UNECE) Rec. 20: 'C81')</t>
  </si>
  <si>
    <t>radian</t>
  </si>
  <si>
    <t>Radian</t>
  </si>
  <si>
    <t>The supplemental unit of measurement of plane angle in the SI units system.</t>
  </si>
  <si>
    <t>There are 2 pi radians in a full circle therefore a radian is approximately 57.2958 arc degrees.</t>
  </si>
  <si>
    <t>planeAngle_radian</t>
  </si>
  <si>
    <t>arcDecadegree</t>
  </si>
  <si>
    <t>Arc Decadegree</t>
  </si>
  <si>
    <t>A conventional unit of measurement of plane angle equal to pi/18 (10 arc degrees), approximately 0.1745532925199433 radians.</t>
  </si>
  <si>
    <t>Decadegree of Arc</t>
  </si>
  <si>
    <t>planeAngle_arcDecadegree</t>
  </si>
  <si>
    <t>arcQuintdegree</t>
  </si>
  <si>
    <t>Arc Quintdegree</t>
  </si>
  <si>
    <t>A conventional unit of measurement of plane angle equal to pi/36 (5 arc degrees), approximately 0.08727664625997165 radians.</t>
  </si>
  <si>
    <t>Quintdegree of Arc</t>
  </si>
  <si>
    <t>planeAngle_arcQuintdegree</t>
  </si>
  <si>
    <t>(UN Economic Commission for Europe (UNECE) Rec. 20: 'DD')</t>
  </si>
  <si>
    <t>arcDegree</t>
  </si>
  <si>
    <t>Arc Degree</t>
  </si>
  <si>
    <t>A conventional unit of measurement of plane angle equal to pi/180, approximately 0.01745532925199433 radians.</t>
  </si>
  <si>
    <t>Degree of Arc</t>
  </si>
  <si>
    <t>planeAngle_arcDegree</t>
  </si>
  <si>
    <t>arcDecidegree</t>
  </si>
  <si>
    <t>Arc Decidegree</t>
  </si>
  <si>
    <t>A conventional unit of measurement of plane angle equal to one tenth of an arc degree, approximately 0.001745532925199433 radians.</t>
  </si>
  <si>
    <t>Decidegree of Arc</t>
  </si>
  <si>
    <t>planeAngle_arcDecidegree</t>
  </si>
  <si>
    <t>arcCentidegree</t>
  </si>
  <si>
    <t>Arc Centidegree</t>
  </si>
  <si>
    <t>A conventional unit of measurement of plane angle equal to one hundredth of an arc degree, approximately 0.0001745532925199433 radians.</t>
  </si>
  <si>
    <t>Centidegree of Arc</t>
  </si>
  <si>
    <t>planeAngle_arcCentidegree</t>
  </si>
  <si>
    <t>arcMillidegree</t>
  </si>
  <si>
    <t>Arc Millidegree</t>
  </si>
  <si>
    <t>A conventional unit of measurement of plane angle equal to one thousandth of an arc degree, approximately 0.00001745532925199433 radians.</t>
  </si>
  <si>
    <t>Millidegree of Arc</t>
  </si>
  <si>
    <t>planeAngle_arcMillidegree</t>
  </si>
  <si>
    <t>arcDecimillidegree</t>
  </si>
  <si>
    <t>Arc Decimillidegree</t>
  </si>
  <si>
    <t>A conventional unit of measurement of plane angle equal to one ten-thousandth of an arc degree, approximately 0.0000017455329251994335 radians.</t>
  </si>
  <si>
    <t>Decimillidegree of Arc</t>
  </si>
  <si>
    <t>planeAngle_arcDecimillidegree</t>
  </si>
  <si>
    <t>arcCentimilllidegree</t>
  </si>
  <si>
    <t>Arc Centimillidegree</t>
  </si>
  <si>
    <t>A conventional unit of measurement of plane angle equal to one hundred-thousandth of an arc degree, approximately 0.0000001745532925199433 radians.</t>
  </si>
  <si>
    <t>Centimillidegree of Arc</t>
  </si>
  <si>
    <t>planeAngle_arcCentimilllidegree</t>
  </si>
  <si>
    <t>arcMicrodegree</t>
  </si>
  <si>
    <t>Arc Microdegree</t>
  </si>
  <si>
    <t>A conventional unit of measurement of plane angle equal to one millionth of an arc degree, approximately 0.00000001745532925199433 radians.</t>
  </si>
  <si>
    <t>Microdegree of Arc</t>
  </si>
  <si>
    <t>planeAngle_arcMicrodegree</t>
  </si>
  <si>
    <t>(UN Economic Commission for Europe (UNECE) Rec. 20: 'D61')</t>
  </si>
  <si>
    <t>arcMinute</t>
  </si>
  <si>
    <t>Arc Minute</t>
  </si>
  <si>
    <t>A conventional unit of measurement of plane angle equal to 1/60 of an arc degree, approximately 0.0002909221541999055 radians.</t>
  </si>
  <si>
    <t>Minute of Arc</t>
  </si>
  <si>
    <t>planeAngle_arcMinute</t>
  </si>
  <si>
    <t>arcDeciminute</t>
  </si>
  <si>
    <t>Arc Deciminute</t>
  </si>
  <si>
    <t>A conventional unit of measurement of plane angle equal to one tenth of an arc minute, approximately 0.00002909221541999055 radians.</t>
  </si>
  <si>
    <t>Deciminute of Arc</t>
  </si>
  <si>
    <t>planeAngle_arcDeciminute</t>
  </si>
  <si>
    <t>arcCentiminute</t>
  </si>
  <si>
    <t>Arc Centiminute</t>
  </si>
  <si>
    <t>A conventional unit of measurement of plane angle equal to one hundredth of an arc minute, approximately 0.000002909221541999055 radians.</t>
  </si>
  <si>
    <t>Centiminute of Arc</t>
  </si>
  <si>
    <t>planeAngle_arcCentiminute</t>
  </si>
  <si>
    <t>arcMilliminute</t>
  </si>
  <si>
    <t>Arc Milliminute</t>
  </si>
  <si>
    <t>A conventional unit of measurement of plane angle equal to one thousandth of an arc minute, approximately 0.0000002909221541999055 radians.</t>
  </si>
  <si>
    <t>Milliminute of Arc</t>
  </si>
  <si>
    <t>planeAngle_arcMilliminute</t>
  </si>
  <si>
    <t>arcDecimilliminute</t>
  </si>
  <si>
    <t>Arc Decimilliminute</t>
  </si>
  <si>
    <t>A conventional unit of measurement of plane angle equal to one ten thousandth of an arc minute, approximately 0.00000002909221541999055 radians.</t>
  </si>
  <si>
    <t>Decimilliminute of Arc</t>
  </si>
  <si>
    <t>planeAngle_arcDecimilliminute</t>
  </si>
  <si>
    <t>(UN Economic Commission for Europe (UNECE) Rec. 20: 'D62')</t>
  </si>
  <si>
    <t>arcSecond</t>
  </si>
  <si>
    <t>Arc Second</t>
  </si>
  <si>
    <t>A conventional unit of measurement of plane angle equal to 1/60 of an arc minute, approximately 0.000004848702569998425 radians.</t>
  </si>
  <si>
    <t>Second of Arc</t>
  </si>
  <si>
    <t>planeAngle_arcSecond</t>
  </si>
  <si>
    <t>arcDecisecond</t>
  </si>
  <si>
    <t>Arc Decisecond</t>
  </si>
  <si>
    <t>A conventional unit of measurement of plane angle equal to one tenth of an arc second, approximately 0.0000004848702569998425 radians.</t>
  </si>
  <si>
    <t>Decisecond of Arc</t>
  </si>
  <si>
    <t>planeAngle_arcDecisecond</t>
  </si>
  <si>
    <t>arcCentisecond</t>
  </si>
  <si>
    <t>Arc Centisecond</t>
  </si>
  <si>
    <t>A conventional unit of measurement of plane angle equal to one hundredth of an arc second, approximately 0.00000004848702569998425 radians.</t>
  </si>
  <si>
    <t>Centisecond of Arc</t>
  </si>
  <si>
    <t>planeAngle_arcCentisecond</t>
  </si>
  <si>
    <t>arcMillisecond</t>
  </si>
  <si>
    <t>Arc Millisecond</t>
  </si>
  <si>
    <t>A conventional unit of measurement of plane angle equal to one thousandth of an arc second, approximately 0.000000004848702569998425 radians.</t>
  </si>
  <si>
    <t>Millisecond of Arc</t>
  </si>
  <si>
    <t>planeAngle_arcMillisecond</t>
  </si>
  <si>
    <t>grad</t>
  </si>
  <si>
    <t>Grad</t>
  </si>
  <si>
    <t>A conventional unit of measurement of plane angle equal to 1/400 of a full circle, approximately 0.01570796 radians.</t>
  </si>
  <si>
    <t>There are 100 grads in a right angle (90 arc degrees).</t>
  </si>
  <si>
    <t>planeAngle_grad</t>
  </si>
  <si>
    <t>hectomil</t>
  </si>
  <si>
    <t>Hectomil</t>
  </si>
  <si>
    <t>A conventional unit of measurement of plane angle equal to 1/64 of a full circle, approximately 0.09818622704246810625 radians (slightly less than one tenth of a radian).</t>
  </si>
  <si>
    <t>Exactly equal to 5.625 arc degrees.</t>
  </si>
  <si>
    <t>planeAngle_hectomil</t>
  </si>
  <si>
    <t>decamil</t>
  </si>
  <si>
    <t>Decamil</t>
  </si>
  <si>
    <t>A conventional unit of measurement of plane angle equal to 1/640 of a full circle, approximately 0.009818622704246810625 radians (slightly less than one hundredth of a radian).</t>
  </si>
  <si>
    <t>Exactly equal to 0.5625 arc degrees or 33.75 arc minutes.</t>
  </si>
  <si>
    <t>planeAngle_decamil</t>
  </si>
  <si>
    <t>mil</t>
  </si>
  <si>
    <t>Mil</t>
  </si>
  <si>
    <t>A conventional unit of measurement of plane angle equal to 1/6400 of a full circle, approximately 0.0009818622704246810625 radians (slightly less than one thousandth of a radian).</t>
  </si>
  <si>
    <t>Exactly equal to 0.05625 arc degrees, 3.375 arc minutes, or 202.5 arc seconds.</t>
  </si>
  <si>
    <t>planeAngle_mil</t>
  </si>
  <si>
    <t>millimil</t>
  </si>
  <si>
    <t>Millimil</t>
  </si>
  <si>
    <t>A conventional unit of measurement of plane angle equal to one thousandth of 1/6400 of a full circle, approximately 0.0000009818622704246810625 radians (slightly less than one millionth of a radian).</t>
  </si>
  <si>
    <t>Exactly equal to 0.00005625 arc degrees, 0.003375 arc minutes, or 0.2025 arc seconds.</t>
  </si>
  <si>
    <t>planeAngle_millimil</t>
  </si>
  <si>
    <t>(UN Economic Commission for Europe (UNECE) Rec. 20: 'MAW')</t>
  </si>
  <si>
    <t>megawatt</t>
  </si>
  <si>
    <t>Megawatt</t>
  </si>
  <si>
    <t>A conventional unit of measurement of power equal to one million watts.</t>
  </si>
  <si>
    <t>power_megawatt</t>
  </si>
  <si>
    <t>(UN Economic Commission for Europe (UNECE) Rec. 20: 'KWT')</t>
  </si>
  <si>
    <t>kilowatt</t>
  </si>
  <si>
    <t>Kilowatt</t>
  </si>
  <si>
    <t>A conventional unit of measurement of power equal to one thousand watts.</t>
  </si>
  <si>
    <t>power_kilowatt</t>
  </si>
  <si>
    <t>(UN Economic Commission for Europe (UNECE) Rec. 20: 'WTT')</t>
  </si>
  <si>
    <t>watt</t>
  </si>
  <si>
    <t>Watt</t>
  </si>
  <si>
    <t>The derived unit of measurement of power in the SI units system.</t>
  </si>
  <si>
    <t>power_watt</t>
  </si>
  <si>
    <t>(UN Economic Commission for Europe (UNECE) Rec. 20: 'C30')</t>
  </si>
  <si>
    <t>milliwatt</t>
  </si>
  <si>
    <t>Milliwatt</t>
  </si>
  <si>
    <t>A conventional unit of measurement of power equal to one thousandth of a watt.</t>
  </si>
  <si>
    <t>power_milliwatt</t>
  </si>
  <si>
    <t>(UN Economic Commission for Europe (UNECE) Rec. 20: 'D80')</t>
  </si>
  <si>
    <t>microwatt</t>
  </si>
  <si>
    <t>Microwatt</t>
  </si>
  <si>
    <t>A conventional unit of measurement of power equal to one millionth of a watt.</t>
  </si>
  <si>
    <t>power_microwatt</t>
  </si>
  <si>
    <t>horsepowerElectric</t>
  </si>
  <si>
    <t>Horsepower (electric)</t>
  </si>
  <si>
    <t>A conventional unit of measurement of power used in rating electric motors equal to 746 watts.</t>
  </si>
  <si>
    <t>power_horsepowerElectric</t>
  </si>
  <si>
    <t>horsepowerMechanic</t>
  </si>
  <si>
    <t>Horsepower (mechanic)</t>
  </si>
  <si>
    <t>A conventional unit of measurement of power used in rating mechanical systems equal to 550 ft lbf/s (745.6999 watts).</t>
  </si>
  <si>
    <t>power_horsepowerMechanic</t>
  </si>
  <si>
    <t>horsepowerMetric</t>
  </si>
  <si>
    <t>Horsepower (metric)</t>
  </si>
  <si>
    <t>A conventional unit of measurement of power (75 kgf-metre per second) equal to 735.49875 watts.</t>
  </si>
  <si>
    <t>power_horsepowerMetric</t>
  </si>
  <si>
    <t>(UN Economic Commission for Europe (UNECE) Rec. 20: 'B31')</t>
  </si>
  <si>
    <t>kgForceMetrePerSecond</t>
  </si>
  <si>
    <t>Kilogram-force Metre per Second</t>
  </si>
  <si>
    <t>A conventional unit of measurement of power equal to 9.80665 watts.</t>
  </si>
  <si>
    <t>power_kgForceMetrePerSecond</t>
  </si>
  <si>
    <t>(UN Economic Commission for Europe (UNECE) Rec. 20: 'A74')</t>
  </si>
  <si>
    <t>footPoundForcePerSecond</t>
  </si>
  <si>
    <t>Foot Pound-force per Second</t>
  </si>
  <si>
    <t>A conventional unit of measurement of power equal to 1.355818 watts.</t>
  </si>
  <si>
    <t>power_footPoundForcePerSecond</t>
  </si>
  <si>
    <t>(UN Economic Commission for Europe (UNECE) Rec. 20: 'C55')</t>
  </si>
  <si>
    <t>gigajoulePerAnnum</t>
  </si>
  <si>
    <t>Gigajoule per Annum (tropical year)</t>
  </si>
  <si>
    <t>A conventional unit of measurement of power that is approximately 31.6863 watts.</t>
  </si>
  <si>
    <t>power_gigajoulePerAnnum</t>
  </si>
  <si>
    <t>kilowattHourPerAnnum</t>
  </si>
  <si>
    <t>Kilowatt Hour per Annum (tropical year)</t>
  </si>
  <si>
    <t>A conventional unit of measurement of power that is approximately 0.11407 watts.</t>
  </si>
  <si>
    <t>power_kilowattHourPerAnnum</t>
  </si>
  <si>
    <t>voltAmpere</t>
  </si>
  <si>
    <t>Volt-ampere</t>
  </si>
  <si>
    <t>A conventional unit of measurement of apparent electric power equal to the product of root-mean-square (RMS) voltage and RMS electric current; in direct current (DC) or resistive alternating current (AC) circuits, this product is equal to the real power (active power) in watts.</t>
  </si>
  <si>
    <t>Volt-amperes (apparent power) are useful only in the context of reactive AC circuits where the voltage and current are out of phase and the volt-ampere value will be greater than the watt value. Volt-amperes are important for determining capacity for the components of an AC electrical system (for example: wiring and circuit breakers).</t>
  </si>
  <si>
    <t>power_voltAmpere</t>
  </si>
  <si>
    <t>kilovoltAmpere</t>
  </si>
  <si>
    <t>Kilovolt-ampere</t>
  </si>
  <si>
    <t>A conventional unit of measurement of apparent electric power equal to one thousand volt-amperes.</t>
  </si>
  <si>
    <t>power_kilovoltAmpere</t>
  </si>
  <si>
    <t>neper</t>
  </si>
  <si>
    <t>Neper</t>
  </si>
  <si>
    <t>A dimensionless natural logarithm of a power level difference (power quantity ratio) in the SI units system; 1 neper is the level of a power quantity when 1/2 ln(P/Psub0) = 1 where P and Psub0 represent two powers of the same kind, the denominator Psub0 being a reference power.</t>
  </si>
  <si>
    <t>powerLevelDifference_neper</t>
  </si>
  <si>
    <t>bel</t>
  </si>
  <si>
    <t>Bel</t>
  </si>
  <si>
    <t>A dimensionless common logarithm (base 10) of a power level difference (power quantity ratio) that is approximately 1.151293 neper; 1 bel is the level of a power quantity when lg(P/Psub0) = 1 where P and Psub0 represent two power values, the denominator Psub0 being a reference power.</t>
  </si>
  <si>
    <t>powerLevelDifference_bel</t>
  </si>
  <si>
    <t>(UN Economic Commission for Europe (UNECE) Rec. 20: '2N')</t>
  </si>
  <si>
    <t>decibel</t>
  </si>
  <si>
    <t>Decibel</t>
  </si>
  <si>
    <t>A conventional unit of measurement of power level difference (power quantity ratio) equal to 0.1 bel, approximately 0.1151293 neper.</t>
  </si>
  <si>
    <t>powerLevelDifference_decibel</t>
  </si>
  <si>
    <t>neperPerMetre</t>
  </si>
  <si>
    <t>Neper per Metre</t>
  </si>
  <si>
    <t>The derived unit of measurement of power level difference (power quantity ratio) change per unit distance in the SI units system.</t>
  </si>
  <si>
    <t>The power level difference is a dimensionless natural logarithm of a power quantity ratio; 1 neper is the level of a power quantity when 1/2 ln(P/Psub0) = 1 where P and Psub0 represent two powers of the same kind, the denominator Psub0 being a reference power.</t>
  </si>
  <si>
    <t>powerLevelDiffLenGradient_neperPerMetre</t>
  </si>
  <si>
    <t>belPerMetre</t>
  </si>
  <si>
    <t>Bel per Metre</t>
  </si>
  <si>
    <t>A conventional unit of measurement of power level difference (power quantity ratio) length gradient that is approximately 1.151293 neper per metre.</t>
  </si>
  <si>
    <t>The power level difference is a dimensionless common logarithm (base 10) of a power quantity ratio; 1 bel is the level of a power quantity when lg(P/Psub0) = 1 where P and Psub0 represent two power values, the denominator Psub0 being a reference power.</t>
  </si>
  <si>
    <t>powerLevelDiffLenGradient_belPerMetre</t>
  </si>
  <si>
    <t>decibelPerMetre</t>
  </si>
  <si>
    <t>Decibel per Metre</t>
  </si>
  <si>
    <t>A conventional unit of measurement of power level difference (power quantity ratio) length gradient equal to 0.1 bel per metre, approximately 0.1151293 neper per metre.</t>
  </si>
  <si>
    <t>powerLevelDiffLenGradient_decibelPerMetre</t>
  </si>
  <si>
    <t>(UN Economic Commission for Europe (UNECE) Rec. 20: 'MPA')</t>
  </si>
  <si>
    <t>megaPascal</t>
  </si>
  <si>
    <t>Megapascal</t>
  </si>
  <si>
    <t>A conventional unit of measurement of pressure equal to one million pascal.</t>
  </si>
  <si>
    <t>pressure_megaPascal</t>
  </si>
  <si>
    <t>(UN Economic Commission for Europe (UNECE) Rec. 20: 'KPA')</t>
  </si>
  <si>
    <t>kiloPascal</t>
  </si>
  <si>
    <t>Kilopascal</t>
  </si>
  <si>
    <t>A conventional unit of measurement of pressure equal to one thousand pascal.</t>
  </si>
  <si>
    <t>pressure_kiloPascal</t>
  </si>
  <si>
    <t>(UN Economic Commission for Europe (UNECE) Rec. 20: 'A97')</t>
  </si>
  <si>
    <t>hectoPascal</t>
  </si>
  <si>
    <t>Hectopascal</t>
  </si>
  <si>
    <t>A conventional unit of measurement of pressure equal to one hundred pascal.</t>
  </si>
  <si>
    <t>pressure_hectoPascal</t>
  </si>
  <si>
    <t>(UN Economic Commission for Europe (UNECE) Rec. 20: 'PAL')</t>
  </si>
  <si>
    <t>pascal</t>
  </si>
  <si>
    <t>Pascal</t>
  </si>
  <si>
    <t>The derived unit of measurement of pressure in the SI units system; it is a measure of force per unit area, defined as one newton per square metre.</t>
  </si>
  <si>
    <t>Newtons per square Metre</t>
  </si>
  <si>
    <t>pressure_pascal</t>
  </si>
  <si>
    <t>(UN Economic Commission for Europe (UNECE) Rec. 20: 'KBA')</t>
  </si>
  <si>
    <t>kilobar</t>
  </si>
  <si>
    <t>Kilobar</t>
  </si>
  <si>
    <t>A conventional unit of measurement of pressure equal to one thousand bar (100,000,000 pascal).</t>
  </si>
  <si>
    <t>pressure_kilobar</t>
  </si>
  <si>
    <t>(UN Economic Commission for Europe (UNECE) Rec. 20: 'BAR')</t>
  </si>
  <si>
    <t>bar</t>
  </si>
  <si>
    <t>Bar</t>
  </si>
  <si>
    <t>A conventional unit of measurement of pressure equal to one hundred kilopascal (100,000 pascal).</t>
  </si>
  <si>
    <t>pressure_bar</t>
  </si>
  <si>
    <t>centibar</t>
  </si>
  <si>
    <t>Centibar</t>
  </si>
  <si>
    <t>A conventional unit of measurement of pressure equal to one hundredth of a bar (1,000 pascal).</t>
  </si>
  <si>
    <t>pressure_centibar</t>
  </si>
  <si>
    <t>(UN Economic Commission for Europe (UNECE) Rec. 20: 'MBR')</t>
  </si>
  <si>
    <t>millibar</t>
  </si>
  <si>
    <t>Millibar</t>
  </si>
  <si>
    <t>A conventional unit of measurement of pressure equal to one thousandth of a bar (100 pascal).</t>
  </si>
  <si>
    <t>pressure_millibar</t>
  </si>
  <si>
    <t>(UN Economic Commission for Europe (UNECE) Rec. 20: 'ATM')</t>
  </si>
  <si>
    <t>standardAtmosphere</t>
  </si>
  <si>
    <t>Standard Atmosphere</t>
  </si>
  <si>
    <t>A conventional unit of measurement of pressure equal to 101,325 Pascal.</t>
  </si>
  <si>
    <t>pressure_standardAtmosphere</t>
  </si>
  <si>
    <t>(UN Economic Commission for Europe (UNECE) Rec. 20: 'B40')</t>
  </si>
  <si>
    <t>kilogramForcePerSquareMetre</t>
  </si>
  <si>
    <t>Kilogram-force per Square Metre</t>
  </si>
  <si>
    <t>A conventional unit of measurement of pressure equal to 9.80665 pascal.</t>
  </si>
  <si>
    <t>pressure_kilogramForcePerSquareMetre</t>
  </si>
  <si>
    <t>(UN Economic Commission for Europe (UNECE) Rec. 20: 'PS')</t>
  </si>
  <si>
    <t>poundForcePerSquareInch</t>
  </si>
  <si>
    <t>Pound-force per Square Inch</t>
  </si>
  <si>
    <t>A conventional unit of measurement of pressure equal to 6,894.76 pascal.</t>
  </si>
  <si>
    <t>pressure_poundForcePerSquareInch</t>
  </si>
  <si>
    <t>(UN Economic Commission for Europe (UNECE) Rec. 20: 'UA')</t>
  </si>
  <si>
    <t>torr</t>
  </si>
  <si>
    <t>Torr</t>
  </si>
  <si>
    <t>A conventional unit of measurement of pressure equal to 1/760 of a standard atmosphere (133.3224 pascal).</t>
  </si>
  <si>
    <t>pressure_torr</t>
  </si>
  <si>
    <t>millimetresOfMercury</t>
  </si>
  <si>
    <t>Millimetres of Mercury</t>
  </si>
  <si>
    <t>A conventional unit of measurement of pressure equal to one torr (133.3224 Pascal).</t>
  </si>
  <si>
    <t>pressure_millimetresOfMercury</t>
  </si>
  <si>
    <t>unitless</t>
  </si>
  <si>
    <t>Unitless</t>
  </si>
  <si>
    <t>A dimensionless physical quantity, one which has no unit of measure.</t>
  </si>
  <si>
    <t>pureNumber_unitless</t>
  </si>
  <si>
    <t>ratio</t>
  </si>
  <si>
    <t>Ratio</t>
  </si>
  <si>
    <t>A scaled dimensionless measure denoting an equivalence (1:1) ratio.</t>
  </si>
  <si>
    <t>pureNumber_ratio</t>
  </si>
  <si>
    <t>(UN Economic Commission for Europe (UNECE) Rec. 20: 'P1')</t>
  </si>
  <si>
    <t>percent</t>
  </si>
  <si>
    <t>Percent</t>
  </si>
  <si>
    <t>A scaled dimensionless measure denoting one part in every hundred.</t>
  </si>
  <si>
    <t>pureNumber_percent</t>
  </si>
  <si>
    <t>(UN Economic Commission for Europe (UNECE) Rec. 20: '59')</t>
  </si>
  <si>
    <t>partsPerMillion</t>
  </si>
  <si>
    <t>Parts per Million</t>
  </si>
  <si>
    <t>A scaled dimensionless measure denoting one part in every million.</t>
  </si>
  <si>
    <t>pureNumber_partsPerMillion</t>
  </si>
  <si>
    <t>(UN Economic Commission for Europe (UNECE) Rec. 20: '61')</t>
  </si>
  <si>
    <t>partsPerBillion</t>
  </si>
  <si>
    <t>Parts per Billion</t>
  </si>
  <si>
    <t>A scaled dimensionless measure denoting one part in every billion.</t>
  </si>
  <si>
    <t>pureNumber_partsPerBillion</t>
  </si>
  <si>
    <t>(UN Economic Commission for Europe (UNECE) Rec. 20: 'NX')</t>
  </si>
  <si>
    <t>partsPerThousand</t>
  </si>
  <si>
    <t>Parts per Thousand</t>
  </si>
  <si>
    <t>A scaled dimensionless measure denoting one part in every thousand.</t>
  </si>
  <si>
    <t>pureNumber_partsPerThousand</t>
  </si>
  <si>
    <t>partsPerTrillion</t>
  </si>
  <si>
    <t>Parts per Trillion</t>
  </si>
  <si>
    <t>A scaled dimensionless measure denoting one part in every trillion.</t>
  </si>
  <si>
    <t>pureNumber_partsPerTrillion</t>
  </si>
  <si>
    <t>(UN Economic Commission for Europe (UNECE) Rec. 20: 'A95')</t>
  </si>
  <si>
    <t>gray</t>
  </si>
  <si>
    <t>Gray</t>
  </si>
  <si>
    <t>The derived unit of measurement of absorbed radiation dose in the SI units system; it is the absorption of one joule of energy, in the form of ionizing radiation, by one kilogram of matter.</t>
  </si>
  <si>
    <t>radiationAbsorbedDose_gray</t>
  </si>
  <si>
    <t>(UN Economic Commission for Europe (UNECE) Rec. 20: 'C80')</t>
  </si>
  <si>
    <t>A conventional unit of measurement of absorbed radiation dose equal to 0.01 gray.</t>
  </si>
  <si>
    <t>rad</t>
  </si>
  <si>
    <t>radiationAbsorbedDose_radiationAbsorbedDose</t>
  </si>
  <si>
    <t>(UN Economic Commission for Europe (UNECE) Rec. 20: 'D13')</t>
  </si>
  <si>
    <t>sievert</t>
  </si>
  <si>
    <t>Sievert</t>
  </si>
  <si>
    <t>The derived unit of measurement of equivalent absorbed radiation dose in the SI units system; it reflects the biological effects of radiation as opposed to the physical aspects, which are characterised by the absorbed radiation dose (measured in gray).</t>
  </si>
  <si>
    <t>radiationDoseEquivalent_sievert</t>
  </si>
  <si>
    <t>(UN Economic Commission for Europe (UNECE) Rec. 20: 'D91')</t>
  </si>
  <si>
    <t>rontgenEquivalentMan</t>
  </si>
  <si>
    <t>Rontgen Equivalent in Man</t>
  </si>
  <si>
    <t>A conventional unit of measurement of equivalent absorbed radiation dose equal to 0.01 sievert.</t>
  </si>
  <si>
    <t>rem</t>
  </si>
  <si>
    <t>radiationDoseEquivalent_rontgenEquivalentMan</t>
  </si>
  <si>
    <t>(UN Economic Commission for Europe (UNECE) Rec. 20: 'GBQ')</t>
  </si>
  <si>
    <t>gigabecquerel</t>
  </si>
  <si>
    <t>Gigabecquerel</t>
  </si>
  <si>
    <t>A conventional unit of measurement of radionuclide activity (radioactivity) that is 1,000,000,000.0 becquerels.</t>
  </si>
  <si>
    <t>radionuclideActivity_gigabecquerel</t>
  </si>
  <si>
    <t>(UN Economic Commission for Europe (UNECE) Rec. 20: '4N')</t>
  </si>
  <si>
    <t>megabecquerel</t>
  </si>
  <si>
    <t>Megabecquerel</t>
  </si>
  <si>
    <t>A conventional unit of measurement of radionuclide activity (radioactivity) that is 1,000,000.0 becquerels.</t>
  </si>
  <si>
    <t>radionuclideActivity_megabecquerel</t>
  </si>
  <si>
    <t>(UN Economic Commission for Europe (UNECE) Rec. 20: 'B25')</t>
  </si>
  <si>
    <t>kilobecquerel</t>
  </si>
  <si>
    <t>Kilobecquerel</t>
  </si>
  <si>
    <t>A conventional unit of measurement of radionuclide activity (radioactivity) that is 1,000.0 becquerels.</t>
  </si>
  <si>
    <t>radionuclideActivity_kilobecquerel</t>
  </si>
  <si>
    <t>(UN Economic Commission for Europe (UNECE) Rec. 20: 'BQL')</t>
  </si>
  <si>
    <t>becquerel</t>
  </si>
  <si>
    <t>Becquerel</t>
  </si>
  <si>
    <t>The derived unit of measurement of radionuclide activity (radioactivity) in the SI units system; it is the activity of a quantity of radioactive material in which one nucleus decays per second.</t>
  </si>
  <si>
    <t>radionuclideActivity_becquerel</t>
  </si>
  <si>
    <t>perSecond</t>
  </si>
  <si>
    <t>per Second</t>
  </si>
  <si>
    <t>A scaled dimensionless rate denoting one part in one second.</t>
  </si>
  <si>
    <t>rate_perSecond</t>
  </si>
  <si>
    <t>perMinute</t>
  </si>
  <si>
    <t>per Minute</t>
  </si>
  <si>
    <t>A scaled dimensionless rate denoting one part in one minute, that time which is 60 seconds in duration.</t>
  </si>
  <si>
    <t>rate_perMinute</t>
  </si>
  <si>
    <t>perHour</t>
  </si>
  <si>
    <t>per Hour</t>
  </si>
  <si>
    <t>A scaled dimensionless rate denoting one part in one hour, that time which is 60 minutes in duration, being 3600 seconds.</t>
  </si>
  <si>
    <t>rate_perHour</t>
  </si>
  <si>
    <t>perDay</t>
  </si>
  <si>
    <t>per Day</t>
  </si>
  <si>
    <t>A scaled dimensionless rate denoting one part in one day, that time which is 24 hours in duration, being 86,400 seconds.</t>
  </si>
  <si>
    <t>rate_perDay</t>
  </si>
  <si>
    <t>perAnnum</t>
  </si>
  <si>
    <t>per Annum (tropical year)</t>
  </si>
  <si>
    <t>A scaled dimensionless rate denoting one part in one tropical year, that time which the Sun takes to return to the same position in the cycle of seasons as seen from Earth, that was 365.270535606 days in duration at noon 1 January 2000 (J2000.0), being 31559374.2763456 seconds at that time.</t>
  </si>
  <si>
    <t>rate_perAnnum</t>
  </si>
  <si>
    <t>percentPerAnnum</t>
  </si>
  <si>
    <t>Percent per Annum (tropical year)</t>
  </si>
  <si>
    <t>A scaled dimensionless rate denoting one part in every hundred in one tropical year, that time which the Sun takes to return to the same position in the cycle of seasons as seen from Earth, that was 365.270535606 days in duration at noon 1 January 2000 (J2000.0), being 31559374.2763456 seconds at that time.</t>
  </si>
  <si>
    <t>rate_percentPerAnnum</t>
  </si>
  <si>
    <t>partsPerThousandPerAnnum</t>
  </si>
  <si>
    <t>Parts per Thousand per Annum (tropical year)</t>
  </si>
  <si>
    <t>A scaled dimensionless rate denoting one part in every thousand in one tropical year, that time which the Sun takes to return to the same position in the cycle of seasons as seen from Earth, that was 365.270535606 days in duration at noon 1 January 2000 (J2000.0), being 31559374.2763456 seconds at that time.</t>
  </si>
  <si>
    <t>rate_partsPerThousandPerAnnum</t>
  </si>
  <si>
    <t>(UN Economic Commission for Europe (UNECE) Rec. 20: 'C93')</t>
  </si>
  <si>
    <t>perSquareMetre</t>
  </si>
  <si>
    <t>Reciprocal Square Metre</t>
  </si>
  <si>
    <t>The derived unit of measurement of inverse (reciprocal) area in the SI units system.</t>
  </si>
  <si>
    <t>reciprocalArea_perSquareMetre</t>
  </si>
  <si>
    <t>perSquareKilometre</t>
  </si>
  <si>
    <t>Reciprocal Square Kilometre</t>
  </si>
  <si>
    <t>A conventional unit of measurement of inverse (reciprocal) area that is one millionth per square metre.</t>
  </si>
  <si>
    <t>reciprocalArea_perSquareKilometre</t>
  </si>
  <si>
    <t>perSquareStatuteMile</t>
  </si>
  <si>
    <t>Reciprocal Square Statute Mile</t>
  </si>
  <si>
    <t>A conventional unit of measurement of inverse (reciprocal) area that is approximately 0.000386102 per square kilometre (3.86102 x 10^-10 per square metre).</t>
  </si>
  <si>
    <t>reciprocalArea_perSquareStatuteMile</t>
  </si>
  <si>
    <t>(UN Economic Commission for Europe (UNECE) Rec. 20: 'C97')</t>
  </si>
  <si>
    <t>reciprocalSecond</t>
  </si>
  <si>
    <t>Reciprocal Second</t>
  </si>
  <si>
    <t>The derived unit of measurement of inverse (reciprocal) time in the SI units system.</t>
  </si>
  <si>
    <t>reciprocalTime_reciprocalSecond</t>
  </si>
  <si>
    <t>(UN Economic Commission for Europe (UNECE) Rec. 20: 'C94')</t>
  </si>
  <si>
    <t>reciprocalMinute</t>
  </si>
  <si>
    <t>Reciprocal Minute</t>
  </si>
  <si>
    <t>A conventional unit of measurement of inverse (reciprocal) time based on the minute, that time which is 60 seconds in duration.</t>
  </si>
  <si>
    <t>reciprocalTime_reciprocalMinute</t>
  </si>
  <si>
    <t>reciprocalHour</t>
  </si>
  <si>
    <t>Reciprocal Hour</t>
  </si>
  <si>
    <t>A conventional unit of measurement of inverse (reciprocal) time based on the hour, that time which is 60 minutes in duration, being 3600 seconds.</t>
  </si>
  <si>
    <t>reciprocalTime_reciprocalHour</t>
  </si>
  <si>
    <t>reciprocalDay</t>
  </si>
  <si>
    <t>Reciprocal Day</t>
  </si>
  <si>
    <t>A conventional unit of measurement of inverse (reciprocal) time based on the day, that time which is 24 hours in duration, being 86,400 seconds.</t>
  </si>
  <si>
    <t>reciprocalTime_reciprocalDay</t>
  </si>
  <si>
    <t>reciprocalYear</t>
  </si>
  <si>
    <t>Reciprocal (tropical) Year</t>
  </si>
  <si>
    <t>A conventional unit of measurement of inverse (reciprocal) time based on the tropical year, that time which the Sun takes to return to the same position in the cycle of seasons as seen from Earth, that was 365.270535606 days in duration at noon 1 January 2000 (J2000.0), being 31559374.2763456 seconds at that time.</t>
  </si>
  <si>
    <t>reciprocalTime_reciprocalYear</t>
  </si>
  <si>
    <t>(UN Economic Commission for Europe (UNECE) Rec. 20: 'D27')</t>
  </si>
  <si>
    <t>steradian</t>
  </si>
  <si>
    <t>Steradian</t>
  </si>
  <si>
    <t>The supplemental unit of measurement of solid angle in the SI units system; the solid angle subtended at the center of a sphere by a portion of the surface of that sphere whose area equals the square of the radius of the sphere.</t>
  </si>
  <si>
    <t>solidAngle_steradian</t>
  </si>
  <si>
    <t>machNumber</t>
  </si>
  <si>
    <t>Mach Number</t>
  </si>
  <si>
    <t>The physical quantity that is the ratio of the speed of an object to the speed of sound in the surrounding medium, being a dimensionless measure.</t>
  </si>
  <si>
    <t>soundSpeedRatio_machNumber</t>
  </si>
  <si>
    <t>deciMachNumber</t>
  </si>
  <si>
    <t>Decimach Number</t>
  </si>
  <si>
    <t>A conventional unit of measurement equal to one tenth of the ratio of the speed of an object to the speed of sound in the surrounding medium.</t>
  </si>
  <si>
    <t>soundSpeedRatio_deciMachNumber</t>
  </si>
  <si>
    <t>(UN Economic Commission for Europe (UNECE) Rec. 20: 'MTS')</t>
  </si>
  <si>
    <t>metrePerSecond</t>
  </si>
  <si>
    <t>Metre per Second</t>
  </si>
  <si>
    <t>The derived unit of measurement of speed in the SI units system.</t>
  </si>
  <si>
    <t>speed_metrePerSecond</t>
  </si>
  <si>
    <t>decimetrePerSecond</t>
  </si>
  <si>
    <t>Decimetre per Second</t>
  </si>
  <si>
    <t>A conventional unit of measurement of speed equal to 0.1 metres per second.</t>
  </si>
  <si>
    <t>speed_decimetrePerSecond</t>
  </si>
  <si>
    <t>(UN Economic Commission for Europe (UNECE) Rec. 20: 'KMH')</t>
  </si>
  <si>
    <t>kilometrePerHour</t>
  </si>
  <si>
    <t>Kilometre per Hour</t>
  </si>
  <si>
    <t>A conventional unit of measurement of speed equal to 0.277778 metres per second.</t>
  </si>
  <si>
    <t>speed_kilometrePerHour</t>
  </si>
  <si>
    <t>hectometrePerHour</t>
  </si>
  <si>
    <t>Hectometre per Hour</t>
  </si>
  <si>
    <t>A conventional unit of measurement of speed equal to 0.0277778 metres per second.</t>
  </si>
  <si>
    <t>speed_hectometrePerHour</t>
  </si>
  <si>
    <t>decaknot</t>
  </si>
  <si>
    <t>Decaknot</t>
  </si>
  <si>
    <t>A conventional unit of measurement of speed that is ten nautical miles per hour, being 5.14444 metres per second.</t>
  </si>
  <si>
    <t>Exactly 18.52 kilometres per hour.</t>
  </si>
  <si>
    <t>speed_decaknot</t>
  </si>
  <si>
    <t>(UN Economic Commission for Europe (UNECE) Rec. 20: 'KNT')</t>
  </si>
  <si>
    <t>knot</t>
  </si>
  <si>
    <t>Knot</t>
  </si>
  <si>
    <t>A conventional unit of measurement of speed that is one nautical mile per hour, being 0.514444 metres per second.</t>
  </si>
  <si>
    <t>Exactly 1.852 kilometres per hour.</t>
  </si>
  <si>
    <t>speed_knot</t>
  </si>
  <si>
    <t>(UN Economic Commission for Europe (UNECE) Rec. 20: 'HM')</t>
  </si>
  <si>
    <t>statuteMilePerHour</t>
  </si>
  <si>
    <t>Statute Mile per Hour</t>
  </si>
  <si>
    <t>A conventional unit of measurement of speed equal to 0.44704 metres per second.</t>
  </si>
  <si>
    <t>speed_statuteMilePerHour</t>
  </si>
  <si>
    <t>(UN Economic Commission for Europe (UNECE) Rec. 20: 'FS')</t>
  </si>
  <si>
    <t>footPerSecond</t>
  </si>
  <si>
    <t>Foot per Second</t>
  </si>
  <si>
    <t>A conventional unit of measurement of speed equal to 0.3048 metres per second.</t>
  </si>
  <si>
    <t>speed_footPerSecond</t>
  </si>
  <si>
    <t>dataMilePerHour</t>
  </si>
  <si>
    <t>Data Mile per Hour</t>
  </si>
  <si>
    <t>A conventional unit of measurement of speed used in Variable Message Format (VMF), being 6000 feet per hour (0.508 metres per second).</t>
  </si>
  <si>
    <t>speed_dataMilePerHour</t>
  </si>
  <si>
    <t>kilometrePerDay</t>
  </si>
  <si>
    <t>Kilometre per Day</t>
  </si>
  <si>
    <t>A conventional unit of measurement of speed equal to 0.011574 metres per second.</t>
  </si>
  <si>
    <t>speed_kilometrePerDay</t>
  </si>
  <si>
    <t>metrePerDay</t>
  </si>
  <si>
    <t>Metre per Day</t>
  </si>
  <si>
    <t>A conventional unit of measurement of speed equal to 0.000011574 metres per second.</t>
  </si>
  <si>
    <t>speed_metrePerDay</t>
  </si>
  <si>
    <t>millimetrePerDay</t>
  </si>
  <si>
    <t>Millimetre per Day</t>
  </si>
  <si>
    <t>A conventional unit of measurement of speed equal to 0.000000011574 metres per second.</t>
  </si>
  <si>
    <t>speed_millimetrePerDay</t>
  </si>
  <si>
    <t>millimetrePerHour</t>
  </si>
  <si>
    <t>Millimetre per Hour</t>
  </si>
  <si>
    <t>A conventional unit of measurement of speed equal to 0.000000277776 metres per second.</t>
  </si>
  <si>
    <t>speed_millimetrePerHour</t>
  </si>
  <si>
    <t>kilogramPerSqMetreSecond</t>
  </si>
  <si>
    <t>Kilogram per Square Metre Second</t>
  </si>
  <si>
    <t>The derived unit of measurement of surface mass density rate in the SI units system.</t>
  </si>
  <si>
    <t>surfaceMassDensityRate_kilogramPerSqMetreSecond</t>
  </si>
  <si>
    <t>microgramPerSqMetreSecond</t>
  </si>
  <si>
    <t>Microgram per Square Metre Second</t>
  </si>
  <si>
    <t>A conventional unit of measurement of surface mass density rate equal to 0.000000001 kilogram per square metre second.</t>
  </si>
  <si>
    <t>surfaceMassDensityRate_microgramPerSqMetreSecond</t>
  </si>
  <si>
    <t>(UN Economic Commission for Europe (UNECE) Rec. 20: 'KEL')</t>
  </si>
  <si>
    <t>kelvin</t>
  </si>
  <si>
    <t>Kelvin</t>
  </si>
  <si>
    <t>The base unit in SI for the physical quantity "thermodynamic temperature", defined as the fraction 1/273.16 of the thermodynamic temperature of the triple point of water.</t>
  </si>
  <si>
    <t>thermodynamicTemperature_kelvin</t>
  </si>
  <si>
    <t>(UN Economic Commission for Europe (UNECE) Rec. 20: 'CEL')</t>
  </si>
  <si>
    <t>degreeCelsius</t>
  </si>
  <si>
    <t>Degree Celsius</t>
  </si>
  <si>
    <t>A conventional unit of measurement of thermodynamic temperature, based absolute zero and the freezing (triple point) point of water (those points being 273.16 degrees Celsius in separation), that is related to Kelvin by absolute zero being -273.15 degrees Celsius; the triple point of water is 0.01 degrees Celsius whereas the boiling point of water at 1 atmosphere pressure is 99.9839 degrees Celsius.</t>
  </si>
  <si>
    <t>Centigrade</t>
  </si>
  <si>
    <t>thermodynamicTemperature_degreeCelsius</t>
  </si>
  <si>
    <t>(UN Economic Commission for Europe (UNECE) Rec. 20: 'FAH')</t>
  </si>
  <si>
    <t>degreeFahrenheit</t>
  </si>
  <si>
    <t>Degree Fahrenheit</t>
  </si>
  <si>
    <t>A conventional unit of measurement of thermodynamic temperature, based on the freezing and boiling points of water (those points being 180 degrees Fahrenheit in separation), that is related to Kelvin by absolute zero being -459.67 degrees Fahrenheit; the triple point of water is 32.018 degrees Fahrenheit whereas the boiling point of water at 1 atmosphere pressure is 211.9710 degrees Fahrenheit.</t>
  </si>
  <si>
    <t>thermodynamicTemperature_degreeFahrenheit</t>
  </si>
  <si>
    <t>(UN Economic Commission for Europe (UNECE) Rec. 20: 'D42')</t>
  </si>
  <si>
    <t>tropicalYear</t>
  </si>
  <si>
    <t>Tropical Year</t>
  </si>
  <si>
    <t>A conventional unit of measurement of time, that which the Sun takes to return to the same position in the cycle of seasons as seen from Earth, that was 365.270535606 days in duration at noon 1 January 2000 (J2000.0), being 31559374.2763456 seconds at that time.</t>
  </si>
  <si>
    <t>Annum</t>
  </si>
  <si>
    <t>time_tropicalYear</t>
  </si>
  <si>
    <t>(UN Economic Commission for Europe (UNECE) Rec. 20: 'ANN')</t>
  </si>
  <si>
    <t>siderealYear</t>
  </si>
  <si>
    <t>Sidereal Year</t>
  </si>
  <si>
    <t>A conventional unit of measurement of time, that taken by the Earth to orbit the Sun once with respect to the fixed stars, that was 365.256363004 days in duration at noon 1 January 2000 (J2000.0), being 31558149.7635456 seconds at that time.</t>
  </si>
  <si>
    <t>time_siderealYear</t>
  </si>
  <si>
    <t>(UN Economic Commission for Europe (UNECE) Rec. 20: 'WEE')</t>
  </si>
  <si>
    <t>week</t>
  </si>
  <si>
    <t>Week</t>
  </si>
  <si>
    <t>A conventional unit of measurement of time that is 7 days in duration, being 604,800 seconds.</t>
  </si>
  <si>
    <t>time_week</t>
  </si>
  <si>
    <t>(UN Economic Commission for Europe (UNECE) Rec. 20: 'DAY')</t>
  </si>
  <si>
    <t>day</t>
  </si>
  <si>
    <t>Day</t>
  </si>
  <si>
    <t>A conventional unit of measurement of time that is 24 hours in duration, being 86,400 seconds.</t>
  </si>
  <si>
    <t>time_day</t>
  </si>
  <si>
    <t>(UN Economic Commission for Europe (UNECE) Rec. 20: 'HUR')</t>
  </si>
  <si>
    <t>hour</t>
  </si>
  <si>
    <t>Hour</t>
  </si>
  <si>
    <t>A conventional unit of measurement of time that is 60 minutes in duration, being 3600 seconds.</t>
  </si>
  <si>
    <t>time_hour</t>
  </si>
  <si>
    <t>(UN Economic Commission for Europe (UNECE) Rec. 20: 'MIN')</t>
  </si>
  <si>
    <t>minute</t>
  </si>
  <si>
    <t>Minute</t>
  </si>
  <si>
    <t>A conventional unit of measurement of time that is 60 seconds in duration.</t>
  </si>
  <si>
    <t>time_minute</t>
  </si>
  <si>
    <t>(UN Economic Commission for Europe (UNECE) Rec. 20: 'SEC')</t>
  </si>
  <si>
    <t>second</t>
  </si>
  <si>
    <t>Second</t>
  </si>
  <si>
    <t>The base unit in SI for the physical quantity "time", defined as the duration of 9,192,631,770 periods of the radiation corresponding to the transition between the two hyperfine levels of the ground state of the caesium 133 atom.</t>
  </si>
  <si>
    <t>time_second</t>
  </si>
  <si>
    <t>(UN Economic Commission for Europe (UNECE) Rec. 20: 'C26')</t>
  </si>
  <si>
    <t>millisecond</t>
  </si>
  <si>
    <t>Millsecond</t>
  </si>
  <si>
    <t>A conventional unit of measurement of time that is 0.001 seconds in duration.</t>
  </si>
  <si>
    <t>time_millisecond</t>
  </si>
  <si>
    <t>(UN Economic Commission for Europe (UNECE) Rec. 20: 'MTQ')</t>
  </si>
  <si>
    <t>cubicMetre</t>
  </si>
  <si>
    <t>Cubic Metre</t>
  </si>
  <si>
    <t>The derived unit of measurement of volume in the SI units system.</t>
  </si>
  <si>
    <t>volume_cubicMetre</t>
  </si>
  <si>
    <t>(UN Economic Commission for Europe (UNECE) Rec. 20: 'DMQ')</t>
  </si>
  <si>
    <t>cubicDecimetre</t>
  </si>
  <si>
    <t>Cubic Decimetre</t>
  </si>
  <si>
    <t>A conventional unit of measurement of volume whose dimensions are one decimetre on each side, equal to one thousandth of a cubic metre.</t>
  </si>
  <si>
    <t>volume_cubicDecimetre</t>
  </si>
  <si>
    <t>(UN Economic Commission for Europe (UNECE) Rec. 20: 'CMQ')</t>
  </si>
  <si>
    <t>cubicCentimetre</t>
  </si>
  <si>
    <t>Cubic Centimetre</t>
  </si>
  <si>
    <t>A conventional unit of measurement of volume whose dimensions are one centimetre on each side, equal to one millionth of a cubic metre.</t>
  </si>
  <si>
    <t>volume_cubicCentimetre</t>
  </si>
  <si>
    <t>(UN Economic Commission for Europe (UNECE) Rec. 20: 'MMQ')</t>
  </si>
  <si>
    <t>cubicMillimetre</t>
  </si>
  <si>
    <t>Cubic Millimetre</t>
  </si>
  <si>
    <t>A conventional unit of measurement of volume whose dimensions are one millimetre on each side, equal to one billionth of a cubic metre.</t>
  </si>
  <si>
    <t>volume_cubicMillimetre</t>
  </si>
  <si>
    <t>(UN Economic Commission for Europe (UNECE) Rec. 20: 'YDQ')</t>
  </si>
  <si>
    <t>cubicYard</t>
  </si>
  <si>
    <t>Cubic Yard</t>
  </si>
  <si>
    <t>A conventional unit of measurement of volume whose dimensions are one yard on each side, 0.76445549 cubic metres.</t>
  </si>
  <si>
    <t>volume_cubicYard</t>
  </si>
  <si>
    <t>(UN Economic Commission for Europe (UNECE) Rec. 20: 'FTQ')</t>
  </si>
  <si>
    <t>cubicFoot</t>
  </si>
  <si>
    <t>Cubic Foot</t>
  </si>
  <si>
    <t>A conventional unit of measurement of volume whose dimensions are one foot on each side, 0.02831685 cubic metres.</t>
  </si>
  <si>
    <t>volume_cubicFoot</t>
  </si>
  <si>
    <t>(UN Economic Commission for Europe (UNECE) Rec. 20: 'INQ')</t>
  </si>
  <si>
    <t>cubicInch</t>
  </si>
  <si>
    <t>Cubic Inch</t>
  </si>
  <si>
    <t>A conventional unit of measurement of volume whose dimensions are one inch on each side, 0.000016387064 cubic metres.</t>
  </si>
  <si>
    <t>volume_cubicInch</t>
  </si>
  <si>
    <t>(UN Economic Commission for Europe (UNECE) Rec. 20: 'LTR')</t>
  </si>
  <si>
    <t>litre</t>
  </si>
  <si>
    <t>Litre</t>
  </si>
  <si>
    <t>A special name for a cubic decimetre, being a conventional unit of measurement of liquid volume whose dimensions are one decimetre on each side, equal to one thousandth of a cubic metre.</t>
  </si>
  <si>
    <t>volume_litre</t>
  </si>
  <si>
    <t>(UN Economic Commission for Europe (UNECE) Rec. 20: 'DLT')</t>
  </si>
  <si>
    <t>decilitre</t>
  </si>
  <si>
    <t>Decilitre</t>
  </si>
  <si>
    <t>A conventional unit of measurement of liquid volume equal to one tenth of a liter and one ten-thousandth of a cubic metre.</t>
  </si>
  <si>
    <t>volume_decilitre</t>
  </si>
  <si>
    <t>(UN Economic Commission for Europe (UNECE) Rec. 20: 'MLT')</t>
  </si>
  <si>
    <t>millilitre</t>
  </si>
  <si>
    <t>Millilitre</t>
  </si>
  <si>
    <t>A special name for a cubic centimetre, being a conventional unit of measurement of liquid volume whose dimensions are one centimetre on each side, equal to one millionth of a cubic metre.</t>
  </si>
  <si>
    <t>volume_millilitre</t>
  </si>
  <si>
    <t>(UN Economic Commission for Europe (UNECE) Rec. 20: 'GLL')</t>
  </si>
  <si>
    <t>usGallon</t>
  </si>
  <si>
    <t>U.S. Gallon</t>
  </si>
  <si>
    <t>A conventional unit of measurement of liquid volume that is 231 cubic inches in dimension, 0.003785412 cubic metres.</t>
  </si>
  <si>
    <t>volume_usGallon</t>
  </si>
  <si>
    <t>(UN Economic Commission for Europe (UNECE) Rec. 20: 'QT')</t>
  </si>
  <si>
    <t>usQuart</t>
  </si>
  <si>
    <t>U.S. Quart</t>
  </si>
  <si>
    <t>A conventional unit of measurement of liquid volume that is 1/4 of a U.S. gallon, being 0.000946353 cubic metres.</t>
  </si>
  <si>
    <t>volume_usQuart</t>
  </si>
  <si>
    <t>(UN Economic Commission for Europe (UNECE) Rec. 20: 'PT')</t>
  </si>
  <si>
    <t>usPint</t>
  </si>
  <si>
    <t>U.S. Pint</t>
  </si>
  <si>
    <t>A conventional unit of measurement of liquid volume that is 1/2 of a U.S. quart, being 0.0004731765 cubic metres.</t>
  </si>
  <si>
    <t>volume_usPint</t>
  </si>
  <si>
    <t>(UN Economic Commission for Europe (UNECE) Rec. 20: 'CU')</t>
  </si>
  <si>
    <t>usCup</t>
  </si>
  <si>
    <t>U.S. Cup</t>
  </si>
  <si>
    <t>A conventional unit of measurement of liquid volume that is 1/2 of a U.S. pint, being 0.00023658825 cubic metres.</t>
  </si>
  <si>
    <t>volume_usCup</t>
  </si>
  <si>
    <t>(UN Economic Commission for Europe (UNECE) Rec. 20: 'OZA')</t>
  </si>
  <si>
    <t>usFluidOunce</t>
  </si>
  <si>
    <t>U.S. Fluid Ounce</t>
  </si>
  <si>
    <t>A conventional unit of measurement of liquid volume that is 1/8 of a U.S. pint, being 0.00002957353 cubic metres.</t>
  </si>
  <si>
    <t>volume_usFluidOunce</t>
  </si>
  <si>
    <t>usBarrelOil</t>
  </si>
  <si>
    <t>U.S. Barrel (oil)</t>
  </si>
  <si>
    <t>A conventional unit of measurement of liquid volume that is 42 U.S. gallons, being approximately 0.158987294928 cubic metres.</t>
  </si>
  <si>
    <t>Because oil changes in volume depending upon its pressure and temperature, and the standard temperatures differ slightly between the American conventional and international metric systems, the volume must be corrected to standard conditions for temperature and pressure if an extremely accurate conversion to metric is required. The American Petroleum Institute (API) has adopted the convention that if oil is measured in oil barrels, it will be at 14.696 pounds per square inch (psi) and 60 degrees Fahrenheit, whereas if it is measured in cubic metres, it will be at 101.325 kilopascals (kPa) and 15 degrees Centigrade (or in some cases 20 degrees Centigrade; ignoring the difference may introduce an error of around 0.4 percent).</t>
  </si>
  <si>
    <t>volume_usBarrelOil</t>
  </si>
  <si>
    <t>(UN Economic Commission for Europe (UNECE) Rec. 20: 'MQS')</t>
  </si>
  <si>
    <t>cubicMetrePerSecond</t>
  </si>
  <si>
    <t>Cubic Metre per Second</t>
  </si>
  <si>
    <t>The derived unit of measurement of volume flow rate in the SI units system.</t>
  </si>
  <si>
    <t>volumeFlowRate_cubicMetrePerSecond</t>
  </si>
  <si>
    <t>litrePerSecond</t>
  </si>
  <si>
    <t>Litre per Second</t>
  </si>
  <si>
    <t>A conventional unit of measurement of volume flow that is 0.001 cubic metres per second.</t>
  </si>
  <si>
    <t>volumeFlowRate_litrePerSecond</t>
  </si>
  <si>
    <t>cubicMetrePerMinute</t>
  </si>
  <si>
    <t>Cubic Metre per Minute</t>
  </si>
  <si>
    <t>A conventional unit of measurement of volume flow that is approximately 0.016667 cubic metres per second.</t>
  </si>
  <si>
    <t>volumeFlowRate_cubicMetrePerMinute</t>
  </si>
  <si>
    <t>(UN Economic Commission for Europe (UNECE) Rec. 20: 'L2')</t>
  </si>
  <si>
    <t>litrePerMinute</t>
  </si>
  <si>
    <t>Litre per Minute</t>
  </si>
  <si>
    <t>A conventional unit of measurement of volume flow that is approximately 0.000016667 cubic metres per second.</t>
  </si>
  <si>
    <t>volumeFlowRate_litrePerMinute</t>
  </si>
  <si>
    <t>(UN Economic Commission for Europe (UNECE) Rec. 20: 'MQH')</t>
  </si>
  <si>
    <t>cubicMetrePerHour</t>
  </si>
  <si>
    <t>Cubic Metre per Hour</t>
  </si>
  <si>
    <t>A conventional unit of measurement of volume flow that is approximately 0.0002777 cubic metres per second.</t>
  </si>
  <si>
    <t>volumeFlowRate_cubicMetrePerHour</t>
  </si>
  <si>
    <t>(UN Economic Commission for Europe (UNECE) Rec. 20: 'E32')</t>
  </si>
  <si>
    <t>litrePerHour</t>
  </si>
  <si>
    <t>Litre per Hour</t>
  </si>
  <si>
    <t>A conventional unit of measurement of volume flow that is approximately 0.00000016667 cubic metres per second.</t>
  </si>
  <si>
    <t>volumeFlowRate_litrePerHour</t>
  </si>
  <si>
    <t>cubicMetrePerDay</t>
  </si>
  <si>
    <t>Cubic Metre per Day</t>
  </si>
  <si>
    <t>A conventional unit of measurement of volume flow that is approximately 0.00001157417 cubic metres per second.</t>
  </si>
  <si>
    <t>volumeFlowRate_cubicMetrePerDay</t>
  </si>
  <si>
    <t>cubicMetrePerAnnum</t>
  </si>
  <si>
    <t>Cubic Metre per Annum (tropical year)</t>
  </si>
  <si>
    <t>A conventional unit of measurement of volume flow that is approximately 0.00000003167743 cubic metres per second.</t>
  </si>
  <si>
    <t>volumeFlowRate_cubicMetrePerAnnum</t>
  </si>
  <si>
    <t>millionCubicMetrePerAnnum</t>
  </si>
  <si>
    <t>Million Cubic Metre per Annum (tropical year)</t>
  </si>
  <si>
    <t>A conventional unit of measurement of volume flow that is approximately 0.03167743 cubic metres per second.</t>
  </si>
  <si>
    <t>volumeFlowRate_millionCubicMetrePerAnnum</t>
  </si>
  <si>
    <t>cubicMetrePerCubicMetre</t>
  </si>
  <si>
    <t>Cubic Metre per Cubic Metre</t>
  </si>
  <si>
    <t>The derived unit of measurement of volume fraction in the SI units system.</t>
  </si>
  <si>
    <t>volumeFraction_cubicMetrePerCubicMetre</t>
  </si>
  <si>
    <t>Datatype Link
[Short Name]</t>
  </si>
  <si>
    <t>5-3-1 Code</t>
  </si>
  <si>
    <t>AccessZone</t>
  </si>
  <si>
    <t>FA005</t>
  </si>
  <si>
    <t>Access Zone</t>
  </si>
  <si>
    <t>A terrain region between a contact zone and the first passable land transportation route (for example: a road).</t>
  </si>
  <si>
    <t>X</t>
  </si>
  <si>
    <t>AcousticStation</t>
  </si>
  <si>
    <t>BK010</t>
  </si>
  <si>
    <t>Acoustic Station</t>
  </si>
  <si>
    <t>The geographic location at which a set of acoustic observations were taken.</t>
  </si>
  <si>
    <t>ActorEntity</t>
  </si>
  <si>
    <t>ZI044</t>
  </si>
  <si>
    <t>Actor Entity</t>
  </si>
  <si>
    <t>An abstract modeling entity that is a superclass for actor types, which are representations of intentional (that is, purposeful) entities that act or have the capability of acting as a participant in an event.</t>
  </si>
  <si>
    <t>An actor may control resources or direct activity, and may do so by holding an organizational role. Actor entities include persons, social groups, organisations, and, in some contexts, automata. Collective actors (for example: organizations) may have a distributed rather than a point location.</t>
  </si>
  <si>
    <t>AdministrativeBoundary</t>
  </si>
  <si>
    <t>FA000</t>
  </si>
  <si>
    <t>Administrative Boundary</t>
  </si>
  <si>
    <t>A boundary between administratively controlled regions.</t>
  </si>
  <si>
    <t>AdministrativeDivision</t>
  </si>
  <si>
    <t>FA003</t>
  </si>
  <si>
    <t>Administrative Division</t>
  </si>
  <si>
    <t>An administratively subordinate division of a geopolitical entity.</t>
  </si>
  <si>
    <t>A geopolitical entity (country) is typically divided into first-, second-, and lower-order administrative divisions. First-order administrative divisions are immediately subordinate to the government of the geopolitical entity, with second- and lower-order divisions subordinate to those above them. Examples: (first-order) a United States state, a German Land, a French region; a Canadian province; (second-order) a U.S. county, a French department; (third-order) a U.S. township, a French arrondissement; (lower-levels) a French commune.</t>
  </si>
  <si>
    <t>AdminDivisionDesig</t>
  </si>
  <si>
    <t>ZI021</t>
  </si>
  <si>
    <t>Administrative Division Designation</t>
  </si>
  <si>
    <t>A modeling entity collecting information about designations (for example: standardized names or codes) for a subordinate administrative division (for example: a (US) state, a (UK) county, a (US) township, a (CA) province, a (FR) arrondissement, a (CH) canton, a (GE) laender and a (FR) commune) of a geopolitical entity (for example: a State).</t>
  </si>
  <si>
    <t>AdministrativeRegion</t>
  </si>
  <si>
    <t>FA001</t>
  </si>
  <si>
    <t>Administrative Region</t>
  </si>
  <si>
    <t>A region controlled by an administrative authority.</t>
  </si>
  <si>
    <t>AerationBasin</t>
  </si>
  <si>
    <t>AB040</t>
  </si>
  <si>
    <t>Aeration Basin</t>
  </si>
  <si>
    <t>A basin, usually artificial, in which air is mixed with partially treated wastewater.</t>
  </si>
  <si>
    <t>The water is treated with microorganisms to consume organic materials and convert suspended solids to settleable solids that are later collected by a settling pond and removed as sludge.</t>
  </si>
  <si>
    <t>Aerial</t>
  </si>
  <si>
    <t>AT011</t>
  </si>
  <si>
    <t>A device that is used for emitting and/or sensing electromagnetic energy.</t>
  </si>
  <si>
    <t>For example, used to transmit and/or receive electronic signals as on a radio tower or to capture electromagnetic energy as in radio astronomy.</t>
  </si>
  <si>
    <t>AerialCablePylon</t>
  </si>
  <si>
    <t>AQ020</t>
  </si>
  <si>
    <t>Aerial Cable Pylon</t>
  </si>
  <si>
    <t>A pylon supporting an aerial cable.</t>
  </si>
  <si>
    <t>For example, a ski lift pylon.</t>
  </si>
  <si>
    <t>AerialFarm</t>
  </si>
  <si>
    <t>AT012</t>
  </si>
  <si>
    <t>Aerial Farm</t>
  </si>
  <si>
    <t>A collection of aerials that are collocated and serve a common purpose.</t>
  </si>
  <si>
    <t>They may be organized either to function as a single larger virtual device (for example: a phased array) or function relatively independently of each other (for example: pointed in different directions and operating at different frequencies as at a satellite communication ground station).</t>
  </si>
  <si>
    <t>Aerodrome</t>
  </si>
  <si>
    <t>GB001</t>
  </si>
  <si>
    <t>A defined area on land or water (including any buildings, installations and equipment) intended to be used either wholly or in part for the arrival, departure and surface movement of aircraft.</t>
  </si>
  <si>
    <t>Airport/Heliport, Air Facility</t>
  </si>
  <si>
    <t>AerodromeBeacon</t>
  </si>
  <si>
    <t>GB013</t>
  </si>
  <si>
    <t>Aerodrome Beacon</t>
  </si>
  <si>
    <t>A beacon used to indicate the location of an aerodrome from the air.</t>
  </si>
  <si>
    <t>Aerodrome beacons may consist of either a rotating light source or a strobe light.</t>
  </si>
  <si>
    <t>AerodromeBoundary</t>
  </si>
  <si>
    <t>GB007</t>
  </si>
  <si>
    <t>Aerodrome Boundary</t>
  </si>
  <si>
    <t>The geographical limits of an aerodrome property as defined by the local authority.</t>
  </si>
  <si>
    <t>AerodromeElecPowerService</t>
  </si>
  <si>
    <t>ZI088</t>
  </si>
  <si>
    <t>Aerodrome Electrical Power Service</t>
  </si>
  <si>
    <t>A modeling entity collecting information regarding the electrical power available at an aerodrome.</t>
  </si>
  <si>
    <t>AerodromeElevationPoint</t>
  </si>
  <si>
    <t>GB037</t>
  </si>
  <si>
    <t>Aerodrome Elevation Point</t>
  </si>
  <si>
    <t>The specific location of the highest point of the aerodrome landing area.</t>
  </si>
  <si>
    <t>Typically this elevation is the highest point on any of the landing runway surfaces, and is considered the specific point at which the official aerodrome elevation is determined.</t>
  </si>
  <si>
    <t>AerodromeFuelFillingStand</t>
  </si>
  <si>
    <t>GB014</t>
  </si>
  <si>
    <t>Aerodrome Fuel Filling Stand</t>
  </si>
  <si>
    <t>A prescribed location in which the fuelling of aircraft and service vehicles from a fixed fuel pumping station is performed.</t>
  </si>
  <si>
    <t>AerodromeHotSpot</t>
  </si>
  <si>
    <t>GB017</t>
  </si>
  <si>
    <t>Aerodrome Hot Spot</t>
  </si>
  <si>
    <t>A location on an aerodrome movement area with a history or potential risk of either collision or runway incursion, and where heightened attention by pilots/drivers is necessary.</t>
  </si>
  <si>
    <t>AerodromeInstLocation</t>
  </si>
  <si>
    <t>GB009</t>
  </si>
  <si>
    <t>Aerodrome Installation Location</t>
  </si>
  <si>
    <t>A location denoting the center of the minimum bounding rectangle that defines the functional area of an aerodrome.</t>
  </si>
  <si>
    <t>The functional area of an aerodrome includes all runways and other aircraft movement areas, hangars, and related facilities required to support aircraft operations.</t>
  </si>
  <si>
    <t>AerodromeMarkings</t>
  </si>
  <si>
    <t>GB008</t>
  </si>
  <si>
    <t>Aerodrome Markings</t>
  </si>
  <si>
    <t>A symbol or group of symbols displayed on the surface of the movement area in order to convey aeronautical information.</t>
  </si>
  <si>
    <t>AerodromeMoveArea</t>
  </si>
  <si>
    <t>GB300</t>
  </si>
  <si>
    <t>Aerodrome Movement Area</t>
  </si>
  <si>
    <t>That part of an aerodrome to be used for the take-off, landing and taxiing of aircraft, consisting of the manoeuvring area and the apron(s).</t>
  </si>
  <si>
    <t>This includes any Aerodrome Service Roads when they are collocated with an apron, taxiway, or runway.</t>
  </si>
  <si>
    <t>AerodromeMoveAreaLighting</t>
  </si>
  <si>
    <t>GB011</t>
  </si>
  <si>
    <t>Aerodrome Movement Area Lighting</t>
  </si>
  <si>
    <t>A lighting system providing guidance to an aircraft or vehicle while on a ground movement area of an aerodrome.</t>
  </si>
  <si>
    <t>Aerodrome Movement Surface Lighting, Surface Lighting System</t>
  </si>
  <si>
    <t>AerodromeParkingInfo</t>
  </si>
  <si>
    <t>ZI042</t>
  </si>
  <si>
    <t>Aerodrome Parking Information</t>
  </si>
  <si>
    <t>A modeling entity collecting information for areas designed for either the movement or the parking of aircraft and that are not reported elsewhere as aprons, hardstands, or helipads.</t>
  </si>
  <si>
    <t>AerodromePassengerService</t>
  </si>
  <si>
    <t>GB820</t>
  </si>
  <si>
    <t>Aerodrome Passenger Service</t>
  </si>
  <si>
    <t>The availability of passenger amenities and facilities at or in the vicinity of an aerodrome.</t>
  </si>
  <si>
    <t>For example, medical facilities located at the aerodrome, or hotels located near the aerodrome.</t>
  </si>
  <si>
    <t>AerodromePavementInfo</t>
  </si>
  <si>
    <t>ZI019</t>
  </si>
  <si>
    <t>Aerodrome Pavement Information</t>
  </si>
  <si>
    <t>A modeling entity collecting information about aircraft pavements at aerodromes and heliports.</t>
  </si>
  <si>
    <t>For example, for runways, taxiways, aprons, and helipads.</t>
  </si>
  <si>
    <t>AerodromeReferencePoint</t>
  </si>
  <si>
    <t>GB047</t>
  </si>
  <si>
    <t>Aerodrome Reference Point (ARP)</t>
  </si>
  <si>
    <t>The designated geographic location of an aerodrome as established by the appropriate authority.</t>
  </si>
  <si>
    <t>The aerodrome reference point shall be located near the initial or planned geometric centre of the aerodrome and shall normally remain where first established.</t>
  </si>
  <si>
    <t>AerodromeServiceRoad</t>
  </si>
  <si>
    <t>GB200</t>
  </si>
  <si>
    <t>Aerodrome Service Road</t>
  </si>
  <si>
    <t>An established surface route on the aerodrome meant for the exclusive use of authorized vehicles and personnel.</t>
  </si>
  <si>
    <t>Aerodrome service roads do not include public access roads. Examples of authorized vehicles are: fuel, maintenance and emergency trucks.</t>
  </si>
  <si>
    <t>AerodromeSurfDetectStation</t>
  </si>
  <si>
    <t>GB028</t>
  </si>
  <si>
    <t>Aerodrome Surface Detection Station</t>
  </si>
  <si>
    <t>The site and equipment of a radar station designed to detect all principal features on the surface of an aerodrome, including aircraft and vehicular traffic, and to present the entire image on a radar indicator console in the aerodrome control tower.</t>
  </si>
  <si>
    <t>The aerodrome surface detection system is used to augment visual observation by tower personnel of aircraft and/or vehicular movements on aerodrome movement surfaces (for example: runways and taxiways).</t>
  </si>
  <si>
    <t>AeronauticalGroundLight</t>
  </si>
  <si>
    <t>GB012</t>
  </si>
  <si>
    <t>Aeronautical Ground Light</t>
  </si>
  <si>
    <t>A light specifically provided as an aid to air navigation, with the exception of obstacle lights and lights forming part of surface or approach lighting systems.</t>
  </si>
  <si>
    <t>AeronauticalObstacle</t>
  </si>
  <si>
    <t>GB220</t>
  </si>
  <si>
    <t>Aeronautical Obstacle</t>
  </si>
  <si>
    <t>Any object, or part thereof, or terrain which rises far enough above the surrounding surface or above a specified height to create a hazard to aircraft operations.</t>
  </si>
  <si>
    <t>Obstacle objects may be fixed (whether temporary or permanent) or mobile.</t>
  </si>
  <si>
    <t>AeroRadioNavInstallation</t>
  </si>
  <si>
    <t>GA033</t>
  </si>
  <si>
    <t>Aeronautical Radio Navigation Installation</t>
  </si>
  <si>
    <t>A ground based piece of electronic equipment that provides aeronautical navigation guidance information or position data.</t>
  </si>
  <si>
    <t>AeroRadioNavInstPoint</t>
  </si>
  <si>
    <t>GA032</t>
  </si>
  <si>
    <t>Aeronautical Radio Navigation Installation Point</t>
  </si>
  <si>
    <t>The navigational center point of a radio navigation installation, determined by either a specified geographic position or by a geographic fix that is referenced to a geographic location.</t>
  </si>
  <si>
    <t>A radio navigation installation point can be used by itself as a navigational fix or be used in combination with a specific bearing and distance to identify another designated point, which is used for navigational purposes.</t>
  </si>
  <si>
    <t>AeroRadioNavService</t>
  </si>
  <si>
    <t>GA034</t>
  </si>
  <si>
    <t>Aeronautical Radio Navigation Service</t>
  </si>
  <si>
    <t>A service providing aeronautical navigation guidance information or position data, intended for the benefit and safe operation of aircraft.</t>
  </si>
  <si>
    <t>AeroRadioNavServCheckpnt</t>
  </si>
  <si>
    <t>GB162</t>
  </si>
  <si>
    <t>Aeronautical Radio Navigation Service Checkpoint</t>
  </si>
  <si>
    <t>A point established and marked on the surface of an aerodrome where the checking of a navigation system can be accomplished.</t>
  </si>
  <si>
    <t>Checkpoint</t>
  </si>
  <si>
    <t>AggradationArea</t>
  </si>
  <si>
    <t>NC015</t>
  </si>
  <si>
    <t>Aggradation Area</t>
  </si>
  <si>
    <t>An area within which lakes are disappearing due to either the diversion of inflowing water or the desposition of (typically fine) sediments and plant colonization.</t>
  </si>
  <si>
    <t>Examples of water diversion include the Aral Sea and Lake Chad.</t>
  </si>
  <si>
    <t>AgriculturalColony</t>
  </si>
  <si>
    <t>AJ100</t>
  </si>
  <si>
    <t>Agricultural Colony</t>
  </si>
  <si>
    <t>A tract of land set aside for agricultural settlement.</t>
  </si>
  <si>
    <t>AgriculturalZone</t>
  </si>
  <si>
    <t>KB025</t>
  </si>
  <si>
    <t>Agricultural Zone</t>
  </si>
  <si>
    <t>A global land-use zone based on a predominant form and type of plant cultivation.</t>
  </si>
  <si>
    <t>Agricultural zones extend across areas of similar latitude and often reflect climatic zones.</t>
  </si>
  <si>
    <t>AirRefuellingAnchorPat</t>
  </si>
  <si>
    <t>GA540</t>
  </si>
  <si>
    <t>Air Refuelling Anchor Pattern</t>
  </si>
  <si>
    <t>A prescribed pattern, established by air refuelling points, along which air-to-air refuelling of aircraft is performed.</t>
  </si>
  <si>
    <t>Air refuelling anchor patterns are usually shaped like an oval racetrack.</t>
  </si>
  <si>
    <t>Air Refuelling Anchor</t>
  </si>
  <si>
    <t>AirRefuellingPoint</t>
  </si>
  <si>
    <t>GA550</t>
  </si>
  <si>
    <t>Air Refuelling Point</t>
  </si>
  <si>
    <t>A geographic position or radio navigation fix along an air refuelling anchor pattern or air refuelling track.</t>
  </si>
  <si>
    <t>Usages include, for example, entry/exit, rendezvous and navigation checkpoint.</t>
  </si>
  <si>
    <t>AirRefuellingProcedure</t>
  </si>
  <si>
    <t>GA520</t>
  </si>
  <si>
    <t>Air Refuelling Procedure</t>
  </si>
  <si>
    <t>A procedure used by the military to transfer fuel from one aircraft to another during flight.</t>
  </si>
  <si>
    <t>AirRefuellingRoute</t>
  </si>
  <si>
    <t>GA535</t>
  </si>
  <si>
    <t>Air Refuelling Route</t>
  </si>
  <si>
    <t>A prescribed path, established by air refuelling points, along which air-to-air refuelling of aircraft is performed.</t>
  </si>
  <si>
    <t>An air refuelling route shares the same characteristics as an air refuelling track and air refuelling anchor pattern, combining the routing structures of both into one specific path for the aircraft to fly.</t>
  </si>
  <si>
    <t>AirRefuellingTrack</t>
  </si>
  <si>
    <t>GA530</t>
  </si>
  <si>
    <t>Air Refuelling Track</t>
  </si>
  <si>
    <t>A prescribed route, established by air refuelling points, geographic points and/or radio navigation fixes, along which air-to-air refuelling of aircraft is performed.</t>
  </si>
  <si>
    <t>AirTrafficService</t>
  </si>
  <si>
    <t>GB810</t>
  </si>
  <si>
    <t>Air Traffic Service (ATS)</t>
  </si>
  <si>
    <t>The availability of one or more flight information services, alerting services, air traffic advisory services, and/or air traffic control services (for example: area control services, approach control services, and aerodrome control services).</t>
  </si>
  <si>
    <t>ATS</t>
  </si>
  <si>
    <t>AtsRouteCrossingInfo</t>
  </si>
  <si>
    <t>GA013</t>
  </si>
  <si>
    <t>Air Traffic Service (ATS) Route Crossing Information</t>
  </si>
  <si>
    <t>A modeling entity collecting information regarding the relationship between an Air Traffic Service (ATS) route segment direction and the ATS route significant point, and how the two are used in an aircraft navigation environment.</t>
  </si>
  <si>
    <t>For example, minimum altitudes for crossing an aviation designated point onto the same air traffic service route or crossing onto a different air traffic service route segment.</t>
  </si>
  <si>
    <t>AtsRouteSegment</t>
  </si>
  <si>
    <t>GA010</t>
  </si>
  <si>
    <t>Air Traffic Service (ATS) Route Segment</t>
  </si>
  <si>
    <t>A portion of an Air Traffic Service (ATS) route to be flown between two consecutive significant points.</t>
  </si>
  <si>
    <t>AtsRouteSegmentDirection</t>
  </si>
  <si>
    <t>GA011</t>
  </si>
  <si>
    <t>Air Traffic Service (ATS) Route Segment Direction</t>
  </si>
  <si>
    <t>One of the two possible directions in which an aircraft may travel along an Air Traffic Service (ATS) route segment.</t>
  </si>
  <si>
    <t>AtsRouteSigPoint</t>
  </si>
  <si>
    <t>GA012</t>
  </si>
  <si>
    <t>Air Traffic Service (ATS) Route Significant Point</t>
  </si>
  <si>
    <t>A designated point within the airspace structure which serves as a beginning, intermediate, or ending point for an Air Traffic Service (ATS) route.</t>
  </si>
  <si>
    <t>AircraftGroundService</t>
  </si>
  <si>
    <t>GB830</t>
  </si>
  <si>
    <t>Aircraft Ground Service</t>
  </si>
  <si>
    <t>The availability of maintenance, support and/or supply operations to aircraft at an aerodrome.</t>
  </si>
  <si>
    <t>AircraftHangar</t>
  </si>
  <si>
    <t>GB230</t>
  </si>
  <si>
    <t>Aircraft Hangar</t>
  </si>
  <si>
    <t>A building for housing aircraft.</t>
  </si>
  <si>
    <t>AircraftStand</t>
  </si>
  <si>
    <t>GB016</t>
  </si>
  <si>
    <t>Aircraft Stand</t>
  </si>
  <si>
    <t>A designated area on an apron intended to be used for parking an aircraft.</t>
  </si>
  <si>
    <t>Airspace</t>
  </si>
  <si>
    <t>GA005</t>
  </si>
  <si>
    <t>A defined three dimensional region of space relevant to air traffic.</t>
  </si>
  <si>
    <t>AirspaceUsageInfo</t>
  </si>
  <si>
    <t>GA006</t>
  </si>
  <si>
    <t>Airspace Usage Information</t>
  </si>
  <si>
    <t>A modeling entity describing specific activities that may occur within the airspace or portions of the airspace.</t>
  </si>
  <si>
    <t>For example, parachute jump or aerobatics areas may occur within an airspace.</t>
  </si>
  <si>
    <t>AirspaceVolume</t>
  </si>
  <si>
    <t>GA007</t>
  </si>
  <si>
    <t>Airspace Volume</t>
  </si>
  <si>
    <t>A defined volume in the air, described as horizontal projection with vertical limits, used to sectionalize the sky for facilitating air traffic services.</t>
  </si>
  <si>
    <t>Algae</t>
  </si>
  <si>
    <t>BD060</t>
  </si>
  <si>
    <t>A region of marine plants that grow in long narrow ribbons.</t>
  </si>
  <si>
    <t>Algae may be moored or floating. For example, sea grass, kelp, or sargasso.</t>
  </si>
  <si>
    <t>Seaweed</t>
  </si>
  <si>
    <t>AlkaliFlat</t>
  </si>
  <si>
    <t>DA006</t>
  </si>
  <si>
    <t>Alkali Flat</t>
  </si>
  <si>
    <t>A sterile plain containing an excess of alkali usually occurring in the bottom of an underdrained basin in an arid or semi-arid region.</t>
  </si>
  <si>
    <t>The ground may be soft and have low shearing and bearing strength, and a high organic content.</t>
  </si>
  <si>
    <t>AlluvialFan</t>
  </si>
  <si>
    <t>DB230</t>
  </si>
  <si>
    <t>Alluvial Fan</t>
  </si>
  <si>
    <t>A fan-shaped alluvial deposit formed especially where a stream begins to descend a gentler slope.</t>
  </si>
  <si>
    <t>AltimeterCheckLocation</t>
  </si>
  <si>
    <t>GB163</t>
  </si>
  <si>
    <t>Altimeter Check Location</t>
  </si>
  <si>
    <t>A point or area designated at an aerodrome where the checking of an altimeter system can be accomplished.</t>
  </si>
  <si>
    <t>Amphitheatre</t>
  </si>
  <si>
    <t>AK164</t>
  </si>
  <si>
    <t>A small tract of level ground serving as a stage that is surrounded by rising slopes (either naturally occurring or artificially constructed) supporting tiered seating (for example: benches).</t>
  </si>
  <si>
    <t>Generally oval or circular in overall shape and typically used for live theatrical presentations, concerts, opera or dance productions, cinema, and/or other stage productions.</t>
  </si>
  <si>
    <t>AmusementPark</t>
  </si>
  <si>
    <t>AK030</t>
  </si>
  <si>
    <t>Amusement Park</t>
  </si>
  <si>
    <t>A predominantly man-made facility equipped with recreational devices.</t>
  </si>
  <si>
    <t>AmusementParkAttraction</t>
  </si>
  <si>
    <t>AK020</t>
  </si>
  <si>
    <t>Amusement Park Attraction</t>
  </si>
  <si>
    <t>A large structure located in an amusement park.</t>
  </si>
  <si>
    <t>Anchor</t>
  </si>
  <si>
    <t>BB019</t>
  </si>
  <si>
    <t>A heavy object, kept in place on the seafloor by its weight and possibly with flukes, to which is attached a cable, rope, or chain that keeps a floating structure (for example, a buoy) on the waterbody surface positioned within a narrow region.</t>
  </si>
  <si>
    <t>AnchorBerth</t>
  </si>
  <si>
    <t>BB012</t>
  </si>
  <si>
    <t>Anchor Berth</t>
  </si>
  <si>
    <t>A designated area of water where a single vessel (for example: a ship or a sea plane) may anchor.</t>
  </si>
  <si>
    <t>Usually defined by a centre point and a swinging circle.</t>
  </si>
  <si>
    <t>Anchorage</t>
  </si>
  <si>
    <t>BB010</t>
  </si>
  <si>
    <t>An area of relatively uniform water depth with no cables, pipelines, or hazardous obstructions present on the seafloor, in which vessels anchor or may anchor.</t>
  </si>
  <si>
    <t>Anchorage areas are additionally determined by: the depth of water in comparison to the tidal range; the material of the seafloor bottom; local environmental effects of wind and currents; and proximity to hazards to navigation, adjacent ships, and harbor traffic lanes. Although the anchorage refers to an identified area along the water surface, its physical structure is considered to be the material and condition of the seafloor below. An anchorage can be physically damaged by natural events (for example: an earthquake or tsunami) by which the preferred seafloor bottom type can change, or hazardous obstructions can be created or moved into the anchorage area.</t>
  </si>
  <si>
    <t>AnimalSanctuary</t>
  </si>
  <si>
    <t>AL005</t>
  </si>
  <si>
    <t>Animal Sanctuary</t>
  </si>
  <si>
    <t>A natural area set aside for the preservation and protection of wildlife.</t>
  </si>
  <si>
    <t>AnnotatedLocation</t>
  </si>
  <si>
    <t>ZD045</t>
  </si>
  <si>
    <t>Annotated Location</t>
  </si>
  <si>
    <t>A location at which text pertaining to that location is annotated.</t>
  </si>
  <si>
    <t>For example, a characteristic or activity pertaining to the location may be described.</t>
  </si>
  <si>
    <t>AntiAircraftArtillerySite</t>
  </si>
  <si>
    <t>AL121</t>
  </si>
  <si>
    <t>Anti-aircraft Artillery Site</t>
  </si>
  <si>
    <t>A site and related facilities (for example: buildings and/or radar equipment) for storing and launching anti-aircraft artillery.</t>
  </si>
  <si>
    <t>Walls, if any, that surround the site are typically used as the basis for delineation.</t>
  </si>
  <si>
    <t>AntiShippingActivity</t>
  </si>
  <si>
    <t>ZV010</t>
  </si>
  <si>
    <t>Anti-shipping Activity</t>
  </si>
  <si>
    <t>An occurrence of criminal action against a ship.</t>
  </si>
  <si>
    <t>For example, the use of force to accomplish unauthorized boarding or specific acts of piracy such as hijacking, robbery, and the shooting and/or murder of the ships' crew and/or passengers.</t>
  </si>
  <si>
    <t>ApproachLightingSystem</t>
  </si>
  <si>
    <t>GB485</t>
  </si>
  <si>
    <t>Approach Lighting System</t>
  </si>
  <si>
    <t>An airport lighting facility which provides visual guidance to landing aircraft by radiating light beams in a directional pattern by which the pilot aligns the aircraft with the final approach path for landing.</t>
  </si>
  <si>
    <t>Apron</t>
  </si>
  <si>
    <t>GB015</t>
  </si>
  <si>
    <t>A defined area, on a land aerodrome/heliport, intended to accommodate aircraft/helicopters for purposes of loading and unloading passengers, mail or cargo, and for fuelling, parking or maintenance.</t>
  </si>
  <si>
    <t>APN, Tarmac, Ramp, Hardstanding</t>
  </si>
  <si>
    <t>AquacultureFacility</t>
  </si>
  <si>
    <t>BH049</t>
  </si>
  <si>
    <t>Aquaculture Facility</t>
  </si>
  <si>
    <t>A facility involved in the culturing or farming (including harvesting) of aquatic organisms (for example: fish, mollusks, crustaceans, plants, crocodiles, alligators or amphibians) using techniques designed to increase the production of the organisms in question beyond the natural capacity of the environment (for example: regular stocking, feeding and protection from predators).</t>
  </si>
  <si>
    <t>Culturing or farming refers to the rearing of individuals up to their juvenile and/or adult phase under captive conditions. In addition, it also encompasses individual, corporate or state ownership of the individual organisms throughout the rearing or culture stage, up to and including harvesting.</t>
  </si>
  <si>
    <t>AquaticVegetation</t>
  </si>
  <si>
    <t>BD061</t>
  </si>
  <si>
    <t>Aquatic Vegetation</t>
  </si>
  <si>
    <t>A region of waterborne cellular or vascular plants (for example: algae, grasses, reeds, and water hyacinths).</t>
  </si>
  <si>
    <t>The vegetation may moored (for example: sea grass and reeds) or floating (for example: sargasso and water hyacinths).</t>
  </si>
  <si>
    <t>Aqueduct</t>
  </si>
  <si>
    <t>BH010</t>
  </si>
  <si>
    <t>A pipe or artificial channel that is designed to transport water from a remote source, usually by gravity, for freshwater supply, agricultural, and/or industrial use.</t>
  </si>
  <si>
    <t>It may be supported by a bridge.</t>
  </si>
  <si>
    <t>Aquifer</t>
  </si>
  <si>
    <t>BH116</t>
  </si>
  <si>
    <t>An underground layer of water-bearing permeable rock or unconsolidated materials (for example: gravel, sand, silt, or clay).</t>
  </si>
  <si>
    <t>It may yield economically significant quantities of groundwater to wells and springs.</t>
  </si>
  <si>
    <t>Arcade</t>
  </si>
  <si>
    <t>AQ151</t>
  </si>
  <si>
    <t>A covered pedestrian route composed of arches and pillars, usually open along one or both sides.</t>
  </si>
  <si>
    <t>ArcheologicalSite</t>
  </si>
  <si>
    <t>AL012</t>
  </si>
  <si>
    <t>Archeological Site</t>
  </si>
  <si>
    <t>A site where remains of past civilizations or human activity have been discovered.</t>
  </si>
  <si>
    <t>AreaAffectNaturalDisaster</t>
  </si>
  <si>
    <t>ND020</t>
  </si>
  <si>
    <t>Area affected by Natural Disaster</t>
  </si>
  <si>
    <t>An area that is affected by a natural disaster (for example: an earthquake, a volcano eruption or flooding).</t>
  </si>
  <si>
    <t>The effect maybe a long-term event (for example: an aggradation or a desertification).</t>
  </si>
  <si>
    <t>AreaThreatNaturalDisaster</t>
  </si>
  <si>
    <t>ND010</t>
  </si>
  <si>
    <t>Area threatened by Natural Disaster</t>
  </si>
  <si>
    <t>An area that is estimated as potentially threatened by natural disasters because of former events or specific circumstances (for example: geological parameters).</t>
  </si>
  <si>
    <t>Arena</t>
  </si>
  <si>
    <t>AK166</t>
  </si>
  <si>
    <t>A building enclosing a large open area, often circular or oval-shaped, surrounded on most or all sides by tiered seating for spectators.</t>
  </si>
  <si>
    <t>Generally designed to showcase theater, musical performances, or sporting events (for example: basketball, ice hockey, wrestling, or boxing).</t>
  </si>
  <si>
    <t>ArmisticeLine</t>
  </si>
  <si>
    <t>FA020</t>
  </si>
  <si>
    <t>Armistice Line</t>
  </si>
  <si>
    <t>A line established by opposing political groups as a result of cessation of hostilities.</t>
  </si>
  <si>
    <t>ArrestingSystem</t>
  </si>
  <si>
    <t>GB020</t>
  </si>
  <si>
    <t>Arresting System</t>
  </si>
  <si>
    <t>A series of devices (for example: engaging or catching devices and energy absorption devices) that are used to stop an aircraft by absorbing its momentum in a routine landing, emergency landing or aborted take-off.</t>
  </si>
  <si>
    <t>System types may consist of barriers, cables, nets and or engineered materials.</t>
  </si>
  <si>
    <t>Arresting Gear</t>
  </si>
  <si>
    <t>ArrivalSegment</t>
  </si>
  <si>
    <t>GA500</t>
  </si>
  <si>
    <t>Arrival Segment</t>
  </si>
  <si>
    <t>The portion of an arrival route which aircraft may proceed from the en-route phase of flight to an initial approach fix.</t>
  </si>
  <si>
    <t>May be defined by one or more procedure segment legs.</t>
  </si>
  <si>
    <t>AsphaltLake</t>
  </si>
  <si>
    <t>DA005</t>
  </si>
  <si>
    <t>Asphalt Lake</t>
  </si>
  <si>
    <t>A natural accumulation of liquid asphalt.</t>
  </si>
  <si>
    <t>AssemblyPlant</t>
  </si>
  <si>
    <t>AE010</t>
  </si>
  <si>
    <t>Assembly Plant</t>
  </si>
  <si>
    <t>A site and associated buildings used for the purpose of combining manufactured parts to make a completed product.</t>
  </si>
  <si>
    <t>AssemblyPoint</t>
  </si>
  <si>
    <t>AL202</t>
  </si>
  <si>
    <t>Assembly Point</t>
  </si>
  <si>
    <t>A location that is marked or designated as a meeting or an assembly point for a specific purpose (for example: evacuation) for specific individuals.</t>
  </si>
  <si>
    <t>AstronomicalObservatory</t>
  </si>
  <si>
    <t>AL142</t>
  </si>
  <si>
    <t>Astronomical Observatory</t>
  </si>
  <si>
    <t>A building designed and equipped (for example: with a telescope) for making observations of celestial objects (including the earth in relation to them), of space, and of the universe as a whole.</t>
  </si>
  <si>
    <t>Typically incorporates a dome-shaped covering that may be opened in order to expose instruments to the sky or closed to protect them from the weather.</t>
  </si>
  <si>
    <t>AtmosphericHumidityZone</t>
  </si>
  <si>
    <t>NF020</t>
  </si>
  <si>
    <t>Atmospheric Humidity Zone</t>
  </si>
  <si>
    <t>An area of the surface of the Earth that shares a common characterization of its level of atmospheric humidity.</t>
  </si>
  <si>
    <t>AtmosphericPressureZone</t>
  </si>
  <si>
    <t>NG015</t>
  </si>
  <si>
    <t>Atmospheric Pressure Zone</t>
  </si>
  <si>
    <t>An area of the surface of the Earth that shares a common characterization of its atmospheric pressure.</t>
  </si>
  <si>
    <t>AutoAerodromeWeatherStation</t>
  </si>
  <si>
    <t>GB027</t>
  </si>
  <si>
    <t>Automated Aerodrome Weather Station</t>
  </si>
  <si>
    <t>The site and equipment of an automated sensor suite that measures, collects, and disseminates weather data to serve aviation and meteorological needs for safe and efficient aviation operations and weather forecasting.</t>
  </si>
  <si>
    <t>DesignatedPoint</t>
  </si>
  <si>
    <t>GA058</t>
  </si>
  <si>
    <t>Aviation Designated Point</t>
  </si>
  <si>
    <t>A named geographical location not marked by the site of a radio navigation aid, used in defining an Air Traffic Service (ATS) route, the flight path of an aircraft and/or for other navigation or ATS purposes.</t>
  </si>
  <si>
    <t>AviationHydMaintService</t>
  </si>
  <si>
    <t>ZI083</t>
  </si>
  <si>
    <t>Aviation Hydraulic Fluid Maintenance Service</t>
  </si>
  <si>
    <t>A modeling entity collecting information regarding the aircraft hydraulic fluid types, stock levels, and associated service(s) that are available at an aerodrome.</t>
  </si>
  <si>
    <t>AviationNitMaintService</t>
  </si>
  <si>
    <t>ZI084</t>
  </si>
  <si>
    <t>Aviation Nitrogen Maintenance Service</t>
  </si>
  <si>
    <t>A modeling entity collecting information regarding the aircraft nitrogen supply types, stock levels, and associated service(s) that are available at an aerodrome.</t>
  </si>
  <si>
    <t>AviationOilMaintService</t>
  </si>
  <si>
    <t>ZI085</t>
  </si>
  <si>
    <t>Aviation Oil Maintenance Service</t>
  </si>
  <si>
    <t>A modeling entity collecting information regarding the aircraft oil types, stock levels, and associated service(s) that are available at an aerodrome.</t>
  </si>
  <si>
    <t>AviationOxyMaintService</t>
  </si>
  <si>
    <t>ZI086</t>
  </si>
  <si>
    <t>Aviation Oxygen Maintenance Service</t>
  </si>
  <si>
    <t>A modeling entity collecting information regarding the aircraft oxygen supply types, stock levels, equipment, and associated service(s) that are available at an aerodrome.</t>
  </si>
  <si>
    <t>Backshore</t>
  </si>
  <si>
    <t>BA022</t>
  </si>
  <si>
    <t>That part of a shore or beach which is usually dry, being reached only by the highest tides.</t>
  </si>
  <si>
    <t>Backbeach</t>
  </si>
  <si>
    <t>Bandshell</t>
  </si>
  <si>
    <t>AK015</t>
  </si>
  <si>
    <t>An outdoor band-stand in the form of a large concave shell with special acoustical properties.</t>
  </si>
  <si>
    <t>It typically has a concave, nearly hemispherical back serving as a sounding board. A band-stand is a platform or other structure for the use of a band of musicians.</t>
  </si>
  <si>
    <t>BankVegetationZone</t>
  </si>
  <si>
    <t>EE060</t>
  </si>
  <si>
    <t>Bank Vegetation Zone</t>
  </si>
  <si>
    <t>A region along the edge of a body of water or watercourse generally dominated by riparian vegetation.</t>
  </si>
  <si>
    <t>May extend up to approximately 100 metres from the water edge, often including land subject to inundation and, if vegetation is present, commonly dominated by woody vegetation.</t>
  </si>
  <si>
    <t>Barn</t>
  </si>
  <si>
    <t>AJ085</t>
  </si>
  <si>
    <t>A roofed farm building designed for sheltering harvested crops (for example: hay), livestock (for example: cattle), and/or farm machinery (for example: tractors and plows).</t>
  </si>
  <si>
    <t>BarrenGround</t>
  </si>
  <si>
    <t>DA020</t>
  </si>
  <si>
    <t>Barren Ground</t>
  </si>
  <si>
    <t>A tract so unproductive, infertile, and/or physically disturbed by human activity, as to have no significant vegetation.</t>
  </si>
  <si>
    <t>Distinguished from Feature: 'Unvegetated Land' which is typically used to characterize the vegetation cover when the underlying soil has not been disturbed.</t>
  </si>
  <si>
    <t>BaselinePoint</t>
  </si>
  <si>
    <t>ZB032</t>
  </si>
  <si>
    <t>Baseline Point</t>
  </si>
  <si>
    <t>A location that serves as a point on, and which partially defines a segment of, a national boundary baseline.</t>
  </si>
  <si>
    <t>May be monumented or unmonumented. A national boundary baseline is used for defining the landward edge or margin of a nation's various contiguous zones such as the 3 and 12 nautical mile limits and the Exclusive Economic Zone (EEZ).</t>
  </si>
  <si>
    <t>BasinGate</t>
  </si>
  <si>
    <t>BI045</t>
  </si>
  <si>
    <t>Basin Gate</t>
  </si>
  <si>
    <t>A gate that impounds water within a basin or chamber that is used by watercraft.</t>
  </si>
  <si>
    <t>For example, gates used at locks or dry docks.</t>
  </si>
  <si>
    <t>Beach</t>
  </si>
  <si>
    <t>BA050</t>
  </si>
  <si>
    <t>On a shore, the area on which the waves break and over which shore debris (for example: sand, shingle, and/or pebbles) accumulate.</t>
  </si>
  <si>
    <t>A beach includes backshore and foreshore.</t>
  </si>
  <si>
    <t>BeachExit</t>
  </si>
  <si>
    <t>BA052</t>
  </si>
  <si>
    <t>Beach Exit</t>
  </si>
  <si>
    <t>A point from which exit can be made from a beach.</t>
  </si>
  <si>
    <t>BeachLandingSite</t>
  </si>
  <si>
    <t>BB150</t>
  </si>
  <si>
    <t>Beach Landing Site</t>
  </si>
  <si>
    <t>A location on a beach suitable for the landing of troops and vehicles.</t>
  </si>
  <si>
    <t>BeachProfile</t>
  </si>
  <si>
    <t>BE050</t>
  </si>
  <si>
    <t>Beach Profile</t>
  </si>
  <si>
    <t>A representation of the three dimensional relief of the beach along a line or series of connected lines.</t>
  </si>
  <si>
    <t>Bench</t>
  </si>
  <si>
    <t>AK123</t>
  </si>
  <si>
    <t>A long hard seat for two or more persons.</t>
  </si>
  <si>
    <t>May be backless and attached to, or adjacent to, a picnic table.</t>
  </si>
  <si>
    <t>Benchmark</t>
  </si>
  <si>
    <t>ZB020</t>
  </si>
  <si>
    <t>A reference mark on a permanent object indicating elevation relative to an established datum.</t>
  </si>
  <si>
    <t>Berth</t>
  </si>
  <si>
    <t>BB020</t>
  </si>
  <si>
    <t>A named or numbered place where a vessel is moored at a wharf.</t>
  </si>
  <si>
    <t>BerthingStructure</t>
  </si>
  <si>
    <t>BB190</t>
  </si>
  <si>
    <t>Berthing Structure</t>
  </si>
  <si>
    <t>A structure primarily used as a berthing place for vessels.</t>
  </si>
  <si>
    <t>For example, a pier, a wharf, and a quay. Consideration should be given to using the more general Feature: 'Shoreline Construction' and a type-discriminating attribute.</t>
  </si>
  <si>
    <t>Bikeway</t>
  </si>
  <si>
    <t>AP070</t>
  </si>
  <si>
    <t>A transport link (route, way, path, trail) that in some manner has been dedicated to bicycles.</t>
  </si>
  <si>
    <t>Bike Route, Greenway</t>
  </si>
  <si>
    <t>Billboard</t>
  </si>
  <si>
    <t>AG050</t>
  </si>
  <si>
    <t>A large outdoor board for advertisements.</t>
  </si>
  <si>
    <t>May be attached to another structure or self-supporting. Usually elevated so as to be seen for a significant distance.</t>
  </si>
  <si>
    <t>BlastBarrier</t>
  </si>
  <si>
    <t>GB025</t>
  </si>
  <si>
    <t>Blast Barrier</t>
  </si>
  <si>
    <t>A barrier used to divert and/or dissipate jet and/or propeller blast.</t>
  </si>
  <si>
    <t>Blast Fence</t>
  </si>
  <si>
    <t>BlastFurnace</t>
  </si>
  <si>
    <t>AC010</t>
  </si>
  <si>
    <t>Blast-furnace</t>
  </si>
  <si>
    <t>A smelting furnace in which a blast of air is used, especially one for iron-smelting using a compressed hot air blast.</t>
  </si>
  <si>
    <t>BoatLanding</t>
  </si>
  <si>
    <t>BB149</t>
  </si>
  <si>
    <t>Boat Landing</t>
  </si>
  <si>
    <t>A place where boats receive or discharge passengers and freight, but lacking most port facilities.</t>
  </si>
  <si>
    <t>Bog</t>
  </si>
  <si>
    <t>BH015</t>
  </si>
  <si>
    <t>A permanently wet area of land consisting of incompletely decayed organic material and mainly stagnant fresh water.</t>
  </si>
  <si>
    <t>It is generally too soft to bear the weight of any heavy body. A subtype of the more generalized Feature: 'Wetland'.</t>
  </si>
  <si>
    <t>Bollard</t>
  </si>
  <si>
    <t>BB030</t>
  </si>
  <si>
    <t>A small shaped post, mounted on the ground or pavement surface.</t>
  </si>
  <si>
    <t>Bollards may be mounted on a wharf or dolphin and used to secure ship's lines, or they may be mounted at intervals on the ground or pavement surface in order to protect critical infrastructure, delimit an area such as a roadway sidewalk or path, or to exclude vehicles. Bollards may be fixed above the surface or may be installed in housings below the surface so as to be very quickly raised into a blocking position to prevent the progress of threatening vehicles.</t>
  </si>
  <si>
    <t>BoomingGround</t>
  </si>
  <si>
    <t>BD076</t>
  </si>
  <si>
    <t>Booming Ground</t>
  </si>
  <si>
    <t>An area in a shallow portion of a body of water, usually at the mouth of a river, where logs are collected, staged, and formed into log booms for further transportation and delivery to a logging mill.</t>
  </si>
  <si>
    <t>The booming ground foundation is commonly constructed of piles or large stones placed into cribs within the waterbody to aid in shaping the log assembly into alignment with the outer logs forming the log boom barrier itself.</t>
  </si>
  <si>
    <t>Log Pond</t>
  </si>
  <si>
    <t>BorderCrossing</t>
  </si>
  <si>
    <t>FA125</t>
  </si>
  <si>
    <t>Border Crossing</t>
  </si>
  <si>
    <t>An established and formally recognized location where a government checkpoint has been established between neighboring States where the movement of people and/or goods are regulated and restrictions enforced, shipments or vehicles are cleared for entry or departure, and/or customs duties are collected.</t>
  </si>
  <si>
    <t>Borehole</t>
  </si>
  <si>
    <t>AA045</t>
  </si>
  <si>
    <t>An excavation drilled into the ground for purposes other than the extraction of potable water, oil, gas or brine.</t>
  </si>
  <si>
    <t>For example, drilled to support the underground testing of munitions, for coring or sampling of bedrock or ice for scientific purposes, or drilled for the injection of waste material.</t>
  </si>
  <si>
    <t>BotanicGarden</t>
  </si>
  <si>
    <t>EA031</t>
  </si>
  <si>
    <t>Botanic Garden</t>
  </si>
  <si>
    <t>A culturally designated tract where plants are displayed.</t>
  </si>
  <si>
    <t>BottomCharacterRegion</t>
  </si>
  <si>
    <t>BF010</t>
  </si>
  <si>
    <t>Bottom Characteristic Region</t>
  </si>
  <si>
    <t>A region of a waterbody bottom that is homogeneous with respect to a measurement (for example: consistency, color, and/or composition).</t>
  </si>
  <si>
    <t>Seabed Area, Quality of the Bottom, Bottom Characteristics</t>
  </si>
  <si>
    <t>BottomTopographicRegion</t>
  </si>
  <si>
    <t>BF011</t>
  </si>
  <si>
    <t>Bottom Topographic Region</t>
  </si>
  <si>
    <t>A region of a waterbody bottom that is homogeneous with respect to form (for example: seamounts or sand waves).</t>
  </si>
  <si>
    <t>Boundary</t>
  </si>
  <si>
    <t>FA120</t>
  </si>
  <si>
    <t>A line separating two geographic areas from each other.</t>
  </si>
  <si>
    <t>BoundaryMonument</t>
  </si>
  <si>
    <t>ZB030</t>
  </si>
  <si>
    <t>Boundary Monument</t>
  </si>
  <si>
    <t>A marker identifying the location of a surveyed boundary line.</t>
  </si>
  <si>
    <t>Boundary Mark</t>
  </si>
  <si>
    <t>BreakLine</t>
  </si>
  <si>
    <t>CA026</t>
  </si>
  <si>
    <t>Break Line</t>
  </si>
  <si>
    <t>A line delineating a sudden and significant change in the gradient of the terrain.</t>
  </si>
  <si>
    <t>Breakers</t>
  </si>
  <si>
    <t>BD010</t>
  </si>
  <si>
    <t>Waves which break over off-lying shoals or near the shore.</t>
  </si>
  <si>
    <t>Breakwater</t>
  </si>
  <si>
    <t>BB041</t>
  </si>
  <si>
    <t>A structure that protects a waterbody region (for example: a shore, a harbour, and/or an anchorage) from water waves by preventing them from reaching the protected region or reducing their magnitude.</t>
  </si>
  <si>
    <t>Bridge</t>
  </si>
  <si>
    <t>AQ040</t>
  </si>
  <si>
    <t>A structure that connects two locations and provides for the passage of a transportation route (for example: a road or a railway) over a terrain obstacle (for example: a waterbody, a gully, and/or a road).</t>
  </si>
  <si>
    <t>A bridge consists of a set of two abutments and/or zero or more bridge piers joined by bridge spans. A bridge may serve, for example, as an overpass or a viaduct. In the context of a bridge, the scope of the term 'transportation route' includes the transportation of liquids or gases by means of either pipelines or aqueducts.</t>
  </si>
  <si>
    <t>BridgePier</t>
  </si>
  <si>
    <t>AQ056</t>
  </si>
  <si>
    <t>Bridge Pier</t>
  </si>
  <si>
    <t>A pillar or abutment that supports a bridge span.</t>
  </si>
  <si>
    <t>BridgeSpan</t>
  </si>
  <si>
    <t>AQ045</t>
  </si>
  <si>
    <t>Bridge Span</t>
  </si>
  <si>
    <t>A component of the deck of a bridge spanning successive bridge piers.</t>
  </si>
  <si>
    <t>BridgeSuperstructure</t>
  </si>
  <si>
    <t>AQ050</t>
  </si>
  <si>
    <t>Bridge Superstructure</t>
  </si>
  <si>
    <t>A superstructure of a bridge, above the lowest deck, not including pylons or towers.</t>
  </si>
  <si>
    <t>BridgeTower</t>
  </si>
  <si>
    <t>AQ055</t>
  </si>
  <si>
    <t>Bridge Tower</t>
  </si>
  <si>
    <t>A tower and/or pylon from which the deck of a bridge is suspended.</t>
  </si>
  <si>
    <t>Brush</t>
  </si>
  <si>
    <t>EB070</t>
  </si>
  <si>
    <t>A tract covered mainly by short, uncultured, woody plants that have been stunted by an environmental limitation (for example: low rainfall or nutrient-poor soil).</t>
  </si>
  <si>
    <t>Typically, coverage can range from sparse to differentiated (where the vegetation is close but not tangled together). The woody plants include bushes, scrub, shrubs and/or low stunted trees. The predominant height of the vegetation is usually less than 3 metres.</t>
  </si>
  <si>
    <t>Scrubland, Shrub Land</t>
  </si>
  <si>
    <t>Building</t>
  </si>
  <si>
    <t>AL013</t>
  </si>
  <si>
    <t>A free-standing self-supporting construction that is roofed, usually walled, and is intended for human occupancy (for example: a place of work or recreation) and/or habitation.</t>
  </si>
  <si>
    <t>For example, a dormitory, a bank, and a restaurant.</t>
  </si>
  <si>
    <t>BuildingOverhang</t>
  </si>
  <si>
    <t>AL016</t>
  </si>
  <si>
    <t>Building Overhang</t>
  </si>
  <si>
    <t>A canopy or ledge attached to the front of a building and protruding beyond the perimeter wall.</t>
  </si>
  <si>
    <t>BuildingSuperstructure</t>
  </si>
  <si>
    <t>AL018</t>
  </si>
  <si>
    <t>Building Superstructure</t>
  </si>
  <si>
    <t>A supplemental portion of a building which rises from the roof but is not considered to be a portion of the roof.</t>
  </si>
  <si>
    <t>BuiltUpArea</t>
  </si>
  <si>
    <t>AL020</t>
  </si>
  <si>
    <t>Built-up Area</t>
  </si>
  <si>
    <t>A tract containing a concentration of buildings and/or other structures.</t>
  </si>
  <si>
    <t>Buoy</t>
  </si>
  <si>
    <t>BC020</t>
  </si>
  <si>
    <t>A floating object moored to the bottom in a particular place, as an aid to navigation or for other specific purposes.</t>
  </si>
  <si>
    <t>BuriedUtility</t>
  </si>
  <si>
    <t>AQ105</t>
  </si>
  <si>
    <t>Buried Utility</t>
  </si>
  <si>
    <t>Utilities or pipeline network that is located underground or below a waterbody.</t>
  </si>
  <si>
    <t>For example, cables transmitting electrical power and/or communication signals and pipes carrying liquids, slurries, or gases.</t>
  </si>
  <si>
    <t>Cable</t>
  </si>
  <si>
    <t>AT005</t>
  </si>
  <si>
    <t>A single continuous rope-like bundle consisting of multiple strands.</t>
  </si>
  <si>
    <t>The strands may be individually insulated and/or protected and the cable as a whole sheathed. Cables may be used for load bearing (for example, supporting or suspending equipment and/or structures), transmitting electrical power, and/or communicating signals (for example, by electrical or optical means).</t>
  </si>
  <si>
    <t>Cableway</t>
  </si>
  <si>
    <t>AT041</t>
  </si>
  <si>
    <t>A suspended transportation system consisting of one or more load cables, supporting pylons, carrier units (for example: cars or buckets intended to transport people, material, and/or equipment) and usually stations.</t>
  </si>
  <si>
    <t>A cableway consists of carrier units attached to load cables which are strung between pylons and/or stations. For example, a ski-lift.</t>
  </si>
  <si>
    <t>Aerial Cableway, Aerial Tramway, Teleferic</t>
  </si>
  <si>
    <t>CadastralControlPoint</t>
  </si>
  <si>
    <t>ID010</t>
  </si>
  <si>
    <t>Cadastral Control Point</t>
  </si>
  <si>
    <t>A reference point used for orienting a cadastral map.</t>
  </si>
  <si>
    <t>Cairn</t>
  </si>
  <si>
    <t>AL025</t>
  </si>
  <si>
    <t>A heap of stones piled up as a memorial or a landmark.</t>
  </si>
  <si>
    <t>CallingInPoint</t>
  </si>
  <si>
    <t>BB050</t>
  </si>
  <si>
    <t>Calling-in Point</t>
  </si>
  <si>
    <t>The location at which vessels are required to report to a traffic control center.</t>
  </si>
  <si>
    <t>Note that this is not the same as Feature: 'Aeronautical Waypoint' which is for aircraft only.</t>
  </si>
  <si>
    <t>CalvaryCross</t>
  </si>
  <si>
    <t>AL116</t>
  </si>
  <si>
    <t>Calvary Cross</t>
  </si>
  <si>
    <t>A structure, mounted on a pedestal, composed of an upright member with a shorter horizontal member centered at approximately two-thirds of the height of the upright member.</t>
  </si>
  <si>
    <t>Camp</t>
  </si>
  <si>
    <t>AI030</t>
  </si>
  <si>
    <t>An encampment where tents and/or other easily moveable structures (for example: yurts) serve as full-time, temporary, or seasonal residences.</t>
  </si>
  <si>
    <t>CampSite</t>
  </si>
  <si>
    <t>AK060</t>
  </si>
  <si>
    <t>Camp-site</t>
  </si>
  <si>
    <t>A designated place for recreational camping.</t>
  </si>
  <si>
    <t>Campground</t>
  </si>
  <si>
    <t>Canal</t>
  </si>
  <si>
    <t>BH020</t>
  </si>
  <si>
    <t>An artificial waterway with no flow, or a controlled flow, usable or built for navigation.</t>
  </si>
  <si>
    <t>Cane</t>
  </si>
  <si>
    <t>EC010</t>
  </si>
  <si>
    <t>A tract covered mainly by large treelike grasses.</t>
  </si>
  <si>
    <t>For example, bamboo and sugarcane.</t>
  </si>
  <si>
    <t>CantonmentArea</t>
  </si>
  <si>
    <t>SU004</t>
  </si>
  <si>
    <t>Cantonment Area</t>
  </si>
  <si>
    <t>An area containing military quarters.</t>
  </si>
  <si>
    <t>Typically consisting of the residential sections of a military installation, where tactical training may be limited due to other activities that would endanger and disrupt personnel and their dependents.</t>
  </si>
  <si>
    <t>CaravanPark</t>
  </si>
  <si>
    <t>AI020</t>
  </si>
  <si>
    <t>Caravan Park</t>
  </si>
  <si>
    <t>A prepared site, typically including facilities, used for holiday accommodations where caravans and/or motor homes are parked.</t>
  </si>
  <si>
    <t>Caravans are travel trailers towed behind vehicles while motor homes are self-contained vehicles used for both travel and accommodations. Facilities may include utility connections (for example: water, power, or gas), convenience store(s), showers, laundry facilities, and swimming pools.</t>
  </si>
  <si>
    <t>Caravanette Park, Mobile Home Park</t>
  </si>
  <si>
    <t>CartTrack</t>
  </si>
  <si>
    <t>AP010</t>
  </si>
  <si>
    <t>Cart Track</t>
  </si>
  <si>
    <t>An unimproved road.</t>
  </si>
  <si>
    <t>The surface is usually rough (for example: rutted) and minimally prepared (for example: packed earth or thinly covered with gravel).</t>
  </si>
  <si>
    <t>Castle</t>
  </si>
  <si>
    <t>AL375</t>
  </si>
  <si>
    <t>A single large fortified building that has thick walls, battlements, and often the presence of a moat, and is commonly of some historical significance.</t>
  </si>
  <si>
    <t>Historically castles were designed and constructed as defensive structures situated so as to dominate the surrounding countryside. With advancing technology, especially artillery, they have become obsolete for military defensive purposes and are now valued primarily for their historical significance. In more recent times elaborate country houses were built incorporating many design elements of a castle but which were not fully capable of being used as defensive structures. Examples of castles of both types include Doue-la-Fontaine and Neuschwanstein.</t>
  </si>
  <si>
    <t>CastleComplex</t>
  </si>
  <si>
    <t>AL376</t>
  </si>
  <si>
    <t>Castle Complex</t>
  </si>
  <si>
    <t>A fortified complex of buildings and related structures that consists principally of a central keep with surrounding thick walls, battlements, and often the presence of a moat, and is commonly of some historical significance.</t>
  </si>
  <si>
    <t>A castle complex may be quite extensive, including multiple distinct buildings of diverse function. Historically castle complexes were designed and constructed as defensive structures situated so as to dominate the surrounding countryside. With advancing technology, especially artillery, they have become obsolete for military defensive purposes and are now valued primarily for their historical significance. Examples of castle complexes include Prague and Windsor Castles.</t>
  </si>
  <si>
    <t>CatalyticCracker</t>
  </si>
  <si>
    <t>AC020</t>
  </si>
  <si>
    <t>Catalytic Cracker</t>
  </si>
  <si>
    <t>A device in which the separation of petroleum is carried out in the presence of a catalyst.</t>
  </si>
  <si>
    <t>CattleDippingTank</t>
  </si>
  <si>
    <t>AJ090</t>
  </si>
  <si>
    <t>Cattle Dipping Tank</t>
  </si>
  <si>
    <t>A small artificial pond used for immersing cattle in chemically treated water for disease control.</t>
  </si>
  <si>
    <t>Cattle Dipping Vat</t>
  </si>
  <si>
    <t>CausewayStructure</t>
  </si>
  <si>
    <t>AQ063</t>
  </si>
  <si>
    <t>Causeway Structure</t>
  </si>
  <si>
    <t>A solid raised way across a terrain obstacle (for example: a wetland or a body of shallow water) that is intended to support a transportation route (for example: a road or a railway).</t>
  </si>
  <si>
    <t>The causeway structure is often constructed from local fill supplemented by other materials (for example: rocks, boulders or gravel) and consists of a solid linear structure in the configuration of an embankment. Causeway structures are built just high enough to insure that the transportation route will remain passable during periods of flooding, tides and seasonal rainfall. Culverts may occur along the length of the causeway structure and individual sections of the causeway structure may be interrupted by bridges.</t>
  </si>
  <si>
    <t>CaveChamber</t>
  </si>
  <si>
    <t>DB028</t>
  </si>
  <si>
    <t>Cave Chamber</t>
  </si>
  <si>
    <t>An interconnected series of naturally occurring subterranean chambers.</t>
  </si>
  <si>
    <t>Typically located in limestone, and often open to the Earth's surface either vertically or horizontally. Alterations may have been made to the cave chamber.</t>
  </si>
  <si>
    <t>CaveInfo</t>
  </si>
  <si>
    <t>ZI071</t>
  </si>
  <si>
    <t>Cave Information</t>
  </si>
  <si>
    <t>A modeling entity collecting information (for example: its method of formation, its access orientation, its cultural significance) about a cave.</t>
  </si>
  <si>
    <t>CaveMouth</t>
  </si>
  <si>
    <t>DB029</t>
  </si>
  <si>
    <t>Cave Mouth</t>
  </si>
  <si>
    <t>The entrance to an interconnected series of naturally occurring subterranean chambers.</t>
  </si>
  <si>
    <t>Typically located in limestone, and often open to the Earth's surface either vertically or horizontally. Alterations may have been made to the cave mouth.</t>
  </si>
  <si>
    <t>Cay</t>
  </si>
  <si>
    <t>BD122</t>
  </si>
  <si>
    <t>A small insular feature, which may contain scant vegetation; usually composed of sand or coral.</t>
  </si>
  <si>
    <t>Often applied to smaller coral shoals.</t>
  </si>
  <si>
    <t>CeaseFireLine</t>
  </si>
  <si>
    <t>FA030</t>
  </si>
  <si>
    <t>Cease-Fire Line</t>
  </si>
  <si>
    <t>A line along which active hostilities are suspended.</t>
  </si>
  <si>
    <t>Cemetery</t>
  </si>
  <si>
    <t>AL030</t>
  </si>
  <si>
    <t>A site and associated structures devoted to the burial of the dead.</t>
  </si>
  <si>
    <t>Graveyard</t>
  </si>
  <si>
    <t>Channel</t>
  </si>
  <si>
    <t>BH191</t>
  </si>
  <si>
    <t>That part of a body of water, either ocean or inland, (sometimes dredged) deep enough for navigation through an area otherwise not navigable.</t>
  </si>
  <si>
    <t>It is usually marked by a single or double line of buoys and sometimes by leading lines. It is often the deepest part of a stream, bay or strait through which the main current flows.</t>
  </si>
  <si>
    <t>AH070</t>
  </si>
  <si>
    <t>A location to control passage and/or to register, declare and/or inspect goods, vehicles and/or people.</t>
  </si>
  <si>
    <t>ChokePoint</t>
  </si>
  <si>
    <t>AH125</t>
  </si>
  <si>
    <t>Choke Point</t>
  </si>
  <si>
    <t>A length or single point along a route that due to its width, surface quality, alignment, fixed human activity or fixed human feature is likely to impede movement at a constant speed resulting in slowing, and either by vehicular bunching or by type may cause temporary halts.</t>
  </si>
  <si>
    <t>CircularIrrigationSystem</t>
  </si>
  <si>
    <t>AJ010</t>
  </si>
  <si>
    <t>Circular Irrigation System</t>
  </si>
  <si>
    <t>An elevated irrigation system revolving around a central pivot point.</t>
  </si>
  <si>
    <t>Cistern</t>
  </si>
  <si>
    <t>BI010</t>
  </si>
  <si>
    <t>A man-made container used for the collection and/or storage of water.</t>
  </si>
  <si>
    <t>ClaimLine</t>
  </si>
  <si>
    <t>FA040</t>
  </si>
  <si>
    <t>Claim Line</t>
  </si>
  <si>
    <t>A limit of an area which is unilaterally claimed by one political group without consent or negotiation with another.</t>
  </si>
  <si>
    <t>ClearedWay</t>
  </si>
  <si>
    <t>EC040</t>
  </si>
  <si>
    <t>Cleared Way</t>
  </si>
  <si>
    <t>A man-made cleared strip through a vegetated region.</t>
  </si>
  <si>
    <t>May be designed to: provide access for a road, railroad, pipeline, power transmission line, or electrical signal line; demarcate a boundary; obtain survey line-of-sight; or to impede the progress of forest fires (a firebreak).</t>
  </si>
  <si>
    <t>Cut Line</t>
  </si>
  <si>
    <t>Clearway</t>
  </si>
  <si>
    <t>GB096</t>
  </si>
  <si>
    <t>A defined rectangular area on the ground or water under the control of the appropriate authority, selected or prepared as a suitable area over which an aircraft may make a portion of its initial climb to a specified height.</t>
  </si>
  <si>
    <t>A helicopter clearway is a defined area on the ground or water under the control of the appropriate authority, selected and/or prepared as a suitable area over which a performance Class 1 helicopter may accelerate and achieve a specific height.</t>
  </si>
  <si>
    <t>CWY</t>
  </si>
  <si>
    <t>CliffBottomEdge</t>
  </si>
  <si>
    <t>DB500</t>
  </si>
  <si>
    <t>Cliff Bottom Edge</t>
  </si>
  <si>
    <t>The bottom edge of a steep slope (for example: a cliff).</t>
  </si>
  <si>
    <t>CliffDwelling</t>
  </si>
  <si>
    <t>AL040</t>
  </si>
  <si>
    <t>Cliff Dwelling</t>
  </si>
  <si>
    <t>A dwelling built in the recesses of cliffs.</t>
  </si>
  <si>
    <t>CliffTopEdge</t>
  </si>
  <si>
    <t>DB501</t>
  </si>
  <si>
    <t>Cliff Top Edge</t>
  </si>
  <si>
    <t>The top edge of a steep slope (for example: a cliff).</t>
  </si>
  <si>
    <t>ClimateClassRegion</t>
  </si>
  <si>
    <t>NE000</t>
  </si>
  <si>
    <t>Climate Classification Region</t>
  </si>
  <si>
    <t>A region with relatively homogenous climatic conditions.</t>
  </si>
  <si>
    <t>Coastline</t>
  </si>
  <si>
    <t>BA011</t>
  </si>
  <si>
    <t>A line generally following the contact between a land mass and a body of water that is based on the low water line.</t>
  </si>
  <si>
    <t>It is used as a reference for measuring international boundaries such as Territorial Limits or Exclusive Economic Zone (EEZ). Consideration should be given to using the more specific Feature: 'Low Water Line' based on the nature of the source data collection.</t>
  </si>
  <si>
    <t>CommShippingActivityRegion</t>
  </si>
  <si>
    <t>FC185</t>
  </si>
  <si>
    <t>Commercial Shipping Activity Region</t>
  </si>
  <si>
    <t>A geographic region characterized by a historical accounting of shipping lane location, width, distribution, and use by vessel size.</t>
  </si>
  <si>
    <t>Used, for example, for mission planning to identify areas of high and low commercial traffic for the submarine navigator and sonarman.</t>
  </si>
  <si>
    <t>CommunicationLine</t>
  </si>
  <si>
    <t>AT060</t>
  </si>
  <si>
    <t>Communication Line</t>
  </si>
  <si>
    <t>A cable that transmits communication signals.</t>
  </si>
  <si>
    <t>For example, a telephone line, a telegraph line, or a fibreoptic cable.</t>
  </si>
  <si>
    <t>CommunicationLinePylon</t>
  </si>
  <si>
    <t>AT070</t>
  </si>
  <si>
    <t>Communication Line Pylon</t>
  </si>
  <si>
    <t>A pylon that supports one or more communication lines.</t>
  </si>
  <si>
    <t>Often multi-purpose, supporting communication lines of different types (for example: telephone and television). May occasionally also support power lines, but usually only in the case of low voltage power distribution (typically less than one kilovolt). For example, a telephone pole.</t>
  </si>
  <si>
    <t>Communication Line Pole</t>
  </si>
  <si>
    <t>CommunicationStation</t>
  </si>
  <si>
    <t>AT050</t>
  </si>
  <si>
    <t>Communication Station</t>
  </si>
  <si>
    <t>A facility in which communication signals are processed and/or controlled.</t>
  </si>
  <si>
    <t>For example, a telephone switching station, a microwave repeater station, a satellite ground station, cellular telephone equipment, and a land-line telephone repeater station.</t>
  </si>
  <si>
    <t>CommunicationTower</t>
  </si>
  <si>
    <t>AT080</t>
  </si>
  <si>
    <t>Communication Tower</t>
  </si>
  <si>
    <t>A tower used to support an aerial for transmitting and/or receiving electronic communication signals.</t>
  </si>
  <si>
    <t>CompactSurface</t>
  </si>
  <si>
    <t>AK131</t>
  </si>
  <si>
    <t>Compact Surface</t>
  </si>
  <si>
    <t>An area with a sufficently stable surface, that allows for storage of heavy equipment, vehicles etc.</t>
  </si>
  <si>
    <t>CompassLocator</t>
  </si>
  <si>
    <t>GA099</t>
  </si>
  <si>
    <t>Compass Locator</t>
  </si>
  <si>
    <t>A low or medium powered Non-Directional Beacon (NDB) used as an aid for final approach.</t>
  </si>
  <si>
    <t>A locator usually has an average radius of rated coverage of between 18.5 and 46.3 kilometres (10 and 25 nautical miles).</t>
  </si>
  <si>
    <t>NDB Class Locator</t>
  </si>
  <si>
    <t>ConservationArea</t>
  </si>
  <si>
    <t>FA210</t>
  </si>
  <si>
    <t>Conservation Area</t>
  </si>
  <si>
    <t>An area of land and/or sea especially dedicated to the protection and maintenance of biological diversity, and of natural and associated cultural resources, and managed through legal or other effective means.</t>
  </si>
  <si>
    <t>As determined, for example, by the International Union for Conservation of Nature and Natural Resources (IUCN).</t>
  </si>
  <si>
    <t>ConstructionZone</t>
  </si>
  <si>
    <t>AP090</t>
  </si>
  <si>
    <t>Construction Zone</t>
  </si>
  <si>
    <t>A location along a transportation route where construction or maintenance is occurring.</t>
  </si>
  <si>
    <t>A construction zone may contain safety markers, construction equipment and/or temporary traffic controls.</t>
  </si>
  <si>
    <t>ContactZone</t>
  </si>
  <si>
    <t>FA041</t>
  </si>
  <si>
    <t>Contact Zone</t>
  </si>
  <si>
    <t>A terrain strip 3 metres wide limited on the water side by the contact between land and water (under average water level conditions).</t>
  </si>
  <si>
    <t>ContactZoneStanag2256</t>
  </si>
  <si>
    <t>FA045</t>
  </si>
  <si>
    <t>Contact Zone (STANAG 2256)</t>
  </si>
  <si>
    <t>A terrain strip extending from 2 metres below to 6 metres inland of the Mean Water Line.</t>
  </si>
  <si>
    <t>ContaminatedRegion</t>
  </si>
  <si>
    <t>FA012</t>
  </si>
  <si>
    <t>Contaminated Region</t>
  </si>
  <si>
    <t>A region whose prevailing natural conditions have been degraded through contamination by harmful or objectionable substances.</t>
  </si>
  <si>
    <t>The contamination may be either naturally occurring or the result of human activity. For example, polluted by sewage or toxic chemicals, obscured by smoke or ash from volcanic eruptions, or contaminated by exposure to Chemical, Biological, Radiological, and/or Nuclear (CBRN) agents.</t>
  </si>
  <si>
    <t>ContaminatedSite</t>
  </si>
  <si>
    <t>NC035</t>
  </si>
  <si>
    <t>Contaminated Site</t>
  </si>
  <si>
    <t>An area within which refuse has been dumped on land or sunk (legally or illegally) in the sea and has resulted in environmental endangerment.</t>
  </si>
  <si>
    <t>ContinentalShelf</t>
  </si>
  <si>
    <t>NA070</t>
  </si>
  <si>
    <t>Continental Shelf</t>
  </si>
  <si>
    <t>A zone adjacent to a continent (or around an island) and extending from the low water line to a depth at which there is usually a marked increase of slope towards oceanic depths.</t>
  </si>
  <si>
    <t>ControlPoint</t>
  </si>
  <si>
    <t>ZB035</t>
  </si>
  <si>
    <t>Control Point</t>
  </si>
  <si>
    <t>A terrain object (for example: a marker) with a known location (for example: horizontal position, elevation, or both) intended to serve as a survey control.</t>
  </si>
  <si>
    <t>Usually of a lower order of positional accuracy than a Geodetic Point but of sufficient accuracy for local surveying.</t>
  </si>
  <si>
    <t>Control Station</t>
  </si>
  <si>
    <t>ControlTower</t>
  </si>
  <si>
    <t>AQ060</t>
  </si>
  <si>
    <t>Control Tower</t>
  </si>
  <si>
    <t>A structure that houses personnel and equipment used to control the flow of traffic within a specified range of an installation.</t>
  </si>
  <si>
    <t>Examples of installations that use control towers are aerodromes, railways, and maritime routes.</t>
  </si>
  <si>
    <t>ConventionLine</t>
  </si>
  <si>
    <t>FA050</t>
  </si>
  <si>
    <t>Convention Line</t>
  </si>
  <si>
    <t>A line established to regulate matters between nations or groups over a specific area or territory.</t>
  </si>
  <si>
    <t>Mandate Line</t>
  </si>
  <si>
    <t>Conveyor</t>
  </si>
  <si>
    <t>AF020</t>
  </si>
  <si>
    <t>A device for conveying articles or materials from one location to another during manufacture or processing using a continuously moving mechanism.</t>
  </si>
  <si>
    <t>Usually long, thin, and rectangular, and located above ground surface. It can be situated horizontally, vertically, at a slope between flat and upright, or in a combination of these postures. In general, conveyor systems consist of the bucket, screw (auger), apron, or flight conveyors to load silos or bunkers. Other systems use a series of rollers to move a range of products from relatively lightweight luggage and cargo packages at transportation terminals, up to heavyweight plate steel and ingots in industrial mills. The most common system is the belt conveyor. Some systems use a combination of these designs such as shallow buckets (or flat plates) attached to a belt conveyor. Conveyors can be used for long distance transportation (ifor example, kilometres) of materials. Long distance conveyor systems are usually constructed in segments to accommodate changes in direction where needed.</t>
  </si>
  <si>
    <t>CoolingFacility</t>
  </si>
  <si>
    <t>AD055</t>
  </si>
  <si>
    <t>Cooling Facility</t>
  </si>
  <si>
    <t>A facility for the removal of thermal energy (for example: by generating and circulating chilled water) for cooling purposes.</t>
  </si>
  <si>
    <t>CoolingTower</t>
  </si>
  <si>
    <t>AF030</t>
  </si>
  <si>
    <t>Cooling Tower</t>
  </si>
  <si>
    <t>A tall tower for cooling hot water from an industrial process before reuse.</t>
  </si>
  <si>
    <t>Courtyard</t>
  </si>
  <si>
    <t>AL175</t>
  </si>
  <si>
    <t>An open area that is open to the sky and surrounded by walls or buildings forming the precincts of a larger facility (for example: an extended house, a castle, or a homestead), often in the form of an area that is enclosed by a single building.</t>
  </si>
  <si>
    <t>Historically, these areas in inns and public buildings were often the primary meeting places for some purposes, leading to the other meanings of the term 'court'.</t>
  </si>
  <si>
    <t>CoveredWatercourse</t>
  </si>
  <si>
    <t>SA060</t>
  </si>
  <si>
    <t>Covered Watercourse</t>
  </si>
  <si>
    <t>A watercourse that is covered, preventing its observation or further classification.</t>
  </si>
  <si>
    <t>For example, an underground river, a sewer, and an aqueduct tunnel.</t>
  </si>
  <si>
    <t>Crane</t>
  </si>
  <si>
    <t>AF040</t>
  </si>
  <si>
    <t>Equipment for lifting, shifting, and lowering objects or materials by means of a swinging boom or with the lifting apparatus supported on an overhead track.</t>
  </si>
  <si>
    <t>Crater</t>
  </si>
  <si>
    <t>DB185</t>
  </si>
  <si>
    <t>A bowl-shaped depression in the terrain, usually round and with steep sides.</t>
  </si>
  <si>
    <t>Craters commonly are created by the removal of material by explosions, either natural (for example: the eruption of a volcano) or artificial (for example: a bomb), originating at or below the Earth's surface, or by the impact of an object with the Earth (for example: a meteorite).</t>
  </si>
  <si>
    <t>Crevasse</t>
  </si>
  <si>
    <t>BJ031</t>
  </si>
  <si>
    <t>A deep crack or fissure in a glacier that results from differential movement of ice.</t>
  </si>
  <si>
    <t>Crevice</t>
  </si>
  <si>
    <t>DB061</t>
  </si>
  <si>
    <t>A narrow opening or fissure produced by a crack in the land, especially in rock.</t>
  </si>
  <si>
    <t>May also describe a deep vertical opening in the terrain that appears after an earthquake.</t>
  </si>
  <si>
    <t>Rift, Crack</t>
  </si>
  <si>
    <t>Crib</t>
  </si>
  <si>
    <t>BD020</t>
  </si>
  <si>
    <t>A permanent structure set in the water, typically framed with wooden beams and filled with rocks or boulders that is used to anchor log booms or support other constructions (for example: submerged outfalls, diffusers, or piers).</t>
  </si>
  <si>
    <t>They may always be dry, submerged, or covered and uncovered. Cribs should not be confused with water intake towers which may sometimes also be termed a 'crib'.</t>
  </si>
  <si>
    <t>CropInfo</t>
  </si>
  <si>
    <t>ZI013</t>
  </si>
  <si>
    <t>Crop Information</t>
  </si>
  <si>
    <t>A modeling entity collecting information about the exploitation of vegetal and animal natural resources, including the activities of growing crops, raising animals, harvesting timber, and harvesting other plants, animals or animal products from a farm or their natural habitats.</t>
  </si>
  <si>
    <t>For example, the type of crop, the method of planting and the method of irrigation (if any).</t>
  </si>
  <si>
    <t>CropLand</t>
  </si>
  <si>
    <t>EA010</t>
  </si>
  <si>
    <t>Crop Land</t>
  </si>
  <si>
    <t>An area that has been tilled for the planting of crops.</t>
  </si>
  <si>
    <t>Crossing</t>
  </si>
  <si>
    <t>AQ062</t>
  </si>
  <si>
    <t>A location where land transportation routes intersect or cross at the same vertical level.</t>
  </si>
  <si>
    <t>For example, a railway crossing, a road intersection, and a ford.</t>
  </si>
  <si>
    <t>CultivationLimit</t>
  </si>
  <si>
    <t>NA040</t>
  </si>
  <si>
    <t>Cultivation Limit</t>
  </si>
  <si>
    <t>A boundary or limit beyond which plant cultivation is not possible.</t>
  </si>
  <si>
    <t>The limiting factors include, for example, climate, topography, and soil conditions.</t>
  </si>
  <si>
    <t>CulturalConservationArea</t>
  </si>
  <si>
    <t>FA220</t>
  </si>
  <si>
    <t>Cultural Conservation Area</t>
  </si>
  <si>
    <t>An area that is protected (for example: designated as World Heritage Site) because of its cultural (for example: historical) importance.</t>
  </si>
  <si>
    <t>For example, the Dresden Elbe Valley.</t>
  </si>
  <si>
    <t>CulturalContextLocation</t>
  </si>
  <si>
    <t>ZD030</t>
  </si>
  <si>
    <t>Cultural Context Location</t>
  </si>
  <si>
    <t>A location that normally does not appear as a specific, characterized object but that represents an area where a specific cultural factor (for example: religion, ethnicity, language, or tribal/clan affiliation) predominates.</t>
  </si>
  <si>
    <t>Culvert</t>
  </si>
  <si>
    <t>AQ065</t>
  </si>
  <si>
    <t>An enclosed channel for carrying a watercourse (for example: a stream, a sewer, or a drain) under a route (for example: a road, a railway, or an embankment).</t>
  </si>
  <si>
    <t>Usually the construction of the route is unaffected.</t>
  </si>
  <si>
    <t>CulvertTube</t>
  </si>
  <si>
    <t>AQ066</t>
  </si>
  <si>
    <t>Culvert Tube</t>
  </si>
  <si>
    <t>A tube or passageway associated with a culvert which carries a watercourse (for example: a stream, a sewer, or a drain) under a route (for example: a road, a railway, or an embankment).</t>
  </si>
  <si>
    <t>Curb</t>
  </si>
  <si>
    <t>AQ036</t>
  </si>
  <si>
    <t>A border of concrete, asphalt or stone forming part of a gutter along the edge of a street or road.</t>
  </si>
  <si>
    <t>CurveGeometryInfo</t>
  </si>
  <si>
    <t>ZI008</t>
  </si>
  <si>
    <t>Curve Geometry Information</t>
  </si>
  <si>
    <t>A modeling entity collecting geometric representation information about a feature that is modeled as a spatial curve.</t>
  </si>
  <si>
    <t>A spatial curve is a 1-dimensional geometric primitive, representing the continuous image of a line.</t>
  </si>
  <si>
    <t>CustomsImmigrationService</t>
  </si>
  <si>
    <t>ZI087</t>
  </si>
  <si>
    <t>Customs and Immigration Service</t>
  </si>
  <si>
    <t>A modeling entity collecting information regarding the availability and specifics of customs and immigration, including the facilities used for this service.</t>
  </si>
  <si>
    <t>Cut</t>
  </si>
  <si>
    <t>DB070</t>
  </si>
  <si>
    <t>An excavation in the terrain to provide passage for a land or water transportation route (for example: a road, a railway, and/or a canal).</t>
  </si>
  <si>
    <t>CutFace</t>
  </si>
  <si>
    <t>DB072</t>
  </si>
  <si>
    <t>Cut Face</t>
  </si>
  <si>
    <t>The face of an excavation within a cut.</t>
  </si>
  <si>
    <t>CutLine</t>
  </si>
  <si>
    <t>DB071</t>
  </si>
  <si>
    <t>The demarcation line between a cut and the surrounding land surface.</t>
  </si>
  <si>
    <t>Dam</t>
  </si>
  <si>
    <t>BI020</t>
  </si>
  <si>
    <t>A barrier constructed to hold back water and raise its level to form a reservoir or to prevent flooding.</t>
  </si>
  <si>
    <t>Weir</t>
  </si>
  <si>
    <t>Dataset</t>
  </si>
  <si>
    <t>ZI031</t>
  </si>
  <si>
    <t>A resource that is a set of instances of one or more modeling entities selected according to a single rationale (for example: a common production or publication process).</t>
  </si>
  <si>
    <t>For example, a set of modeling entities whose instances together constitute a 'water resources map'.</t>
  </si>
  <si>
    <t>DeFactoBoundary</t>
  </si>
  <si>
    <t>FA060</t>
  </si>
  <si>
    <t>De Facto Boundary</t>
  </si>
  <si>
    <t>An existing line of separation not officially recognized by various governments.</t>
  </si>
  <si>
    <t>DefensiveRevetment</t>
  </si>
  <si>
    <t>GB050</t>
  </si>
  <si>
    <t>Defensive Revetment</t>
  </si>
  <si>
    <t>A raised construction that protects a military asset (for example: aircraft or fighting vehicle), equipment (for example: radar station), and/or facility (for example: surface-to-air missile site) from hostile action.</t>
  </si>
  <si>
    <t>Defensive revetments may be constructed of sandbags, concrete, compacted earth, or other material such as logs or metal. They offer protection against low flying splinters, shrapnel, and/or projectiles from bombs, rockets, grenades, small arms fire and other line-of-sight weapons. High-angle, low-velocity fragments will still impact the exposed site.</t>
  </si>
  <si>
    <t>DeIcingAntiIcingArea</t>
  </si>
  <si>
    <t>GB161</t>
  </si>
  <si>
    <t>De-icing Anti-icing Area</t>
  </si>
  <si>
    <t>An area comprising an inner area for the parking of an aircraft to receive de-icing treatment and an outer area for the manoeuvring of two or more mobile de-icing equipment.</t>
  </si>
  <si>
    <t>De-icing Anti-Icing Pad</t>
  </si>
  <si>
    <t>DemilitarizedZone</t>
  </si>
  <si>
    <t>FA070</t>
  </si>
  <si>
    <t>Demilitarized Zone</t>
  </si>
  <si>
    <t>A region where military activity is prohibited.</t>
  </si>
  <si>
    <t>DepartureSegment</t>
  </si>
  <si>
    <t>GA510</t>
  </si>
  <si>
    <t>Departure Segment</t>
  </si>
  <si>
    <t>The portion of a departure route between the runway and the first en-route segment.</t>
  </si>
  <si>
    <t>Depression</t>
  </si>
  <si>
    <t>DB080</t>
  </si>
  <si>
    <t>A sunken place in the terrain that is completely surrounded by higher terrain.</t>
  </si>
  <si>
    <t>DepthArea</t>
  </si>
  <si>
    <t>BE019</t>
  </si>
  <si>
    <t>Depth Area</t>
  </si>
  <si>
    <t>A water area whose depth is within a defined range of values.</t>
  </si>
  <si>
    <t>DepthContour</t>
  </si>
  <si>
    <t>BE015</t>
  </si>
  <si>
    <t>Depth Contour</t>
  </si>
  <si>
    <t>A line connecting points of equal depth at and below the hydrographic datum.</t>
  </si>
  <si>
    <t>Depth contours follow the rules for contour formation, that is, contours must close on themselves, must be continuous, and must precisely represent the shape of the bottom. Depth contours are usually based on detailed bathymetric information.</t>
  </si>
  <si>
    <t>DepthCurve</t>
  </si>
  <si>
    <t>BE010</t>
  </si>
  <si>
    <t>Depth Curve</t>
  </si>
  <si>
    <t>A navigational safety line indicating that no sounding of a lesser depth exists seaward of the line, but greater depths may occur on the shallow side of the line.</t>
  </si>
  <si>
    <t>Depth curves should not be confused with Feature: 'Depth Contour'. Depth curves are generalised, are biased towards safety of navigation, and do not fully follow the rules for contour formation, that is, contours must close on themselves, must be continuous, and must precisely represent the shape of the bottom.</t>
  </si>
  <si>
    <t>Desert</t>
  </si>
  <si>
    <t>EE030</t>
  </si>
  <si>
    <t>An arid and treeless uncultivated sparsely populated tract of land.</t>
  </si>
  <si>
    <t>DesertificationArea</t>
  </si>
  <si>
    <t>NC000</t>
  </si>
  <si>
    <t>Desertification Area</t>
  </si>
  <si>
    <t>An area of the terrain that is subject to a persisting change of landscape towards that of desert that is typically caused by agriculture together with over-use of the ecosystem.</t>
  </si>
  <si>
    <t>Over the longer term, desertification may also be caused by natural reasons such as change of climate.</t>
  </si>
  <si>
    <t>Desertation</t>
  </si>
  <si>
    <t>DisasterSite</t>
  </si>
  <si>
    <t>FA530</t>
  </si>
  <si>
    <t>Disaster Site</t>
  </si>
  <si>
    <t>The site at which has occurred a serious disruption of the functioning of a community or a society causing widespread human, material, economic or environmental losses which exceed the ability of the affected community or society to cope using its own resources.</t>
  </si>
  <si>
    <t>DiscolouredWater</t>
  </si>
  <si>
    <t>BD030</t>
  </si>
  <si>
    <t>Discoloured Water</t>
  </si>
  <si>
    <t>A region of water having a colour distinctly different from that of the surrounding region.</t>
  </si>
  <si>
    <t>Discolored Water</t>
  </si>
  <si>
    <t>DishAerial</t>
  </si>
  <si>
    <t>AT010</t>
  </si>
  <si>
    <t>Dish Aerial</t>
  </si>
  <si>
    <t>A concave-shaped aerial that is used for emitting and/or sensing electromagnetic energy.</t>
  </si>
  <si>
    <t>For example, used to transmit and/or receive electronic signals as at a satellite station or to capture electromagnetic energy as in radio astronomy.</t>
  </si>
  <si>
    <t>Disk Aerial, Dish Antenna</t>
  </si>
  <si>
    <t>DisplaySign</t>
  </si>
  <si>
    <t>AL050</t>
  </si>
  <si>
    <t>Display Sign</t>
  </si>
  <si>
    <t>An upright panel or similar structure used to convey visual information.</t>
  </si>
  <si>
    <t>Notice Board</t>
  </si>
  <si>
    <t>DisposalSite</t>
  </si>
  <si>
    <t>AB000</t>
  </si>
  <si>
    <t>Disposal Site</t>
  </si>
  <si>
    <t>A prepared or reserved site on land for the collection and/or deposition of waste, refuse or discarded material.</t>
  </si>
  <si>
    <t>Refuse Tip, Slag Heap, Waste Pile</t>
  </si>
  <si>
    <t>DistanceMark</t>
  </si>
  <si>
    <t>ZB036</t>
  </si>
  <si>
    <t>Distance Mark</t>
  </si>
  <si>
    <t>A marker that indicates the value of distance measured from a starting location.</t>
  </si>
  <si>
    <t>Consists of either a solid visible structure or a distinct location without a special installation.</t>
  </si>
  <si>
    <t>DistanceMeasuringEquipment</t>
  </si>
  <si>
    <t>GA041</t>
  </si>
  <si>
    <t>Distance Measuring Equipment (DME)</t>
  </si>
  <si>
    <t>Ultra High Frequency (UHF) ground equipment that is used in conjunction with airborne equipment to determine distance between the airborne and ground equipment.</t>
  </si>
  <si>
    <t>DME Distance is defined as the line of sight distance (slant range) from the source of a DME signal to the receiving antenna. DME operates on the interrogation-answer principle where the time required for the round trip of the signal exchange is measured in the airborne DME unit and translated into DME Distance.</t>
  </si>
  <si>
    <t>DME</t>
  </si>
  <si>
    <t>DistancePost</t>
  </si>
  <si>
    <t>AQ100</t>
  </si>
  <si>
    <t>Distance Post</t>
  </si>
  <si>
    <t>A marker that designates the distance from a given location.</t>
  </si>
  <si>
    <t>Landmark Post, Milestone</t>
  </si>
  <si>
    <t>DisturbedSoil</t>
  </si>
  <si>
    <t>SA020</t>
  </si>
  <si>
    <t>Disturbed Soil</t>
  </si>
  <si>
    <t>Land so physically disturbed as to have no identifiable type of soil.</t>
  </si>
  <si>
    <t>For example, built-up areas, strip mines, landfills, and/or railway yards.</t>
  </si>
  <si>
    <t>Ditch</t>
  </si>
  <si>
    <t>BH030</t>
  </si>
  <si>
    <t>An artificial waterway with no flow, or a controlled flow, usually unlined, used for draining or irrigating land.</t>
  </si>
  <si>
    <t>DivingLocation</t>
  </si>
  <si>
    <t>FC038</t>
  </si>
  <si>
    <t>Diving Location</t>
  </si>
  <si>
    <t>A location where civilian diving activities take place.</t>
  </si>
  <si>
    <t>For example, training areas for diving schools.</t>
  </si>
  <si>
    <t>Dock</t>
  </si>
  <si>
    <t>BB095</t>
  </si>
  <si>
    <t>An artificially enclosed body of water within which vessels may moor and which may have gates used to regulate the interior water level.</t>
  </si>
  <si>
    <t>Dolphin</t>
  </si>
  <si>
    <t>BB080</t>
  </si>
  <si>
    <t>A post or group of posts used for mooring, warping a ship or as an aid to navigation.</t>
  </si>
  <si>
    <t>DpreCamp</t>
  </si>
  <si>
    <t>AI031</t>
  </si>
  <si>
    <t>DPRE Camp</t>
  </si>
  <si>
    <t>A camp providing shelter for Internally Displaced Persons (IDP), refugees and evacuees (DPRE).</t>
  </si>
  <si>
    <t>IDPs, refugees and evacuees are defined separately in AAP-6(2007).</t>
  </si>
  <si>
    <t>DragonsTeeth</t>
  </si>
  <si>
    <t>AL060</t>
  </si>
  <si>
    <t>Dragon's Teeth</t>
  </si>
  <si>
    <t>Upward-pointing obstacles laid in the ground to slow or stop the movement of vehicles.</t>
  </si>
  <si>
    <t>Typically constructed of regularly spaced concrete or metal shapes laid in single or multiple rows.</t>
  </si>
  <si>
    <t>DrainageBasin</t>
  </si>
  <si>
    <t>NA170</t>
  </si>
  <si>
    <t>Drainage Basin</t>
  </si>
  <si>
    <t>An area of land within which all surface waters drain to a single outlet point located on an inland waterbody or watercourse.</t>
  </si>
  <si>
    <t>Watershed (North America)</t>
  </si>
  <si>
    <t>DrainageLimit</t>
  </si>
  <si>
    <t>NA171</t>
  </si>
  <si>
    <t>Drainage Limit</t>
  </si>
  <si>
    <t>A boundary defined by all or part of the outer limit of a drainage basin, which distinguishes the headstreams that are tributaries to different river systems or basins.</t>
  </si>
  <si>
    <t>Watershed (Europe)</t>
  </si>
  <si>
    <t>DredgedArea</t>
  </si>
  <si>
    <t>FC034</t>
  </si>
  <si>
    <t>Dredged Area</t>
  </si>
  <si>
    <t>An area of the bottom of a body of water (for example: a channel) which has been deepened by dredging.</t>
  </si>
  <si>
    <t>DrinkingTrough</t>
  </si>
  <si>
    <t>BH175</t>
  </si>
  <si>
    <t>Drinking Trough</t>
  </si>
  <si>
    <t>A man-made open container holding water for animals to drink.</t>
  </si>
  <si>
    <t>DriveInTheatre</t>
  </si>
  <si>
    <t>AK070</t>
  </si>
  <si>
    <t>Drive-in Theatre</t>
  </si>
  <si>
    <t>A place where motion pictures are shown while viewers remain in their vehicles.</t>
  </si>
  <si>
    <t>Drive In Theater</t>
  </si>
  <si>
    <t>Drove</t>
  </si>
  <si>
    <t>AP060</t>
  </si>
  <si>
    <t>An unenclosed road or trail, due to the regular movement of animal herds.</t>
  </si>
  <si>
    <t>Chiefly for cattle and/or sheep.</t>
  </si>
  <si>
    <t>DryArea</t>
  </si>
  <si>
    <t>NC005</t>
  </si>
  <si>
    <t>Dry Area</t>
  </si>
  <si>
    <t>An area of the terrain where the rate of evaporation is exceeds the rate of precipitation.</t>
  </si>
  <si>
    <t>DryDock</t>
  </si>
  <si>
    <t>BB090</t>
  </si>
  <si>
    <t>Dry Dock</t>
  </si>
  <si>
    <t>An artificial basin fitted with a gate or caisson into which vessels can be floated and the water pumped out to expose the bottom of the vessel.</t>
  </si>
  <si>
    <t>Graving Dock, Drydock</t>
  </si>
  <si>
    <t>DryDockBasin</t>
  </si>
  <si>
    <t>BB091</t>
  </si>
  <si>
    <t>Dry Dock Basin</t>
  </si>
  <si>
    <t>The reservoir in a dry dock bounded by the dry dock wall and dry dock gate.</t>
  </si>
  <si>
    <t>DryDockGate</t>
  </si>
  <si>
    <t>BI042</t>
  </si>
  <si>
    <t>Dry Dock Gate</t>
  </si>
  <si>
    <t>The gate at the end of a dry dock that excludes the water after pumping out the dock.</t>
  </si>
  <si>
    <t>The pumping engines are often located in the caisson.</t>
  </si>
  <si>
    <t>Caisson</t>
  </si>
  <si>
    <t>DryDockWall</t>
  </si>
  <si>
    <t>BB092</t>
  </si>
  <si>
    <t>Dry Dock Wall</t>
  </si>
  <si>
    <t>The wall of a dry dock.</t>
  </si>
  <si>
    <t>Along with the dry dock gate it encloses the dry dock basin.</t>
  </si>
  <si>
    <t>DryLand</t>
  </si>
  <si>
    <t>DA030</t>
  </si>
  <si>
    <t>Dry Land</t>
  </si>
  <si>
    <t>A tract neither permanently nor temporarily covered by water.</t>
  </si>
  <si>
    <t>DumpingGround</t>
  </si>
  <si>
    <t>FC033</t>
  </si>
  <si>
    <t>Dumping Ground</t>
  </si>
  <si>
    <t>A sea area where dredged material or other potentially more harmful material (for example: explosives or chemical waste) is deliberately deposited.</t>
  </si>
  <si>
    <t>Dunes</t>
  </si>
  <si>
    <t>DB560</t>
  </si>
  <si>
    <t>One or more ridges or hills of loose sediments.</t>
  </si>
  <si>
    <t>For example constisting of sand or loess.</t>
  </si>
  <si>
    <t>Dyke</t>
  </si>
  <si>
    <t>BA051</t>
  </si>
  <si>
    <t>A man-made embankment to contain or hold back water.</t>
  </si>
  <si>
    <t>Levee, Dike</t>
  </si>
  <si>
    <t>EarlyWarningRadarStation</t>
  </si>
  <si>
    <t>AT020</t>
  </si>
  <si>
    <t>Early Warning Radar Station</t>
  </si>
  <si>
    <t>A facility utilizing long-range radar to detect approaching aircraft and/or missiles.</t>
  </si>
  <si>
    <t>EarthquakeDamageArea</t>
  </si>
  <si>
    <t>MB010</t>
  </si>
  <si>
    <t>Earthquake Damage Area</t>
  </si>
  <si>
    <t>An area of the surface of the Earth that has been damaged by an earthquake.</t>
  </si>
  <si>
    <t>The damage is due to mechanical shock and may to either of the terrain, attached structures and/or to cultural possessions.</t>
  </si>
  <si>
    <t>EcologicalCrisisArea</t>
  </si>
  <si>
    <t>NC030</t>
  </si>
  <si>
    <t>Ecological Crisis Area</t>
  </si>
  <si>
    <t>An area subject to extreme incidents that stress and may irreversibly injure the environment.</t>
  </si>
  <si>
    <t>Ecological Disaster Area</t>
  </si>
  <si>
    <t>EconomicReserve</t>
  </si>
  <si>
    <t>EE100</t>
  </si>
  <si>
    <t>Economic Reserve</t>
  </si>
  <si>
    <t>A tract of public land reserved for future use and/or restricted as to present use.</t>
  </si>
  <si>
    <t>For example, reserved for hunting or limited gathering of uncultivated forest products.</t>
  </si>
  <si>
    <t>Eddies</t>
  </si>
  <si>
    <t>BD040</t>
  </si>
  <si>
    <t>A circular movement of water usually formed, where currents pass obstructions between two adjacent currents flowing counter to each other, or along the edge of a permanent current.</t>
  </si>
  <si>
    <t>ElecPowerManagementRegion</t>
  </si>
  <si>
    <t>FA135</t>
  </si>
  <si>
    <t>Electric Power Management Region</t>
  </si>
  <si>
    <t>A territorial region within which electric power production, consumption and/or distribution is managed.</t>
  </si>
  <si>
    <t>ElectricPowerStation</t>
  </si>
  <si>
    <t>AD010</t>
  </si>
  <si>
    <t>Electric Power Station</t>
  </si>
  <si>
    <t>A facility including one or more buildings and equipment used for electric power generation.</t>
  </si>
  <si>
    <t>An electric power station consists of one or more power generating units, each consisting of the full set of equipment required to generate power and capable of independent operation. The power generating units are located on one or more contiguous or adjacent properties, are under the common control of the same entity and supply power through a common connection to the electric grid. Electric power stations most commonly are used to generate electricity for long distance transmission.</t>
  </si>
  <si>
    <t>ElevationContour</t>
  </si>
  <si>
    <t>CA010</t>
  </si>
  <si>
    <t>Elevation Contour</t>
  </si>
  <si>
    <t>A line connecting points having the same elevation value relative to a vertical datum.</t>
  </si>
  <si>
    <t>ElevationContourPolygon</t>
  </si>
  <si>
    <t>CA040</t>
  </si>
  <si>
    <t>Elevation Contour Polygon</t>
  </si>
  <si>
    <t>An arbitrary area specified to represent elevation as polygons between contour lines.</t>
  </si>
  <si>
    <t>Embankment</t>
  </si>
  <si>
    <t>DB090</t>
  </si>
  <si>
    <t>A man-made raised long mound of earth or other material.</t>
  </si>
  <si>
    <t>Fill</t>
  </si>
  <si>
    <t>EmergencyPlanningZone</t>
  </si>
  <si>
    <t>FA520</t>
  </si>
  <si>
    <t>Emergency Planning Zone</t>
  </si>
  <si>
    <t>A territorial region for which agreed procedures are developed and maintained to prevent, reduce, control, mitigate and take other protective and/or ameliorative measures in the event of an emergency (for example: in the event of an accident at a nuclear facility).</t>
  </si>
  <si>
    <t>EngineTestCell</t>
  </si>
  <si>
    <t>AF060</t>
  </si>
  <si>
    <t>Engine Test Cell</t>
  </si>
  <si>
    <t>A structure wherein aircraft or rocket engines are tested.</t>
  </si>
  <si>
    <t>The most common test cells are used for testing the performance characteristics of jet engines and are typically located at military aerodromes or aerospace research and development facilities. Test cells for liquid-fueled rocket booster engines are unique, massive structures (for example: the test cell located at Stennis Space Flight Center in the U.S.).</t>
  </si>
  <si>
    <t>EngineeredEarthwork</t>
  </si>
  <si>
    <t>AH025</t>
  </si>
  <si>
    <t>Engineered Earthwork</t>
  </si>
  <si>
    <t>An excavation and/or embankment created by remolding the natural configuration of the terrain for the purpose of enhancing the defense of a site from armed attack.</t>
  </si>
  <si>
    <t>The earthwork may include ancillary elements (for example: a palisade) or reinforcements (for example: a concrete facing).</t>
  </si>
  <si>
    <t>EngineeredTurnaroundSite</t>
  </si>
  <si>
    <t>AP033</t>
  </si>
  <si>
    <t>Engineered Turnaround Site</t>
  </si>
  <si>
    <t>A shaped area at the terminus of a local street that provides sufficient turning space allowing incoming traffic to turn around and exit without performing a stop-and-change-direction manoeuvre.</t>
  </si>
  <si>
    <t>The site is intended to slow down and control the flow of vehicular traffic leaving the main avenue. Construction is typically in the form of a defined shape (for example: circle, loop, or crescent). Access to the shaped turnaround site is provided through a single inlet passageway and along a short, connecting street. Traffic flow proceeds continuously around the turnaround site (in whatever shape and degree of utility). Egress is provided back along the same short, connecting street through a single outlet. The single inlet and single outlet are the same passageways. A median-like structure may exist in the center of the turnaround site, thus ensuring a well-defined pattern of vehicle movement. In residential areas the turnaround site often has multiple adjoining properties, each of which may have a separate driveway and/or defined parking area along the perimeter of the shaped area.</t>
  </si>
  <si>
    <t>EnrouteAtsRoute</t>
  </si>
  <si>
    <t>GA045</t>
  </si>
  <si>
    <t>Enroute Air Traffic Service (ATS) Route</t>
  </si>
  <si>
    <t>A specified route designed for channeling the flow of traffic as necessary for the provision of air traffic service (ATS) from the end of the take-off and initial climb phase to the commencement of the approach and landing phase.</t>
  </si>
  <si>
    <t>En-route Route</t>
  </si>
  <si>
    <t>Entity</t>
  </si>
  <si>
    <t>ZI034</t>
  </si>
  <si>
    <t>An abstract modeling entity that is a superclass for modeling entities having identity and that represents common properties (attributes and association roles) of its subclasses.</t>
  </si>
  <si>
    <t>Identity enables the ability to reference entity instances from other modeling entities. Common properties may include entity-related metadata, notes, and/or data-dissemination restriction(s) and security control(s) regarding the entity.</t>
  </si>
  <si>
    <t>EntityCollection</t>
  </si>
  <si>
    <t>ZI035</t>
  </si>
  <si>
    <t>Entity Collection</t>
  </si>
  <si>
    <t>A resource that collects instances of one or more modeling entities according to a common rationale (for example: based on a theme or spatial region).</t>
  </si>
  <si>
    <t>A transportation or drainage network are examples of thematically organized collections; a tessellation of the surface of a continent is an example of a spatially organized collection.</t>
  </si>
  <si>
    <t>EntranceExit</t>
  </si>
  <si>
    <t>AQ090</t>
  </si>
  <si>
    <t>Entrance and/or Exit</t>
  </si>
  <si>
    <t>A location of entrance and/or exit.</t>
  </si>
  <si>
    <t>For example, a cave mouth or a doorway.</t>
  </si>
  <si>
    <t>Epicentre</t>
  </si>
  <si>
    <t>MB000</t>
  </si>
  <si>
    <t>The point on the surface of the Earth that is directly above the focus of an earthquake.</t>
  </si>
  <si>
    <t>ErosionArea</t>
  </si>
  <si>
    <t>MA020</t>
  </si>
  <si>
    <t>Erosion Area</t>
  </si>
  <si>
    <t>An area of the land where removal processes have caused an areal degradation of soil particles (for example: erosion by the action of the wind) or to a linear degradation with deep erosion of different grades (for example: erosion by the action of moving water).</t>
  </si>
  <si>
    <t>Denudation Area</t>
  </si>
  <si>
    <t>Esker</t>
  </si>
  <si>
    <t>DB100</t>
  </si>
  <si>
    <t>A long, narrow ridge of sand and gravel deposited by a glacial stream.</t>
  </si>
  <si>
    <t>EventEntity</t>
  </si>
  <si>
    <t>ZI030</t>
  </si>
  <si>
    <t>Event Entity</t>
  </si>
  <si>
    <t>An abstract modeling entity that is a superclass for event types, which are representations of instantaneous or short-duration real-world phenomena, including their geometric position and extent.</t>
  </si>
  <si>
    <t>An event may be considered as a temporally transient feature, where the degree of transience distinguishing an 'event' from a 'feature' may be context-dependent.</t>
  </si>
  <si>
    <t>ExcavatingMachine</t>
  </si>
  <si>
    <t>AF050</t>
  </si>
  <si>
    <t>Excavating Machine</t>
  </si>
  <si>
    <t>A mechanical device for removing materials from the ground.</t>
  </si>
  <si>
    <t>For example, a dredger, a powershovel, and a dragline.</t>
  </si>
  <si>
    <t>ExplosiveNavalMine</t>
  </si>
  <si>
    <t>BD001</t>
  </si>
  <si>
    <t>Explosive Naval Mine</t>
  </si>
  <si>
    <t>An explosive device used in naval warfare deployed on or below the sea surface.</t>
  </si>
  <si>
    <t>ExposedBedrock</t>
  </si>
  <si>
    <t>SA030</t>
  </si>
  <si>
    <t>Exposed Bedrock</t>
  </si>
  <si>
    <t>Land consisting principally of bedrock that is covered by less than 10 percent loose material (for example: soil, sand, clay, and/or gravel).</t>
  </si>
  <si>
    <t>The bedrock may include extrusive materials such as lava.</t>
  </si>
  <si>
    <t>ExtractionMine</t>
  </si>
  <si>
    <t>AA010</t>
  </si>
  <si>
    <t>Extraction Mine</t>
  </si>
  <si>
    <t>An excavation made in the terrain for the purpose of extracting and/or exploiting natural resources.</t>
  </si>
  <si>
    <t>ExtremeWindZone</t>
  </si>
  <si>
    <t>NG025</t>
  </si>
  <si>
    <t>Extreme Wind Zone</t>
  </si>
  <si>
    <t>An area of the surface of the Earth that shares a common characterization of its wind circulation as having more or less regular (periodic, partly episodic) occurring strong winds with speeds more than 75 kilometres per hour (9 Beaufort or greater).</t>
  </si>
  <si>
    <t>May also be used to characterize areas of persistently low wind speed (for example: the 'horse latitudes').</t>
  </si>
  <si>
    <t>Facility</t>
  </si>
  <si>
    <t>AL010</t>
  </si>
  <si>
    <t>An area that has been developed to perform a specific principal function, consisting of one or more vertical constructions (for example: structures or buildings), horizontal constructions (for example: pavements, roads, rail tracks, or bridges), and/or supporting utilities (for example: power lines, water supply, or sewerage), plus the underlying land.</t>
  </si>
  <si>
    <t>For example, an industrial plant consisting of building(s), shipping dock(s), storage area(s), power transformer(s), heating and/or cooling equipment, vehicle parking, roads, railroad tracks, and perimeter fences and gates.</t>
  </si>
  <si>
    <t>Fairground</t>
  </si>
  <si>
    <t>AK090</t>
  </si>
  <si>
    <t>An area where permanent facilities exist to hold outdoor fairs, circuses or exhibitions.</t>
  </si>
  <si>
    <t>Fairgrounds</t>
  </si>
  <si>
    <t>Farm</t>
  </si>
  <si>
    <t>AJ060</t>
  </si>
  <si>
    <t>A tract of land, including buildings and structures, whose primary use is the production of food (for example: crops or livestock).</t>
  </si>
  <si>
    <t>A farm can be a holding of any size from a few dozen to many thousands of acres, and may be specialized to particular forms of food production, for example: a truck farm where primarily vegetables are grown, an orchard where tree fruit and/or nuts are grown, a vineyard where grapes are grown, and a ranch where livestock are raised on the range. A large farm or estate operating on the plantation economy model is termed an 'industrial farm' or 'plantation'.</t>
  </si>
  <si>
    <t>FeatureAggregate</t>
  </si>
  <si>
    <t>AL045</t>
  </si>
  <si>
    <t>Feature Aggregate</t>
  </si>
  <si>
    <t>A region in which multiple features having the same function are represented as one contiguous aggregate feature.</t>
  </si>
  <si>
    <t>May be used instead of identifying individual features within the region. Individual features included within the aggregate may or may not meet inclusion conditions to be delineated individually.</t>
  </si>
  <si>
    <t>FeatureAttGAMetadata</t>
  </si>
  <si>
    <t>ZI027</t>
  </si>
  <si>
    <t>Feature Attribute GEOINT Assurance Metadata</t>
  </si>
  <si>
    <t>A modeling entity collecting assurance information about the quality of the digital representation of a Geospatial Intelligence (GEOINT) feature attribute.</t>
  </si>
  <si>
    <t>For example, the currency of the information known about a feature attribute or the degree to which the attribute value is accurately and/or completely determined.</t>
  </si>
  <si>
    <t>FeatureEntity</t>
  </si>
  <si>
    <t>ZI028</t>
  </si>
  <si>
    <t>Feature Entity</t>
  </si>
  <si>
    <t>An abstract modeling entity that is a superclass for feature types, which are representations of temporally persistent real-world phenomena, including their geometric position and extent.</t>
  </si>
  <si>
    <t>The concept of a 'feature' is that of the ISO 19100-series standards and as such is not constrained to any specific representation; for example, surface representation such as grids and images are allowed in addition to vector representations.</t>
  </si>
  <si>
    <t>FeatureGAMetadata</t>
  </si>
  <si>
    <t>ZI026</t>
  </si>
  <si>
    <t>Feature GEOINT Assurance Metadata</t>
  </si>
  <si>
    <t>A modeling entity collecting assurance information about the quality of the digital representation of a Geospatial Intelligence (GEOINT) feature and its properties (attributes and associations).</t>
  </si>
  <si>
    <t>For example, the currency of the information known about a feature or the degree to which the properties of a feature are accurately and/or completely determined.</t>
  </si>
  <si>
    <t>Fence</t>
  </si>
  <si>
    <t>AL070</t>
  </si>
  <si>
    <t>A man-made barrier of relatively light structure used as an enclosure or boundary.</t>
  </si>
  <si>
    <t>Similar structures that are constructed of heavy materials (for example: stone, rock or masonry) are classified as walls.</t>
  </si>
  <si>
    <t>FerryCrossing</t>
  </si>
  <si>
    <t>AQ070</t>
  </si>
  <si>
    <t>Ferry Crossing</t>
  </si>
  <si>
    <t>A route where a ferry crosses from one shore to another.</t>
  </si>
  <si>
    <t>FerryStation</t>
  </si>
  <si>
    <t>AQ080</t>
  </si>
  <si>
    <t>Ferry Station</t>
  </si>
  <si>
    <t>A location where a ferry takes on or discharges its load.</t>
  </si>
  <si>
    <t>Ferry Site</t>
  </si>
  <si>
    <t>FinalApproachTakeOffArea</t>
  </si>
  <si>
    <t>GB032</t>
  </si>
  <si>
    <t>Final Approach and Take-off Area (FATO)</t>
  </si>
  <si>
    <t>A defined area over which the final phase of the aircraft/helicopter approach manoeuvre to hover or land is completed and from which the take-off manoeuvre is commenced.</t>
  </si>
  <si>
    <t>Where the FATO is to be used by performance Class 1 helicopters, the defined area includes the rejected take-off area available.</t>
  </si>
  <si>
    <t>FATO</t>
  </si>
  <si>
    <t>FinalAppTakeOffAreaSafety</t>
  </si>
  <si>
    <t>GB036</t>
  </si>
  <si>
    <t>Final Approach and Take-off Area (FATO) Safety Area</t>
  </si>
  <si>
    <t>A defined area on a heliport surrounding the FATO which is free of obstacles, other than those required for air navigation purposes, and intended to reduce the risk of damage to aircraft/helicopters accidentally diverging from the FATO.</t>
  </si>
  <si>
    <t>FATO Protection Area, Safety Area</t>
  </si>
  <si>
    <t>FinalApproachSegment</t>
  </si>
  <si>
    <t>GA280</t>
  </si>
  <si>
    <t>Final Approach Segment (FAS)</t>
  </si>
  <si>
    <t>That segment of an Instrument Approach Procedure (IAP) in which alignment and descent for landing are accomplished.</t>
  </si>
  <si>
    <t>FinalApproachSegDataBlock</t>
  </si>
  <si>
    <t>GA281</t>
  </si>
  <si>
    <t>Final Approach Segment (FAS) Data Block</t>
  </si>
  <si>
    <t>A set of parameters used to define two specific geometric locations used as navigational points for aircraft utilizing precision Area Navigation (RNAV) approach procedures to land an aircraft in adverse approach conditions.</t>
  </si>
  <si>
    <t>FireHydrant</t>
  </si>
  <si>
    <t>AL017</t>
  </si>
  <si>
    <t>Fire Hydrant</t>
  </si>
  <si>
    <t>An apparatus for drawing water directly from a main, especially alongside a street or road, consisting of a pipe with one or more nozzles or spouts, to which a hose of a fire-engine may be attached.</t>
  </si>
  <si>
    <t>FiringRange</t>
  </si>
  <si>
    <t>FA015</t>
  </si>
  <si>
    <t>Firing Range</t>
  </si>
  <si>
    <t>A site designated for the purpose of discharging firearms or detonating munitions.</t>
  </si>
  <si>
    <t>Weapons Range, Gunnery Range</t>
  </si>
  <si>
    <t>FishFarmFacility</t>
  </si>
  <si>
    <t>BH051</t>
  </si>
  <si>
    <t>Fish Farm Facility</t>
  </si>
  <si>
    <t>A facility involved in the breeding (hatching and associated activities) and cultivation (raising for release or harvesting) of fish in tanks or landlocked enclosures.</t>
  </si>
  <si>
    <t>Fish species raised on fish farms include, for example, salmon, catfish, tilapia, cod, carp, and trout.</t>
  </si>
  <si>
    <t>FishHaven</t>
  </si>
  <si>
    <t>BD125</t>
  </si>
  <si>
    <t>Fish Haven</t>
  </si>
  <si>
    <t>An area on a water body bottom established to simulate a natural reef and intended to enhance fishery resources and commercial and/or recreational fishing opportunities.</t>
  </si>
  <si>
    <t>The haven (reef) is constructed by dumping (or emplacing) assorted scrap materials (or artificial structures) in areas which may be of very small extent or may stretch a considerable distance along a depth contour.</t>
  </si>
  <si>
    <t>Fishery Reef</t>
  </si>
  <si>
    <t>FishLadder</t>
  </si>
  <si>
    <t>BI060</t>
  </si>
  <si>
    <t>Fish Ladder</t>
  </si>
  <si>
    <t>A series of ascending pools constructed to enable fish to swim upstream over (or around) a dam.</t>
  </si>
  <si>
    <t>FishTrapArea</t>
  </si>
  <si>
    <t>BB112</t>
  </si>
  <si>
    <t>Fish Trap Area</t>
  </si>
  <si>
    <t>An area containing structures (usually portable) for catching fish.</t>
  </si>
  <si>
    <t>FishWeir</t>
  </si>
  <si>
    <t>BB110</t>
  </si>
  <si>
    <t>Fish Weir</t>
  </si>
  <si>
    <t>A fence of stakes or wall of stones set in a river or along the shore to direct fish towards fish traps or nets.</t>
  </si>
  <si>
    <t>The weir is shaped so as to encourage fish to naturally congregate, usually based on river or tidal flow. Although generally consisting of linear segments on rivers, in shore areas one or more components may be curved so as to form an enclosure with a narrow entrance. When constructed of stones the thickness of the wall constitutes a permanent hazard to maritime navigation.</t>
  </si>
  <si>
    <t>FisherySpeciesDistribution</t>
  </si>
  <si>
    <t>FC187</t>
  </si>
  <si>
    <t>Fishery Species Distribution</t>
  </si>
  <si>
    <t>A geographic region describing the distribution of a marine species that may sustain a fishery.</t>
  </si>
  <si>
    <t>Fisheries may be characterized as commercial and/or artisanal.</t>
  </si>
  <si>
    <t>FishingHarbour</t>
  </si>
  <si>
    <t>BB105</t>
  </si>
  <si>
    <t>Fishing Harbour</t>
  </si>
  <si>
    <t>A harbour that is primarily used by fishing vessels.</t>
  </si>
  <si>
    <t>Fishing Harbor</t>
  </si>
  <si>
    <t>FishingStakes</t>
  </si>
  <si>
    <t>BB100</t>
  </si>
  <si>
    <t>Fishing Stakes</t>
  </si>
  <si>
    <t>Poles or stakes placed in shallow water to outline fishing grounds or to catch fish.</t>
  </si>
  <si>
    <t>Fish Stakes</t>
  </si>
  <si>
    <t>FishingStructure</t>
  </si>
  <si>
    <t>BD079</t>
  </si>
  <si>
    <t>Fishing Structure</t>
  </si>
  <si>
    <t>A structure in shallow water for fishing purposes that may be a hazard to navigation.</t>
  </si>
  <si>
    <t>The position of these structures may vary frequently over time.</t>
  </si>
  <si>
    <t>FishingVesselActivityRegion</t>
  </si>
  <si>
    <t>FC186</t>
  </si>
  <si>
    <t>Fishing Vessel Activity Region</t>
  </si>
  <si>
    <t>A geographic region characterized by a historical level of large-scale (generally greater than 100 gross ton) commercial fishing activity.</t>
  </si>
  <si>
    <t>Typically only fishing vessels traveling at trawling speeds (typically not exceeding 6 knots) are included, and regions near the coastline (for example: less than 10 nautical miles) are excluded.</t>
  </si>
  <si>
    <t>Flagpole</t>
  </si>
  <si>
    <t>AL073</t>
  </si>
  <si>
    <t>A staff or pole on which a flag is raised.</t>
  </si>
  <si>
    <t>Flagstaff</t>
  </si>
  <si>
    <t>FlarePipe</t>
  </si>
  <si>
    <t>AF070</t>
  </si>
  <si>
    <t>Flare Pipe</t>
  </si>
  <si>
    <t>An open-ended pipe at which waste gases are burned.</t>
  </si>
  <si>
    <t>FlareStack</t>
  </si>
  <si>
    <t>AB020</t>
  </si>
  <si>
    <t>Flare Stack</t>
  </si>
  <si>
    <t>A permanent vertical structure normally used for the disposal of waste or by-products from petro-chemical production by burning.</t>
  </si>
  <si>
    <t>Burner</t>
  </si>
  <si>
    <t>FloatingBarrier</t>
  </si>
  <si>
    <t>BD123</t>
  </si>
  <si>
    <t>Floating Barrier</t>
  </si>
  <si>
    <t>A floating barrier used to protect a region of a body of water or to create a sheltered area on a body of water for storage purposes.</t>
  </si>
  <si>
    <t>For example, a boom placed around an oil tanker to catch accidental releases of oil or placed so as to enclose and contain rafted logs.</t>
  </si>
  <si>
    <t>FloatingDryDock</t>
  </si>
  <si>
    <t>BB199</t>
  </si>
  <si>
    <t>Floating Dry Dock</t>
  </si>
  <si>
    <t>A form of dry dock consisting of a floating structure of one or more sections which can be partly submerged by controlled flooding to receive a vessel, then raised by pumping out the water so that the vessel's bottom can be exposed.</t>
  </si>
  <si>
    <t>FloodBarrage</t>
  </si>
  <si>
    <t>BI043</t>
  </si>
  <si>
    <t>Flood Barrage</t>
  </si>
  <si>
    <t>An artificial obstruction placed in a watercourse to increase the depth or to divert it.</t>
  </si>
  <si>
    <t>FloodControlStructure</t>
  </si>
  <si>
    <t>BI044</t>
  </si>
  <si>
    <t>Flood Control Structure</t>
  </si>
  <si>
    <t>An artificial structure or gate that is utilized as a defense against flooding or storm surges.</t>
  </si>
  <si>
    <t>Consideration should be given to using the more specific Dam or Embankment features where appropriate in lieu of Flood Control Structure.</t>
  </si>
  <si>
    <t>FloodedArea</t>
  </si>
  <si>
    <t>BH091</t>
  </si>
  <si>
    <t>Flooded Area</t>
  </si>
  <si>
    <t>Land subject to controlled inundation (for example: flooded by the regulation of the level of water impounded by a dam or a beaver dam).</t>
  </si>
  <si>
    <t>It is often used to describe permanently flooded areas in which trees are still standing.</t>
  </si>
  <si>
    <t>Flume</t>
  </si>
  <si>
    <t>BH060</t>
  </si>
  <si>
    <t>An inclined channel for conveying water from a distance.</t>
  </si>
  <si>
    <t>For example, carries water to be utilized for power, transportation, and/or irrigation.</t>
  </si>
  <si>
    <t>FogSignal</t>
  </si>
  <si>
    <t>BC101</t>
  </si>
  <si>
    <t>Fog Signal</t>
  </si>
  <si>
    <t>A device (for example: located on a vessel or an aid to navigation) that transmits a warning signal during periods of low visibility, especially due to fog.</t>
  </si>
  <si>
    <t>FogZone</t>
  </si>
  <si>
    <t>NF045</t>
  </si>
  <si>
    <t>Fog Zone</t>
  </si>
  <si>
    <t>An area of the surface of the Earth that shares a common characterization of its annual period of fog.</t>
  </si>
  <si>
    <t>The period may consist of discontinuous eposides.</t>
  </si>
  <si>
    <t>Ford</t>
  </si>
  <si>
    <t>BH070</t>
  </si>
  <si>
    <t>A shallow place in a body of water used as a crossing.</t>
  </si>
  <si>
    <t>Foreshore</t>
  </si>
  <si>
    <t>BA023</t>
  </si>
  <si>
    <t>The part of the shore or beach which lies between the low water mark and the upper limit of normal wave action.</t>
  </si>
  <si>
    <t>Forest</t>
  </si>
  <si>
    <t>EC015</t>
  </si>
  <si>
    <t>A tract of land primarily covered by trees and undergrowth.</t>
  </si>
  <si>
    <t>The area is sometimes mixed with pasture.</t>
  </si>
  <si>
    <t>ForestClearing</t>
  </si>
  <si>
    <t>EC060</t>
  </si>
  <si>
    <t>Forest Clearing</t>
  </si>
  <si>
    <t>A site in a forest or wood(s) that has been cleared, often for slash and burn agriculture and/or as a result of clear-cutting logging.</t>
  </si>
  <si>
    <t>May also occur from natural causes such as a forest fire.</t>
  </si>
  <si>
    <t>Fortification</t>
  </si>
  <si>
    <t>AH050</t>
  </si>
  <si>
    <t>A structure constructed for the military defence of a site.</t>
  </si>
  <si>
    <t>For example, a bastion and a rampart.</t>
  </si>
  <si>
    <t>FortifiedBuilding</t>
  </si>
  <si>
    <t>AH055</t>
  </si>
  <si>
    <t>Fortified Building</t>
  </si>
  <si>
    <t>A building that is specifically designed or reinforced to provide for defense from armed attack.</t>
  </si>
  <si>
    <t>FoulGround</t>
  </si>
  <si>
    <t>BD050</t>
  </si>
  <si>
    <t>Foul Ground</t>
  </si>
  <si>
    <t>A region over which it is safe to navigate but which should be avoided for anchoring, intentional grounding, or ground fishing.</t>
  </si>
  <si>
    <t>Fountain</t>
  </si>
  <si>
    <t>BH075</t>
  </si>
  <si>
    <t>A monumental and/or ornamental structure containing moving water, often including jets, falls, or other decorative features.</t>
  </si>
  <si>
    <t>The structure is often of a civic nature; the water is typically recirculated.</t>
  </si>
  <si>
    <t>Frostand/orSnowZone</t>
  </si>
  <si>
    <t>NF040</t>
  </si>
  <si>
    <t>Frost and/or Snow Zone</t>
  </si>
  <si>
    <t>An area of the surface of the Earth that shares a common characterization of its annual period of frost and/or snow.</t>
  </si>
  <si>
    <t>FuelStorageFacility</t>
  </si>
  <si>
    <t>AM075</t>
  </si>
  <si>
    <t>Fuel Storage Facility</t>
  </si>
  <si>
    <t>A facility for the storage of fuel (for example: jet fuel, gasoline, or diesel oil).</t>
  </si>
  <si>
    <t>The fuel is typically stored in large tanks that may be partially or wholly buried and is accompanied by metering and dispensing equipment. Facilities may range in size from a small stockpile of drums (sometimes termed a 'fuel dump') to a large perimeter-controlled site with multiple permanent surface tanks, in-ground pipelines and associated equipment (sometimes termed a 'fuel depot').</t>
  </si>
  <si>
    <t>Gallery</t>
  </si>
  <si>
    <t>AL075</t>
  </si>
  <si>
    <t>A sunken or cut passageway along a transportation route in mountainous regions constructed to protect vehicles from the elements.</t>
  </si>
  <si>
    <t>A series of openings on one side may be present for light or ventilation.</t>
  </si>
  <si>
    <t>Gantry</t>
  </si>
  <si>
    <t>AL080</t>
  </si>
  <si>
    <t>A permanent raised structure used to support equipment (for example: cranes, signal lights, or signs) while spanning over or around an object (for example: over a road or railroad, or around a ship hull or rocket).</t>
  </si>
  <si>
    <t>A gantry may be moveable (for example: a rocket gantry may be repositioned away from the launch pad when pre-launch preparations are complete). A 'scaffold' is a structure that may be similar in appearance but is assembled only for temporary use (for example: during external repair of a building).</t>
  </si>
  <si>
    <t>Garden</t>
  </si>
  <si>
    <t>EE050</t>
  </si>
  <si>
    <t>A piece of ground (often enclosed) where fruits, flowers, herbs, or vegetables are cultivated.</t>
  </si>
  <si>
    <t>Often adjoining a house or other residential building.</t>
  </si>
  <si>
    <t>Gate</t>
  </si>
  <si>
    <t>AP040</t>
  </si>
  <si>
    <t>A barrier on a transportation route (for example: a road, a railway, a tunnel, or a bridge) that controls passage (may be opened and closed).</t>
  </si>
  <si>
    <t>GaugingStation</t>
  </si>
  <si>
    <t>BI070</t>
  </si>
  <si>
    <t>Gauging Station</t>
  </si>
  <si>
    <t>A device that monitors river flow and/or depth, and any associated support structures.</t>
  </si>
  <si>
    <t>GeneralBuilding</t>
  </si>
  <si>
    <t>AL015</t>
  </si>
  <si>
    <t>General Building</t>
  </si>
  <si>
    <t>A relatively permanent structure, roofed and usually walled and designed for some particular use.</t>
  </si>
  <si>
    <t>GeodeticPoint</t>
  </si>
  <si>
    <t>ZB060</t>
  </si>
  <si>
    <t>Geodetic Point</t>
  </si>
  <si>
    <t>A physical point on the Earth's surface having a known position (for example: as determined by survey) and established as part of a geodetic network.</t>
  </si>
  <si>
    <t>For example, a triangulation (trig) point.</t>
  </si>
  <si>
    <t>GeographicInfoLocation</t>
  </si>
  <si>
    <t>ZD012</t>
  </si>
  <si>
    <t>Geographic Information Location</t>
  </si>
  <si>
    <t>A location that does not appear as a specific, characterized object but with which specific information is associated.</t>
  </si>
  <si>
    <t>GeoNameCollection</t>
  </si>
  <si>
    <t>ZI015</t>
  </si>
  <si>
    <t>Geographic Name Collection</t>
  </si>
  <si>
    <t>A modeling entity collecting the set of geographic name(s) used to denote a feature along with a geographic location suitable for use in a gazetteer.</t>
  </si>
  <si>
    <t>GeoNameInfo</t>
  </si>
  <si>
    <t>ZI005</t>
  </si>
  <si>
    <t>Geographic Name Information</t>
  </si>
  <si>
    <t>A modeling entity specifying both a name used to denote a feature and related information establishing the context for, and use of, that name.</t>
  </si>
  <si>
    <t>GeologicFault</t>
  </si>
  <si>
    <t>DB110</t>
  </si>
  <si>
    <t>Geologic Fault</t>
  </si>
  <si>
    <t>A fracture or zone of fractures in a rock formation, marked by the relative displacement on either side of the plane of the fracture.</t>
  </si>
  <si>
    <t>The intersection of a geologic fault with the ground surface is termed the 'fault trace' and is commonly plotted on maps to represent a fault. Since geologic faults do not usually consist of a single, clean fracture, the term 'fault zone' (or 'distributed fault') is often used when referring to the zone of complex deformation and numerous small fractures that is associated with the fault plane.</t>
  </si>
  <si>
    <t>GeologicMappingUnit</t>
  </si>
  <si>
    <t>MC000</t>
  </si>
  <si>
    <t>Geologic Mapping Unit</t>
  </si>
  <si>
    <t>An area of the surface of the Earth that shares a common characterization of its tectono-, litho-, bio-, and/or chronostratigraphic properties.</t>
  </si>
  <si>
    <t>GeologicMassMovement</t>
  </si>
  <si>
    <t>MA030</t>
  </si>
  <si>
    <t>Geologic Mass Movement</t>
  </si>
  <si>
    <t>An area within which dislodgment and downslope transport of soil and/or bedrock under the influence of gravity has occurred.</t>
  </si>
  <si>
    <t>The movement may be either fast (for example: a landslide) or a slower creep.</t>
  </si>
  <si>
    <t>GeologicStructureLine</t>
  </si>
  <si>
    <t>MA040</t>
  </si>
  <si>
    <t>Geologic Structure Line</t>
  </si>
  <si>
    <t>A line along which large scale, linear tectonic manifestations have occurred.</t>
  </si>
  <si>
    <t>GeometryInfo</t>
  </si>
  <si>
    <t>ZI029</t>
  </si>
  <si>
    <t>Geometry Information</t>
  </si>
  <si>
    <t>An abstract modeling entity serving as a superclass that collects shared properties (attributes and associations) of modeling entities that specify geometric representation information about a feature.</t>
  </si>
  <si>
    <t>For example, the horizontal and/or vertical metadata, notes, and/or restriction(s) and/or security control(s) applicable to dissemination of data regarding the geometric representation of the feature.</t>
  </si>
  <si>
    <t>GeomorphicBreakline</t>
  </si>
  <si>
    <t>ZD551</t>
  </si>
  <si>
    <t>Geomorphic Break-line</t>
  </si>
  <si>
    <t>A line along which the slope of a land surface model changes relatively abruptly.</t>
  </si>
  <si>
    <t>For example, a ridge line and a cliff. Land surface models use elevation data to approximate the shape of the terrain as a continuous mathematical surface.</t>
  </si>
  <si>
    <t>GeomorphicExtreme</t>
  </si>
  <si>
    <t>ZD550</t>
  </si>
  <si>
    <t>Geomorphic Extreme</t>
  </si>
  <si>
    <t>A location where the slope of a land surface model changes sign when approached from any direction.</t>
  </si>
  <si>
    <t>For example, a peak and a pit. Land surface models approximate the shape of the terrain as a continuous surface based on limited data.</t>
  </si>
  <si>
    <t>GeophysicalAnomaly</t>
  </si>
  <si>
    <t>ZC500</t>
  </si>
  <si>
    <t>Geophysical Anomaly</t>
  </si>
  <si>
    <t>An area where one or more geophysical parameters differ from the surroundings due to inhomogeneities in the underground composition.</t>
  </si>
  <si>
    <t>GeophysicalDataTrackLine</t>
  </si>
  <si>
    <t>FA091</t>
  </si>
  <si>
    <t>Geophysical Data Track Line</t>
  </si>
  <si>
    <t>A track along which a series of geophysical data observations are distributed.</t>
  </si>
  <si>
    <t>GeophysicalProspectGrid</t>
  </si>
  <si>
    <t>FA090</t>
  </si>
  <si>
    <t>Geophysical Prospecting Grid</t>
  </si>
  <si>
    <t>A grid established for the collection of geophysical data within an area.</t>
  </si>
  <si>
    <t>The grid is typically composed of one or more series of observation points where each series is obtained along a single track and the grid is then assembled from multiple tracks.</t>
  </si>
  <si>
    <t>GeopoliticalEntity</t>
  </si>
  <si>
    <t>FA002</t>
  </si>
  <si>
    <t>Geopolitical Entity</t>
  </si>
  <si>
    <t>A region controlled by a political community having an organized government and possessing internal and external sovereignty, most often as a State but sometimes having a dependent relationship on another political authority or a special sovereignty status.</t>
  </si>
  <si>
    <t>The degree of sovereignty may be limited in specific areas (for example: matters of economic, administrative, legislative, judicial, military and/or foreign policy). The region controlled by a sovereign geopolitical entity is commonly referred to as a 'country'.</t>
  </si>
  <si>
    <t>GeopoliticalEntityDesig</t>
  </si>
  <si>
    <t>ZI020</t>
  </si>
  <si>
    <t>Geopolitical Entity Designation</t>
  </si>
  <si>
    <t>A modeling entity collecting information about designations (for example: standardized names or codes) for a geopolitical entity (for example: a State).</t>
  </si>
  <si>
    <t>GeopoliticalLine</t>
  </si>
  <si>
    <t>FA004</t>
  </si>
  <si>
    <t>Geopolitical Line</t>
  </si>
  <si>
    <t>A geospatially described boundary representing the limits of authority for administration, control, military and/or other kinds of activities, as asserted by one or more political organizations (whether unilaterally or in agreement), including recognized governments, provisional authorities, and international bodies.</t>
  </si>
  <si>
    <t>A geopolitical line is typically indicated at ground level, but in effect represents a two-dimensional plane roughly perpendicular to the Earth's surface along that line, passing through the air above and the ground below.</t>
  </si>
  <si>
    <t>GeothermalOutlet</t>
  </si>
  <si>
    <t>DB115</t>
  </si>
  <si>
    <t>Geothermal Outlet</t>
  </si>
  <si>
    <t>A terrain surface feature controlled by or derived from the heat of the Earth's interior.</t>
  </si>
  <si>
    <t>For example, a hot spring.</t>
  </si>
  <si>
    <t>Glacier</t>
  </si>
  <si>
    <t>BJ030</t>
  </si>
  <si>
    <t>A large mass or river of ice formed by accumulation and compaction of snow on higher ground that is moving slowly down a slope or valley from above the snowline.</t>
  </si>
  <si>
    <t>GlobalNavSatelliteSystem</t>
  </si>
  <si>
    <t>GA040</t>
  </si>
  <si>
    <t>Global Navigation Satellite System (GNSS)</t>
  </si>
  <si>
    <t>A wide area service based on a satellite constellation providing radio frequency signals which can be used by airborne equipment to determine the aircraft's two-dimensional position, or depending upon the capabilities of the system, a three-dimensional position.</t>
  </si>
  <si>
    <t>For example: GLObal NAvigation Satellite System (GLONASS), Global Positioning System (GPS), Wide Area Augmentation System (WAAS), or European Geostationary Navigation Overlay Service (EGNOS).</t>
  </si>
  <si>
    <t>GNSS</t>
  </si>
  <si>
    <t>GlobalWindBelt</t>
  </si>
  <si>
    <t>NG000</t>
  </si>
  <si>
    <t>Global Wind Belt</t>
  </si>
  <si>
    <t>A major area of the surface of the Earth that shares a common characterization of its permanent wind circulation.</t>
  </si>
  <si>
    <t>GolfCourse</t>
  </si>
  <si>
    <t>AK100</t>
  </si>
  <si>
    <t>Golf Course</t>
  </si>
  <si>
    <t>A tract of land on which golf is played.</t>
  </si>
  <si>
    <t>GolfDrivingRange</t>
  </si>
  <si>
    <t>AK101</t>
  </si>
  <si>
    <t>Golf Driving Range</t>
  </si>
  <si>
    <t>A parcel of land used for practicing golf shots.</t>
  </si>
  <si>
    <t>GradationWorks</t>
  </si>
  <si>
    <t>AA060</t>
  </si>
  <si>
    <t>Gradation Works</t>
  </si>
  <si>
    <t>A structure over which brine trickles and is concentrated through increased evaporation.</t>
  </si>
  <si>
    <t>GrainElevator</t>
  </si>
  <si>
    <t>AM030</t>
  </si>
  <si>
    <t>Grain Elevator</t>
  </si>
  <si>
    <t>A tall structure, equipped for loading, unloading, processing, and/or storing grain.</t>
  </si>
  <si>
    <t>GrainStorageStructure</t>
  </si>
  <si>
    <t>AM020</t>
  </si>
  <si>
    <t>Grain Storage Structure</t>
  </si>
  <si>
    <t>An enclosed container, used for storing grain or fodder.</t>
  </si>
  <si>
    <t>Grain Bin, Grain Silo</t>
  </si>
  <si>
    <t>Grandstand</t>
  </si>
  <si>
    <t>AK110</t>
  </si>
  <si>
    <t>A structure for special viewing of outdoor events, usually roofed, that has tiers of seats or standing room for spectators.</t>
  </si>
  <si>
    <t>Grange</t>
  </si>
  <si>
    <t>AJ525</t>
  </si>
  <si>
    <t>A farm, especially a country house with out-buildings attached, that is closed to the street by a gate or by a vertical building with a gate in it.</t>
  </si>
  <si>
    <t>Grassland</t>
  </si>
  <si>
    <t>EB010</t>
  </si>
  <si>
    <t>A tract covered mainly by grasses that have little or no woody tissue.</t>
  </si>
  <si>
    <t>For example, pasture, meadow, and steppe.</t>
  </si>
  <si>
    <t>Grave</t>
  </si>
  <si>
    <t>AL035</t>
  </si>
  <si>
    <t>A site where a human corpse is buried.</t>
  </si>
  <si>
    <t>It normally contains a single human corpse, however in some cultures servants and/or animals are buried with the deceased. The site is usually marked.</t>
  </si>
  <si>
    <t>GraveMarker</t>
  </si>
  <si>
    <t>AL090</t>
  </si>
  <si>
    <t>Grave Marker</t>
  </si>
  <si>
    <t>A marker indicating an individual grave site.</t>
  </si>
  <si>
    <t>Often located at a cemetery.</t>
  </si>
  <si>
    <t>Tombstone, Headstone</t>
  </si>
  <si>
    <t>GreenSpace</t>
  </si>
  <si>
    <t>AK122</t>
  </si>
  <si>
    <t>Green Space</t>
  </si>
  <si>
    <t>A maintained vegetated area, which may also contain pathways.</t>
  </si>
  <si>
    <t>Its primary intent is to improve the appearance of a built-up area but not to be a park.</t>
  </si>
  <si>
    <t>Greenhouse</t>
  </si>
  <si>
    <t>AJ110</t>
  </si>
  <si>
    <t>A structure, sometimes recognized as a building, constructed primarily of transparent material (for example: glass or plastic), in which temperature and humidity can be controlled for the cultivation and/or protection of plants.</t>
  </si>
  <si>
    <t>Greenhouses can range in size from very large conservatories such as the Palm House at Kew Gardens in England to row covers. Many of the large public greenhouse conservatories are used for growing tender and rare plants. Commercial greenhouses are often state-of-the-art production facilities for vegetables or flowers. Row covers and similar structures are usually made of a lightweight transparent material placed directly above rows of crops on a supporting framework to form a low tunnel. The transparent materials on these structures may be temporary being removed once the crop is well-established. At times, the entire structure may be removed.</t>
  </si>
  <si>
    <t>Gridiron</t>
  </si>
  <si>
    <t>BB115</t>
  </si>
  <si>
    <t>A timber structure in the intertidal zone serving as a support for vessels at low stages of the tide to permit work on the exposed portion of the vessel's hull.</t>
  </si>
  <si>
    <t>Careening Grid</t>
  </si>
  <si>
    <t>Groin</t>
  </si>
  <si>
    <t>BB043</t>
  </si>
  <si>
    <t>A low artificial wall-like structure of durable material extending from the land to seaward for a particular purpose, such as to prevent coast erosion.</t>
  </si>
  <si>
    <t>GroundMovementArea</t>
  </si>
  <si>
    <t>DB534</t>
  </si>
  <si>
    <t>Ground Movement Area</t>
  </si>
  <si>
    <t>An area affected by vertical and/or horizontal movements of the Earth surface due to geological forces, ground instability and/or a changing stress-state, leading to volume changes within the soil.</t>
  </si>
  <si>
    <t>An example of ground movements due to geological forces are earthquakes, leading to mass desplacements and/or rupture of the Earth surface. Examples of ground instability include slope instability, geological voids (for example karst), and subsidence due to mining.</t>
  </si>
  <si>
    <t>GroundPowerEquipmentInfo</t>
  </si>
  <si>
    <t>ZI096</t>
  </si>
  <si>
    <t>Ground Power Equipment Information</t>
  </si>
  <si>
    <t>A modeling entity collecting information about aircraft ground power equipment at an aerodrome.</t>
  </si>
  <si>
    <t>This equipment is either located on a trailer and towed or is self-propelled and driven to the aircraft. Ground power equipment does not include aircraft electrical and air start (a power source is used to provide the initial rotation to start an engine).</t>
  </si>
  <si>
    <t>Groundwater</t>
  </si>
  <si>
    <t>BH115</t>
  </si>
  <si>
    <t>Any underground water (for example: held in the soil and/or in rock pores and/or crevices) especially that which is below the water-table.</t>
  </si>
  <si>
    <t>Grove</t>
  </si>
  <si>
    <t>EC050</t>
  </si>
  <si>
    <t>A small wood or similar collection of trees growing closely together.</t>
  </si>
  <si>
    <t>May occur naturally or be deliberately planted for shade, ornamentation, and/or as an orchard (for example: of olives or citrus fruit).</t>
  </si>
  <si>
    <t>Gully</t>
  </si>
  <si>
    <t>DB200</t>
  </si>
  <si>
    <t>A deep ditch or channel cut into the terrain that results from erosion due to surface water runoff.</t>
  </si>
  <si>
    <t>Gorge</t>
  </si>
  <si>
    <t>Harbour</t>
  </si>
  <si>
    <t>BB005</t>
  </si>
  <si>
    <t>A natural or artificial improved body of water providing protection for vessels and generally anchorage and docking facilities.</t>
  </si>
  <si>
    <t>A harbour consists of both its port (see Feature: 'Port') and its waters (see Feature: 'Harbour Waters').</t>
  </si>
  <si>
    <t>Harbor</t>
  </si>
  <si>
    <t>HarbourWaters</t>
  </si>
  <si>
    <t>BB008</t>
  </si>
  <si>
    <t>Harbour Waters</t>
  </si>
  <si>
    <t>A natural or artificial improved body of water providing protection for vessels and usually associated with a port.</t>
  </si>
  <si>
    <t>Harbour waters and its related port (see Feature: 'Port') together comprise a harbour (see Feature: 'Harbour').</t>
  </si>
  <si>
    <t>HardenedAircraftShelter</t>
  </si>
  <si>
    <t>GB250</t>
  </si>
  <si>
    <t>Hardened Aircraft Shelter</t>
  </si>
  <si>
    <t>A hardened structure built above or partially above ground that encloses aircraft to provide protection from enemy attack.</t>
  </si>
  <si>
    <t>The shelter is closed by blast resistant doors and is generally limited in size, only accommodating one or two relatively smaller (for example: fighter) aircraft. Those built to NATO specifications are designed to withstand a direct hit by a 226 kilogram bomb.</t>
  </si>
  <si>
    <t>Protective Aircraft Shelter, Aircraft Bunker</t>
  </si>
  <si>
    <t>HazardShelter</t>
  </si>
  <si>
    <t>AH030</t>
  </si>
  <si>
    <t>Hazard Shelter</t>
  </si>
  <si>
    <t>A structure intended for short term occupancy to protect personnel from injury.</t>
  </si>
  <si>
    <t>For example, a slit trench or other excavation either open or covered by sandbags, fill, or other material and supported by logs or other framing. May be more elaborate with many of the characteristics of an underground bunker.</t>
  </si>
  <si>
    <t>HazardousBiomeZone</t>
  </si>
  <si>
    <t>ND005</t>
  </si>
  <si>
    <t>Hazardous Biome Zone</t>
  </si>
  <si>
    <t>An area of the surface of the Earth where animals and/or plants may endanger or kill human life directly (by attack) or indirectly (by poison).</t>
  </si>
  <si>
    <t>HazardousRock</t>
  </si>
  <si>
    <t>BD130</t>
  </si>
  <si>
    <t>Hazardous Rock</t>
  </si>
  <si>
    <t>An isolated rocky formation or a single large stone or coral, usually one constituting a danger to navigation.</t>
  </si>
  <si>
    <t>May be either dry, awash, or below the water surface.</t>
  </si>
  <si>
    <t>Heathland</t>
  </si>
  <si>
    <t>EB060</t>
  </si>
  <si>
    <t>An area of open uncultivated ground covered by heather and/or related plants, especially on acid sandy or peaty soil.</t>
  </si>
  <si>
    <t>HeatingFacility</t>
  </si>
  <si>
    <t>AD050</t>
  </si>
  <si>
    <t>Heating Facility</t>
  </si>
  <si>
    <t>A facility for the generation of thermal energy for heating purposes.</t>
  </si>
  <si>
    <t>Hedgerow</t>
  </si>
  <si>
    <t>EA020</t>
  </si>
  <si>
    <t>A continuous growth of shrubs planted as a fence, a boundary, and/or a windbreak.</t>
  </si>
  <si>
    <t>Helipad</t>
  </si>
  <si>
    <t>GB030</t>
  </si>
  <si>
    <t>A designated area, usually with a prepared surface, used for the take-off, landing, or parking of helicopters.</t>
  </si>
  <si>
    <t>This prepared surface could either be located on land or on a platform over water. It may or may not be associated with an aerodrome. For example: a hospital helipad, and an offshore rig helipad.</t>
  </si>
  <si>
    <t>Helideck</t>
  </si>
  <si>
    <t>Heliport</t>
  </si>
  <si>
    <t>GB035</t>
  </si>
  <si>
    <t>An aerodrome intended to be used for the arrival, landing, takeoff or departure of vertical takeoff and landing aircraft/helicopters.</t>
  </si>
  <si>
    <t>HerbandBrush</t>
  </si>
  <si>
    <t>EB015</t>
  </si>
  <si>
    <t>Herb and Brush</t>
  </si>
  <si>
    <t>A tract covered by a mixture of herbaceous and low-growing, uncultivated plants that may have some woody tissue.</t>
  </si>
  <si>
    <t>For example, covered by tall grasses, shrubs, and/or bushes. The predominant height is usually less than 2-3 metres.</t>
  </si>
  <si>
    <t>HighWaterLine</t>
  </si>
  <si>
    <t>BA005</t>
  </si>
  <si>
    <t>High Water Line</t>
  </si>
  <si>
    <t>The line dividing the backshore and foreshore along a coast or beach as defined by the National Authority.</t>
  </si>
  <si>
    <t>Hill</t>
  </si>
  <si>
    <t>DB031</t>
  </si>
  <si>
    <t>A small, isolated elevation, smaller than a mountain.</t>
  </si>
  <si>
    <t>The local relief is typically less than 300 metres.</t>
  </si>
  <si>
    <t>HistoricalBuiltUpSite</t>
  </si>
  <si>
    <t>AL021</t>
  </si>
  <si>
    <t>Historical Built-Up Site</t>
  </si>
  <si>
    <t>A site containing one or more historical and/or culturally significant buildings and/or other structures.</t>
  </si>
  <si>
    <t>HoldingPen</t>
  </si>
  <si>
    <t>AJ030</t>
  </si>
  <si>
    <t>Holding Pen</t>
  </si>
  <si>
    <t>An enclosed tract on which livestock are temporarily kept.</t>
  </si>
  <si>
    <t>For example, a sheepfold, a holding paddock, a livestock pen, a feedlot, and/or a stock yard. The enclosure may be by, for example, a fence or a wall.</t>
  </si>
  <si>
    <t>HoldingProcedure</t>
  </si>
  <si>
    <t>GA060</t>
  </si>
  <si>
    <t>Holding Procedure</t>
  </si>
  <si>
    <t>A predetermined manoeuvre which keeps an aircraft within a specified airspace while awaiting further clearance.</t>
  </si>
  <si>
    <t>HomogeneousMetadataArea</t>
  </si>
  <si>
    <t>ZM100</t>
  </si>
  <si>
    <t>Homogeneous Metadata Area</t>
  </si>
  <si>
    <t>An area which is related to specific homogeneous metadata.</t>
  </si>
  <si>
    <t>HomogeneousRadarSigArea</t>
  </si>
  <si>
    <t>AL095</t>
  </si>
  <si>
    <t>Homogeneous Radar Significant Area</t>
  </si>
  <si>
    <t>A cluster of structures that combine to form a homogeneous area when grouped according to a common radar reflectance and a common height value.</t>
  </si>
  <si>
    <t>HopField</t>
  </si>
  <si>
    <t>EA055</t>
  </si>
  <si>
    <t>Hop Field</t>
  </si>
  <si>
    <t>A tract covered by the systematic planting of hop vines.</t>
  </si>
  <si>
    <t>Hopper</t>
  </si>
  <si>
    <t>AF080</t>
  </si>
  <si>
    <t>A top-loaded funnel-shaped structure for temporary holding of loose material which will be dispensed from its bottom.</t>
  </si>
  <si>
    <t>HorizCoordMetadata</t>
  </si>
  <si>
    <t>ZI010</t>
  </si>
  <si>
    <t>Horizontal Coordinate Metadata</t>
  </si>
  <si>
    <t>A modeling entity collecting information about the basis for, and quality of, the horizontal coordinates and/or horizontal dimensional measures of the digital representation of a feature and/or attribute.</t>
  </si>
  <si>
    <t>For example, the spatial reference frame for a horizontal position or the accuracy of that position value.</t>
  </si>
  <si>
    <t>HorticulturalArea</t>
  </si>
  <si>
    <t>EA537</t>
  </si>
  <si>
    <t>Horticultural Area</t>
  </si>
  <si>
    <t>An area used for the cultivation of vegetables, fruits and/or flowers as well as for the raising of cultivated plants.</t>
  </si>
  <si>
    <t>Hulk</t>
  </si>
  <si>
    <t>BD181</t>
  </si>
  <si>
    <t>A vessel, either stranded aground or permanently moored, that is no longer seaworthy due to an inoperable propulsion plant or compromised vessel integrity.</t>
  </si>
  <si>
    <t>HumReliefAdminRegion</t>
  </si>
  <si>
    <t>FA130</t>
  </si>
  <si>
    <t>Humanitarian Relief Administrative Region</t>
  </si>
  <si>
    <t>A territorial region where humanitarian relief is provided under the administrative control of a relief organization.</t>
  </si>
  <si>
    <t>Humanitarian relief agencies, in particular those with ongoing international operations, may have established regions with administrative infrastructure for managing their operations in the area.</t>
  </si>
  <si>
    <t>Hummock</t>
  </si>
  <si>
    <t>BH077</t>
  </si>
  <si>
    <t>A place of higher elevation within a wetland (for example: a swamp, a bog, or a marsh).</t>
  </si>
  <si>
    <t>Hut</t>
  </si>
  <si>
    <t>AL099</t>
  </si>
  <si>
    <t>A small, simple free-standing (detached) self-contained residence usually having only a single multi-function room.</t>
  </si>
  <si>
    <t>May be intended only as temporary (for example: by displaced persons) or seasonal (for example: during seasonal livestock movement) residence. May be crude (for example: quickly built from locally-available natural materials) or relatively modern in construction and austerely furnished (for example: a Norwegian 'hytte').</t>
  </si>
  <si>
    <t>HydrocarbonProdFacility</t>
  </si>
  <si>
    <t>AC040</t>
  </si>
  <si>
    <t>Hydrocarbon Products Facility</t>
  </si>
  <si>
    <t>A facility involved in the production or distribution of petroleum, oil and/or natural gas products.</t>
  </si>
  <si>
    <t>HydrocarbonsField</t>
  </si>
  <si>
    <t>AA052</t>
  </si>
  <si>
    <t>Hydrocarbons Field</t>
  </si>
  <si>
    <t>An area where the presence of recoverable petroleum, oil, and/or natural gas has been identified.</t>
  </si>
  <si>
    <t>The field can exist regardless of current exploitation activities.</t>
  </si>
  <si>
    <t>HydrogeologicArea</t>
  </si>
  <si>
    <t>MA070</t>
  </si>
  <si>
    <t>Hydrogeologic Area</t>
  </si>
  <si>
    <t>An area of similar hydrogeologic properties and conditions of groundwater.</t>
  </si>
  <si>
    <t>Such similarities result from common geologic origin and history, leading to common hydrogeologic parameters such as ground-water flow direction and rate, recharge, and discharge.</t>
  </si>
  <si>
    <t>HydrogeologicMappingUnit</t>
  </si>
  <si>
    <t>MC010</t>
  </si>
  <si>
    <t>Hydrogeologic Mapping Unit</t>
  </si>
  <si>
    <t>An area of the surface of the Earth that shares a common characterization of its substratum (bodies of soil, rock and unconsolidated rocks) and its groundwater related properties.</t>
  </si>
  <si>
    <t>HydroVertPositioningInfo</t>
  </si>
  <si>
    <t>ZI025</t>
  </si>
  <si>
    <t>Hydrographic Vertical Positioning Information</t>
  </si>
  <si>
    <t>A modeling entity collecting information about the vertical position (for example: the depth from a sounding datum) of a hydrographic object (for example: a pinnacle or a wreck).</t>
  </si>
  <si>
    <t>IceBoom</t>
  </si>
  <si>
    <t>BB202</t>
  </si>
  <si>
    <t>Ice Boom</t>
  </si>
  <si>
    <t>A floating barrier, anchored to the bottom, used to deflect the path of floating ice in order to prevent obstruction (for example: of lock basins and/or water intakes) and/or to prevent damage to structures (for example: to bridge piers).</t>
  </si>
  <si>
    <t>IceCliff</t>
  </si>
  <si>
    <t>BJ040</t>
  </si>
  <si>
    <t>Ice Cliff</t>
  </si>
  <si>
    <t>The vertical face of a glacier or ice shelf.</t>
  </si>
  <si>
    <t>IcePeak</t>
  </si>
  <si>
    <t>BJ060</t>
  </si>
  <si>
    <t>Ice Peak</t>
  </si>
  <si>
    <t>A rocky peak projecting above a surrounding ice field that may be perpetually covered with ice.</t>
  </si>
  <si>
    <t>Nunatak</t>
  </si>
  <si>
    <t>IceRoute</t>
  </si>
  <si>
    <t>AQ075</t>
  </si>
  <si>
    <t>Ice Route</t>
  </si>
  <si>
    <t>A route over a frozen watercourse.</t>
  </si>
  <si>
    <t>Usually marked and intended to support substantial vehicle traffic. Often designed as an alternate to a seasonally-closed ferry crossing (see Feature: 'Ferry Crossing').</t>
  </si>
  <si>
    <t>IceShelf</t>
  </si>
  <si>
    <t>BJ065</t>
  </si>
  <si>
    <t>Ice Shelf</t>
  </si>
  <si>
    <t>A floating ice sheet of considerable thickness that is normally attached to the land along its landward edge.</t>
  </si>
  <si>
    <t>Ice shelves are the seaward extension of land glaciers. Limited areas of the ice shelf may be aground where the glacier first enters the water and possibly in other places offshore. Ice shelves are usually of great horizontal extent and have a level or gently undulating surface. The seaward edge of an ice shelf is termed an 'ice cliff'.</t>
  </si>
  <si>
    <t>IceCap</t>
  </si>
  <si>
    <t>BJ099</t>
  </si>
  <si>
    <t>Ice-cap</t>
  </si>
  <si>
    <t>A permanent layer of ice covering a tract of land (especially a polar region) or the top of a mountain.</t>
  </si>
  <si>
    <t>Usually includes a surface layer of snow.</t>
  </si>
  <si>
    <t>IdentificationInfo</t>
  </si>
  <si>
    <t>ZI003</t>
  </si>
  <si>
    <t>Identification Information</t>
  </si>
  <si>
    <t>A modeling entity collecting information about an identifier that is used to uniquely specify an instance of the entity type in a specified scope.</t>
  </si>
  <si>
    <t>The scope may be determined by the intended use and/or the data production system that assigns the identifier value.</t>
  </si>
  <si>
    <t>IncidentSite</t>
  </si>
  <si>
    <t>AH130</t>
  </si>
  <si>
    <t>Incident Site</t>
  </si>
  <si>
    <t>A location where an undesirable event is a potential risk or has occurred.</t>
  </si>
  <si>
    <t>The incident can be a natural event (for example: a landslide) or an event provoked by human act.</t>
  </si>
  <si>
    <t>Incinerator</t>
  </si>
  <si>
    <t>AB015</t>
  </si>
  <si>
    <t>A permanent structure used for the disposal of waste products by burning.</t>
  </si>
  <si>
    <t>IndustrialFarm</t>
  </si>
  <si>
    <t>AL270</t>
  </si>
  <si>
    <t>Industrial Farm</t>
  </si>
  <si>
    <t>An estate or large farm operating on the plantation economy model in which the farm operates as a single economic unit whose operations are based on agricultural mass production of a few staple crops (for example: cotton, tobacco, sugar cane, bananas, and/or rubber) that are typically not indigenous to the region.</t>
  </si>
  <si>
    <t>Plantation economies are often dependent on distant (for example: export) markets as the crops are harvested in large quantities. Historically, industrial farms were often found in former European colonies and termed 'plantations'.</t>
  </si>
  <si>
    <t>IndustrialFurnace</t>
  </si>
  <si>
    <t>AC060</t>
  </si>
  <si>
    <t>Industrial Furnace</t>
  </si>
  <si>
    <t>A structure used in material processing that employs heating to harden (for example: to fire brick or ceramic), pyrolyse (for example: convert coal to coke, or limestone to lime), burn (for example: to incinerate waste), or dry (for example: lumber).</t>
  </si>
  <si>
    <t>May assume many forms, for example a domed 'beehive' kiln or a long linear coke oven battery.</t>
  </si>
  <si>
    <t>Oven, Kiln</t>
  </si>
  <si>
    <t>IndustrialPark</t>
  </si>
  <si>
    <t>AC070</t>
  </si>
  <si>
    <t>Industrial Park</t>
  </si>
  <si>
    <t>An industrial facility consisting of buildings and related structures that are tenanted by multiple manufacturing (for example: industrial equipment manufacture or materials processing) and/or service businesses (for example: auto repair or residential contractors) requiring significant equipment and/or materials, and sharing common access to adjacent transport facilities.</t>
  </si>
  <si>
    <t>Heavy industrial parks have tenants that are involved in industries where a significant tonnage of raw materials and/or finished products are shipped and more than one transport mode (for example: road, railway, aerodrome, canal, or navigable river) is available. Light industrial parks have tenants that may be involved in manufacturing and/or services; for example: small electrical appliance manufacture or repair.</t>
  </si>
  <si>
    <t>IndustrialWorks</t>
  </si>
  <si>
    <t>AC050</t>
  </si>
  <si>
    <t>Industrial Works</t>
  </si>
  <si>
    <t>The structures, grounds, and equipment of a manufacturing facility.</t>
  </si>
  <si>
    <t>Includes, for example, structures in engineering such as docks and bridges.</t>
  </si>
  <si>
    <t>InfectionArea</t>
  </si>
  <si>
    <t>ND000</t>
  </si>
  <si>
    <t>Infection Area</t>
  </si>
  <si>
    <t>An area within which an infectious disease is endemic.</t>
  </si>
  <si>
    <t>InformationEntity</t>
  </si>
  <si>
    <t>ZI036</t>
  </si>
  <si>
    <t>Information Entity</t>
  </si>
  <si>
    <t>An abstract modeling entity that is a superclass for information types, which are collections of non-geometric properties of other entity types (for example: features, actors, or events) that may be shared by multiple entity types within the model, and their values reused within datasets.</t>
  </si>
  <si>
    <t>Shared information may include entity-related metadata, notes, and/or data-dissemination restriction(s) and security control(s) regarding the associated entity.</t>
  </si>
  <si>
    <t>InitialApproachSegment</t>
  </si>
  <si>
    <t>GA260</t>
  </si>
  <si>
    <t>Initial Approach Segment</t>
  </si>
  <si>
    <t>That segment of an instrument approach procedure between the initial approach fix and the intermediate fix or, where applicable, the final approach fix or point.</t>
  </si>
  <si>
    <t>InlandWater</t>
  </si>
  <si>
    <t>BH000</t>
  </si>
  <si>
    <t>Inland Water</t>
  </si>
  <si>
    <t>Any type of surface water (for example: a river) which has no connection to the oceans except if it flows regularly into ocean waters.</t>
  </si>
  <si>
    <t>This concept can be used if the type of inland water (for example: a lake, pond, reservoir, or stream) is not currently known.</t>
  </si>
  <si>
    <t>InlandWaterElevation</t>
  </si>
  <si>
    <t>CA035</t>
  </si>
  <si>
    <t>Inland Water Elevation</t>
  </si>
  <si>
    <t>The elevation value relative to a vertical datum, taken on an inland water surface at a designated location.</t>
  </si>
  <si>
    <t>InlandWaterbody</t>
  </si>
  <si>
    <t>BH082</t>
  </si>
  <si>
    <t>Inland Waterbody</t>
  </si>
  <si>
    <t>A body of water that is entirely surrounded by land.</t>
  </si>
  <si>
    <t>It may occur in a natural terrain depression in which water collects, or may be impounded by a dam, or formed by its bed being hollowed out of the soil, or formed by embanking and/or damming up a natural hollow (for example: by a beaver dam). Inland waterbodies have many uses such as: a source of water for irrigation, industrial processes, human consumption, and recreation. Impounded inland waterbodies may also be used for flood control.</t>
  </si>
  <si>
    <t>InlandWaterbodyBank</t>
  </si>
  <si>
    <t>BH141</t>
  </si>
  <si>
    <t>Inland Waterbody Bank</t>
  </si>
  <si>
    <t>The region along the edge of an inland water body that lies between the water and the first break in slope.</t>
  </si>
  <si>
    <t>InshoreTrafficZone</t>
  </si>
  <si>
    <t>FC042</t>
  </si>
  <si>
    <t>Inshore Traffic Zone</t>
  </si>
  <si>
    <t>A routeing measure comprising a designated area between the landward boundary of a traffic separation scheme and the adjacent coast, to be used in accordance with the provisions of the International Regulations for Preventing Collisions at Sea.</t>
  </si>
  <si>
    <t>Installation</t>
  </si>
  <si>
    <t>AL011</t>
  </si>
  <si>
    <t>A grouping of facilities, located in the same vicinity, which support particular functions.</t>
  </si>
  <si>
    <t>InstallationBoundary</t>
  </si>
  <si>
    <t>SU030</t>
  </si>
  <si>
    <t>Installation Boundary</t>
  </si>
  <si>
    <t>The line of demarcation specifying the operational limits of a functional area controlled by a recognized authority.</t>
  </si>
  <si>
    <t>The geographic limits of the Installation Boundary may include both land and water currently owned or used by the recognized controlling installation or facility. Typically, the Installation Boundary will enclose a grouping of facilities, located in the same general vicinity, which support functions particular to the needs and requirements of the installation property. The controlling installation or facility may have been constructed to support military operations.</t>
  </si>
  <si>
    <t>InstrumentApproachProc</t>
  </si>
  <si>
    <t>GA049</t>
  </si>
  <si>
    <t>Instrument Approach Procedure (IAP)</t>
  </si>
  <si>
    <t>A series of predetermined manoeuvres by reference to flight instruments with specified protection from obstacles from the initial approach fix, or where applicable, from the beginning of a defined arrival route to a point from which a landing can be completed and thereafter, if a landing is not completed, to a position at which holding or en-route obstacle clearance criteria apply.</t>
  </si>
  <si>
    <t>Instrument approach procedures are classified as follows: 1. Non-precision approach (NPA) procedure: An instrument approach procedure which utilizes lateral guidance but does not utilize vertical guidance; 2. Approach procedure with vertical guidance (APV): An instrument procedure which utilizes lateral and vertical guidance but does not meet the requirements established for precision approach and landing operations; 3. Precision approach (PA) procedure: An instrument approach procedure using precision lateral and vertical guidance with minima as determined by the category of operation. Note that lateral and vertical guidance refers to the guidance provided either by: a) a ground-based navigation aid; or b) computer-generated navigation data.</t>
  </si>
  <si>
    <t>IAP</t>
  </si>
  <si>
    <t>InstrumentApproachProcSeg</t>
  </si>
  <si>
    <t>GA050</t>
  </si>
  <si>
    <t>Instrument Approach Procedure (IAP) Segment</t>
  </si>
  <si>
    <t>The portion of an Instrument Approach Procedure (IAP) between the initial approach fix and the runway.</t>
  </si>
  <si>
    <t>IAP segments include: initial, intermediate, transition, final, and missed approach legs.</t>
  </si>
  <si>
    <t>IfrTakeoffMinInfo</t>
  </si>
  <si>
    <t>ZI089</t>
  </si>
  <si>
    <t>Instrument Flight Rules (IFR) Takeoff Minimum Information</t>
  </si>
  <si>
    <t>A modeling entity defining the minimum climb gradient and speed that an aircraft must maintain until reaching a specified altitude.</t>
  </si>
  <si>
    <t>Takeoff minimums are usually defined based on prominent obstacles along the designated flight path, requiring that an aircraft be at a minimum altitude above those obstacles when passing over them.</t>
  </si>
  <si>
    <t>InstrumentLandingSystem</t>
  </si>
  <si>
    <t>GA090</t>
  </si>
  <si>
    <t>Instrument Landing System (ILS)</t>
  </si>
  <si>
    <t>A combination of radio navigation services intended to facilitate aircraft in landing by providing lateral and vertical guidance including indications of distance from the optimum point of landing.</t>
  </si>
  <si>
    <t>A precision instrument approach system which normally consists of the following electronic components and visual aids: localizer, glide slope, outer marker, middle marker, and approach lights.</t>
  </si>
  <si>
    <t>ILS</t>
  </si>
  <si>
    <t>InstLandingSysCriticalArea</t>
  </si>
  <si>
    <t>GB049</t>
  </si>
  <si>
    <t>Instrument Landing System (ILS) Critical Area</t>
  </si>
  <si>
    <t>An area of defined dimensions about the localizer and glide path antennas where vehicles, including aircraft, are excluded during all Instrument Landing System (ILS) operations.</t>
  </si>
  <si>
    <t>The critical area is protected because the presence of vehicles and/or aircraft inside its boundaries will cause unacceptable disturbance to the ILS signal-in-space.</t>
  </si>
  <si>
    <t>InstLandingSysGlidePath</t>
  </si>
  <si>
    <t>GA098</t>
  </si>
  <si>
    <t>Instrument Landing System (ILS) Glide Path</t>
  </si>
  <si>
    <t>A component of an Instrument Landing System (ILS) consisting of an Ultra High Frequency (UHF) transmitter radiating signals and providing a straight-line descent path in the vertical plane containing the centre line of the runway served by the ILS, and thereby furnishing descent information down to the surface of the runway.</t>
  </si>
  <si>
    <t>The descent information is that locus of points in the vertical plane containing the runway centre line at which the receiver indicator deflection is zero.</t>
  </si>
  <si>
    <t>InstLandingSysLocalizer</t>
  </si>
  <si>
    <t>GA091</t>
  </si>
  <si>
    <t>Instrument Landing System (ILS) Localizer</t>
  </si>
  <si>
    <t>A component of an Instrument Landing System (ILS) consisting of a VHF transmitter, radiating signals in the direction served by the ILS, and providing a straight line azimuth path in the horizontal plane containing the centre line of the runway.</t>
  </si>
  <si>
    <t>InstLandingSysSensArea</t>
  </si>
  <si>
    <t>GB048</t>
  </si>
  <si>
    <t>Instrument Landing System (ILS) Sensitive Area</t>
  </si>
  <si>
    <t>An area extending beyond the Instrument Landing System (ILS) critical area where the parking and/or movement of vehicles, including aircraft, is controlled in order to prevent the possibility of unacceptable interference to the ILS signal during ILS operations.</t>
  </si>
  <si>
    <t>The sensitive area is protected against interference caused by large moving objects outside the critical area but still normally within the aerodrome boundary.</t>
  </si>
  <si>
    <t>InsubstantialNavMark</t>
  </si>
  <si>
    <t>BC080</t>
  </si>
  <si>
    <t>Insubstantial Navigation Mark</t>
  </si>
  <si>
    <t>A small, insubstantial navigational mark.</t>
  </si>
  <si>
    <t>For example, a staff placed on top of a rock or shoal to mark a hazard or serve as a navigational aid.</t>
  </si>
  <si>
    <t>Perch, Stake, Post, Pole</t>
  </si>
  <si>
    <t>Intake</t>
  </si>
  <si>
    <t>BH011</t>
  </si>
  <si>
    <t>A place where water is taken into a channel or pipe from a waterbody.</t>
  </si>
  <si>
    <t>For example, to supply an aqueduct or a water treatment facility.</t>
  </si>
  <si>
    <t>InterestSite</t>
  </si>
  <si>
    <t>AL201</t>
  </si>
  <si>
    <t>Interest Site</t>
  </si>
  <si>
    <t>A site maintained for the public and declared to be of national or provincial historical significance and/or interest.</t>
  </si>
  <si>
    <t>IntermediateApproachSeg</t>
  </si>
  <si>
    <t>GA270</t>
  </si>
  <si>
    <t>Intermediate Approach Segment</t>
  </si>
  <si>
    <t>That segment of an Instrument Approach Procedure (IAP) between either the intermediate fix and the final approach fix or point, or between the end of a reversal, racetrack or dead reckoning track procedure and the final approach fix or point, as appropriate.</t>
  </si>
  <si>
    <t>IntermediateHoldingPos</t>
  </si>
  <si>
    <t>GB077</t>
  </si>
  <si>
    <t>Intermediate Holding Position</t>
  </si>
  <si>
    <t>A designated position intended for traffic control at which taxiing aircraft and vehicles shall stop and hold until further cleared to proceed, when so instructed by the aerodrome control tower.</t>
  </si>
  <si>
    <t>Taxiway Holding Position</t>
  </si>
  <si>
    <t>InternationalDateLine</t>
  </si>
  <si>
    <t>FA110</t>
  </si>
  <si>
    <t>International Date Line</t>
  </si>
  <si>
    <t>A line designated as the place on the Earth where each calendar day begins.</t>
  </si>
  <si>
    <t>This line generally coincides with the 180th meridian but is modified to avoid land.</t>
  </si>
  <si>
    <t>InundatedLand</t>
  </si>
  <si>
    <t>BH092</t>
  </si>
  <si>
    <t>Inundated Land</t>
  </si>
  <si>
    <t>A tract that is exceptionally covered by water, excluding tidal waters.</t>
  </si>
  <si>
    <t>It may be caused by either uncontrolled inundation (for example: flooding due to a river overflowing its banks or low-lying regions accumulating standing water following severe rainfall) or controlled inundation (for example: flooded by the regulation of the level of a reservoir).</t>
  </si>
  <si>
    <t>IrrigationSystem</t>
  </si>
  <si>
    <t>BH240</t>
  </si>
  <si>
    <t>Irrigation System</t>
  </si>
  <si>
    <t>A system for supplying land with water, usually by a network of channels or pipes.</t>
  </si>
  <si>
    <t>In addition to a source of water (for example: a stream or a well), the network may include pumps, reservoirs, controls (for example: gates or valves), timing devices, and drains.</t>
  </si>
  <si>
    <t>Island</t>
  </si>
  <si>
    <t>BA030</t>
  </si>
  <si>
    <t>A land mass, other than a continent, surrounded by water.</t>
  </si>
  <si>
    <t>IsogonicLine</t>
  </si>
  <si>
    <t>ZC050</t>
  </si>
  <si>
    <t>Isogonic Line</t>
  </si>
  <si>
    <t>An isopleth that connects locations of equal magnetic variation.</t>
  </si>
  <si>
    <t>IsolatedAircraftParkPos</t>
  </si>
  <si>
    <t>GB018</t>
  </si>
  <si>
    <t>Isolated Aircraft Parking Position</t>
  </si>
  <si>
    <t>A position designated on an aerodrome which is suitable for the parking of an aircraft which is known or believed to be the subject of unlawful interference, or which for other reasons needs to be isolated from normal aerodrome activities.</t>
  </si>
  <si>
    <t>JetAircraftStartUnitServ</t>
  </si>
  <si>
    <t>ZI095</t>
  </si>
  <si>
    <t>Jet Aircraft Starting Unit Service</t>
  </si>
  <si>
    <t>A modeling entity collecting information regarding the service available at an aerodrome that is comprised of equipment available with which to start the engine(s) of a jet aircraft.</t>
  </si>
  <si>
    <t>Lagoon</t>
  </si>
  <si>
    <t>BH190</t>
  </si>
  <si>
    <t>An enclosed area of salt or brackish water separated from the open sea by some more or less effective, but not complete, obstacle (for example: a sand bank).</t>
  </si>
  <si>
    <t>The name most commonly used for the area of water enclosed by a barrier reef or atoll.</t>
  </si>
  <si>
    <t>Reef Pool</t>
  </si>
  <si>
    <t>Lake</t>
  </si>
  <si>
    <t>BH080</t>
  </si>
  <si>
    <t>A large body of water entirely surrounded by land.</t>
  </si>
  <si>
    <t>LandAerodrome</t>
  </si>
  <si>
    <t>GB005</t>
  </si>
  <si>
    <t>Land Aerodrome</t>
  </si>
  <si>
    <t>An aerodrome on land intended to be used either wholly or in part for the arrival, departure and surface movement of aircraft.</t>
  </si>
  <si>
    <t>Airport, Airfield</t>
  </si>
  <si>
    <t>LandHoldShortOpHoldPoint</t>
  </si>
  <si>
    <t>GB069</t>
  </si>
  <si>
    <t>Land and Hold Short Operations (LAHSO) Hold Short Point</t>
  </si>
  <si>
    <t>A point on the runway beyond which a landing aircraft is not authorized to proceed when instructed to conduct a Land and Hold Short Operation (LAHSO).</t>
  </si>
  <si>
    <t>LAHSO are operations where an aircraft is required to land and hold short of an intersecting runway, taxiway, predetermined point on the runway, or an approach/departure path to enhance aerodrome capacity.</t>
  </si>
  <si>
    <t>LandArea</t>
  </si>
  <si>
    <t>DB000</t>
  </si>
  <si>
    <t>Land Area</t>
  </si>
  <si>
    <t>A geographically defined part of the land.</t>
  </si>
  <si>
    <t>It may have a proper name (for example: the Alps, the Rocky Mountains or the Great Plains).</t>
  </si>
  <si>
    <t>LandCover</t>
  </si>
  <si>
    <t>EB030</t>
  </si>
  <si>
    <t>Land Cover</t>
  </si>
  <si>
    <t>Characterization of the predominant vegetation and land use characteristics of the land.</t>
  </si>
  <si>
    <t>LandMorphologyArea</t>
  </si>
  <si>
    <t>DB001</t>
  </si>
  <si>
    <t>Land Morphology Area</t>
  </si>
  <si>
    <t>A region of the land surface that is homogeneous with respect to form.</t>
  </si>
  <si>
    <t>For example: a butte or a valley.</t>
  </si>
  <si>
    <t>Parcel</t>
  </si>
  <si>
    <t>IA040</t>
  </si>
  <si>
    <t>Land Parcel</t>
  </si>
  <si>
    <t>A tract of land that is defined in location and extent according to legally or customarily recognized methods (for example: social tenure).</t>
  </si>
  <si>
    <t>Improvements (for example: buildings, fences, and wells) to the tract of land are distinct from the land itself and thus may have different associated rights and/or restrictions than those of the underlying tract of land. Social tenure (also called customary tenure) is the allocation and security of rights in land based on customs and social authority, rather than on a formal legal system of land registration. In some areas of the world, social tenure is the basis for informal land administration. Some legal land administration systems recognize and/or incorporate social tenure-based rights. An example of recognition without incorporation is social tenure 'shells', in which areas are set aside where social tenure is the recognized authority for land rights. In other cases, individual social tenure-based rights may be registered within the legal system.</t>
  </si>
  <si>
    <t>LandReclamationArea</t>
  </si>
  <si>
    <t>KE050</t>
  </si>
  <si>
    <t>Land Reclamation Area</t>
  </si>
  <si>
    <t>An area of new land that has been reclaimed from an area previously covered by water.</t>
  </si>
  <si>
    <t>Commonly created by building embankments and draining water from an area.</t>
  </si>
  <si>
    <t>LandSnowIceField</t>
  </si>
  <si>
    <t>BJ105</t>
  </si>
  <si>
    <t>Land Snow Field and/or Ice-field</t>
  </si>
  <si>
    <t>A large land area permanently covered by snow and/or ice.</t>
  </si>
  <si>
    <t>A Land Snow Field and/or Ice-field is in-situ and does not flow, therefore it should be distinguished from Feature: 'Glacier'.</t>
  </si>
  <si>
    <t>LandSubjectToInundation</t>
  </si>
  <si>
    <t>BH090</t>
  </si>
  <si>
    <t>Land Subject to Inundation</t>
  </si>
  <si>
    <t>A tract periodically covered by flood water, excluding tidal waters.</t>
  </si>
  <si>
    <t>LandWaterBoundary</t>
  </si>
  <si>
    <t>BA010</t>
  </si>
  <si>
    <t>Land Water Boundary</t>
  </si>
  <si>
    <t>The line where a land mass is in contact with a body of water and the tide state or river stage are unspecified.</t>
  </si>
  <si>
    <t>It may be in either the littoral or inland waters. In the littoral, consideration should be given to using the more specific high water or low water lines based on the nature of the source data collection.</t>
  </si>
  <si>
    <t>Inland Shoreline</t>
  </si>
  <si>
    <t>LandingDirectionIndicator</t>
  </si>
  <si>
    <t>GB085</t>
  </si>
  <si>
    <t>Landing Direction Indicator</t>
  </si>
  <si>
    <t>A device that indicates visually the direction currently designated for landing and for take-off.</t>
  </si>
  <si>
    <t>LDI</t>
  </si>
  <si>
    <t>LandingSteps</t>
  </si>
  <si>
    <t>BB151</t>
  </si>
  <si>
    <t>Landing Steps</t>
  </si>
  <si>
    <t>Steps at the shoreline as the connection between land and water on different levels.</t>
  </si>
  <si>
    <t>Landing Stairs</t>
  </si>
  <si>
    <t>LandslideMass</t>
  </si>
  <si>
    <t>DB211</t>
  </si>
  <si>
    <t>Landslide Mass</t>
  </si>
  <si>
    <t>The mass of earth or rock which has slipped down from a mountain or cliff.</t>
  </si>
  <si>
    <t>LargeBottomObject</t>
  </si>
  <si>
    <t>BD003</t>
  </si>
  <si>
    <t>Large Bottom Object</t>
  </si>
  <si>
    <t>An object protruding above the water body bottom of which at least one component of height, width or length is a minimum of 5 metres.</t>
  </si>
  <si>
    <t>These include: rocks (for example: pinnacles), underwater constructions (for example: wellheads and other equipment in oil and gas fields), wrecks, and other man-made debris (for example: lost ground tackle or dumped materials).</t>
  </si>
  <si>
    <t>LateralBuoy</t>
  </si>
  <si>
    <t>BC021</t>
  </si>
  <si>
    <t>Lateral Buoy</t>
  </si>
  <si>
    <t>A buoy used to indicate a lateral limit of navigable water.</t>
  </si>
  <si>
    <t>LaunchPad</t>
  </si>
  <si>
    <t>GB040</t>
  </si>
  <si>
    <t>Launch Pad</t>
  </si>
  <si>
    <t>A designated site or structure from which a rocket or missile is launched.</t>
  </si>
  <si>
    <t>LeadingLights</t>
  </si>
  <si>
    <t>BC030</t>
  </si>
  <si>
    <t>Leading Lights</t>
  </si>
  <si>
    <t>Two or more lights associated so as to form a leading line to be followed.</t>
  </si>
  <si>
    <t>LeadingLine</t>
  </si>
  <si>
    <t>BC100</t>
  </si>
  <si>
    <t>Leading Line</t>
  </si>
  <si>
    <t>A line which passes through at least two clearly defined objects, along which a vessel can safely travel.</t>
  </si>
  <si>
    <t>LightSector</t>
  </si>
  <si>
    <t>BC060</t>
  </si>
  <si>
    <t>Light Sector</t>
  </si>
  <si>
    <t>A sector defined by bearings from seaward within which a light shows a specified character or color, or is obscured.</t>
  </si>
  <si>
    <t>LightSupportStructure</t>
  </si>
  <si>
    <t>AL110</t>
  </si>
  <si>
    <t>Light Support Structure</t>
  </si>
  <si>
    <t>A structure serving as a support for one or more lights.</t>
  </si>
  <si>
    <t>For example, a light standard or a lamp post.</t>
  </si>
  <si>
    <t>LightVessel</t>
  </si>
  <si>
    <t>BC070</t>
  </si>
  <si>
    <t>Light Vessel</t>
  </si>
  <si>
    <t>A distinctively marked vessel anchored or moored at a charted point, to serve as an aid to navigation.</t>
  </si>
  <si>
    <t>By night, it displays a characteristic light(s) and is usually equipped with other devices (for example: a fog signal, a submarine sound signal, and/or a radio-beacon) to assist navigation.</t>
  </si>
  <si>
    <t>Lightship</t>
  </si>
  <si>
    <t>Lighthouse</t>
  </si>
  <si>
    <t>BC050</t>
  </si>
  <si>
    <t>A distinctive structure on or off a coast exhibiting a major light designed to serve as an aid to navigation.</t>
  </si>
  <si>
    <t>LightsInLine</t>
  </si>
  <si>
    <t>BC035</t>
  </si>
  <si>
    <t>Lights in Line</t>
  </si>
  <si>
    <t>Lights marking area limits, the alignment of an electrical cable, alignments for anchoring, or serving a similar purpose but not marking direction or course.</t>
  </si>
  <si>
    <t>LiquidDiffuser</t>
  </si>
  <si>
    <t>AB021</t>
  </si>
  <si>
    <t>Liquid Diffuser</t>
  </si>
  <si>
    <t>Equipment located at or below water level where liquids (for example: cooling water) are spread out.</t>
  </si>
  <si>
    <t>LithosphericPlate</t>
  </si>
  <si>
    <t>MA090</t>
  </si>
  <si>
    <t>Lithospheric Plate</t>
  </si>
  <si>
    <t>A torsionally rigid thin segment of the Earth's lithosphere, which may be assumed to move horizontally and adjoins other plates along zones of seismic activity.</t>
  </si>
  <si>
    <t>The lithosphere consists of the crust and the upper part of the mantle of the Earth.</t>
  </si>
  <si>
    <t>LocalMagneticAnomaly</t>
  </si>
  <si>
    <t>ZC040</t>
  </si>
  <si>
    <t>Local Magnetic Anomaly</t>
  </si>
  <si>
    <t>A localized anomaly in the Earth's magnetic field.</t>
  </si>
  <si>
    <t>Magnetic Disturbance Area</t>
  </si>
  <si>
    <t>LocalizerDirectionalAid</t>
  </si>
  <si>
    <t>GA100</t>
  </si>
  <si>
    <t>Localizer-type Directional Aid (LDA)</t>
  </si>
  <si>
    <t>A Very High Frequency (VHF) transmitter, radiating signals in a particular direction in order to provide a straight line azimuth path in the horizontal plane to the centre line of a runway.</t>
  </si>
  <si>
    <t>The Localizer-type Directional Aid (LDA) is of comparable use and accuracy to a localizer but is not part of a complete Instrument Landing System (ILS). The LDA course usually provides a more precise approach course than the similar Simplified Directional Facility (SDF) installation, utilizing a course width of 3 to 6 arc degrees instead of the 6 to 12 arc degrees that a typical SDF may provide.</t>
  </si>
  <si>
    <t>LDA</t>
  </si>
  <si>
    <t>Lock</t>
  </si>
  <si>
    <t>BI030</t>
  </si>
  <si>
    <t>An enclosure with a pair or series of gates used for raising or lowering vessels as they pass from one water level to another.</t>
  </si>
  <si>
    <t>LockBasin</t>
  </si>
  <si>
    <t>BI031</t>
  </si>
  <si>
    <t>Lock Basin</t>
  </si>
  <si>
    <t>The reservoir in a lock, bounded by lock walls and lock gates.</t>
  </si>
  <si>
    <t>LockGate</t>
  </si>
  <si>
    <t>BI032</t>
  </si>
  <si>
    <t>Lock Gate</t>
  </si>
  <si>
    <t>The pair of massive hinged doors at each end of a lock.</t>
  </si>
  <si>
    <t>LockWall</t>
  </si>
  <si>
    <t>BI033</t>
  </si>
  <si>
    <t>Lock Wall</t>
  </si>
  <si>
    <t>One of the pair of walls, usually masonary, that contain a lock basin and support the lock gates.</t>
  </si>
  <si>
    <t>LogBoom</t>
  </si>
  <si>
    <t>BD075</t>
  </si>
  <si>
    <t>Log Boom</t>
  </si>
  <si>
    <t>A floating barrier used to enclose and contain rafted logs.</t>
  </si>
  <si>
    <t>LogRamp</t>
  </si>
  <si>
    <t>BB221</t>
  </si>
  <si>
    <t>Log Ramp</t>
  </si>
  <si>
    <t>An inclined plane used to dump logs into the water for transport, or to haul logs out of the water for processing.</t>
  </si>
  <si>
    <t>LoggingSite</t>
  </si>
  <si>
    <t>EE010</t>
  </si>
  <si>
    <t>Logging Site</t>
  </si>
  <si>
    <t>A tract of vegetation that is being exploited for lumber resources.</t>
  </si>
  <si>
    <t>Lookout</t>
  </si>
  <si>
    <t>AK121</t>
  </si>
  <si>
    <t>A location, which is generally elevated, from which the surrounding area may be observed.</t>
  </si>
  <si>
    <t>For example, it is easily accessible by vehicle, is free of obscuring vegetation, and the local topography allows for unobstructed viewing of distant features.</t>
  </si>
  <si>
    <t>LowAirManeuverPylon</t>
  </si>
  <si>
    <t>GB222</t>
  </si>
  <si>
    <t>Low Air Maneuver Pylon</t>
  </si>
  <si>
    <t>A vertical structure that is used to mark turns and/or provide obstacles around which aircraft may perform low level aerobatic manoeuvres (for example: during racing or training).</t>
  </si>
  <si>
    <t>It may be either a temporary (for example: being deflated when not in use) or permanent structure that has been placed on dry land or mounted on a barge (for example: on a lake, in a harbour, or along a river).</t>
  </si>
  <si>
    <t>LowWaterLine</t>
  </si>
  <si>
    <t>BE021</t>
  </si>
  <si>
    <t>Low Water Line</t>
  </si>
  <si>
    <t>The line dividing foreshore and nearshore along a coast at the seaward edge of the beach to which the sea recedes at low water.</t>
  </si>
  <si>
    <t>Drying Line</t>
  </si>
  <si>
    <t>MagneticPole</t>
  </si>
  <si>
    <t>ZC051</t>
  </si>
  <si>
    <t>Magnetic Pole</t>
  </si>
  <si>
    <t>Either of the two locations on the Earth's surface where the magnetic dip is 90 degrees (locally vertical).</t>
  </si>
  <si>
    <t>MagneticStation</t>
  </si>
  <si>
    <t>BK020</t>
  </si>
  <si>
    <t>Magnetic Station</t>
  </si>
  <si>
    <t>The geographic location at which a set of magnetic observations were taken.</t>
  </si>
  <si>
    <t>MainSupplyRoute</t>
  </si>
  <si>
    <t>SU005</t>
  </si>
  <si>
    <t>Main Supply Route</t>
  </si>
  <si>
    <t>The route or routes designated within an area of operations upon which the bulk of traffic flows in support of military operations.</t>
  </si>
  <si>
    <t>See AAP-6(2007), page 2-M-1.</t>
  </si>
  <si>
    <t>MangroveSwamp</t>
  </si>
  <si>
    <t>ED030</t>
  </si>
  <si>
    <t>Mangrove Swamp</t>
  </si>
  <si>
    <t>A dense thicket of mangrove that is subject to tidal inundation and forming a muddy swamp.</t>
  </si>
  <si>
    <t>ManorHouse</t>
  </si>
  <si>
    <t>AL371</t>
  </si>
  <si>
    <t>Manor House</t>
  </si>
  <si>
    <t>A large and imposing house with many rooms, and often of architectural significance, which is located on a large rural estate.</t>
  </si>
  <si>
    <t>The term 'Manor House' covers a range of buildings from relatively modest rectories up to the largest and grandest country houses termed 'stately homes'. Titular names of manor houses frequently carry a suffix such as 'House', 'Manor(s)', 'Tower(s)', 'Hall', 'Park', 'Grange', 'Court', or 'Palace'. Historically, manor houses were residences for the landed gentry or the very wealthy. Although this still applicable today, many are used for different functions such as museums, hotels, amusement, hospitals, religious activities, and schools. A lack of fortification features distinguishes a manor house from a castle. The estate surrounding a manor house is typically at least several square kilometres in extent, often with a garden in the immediate vicinity of the house and a larger park beyond for aesthetic, recreational, and/or agricultural purposes.</t>
  </si>
  <si>
    <t>Chateaux</t>
  </si>
  <si>
    <t>ManufacturedHomePark</t>
  </si>
  <si>
    <t>AI021</t>
  </si>
  <si>
    <t>Manufactured Home Park</t>
  </si>
  <si>
    <t>A site for the semi-permanent parking of manufactured homes used as dwellings and designed without a permanent foundation.</t>
  </si>
  <si>
    <t>Manufactured homes are prefabricated homes built in factories, rather than on-site, and then taken to the place where they will be occupied. They are usually transported by tractor-trailers over public roads to sites which are often in rural areas or high-density developments. While these houses are usually placed in one location and left there permanently, they do retain the ability to be moved as this is a requirement in many areas. Behind the cosmetic work fitted at installation to hide the base, there are strong trailer frames, axles, wheels and tow-hitches.</t>
  </si>
  <si>
    <t>Mobile Home Park</t>
  </si>
  <si>
    <t>ManufacturingInfo</t>
  </si>
  <si>
    <t>ZI014</t>
  </si>
  <si>
    <t>Manufacturing Information</t>
  </si>
  <si>
    <t>A modeling entity collecting information about the physical or chemical transformation of materials, substances, or components into new products.</t>
  </si>
  <si>
    <t>The materials, substances, or components transformed are raw materials that are products of agriculture, forestry, fishing, mining or quarrying as well as products of other manufacturing activities. Substantial alteration, renovation or reconstruction of goods is generally considered to be manufacturing.</t>
  </si>
  <si>
    <t>MaricultureSite</t>
  </si>
  <si>
    <t>BH050</t>
  </si>
  <si>
    <t>Mariculture Site</t>
  </si>
  <si>
    <t>A site where marine organisms are cultivated for food and other products in either the open ocean, in an enclosed section of the ocean, or in tanks, ponds or raceways that are filled with seawater (for example: the farming of marine fish, prawns, or oysters in saltwater ponds).</t>
  </si>
  <si>
    <t>MarineDataCollectDevice</t>
  </si>
  <si>
    <t>BK030</t>
  </si>
  <si>
    <t>Marine Data Collection Device</t>
  </si>
  <si>
    <t>A device used for the collection of hydrographic and oceanographic data.</t>
  </si>
  <si>
    <t>MarineObstruction</t>
  </si>
  <si>
    <t>BD070</t>
  </si>
  <si>
    <t>Marine Obstruction</t>
  </si>
  <si>
    <t>In maritime navigation, anything that hinders or prevents movement, particularly anything that endangers or prevents passage of a vessel.</t>
  </si>
  <si>
    <t>The term is usually used to refer to an isolated danger to navigation.</t>
  </si>
  <si>
    <t>MarineRamp</t>
  </si>
  <si>
    <t>BB220</t>
  </si>
  <si>
    <t>Marine Ramp</t>
  </si>
  <si>
    <t>A sloping structure that can either be used, as a landing place, at variable water levels, for small vessels (for example: landing ships and ferry boats), or for hauling a cradle carrying a small vessel.</t>
  </si>
  <si>
    <t>The cradle may travel on rails.</t>
  </si>
  <si>
    <t>MarineRangeCentreLine</t>
  </si>
  <si>
    <t>FC102</t>
  </si>
  <si>
    <t>Marine Range Centre-Line</t>
  </si>
  <si>
    <t>A surveyed reference track marking the centre-line of a marine test range.</t>
  </si>
  <si>
    <t>Vessels undergoing testing must maintain position along this track.</t>
  </si>
  <si>
    <t>MarineRevetment</t>
  </si>
  <si>
    <t>BB226</t>
  </si>
  <si>
    <t>Marine Revetment</t>
  </si>
  <si>
    <t>A facing of stone or other material, either permanent or temporary, placed along the edge of a stream, river or canal to stabilize the bank and to protect it from the erosive action of the water.</t>
  </si>
  <si>
    <t>MaritimeArea</t>
  </si>
  <si>
    <t>FC031</t>
  </si>
  <si>
    <t>Maritime Area</t>
  </si>
  <si>
    <t>An area in which certain activities or factors of significance to navigation and/or operation apply.</t>
  </si>
  <si>
    <t>MaritimeCautionArea</t>
  </si>
  <si>
    <t>FC037</t>
  </si>
  <si>
    <t>Maritime Caution Area</t>
  </si>
  <si>
    <t>Generally, an area where the mariner has to be made aware of circumstances influencing the safety of navigation.</t>
  </si>
  <si>
    <t>The caution may represent a specific danger, a general risk, or a rule and/or navigation advice that is not directly related to a specific object. Appropriate consideration should be given, for example, to the use of Features: 'Wreck', 'Hazardous Rock' and 'Well'.</t>
  </si>
  <si>
    <t>MaritimeLimit</t>
  </si>
  <si>
    <t>FC021</t>
  </si>
  <si>
    <t>Maritime Limit</t>
  </si>
  <si>
    <t>A line where on either side certain activities or factors of significance to navigation and/or operation apply.</t>
  </si>
  <si>
    <t>MaritimeNavigationBeacon</t>
  </si>
  <si>
    <t>BC010</t>
  </si>
  <si>
    <t>Maritime Navigation Beacon</t>
  </si>
  <si>
    <t>A prominent, specially constructed object forming a conspicuous mark as a fixed aid to navigation or for use in hydrographic survey.</t>
  </si>
  <si>
    <t>MaritimeNavigationLight</t>
  </si>
  <si>
    <t>BC040</t>
  </si>
  <si>
    <t>Maritime Navigation Light</t>
  </si>
  <si>
    <t>A luminous or lighted device intended for the purpose of aiding maritime navigation.</t>
  </si>
  <si>
    <t>A Maritime Navigation Light refers to the light itself including its housing but does not include any support structure or ancillary aids to maritime navigation.</t>
  </si>
  <si>
    <t>MaritimeNavLightSupport</t>
  </si>
  <si>
    <t>BC041</t>
  </si>
  <si>
    <t>Maritime Navigation Light Support</t>
  </si>
  <si>
    <t>An otherwise unspecified fixed structure which supports a Maritime Navigation Light.</t>
  </si>
  <si>
    <t>May also be used to support other aids to maritime navigation (for example: maritime radiobeacons or fog signals).</t>
  </si>
  <si>
    <t>Marker</t>
  </si>
  <si>
    <t>BC055</t>
  </si>
  <si>
    <t>Maritime Navigation Marker</t>
  </si>
  <si>
    <t>A coloured (usually white) mark on a vertical surface (for example: a cliff, a rocky outcrop, and/or a wall) that is a conspicuous landmark for maritime navigation.</t>
  </si>
  <si>
    <t xml:space="preserve">MaritimeNavRetroReflector </t>
  </si>
  <si>
    <t>BC042</t>
  </si>
  <si>
    <t>Maritime Navigation Retro-reflector</t>
  </si>
  <si>
    <t>A light-reflecting device that is secured to an unlit maritime navigation aid in order to distinguish its location and purpose at night.</t>
  </si>
  <si>
    <t>The retro-reflector may be either a self-contained unit affixed to another structure or consist of a material or coating applied directly to the surface of that structure. The colour and colour patten of the retro-reflector is based on either the Standard Code or the Comprehensive Code referenced within International Association of Lighthouse Authorities (IALA) E-106.</t>
  </si>
  <si>
    <t>MaritimeNoticeBoard</t>
  </si>
  <si>
    <t>BC120</t>
  </si>
  <si>
    <t>Maritime Notice Board</t>
  </si>
  <si>
    <t>A signboard used to indicate speed restrictions, cable landings, and other items of interest to maritime navigation.</t>
  </si>
  <si>
    <t>MaritimeRadarRefLine</t>
  </si>
  <si>
    <t>FC130</t>
  </si>
  <si>
    <t>Maritime Radar Reference Line</t>
  </si>
  <si>
    <t>A track along which ships may be guided by coastal radar stations, especially in the event of reduced visibility.</t>
  </si>
  <si>
    <t>Radar Guided Track</t>
  </si>
  <si>
    <t>MaritimeRadiobeacon</t>
  </si>
  <si>
    <t>BC034</t>
  </si>
  <si>
    <t>Maritime Radiobeacon</t>
  </si>
  <si>
    <t>An electronic aid to maritime navigation consisting of a radio transmitter that broadcasts distinctive signals.</t>
  </si>
  <si>
    <t>MaritimeRoute</t>
  </si>
  <si>
    <t>FC165</t>
  </si>
  <si>
    <t>Maritime Route</t>
  </si>
  <si>
    <t>A track or lane established for the safe passage of vessels.</t>
  </si>
  <si>
    <t>MaritimeSignalStation</t>
  </si>
  <si>
    <t>BB155</t>
  </si>
  <si>
    <t>Maritime Signal Station</t>
  </si>
  <si>
    <t>A place on shore from which signals are made to vessels at sea.</t>
  </si>
  <si>
    <t>MarkerRadioBeacon</t>
  </si>
  <si>
    <t>GA039</t>
  </si>
  <si>
    <t>Marker Radio Beacon</t>
  </si>
  <si>
    <t>A radio navigation service identifying a particular location in space by means of a 75 megahertz (MHz) transmitter which transmits a directional signal to be received by aircraft flying overhead.</t>
  </si>
  <si>
    <t>For example: fan, 'Z', or compass locator.</t>
  </si>
  <si>
    <t>MKR</t>
  </si>
  <si>
    <t>Marsh</t>
  </si>
  <si>
    <t>ED010</t>
  </si>
  <si>
    <t>A soft, poorly drained wetland that is characterized by the growth of only non-woody plants (for example: grasses) and often forms a transition region between a waterbody and land.</t>
  </si>
  <si>
    <t>It is subject to frequent or tidal inundations, but not considered to be continually under water. It lacks trees. A subtype of the more generalized Feature: 'Wetland'.</t>
  </si>
  <si>
    <t>MassGrave</t>
  </si>
  <si>
    <t>AL037</t>
  </si>
  <si>
    <t>Mass Grave</t>
  </si>
  <si>
    <t>A grave containing multiple, usually unidentified, human corpses.</t>
  </si>
  <si>
    <t>Mass graves may be created after a large number of people die or are killed due to a natural disaster, disease, epidemic, warfare or criminal activity. Mass grave sites may not be marked, as in cases where they have been created to conceal genocide.</t>
  </si>
  <si>
    <t>Mast</t>
  </si>
  <si>
    <t>AQ021</t>
  </si>
  <si>
    <t>A tall pole or other slender structure set upright for any purpose.</t>
  </si>
  <si>
    <t>MaterialPile</t>
  </si>
  <si>
    <t>AM042</t>
  </si>
  <si>
    <t>Material Pile</t>
  </si>
  <si>
    <t>A man-made heap of material(s) of unspecified nature.</t>
  </si>
  <si>
    <t>MeasuredDistanceLine</t>
  </si>
  <si>
    <t>FC100</t>
  </si>
  <si>
    <t>Measured Distance Line</t>
  </si>
  <si>
    <t>A maritime course, the length of which has been accurately measured, whose endpoints are often established by leading lines.</t>
  </si>
  <si>
    <t>It is used by vessels to calibrate logs, engine revolution counters, and other onboard equipment, and to determine speed.</t>
  </si>
  <si>
    <t>MemorialMonument</t>
  </si>
  <si>
    <t>AL130</t>
  </si>
  <si>
    <t>Memorial Monument</t>
  </si>
  <si>
    <t>A marker erected and/or maintained as a memorial to a person and/or event.</t>
  </si>
  <si>
    <t>Folly, Monument</t>
  </si>
  <si>
    <t>MicrowaveLandingSystem</t>
  </si>
  <si>
    <t>GA092</t>
  </si>
  <si>
    <t>Microwave Landing System (MLS)</t>
  </si>
  <si>
    <t>A precision approach and landing guidance system operating in the microwave spectrum, which provides position information and various ground-to-air data.</t>
  </si>
  <si>
    <t>The position information is provided in a wide coverage sector and is determined by an azimuth angle, elevation, and distance.</t>
  </si>
  <si>
    <t>MLS</t>
  </si>
  <si>
    <t>MicrowaveLandingSysAzim</t>
  </si>
  <si>
    <t>GA093</t>
  </si>
  <si>
    <t>Microwave Landing System (MLS) Azimuth</t>
  </si>
  <si>
    <t>A component of a Microwave Landing System (MLS) consisting of a Super High Frequency (SHF) transmitter radiating signals to provide lateral indications to aircraft approaching the runway.</t>
  </si>
  <si>
    <t>The lateral information is the locus of points in any horizontal plane where the decoded guidance angle is constant. SHF is the frequency band between 3 and 30 gigahertz (GHz). The elevation and azimuth stations of the Microwave Landing System operate from 5031 to 5091 megahertz (MHz) in this spectrum.</t>
  </si>
  <si>
    <t>MicrowaveLandingSysElev</t>
  </si>
  <si>
    <t>GA094</t>
  </si>
  <si>
    <t>Microwave Landing System (MLS) Elevation</t>
  </si>
  <si>
    <t>A component of a Microwave Landing System (MLS) consisting of an Super High Frequency (SHF) transmitter radiating signals to provide vertical indications as an angular value to aircraft approaching the runway.</t>
  </si>
  <si>
    <t>The vertical information is the locus of points in any vertical plane where the decoded guidance angle is constant. SHF is the frequency band between 3 and 30 gigahertz (GHz). The elevation and azimuth stations of the Microwave Landing System operate from 5031 to 5091 megahertz (MHz) in this spectrum.</t>
  </si>
  <si>
    <t>MilitaryAdministrativeUnit</t>
  </si>
  <si>
    <t>FA517</t>
  </si>
  <si>
    <t>Military Administrative Unit</t>
  </si>
  <si>
    <t>An area which is the responsibility of territorial commands.</t>
  </si>
  <si>
    <t>MilitaryInstallation</t>
  </si>
  <si>
    <t>SU001</t>
  </si>
  <si>
    <t>Military Installation</t>
  </si>
  <si>
    <t>An installation designed for military use.</t>
  </si>
  <si>
    <t>For example, used to perform military operations, initiate forward movements, and/or furnish supplies. Often protected by fortifications or natural advantages.</t>
  </si>
  <si>
    <t>MilitarySubArea</t>
  </si>
  <si>
    <t>XM000</t>
  </si>
  <si>
    <t>Military Sub-area</t>
  </si>
  <si>
    <t>A sub-division or portion of a military installation.</t>
  </si>
  <si>
    <t>MilitaryTrench</t>
  </si>
  <si>
    <t>AH020</t>
  </si>
  <si>
    <t>Military Trench</t>
  </si>
  <si>
    <t>A trench dug for military purposes.</t>
  </si>
  <si>
    <t>MineCounterMeasureArea</t>
  </si>
  <si>
    <t>FC200</t>
  </si>
  <si>
    <t>Mine Counter Measure Area</t>
  </si>
  <si>
    <t>An area where Mine Counter Measure operations have taken place.</t>
  </si>
  <si>
    <t>Operation could comprise detection but not neccessarily removal or neutralisation.</t>
  </si>
  <si>
    <t>MineShaftSuperstructure</t>
  </si>
  <si>
    <t>AA020</t>
  </si>
  <si>
    <t>Mine Shaft Superstructure</t>
  </si>
  <si>
    <t>A structure over a vertical mine shaft containing machinery (for example: a winding head or hoist) used to transport minerals, equipment, and/or workers between the surface and various levels within the mine.</t>
  </si>
  <si>
    <t>It is usually the most prominent structure at a shaft mining facility.</t>
  </si>
  <si>
    <t>Mine Shaft Headframe, Mine Shaft Headgear, Pit-head Frame</t>
  </si>
  <si>
    <t>Minefield</t>
  </si>
  <si>
    <t>AL065</t>
  </si>
  <si>
    <t>A site laid with explosive mines.</t>
  </si>
  <si>
    <t>MineralOccurrenceArea</t>
  </si>
  <si>
    <t>MA060</t>
  </si>
  <si>
    <t>Mineral Occurrence Area</t>
  </si>
  <si>
    <t>An area, place, site or deposit, of which little may be known, except that specific minerals or rocks, that are considered to be valuable or that are of scientific or technical interest, have been identified and recorded.</t>
  </si>
  <si>
    <t>The minerals may be solid, liquid or gaseous.</t>
  </si>
  <si>
    <t>MineralPile</t>
  </si>
  <si>
    <t>AM040</t>
  </si>
  <si>
    <t>Mineral Pile</t>
  </si>
  <si>
    <t>A man-made heap of mining or quarrying products that does not contain waste materials.</t>
  </si>
  <si>
    <t>For example, a pile of coal or quarried stones.</t>
  </si>
  <si>
    <t>Mineral Tip</t>
  </si>
  <si>
    <t>MiscFeatureType</t>
  </si>
  <si>
    <t>ZD019</t>
  </si>
  <si>
    <t>Miscellaneous Feature Type</t>
  </si>
  <si>
    <t>Any feature type that falls within the scope of a feature type domain (for example: a feature coverage or a product specification) but is not explicitly specified in that domain.</t>
  </si>
  <si>
    <t>May be used to allow for the flexible capture of feature instances that are unanticipated at the time of specifying the feature type domain. This ensures that feature instances deemed important for a particular mission and/or user can be captured, even though the most appropriate feature type is not used.</t>
  </si>
  <si>
    <t>MissedApproachInfo</t>
  </si>
  <si>
    <t>GA291</t>
  </si>
  <si>
    <t>Missed Approach Information</t>
  </si>
  <si>
    <t>A modeling entity collecting information about alternative characteristics and textual descriptions of an aviation missed approach procedure.</t>
  </si>
  <si>
    <t>MissedApproachSegment</t>
  </si>
  <si>
    <t>GA290</t>
  </si>
  <si>
    <t>Missed Approach Segment</t>
  </si>
  <si>
    <t>The missed approach segment begins at the missed approach point, missed approach waypoint, or the point upon arrival at decision height, and ends at the specified missed approach NAVAID, intersection, fix or waypoint, as appropriate at the minimum Instrument Flight Rules (IFR) altitude.</t>
  </si>
  <si>
    <t>MissileEquipment</t>
  </si>
  <si>
    <t>XM020</t>
  </si>
  <si>
    <t xml:space="preserve">Missile Equipment </t>
  </si>
  <si>
    <t>Equipment for the assembly, preparation, test and/or firing of missiles.</t>
  </si>
  <si>
    <t>MissileSite</t>
  </si>
  <si>
    <t>AL120</t>
  </si>
  <si>
    <t>Missile Site</t>
  </si>
  <si>
    <t>A site and related facilities for storing and launching missiles.</t>
  </si>
  <si>
    <t>MissileTestSite</t>
  </si>
  <si>
    <t>XM021</t>
  </si>
  <si>
    <t>Missile Test Site</t>
  </si>
  <si>
    <t>An area for the preparation and/or testing of missiles.</t>
  </si>
  <si>
    <t>Moat</t>
  </si>
  <si>
    <t>BH100</t>
  </si>
  <si>
    <t>A trench surrounding a tract of land and serving as a barrier.</t>
  </si>
  <si>
    <t>It is usually filled with water.</t>
  </si>
  <si>
    <t>MobileOffshoreDrillUnit</t>
  </si>
  <si>
    <t>BB175</t>
  </si>
  <si>
    <t>Mobile Offshore Drilling Unit</t>
  </si>
  <si>
    <t>A self-contained floatable or floating drilling machine that appears as an offshore working platform when in position for operations.</t>
  </si>
  <si>
    <t>Constructed in many forms, for example, as a jackup, a semisubmersible, and as a fully submersible.</t>
  </si>
  <si>
    <t>BB042</t>
  </si>
  <si>
    <t>A form of breakwater alongside which vessels may lie on the sheltered side only.</t>
  </si>
  <si>
    <t>It is usually a substantial masonry structure, and often serves as a breakwater on its outer side while offering facilities for ships in its inner side. In some cases it may lie entirely within an artificial harbour, permitting vessels to lie along both sides.</t>
  </si>
  <si>
    <t>Monument</t>
  </si>
  <si>
    <t>KD025</t>
  </si>
  <si>
    <t>A recognizable feature in the terrain that is subject to defined protective rules (for example: world cultural heritage).</t>
  </si>
  <si>
    <t>It may be of either artificial or natural origin, and may not be in its original pristine state (for example: overgrown, damaged or fragmentary).</t>
  </si>
  <si>
    <t>MooringChain</t>
  </si>
  <si>
    <t>BD074</t>
  </si>
  <si>
    <t>Mooring Chain</t>
  </si>
  <si>
    <t>A chain or similar physical connection (for example: a cable) used to moor a vessel.</t>
  </si>
  <si>
    <t>For example, used between an anchor and a mooring buoy or between a bollard on a dock and a hulk.</t>
  </si>
  <si>
    <t>MooringFacility</t>
  </si>
  <si>
    <t>BB079</t>
  </si>
  <si>
    <t>Mooring Facility</t>
  </si>
  <si>
    <t>The equipment or structure used to secure a vessel.</t>
  </si>
  <si>
    <t>MooringMast</t>
  </si>
  <si>
    <t>AQ110</t>
  </si>
  <si>
    <t>Mooring Mast</t>
  </si>
  <si>
    <t>A mast used to secure an airship.</t>
  </si>
  <si>
    <t>MooringRing</t>
  </si>
  <si>
    <t>BB160</t>
  </si>
  <si>
    <t>Mooring Ring</t>
  </si>
  <si>
    <t>A metal ring attached to a structure and used to secure a vessel.</t>
  </si>
  <si>
    <t>MooringTrot</t>
  </si>
  <si>
    <t>BB021</t>
  </si>
  <si>
    <t>Mooring Trot</t>
  </si>
  <si>
    <t>Complex feature with possible components: BB019, BC098.</t>
  </si>
  <si>
    <t>Moraine</t>
  </si>
  <si>
    <t>BJ020</t>
  </si>
  <si>
    <t>An accumulation of soil and stone debris deposited by a glacier.</t>
  </si>
  <si>
    <t>MotorVehicleStation</t>
  </si>
  <si>
    <t>AQ170</t>
  </si>
  <si>
    <t>Motor Vehicle Station</t>
  </si>
  <si>
    <t>A building at, or in which, motor vehicles are refuelled, serviced, and sometimes repaired.</t>
  </si>
  <si>
    <t>Usually accompanied by several prominently placed petrol pumps.</t>
  </si>
  <si>
    <t>Filling Station</t>
  </si>
  <si>
    <t>Mountain</t>
  </si>
  <si>
    <t>NA100</t>
  </si>
  <si>
    <t>A morphology forming different shapes that stretch above the surrounding land in a limited area and usually in the form of a peak.</t>
  </si>
  <si>
    <t>An elevation standing high above the surrounding area with small summit area, steep slopes and local relief of 300 metres or more.</t>
  </si>
  <si>
    <t>MountainPass</t>
  </si>
  <si>
    <t>DB150</t>
  </si>
  <si>
    <t>Mountain Pass</t>
  </si>
  <si>
    <t>A narrow route through a mountainous region or over a mountain range.</t>
  </si>
  <si>
    <t>MovementAreaShoulder</t>
  </si>
  <si>
    <t>GB057</t>
  </si>
  <si>
    <t>Movement Area Shoulder</t>
  </si>
  <si>
    <t>A strip adjacent to the edge of a pavement so prepared as to provide a transition between the pavement and the adjacent surface.</t>
  </si>
  <si>
    <t>The movement area shoulder is not normally used by vehicles or aircraft, but is provided as an allowable margin in case of emergency situations.</t>
  </si>
  <si>
    <t>MunitionStorageFacility</t>
  </si>
  <si>
    <t>AM065</t>
  </si>
  <si>
    <t>Munition Storage Facility</t>
  </si>
  <si>
    <t>A facility for the storage of munitions (for example: bombs, missiles, warheads, mines or ammunition).</t>
  </si>
  <si>
    <t>Specifically, storage of weapons charged with: explosives; propellant; pyrotechnics; initiating composition; or nuclear, chemical, or biological material for use in military operations. Facilities may range in size from a small stockpile of munitions (sometimes termed an 'ammo dump') that may be revetted to a large perimeter-controlled site with multiple dispersed bunkers laid out to minimize the effect of accidental detonation (sometimes termed a 'munitions depot').</t>
  </si>
  <si>
    <t>NamedLandTract</t>
  </si>
  <si>
    <t>DA031</t>
  </si>
  <si>
    <t>Named Land Tract</t>
  </si>
  <si>
    <t>A tract of natural territory, defined by its geographical characteristics and known by its proper name.</t>
  </si>
  <si>
    <t>For example, the Alps or the Sahara.</t>
  </si>
  <si>
    <t>NamedLocation</t>
  </si>
  <si>
    <t>ZD040</t>
  </si>
  <si>
    <t>Named Location</t>
  </si>
  <si>
    <t>A location that normally does not appear as a specific, characterized object but that has a name that is required to be displayed in association with that location.</t>
  </si>
  <si>
    <t>For example, the name of the Alps or the Sahara.</t>
  </si>
  <si>
    <t>NaturalEnvironLimit</t>
  </si>
  <si>
    <t>NA165</t>
  </si>
  <si>
    <t>Natural Environmental Limit</t>
  </si>
  <si>
    <t>The limit of a region that is defined by inorganic (for example: climate, relief, water balance or atmosphere) or organic (for example: flora or fauna) factors.</t>
  </si>
  <si>
    <t>For example: a timberline or a cultivation limit.</t>
  </si>
  <si>
    <t>NaturalEnvironRegion</t>
  </si>
  <si>
    <t>NA160</t>
  </si>
  <si>
    <t>Natural Environmental Region</t>
  </si>
  <si>
    <t>A region that is defined by inorganic (for example: climate, relief, water balance or atmosphere) or organic (for example: flora or fauna) factors.</t>
  </si>
  <si>
    <t>NaturalPool</t>
  </si>
  <si>
    <t>BH170</t>
  </si>
  <si>
    <t>Natural Pool</t>
  </si>
  <si>
    <t>A naturally formed pool of water.</t>
  </si>
  <si>
    <t>It is usually fed by surface drainage from the surrounding region and/or water arising from an underground source (for example: a spring or a resurgence).</t>
  </si>
  <si>
    <t>NavalFiringPracticeArea</t>
  </si>
  <si>
    <t>FC050</t>
  </si>
  <si>
    <t>Naval Firing and/or Practice Area</t>
  </si>
  <si>
    <t>An area where Naval forces (for example: vessels or aircraft) conduct firing and/or munition exercises.</t>
  </si>
  <si>
    <t>Distinguished from areas where Naval forces conduct general operations and manoeuvers.</t>
  </si>
  <si>
    <t>NavalOperationsArea</t>
  </si>
  <si>
    <t>FC055</t>
  </si>
  <si>
    <t>Naval Operations Area</t>
  </si>
  <si>
    <t>An area where Naval forces conduct operations.</t>
  </si>
  <si>
    <t>Distinguished from areas where Naval forces conduct firing and/or munition exercises.</t>
  </si>
  <si>
    <t>NavigationLine</t>
  </si>
  <si>
    <t>BC031</t>
  </si>
  <si>
    <t>Navigation Line</t>
  </si>
  <si>
    <t>A straight line extending towards an area of navigational interest and generally generated by two navigational aids or one navigational aid and a bearing.</t>
  </si>
  <si>
    <t>Nearshore</t>
  </si>
  <si>
    <t>BA021</t>
  </si>
  <si>
    <t>The part of the shore or beach which lies between the low water mark and the landward limit of the offshore region.</t>
  </si>
  <si>
    <t>NoiseControlArea</t>
  </si>
  <si>
    <t>FA574</t>
  </si>
  <si>
    <t>Noise Control Area</t>
  </si>
  <si>
    <t>An area surrounding commercial airports with scheduled air services and/or military airfields earmarked for the operation of aircraft with jet engines, where building restrictions may be enforced in order to protect the public from dangers, major disadvantages and major irritation due to aircraft noise.</t>
  </si>
  <si>
    <t>NonBuildingStructure</t>
  </si>
  <si>
    <t>AL014</t>
  </si>
  <si>
    <t>Non-building Structure</t>
  </si>
  <si>
    <t>A free-standing self-supporting construction (for example: a large piece of equipment) designed to support human activities (for example: agriculture, manufacturing, or mining) but not intended for human occupancy and/or habitation (for example: a house, a bank, an office, or a stadium).</t>
  </si>
  <si>
    <t>May have only limited protection from the weather (for example: a hayrick) and often composed of components specialized for a particular activity (for example: animal feeding, material storage, or traffic control) or process (for example: chemical reaction, heating, mixing, or physical shaping). For example, a cane press, a cement mill, a cotton gin, a distillation tower, and a rock crusher.</t>
  </si>
  <si>
    <t>NonCommunicationTower</t>
  </si>
  <si>
    <t>AL240</t>
  </si>
  <si>
    <t>Non-communication Tower</t>
  </si>
  <si>
    <t>A tower that is used for purposes other than communication.</t>
  </si>
  <si>
    <t>For example, for observation, support, and/or storage.</t>
  </si>
  <si>
    <t>NonDirectionalRadioBeacon</t>
  </si>
  <si>
    <t>GA038</t>
  </si>
  <si>
    <t>Non-Directional Radio Beacon (NDB)</t>
  </si>
  <si>
    <t>A low or medium radio navigation service transmitting signals whereby the pilot of a suitably equipped aircraft can determine bearings, 'home in' on, and/or track to or from the station.</t>
  </si>
  <si>
    <t>The radio frequencies assigned to an NDB shall be selected from those available in that portion of the spectrum between 190 and 1750 kilohertz (kHz).</t>
  </si>
  <si>
    <t xml:space="preserve">NDB  </t>
  </si>
  <si>
    <t>NonSubmarineContact</t>
  </si>
  <si>
    <t>BD190</t>
  </si>
  <si>
    <t>Non-submarine Contact</t>
  </si>
  <si>
    <t>An object on the sea floor (for example: a wreck) that, when detected (for example: using acoustic or magnetic sensors), appears similar to and could be confused with a operating submarine.</t>
  </si>
  <si>
    <t>NonWaterWell</t>
  </si>
  <si>
    <t>AA054</t>
  </si>
  <si>
    <t>Non-water Well</t>
  </si>
  <si>
    <t>A shaft sunk into the ground to reach and tap a supply of liquids and/or gases other than water intended for use in agriculture or domestic consumption.</t>
  </si>
  <si>
    <t>Typically drilled to tap underground reservoirs of hydrocarbons (for example: petroleum or natural gas). May also, for example, yield geothermally heated liquids for use in power generation or heating, or brine for use in the extraction of salt.</t>
  </si>
  <si>
    <t>ZI006</t>
  </si>
  <si>
    <t>A modeling entity collecting unstructured information about the feature, attribute, or related information modeling entity.</t>
  </si>
  <si>
    <t>NuclearReactor</t>
  </si>
  <si>
    <t>AD040</t>
  </si>
  <si>
    <t>Nuclear Reactor</t>
  </si>
  <si>
    <t>An apparatus or structure in which fissile material can be made to undergo a controlled, self-sustaining nuclear reaction with the consequent release of energy.</t>
  </si>
  <si>
    <t>The nuclear reactor may be contained within a power plant.</t>
  </si>
  <si>
    <t>NuclearReactorContainment</t>
  </si>
  <si>
    <t>AD041</t>
  </si>
  <si>
    <t>Nuclear Reactor Containment</t>
  </si>
  <si>
    <t>A building-like structure intended to create a barrier against the release of radioactivity generated during nuclear power operations.</t>
  </si>
  <si>
    <t>The structure is usually heavily reinforced. It houses equipment used to manage a self-sustaining nuclear reaction of fissile material. The consequent release of energy may be used to generate electricity, as in a power plant.</t>
  </si>
  <si>
    <t>Oasis</t>
  </si>
  <si>
    <t>EC020</t>
  </si>
  <si>
    <t>A fertile tract of land that occurs in a desert wherever a permanent supply of fresh water is available.</t>
  </si>
  <si>
    <t>Oasis vary in size from a pond with a group of date palms around small springs to the oasis cities of the deserts with extended agricultural cultivation.</t>
  </si>
  <si>
    <t>ObstacleFreeZone</t>
  </si>
  <si>
    <t>GB225</t>
  </si>
  <si>
    <t>Obstacle Free Zone (OFZ)</t>
  </si>
  <si>
    <t>The airspace above the inner approach surface, inner transitional surfaces, and balked landing surface and that portion of the strip bounded by these surfaces, which is not penetrated by any fixed obstacle other than a low-mass and frangibly mounted one required for air navigation purposes.</t>
  </si>
  <si>
    <t>OFZ</t>
  </si>
  <si>
    <t>OccupationZone</t>
  </si>
  <si>
    <t>FA170</t>
  </si>
  <si>
    <t>Occupation Zone</t>
  </si>
  <si>
    <t>A region temporarily held and controlled by a foreign military force.</t>
  </si>
  <si>
    <t>OceanRegion</t>
  </si>
  <si>
    <t>NH180</t>
  </si>
  <si>
    <t>Ocean Region</t>
  </si>
  <si>
    <t>One of the three large regions of the world-wide ocean, each with associated sub- and marginal areas and subject to an independent flow-regime.</t>
  </si>
  <si>
    <t>They result from the relative locations of the continents.</t>
  </si>
  <si>
    <t>OceanographicFront</t>
  </si>
  <si>
    <t>FD100</t>
  </si>
  <si>
    <t>Oceanographic Front</t>
  </si>
  <si>
    <t>A temporally and spatially variable boundary between two large masses of ocean water that have different physical properties.</t>
  </si>
  <si>
    <t>OfficePark</t>
  </si>
  <si>
    <t>AG040</t>
  </si>
  <si>
    <t>Office Park</t>
  </si>
  <si>
    <t>A commercial facility consisting of multiple office buildings tenanted by one or more non-retail businesses (for example: corporate management, consulting services, or research and development) and supportive businesses (for example: a restaurant serving mid-day meals or a post office) that share a common park-like setting consisting of landscaping (for example: lawns, ornamental plantings, or ponds), parking facilities, and common entrances from adjacent roads.</t>
  </si>
  <si>
    <t>May also include commercial tenants involved in light industry (for example: gem cutting or specialized electronics manufacture).</t>
  </si>
  <si>
    <t>Offshore</t>
  </si>
  <si>
    <t>BA025</t>
  </si>
  <si>
    <t>The comparatively flat zone of variable width that extends from the outer margin of the rather steeply sloping shoreface to the edge of the continental shelf.</t>
  </si>
  <si>
    <t>OffshoreConstruction</t>
  </si>
  <si>
    <t>BD115</t>
  </si>
  <si>
    <t>Offshore Construction</t>
  </si>
  <si>
    <t>An artificial structure that is located offshore.</t>
  </si>
  <si>
    <t>It usually has a surface that is raised above the sea and may be used as a working stage for conducting offshore operations (for example: drilling for petroleum and/or natural gas, loading and/or unloading vessels, or navigation support).</t>
  </si>
  <si>
    <t>OffshorePlatform</t>
  </si>
  <si>
    <t>BD110</t>
  </si>
  <si>
    <t>Offshore Platform</t>
  </si>
  <si>
    <t>An offshore structure with a flat surface raised above the sea, used as a working stage for conducting offshore operations.</t>
  </si>
  <si>
    <t>May be fixed or floating.</t>
  </si>
  <si>
    <t>OilBarrier</t>
  </si>
  <si>
    <t>BD073</t>
  </si>
  <si>
    <t>Oil Barrier</t>
  </si>
  <si>
    <t>A floating barrier to stop and contain the spread of oil on a waterbody surface.</t>
  </si>
  <si>
    <t>OpenAirBath</t>
  </si>
  <si>
    <t>AK539</t>
  </si>
  <si>
    <t>Open Air Bath</t>
  </si>
  <si>
    <t>A facility with a swimming pool and/or located on the bank of a water body that is used for bathing or swimming.</t>
  </si>
  <si>
    <t>OpenWater</t>
  </si>
  <si>
    <t>SA010</t>
  </si>
  <si>
    <t>Open Water</t>
  </si>
  <si>
    <t>A region of surface water, whether flowing or free standing.</t>
  </si>
  <si>
    <t>For example, lakes, rivers, oceans, and/or reservoirs. Often used as a general characterization for non-terrain regions.</t>
  </si>
  <si>
    <t>Orchard</t>
  </si>
  <si>
    <t>EA040</t>
  </si>
  <si>
    <t>A tract covered by systematic plantings of trees that yield fruits (including nuts).</t>
  </si>
  <si>
    <t>OutdoorTheatreScreen</t>
  </si>
  <si>
    <t>AK080</t>
  </si>
  <si>
    <t>Outdoor Theatre Screen</t>
  </si>
  <si>
    <t>A large outdoor screen for showing motion pictures.</t>
  </si>
  <si>
    <t>Drive In Theater Screen</t>
  </si>
  <si>
    <t>OverheadObstruction</t>
  </si>
  <si>
    <t>AL155</t>
  </si>
  <si>
    <t>Overhead Obstruction</t>
  </si>
  <si>
    <t>An overhead obstruction (for example: an underpass, an overhead pipeline, and/or the overhang of a building) on a transportation route.</t>
  </si>
  <si>
    <t>OverheadWalkway</t>
  </si>
  <si>
    <t>AQ152</t>
  </si>
  <si>
    <t>Overhead Walkway</t>
  </si>
  <si>
    <t>An elevated or suspended bridge-like structure providing pedestrian passage.</t>
  </si>
  <si>
    <t>For example, may be used to cross a strreet, a waterbody, or an interior floor space.</t>
  </si>
  <si>
    <t>PackIce</t>
  </si>
  <si>
    <t>BJ070</t>
  </si>
  <si>
    <t>Pack Ice</t>
  </si>
  <si>
    <t>Term used in a wide sense to include any area of sea ice other than fast ice.</t>
  </si>
  <si>
    <t>Pack ice commonly consists of connected floating plates of ice and has a mosaic look. Fast Ice is defined as sea ice which remains fast, generally in the position where originally formed, and which may attain a considerable thickness. Fast ice is found along coasts, where it is attached to the shore, or over shoals, where it may be held in position by islands, grounded icebergs, or grounded polar ice.</t>
  </si>
  <si>
    <t>Park</t>
  </si>
  <si>
    <t>AK120</t>
  </si>
  <si>
    <t>An area of defined limits which is set aside for human recreation and enjoyment and/or for historic preservation purposes, and is usually maintained in a natural, semi-natural, or ornamentally planted state.</t>
  </si>
  <si>
    <t>Parks may be in urban areas such as Central Park in New York City or in less developed areas such as Poplar Forest in Forest, Virginia, where Thomas Jefferson's plantation and plantation house are located.</t>
  </si>
  <si>
    <t>ParkingGarage</t>
  </si>
  <si>
    <t>AQ141</t>
  </si>
  <si>
    <t>Parking Garage</t>
  </si>
  <si>
    <t>A designated, multi-level, structure used for parking and/or storing vehicles.</t>
  </si>
  <si>
    <t>May be present as part of a building or as a separate structure.</t>
  </si>
  <si>
    <t>ParticleAccelerator</t>
  </si>
  <si>
    <t>AL140</t>
  </si>
  <si>
    <t>Particle Accelerator</t>
  </si>
  <si>
    <t>An apparatus for imparting high velocities to charged particles.</t>
  </si>
  <si>
    <t>Penstock</t>
  </si>
  <si>
    <t>BH110</t>
  </si>
  <si>
    <t>A pipeline that is used by hydroelectric plants to transport water by gravity from a reservoir to the turbine(s).</t>
  </si>
  <si>
    <t>PermanentSnowfield</t>
  </si>
  <si>
    <t>SA040</t>
  </si>
  <si>
    <t>Permanent Snowfield</t>
  </si>
  <si>
    <t>A tract permanently covered by snow and/or ice.</t>
  </si>
  <si>
    <t>For example, glaciers and snowfields.</t>
  </si>
  <si>
    <t>PicnicSite</t>
  </si>
  <si>
    <t>AK061</t>
  </si>
  <si>
    <t>Picnic Site</t>
  </si>
  <si>
    <t>A site that has been set aside for picnics.</t>
  </si>
  <si>
    <t>It may have picnic tables for public use.</t>
  </si>
  <si>
    <t>PicnicTable</t>
  </si>
  <si>
    <t>AK124</t>
  </si>
  <si>
    <t>Picnic Table</t>
  </si>
  <si>
    <t>A table used for picnics.</t>
  </si>
  <si>
    <t>Often includes attached benches for seating.</t>
  </si>
  <si>
    <t>PilotBoardingPlace</t>
  </si>
  <si>
    <t>BB270</t>
  </si>
  <si>
    <t>Pilot Boarding Place</t>
  </si>
  <si>
    <t>A location offshore where a pilot may board a vessel in preparation to piloting it through local waters.</t>
  </si>
  <si>
    <t>The pilot may either be stationed in a small craft cruising in the near vicinity of the designated location, or may be brought out from shore (for example: by a helicopter) upon request.</t>
  </si>
  <si>
    <t>Pingo</t>
  </si>
  <si>
    <t>BD121</t>
  </si>
  <si>
    <t>A cone or dome shaped mound or hill of peat or soil, usually with a core of ice.</t>
  </si>
  <si>
    <t>It is found in tundra regions and is produced by the pressure of water or ice accumulating underground and pushing upward.</t>
  </si>
  <si>
    <t>Pipeline</t>
  </si>
  <si>
    <t>AQ113</t>
  </si>
  <si>
    <t>A connected set of pipes for conveying liquids, slurries, or gases.</t>
  </si>
  <si>
    <t>Usually for long distances and often located underground.</t>
  </si>
  <si>
    <t>PipelineCrossingPoint</t>
  </si>
  <si>
    <t>AL165</t>
  </si>
  <si>
    <t>Pipeline Crossing Point</t>
  </si>
  <si>
    <t>A traversable site extending across a pipeline that acts as a passageway for cross-country movement of vehicles or troops.</t>
  </si>
  <si>
    <t>PlantNursery</t>
  </si>
  <si>
    <t>EA030</t>
  </si>
  <si>
    <t>Plant Nursery</t>
  </si>
  <si>
    <t>A tract where plants (for example: shrubs, flowers, and/or trees) are grown for transplanting, seed, and/or grafting.</t>
  </si>
  <si>
    <t>Planter</t>
  </si>
  <si>
    <t>AK140</t>
  </si>
  <si>
    <t>A container for growing or displaying plants, usually decorative and permanent.</t>
  </si>
  <si>
    <t>PointAbeam</t>
  </si>
  <si>
    <t>GB058</t>
  </si>
  <si>
    <t>Point Abeam</t>
  </si>
  <si>
    <t>The point on a line that is nearest to a point that is off-line.</t>
  </si>
  <si>
    <t>For example, a point on the runway centre-line is 'abeam' the Glide Slope Antenna when the distance from the centre-line point to the antenna is a minimum.</t>
  </si>
  <si>
    <t>PointGeometryInfo</t>
  </si>
  <si>
    <t>ZI007</t>
  </si>
  <si>
    <t>Point Geometry Information</t>
  </si>
  <si>
    <t>A modeling entity collecting geometric representation information about a feature that is modeled as a spatial point.</t>
  </si>
  <si>
    <t>A spatial point is a 0-dimensional geometric primitive, representing a position.</t>
  </si>
  <si>
    <t>PointOfChange</t>
  </si>
  <si>
    <t>ZD015</t>
  </si>
  <si>
    <t>Point of Change</t>
  </si>
  <si>
    <t>A location associated with a feature where a significant characteristic of that feature changes.</t>
  </si>
  <si>
    <t>For example, the number of lanes of a road or the number of tracks of a railway.</t>
  </si>
  <si>
    <t>PolarIce</t>
  </si>
  <si>
    <t>BJ080</t>
  </si>
  <si>
    <t>Polar Ice</t>
  </si>
  <si>
    <t>Sea ice that is more than one year old and more than 3 metres thick.</t>
  </si>
  <si>
    <t>Sea ice is any form of ice which has originated from sea water.</t>
  </si>
  <si>
    <t>PollutantDischargeLoc</t>
  </si>
  <si>
    <t>SA090</t>
  </si>
  <si>
    <t>Pollutant Discharge Location</t>
  </si>
  <si>
    <t>The location where there occurs a regulated discharge of pollutants (for example: from a pipe or a man-made ditch) into ground or surface waters.</t>
  </si>
  <si>
    <t>Pollutants include dredged spoil, solid waste, incinerator residue, sewage, garbage, sewage sludge, munitions, chemical wastes, biological materials, radioactive materials, heat, wrecked or discarded equipment, rock, sand, cellar dirt and industrial, municipal, and agricultural waste discharged into water. In the United States, permits for pollutant discharge are issued by the Environmental Protection Agency (EPA), and such discharges are monitored and legal limits enforced.</t>
  </si>
  <si>
    <t>Pond</t>
  </si>
  <si>
    <t>BH081</t>
  </si>
  <si>
    <t>A small reservoir-like body of generally still water.</t>
  </si>
  <si>
    <t>Its bed is either hollowed out of the soil or formed by embanking and damming up a natural hollow (for example: by a beaver dam).</t>
  </si>
  <si>
    <t>Pontoon</t>
  </si>
  <si>
    <t>BD072</t>
  </si>
  <si>
    <t>An airtight air-filled hollow structure, usually rectangular in shape, which is buoyant in water.</t>
  </si>
  <si>
    <t>Pontoons have enough buoyancy to float both themselves and a significant load. Pontoons may serve as supports for bridges or piers.</t>
  </si>
  <si>
    <t>PopulatedPlace</t>
  </si>
  <si>
    <t>AL022</t>
  </si>
  <si>
    <t>Populated Place</t>
  </si>
  <si>
    <t>A named area where people live and/or work.</t>
  </si>
  <si>
    <t>For example, a city, a town, and a village.</t>
  </si>
  <si>
    <t>Port</t>
  </si>
  <si>
    <t>BB009</t>
  </si>
  <si>
    <t>A place provided with terminal and transfer facilities for loading and/or discharging cargo or passengers, usually located in a harbour.</t>
  </si>
  <si>
    <t>A port and its related waters (see Feature: 'Harbour Waters') together comprise a harbour (see Feature: 'Harbour').</t>
  </si>
  <si>
    <t>PotentialLandslideZone</t>
  </si>
  <si>
    <t>DB210</t>
  </si>
  <si>
    <t>Potential Landslide Zone</t>
  </si>
  <si>
    <t>A mass of land with a high potential of slipping down from an elevated location (for example: a cliff and/or the side of a mountain).</t>
  </si>
  <si>
    <t>Potential Landslide Area</t>
  </si>
  <si>
    <t>PowerGeneratingUnit</t>
  </si>
  <si>
    <t>AD011</t>
  </si>
  <si>
    <t>Power Generating Unit</t>
  </si>
  <si>
    <t>A full set of equipment, capable of independent operation, used to generate power at a power station.</t>
  </si>
  <si>
    <t>In the case of electric power generation it includes all equipment up to the high-voltage terminal of the generator step-up transformer (IEEE 762). In the case of a steam electric power generating unit, it consists of individual boilers, any installed emission control equipment, and any steam turbine/generators dedicated to generating electricity. All combustion units/boilers/combined cycle turbines that produce steam for use in a single steam turbine/generator unit are part of the same electric power generating unit.</t>
  </si>
  <si>
    <t>PowerLine</t>
  </si>
  <si>
    <t>AT030</t>
  </si>
  <si>
    <t>Power Line</t>
  </si>
  <si>
    <t>A cable that transmits or distributes electrical power.</t>
  </si>
  <si>
    <t>Long distance power transmission lines are typically operated at high voltages (for example, 500 kilovolts) whereas local power distribution lines are typically operated at much lower voltages (usually less than one kilovolt).</t>
  </si>
  <si>
    <t>PowerLinePylon</t>
  </si>
  <si>
    <t>AT040</t>
  </si>
  <si>
    <t>Power Line Pylon</t>
  </si>
  <si>
    <t>A pylon that supports one or more power lines.</t>
  </si>
  <si>
    <t>May occasionally also support communication lines, but usually only in the case of low voltage power distribution (typically less than one kilovolt).</t>
  </si>
  <si>
    <t>Power Pole, Power Transmission Pylon</t>
  </si>
  <si>
    <t>PowerSubstation</t>
  </si>
  <si>
    <t>AD030</t>
  </si>
  <si>
    <t>Power Substation</t>
  </si>
  <si>
    <t>A facility, along a power transmission line, in which electric current is switched, transformed, and/or converted.</t>
  </si>
  <si>
    <t>Transformer Yard</t>
  </si>
  <si>
    <t>PrecipitationZone</t>
  </si>
  <si>
    <t>NF010</t>
  </si>
  <si>
    <t>Precipitation Zone</t>
  </si>
  <si>
    <t>An area of the surface of the Earth that shares a common characterization of its level of precipitation.</t>
  </si>
  <si>
    <t>PrecisionApproachRadar</t>
  </si>
  <si>
    <t>GA095</t>
  </si>
  <si>
    <t>Precision Approach Radar (PAR)</t>
  </si>
  <si>
    <t>Primary radar equipment used to determine the position of an aircraft during final approach, in terms of lateral and vertical deviations relative to a nominal approach path, and in range relative to touchdown.</t>
  </si>
  <si>
    <t>Precision approach radars are designated to enable pilots of aircraft to be given guidance by radio communication during the final stages of the approach to land.</t>
  </si>
  <si>
    <t>PAR</t>
  </si>
  <si>
    <t>PreparedWatercourseCross</t>
  </si>
  <si>
    <t>AQ111</t>
  </si>
  <si>
    <t>Prepared Watercourse Crossing</t>
  </si>
  <si>
    <t>A location on a watercourse that has ramps, structural piles, and/or piers constructed on one or both shores to allow for suitable future crossing operations using floating bridges or rafting equipment.</t>
  </si>
  <si>
    <t>For example, a prepared float bridge site or a prepared raft site.</t>
  </si>
  <si>
    <t>ProcedureSegmentLeg</t>
  </si>
  <si>
    <t>GA210</t>
  </si>
  <si>
    <t>Procedure Segment Leg</t>
  </si>
  <si>
    <t>A part of an instrument or visual flight procedure defined by two consecutive significant points.</t>
  </si>
  <si>
    <t>Segment Leg</t>
  </si>
  <si>
    <t>ProcedureTransitionSeg</t>
  </si>
  <si>
    <t>GA250</t>
  </si>
  <si>
    <t>Procedure Transition Segment</t>
  </si>
  <si>
    <t>A segment on which aircraft proceed directly from the en-route phase of flight to an initial approach fix.</t>
  </si>
  <si>
    <t>Arrival Feeder</t>
  </si>
  <si>
    <t>ProcessStepInfo</t>
  </si>
  <si>
    <t>ZI004</t>
  </si>
  <si>
    <t>Process Step Information</t>
  </si>
  <si>
    <t>A modeling entity collecting information about the processing activity(ies) that were used to define, review and/or update the digital representation of a feature and/or attribute.</t>
  </si>
  <si>
    <t>ProcessingFacility</t>
  </si>
  <si>
    <t>AC000</t>
  </si>
  <si>
    <t>Processing Facility</t>
  </si>
  <si>
    <t>A facility including one or more buildings used for processing materials.</t>
  </si>
  <si>
    <t>For example, a treatment plant.</t>
  </si>
  <si>
    <t>Processing Plant</t>
  </si>
  <si>
    <t>ProtectWaterGatherGround</t>
  </si>
  <si>
    <t>FA082</t>
  </si>
  <si>
    <t>Protected Water Gathering Ground</t>
  </si>
  <si>
    <t>A protected (restricted use) terrain region incorporating facilities for the collection of water, so designated in order to protect the water on and beneath the terrain from being contaminated.</t>
  </si>
  <si>
    <t>ProtectionShed</t>
  </si>
  <si>
    <t>AL210</t>
  </si>
  <si>
    <t>Protection Shed</t>
  </si>
  <si>
    <t>A shelter built to protect a section of road or railway from slides of snow and/or rock.</t>
  </si>
  <si>
    <t>For example, a snow shed or a rock shed.</t>
  </si>
  <si>
    <t>PublicSquare</t>
  </si>
  <si>
    <t>AL170</t>
  </si>
  <si>
    <t>Public Square</t>
  </si>
  <si>
    <t>An open site that serves as a public meeting location in a built-up area.</t>
  </si>
  <si>
    <t>Plaza</t>
  </si>
  <si>
    <t>PumpingStation</t>
  </si>
  <si>
    <t>AQ116</t>
  </si>
  <si>
    <t>Pumping Station</t>
  </si>
  <si>
    <t>A facility to move solids, liquids or gases by means of pressure or suction.</t>
  </si>
  <si>
    <t>Pylon</t>
  </si>
  <si>
    <t>AT042</t>
  </si>
  <si>
    <t>A pylon or pole used to support one or more cables.</t>
  </si>
  <si>
    <t>PylonInfo</t>
  </si>
  <si>
    <t>ZI032</t>
  </si>
  <si>
    <t>Pylon Information</t>
  </si>
  <si>
    <t>A modeling entity collecting information (for example: its shape and material) about a pylon.</t>
  </si>
  <si>
    <t>QanatShaft</t>
  </si>
  <si>
    <t>BH012</t>
  </si>
  <si>
    <t>Qanat Shaft</t>
  </si>
  <si>
    <t>A vertical shaft that provides access to an underground aqueduct and which is part of a qanat system.</t>
  </si>
  <si>
    <t>A qanat system consists a system of deep underground tunnels especially constructed to channel water from an uphill region to a dryer lower region for use (for example: a village, a garden, a crop land), and qanat shafts to provide access from the surface to the underground tunnels.</t>
  </si>
  <si>
    <t>Quarry</t>
  </si>
  <si>
    <t>AA012</t>
  </si>
  <si>
    <t>An open-air excavation created by removal of stone by blasting or cutting.</t>
  </si>
  <si>
    <t>Racetrack</t>
  </si>
  <si>
    <t>AK130</t>
  </si>
  <si>
    <t>A ground or tract marked out for racing.</t>
  </si>
  <si>
    <t>The track may be banked to facilitate high-speed racing, either by grading of the terrain or the use of structures. The bank angle may exceed 30 arc degrees and such structures can reach significant heights.</t>
  </si>
  <si>
    <t>Racecourse, Race Track</t>
  </si>
  <si>
    <t>RadarRange</t>
  </si>
  <si>
    <t>BC033</t>
  </si>
  <si>
    <t>Radar Range</t>
  </si>
  <si>
    <t>Indicates the coverage of a sea area by a radar surveillance station.</t>
  </si>
  <si>
    <t>Inside this area a vessel may request shore based radar assistance, particularly in poor visibility.</t>
  </si>
  <si>
    <t>RadarStation</t>
  </si>
  <si>
    <t>AT045</t>
  </si>
  <si>
    <t>Radar Station</t>
  </si>
  <si>
    <t>A facility utilizing radar to detect and analyze objects (for example: aircraft, artificial satellites, asteroids, and/or missiles) and/or environmental phenomena (for example: tornadoes).</t>
  </si>
  <si>
    <t>May include both a radar aerial as well as a structure housing radar equipment.</t>
  </si>
  <si>
    <t>RadioNavServiceCoverage</t>
  </si>
  <si>
    <t>GA044</t>
  </si>
  <si>
    <t>Radio Navigation Service Coverage</t>
  </si>
  <si>
    <t>The allowable circular sector coverage of a navigational aid signal.</t>
  </si>
  <si>
    <t>RadioNavServiceLimit</t>
  </si>
  <si>
    <t>GA043</t>
  </si>
  <si>
    <t>Radio Navigation Service Limitation</t>
  </si>
  <si>
    <t>A factor which would detract expected performance of a navigational aid signal circular sector.</t>
  </si>
  <si>
    <t>RailHead</t>
  </si>
  <si>
    <t>AN065</t>
  </si>
  <si>
    <t>Rail-head</t>
  </si>
  <si>
    <t>A location that is the furthest point reached by a railway where equipment and/or materials are loaded onto or unloaded from rail wagons.</t>
  </si>
  <si>
    <t>Railway</t>
  </si>
  <si>
    <t>AN010</t>
  </si>
  <si>
    <t>One or more railway tracks comprising a network that is operated for the conveyance of passengers and/or goods.</t>
  </si>
  <si>
    <t>Railroad</t>
  </si>
  <si>
    <t>RailwayPlatform</t>
  </si>
  <si>
    <t>AN071</t>
  </si>
  <si>
    <t>Railway Platform</t>
  </si>
  <si>
    <t>A raised walk, floor, or other elevated structure along the side of the track at a railway station, for convenience in getting goods and/or passengers on and off a train.</t>
  </si>
  <si>
    <t>RailwaySidetrack</t>
  </si>
  <si>
    <t>AN050</t>
  </si>
  <si>
    <t>Railway Sidetrack</t>
  </si>
  <si>
    <t>A stretch of railway track connected to a main railway and used for temporary storage, passing, loading, and/or unloading.</t>
  </si>
  <si>
    <t>Railway Siding, Railway Spur, Railroad Spur, Railroad Siding</t>
  </si>
  <si>
    <t>RailwaySignal</t>
  </si>
  <si>
    <t>AN085</t>
  </si>
  <si>
    <t>Railway Signal</t>
  </si>
  <si>
    <t>A signal used to control traffic on a railway.</t>
  </si>
  <si>
    <t>RailwayStation</t>
  </si>
  <si>
    <t>AN070</t>
  </si>
  <si>
    <t>Railway Station</t>
  </si>
  <si>
    <t>A facility at which passengers may board and alight from trains and/or rail-transported freight may be loaded or unloaded.</t>
  </si>
  <si>
    <t>RailwaySwitch</t>
  </si>
  <si>
    <t>AN080</t>
  </si>
  <si>
    <t>Railway Switch</t>
  </si>
  <si>
    <t>A device integrated with a railway track with which the rails may be switched to permit access to another railway track.</t>
  </si>
  <si>
    <t>Railway Points, Railroad Switch</t>
  </si>
  <si>
    <t>RailwayTrack</t>
  </si>
  <si>
    <t>AN015</t>
  </si>
  <si>
    <t>Railway Track</t>
  </si>
  <si>
    <t>A rail or set of parallel rails on which a train, tram, or rail wagon runs.</t>
  </si>
  <si>
    <t>RailwayTraverser</t>
  </si>
  <si>
    <t>AN077</t>
  </si>
  <si>
    <t>Railway Traverser</t>
  </si>
  <si>
    <t>A sideways-moving platform for shifting a railway carriage or engine from one set of rails to another parallel set.</t>
  </si>
  <si>
    <t>Transfer Table</t>
  </si>
  <si>
    <t>RailwayTurntable</t>
  </si>
  <si>
    <t>AN075</t>
  </si>
  <si>
    <t>Railway Turntable</t>
  </si>
  <si>
    <t>A rotating platform with railway tracks used for turning locomotives and/or railway carriages.</t>
  </si>
  <si>
    <t>May be enclosed within a structure.</t>
  </si>
  <si>
    <t>Railroad Turntable</t>
  </si>
  <si>
    <t>RailwayYard</t>
  </si>
  <si>
    <t>AN060</t>
  </si>
  <si>
    <t>Railway Yard</t>
  </si>
  <si>
    <t>A system of railway tracks and associated structures that are located within defined limits and that provide for loading, unloading, and/or assembling trains.</t>
  </si>
  <si>
    <t>Marshalling Yard, Railroad Yard</t>
  </si>
  <si>
    <t>Rainforest</t>
  </si>
  <si>
    <t>EC070</t>
  </si>
  <si>
    <t>A dense forest in an area of high rainfall with little seasonal variation, and whose canopy is usually closed (allowing only filtered sunlight to reach the ground).</t>
  </si>
  <si>
    <t>Especially when located in the tropics, characterized by a rich variety of plant and animal life.</t>
  </si>
  <si>
    <t>Ramp</t>
  </si>
  <si>
    <t>AL195</t>
  </si>
  <si>
    <t>An inclined plane, usually man-made, for moving between two levels.</t>
  </si>
  <si>
    <t>Ranch</t>
  </si>
  <si>
    <t>AJ070</t>
  </si>
  <si>
    <t>A tract of land, including buildings and structures, whose primary use is the grazing of livestock on large, mostly unimproved, lands that are otherwise unsuitable for farming (for example: arid).</t>
  </si>
  <si>
    <t>The natural vegetation of the grazing area is usually dominated by native grasses, grass-like plants, forbs, and shrubs, but may include native or adapted introduced species that are managed like native vegetation. Ranches may be of nearly any size and if the ranch includes arable or irrigated land, the ranch may also engage in raising crops, especially hay and feed grains.</t>
  </si>
  <si>
    <t>Rapids</t>
  </si>
  <si>
    <t>BH120</t>
  </si>
  <si>
    <t>Portions of a stream with accelerated current where it descends rapidly but without a break in the slope of the bed sufficient to form a waterfall.</t>
  </si>
  <si>
    <t>The surface is usually broken by boulders and rocks.</t>
  </si>
  <si>
    <t>Rapid</t>
  </si>
  <si>
    <t>RecreationalPier</t>
  </si>
  <si>
    <t>AK190</t>
  </si>
  <si>
    <t>Recreational Pier</t>
  </si>
  <si>
    <t>A structure extending into the water used as a platform for recreational purposes, not intended as a berthing place for vessels.</t>
  </si>
  <si>
    <t>For example, a fishing pier or a promenade pier.</t>
  </si>
  <si>
    <t>RecyclingSite</t>
  </si>
  <si>
    <t>AB010</t>
  </si>
  <si>
    <t>Recycling Site</t>
  </si>
  <si>
    <t>A site engaged in the wrecking, dismantling, storage, recycling, and/or disposal of discarded or scrap products.</t>
  </si>
  <si>
    <t>For example, a wrecking yard or a scrap yard.</t>
  </si>
  <si>
    <t>Reef</t>
  </si>
  <si>
    <t>BD120</t>
  </si>
  <si>
    <t>A mass of rock or coral which either reaches close to the sea surface or is exposed at low tide, posing a hazard to navigation.</t>
  </si>
  <si>
    <t>RegionalWindZone</t>
  </si>
  <si>
    <t>NG010</t>
  </si>
  <si>
    <t>Regional Wind Zone</t>
  </si>
  <si>
    <t>A regional area of the surface of the Earth that shares a common characterization of its wind circulation.</t>
  </si>
  <si>
    <t>The winds may be episodic rather than steady.</t>
  </si>
  <si>
    <t>RegulatorySign</t>
  </si>
  <si>
    <t>AQ200</t>
  </si>
  <si>
    <t>Regulatory Sign</t>
  </si>
  <si>
    <t>A sign placed by an authority charged with the regulation of traffic along a transportation route for the purpose of regulating the flow of traffic (for example: vessels, vehicles and/or pedestrians) and/or providing information pertinent to the control of that traffic.</t>
  </si>
  <si>
    <t>ReligiousFacility</t>
  </si>
  <si>
    <t>AL330</t>
  </si>
  <si>
    <t>Religious Facility</t>
  </si>
  <si>
    <t>A facility, building, structure or site that was designed and designated to be used for religious activities.</t>
  </si>
  <si>
    <t>In addition to worship (conducted in, for example: churches, mosques, temples, synagogues and other places of worship), religious activities include the preparation of individuals for religious service (in a religious community, for example: a convent or a monastery) as well as conducting funeral services and holding retreats.</t>
  </si>
  <si>
    <t>ReligiousInfo</t>
  </si>
  <si>
    <t>ZI037</t>
  </si>
  <si>
    <t>Religious Information</t>
  </si>
  <si>
    <t>A modeling entity collecting information about the religious significance and/or characteristics of features.</t>
  </si>
  <si>
    <t>ResearchFacility</t>
  </si>
  <si>
    <t>AL295</t>
  </si>
  <si>
    <t>Research Facility</t>
  </si>
  <si>
    <t>A facility that is intended to be used for research and/or scientific purposes.</t>
  </si>
  <si>
    <t>For example, an astronomic observatory with facilities like dish aerials, buildings and infrastructure.</t>
  </si>
  <si>
    <t>Reservoir</t>
  </si>
  <si>
    <t>BH130</t>
  </si>
  <si>
    <t>A substantial lake-like body of water impounded by a dam.</t>
  </si>
  <si>
    <t>May be used for flood control and/or as a source of water for irrigation, industrial processes, and/or human consumption.</t>
  </si>
  <si>
    <t>RestrictedArea</t>
  </si>
  <si>
    <t>FC036</t>
  </si>
  <si>
    <t>Restricted Area</t>
  </si>
  <si>
    <t>A region in which certain aspects of maritime navigation are restricted.</t>
  </si>
  <si>
    <t>RestrictionInfo</t>
  </si>
  <si>
    <t>ZI002</t>
  </si>
  <si>
    <t>Restriction Information</t>
  </si>
  <si>
    <t>A modeling entity collecting information about restriction(s) and/or security control(s) applicable to dissemination of data regarding the digital representation of the feature or attribute.</t>
  </si>
  <si>
    <t>Resurgence</t>
  </si>
  <si>
    <t>BH173</t>
  </si>
  <si>
    <t>The location at which a watercourse re-emerges from the terrain at the end of an underground part of its course.</t>
  </si>
  <si>
    <t>RetailStand</t>
  </si>
  <si>
    <t>AL180</t>
  </si>
  <si>
    <t>Retail Stand</t>
  </si>
  <si>
    <t>A small structure that stands alone, and is designated for the purpose of supplying a product (for example: souvenirs, magazines, snacks or refreshments) or service (for example: a shoe shine) to passers-by.</t>
  </si>
  <si>
    <t>It may be roofed (for example: a newspaper stand along the side of a city street or the attendant's booth in a parking lot or at a taxi cab stand), covered by an awning (for example: a cellular phone booth in the center of the promenade of a shopping mall or a hot dog stand on a city sidewalk), or unroofed. Although often semi-permanent in nature it may be wheeled and portable on a seasonal basis or more frequently as business conditions warrant.</t>
  </si>
  <si>
    <t>RiceField</t>
  </si>
  <si>
    <t>BH135</t>
  </si>
  <si>
    <t>Rice Field</t>
  </si>
  <si>
    <t>A tract that is periodically covered with water and is used for growing rice.</t>
  </si>
  <si>
    <t>RidgeLine</t>
  </si>
  <si>
    <t>CA020</t>
  </si>
  <si>
    <t>Ridge Line</t>
  </si>
  <si>
    <t>A line delineating the top of a ridge.</t>
  </si>
  <si>
    <t>Rig</t>
  </si>
  <si>
    <t>AA040</t>
  </si>
  <si>
    <t>A superstructure fitted for drilling or lifting operations for extraction and/or exploitation of natural resources.</t>
  </si>
  <si>
    <t>Riprap</t>
  </si>
  <si>
    <t>BB225</t>
  </si>
  <si>
    <t>A layer of broken rock, cobbles, boulders, or fragments of sufficient size to resist the erosive forces of flowing water and wave action.</t>
  </si>
  <si>
    <t>River</t>
  </si>
  <si>
    <t>BH140</t>
  </si>
  <si>
    <t>A natural flowing watercourse.</t>
  </si>
  <si>
    <t>Stream</t>
  </si>
  <si>
    <t>Road</t>
  </si>
  <si>
    <t>AP030</t>
  </si>
  <si>
    <t>A route with a specially prepared surface that is intended for use by wheeled vehicles.</t>
  </si>
  <si>
    <t>RoadInterchange</t>
  </si>
  <si>
    <t>AP020</t>
  </si>
  <si>
    <t>Road Interchange</t>
  </si>
  <si>
    <t>A system of interconnecting roads (sometimes called ramps) located at a road junction that provides for the free movement of traffic between two or more routes on different levels.</t>
  </si>
  <si>
    <t>A road interchange utilizes grade separation and bridges to permit traffic on at least one road to pass through the junction without directly crossing any other traffic stream.</t>
  </si>
  <si>
    <t>Interchange</t>
  </si>
  <si>
    <t>RoadRamp</t>
  </si>
  <si>
    <t>AP032</t>
  </si>
  <si>
    <t>Road Ramp</t>
  </si>
  <si>
    <t>A section of a road interchange connecting two or more roads at different levels by means of an inclined roadway.</t>
  </si>
  <si>
    <t>Highway Ramp</t>
  </si>
  <si>
    <t>RoadsideRestArea</t>
  </si>
  <si>
    <t>AQ135</t>
  </si>
  <si>
    <t>Roadside Rest Area</t>
  </si>
  <si>
    <t>A roadside place usually having facilities for people and/or vehicles.</t>
  </si>
  <si>
    <t>Vehicle Stopping Area, Rest Area, Lay By</t>
  </si>
  <si>
    <t>Roadstead</t>
  </si>
  <si>
    <t>BB015</t>
  </si>
  <si>
    <t>An area near the shore where vessels can anchor in safety, usually a shallow indentation in the coast.</t>
  </si>
  <si>
    <t>They are often located outside of harbours that are restricted by size, depth, or operating capacity, and are typically used for lightering operations and unofficial anchoring.</t>
  </si>
  <si>
    <t>RockFormation</t>
  </si>
  <si>
    <t>DB160</t>
  </si>
  <si>
    <t>Rock Formation</t>
  </si>
  <si>
    <t>A significant outcropping of exposed bedrock.</t>
  </si>
  <si>
    <t>Roundhouse</t>
  </si>
  <si>
    <t>AN076</t>
  </si>
  <si>
    <t>A circular or semicircular building, with a railway turntable in the centre, used for storing and/or repairing railway locomotives.</t>
  </si>
  <si>
    <t>The railway turntable may be either completely covered, partially covered or not covered, and partially or completely surrounded by the building.</t>
  </si>
  <si>
    <t>RouteMarker</t>
  </si>
  <si>
    <t>AQ119</t>
  </si>
  <si>
    <t>Route Marker</t>
  </si>
  <si>
    <t>A sign used to designate the name and/or identifying number of a road.</t>
  </si>
  <si>
    <t>The sign may also display an emblem used to designate the road type (for example: national, interstate, or local).</t>
  </si>
  <si>
    <t>RoutePavementInfo</t>
  </si>
  <si>
    <t>ZI016</t>
  </si>
  <si>
    <t>Route Pavement Information</t>
  </si>
  <si>
    <t>A modeling entity collecting information about a route pavement, a durable surface for an area intended to sustain traffic (for example: vehicular traffic or foot traffic).</t>
  </si>
  <si>
    <t>Paved surfaces may be used in a variety of traffic situations (for example: on a floor, in a courtyard, or on a road) and is generally composed of pieces of a hard material fitted closely together or of an undivided hard coating so as to give a compact, uniform, and smooth surface. In the past, brick was extensively used, as was metalling. Today, permeable paving methods are beginning to be used more for low-impact roadways and walkways. Metalling originally referred to the process of creating a carefully-engineered gravel roadway. The route of the roadway first would be dug down several feet. Depending on local conditions, French drains may or may not have been added. Next, large stone was placed and compacted, followed by successive layers of smaller stone, until the road surface was a small stone compacted into a hard, durable surface. 'Road metal' later became the name of stone chippings mixed with tar to form the road surfacing material termed 'tarmac'. A road of such material is called a 'metalled road' in British usage, and is still a common modern usage. (The word metal is derived from the Latin metallum, which means both 'mine' and 'quarry', hence the road building terminology.)</t>
  </si>
  <si>
    <t>RouteWidthChange</t>
  </si>
  <si>
    <t>AQ058</t>
  </si>
  <si>
    <t>Route Width Change</t>
  </si>
  <si>
    <t>A location where a route narrows or expands in width.</t>
  </si>
  <si>
    <t>For example, an increase or decrease in the number of lanes in a road.</t>
  </si>
  <si>
    <t>Ruins</t>
  </si>
  <si>
    <t>AL200</t>
  </si>
  <si>
    <t>The deteriorated remains of an unspecified structure.</t>
  </si>
  <si>
    <t>Runway</t>
  </si>
  <si>
    <t>GB055</t>
  </si>
  <si>
    <t>A defined rectangular area on a land aerodrome prepared for the landing and take-off of aircraft.</t>
  </si>
  <si>
    <t>RWY</t>
  </si>
  <si>
    <t>RunwayCentreLinePoint</t>
  </si>
  <si>
    <t>GB038</t>
  </si>
  <si>
    <t>Runway Centre-line Point</t>
  </si>
  <si>
    <t>An operationally significant position on the centre-line of a runway surface.</t>
  </si>
  <si>
    <t>Though the runway centre-line point is a fixed location on the runway surface, the operational significance, or how the centre-line point is used, is based upon the runway direction. For example, the touchdown zone centre-line point, while a fixed location on the runway surface, is only applicable to one of the two associated runway directions for that runway surface.</t>
  </si>
  <si>
    <t>RunwayDeclaredDistInfo</t>
  </si>
  <si>
    <t>ZI043</t>
  </si>
  <si>
    <t>Runway Declared Distance Information</t>
  </si>
  <si>
    <t>A modeling entity collecting available distance information for aerodrome runway directions.</t>
  </si>
  <si>
    <t>RunwayDirection</t>
  </si>
  <si>
    <t>GB052</t>
  </si>
  <si>
    <t>Runway Direction</t>
  </si>
  <si>
    <t>One of the two possible landing and/or take-off directions of a runway or Final Approach and Take-off Area (FATO).</t>
  </si>
  <si>
    <t>One runway direction is associated with only one runway endpoint.</t>
  </si>
  <si>
    <t>Runway End</t>
  </si>
  <si>
    <t>RunwayElement</t>
  </si>
  <si>
    <t>GB064</t>
  </si>
  <si>
    <t>Runway Element</t>
  </si>
  <si>
    <t>A portion of a runway.</t>
  </si>
  <si>
    <t>A runway element may also include areas not defined as other portions of the runway (for example: a stopway).</t>
  </si>
  <si>
    <t>RunwayEndSafetyArea</t>
  </si>
  <si>
    <t>GB091</t>
  </si>
  <si>
    <t>Runway End Safety Area (RESA)</t>
  </si>
  <si>
    <t>An area symmetrical about the extended runway centre line and adjacent to the end of the runway strip that is primarily intended to reduce the risk of damage to an aircraft undershooting or overrunning the runway.</t>
  </si>
  <si>
    <t>The runway strip is the combination of the runway and, if provided, stopway.</t>
  </si>
  <si>
    <t>RESA, Overrun</t>
  </si>
  <si>
    <t>RunwayEndpoint</t>
  </si>
  <si>
    <t>GB056</t>
  </si>
  <si>
    <t>Runway Endpoint</t>
  </si>
  <si>
    <t>The point located on a runway centre-line at either end.</t>
  </si>
  <si>
    <t>Flight Path Alignment Point</t>
  </si>
  <si>
    <t>RunwayHoldingPosition</t>
  </si>
  <si>
    <t>GB092</t>
  </si>
  <si>
    <t>Runway Holding Position</t>
  </si>
  <si>
    <t>A designated position intended to protect a runway, an obstacle limitation surface, or an ILS/MLS critical/sensitive area at which taxiing aircraft and vehicles shall stop and hold, unless otherwise authorized by the aerodrome control tower.</t>
  </si>
  <si>
    <t>RunwayIntersection</t>
  </si>
  <si>
    <t>GB051</t>
  </si>
  <si>
    <t>Runway Intersection</t>
  </si>
  <si>
    <t>The intersecting area shared by two or more runways.</t>
  </si>
  <si>
    <t>RunwayRadarReflector</t>
  </si>
  <si>
    <t>GB060</t>
  </si>
  <si>
    <t>Runway Radar Reflector</t>
  </si>
  <si>
    <t>A device, normally placed near the threshold of a runway, used for reflecting radar signals.</t>
  </si>
  <si>
    <t>RunwayStrip</t>
  </si>
  <si>
    <t>GB095</t>
  </si>
  <si>
    <t>Runway Strip</t>
  </si>
  <si>
    <t>A defined area including the runway and stopway, if provided, that is intended: a) to reduce the risk of damage to aircraft running off a runway; and b) to protect aircraft flying over it during take-off or landing operations.</t>
  </si>
  <si>
    <t>RunwayThreshold</t>
  </si>
  <si>
    <t>GB090</t>
  </si>
  <si>
    <t>Runway Threshold</t>
  </si>
  <si>
    <t>The beginning of that portion of the runway that is available for landing.</t>
  </si>
  <si>
    <t>When the threshold is located at a point on the runway end other than the designated beginning of the runway end it is termed a 'displaced threshold'.</t>
  </si>
  <si>
    <t>RunwayTurnPad</t>
  </si>
  <si>
    <t>GB093</t>
  </si>
  <si>
    <t>Runway Turn Pad</t>
  </si>
  <si>
    <t>A defined area on a land aerodrome adjacent to a runway for the purpose of completing a 180-degree turn on that runway.</t>
  </si>
  <si>
    <t>Sabkha</t>
  </si>
  <si>
    <t>BH160</t>
  </si>
  <si>
    <t>A natural depression in arid or semi-arid regions whose bed is covered with salt encrusted clayey soil.</t>
  </si>
  <si>
    <t>Found especially in North Africa and Arabia.</t>
  </si>
  <si>
    <t>Sebkha</t>
  </si>
  <si>
    <t>SafeAltitudeArea</t>
  </si>
  <si>
    <t>GA021</t>
  </si>
  <si>
    <t>Safe Altitude Area (SAA)</t>
  </si>
  <si>
    <t>A defined area with applicable minimum altitude providing a minimum required clearance above all objects located in the area for a defined terminal procedure(s).</t>
  </si>
  <si>
    <t>SafeAltitudeAreaSector</t>
  </si>
  <si>
    <t>GA022</t>
  </si>
  <si>
    <t>Safe Altitude Area (SAA) Sector</t>
  </si>
  <si>
    <t>A subdivision of a Safe Altitude Area (SAA) within which there is a single set of minimum altitudes.</t>
  </si>
  <si>
    <t>A safe altitude area defines an obstruction-free minimum altitude for safe aircraft operations within 25 nautical miles of an aerodrome. An SAA is usually divided into sectors, allowing lower altitudes at certain areas around the aerodrome, based on where common aircraft operations may take place.</t>
  </si>
  <si>
    <t>SafetyFairway</t>
  </si>
  <si>
    <t>FC170</t>
  </si>
  <si>
    <t>Safety Fairway</t>
  </si>
  <si>
    <t>A route established for the safe passage of vessels through offshore oil and gas fields and minefields.</t>
  </si>
  <si>
    <t>SaltEvaporator</t>
  </si>
  <si>
    <t>BH155</t>
  </si>
  <si>
    <t>Salt Evaporator</t>
  </si>
  <si>
    <t>Shallow pools, normally man-made, used for the natural evaporation of water for the collection of salt.</t>
  </si>
  <si>
    <t>SaltFlat</t>
  </si>
  <si>
    <t>BH150</t>
  </si>
  <si>
    <t>Salt Flat</t>
  </si>
  <si>
    <t>A flat area of natural surface salt deposits.</t>
  </si>
  <si>
    <t>May also be used to describe smaller areas; these are commonly termed salt pans.</t>
  </si>
  <si>
    <t>SandDunes</t>
  </si>
  <si>
    <t>DB170</t>
  </si>
  <si>
    <t>Sand Dunes</t>
  </si>
  <si>
    <t>One or more mounds or ridges of sand usually formed by the wind.</t>
  </si>
  <si>
    <t>Sand Hills</t>
  </si>
  <si>
    <t>SatelliteBasedAugSystem</t>
  </si>
  <si>
    <t>GA110</t>
  </si>
  <si>
    <t>Satellite Based Augmentation System (SBAS)</t>
  </si>
  <si>
    <t>A network of ground stations and satellites designed to receive navigation signals, improving the accuracy and ensuring the integrity of information for navigation and landing.</t>
  </si>
  <si>
    <t>Savanna</t>
  </si>
  <si>
    <t>EB050</t>
  </si>
  <si>
    <t>An open grassy plain with few or no trees in a tropical or subtropical region.</t>
  </si>
  <si>
    <t>Scoreboard</t>
  </si>
  <si>
    <t>AK161</t>
  </si>
  <si>
    <t>A large outdoor board for publicly displaying the score in an athletic event.</t>
  </si>
  <si>
    <t>Usually associated with a sports stadium or major playing field.</t>
  </si>
  <si>
    <t>Scrubland</t>
  </si>
  <si>
    <t>EB080</t>
  </si>
  <si>
    <t>A tract covered sparsely by low trees, bushes, and/or shrubs that have been stunted by an environmental limitation (for example: low rainfall or nutrient-poor soil).</t>
  </si>
  <si>
    <t>SeaWaters</t>
  </si>
  <si>
    <t>BA080</t>
  </si>
  <si>
    <t>Sea Waters</t>
  </si>
  <si>
    <t>The connected water areas of the Earth that surround the continents and are not completly surrounded by the landmass of a single continent.</t>
  </si>
  <si>
    <t>The areas differ in morphology and/or other natural characteristics and may be covered by ice.</t>
  </si>
  <si>
    <t>SeabedImpactScour</t>
  </si>
  <si>
    <t>BF020</t>
  </si>
  <si>
    <t>Seabed Impact Scour</t>
  </si>
  <si>
    <t>A clearing away of mud or other seabed deposits by the action of an object impacting and/or traversing along the seabed before settling.</t>
  </si>
  <si>
    <t>SeaplaneRun</t>
  </si>
  <si>
    <t>GB070</t>
  </si>
  <si>
    <t>Seaplane Run</t>
  </si>
  <si>
    <t>A designated portion of water that is outlined by visual surface markings and used by seaplanes to land and take-off.</t>
  </si>
  <si>
    <t>Seaplane Landing Area, Seaplane Take-off Area</t>
  </si>
  <si>
    <t>SearchRescueRegion</t>
  </si>
  <si>
    <t>GA803</t>
  </si>
  <si>
    <t>Search and Rescue Region</t>
  </si>
  <si>
    <t>A predefined geographic area in which a specific search and rescue organization(s) is responsible for operating.</t>
  </si>
  <si>
    <t>SearchRescueRespOrg</t>
  </si>
  <si>
    <t>GA802</t>
  </si>
  <si>
    <t>Search and Rescue Responsible Organization</t>
  </si>
  <si>
    <t>An organization that is responsible for planning, coordinating, and executing search and rescue services within a specified search and rescue region.</t>
  </si>
  <si>
    <t>SearchRescueService</t>
  </si>
  <si>
    <t>GA800</t>
  </si>
  <si>
    <t>Search and Rescue Service (SAR)</t>
  </si>
  <si>
    <t>The performance of distress monitoring, communication, coordination and search and rescue functions, initial medical assistance or medical evacuation, through the use of public and private resources, including cooperating aircraft, vessels and other craft and installations.</t>
  </si>
  <si>
    <t>SearchRescueUnit</t>
  </si>
  <si>
    <t>GA801</t>
  </si>
  <si>
    <t>Search and Rescue Unit</t>
  </si>
  <si>
    <t>A unit that is designated as the appropriate responder for a specified search and rescue region.</t>
  </si>
  <si>
    <t>Seawall</t>
  </si>
  <si>
    <t>BB230</t>
  </si>
  <si>
    <t>An embankment or wall for protection against waves or tidal action along a shore or water front.</t>
  </si>
  <si>
    <t>SeismicActivityArea</t>
  </si>
  <si>
    <t>SA070</t>
  </si>
  <si>
    <t>Seismic Activity Area</t>
  </si>
  <si>
    <t>An area where earthquakes or other seismic events routinely occur.</t>
  </si>
  <si>
    <t>SensorCalibrationPoint</t>
  </si>
  <si>
    <t>ZB080</t>
  </si>
  <si>
    <t>Sensor Calibration Point</t>
  </si>
  <si>
    <t>A known point that is used to verify the measurements of a sensor or sensor array.</t>
  </si>
  <si>
    <t>Measurements taken from a calibration point are used to verify the accuracy and correctness of the sensor(s) and are also used as the basis for sensor adjustment.</t>
  </si>
  <si>
    <t>Series</t>
  </si>
  <si>
    <t>ZI033</t>
  </si>
  <si>
    <t>A set of related resources (for example: datasets) that share common metadata (for example: theme, source date, resolution, and methodology).</t>
  </si>
  <si>
    <t>For example, a series of vector datasets, each of which depict surface hydrography with associated attribution, where a single dataset corresponds to one of the administrative areas within a country and the series corresponds to all administrative areas within that country.</t>
  </si>
  <si>
    <t>Settlement</t>
  </si>
  <si>
    <t>AL105</t>
  </si>
  <si>
    <t>A continuously occupied concentration of tents or lightweight fixed structures (for example: huts) serving as residences.</t>
  </si>
  <si>
    <t>May also include supporting non-residential (for example: commercial) structures.</t>
  </si>
  <si>
    <t>SettlementLimit</t>
  </si>
  <si>
    <t>NA035</t>
  </si>
  <si>
    <t>Settlement Limit</t>
  </si>
  <si>
    <t>A boundary or limit beyond which human settlement is either not possible or not appropriate for climatic or topographic reasons.</t>
  </si>
  <si>
    <t>This limit separates the ecumene (land where people have made their permanent home, and all work areas that are considered occupied and used for agricultural or any other economic purposes) from the uninhabited world.</t>
  </si>
  <si>
    <t>SettlingPond</t>
  </si>
  <si>
    <t>AC030</t>
  </si>
  <si>
    <t>Settling Pond</t>
  </si>
  <si>
    <t>A small reservoir where solid matter is precipitated from a liquid by evaporating or settling.</t>
  </si>
  <si>
    <t>Settling Basin, Sludge Pond</t>
  </si>
  <si>
    <t>SewageTreatmentPlant</t>
  </si>
  <si>
    <t>AC507</t>
  </si>
  <si>
    <t>Sewage Treatment Plant</t>
  </si>
  <si>
    <t>An operational area with buildings and other facilities for the purification of wastewater.</t>
  </si>
  <si>
    <t>SeweragePumpOutStation</t>
  </si>
  <si>
    <t>BB200</t>
  </si>
  <si>
    <t>Sewerage Pump Out Station</t>
  </si>
  <si>
    <t>A place where sewerage may be pumped off a vessel.</t>
  </si>
  <si>
    <t>Sewage Pump Out Station</t>
  </si>
  <si>
    <t>ShallowWaterArea</t>
  </si>
  <si>
    <t>BH250</t>
  </si>
  <si>
    <t>Shallow Water Area</t>
  </si>
  <si>
    <t>That part of an inland body of water where the depth is relatively slight (less than 1 metre) and thus likely to limit the passage of watercraft.</t>
  </si>
  <si>
    <t>Shallow water areas may be identified using overhead imagery, where there are visible bottom features, surface waves, and/or other water surface phenomena.</t>
  </si>
  <si>
    <t>ShantyTown</t>
  </si>
  <si>
    <t>AL208</t>
  </si>
  <si>
    <t>Shanty Town</t>
  </si>
  <si>
    <t>A section of a built-up area consisting chiefly of densely packed shacks and having few, if any, streets and no public facilities.</t>
  </si>
  <si>
    <t>Usually located on the outskirts of the built-up area. The shacks are generally crude, improvised, and made from salvaged materials.</t>
  </si>
  <si>
    <t>SharpCurve</t>
  </si>
  <si>
    <t>AQ118</t>
  </si>
  <si>
    <t>Sharp Curve</t>
  </si>
  <si>
    <t>A curve along a land transportation route that may restrict vehicle traffic.</t>
  </si>
  <si>
    <t>Sharp Bend, Sharp Curve(s)</t>
  </si>
  <si>
    <t>ShearWall</t>
  </si>
  <si>
    <t>AA011</t>
  </si>
  <si>
    <t>Shear Wall</t>
  </si>
  <si>
    <t>The wall of the excavation within a quarry or extraction mine.</t>
  </si>
  <si>
    <t>ShearLegs</t>
  </si>
  <si>
    <t>AF041</t>
  </si>
  <si>
    <t>Shear-legs</t>
  </si>
  <si>
    <t>A mechanical device consisting of three poles bolted together at their upper ends and extended below, carrying tackle for raising heavy weights or machinery.</t>
  </si>
  <si>
    <t>Shed</t>
  </si>
  <si>
    <t>AL019</t>
  </si>
  <si>
    <t>A small building, generally of light construction, that usually has one or more open sides.</t>
  </si>
  <si>
    <t>Typically used for storage.</t>
  </si>
  <si>
    <t>ShipElevator</t>
  </si>
  <si>
    <t>BI006</t>
  </si>
  <si>
    <t>Ship Elevator</t>
  </si>
  <si>
    <t>A device used to raise ships vertically between water bodies with different elevations.</t>
  </si>
  <si>
    <t>Normally ship elevators consist of water filled chambers which can be raised or lowered by means of mechanical devices. Commonly used to move ships between canals where locks would be impractical.</t>
  </si>
  <si>
    <t>ShippingContainer</t>
  </si>
  <si>
    <t>AM011</t>
  </si>
  <si>
    <t>Shipping Container</t>
  </si>
  <si>
    <t>A moveable container used for the shipping of solid, liquid, or gaseous materials.</t>
  </si>
  <si>
    <t>The container may be either closed on all sides or open on the top or along a side. With minor modifications, if needed, shipping containers may be used for non-traditional purposes including, for example: emergency shelter, housing, retail activities, warehousing and secure space.</t>
  </si>
  <si>
    <t>Shipyard</t>
  </si>
  <si>
    <t>BB241</t>
  </si>
  <si>
    <t>A large enclosed area adjoining the sea or a major river, including facilities in which ships are built or repaired.</t>
  </si>
  <si>
    <t>ShoppingComplex</t>
  </si>
  <si>
    <t>AG030</t>
  </si>
  <si>
    <t>Shopping Complex</t>
  </si>
  <si>
    <t>A commercial facility tenanted by multiple retail stores (for example: household goods, clothing, or books), restaurants (for example: a food court), entertainment venues (for example: a movie theatre or electronic games arcade), and/or other businesses (for example: professional services), that is completely enclosed, climate controlled, has a common public arcade (for example: furnished with decorative plantings, benches, and/or fountains) and a common vehicle parking area (for example: a parking lot or parking garage).</t>
  </si>
  <si>
    <t>When the commercial entrances open onto the interior of the complex (public access being by means of central entries and broad corridors) it may consist of multiple levels connected by escalators and is often termed a 'shopping mall'. When the commercial entrances open towards the exterior of the complex and access to individual commercial entrances is directly from an adjacent vehicle parking area it consists of a single level and is often termed a 'shopping centre' or 'shopping plaza'.</t>
  </si>
  <si>
    <t>Shopping Centre, Shopping Plaza, Shopping Mall</t>
  </si>
  <si>
    <t>Shoreline</t>
  </si>
  <si>
    <t>BA024</t>
  </si>
  <si>
    <t>A line drawn along the normal limit of wave action above the higher high water line as defined by the National Authority.</t>
  </si>
  <si>
    <t>Consideration should be given to using the more specific Feature: 'High Water Line' based on the nature of the source data collection.</t>
  </si>
  <si>
    <t>ShorelineConstruction</t>
  </si>
  <si>
    <t>BB081</t>
  </si>
  <si>
    <t>Shoreline Construction</t>
  </si>
  <si>
    <t>An artificial structure attached to land bordering a body of water and fixed in position.</t>
  </si>
  <si>
    <t>It is usually fixed to the waterbody bottom (for example: a mole) but may occasionally be fixed in position (for example: attached to the shore at one end and held between pilings at the other), but floating. Shoreline constructions are normally used for berthing and/or protection.</t>
  </si>
  <si>
    <t>ShorelineRamp</t>
  </si>
  <si>
    <t>BB082</t>
  </si>
  <si>
    <t>Shoreline Ramp</t>
  </si>
  <si>
    <t>A ramp-like structure on a shoreline that is intended to facilitate the movement of vessels and/or materials (for example: logs) into or out of the water.</t>
  </si>
  <si>
    <t>SideScanSonarCoverage</t>
  </si>
  <si>
    <t>FC179</t>
  </si>
  <si>
    <t>Side Scan Sonar Coverage</t>
  </si>
  <si>
    <t>An area of horizontal coverage recorded by side scan SONAR survey.</t>
  </si>
  <si>
    <t>Sidewalk</t>
  </si>
  <si>
    <t>AQ035</t>
  </si>
  <si>
    <t>A paved or improved pedestrian path, typically located adjacent and parallel to a street or road.</t>
  </si>
  <si>
    <t>SignificantPoint</t>
  </si>
  <si>
    <t>GA057</t>
  </si>
  <si>
    <t>Significant Point</t>
  </si>
  <si>
    <t>A specified geographical location used to define an air traffic service (ATS) route, the flight path of an aircraft or for other navigation/ATS purposes.</t>
  </si>
  <si>
    <t>SigPointAssocToAirspace</t>
  </si>
  <si>
    <t>GA059</t>
  </si>
  <si>
    <t>Significant Point Association to Airspace</t>
  </si>
  <si>
    <t>The use and location relative to an airspace of a significant point.</t>
  </si>
  <si>
    <t>A significant point is a specified geographical location used to define an Air Traffic Service (ATS) route, the flight path of an aircraft and/or for other navigation/ATS purposes.</t>
  </si>
  <si>
    <t>Significant Point in Airspace</t>
  </si>
  <si>
    <t>SignificantRock</t>
  </si>
  <si>
    <t>DB161</t>
  </si>
  <si>
    <t>Significant Rock</t>
  </si>
  <si>
    <t>A conspicuous isolated large rock.</t>
  </si>
  <si>
    <t>May be on the land or consistently exposed above a waterbody. From offshore it would appear to a mariner as a single point on land and would be appropriate for use in navigation.</t>
  </si>
  <si>
    <t>Silo</t>
  </si>
  <si>
    <t>AM091</t>
  </si>
  <si>
    <t>A large storage structure used for storing loose materials.</t>
  </si>
  <si>
    <t>SimplifiedDirectionFacility</t>
  </si>
  <si>
    <t>GA105</t>
  </si>
  <si>
    <t>Simplified Directional Facility (SDF)</t>
  </si>
  <si>
    <t>A directional aid facility providing only lateral guidance (front or back course) for a terminal instrument approach from a final approach fix.</t>
  </si>
  <si>
    <t>The Simplified Directional Facility (SDF) provides a final approach course similar to that of the Instrument Landing System (ILS) localizer, however an SDF is intended only for use by non-precision approach procedures. It is generally less accurate than a localizer, and may not be aligned to the runway. The SDF signal is fixed at either 6 or 12 arc degrees course width as necessary to provide maximum flyability and optimum course quality.</t>
  </si>
  <si>
    <t>SDF</t>
  </si>
  <si>
    <t>SinglePointMooring</t>
  </si>
  <si>
    <t>BB170</t>
  </si>
  <si>
    <t>Single Point Mooring</t>
  </si>
  <si>
    <t>A mooring structure used by tankers to load and unload in port approaches or in offshore oil and/or gas fields.</t>
  </si>
  <si>
    <t>The size of the structure may vary between that of a large mooring buoy and that of a manned structure that may be either floating or fixed to the sea bed.</t>
  </si>
  <si>
    <t>Offshore Loading Facility</t>
  </si>
  <si>
    <t>Siphon</t>
  </si>
  <si>
    <t>AJ020</t>
  </si>
  <si>
    <t>A pipe used for conveying liquid from one level to a lower level, using the liquid pressure differential to force a column of the liquid up to a higher level before it falls to the outlet.</t>
  </si>
  <si>
    <t>SkiJump</t>
  </si>
  <si>
    <t>AK150</t>
  </si>
  <si>
    <t>Ski-jump</t>
  </si>
  <si>
    <t>A man-made structure consisting of a steep ramp levelling off at the end and built on a natural slope, used in ski-jumping.</t>
  </si>
  <si>
    <t>SkiRun</t>
  </si>
  <si>
    <t>AK155</t>
  </si>
  <si>
    <t>Ski-run</t>
  </si>
  <si>
    <t>A slope or trail prepared for skiing.</t>
  </si>
  <si>
    <t>Ski Trail, Ski Track</t>
  </si>
  <si>
    <t>Slipway</t>
  </si>
  <si>
    <t>BB240</t>
  </si>
  <si>
    <t>The prepared and usually reinforced inclined surface on which keel- and bilge-blocks are laid for supporting a vessel under construction.</t>
  </si>
  <si>
    <t>Rails associated with a slipway are usually represented separately, for example as a marine railway.</t>
  </si>
  <si>
    <t>Patent Slip</t>
  </si>
  <si>
    <t>SlopeRegion</t>
  </si>
  <si>
    <t>SA050</t>
  </si>
  <si>
    <t>Slope Region</t>
  </si>
  <si>
    <t>A region where the terrain slope is within a set range of values.</t>
  </si>
  <si>
    <t>Sluice</t>
  </si>
  <si>
    <t>BI039</t>
  </si>
  <si>
    <t>An open, inclined conduit fitted with a gate for regulating water flow.</t>
  </si>
  <si>
    <t>May be employed in mine ore washing operations.</t>
  </si>
  <si>
    <t>SluiceGate</t>
  </si>
  <si>
    <t>BI040</t>
  </si>
  <si>
    <t>Sluice Gate</t>
  </si>
  <si>
    <t>A gate used to regulate the flow or level of water in a watercourse (for example: stream, irrigation ditch, or sluice).</t>
  </si>
  <si>
    <t>Sluice gates are normally installed in a superstructure and/or frame and most commonly slide vertically to open but on occasion may instead slide horizontally. When opened they allow water to flow under or beside the gate. Commonly sluice gates will be installed perpendicular to the orientation of the flow of water within a watercourse and will be constructed as wide as the watercourse they regulate. Sluice gates may also be installed along the margins of watercourses for the purpose of controlling or permitting the flow of water to or from that watercourse into adjacent watercourses. Sluice gates may be used to regulate both tidal or non-tidal waters.</t>
  </si>
  <si>
    <t>SmallBottomObject</t>
  </si>
  <si>
    <t>BD002</t>
  </si>
  <si>
    <t>Small Bottom Object</t>
  </si>
  <si>
    <t>An object protruding above the water body bottom whose greatest dimension is less than five metres.</t>
  </si>
  <si>
    <t>The object may, depending on conditions, float and/or be partially exposed above the water surface. In general such objects appear as 'mine-like' contacts on sonar sensors and will be further investigated in situations where the presence of explosive mines is suspected.</t>
  </si>
  <si>
    <t>SmallCraftFacility</t>
  </si>
  <si>
    <t>BB201</t>
  </si>
  <si>
    <t>Small Craft Facility</t>
  </si>
  <si>
    <t>A place at which a service generally of interest to small craft or pleasure boats is available.</t>
  </si>
  <si>
    <t>Smokestack</t>
  </si>
  <si>
    <t>AF010</t>
  </si>
  <si>
    <t>A vertical structure containing a passage or flue for discharging smoke and gases of combustion.</t>
  </si>
  <si>
    <t>Chimney</t>
  </si>
  <si>
    <t>Snag</t>
  </si>
  <si>
    <t>BD140</t>
  </si>
  <si>
    <t>A substantial item of woody vegetation (for example: tree, trunk, or bush) or a broken structural pile that is embedded in the bottom of a body of water (for example: ocean, river or inland waterbody) thereby creating a hazard to water travel.</t>
  </si>
  <si>
    <t>The visibility of the snag at the water surface will depend in its size and the existing water depth.</t>
  </si>
  <si>
    <t>Submerged Stump</t>
  </si>
  <si>
    <t>SnowIceField</t>
  </si>
  <si>
    <t>BJ100</t>
  </si>
  <si>
    <t>Snow Field and/or Ice-field</t>
  </si>
  <si>
    <t>A large area permanently covered by snow and/or ice.</t>
  </si>
  <si>
    <t>May cover land and/or water.</t>
  </si>
  <si>
    <t>SoilDeteriorationRegion</t>
  </si>
  <si>
    <t>FA013</t>
  </si>
  <si>
    <t>Soil Deterioration Region</t>
  </si>
  <si>
    <t>An area whose soil characteristics are deteriorated by natural, semi-natural or human influences.</t>
  </si>
  <si>
    <t>SoilSalinizationArea</t>
  </si>
  <si>
    <t>MA050</t>
  </si>
  <si>
    <t>Soil Salinization Area</t>
  </si>
  <si>
    <t>An area within which the upper soil horizons have become enriched in salts to a sufficient degree to result in loss in agricultural productivity.</t>
  </si>
  <si>
    <t>The enrichment may be due to either natural processes and/or human activity.</t>
  </si>
  <si>
    <t>SoilSurfaceRegion</t>
  </si>
  <si>
    <t>DA010</t>
  </si>
  <si>
    <t>Soil Surface Region</t>
  </si>
  <si>
    <t>A region of the land that is homogeneous with respect to a soil characteristic.</t>
  </si>
  <si>
    <t>SolarFarm</t>
  </si>
  <si>
    <t>AD025</t>
  </si>
  <si>
    <t>Solar Farm</t>
  </si>
  <si>
    <t>An extensive collection of solar panels that are collocated and serve a common purpose (for example: the generation of electricity or the generation of heating steam and/or water).</t>
  </si>
  <si>
    <t>The collection is often organized as an array covering many hundreds of square metres in area and it may be controlled so as to track the direction of the sun throughout the day.</t>
  </si>
  <si>
    <t>SolarIrradianceZone</t>
  </si>
  <si>
    <t>NF030</t>
  </si>
  <si>
    <t>Solar Irradiance Zone</t>
  </si>
  <si>
    <t>An area of the surface of the Earth that shares a common characterization of its solar irradiance.</t>
  </si>
  <si>
    <t>Solar irradiance primarily falls in the spectral range of approximately 0.3-3 metres in wavelength, where the shortest wavelengths are in the ultraviolet region of the spectrum, the intermediate wavelengths in the visible region, and the longer wavelengths are in the near infrared. Total solar irradiance means that the solar flux has been integrated over all wavelengths to include the contributions from ultraviolet, visible, and infrared radiation.</t>
  </si>
  <si>
    <t>SolarPanel</t>
  </si>
  <si>
    <t>AD020</t>
  </si>
  <si>
    <t>Solar Panel</t>
  </si>
  <si>
    <t>A panel designed to absorb the sun's rays for the purpose of generating electricity or heat.</t>
  </si>
  <si>
    <t>SolidRock</t>
  </si>
  <si>
    <t>MA000</t>
  </si>
  <si>
    <t>Solid Rock</t>
  </si>
  <si>
    <t>An area consisting of an aggregate of one or more minerals and/or solid organic material.</t>
  </si>
  <si>
    <t>SoundSignalDevice</t>
  </si>
  <si>
    <t>BC103</t>
  </si>
  <si>
    <t>Sound Signal Device</t>
  </si>
  <si>
    <t>An acoustic aid to navigation consisting of a device that generates distinctive audible sounds.</t>
  </si>
  <si>
    <t>For example, a buoy with a bell. See also Feature: 'Fog Signal'.</t>
  </si>
  <si>
    <t>Sounding</t>
  </si>
  <si>
    <t>BE020</t>
  </si>
  <si>
    <t>A spot depth or drying height that has been referenced to a vertical datum.</t>
  </si>
  <si>
    <t>SoundingMetadata</t>
  </si>
  <si>
    <t>ZI012</t>
  </si>
  <si>
    <t>Sounding Metadata</t>
  </si>
  <si>
    <t>A modeling entity collecting information about the basis for, and quality of, coordinates and/or dimensional measures of the digital representation of a feature and/or attribute related to a hydrographic sounding datum.</t>
  </si>
  <si>
    <t>For example, the sounding datum with respect to which a vertical position or dimension has been determined, or the accuracy of that position or dimension value.</t>
  </si>
  <si>
    <t>SourceInfo</t>
  </si>
  <si>
    <t>ZI001</t>
  </si>
  <si>
    <t>Source Information</t>
  </si>
  <si>
    <t>A modeling entity collecting information about the source data that was used to define, review and/or update the digital representation of a feature and/or attribute.</t>
  </si>
  <si>
    <t>SovereignState</t>
  </si>
  <si>
    <t>FA006</t>
  </si>
  <si>
    <t>Sovereign State</t>
  </si>
  <si>
    <t>A region where a community (people) has the full sovereignty about a national territory.</t>
  </si>
  <si>
    <t>As defined by the meaning of the law of nations.</t>
  </si>
  <si>
    <t>Spa</t>
  </si>
  <si>
    <t>AK200</t>
  </si>
  <si>
    <t>A resort town or area centered around mineral and/or hot springs that are believed to have restorative powers.</t>
  </si>
  <si>
    <t>Originally named after a watering-place in the province of Liege, Belgium, celebrated for the curative properties of its mineral springs. A modern spa can be a luxurious resort or resort hotel, that may be located near a special water source or offers hot tub or similar warm-water hydromassage facilities.</t>
  </si>
  <si>
    <t>SpaceFacility</t>
  </si>
  <si>
    <t>AL351</t>
  </si>
  <si>
    <t>Space Facility</t>
  </si>
  <si>
    <t>A facility that is used to support space related activities (for example: services such as assembly, launching or recovery of spacecraft or managing flight operations).</t>
  </si>
  <si>
    <t>SpecialNavigationSystem</t>
  </si>
  <si>
    <t>GA096</t>
  </si>
  <si>
    <t>Special Navigation System</t>
  </si>
  <si>
    <t>A wide area (worldwide) service based on a chain of land stations providing radio frequency signals which can be used by airborne equipment to determine the aircraft's two-dimensional position.</t>
  </si>
  <si>
    <t>For example: Decca Navigator System or LOng Range Aid to Navigation (LORAN).</t>
  </si>
  <si>
    <t>SpecialNavSystemStation</t>
  </si>
  <si>
    <t>GA097</t>
  </si>
  <si>
    <t>Special Navigation System Station</t>
  </si>
  <si>
    <t>A land based facility emitting a radio signal for a special navigation system.</t>
  </si>
  <si>
    <t>Spillway</t>
  </si>
  <si>
    <t>BH165</t>
  </si>
  <si>
    <t>A passage for surplus water to run over or around a dam.</t>
  </si>
  <si>
    <t>SportsGround</t>
  </si>
  <si>
    <t>AK040</t>
  </si>
  <si>
    <t>Sports Ground</t>
  </si>
  <si>
    <t>An open area where sporting events, exercises, and/or games occur.</t>
  </si>
  <si>
    <t>For example, an athletic field, a playing field, and/or a sports field.</t>
  </si>
  <si>
    <t>Athletic Field</t>
  </si>
  <si>
    <t>SportsStadium</t>
  </si>
  <si>
    <t>AK165</t>
  </si>
  <si>
    <t>Sports Stadium</t>
  </si>
  <si>
    <t>An athletic field partially or completely surrounded by a structure designed to allow spectators to stand or sit and view the event.</t>
  </si>
  <si>
    <t>Often designed in size and shape to accommodate specific sports (for example: baseball or football). The smaller ones may be open at one or both ends.</t>
  </si>
  <si>
    <t>SpotElevation</t>
  </si>
  <si>
    <t>CA030</t>
  </si>
  <si>
    <t>Spot Elevation</t>
  </si>
  <si>
    <t>A designated location with an elevation value relative to a vertical datum.</t>
  </si>
  <si>
    <t>Spring</t>
  </si>
  <si>
    <t>BH172</t>
  </si>
  <si>
    <t>A flow of water rising or welling naturally from the earth.</t>
  </si>
  <si>
    <t>Stable</t>
  </si>
  <si>
    <t>AJ080</t>
  </si>
  <si>
    <t>A building similar to a barn and adapted for the shelter and feeding of domestic animals, being divided into individual stalls.</t>
  </si>
  <si>
    <t>Although commonly used to house horses, it may be used to house other animals (for example: prize cattle, sheep or goats) and often includes a storage loft (for example: for hay).</t>
  </si>
  <si>
    <t>Stadium</t>
  </si>
  <si>
    <t>AK160</t>
  </si>
  <si>
    <t>A field and/or stage partly or completely surrounded by a structure designed to allow spectators to stand or sit while viewing an event.</t>
  </si>
  <si>
    <t>The field and/or stage may be enclosed in a building or be outdoors. Stadiums are surrounded on most or all sides by tiered seating for spectators. Often designed in size and shape to accommodate specific sports (for example: baseball, football, basketball or ice hockey), theater or musical performances.</t>
  </si>
  <si>
    <t>Amphitheatre, Amphitheater</t>
  </si>
  <si>
    <t>Stair</t>
  </si>
  <si>
    <t>AQ150</t>
  </si>
  <si>
    <t>A series of fixed steps leading from one level to another, especially such a series leading from one floor level to another inside a structure.</t>
  </si>
  <si>
    <t>The steps may also be on the outside of the structure, for example, on a gasometer.</t>
  </si>
  <si>
    <t>StandardInstrumentArrival</t>
  </si>
  <si>
    <t>GA220</t>
  </si>
  <si>
    <t>Standard Instrument Arrival (STAR)</t>
  </si>
  <si>
    <t>A designated Instrument Flight Rule (IFR) arrival route linking a significant point, normally on an Air Traffic Service (ATS) route, with a point from which a published instrument approach procedure can be commenced.</t>
  </si>
  <si>
    <t>STAR</t>
  </si>
  <si>
    <t>StandardInstrumentDepart</t>
  </si>
  <si>
    <t>GA230</t>
  </si>
  <si>
    <t>Standard Instrument Departure (SID)</t>
  </si>
  <si>
    <t>A procedure by which a departure route is designated following the Instrument Flight Rules (IFR).</t>
  </si>
  <si>
    <t>This route links the aerodrome or a specific runway of the aerodrome with a specified significant point, normally on a designated Air Traffic Service (ATS) route, at which the en-route phase of a flight commences.</t>
  </si>
  <si>
    <t>SID</t>
  </si>
  <si>
    <t>StatisticalGeoArea</t>
  </si>
  <si>
    <t>SA080</t>
  </si>
  <si>
    <t>Statistical Geographic Area</t>
  </si>
  <si>
    <t>A geographic area characterized by statistically derived and/or aggregated properties (for example: population age profile, distribution of land uses, probability of types of events).</t>
  </si>
  <si>
    <t>These areas may be characterized by statistics in one or both of the following ways: (1) delineation of the area, wholly or partially, on a statistical basis (for example: a population threshold is applied, as for a Census Tract); (2) a statistical description of the area is developed (for example: age and gender statistics; economic statistics; or natural hazard occurrences within the area). Special constraints may be applied, such as: (a) the value of one or more statistical parameters is the same throughout the area, and different from adjacent areas; (b) the value of some statistical parameter(s) falls within a range that applies throughout the area.</t>
  </si>
  <si>
    <t>StatuePedestal</t>
  </si>
  <si>
    <t>AK141</t>
  </si>
  <si>
    <t>Statue Pedestal</t>
  </si>
  <si>
    <t>An architectural support or base for a statue.</t>
  </si>
  <si>
    <t>SteepGrade</t>
  </si>
  <si>
    <t>AQ120</t>
  </si>
  <si>
    <t>Steep Grade</t>
  </si>
  <si>
    <t>A stretch along a land transportation route where the slope is high enough to slow, hinder, or even stop traffic.</t>
  </si>
  <si>
    <t>The percent (%) slope is the ratio of change in elevation (vertical distance) to horizontal ground distance multiplied by 100.</t>
  </si>
  <si>
    <t>SteepTerrainFace</t>
  </si>
  <si>
    <t>DB010</t>
  </si>
  <si>
    <t>Steep Terrain Face</t>
  </si>
  <si>
    <t>A steep, vertical, or overhanging face of rock and/or soil.</t>
  </si>
  <si>
    <t>For example, an escarpment, a bluff, or a cliff.</t>
  </si>
  <si>
    <t>Steeple</t>
  </si>
  <si>
    <t>AL220</t>
  </si>
  <si>
    <t>A structure, usually topped by a point, that may be erected on the roof of a building.</t>
  </si>
  <si>
    <t>Spire</t>
  </si>
  <si>
    <t>Steppe</t>
  </si>
  <si>
    <t>EB040</t>
  </si>
  <si>
    <t>A vast level grassy usually treeless plain.</t>
  </si>
  <si>
    <t>Generally found in southeastern Europe and Siberia.</t>
  </si>
  <si>
    <t>Stopway</t>
  </si>
  <si>
    <t>GB045</t>
  </si>
  <si>
    <t>A defined rectangular area on the ground at the end of the take-off run available that has been prepared as a suitable area in which an aircraft can be stopped in the case of an abandoned take-off.</t>
  </si>
  <si>
    <t>SWY, Overrun</t>
  </si>
  <si>
    <t>StopwayEndpoint</t>
  </si>
  <si>
    <t>GB044</t>
  </si>
  <si>
    <t>Stopway Endpoint</t>
  </si>
  <si>
    <t>The point located on a stopway centre-line at the end of the pavement surface.</t>
  </si>
  <si>
    <t>StorageContainer</t>
  </si>
  <si>
    <t>XM040</t>
  </si>
  <si>
    <t>Storage Container</t>
  </si>
  <si>
    <t>A mobile storage unit to hold material (for example: missiles).</t>
  </si>
  <si>
    <t>For example, a drum or a can.</t>
  </si>
  <si>
    <t>StorageDepot</t>
  </si>
  <si>
    <t>AM010</t>
  </si>
  <si>
    <t>Storage Depot</t>
  </si>
  <si>
    <t>A tract used for the storage of products and/or supplies.</t>
  </si>
  <si>
    <t>StorageTank</t>
  </si>
  <si>
    <t>AM070</t>
  </si>
  <si>
    <t>Storage Tank</t>
  </si>
  <si>
    <t>A container used for the storage of liquids and/or gases that is not supported by a tower.</t>
  </si>
  <si>
    <t>StormDrain</t>
  </si>
  <si>
    <t>AQ114</t>
  </si>
  <si>
    <t>Storm Drain</t>
  </si>
  <si>
    <t>A collector opening into a pipe or channel to allow the removal of excess runoff water or in some cases sewage.</t>
  </si>
  <si>
    <t>In civil engineering terms, a drop inlet.</t>
  </si>
  <si>
    <t>StreetLamp</t>
  </si>
  <si>
    <t>AQ161</t>
  </si>
  <si>
    <t>Street Lamp</t>
  </si>
  <si>
    <t>A lamp intended to illuminate a road.</t>
  </si>
  <si>
    <t>May also illuminate the ground adjacent to the road. Usually attached to a tall pole.</t>
  </si>
  <si>
    <t>Street Light</t>
  </si>
  <si>
    <t>StreetSign</t>
  </si>
  <si>
    <t>AQ162</t>
  </si>
  <si>
    <t>Street Sign</t>
  </si>
  <si>
    <t>A sign placed along a road for the purpose of regulating the flow of traffic (for example: vehicles and/or pedestrians) and/or providing information.</t>
  </si>
  <si>
    <t>StructuralPile</t>
  </si>
  <si>
    <t>BD100</t>
  </si>
  <si>
    <t>Structural Pile</t>
  </si>
  <si>
    <t>A long pile (for example: a heavy timber or section of steel, wood, or concrete) forced into the earth that may serve as a support (for example: for a pier) or as a free standing pole within a marine environment.</t>
  </si>
  <si>
    <t>SubmarineSpring</t>
  </si>
  <si>
    <t>BD015</t>
  </si>
  <si>
    <t>Submarine Spring</t>
  </si>
  <si>
    <t>A flow of underground water that emerges naturally from the seafloor.</t>
  </si>
  <si>
    <t>A submarine spring occurs when a water table or aquitard intersects with the ground surface offshore. A submarine spring is relatively cool in temperature and has far less salinity than the seawater it is entering, resulting in a brackish water condition.</t>
  </si>
  <si>
    <t>SubmergedVolcano</t>
  </si>
  <si>
    <t>DB181</t>
  </si>
  <si>
    <t>Submerged Volcano</t>
  </si>
  <si>
    <t>An underwater hill or mountain situated over an opening or openings in the Earth's crust through which lava, steam, and/or gases, are or have been expelled.</t>
  </si>
  <si>
    <t>Underwater volcanoes that have grown to the point of emerging above the water surface are usually collected as Feature: Volcano, or as Feature: Volcano within the perimeter of a Feature: Island.</t>
  </si>
  <si>
    <t>SurfaceBunker</t>
  </si>
  <si>
    <t>AM060</t>
  </si>
  <si>
    <t>Surface Bunker</t>
  </si>
  <si>
    <t>A surface structure that may be covered and/or surrounded with earth and is resistant to ordnance.</t>
  </si>
  <si>
    <t>Used, for example, for storage and/or aircraft protection.</t>
  </si>
  <si>
    <t>SurfaceGeometryInfo</t>
  </si>
  <si>
    <t>ZI009</t>
  </si>
  <si>
    <t>Surface Geometry Information</t>
  </si>
  <si>
    <t>A modeling entity collecting geometric representation information about a feature that is modeled as a spatial surface.</t>
  </si>
  <si>
    <t>A spatial surface is a 2-dimensional geometric primitive, locally representing a continuous image of a region of a plane.</t>
  </si>
  <si>
    <t>SurfaceTriangle</t>
  </si>
  <si>
    <t>CA050</t>
  </si>
  <si>
    <t>Surface Triangle</t>
  </si>
  <si>
    <t>A set of three spot elevations defining a terrain region of constant slope and aspect.</t>
  </si>
  <si>
    <t>A set of nonoverlapping surface triangles may be used to represent the terrain surface, for example as a Triangulated Irregular Network (TIN).</t>
  </si>
  <si>
    <t>SurveyPoint</t>
  </si>
  <si>
    <t>ZB050</t>
  </si>
  <si>
    <t>Survey Point</t>
  </si>
  <si>
    <t>A location where horizontal and/or vertical control has been determined by surveying methods.</t>
  </si>
  <si>
    <t>Surveys are used to establish positions (horizontal or vertical) of selected points. The points are then used to reference other survey observations or measurements.</t>
  </si>
  <si>
    <t>Swamp</t>
  </si>
  <si>
    <t>ED020</t>
  </si>
  <si>
    <t>A seasonally flooded, poorly drained wetland with more woody plants than a marsh and better drainage than a bog.</t>
  </si>
  <si>
    <t>It is covered with water all or most of the year, and accumulating dead vegetation does not rapidly decay. It can exist on flat-lying areas created by certain geomorphic environments. The vegetation mainly consists of hydrophytic trees and/or scrubs whose roots are adapted to wet conditions, with an open to very dense canopy closure. A subtype of the more generalized Feature: 'Wetland'.</t>
  </si>
  <si>
    <t>SweptArea</t>
  </si>
  <si>
    <t>FC177</t>
  </si>
  <si>
    <t>Swept Area</t>
  </si>
  <si>
    <t>A region that has been determined to be clear of navigational dangers to a specified depth.</t>
  </si>
  <si>
    <t>SwimmingPool</t>
  </si>
  <si>
    <t>AK170</t>
  </si>
  <si>
    <t>Swimming Pool</t>
  </si>
  <si>
    <t>A man-made pool used for swimming outdoors.</t>
  </si>
  <si>
    <t>TacticalAirNavAidBeacon</t>
  </si>
  <si>
    <t>GA037</t>
  </si>
  <si>
    <t>Tactical Air Navigation Aid (TACAN) Beacon</t>
  </si>
  <si>
    <t>A military Ultra High Frequency (UHF) radio navigation service able to provide continuous bearing and Distance Measuring Equipment (DME) distance to a selected station.</t>
  </si>
  <si>
    <t>A navigation system developed by military and naval forces providing, as far as the navigating pilot is concerned and for suitably equipped aircraft, the same indication as a VOR/DME system. DME Distance is defined as the line of sight distance (slant range) from the source of a DME signal to the receiving antenna.</t>
  </si>
  <si>
    <t>TACAN</t>
  </si>
  <si>
    <t>Taiga</t>
  </si>
  <si>
    <t>ED040</t>
  </si>
  <si>
    <t>A swampy coniferous forest of high northern latitudes, especially that between the tundra and steppes of Siberia.</t>
  </si>
  <si>
    <t>TankCrossing</t>
  </si>
  <si>
    <t>AP056</t>
  </si>
  <si>
    <t>Tank Crossing</t>
  </si>
  <si>
    <t>A crossing or turn pad where tracked military vehicles cross over other transportation elements.</t>
  </si>
  <si>
    <t>Typically a hardened area minimizing the impact of tracked vehicles on the underlying transportation feature (for example: road or railway). May be used as a crossing over other transportation, or a turn pad within a system of tank trails.</t>
  </si>
  <si>
    <t>TankFarm</t>
  </si>
  <si>
    <t>AM071</t>
  </si>
  <si>
    <t>Tank Farm</t>
  </si>
  <si>
    <t>A tract of land occupied by large-capacity tanks in which petroleum, natural gas, or liquid petrochemicals are stored.</t>
  </si>
  <si>
    <t>The tanks are usually round, constructed from metal plates, and separated from each other by berms intended to contain any leakage.</t>
  </si>
  <si>
    <t>TankTrail</t>
  </si>
  <si>
    <t>AP055</t>
  </si>
  <si>
    <t>Tank Trail</t>
  </si>
  <si>
    <t>A designated route where tracked military vehicles have jurisdiction to travel, usually within a military training area.</t>
  </si>
  <si>
    <t>Taxiway</t>
  </si>
  <si>
    <t>GB075</t>
  </si>
  <si>
    <t>A defined path at an aerodrome established for the taxiing of aircraft and intended to provide a ground movement link between one part of the aerodrome and another.</t>
  </si>
  <si>
    <t>TWY</t>
  </si>
  <si>
    <t>TaxiwayElement</t>
  </si>
  <si>
    <t>GB076</t>
  </si>
  <si>
    <t>Taxiway Element</t>
  </si>
  <si>
    <t>A portion of a taxiway.</t>
  </si>
  <si>
    <t>TelecomManagementRegion</t>
  </si>
  <si>
    <t>FA140</t>
  </si>
  <si>
    <t>Telecommunications Management Region</t>
  </si>
  <si>
    <t>A territorial region within which telecommunications (for example: provisioning of services, assignment of telephone numbers) are managed.</t>
  </si>
  <si>
    <t>Traditionally these regions are established in accordance with landline-based principles.</t>
  </si>
  <si>
    <t>Telescope</t>
  </si>
  <si>
    <t>AL141</t>
  </si>
  <si>
    <t>An apparatus used for observing distant objects and/or phenomena.</t>
  </si>
  <si>
    <t>TennisComplex</t>
  </si>
  <si>
    <t>AK051</t>
  </si>
  <si>
    <t>Tennis Complex</t>
  </si>
  <si>
    <t>A site and associated facilities used for the sport of tennis.</t>
  </si>
  <si>
    <t>TennisCourt</t>
  </si>
  <si>
    <t>AK050</t>
  </si>
  <si>
    <t>Tennis Court(s)</t>
  </si>
  <si>
    <t>One or more firm-surfaced courts that are used for tennis.</t>
  </si>
  <si>
    <t>Includes a net across the centre when in use.</t>
  </si>
  <si>
    <t>TerminalArrivalAltitude</t>
  </si>
  <si>
    <t>GA023</t>
  </si>
  <si>
    <t>Terminal Arrival Altitude (TAA)</t>
  </si>
  <si>
    <t>The lowest altitude that will provide a minimum clearance of 300 metres (1000 feet) above all objects located in an arc of a circle defined by a 46 kilometre (25 nautical mile) radius centred on the initial approach fix (IAF), or where there is no IAF then centered on the intermediate approach fix (IF), delimited by straight lines joining the extremity of the arc to the IAF/IF.</t>
  </si>
  <si>
    <t>The combined TAAs associated with an approach procedure shall account for an area of 360 arc degrees around the IF. Terminal Arrival Areas may be provided for RNAV approaches to facilitate descent and entry to the procedure. TAAs are associated with an RNAV procedure based upon the 'T' or 'Y' Arrangement. The Basic 'T' approach segment configuration is the standard configuration for transition from the en route to the terminal environment. The standard arrangement consists of three TAAs: straight-in, right base, and left base.</t>
  </si>
  <si>
    <t>TAA, Terminal Arrival Area</t>
  </si>
  <si>
    <t>TerminalArrivalAltSector</t>
  </si>
  <si>
    <t>GA024</t>
  </si>
  <si>
    <t>Terminal Arrival Altitude (TAA) Sector</t>
  </si>
  <si>
    <t>A subdivision of the Terminal Arrival Altitude (TAA) to allow for one or more minimum altitudes.</t>
  </si>
  <si>
    <t>The lowest altitude will provide a minimum clearance of 300 metres (1000 feet) above all objects located in the sector.</t>
  </si>
  <si>
    <t>Terminal Arrival Area Sector</t>
  </si>
  <si>
    <t>TerminalInstProcedure</t>
  </si>
  <si>
    <t>GA027</t>
  </si>
  <si>
    <t>Terminal Instrument Procedure</t>
  </si>
  <si>
    <t>A series of predetermined maneuvers used to transition an aircraft either from the enroute phase of flight to the aerodrome, or from the aerodrome to the enroute phase of flight.</t>
  </si>
  <si>
    <t>ProcedureMinima</t>
  </si>
  <si>
    <t>GA215</t>
  </si>
  <si>
    <t>Terminal Instrument Procedure Minima</t>
  </si>
  <si>
    <t>Minimum weather condition requirements established for either take-off or landing operations.</t>
  </si>
  <si>
    <t>Procedure minima may include weather conditions such as prevailing visibility, overcast cloud cover or precipitation.</t>
  </si>
  <si>
    <t>TerminalInstProcSegPoint</t>
  </si>
  <si>
    <t>GA029</t>
  </si>
  <si>
    <t>Terminal Instrument Procedure Segment Point</t>
  </si>
  <si>
    <t>A geographic position or radio navigation fix along a procedure segment leg.</t>
  </si>
  <si>
    <t>It is a type of aviation designated point that is primarily used in the terminal phase of flight.</t>
  </si>
  <si>
    <t>TerminalInstProcTransition</t>
  </si>
  <si>
    <t>GA028</t>
  </si>
  <si>
    <t>Terminal Instrument Procedure Transition</t>
  </si>
  <si>
    <t>A published procedure used to connect either the basic terminal instrument procedure to one of several enroute Air Traffic Service (ATS) routes, or to connect one of several enroute ATS routes to the basic terminal instrument procedure.</t>
  </si>
  <si>
    <t>TerrainPit</t>
  </si>
  <si>
    <t>AA013</t>
  </si>
  <si>
    <t>Terrain Pit</t>
  </si>
  <si>
    <t>An excavation where gravel, sand, and/or clay are removed for use elsewhere.</t>
  </si>
  <si>
    <t>For example, a gravel pit or a sandpit.</t>
  </si>
  <si>
    <t>TerrainRelief</t>
  </si>
  <si>
    <t>NA010</t>
  </si>
  <si>
    <t>Terrain Relief</t>
  </si>
  <si>
    <t>An area of the surface of the Earth characterized by a common surface form or set of related surface forms.</t>
  </si>
  <si>
    <t>The physical shape, configuration, or general unevenness of a part of Earth's surface.</t>
  </si>
  <si>
    <t>TerritorySpecialStatus</t>
  </si>
  <si>
    <t>FA007</t>
  </si>
  <si>
    <t>Territory with Special Status</t>
  </si>
  <si>
    <t>A territory, which is not an independent sovereign State nor a regular part of a sovereign State.</t>
  </si>
  <si>
    <t>It is a region which is separated from its homeland because of its geographic position (for example: an island, overseas territory, exclave) or its legal status (for example: trust territory, occupation or long-run lease) or which is not fully integrated in their homeland or which has special relations respectively which have special administration structures in comparison to the rest of the homeland (for example: Hong Kong to China).</t>
  </si>
  <si>
    <t>TestSite</t>
  </si>
  <si>
    <t>FA100</t>
  </si>
  <si>
    <t>Test Site</t>
  </si>
  <si>
    <t>A site for the testing of technical products and equipment.</t>
  </si>
  <si>
    <t>TetheredBalloon</t>
  </si>
  <si>
    <t>AL510</t>
  </si>
  <si>
    <t>Tethered Balloon</t>
  </si>
  <si>
    <t>A balloon that is tethered to the ground at an anchoring device (for example: a ring and pad) or substantial structure (for example: a mooring tower).</t>
  </si>
  <si>
    <t>It is usually deployed for extended periods of time and may be used, for example, for weather sensing and/or observation of the surrounding terrain.</t>
  </si>
  <si>
    <t>Thalweg</t>
  </si>
  <si>
    <t>BH192</t>
  </si>
  <si>
    <t>An imaginary line connecting the points of lowest bed elevation in a watercourse.</t>
  </si>
  <si>
    <t>It usually marks the line of maximum flow in the watercourse.</t>
  </si>
  <si>
    <t>TheodoliteReferenceLine</t>
  </si>
  <si>
    <t>FC101</t>
  </si>
  <si>
    <t>Theodolite Reference Line</t>
  </si>
  <si>
    <t>A line of known direction from a fixed location that is used to determine accurate positions of a vessel on certain test ranges.</t>
  </si>
  <si>
    <t>Thicket</t>
  </si>
  <si>
    <t>EB020</t>
  </si>
  <si>
    <t>A tract covered mainly by low-growing, uncultured, woody plants that are thickly tangled together.</t>
  </si>
  <si>
    <t>For example, covered by brushwood and/or stunted trees. The predominant height may be up to 6-8 metres.</t>
  </si>
  <si>
    <t>Scrub, Bush</t>
  </si>
  <si>
    <t>TidalStreamObserveStation</t>
  </si>
  <si>
    <t>BG030</t>
  </si>
  <si>
    <t>Tidal Stream Observation Station</t>
  </si>
  <si>
    <t>The location in a tidally influenced stream where observations are taken.</t>
  </si>
  <si>
    <t>Tidal stream observation stations are either embedded in the seafloor or attached to a buoy. They measure the speed and direction of tidally influenced water movement.</t>
  </si>
  <si>
    <t>Tide Data Point</t>
  </si>
  <si>
    <t>TidalWater</t>
  </si>
  <si>
    <t>BA040</t>
  </si>
  <si>
    <t>Tidal Water</t>
  </si>
  <si>
    <t>Any water the level of which changes periodically due to tidal action.</t>
  </si>
  <si>
    <t>Tidewater</t>
  </si>
  <si>
    <t>TideGaugeStation</t>
  </si>
  <si>
    <t>BG020</t>
  </si>
  <si>
    <t>Tide Gauge Station</t>
  </si>
  <si>
    <t>A station containing an instrument for measuring the height of the tide.</t>
  </si>
  <si>
    <t>Tideway</t>
  </si>
  <si>
    <t>BG011</t>
  </si>
  <si>
    <t>A natural watercourse in tidal areas where water flows during the ebb or flood.</t>
  </si>
  <si>
    <t>For example, a channel through which a tidal current runs.</t>
  </si>
  <si>
    <t>TimberYard</t>
  </si>
  <si>
    <t>AM031</t>
  </si>
  <si>
    <t>Timber Yard</t>
  </si>
  <si>
    <t>An open tract for the storage of wooden lumber and timbers.</t>
  </si>
  <si>
    <t>TimeZone</t>
  </si>
  <si>
    <t>KC050</t>
  </si>
  <si>
    <t>Time Zone</t>
  </si>
  <si>
    <t>Any of the 24 longitudinal regions of the Earth, each occupying 15 arc degrees and having a mean solar time one hour greater than that of the neighboring region to its west.</t>
  </si>
  <si>
    <t>Tomb</t>
  </si>
  <si>
    <t>AL036</t>
  </si>
  <si>
    <t>A structure within which a corpse is entombed.</t>
  </si>
  <si>
    <t>It is often a building-like structure that may be partly or wholly underground (except for its entrance), but may be a simple enclosure cut into solid rock (for example: into a cliff face or inside of a cave). It may contain a single corpse or a related group (for example: a family) may be entombed together.</t>
  </si>
  <si>
    <t>Topmark</t>
  </si>
  <si>
    <t>BC110</t>
  </si>
  <si>
    <t>A characteristic shape secured at the top of a buoy or beacon to aid in its identification.</t>
  </si>
  <si>
    <t>TouchdownAndLiftOffArea</t>
  </si>
  <si>
    <t>GB033</t>
  </si>
  <si>
    <t>Touchdown and Lift-off Area (TLOF)</t>
  </si>
  <si>
    <t>A load bearing area on which an aircraft/helicopter may touch down or lift-off.</t>
  </si>
  <si>
    <t>TLOF</t>
  </si>
  <si>
    <t>Tower</t>
  </si>
  <si>
    <t>AL241</t>
  </si>
  <si>
    <t>A relatively tall, narrow structure that may either stand alone or may form part of another structure.</t>
  </si>
  <si>
    <t>Usually of a square, circular, or rectangular cross-section.</t>
  </si>
  <si>
    <t>TrackInfo</t>
  </si>
  <si>
    <t>ZI017</t>
  </si>
  <si>
    <t>Track Information</t>
  </si>
  <si>
    <t>A modeling entity collecting information about a railway track.</t>
  </si>
  <si>
    <t>A railway track consists of (usually) two parallel rails, usually of steel, generally mounted upon cross beams (termed 'railroad ties' (US) or 'sleepers' (UK) ) of timber, concrete or steel. The underlying support maintains the rails at a fixed distance (gauge) apart. Usually vehicles running on the rails are arranged in a train (a series of individual powered or unpowered vehicles linked together). In the case of a monorail, only a single rail is employed and the vehicles may be either suspended underneath or straddle an especially wide rail.</t>
  </si>
  <si>
    <t>TrackLine</t>
  </si>
  <si>
    <t>BE040</t>
  </si>
  <si>
    <t>Track Line</t>
  </si>
  <si>
    <t>The actual path or route of a craft over the ground or sea bottom.</t>
  </si>
  <si>
    <t>May be used to delineate the graphic representation of the route rather than the actual route.</t>
  </si>
  <si>
    <t>TrackSwath</t>
  </si>
  <si>
    <t>BE030</t>
  </si>
  <si>
    <t>Track Swath</t>
  </si>
  <si>
    <t>An area of horizontal coverage recorded by SONAR array systems.</t>
  </si>
  <si>
    <t>Tract</t>
  </si>
  <si>
    <t>IA041</t>
  </si>
  <si>
    <t>A region of land with definite boundaries, especially one intended for development.</t>
  </si>
  <si>
    <t>TraditionalSettlement</t>
  </si>
  <si>
    <t>AL135</t>
  </si>
  <si>
    <t>Traditional Settlement</t>
  </si>
  <si>
    <t>A concentration of simple dwellings, which are generally huts, that are usually not of substantial construction.</t>
  </si>
  <si>
    <t>TrafficLight</t>
  </si>
  <si>
    <t>AQ160</t>
  </si>
  <si>
    <t>Traffic Light</t>
  </si>
  <si>
    <t>A set of automatic lights (usually red, amber, and green) for controlling road traffic, especially at a road intersection.</t>
  </si>
  <si>
    <t>Usually attached to tall poles or suspended from overhead cables.</t>
  </si>
  <si>
    <t>TrafficMonitorSite</t>
  </si>
  <si>
    <t>AP080</t>
  </si>
  <si>
    <t>Traffic Monitor Site</t>
  </si>
  <si>
    <t>A location where one or more devices have been temporarily or permanently stationed for the purpose of collecting information regarding vehicular and/or pedestrian traffic.</t>
  </si>
  <si>
    <t>Such information may include analysis of traffic flow, turning movements, speeds, congestion and delays, parking and loading, and pedestrian movement.</t>
  </si>
  <si>
    <t>TrafficSeparationScheme</t>
  </si>
  <si>
    <t>FC041</t>
  </si>
  <si>
    <t>Traffic Separation Scheme</t>
  </si>
  <si>
    <t>A maritime routeing measure that separates opposing streams of traffic by appropriate means.</t>
  </si>
  <si>
    <t>For example, traffic lanes and traffic circles. Often referred to by its acronym, TSS.</t>
  </si>
  <si>
    <t>Trail</t>
  </si>
  <si>
    <t>AP050</t>
  </si>
  <si>
    <t>A path worn by the passage of people or animals.</t>
  </si>
  <si>
    <t>Footpath</t>
  </si>
  <si>
    <t>TrainingSite</t>
  </si>
  <si>
    <t>FA165</t>
  </si>
  <si>
    <t>Training Site</t>
  </si>
  <si>
    <t>A site reserved for training.</t>
  </si>
  <si>
    <t>TrainingWall</t>
  </si>
  <si>
    <t>BB140</t>
  </si>
  <si>
    <t>Training Wall</t>
  </si>
  <si>
    <t>A wall, bank or jetty often submerged, built to direct or confine the flow of a river or tidal current or to promote scour actions.</t>
  </si>
  <si>
    <t>Jetty</t>
  </si>
  <si>
    <t>TranspondLandingSysStation</t>
  </si>
  <si>
    <t>GB026</t>
  </si>
  <si>
    <t>Transponder Landing System Station</t>
  </si>
  <si>
    <t>The elevation and transponder emission sensor of a transponder landing system.</t>
  </si>
  <si>
    <t>A transponder landing system is a precision landing system that uses the transponder emissions of an airborne aircraft coupled with ground elevation sensors to determine the position of the aircraft, and then sending the aircraft guidance signals via existing onboard Instrument Landing System (ILS) equipment. The transponder landing system is often used to create a precision approach at a location where an ILS would normally not be available due to cost or terrain issues.</t>
  </si>
  <si>
    <t>TransportLink</t>
  </si>
  <si>
    <t>KF000</t>
  </si>
  <si>
    <t>Transport Link</t>
  </si>
  <si>
    <t>A route that links two locations and is served by regularly scheduled transport.</t>
  </si>
  <si>
    <t>For example, air routes between aerodromes or sea routes between ports. The route is used for the transport of people and/or goods.</t>
  </si>
  <si>
    <t>TransportationBlock</t>
  </si>
  <si>
    <t>AQ068</t>
  </si>
  <si>
    <t>Transportation Block</t>
  </si>
  <si>
    <t>A substantial semi-permanent assemblage of material, usually in the form of concrete blocks and/or cylinders, positioned alongside or above a land transportation route, ready to be activated as a potential barrier.</t>
  </si>
  <si>
    <t>For example, a rolling block is positioned alongside the route and a drop gate is positioned above the route.</t>
  </si>
  <si>
    <t>TransRouteCharacterChange</t>
  </si>
  <si>
    <t>AQ059</t>
  </si>
  <si>
    <t>Transportation Route Characteristic Change</t>
  </si>
  <si>
    <t>A section of a transportation route where its size (for example: narrowing or expansion in width) and/or operating speed is significantly different than in the adjacent sections of the route.</t>
  </si>
  <si>
    <t>For example, an increase or decrease in the number of lanes in a road. Constrictions along or beside a transportation route may impede the flow of vehicles or people thus resulting in 'choke points'.</t>
  </si>
  <si>
    <t>TransRouteProtectStruct</t>
  </si>
  <si>
    <t>AL211</t>
  </si>
  <si>
    <t>Transportation Route Protection Structure</t>
  </si>
  <si>
    <t>A structure built over and/or along a transportation route designed to prevent damage to, or blockage of, the route from rock slides, snow slides and/or weather phenomena.</t>
  </si>
  <si>
    <t>For example, a snow shed, a rock shed or a gallery. These structures are usually located in rugged mountainous regions.</t>
  </si>
  <si>
    <t>TransportationStation</t>
  </si>
  <si>
    <t>AQ125</t>
  </si>
  <si>
    <t>Transportation Station</t>
  </si>
  <si>
    <t>A station, usually having associated structures, which serves as a place for disembarking or taking on passengers or freight along a transportation route.</t>
  </si>
  <si>
    <t>Transportation routes may include railway, pipeline, road, water or air. Transportation stations may have associated structures for vehicle parking or ticket sales.</t>
  </si>
  <si>
    <t>TransportationStop</t>
  </si>
  <si>
    <t>AQ126</t>
  </si>
  <si>
    <t>Transportation Stop</t>
  </si>
  <si>
    <t>An intermediate stop, usually having minimal or no associated structures, along a transportation route, which serves as a place for disembarking or taking on passengers or freight.</t>
  </si>
  <si>
    <t>Transportation routes may include railway, pipeline, road, water or air. Associated structures could include a sign or small shelter. Some stops have no specific infrastructure and are known only by their location.</t>
  </si>
  <si>
    <t>TransshipmentStation</t>
  </si>
  <si>
    <t>AM510</t>
  </si>
  <si>
    <t>Transshipment Station</t>
  </si>
  <si>
    <t>A complex of buildings, associated facilities, roads, and adapted areas used for transshipment of freight between the same or different kinds of transport.</t>
  </si>
  <si>
    <t>Tree</t>
  </si>
  <si>
    <t>EC005</t>
  </si>
  <si>
    <t>An individual woody perennial plant, typically having a single stem or trunk growing to a considerable height and bearing lateral branches at some distance from the ground.</t>
  </si>
  <si>
    <t>May be distinguished by its relative isolation from other features, thus serving as a landmark.</t>
  </si>
  <si>
    <t>TreeLimit</t>
  </si>
  <si>
    <t>NA030</t>
  </si>
  <si>
    <t>Tree Limit</t>
  </si>
  <si>
    <t>The point in altitude and/or latitude beyond which trees can no longer grow.</t>
  </si>
  <si>
    <t>The limiting factors are a combination of altitude, climate and/or soils.</t>
  </si>
  <si>
    <t>TreeRow</t>
  </si>
  <si>
    <t>EC007</t>
  </si>
  <si>
    <t>Tree Row</t>
  </si>
  <si>
    <t>A line or row of trees.</t>
  </si>
  <si>
    <t>Could be used for protection from natural influences or for ornamental purposes. Often found lining one or both sides of a road (for example: an avenue) or a water body.</t>
  </si>
  <si>
    <t>Tundra</t>
  </si>
  <si>
    <t>BJ110</t>
  </si>
  <si>
    <t>A vast, nearly level, treeless arctic region usually with a marshy surface and underlying permafrost.</t>
  </si>
  <si>
    <t>Tunnel</t>
  </si>
  <si>
    <t>AQ130</t>
  </si>
  <si>
    <t>An underground passage that is open at both ends and usually contains a land transportation route (for example: a road and/or a railway).</t>
  </si>
  <si>
    <t>Commonly used to pass through a hill or mountain, or under a river or road. May also provide underground passage in a mine.</t>
  </si>
  <si>
    <t>TunnelMouth</t>
  </si>
  <si>
    <t>AQ095</t>
  </si>
  <si>
    <t>Tunnel Mouth</t>
  </si>
  <si>
    <t>The opening of a tunnel into a larger space (for example: onto the terrain surface).</t>
  </si>
  <si>
    <t>A tunnel is usually open to the terrain surface at both ends, but may sometimes lead to an enclosed space, for example: leading to an underground bunker, into an underground mine (termed an 'adit') or into an underground railway station.</t>
  </si>
  <si>
    <t>TunnyNetsArea</t>
  </si>
  <si>
    <t>BB111</t>
  </si>
  <si>
    <t>Tunny Nets Area</t>
  </si>
  <si>
    <t>An area where nets used for catching tunny (tuna) have been deployed.</t>
  </si>
  <si>
    <t>Tuna Nets Area</t>
  </si>
  <si>
    <t>UndergroundBunker</t>
  </si>
  <si>
    <t>AH060</t>
  </si>
  <si>
    <t>Underground Bunker</t>
  </si>
  <si>
    <t>A reinforced underground shelter.</t>
  </si>
  <si>
    <t>May be located within a mountain or buried below the terrain. Often used as an underground facility for military command, control, and/or troop billeting.</t>
  </si>
  <si>
    <t>UndergroundDwelling</t>
  </si>
  <si>
    <t>AL250</t>
  </si>
  <si>
    <t>Underground Dwelling</t>
  </si>
  <si>
    <t>Underground living quarters.</t>
  </si>
  <si>
    <t>UndergroundRailway</t>
  </si>
  <si>
    <t>SU002</t>
  </si>
  <si>
    <t>Underground Railway</t>
  </si>
  <si>
    <t>A railway running underground, especially beneath the streets and buildings of a city.</t>
  </si>
  <si>
    <t>Usually includes those portions of an underground railway system that may not be underground.</t>
  </si>
  <si>
    <t>Metro, Subway</t>
  </si>
  <si>
    <t>UndergroundStorageForm</t>
  </si>
  <si>
    <t>AM076</t>
  </si>
  <si>
    <t>Underground Storage Formation</t>
  </si>
  <si>
    <t>An underground geological formation that is used to store materials, especially liquids and/or gases.</t>
  </si>
  <si>
    <t>The formation may be either natural (for example: a depleted oil reservoir), man-made for other purposes (for example: an abandoned mine), or intentionally engineered for the purpose of storage (for example: a hard rock cavern). Packaged (for example: in drums or on pallets) or bulk (for example: coal or grain) materials may also be stored.</t>
  </si>
  <si>
    <t>UnderminedLand</t>
  </si>
  <si>
    <t>DB220</t>
  </si>
  <si>
    <t>Undermined Land</t>
  </si>
  <si>
    <t>A region undermined through mining activities that has already partly subsided or that is in the process of subsiding.</t>
  </si>
  <si>
    <t>UnmonumentedPoint</t>
  </si>
  <si>
    <t>ZB031</t>
  </si>
  <si>
    <t>Unmonumented Point</t>
  </si>
  <si>
    <t>A formally recognized survey or reference location that is not represented by a physical boundary monument and/or benchmark.</t>
  </si>
  <si>
    <t>UnsurveyedArea</t>
  </si>
  <si>
    <t>FC045</t>
  </si>
  <si>
    <t>Unsurveyed Area</t>
  </si>
  <si>
    <t>A region for which no bathymetric survey information is available.</t>
  </si>
  <si>
    <t>UnvegetatedLand</t>
  </si>
  <si>
    <t>EE020</t>
  </si>
  <si>
    <t>Unvegetated Land</t>
  </si>
  <si>
    <t>A tract covered by little (less than 5 percent) or no vegetation.</t>
  </si>
  <si>
    <t>Distinguished from Feature: 'Barren Ground' which is typically used to directly characterize the underlying soil (and the resulting impact on vegetation cover).</t>
  </si>
  <si>
    <t>UtilityCover</t>
  </si>
  <si>
    <t>AQ115</t>
  </si>
  <si>
    <t>Utility Cover</t>
  </si>
  <si>
    <t>A removable cover or plate which provides access to underground utility tunnels, distribution lines, or drainage systems.</t>
  </si>
  <si>
    <t>For example, a manhole cover.</t>
  </si>
  <si>
    <t>ValleyLine</t>
  </si>
  <si>
    <t>CA025</t>
  </si>
  <si>
    <t>Valley Line</t>
  </si>
  <si>
    <t>A line delineating the lowest part of a valley.</t>
  </si>
  <si>
    <t>VanishingPoint</t>
  </si>
  <si>
    <t>BH145</t>
  </si>
  <si>
    <t>Vanishing Point</t>
  </si>
  <si>
    <t>The location at which a watercourse disappears into the terrain.</t>
  </si>
  <si>
    <t>River Vanishing Point, Stream Vanishing Point</t>
  </si>
  <si>
    <t>VegetationZone</t>
  </si>
  <si>
    <t>NA020</t>
  </si>
  <si>
    <t>Vegetation Zone</t>
  </si>
  <si>
    <t>A global zone based on a predominant plant community.</t>
  </si>
  <si>
    <t>Vegetation zones extend across areas of similar latitude and often reflect climatic zones.</t>
  </si>
  <si>
    <t>VehicleBarrier</t>
  </si>
  <si>
    <t>AP041</t>
  </si>
  <si>
    <t>Vehicle Barrier</t>
  </si>
  <si>
    <t>An obstruction associated with a transportation route (for example: a road, a railway, a tunnel, or a bridge) to constrain, restrict, and/or prevent passage of vehicles.</t>
  </si>
  <si>
    <t>A permanent obstruction is fixed in place at a given location to continuously constrain traffic, and it is constructed such that it cannot be removed without major roadway excavation. A semi-permanent obstruction is placed at a given location so that traffic can be continuously constrained, but it is constructed such that it can be removed without major roadway excavation. A temporary, or non-permanent obstruction is placed at a given location to constrain traffic for a limited time only, and it is constructed such that it can be removed without major roadway excavation.</t>
  </si>
  <si>
    <t>VehicleLot</t>
  </si>
  <si>
    <t>AQ140</t>
  </si>
  <si>
    <t>Vehicle Lot</t>
  </si>
  <si>
    <t>A tract used for storing and/or parking vehicles (for example: recreational vehicles) and/or vessels.</t>
  </si>
  <si>
    <t>Vehicle Storage Area, Parking Area, Car Park, Boat Park</t>
  </si>
  <si>
    <t>VertCoordMetadata</t>
  </si>
  <si>
    <t>ZI011</t>
  </si>
  <si>
    <t>Vertical Coordinate Metadata</t>
  </si>
  <si>
    <t>A modeling entity collecting information about the basis for, and quality of, the vertical coordinates and/or vertical dimensional measures of the digital representation of a feature and/or attribute.</t>
  </si>
  <si>
    <t>For example, the spatial reference frame for a vertical position or the accuracy of that position value.</t>
  </si>
  <si>
    <t>VesselLift</t>
  </si>
  <si>
    <t>BI005</t>
  </si>
  <si>
    <t>Vessel Lift</t>
  </si>
  <si>
    <t>A mechanical device for lifting vessels from the water.</t>
  </si>
  <si>
    <t>The device may be, for example, a stationary crane or a wheeled vehicle. After removal from the water the vessel may be maintained (for example: cleaning the hull of encrustations) or stored (for example: moved to a building, shed, or lot for winter storage).</t>
  </si>
  <si>
    <t>VesselTurningBasin</t>
  </si>
  <si>
    <t>BI080</t>
  </si>
  <si>
    <t>Vessel Turning Basin</t>
  </si>
  <si>
    <t>An enlargement of a channel to permit the turning of vessels.</t>
  </si>
  <si>
    <t>Manoeuvering Basin</t>
  </si>
  <si>
    <t>VhfOmniRadioBeacon</t>
  </si>
  <si>
    <t>GA036</t>
  </si>
  <si>
    <t>VHF Omnidirectional Radio (VOR) Beacon</t>
  </si>
  <si>
    <t>A Very High Frequency (VHF) radio navigation service which uses phase comparisons of a ground transmitted signal to determine bearing.</t>
  </si>
  <si>
    <t>This term is derived from the expression 'very high frequency omnidirectional radio range'.</t>
  </si>
  <si>
    <t>VOR</t>
  </si>
  <si>
    <t>Vineyard</t>
  </si>
  <si>
    <t>EA050</t>
  </si>
  <si>
    <t>A tract covered by the systematic planting of grape vines.</t>
  </si>
  <si>
    <t>VisualAppSlopeIndSystem</t>
  </si>
  <si>
    <t>GB480</t>
  </si>
  <si>
    <t>Visual Approach Slope Indicator System (VASIS)</t>
  </si>
  <si>
    <t>An airport lighting facility providing vertical approach slope guidance to aircraft during approach to landing.</t>
  </si>
  <si>
    <t>A directional pattern of high intensity red and white focused light beams which indicate to the pilot that they are either: 'on path' if they see red/white; 'above path' if white/white; and 'below path' if red/red.</t>
  </si>
  <si>
    <t>VASIS</t>
  </si>
  <si>
    <t>VoidCollectionArea</t>
  </si>
  <si>
    <t>ZD020</t>
  </si>
  <si>
    <t>Void Collection Area</t>
  </si>
  <si>
    <t>A data collection region lacking suitable source coverage and/or where data is not required.</t>
  </si>
  <si>
    <t>VolcanicAppearance</t>
  </si>
  <si>
    <t>DB561</t>
  </si>
  <si>
    <t>Volcanic Appearance</t>
  </si>
  <si>
    <t>An area of the Earth's surface that is affected by volcanic structures and/or activity.</t>
  </si>
  <si>
    <t>Disturbances of the Earth surface due to volcanic activity include, for example, the discharge of heated gases, ash, rocks, or lava and the creation of different volcanic structures such as lava-flows, cinder cones, or lava domes.</t>
  </si>
  <si>
    <t>VolcanicDyke</t>
  </si>
  <si>
    <t>DB190</t>
  </si>
  <si>
    <t>Volcanic Dyke</t>
  </si>
  <si>
    <t>A sheet of rock filling a fissure that sometimes shows as a terrain ridge.</t>
  </si>
  <si>
    <t>Especially a mass of igneous rock that has intruded upwards through strata.</t>
  </si>
  <si>
    <t>Volcanic Dike</t>
  </si>
  <si>
    <t>Volcano</t>
  </si>
  <si>
    <t>DB180</t>
  </si>
  <si>
    <t>A hill or mountain situated over an opening or openings in the Earth's crust through which lava, cinders, steam, and/or gases, are or have been expelled.</t>
  </si>
  <si>
    <t>Wall</t>
  </si>
  <si>
    <t>AL260</t>
  </si>
  <si>
    <t>A solid man-made barrier of generally heavy material used as an enclosure, boundary, or for protection.</t>
  </si>
  <si>
    <t>WasteHeap</t>
  </si>
  <si>
    <t>AB507</t>
  </si>
  <si>
    <t>Waste Heap</t>
  </si>
  <si>
    <t>An area where heaped material (for example: waste or spoil) is deposited.</t>
  </si>
  <si>
    <t>Waste heaps may be located at disposal sites or in unsanctioned and unprepared locations where illegal dumping takes place. Illegal dumping sites are usually composed of materials produced in the immediately surrounding area; for example, in a residential neighborhood their content would principally be household trash. Illegal dumping sites have no associated structures or facilities.</t>
  </si>
  <si>
    <t>WasteProcessingFacility</t>
  </si>
  <si>
    <t>AB030</t>
  </si>
  <si>
    <t>Waste Processing Facility</t>
  </si>
  <si>
    <t>A facility where waste is processed through chemical, physical, biological, and/or thermal procedures.</t>
  </si>
  <si>
    <t>WaterAerodrome</t>
  </si>
  <si>
    <t>GB065</t>
  </si>
  <si>
    <t>Water Aerodrome</t>
  </si>
  <si>
    <t>An aerodrome intended to be used either wholly or in part for the arrival, departure and surface movement of aircraft on water.</t>
  </si>
  <si>
    <t>Sea Plane Base</t>
  </si>
  <si>
    <t>WaterCurrentRegion</t>
  </si>
  <si>
    <t>BG013</t>
  </si>
  <si>
    <t>Water Current Region</t>
  </si>
  <si>
    <t>A waterbody region in which a water current persists.</t>
  </si>
  <si>
    <t>For example, a tidal stream or an ocean current.</t>
  </si>
  <si>
    <t>WaterGate</t>
  </si>
  <si>
    <t>BI041</t>
  </si>
  <si>
    <t>Water Gate</t>
  </si>
  <si>
    <t>A barrier that may be swung, drawn, or lowered to block an entrance or passageway on a watercourse.</t>
  </si>
  <si>
    <t>WaterIntakeTower</t>
  </si>
  <si>
    <t>BI050</t>
  </si>
  <si>
    <t>Water Intake Tower</t>
  </si>
  <si>
    <t>A tower-like structure associated with a dam or water source and used for the intake of water.</t>
  </si>
  <si>
    <t>WaterLine</t>
  </si>
  <si>
    <t>BA000</t>
  </si>
  <si>
    <t>Water Line</t>
  </si>
  <si>
    <t>The line where a land mass is in contact with a body of water and is defined in terms of a specific tidal state, sounding datum and/or water condition.</t>
  </si>
  <si>
    <t>For example, a high water or low water line.</t>
  </si>
  <si>
    <t>WaterMeasurementLocation</t>
  </si>
  <si>
    <t>ZD070</t>
  </si>
  <si>
    <t>Water Measurement Location</t>
  </si>
  <si>
    <t>A location at which water-related measurements are taken.</t>
  </si>
  <si>
    <t>Water measurements include, for example: water chemistry and/or quality; water depth, volume or velocity; and water presence variability or seasonality.</t>
  </si>
  <si>
    <t>WaterMill</t>
  </si>
  <si>
    <t>AJ055</t>
  </si>
  <si>
    <t>Water Mill</t>
  </si>
  <si>
    <t>A structure that uses a water wheel or turbine to drive a mechanical process (for example: grinding grain into flour, cutting timber into lumber, or stripping bark from trees for use in tanning).</t>
  </si>
  <si>
    <t>A water mill that only generates electricity is more usually termed a 'hydroelectric plant'.</t>
  </si>
  <si>
    <t>WaterMovementDataLocation</t>
  </si>
  <si>
    <t>BG010</t>
  </si>
  <si>
    <t>Water Movement Data Location</t>
  </si>
  <si>
    <t>A location at which currents, tides, and/or other types of water movement are specified.</t>
  </si>
  <si>
    <t>Current Flow</t>
  </si>
  <si>
    <t>WaterRace</t>
  </si>
  <si>
    <t>BH065</t>
  </si>
  <si>
    <t>Water Race</t>
  </si>
  <si>
    <t>An artificial channel for a current of water, especially one built to provide water for industrial or agricultural purposes or for transporting water-borne materials.</t>
  </si>
  <si>
    <t>For example, a sluice, a flume, or a tailrace.</t>
  </si>
  <si>
    <t>WaterResourceInfo</t>
  </si>
  <si>
    <t>ZI024</t>
  </si>
  <si>
    <t>Water Resource Information</t>
  </si>
  <si>
    <t>A modeling entity collecting information (for example: its permanence, mineral content and potability) about a water resource.</t>
  </si>
  <si>
    <t>WaterTower</t>
  </si>
  <si>
    <t>AM080</t>
  </si>
  <si>
    <t>Water Tower</t>
  </si>
  <si>
    <t>A tower supporting an elevated storage tank of water.</t>
  </si>
  <si>
    <t>WaterTreatmentBed</t>
  </si>
  <si>
    <t>BH040</t>
  </si>
  <si>
    <t>Water Treatment Bed</t>
  </si>
  <si>
    <t>A tract for the treatment of water that consists of a bed of material where water is aerated or filtered.</t>
  </si>
  <si>
    <t>WaterTurbulence</t>
  </si>
  <si>
    <t>BG012</t>
  </si>
  <si>
    <t>Water Turbulence</t>
  </si>
  <si>
    <t>A disturbance of water caused by the interaction of any combination of waves, currents, eddies, tidal streams, wind, shoals, and obstructions.</t>
  </si>
  <si>
    <t>WaterWell</t>
  </si>
  <si>
    <t>BH230</t>
  </si>
  <si>
    <t>Water Well</t>
  </si>
  <si>
    <t>A shaft sunk into the ground to reach and tap a supply of water intended for uses other than power generation, heating or the extraction of minerals.</t>
  </si>
  <si>
    <t>May be, for example, drilled to tap deep underground reservoirs or dug to reach a shallow water table. Dug wells are typically circular, lined with masonry, have a stone border and a structure built above then for lowering and raising a bucket.</t>
  </si>
  <si>
    <t>WaterWheel</t>
  </si>
  <si>
    <t>AJ501</t>
  </si>
  <si>
    <t>Water Wheel</t>
  </si>
  <si>
    <t>A wheel, one portion of which is immersed in water, that consists of vanes or cells and rotates on a supporting framework.</t>
  </si>
  <si>
    <t>It is used either to convert the energy of flowing water to the rotation of its shaft in order to power equipment (for example: a grindstone) or to use energy from an outside power source in order to transport water from a lower level to a higher level (for example: from an irrigation canal to an irrigation ditch).</t>
  </si>
  <si>
    <t>WaterbodyArea</t>
  </si>
  <si>
    <t>FC046</t>
  </si>
  <si>
    <t>Waterbody Area</t>
  </si>
  <si>
    <t>A geographically defined part of a waterbody (for example: the sea or other navigable waters).</t>
  </si>
  <si>
    <t>It may have a proper name (for example: Philippine Sea, Bismark Sea, or Coral Sea).</t>
  </si>
  <si>
    <t>WaterbodyBar</t>
  </si>
  <si>
    <t>BA070</t>
  </si>
  <si>
    <t>Waterbody Bar</t>
  </si>
  <si>
    <t>A shallow ridge or mound of unconsolidated mineral material that is located in a stream channel, at the mouth of a stream, in an estuary, at a lagoon, in the wave-break zone along a coast or at the sea bottom.</t>
  </si>
  <si>
    <t>WaterbodyDivider</t>
  </si>
  <si>
    <t>FC035</t>
  </si>
  <si>
    <t>Waterbody Divider</t>
  </si>
  <si>
    <t>An artificial structure subdividing a waterbody.</t>
  </si>
  <si>
    <t>May consist of an artificial earthen embankment subdividing a pond or rice paddy, or an artificial partition (constructed, for example, from concrete or steel) subdividing a fish hatchery tank or water treatment plant aeration tank.</t>
  </si>
  <si>
    <t>WaterbodyMorphologyArea</t>
  </si>
  <si>
    <t>FC047</t>
  </si>
  <si>
    <t>Waterbody Morphology Area</t>
  </si>
  <si>
    <t>A region of a waterbody, either surface or subsurface, that is homogeneous with respect to form.</t>
  </si>
  <si>
    <t>For example: a bay, a cove, or a guyot.</t>
  </si>
  <si>
    <t>Waterfall</t>
  </si>
  <si>
    <t>BH180</t>
  </si>
  <si>
    <t>A vertically descending part of a watercourse where it falls from a height (for example: over a rock or a precipice).</t>
  </si>
  <si>
    <t>In place names, commonly shortened to 'fall' or 'falls', for example, 'Niagara Falls'.</t>
  </si>
  <si>
    <t>Cascade, Falls</t>
  </si>
  <si>
    <t>WaterHole</t>
  </si>
  <si>
    <t>BH171</t>
  </si>
  <si>
    <t>Water-hole</t>
  </si>
  <si>
    <t>A small natural terrain depression in which water collects, especially a pool where animals come to drink.</t>
  </si>
  <si>
    <t>Waterwork</t>
  </si>
  <si>
    <t>BH220</t>
  </si>
  <si>
    <t>An establishment for storing, purifying, and supplying an area or town with water.</t>
  </si>
  <si>
    <t>WayPoint</t>
  </si>
  <si>
    <t>GA055</t>
  </si>
  <si>
    <t>Way-point</t>
  </si>
  <si>
    <t>A specified geographical location used to define an area navigation route or the flight path of an aircraft employing area navigation.</t>
  </si>
  <si>
    <t>WPT</t>
  </si>
  <si>
    <t>WeaponLaunchSite</t>
  </si>
  <si>
    <t>XM001</t>
  </si>
  <si>
    <t>Weapon Launch Site</t>
  </si>
  <si>
    <t>A site that is intended to launch or fire weapons (for example, missiles or artillery).</t>
  </si>
  <si>
    <t>WeighStation</t>
  </si>
  <si>
    <t>AQ180</t>
  </si>
  <si>
    <t>Weigh Station</t>
  </si>
  <si>
    <t>A site, including building(s) and associated equipment, that is used to inspect and weigh vehicles.</t>
  </si>
  <si>
    <t>Located adjacent to a road and used to enforce a variety of vehicle safety regulations. Vehicles may be weighed by moving them (for example: by driving) onto a platform.</t>
  </si>
  <si>
    <t>Motor Carrier Service Centre, Commercial Vehicle Enforcement Facility</t>
  </si>
  <si>
    <t>WeightBearingRestriction</t>
  </si>
  <si>
    <t>AQ057</t>
  </si>
  <si>
    <t>Weight Bearing Restriction</t>
  </si>
  <si>
    <t>A location on a land transportation route which restricts vehicles of a specific weight to pass.</t>
  </si>
  <si>
    <t>These restrictions may be caused because of surface damage, construction limits or surrounding obstacles (for example: tunnels or culverts below the road).</t>
  </si>
  <si>
    <t>Well</t>
  </si>
  <si>
    <t>AA050</t>
  </si>
  <si>
    <t>An excavation drilled or dug into the ground (for example: the sea bed) for the extraction of liquids and/or gases.</t>
  </si>
  <si>
    <t>WellHead</t>
  </si>
  <si>
    <t>AA051</t>
  </si>
  <si>
    <t>Well-head</t>
  </si>
  <si>
    <t>Equipment used to maintain control of a well.</t>
  </si>
  <si>
    <t>For example, casing heads, lowermost and intermediate tubing heads, Christmas tree equipment with valves and fittings, and casing and tubing hangers. Included are oil, gas, water, and/or brine wells.</t>
  </si>
  <si>
    <t>Wetland</t>
  </si>
  <si>
    <t>BH095</t>
  </si>
  <si>
    <t>A marsh, swamp, or other stretch of land that is usually saturated with water.</t>
  </si>
  <si>
    <t>WildlandFirePerimeter</t>
  </si>
  <si>
    <t>EC100</t>
  </si>
  <si>
    <t>Wildland Fire Perimeter</t>
  </si>
  <si>
    <t>A geographic area delineated by the outer edge or boundary of a wildland fire at a moment in time.</t>
  </si>
  <si>
    <t>As a wildland fire progresses its perimeter will change shape and extent, not necessarily moving outward from some central location nor necessarily increasing in total acreage within the fire perimeter. While the fire front is assumed to be the leading edge of the fire perimeter, unburned interior areas may remain; such areas may burn (or not) at a later stage of the wildland fire.</t>
  </si>
  <si>
    <t>WindDirectionIndicator</t>
  </si>
  <si>
    <t>GB080</t>
  </si>
  <si>
    <t>Wind Direction Indicator</t>
  </si>
  <si>
    <t>A wind-actuated device indicating visually to aircraft the direction of the surface wind.</t>
  </si>
  <si>
    <t>WDI</t>
  </si>
  <si>
    <t>WindFarm</t>
  </si>
  <si>
    <t>AD060</t>
  </si>
  <si>
    <t>Wind Farm</t>
  </si>
  <si>
    <t>A collection of windmotors that are collocated and are organized as a single power generation unit.</t>
  </si>
  <si>
    <t>WindTurbine</t>
  </si>
  <si>
    <t>AJ051</t>
  </si>
  <si>
    <t>Wind Turbine</t>
  </si>
  <si>
    <t>A tower and associated equipment that generates electrical power from wind.</t>
  </si>
  <si>
    <t>Windmotor</t>
  </si>
  <si>
    <t>Windmill</t>
  </si>
  <si>
    <t>AJ050</t>
  </si>
  <si>
    <t>A system of vanes attached to a tower and driven by wind (excluding wind turbines).</t>
  </si>
  <si>
    <t>WirelessTelecomInfo</t>
  </si>
  <si>
    <t>ZI018</t>
  </si>
  <si>
    <t>Wireless Telecommunication Information</t>
  </si>
  <si>
    <t>A modeling entity collecting information about a wireless telecommunication service (for example: radio broadcast or digital mobile phone service).</t>
  </si>
  <si>
    <t>Wood</t>
  </si>
  <si>
    <t>EC030</t>
  </si>
  <si>
    <t>A tract of trees whose canopy is not closed (allows sunlight to reach the ground) and often includes undergrowth.</t>
  </si>
  <si>
    <t>Woods</t>
  </si>
  <si>
    <t>WoodenCauseway</t>
  </si>
  <si>
    <t>AQ030</t>
  </si>
  <si>
    <t>Wooden Causeway</t>
  </si>
  <si>
    <t>A raised way, path, or road across a low or wet place or stretch of water that is constructed from wooden planks.</t>
  </si>
  <si>
    <t>Boardwalk</t>
  </si>
  <si>
    <t>Wreck</t>
  </si>
  <si>
    <t>BD180</t>
  </si>
  <si>
    <t>The ruined remains of a stranded or sunken vessel that has been rendered useless.</t>
  </si>
  <si>
    <t>Zoo</t>
  </si>
  <si>
    <t>AK180</t>
  </si>
  <si>
    <t>A site where wild animals are kept for exhibition to the public, that may also support breeding and/or study.</t>
  </si>
  <si>
    <t>Safari Park</t>
  </si>
  <si>
    <t>aboveWaterBankSlope</t>
  </si>
  <si>
    <t>AWB</t>
  </si>
  <si>
    <t>Above Water Bank Slope</t>
  </si>
  <si>
    <t>The amount of upward inclination between the horizontal surface of the mean water level of a watercourse where it touches the bank and the top of the first usable break in slope, measured at the same point on the upper bank as the military gap width.</t>
  </si>
  <si>
    <t>The (percent) slope is determined as the change in depth divided by the horizontal distance over which the change takes place, multiplied by one hundred: ((h2-h1)/d)*100.</t>
  </si>
  <si>
    <t>1</t>
  </si>
  <si>
    <t>RealInterval</t>
  </si>
  <si>
    <t>absEllipHgtAccRwyHiWgs84</t>
  </si>
  <si>
    <t>AE1</t>
  </si>
  <si>
    <t>Absolute Ellipsoid Height Accuracy - Runway High End (WGS84)</t>
  </si>
  <si>
    <t>The accuracy of the ellipsoid height relative to WGS 84 at the high end of the runway.</t>
  </si>
  <si>
    <t>Real</t>
  </si>
  <si>
    <t>absEllipHgtAccRwyLoWgs84</t>
  </si>
  <si>
    <t>AE2</t>
  </si>
  <si>
    <t>Absolute Ellipsoid Height Accuracy - Runway Low End (WGS84)</t>
  </si>
  <si>
    <t>The accuracy of the ellipsoid height relative to WGS 84 at the low end of the runway.</t>
  </si>
  <si>
    <t>absEllipHgtAccWgs84</t>
  </si>
  <si>
    <t>AEH</t>
  </si>
  <si>
    <t>Absolute Ellipsoid Height Accuracy (WGS84)</t>
  </si>
  <si>
    <t>The accuracy of the ellipsoid height relative to WGS 84.</t>
  </si>
  <si>
    <t>absoluteHorizAccuracy90</t>
  </si>
  <si>
    <t>(Geospatial Intelligence Feature Database (GIFD): 'ACE') (MGCP Feature Catalogue: 'ACE')</t>
  </si>
  <si>
    <t>AHA</t>
  </si>
  <si>
    <t>Absolute Horizontal Accuracy (90%)</t>
  </si>
  <si>
    <t>The difference between the recorded horizontal coordinates of a feature and its true position referenced to the same geodetic datum expressed as a circular error at 90 percent probability.</t>
  </si>
  <si>
    <t>It may also be applied to a data set. If the data contains multiple accuracies, usually the worst accuracy which applies to 10% or more of the data is recorded.</t>
  </si>
  <si>
    <t>absoluteHorizAccuracy95</t>
  </si>
  <si>
    <t>AH5</t>
  </si>
  <si>
    <t>Absolute Horizontal Accuracy (95%)</t>
  </si>
  <si>
    <t>The difference between the recorded horizontal coordinates of a feature and its true position referenced to the same geodetic datum expressed as a circular error at 95 percent probability.</t>
  </si>
  <si>
    <t>It may also be applied to a data set. If the data contains multiple accuracies, usually the worst accuracy which applies to 10% or more of the data is recorded. Circular error probability (CEP) is the radius of a circle within which a stated percentage of measurements for a given point will fall. For example, if the horizontal accuracy of a surveyed point is stated as one metre with 95 percent CEP, then 95 percent of measurements of the position of this point will fall within a circle of one metre radius. The true position is then estimated to lie at the centre of this circle.</t>
  </si>
  <si>
    <t>Geographical Accuracy</t>
  </si>
  <si>
    <t>absoluteHorizAccEvalMeth</t>
  </si>
  <si>
    <t>(Geospatial Intelligence Feature Database (GIFD): 'ACE_EVAL_METHOD_CD') (MGCP Feature Catalogue: 'ACE_EVAL')</t>
  </si>
  <si>
    <t>AHM</t>
  </si>
  <si>
    <t>Absolute Horizontal Accuracy Evaluation Method</t>
  </si>
  <si>
    <t>The method by which the absolute horizontal accuracy was derived.</t>
  </si>
  <si>
    <t>AhmCode</t>
  </si>
  <si>
    <t>absoluteLatitudeAccuracy</t>
  </si>
  <si>
    <t>ALX</t>
  </si>
  <si>
    <t>Absolute Latitude Accuracy</t>
  </si>
  <si>
    <t>The difference between the recorded latitude coordinate value of a feature and its true position referenced to the same geodetic datum expressed as a linear error at 90 percent probability.</t>
  </si>
  <si>
    <t>absoluteLatAccWgs84</t>
  </si>
  <si>
    <t>ALA</t>
  </si>
  <si>
    <t>Absolute Latitude Accuracy (WGS84)</t>
  </si>
  <si>
    <t>The accuracy of the latitude value relative to WGS 84.</t>
  </si>
  <si>
    <t>absoluteLongitudeAccuracy</t>
  </si>
  <si>
    <t>AOX</t>
  </si>
  <si>
    <t>Absolute Longitude Accuracy</t>
  </si>
  <si>
    <t>The difference between the recorded longitude coordinate value of a feature and its true position referenced to the same geodetic datum expressed as a linear error at 90 percent probability.</t>
  </si>
  <si>
    <t>absoluteLongAccWgs84</t>
  </si>
  <si>
    <t>ALO</t>
  </si>
  <si>
    <t>Absolute Longitude Accuracy (WGS84)</t>
  </si>
  <si>
    <t>The accuracy of the longitude value relative to WGS 84.</t>
  </si>
  <si>
    <t>absOrthoHgtAccRwyHiWgs84</t>
  </si>
  <si>
    <t>AO2</t>
  </si>
  <si>
    <t>Absolute Orthometric Height Accuracy - Runway High End (WGS84)</t>
  </si>
  <si>
    <t>The accuracy of the orthometric height relative to WGS 84 at the high end of the runway.</t>
  </si>
  <si>
    <t>absOrthoHgtAccRwyLoWgs84</t>
  </si>
  <si>
    <t>AO3</t>
  </si>
  <si>
    <t>Absolute Orthometric Height Accuracy - Runway Low End (WGS84)</t>
  </si>
  <si>
    <t>The accuracy of the orthometric height relative to WGS 84 at the low end of the runway.</t>
  </si>
  <si>
    <t>absOrthoHgtAccWgs84</t>
  </si>
  <si>
    <t>AOH</t>
  </si>
  <si>
    <t>Absolute Orthometric Height Accuracy (WGS84)</t>
  </si>
  <si>
    <t>The accuracy of the orthometric height relative to WGS 84.</t>
  </si>
  <si>
    <t>absoluteVertAccuracy90</t>
  </si>
  <si>
    <t>(Geospatial Intelligence Feature Database (GIFD): 'ALE') (MGCP Feature Catalogue: 'ALE')</t>
  </si>
  <si>
    <t>AVA</t>
  </si>
  <si>
    <t>Absolute Vertical Accuracy (90%)</t>
  </si>
  <si>
    <t>The difference between the recorded elevation of a feature and its true elevation referenced to the same vertical datum expressed as a linear error at 90 percent probability.</t>
  </si>
  <si>
    <t>absoluteVertAccuracy95</t>
  </si>
  <si>
    <t>AV5</t>
  </si>
  <si>
    <t>Absolute Vertical Accuracy (95%)</t>
  </si>
  <si>
    <t>The difference between the recorded elevation of a feature and its true elevation referenced to the same vertical datum expressed as a linear error at 95 percent probability.</t>
  </si>
  <si>
    <t>It may also be applied to a data set. If the data contains multiple accuracies, usually the worst accuracy which applies to 10% or more of the data is recorded. Linear error probability (LEP) is the linear magnitude within which a stated percentage of measurements for a given point will fall. For example, if the vertical accuracy of a surveyed point is stated as one metre with 95 percent LEP, then 95 percent of measurements of the height of this point will fall along a vertical line of length one metre. The true position is then estimated to lie at the centre of this vertical line.</t>
  </si>
  <si>
    <t>Elevation Accuracy</t>
  </si>
  <si>
    <t>absoluteVertAccEvalMeth</t>
  </si>
  <si>
    <t>(Geospatial Intelligence Feature Database (GIFD): 'ALE_EVAL_METHOD_CD') (MGCP Feature Catalogue: 'ALE_EVAL')</t>
  </si>
  <si>
    <t>AVM</t>
  </si>
  <si>
    <t>Absolute Vertical Accuracy Evaluation Method</t>
  </si>
  <si>
    <t>The method by which the absolute vertical accuracy was derived.</t>
  </si>
  <si>
    <t>AvmCode</t>
  </si>
  <si>
    <t>accelerateStopDistAvail</t>
  </si>
  <si>
    <t>ASA</t>
  </si>
  <si>
    <t>Accelerate-Stop Distance Available</t>
  </si>
  <si>
    <t>The length of the take-off run available plus the length of the stopway, if provided.</t>
  </si>
  <si>
    <t>ASDA</t>
  </si>
  <si>
    <t>accessRestriction</t>
  </si>
  <si>
    <t>ACA</t>
  </si>
  <si>
    <t>Access Restriction</t>
  </si>
  <si>
    <t>A description of the restriction of access to the beach from the sea.</t>
  </si>
  <si>
    <t>Text</t>
  </si>
  <si>
    <t>accessibilityStatus</t>
  </si>
  <si>
    <t>ACS</t>
  </si>
  <si>
    <t>Accessibility Status</t>
  </si>
  <si>
    <t>The type of accessibility of a feature.</t>
  </si>
  <si>
    <t>AcsCode</t>
  </si>
  <si>
    <t>accessibleUtilityType</t>
  </si>
  <si>
    <t>UTY</t>
  </si>
  <si>
    <t>Accessible Utility Type</t>
  </si>
  <si>
    <t>The type(s) of utility that can be accessed through a utility cover.</t>
  </si>
  <si>
    <t>Sequence</t>
  </si>
  <si>
    <t>UtyCode</t>
  </si>
  <si>
    <t>accommodationType</t>
  </si>
  <si>
    <t>BRU</t>
  </si>
  <si>
    <t>Accommodation Type</t>
  </si>
  <si>
    <t>The type of accommodations at an installation, ranging from short-stay (for example: nightly) through long-term primary residences.</t>
  </si>
  <si>
    <t>BruCode</t>
  </si>
  <si>
    <t>acousticFrequency</t>
  </si>
  <si>
    <t>FRQ</t>
  </si>
  <si>
    <t>Acoustic Frequency</t>
  </si>
  <si>
    <t>The frequency of an acoustical signal.</t>
  </si>
  <si>
    <t>activePeriodEndDateTime</t>
  </si>
  <si>
    <t>PDE</t>
  </si>
  <si>
    <t>Active Period End Date and Time</t>
  </si>
  <si>
    <t>The date and, optionally, time of the end of the active period of an object.</t>
  </si>
  <si>
    <t>For example, the end of the active period of a seasonal object such as a buoy. Midnight is understood to be 00:00:00 (the beginning of a day); when the time is not specified then midnight in the local time zone is typically implied.</t>
  </si>
  <si>
    <t>PdeStrucText</t>
  </si>
  <si>
    <t>activePeriodInterval</t>
  </si>
  <si>
    <t>PDZ</t>
  </si>
  <si>
    <t>Active Period Interval</t>
  </si>
  <si>
    <t>The time interval of the active period of an object, consisting of a pair of dates and, optionally, times.</t>
  </si>
  <si>
    <t>For example, the active period of a seasonal object such as a buoy. Midnight is understood to be 00:00:00 (the beginning of a day); when the time is not specified then midnight in the local time zone is typically implied.</t>
  </si>
  <si>
    <t>PdzStrucText</t>
  </si>
  <si>
    <t>activePeriodStartDateTime</t>
  </si>
  <si>
    <t>PDS</t>
  </si>
  <si>
    <t>Active Period Start Date and Time</t>
  </si>
  <si>
    <t>The date and, optionally, time of the start of the active period of an object.</t>
  </si>
  <si>
    <t>For example, the start of the active period of a seasonal object such as a buoy. Midnight is understood to be 00:00:00 (the beginning of a day); when the time is not specified then midnight in the local time zone is typically implied.</t>
  </si>
  <si>
    <t>PdsStrucText</t>
  </si>
  <si>
    <t>activityDescription</t>
  </si>
  <si>
    <t>DDT</t>
  </si>
  <si>
    <t>Activity Description</t>
  </si>
  <si>
    <t>The description of an activity for which the duration is specified.</t>
  </si>
  <si>
    <t>The duration of the activity to which the description applies must be determined in the context of the data content specification. Typically the Attribute: 'Activity Duration' is used to specify the duration of the described activity.</t>
  </si>
  <si>
    <t>TextLex4095</t>
  </si>
  <si>
    <t>activityDuration</t>
  </si>
  <si>
    <t>DOT</t>
  </si>
  <si>
    <t>Activity Duration</t>
  </si>
  <si>
    <t>The time duration for which an activity is permitted or which is required for an activity to transpire.</t>
  </si>
  <si>
    <t>The activity to which the duration applies must be determined in the context of the data content specification. Typically the Attribute: 'Activity Description' is used to specify the nature of the activity.</t>
  </si>
  <si>
    <t>DotStrucText</t>
  </si>
  <si>
    <t>actualFlowCapacity</t>
  </si>
  <si>
    <t>CAR</t>
  </si>
  <si>
    <t>Actual Flow Capacity</t>
  </si>
  <si>
    <t>The flow capacity currently used by the owner.</t>
  </si>
  <si>
    <t>The actual used capacity can be lower than the usable capacity, for example because of low production of the transported goods.</t>
  </si>
  <si>
    <t>address</t>
  </si>
  <si>
    <t>ADR</t>
  </si>
  <si>
    <t>Address</t>
  </si>
  <si>
    <t>The postal address and/or electronic contact information for a facility, organisation or person.</t>
  </si>
  <si>
    <t>AdrStrucText</t>
  </si>
  <si>
    <t>addressDirectionPrefix</t>
  </si>
  <si>
    <t>DIP</t>
  </si>
  <si>
    <t>Address Direction Prefix</t>
  </si>
  <si>
    <t>The directional prefix component, if any, of a postal address.</t>
  </si>
  <si>
    <t>May be used to represent the components of a postal address in concert with Attributes: 'Address Number', 'Thoroughfare Name', 'Thoroughfare Type', and 'Address Direction Suffix'.</t>
  </si>
  <si>
    <t>DipCode</t>
  </si>
  <si>
    <t>addressDirectionSuffix</t>
  </si>
  <si>
    <t>DRS</t>
  </si>
  <si>
    <t>Address Direction Suffix</t>
  </si>
  <si>
    <t>The directional suffix component, if any, of a postal address.</t>
  </si>
  <si>
    <t>May be used to represent the components of a postal address in concert with Attributes: 'Address Number', 'Address Direction Prefix', 'Thoroughfare Name ', and 'Thoroughfare Type'.</t>
  </si>
  <si>
    <t>DrsCode</t>
  </si>
  <si>
    <t>addressNumber</t>
  </si>
  <si>
    <t>ADN</t>
  </si>
  <si>
    <t>Address Number</t>
  </si>
  <si>
    <t>A postal address number or a range of postal address numbers associated with a feature.</t>
  </si>
  <si>
    <t>For example, a feature may represent a thoroughfare (or portion thereof) or may represent a building (for example: an apartment or office building) with multiple mailing addresses. Instead of the Address Number, Attributes: 'Lower Address Number' and 'Upper Address Number' may be used together.</t>
  </si>
  <si>
    <t>AdnStrucText</t>
  </si>
  <si>
    <t>adminCorporation</t>
  </si>
  <si>
    <t>ADV</t>
  </si>
  <si>
    <t>Administrative Corporation</t>
  </si>
  <si>
    <t>An indication that a feature is a community of administrative units, which does not belong to a common local administrative unit.</t>
  </si>
  <si>
    <t>this community and the administrative unit still belong to the same level.</t>
  </si>
  <si>
    <t>Boolean</t>
  </si>
  <si>
    <t>adminDivisionLevel</t>
  </si>
  <si>
    <t>ADU</t>
  </si>
  <si>
    <t>Administrative Division Level</t>
  </si>
  <si>
    <t>The level of the administrative division defined by the hierarchical order in the sovereign State.</t>
  </si>
  <si>
    <t>AduCode</t>
  </si>
  <si>
    <t>adminName</t>
  </si>
  <si>
    <t>ANM</t>
  </si>
  <si>
    <t>Administrative Name</t>
  </si>
  <si>
    <t>A name of a geopolitical entity or administrative division that may not have a formally standardized name (for example: in accordance with US Federal Information Processing Standards (FIPS) or the International Organization for Standards (ISO)).</t>
  </si>
  <si>
    <t>It is usually a conventional 'generally known as' name in common use.</t>
  </si>
  <si>
    <t>TextLex200</t>
  </si>
  <si>
    <t>adminSubdivisionLevel</t>
  </si>
  <si>
    <t>ASL</t>
  </si>
  <si>
    <t>Administrative Subdivision Level</t>
  </si>
  <si>
    <t>The relative importance of an administrative subdivision as established either internationally or by a State.</t>
  </si>
  <si>
    <t>AslCode</t>
  </si>
  <si>
    <t>adminUnitParentTypeName</t>
  </si>
  <si>
    <t>ANU</t>
  </si>
  <si>
    <t>Administrative Unit Parent Type Name</t>
  </si>
  <si>
    <t>The designation of the next higher subnational administration unit.</t>
  </si>
  <si>
    <t>For example, 'Department' or 'County'.</t>
  </si>
  <si>
    <t>adminUnitTypeName</t>
  </si>
  <si>
    <t>ANN</t>
  </si>
  <si>
    <t>Administrative Unit Type Name</t>
  </si>
  <si>
    <t>The designation of the subnational administration unit.</t>
  </si>
  <si>
    <t>aerialPresent</t>
  </si>
  <si>
    <t>APR</t>
  </si>
  <si>
    <t>Aerial Present</t>
  </si>
  <si>
    <t>An indication that a feature supports one or more aerials.</t>
  </si>
  <si>
    <t>aerialRefuelBaseLevel</t>
  </si>
  <si>
    <t>ABL</t>
  </si>
  <si>
    <t>Aerial Refuelling Base Level</t>
  </si>
  <si>
    <t>The lowest altitude or flight level at which refuelling operations can be performed.</t>
  </si>
  <si>
    <t>aerialRefuelBidirectUse</t>
  </si>
  <si>
    <t>ARB</t>
  </si>
  <si>
    <t>Aerial Refuelling Bidirectional Use</t>
  </si>
  <si>
    <t>An indication that the aerial refuelling track supports simultaneous opposite direction aerial refuelling.</t>
  </si>
  <si>
    <t>aerialRefuelCopterOnly</t>
  </si>
  <si>
    <t>ARS</t>
  </si>
  <si>
    <t>Aerial Refuelling Helicopter Only</t>
  </si>
  <si>
    <t>An indication that the aerial refuelling procedure is designed only for helicopter usage.</t>
  </si>
  <si>
    <t>aerialRefuelReceiveChan</t>
  </si>
  <si>
    <t>CHX</t>
  </si>
  <si>
    <t>Aerial Refuelling Receiver Channel</t>
  </si>
  <si>
    <t>The Tactical Air Navigation System (TACAN) channel assigned to the aircraft receiving fuel during air refuelling operations.</t>
  </si>
  <si>
    <t>The receiver and tanker TACAN equipment are tuned 63 channels apart in order to provide DME information from the tanker to the receiver aircraft.</t>
  </si>
  <si>
    <t>ChxCode</t>
  </si>
  <si>
    <t>aerialRefuelTankerChan</t>
  </si>
  <si>
    <t>CHY</t>
  </si>
  <si>
    <t>Aerial Refuelling Tanker Channel</t>
  </si>
  <si>
    <t>The Tactical Air Navigation System (TACAN) channel assigned to the aircraft supplying fuel during air refuelling operations.</t>
  </si>
  <si>
    <t>ChyCode</t>
  </si>
  <si>
    <t>aerodromeAltName</t>
  </si>
  <si>
    <t>AAN</t>
  </si>
  <si>
    <t>Aerodrome Alternate Name</t>
  </si>
  <si>
    <t>The official alternate name of an aerodrome as designated by the operating agency or by the official publications of the country in which the aerodrome is located.</t>
  </si>
  <si>
    <t>A name other than the official selected name which on occasion continues to be used (for example: in aeronautical information publications, NOTAMS, or aeronautical charts) will be identified as an alternate name.</t>
  </si>
  <si>
    <t>TextLexUnconstrained</t>
  </si>
  <si>
    <t>aerodromeAppLightSysType</t>
  </si>
  <si>
    <t>RLS</t>
  </si>
  <si>
    <t>Aerodrome Approach Lighting System Type</t>
  </si>
  <si>
    <t>The type of aerodrome lighting system providing visual guidance during the final segment leg of an approach procedure.</t>
  </si>
  <si>
    <t>RlsCode</t>
  </si>
  <si>
    <t>aerodromeCoLocationIdent</t>
  </si>
  <si>
    <t>ACI</t>
  </si>
  <si>
    <t>Aerodrome Co-Location Identifier</t>
  </si>
  <si>
    <t>The aerodrome identifier of the collocated aerodrome, according to the appropriate authority.</t>
  </si>
  <si>
    <t>AciStrucText</t>
  </si>
  <si>
    <t>aerodromeControlStationType</t>
  </si>
  <si>
    <t>ACY</t>
  </si>
  <si>
    <t>Aerodrome Control Station Type</t>
  </si>
  <si>
    <t>The type of a permanently marked geodetic survey point having a precise position (horizontal and vertical) that has been established in the vicinity of, and usually on, an aerodrome.</t>
  </si>
  <si>
    <t>AcyCode</t>
  </si>
  <si>
    <t>aerodromeElevation</t>
  </si>
  <si>
    <t>ZVA</t>
  </si>
  <si>
    <t>Aerodrome Elevation</t>
  </si>
  <si>
    <t>The vertical distance above Mean Sea Level (MSL) of the highest point of the landing area.</t>
  </si>
  <si>
    <t>aerodromeEmergMedPersCnt</t>
  </si>
  <si>
    <t>ESN</t>
  </si>
  <si>
    <t>Aerodrome Emergency Medical Service Personnel Count</t>
  </si>
  <si>
    <t>The number of personnel trained in performing emergency medical services that are stationed at an aerodrome.</t>
  </si>
  <si>
    <t>Count</t>
  </si>
  <si>
    <t>aerodromeEmergRespVehCnt</t>
  </si>
  <si>
    <t>VCN</t>
  </si>
  <si>
    <t>Aerodrome Emergency Response Service Vehicle Count</t>
  </si>
  <si>
    <t>The number of vehicles that are stationed at an aerodrome and designated for use in aircraft accidents, snow removal, and/or emergency medical incidents.</t>
  </si>
  <si>
    <t>aerodromeFireFightingCat</t>
  </si>
  <si>
    <t>AFF</t>
  </si>
  <si>
    <t>Aerodrome Fire Fighting Category</t>
  </si>
  <si>
    <t>A standard categorisation of the rescue and fire-fighting capabilities of an aerodrome on the basis of the over-all length and fuselage width of the largest aircraft that may be rescued.</t>
  </si>
  <si>
    <t>The over-all length of a helicopter includes its tailboom and rotor.</t>
  </si>
  <si>
    <t>AffCode</t>
  </si>
  <si>
    <t>aerodromeHotSpotDesig</t>
  </si>
  <si>
    <t>AHS</t>
  </si>
  <si>
    <t>Aerodrome Hot Spot Designator</t>
  </si>
  <si>
    <t>An aerodrome hot spot is a runway safety-related problem area or intersection on an aerodrome.</t>
  </si>
  <si>
    <t>AhsStrucText</t>
  </si>
  <si>
    <t>aerodromeHydroImpact</t>
  </si>
  <si>
    <t>SYP</t>
  </si>
  <si>
    <t>Aerodrome Hydrography Impact</t>
  </si>
  <si>
    <t>An indication that land-water boundaries (for example: shorelines or hydrography) are present around the aerodrome.</t>
  </si>
  <si>
    <t>Hydrography includes features for which water is a relatively permanent constituent part, for example: perennial lakes, reservoirs and pools, perennial streams, aqueducts, flumes, conduits, canals and ditches. Hydrographic impact typically occurs when the feature is located within 20 nautical miles of the aerodrome.</t>
  </si>
  <si>
    <t>aerodromeIdentifier</t>
  </si>
  <si>
    <t>AID</t>
  </si>
  <si>
    <t>Aerodrome Identifier</t>
  </si>
  <si>
    <t>The unique identifier of an aerodrome, heliport or seaplane base.</t>
  </si>
  <si>
    <t>It may used to relate information about components (for example: runways, helipads, taxiways, and aprons) of the aerodrome, heliport or seaplane base to each other and to the overall facility.</t>
  </si>
  <si>
    <t>AidKey</t>
  </si>
  <si>
    <t>aerodromeLocationDesc</t>
  </si>
  <si>
    <t>FRL</t>
  </si>
  <si>
    <t>Aerodrome Location Description</t>
  </si>
  <si>
    <t>A free text description of the aerodrome site direction and distance from the city it serves or from another point easily distinguishable from the air.</t>
  </si>
  <si>
    <t>aerodromeLowestTemp</t>
  </si>
  <si>
    <t>ALF</t>
  </si>
  <si>
    <t>Aerodrome Lowest Temperature</t>
  </si>
  <si>
    <t>The mean lowest temperature of the coldest month of the year at an aerodrome.</t>
  </si>
  <si>
    <t>aeroMoveAreaLightSysType</t>
  </si>
  <si>
    <t>MAL</t>
  </si>
  <si>
    <t>Aerodrome Movement Area Light System Type</t>
  </si>
  <si>
    <t>The lighting system provided for a component of the aerodrome movement area.</t>
  </si>
  <si>
    <t>Set</t>
  </si>
  <si>
    <t>MalCode</t>
  </si>
  <si>
    <t>aeroMoveAreaPaveCond</t>
  </si>
  <si>
    <t>ASZ</t>
  </si>
  <si>
    <t>Aerodrome Movement Area Pavement Condition</t>
  </si>
  <si>
    <t>The surface condition of the aerodrome movement area, as a category.</t>
  </si>
  <si>
    <t>The surface condition does not include contaminations such as snow, ice, water, and/or fluid accumulation.</t>
  </si>
  <si>
    <t>AszCode</t>
  </si>
  <si>
    <t>aeroMoveAreaSurfaceCat</t>
  </si>
  <si>
    <t>ASX</t>
  </si>
  <si>
    <t>Aerodrome Movement Area Surface Category</t>
  </si>
  <si>
    <t>The level of preparation of the aerodrome movement area surface, as a category.</t>
  </si>
  <si>
    <t>Common category types may range from natural to completely paved.</t>
  </si>
  <si>
    <t>AsxCode</t>
  </si>
  <si>
    <t>aeroMoveAreaSurfaceComp</t>
  </si>
  <si>
    <t>ASU</t>
  </si>
  <si>
    <t>Aerodrome Movement Area Surface Composition</t>
  </si>
  <si>
    <t>The type of the predominant material of which a surface of the movement area is composed.</t>
  </si>
  <si>
    <t>Example surfaces include: asphalt, concrete, or grass.</t>
  </si>
  <si>
    <t>AsuCode</t>
  </si>
  <si>
    <t>aeroMoveAreaSurfacePrep</t>
  </si>
  <si>
    <t>ASP</t>
  </si>
  <si>
    <t>Aerodrome Movement Area Surface Preparation Method</t>
  </si>
  <si>
    <t>The preparation technique(s) applied to a surface composition.</t>
  </si>
  <si>
    <t>AspCode</t>
  </si>
  <si>
    <t>aerodromeOfficialName</t>
  </si>
  <si>
    <t>NA8</t>
  </si>
  <si>
    <t>Aerodrome Official Name</t>
  </si>
  <si>
    <t>The primary official name of an aerodrome as designated by an appropriate authority.</t>
  </si>
  <si>
    <t>aeroPavementFuncStatus</t>
  </si>
  <si>
    <t>SFS</t>
  </si>
  <si>
    <t>Aerodrome Pavement Functional Status</t>
  </si>
  <si>
    <t>The functional status of the pavement of an aerodrome movement area.</t>
  </si>
  <si>
    <t>An aerodrome movement area is that part of an aerodrome to be used for aircraft movement operations, consisting of the manoeuvring area and the apron(s).</t>
  </si>
  <si>
    <t>SfsCode</t>
  </si>
  <si>
    <t>aerodromeReferenceTemp</t>
  </si>
  <si>
    <t>ARF</t>
  </si>
  <si>
    <t>Aerodrome Reference Temperature</t>
  </si>
  <si>
    <t>The monthly mean of the daily maximum temperatures for the hottest month of the year at an aerodrome.</t>
  </si>
  <si>
    <t>The hottest month is that which has the highest monthly mean temperature; this temperature should be averaged over a period of years.</t>
  </si>
  <si>
    <t>aerodromeSnowPlan</t>
  </si>
  <si>
    <t>AEP</t>
  </si>
  <si>
    <t>Aerodrome Snow Plan</t>
  </si>
  <si>
    <t>A description of the general snow plan considerations at the aerodrome.</t>
  </si>
  <si>
    <t>TextNonLexUnconstrained</t>
  </si>
  <si>
    <t>aerodromeSurfaceStatus</t>
  </si>
  <si>
    <t>AXS</t>
  </si>
  <si>
    <t>Aerodrome Surface Status</t>
  </si>
  <si>
    <t>The operational status of an aerodrome movement area, as a category.</t>
  </si>
  <si>
    <t>For example: serviceable, unserviceable, closed, or work-in-progress.</t>
  </si>
  <si>
    <t>AxsCode</t>
  </si>
  <si>
    <t>aerodromeTerrainImpact</t>
  </si>
  <si>
    <t>TEI</t>
  </si>
  <si>
    <t>Aerodrome Terrain Impact</t>
  </si>
  <si>
    <t>An indication that the instrument approach path of the aerodrome is impacted by terrain features.</t>
  </si>
  <si>
    <t>Either the terrain rises at least 600 metres (2000 feet) above the aerodrome elevation within a 5 nautical mile radius of the aerodrome reference point, or the terrain rises at least 1200 metres (4000 feet) within the instrument approach path to the aerodrome.</t>
  </si>
  <si>
    <t>aeroAdviceInfoServiceType</t>
  </si>
  <si>
    <t>AST</t>
  </si>
  <si>
    <t>Aeronautical Advisory and Information Service Type</t>
  </si>
  <si>
    <t>The type(s) of advice and information service(s) provided by a facility to assist in the safe conduct of flight and aircraft movement.</t>
  </si>
  <si>
    <t>AstCode</t>
  </si>
  <si>
    <t>aeroBeaconType</t>
  </si>
  <si>
    <t>ABT</t>
  </si>
  <si>
    <t>Aeronautical Beacon Type</t>
  </si>
  <si>
    <t>The type of visual beacon that may be used for air navigation or identification.</t>
  </si>
  <si>
    <t>For example: a marine beacon.</t>
  </si>
  <si>
    <t>AbtCode</t>
  </si>
  <si>
    <t>aeroCommChannelMode</t>
  </si>
  <si>
    <t>ACM</t>
  </si>
  <si>
    <t>Aeronautical Communication Channel Mode</t>
  </si>
  <si>
    <t>The channel mode in which the communications service is operated.</t>
  </si>
  <si>
    <t>AcmCode</t>
  </si>
  <si>
    <t>aeroLightFunction</t>
  </si>
  <si>
    <t>LFA</t>
  </si>
  <si>
    <t>Aeronautical Light Function</t>
  </si>
  <si>
    <t>The type of lighting or lighting system that is used to support aeronautical navigation.</t>
  </si>
  <si>
    <t>LfaCode</t>
  </si>
  <si>
    <t>aeroObstacleLightPresent</t>
  </si>
  <si>
    <t>AWP</t>
  </si>
  <si>
    <t>Aeronautical Obstacle Light Present</t>
  </si>
  <si>
    <t>An indication that an obstacle that constitutes a danger to air navigation is marked by a light or lights.</t>
  </si>
  <si>
    <t>Obstacle Lighted</t>
  </si>
  <si>
    <t>aeronauticalOrgIdentifier</t>
  </si>
  <si>
    <t>OGD</t>
  </si>
  <si>
    <t>Aeronautical Organisation Identifier</t>
  </si>
  <si>
    <t>A coded identifier of the organisation, authority, agency or unit.</t>
  </si>
  <si>
    <t>For example: 'CA' = Canada; 'FAA' = Federal Aviation Administration; 'UK' = United Kingdom; 'ICAO' = International Civil Aviation Organization.</t>
  </si>
  <si>
    <t>aeroRadioNavServiceIdent</t>
  </si>
  <si>
    <t>ANI</t>
  </si>
  <si>
    <t>Aeronautical Radio Navigation Service Identifier</t>
  </si>
  <si>
    <t>A published sequence of alpha characters allowing the identification of the radio navigation service.</t>
  </si>
  <si>
    <t>NAVAID Identifier</t>
  </si>
  <si>
    <t>AniStrucText</t>
  </si>
  <si>
    <t>aeroRadioNavServiceName</t>
  </si>
  <si>
    <t>NSX</t>
  </si>
  <si>
    <t>Aeronautical Radio Navigation Service Name</t>
  </si>
  <si>
    <t>The textual designation given to a feature by a responsible authority.</t>
  </si>
  <si>
    <t>aeroResponsibleAuthority</t>
  </si>
  <si>
    <t>ATH</t>
  </si>
  <si>
    <t>Aeronautical Responsible Authority</t>
  </si>
  <si>
    <t>The name of the organization responsible (in whole or in part) for aeronautical services and facilities.</t>
  </si>
  <si>
    <t>Examples of services include: Air Traffic Services (ATS), Aeronautical Information Service (AIS), and Meteorological Service (MET).</t>
  </si>
  <si>
    <t>aeroResponsibleAuthType</t>
  </si>
  <si>
    <t>AAU</t>
  </si>
  <si>
    <t>Aeronautical Responsible Authority Type</t>
  </si>
  <si>
    <t>A categorisation of the role that one organisation has for aeronautical services and facilities.</t>
  </si>
  <si>
    <t>For example, the airspace is under the jurisdiction of the Organization/Authority, or the airspace is delegated to the Organization/Authority for the provision of Air Traffic Services (ATS).</t>
  </si>
  <si>
    <t>AauCode</t>
  </si>
  <si>
    <t>aeroRouteCategory</t>
  </si>
  <si>
    <t>ART</t>
  </si>
  <si>
    <t>Aeronautical Route Category</t>
  </si>
  <si>
    <t>The category of aeronautical route with which a waypoint or NAVAID is associated.</t>
  </si>
  <si>
    <t>ArtCode</t>
  </si>
  <si>
    <t>aeronauticalServiceName</t>
  </si>
  <si>
    <t>ASN</t>
  </si>
  <si>
    <t>Aeronautical Service Name</t>
  </si>
  <si>
    <t>The name by which the aeronautical service is identified according to the appropriate authority.</t>
  </si>
  <si>
    <t>aeroServiceOperStatus</t>
  </si>
  <si>
    <t>ASO</t>
  </si>
  <si>
    <t>Aeronautical Service Operational Status</t>
  </si>
  <si>
    <t>The availability of an aeronautical navigation or communication service, as a category.</t>
  </si>
  <si>
    <t>AsoCode</t>
  </si>
  <si>
    <t>aeroServiceRanking</t>
  </si>
  <si>
    <t>SER</t>
  </si>
  <si>
    <t>Aeronautical Service Ranking</t>
  </si>
  <si>
    <t>The order of priority of the service.</t>
  </si>
  <si>
    <t>For example: primary or alternate.</t>
  </si>
  <si>
    <t>SerCode</t>
  </si>
  <si>
    <t>aeronauticalUnitDesignator</t>
  </si>
  <si>
    <t>AUD</t>
  </si>
  <si>
    <t>Aeronautical Unit Designator</t>
  </si>
  <si>
    <t>A coded designator associated with the aeronautical unit.</t>
  </si>
  <si>
    <t>For example, in the case of an Area Control Center (ACC) the ICAO Location Indicator as specified in Doc. 7910. An Aeronautical unit is an organization established for the purpose of supplying aeronautical services such as, Air Traffic Management (ATM), Search and Rescue, Communications.</t>
  </si>
  <si>
    <t>aeronauticalUnitName</t>
  </si>
  <si>
    <t>AUN</t>
  </si>
  <si>
    <t>Aeronautical Unit Name</t>
  </si>
  <si>
    <t>The official full textual name of an aeronautical unit as established according to the rules specified by ICAO or appropriate authority.</t>
  </si>
  <si>
    <t>An Aeronautical unit is an organization established for the purpose of supplying aeronautical services such as Air Traffic Management (ATM), Search and Rescue, Communications, etc.</t>
  </si>
  <si>
    <t>aeronauticalUnitType</t>
  </si>
  <si>
    <t>ATU</t>
  </si>
  <si>
    <t>Aeronautical Unit Type</t>
  </si>
  <si>
    <t>The type of unit providing aeronautical services.</t>
  </si>
  <si>
    <t>AtuCode</t>
  </si>
  <si>
    <t>affiliationStatus</t>
  </si>
  <si>
    <t>FFO</t>
  </si>
  <si>
    <t>Affiliation Status</t>
  </si>
  <si>
    <t>A status, based on evaluation, determining the allegiance or likely allegiance of a particular human group.</t>
  </si>
  <si>
    <t>For example, how a group views (or is perceived to view) allied armed forces.</t>
  </si>
  <si>
    <t>FfoCode</t>
  </si>
  <si>
    <t>aggregation</t>
  </si>
  <si>
    <t>AGG</t>
  </si>
  <si>
    <t>Aggregation</t>
  </si>
  <si>
    <t>An indication that a feature instance is, or may be, representing a set of interrelated feature instances as an aggregate.</t>
  </si>
  <si>
    <t>May be used when delineating interrelated features within a region that may or may not meet inclusion conditions to be delineated individually. For example, an aerodrome consists of numerous component feature instances such as runways, taxiways, NAVAIDs, and aircraft hangars, but may be collected as a single aggregate feature instance at a small scale.</t>
  </si>
  <si>
    <t>aggressorAffiliation</t>
  </si>
  <si>
    <t>AGA</t>
  </si>
  <si>
    <t>Aggressor Affiliation</t>
  </si>
  <si>
    <t>The affiliation or organizational structure of the aggressor.</t>
  </si>
  <si>
    <t>AgaCode</t>
  </si>
  <si>
    <t>aggressorCount</t>
  </si>
  <si>
    <t>AGN</t>
  </si>
  <si>
    <t>Aggressor Count</t>
  </si>
  <si>
    <t>The number of individuals involved in an aggressive act, both overtly and including accomplices.</t>
  </si>
  <si>
    <t>agriculturalFacilityType</t>
  </si>
  <si>
    <t>AFC</t>
  </si>
  <si>
    <t>Agricultural Facility Type</t>
  </si>
  <si>
    <t>The type of a facility or building that is related to agricultural activities or functions.</t>
  </si>
  <si>
    <t>AfcCode</t>
  </si>
  <si>
    <t>agriculturalZoneType</t>
  </si>
  <si>
    <t>AZT</t>
  </si>
  <si>
    <t>Agricultural Zone Type</t>
  </si>
  <si>
    <t>The type of a region based on its agricultural and/or silvicultural utilization.</t>
  </si>
  <si>
    <t>AztCode</t>
  </si>
  <si>
    <t>airCargoHandlingCapacity</t>
  </si>
  <si>
    <t>AHC</t>
  </si>
  <si>
    <t>Air Cargo Handling Capacity</t>
  </si>
  <si>
    <t>The quantity of air cargo that can be offloaded, transported, stored, distributed and/or loaded from and to aircraft at the facility in a day.</t>
  </si>
  <si>
    <t>RealNonNegative</t>
  </si>
  <si>
    <t>airCushionVehSuitable</t>
  </si>
  <si>
    <t>ACV</t>
  </si>
  <si>
    <t>Air Cushioned Vehicle Suitable</t>
  </si>
  <si>
    <t>An indication that a region is suitable for use by air-cushioned vehicles.</t>
  </si>
  <si>
    <t>The mobility of air-cushioned vehicles is usually restricted by both obstructions with height greater than 1.7 metres and significant terrain slopes.</t>
  </si>
  <si>
    <t>airRefuelPointUsage</t>
  </si>
  <si>
    <t>RPU</t>
  </si>
  <si>
    <t>Air Refuelling Point Usage</t>
  </si>
  <si>
    <t>The function(s) of the air refuelling point in relation to the air refuelling anchor pattern or air refuelling track.</t>
  </si>
  <si>
    <t>RpuCode</t>
  </si>
  <si>
    <t>airRefuelProcDesignator</t>
  </si>
  <si>
    <t>ARX</t>
  </si>
  <si>
    <t>Air Refuelling Procedure Designator</t>
  </si>
  <si>
    <t>The name or coded identifier by which an air refuelling procedure may be recognized.</t>
  </si>
  <si>
    <t>For example: a name such as 'GRETCHEN' or a coded identifier such as 'ARA10'.</t>
  </si>
  <si>
    <t>airRefuelProcDirection</t>
  </si>
  <si>
    <t>RDI</t>
  </si>
  <si>
    <t>Air Refuelling Procedure Direction</t>
  </si>
  <si>
    <t>The general cardinal direction of the air refuelling procedure, as a category.</t>
  </si>
  <si>
    <t>RdiCode</t>
  </si>
  <si>
    <t>airRefuelProcType</t>
  </si>
  <si>
    <t>RPT</t>
  </si>
  <si>
    <t>Air Refuelling Procedure Type</t>
  </si>
  <si>
    <t>The type of the air refuelling procedure based on its configuration.</t>
  </si>
  <si>
    <t>RptCode</t>
  </si>
  <si>
    <t>airTrafficContingencyRoute</t>
  </si>
  <si>
    <t>COR</t>
  </si>
  <si>
    <t>Air Traffic Contingency Route</t>
  </si>
  <si>
    <t>An indication that an air traffic route is a preplanned alternate that is designed to ensure the continued safety of air navigation in the event of a disruption or limitation of air traffic services (ATS), air traffic service (ATS) capabilities, or aircraft emergencies.</t>
  </si>
  <si>
    <t>Contingency routes use existing air routes with specific instructions, communication instructions, and pilot procedures to be followed to ensure the safety of air navigation.</t>
  </si>
  <si>
    <t>atcRequiredReportType</t>
  </si>
  <si>
    <t>RRT</t>
  </si>
  <si>
    <t>Air Traffic Control (ATC) Required Report Type</t>
  </si>
  <si>
    <t>The type of position report required to an Air Traffic Control (ATC) Unit.</t>
  </si>
  <si>
    <t>RrtCode</t>
  </si>
  <si>
    <t>airTrafControlServiceType</t>
  </si>
  <si>
    <t>ACT</t>
  </si>
  <si>
    <t>Air Traffic Control Service Type</t>
  </si>
  <si>
    <t>The type(s) of service provided from air traffic control facilities.</t>
  </si>
  <si>
    <t>ActCode</t>
  </si>
  <si>
    <t>airTrafManageServiceType</t>
  </si>
  <si>
    <t>AMT</t>
  </si>
  <si>
    <t>Air Traffic Management Service Type</t>
  </si>
  <si>
    <t>The type(s) of air traffic and airspace management services provided.</t>
  </si>
  <si>
    <t>AmtCode</t>
  </si>
  <si>
    <t>airTrafficTypePermitted</t>
  </si>
  <si>
    <t>ATV</t>
  </si>
  <si>
    <t>Air Traffic Permitted Type</t>
  </si>
  <si>
    <t>The type of air traffic allowed to conduct operations in a given area.</t>
  </si>
  <si>
    <t>For example: civil and/or military traffic.</t>
  </si>
  <si>
    <t>AtvCode</t>
  </si>
  <si>
    <t>atsRouteDesignator</t>
  </si>
  <si>
    <t>ADE</t>
  </si>
  <si>
    <t>Air Traffic Service (ATS) Route Designator</t>
  </si>
  <si>
    <t>A designator permitting the identification of any Air Traffic Service (ATS) route.</t>
  </si>
  <si>
    <t>The route designator shall be specified in accordance with ICAO Annex 11.</t>
  </si>
  <si>
    <t>atsRouteEssentialSigPoint</t>
  </si>
  <si>
    <t>ESP</t>
  </si>
  <si>
    <t>Air Traffic Service (ATS) Route Essential Significant Point</t>
  </si>
  <si>
    <t>An indication that at a point along an enroute Air Traffic Service (ATS) route either a change in course is required or the route intersects another enroute ATS route.</t>
  </si>
  <si>
    <t>atsRouteLocDesignator</t>
  </si>
  <si>
    <t>ADX</t>
  </si>
  <si>
    <t>Air Traffic Service (ATS) Route Location Designator</t>
  </si>
  <si>
    <t>A structured textual description of the country of origin and destination of the Air Traffic Service (ATS) route.</t>
  </si>
  <si>
    <t>AdxStrucText</t>
  </si>
  <si>
    <t>atsRouteSegmentAvailable</t>
  </si>
  <si>
    <t>RSV</t>
  </si>
  <si>
    <t>Air Traffic Service (ATS) Route Segment Availability</t>
  </si>
  <si>
    <t>The condition in which a Air Traffic Service (ATS) route segment may be flown.</t>
  </si>
  <si>
    <t>Factors include conditions such as traffic flow and time constraints. For example: CDR1 or SPECIAL.</t>
  </si>
  <si>
    <t>Route Availability</t>
  </si>
  <si>
    <t>RsvCode</t>
  </si>
  <si>
    <t>atsRouteSegmentLength</t>
  </si>
  <si>
    <t>AZL</t>
  </si>
  <si>
    <t>Air Traffic Service (ATS) Route Segment Length</t>
  </si>
  <si>
    <t>The distance between the two ends of the Air Traffic Service (ATS) route segment, as published by the appropriate authority.</t>
  </si>
  <si>
    <t>Measured in Nautical Miles or Kilometres.</t>
  </si>
  <si>
    <t>atsRouteSegmentPathBasis</t>
  </si>
  <si>
    <t>ARP</t>
  </si>
  <si>
    <t>Air Traffic Service (ATS) Route Segment Path Basis</t>
  </si>
  <si>
    <t>The geodetic basis for the path between the two ends of the Air Traffic Service (ATS) route segment, as published by the appropriate authority.</t>
  </si>
  <si>
    <t>For example: great circle, rhumbline, or geodesic line.</t>
  </si>
  <si>
    <t>Segment Path Type</t>
  </si>
  <si>
    <t>ArpCode</t>
  </si>
  <si>
    <t>atsRouteSegmentUsageDir</t>
  </si>
  <si>
    <t>RSX</t>
  </si>
  <si>
    <t>Air Traffic Service (ATS) Route Segment Usage Direction</t>
  </si>
  <si>
    <t>The direction of the usage condition of the Air Traffic Service (ATS) route segment in relation to the start point and end point.</t>
  </si>
  <si>
    <t>For example: forward, backward or both.</t>
  </si>
  <si>
    <t>RsxCode</t>
  </si>
  <si>
    <t>atsRouteSegmentWidth</t>
  </si>
  <si>
    <t>AWS</t>
  </si>
  <si>
    <t>Air Traffic Service (ATS) Route Segment Width</t>
  </si>
  <si>
    <t>The declared dimension of an Air Traffic Service (ATS) route segment taken perpendicular to its path, as published by the appropriate authority.</t>
  </si>
  <si>
    <t>atsRouteType</t>
  </si>
  <si>
    <t>ARY</t>
  </si>
  <si>
    <t>Air Traffic Service (ATS) Route Type</t>
  </si>
  <si>
    <t>A classification of the Air Traffic Service (ATS) route segment describing the characteristics and requirements for its usage.</t>
  </si>
  <si>
    <t>For example: Conventional or Area Navigation (RNAV) Routes.</t>
  </si>
  <si>
    <t>AryCode</t>
  </si>
  <si>
    <t>airbIdentRadarBcnCodeApx</t>
  </si>
  <si>
    <t>APX</t>
  </si>
  <si>
    <t>Airborne Identification Radar Beacon Code (APX)</t>
  </si>
  <si>
    <t>The setting to be used by the Airborne Identification Radar beacon during aerial refuelling operations.</t>
  </si>
  <si>
    <t>APX Code</t>
  </si>
  <si>
    <t>ApxStrucText</t>
  </si>
  <si>
    <t>airbNavRadarBcnCodeApn</t>
  </si>
  <si>
    <t>APN</t>
  </si>
  <si>
    <t>Airborne Navigation Radar Beacon Code (APN)</t>
  </si>
  <si>
    <t>The setting to be used by the Airborne Navigation Radar beacon during aerial refuelling operations.</t>
  </si>
  <si>
    <t>APN Code</t>
  </si>
  <si>
    <t>ApnStrucText</t>
  </si>
  <si>
    <t>aircraftApproachCategory</t>
  </si>
  <si>
    <t>AAC</t>
  </si>
  <si>
    <t>Aircraft Approach Category</t>
  </si>
  <si>
    <t>A grouping of aircraft based on a speed of 1.3 times the stall speed in the landing configuration at maximum gross landing weight.</t>
  </si>
  <si>
    <t>Aircraft Landing Category</t>
  </si>
  <si>
    <t>AacCode</t>
  </si>
  <si>
    <t>aircraftBankAngle</t>
  </si>
  <si>
    <t>BA0</t>
  </si>
  <si>
    <t>Aircraft Bank Angle</t>
  </si>
  <si>
    <t>The recommended or required lateral inclination of the aircraft in the turn.</t>
  </si>
  <si>
    <t>aircraftBayCount</t>
  </si>
  <si>
    <t>ABC</t>
  </si>
  <si>
    <t>Aircraft Bay Count</t>
  </si>
  <si>
    <t>The designed number of aircraft bays contained by an aircraft hangar or hardened aircraft shelter.</t>
  </si>
  <si>
    <t>aircraftDeIcingFluidType</t>
  </si>
  <si>
    <t>ADF</t>
  </si>
  <si>
    <t>Aircraft De-Icing Fluid Type</t>
  </si>
  <si>
    <t>The type(s) of fluid available for removal or prevention of ice, snow, shush or frost build-up from aircraft or aircraft engine on the ground.</t>
  </si>
  <si>
    <t>AdfCode</t>
  </si>
  <si>
    <t>aircraftFuelServiceUnitCnt</t>
  </si>
  <si>
    <t>FRO</t>
  </si>
  <si>
    <t>Aircraft Fuel Service Unit Count</t>
  </si>
  <si>
    <t>The number of trucks, carts, and/or stands at an aerodrome that are available for aircraft refuelling.</t>
  </si>
  <si>
    <t>aircraftFuelServiceUnitType</t>
  </si>
  <si>
    <t>FRY</t>
  </si>
  <si>
    <t>Aircraft Fuel Service Unit Type</t>
  </si>
  <si>
    <t>The type(s) of trucks, carts, and/or stands that are available for aircraft refuelling at an aerodrome.</t>
  </si>
  <si>
    <t>FryCode</t>
  </si>
  <si>
    <t>aircraftFuelTransferInf</t>
  </si>
  <si>
    <t>AFI</t>
  </si>
  <si>
    <t>Aircraft Fuel Transfer Infrastructure</t>
  </si>
  <si>
    <t>The type(s) of infrastructure and/or equipment that are available at an aerodrome for refuelling an aircraft according to the fueling configuration of that aircraft.</t>
  </si>
  <si>
    <t>AfiCode</t>
  </si>
  <si>
    <t>aircraftFuellingRate</t>
  </si>
  <si>
    <t>FUR</t>
  </si>
  <si>
    <t>Aircraft Fuelling Rate</t>
  </si>
  <si>
    <t>The measured speed at which fuel can be dispensed into an aircraft for a specified fuelling unit.</t>
  </si>
  <si>
    <t>aircraftGroundServiceType</t>
  </si>
  <si>
    <t>AGS</t>
  </si>
  <si>
    <t>Aircraft Ground Service Type</t>
  </si>
  <si>
    <t>The types of maintenance, support and/or supply operation(s) that are available to aircraft at an aerodrome.</t>
  </si>
  <si>
    <t>AgsCode</t>
  </si>
  <si>
    <t>aircraftMaxDemoLcnSpan</t>
  </si>
  <si>
    <t>MDS</t>
  </si>
  <si>
    <t>Aircraft Maximum Demonstrated LCN Span</t>
  </si>
  <si>
    <t>The largest wingspan aircraft of the highest Load Classification Number (LCN) known to have used a runway in the last five years.</t>
  </si>
  <si>
    <t>An aircraft with a shorter wingspan and the higher LCN will be identified in preference to an aircraft with a longer wingspan but lower LCN.</t>
  </si>
  <si>
    <t>TextNonLex10</t>
  </si>
  <si>
    <t>aircraftSpeedReference</t>
  </si>
  <si>
    <t>ASR</t>
  </si>
  <si>
    <t>Aircraft Speed Reference</t>
  </si>
  <si>
    <t>The reference system used for an aircraft speed value.</t>
  </si>
  <si>
    <t>AsrCode</t>
  </si>
  <si>
    <t>aircraftStandDesignator</t>
  </si>
  <si>
    <t>ASD</t>
  </si>
  <si>
    <t>Aircraft Stand Designator</t>
  </si>
  <si>
    <t>The designator of an aircraft stand used to uniquely identify it at an aerodrome.</t>
  </si>
  <si>
    <t>For example: '13' or '84 A'.</t>
  </si>
  <si>
    <t>aircraftStandType</t>
  </si>
  <si>
    <t>SAT</t>
  </si>
  <si>
    <t>Aircraft Stand Type</t>
  </si>
  <si>
    <t>The characteristics of an aircraft parking position, as a category.</t>
  </si>
  <si>
    <t>For example: a parking position on the apron, an isolated aircraft stand, or a terminal building gate.</t>
  </si>
  <si>
    <t>SatCode</t>
  </si>
  <si>
    <t>aircraftWingConfiguration</t>
  </si>
  <si>
    <t>XAA</t>
  </si>
  <si>
    <t>Aircraft Wing Configuration</t>
  </si>
  <si>
    <t>The category of an aircraft based on its wing configuration.</t>
  </si>
  <si>
    <t xml:space="preserve"> </t>
  </si>
  <si>
    <t>XaaCode</t>
  </si>
  <si>
    <t>airfieldType</t>
  </si>
  <si>
    <t>FPT</t>
  </si>
  <si>
    <t>Airfield Type</t>
  </si>
  <si>
    <t>The type of an airfield based on the size and/or paving of its runways.</t>
  </si>
  <si>
    <t>FptCode</t>
  </si>
  <si>
    <t>airfieldUse</t>
  </si>
  <si>
    <t>APT</t>
  </si>
  <si>
    <t>Airfield Use</t>
  </si>
  <si>
    <t>The primary use(s) of an airfield.</t>
  </si>
  <si>
    <t>AptCode</t>
  </si>
  <si>
    <t>airspaceActivity</t>
  </si>
  <si>
    <t>AAA</t>
  </si>
  <si>
    <t>Airspace Activity</t>
  </si>
  <si>
    <t>The primary situation(s) or reason(s) on the ground or in the air, which may have an impact on air traffic.</t>
  </si>
  <si>
    <t>For example: a missile firing range or air refuelling.</t>
  </si>
  <si>
    <t>Activity or Purpose</t>
  </si>
  <si>
    <t>AaaCode</t>
  </si>
  <si>
    <t>airspaceClass</t>
  </si>
  <si>
    <t>ACX</t>
  </si>
  <si>
    <t>Airspace Class</t>
  </si>
  <si>
    <t>A categorization of airspace which determines the operating rules, flight requirements, and services provided.</t>
  </si>
  <si>
    <t>AcxCode</t>
  </si>
  <si>
    <t>airspaceControl</t>
  </si>
  <si>
    <t>ACO</t>
  </si>
  <si>
    <t>Airspace Control</t>
  </si>
  <si>
    <t>The primary organization type providing air traffic services within a designated airspace.</t>
  </si>
  <si>
    <t>For example: civil and/or military organizations.</t>
  </si>
  <si>
    <t>AcoCode</t>
  </si>
  <si>
    <t>airspaceIdentifier</t>
  </si>
  <si>
    <t>AIA</t>
  </si>
  <si>
    <t>Airspace Identifier</t>
  </si>
  <si>
    <t>A published sequence of characters allowing the unique identification of the airspace.</t>
  </si>
  <si>
    <t>For example, the identifier of the Danger Area, Prohibited Area, or Temporary Segregated Area.</t>
  </si>
  <si>
    <t>airspaceName</t>
  </si>
  <si>
    <t>NAA</t>
  </si>
  <si>
    <t>Airspace Name</t>
  </si>
  <si>
    <t>The name given to an airspace by a responsible authority.</t>
  </si>
  <si>
    <t>It should be written as published, with no significance to upper or lower case letters.</t>
  </si>
  <si>
    <t>airspaceType</t>
  </si>
  <si>
    <t>ATY</t>
  </si>
  <si>
    <t>Airspace Type</t>
  </si>
  <si>
    <t>The general structure or characteristics of a particular airspace, as a category.</t>
  </si>
  <si>
    <t>AtyCode</t>
  </si>
  <si>
    <t>allUpWheelWeight</t>
  </si>
  <si>
    <t>AUP</t>
  </si>
  <si>
    <t>All Up Wheel Weight (AUP)</t>
  </si>
  <si>
    <t>The maximum total value of the weight of an aircraft that a movement area surface may support, regardless of the landing gear configuration of the aircraft.</t>
  </si>
  <si>
    <t>allowedAircraftOnRoute</t>
  </si>
  <si>
    <t>AAR</t>
  </si>
  <si>
    <t>Allowed Aircraft on Route</t>
  </si>
  <si>
    <t>The general categorization of aircraft that may use the route segment.</t>
  </si>
  <si>
    <t>For example: jet, helicopter, or propeller.</t>
  </si>
  <si>
    <t>AarCode</t>
  </si>
  <si>
    <t>alternate</t>
  </si>
  <si>
    <t>PRS</t>
  </si>
  <si>
    <t>Alternate</t>
  </si>
  <si>
    <t>An indication that a feature is an alternate.</t>
  </si>
  <si>
    <t>An alternate feature is one that may be used when the primary feature is unavailable.</t>
  </si>
  <si>
    <t>altAircraftDestinationUse</t>
  </si>
  <si>
    <t>AAD</t>
  </si>
  <si>
    <t>Alternate Aircraft Destination Use</t>
  </si>
  <si>
    <t>An indication that an instrument approach procedure may be used when the aerodrome is serving as an alternate to the original destination of the aircraft.</t>
  </si>
  <si>
    <t>altitudeDescription</t>
  </si>
  <si>
    <t>ALD</t>
  </si>
  <si>
    <t>Altitude Description</t>
  </si>
  <si>
    <t>The applicable interpretation of the stated altitude.</t>
  </si>
  <si>
    <t>Speed Interpretation</t>
  </si>
  <si>
    <t>AldCode</t>
  </si>
  <si>
    <t>amusementAttractionType</t>
  </si>
  <si>
    <t>AMA</t>
  </si>
  <si>
    <t>Amusement Attraction Type</t>
  </si>
  <si>
    <t>The type of an amusement park attraction based on its geometric form, appearance, configuration, and/or use.</t>
  </si>
  <si>
    <t>AmaCode</t>
  </si>
  <si>
    <t>anchorageType</t>
  </si>
  <si>
    <t>ACH</t>
  </si>
  <si>
    <t>Anchorage Type</t>
  </si>
  <si>
    <t>The type(s) of an anchorage based on the size, type, or duration of craft that may be anchored.</t>
  </si>
  <si>
    <t>AchCode</t>
  </si>
  <si>
    <t>angleInitialLimit</t>
  </si>
  <si>
    <t>AIL</t>
  </si>
  <si>
    <t>Angle Initial Limit</t>
  </si>
  <si>
    <t>The initial angular limit, expressed as a radial or bearing from an object.</t>
  </si>
  <si>
    <t>The order of the angle initial limit and terminal limit are always ordered clockwise around the central object, as viewed from above.</t>
  </si>
  <si>
    <t>RealNonNeg359r9</t>
  </si>
  <si>
    <t>angleOfOrientation</t>
  </si>
  <si>
    <t>AOO</t>
  </si>
  <si>
    <t>Angle of Orientation</t>
  </si>
  <si>
    <t>The angular distance in the horizontal plane measured from true north (0 degrees) clockwise to the major axis of the feature.</t>
  </si>
  <si>
    <t>If the feature is square, the axis 0 up to 90 degrees is recorded. If the feature is circular, 360 degrees is recorded.</t>
  </si>
  <si>
    <t>angleRadarReflector</t>
  </si>
  <si>
    <t>ARR</t>
  </si>
  <si>
    <t>Angle of Radar Reflector</t>
  </si>
  <si>
    <t>The angular distance measured from True North clockwise to the reflective side of the radar reflector.</t>
  </si>
  <si>
    <t>angleReferenceType</t>
  </si>
  <si>
    <t>ANT</t>
  </si>
  <si>
    <t>Angle Reference Type</t>
  </si>
  <si>
    <t>The navigational reference system on which the measurement of an angle is based.</t>
  </si>
  <si>
    <t>AntCode</t>
  </si>
  <si>
    <t>angleTerminalLimit</t>
  </si>
  <si>
    <t>ATL</t>
  </si>
  <si>
    <t>Angle Terminal Limit</t>
  </si>
  <si>
    <t>The terminal angular limit, expressed as a radial or bearing from an object.</t>
  </si>
  <si>
    <t>animalHusbandryType</t>
  </si>
  <si>
    <t>ANB</t>
  </si>
  <si>
    <t>Animal Husbandry Type</t>
  </si>
  <si>
    <t>The type(s) of animals on a farm or in a breeding facility.</t>
  </si>
  <si>
    <t>AnbCode</t>
  </si>
  <si>
    <t>annualChangeMagVariation</t>
  </si>
  <si>
    <t>MRC</t>
  </si>
  <si>
    <t>Annual Change in Magnetic Variation</t>
  </si>
  <si>
    <t>Rate of annual change in magnetic variation.</t>
  </si>
  <si>
    <t>antennaConfiguration</t>
  </si>
  <si>
    <t>XES</t>
  </si>
  <si>
    <t>Antenna Configuration</t>
  </si>
  <si>
    <t>The configuration of an antenna based on its construction.</t>
  </si>
  <si>
    <t>XesCode</t>
  </si>
  <si>
    <t>approachCapMarkings</t>
  </si>
  <si>
    <t>APM</t>
  </si>
  <si>
    <t>Approach Capability Markings</t>
  </si>
  <si>
    <t>A code indicating the type of markings depicted on the runway.</t>
  </si>
  <si>
    <t>ApmCode</t>
  </si>
  <si>
    <t>approachDescription</t>
  </si>
  <si>
    <t>APD</t>
  </si>
  <si>
    <t>Approach Description</t>
  </si>
  <si>
    <t>A description of the approach, including directions and potential hazards.</t>
  </si>
  <si>
    <t>approachMinimumVisibility</t>
  </si>
  <si>
    <t>AMV</t>
  </si>
  <si>
    <t>Approach Minimum Visibility</t>
  </si>
  <si>
    <t>The lowest prevailing visibility needed to land at the aerodrome when at the specified minimum altitude or height.</t>
  </si>
  <si>
    <t>The visibility value, observed in accordance with the definition of 'visibility', which is reached or exceeded within at least half the horizon circle or within at least half of the surface of the aerodrome. These areas could comprise contiguous or non-contiguous sectors. This value may be assessed by human observation and/or instrumented systems. When instruments are installed, they are used to obtain the best estimate of the prevailing visibility.</t>
  </si>
  <si>
    <t>approachPrefix</t>
  </si>
  <si>
    <t>APF</t>
  </si>
  <si>
    <t>Approach Prefix</t>
  </si>
  <si>
    <t>A word or code placed at the beginning of the procedure name to denote a special application for the procedure.</t>
  </si>
  <si>
    <t>ApfCode</t>
  </si>
  <si>
    <t>approachType</t>
  </si>
  <si>
    <t>IAT</t>
  </si>
  <si>
    <t>Approach Type</t>
  </si>
  <si>
    <t>The type of an Instrument Approach Procedure (IAP) based on the navigation equipment required.</t>
  </si>
  <si>
    <t>This will also form part of the procedure name.</t>
  </si>
  <si>
    <t>IatCode</t>
  </si>
  <si>
    <t>apronTieDownAvail</t>
  </si>
  <si>
    <t>ATA</t>
  </si>
  <si>
    <t>Apron Tie-down Available</t>
  </si>
  <si>
    <t>An indication that the capability to physically secure an aircraft to an apron surface is available.</t>
  </si>
  <si>
    <t>The aircraft may be secured to the surface of the apron with, for example, ropes or chains.</t>
  </si>
  <si>
    <t>apronType</t>
  </si>
  <si>
    <t>APY</t>
  </si>
  <si>
    <t>Apron Type</t>
  </si>
  <si>
    <t>The type of an apron based upon its location on an aerodrome and its general purpose.</t>
  </si>
  <si>
    <t>ApyCode</t>
  </si>
  <si>
    <t>apronUsage</t>
  </si>
  <si>
    <t>APU</t>
  </si>
  <si>
    <t>Apron Usage</t>
  </si>
  <si>
    <t>The function(s) that may be performed on an apron.</t>
  </si>
  <si>
    <t>ApuCode</t>
  </si>
  <si>
    <t>aquacultureFacilityType</t>
  </si>
  <si>
    <t>AQF</t>
  </si>
  <si>
    <t>Aquaculture Facility Type</t>
  </si>
  <si>
    <t>The type, purpose, or intended role served by an aquaculture facility.</t>
  </si>
  <si>
    <t>AqfCode</t>
  </si>
  <si>
    <t>aquaticVegCover</t>
  </si>
  <si>
    <t>AVC</t>
  </si>
  <si>
    <t>Aquatic Vegetation Cover</t>
  </si>
  <si>
    <t>The portion of a waterbody surface area that is covered by aquatic vegetation.</t>
  </si>
  <si>
    <t>RealNonNegInterval100</t>
  </si>
  <si>
    <t>aquaticVegGrowthHabit</t>
  </si>
  <si>
    <t>AGH</t>
  </si>
  <si>
    <t>Aquatic Vegetation Growth Habit</t>
  </si>
  <si>
    <t>The growth pattern, location and/or habit of aquatic vegetation.</t>
  </si>
  <si>
    <t>AghCode</t>
  </si>
  <si>
    <t>aqueductType</t>
  </si>
  <si>
    <t>ATC</t>
  </si>
  <si>
    <t>Aqueduct Type</t>
  </si>
  <si>
    <t>The type of an aqueduct based on its structure.</t>
  </si>
  <si>
    <t>AtcCode</t>
  </si>
  <si>
    <t>aquiferComposition</t>
  </si>
  <si>
    <t>AQP</t>
  </si>
  <si>
    <t>Aquifer Composition</t>
  </si>
  <si>
    <t>The type of permeable geologic formation that composes the aquifer.</t>
  </si>
  <si>
    <t>The ability of the aquifer to store water is dependent on the porosity and permeability of the aquifer composition.</t>
  </si>
  <si>
    <t>AqpCode</t>
  </si>
  <si>
    <t>aquiferDepth</t>
  </si>
  <si>
    <t>DPA</t>
  </si>
  <si>
    <t>Aquifer Depth</t>
  </si>
  <si>
    <t>The distance between the terrain surface and the upper surface of the aquifer.</t>
  </si>
  <si>
    <t>aquiferName</t>
  </si>
  <si>
    <t>AQN</t>
  </si>
  <si>
    <t>Aquifer Name</t>
  </si>
  <si>
    <t>The common or scientific name of an aquifer.</t>
  </si>
  <si>
    <t>aquiferOverburden</t>
  </si>
  <si>
    <t>AQO</t>
  </si>
  <si>
    <t>Aquifer Overburden</t>
  </si>
  <si>
    <t>The type(s) and/or morphology(ies) of terrain material that overlie an aquifer.</t>
  </si>
  <si>
    <t>AqoCode</t>
  </si>
  <si>
    <t>aquiferProductivity</t>
  </si>
  <si>
    <t>AQC</t>
  </si>
  <si>
    <t>Aquifer Productivity</t>
  </si>
  <si>
    <t>The potential of an aquifer (bedrock or superficial deposit) in litres per second, as a category.</t>
  </si>
  <si>
    <t>The productivity refers to the estimated typical long-term yield from single, properly sited and constructed borehole (well).</t>
  </si>
  <si>
    <t>AqcCode</t>
  </si>
  <si>
    <t>aquiferThickness</t>
  </si>
  <si>
    <t>AQT</t>
  </si>
  <si>
    <t>Aquifer Thickness</t>
  </si>
  <si>
    <t>The distance between the upper and lower surfaces of an aquifer.</t>
  </si>
  <si>
    <t>The value describes the vertical extent of the completely saturated portion of the aquifer.</t>
  </si>
  <si>
    <t>aquiferYieldRating</t>
  </si>
  <si>
    <t>AYR</t>
  </si>
  <si>
    <t>Aquifer Yield Rating</t>
  </si>
  <si>
    <t>The estimated typical long-term yield from a single, properly sited and constructed well in the aquifer.</t>
  </si>
  <si>
    <t>ARA</t>
  </si>
  <si>
    <t>The area within the delineation of the feature.</t>
  </si>
  <si>
    <t>areaInitialAngle</t>
  </si>
  <si>
    <t>AA1</t>
  </si>
  <si>
    <t>Area Initial Angle</t>
  </si>
  <si>
    <t>A bearing that begins a clockwise arc.</t>
  </si>
  <si>
    <t>Used to define an area based on a center point plus two angles and two distances.</t>
  </si>
  <si>
    <t>areaInnerBoundaryDistance</t>
  </si>
  <si>
    <t>AIB</t>
  </si>
  <si>
    <t>Area Inner Boundary Distance</t>
  </si>
  <si>
    <t>The distance from a specified center point to the inner boundary of an area.</t>
  </si>
  <si>
    <t>areaMinimumAltitude</t>
  </si>
  <si>
    <t>AAM</t>
  </si>
  <si>
    <t>Area Minimum Altitude (AMA)</t>
  </si>
  <si>
    <t>The minimum altitude to be used under Instrument Meteorological Conditions (IMC) that provides a minimum obstacle clearance within a specified area.</t>
  </si>
  <si>
    <t>The area is normally specified by a pair of geographic parallels and a pair of geographic meridians.</t>
  </si>
  <si>
    <t>areaOuterBoundaryDistance</t>
  </si>
  <si>
    <t>AOB</t>
  </si>
  <si>
    <t>Area Outer Boundary Distance</t>
  </si>
  <si>
    <t>The distance from a specified center point to the outer boundary of an area.</t>
  </si>
  <si>
    <t>areaTerminatingAngle</t>
  </si>
  <si>
    <t>AA2</t>
  </si>
  <si>
    <t>Area Terminating Angle</t>
  </si>
  <si>
    <t>A bearing that ends a clockwise arc.</t>
  </si>
  <si>
    <t>aridMonthCount</t>
  </si>
  <si>
    <t>AMM</t>
  </si>
  <si>
    <t>Arid Month Count</t>
  </si>
  <si>
    <t>The average number of arid months per year, within an area.</t>
  </si>
  <si>
    <t>arrestGearCategory</t>
  </si>
  <si>
    <t>AGC</t>
  </si>
  <si>
    <t>Arresting Gear Category</t>
  </si>
  <si>
    <t>Device used to stop an uncontrolled aircraft at the end of a runway.</t>
  </si>
  <si>
    <t>AgcCode</t>
  </si>
  <si>
    <t>arrestSysEnergyAbsorbType</t>
  </si>
  <si>
    <t>AGB</t>
  </si>
  <si>
    <t>Arresting System Energy Absorber Type</t>
  </si>
  <si>
    <t>The type of energy absorber by which the arresting system rapidly dissipates the kinetic energy of a moving aircraft that engages the arresting system, bringing the aircraft to a stop.</t>
  </si>
  <si>
    <t>For example: a rotary brake, a chain brake, or an EMAS.</t>
  </si>
  <si>
    <t>Arresting Gear Energy Absorber Type</t>
  </si>
  <si>
    <t>AgbCode</t>
  </si>
  <si>
    <t>arrestSysEngageDeviceType</t>
  </si>
  <si>
    <t>AGE</t>
  </si>
  <si>
    <t>Arresting System Engagement Device Type</t>
  </si>
  <si>
    <t>The type of device that is used to engage an aircraft upon landing in order to immediately stop it.</t>
  </si>
  <si>
    <t>The engagement device is connected to an energy absorber that rapidly dissipates the kinetic energy of the moving aircraft, bringing the aircraft to a stop. Examples of devices include hooks, barriers, and nets.</t>
  </si>
  <si>
    <t>Arresting Gear Engagement Device Type</t>
  </si>
  <si>
    <t>AgeCode</t>
  </si>
  <si>
    <t>arrestSysEngageDirect</t>
  </si>
  <si>
    <t>AGD</t>
  </si>
  <si>
    <t>Arresting System Engagement Direction</t>
  </si>
  <si>
    <t>The direction on a runway that the aircraft must be moving in order to utilize the arresting system.</t>
  </si>
  <si>
    <t>Arresting Gear Engagement Direction</t>
  </si>
  <si>
    <t>AgdCode</t>
  </si>
  <si>
    <t>arrestSysLocation</t>
  </si>
  <si>
    <t>AGL</t>
  </si>
  <si>
    <t>Arresting System Location</t>
  </si>
  <si>
    <t>The distance of the arresting system from the identified threshold of the runway.</t>
  </si>
  <si>
    <t>Arresting Gear Location</t>
  </si>
  <si>
    <t>arsenicConcentration</t>
  </si>
  <si>
    <t>ASE</t>
  </si>
  <si>
    <t>Arsenic Concentration</t>
  </si>
  <si>
    <t>The mass of arsenic per volume of solution.</t>
  </si>
  <si>
    <t>Arsenic sources include natural deposits, use as a pesticide agent, and from phosphate fertilizers containing arsenic.</t>
  </si>
  <si>
    <t>assignedFrequency</t>
  </si>
  <si>
    <t>AFQ</t>
  </si>
  <si>
    <t>Assigned Frequency</t>
  </si>
  <si>
    <t>The radio frequency assigned by the controlling authority.</t>
  </si>
  <si>
    <t>The assigned frequency is the preferred initial communications frequency as determined by the controlling authority, and can be different from the actual broadcast frequency.</t>
  </si>
  <si>
    <t>associatedText</t>
  </si>
  <si>
    <t>(Geospatial Intelligence Feature Database (GIFD): 'COMMENTS')</t>
  </si>
  <si>
    <t>TXT</t>
  </si>
  <si>
    <t>Associated Text</t>
  </si>
  <si>
    <t>A narrative or other textual description associated with a feature or data set.</t>
  </si>
  <si>
    <t>TextLex255</t>
  </si>
  <si>
    <t>astroAzMeridionalComponent</t>
  </si>
  <si>
    <t>AZM</t>
  </si>
  <si>
    <t>Astronomic Azimuth Meridional Component</t>
  </si>
  <si>
    <t>The deflection, north or south, of the vertical component of the astronomic azimuth when compared to the local geographic azimuth.</t>
  </si>
  <si>
    <t>A northern deflection results in a positive value of the meridional component. The geographic azimuth is the angle between a line and a plane that is parallel to both the rotational axis of the Earth and the normal to a given spheroidal approximation to the shape of the Earth at that location.</t>
  </si>
  <si>
    <t>astroAzPrimeVertComponent</t>
  </si>
  <si>
    <t>AZP</t>
  </si>
  <si>
    <t>Astronomic Azimuth Prime Vertical Component</t>
  </si>
  <si>
    <t>The deflection, east or west, of the vertical component of the astronomic azimuth when compared to the local geographic azimuth.</t>
  </si>
  <si>
    <t>An eastern deflection results in a positive value of the prime vertical component. The geographic azimuth is the angle between a line and a plane that is parallel to both the rotational axis of the Earth and the normal to a given spheroidal approximation to the shape of the Earth at that location.</t>
  </si>
  <si>
    <t>attachedBuilding</t>
  </si>
  <si>
    <t>ATB</t>
  </si>
  <si>
    <t>Attached Building</t>
  </si>
  <si>
    <t>An indication that a building is physically contiguous (for example: shares a common wall) with one or more adjacent buildings.</t>
  </si>
  <si>
    <t>When a single residence is attached to a single adjacent residence it is considered to be 'semi-detached' and may be termed a 'duplex'. When a single residence is attached to two adjacent residences on opposite sides to form a row it is termed a 'terraced house' or 'row house'.</t>
  </si>
  <si>
    <t>attackThwarted</t>
  </si>
  <si>
    <t>ATT</t>
  </si>
  <si>
    <t>Attack Thwarted</t>
  </si>
  <si>
    <t>An indication that an aggressive act was thwarted, the intended victim able to continue with normal operations.</t>
  </si>
  <si>
    <t>availabilityCategory</t>
  </si>
  <si>
    <t>ACG</t>
  </si>
  <si>
    <t>Availability Category</t>
  </si>
  <si>
    <t>The reported availability of a product, service, feature, or facility, as a category.</t>
  </si>
  <si>
    <t>AcgCode</t>
  </si>
  <si>
    <t>availablePol</t>
  </si>
  <si>
    <t>FFA</t>
  </si>
  <si>
    <t>Available POL</t>
  </si>
  <si>
    <t>The type(s) of petroleum, oils, and lubricants (POL) available at, or on the grounds of, a facility.</t>
  </si>
  <si>
    <t>POL include a variety of substances, including fuels used in motor vehicles, heating fuels, and lubricants used in vehicle and engine maintenance. Water for maintenance operations may be included.</t>
  </si>
  <si>
    <t>FfaCode</t>
  </si>
  <si>
    <t>availableVehicleMaint</t>
  </si>
  <si>
    <t>MFA</t>
  </si>
  <si>
    <t>Available Vehicle Maintenance</t>
  </si>
  <si>
    <t>The type(s) of vehicle maintenance facilities available at, or in the near vicinity of, a location.</t>
  </si>
  <si>
    <t>MfaCode</t>
  </si>
  <si>
    <t>availableVesselService</t>
  </si>
  <si>
    <t>AFA</t>
  </si>
  <si>
    <t>Available Vessel Service</t>
  </si>
  <si>
    <t>The type(s) of vessel service available at, or in the near vicinity of, a facility.</t>
  </si>
  <si>
    <t>AfaCode</t>
  </si>
  <si>
    <t>averageWaterDepth</t>
  </si>
  <si>
    <t>WDA</t>
  </si>
  <si>
    <t>Average Water Depth</t>
  </si>
  <si>
    <t>The average water depth, exclusive of high water due to runoff or low water due to drought.</t>
  </si>
  <si>
    <t>May be biased toward the maximum depths within the limits of the feature in order to support estimation of trafficability.</t>
  </si>
  <si>
    <t>aviationFuelType</t>
  </si>
  <si>
    <t>AFU</t>
  </si>
  <si>
    <t>Aviation Fuel Type</t>
  </si>
  <si>
    <t>The type(s) of fuel available for aircraft and helicopters.</t>
  </si>
  <si>
    <t>For example: OCT73, OCT80-87, AVGAS, OCT100-130, OCT115-145, MOGAS, JET, A1, A1+, B, JP4, or JP5.</t>
  </si>
  <si>
    <t>AfuCode</t>
  </si>
  <si>
    <t>aviationHydraulicFluidType</t>
  </si>
  <si>
    <t>AHF</t>
  </si>
  <si>
    <t>Aviation Hydraulic Fluid Type</t>
  </si>
  <si>
    <t>The type(s) of hydraulic fluid available for aircraft at an aerodrome.</t>
  </si>
  <si>
    <t>AhfCode</t>
  </si>
  <si>
    <t>aviationNitrogenSupplyType</t>
  </si>
  <si>
    <t>ANS</t>
  </si>
  <si>
    <t>Aviation Nitrogen Supply Type</t>
  </si>
  <si>
    <t>The form(s) in which nitrogen is available for transfer or use.</t>
  </si>
  <si>
    <t>AnsCode</t>
  </si>
  <si>
    <t>aviationOilType</t>
  </si>
  <si>
    <t>AOT</t>
  </si>
  <si>
    <t>Aviation Oil Type</t>
  </si>
  <si>
    <t>The type(s) of lubricating oil available for aircraft at an aerodrome.</t>
  </si>
  <si>
    <t>AotCode</t>
  </si>
  <si>
    <t>aviationOxygenSupplyType</t>
  </si>
  <si>
    <t>AOS</t>
  </si>
  <si>
    <t>Aviation Oxygen Supply Type</t>
  </si>
  <si>
    <t>The type(s) of oxygen supplies available for aviation usage.</t>
  </si>
  <si>
    <t>AosCode</t>
  </si>
  <si>
    <t>aviationPortOfEntryStatus</t>
  </si>
  <si>
    <t>PYS</t>
  </si>
  <si>
    <t>Aviation Port of Entry Status</t>
  </si>
  <si>
    <t>The type of designation of an aerodrome as a location where initial entry into a country must occur.</t>
  </si>
  <si>
    <t>Entry into a country may be made at an airport of entry where prior permission to land is not required or at a landing rights airport where prior permission to land is necessary from the appropriate authority.</t>
  </si>
  <si>
    <t>PysCode</t>
  </si>
  <si>
    <t>backcourseLocalizerUseType</t>
  </si>
  <si>
    <t>LBU</t>
  </si>
  <si>
    <t>Backcourse Localizer Use Type</t>
  </si>
  <si>
    <t>The usability of the localizer signal in the direction opposite of the primary localizer course.</t>
  </si>
  <si>
    <t>LbuCode</t>
  </si>
  <si>
    <t>badSoundingIdentifier</t>
  </si>
  <si>
    <t>USI</t>
  </si>
  <si>
    <t>BAD Sounding Identifier</t>
  </si>
  <si>
    <t>Unique identifier for tracking Bathymetry Archive Data (BAD).</t>
  </si>
  <si>
    <t>Index</t>
  </si>
  <si>
    <t>bankOrientation</t>
  </si>
  <si>
    <t>IBO</t>
  </si>
  <si>
    <t>Bank Orientation</t>
  </si>
  <si>
    <t>The relative orientation of a bank of an inland waterbody based on the direction of predominant water flow in the adjacent waterbody.</t>
  </si>
  <si>
    <t>IboCode</t>
  </si>
  <si>
    <t>bankVegetationCharacter</t>
  </si>
  <si>
    <t>BVC</t>
  </si>
  <si>
    <t>Bank Vegetation Character</t>
  </si>
  <si>
    <t>The predominant type of a bank vegetation zone based on species, biome, physiography and/or structural organization.</t>
  </si>
  <si>
    <t>BvcCode</t>
  </si>
  <si>
    <t>bankfullChannelWidth</t>
  </si>
  <si>
    <t>SNW</t>
  </si>
  <si>
    <t>Bankfull Channel Width</t>
  </si>
  <si>
    <t>The surface width of a river or stream channel when flowing at bankfull discharge.</t>
  </si>
  <si>
    <t>Bankfull discharge is generally thought of as the flow that fills the channel up to the top of the banks, prior to flooding. The edge of the bankfull channel typically coresponds to the start of the floodplain. Where multiple channels exist within a feature, bankfull width is the sum of the individual channel widths along the cross section.</t>
  </si>
  <si>
    <t>bargeLoadClass</t>
  </si>
  <si>
    <t>BLC</t>
  </si>
  <si>
    <t>Barge Load Class</t>
  </si>
  <si>
    <t>A description of any load restrictions which apply to barges using a section of waterway or facility.</t>
  </si>
  <si>
    <t>TextLex80</t>
  </si>
  <si>
    <t>barrierTopType</t>
  </si>
  <si>
    <t>BAT</t>
  </si>
  <si>
    <t>Barrier Top Type</t>
  </si>
  <si>
    <t>The type of structure and/or material mounted on the top of a barrier (for example: a fence or a wall).</t>
  </si>
  <si>
    <t>BatCode</t>
  </si>
  <si>
    <t>baseElevation</t>
  </si>
  <si>
    <t>BEL</t>
  </si>
  <si>
    <t>Base Elevation</t>
  </si>
  <si>
    <t>The vertical distance from a specified vertical datum to the terrain surface of or at the base of the feature.</t>
  </si>
  <si>
    <t>If the feature is not supported above the surface by another feature then the base of the feature is usually located at ground or water level on the downhill/downstream side. For non-inland water bodies, the water level is usually understood to be Mean Sea Level (MSL). In the case of a survey marker (monument) this is usually the elevation assigned to the marker (monument).</t>
  </si>
  <si>
    <t>basicEncyclopediaNumber</t>
  </si>
  <si>
    <t>BEN</t>
  </si>
  <si>
    <t>Basic Encyclopedia (BE) Number</t>
  </si>
  <si>
    <t>The unique identifier of a feature as assigned in the Basic Encyclopedia (a compilation of identified installations and physical areas of potential significance as objectives for attack).</t>
  </si>
  <si>
    <t>It is intended to be used to locate information about the feature that is stored in other databases.</t>
  </si>
  <si>
    <t>BenKey</t>
  </si>
  <si>
    <t>basinGateType</t>
  </si>
  <si>
    <t>BGT</t>
  </si>
  <si>
    <t>Basin Gate Type</t>
  </si>
  <si>
    <t>The type of a basin gate based on its structure and/or intended use.</t>
  </si>
  <si>
    <t>BgtCode</t>
  </si>
  <si>
    <t>bathyMeasureQualityCat</t>
  </si>
  <si>
    <t>DKC</t>
  </si>
  <si>
    <t>Bathymetric Measurement Quality Category</t>
  </si>
  <si>
    <t>A general evaluation of the qualities of a bathymetric measurement, as a category.</t>
  </si>
  <si>
    <t>Drying heights are typically captured using negative (bathymetric) sounding values; their certainty of measurement may be categorized in the same manner as positive values.</t>
  </si>
  <si>
    <t>DkcCode</t>
  </si>
  <si>
    <t>bathyMeasureTechnique</t>
  </si>
  <si>
    <t>TEC</t>
  </si>
  <si>
    <t>Bathymetric Measurement Technique</t>
  </si>
  <si>
    <t>The technique used to determine water depth(s).</t>
  </si>
  <si>
    <t>TecCode</t>
  </si>
  <si>
    <t>batteryRechargeAvail</t>
  </si>
  <si>
    <t>BRA</t>
  </si>
  <si>
    <t>Battery Recharge Available</t>
  </si>
  <si>
    <t>An indication that the feature includes facilities for the recharging of batteries in battery electric vehicles (BEVs) and/or the exchange of discharged batteries for those that have been previously recharged.</t>
  </si>
  <si>
    <t>Recharging may be either over a short period of time (for example: at a motor vehicle station) or involve a multi-hour gradual process (for example: during the day-time at a parking facility).</t>
  </si>
  <si>
    <t>bayType</t>
  </si>
  <si>
    <t>BYC</t>
  </si>
  <si>
    <t>Bay Type</t>
  </si>
  <si>
    <t>The type of a bay based on its shape and location.</t>
  </si>
  <si>
    <t>BycCode</t>
  </si>
  <si>
    <t>beachConfiguration</t>
  </si>
  <si>
    <t>BEC</t>
  </si>
  <si>
    <t>Beach Configuration</t>
  </si>
  <si>
    <t>The type of configuration of a beach based on its overall shape as observed from above.</t>
  </si>
  <si>
    <t>BecCode</t>
  </si>
  <si>
    <t>beachExitUsability</t>
  </si>
  <si>
    <t>EXU</t>
  </si>
  <si>
    <t>Beach Exit Usability</t>
  </si>
  <si>
    <t>The usability of beach exit corridors for vehicles and infantry.</t>
  </si>
  <si>
    <t>ExuCode</t>
  </si>
  <si>
    <t>beaconMinorAxisBearing</t>
  </si>
  <si>
    <t>MAB</t>
  </si>
  <si>
    <t>Beacon Minor Axis Bearing</t>
  </si>
  <si>
    <t>The bearing of the minor axis of the marker beacon with respect to True North.</t>
  </si>
  <si>
    <t>Axis Bearing</t>
  </si>
  <si>
    <t>beaconSectorInitialLimit</t>
  </si>
  <si>
    <t>SC1</t>
  </si>
  <si>
    <t>Beacon Sector Initial Limit</t>
  </si>
  <si>
    <t>The initial angular limit of visibility of a beacon sector expressed as a bearing from seaward to the central object.</t>
  </si>
  <si>
    <t>The order of sector initial limit and sector terminal limit is clockwise around the central object. The bearing direction conforms with the method used in 'List of Lights' publications.</t>
  </si>
  <si>
    <t>beaconSectorTerminalLimit</t>
  </si>
  <si>
    <t>SC2</t>
  </si>
  <si>
    <t>Beacon Sector Terminal Limit</t>
  </si>
  <si>
    <t>The terminal angular limit of visibility of a beacon sector expressed as a bearing from seaward to the central object.</t>
  </si>
  <si>
    <t>bearingReciprocalCategory</t>
  </si>
  <si>
    <t>BRR</t>
  </si>
  <si>
    <t>Bearing and Reciprocal Category</t>
  </si>
  <si>
    <t>The true course of a vessel when proceeding along a track or route, followed by its reciprocal bearing.</t>
  </si>
  <si>
    <t>BrrStrucText</t>
  </si>
  <si>
    <t>bearingFromSeaward</t>
  </si>
  <si>
    <t>BRS</t>
  </si>
  <si>
    <t>Bearing from Seaward</t>
  </si>
  <si>
    <t>The bearing of an object measured from a position at sea to the object (not from the object to somewhere at sea).</t>
  </si>
  <si>
    <t>RealNonNeg360</t>
  </si>
  <si>
    <t>bearingOfObject</t>
  </si>
  <si>
    <t>BRG</t>
  </si>
  <si>
    <t>Bearing of Object</t>
  </si>
  <si>
    <t>The bearing of an object from an observer (on any point along the line) towards the object or feature.</t>
  </si>
  <si>
    <t>Expressed in degrees and tenths (for example: 3.0).</t>
  </si>
  <si>
    <t>belowWaterBankSlope</t>
  </si>
  <si>
    <t>BWB</t>
  </si>
  <si>
    <t>Below Water Bank Slope</t>
  </si>
  <si>
    <t>The amount of downward inclination between the horizontal surface of the mean water level of a watercourse where it touches the bank and the first break in underwater slope.</t>
  </si>
  <si>
    <t>berthIdentifier</t>
  </si>
  <si>
    <t>BER</t>
  </si>
  <si>
    <t>Berth Identifier</t>
  </si>
  <si>
    <t>The designated number or letter used to identify this feature.</t>
  </si>
  <si>
    <t>KeyNonLex80</t>
  </si>
  <si>
    <t>berthRadius</t>
  </si>
  <si>
    <t>BTR</t>
  </si>
  <si>
    <t>Berth Radius</t>
  </si>
  <si>
    <t>The radius of an anchor berth that allows sufficient room for the vessel to swing so as to avoid collision with other vessels.</t>
  </si>
  <si>
    <t>For specialized vessels (for example: a mobile offshore drilling unit) the radius may include a 'standoff distance' to ensure against fouling of associated underwater equipment (for example: mooring cables or the drillpipe).</t>
  </si>
  <si>
    <t>bidirectional</t>
  </si>
  <si>
    <t>BDS</t>
  </si>
  <si>
    <t>Bidirectional</t>
  </si>
  <si>
    <t>An indication that a feature supports bidirectional flow.</t>
  </si>
  <si>
    <t>biologicalCondition</t>
  </si>
  <si>
    <t>BCO</t>
  </si>
  <si>
    <t>Biological Condition</t>
  </si>
  <si>
    <t>The biological risk for species.</t>
  </si>
  <si>
    <t>BcoCode</t>
  </si>
  <si>
    <t>biomeType</t>
  </si>
  <si>
    <t>WWF</t>
  </si>
  <si>
    <t>Biome Type</t>
  </si>
  <si>
    <t>The biome type, as defined by the World Wildlife Fund (WWF).</t>
  </si>
  <si>
    <t>A biome is a climatically and geographically defined area of ecologically similar communities of plants, animals and soil organisms, often referred to as ecosystem.</t>
  </si>
  <si>
    <t>WwfCode</t>
  </si>
  <si>
    <t>birthRate</t>
  </si>
  <si>
    <t>BIR</t>
  </si>
  <si>
    <t>Birth-rate</t>
  </si>
  <si>
    <t>The annual number of human births per 1000 inhabitants, within an area.</t>
  </si>
  <si>
    <t>bodyWaveMagnitude</t>
  </si>
  <si>
    <t>BWM</t>
  </si>
  <si>
    <t>Body-wave Magnitude</t>
  </si>
  <si>
    <t>The body-wave magnitude of the earthquake as reported by the U.S. Geological Survey.</t>
  </si>
  <si>
    <t>A body-wave is a seismic wave that travels into and through the Earth's inner layers. Its magnitude is quantified using a base-10 logarithmic scale based on the ratio of the amplitude of ground motion to its period, corrected by a factor that is a function of the distance from the point of measurement to the earthquake epicenter and the focal depth of the earthquake.</t>
  </si>
  <si>
    <t>bogType</t>
  </si>
  <si>
    <t>BOC</t>
  </si>
  <si>
    <t>Bog Type</t>
  </si>
  <si>
    <t>The type of a bog or fen based on its morphology and/or dominant vegetation.</t>
  </si>
  <si>
    <t>A fen is similar to a bog but may have alkaline, neutral, or only slightly acid peaty soil whereas a bog is generally very acidic. In both cases the vegetation is usually dominated by peat mosses, ericaceous shrubs, and sedges.</t>
  </si>
  <si>
    <t>BocCode</t>
  </si>
  <si>
    <t>bollardMobile</t>
  </si>
  <si>
    <t>BRM</t>
  </si>
  <si>
    <t>Bollard Mobile</t>
  </si>
  <si>
    <t>An indication that a bollard is constructed to be moveable.</t>
  </si>
  <si>
    <t>Bollards may be, for example, retractable, collapsible or removable.</t>
  </si>
  <si>
    <t>bollardType</t>
  </si>
  <si>
    <t>BRD</t>
  </si>
  <si>
    <t>Bollard Type</t>
  </si>
  <si>
    <t>The type of a bollard based on its intended use.</t>
  </si>
  <si>
    <t>BrdCode</t>
  </si>
  <si>
    <t>borderCrossingType</t>
  </si>
  <si>
    <t>BRY</t>
  </si>
  <si>
    <t>Border Crossing Type</t>
  </si>
  <si>
    <t>The type of a border crossing based on the principal structure (for example: a bridge, dam, or tunnel) that enables transport flow across the border.</t>
  </si>
  <si>
    <t>BryCode</t>
  </si>
  <si>
    <t>borderProtectionType</t>
  </si>
  <si>
    <t>BPT</t>
  </si>
  <si>
    <t>Border Protection Type</t>
  </si>
  <si>
    <t>The type of border fortification and/or protection.</t>
  </si>
  <si>
    <t>For example: between neighbouring States.</t>
  </si>
  <si>
    <t>BptCode</t>
  </si>
  <si>
    <t>boreholeAbandonmentDate</t>
  </si>
  <si>
    <t>DTA</t>
  </si>
  <si>
    <t>Borehole Abandonment Date</t>
  </si>
  <si>
    <t>The date on which a borehole was sealed.</t>
  </si>
  <si>
    <t>All well-head equipment is removed and the hole plugged with cement and a steel plate cemented over the top.</t>
  </si>
  <si>
    <t>DtaStrucText</t>
  </si>
  <si>
    <t>boreholeType</t>
  </si>
  <si>
    <t>PTD</t>
  </si>
  <si>
    <t>Borehole Type</t>
  </si>
  <si>
    <t>The type of a borehole based on the purpose for which it was drilled.</t>
  </si>
  <si>
    <t>PtdCode</t>
  </si>
  <si>
    <t>bottomContactStatus</t>
  </si>
  <si>
    <t>BCS</t>
  </si>
  <si>
    <t>Bottom Contact Status</t>
  </si>
  <si>
    <t>The status of determination of the nature of a subsurface (bottom) contact.</t>
  </si>
  <si>
    <t>BcsCode</t>
  </si>
  <si>
    <t>bottomMaterialType</t>
  </si>
  <si>
    <t>BMC</t>
  </si>
  <si>
    <t>Bottom Material Type</t>
  </si>
  <si>
    <t>The primary type(s) of material composing the bottom of a body of water.</t>
  </si>
  <si>
    <t>BmcCode</t>
  </si>
  <si>
    <t>bottomObjectType</t>
  </si>
  <si>
    <t>BOB</t>
  </si>
  <si>
    <t>Bottom Object Type</t>
  </si>
  <si>
    <t>The type of an object protruding above the water body bottom.</t>
  </si>
  <si>
    <t>For example, as specified by the U.S. Non-Submarine Contact List. Bottom objects may include rocks (for example: pinnacles), underwater constructions (for example: wellheads and other equipment in oil and gas fields), wrecks, and other man-made debris (for example: lost ground tackle or dumped materials). The object may, depending on conditions, float and/or be partially exposed above the water surface.</t>
  </si>
  <si>
    <t>BobCode</t>
  </si>
  <si>
    <t>boundaryDemarcated</t>
  </si>
  <si>
    <t>DMC</t>
  </si>
  <si>
    <t>Boundary Demarcated</t>
  </si>
  <si>
    <t>An indication that a boundary is demarcated.</t>
  </si>
  <si>
    <t>Demarcation refers to the surveying and erection of markers along a land boundary after a boundary has been delimited according to a treaty or other agreement.</t>
  </si>
  <si>
    <t>boundaryDetermineMethod</t>
  </si>
  <si>
    <t>CFT</t>
  </si>
  <si>
    <t>Boundary Determination Method</t>
  </si>
  <si>
    <t>The method by which a boundary has been determined.</t>
  </si>
  <si>
    <t>CftCode</t>
  </si>
  <si>
    <t>boundaryDisputeType</t>
  </si>
  <si>
    <t>DSP</t>
  </si>
  <si>
    <t>Boundary Dispute Type</t>
  </si>
  <si>
    <t>The type of dispute, if any, concerning a boundary.</t>
  </si>
  <si>
    <t>DspCode</t>
  </si>
  <si>
    <t>boundaryFirstName</t>
  </si>
  <si>
    <t>NM3</t>
  </si>
  <si>
    <t>Boundary First Name</t>
  </si>
  <si>
    <t>The name of the political entity on the first side of a boundary line.</t>
  </si>
  <si>
    <t>Attribute: 'Boundary Second Name' may be used to identify the name of the political entity on the other side of the boundary line.</t>
  </si>
  <si>
    <t>boundaryLightsPresent</t>
  </si>
  <si>
    <t>FBL</t>
  </si>
  <si>
    <t>Boundary Lights Present</t>
  </si>
  <si>
    <t>An indication that an aircraft facility has available boundary lights.</t>
  </si>
  <si>
    <t>boundaryRepresentatPolicy</t>
  </si>
  <si>
    <t>RPC</t>
  </si>
  <si>
    <t>Boundary Representation Policy</t>
  </si>
  <si>
    <t>An official (for example: by a State Department or Foreign Office) interpretation of a boundary status to be reflected in the portrayal of that boundary.</t>
  </si>
  <si>
    <t>RpcCode</t>
  </si>
  <si>
    <t>boundarySecondName</t>
  </si>
  <si>
    <t>NM4</t>
  </si>
  <si>
    <t>Boundary Second Name</t>
  </si>
  <si>
    <t>The name of the political entity on the second side of a boundary line.</t>
  </si>
  <si>
    <t>Attribute: 'Boundary First Name' may be used to identify the name of the political entity on the other side of the boundary line.</t>
  </si>
  <si>
    <t>boundaryStatus</t>
  </si>
  <si>
    <t>BST</t>
  </si>
  <si>
    <t>Boundary Status</t>
  </si>
  <si>
    <t>The status of delimitation of a boundary.</t>
  </si>
  <si>
    <t>BstCode</t>
  </si>
  <si>
    <t>branchRailwayType</t>
  </si>
  <si>
    <t>RSA</t>
  </si>
  <si>
    <t>Branch Railway Type</t>
  </si>
  <si>
    <t>The function or configuration of a branch railway.</t>
  </si>
  <si>
    <t>RsaCode</t>
  </si>
  <si>
    <t>bridgeInfoReliability</t>
  </si>
  <si>
    <t>RBC</t>
  </si>
  <si>
    <t>Bridge Information Reliability</t>
  </si>
  <si>
    <t>The reliability of information regarding bridge military load classification and related characteristics.</t>
  </si>
  <si>
    <t>RbcCode</t>
  </si>
  <si>
    <t>bridgeOpeningType</t>
  </si>
  <si>
    <t>BOT</t>
  </si>
  <si>
    <t>Bridge Opening Type</t>
  </si>
  <si>
    <t>The type of structure or mechanism by which a bridge or bridge span is moved to allow passage of a vessel.</t>
  </si>
  <si>
    <t>BotCode</t>
  </si>
  <si>
    <t>bridgeReferenceNumber</t>
  </si>
  <si>
    <t>BRN</t>
  </si>
  <si>
    <t>Bridge Reference Number</t>
  </si>
  <si>
    <t>The unique identifier of a bridge in accordance with the provisions of terrain analysis databases (for example: PTADB or TTADB).</t>
  </si>
  <si>
    <t>The identifier is assigned consecutively (for example: within a map sheet or within a local area of interest) and begins with the northwest grid square of the UTM reference system and proceeds from left to right to the east edge of the sheet or area, continuing consecutively in the same way starting back at the west edge of the next line of UTM grid squares below those previously completed. The resulting identifiers are used to index an associated Bridge Information Table.</t>
  </si>
  <si>
    <t>KeyNonLex24</t>
  </si>
  <si>
    <t>bridgeSerialNumber</t>
  </si>
  <si>
    <t>BSN</t>
  </si>
  <si>
    <t>Bridge Serial Number</t>
  </si>
  <si>
    <t>The unique identifier of a bridge in accordance with the provisions of STANAG 2253.</t>
  </si>
  <si>
    <t>The identifier is generally assigned within a recognized national or regional system of identification, however an informal system of identification (for example: assigned within a map sheet or assigned within a local area of interest) may also be employed.</t>
  </si>
  <si>
    <t>bridgeStructureType</t>
  </si>
  <si>
    <t>BSC</t>
  </si>
  <si>
    <t>Bridge Structure Type</t>
  </si>
  <si>
    <t>The type(s) of structural design of a bridge, bridge span, or bridge superstructure.</t>
  </si>
  <si>
    <t>BscCode</t>
  </si>
  <si>
    <t>bridgeSupportType</t>
  </si>
  <si>
    <t>XBT</t>
  </si>
  <si>
    <t>Bridge Support Type</t>
  </si>
  <si>
    <t>The type of a structure that supports a bridge.</t>
  </si>
  <si>
    <t>XbtCode</t>
  </si>
  <si>
    <t>broadcastFrequency</t>
  </si>
  <si>
    <t>BRF</t>
  </si>
  <si>
    <t>Broadcast Frequency</t>
  </si>
  <si>
    <t>The transmission frequency of a radio communications device (for example: a television station or a radiobeacon).</t>
  </si>
  <si>
    <t>Integer</t>
  </si>
  <si>
    <t>buildingOverhangType</t>
  </si>
  <si>
    <t>BOV</t>
  </si>
  <si>
    <t>Building Overhang Type</t>
  </si>
  <si>
    <t>The type of building overhang based on the appearance and/or function.</t>
  </si>
  <si>
    <t>BovCode</t>
  </si>
  <si>
    <t>buildingSuperstructType</t>
  </si>
  <si>
    <t>BSU</t>
  </si>
  <si>
    <t>Building Superstructure Type</t>
  </si>
  <si>
    <t>The type of a superstructure that extends above the general roofline of a building.</t>
  </si>
  <si>
    <t>BsuCode</t>
  </si>
  <si>
    <t>builtUpAreaDensityCat</t>
  </si>
  <si>
    <t>BAC</t>
  </si>
  <si>
    <t>Built-up Area Density Category</t>
  </si>
  <si>
    <t>A general evaluation of the density of a built-up area, as a category.</t>
  </si>
  <si>
    <t>BacCode</t>
  </si>
  <si>
    <t>bunkerFunction</t>
  </si>
  <si>
    <t>BUF</t>
  </si>
  <si>
    <t>Bunker Function</t>
  </si>
  <si>
    <t>The function(s) of a bunker.</t>
  </si>
  <si>
    <t>A bunker is a hardened, explosion-proof defensive or protective installation (designed as military or civilian high-rise or underground bunker) sheltering personnel or material brought into that place from outside impact or the environment from a direct threat from inside.</t>
  </si>
  <si>
    <t>BufCode</t>
  </si>
  <si>
    <t>buoyShape</t>
  </si>
  <si>
    <t>BUS</t>
  </si>
  <si>
    <t>Buoy Shape</t>
  </si>
  <si>
    <t>The principal shape and/or design of a buoy.</t>
  </si>
  <si>
    <t>BusCode</t>
  </si>
  <si>
    <t>buoyType</t>
  </si>
  <si>
    <t>BUT</t>
  </si>
  <si>
    <t>Buoy Type</t>
  </si>
  <si>
    <t>The type(s) of a buoy based on its significance to maritime navigation.</t>
  </si>
  <si>
    <t>ButCode</t>
  </si>
  <si>
    <t>burialPercentage</t>
  </si>
  <si>
    <t>BPC</t>
  </si>
  <si>
    <t>Burial Percentage</t>
  </si>
  <si>
    <t>The percentage of an explosive mine or similar object that has been buried.</t>
  </si>
  <si>
    <t>buriedUtilityType</t>
  </si>
  <si>
    <t>BUR</t>
  </si>
  <si>
    <t>Buried Utility Type</t>
  </si>
  <si>
    <t>The type(s) of utility(ies) or pipeline transport located underground or below a waterbody.</t>
  </si>
  <si>
    <t>BurCode</t>
  </si>
  <si>
    <t>bypassCondition</t>
  </si>
  <si>
    <t>BCC</t>
  </si>
  <si>
    <t>Bypass Condition</t>
  </si>
  <si>
    <t>The ease or ability to circumvent a destroyed section of bridge, tunnel or pass within a distance of two kilometres from the feature.</t>
  </si>
  <si>
    <t>Bypass condition will not consider other bridges in bypass determination.</t>
  </si>
  <si>
    <t>BccCode</t>
  </si>
  <si>
    <t>byProduct</t>
  </si>
  <si>
    <t>PBY</t>
  </si>
  <si>
    <t>By-product</t>
  </si>
  <si>
    <t>The principal by-product(s) of a production, mining, or agricultural activity.</t>
  </si>
  <si>
    <t>If multiple by-products are specified then they are usually listed in descending order of importance.</t>
  </si>
  <si>
    <t>PbyCode</t>
  </si>
  <si>
    <t>cableSuspendedShape</t>
  </si>
  <si>
    <t>TST</t>
  </si>
  <si>
    <t>Cable Suspended Shape</t>
  </si>
  <si>
    <t>The shape assumed by a cable suspended by a series of pylons.</t>
  </si>
  <si>
    <t>TstCode</t>
  </si>
  <si>
    <t>cableType</t>
  </si>
  <si>
    <t>CAB</t>
  </si>
  <si>
    <t>Cable Type</t>
  </si>
  <si>
    <t>The type of a cable based on its use.</t>
  </si>
  <si>
    <t>CabCode</t>
  </si>
  <si>
    <t>cablewayType</t>
  </si>
  <si>
    <t>CAT</t>
  </si>
  <si>
    <t>Cableway Type</t>
  </si>
  <si>
    <t>The type of a cableway based on structure and/or function.</t>
  </si>
  <si>
    <t>CatCode</t>
  </si>
  <si>
    <t>cadastralSourceIdentifier</t>
  </si>
  <si>
    <t>CSI</t>
  </si>
  <si>
    <t>Cadastral Source Identifier</t>
  </si>
  <si>
    <t>The unique identifier of a land parcel as assigned by a land survey or data production system.</t>
  </si>
  <si>
    <t>cadastralSourceIdentType</t>
  </si>
  <si>
    <t>CSY</t>
  </si>
  <si>
    <t>Cadastral Source Identifier Type</t>
  </si>
  <si>
    <t>The name, description, Uniform Resource Locator (URL) and/or other information sufficient to unambiguously identify the land survey or data production system that assigned a cadastral source identifier to a land parcel.</t>
  </si>
  <si>
    <t>cadastralSourceMeasurement</t>
  </si>
  <si>
    <t>CDM</t>
  </si>
  <si>
    <t>Cadastral Source Measurement</t>
  </si>
  <si>
    <t>A description of the observations and/or physical measurements taken to describe the location and extent of a unit of land (or water) for purposes of administration.</t>
  </si>
  <si>
    <t>Observations may include lot numbers, as well as detailed location of survey markers used, boundary lengths, and other readily identifiable characteristics of the land (or water) unit.</t>
  </si>
  <si>
    <t>cadastralSourceType</t>
  </si>
  <si>
    <t>CDY</t>
  </si>
  <si>
    <t>Cadastral Source Type</t>
  </si>
  <si>
    <t>The type of resource that describes the location and extent of a unit of land (or water), typically for purposes of administration such as taxation or land rights transfer.</t>
  </si>
  <si>
    <t>For example: a field survey sketch, an orthophoto, or a satellite image marked with evidence on the location of boundaries collected from the field. Note that a cadastral source may describe a land parcel using official survey data or by a less formal method such as a tenure map.</t>
  </si>
  <si>
    <t>CdyCode</t>
  </si>
  <si>
    <t>camouflageMethod</t>
  </si>
  <si>
    <t>CME</t>
  </si>
  <si>
    <t>Camouflage Method</t>
  </si>
  <si>
    <t>The method of adjusting the appearance of an object to remove its distinctiveness so that the object blends into the background or resembles something that it isn't.</t>
  </si>
  <si>
    <t>Camouflage is used to prevent objects from being identified by altering their apparent form, shadow, texture, and/or color. Camouflage material is applied or arranged on, over and/or around an object.</t>
  </si>
  <si>
    <t>CmeCode</t>
  </si>
  <si>
    <t>canopyCover</t>
  </si>
  <si>
    <t>DMT</t>
  </si>
  <si>
    <t>Canopy Cover</t>
  </si>
  <si>
    <t>The fraction of canopy cover within a defined area during the season of maximum foliage.</t>
  </si>
  <si>
    <t>The canopy is formed by the upper branches of the trees in a forest forming a more or less continuous layer.</t>
  </si>
  <si>
    <t>canopyLevelCount</t>
  </si>
  <si>
    <t>TCL</t>
  </si>
  <si>
    <t>Canopy Level Count</t>
  </si>
  <si>
    <t>The number of canopies (vegetation levels) in a woodland.</t>
  </si>
  <si>
    <t>cargoType</t>
  </si>
  <si>
    <t>CTY</t>
  </si>
  <si>
    <t>Cargo Type</t>
  </si>
  <si>
    <t>The type(s) of cargo based on its packaging, handling, and/or transport characteristics.</t>
  </si>
  <si>
    <t>CtyCode</t>
  </si>
  <si>
    <t>carrierFrequency</t>
  </si>
  <si>
    <t>FQR</t>
  </si>
  <si>
    <t>Carrier Frequency</t>
  </si>
  <si>
    <t>The number of cycles per second of a carrier wave used for radio transmission.</t>
  </si>
  <si>
    <t>The frequency is measured in Hertz (Hz), Megahertz (MHz), or Kilohertz (kHz). The value is tuned-in by using the transmitter and/or the receiver.</t>
  </si>
  <si>
    <t>caveType</t>
  </si>
  <si>
    <t>CTX</t>
  </si>
  <si>
    <t>Cave Type</t>
  </si>
  <si>
    <t>The type of a cave based on its dominant method of formation.</t>
  </si>
  <si>
    <t>A cave is a naturally occurring subterranean chamber.</t>
  </si>
  <si>
    <t>CtxCode</t>
  </si>
  <si>
    <t>cellIdentifier</t>
  </si>
  <si>
    <t>CID</t>
  </si>
  <si>
    <t>Cell Identifier</t>
  </si>
  <si>
    <t>The identifier that denotes a defined extent (for example: a rectangular cell) within a system (for example: an array of rectangular cells) of planar space partitioning.</t>
  </si>
  <si>
    <t>The partitioning results in a set of unique, continuous, non-overlapping, regions; for exampe: a grid, a hexagonal tiling, a Voronoi tesselation, a Delaunay triangulation, a Triangulated Irregular Network (TIN). The specific mechanism used to create the tesselation and assign identifiers to its cells is externally defined.</t>
  </si>
  <si>
    <t>TextNonLex22</t>
  </si>
  <si>
    <t>cellPartitionScheme</t>
  </si>
  <si>
    <t>CPS</t>
  </si>
  <si>
    <t>Cell Partition Scheme</t>
  </si>
  <si>
    <t>The tessellation scheme used to create a planar space partitioning and assign identifiers to its cells.</t>
  </si>
  <si>
    <t>The partitioning results in a set of unique, continuous, non-overlapping, regions; for example: a grid, a hexagonal tiling, a Voronoi tessellation, a Delaunay triangulation, a Triangulated Irregular Network (TIN).</t>
  </si>
  <si>
    <t>CpsCode</t>
  </si>
  <si>
    <t>centerlineSpacing</t>
  </si>
  <si>
    <t>MWG</t>
  </si>
  <si>
    <t>Centerline Spacing</t>
  </si>
  <si>
    <t>The distance between the centrelines of the two travelled ways of a divided highway.</t>
  </si>
  <si>
    <t>changeOverPointDistance</t>
  </si>
  <si>
    <t>CPD</t>
  </si>
  <si>
    <t>Change-over Point Distance</t>
  </si>
  <si>
    <t>The DME distance from the previous VORDME, VORTAC or TACAN to the point at which an aircraft navigating on an Air Traffic Service (ATS) route segment is expected to transfer its primary navigational reference to the next facility ahead of the aircraft.</t>
  </si>
  <si>
    <t>Change-over points are established to provide the optimum balance in respect of signal strength and quality between facilities at all levels to be used and to ensure a common source of azimuth guidance for all aircraft operating along the same portion of an Air Traffic Service (ATS) route segment.</t>
  </si>
  <si>
    <t>channelNumber</t>
  </si>
  <si>
    <t>CHL</t>
  </si>
  <si>
    <t>Channel Number</t>
  </si>
  <si>
    <t>The channel representing the frequency assigned by the controlling authority.</t>
  </si>
  <si>
    <t>channelType</t>
  </si>
  <si>
    <t>CHT</t>
  </si>
  <si>
    <t>Channel Type</t>
  </si>
  <si>
    <t>The type of a navigation channel based on the nature of the body of water through which it passes.</t>
  </si>
  <si>
    <t>May be used as a means of subtyping Feature: 'Channel'.</t>
  </si>
  <si>
    <t>ChtCode</t>
  </si>
  <si>
    <t>characterOfLight</t>
  </si>
  <si>
    <t>COL</t>
  </si>
  <si>
    <t>Character of Light</t>
  </si>
  <si>
    <t>The characteristic description of a maritime light or lights at one geographic position that includes its class, number and color(s) of flashes or occultations.</t>
  </si>
  <si>
    <t>This text is structured as it traditionally has been represented on a paper chart.</t>
  </si>
  <si>
    <t>ColStrucText</t>
  </si>
  <si>
    <t>charactersEmitted</t>
  </si>
  <si>
    <t>MCA</t>
  </si>
  <si>
    <t>Characters Emitted</t>
  </si>
  <si>
    <t>The character(s) that are being emitted by a signalling device (for example: a light, a beacon, or a communications transmitter).</t>
  </si>
  <si>
    <t>May be in the form of Morse code, however on 1 February 1999 Morse code was withdrawn from use and was replaced by the Global Maritime Distress and Safety System.</t>
  </si>
  <si>
    <t>TextNonLex80</t>
  </si>
  <si>
    <t>checkpointType</t>
  </si>
  <si>
    <t>BCP</t>
  </si>
  <si>
    <t>Checkpoint Type</t>
  </si>
  <si>
    <t>The type of a point to control passage and/or to register, declare and/or inspect goods, vehicles and/or people.</t>
  </si>
  <si>
    <t>BcpCode</t>
  </si>
  <si>
    <t>chemicalElementName</t>
  </si>
  <si>
    <t>ELE</t>
  </si>
  <si>
    <t>Chemical Element Name</t>
  </si>
  <si>
    <t>The name and symbol of a chemical element in accordance with its listing in the Periodic Table of the Elements.</t>
  </si>
  <si>
    <t>EleCode</t>
  </si>
  <si>
    <t>childMortalityRate</t>
  </si>
  <si>
    <t>CHM</t>
  </si>
  <si>
    <t>Child Mortality Rate</t>
  </si>
  <si>
    <t>The annual number of deaths of children between 0 and 15 years old per 1000 children in that age range, within an area.</t>
  </si>
  <si>
    <t>chlorideConcentration</t>
  </si>
  <si>
    <t>CLO</t>
  </si>
  <si>
    <t>Chloride Concentration</t>
  </si>
  <si>
    <t>The mass of chloride per volume of solution.</t>
  </si>
  <si>
    <t>Most chlorides are salts that are formed either by direct union of chlorine with a metal or by reaction of hydrochloric acid (a water solution of hydrogen chloride) with a metal, a metal oxide, or an inorganic base. Chloride salts include sodium chloride (common salt), potassium chloride, calcium chloride, and ammonium chloride. Most chloride salts are readily soluble in water.</t>
  </si>
  <si>
    <t>chokePointType</t>
  </si>
  <si>
    <t>CHP</t>
  </si>
  <si>
    <t>Choke Point Type</t>
  </si>
  <si>
    <t>The type of a choke point based on its nature and/or appearance.</t>
  </si>
  <si>
    <t>ChpCode</t>
  </si>
  <si>
    <t>circlingProcedureIdent</t>
  </si>
  <si>
    <t>CPI</t>
  </si>
  <si>
    <t>Circling Procedure Identification</t>
  </si>
  <si>
    <t>An identifier denoting a circling-only procedure specific to a radio navigation aid type at an aerodrome.</t>
  </si>
  <si>
    <t>The first circling only procedure at an airfield is denoted with an 'A', where there second is denoted with a 'B' and so on.</t>
  </si>
  <si>
    <t>CpiStrucText</t>
  </si>
  <si>
    <t>cityServed</t>
  </si>
  <si>
    <t>CS0</t>
  </si>
  <si>
    <t>City Served</t>
  </si>
  <si>
    <t>The name of the city or town that the transportation facility serves.</t>
  </si>
  <si>
    <t>classificationName</t>
  </si>
  <si>
    <t>NA3</t>
  </si>
  <si>
    <t>Classification Name</t>
  </si>
  <si>
    <t>A grammalogue, index number, order or classification identifier or code that is used to denote a feature.</t>
  </si>
  <si>
    <t>climateType</t>
  </si>
  <si>
    <t>CLM</t>
  </si>
  <si>
    <t>Climate Type</t>
  </si>
  <si>
    <t>The type of a zone of consistent climate based on its geographic location and climatic factors.</t>
  </si>
  <si>
    <t>ClmCode</t>
  </si>
  <si>
    <t>climateZone</t>
  </si>
  <si>
    <t>CLZ</t>
  </si>
  <si>
    <t>Climate Zone</t>
  </si>
  <si>
    <t>The type of a belt-like region sharing a common general climatic condition.</t>
  </si>
  <si>
    <t>ClzCode</t>
  </si>
  <si>
    <t>closeToContinent</t>
  </si>
  <si>
    <t>PS3</t>
  </si>
  <si>
    <t>Close to Continent</t>
  </si>
  <si>
    <t>An indication that a feature is located in an ocean area near a continent.</t>
  </si>
  <si>
    <t>coastType</t>
  </si>
  <si>
    <t>SHO</t>
  </si>
  <si>
    <t>Coast Type</t>
  </si>
  <si>
    <t>The type of a coast based on its topography and material type(s).</t>
  </si>
  <si>
    <t>ShoCode</t>
  </si>
  <si>
    <t>coastalWorkType</t>
  </si>
  <si>
    <t>WPC</t>
  </si>
  <si>
    <t>Coastal Work Type</t>
  </si>
  <si>
    <t>The type of a shore or near-shore work(s) in progress.</t>
  </si>
  <si>
    <t>WpcCode</t>
  </si>
  <si>
    <t>coliformConcentration</t>
  </si>
  <si>
    <t>CFR</t>
  </si>
  <si>
    <t>Coliform Concentration</t>
  </si>
  <si>
    <t>The number of coliform bacteria colonies per volume of solution.</t>
  </si>
  <si>
    <t>The coliform concentration is an indicator of pollution when testing the sanitary quality of water. Coliform bacteria normally are abundant in the intestinal tracts of humans and other warm-blooded mammals. It is measured in colonies per millilitre of solution, and reported as Coliform Microbial Density.</t>
  </si>
  <si>
    <t>collection</t>
  </si>
  <si>
    <t>CLX</t>
  </si>
  <si>
    <t>Collection</t>
  </si>
  <si>
    <t>An indication that a feature instance is, or may be, representing more than a single feature of the same type as a collection.</t>
  </si>
  <si>
    <t>May be used when delineating individual features of the same type within a region that may or may not meet inclusion conditions to be delineated individually. For example, the Finger Lakes in North America is a collection of (multiple) Lake features but may be collected as a single feature instance at a small extraction scale.</t>
  </si>
  <si>
    <t>coLocationSharedApron</t>
  </si>
  <si>
    <t>AC3</t>
  </si>
  <si>
    <t>Co-Location Shared Apron</t>
  </si>
  <si>
    <t>An indication that the aprons of the aerodrome are available to the traffic of the co-located aerodrome.</t>
  </si>
  <si>
    <t>coLocationSharedFacilities</t>
  </si>
  <si>
    <t>AC4</t>
  </si>
  <si>
    <t>Co-Location Shared Facilities</t>
  </si>
  <si>
    <t>An indication that all facilities of the aerodrome are available to the traffic of the co-located aerodrome.</t>
  </si>
  <si>
    <t>coLocationSharedRunway</t>
  </si>
  <si>
    <t>AC1</t>
  </si>
  <si>
    <t>Co-Location Shared Runway</t>
  </si>
  <si>
    <t>An indication that the runways of the aerodrome are available to the traffic of the co-located aerodrome.</t>
  </si>
  <si>
    <t>coLocationSharedTaxiway</t>
  </si>
  <si>
    <t>AC2</t>
  </si>
  <si>
    <t>Co-Location Shared Taxiway</t>
  </si>
  <si>
    <t>An indication that the taxiways of the aerodrome are available to the traffic of the co-located aerodrome.</t>
  </si>
  <si>
    <t>colourOfNavMarkDesc</t>
  </si>
  <si>
    <t>CCR</t>
  </si>
  <si>
    <t>Colour of Navigation Mark Description</t>
  </si>
  <si>
    <t>A description of any unique aspects of the colouring of a navigation mark.</t>
  </si>
  <si>
    <t>Used to expand on the use of Attribute: 'Navigation Mark Colour', especially when the required value is not one of the standard Navigation Mark Colour values.</t>
  </si>
  <si>
    <t>colourPattern</t>
  </si>
  <si>
    <t>CPT</t>
  </si>
  <si>
    <t>Colour Pattern</t>
  </si>
  <si>
    <t>The colour pattern(s) of an aid to navigation (for example: a buoy, a beacon, and/or a navigation light) or other feature of importance to maritime navigation.</t>
  </si>
  <si>
    <t>The Attribute: 'Navigation Mark Colour' may be used to specify the colours in the order in which they appear in the pattern.</t>
  </si>
  <si>
    <t>CptCode</t>
  </si>
  <si>
    <t>commercialCopyrightNotice</t>
  </si>
  <si>
    <t>(Geospatial Intelligence Feature Database (GIFD): 'COMM_CPYRT_NOTICE') (MGCP Feature Catalogue: 'CPYRT_NOTE')</t>
  </si>
  <si>
    <t>CCN</t>
  </si>
  <si>
    <t>Commercial Copyright Notice</t>
  </si>
  <si>
    <t>A description of any commercial (or similar) copyright notice applicable to information regarding the feature or data set.</t>
  </si>
  <si>
    <t>For example, 'Copyright 2000 Space Imaging, Inc.', in which case the copyright information for use of such imagery needs to be stated; this generally includes restrictions on use and distribution. For non copyright data, for example 'Copyright 2004 by the National Geospatial-Intelligence Agency, U.S. Government. No domestic copyright claimed under Title 17 U.S.C. All rights reserved.'</t>
  </si>
  <si>
    <t>commercialDistribRestrict</t>
  </si>
  <si>
    <t>(Geospatial Intelligence Feature Database (GIFD): 'COMM_LIC_TIER_NOTICE') (MGCP Feature Catalogue: 'TIER_NOTE')</t>
  </si>
  <si>
    <t>CDR</t>
  </si>
  <si>
    <t>Commercial Distribution Restriction</t>
  </si>
  <si>
    <t>A description of any commercial (or similar) restrictions on the distribution of information regarding the feature or data set.</t>
  </si>
  <si>
    <t>For example, 'Distribution and use restricted to DoD/Title 50 and Coalition Forces.' Some commercial data is copyrighted. A copyright is 'the exclusive legal right to reproduce, publish, and sell the matter and form.' 1) The foundation of the copyright is US law and international treaties. A [distribution] license (a.k.a. License Agreement) is the 'official or legal permission to do or own a specific thing.' 2) The licenses are part of the government contracts with the commercial data providers. The license delineates what the user may or may not do with the commercial product.</t>
  </si>
  <si>
    <t>commercialFacilityType</t>
  </si>
  <si>
    <t>CIT</t>
  </si>
  <si>
    <t>Commercial Facility Type</t>
  </si>
  <si>
    <t>The type of a facility or building that is used for commercial purposes.</t>
  </si>
  <si>
    <t>CitCode</t>
  </si>
  <si>
    <t>commissionedStatus</t>
  </si>
  <si>
    <t>CMS</t>
  </si>
  <si>
    <t>Commissioned Status</t>
  </si>
  <si>
    <t>The status of a facility based on test, operation, and commissioning.</t>
  </si>
  <si>
    <t>CmsCode</t>
  </si>
  <si>
    <t>commonLanguage</t>
  </si>
  <si>
    <t>VLA</t>
  </si>
  <si>
    <t>Common Language</t>
  </si>
  <si>
    <t>A language that is used as a shared communication media (for example: as a commercial language) between humans of different native language in a multilingual area.</t>
  </si>
  <si>
    <t>Lingua Franca</t>
  </si>
  <si>
    <t>communicationChannel</t>
  </si>
  <si>
    <t>CMC</t>
  </si>
  <si>
    <t>Communication Channel</t>
  </si>
  <si>
    <t>A channel number assigned to a specific radio frequency, frequencies or frequency band.</t>
  </si>
  <si>
    <t>CmcStrucText</t>
  </si>
  <si>
    <t>communicationFacilityType</t>
  </si>
  <si>
    <t>CUS</t>
  </si>
  <si>
    <t>Communication Facility Type</t>
  </si>
  <si>
    <t>The type of a facility, building, or structure that supports the processing and/or control of communication signals.</t>
  </si>
  <si>
    <t>CusCode</t>
  </si>
  <si>
    <t>commFailureProcedure</t>
  </si>
  <si>
    <t>FPC</t>
  </si>
  <si>
    <t>Communication Failure Procedure</t>
  </si>
  <si>
    <t>A textual specification of guidance to be followed in case of radio communication failure.</t>
  </si>
  <si>
    <t>Communication Failure Description</t>
  </si>
  <si>
    <t>compilationDate</t>
  </si>
  <si>
    <t>MCD</t>
  </si>
  <si>
    <t>Compilation Date</t>
  </si>
  <si>
    <t>The date of compilation of a data set (for example: a map).</t>
  </si>
  <si>
    <t>McdStrucText</t>
  </si>
  <si>
    <t>componentFeatureCount</t>
  </si>
  <si>
    <t>CFE</t>
  </si>
  <si>
    <t>Component Feature Count</t>
  </si>
  <si>
    <t>The number of interrelated component features (of various types) of the feature.</t>
  </si>
  <si>
    <t>May be used to indicate the number of component feature instances that have been collected for the feature. For example, the total number of runways, taxiways, NAVAIDs, and aircraft hangars that compose an aerodrome.</t>
  </si>
  <si>
    <t>conditionOfFacility</t>
  </si>
  <si>
    <t>FUN</t>
  </si>
  <si>
    <t>Condition of Facility</t>
  </si>
  <si>
    <t>The state of planning, construction, repair, and/or maintenance of the structures and/or equipment comprising a facility and/or located at a site, as a whole.</t>
  </si>
  <si>
    <t>FunCode</t>
  </si>
  <si>
    <t>confined</t>
  </si>
  <si>
    <t>CNF</t>
  </si>
  <si>
    <t>Confined</t>
  </si>
  <si>
    <t>An indication that an aquifer is overlain by a confining bed consisting of a layer of rock, or of unconsolidated sediments, that possesses a very low hydraulic conductivity and thus retards the movement of water into and out of the aquifer.</t>
  </si>
  <si>
    <t>A confined aquifer is under pressure so that when the aquifer is penetrated by a well, the water will rise above the top of the aquifer. The water level in a well open to a specific confined aquifer stands at the level of the potentiometric surface. If the potentiometric surface is above land, the well is often considered as a free-flowing artesian well.</t>
  </si>
  <si>
    <t>conflictBasis</t>
  </si>
  <si>
    <t>CFU</t>
  </si>
  <si>
    <t>Conflict Basis</t>
  </si>
  <si>
    <t>The reason(s) for a conflict.</t>
  </si>
  <si>
    <t>CfuCode</t>
  </si>
  <si>
    <t>conflictEndDate</t>
  </si>
  <si>
    <t>CFG</t>
  </si>
  <si>
    <t>Conflict End Date</t>
  </si>
  <si>
    <t>The date that a conflict ended.</t>
  </si>
  <si>
    <t>CfgStrucText</t>
  </si>
  <si>
    <t>conflictParty</t>
  </si>
  <si>
    <t>CFP</t>
  </si>
  <si>
    <t>Conflict Party</t>
  </si>
  <si>
    <t>The name of a party to a conflict.</t>
  </si>
  <si>
    <t>conflictStartDate</t>
  </si>
  <si>
    <t>CFB</t>
  </si>
  <si>
    <t>Conflict Start Date</t>
  </si>
  <si>
    <t>The date that a conflict began.</t>
  </si>
  <si>
    <t>CfbStrucText</t>
  </si>
  <si>
    <t>conservAreaManageBoundCat</t>
  </si>
  <si>
    <t>CMB</t>
  </si>
  <si>
    <t>Conservation Area Management Boundary Category</t>
  </si>
  <si>
    <t>The category of the bounded protected area based on level of protection and the enabling laws of the controlling entity (for example: State) or rules of international organization (for example: as determined by the International Union for Conservation of Nature and Natural Resources (IUCN)).</t>
  </si>
  <si>
    <t>CmbCode</t>
  </si>
  <si>
    <t>conservationAreaManageCat</t>
  </si>
  <si>
    <t>CAM</t>
  </si>
  <si>
    <t>Conservation Area Management Category</t>
  </si>
  <si>
    <t>The category of a protected area based on level of protection and the enabling laws of the controlling entity (for example: State) or rules of international organization (for example: as determined by the International Union for Conservation of Nature and Natural Resources (IUCN)).</t>
  </si>
  <si>
    <t>Protected Area Management Category</t>
  </si>
  <si>
    <t>CamCode</t>
  </si>
  <si>
    <t>conspicuousAirCategory</t>
  </si>
  <si>
    <t>COA</t>
  </si>
  <si>
    <t>Conspicuous Air Category</t>
  </si>
  <si>
    <t>The manner in which an object is conspicuous when viewed from the air.</t>
  </si>
  <si>
    <t>A conspicuous feature is easily detected and identified under varying conditions (for example: lighting). Factors affecting conspicuousness include size, shape, and/or height.</t>
  </si>
  <si>
    <t>CoaCode</t>
  </si>
  <si>
    <t>conspicuousGroundCategory</t>
  </si>
  <si>
    <t>COG</t>
  </si>
  <si>
    <t>Conspicuous Ground Category</t>
  </si>
  <si>
    <t>The manner in which an object is conspicuous when viewed from on the ground.</t>
  </si>
  <si>
    <t>CogCode</t>
  </si>
  <si>
    <t>conspicuousSeaCategory</t>
  </si>
  <si>
    <t>COC</t>
  </si>
  <si>
    <t>Conspicuous Sea Category</t>
  </si>
  <si>
    <t>The manner in which an object is conspicuous when viewed from the sea.</t>
  </si>
  <si>
    <t>CocCode</t>
  </si>
  <si>
    <t>constructionDate</t>
  </si>
  <si>
    <t>DCT</t>
  </si>
  <si>
    <t>Construction Date</t>
  </si>
  <si>
    <t>The date when the construction or creation of a feature was completed.</t>
  </si>
  <si>
    <t>DctStrucText</t>
  </si>
  <si>
    <t>contactLayPlatform</t>
  </si>
  <si>
    <t>CLP</t>
  </si>
  <si>
    <t>Contact Lay Platform</t>
  </si>
  <si>
    <t>The type of unit that laid the explosive mine/contact.</t>
  </si>
  <si>
    <t>ClpCode</t>
  </si>
  <si>
    <t>contactMineActuation</t>
  </si>
  <si>
    <t>MIC</t>
  </si>
  <si>
    <t>Contact Mine Actuation Method</t>
  </si>
  <si>
    <t>The method used to trigger a contact explosive mine.</t>
  </si>
  <si>
    <t>MicCode</t>
  </si>
  <si>
    <t>contactStatus</t>
  </si>
  <si>
    <t>SBS</t>
  </si>
  <si>
    <t>Contact Status</t>
  </si>
  <si>
    <t>The mine hunting status of a small bottom object.</t>
  </si>
  <si>
    <t>In general, mine hunting is a three step process involving detection, classification and finally identification. Mine disposal may then follow.</t>
  </si>
  <si>
    <t>SbsCode</t>
  </si>
  <si>
    <t>containedInServiceTunnel</t>
  </si>
  <si>
    <t>CST</t>
  </si>
  <si>
    <t>Contained within Service Tunnel</t>
  </si>
  <si>
    <t>The object (for example: a telecommunication cable or a power line) is located within a service tunnel.</t>
  </si>
  <si>
    <t>containedInStructure</t>
  </si>
  <si>
    <t>CWS</t>
  </si>
  <si>
    <t>Contained within Structure</t>
  </si>
  <si>
    <t>The object is located within a structure (for example: a building).</t>
  </si>
  <si>
    <t>For example, a slipway inside of a boat house.</t>
  </si>
  <si>
    <t>containedInTunnel</t>
  </si>
  <si>
    <t>CWT</t>
  </si>
  <si>
    <t>Contained within Tunnel</t>
  </si>
  <si>
    <t>The object is at least partially located within, or passes through, a tunnel.</t>
  </si>
  <si>
    <t>For example, a canal passing through a tunnel.</t>
  </si>
  <si>
    <t>containmentBermPresent</t>
  </si>
  <si>
    <t>CBP</t>
  </si>
  <si>
    <t>Containment Berm Present</t>
  </si>
  <si>
    <t>An indication that a facility (for example: a storage tank, a drum storage area, or a liquid transfer area) is surrounded by an embankment or wall that provides a barrier to retain liquid (for example: leaked fuel oil).</t>
  </si>
  <si>
    <t>The embankment or wall is typically part of a spill containment system that may additionally provide fire protection, product recovery and/or process isolation.</t>
  </si>
  <si>
    <t>Bunded</t>
  </si>
  <si>
    <t>contaminantSource</t>
  </si>
  <si>
    <t>CSO</t>
  </si>
  <si>
    <t>Contaminant Source</t>
  </si>
  <si>
    <t>The source(s) of contaminants present in a region.</t>
  </si>
  <si>
    <t>CsoCode</t>
  </si>
  <si>
    <t>contaminatedSiteType</t>
  </si>
  <si>
    <t>KEL</t>
  </si>
  <si>
    <t>Contaminated Site Type</t>
  </si>
  <si>
    <t>The nature of a contaminant that is present within an area, as a category.</t>
  </si>
  <si>
    <t>KelCode</t>
  </si>
  <si>
    <t>contaminationStatus</t>
  </si>
  <si>
    <t>EEL</t>
  </si>
  <si>
    <t>Contamination Status</t>
  </si>
  <si>
    <t>The status of a contaminated site, or a set of sites within an area, based on a variety of evidence.</t>
  </si>
  <si>
    <t>The pollution may be of the soil surface, subsurface (for example: upper underground level) and/or soil water.</t>
  </si>
  <si>
    <t>EelCode</t>
  </si>
  <si>
    <t>contourIntervalRelation</t>
  </si>
  <si>
    <t>GLI</t>
  </si>
  <si>
    <t>Contour Interval Relationship</t>
  </si>
  <si>
    <t>The relationship between the predominant feature height in an area and the contour interval of an associated dataset.</t>
  </si>
  <si>
    <t>The predominant height is the height of at least 50% of the features in an area.</t>
  </si>
  <si>
    <t>GliCode</t>
  </si>
  <si>
    <t>controlled</t>
  </si>
  <si>
    <t>CNS</t>
  </si>
  <si>
    <t>Controlled</t>
  </si>
  <si>
    <t>An indication that a facility is controlled.</t>
  </si>
  <si>
    <t>For example, maritime traffic control.</t>
  </si>
  <si>
    <t>controllingAuthority</t>
  </si>
  <si>
    <t>CAA</t>
  </si>
  <si>
    <t>Controlling Authority</t>
  </si>
  <si>
    <t>The controlling authority responsible for a facility or site.</t>
  </si>
  <si>
    <t>Controlling authorities may be distinguished by organizational level (for example: national, sub-national, or military district) and/or type (for example: private or public).</t>
  </si>
  <si>
    <t>CaaCode</t>
  </si>
  <si>
    <t>controllingAuthorityIdent</t>
  </si>
  <si>
    <t>CAI</t>
  </si>
  <si>
    <t>Controlling Authority Identification</t>
  </si>
  <si>
    <t>The recognized authority responsible for establishing and maintaining the administrative affairs of all matters relating to a particular field or subject.</t>
  </si>
  <si>
    <t>controllingAuthorityName</t>
  </si>
  <si>
    <t>CAN</t>
  </si>
  <si>
    <t>Controlling Authority Name</t>
  </si>
  <si>
    <t>The name of the office responsible for controlling a facility or site.</t>
  </si>
  <si>
    <t>TextNonLex38</t>
  </si>
  <si>
    <t>controllingObstacle</t>
  </si>
  <si>
    <t>CO1</t>
  </si>
  <si>
    <t>Controlling Obstacle</t>
  </si>
  <si>
    <t>An indication that the obstacle is the highest obstacle relative to a prescribed plane within a specified area, upon which the aeronautical procedure is predicated.</t>
  </si>
  <si>
    <t>conveyorType</t>
  </si>
  <si>
    <t>CVT</t>
  </si>
  <si>
    <t>Conveyor Type</t>
  </si>
  <si>
    <t>The type(s), or category(ies), of mechanical device that best characterizes the means by which articles or materials are being moved.</t>
  </si>
  <si>
    <t>The category of conveyor can depend upon the type(s) of materials being moved, the overall distance covered by the conveyor system, and/or whether materials are being moved from one elevation to another, etc. If the system is covered and hidden from view, the category of conveyor may be indiscernible.</t>
  </si>
  <si>
    <t>CvtCode</t>
  </si>
  <si>
    <t>copterFinalApproachCourse</t>
  </si>
  <si>
    <t>CFF</t>
  </si>
  <si>
    <t>Copter Final Approach Course</t>
  </si>
  <si>
    <t>The final approach track for a helicopter procedure.</t>
  </si>
  <si>
    <t>Whole degrees in three numeric characters, for example: '030', '120', '127'.</t>
  </si>
  <si>
    <t>correctionsFacilityType</t>
  </si>
  <si>
    <t>CFC</t>
  </si>
  <si>
    <t>Corrections Facility Type</t>
  </si>
  <si>
    <t>The type of a facility or building that is used to incarcerate prisoners serving terms of punishment detention, awaiting trial or other judiciary proceedings or awaiting further processing by authorities (for example: illegal immigrants awaiting deportation).</t>
  </si>
  <si>
    <t>CfcCode</t>
  </si>
  <si>
    <t>courseReversalDescription</t>
  </si>
  <si>
    <t>RVD</t>
  </si>
  <si>
    <t>Course Reversal Description</t>
  </si>
  <si>
    <t>Instructions for reversing course on an Instrument Approach Procedure (IAP).</t>
  </si>
  <si>
    <t>courseType</t>
  </si>
  <si>
    <t>COU</t>
  </si>
  <si>
    <t>Course Type</t>
  </si>
  <si>
    <t>A descriptor of the aircraft course to be flown.</t>
  </si>
  <si>
    <t>For example: true track, magnetic track, heading, VOR radial, true bearing, or magnetic bearing.</t>
  </si>
  <si>
    <t>CouCode</t>
  </si>
  <si>
    <t>coverClosureType</t>
  </si>
  <si>
    <t>CCT</t>
  </si>
  <si>
    <t>Cover Closure Type</t>
  </si>
  <si>
    <t>The extent and/or nature of the cover (for example: a roof) of a structure.</t>
  </si>
  <si>
    <t>CctCode</t>
  </si>
  <si>
    <t>coveredDrain</t>
  </si>
  <si>
    <t>CDA</t>
  </si>
  <si>
    <t>Covered Drain</t>
  </si>
  <si>
    <t>An indication that a watercourse section is completely covered over and connects to uncovered watercourses at each end.</t>
  </si>
  <si>
    <t>coveredDrainLength</t>
  </si>
  <si>
    <t>CDL</t>
  </si>
  <si>
    <t>Covered Drain Length</t>
  </si>
  <si>
    <t>The length of a watercourse section that is completely covered over and connects to uncovered watercourses at each end.</t>
  </si>
  <si>
    <t>craneMaxObsClearance</t>
  </si>
  <si>
    <t>CMO</t>
  </si>
  <si>
    <t>Crane Maximum Obstruction Clearance</t>
  </si>
  <si>
    <t>The maximum horizontal distance from the center point of the rotation of the crane to either the end of the boom or the end of the jib.</t>
  </si>
  <si>
    <t>craneMaximumReach</t>
  </si>
  <si>
    <t>CRH</t>
  </si>
  <si>
    <t>Crane Maximum Reach</t>
  </si>
  <si>
    <t>The maximum reach of a crane.</t>
  </si>
  <si>
    <t>craneMobilityType</t>
  </si>
  <si>
    <t>CRM</t>
  </si>
  <si>
    <t>Crane Mobility Type</t>
  </si>
  <si>
    <t>The type of mobility of a crane.</t>
  </si>
  <si>
    <t>CrmCode</t>
  </si>
  <si>
    <t>craneSupportDistance</t>
  </si>
  <si>
    <t>CSD</t>
  </si>
  <si>
    <t>Crane Support Distance</t>
  </si>
  <si>
    <t>The longest distance between the supports for a gantry or bridge crane.</t>
  </si>
  <si>
    <t>craneType</t>
  </si>
  <si>
    <t>CRA</t>
  </si>
  <si>
    <t>Crane Type</t>
  </si>
  <si>
    <t>The type of a crane based on its design and/or method of operation.</t>
  </si>
  <si>
    <t>CraCode</t>
  </si>
  <si>
    <t>craterType</t>
  </si>
  <si>
    <t>CRT</t>
  </si>
  <si>
    <t>Crater Type</t>
  </si>
  <si>
    <t>The type of a crater based on its origin and/or shape.</t>
  </si>
  <si>
    <t>CrtCode</t>
  </si>
  <si>
    <t>creationDateTime</t>
  </si>
  <si>
    <t>CDT</t>
  </si>
  <si>
    <t>Creation Date and Time</t>
  </si>
  <si>
    <t>The date and, optionally, time when a digital representation (for example: of a feature or a geographic name) was created.</t>
  </si>
  <si>
    <t>Midnight is understood to be 00:00:00 (the beginning of a day); when the time is not specified then midnight in the local time zone is typically implied.</t>
  </si>
  <si>
    <t>CdtStrucText</t>
  </si>
  <si>
    <t>creationProcessComplete</t>
  </si>
  <si>
    <t>(Geospatial Intelligence Feature Database (GIFD): 'COMPLETENESS_CODE')</t>
  </si>
  <si>
    <t>COP</t>
  </si>
  <si>
    <t>Creation Process Complete</t>
  </si>
  <si>
    <t>An indication that the process by which the digital representation of the feature(s) or data set(s) within an area is created, is complete in accordance with the specification that was used as the basis for defining the digital representation of the feature(s) or data set(s).</t>
  </si>
  <si>
    <t>crewInjuries</t>
  </si>
  <si>
    <t>CIN</t>
  </si>
  <si>
    <t>Crew Injuries</t>
  </si>
  <si>
    <t>The physical consequences to the crew of a vessel resulting from an aggressive act.</t>
  </si>
  <si>
    <t>CinCode</t>
  </si>
  <si>
    <t>cropSpecies</t>
  </si>
  <si>
    <t>CSP</t>
  </si>
  <si>
    <t>Crop Species</t>
  </si>
  <si>
    <t>The predominant species of a crop land.</t>
  </si>
  <si>
    <t>CspCode</t>
  </si>
  <si>
    <t>croplandCoverRatio</t>
  </si>
  <si>
    <t>AAL</t>
  </si>
  <si>
    <t>Cropland Cover Ratio</t>
  </si>
  <si>
    <t>The ratio of the area covered by cropland within an area, relative to the entire area.</t>
  </si>
  <si>
    <t>crossCountryMoveIndex</t>
  </si>
  <si>
    <t>CCM</t>
  </si>
  <si>
    <t>Cross Country Movement Index</t>
  </si>
  <si>
    <t>An indication of the degree to which terrain of a given area will permit cross country movement.</t>
  </si>
  <si>
    <t>Reference NATO STANAG 2259.</t>
  </si>
  <si>
    <t>Integer0to100</t>
  </si>
  <si>
    <t>crossSectionalProfile</t>
  </si>
  <si>
    <t>TCS</t>
  </si>
  <si>
    <t>Cross-sectional Profile</t>
  </si>
  <si>
    <t>The cross-sectional profile of an opening (for example: a tunnel or the space under a bridge span).</t>
  </si>
  <si>
    <t>TcsCode</t>
  </si>
  <si>
    <t>crossSectionalShape</t>
  </si>
  <si>
    <t>CSS</t>
  </si>
  <si>
    <t>Cross-sectional Shape</t>
  </si>
  <si>
    <t>The cross-sectional shape of a feature in the horizontal plane.</t>
  </si>
  <si>
    <t>CssCode</t>
  </si>
  <si>
    <t>crownDiameter</t>
  </si>
  <si>
    <t>CRD</t>
  </si>
  <si>
    <t>Crown Diameter</t>
  </si>
  <si>
    <t>The average diameter of tree crowns within a defined area.</t>
  </si>
  <si>
    <t>The tree crown displays the leaves to allow capture of radiant energy for photosynthesis. Its diameter is usually measured by projecting the edges of the crown to the ground and measuring the length along one axis from edge to edge through the crown centre. Unless the crown has a regular shape, the width measured will depend on the axis selected for measurement. Two orthogonal axes are normally selected and averaged (for example: the maximum axis and the axis at 90 degrees to it); the two measurements are then averaged using an arithmetic mean (most common) or a geometric mean (for highly elliptical boles).</t>
  </si>
  <si>
    <t>culturalContextType</t>
  </si>
  <si>
    <t>CUL</t>
  </si>
  <si>
    <t>Cultural Context Type</t>
  </si>
  <si>
    <t>The type of a cultural factor shared by a group of people and establishing a common context for their behaviour.</t>
  </si>
  <si>
    <t>CulCode</t>
  </si>
  <si>
    <t>culturalCover</t>
  </si>
  <si>
    <t>CFD</t>
  </si>
  <si>
    <t>Cultural Cover</t>
  </si>
  <si>
    <t>The portion of an area that is covered by buildings and other cultural features (for example: roads).</t>
  </si>
  <si>
    <t>culturalEconomicSystem</t>
  </si>
  <si>
    <t>ETU</t>
  </si>
  <si>
    <t>Cultural Economic System</t>
  </si>
  <si>
    <t>The method(s) of satisfying a people's material needs within an area.</t>
  </si>
  <si>
    <t>EtuCode</t>
  </si>
  <si>
    <t>culturalFacilityType</t>
  </si>
  <si>
    <t>CEF</t>
  </si>
  <si>
    <t>Cultural Facility Type</t>
  </si>
  <si>
    <t>The type of a facility or building that is used for cultural activities.</t>
  </si>
  <si>
    <t>CefCode</t>
  </si>
  <si>
    <t>culturalGroupAddNames</t>
  </si>
  <si>
    <t>ETO</t>
  </si>
  <si>
    <t>Cultural Group Additional Name(s)</t>
  </si>
  <si>
    <t>Additional or secondary names applied to a specific cultural group.</t>
  </si>
  <si>
    <t>May include its name(s) in other languages.</t>
  </si>
  <si>
    <t>culturalGroupCharacter</t>
  </si>
  <si>
    <t>ETR</t>
  </si>
  <si>
    <t>Cultural Group Characteristics</t>
  </si>
  <si>
    <t>A description of particular rites, customs, and/or traditions of a cultural group within an area.</t>
  </si>
  <si>
    <t>culturalGroupFraction</t>
  </si>
  <si>
    <t>ETQ</t>
  </si>
  <si>
    <t>Cultural Group Fraction</t>
  </si>
  <si>
    <t>The fraction of the total population consisting of members of a specific cultural group, within an area.</t>
  </si>
  <si>
    <t>culturalGroupGeneralName</t>
  </si>
  <si>
    <t>ETM</t>
  </si>
  <si>
    <t>Cultural Group Generalized Name</t>
  </si>
  <si>
    <t>A general name that may be applied to several cultural groups within an area, where they may be meaningfully combined on the basis of common cultural elements.</t>
  </si>
  <si>
    <t>culturalGroupLeaderName</t>
  </si>
  <si>
    <t>NOC</t>
  </si>
  <si>
    <t>Cultural Group Leader Name</t>
  </si>
  <si>
    <t>The name of the head of the cultural group within an area.</t>
  </si>
  <si>
    <t>culturalGroupName</t>
  </si>
  <si>
    <t>ETH</t>
  </si>
  <si>
    <t>Cultural Group Name</t>
  </si>
  <si>
    <t>The name ascribed to a cultural or ethnic group with an established common behavioural context within an area.</t>
  </si>
  <si>
    <t>cultureRuleStructure</t>
  </si>
  <si>
    <t>ETV</t>
  </si>
  <si>
    <t>Culture Rule Structure</t>
  </si>
  <si>
    <t>The form of rule imposed on a people by the person or group wielding power or authority over that people.</t>
  </si>
  <si>
    <t>EtvCode</t>
  </si>
  <si>
    <t>cultureRuleStructureDesc</t>
  </si>
  <si>
    <t>ETW</t>
  </si>
  <si>
    <t>Culture Rule Structure Description</t>
  </si>
  <si>
    <t>A description of the ruling structure in an area.</t>
  </si>
  <si>
    <t>culvertType</t>
  </si>
  <si>
    <t>CTC</t>
  </si>
  <si>
    <t>Culvert Type</t>
  </si>
  <si>
    <t>The type of a culvert based on its shape and fill.</t>
  </si>
  <si>
    <t>CtcCode</t>
  </si>
  <si>
    <t>cumulativeTrackLength</t>
  </si>
  <si>
    <t>CTL</t>
  </si>
  <si>
    <t>Cumulative Track Length</t>
  </si>
  <si>
    <t>The total cumulative length of track contained within the confines of the feature, exclusive of the branch or main trunk lines running into and/or out of the feature.</t>
  </si>
  <si>
    <t>currentRate</t>
  </si>
  <si>
    <t>CRS</t>
  </si>
  <si>
    <t>Current Rate (Speed)</t>
  </si>
  <si>
    <t>Current speed in knots.</t>
  </si>
  <si>
    <t>currentRateMaximum</t>
  </si>
  <si>
    <t>CRX</t>
  </si>
  <si>
    <t>Current Rate Maximum</t>
  </si>
  <si>
    <t>Maximum speed of current.</t>
  </si>
  <si>
    <t>currentRateMinimum</t>
  </si>
  <si>
    <t>CRN</t>
  </si>
  <si>
    <t>Current Rate Minimum</t>
  </si>
  <si>
    <t>Minimum speed of current.</t>
  </si>
  <si>
    <t>currentTypeCategory</t>
  </si>
  <si>
    <t>CUR</t>
  </si>
  <si>
    <t>Current Type Category</t>
  </si>
  <si>
    <t>The type of horizontal movement of a body of water based on the mechanism(s) causing the flow.</t>
  </si>
  <si>
    <t>CurCode</t>
  </si>
  <si>
    <t>curveAngle</t>
  </si>
  <si>
    <t>CUA</t>
  </si>
  <si>
    <t>Curve Angle</t>
  </si>
  <si>
    <t>The angle between the angle of orientation of the entry point and the angle of orientation of the exit point.</t>
  </si>
  <si>
    <t>curveRadius</t>
  </si>
  <si>
    <t>RAD</t>
  </si>
  <si>
    <t>Curve Radius</t>
  </si>
  <si>
    <t>The radius of curvature of a segment of a feature (or the feature as a whole, if applicable).</t>
  </si>
  <si>
    <t>Typically the smallest radius of a curved feature with more than one radius will be collected.</t>
  </si>
  <si>
    <t>cyanideConcentration</t>
  </si>
  <si>
    <t>CYN</t>
  </si>
  <si>
    <t>Cyanide Concentration</t>
  </si>
  <si>
    <t>The mass of inorganic cyanides per volume of solution.</t>
  </si>
  <si>
    <t>Inorganic cyanides are generally salts of the anion CN-. These are powerful poisons that are toxic to humans and aquatic life.</t>
  </si>
  <si>
    <t>cyclicRedundancyCheckValue</t>
  </si>
  <si>
    <t>CYR</t>
  </si>
  <si>
    <t>Cyclic Redundancy Check Value</t>
  </si>
  <si>
    <t>The value determined by applying a Cyclic Redundancy Check (CRC) to a dataset.</t>
  </si>
  <si>
    <t>A CRC is a mathematical algorithm applied to the digital expression of data that provides a level of assurance against loss or alteration of data. Best practice recommends that the algorithm consider all tags and data elements within a dataset. When the receiver applies a CRC algorithm to the dataset, a different CRC value indicates that a tag or data element within the dataset has been changed since the sender generated the original CRC value.</t>
  </si>
  <si>
    <t>CRC</t>
  </si>
  <si>
    <t>CyrStrucText</t>
  </si>
  <si>
    <t>damCrestLength</t>
  </si>
  <si>
    <t>LDC</t>
  </si>
  <si>
    <t>Dam Crest Length</t>
  </si>
  <si>
    <t>The centreline distance measured along the crest of a dam, and in the horizontal plane.</t>
  </si>
  <si>
    <t>damCrestWidth</t>
  </si>
  <si>
    <t>WOC</t>
  </si>
  <si>
    <t>Dam Crest Width</t>
  </si>
  <si>
    <t>The average distance across the crest of a dam.</t>
  </si>
  <si>
    <t>The width is measured perpendicular to the crest centerline.</t>
  </si>
  <si>
    <t>damFaceType</t>
  </si>
  <si>
    <t>DFT</t>
  </si>
  <si>
    <t>Dam Face Type</t>
  </si>
  <si>
    <t>The type of slope of the upstream face of a dam.</t>
  </si>
  <si>
    <t>DftCode</t>
  </si>
  <si>
    <t>damType</t>
  </si>
  <si>
    <t>DWT</t>
  </si>
  <si>
    <t>Dam Type</t>
  </si>
  <si>
    <t>The type of a dam based on function and/or structure.</t>
  </si>
  <si>
    <t>May be used as a means of subtyping Feature: 'Dam'.</t>
  </si>
  <si>
    <t>DwtCode</t>
  </si>
  <si>
    <t>damageDescription</t>
  </si>
  <si>
    <t>DDE</t>
  </si>
  <si>
    <t>Damage Description</t>
  </si>
  <si>
    <t>A textual description of the damage to a feature.</t>
  </si>
  <si>
    <t>dammed</t>
  </si>
  <si>
    <t>DMD</t>
  </si>
  <si>
    <t>Dammed</t>
  </si>
  <si>
    <t>An indication that a body of water is impounded by a dam.</t>
  </si>
  <si>
    <t>dangerousToNavigation</t>
  </si>
  <si>
    <t>DTN</t>
  </si>
  <si>
    <t>Dangerous to Navigation</t>
  </si>
  <si>
    <t>An indication that a hazard in a waterbody is considered to be dangerous to surface navigation.</t>
  </si>
  <si>
    <t>For example, broken piles, a rock formation, or a reef in moderately deep waters. For large vessels a depth of less than 20 metres is generally considered to be dangerous.</t>
  </si>
  <si>
    <t>dataCollectionQuality</t>
  </si>
  <si>
    <t>CAC</t>
  </si>
  <si>
    <t>Data Collection Quality</t>
  </si>
  <si>
    <t>The quality of a data collection based on an assessment of the method of collection.</t>
  </si>
  <si>
    <t>CacCode</t>
  </si>
  <si>
    <t>dataLinkChannel</t>
  </si>
  <si>
    <t>DLH</t>
  </si>
  <si>
    <t>Data Link Channel</t>
  </si>
  <si>
    <t>The communication channel on which Controller-Pilot Data-Link Communication (CPDLC) is available.</t>
  </si>
  <si>
    <t>dataLinkEnabled</t>
  </si>
  <si>
    <t>DLE</t>
  </si>
  <si>
    <t>Data Link Enabled</t>
  </si>
  <si>
    <t>An indication that a Controller-Pilot Data-Link Communication (CPDLC) is available in support of the service.</t>
  </si>
  <si>
    <t>dataLinkLogonAddress</t>
  </si>
  <si>
    <t>DLA</t>
  </si>
  <si>
    <t>Data Link Logon Address</t>
  </si>
  <si>
    <t>A specified code used for data link logon to an Air Traffic Service (ATS) unit.</t>
  </si>
  <si>
    <t>dataQualityStatement</t>
  </si>
  <si>
    <t>DQS</t>
  </si>
  <si>
    <t>Data Quality Statement</t>
  </si>
  <si>
    <t>A narrative or other textual description that records a general assessment of the quality of a resource (for example: a data instance, a data set or a data processing activity).</t>
  </si>
  <si>
    <t>The quality of a data resource is dependent on the data providers knowledge regarding the lineage of the data and the processes that have been used to transform that data. No restriction is placed on the length of the statement.</t>
  </si>
  <si>
    <t>DqsStrucText</t>
  </si>
  <si>
    <t>dataSetCitation</t>
  </si>
  <si>
    <t>DSC</t>
  </si>
  <si>
    <t>Data Set Citation</t>
  </si>
  <si>
    <t>An identification of a data set and a means of communication with person(s) and/or organisation(s) associated with that data set.</t>
  </si>
  <si>
    <t>DscStrucText</t>
  </si>
  <si>
    <t>dateOfLastEarthquake</t>
  </si>
  <si>
    <t>DEQ</t>
  </si>
  <si>
    <t>Date of Last Earthquake</t>
  </si>
  <si>
    <t>The date of the most recent earthquake, within an area.</t>
  </si>
  <si>
    <t>DeqStrucText</t>
  </si>
  <si>
    <t>dateOfLastTsunami</t>
  </si>
  <si>
    <t>YLT</t>
  </si>
  <si>
    <t>Date of Last Tsunami</t>
  </si>
  <si>
    <t>The date of the most recent tsunami, within an area.</t>
  </si>
  <si>
    <t>YltStrucText</t>
  </si>
  <si>
    <t>dateOfSinking</t>
  </si>
  <si>
    <t>DSK</t>
  </si>
  <si>
    <t>Date of Sinking</t>
  </si>
  <si>
    <t>The date on which a vessel sank or an object was discarded into the sea.</t>
  </si>
  <si>
    <t>DskStrucText</t>
  </si>
  <si>
    <t>daymarkShape</t>
  </si>
  <si>
    <t>DKS</t>
  </si>
  <si>
    <t>Daymark Shape</t>
  </si>
  <si>
    <t>The distinctive shape of a daymark.</t>
  </si>
  <si>
    <t>A daymark is a maritime beacon consisting of an unlighted panel of adequate viewing area to be seen at the required distance and having a distinctive shape, colour and/or number that serve to facilitate its recognition against a daylight viewing background.</t>
  </si>
  <si>
    <t>DksCode</t>
  </si>
  <si>
    <t>decisionAltitude</t>
  </si>
  <si>
    <t>DA1</t>
  </si>
  <si>
    <t>Decision Altitude (DA)</t>
  </si>
  <si>
    <t>A specified altitude in reference to Mean Sea Level (MSL) in an approach with vertical guidance at which a missed approach must be initiated if the required visual references to continue the approach have not been established.</t>
  </si>
  <si>
    <t>DA</t>
  </si>
  <si>
    <t>decisionHeight</t>
  </si>
  <si>
    <t>DH1</t>
  </si>
  <si>
    <t>Decision Height (DH)</t>
  </si>
  <si>
    <t>A specified height in reference to the threshold elevation in the precision approach or approach with vertical guidance at which a missed approach must be initiated if the required visual reference to continue the approach has not been established.</t>
  </si>
  <si>
    <t>DH</t>
  </si>
  <si>
    <t>deckCount</t>
  </si>
  <si>
    <t>DZC</t>
  </si>
  <si>
    <t>Deck Count</t>
  </si>
  <si>
    <t>The number of vertically stacked decks, one over another, in a transportation structure (for example: a bridge or a tunnel).</t>
  </si>
  <si>
    <t>deckLevel</t>
  </si>
  <si>
    <t>DEV</t>
  </si>
  <si>
    <t>Deck Level</t>
  </si>
  <si>
    <t>The relative level of a deck within a set of vertically stacked decks, one over another, in a transportation structure (for example: on a bridge or in a tunnel).</t>
  </si>
  <si>
    <t>The lowest deck is numbered '1' and the remaining decks are numbered in ascending order (bottom to top) with the uppermost deck being assigned the highest value. When no deck is present, the deck level is zero.</t>
  </si>
  <si>
    <t>declassBasis</t>
  </si>
  <si>
    <t>DEB</t>
  </si>
  <si>
    <t>Declassification Basis</t>
  </si>
  <si>
    <t>The event upon which the declassification of the feature or data set occurs.</t>
  </si>
  <si>
    <t>Either the date upon which the feature or data set will automatically become declassified with no overt action, or an identification that the data must be reviewed at such time that declassification is desired.</t>
  </si>
  <si>
    <t>DebStrucText</t>
  </si>
  <si>
    <t>deepDepthBelowSurfLevel</t>
  </si>
  <si>
    <t>DZP</t>
  </si>
  <si>
    <t>Deepest Depth Below Surface Level</t>
  </si>
  <si>
    <t>The distance measured from ground or water level (uphill/upstream side of the feature) to the deepest point of the feature.</t>
  </si>
  <si>
    <t>May be used to measure the depth of an inland waterbody (for example: a lake), the depth of a terrain surface depression or excavation (for example: a crevice or trench), the distance to the deepest point of a drilled feature (for example: a water well or borehole) or the distance to the deepest point of a feature located entirely underground (for example: a cave chamber). In the case of a feature located below a waterbody (for example: a non-water well) the reference surface is the waterbody bottom, rather than the waterbody surface.</t>
  </si>
  <si>
    <t>degreeOfMotorization</t>
  </si>
  <si>
    <t>DMO</t>
  </si>
  <si>
    <t>Degree of Motorization</t>
  </si>
  <si>
    <t>The number of registered motor vehicles per 100 inhabitants residing within an area.</t>
  </si>
  <si>
    <t>degreeOfUrbanization</t>
  </si>
  <si>
    <t>DGU</t>
  </si>
  <si>
    <t>Degree of Urbanization</t>
  </si>
  <si>
    <t>The ratio of the population residing in urbanized subareas relative to the total population of an area.</t>
  </si>
  <si>
    <t>deIcingAntiIcingAreaDesig</t>
  </si>
  <si>
    <t>DAD</t>
  </si>
  <si>
    <t>De-icing Anti-icing Area Designator</t>
  </si>
  <si>
    <t>The identifier or name of a de-icing anti-icing area that is unique within the extent of an aerodrome.</t>
  </si>
  <si>
    <t>delineationKnown</t>
  </si>
  <si>
    <t>COD</t>
  </si>
  <si>
    <t>Delineation Known</t>
  </si>
  <si>
    <t>An indication that the delineation (for example: limits and information) of a feature is known.</t>
  </si>
  <si>
    <t>depthAtMeanHighWater</t>
  </si>
  <si>
    <t>DHW</t>
  </si>
  <si>
    <t>Depth at Mean High Water</t>
  </si>
  <si>
    <t>Depth of water at Mean High Water (MHW).</t>
  </si>
  <si>
    <t>depthAtMeanLowWater</t>
  </si>
  <si>
    <t>DLW</t>
  </si>
  <si>
    <t>Depth at Mean Low Water</t>
  </si>
  <si>
    <t>Depth of water at Mean Low Water (MLW).</t>
  </si>
  <si>
    <t>depthAtMeanWater</t>
  </si>
  <si>
    <t>DMW</t>
  </si>
  <si>
    <t>Depth at Mean Water</t>
  </si>
  <si>
    <t>Depth of water at Mean Water (MW).</t>
  </si>
  <si>
    <t>depthCurveOrContourValue</t>
  </si>
  <si>
    <t>CRV</t>
  </si>
  <si>
    <t>Depth Curve or Contour Value</t>
  </si>
  <si>
    <t>A specified value assigned to a particular depth curve or contour.</t>
  </si>
  <si>
    <t>depthExposition</t>
  </si>
  <si>
    <t>EOD</t>
  </si>
  <si>
    <t>Depth Exposition</t>
  </si>
  <si>
    <t>Indicates specific depths governed by IHO regulations used in indicating safe navigation, as categories.</t>
  </si>
  <si>
    <t>EodCode</t>
  </si>
  <si>
    <t>depthGroundwaterSurface</t>
  </si>
  <si>
    <t>GSD</t>
  </si>
  <si>
    <t>Depth of Groundwater Surface</t>
  </si>
  <si>
    <t>The distance between the terrain surface and the surface of the groundwater along which the hydrostatic pressure is equal to the atmospheric pressure.</t>
  </si>
  <si>
    <t>depthRange</t>
  </si>
  <si>
    <t>DRA</t>
  </si>
  <si>
    <t>Depth Range</t>
  </si>
  <si>
    <t>The depth from a specified sounding datum as a depth interval bounded by the minimum (shoalest) and maximum (deepest) depth values.</t>
  </si>
  <si>
    <t>Both interval bounds are typically specified, although in certain cases (for example: depth known by wire drag) the interval may be open-ended with only a shoalest depth specified.</t>
  </si>
  <si>
    <t>depthRecorderName</t>
  </si>
  <si>
    <t>DRN</t>
  </si>
  <si>
    <t>Depth Recorder Name</t>
  </si>
  <si>
    <t>Name/Type of device used to record depths.</t>
  </si>
  <si>
    <t>derivedAerodromeLocIdent</t>
  </si>
  <si>
    <t>AIX</t>
  </si>
  <si>
    <t>Derived Aerodrome Location Identifier</t>
  </si>
  <si>
    <t>A designated sequence of characters formulated by the appropriate authority or provider, allowing the identification of an aerodrome which may not have an assigned ICAO or IATA code.</t>
  </si>
  <si>
    <t>AixStrucText</t>
  </si>
  <si>
    <t>descOfAidsToNavigation</t>
  </si>
  <si>
    <t>DAN</t>
  </si>
  <si>
    <t>Description of Aids to Navigation</t>
  </si>
  <si>
    <t>Textual description of aids to navigation marking a feature.</t>
  </si>
  <si>
    <t>For example, 'marked by buoys'.</t>
  </si>
  <si>
    <t>descOfReferencePoint</t>
  </si>
  <si>
    <t>DRP</t>
  </si>
  <si>
    <t>Description of Reference Point</t>
  </si>
  <si>
    <t>Description of the feature(s) which form a Leading Line or Clearing Line.</t>
  </si>
  <si>
    <t>desertSurfaceType</t>
  </si>
  <si>
    <t>DE1</t>
  </si>
  <si>
    <t>Desert Surface Type</t>
  </si>
  <si>
    <t>The type of a desert based on its predominant surface material.</t>
  </si>
  <si>
    <t>De1Code</t>
  </si>
  <si>
    <t>desertType</t>
  </si>
  <si>
    <t>DE2</t>
  </si>
  <si>
    <t>Desert Type</t>
  </si>
  <si>
    <t>The type of a desert based on its location and climatic conditions.</t>
  </si>
  <si>
    <t>De2Code</t>
  </si>
  <si>
    <t>designatedPointIdent</t>
  </si>
  <si>
    <t>DPI</t>
  </si>
  <si>
    <t>Designated Point Identifier</t>
  </si>
  <si>
    <t>A set of five alpha-numeric characters used to identify a designated point.</t>
  </si>
  <si>
    <t>DpiStrucText</t>
  </si>
  <si>
    <t>designatedPointType</t>
  </si>
  <si>
    <t>DPT</t>
  </si>
  <si>
    <t>Designated Point Type</t>
  </si>
  <si>
    <t>The specific type of designated point whether published by the State, published by the ICAO, or created by another agency for convenience of identification.</t>
  </si>
  <si>
    <t>DptCode</t>
  </si>
  <si>
    <t>designator</t>
  </si>
  <si>
    <t>DSG</t>
  </si>
  <si>
    <t>Designator</t>
  </si>
  <si>
    <t>An official designation assigned to a feature.</t>
  </si>
  <si>
    <t>The designator is intended to be unique within an appropriate scope (for example: an aerodrome or a military installation) and may be assigned based on a system of abbreviations and/or numbers (for example: 'T1' for Taxiway 1) or based on a naming scheme (for example: 'Alpha', 'Baker' or 'Charlie'), or simply a recognized name (for example: 'Warehouse B' or 'Hanger 11').</t>
  </si>
  <si>
    <t>developmentAidReceived</t>
  </si>
  <si>
    <t>DAR</t>
  </si>
  <si>
    <t>Development Aid Received</t>
  </si>
  <si>
    <t>The annual amount of development aid received, within an area.</t>
  </si>
  <si>
    <t>diameter</t>
  </si>
  <si>
    <t>DIM</t>
  </si>
  <si>
    <t>Diameter</t>
  </si>
  <si>
    <t>The dimension of a circular, cylindrical, or spherical feature taken from boundary to boundary along a straight line passing through its centre.</t>
  </si>
  <si>
    <t>directionBasis</t>
  </si>
  <si>
    <t>DRB</t>
  </si>
  <si>
    <t>Direction Basis</t>
  </si>
  <si>
    <t>The basis by which the Earth-relative horizontal angular direction of a bearing or path is specified.</t>
  </si>
  <si>
    <t>The direction basis may be used with a pair of angular limits to define the limits of an arc or sector around a centre point.</t>
  </si>
  <si>
    <t>DrbCode</t>
  </si>
  <si>
    <t>directionOfFlow</t>
  </si>
  <si>
    <t>DOF</t>
  </si>
  <si>
    <t>Direction of Flow</t>
  </si>
  <si>
    <t>The bearing of movement or direction of the flow.</t>
  </si>
  <si>
    <t>RealNonNegInterval360</t>
  </si>
  <si>
    <t>directionOfTraffic1</t>
  </si>
  <si>
    <t>DF1</t>
  </si>
  <si>
    <t>Direction of Traffic - 1</t>
  </si>
  <si>
    <t>Direction of traffic, first occurrence.</t>
  </si>
  <si>
    <t>Integer0to359</t>
  </si>
  <si>
    <t>directionOfTraffic2</t>
  </si>
  <si>
    <t>DF2</t>
  </si>
  <si>
    <t>Direction of Traffic - 2</t>
  </si>
  <si>
    <t>Direction of traffic, second occurrence.</t>
  </si>
  <si>
    <t>directionOfTraffic3</t>
  </si>
  <si>
    <t>DF3</t>
  </si>
  <si>
    <t>Direction of Traffic - 3</t>
  </si>
  <si>
    <t>Direction of traffic, third occurrence.</t>
  </si>
  <si>
    <t>directionOfTraffic4</t>
  </si>
  <si>
    <t>DF4</t>
  </si>
  <si>
    <t>Direction of Traffic - 4</t>
  </si>
  <si>
    <t>Direction of traffic, fourth occurrence.</t>
  </si>
  <si>
    <t>directionTrafficFlow</t>
  </si>
  <si>
    <t>T03</t>
  </si>
  <si>
    <t>Direction of Traffic Flow</t>
  </si>
  <si>
    <t>The direction of traffic flow.</t>
  </si>
  <si>
    <t>T03Code</t>
  </si>
  <si>
    <t>directivity</t>
  </si>
  <si>
    <t>DIR</t>
  </si>
  <si>
    <t>Directivity</t>
  </si>
  <si>
    <t>The side(s) of a feature that produce the greatest visual significance and/or reflectivity potential.</t>
  </si>
  <si>
    <t>DirCode</t>
  </si>
  <si>
    <t>diseaseLocalization</t>
  </si>
  <si>
    <t>SI1</t>
  </si>
  <si>
    <t>Disease Localization</t>
  </si>
  <si>
    <t>A characterization of the degree of localization of a disease within an area, as a category.</t>
  </si>
  <si>
    <t>Si1Code</t>
  </si>
  <si>
    <t>diseaseReservoirType</t>
  </si>
  <si>
    <t>DIB</t>
  </si>
  <si>
    <t>Disease Reservoir Type</t>
  </si>
  <si>
    <t>The type of organism (usually an animal or human) that serves as the permanent host of a parasitic organism, virus and/or bacterium, and in which it lives and multiplies.</t>
  </si>
  <si>
    <t>DibCode</t>
  </si>
  <si>
    <t>diseaseTransmissionType</t>
  </si>
  <si>
    <t>DIC</t>
  </si>
  <si>
    <t>Disease Transmission Type</t>
  </si>
  <si>
    <t>The type of transmission or vector that is used to infect humans with a disease.</t>
  </si>
  <si>
    <t>A vector is an organism (often an insect or tick) that carries a parasite/virus/bacterium from one host to another.</t>
  </si>
  <si>
    <t>DicCode</t>
  </si>
  <si>
    <t>displacedThresholdLength</t>
  </si>
  <si>
    <t>DTM</t>
  </si>
  <si>
    <t>Displaced Threshold Length</t>
  </si>
  <si>
    <t>The distance from the runway end to that point of the runway that is usable for landing.</t>
  </si>
  <si>
    <t>dissectedTerrain</t>
  </si>
  <si>
    <t>DIS</t>
  </si>
  <si>
    <t>Dissected Terrain</t>
  </si>
  <si>
    <t>An indication that the terrain surface is divided into relatively small areas of varying elevation resulting in high local relief.</t>
  </si>
  <si>
    <t>Typically formed by the dissection of a once flat plateau or plain by erosion but may also be caused by artificial means (for example: construction).</t>
  </si>
  <si>
    <t>dmeAntennaElevation</t>
  </si>
  <si>
    <t>DAE</t>
  </si>
  <si>
    <t>Distance Measuring Equipment (DME) Antenna Elevation</t>
  </si>
  <si>
    <t>The vertical distance from Mean Sea Level (MSL) to the base of the Distance Measuring Equipment (DME) antenna.</t>
  </si>
  <si>
    <t>dmeChannel</t>
  </si>
  <si>
    <t>DTC</t>
  </si>
  <si>
    <t>Distance Measuring Equipment (DME) Channel</t>
  </si>
  <si>
    <t>A number followed by a letter corresponding to the DME frequency, as per ICAO Annex 10, Chapter 3, Table A.</t>
  </si>
  <si>
    <t>DME operating channels shall be chosen from ICAO Annex 10 Chapter 3 Table A, which specifies 352 channels for each of which there is an assigned channel number, frequency, and pulse code.</t>
  </si>
  <si>
    <t>DtcCode</t>
  </si>
  <si>
    <t>dmeDisplacement</t>
  </si>
  <si>
    <t>DDI</t>
  </si>
  <si>
    <t>Distance Measuring Equipment (DME) Displacement</t>
  </si>
  <si>
    <t>The distance from the DME antenna to the position where the zero range indication occurs in the DME receiver.</t>
  </si>
  <si>
    <t>dmeType</t>
  </si>
  <si>
    <t>DMX</t>
  </si>
  <si>
    <t>Distance Measuring Equipment (DME) Type</t>
  </si>
  <si>
    <t>The particular spectrum characteristics or accuracy of Ultra High Frequency (UHF) Distance Measuring Equipment (DME), as a category.</t>
  </si>
  <si>
    <t>For example: DME/N, DME/W, or DME/P.</t>
  </si>
  <si>
    <t>DmxCode</t>
  </si>
  <si>
    <t>distanceSurfZone</t>
  </si>
  <si>
    <t>DSZ</t>
  </si>
  <si>
    <t>Distance of Surf Zone</t>
  </si>
  <si>
    <t>The distance of the surf zone from the water line.</t>
  </si>
  <si>
    <t>ditchFunction</t>
  </si>
  <si>
    <t>DIT</t>
  </si>
  <si>
    <t>Ditch Function</t>
  </si>
  <si>
    <t>The function of a ditch.</t>
  </si>
  <si>
    <t>DitCode</t>
  </si>
  <si>
    <t>divided</t>
  </si>
  <si>
    <t>SEP</t>
  </si>
  <si>
    <t>Divided</t>
  </si>
  <si>
    <t>An indication that the lanes or tracks in a land transportation route (for example: a road or a railway), are horizontally separated (for example: by a median strip) and not adjoining.</t>
  </si>
  <si>
    <t>May be used to indicate the separation of opposing flows of traffic in order to improve safety or to meet route engineering restrictions by some means. For example, the two travelled ways of a divided highway may pass at different elevations along the side of a mountain or may diverge when passing around significant engineering obstacles (for example: rocky outcrops).</t>
  </si>
  <si>
    <t>divingActivity</t>
  </si>
  <si>
    <t>DAC</t>
  </si>
  <si>
    <t>Diving Activity</t>
  </si>
  <si>
    <t>The type of diving activity taking place.</t>
  </si>
  <si>
    <t>DacCode</t>
  </si>
  <si>
    <t>divingActivityDepth</t>
  </si>
  <si>
    <t>DDA</t>
  </si>
  <si>
    <t>Diving Activity Depth</t>
  </si>
  <si>
    <t>The average depth at which diving activities take place.</t>
  </si>
  <si>
    <t>dmeAntennaMslElevation</t>
  </si>
  <si>
    <t>ZDM</t>
  </si>
  <si>
    <t>DME Antenna MSL Elevation</t>
  </si>
  <si>
    <t>Elevation of the base of the DME antenna from Mean Sea Level (MSL).</t>
  </si>
  <si>
    <t>dmeAntennaOrthoElev</t>
  </si>
  <si>
    <t>Z4M</t>
  </si>
  <si>
    <t>DME Antenna Orthometric Elevation</t>
  </si>
  <si>
    <t>Elevation of the base of the DME antenna from the geoid.</t>
  </si>
  <si>
    <t>dockType</t>
  </si>
  <si>
    <t>DTY</t>
  </si>
  <si>
    <t>Dock Type</t>
  </si>
  <si>
    <t>The type of a dock based on the degree to which (and method by which) its interior water level may be controlled.</t>
  </si>
  <si>
    <t>DtyCode</t>
  </si>
  <si>
    <t>doorStructure</t>
  </si>
  <si>
    <t>DST</t>
  </si>
  <si>
    <t>Door Structure</t>
  </si>
  <si>
    <t>The structure of a door, including the material(s) utilized.</t>
  </si>
  <si>
    <t>DstCode</t>
  </si>
  <si>
    <t>doorThickness</t>
  </si>
  <si>
    <t>DTK</t>
  </si>
  <si>
    <t>Door Thickness</t>
  </si>
  <si>
    <t>The distance between the two opposite faces of a movable structure used to regulate access through an entrance and/or exit.</t>
  </si>
  <si>
    <t>The third dimension of a door, distinct from length and width. A door typically consists of a panel that either swings on hinges, slides, or rotates into a position. The thickness of a revolving door is for one panel or wing.</t>
  </si>
  <si>
    <t>draftDimension</t>
  </si>
  <si>
    <t>DDM</t>
  </si>
  <si>
    <t>Draft Dimension</t>
  </si>
  <si>
    <t>The correction to the depth measurement measured from the hull-mounted transducer to the water surface.</t>
  </si>
  <si>
    <t>The depth measurement is normally taken from the transducer to the ocean floor. The draft correction brings that measurement to the water surface.</t>
  </si>
  <si>
    <t>dredgeType</t>
  </si>
  <si>
    <t>DRT</t>
  </si>
  <si>
    <t>Dredge Type</t>
  </si>
  <si>
    <t>The type of a dredge based on its method of operation and/or the platform on which it is mounted.</t>
  </si>
  <si>
    <t>DrtCode</t>
  </si>
  <si>
    <t>dredged</t>
  </si>
  <si>
    <t>DRG</t>
  </si>
  <si>
    <t>Dredged</t>
  </si>
  <si>
    <t>An indication that the depth of a channel or body of water is being maintained by dredging.</t>
  </si>
  <si>
    <t>drillingMethod</t>
  </si>
  <si>
    <t>WFC</t>
  </si>
  <si>
    <t>Drilling Method</t>
  </si>
  <si>
    <t>The method used to drill a well or borehole.</t>
  </si>
  <si>
    <t>WfcCode</t>
  </si>
  <si>
    <t>dumpingGroundType</t>
  </si>
  <si>
    <t>DPG</t>
  </si>
  <si>
    <t>Dumping Ground Type</t>
  </si>
  <si>
    <t>The type(s) of material deliberately deposited in an area at sea.</t>
  </si>
  <si>
    <t>DpgCode</t>
  </si>
  <si>
    <t>duplicateProcedureIdent</t>
  </si>
  <si>
    <t>DUP</t>
  </si>
  <si>
    <t>Duplicate Procedure Identification</t>
  </si>
  <si>
    <t>A suffix letter for denoting multiple approaches of the same approach type to the same runway.</t>
  </si>
  <si>
    <t>A single letter suffix, starting with the letter Z, following the radio navigation aid type shall be used if two or more procedures to the same runway cannot be distinguished by the radio navigation aid type only.</t>
  </si>
  <si>
    <t>Multiple Identification</t>
  </si>
  <si>
    <t>DupStrucText</t>
  </si>
  <si>
    <t>dwellingType</t>
  </si>
  <si>
    <t>DDC</t>
  </si>
  <si>
    <t>Dwelling Type</t>
  </si>
  <si>
    <t>The type of a facility or building that is used as a permanent or long term human dwelling.</t>
  </si>
  <si>
    <t>DdcCode</t>
  </si>
  <si>
    <t>dynamicMagVariation</t>
  </si>
  <si>
    <t>YMV</t>
  </si>
  <si>
    <t>Dynamic Magnetic Variation</t>
  </si>
  <si>
    <t>The angular difference between true north and magnetic north measured at a given position and date, as calculated based on a given world magnetic model.</t>
  </si>
  <si>
    <t>The value given indicates whether the angular difference is East (positive) or West (negative) of True North. True North is the direction of the northern point at which the geographic meridian lines meet.</t>
  </si>
  <si>
    <t>Realm180to180</t>
  </si>
  <si>
    <t>dynamicMagVariationDateTime</t>
  </si>
  <si>
    <t>YMD</t>
  </si>
  <si>
    <t>Dynamic Magnetic Variation Date and Time</t>
  </si>
  <si>
    <t>The date and, optionally, time on which the dynamic magnetic variation was calculated.</t>
  </si>
  <si>
    <t>YmdStrucText</t>
  </si>
  <si>
    <t>earthquakeEffect</t>
  </si>
  <si>
    <t>ES1</t>
  </si>
  <si>
    <t>Earthquake Effect</t>
  </si>
  <si>
    <t>The type of destructive effects(s) caused by an earthquake.</t>
  </si>
  <si>
    <t>Es1Code</t>
  </si>
  <si>
    <t>earthquakeFeltArea</t>
  </si>
  <si>
    <t>EFA</t>
  </si>
  <si>
    <t>Earthquake Felt Area</t>
  </si>
  <si>
    <t>The area of the region in which the earthquake was felt.</t>
  </si>
  <si>
    <t>earthquakeFocalDepth</t>
  </si>
  <si>
    <t>EQD</t>
  </si>
  <si>
    <t>Earthquake Focal Depth</t>
  </si>
  <si>
    <t>The distance between epicentre and hypocentre of an earthquake.</t>
  </si>
  <si>
    <t>The hypocentre (or focus) is the point within the Earth where an earthquake rupture starts. The epicentre is the point directly above it at the surface of the Earth.</t>
  </si>
  <si>
    <t>earthquakeFocusExtendDist</t>
  </si>
  <si>
    <t>EQE</t>
  </si>
  <si>
    <t>Earthquake Focus Extension Distance</t>
  </si>
  <si>
    <t>The distance between the observed affected area and hypocentre of an earthquake.</t>
  </si>
  <si>
    <t>earthquakeMagnitude</t>
  </si>
  <si>
    <t>EMA</t>
  </si>
  <si>
    <t>Earthquake Magnitude</t>
  </si>
  <si>
    <t>The magnitude of the earthquake.</t>
  </si>
  <si>
    <t>Magnitude, a logarithmic measure of the 'size' of an earthquake, is related to the energy released as seismic waves at the focus of an earthquake. Although the magnitude scale has neither maximum nor minimum values, the highest magnitude known is about 9.5 and the lowest about -3.0. On this logarithmic scale, a magnitude 6.0 shallow-focus earthquake represents elastic-wave energy about 30 times larger than that generated by a magnitude 5.0 earthquake, and 900 times (30x30) larger than that of a magnitude 4.0 shock.</t>
  </si>
  <si>
    <t>earthquakeMagType</t>
  </si>
  <si>
    <t>EMT</t>
  </si>
  <si>
    <t>Earthquake Magnitude Type</t>
  </si>
  <si>
    <t>The type of the magnitude of the earthquake, based on the method used in its determination.</t>
  </si>
  <si>
    <t>EmtCode</t>
  </si>
  <si>
    <t>earthquakeSubsoilDamage</t>
  </si>
  <si>
    <t>ED1</t>
  </si>
  <si>
    <t>Earthquake Subsoil Damage</t>
  </si>
  <si>
    <t>The type of change to an arfea of subsoil that is the result of an earthquake.</t>
  </si>
  <si>
    <t>For example, soil compaction or settlement.</t>
  </si>
  <si>
    <t>Ed1Code</t>
  </si>
  <si>
    <t>economicReserveBasis</t>
  </si>
  <si>
    <t>ERB</t>
  </si>
  <si>
    <t>Economic Reserve Basis</t>
  </si>
  <si>
    <t>The basis by which an economic reserve has been established.</t>
  </si>
  <si>
    <t>An economic reserve is a tract of public land reserved for future use and/or restricted as to present use.</t>
  </si>
  <si>
    <t>ErbCode</t>
  </si>
  <si>
    <t>ecozone</t>
  </si>
  <si>
    <t>ECO</t>
  </si>
  <si>
    <t>Ecozone</t>
  </si>
  <si>
    <t>An ecozone or biogeographic realm is the largest scale biogeographic division of the earth's surface based on the historical and evolutionary distribution patterns of plants and animals.</t>
  </si>
  <si>
    <t>EcoCode</t>
  </si>
  <si>
    <t>educationalFacilityType</t>
  </si>
  <si>
    <t>EBT</t>
  </si>
  <si>
    <t>Educational Facility Type</t>
  </si>
  <si>
    <t>The type of a facility or building that supports educational activities or functions.</t>
  </si>
  <si>
    <t>EbtCode</t>
  </si>
  <si>
    <t>electricPowerCarryingCap</t>
  </si>
  <si>
    <t>PKV</t>
  </si>
  <si>
    <t>Electric Power Carrying Capacity</t>
  </si>
  <si>
    <t>The rated electric power carrying capacity of the feature.</t>
  </si>
  <si>
    <t>electricPowerConsumeRate</t>
  </si>
  <si>
    <t>ECE</t>
  </si>
  <si>
    <t>Electric Power Consumption Rate</t>
  </si>
  <si>
    <t>The annual amount of consumed electric power per inhabitant residing within an area.</t>
  </si>
  <si>
    <t>electricPowerRating</t>
  </si>
  <si>
    <t>EPO</t>
  </si>
  <si>
    <t>Electric Power Rating</t>
  </si>
  <si>
    <t>The rated electrical power consumption, generation or radiation by a feature.</t>
  </si>
  <si>
    <t>The rated power is normally the maximum power that an electrical device, such as a generator, antenna, cable, electrical or electronic equipment can safely handle for prolonged or infinite periods of time.</t>
  </si>
  <si>
    <t>electricPowerGenerateCap</t>
  </si>
  <si>
    <t>EPW</t>
  </si>
  <si>
    <t>Electrical Power Generation Capacity</t>
  </si>
  <si>
    <t>The maximum electrical power generating capacity of a facility.</t>
  </si>
  <si>
    <t>electrificationVoltage</t>
  </si>
  <si>
    <t>ETN</t>
  </si>
  <si>
    <t>Electrification Voltage</t>
  </si>
  <si>
    <t>The nominal voltage of electrical power supplied to a transport system (for example: an electrified railway).</t>
  </si>
  <si>
    <t>Electric Tension</t>
  </si>
  <si>
    <t>elevationMsl</t>
  </si>
  <si>
    <t>MSL</t>
  </si>
  <si>
    <t>Elevation</t>
  </si>
  <si>
    <t>The vertical distance of a point or a level, on or affixed to the surface of the Earth, measured from Mean Sea Level (MSL).</t>
  </si>
  <si>
    <t>Orthometric Height</t>
  </si>
  <si>
    <t>elevationGeneric</t>
  </si>
  <si>
    <t>ELV</t>
  </si>
  <si>
    <t>Elevation (Generic)</t>
  </si>
  <si>
    <t>The vertical distance of a point or a level, on or affixed to the surface of the Earth, measured from a specific vertical datum.</t>
  </si>
  <si>
    <t>elevationAboveTerrain</t>
  </si>
  <si>
    <t>EGL</t>
  </si>
  <si>
    <t>Elevation Above Terrain Surface</t>
  </si>
  <si>
    <t>The vertical distance between the base of an elevated feature and the surrounding terrain or other reference ground level.</t>
  </si>
  <si>
    <t>elevationAboveWaterFloor</t>
  </si>
  <si>
    <t>HSB</t>
  </si>
  <si>
    <t>Elevation Above Waterbody Floor</t>
  </si>
  <si>
    <t>The elevation of an object measured vertically from the waterbody floor to the base (lowest point) of the object.</t>
  </si>
  <si>
    <t>elevationAccuracyCategory</t>
  </si>
  <si>
    <t>ELA</t>
  </si>
  <si>
    <t>Elevation Accuracy Category</t>
  </si>
  <si>
    <t>A general evaluation of the accuracy of the vertical position of a feature, as a category.</t>
  </si>
  <si>
    <t>ElaCode</t>
  </si>
  <si>
    <t>elevationRange</t>
  </si>
  <si>
    <t>ERA</t>
  </si>
  <si>
    <t>Elevation Range</t>
  </si>
  <si>
    <t>The elevation from a specified vertical datum as an elevation interval bounded by the minimum and maximum elevation values.</t>
  </si>
  <si>
    <t>elevationSurfaceCategory</t>
  </si>
  <si>
    <t>ESC</t>
  </si>
  <si>
    <t>Elevation Surface Category</t>
  </si>
  <si>
    <t>The category of surface for which an elevation is determined.</t>
  </si>
  <si>
    <t>EscCode</t>
  </si>
  <si>
    <t>elevationVertAccuracy90</t>
  </si>
  <si>
    <t>EVA</t>
  </si>
  <si>
    <t>Elevation Vertical Accuracy (90%)</t>
  </si>
  <si>
    <t>The difference between a recorded elevation value and the true elevation referenced to the same vertical datum, expressed as a linear error at 90 percent probability.</t>
  </si>
  <si>
    <t>The elevation value may, for example, represent the highest point on a feature or the base of the feature at ground level. The accuracy may also be representative of a set of elevation values. If the data contains multiple accuracies, usually the worst accuracy which applies to 10% or more of the data is recorded.</t>
  </si>
  <si>
    <t>ellipsoidHeight</t>
  </si>
  <si>
    <t>Z5M</t>
  </si>
  <si>
    <t>Ellipsoid Height</t>
  </si>
  <si>
    <t>The height related to a reference ellipsoid, measured along the ellipsoidal outer normal through the point in question.</t>
  </si>
  <si>
    <t>HAE</t>
  </si>
  <si>
    <t>ellipHeightRunwayHighEnd</t>
  </si>
  <si>
    <t>EHM</t>
  </si>
  <si>
    <t>Ellipsoid Height - Runway High End</t>
  </si>
  <si>
    <t>Elevation above the ellipsoid at the highest end of the runway.</t>
  </si>
  <si>
    <t>ellipHeightRunwayLowEnd</t>
  </si>
  <si>
    <t>ELM</t>
  </si>
  <si>
    <t>Ellipsoid Height - Runway Low End</t>
  </si>
  <si>
    <t>Elevation above the ellipsoid at the lowest end of the runway.</t>
  </si>
  <si>
    <t>embankmentType</t>
  </si>
  <si>
    <t>FIC</t>
  </si>
  <si>
    <t>Embankment Type</t>
  </si>
  <si>
    <t>The type of an embankment based on its use and/or relationship to the surrounding terrain.</t>
  </si>
  <si>
    <t>FicCode</t>
  </si>
  <si>
    <t>emergRespServResponseTime</t>
  </si>
  <si>
    <t>EST</t>
  </si>
  <si>
    <t>Emergency Response Service Response Time</t>
  </si>
  <si>
    <t>The average length of time between when an emergency response service is first notified of an emergency and when the service first arrives at the emergency location.</t>
  </si>
  <si>
    <t>Emergency response services include fire and rescue, law enforcement, and emergency medical service.</t>
  </si>
  <si>
    <t>emergencySafeAltitude</t>
  </si>
  <si>
    <t>ESA</t>
  </si>
  <si>
    <t>Emergency Safe Altitude (ESA)</t>
  </si>
  <si>
    <t>An altitude which provides at least 1000 feet of obstacle clearance in nonmountainous areas or 2000 feet of obstacle clearance in designated mountainous areas within a 100 nautical mile radius of the navigation facility upon which the procedure is predicated.</t>
  </si>
  <si>
    <t>endangeredEnvironComp</t>
  </si>
  <si>
    <t>APO</t>
  </si>
  <si>
    <t>Endangered Environment Components</t>
  </si>
  <si>
    <t>The type(s) of organic and/or inorganic components of the environment that are endangered by pollutants within an area.</t>
  </si>
  <si>
    <t>ApoCode</t>
  </si>
  <si>
    <t>energyRawMaterial</t>
  </si>
  <si>
    <t>ERM</t>
  </si>
  <si>
    <t>Energy Raw Material</t>
  </si>
  <si>
    <t>The type of a natural resources commonly used for the production of energy through combustion.</t>
  </si>
  <si>
    <t>For example: crude oil, coal, and natural gas.</t>
  </si>
  <si>
    <t>ErmCode</t>
  </si>
  <si>
    <t>engineTestCellType</t>
  </si>
  <si>
    <t>ETY</t>
  </si>
  <si>
    <t>Engine Test Cell Type</t>
  </si>
  <si>
    <t>The type of an engine test cell based on the purpose for which it was designed.</t>
  </si>
  <si>
    <t>EtyCode</t>
  </si>
  <si>
    <t>engineeredEarthworkType</t>
  </si>
  <si>
    <t>EET</t>
  </si>
  <si>
    <t>Engineered Earthwork Type</t>
  </si>
  <si>
    <t>The type of an excavation and/or embankment created for the purpose of enhancing the defense of a site from armed attack.</t>
  </si>
  <si>
    <t>EetCode</t>
  </si>
  <si>
    <t>enhFujitaTornadoScale</t>
  </si>
  <si>
    <t>FTE</t>
  </si>
  <si>
    <t>Enhanced Fujita Tornado Scale</t>
  </si>
  <si>
    <t>The degree of surface-level wind damage due to tornadic winds as specified by the damage-based Enhanced Fujita (EF) Tornado Scale.</t>
  </si>
  <si>
    <t>The categories are based upon 28 damage indicators consisting of types of buildings, structures, and trees common to tornado-prone regions. For each damage indicator, several degrees of damage are identified. Integration of degrees of damage across observed damage indicators results in an overall estimate of the highest wind speed that occurred during the life cycle of the tornado.</t>
  </si>
  <si>
    <t>FteCode</t>
  </si>
  <si>
    <t>entityIdentifierType</t>
  </si>
  <si>
    <t>EIT</t>
  </si>
  <si>
    <t>Entity Identifier Type</t>
  </si>
  <si>
    <t>The type of an identifier of an entity (for example: feature or event) instance based on its intended use and/or the data production system that assigns the value.</t>
  </si>
  <si>
    <t>The scope of uniqueness of the identifier may be limited to a dataset (for example: a map or chart sheet).</t>
  </si>
  <si>
    <t>EitCode</t>
  </si>
  <si>
    <t>entranceExitClosureMethod</t>
  </si>
  <si>
    <t>ECM</t>
  </si>
  <si>
    <t>Entrance and/or Exit Closure Method</t>
  </si>
  <si>
    <t>The means by which an entrance and/or exit is closed (for example: by a door, hatch, or cover).</t>
  </si>
  <si>
    <t>EcmCode</t>
  </si>
  <si>
    <t>entranceExitShielded</t>
  </si>
  <si>
    <t>EEP</t>
  </si>
  <si>
    <t>Entrance and/or Exit Shielded</t>
  </si>
  <si>
    <t>An indication that an entrance and/or exit is shielded from direct observation and/or attack.</t>
  </si>
  <si>
    <t>The shielding may be provided by a suitably placed berm, revetment, or wall.</t>
  </si>
  <si>
    <t>entranceExitType</t>
  </si>
  <si>
    <t>EEC</t>
  </si>
  <si>
    <t>Entrance and/or Exit Type</t>
  </si>
  <si>
    <t>The type of an entrance and/or exit based on the type of feature to which access is accomplished and/or its structure.</t>
  </si>
  <si>
    <t>EecCode</t>
  </si>
  <si>
    <t>environmentalDamageType</t>
  </si>
  <si>
    <t>KD1</t>
  </si>
  <si>
    <t>Environmental Damage Type</t>
  </si>
  <si>
    <t>The primary type of environmental damage existing within an area.</t>
  </si>
  <si>
    <t>Kd1Code</t>
  </si>
  <si>
    <t>epidemicType</t>
  </si>
  <si>
    <t>KE1</t>
  </si>
  <si>
    <t>Epidemic Type</t>
  </si>
  <si>
    <t>The type of infectious disease currently prevalent in an area as an epidemic.</t>
  </si>
  <si>
    <t>Ke1Code</t>
  </si>
  <si>
    <t>equivalentScale</t>
  </si>
  <si>
    <t>EQS</t>
  </si>
  <si>
    <t>Equivalent Scale</t>
  </si>
  <si>
    <t>The denominator (for example: 50,000) of the map scale that best represents the density of feature collection within the geospatial extent of a specified region.</t>
  </si>
  <si>
    <t>equivalentScaleCategory</t>
  </si>
  <si>
    <t>EQC</t>
  </si>
  <si>
    <t>Equivalent Scale Category</t>
  </si>
  <si>
    <t>The map scale that best represents the density of feature collection within the geospatial extent of a specified region, as a category.</t>
  </si>
  <si>
    <t>EqcCode</t>
  </si>
  <si>
    <t>equivalentSingleWheelLoad</t>
  </si>
  <si>
    <t>ESL</t>
  </si>
  <si>
    <t>Equivalent Single Wheel Load (ESWL)</t>
  </si>
  <si>
    <t>The theoretical load which, if acting on a single tire, with a contact area equal to that of one tire of the assembly, will produce the same effect on the movement area as the multiple wheel assembly.</t>
  </si>
  <si>
    <t>ESWL</t>
  </si>
  <si>
    <t>estimatedAmountLoss</t>
  </si>
  <si>
    <t>EAL</t>
  </si>
  <si>
    <t>Estimated Amount of Loss</t>
  </si>
  <si>
    <t>The estimated overall cost of the disaster.</t>
  </si>
  <si>
    <t>estimatedProductionRate</t>
  </si>
  <si>
    <t>ERE</t>
  </si>
  <si>
    <t>Estimated Production Rate</t>
  </si>
  <si>
    <t>The estimated quantity of material the feature is producing over a period of time.</t>
  </si>
  <si>
    <t>estimatedRemainingReserve</t>
  </si>
  <si>
    <t>ERC</t>
  </si>
  <si>
    <t>Estimated Remaining Reserve</t>
  </si>
  <si>
    <t>The estimated overall quantity of material the feature will deliver or produce until it will be closed or abandoned.</t>
  </si>
  <si>
    <t>For example the quantity of an oil field.</t>
  </si>
  <si>
    <t>ethnicGroupHierarchy</t>
  </si>
  <si>
    <t>ETC</t>
  </si>
  <si>
    <t>Ethnic Group Hierarchy</t>
  </si>
  <si>
    <t>The hierarchy of an ethnic group within an area.</t>
  </si>
  <si>
    <t>EtcCode</t>
  </si>
  <si>
    <t>evacuationRouteUse</t>
  </si>
  <si>
    <t>ERU</t>
  </si>
  <si>
    <t>Evacuation Route Use</t>
  </si>
  <si>
    <t>The type(s) of designated emergency evacuation routes which include the feature.</t>
  </si>
  <si>
    <t>Evacuation routes may include passages (for example: hallways, stairs and walkways) supporting egress from a structure and transportation routes (for example: roads) leading away from the site of the emergency.</t>
  </si>
  <si>
    <t>EruCode</t>
  </si>
  <si>
    <t>eventDateTime</t>
  </si>
  <si>
    <t>CDV</t>
  </si>
  <si>
    <t>Event Date and Time</t>
  </si>
  <si>
    <t>The date and, optionally, time of an event.</t>
  </si>
  <si>
    <t>The event to which the date applies must be determined in the context of the data content specification. Typically the Attribute: 'Event Type' is used to specify the nature of the event.</t>
  </si>
  <si>
    <t>CdvStrucText</t>
  </si>
  <si>
    <t>eventLocalTime</t>
  </si>
  <si>
    <t>CTI</t>
  </si>
  <si>
    <t>Event Local Time</t>
  </si>
  <si>
    <t>The local time of an event.</t>
  </si>
  <si>
    <t>CtiStrucText</t>
  </si>
  <si>
    <t>eventType</t>
  </si>
  <si>
    <t>CDP</t>
  </si>
  <si>
    <t>Event Type</t>
  </si>
  <si>
    <t>The type of an event (for example: a report or an activity).</t>
  </si>
  <si>
    <t>The Attribute: 'Event Date' may be used to specify the date of the event.</t>
  </si>
  <si>
    <t>CdpCode</t>
  </si>
  <si>
    <t>exactPosition</t>
  </si>
  <si>
    <t>EPC</t>
  </si>
  <si>
    <t>Exact Position</t>
  </si>
  <si>
    <t>An indication that a feature position is 'exact' for the purposes of marine navigation.</t>
  </si>
  <si>
    <t>exchangeRate</t>
  </si>
  <si>
    <t>CEQ</t>
  </si>
  <si>
    <t>Exchange Rate</t>
  </si>
  <si>
    <t>The official value of a nation's monetary unit at a given date or over a given period of time, as expressed in units of local currency per United States Dollar (USD).</t>
  </si>
  <si>
    <t>existenceCertaintyCat</t>
  </si>
  <si>
    <t>COE</t>
  </si>
  <si>
    <t>Existence Certainty Category</t>
  </si>
  <si>
    <t>A general evaluation of the quality of a feature assessment, as a category.</t>
  </si>
  <si>
    <t>CoeCode</t>
  </si>
  <si>
    <t>exitDescription</t>
  </si>
  <si>
    <t>EXI</t>
  </si>
  <si>
    <t>Exit Description</t>
  </si>
  <si>
    <t>A description of exits from a feature including direction and potential hazards.</t>
  </si>
  <si>
    <t>exploited</t>
  </si>
  <si>
    <t>EXL</t>
  </si>
  <si>
    <t>Exploited</t>
  </si>
  <si>
    <t>An indication that an area where natural resources have been discovered is being actively exploited.</t>
  </si>
  <si>
    <t>For example an oil field is exploited if boreholes are used to extract oil.</t>
  </si>
  <si>
    <t>extractedRunwayHighId</t>
  </si>
  <si>
    <t>EHI</t>
  </si>
  <si>
    <t>Extracted Runway High Identifier</t>
  </si>
  <si>
    <t>Runway High Identifier.</t>
  </si>
  <si>
    <t>KeyNonLex4</t>
  </si>
  <si>
    <t>extractedRunwayLowId</t>
  </si>
  <si>
    <t>ELI</t>
  </si>
  <si>
    <t>Extracted Runway Low Identifier</t>
  </si>
  <si>
    <t>Runway Low Identifier.</t>
  </si>
  <si>
    <t>extractionMineType</t>
  </si>
  <si>
    <t>MZN</t>
  </si>
  <si>
    <t>Extraction Mine Type</t>
  </si>
  <si>
    <t>The type of an extraction mine.</t>
  </si>
  <si>
    <t>MznCode</t>
  </si>
  <si>
    <t>extractionSpec</t>
  </si>
  <si>
    <t>ETS</t>
  </si>
  <si>
    <t>Extraction Specification</t>
  </si>
  <si>
    <t>The specification that was used as the basis for defining the digital representation of the feature or data set.</t>
  </si>
  <si>
    <t>EtsCode</t>
  </si>
  <si>
    <t>extractionSpecVersion</t>
  </si>
  <si>
    <t>ETZ</t>
  </si>
  <si>
    <t>Extraction Specification Version</t>
  </si>
  <si>
    <t>The version of the specification that was used as the basis for defining the digital representation of the feature or data set.</t>
  </si>
  <si>
    <t>TextLex24</t>
  </si>
  <si>
    <t>extractionTimestamp</t>
  </si>
  <si>
    <t>TMS</t>
  </si>
  <si>
    <t>Extraction Timestamp</t>
  </si>
  <si>
    <t>The date on which the digital representation of the feature was defined followed by an increment specific to each source.</t>
  </si>
  <si>
    <t>TmsStrucText</t>
  </si>
  <si>
    <t>fabricationFacilityType</t>
  </si>
  <si>
    <t>FTP</t>
  </si>
  <si>
    <t>Fabrication Facility Type</t>
  </si>
  <si>
    <t>The type of a fabrication facility based on its structure and/or equipment.</t>
  </si>
  <si>
    <t>FtpCode</t>
  </si>
  <si>
    <t>facilityOperationalStatus</t>
  </si>
  <si>
    <t>COS</t>
  </si>
  <si>
    <t>Facility Operational Status</t>
  </si>
  <si>
    <t>The status of operation of a man-made structure, as a whole.</t>
  </si>
  <si>
    <t>Includes actual operations, operational capability, and planned or proposed man-made structures.</t>
  </si>
  <si>
    <t>CosCode</t>
  </si>
  <si>
    <t>faoSoilGroup</t>
  </si>
  <si>
    <t>FGG</t>
  </si>
  <si>
    <t>FAO Soil Group</t>
  </si>
  <si>
    <t>The classification of a soil based on its properties as defined by the UN Food and Agriculture Organization (FAO) and based on the nature of diagnostic horizons, properties and materials.</t>
  </si>
  <si>
    <t>The number of reference soil groups is fixed at 32.</t>
  </si>
  <si>
    <t>FggCode</t>
  </si>
  <si>
    <t>farmingMethod</t>
  </si>
  <si>
    <t>FMM</t>
  </si>
  <si>
    <t>Farming Method</t>
  </si>
  <si>
    <t>The agricultural practice(s) in use within an agro-ecosystem.</t>
  </si>
  <si>
    <t>FmmCode</t>
  </si>
  <si>
    <t>farmingPattern</t>
  </si>
  <si>
    <t>FFP</t>
  </si>
  <si>
    <t>Farming Pattern</t>
  </si>
  <si>
    <t>The general arrangement(s) and/or pattern(s) of farming fields.</t>
  </si>
  <si>
    <t>FfpCode</t>
  </si>
  <si>
    <t>featureConfiguration</t>
  </si>
  <si>
    <t>FCO</t>
  </si>
  <si>
    <t>Feature Configuration</t>
  </si>
  <si>
    <t>The type of multiplicity and/or configuration of a feature.</t>
  </si>
  <si>
    <t>FcoCode</t>
  </si>
  <si>
    <t>featureCount</t>
  </si>
  <si>
    <t>DMF</t>
  </si>
  <si>
    <t>Feature Count</t>
  </si>
  <si>
    <t>The number of features of the same type within a defined region.</t>
  </si>
  <si>
    <t>May be used to indicate the number of features actually present in near proximity to each other although only one representative feature is collected. For example, the number of adjacent pipelines.</t>
  </si>
  <si>
    <t>featureElementOrientation</t>
  </si>
  <si>
    <t>FEO</t>
  </si>
  <si>
    <t>Feature Element Orientation</t>
  </si>
  <si>
    <t>The angular distance measured from true north (0 degrees) clockwise to the predominant linear pattern of the elements within a feature.</t>
  </si>
  <si>
    <t>featureFunction</t>
  </si>
  <si>
    <t>FFN</t>
  </si>
  <si>
    <t>Feature Function</t>
  </si>
  <si>
    <t>The purpose(s) of, or intended role(s) served by, the feature.</t>
  </si>
  <si>
    <t>FfnCode</t>
  </si>
  <si>
    <t>featurelength</t>
  </si>
  <si>
    <t>FTL</t>
  </si>
  <si>
    <t>Feature Length</t>
  </si>
  <si>
    <t>The total length of a feature from end to end, as measured along its centerline and thus regardless of the path that the feature follows.</t>
  </si>
  <si>
    <t>The path may include vertical or high-slope sections that increase the distance travelled beyond that evident from an overhead perspective (for example: as seen in remote sensing imagery). The path may also alter dynamically (for exampl: due to changing loading conditions on a cable).</t>
  </si>
  <si>
    <t>featureMovementDirection</t>
  </si>
  <si>
    <t>DFM</t>
  </si>
  <si>
    <t>Feature Movement Direction</t>
  </si>
  <si>
    <t>The horizontal direction of the movement or migration of a feature measured from true north (0 degrees), clockwise.</t>
  </si>
  <si>
    <t>featureMovementSpeed</t>
  </si>
  <si>
    <t>SFM</t>
  </si>
  <si>
    <t>Feature Movement Speed</t>
  </si>
  <si>
    <t>The speed of the movement or migration of a feature.</t>
  </si>
  <si>
    <t>featureNameIdentifier</t>
  </si>
  <si>
    <t>NID</t>
  </si>
  <si>
    <t>Feature Name Identifier</t>
  </si>
  <si>
    <t>An identifier of the name of a feature.</t>
  </si>
  <si>
    <t>The identifier allows any given name (for example: a military name, or a local name in local script and enscripted in romanized form) to be linked to the feature and that link to be maintained.</t>
  </si>
  <si>
    <t>featureVerticalOrientation</t>
  </si>
  <si>
    <t>FVO</t>
  </si>
  <si>
    <t>Feature Vertical Orientation</t>
  </si>
  <si>
    <t>The orientation of the usual axis of a feature relative to the vertical.</t>
  </si>
  <si>
    <t>FvoCode</t>
  </si>
  <si>
    <t>femaleLifeExpectancy</t>
  </si>
  <si>
    <t>LEW</t>
  </si>
  <si>
    <t>Female Life Expectancy</t>
  </si>
  <si>
    <t>The average life span of female inhabitants residing within an area.</t>
  </si>
  <si>
    <t>femalePopulation</t>
  </si>
  <si>
    <t>PPF</t>
  </si>
  <si>
    <t>Female Population</t>
  </si>
  <si>
    <t>The total number of female inhabitants residing within an area.</t>
  </si>
  <si>
    <t>femalePopFrac0_14</t>
  </si>
  <si>
    <t>WI1</t>
  </si>
  <si>
    <t>Female Population Fraction: 0-14 years old</t>
  </si>
  <si>
    <t>The fraction of female inhabitants residing within an area that are less than 15 years in age.</t>
  </si>
  <si>
    <t>femalePopFrac15_44</t>
  </si>
  <si>
    <t>WI2</t>
  </si>
  <si>
    <t>Female Population Fraction: 15-44 years old</t>
  </si>
  <si>
    <t>The fraction of female inhabitants residing within an area that are at least 15 and less than 45 years in age.</t>
  </si>
  <si>
    <t>femalePopFrac45_64</t>
  </si>
  <si>
    <t>WI3</t>
  </si>
  <si>
    <t>Female Population Fraction: 45-64 years old</t>
  </si>
  <si>
    <t>The fraction of female inhabitants residing within an area that are at least 45 and less than 65 years in age.</t>
  </si>
  <si>
    <t>femalePopFrac65</t>
  </si>
  <si>
    <t>WI4</t>
  </si>
  <si>
    <t>Female Population Fraction: 65+ years old</t>
  </si>
  <si>
    <t>The fraction of female inhabitants residing within an area that are greater than or equal to 65 years in age.</t>
  </si>
  <si>
    <t>fenceFunction</t>
  </si>
  <si>
    <t>FEF</t>
  </si>
  <si>
    <t>Fence Function</t>
  </si>
  <si>
    <t>The purpose(s) of, or intended role(s) served by, the fence.</t>
  </si>
  <si>
    <t>FefCode</t>
  </si>
  <si>
    <t>fenceType</t>
  </si>
  <si>
    <t>FTI</t>
  </si>
  <si>
    <t>Fence Type</t>
  </si>
  <si>
    <t>The type of a fence based on the type of materials used in its construction.</t>
  </si>
  <si>
    <t>FtiCode</t>
  </si>
  <si>
    <t>fenced</t>
  </si>
  <si>
    <t>FEN</t>
  </si>
  <si>
    <t>Fenced</t>
  </si>
  <si>
    <t>An indication that a feature is completely surrounded by a fence.</t>
  </si>
  <si>
    <t>A fence is a man-made barrier of relatively light structure used as an enclosure or boundary.</t>
  </si>
  <si>
    <t>fenderPres</t>
  </si>
  <si>
    <t>FPR</t>
  </si>
  <si>
    <t>Fender Present</t>
  </si>
  <si>
    <t>An indication that the shoreline construction has one or more associated fenders which are designed to cushion the impact of a vessel or floating object to prevent damage.</t>
  </si>
  <si>
    <t>ferryCrossingDistance</t>
  </si>
  <si>
    <t>FCL</t>
  </si>
  <si>
    <t>Ferry Crossing Distance</t>
  </si>
  <si>
    <t>The length of a route in a body of water where a ferry crosses from one shoreline to another.</t>
  </si>
  <si>
    <t>ferryCrossingDuration</t>
  </si>
  <si>
    <t>FCT</t>
  </si>
  <si>
    <t>Ferry Crossing Duration</t>
  </si>
  <si>
    <t>The scheduled duration for a ferry crossing, including the time necessary for loading and unloading.</t>
  </si>
  <si>
    <t>FctStrucText</t>
  </si>
  <si>
    <t>ferryCrossingType</t>
  </si>
  <si>
    <t>FER</t>
  </si>
  <si>
    <t>Ferry Crossing Type</t>
  </si>
  <si>
    <t>The type of a ferry crossing based on the maneuverability of the vessel.</t>
  </si>
  <si>
    <t>FerCode</t>
  </si>
  <si>
    <t>ferryRampCount</t>
  </si>
  <si>
    <t>NFR</t>
  </si>
  <si>
    <t>Ferry Ramp Count</t>
  </si>
  <si>
    <t>The number of individual ferry ramps at a ferry site.</t>
  </si>
  <si>
    <t>finalApproachAlignment</t>
  </si>
  <si>
    <t>FAP</t>
  </si>
  <si>
    <t>Final Approach Alignment</t>
  </si>
  <si>
    <t>A visual manoeuvre used to properly bring the aircraft into position for landing at final approach.</t>
  </si>
  <si>
    <t>FapCode</t>
  </si>
  <si>
    <t>finalApproachCourseFix</t>
  </si>
  <si>
    <t>FAF</t>
  </si>
  <si>
    <t>Final Approach Course Fix</t>
  </si>
  <si>
    <t>An indication that a terminal segment point aids in establishing an aircraft on a final approach course.</t>
  </si>
  <si>
    <t>A final approach course fix is located on the final approach course of an Instrument Approach Procedure (IAP) prior to the Final Approach Fix (FAF) or glide path intercept point. It may also take the place of the final approach point on a procedure that has no designated FAF.</t>
  </si>
  <si>
    <t>finalApproachDescentAngle</t>
  </si>
  <si>
    <t>FDA</t>
  </si>
  <si>
    <t>Final Approach Descent Angle</t>
  </si>
  <si>
    <t>A descent profile prescribed for vertical guidance during a final approach.</t>
  </si>
  <si>
    <t>Vertical Path Angle, Precison Approach Glide Path Angle</t>
  </si>
  <si>
    <t>fips104CountryCode</t>
  </si>
  <si>
    <t>FI1</t>
  </si>
  <si>
    <t>FIPS 10-4 Country Code</t>
  </si>
  <si>
    <t>The Federal Information Processing Standards (FIPS) 10-4 code that designates a geopolitical entity (for example: a State).</t>
  </si>
  <si>
    <t>A two-character alphabetic designation often termed a 'country code.' FIPS changes to 'country codes' are triggered by changes in territorial extent.</t>
  </si>
  <si>
    <t>Fi1StrucText</t>
  </si>
  <si>
    <t>fips104CountryName</t>
  </si>
  <si>
    <t>FI2</t>
  </si>
  <si>
    <t>FIPS 10-4 Country Name</t>
  </si>
  <si>
    <t>The Federal Information Processing Standards (FIPS) 10-4 full name that designates a geopolitical entity (for example: a State).</t>
  </si>
  <si>
    <t>Often termed a 'country name'. Includes only the letters A through Z and punctuation marks.</t>
  </si>
  <si>
    <t>TextNonLex50</t>
  </si>
  <si>
    <t>fips104PrinAdminDivCode</t>
  </si>
  <si>
    <t>FI5</t>
  </si>
  <si>
    <t>FIPS 10-4 Principal Administrative Division Code</t>
  </si>
  <si>
    <t>The Federal Information Processing Standards (FIPS) 10-4 code that designates a principal administrative division and its administrating geopolitical entity (for example: a State).</t>
  </si>
  <si>
    <t>A four-character alphanumeric code consisting of the FIPS two-character 'country code,' followed by the FIPS two-character 'administrative division [extension] code'. Often termed an 'ADM1 code'. FIPS changes to 'ADM1 codes' are triggered by changes in territorial extent.</t>
  </si>
  <si>
    <t>Fi5StrucText</t>
  </si>
  <si>
    <t>fips104PrinAdminDivExtCd</t>
  </si>
  <si>
    <t>FI3</t>
  </si>
  <si>
    <t>FIPS 10-4 Principal Administrative Division Extension Code</t>
  </si>
  <si>
    <t>The Federal Information Processing Standards (FIPS) 10-4 code that designates a principal administrative division of a geopolitical entity (for example: a State).</t>
  </si>
  <si>
    <t>A two-character alphanumeric designation that when prefaced with the two-character FIPS 'country code' to form a four-character code (for example: 'US01') is often referred to as an 'ADM1 code'. FIPS changes to 'ADM1 codes' are triggered by changes in territorial extent.</t>
  </si>
  <si>
    <t>Fi3StrucText</t>
  </si>
  <si>
    <t>fips104PrinAdminDivName</t>
  </si>
  <si>
    <t>FI4</t>
  </si>
  <si>
    <t>FIPS 10-4 Principal Administrative Division Name</t>
  </si>
  <si>
    <t>The Federal Information Processing Standards (FIPS) 10-4 full name that designates the principal administrative division of a geopolitical entity (for example: a State).</t>
  </si>
  <si>
    <t>Often termed an 'ADM1 name.' Includes only the letters A through Z and punctuation marks.</t>
  </si>
  <si>
    <t>TextNonLex60</t>
  </si>
  <si>
    <t>firstDetectionDateTime</t>
  </si>
  <si>
    <t>FDD</t>
  </si>
  <si>
    <t>First Detection Date and Time</t>
  </si>
  <si>
    <t>The date and, optionally, time that an object was first detected and analyzed.</t>
  </si>
  <si>
    <t>FddStrucText</t>
  </si>
  <si>
    <t>fisheryFleetSize</t>
  </si>
  <si>
    <t>FFT</t>
  </si>
  <si>
    <t>Fishery Fleet Size</t>
  </si>
  <si>
    <t>The total tonnage of ships that are registered within an area for use in commercial fishing.</t>
  </si>
  <si>
    <t>Usually expressed in terms of 'Gross Registered Tonnes' (GWT).</t>
  </si>
  <si>
    <t>fishingFacilityType</t>
  </si>
  <si>
    <t>FFC</t>
  </si>
  <si>
    <t>Fishing Facility Type</t>
  </si>
  <si>
    <t>The type of a fishing facility based on the method of capture.</t>
  </si>
  <si>
    <t>FfcCode</t>
  </si>
  <si>
    <t>fixedMarks</t>
  </si>
  <si>
    <t>TRK</t>
  </si>
  <si>
    <t>Fixed Marks</t>
  </si>
  <si>
    <t>An indication that a recommended track is defined by a system of fixed marks.</t>
  </si>
  <si>
    <t>fpapOffsetLength</t>
  </si>
  <si>
    <t>FOL</t>
  </si>
  <si>
    <t>Flight Path Alignment Point Offset Length</t>
  </si>
  <si>
    <t>The distance between the runway endpoint and the Flight Path Alignment Point (FPAP).</t>
  </si>
  <si>
    <t>procedureTurnNotAuthorised</t>
  </si>
  <si>
    <t>PTN</t>
  </si>
  <si>
    <t>Flight Procedure Turn Not Authorised</t>
  </si>
  <si>
    <t>An indication that a flight procedure turn is not allowed at the end of the segment or in the sector.</t>
  </si>
  <si>
    <t>flightRuleType</t>
  </si>
  <si>
    <t>AFR</t>
  </si>
  <si>
    <t>Flight Rule Type</t>
  </si>
  <si>
    <t>The type of standard flight rules to be observed by aircraft.</t>
  </si>
  <si>
    <t>For example: Visual Flight Rules (VFR) or Instrument Flight Rules (IFR).</t>
  </si>
  <si>
    <t>AfrCode</t>
  </si>
  <si>
    <t>flightStripCapable</t>
  </si>
  <si>
    <t>FSC</t>
  </si>
  <si>
    <t>Flight Strip Capable</t>
  </si>
  <si>
    <t>An indication that a road is designed to support emergency (for example: national defence) use as a runway.</t>
  </si>
  <si>
    <t>Ideally, oriented in the direction of the prevailing wind.</t>
  </si>
  <si>
    <t>floating</t>
  </si>
  <si>
    <t>FLO</t>
  </si>
  <si>
    <t>Floating</t>
  </si>
  <si>
    <t>An indication that an object is floating.</t>
  </si>
  <si>
    <t>floatingBarrierType</t>
  </si>
  <si>
    <t>FBT</t>
  </si>
  <si>
    <t>Floating Barrier Type</t>
  </si>
  <si>
    <t>The type of a floating barrier based on its design and/or intended use.</t>
  </si>
  <si>
    <t>FbtCode</t>
  </si>
  <si>
    <t>floodControlStructureType</t>
  </si>
  <si>
    <t>FCS</t>
  </si>
  <si>
    <t>Flood Control Structure Type</t>
  </si>
  <si>
    <t>The type of a flood control structure based on its structure and/or intended use.</t>
  </si>
  <si>
    <t>FcsCode</t>
  </si>
  <si>
    <t>floodlit</t>
  </si>
  <si>
    <t>FLT</t>
  </si>
  <si>
    <t>Floodlit</t>
  </si>
  <si>
    <t>An indication that a structure is floodlit.</t>
  </si>
  <si>
    <t>floorCount</t>
  </si>
  <si>
    <t>BNF</t>
  </si>
  <si>
    <t>Floor Count</t>
  </si>
  <si>
    <t>The number of floors in a structure (for example: a building).</t>
  </si>
  <si>
    <t>fogDetectorLightPresent</t>
  </si>
  <si>
    <t>FDT</t>
  </si>
  <si>
    <t>Fog Detector Light Present</t>
  </si>
  <si>
    <t>An indication that a feature has an associated fog detector light.</t>
  </si>
  <si>
    <t>fogSignalGenerationType</t>
  </si>
  <si>
    <t>GEN</t>
  </si>
  <si>
    <t>Fog Signal Generation Type</t>
  </si>
  <si>
    <t>The type of mechanism used to generate a fog signal.</t>
  </si>
  <si>
    <t>GenCode</t>
  </si>
  <si>
    <t>fogSignalType</t>
  </si>
  <si>
    <t>SST</t>
  </si>
  <si>
    <t>Fog Signal Type</t>
  </si>
  <si>
    <t>The type of a fog signal based on its signal characteristics and method of generation.</t>
  </si>
  <si>
    <t>SstCode</t>
  </si>
  <si>
    <t>foliageType</t>
  </si>
  <si>
    <t>TRE</t>
  </si>
  <si>
    <t>Foliage Type</t>
  </si>
  <si>
    <t>The predominant foliage type of the vegetation.</t>
  </si>
  <si>
    <t>TreCode</t>
  </si>
  <si>
    <t>foreignGovInfo</t>
  </si>
  <si>
    <t>FGI</t>
  </si>
  <si>
    <t>Foreign Government Information</t>
  </si>
  <si>
    <t>The source(s) of foreign government information (in addition to US controlled data) that were used to define the digital representation of the feature or data set.</t>
  </si>
  <si>
    <t>A list of trigraph country codes in accordance with ISO 3166 and and tetragraph international organizations (for example: 'NATO' for the North Atlantic Treaty Organization and 'SFOR' for Special Forces) that are applicable.</t>
  </si>
  <si>
    <t>FgiStrucText</t>
  </si>
  <si>
    <t>forestCondition</t>
  </si>
  <si>
    <t>FRC</t>
  </si>
  <si>
    <t>Forest Condition</t>
  </si>
  <si>
    <t>The condition of a forest based on its appearance and/or maturation status.</t>
  </si>
  <si>
    <t>FrcCode</t>
  </si>
  <si>
    <t>forestCoverRatio</t>
  </si>
  <si>
    <t>PWO</t>
  </si>
  <si>
    <t>Forest Cover Ratio</t>
  </si>
  <si>
    <t>The ratio of the area covered by forest within an area, relative to the entire area.</t>
  </si>
  <si>
    <t>forestFunction</t>
  </si>
  <si>
    <t>FOF</t>
  </si>
  <si>
    <t>Forest Function</t>
  </si>
  <si>
    <t>The intended function of a forest.</t>
  </si>
  <si>
    <t>FofCode</t>
  </si>
  <si>
    <t>forestHabitat</t>
  </si>
  <si>
    <t>FTY</t>
  </si>
  <si>
    <t>Forest Habitat</t>
  </si>
  <si>
    <t>The type of the forest defined by habitat characteristics.</t>
  </si>
  <si>
    <t>FtyCode</t>
  </si>
  <si>
    <t>forestType</t>
  </si>
  <si>
    <t>FOC</t>
  </si>
  <si>
    <t>Forest Type</t>
  </si>
  <si>
    <t>The type of a forest based on the predominant types of trees and the climate-based or altitude-based zone.</t>
  </si>
  <si>
    <t>FocCode</t>
  </si>
  <si>
    <t>forestUsageType</t>
  </si>
  <si>
    <t>FOU</t>
  </si>
  <si>
    <t>Forest Usage Type</t>
  </si>
  <si>
    <t>The type(s) of use of forest components.</t>
  </si>
  <si>
    <t>FouCode</t>
  </si>
  <si>
    <t>forestryForm</t>
  </si>
  <si>
    <t>FCE</t>
  </si>
  <si>
    <t>Forestry Form</t>
  </si>
  <si>
    <t>The prevailing use of a forest for economic purposes.</t>
  </si>
  <si>
    <t>FceCode</t>
  </si>
  <si>
    <t>formOfRule</t>
  </si>
  <si>
    <t>ETT</t>
  </si>
  <si>
    <t>Form of Rule</t>
  </si>
  <si>
    <t>EttCode</t>
  </si>
  <si>
    <t>fortified</t>
  </si>
  <si>
    <t>FOT</t>
  </si>
  <si>
    <t>Fortified</t>
  </si>
  <si>
    <t xml:space="preserve">An indication that a feature is fortified, enhanced with structures or equipment to be more protected than the general occurrence of this feature. </t>
  </si>
  <si>
    <t>fortifiedBuildingType</t>
  </si>
  <si>
    <t>FZR</t>
  </si>
  <si>
    <t>Fortified Building Type</t>
  </si>
  <si>
    <t>The type of a building that is fortified or reinforced to provide for defense from armed attack.</t>
  </si>
  <si>
    <t>FzrCode</t>
  </si>
  <si>
    <t>frequencyProtectAltitude</t>
  </si>
  <si>
    <t>FPA</t>
  </si>
  <si>
    <t>Frequency Protection Altitude</t>
  </si>
  <si>
    <t>The altitude within which frequency reception is assumed to be interference-free.</t>
  </si>
  <si>
    <t>frequencyProtectDistance</t>
  </si>
  <si>
    <t>FPD</t>
  </si>
  <si>
    <t>Frequency Protection Distance</t>
  </si>
  <si>
    <t>The distance within which frequency reception is assumed to be interference-free.</t>
  </si>
  <si>
    <t>frozenCoverType</t>
  </si>
  <si>
    <t>SIC</t>
  </si>
  <si>
    <t>Frozen Cover Type</t>
  </si>
  <si>
    <t>The type of a covering of snow and/or ice based on its composition and structure.</t>
  </si>
  <si>
    <t>SicCode</t>
  </si>
  <si>
    <t>fuelDispensingMethod</t>
  </si>
  <si>
    <t>FDM</t>
  </si>
  <si>
    <t>Fuel Dispensing Method</t>
  </si>
  <si>
    <t>The primary method(s) of dispensing fuel.</t>
  </si>
  <si>
    <t>FdmCode</t>
  </si>
  <si>
    <t>fuelFillStandCount</t>
  </si>
  <si>
    <t>E01</t>
  </si>
  <si>
    <t>Fuel Fill Stand Count</t>
  </si>
  <si>
    <t>The number of fill stands used to transfer fuel from storage tanks into trucks.</t>
  </si>
  <si>
    <t>fuelCapacity</t>
  </si>
  <si>
    <t>FUV</t>
  </si>
  <si>
    <t>Fuel Storage Capacity</t>
  </si>
  <si>
    <t>The sum of the capacity of all fuel storage containers at a given location.</t>
  </si>
  <si>
    <t>Fuel storage containers could be tanks or drums, for example.</t>
  </si>
  <si>
    <t>fuelStorageMethod</t>
  </si>
  <si>
    <t>B01</t>
  </si>
  <si>
    <t>Fuel Storage Method</t>
  </si>
  <si>
    <t>The method(s) of fuel storage.</t>
  </si>
  <si>
    <t>B01Code</t>
  </si>
  <si>
    <t>fujitaTornadoScale</t>
  </si>
  <si>
    <t>FTS</t>
  </si>
  <si>
    <t>Fujita Tornado Scale</t>
  </si>
  <si>
    <t>The degree of surface-level wind damage due to tornadic winds as specified by the damage-based Fujita Tornado Scale.</t>
  </si>
  <si>
    <t>The categories are based upon the estimated maximum winds occurring within the tornado, however wind speed estimates associated with damage are not considered to be exact.</t>
  </si>
  <si>
    <t>FtsCode</t>
  </si>
  <si>
    <t>fullName</t>
  </si>
  <si>
    <t>FNA</t>
  </si>
  <si>
    <t>Full Name</t>
  </si>
  <si>
    <t>A complete name that is used to designate the entity as that designation would normally be written by the originating culture on a map or chart.</t>
  </si>
  <si>
    <t>It is generally considered to consist of a specific part, a generic part, and any articles or prepositions. The order of the parts may vary with the generic part appearing at the beginning, middle or end.</t>
  </si>
  <si>
    <t>fullNameOrdered</t>
  </si>
  <si>
    <t>FN2</t>
  </si>
  <si>
    <t>Full Name Ordered</t>
  </si>
  <si>
    <t>A complete name that is used to designate the entity as that designation would normally be written by the originating culture on a map or chart, except that its components have been arranged into an order that facilitates alphabetic ordering and search.</t>
  </si>
  <si>
    <t>The component order is such that the specific part of the name appears first, followed by an optional comma, the generic part of the name, and then finally any articles or prepositions (for example: 'Everest, Mount' or 'Mexico, Gulf of'). For some geographic names no reordering of the full name is required (for example: 'Tigrus River'). Geographic names that are believed to no longer exist are enclosed in double parenthesis, as: '(( Name ))'.</t>
  </si>
  <si>
    <t>fullNameOrderNoDiacritics</t>
  </si>
  <si>
    <t>FN3</t>
  </si>
  <si>
    <t>Full Name Ordered without Diacritics</t>
  </si>
  <si>
    <t>A complete name that is used to designate the entity as that designation would normally be written by the originating culture on a map or chart, except any diacritics and special characters have been replaced with their corresponding Roman characters and its components have been arranged into an order that facilitates alphabetic ordering and search.</t>
  </si>
  <si>
    <t>TextNonLex200</t>
  </si>
  <si>
    <t>fullNameNoDiacritics</t>
  </si>
  <si>
    <t>FN1</t>
  </si>
  <si>
    <t>Full Name without Diacritics</t>
  </si>
  <si>
    <t>A complete name that is used to designate the entity as that designation would normally be written by the originating culture on a map or chart except that any diacritics and special characters have been replaced with their corresponding Roman characters.</t>
  </si>
  <si>
    <t>functionalUse</t>
  </si>
  <si>
    <t>FUC</t>
  </si>
  <si>
    <t>Functional Use</t>
  </si>
  <si>
    <t>The general categories of function or use that a facility, site, or region serves or may serve.</t>
  </si>
  <si>
    <t>May be so designated by legal means (for example: statute, zoning, or treaty) or be the unplanned consequence of economic forces.</t>
  </si>
  <si>
    <t>FucCode</t>
  </si>
  <si>
    <t>gateUse</t>
  </si>
  <si>
    <t>GTC</t>
  </si>
  <si>
    <t>Gate Use</t>
  </si>
  <si>
    <t>The type of a gate (or similar route barrier) based on its intended use.</t>
  </si>
  <si>
    <t>GtcCode</t>
  </si>
  <si>
    <t>gazetteerUse</t>
  </si>
  <si>
    <t>GAZ</t>
  </si>
  <si>
    <t>Gazetteer Use</t>
  </si>
  <si>
    <t>An indication that a geographic name is suitable for general use.</t>
  </si>
  <si>
    <t>Specific geographic names may be limited as to their scope of use (for example: due to source restrictions or policy) or may be of historic interest only.</t>
  </si>
  <si>
    <t>gdpAgricultureFraction</t>
  </si>
  <si>
    <t>PGA</t>
  </si>
  <si>
    <t>GDP Agriculture Fraction</t>
  </si>
  <si>
    <t>The fraction of the annual Gross Domestic Product (GDP) derived from activities in the agricultural sector.</t>
  </si>
  <si>
    <t>gdpIndustryFraction</t>
  </si>
  <si>
    <t>PGI</t>
  </si>
  <si>
    <t>GDP Industry Fraction</t>
  </si>
  <si>
    <t>The fraction of the annual Gross Domestic Product (GDP) derived from activities in the industrial sector.</t>
  </si>
  <si>
    <t>gdpPrivateFraction</t>
  </si>
  <si>
    <t>PGP</t>
  </si>
  <si>
    <t>GDP Private Fraction</t>
  </si>
  <si>
    <t>The fraction of the annual Gross Domestic Product (GDP) derived from private economic activities.</t>
  </si>
  <si>
    <t>gdpServicesFraction</t>
  </si>
  <si>
    <t>PGD</t>
  </si>
  <si>
    <t>GDP Services Fraction</t>
  </si>
  <si>
    <t>The fraction of the annual Gross Domestic Product (GDP) derived from activities in the services sector.</t>
  </si>
  <si>
    <t>gemstoneType</t>
  </si>
  <si>
    <t>DPS</t>
  </si>
  <si>
    <t>Gemstone Type</t>
  </si>
  <si>
    <t>The type of a gemstone.</t>
  </si>
  <si>
    <t>A gemstone is a mineral that shows special colour, hardness, shine and other characteristics which renders it suitable for use as jewelry or for other decorative purposes.</t>
  </si>
  <si>
    <t>DpsCode</t>
  </si>
  <si>
    <t>genericEntityIdentifier</t>
  </si>
  <si>
    <t>GEI</t>
  </si>
  <si>
    <t>Generic Entity Identifier</t>
  </si>
  <si>
    <t>An identifier of an entity (for example: feature or event) instance that has been assigned in accordance with an established policy.</t>
  </si>
  <si>
    <t>Typically used together with Attribute: 'Entity Identifier Type' to specify the intended use and/or the data production system that assigns the value.</t>
  </si>
  <si>
    <t>genericName</t>
  </si>
  <si>
    <t>GNA</t>
  </si>
  <si>
    <t>Generic Name</t>
  </si>
  <si>
    <t>The portion of a full name that references a common, often geomorphologic, feature.</t>
  </si>
  <si>
    <t>For example: a 'Mountain', a 'River', and a 'Sea'. The names of populated places are not considered to have a generic part.</t>
  </si>
  <si>
    <t>TextLex128</t>
  </si>
  <si>
    <t>genericNameNoDiacritics</t>
  </si>
  <si>
    <t>GN1</t>
  </si>
  <si>
    <t>Generic Name without Diacritics</t>
  </si>
  <si>
    <t>The portion of a full name that references a common, often geomorphologic, feature except that any diacritics and special characters have been replaced with their corresponding Roman characters.</t>
  </si>
  <si>
    <t>TextNonLex128</t>
  </si>
  <si>
    <t>geodesicDistanceRho</t>
  </si>
  <si>
    <t>RHO</t>
  </si>
  <si>
    <t>Geodesic Distance (Rho)</t>
  </si>
  <si>
    <t>The geodesic distance to a geographic point or location.</t>
  </si>
  <si>
    <t>Geodesic distance is the shortest distance between any two points on a mathematically defined ellipsoidal surface.</t>
  </si>
  <si>
    <t>Rho</t>
  </si>
  <si>
    <t>geodeticDatum</t>
  </si>
  <si>
    <t>HZD</t>
  </si>
  <si>
    <t>Geodetic Datum</t>
  </si>
  <si>
    <t>A datum describing the relationship of a two-dimensional coordinate system to the Earth.</t>
  </si>
  <si>
    <t>The datum (sometimes termed 'horizontal datum') defines a surface and two locally-orthogonal axes on that surface as the basis for specifying geodetic longitude and geodetic latitude.</t>
  </si>
  <si>
    <t>HzdCode</t>
  </si>
  <si>
    <t>geoNameClass</t>
  </si>
  <si>
    <t>GNS</t>
  </si>
  <si>
    <t>Geographic Name Classification</t>
  </si>
  <si>
    <t>The classification of the type of a feature with which a geographic name is associated, as used in the NGA Geographic Names Data Base (GNDB).</t>
  </si>
  <si>
    <t>A classification has a (unique, non-overlapping) set of associated 'member' geographic name designations. May be used to organize geographic names for the purposes of queries and/or presentation.</t>
  </si>
  <si>
    <t>GnsStrucText</t>
  </si>
  <si>
    <t>geoNameDesignation</t>
  </si>
  <si>
    <t>GND</t>
  </si>
  <si>
    <t>Geographic Name Designation</t>
  </si>
  <si>
    <t>The designation of the type of a feature with which a geographic name is associated, as used in the NGA Geographic Names Data Base (GNDB).</t>
  </si>
  <si>
    <t>A designated feature type also has a (unique, single) geographic name classification.</t>
  </si>
  <si>
    <t>GndStrucText</t>
  </si>
  <si>
    <t>geographicNameType</t>
  </si>
  <si>
    <t>GNT</t>
  </si>
  <si>
    <t>Geographic Name Type</t>
  </si>
  <si>
    <t>The type of a geographic name based on its scope of use, quality of source and/or its transliteration status.</t>
  </si>
  <si>
    <t>GntCode</t>
  </si>
  <si>
    <t>geographicRange</t>
  </si>
  <si>
    <t>LVG</t>
  </si>
  <si>
    <t>Geographic Range</t>
  </si>
  <si>
    <t>The greatest distance at which a light can be seen (or signal detected) as a function of the curvature of the Earth and the heights of the light source and the observer.</t>
  </si>
  <si>
    <t>The effect of atmospheric refraction is considered, however the luminous intensity of the light is ignored.</t>
  </si>
  <si>
    <t>geographicRegion</t>
  </si>
  <si>
    <t>GEO</t>
  </si>
  <si>
    <t>Geographic Region</t>
  </si>
  <si>
    <t>The geographic region(s) in which a feature is located.</t>
  </si>
  <si>
    <t>GeoCode</t>
  </si>
  <si>
    <t>geoidUndulation</t>
  </si>
  <si>
    <t>GEU</t>
  </si>
  <si>
    <t>Geoid Undulation</t>
  </si>
  <si>
    <t>The distance of the geoid above (positive) or below (negative) the mathematical reference ellipsoid.</t>
  </si>
  <si>
    <t>In respect to the World Geodetic System 1984 (WGS-84) defined ellipsoid, the difference between the WGS-84 ellipsoidal height and orthometric height is the WGS-84 geoid undulation.</t>
  </si>
  <si>
    <t>geologicDip</t>
  </si>
  <si>
    <t>FDI</t>
  </si>
  <si>
    <t>Geologic Dip</t>
  </si>
  <si>
    <t>The angle that a planar geologic surface is inclined from the horizontal.</t>
  </si>
  <si>
    <t>geoFaultTraceVisible</t>
  </si>
  <si>
    <t>GFT</t>
  </si>
  <si>
    <t>Geologic Fault Trace Visible</t>
  </si>
  <si>
    <t>An indication that a geologic fault is visible at the ground surface.</t>
  </si>
  <si>
    <t>geologicMassMoveMotion</t>
  </si>
  <si>
    <t>GMA</t>
  </si>
  <si>
    <t>Geologic Mass Movement Motion</t>
  </si>
  <si>
    <t>The speed and/or continuity of a geologic mass movement.</t>
  </si>
  <si>
    <t>GmaCode</t>
  </si>
  <si>
    <t>geologicMassMoveType</t>
  </si>
  <si>
    <t>GMM</t>
  </si>
  <si>
    <t>Geologic Mass Movement Type</t>
  </si>
  <si>
    <t>The type of a geologic mass movement based on its cause, material type, material characteristics, morphology, water content, temperature, and/or the nature of its motion plane.</t>
  </si>
  <si>
    <t>GmmCode</t>
  </si>
  <si>
    <t>geologicStrikeDirection</t>
  </si>
  <si>
    <t>SDI</t>
  </si>
  <si>
    <t>Geologic Strike Direction</t>
  </si>
  <si>
    <t>The angle between a geologic strike line and true North.</t>
  </si>
  <si>
    <t>A strike line is the line of intersection between a planar geologic surface and the horizontal plane. The direction of a strike line is measured as an angle in a clockwise direction from true North (0 arc degrees).</t>
  </si>
  <si>
    <t>geologicStructureGeometry</t>
  </si>
  <si>
    <t>GSG</t>
  </si>
  <si>
    <t>Geologic Structure Geometry</t>
  </si>
  <si>
    <t>The spatial arrangement of the components of a geologic structure.</t>
  </si>
  <si>
    <t>GsgCode</t>
  </si>
  <si>
    <t>geologicHydroProcessClass</t>
  </si>
  <si>
    <t>GHP</t>
  </si>
  <si>
    <t>Geologic-hydrologic Process Classification</t>
  </si>
  <si>
    <t>The classification of a relief-forming geological-hydrological process.</t>
  </si>
  <si>
    <t>For example, eluviation.</t>
  </si>
  <si>
    <t>GhpCode</t>
  </si>
  <si>
    <t>geomorphicDepth</t>
  </si>
  <si>
    <t>GPD</t>
  </si>
  <si>
    <t>Geomorphic Depth</t>
  </si>
  <si>
    <t>The depth of a feature below average surface level as determined by a corresponding digital elevation matrix.</t>
  </si>
  <si>
    <t>If not obtainable, the average depth will be used.</t>
  </si>
  <si>
    <t>geomorphicHeight</t>
  </si>
  <si>
    <t>GEH</t>
  </si>
  <si>
    <t>Geomorphic Height</t>
  </si>
  <si>
    <t>The height of a feature above average surface level as determined by a corresponding digital elevation matrix.</t>
  </si>
  <si>
    <t>geomorphicType</t>
  </si>
  <si>
    <t>GZT</t>
  </si>
  <si>
    <t>Geomorphic Type</t>
  </si>
  <si>
    <t>The type of a geomorphic feature based on the local configuration of terrain slope(s) and aspect(s).</t>
  </si>
  <si>
    <t>GztCode</t>
  </si>
  <si>
    <t>geophysicalAnomalyDesc</t>
  </si>
  <si>
    <t>GAD</t>
  </si>
  <si>
    <t>Geophysical Anomaly Description</t>
  </si>
  <si>
    <t>A general desription of the geophysical anomaly.</t>
  </si>
  <si>
    <t>A geophysical anomaly is an area where one or more geophysical parameters differ from the surroundings due to inhomogeneities in the underground composition.</t>
  </si>
  <si>
    <t>geophysicalAnomalyType</t>
  </si>
  <si>
    <t>VA5</t>
  </si>
  <si>
    <t>Geophysical Anomaly Type</t>
  </si>
  <si>
    <t>The type of a geophysical anomaly based on its observed characteristics.</t>
  </si>
  <si>
    <t>Va5Code</t>
  </si>
  <si>
    <t>geopoliticalEntityBasis</t>
  </si>
  <si>
    <t>GEB</t>
  </si>
  <si>
    <t>Geopolitical Entity Basis</t>
  </si>
  <si>
    <t>A description of the unique administrative circumstances of a geopolitical entity, if any.</t>
  </si>
  <si>
    <t>For example, for a dependent political entity the controlling political entity and the scope(s) of the control.</t>
  </si>
  <si>
    <t>geopoliticalEntityType</t>
  </si>
  <si>
    <t>GEC</t>
  </si>
  <si>
    <t>Geopolitical Entity Type</t>
  </si>
  <si>
    <t>The type of a legally recognized geopolitical entity (for example: a State or a zone).</t>
  </si>
  <si>
    <t>GecCode</t>
  </si>
  <si>
    <t>geopoliticalLineType</t>
  </si>
  <si>
    <t>LSP</t>
  </si>
  <si>
    <t>Geopolitical Line Type</t>
  </si>
  <si>
    <t>The type of a geopolitical dividing line (for example: a boundary or a line of separation) based on the nature of its establishment and/or recognition.</t>
  </si>
  <si>
    <t>LspCode</t>
  </si>
  <si>
    <t>geothermalOutletType</t>
  </si>
  <si>
    <t>GOT</t>
  </si>
  <si>
    <t>Geothermal Outlet Type</t>
  </si>
  <si>
    <t>The type of a geothermal outlet based on its morphology.</t>
  </si>
  <si>
    <t>GotCode</t>
  </si>
  <si>
    <t>ghostFrequency</t>
  </si>
  <si>
    <t>DGF</t>
  </si>
  <si>
    <t>Ghost Frequency</t>
  </si>
  <si>
    <t>The frequency of the system which operates with vertical polarization in the frequency band of 960 to 1215 megahertz (MHz).</t>
  </si>
  <si>
    <t>The interrogation and reply frequencies are assigned with one MHz spacing between channels.</t>
  </si>
  <si>
    <t>Paired Frequency</t>
  </si>
  <si>
    <t>glideSlopeAngle</t>
  </si>
  <si>
    <t>GSA</t>
  </si>
  <si>
    <t>Glide Slope Angle</t>
  </si>
  <si>
    <t>Glide slope angle in degrees.</t>
  </si>
  <si>
    <t>RealNonNeg0r00to4r99</t>
  </si>
  <si>
    <t>gnssChannel</t>
  </si>
  <si>
    <t>CHG</t>
  </si>
  <si>
    <t>GNSS Channel</t>
  </si>
  <si>
    <t>The operating channel of Global Navigation Satellite System (GNSS) electronic transceiving equipment.</t>
  </si>
  <si>
    <t>gnssConstellation</t>
  </si>
  <si>
    <t>CNG</t>
  </si>
  <si>
    <t>GNSS Constellation</t>
  </si>
  <si>
    <t>The identification of a group of satellites used for navigation, providing Global Navigation Satellite System (GNSS) capabilities under a common authority.</t>
  </si>
  <si>
    <t>CngCode</t>
  </si>
  <si>
    <t>governmentFacilityType</t>
  </si>
  <si>
    <t>GFC</t>
  </si>
  <si>
    <t>Government Facility Type</t>
  </si>
  <si>
    <t>The usage of a facility, building or structure that is normally associated with the act of governing, or closely related activities.</t>
  </si>
  <si>
    <t>GfcCode</t>
  </si>
  <si>
    <t>gradientLength</t>
  </si>
  <si>
    <t>LOG</t>
  </si>
  <si>
    <t>Gradient Length</t>
  </si>
  <si>
    <t>The length of a road or railway segment having a significant gradient, specifically greater than or equal to 7 percent (%) for a road or greater than or equal to 3 percent (%) for a railway.</t>
  </si>
  <si>
    <t>gradingType</t>
  </si>
  <si>
    <t>CET</t>
  </si>
  <si>
    <t>Grading Type</t>
  </si>
  <si>
    <t>The number of terrain feature sides on which either fill or cut material is exposed.</t>
  </si>
  <si>
    <t>For example, along two sides of a road that is both cut into the side of a hill and supported by fill on the downslope.</t>
  </si>
  <si>
    <t>CetCode</t>
  </si>
  <si>
    <t>grasslandCoverRatio</t>
  </si>
  <si>
    <t>PGR</t>
  </si>
  <si>
    <t>Grassland Cover Ratio</t>
  </si>
  <si>
    <t>The ratio of the area covered by grassland within an area, relative to the entire area.</t>
  </si>
  <si>
    <t>gravityStrengthDifference</t>
  </si>
  <si>
    <t>GSF</t>
  </si>
  <si>
    <t>Gravity Strength Difference</t>
  </si>
  <si>
    <t>The difference between the acceleration due to gravitational force at a specific location and that at a reference location.</t>
  </si>
  <si>
    <t>Gravitational strength is measured using a gravimeter and its value is specified using the unit of measure 'gal' (or Galileo), which is an acceleration of one centimetre per second per second.</t>
  </si>
  <si>
    <t>greatestHorizontalExtent</t>
  </si>
  <si>
    <t>GHE</t>
  </si>
  <si>
    <t>Greatest Horizontal Extent</t>
  </si>
  <si>
    <t>The horizontal distance between the two points of a feature which are the most distant from each other.</t>
  </si>
  <si>
    <t>gridVariation</t>
  </si>
  <si>
    <t>GVA</t>
  </si>
  <si>
    <t>Grid Variation</t>
  </si>
  <si>
    <t>The angular difference between grid north and magnetic north measured at a given position and date.</t>
  </si>
  <si>
    <t>The value given indicates whether the angular difference is East (positive) or West (negative) of Grid North.</t>
  </si>
  <si>
    <t>gridVariationDateTime</t>
  </si>
  <si>
    <t>GVD</t>
  </si>
  <si>
    <t>Grid Variation Date and Time</t>
  </si>
  <si>
    <t>The date and, optionally, time on which the grid variation was calculated.</t>
  </si>
  <si>
    <t>GvdStrucText</t>
  </si>
  <si>
    <t>grossDomesticProduct</t>
  </si>
  <si>
    <t>GSP</t>
  </si>
  <si>
    <t>Gross Domestic Product (GDP)</t>
  </si>
  <si>
    <t>The annual market value of all final goods and services produced within a country.</t>
  </si>
  <si>
    <t>GDP counts income according to where it is earned rather than who owns the factors of production (for example: a foreign-owned factory located within the country).</t>
  </si>
  <si>
    <t>grossNationalProduct</t>
  </si>
  <si>
    <t>GNP</t>
  </si>
  <si>
    <t>Gross National Product (GNP)</t>
  </si>
  <si>
    <t>The annual market value of all final goods and services produced by a country's factors of production.</t>
  </si>
  <si>
    <t>groundVegCharacter</t>
  </si>
  <si>
    <t>GVG</t>
  </si>
  <si>
    <t>Ground Vegetation Character</t>
  </si>
  <si>
    <t>The principal character of low growing vegetation within an area, as a category.</t>
  </si>
  <si>
    <t>GvgCode</t>
  </si>
  <si>
    <t>groundWaterFlowClass</t>
  </si>
  <si>
    <t>AQA</t>
  </si>
  <si>
    <t>Ground-water Flow Class</t>
  </si>
  <si>
    <t>The nature of ground-water flow through bedrock based on its flow mechanism.</t>
  </si>
  <si>
    <t>AqaCode</t>
  </si>
  <si>
    <t>groundWaterFlowDirection</t>
  </si>
  <si>
    <t>GDF</t>
  </si>
  <si>
    <t>Ground-water Flow Direction</t>
  </si>
  <si>
    <t>The direction of ground-water flow through an aquifer.</t>
  </si>
  <si>
    <t>The direction is measured as an angle in a clockwise direction from true north (0 arc degrees).</t>
  </si>
  <si>
    <t>groupedObstacles</t>
  </si>
  <si>
    <t>GRO</t>
  </si>
  <si>
    <t>Grouped Obstacles</t>
  </si>
  <si>
    <t>An indication that the obstacle consists of a group of closely situated obstacles.</t>
  </si>
  <si>
    <t>For example: a group of trees, a group of buildings, or a group of antennas.</t>
  </si>
  <si>
    <t>Multiple Occurence</t>
  </si>
  <si>
    <t>guarded</t>
  </si>
  <si>
    <t>GRD</t>
  </si>
  <si>
    <t>Guarded</t>
  </si>
  <si>
    <t>An indication that a site is supervised by security personnel who can immediately respond to adverse events.</t>
  </si>
  <si>
    <t>The supervision may be either direct (for example: by a posted guard perhaps accompanied by a guard shack or post) or indirect (for example: by monitored sensors such as closed circuit television).</t>
  </si>
  <si>
    <t>guyed</t>
  </si>
  <si>
    <t>GUG</t>
  </si>
  <si>
    <t>Guyed</t>
  </si>
  <si>
    <t>An indication that an object is guided, secured, or steadied by guy wires.</t>
  </si>
  <si>
    <t>habitationBuildingType</t>
  </si>
  <si>
    <t>PTH</t>
  </si>
  <si>
    <t>Habitation Building Type</t>
  </si>
  <si>
    <t>The predominant type(s) of habitations in an area.</t>
  </si>
  <si>
    <t>PthCode</t>
  </si>
  <si>
    <t>hangarDoorHeight</t>
  </si>
  <si>
    <t>HNG</t>
  </si>
  <si>
    <t>Hangar Door Height</t>
  </si>
  <si>
    <t>The measurement of the vertical extent of the hangar door.</t>
  </si>
  <si>
    <t>hangarDoorWidth</t>
  </si>
  <si>
    <t>HDW</t>
  </si>
  <si>
    <t>Hangar Door Width</t>
  </si>
  <si>
    <t>The measurement of the horizontal extent of the hangar door.</t>
  </si>
  <si>
    <t>hangarTypeCategory</t>
  </si>
  <si>
    <t>HTP</t>
  </si>
  <si>
    <t>Hangar Type Category</t>
  </si>
  <si>
    <t>Hangar design code.</t>
  </si>
  <si>
    <t>HtpCode</t>
  </si>
  <si>
    <t>harbourFacilityFunction</t>
  </si>
  <si>
    <t>FHC</t>
  </si>
  <si>
    <t>Harbour Facility Function</t>
  </si>
  <si>
    <t>The primary function(s) of harbour facilities that are associated with a service or commercial operation of public interest.</t>
  </si>
  <si>
    <t>FhcCode</t>
  </si>
  <si>
    <t>harbourIdentifier</t>
  </si>
  <si>
    <t>HID</t>
  </si>
  <si>
    <t>Harbour Identifier</t>
  </si>
  <si>
    <t>The unique identifier of a harbour.</t>
  </si>
  <si>
    <t>It is intended to be used to locate information about the harbour that is stored in other databases.</t>
  </si>
  <si>
    <t>hazardShelterIntendedUse</t>
  </si>
  <si>
    <t>HST</t>
  </si>
  <si>
    <t>Hazard Shelter Intended Use</t>
  </si>
  <si>
    <t>The intended use(s) of a designated hazard protection shelter based on the kind of emergency.</t>
  </si>
  <si>
    <t>Hazard shelters may be located inside buildings or other structures. Shelters may be equipped with disaster supplies and equipment such as food and cots.</t>
  </si>
  <si>
    <t>HstCode</t>
  </si>
  <si>
    <t>hazardFaunaCategory</t>
  </si>
  <si>
    <t>IF1</t>
  </si>
  <si>
    <t>Hazardous Fauna Category</t>
  </si>
  <si>
    <t>The category(ies) of animals within an area that are most hazardous to health.</t>
  </si>
  <si>
    <t>If1Code</t>
  </si>
  <si>
    <t>hazardFloraCategory</t>
  </si>
  <si>
    <t>HFS</t>
  </si>
  <si>
    <t>Hazardous Flora Category</t>
  </si>
  <si>
    <t>The category(ies) of plants within an area that produce substances hazardous to health based on its species and/or the nature of the hazard.</t>
  </si>
  <si>
    <t>HfsCode</t>
  </si>
  <si>
    <t>hazardFloraPart</t>
  </si>
  <si>
    <t>DFP</t>
  </si>
  <si>
    <t>Hazardous Flora Part</t>
  </si>
  <si>
    <t>The part(s) of a plant causing poisoning or defects of the organism.</t>
  </si>
  <si>
    <t>DfpCode</t>
  </si>
  <si>
    <t>hazardFloraPoisonousness</t>
  </si>
  <si>
    <t>DFD</t>
  </si>
  <si>
    <t>Hazardous Flora Poisonousness</t>
  </si>
  <si>
    <t>The strength of a poisonous flora based on the morbidity and mortality of its effects.</t>
  </si>
  <si>
    <t>DfdCode</t>
  </si>
  <si>
    <t>hazardOrganismCommonName</t>
  </si>
  <si>
    <t>DFN</t>
  </si>
  <si>
    <t>Hazardous Organism Common Name</t>
  </si>
  <si>
    <t>The name of an organism using common (colloquial) terminology.</t>
  </si>
  <si>
    <t>For example: 'Deadly Nightshade'.</t>
  </si>
  <si>
    <t>hazardOrganismLatinName</t>
  </si>
  <si>
    <t>DFL</t>
  </si>
  <si>
    <t>Hazardous Organism Latin Name</t>
  </si>
  <si>
    <t>The name of an organism using scientific nomenclature.</t>
  </si>
  <si>
    <t>For example: 'Atropa belladonna'.</t>
  </si>
  <si>
    <t>heightAboveAerodrome</t>
  </si>
  <si>
    <t>HAA</t>
  </si>
  <si>
    <t>Height Above Aerodrome (HAA)</t>
  </si>
  <si>
    <t>The vertical distance between the published aerodrome elevation and the Minimum Descent Altitude (MDA).</t>
  </si>
  <si>
    <t>The Height Above Aerodrome (HAA) applies to circling minima.</t>
  </si>
  <si>
    <t>heightAboveLanding</t>
  </si>
  <si>
    <t>HAL</t>
  </si>
  <si>
    <t>Height Above Landing (HAL)</t>
  </si>
  <si>
    <t>The vertical distance between the designated helicopter landing area and the Decision Altitude (DA) for precision approaches, or the Minimum Descent Altitude (MDA) for non-precision approaches.</t>
  </si>
  <si>
    <t>heightAboveSurface</t>
  </si>
  <si>
    <t>HAM</t>
  </si>
  <si>
    <t>Height Above Surface (HAS)</t>
  </si>
  <si>
    <t>The vertical distance between the highest terrain/surface within a 5200 feet radius of the Missed Approach Point (MAP) and the Minimum Descent Altitude (MDA).</t>
  </si>
  <si>
    <t>The Height Above Surface (HAS) applies to point-in-space (PinS) procedures.</t>
  </si>
  <si>
    <t>HAS</t>
  </si>
  <si>
    <t>heightAboveSurfaceLevel</t>
  </si>
  <si>
    <t>HGT</t>
  </si>
  <si>
    <t>Height Above Surface Level</t>
  </si>
  <si>
    <t>The vertical distance measured from the lowest point of the base of the feature at ground or water level (downhill/downstream side) to the tallest point of the feature.</t>
  </si>
  <si>
    <t>For non-inland water bodies, the water level is usually understood to be Mean Sea Level (MSL). Note that the feature may be supported above the surface by another feature (for example: a tower supported by a building) and as a consequence the value of the Height Above Surface Level is different (larger) than the base-to-top height of the feature (for example: supported tower) itself.</t>
  </si>
  <si>
    <t>heightAboveTouchdown</t>
  </si>
  <si>
    <t>HAT</t>
  </si>
  <si>
    <t>Height Above Touchdown (HAT)</t>
  </si>
  <si>
    <t>The vertical distance between the touchdown zone elevation and the Decision Altitude (DA) for precision approaches, or the Minimum Descent Altitude (MDA) for non-precision approaches.</t>
  </si>
  <si>
    <t>The Height Above Touchdown (HAT) applies to straight-in minima.</t>
  </si>
  <si>
    <t>heightAboveWaterbodyFloor</t>
  </si>
  <si>
    <t>HAW</t>
  </si>
  <si>
    <t>Height Above Waterbody Floor</t>
  </si>
  <si>
    <t>The height of an object measured vertically from the waterbody floor to the top (highest point) of the object.</t>
  </si>
  <si>
    <t>heightAccuracy</t>
  </si>
  <si>
    <t>AHO</t>
  </si>
  <si>
    <t>Height Accuracy</t>
  </si>
  <si>
    <t>The difference between the recorded height above ground level of a feature and its true height expressed as a linear error at 90 percent probability.</t>
  </si>
  <si>
    <t>heightBelowSurroundFeat</t>
  </si>
  <si>
    <t>Height Below Surrounding Features</t>
  </si>
  <si>
    <t>The height differential between the 'Height Above Surface Level' (HGT) of the feature and the 'Height Above Surface Level' (HGT) of the tallest feature within a 300 metre radius.</t>
  </si>
  <si>
    <t>heightOfObject</t>
  </si>
  <si>
    <t>HEI</t>
  </si>
  <si>
    <t>Height of Object</t>
  </si>
  <si>
    <t>The vertical distance measured from the base to the top of the feature that gives the greatest value.</t>
  </si>
  <si>
    <t>For example, the Height of Object of a two story building with a basement is three stories while the Height of Object of a man doesn't change as a result of standing in a trench whereas his Height Above Surface Level (based on the prevailing terrain surface level) may be considered to be correspondingly reduced by the depth of the trench.</t>
  </si>
  <si>
    <t>heightSurf</t>
  </si>
  <si>
    <t>HSU</t>
  </si>
  <si>
    <t>Height of Surf</t>
  </si>
  <si>
    <t>The average height of the surf.</t>
  </si>
  <si>
    <t>heightSurfSwell</t>
  </si>
  <si>
    <t>HSW</t>
  </si>
  <si>
    <t>Height of Surf Swell</t>
  </si>
  <si>
    <t>The average height of the surf swell.</t>
  </si>
  <si>
    <t>heightVertAccuracy90</t>
  </si>
  <si>
    <t>HVA</t>
  </si>
  <si>
    <t>Height Vertical Accuracy (90%)</t>
  </si>
  <si>
    <t>The difference between a recorded height value and the true height referenced to the same ground level, expressed as a linear error at 90 percent probability.</t>
  </si>
  <si>
    <t>The height value may, for example, represent the highest point on a feature. The accuracy may also be representative of a set of height values. If the data contains multiple accuracies, usually the worst accuracy which applies to 10% or more of the data is recorded.</t>
  </si>
  <si>
    <t>copterPerformanceClass</t>
  </si>
  <si>
    <t>HPC</t>
  </si>
  <si>
    <t>Helicopter Performance Class</t>
  </si>
  <si>
    <t>The class of a helicopter based on its performance during a critical power unit failure after take-off.</t>
  </si>
  <si>
    <t>HpcCode</t>
  </si>
  <si>
    <t>helipadAssociatedFacility</t>
  </si>
  <si>
    <t>HAF</t>
  </si>
  <si>
    <t>Helipad Associated Facility</t>
  </si>
  <si>
    <t>The type of facility or building that is associated with a freestanding helipad.</t>
  </si>
  <si>
    <t>HafCode</t>
  </si>
  <si>
    <t>helipadPresent</t>
  </si>
  <si>
    <t>HEL</t>
  </si>
  <si>
    <t>Helipad Present</t>
  </si>
  <si>
    <t>An indication that a helipad is present.</t>
  </si>
  <si>
    <t>highWaterMonthInterval</t>
  </si>
  <si>
    <t>HWS</t>
  </si>
  <si>
    <t>High Water Month Interval</t>
  </si>
  <si>
    <t>The month interval during which the high water season occurs.</t>
  </si>
  <si>
    <t>HwsStrucText</t>
  </si>
  <si>
    <t>highestElevation</t>
  </si>
  <si>
    <t>ZVH</t>
  </si>
  <si>
    <t>Highest Elevation</t>
  </si>
  <si>
    <t>The elevation from a specified vertical datum to the highest point on a feature.</t>
  </si>
  <si>
    <t>In the case of multiple features that may be stacked on each other (for example: a railway on a bridge, a superstructure on a building, or an aerial on a tower) the highest elevation is that of the entire feature stack. For example, the highest elevation of a church is that of its steeple and not that of the roof of the church itself. The church itself may have a height above surface level that excludes the additional height of the steeple superstructure located on the church roof.</t>
  </si>
  <si>
    <t>highestLevelGroundWater</t>
  </si>
  <si>
    <t>DP1</t>
  </si>
  <si>
    <t>Highest Level of Ground Water</t>
  </si>
  <si>
    <t>The highest annual average level of ground water.</t>
  </si>
  <si>
    <t>It is measured downwards from the terrain surface.</t>
  </si>
  <si>
    <t>highestOrthometricZValue</t>
  </si>
  <si>
    <t>ZOH</t>
  </si>
  <si>
    <t>Highest Orthometric Z-Value</t>
  </si>
  <si>
    <t>The elevation measured from the geoid to the highest portion of a feature.</t>
  </si>
  <si>
    <t>A negative value indicates a height below the geoid.</t>
  </si>
  <si>
    <t>historicSignificance</t>
  </si>
  <si>
    <t>HSS</t>
  </si>
  <si>
    <t>Historic Significance</t>
  </si>
  <si>
    <t>The recognized historic significance of a site and/or facility, if any.</t>
  </si>
  <si>
    <t>HssCode</t>
  </si>
  <si>
    <t>historicalMonument</t>
  </si>
  <si>
    <t>HIM</t>
  </si>
  <si>
    <t>Historical Monument</t>
  </si>
  <si>
    <t>An indication that a feature is identifiable because of particular historical, national, regional, local, religious or symbolic significance.</t>
  </si>
  <si>
    <t>It is usually accessible to the general public, however visitors may be charged for admission to the monument or its vicinity.</t>
  </si>
  <si>
    <t>holdingProcDescription</t>
  </si>
  <si>
    <t>HPD</t>
  </si>
  <si>
    <t>Holding Procedure Description</t>
  </si>
  <si>
    <t>A textual description of the holding procedure.</t>
  </si>
  <si>
    <t>holdingProcInboundCourse</t>
  </si>
  <si>
    <t>HPI</t>
  </si>
  <si>
    <t>Holding Procedure Inbound Course</t>
  </si>
  <si>
    <t>The radial, course or bearing to the holding fix on which the holding pattern is based.</t>
  </si>
  <si>
    <t>The outbound course is the reciprocal (opposite direction) of the inbound course.</t>
  </si>
  <si>
    <t>holdingProcLength</t>
  </si>
  <si>
    <t>HPL</t>
  </si>
  <si>
    <t>Holding Procedure Length</t>
  </si>
  <si>
    <t>The longitudinal extent of the inbound leg of the holding pattern.</t>
  </si>
  <si>
    <t>holdingProcLowerLimit</t>
  </si>
  <si>
    <t>HLL</t>
  </si>
  <si>
    <t>Holding Procedure Lower Limit</t>
  </si>
  <si>
    <t>The minimum holding procedure altitude or flight level allowed for all aircraft categories at all defined speeds.</t>
  </si>
  <si>
    <t>holdingProcTime</t>
  </si>
  <si>
    <t>HPT</t>
  </si>
  <si>
    <t>Holding Procedure Time</t>
  </si>
  <si>
    <t>The length of time that the aircraft should maintain track on the inbound leg of the holding pattern.</t>
  </si>
  <si>
    <t>Standard inbound leg times are: 1 minute if at or below 4250 metres (14,000 feet), 1.5 minutes if above 4250 metres (14,000 feet).</t>
  </si>
  <si>
    <t>holdingProcType</t>
  </si>
  <si>
    <t>HPY</t>
  </si>
  <si>
    <t>Holding Procedure Type</t>
  </si>
  <si>
    <t>The applicable phase(s) of flight for the specified holding procedure.</t>
  </si>
  <si>
    <t>For example: en-route holding, or terminal area holding.</t>
  </si>
  <si>
    <t>HpyCode</t>
  </si>
  <si>
    <t>holdingProcUpperLimit</t>
  </si>
  <si>
    <t>HUL</t>
  </si>
  <si>
    <t>Holding Procedure Upper Limit</t>
  </si>
  <si>
    <t>The maximum holding procedure altitude or flight level allowed for all aircraft categories at all defined speeds.</t>
  </si>
  <si>
    <t>homogenHabitDistrib</t>
  </si>
  <si>
    <t>HHD</t>
  </si>
  <si>
    <t>Homogenous Habitation Distribution</t>
  </si>
  <si>
    <t>An indication that a settled area contains a relatively homogeneous distribution of dwellings.</t>
  </si>
  <si>
    <t>Non-homogenous distributions result from the concentration of dwellings around multiple dispersed points within the settled area.</t>
  </si>
  <si>
    <t>horizAccuracyCategory</t>
  </si>
  <si>
    <t>ACC</t>
  </si>
  <si>
    <t>Horizontal Accuracy Category</t>
  </si>
  <si>
    <t>A general evaluation of the horizontal accuracy of the geographic position of a feature, as a category.</t>
  </si>
  <si>
    <t>AccCode</t>
  </si>
  <si>
    <t>horizontalAlarmLimit</t>
  </si>
  <si>
    <t>HLI</t>
  </si>
  <si>
    <t>Horizontal Alarm Limit</t>
  </si>
  <si>
    <t>The radius of a circle in the horizontal plane (the local plane tangent to the WGS-84 ellipsoid), which represents the maximum acceptable magnitude of error introduced by the navigation system, and yet still be usable for precision instrument approach operations.</t>
  </si>
  <si>
    <t>The value ranges between 0.0 and 50.8 metres, inclusive, in steps of 0.2 metre.</t>
  </si>
  <si>
    <t>horizontalClearance</t>
  </si>
  <si>
    <t>HCA</t>
  </si>
  <si>
    <t>Horizontal Clearance</t>
  </si>
  <si>
    <t>The distance available to pass a load that extends laterally beyond the wheels of a vehicle.</t>
  </si>
  <si>
    <t>hospitalBedCount</t>
  </si>
  <si>
    <t>HSC</t>
  </si>
  <si>
    <t>Hospital Bed Count</t>
  </si>
  <si>
    <t>The number of beds in a hospital.</t>
  </si>
  <si>
    <t>hospitalBedsAvailable</t>
  </si>
  <si>
    <t>BAH</t>
  </si>
  <si>
    <t>Hospital Beds Available</t>
  </si>
  <si>
    <t>The total number of hospital beds within an area.</t>
  </si>
  <si>
    <t>hostileIncidentType</t>
  </si>
  <si>
    <t>IDT</t>
  </si>
  <si>
    <t>Hostile Incident Type</t>
  </si>
  <si>
    <t>The type of a potential or actual hostile incident.</t>
  </si>
  <si>
    <t>IdtCode</t>
  </si>
  <si>
    <t>houseOfWorshipType</t>
  </si>
  <si>
    <t>HWT</t>
  </si>
  <si>
    <t>House of Worship Type</t>
  </si>
  <si>
    <t>The type of a house of worship based on its use, structure and/or religious denomination served.</t>
  </si>
  <si>
    <t>HwtCode</t>
  </si>
  <si>
    <t>hulkType</t>
  </si>
  <si>
    <t>HLK</t>
  </si>
  <si>
    <t>Hulk Type</t>
  </si>
  <si>
    <t>The type of a hulk or permanently moored vessel based on its structure and/or use(s).</t>
  </si>
  <si>
    <t>For example, in the 19th Century with the advent of the steel-hulled steam-propelled warship, many proud first class ships-of-the-line were permanently moored, demasted, and turned into floating barracks or even prisons and/or brigs.</t>
  </si>
  <si>
    <t>HlkCode</t>
  </si>
  <si>
    <t>humanDevelopmentIndex</t>
  </si>
  <si>
    <t>DNE</t>
  </si>
  <si>
    <t>Human Development Index</t>
  </si>
  <si>
    <t>The Human Development Index (HDI) value within an area, as a category.</t>
  </si>
  <si>
    <t>It is used as a comparative measure of life expectancy, literacy, education, and standard of living for countries worldwide; as a standard means of measuring well-being, especially child welfare; and to determine and indicate whether a country is a developed, developing, or underdeveloped country and also to measure the impact of economic policies on quality of life.</t>
  </si>
  <si>
    <t>DneCode</t>
  </si>
  <si>
    <t>humanHazard</t>
  </si>
  <si>
    <t>HHA</t>
  </si>
  <si>
    <t>Human Hazard</t>
  </si>
  <si>
    <t>The type(s) of a possible danger to human activity (for example: slipping) which may be present due to naturally occuring conditions (for example: algae covered rocks).</t>
  </si>
  <si>
    <t>HhaCode</t>
  </si>
  <si>
    <t>humReliefAdminRegionType</t>
  </si>
  <si>
    <t>HRA</t>
  </si>
  <si>
    <t>Humanitarian Relief Administrative Region Type</t>
  </si>
  <si>
    <t>The type of an administrative region based on the humanitarian relief organization that manages the region and provides relief efforts in the area.</t>
  </si>
  <si>
    <t>HraCode</t>
  </si>
  <si>
    <t>hydrographicBaseHeight</t>
  </si>
  <si>
    <t>HBH</t>
  </si>
  <si>
    <t>Hydrographic Base Height</t>
  </si>
  <si>
    <t>The height from a specified sounding datum to the bottom or base of a feature (for example: the base of a lighthouse).</t>
  </si>
  <si>
    <t>hydroBaseRef</t>
  </si>
  <si>
    <t>HBR</t>
  </si>
  <si>
    <t>Hydrographic Base Reference</t>
  </si>
  <si>
    <t>The sounding datum to which the hydrographic base height is referenced.</t>
  </si>
  <si>
    <t>It is usually taken to correspond to a high water stage of the tide.</t>
  </si>
  <si>
    <t>HbrCode</t>
  </si>
  <si>
    <t>hydroBaseRefName</t>
  </si>
  <si>
    <t>HBN</t>
  </si>
  <si>
    <t>Hydrographic Base Reference Name</t>
  </si>
  <si>
    <t>The name of the sounding datum to which the hydrographic base height is referenced.</t>
  </si>
  <si>
    <t>Used when the reference datum is known but not specified using Attribute: 'Hydrographic Base Reference'.</t>
  </si>
  <si>
    <t>hydrographicDepth</t>
  </si>
  <si>
    <t>HDP</t>
  </si>
  <si>
    <t>Hydrographic Depth</t>
  </si>
  <si>
    <t>The depth from a specified sounding datum to the top or surface of a feature (for example: the bottom of a water body).</t>
  </si>
  <si>
    <t>Recorded depth values are usually positive, however in the case of drying heights they are negative.</t>
  </si>
  <si>
    <t>hydrographicDryingHeight</t>
  </si>
  <si>
    <t>HDH</t>
  </si>
  <si>
    <t>Hydrographic Drying Height</t>
  </si>
  <si>
    <t>The height of the feature, which tidal waters cover and uncover, referenced to a specified sounding datum.</t>
  </si>
  <si>
    <t>hydrographicNavaidSystem</t>
  </si>
  <si>
    <t>NSC</t>
  </si>
  <si>
    <t>Hydrographic NAVAID System</t>
  </si>
  <si>
    <t>The marking and numbering system followed by a hydrographic aid to navigation.</t>
  </si>
  <si>
    <t>NscCode</t>
  </si>
  <si>
    <t>hydrologicOceanFront</t>
  </si>
  <si>
    <t>HOF</t>
  </si>
  <si>
    <t>Hydrologic Oceanographic Front</t>
  </si>
  <si>
    <t>An indication that the existence and duration of an oceanographic boundary are determined by a land runoff event outside of the rainy season or any other prescribed season.</t>
  </si>
  <si>
    <t>The time scale of appearance is shorter than any seasonal description.</t>
  </si>
  <si>
    <t>hydrologicPersistence</t>
  </si>
  <si>
    <t>HYP</t>
  </si>
  <si>
    <t>Hydrologic Persistence</t>
  </si>
  <si>
    <t>The degree of persistence of water in an inland water body (for example: a spring, a flowing stream, a lake or a pond).</t>
  </si>
  <si>
    <t>Inland water bodies may also include, for example, crevices, ditches, fountains, and water troughs.</t>
  </si>
  <si>
    <t>HypCode</t>
  </si>
  <si>
    <t>hyperbolicEchoType</t>
  </si>
  <si>
    <t>RET</t>
  </si>
  <si>
    <t>Hyperbolic Echo Type</t>
  </si>
  <si>
    <t>The type of a hyperbolic sonar echo.</t>
  </si>
  <si>
    <t>Many areas of the sea floor return hyperbolic echoes. A wide variety of types and sizes are observed and range from small, barely resolvable hyperbole to large, quasi-hyperbolic forms. Hyperbolic echoes are returned from areas of gently undulating to rugged sea floor morphology. The type, size, and spacing of hyperbolic echo returns are dependant on several parameters including: water depth, amplitude, wavelength, spacing, shape and orientation of sea floor undulations, ship speed, ship course, and width of acoustic beam. In many instances hyperbolae are caused by the rugged structural morphology of surface features (for example: rugged seamounts, basement highs, and escarpments); such hyperbolae have no relationship to near-bottom sedimentation processes. However, many regions which return hyperbolae, especially continental rises, basin floors, and abyssal gaps, have thick sequences of undeformed, relatively flat-lying sediments beneath the sea floor. In these regions the hyperbolae are reflected from erosional/depositional bed forms created largely by deep thermohaline-induced flow (contour currents), or less commonly by downslope processes (for example: turbidity currents and slumps).</t>
  </si>
  <si>
    <t>RetCode</t>
  </si>
  <si>
    <t>hypsographyPortrayalType</t>
  </si>
  <si>
    <t>HQC</t>
  </si>
  <si>
    <t>Hypsography Portrayal Type</t>
  </si>
  <si>
    <t>The type of a hypsographic portrayal line (for example: a contour line) based on the topography represented and/or portrayal interval.</t>
  </si>
  <si>
    <t>A contour line is an imaginary line on the ground connecting an infinite number of points of equal elevation. The vertical measurement between two contour lines is called the contour interval. Contour lines are numbered to indicate the elevation value of the contour line.</t>
  </si>
  <si>
    <t>HqcCode</t>
  </si>
  <si>
    <t>ialaAOrBAdopted</t>
  </si>
  <si>
    <t>IAA</t>
  </si>
  <si>
    <t>IALA A or B Adopted</t>
  </si>
  <si>
    <t>An indication that an International Association of Marine Aids to Navigation and Lighthouse Authorities (IALA) bouyage system has been adopted by the national authority.</t>
  </si>
  <si>
    <t>iataLocationIdentifier</t>
  </si>
  <si>
    <t>ITA</t>
  </si>
  <si>
    <t>IATA Location Identifier</t>
  </si>
  <si>
    <t>The identifier that is assigned to a location in accordance with rules (resolution 767) governed by the International Air Transport Association (IATA).</t>
  </si>
  <si>
    <t>These location identifiers may not be unique.</t>
  </si>
  <si>
    <t>ItaStrucText</t>
  </si>
  <si>
    <t>icaoCompliant</t>
  </si>
  <si>
    <t>IKC</t>
  </si>
  <si>
    <t>ICAO Compliant</t>
  </si>
  <si>
    <t>An indication that the service is compliant with the International Civil Aviation Organization (ICAO) standards and recommended practices specified for this type of service.</t>
  </si>
  <si>
    <t>icaoLocationIndicator</t>
  </si>
  <si>
    <t>IKO</t>
  </si>
  <si>
    <t>ICAO Location Indicator</t>
  </si>
  <si>
    <t>The identifier that is assigned to a location in accordance with rules prescribed by the International Civil Aviation Organization (ICAO) in Document 7910.</t>
  </si>
  <si>
    <t>If available this indicator shall be used as primary for identification.</t>
  </si>
  <si>
    <t>ICAO Location Identifier</t>
  </si>
  <si>
    <t>IkoStrucText</t>
  </si>
  <si>
    <t>icaoPathTerminatorType</t>
  </si>
  <si>
    <t>IKT</t>
  </si>
  <si>
    <t>ICAO Path Terminator Type</t>
  </si>
  <si>
    <t>A specific code or set of codes describing the type of aircraft flight path along a segment of a procedure, as well as a specific type of termination of that flight path, as specified by the International Civil Aviation Organization (ICAO).</t>
  </si>
  <si>
    <t>Path terminators are assigned to all Area Navigation (RNAV), Standard Instrument Departure (SID), Standard Terminal Arrival Route (STAR) and Instrument Approach Procedure (IAP) segments in an airborne navigation database, and are defined in Procedures for Air Navigation Services - Aircraft Operations (PANS-OPS) Volume 2, Chapter 5. In the case of multiple occurring codes, the ordering indicates the sequence in which the procedure leg in intended to be flown by the flight management system of the aircraft.</t>
  </si>
  <si>
    <t>IktCode</t>
  </si>
  <si>
    <t>illiteracyRate</t>
  </si>
  <si>
    <t>DGI</t>
  </si>
  <si>
    <t>Illiteracy Rate</t>
  </si>
  <si>
    <t>The percentage of the population who cannot read and write, within an area.</t>
  </si>
  <si>
    <t>ilsBearingCourse</t>
  </si>
  <si>
    <t>ILB</t>
  </si>
  <si>
    <t>ILS Bearing Course</t>
  </si>
  <si>
    <t>Indicates directional information leading to the localizer facility.</t>
  </si>
  <si>
    <t>Specified in degrees and tenths of degrees. The bearing/course to the localizer facility is used for final approach guidance.</t>
  </si>
  <si>
    <t>imoAdopted</t>
  </si>
  <si>
    <t>IAS</t>
  </si>
  <si>
    <t>IMO Adopted</t>
  </si>
  <si>
    <t>An indication that a Traffic Separation Scheme (TSS) has been adopted by the International Maritime Organization (IMO).</t>
  </si>
  <si>
    <t>inboundCourse</t>
  </si>
  <si>
    <t>ICO</t>
  </si>
  <si>
    <t>Inbound Course</t>
  </si>
  <si>
    <t>The specific heading in which an aircraft must fly when arriving at an Air Traffic Service (ATS) route significant point while travelling along an enroute ATS route.</t>
  </si>
  <si>
    <t>incidentAftermathDesc</t>
  </si>
  <si>
    <t>ISC</t>
  </si>
  <si>
    <t>Incident Aftermath Description</t>
  </si>
  <si>
    <t>The description of the damage and/or casualties of a site or repairability after an incident.</t>
  </si>
  <si>
    <t>incidentStatus</t>
  </si>
  <si>
    <t>IDS</t>
  </si>
  <si>
    <t>Incident Status</t>
  </si>
  <si>
    <t>The status of an undesirable event which may or may not have already occurred.</t>
  </si>
  <si>
    <t>IdsCode</t>
  </si>
  <si>
    <t>inclination</t>
  </si>
  <si>
    <t>AOI</t>
  </si>
  <si>
    <t>Inclination</t>
  </si>
  <si>
    <t>The angle, measured from the horizontal, at which the object rests on the sea floor.</t>
  </si>
  <si>
    <t>industrialMineralType</t>
  </si>
  <si>
    <t>IMI</t>
  </si>
  <si>
    <t>Industrial Mineral Type</t>
  </si>
  <si>
    <t>The type of a naturally occurring non-metallic mineral that is used as either the source of raw material(s) or as the material used in various industrial applications.</t>
  </si>
  <si>
    <t>ImiCode</t>
  </si>
  <si>
    <t>infantMortalityRate</t>
  </si>
  <si>
    <t>INM</t>
  </si>
  <si>
    <t>Infant Mortality Rate</t>
  </si>
  <si>
    <t>The annual number of live newborns dying under a year of age per 1000 live births, within an area.</t>
  </si>
  <si>
    <t>inflationRate</t>
  </si>
  <si>
    <t>INF</t>
  </si>
  <si>
    <t>Inflation Rate</t>
  </si>
  <si>
    <t>The annual rate of depreciation of the value of a currency, within an area.</t>
  </si>
  <si>
    <t>Alternatively, the annual rate of increase of the average price level. Usually the area corresponds to a country.</t>
  </si>
  <si>
    <t>influenceMineActuation</t>
  </si>
  <si>
    <t>MII</t>
  </si>
  <si>
    <t>Influence Mine Actuation Method</t>
  </si>
  <si>
    <t>The method used to trigger an influence explosive mine.</t>
  </si>
  <si>
    <t>MiiCode</t>
  </si>
  <si>
    <t>informationReference</t>
  </si>
  <si>
    <t>HYL</t>
  </si>
  <si>
    <t>Information Reference</t>
  </si>
  <si>
    <t>A reference to an external source or additional information.</t>
  </si>
  <si>
    <t>For example a hyperlink.</t>
  </si>
  <si>
    <t>infoServiceVoiceAvailable</t>
  </si>
  <si>
    <t>IVA</t>
  </si>
  <si>
    <t>Information Service Voice Available</t>
  </si>
  <si>
    <t>An indication that the information service is provided as voice messages.</t>
  </si>
  <si>
    <t>inhabitantDensityCat</t>
  </si>
  <si>
    <t>SLE</t>
  </si>
  <si>
    <t>Inhabitant Density Category</t>
  </si>
  <si>
    <t>The density of inhabitants within an area, as a category.</t>
  </si>
  <si>
    <t>SleCode</t>
  </si>
  <si>
    <t>inhabitantsPerPhysician</t>
  </si>
  <si>
    <t>IPP</t>
  </si>
  <si>
    <t>Inhabitants per Physician</t>
  </si>
  <si>
    <t>The average number of inhabitants that are supported by one physician, within an area.</t>
  </si>
  <si>
    <t>inhabited</t>
  </si>
  <si>
    <t>INH</t>
  </si>
  <si>
    <t>Inhabited</t>
  </si>
  <si>
    <t>An indication that a feature is inhabited by humans.</t>
  </si>
  <si>
    <t>inlandFisheryCatch</t>
  </si>
  <si>
    <t>FWT</t>
  </si>
  <si>
    <t>Inland Fishery Catch</t>
  </si>
  <si>
    <t>The annual amount (by mass) of fish caught in the inland waters within an area.</t>
  </si>
  <si>
    <t>inlandWaterFunction</t>
  </si>
  <si>
    <t>FWB</t>
  </si>
  <si>
    <t>Inland Water Function</t>
  </si>
  <si>
    <t>The intended functional use(s) of an inland water.</t>
  </si>
  <si>
    <t>FwbCode</t>
  </si>
  <si>
    <t>inlandWaterObstruction</t>
  </si>
  <si>
    <t>IWO</t>
  </si>
  <si>
    <t>Inland Water Obstruction</t>
  </si>
  <si>
    <t>An indication that a feature in an inland waterbody is an obstruction to vessel movement.</t>
  </si>
  <si>
    <t>inlandWaterType</t>
  </si>
  <si>
    <t>IWT</t>
  </si>
  <si>
    <t>Inland Water Type</t>
  </si>
  <si>
    <t>The type of an inland water based on its principal characteristics.</t>
  </si>
  <si>
    <t>IwtCode</t>
  </si>
  <si>
    <t>installationBuoyType</t>
  </si>
  <si>
    <t>IBC</t>
  </si>
  <si>
    <t>Installation Buoy Type</t>
  </si>
  <si>
    <t>The type of an installation buoy based on structure and/or intended use.</t>
  </si>
  <si>
    <t>IbcCode</t>
  </si>
  <si>
    <t>installationOperator</t>
  </si>
  <si>
    <t>NAO</t>
  </si>
  <si>
    <t>Installation Operator</t>
  </si>
  <si>
    <t>The name of the company or authority operating an installation.</t>
  </si>
  <si>
    <t>instApproachProcFixRole</t>
  </si>
  <si>
    <t>IFR</t>
  </si>
  <si>
    <t>Instrument Approach Procedure (IAP) Fix Role</t>
  </si>
  <si>
    <t>The function of a significant point within an Instrument Approach Procedure (IAP).</t>
  </si>
  <si>
    <t>For example: initial approach fix, final approach fix, or missed approach point.</t>
  </si>
  <si>
    <t>IfrCode</t>
  </si>
  <si>
    <t>ilsFacilityPerformanceCat</t>
  </si>
  <si>
    <t>ILC</t>
  </si>
  <si>
    <t>Instrument Landing System (ILS) Facility Performance Category</t>
  </si>
  <si>
    <t>The category of the operations indicating the precision required for defined decision heights and visibility requirements.</t>
  </si>
  <si>
    <t>For example: CAT I, CAT II, or CAT III.</t>
  </si>
  <si>
    <t>IlcCode</t>
  </si>
  <si>
    <t>ilsGlidePathAngle</t>
  </si>
  <si>
    <t>GPA</t>
  </si>
  <si>
    <t>Instrument Landing System (ILS) Glide Path Angle</t>
  </si>
  <si>
    <t>The angle between a straight line which represents the mean of the Instrument Landing System (ILS) glide path and the horizontal plane at the base of the glide slope antenna.</t>
  </si>
  <si>
    <t>Slope Angle</t>
  </si>
  <si>
    <t>ilsGlidePathAngleAcc</t>
  </si>
  <si>
    <t>IGA</t>
  </si>
  <si>
    <t>Instrument Landing System (ILS) Glide Path Angle Accuracy</t>
  </si>
  <si>
    <t>The accuracy of the angle of the Instrument Landing System (ILS) glide path installation emission, as compared to the published glide path angle.</t>
  </si>
  <si>
    <t>ilsReferenceDatumHeight</t>
  </si>
  <si>
    <t>IRD</t>
  </si>
  <si>
    <t>Instrument Landing System (ILS) Reference Datum Height</t>
  </si>
  <si>
    <t>The height of a point that is located above the intersection of the runway centre line and the threshold and through which the downward extended straight portion of the glide path passes.</t>
  </si>
  <si>
    <t>ilsReferenceDatumHeightAcc</t>
  </si>
  <si>
    <t>IRA</t>
  </si>
  <si>
    <t>Instrument Landing System (ILS) Reference Datum Height Accuracy</t>
  </si>
  <si>
    <t>The accuracy of the iInstrument Landing System (ILS) Reference Datum Height (RDH), as compared to the published reference datum height location.</t>
  </si>
  <si>
    <t>instProcAddEquipment</t>
  </si>
  <si>
    <t>IAE</t>
  </si>
  <si>
    <t>Instrument Procedure Additional Equipment</t>
  </si>
  <si>
    <t>The set(s) of additional equipment needed to fly the instrument procedure in addition to that stated in the procedure name.</t>
  </si>
  <si>
    <t>IaeCode</t>
  </si>
  <si>
    <t>intendedRouteUse</t>
  </si>
  <si>
    <t>IRU</t>
  </si>
  <si>
    <t>Intended Route Use</t>
  </si>
  <si>
    <t>The purpose(s) of a route.</t>
  </si>
  <si>
    <t>Route may include more than one mode of transportation.</t>
  </si>
  <si>
    <t>IruCode</t>
  </si>
  <si>
    <t>internalIllumination</t>
  </si>
  <si>
    <t>IIL</t>
  </si>
  <si>
    <t>Internal Illumination</t>
  </si>
  <si>
    <t>An indication that a feature (for example: a tunnel or a building) is artificially illuminated inside.</t>
  </si>
  <si>
    <t>internatAerodromeCount</t>
  </si>
  <si>
    <t>NIA</t>
  </si>
  <si>
    <t>International Aerodrome Count</t>
  </si>
  <si>
    <t>The total number of international aerodromes within an area.</t>
  </si>
  <si>
    <t>internationalAtsRoute</t>
  </si>
  <si>
    <t>IAR</t>
  </si>
  <si>
    <t>International Air Traffic Service (ATS) Route</t>
  </si>
  <si>
    <t>An indication that the route is part of the regional network of Air Traffic Service (ATS) routes, as defined by the ICAO regional Air Navigation Plan (ANP).</t>
  </si>
  <si>
    <t>internationConflictType</t>
  </si>
  <si>
    <t>IZT</t>
  </si>
  <si>
    <t>International Conflict Type</t>
  </si>
  <si>
    <t>The type of an interstate conflict within an area.</t>
  </si>
  <si>
    <t>IztCode</t>
  </si>
  <si>
    <t>igbUniqueStationCode</t>
  </si>
  <si>
    <t>IGB</t>
  </si>
  <si>
    <t>International Gravimetric Bureau (IGB) Unique Station Code</t>
  </si>
  <si>
    <t>A unique identification number, assigned by the IGB, that is used to identify a base gravity station for reference in relation to a survey point.</t>
  </si>
  <si>
    <t>IgbStrucText</t>
  </si>
  <si>
    <t>internationalOrgMember</t>
  </si>
  <si>
    <t>DAM</t>
  </si>
  <si>
    <t>International Organisation Membership</t>
  </si>
  <si>
    <t>The name(s) of the international organisation(s) of geopolitical importance of which the nation is a member.</t>
  </si>
  <si>
    <t>DamCode</t>
  </si>
  <si>
    <t>intersectionControlType</t>
  </si>
  <si>
    <t>CSC</t>
  </si>
  <si>
    <t>Intersection Control Type</t>
  </si>
  <si>
    <t>The type of route intersection traffic control based on the method(s) of warning and/or control.</t>
  </si>
  <si>
    <t>CscCode</t>
  </si>
  <si>
    <t>inundationDate</t>
  </si>
  <si>
    <t>IND</t>
  </si>
  <si>
    <t>Inundation Date</t>
  </si>
  <si>
    <t>A date on which a tract was inundated by water.</t>
  </si>
  <si>
    <t>IndStrucText</t>
  </si>
  <si>
    <t>inundationType</t>
  </si>
  <si>
    <t>INU</t>
  </si>
  <si>
    <t>Inundation Type</t>
  </si>
  <si>
    <t>The type of an inundation based on the cause of the flooding.</t>
  </si>
  <si>
    <t>InuCode</t>
  </si>
  <si>
    <t>irrigatedAreaRatio</t>
  </si>
  <si>
    <t>PIR</t>
  </si>
  <si>
    <t>Irrigated Area Ratio</t>
  </si>
  <si>
    <t>The ratio of the area of crop irrigation relative to an entire area of cropland.</t>
  </si>
  <si>
    <t>irrigationMethod</t>
  </si>
  <si>
    <t>IRG</t>
  </si>
  <si>
    <t>Irrigation Method</t>
  </si>
  <si>
    <t>The method used to supply crops with water.</t>
  </si>
  <si>
    <t>IrgCode</t>
  </si>
  <si>
    <t>islandGroupName</t>
  </si>
  <si>
    <t>IGN</t>
  </si>
  <si>
    <t>Island Group Name</t>
  </si>
  <si>
    <t>The name of the island or group of islands where the feature is located.</t>
  </si>
  <si>
    <t>iso15924ScriptCode</t>
  </si>
  <si>
    <t>IS1</t>
  </si>
  <si>
    <t>ISO 15924 Script Code</t>
  </si>
  <si>
    <t>The International Organization for Standardization (ISO 15924) four character code that designates a script.</t>
  </si>
  <si>
    <t>A script is a set of graphic characters used for the written form of one or more languages.</t>
  </si>
  <si>
    <t>Is1StrucText</t>
  </si>
  <si>
    <t>iso31661CountryCdAlpha2</t>
  </si>
  <si>
    <t>IC1</t>
  </si>
  <si>
    <t>ISO 3166-1 Country Code (alpha2)</t>
  </si>
  <si>
    <t>The International Organization for Standardization (ISO 3166-1) two character code that designates a geopolitical entity (for example: a State).</t>
  </si>
  <si>
    <t>Also known as the 'alpha-2 code'. ISO changes to 'alpha-2 codes' are triggered by changes in the names of entities. Note that non-country 'reserved code elements' may be included (for example: 'EU' to designate the European Union).</t>
  </si>
  <si>
    <t>Ic1StrucText</t>
  </si>
  <si>
    <t>iso31661CountryCdAlpha3</t>
  </si>
  <si>
    <t>IC2</t>
  </si>
  <si>
    <t>ISO 3166-1 Country Code (alpha3)</t>
  </si>
  <si>
    <t>The International Organization for Standardization (ISO 3166-1) three character code that designates a geopolitical entity (for example: a State).</t>
  </si>
  <si>
    <t>Also known as the 'alpha-3 code'. ISO changes to 'alpha-3 codes' are triggered by changes in the names of entities.</t>
  </si>
  <si>
    <t>Ic2StrucText</t>
  </si>
  <si>
    <t>iso31661CountryCdNumeric</t>
  </si>
  <si>
    <t>IC3</t>
  </si>
  <si>
    <t>ISO 3166-1 Country Code (numeric)</t>
  </si>
  <si>
    <t>The International Organization for Standardization (ISO 3166-1) three digit number that designates a geopolitical entity (for example: a State).</t>
  </si>
  <si>
    <t>Also known as the 'numerical code'. ISO changes to 'numerical codes' are triggered by changes in the names of entities.</t>
  </si>
  <si>
    <t>Ic3StrucText</t>
  </si>
  <si>
    <t>iso31661EngCountryName</t>
  </si>
  <si>
    <t>IC4</t>
  </si>
  <si>
    <t>ISO 3166-1 English Country Name</t>
  </si>
  <si>
    <t>The International Organization for Standardization (ISO 3166-1) full name that designates a geopolitical entity (for example: a State).</t>
  </si>
  <si>
    <t>iso31662SubdivisionExtCd</t>
  </si>
  <si>
    <t>IC5</t>
  </si>
  <si>
    <t>ISO 3166-2 Country Subdivision Extension Code</t>
  </si>
  <si>
    <t>The International Organization for Standardization (ISO 3166-2) one, two or three character code that is used in conjunction with the ISO 3166-1 alpha-2 code and a hyphen to designate a principal administrative subdivision of a geopolitical entity (for example: a State).</t>
  </si>
  <si>
    <t>For example, the US state of Virginia is designated as 'VA' and appears in the full ISO 3166-2 code as 'US-VA'.</t>
  </si>
  <si>
    <t>Ic5StrucText</t>
  </si>
  <si>
    <t>iso31662EngSubdivisionName</t>
  </si>
  <si>
    <t>IC6</t>
  </si>
  <si>
    <t>ISO 3166-2 English Country Subdivision Name</t>
  </si>
  <si>
    <t>The International Organization for Standardization (ISO 3166-2) full name that designates a principal administrative subdivision of a geopolitical entity (for example: a State).</t>
  </si>
  <si>
    <t>iso31663FormerCountryCd</t>
  </si>
  <si>
    <t>IC7</t>
  </si>
  <si>
    <t>ISO 3166-3 Former Country Code</t>
  </si>
  <si>
    <t>The International Organization for Standardization (ISO 3166-1) four character code that designates an obsolete code for a geopolitical entity (for example: a State).</t>
  </si>
  <si>
    <t>For example, 'DDDE' to designate that the withdrawn code for East Germany ('DD') is now covered by the code 'DE', the current code for Germany.</t>
  </si>
  <si>
    <t>Ic7StrucText</t>
  </si>
  <si>
    <t>isolatedCommunicationLine</t>
  </si>
  <si>
    <t>CLI</t>
  </si>
  <si>
    <t>Isolated Communication Line</t>
  </si>
  <si>
    <t>An indication that a communication line is in the open by itself and is therefore isolated from other features.</t>
  </si>
  <si>
    <t>A communication line that is not isolated is located in the midst of other features.</t>
  </si>
  <si>
    <t>jetAircraftStartUnitType</t>
  </si>
  <si>
    <t>JAT</t>
  </si>
  <si>
    <t>Jet Aircraft Starting Unit (JASU) Type</t>
  </si>
  <si>
    <t>The type(s) of external starting capabilities for jet aircraft that are available at an aerodrome.</t>
  </si>
  <si>
    <t>A Jet Aircraft Starting Unit is also commonly referred as a 'JASU'.</t>
  </si>
  <si>
    <t>JatCode</t>
  </si>
  <si>
    <t>jetAircraftStartUnitCount</t>
  </si>
  <si>
    <t>JAC</t>
  </si>
  <si>
    <t>Jet Aircraft Starting Unit Count</t>
  </si>
  <si>
    <t>The number of jet aircraft starting units per type available for use at an aerodrome.</t>
  </si>
  <si>
    <t>jointOilAnalysisProgCert</t>
  </si>
  <si>
    <t>JOP</t>
  </si>
  <si>
    <t>Joint Oil Analysis Program (JOAP) Certified</t>
  </si>
  <si>
    <t>The facility is certified to perform oil analysis for the U.S. military in accordance with Joint Ail Analysis Program (JOAP) regulations.</t>
  </si>
  <si>
    <t>According to JOAP procedures the facility must provide oil analysis support to the other services within its capabilities. The JOAP uses oil analysis as a maintenance diagnostic tool to determine the internal condition of aeronautical and non-aeronautical engines, transmissions, and gearboxes, and their oil-wetted components through the analysis of used lubricating oils, grease, and fluids. Its goal is flight safety, enhanced equipment readiness, reduced maintenance costs, and the extension of component life and determine the suitability of lubricants and fluids for continued use, resulting in savings and early detection of harmful conditions that, if not corrected, could promote premature component failure.</t>
  </si>
  <si>
    <t>landMineType</t>
  </si>
  <si>
    <t>LMT</t>
  </si>
  <si>
    <t>Land Mine Type</t>
  </si>
  <si>
    <t>The type of a land mine based on its intended use(s).</t>
  </si>
  <si>
    <t>A land mine is a receptacle containing explosive placed in or on the ground with the purpose of destroying enemy personnel and/or vehicles.</t>
  </si>
  <si>
    <t>LmtCode</t>
  </si>
  <si>
    <t>landReclamationIntent</t>
  </si>
  <si>
    <t>PRL</t>
  </si>
  <si>
    <t>Land Reclamation Intent</t>
  </si>
  <si>
    <t>The type of a land reclamation activity based on the intended use of the reclaimed land.</t>
  </si>
  <si>
    <t>PrlCode</t>
  </si>
  <si>
    <t>landingConditionDesc</t>
  </si>
  <si>
    <t>LCD</t>
  </si>
  <si>
    <t>Landing Condition Description</t>
  </si>
  <si>
    <t>A description of the landing conditions, including surface composition and immediate topographical features.</t>
  </si>
  <si>
    <t>landingDistanceAvailable</t>
  </si>
  <si>
    <t>Landing Distance Available (LDA)</t>
  </si>
  <si>
    <t>The length of runway which is declared available and suitable for the ground run of an aircraft when landing.</t>
  </si>
  <si>
    <t xml:space="preserve">LDA </t>
  </si>
  <si>
    <t>landingDistanceAvailCopter</t>
  </si>
  <si>
    <t>LD1</t>
  </si>
  <si>
    <t>Landing Distance Available Helicopter (LDAH)</t>
  </si>
  <si>
    <t>The length of the final approach and take-off area plus any additional area declared available and suitable for helicopters to complete the landing manoeuvre from a defined height.</t>
  </si>
  <si>
    <t>LDAH</t>
  </si>
  <si>
    <t>landmineTypeName</t>
  </si>
  <si>
    <t>LMP</t>
  </si>
  <si>
    <t>Landmine Type Name</t>
  </si>
  <si>
    <t>The name of the type of the used landmine(s) in a mine field.</t>
  </si>
  <si>
    <t>landscapeMorphology</t>
  </si>
  <si>
    <t>ATP</t>
  </si>
  <si>
    <t>Landscape Morphology</t>
  </si>
  <si>
    <t>The nature(s) of a geographic area based on its physical and/or spatial characteristics.</t>
  </si>
  <si>
    <t>AtpCode</t>
  </si>
  <si>
    <t>landslideHazardCategory</t>
  </si>
  <si>
    <t>LHC</t>
  </si>
  <si>
    <t>Landslide Hazard Category</t>
  </si>
  <si>
    <t>The probability range of landslide susceptibility, occurrence and/or related hazard, as a category.</t>
  </si>
  <si>
    <t>LhcCode</t>
  </si>
  <si>
    <t>landTied</t>
  </si>
  <si>
    <t>LTI</t>
  </si>
  <si>
    <t>Land-tied</t>
  </si>
  <si>
    <t>An indication that a coastal island is connected to the mainland by barrier beaches, levees or dykes.</t>
  </si>
  <si>
    <t>For example, a tombolo.</t>
  </si>
  <si>
    <t>language</t>
  </si>
  <si>
    <t>LNG</t>
  </si>
  <si>
    <t>Language</t>
  </si>
  <si>
    <t>The language(s) of the inhabitants of a region.</t>
  </si>
  <si>
    <t>Used, for example, for identification of alternate local official names of non-international features.</t>
  </si>
  <si>
    <t>LngCode</t>
  </si>
  <si>
    <t>languageClass</t>
  </si>
  <si>
    <t>LCL</t>
  </si>
  <si>
    <t>Language Class</t>
  </si>
  <si>
    <t>The level, order, or position of a language within the heirarchy of languages used within an area.</t>
  </si>
  <si>
    <t>For example, belonging to a main group or to a subgroup such as a dialect.</t>
  </si>
  <si>
    <t>LclCode</t>
  </si>
  <si>
    <t>languageCode</t>
  </si>
  <si>
    <t>LAN</t>
  </si>
  <si>
    <t>Language Code</t>
  </si>
  <si>
    <t>The International Organization for Standardization (ISO 639-3) three character code that designates the language or macrolanguage of the source of a geographic name.</t>
  </si>
  <si>
    <t>A macrolanguage is a set of closely related language varieties (dialects) that generally have a common linguistic identity and a common written form; this may occur when there is a transitional socio-linguistic situation in which sub-communities of a single language community are diverging. The language of the geographic name source should be distinguished from the language of origin or etymology of a geographic name; for example, considering the place name 'San Jose, California' the language of the source of this geographic name may be English if it is determined from a United States map, regardless of the fact that this geographic name means 'St. Joseph, California' in Spanish.</t>
  </si>
  <si>
    <t>LanStrucText</t>
  </si>
  <si>
    <t>languageDialectCode</t>
  </si>
  <si>
    <t>LAD</t>
  </si>
  <si>
    <t>Language Dialect Code</t>
  </si>
  <si>
    <t>The International Organization for Standardization (ISO 639-3) three character code that designates the language dialect, if applicable, of the source of a geographic name.</t>
  </si>
  <si>
    <t>Some languages have no (child) dialects. Each language dialect is unique to only one parent language.</t>
  </si>
  <si>
    <t>LadStrucText</t>
  </si>
  <si>
    <t>languageUpLevelOrdName</t>
  </si>
  <si>
    <t>LUL</t>
  </si>
  <si>
    <t>Language Upper Level Order Name</t>
  </si>
  <si>
    <t>The name of the next upper language level where several languages on the basis of common elements may meaningfully be combined.</t>
  </si>
  <si>
    <t>For example, a group of related languages or dialects.</t>
  </si>
  <si>
    <t>languageUseCharacter</t>
  </si>
  <si>
    <t>LAU</t>
  </si>
  <si>
    <t>Language Use Characteristics</t>
  </si>
  <si>
    <t>A description of peculiarities associated with the use of a language within an area.</t>
  </si>
  <si>
    <t>For example, special kinds of communication such as clicks, whistles, and/or sibilants.</t>
  </si>
  <si>
    <t>lastDetectionDateTime</t>
  </si>
  <si>
    <t>LDD</t>
  </si>
  <si>
    <t>Last Detection Date and Time</t>
  </si>
  <si>
    <t>The date and, optionally, time that an object was most recently detected and analyzed.</t>
  </si>
  <si>
    <t>LddStrucText</t>
  </si>
  <si>
    <t>lastRecordedEruptionDate</t>
  </si>
  <si>
    <t>LRE</t>
  </si>
  <si>
    <t>Last Recorded Eruption Date</t>
  </si>
  <si>
    <t>The date of the most recent eruption of a volcano taken from the historical record or if not available, estimated from the geologic record.</t>
  </si>
  <si>
    <t>LreStrucText</t>
  </si>
  <si>
    <t>leadRadial</t>
  </si>
  <si>
    <t>LR1</t>
  </si>
  <si>
    <t>Lead Radial</t>
  </si>
  <si>
    <t>A radial or bearing which provides the appropriate lead distance to assist in turning onto the next segment of an Instrument Approach Procedure (IAP).</t>
  </si>
  <si>
    <t>leastDepthBelowSurfLevel</t>
  </si>
  <si>
    <t>LEA</t>
  </si>
  <si>
    <t>Least Depth Below Surface Level</t>
  </si>
  <si>
    <t>The distance measured from ground or water level (uphill/upstream side of the feature) to the highest point of a feature located completely underground.</t>
  </si>
  <si>
    <t>For example, in the case of an underground dwelling the least depth below surface level would be measured to its ceiling. The least depth below surface level may be located at ground or water level and therefore have a value of zero (for example: an opencast extraction mine, a terrain depression or a lake). For depths defined with respect to a time-varying water level, consideration should be given to the use of Attribute: 'Hydrographic Depth'.</t>
  </si>
  <si>
    <t>leftBankAccuracyCategory</t>
  </si>
  <si>
    <t>ACL</t>
  </si>
  <si>
    <t>Left Bank Accuracy Category</t>
  </si>
  <si>
    <t>The accuracy of the geographic position of the left bank of a watercourse.</t>
  </si>
  <si>
    <t>AclCode</t>
  </si>
  <si>
    <t>leftBankHeight</t>
  </si>
  <si>
    <t>BHL</t>
  </si>
  <si>
    <t>Left Bank Height</t>
  </si>
  <si>
    <t>The height of the left bank (facing downstream) above the average water level.</t>
  </si>
  <si>
    <t>leftBankShorelineType</t>
  </si>
  <si>
    <t>SHL</t>
  </si>
  <si>
    <t>Left Bank Shoreline Type</t>
  </si>
  <si>
    <t>The physical characteristics of the shoreline of the left bank of a watercourse.</t>
  </si>
  <si>
    <t>ShlCode</t>
  </si>
  <si>
    <t>leftBankSlope</t>
  </si>
  <si>
    <t>BGL</t>
  </si>
  <si>
    <t>Left Bank Slope</t>
  </si>
  <si>
    <t>The amount of upward inclination between the horizontal surface of the mean water level of a watercourse where it touches the left bank and the top of the first usable break in slope, measured at the same point on the upper left bank as the military gap width.</t>
  </si>
  <si>
    <t>The left bank is determined by facing downstream (in the direction of flow). The (percent) slope is determined as the change in height divided by the horizontal distance over which the change takes place, multiplied by one hundred: ((h2-h1)/d)*100.</t>
  </si>
  <si>
    <t>leftBankVegetationCover</t>
  </si>
  <si>
    <t>LBV</t>
  </si>
  <si>
    <t>Left Bank Vegetation Cover</t>
  </si>
  <si>
    <t>The fraction of vegetation cover on the left bank (facing downstream) of a watercourse.</t>
  </si>
  <si>
    <t>leftBelowWaterBankSlope</t>
  </si>
  <si>
    <t>BWL</t>
  </si>
  <si>
    <t>Left Below Water Bank Slope</t>
  </si>
  <si>
    <t>The amount of downward inclination between the horizontal surface of the mean water level of a watercourse where it touches the left bank and the first break in underwater slope.</t>
  </si>
  <si>
    <t>The left bank is determined by facing downstream (in the direction of flow). The (percent) slope is determined as the change in depth divided by the horizontal distance over which the change takes place, multiplied by one hundred: ((h2-h1)/d)*100.</t>
  </si>
  <si>
    <t>legSeparation</t>
  </si>
  <si>
    <t>LSE</t>
  </si>
  <si>
    <t>Leg Separation</t>
  </si>
  <si>
    <t>The distance between the two parallel segments of a refuelling anchor pattern.</t>
  </si>
  <si>
    <t>legalStatus</t>
  </si>
  <si>
    <t>LGA</t>
  </si>
  <si>
    <t>Legal Status</t>
  </si>
  <si>
    <t>The legal status of an object.</t>
  </si>
  <si>
    <t>LgaCode</t>
  </si>
  <si>
    <t>LZN</t>
  </si>
  <si>
    <t>The dimension of a feature taken along its primary alignment of use and generally in the horizontal plane.</t>
  </si>
  <si>
    <t>The primary alignment of a feature is its established direction of flow or use (for example: a road, a power line, a river, a rapid, and/or a bridge). A feature-specific rule may apply. In the case of a bridge, the length is the distance between the bridge abutments along the bridge centreline. In the case of a dam, the length is the distance along the dam crest. If no established direction of flow or use exists then (1) if the feature is irregular in shape its length is its greatest horizontal dimension (see Attribute: 'Greatest Horizontal Extent'), else (2) if the feature is regular in shape then a shape-specific rule may apply: for a rectangular feature, the length of the longer axis; for a round feature, the diameter.</t>
  </si>
  <si>
    <t>liftingCapacity</t>
  </si>
  <si>
    <t>LCA</t>
  </si>
  <si>
    <t>Lifting Capacity</t>
  </si>
  <si>
    <t>The maximum weight that can be safely raised by a lifting device (for example: a crane).</t>
  </si>
  <si>
    <t>lightCharacteristicNumber</t>
  </si>
  <si>
    <t>LCN</t>
  </si>
  <si>
    <t>Light Characteristic Number</t>
  </si>
  <si>
    <t>The number of flashes/occultations in a group flashing/occulting light character.</t>
  </si>
  <si>
    <t>lightElevation</t>
  </si>
  <si>
    <t>EOL</t>
  </si>
  <si>
    <t>Light Elevation</t>
  </si>
  <si>
    <t>The height of a light measured from a specified datum (for example: vertical or sounding), usually high water, as defined by the National agency.</t>
  </si>
  <si>
    <t>When used with a buoy the elevation is measured from the water surface; when used with a lighthouse the elevation is typically measured from ground level.</t>
  </si>
  <si>
    <t>lightMultiplicity</t>
  </si>
  <si>
    <t>MOL</t>
  </si>
  <si>
    <t>Light Multiplicity</t>
  </si>
  <si>
    <t>The number of lights of identical character that exist as a co-located group.</t>
  </si>
  <si>
    <t>lightSectorAngle</t>
  </si>
  <si>
    <t>LSA</t>
  </si>
  <si>
    <t>Light Sector Angle</t>
  </si>
  <si>
    <t>The horizontal angular width of a light sector to which the visibility of a light is limited.</t>
  </si>
  <si>
    <t>The limits of light sectors (arcs of visibility) are arranged clockwise and are given from seaward toward the central object.</t>
  </si>
  <si>
    <t>lightSectorInitialLimit</t>
  </si>
  <si>
    <t>LSI</t>
  </si>
  <si>
    <t>Light Sector Initial Limit</t>
  </si>
  <si>
    <t>The initial angular limit of visibility of a light sector expressed as a bearing from seaward to the central object.</t>
  </si>
  <si>
    <t>lightSectorTerminalLimit</t>
  </si>
  <si>
    <t>LST</t>
  </si>
  <si>
    <t>Light Sector Terminal Limit</t>
  </si>
  <si>
    <t>The terminal angular limit of visibility of a light sector expressed as a bearing from seaward to the central object.</t>
  </si>
  <si>
    <t>lightSupervised</t>
  </si>
  <si>
    <t>SUP</t>
  </si>
  <si>
    <t>Light Supervised</t>
  </si>
  <si>
    <t>An indication that a light is supervised and/or monitored, especially one used for navigation.</t>
  </si>
  <si>
    <t>For example, standby or emergency backup equipment is present.</t>
  </si>
  <si>
    <t>lightSystemIntensity</t>
  </si>
  <si>
    <t>LIS</t>
  </si>
  <si>
    <t>Light System Intensity</t>
  </si>
  <si>
    <t>The intensity level of the aerodrome lighting system.</t>
  </si>
  <si>
    <t>For example: high, medium, or low.</t>
  </si>
  <si>
    <t>LisCode</t>
  </si>
  <si>
    <t>lightSystemIntVariable</t>
  </si>
  <si>
    <t>LIV</t>
  </si>
  <si>
    <t>Light System Intensity Variability</t>
  </si>
  <si>
    <t>The variability of the intensity of an aerodrome lighting system.</t>
  </si>
  <si>
    <t>For example: fixed.</t>
  </si>
  <si>
    <t>LivCode</t>
  </si>
  <si>
    <t>lightVisibility</t>
  </si>
  <si>
    <t>VIS</t>
  </si>
  <si>
    <t>Light Visibility</t>
  </si>
  <si>
    <t>The type of specific visibilities of a light based on the light's intensity and ease of recognition.</t>
  </si>
  <si>
    <t>VisCode</t>
  </si>
  <si>
    <t>lightedWindIndicPresent</t>
  </si>
  <si>
    <t>LWI</t>
  </si>
  <si>
    <t>Lighted Wind Indicator Present</t>
  </si>
  <si>
    <t>An indication that an aircraft facility has an available lighted wind indicator.</t>
  </si>
  <si>
    <t>limitsPhysicallyBased</t>
  </si>
  <si>
    <t>MLO</t>
  </si>
  <si>
    <t>Limit(s) Physically Based</t>
  </si>
  <si>
    <t>An indication that the limit(s) of a maritime area are based on permanent physical features.</t>
  </si>
  <si>
    <t>linearFeatureArrangement</t>
  </si>
  <si>
    <t>RTA</t>
  </si>
  <si>
    <t>Linear Feature Arrangement</t>
  </si>
  <si>
    <t>The arrangement of parallel linear features on a single support structure including both directions (if applicable).</t>
  </si>
  <si>
    <t>For example, two railways sharing a single roadbed.</t>
  </si>
  <si>
    <t>RtaCode</t>
  </si>
  <si>
    <t>lithoPlateMovementType</t>
  </si>
  <si>
    <t>IML</t>
  </si>
  <si>
    <t>Lithospheric Plate Movement Type</t>
  </si>
  <si>
    <t>The type of a lithospheric plate based on its movement relative to an adjacent lithospheric plate.</t>
  </si>
  <si>
    <t>ImlCode</t>
  </si>
  <si>
    <t>lithoPlateName</t>
  </si>
  <si>
    <t>NAP</t>
  </si>
  <si>
    <t>Lithospheric Plate Name</t>
  </si>
  <si>
    <t>The commonly accepted name of a lithospheric plate, as a category.</t>
  </si>
  <si>
    <t>NapCode</t>
  </si>
  <si>
    <t>lithoPlateType</t>
  </si>
  <si>
    <t>LPT</t>
  </si>
  <si>
    <t>Lithospheric Plate Type</t>
  </si>
  <si>
    <t>The type of a lithospheric plate based on it principal location.</t>
  </si>
  <si>
    <t>LptCode</t>
  </si>
  <si>
    <t>loadClassType1</t>
  </si>
  <si>
    <t>LC1</t>
  </si>
  <si>
    <t>Load Class Type 1</t>
  </si>
  <si>
    <t>The dynamic live load weight-bearing capacity of a bridge or bridge span for one-way, wheeled vehicle traffic in MLC units.</t>
  </si>
  <si>
    <t>Military load classification values are calculated in part from the size, cross-sectional shape, and material of the stringers under the bridge span; they are similar to, but not the same as, short tons. See STANAGs 2021 and 2253 for the method of calculation.</t>
  </si>
  <si>
    <t>loadClassType2</t>
  </si>
  <si>
    <t>LC2</t>
  </si>
  <si>
    <t>Load Class Type 2</t>
  </si>
  <si>
    <t>The dynamic live load weight-bearing capacity of a bridge or bridge span for two-way, wheeled vehicle traffic in MLC units.</t>
  </si>
  <si>
    <t>loadClassType3</t>
  </si>
  <si>
    <t>LC3</t>
  </si>
  <si>
    <t>Load Class Type 3</t>
  </si>
  <si>
    <t>The dynamic live load weight-bearing capacity of a bridge or bridge span for one-way, tracked vehicle traffic in MLC units.</t>
  </si>
  <si>
    <t>loadClassType4</t>
  </si>
  <si>
    <t>LC4</t>
  </si>
  <si>
    <t>Load Class Type 4</t>
  </si>
  <si>
    <t>The dynamic live load weight-bearing capacity of a bridge or bridge span for two-way, tracked vehicle traffic in MLC units.</t>
  </si>
  <si>
    <t>loadClassificationNumber</t>
  </si>
  <si>
    <t>LCX</t>
  </si>
  <si>
    <t>Load Classification Number (LCN)</t>
  </si>
  <si>
    <t>A value which denotes the peak being moment the surface can handle repeatedly without shortening its service life.</t>
  </si>
  <si>
    <t>Based on the United States Air Force/DoD LCN/LCG System.</t>
  </si>
  <si>
    <t>Integer0to120</t>
  </si>
  <si>
    <t>loadClassNumberValidity</t>
  </si>
  <si>
    <t>LCV</t>
  </si>
  <si>
    <t>Load Classification Number (LCN) Validity</t>
  </si>
  <si>
    <t>The method used to determine the Load Classification Number (LCN) validity.</t>
  </si>
  <si>
    <t>The Load Classification Number (LCN) is a number that gives a relative force ranking of all aircraft in terms of how much stress they impose on aircraft movement surfaces.</t>
  </si>
  <si>
    <t>LcvCode</t>
  </si>
  <si>
    <t>loadClassNumberValidityRem</t>
  </si>
  <si>
    <t>LCR</t>
  </si>
  <si>
    <t>Load Classification Number (LCN) Validity Remark</t>
  </si>
  <si>
    <t>A text remark describing the source, methods, or situation by which the Load Classification Number (LCN) validity was determined.</t>
  </si>
  <si>
    <t>loadBearingSurfaceType</t>
  </si>
  <si>
    <t>RST</t>
  </si>
  <si>
    <t>Load-bearing Surface Type</t>
  </si>
  <si>
    <t>The physical surface composition of a terrain surface that is intended to bear loads.</t>
  </si>
  <si>
    <t>For example, the surface of a road, a runway, a hard standing, or a vehicle storage lot.</t>
  </si>
  <si>
    <t>RstCode</t>
  </si>
  <si>
    <t>localAirspaceType</t>
  </si>
  <si>
    <t>LAY</t>
  </si>
  <si>
    <t>Local Airspace Type</t>
  </si>
  <si>
    <t>A locally specified designation denoting a particular airspace category as defined by a local authority.</t>
  </si>
  <si>
    <t>localizerCourseWidth</t>
  </si>
  <si>
    <t>CLW</t>
  </si>
  <si>
    <t>Localizer Course Width</t>
  </si>
  <si>
    <t>The angle of the localizer signal originating from the localizer equipment.</t>
  </si>
  <si>
    <t>localizerCourseWidthAcc</t>
  </si>
  <si>
    <t>LCW</t>
  </si>
  <si>
    <t>Localizer Course Width Accuracy</t>
  </si>
  <si>
    <t>The accuracy of the localizer course width, as compared to the published localizer course width.</t>
  </si>
  <si>
    <t>locatedUnderground</t>
  </si>
  <si>
    <t>LUN</t>
  </si>
  <si>
    <t>Located Underground</t>
  </si>
  <si>
    <t>The feature (for example: a parking garage, storage tank, or a transportation station) is located underground.</t>
  </si>
  <si>
    <t>locationRefToShoreline</t>
  </si>
  <si>
    <t>SRL</t>
  </si>
  <si>
    <t>Location Referenced to Shoreline</t>
  </si>
  <si>
    <t>The location of an object in relation to a land water boundary.</t>
  </si>
  <si>
    <t>SrlCode</t>
  </si>
  <si>
    <t>lockDrop</t>
  </si>
  <si>
    <t>LDR</t>
  </si>
  <si>
    <t>Lock Drop</t>
  </si>
  <si>
    <t>The distance measured vertically by which the level of the water in a lock may be raised or lowered.</t>
  </si>
  <si>
    <t>lockPresent</t>
  </si>
  <si>
    <t>LPR</t>
  </si>
  <si>
    <t>Lock Present</t>
  </si>
  <si>
    <t>An indication that a dam has one or more associated locks.</t>
  </si>
  <si>
    <t>longestBridgeSpanLength</t>
  </si>
  <si>
    <t>SPL</t>
  </si>
  <si>
    <t>Longest Bridge Span Length</t>
  </si>
  <si>
    <t>The length of the longest individual span of a bridge.</t>
  </si>
  <si>
    <t>lowVisHoldingPositionCat</t>
  </si>
  <si>
    <t>LVH</t>
  </si>
  <si>
    <t>Low Visibility Holding Position Category</t>
  </si>
  <si>
    <t>The category of low visibility landing operations supported.</t>
  </si>
  <si>
    <t>LvhCode</t>
  </si>
  <si>
    <t>lowWaterMonthInterval</t>
  </si>
  <si>
    <t>LWS</t>
  </si>
  <si>
    <t>Low Water Month Interval</t>
  </si>
  <si>
    <t>The month interval during which the low water season occurs.</t>
  </si>
  <si>
    <t>LwsStrucText</t>
  </si>
  <si>
    <t>lowerAddressNumber</t>
  </si>
  <si>
    <t>FAD</t>
  </si>
  <si>
    <t>Lower Address Number</t>
  </si>
  <si>
    <t>The lower limit of a range of postal address numbers associated with a feature.</t>
  </si>
  <si>
    <t>For example, a thoroughfare (or portion of a thoroughfare) or a building (for example: an apartment or office building) may have a range of assigned postal address numbers (for example: 3778 through 3884). If the postal address has only one number, the values of Attribute: 'Lower Address Number' and Attribute: 'Upper Address Number' are the same. Consideration should be given to the alternative use of Attribute:'Address Number'.</t>
  </si>
  <si>
    <t>lowestElevation</t>
  </si>
  <si>
    <t>ZVL</t>
  </si>
  <si>
    <t>Lowest Elevation</t>
  </si>
  <si>
    <t>The elevation from a specified vertical datum to the lowest point on a feature.</t>
  </si>
  <si>
    <t>lowestLevelGroundWater</t>
  </si>
  <si>
    <t>DP2</t>
  </si>
  <si>
    <t>Lowest Level of Ground Water</t>
  </si>
  <si>
    <t>The lowest annual average level of ground water.</t>
  </si>
  <si>
    <t>lowestOrthometricZValue</t>
  </si>
  <si>
    <t>ZOL</t>
  </si>
  <si>
    <t>Lowest Orthometric Z-Value</t>
  </si>
  <si>
    <t>The elevation measured from the geoid to the lowest portion of a feature.</t>
  </si>
  <si>
    <t>luminousRange</t>
  </si>
  <si>
    <t>LVL</t>
  </si>
  <si>
    <t>Luminous Range</t>
  </si>
  <si>
    <t>The maximum distance at which a light can be seen merely as a function of its luminous intensity.</t>
  </si>
  <si>
    <t>No account is taken of interference from background light.</t>
  </si>
  <si>
    <t>magnesiumConcentration</t>
  </si>
  <si>
    <t>MGN</t>
  </si>
  <si>
    <t>Magnesium Concentration</t>
  </si>
  <si>
    <t>The mass of magnesium per volume of solution.</t>
  </si>
  <si>
    <t>Elevated concentrations of magnesium are typically associated with 'hard' water.</t>
  </si>
  <si>
    <t>madSignature</t>
  </si>
  <si>
    <t>MAD</t>
  </si>
  <si>
    <t>Magnetic Anomaly Detector Signature</t>
  </si>
  <si>
    <t>The strength of the Magnetic Anomaly Detector (MAD) reading caused by the contact, as a category.</t>
  </si>
  <si>
    <t>MadCode</t>
  </si>
  <si>
    <t>magneticBearing</t>
  </si>
  <si>
    <t>BEA</t>
  </si>
  <si>
    <t>Magnetic Bearing</t>
  </si>
  <si>
    <t>The horizontal direction (bearing) of an object or point measured clockwise from Magnetic North up to, but not including, 360 arc degrees.</t>
  </si>
  <si>
    <t>magneticBearingTheta</t>
  </si>
  <si>
    <t>THE</t>
  </si>
  <si>
    <t>Magnetic Bearing (Theta)</t>
  </si>
  <si>
    <t>The magnetic bearing to a geographic point or location.</t>
  </si>
  <si>
    <t>magneticBearingAcc</t>
  </si>
  <si>
    <t>MBA</t>
  </si>
  <si>
    <t>Magnetic Bearing Accuracy</t>
  </si>
  <si>
    <t>The accuracy of the magnetic bearing of a radio emission from an object (for example: an Instrument Landing System (ILS) localizer or Microwave Landing System (MLS) azimuth), as compared to its published magnetic bearing.</t>
  </si>
  <si>
    <t>magneticIntensity</t>
  </si>
  <si>
    <t>MAI</t>
  </si>
  <si>
    <t>Magnetic Intensity</t>
  </si>
  <si>
    <t>The magnetic intensity generated by the object.</t>
  </si>
  <si>
    <t>magneticTrack</t>
  </si>
  <si>
    <t>MA5</t>
  </si>
  <si>
    <t>Magnetic Track</t>
  </si>
  <si>
    <t>The projection on the Earth's surface of the path of an aircraft, the direction of which path at any point is expressed in arc degrees from Magnetic North, as published by the appropriate authority.</t>
  </si>
  <si>
    <t>magneticVariation</t>
  </si>
  <si>
    <t>MAG</t>
  </si>
  <si>
    <t>Magnetic Variation</t>
  </si>
  <si>
    <t>The angular difference between True North and Magnetic North measured at a given position and date.</t>
  </si>
  <si>
    <t>MagVar, Magnetic Declination</t>
  </si>
  <si>
    <t>magneticVarAnomaly</t>
  </si>
  <si>
    <t>VAV</t>
  </si>
  <si>
    <t>Magnetic Variation Anomaly</t>
  </si>
  <si>
    <t>The difference between the magnetic variation within a magnetic disturbance area and the magnetic variation of the surrounding area.</t>
  </si>
  <si>
    <t>It is measured east (positive value) or west (negative value) consistent with the directionality of the magnetic declination in general.</t>
  </si>
  <si>
    <t>Magnetic Declination Anomaly</t>
  </si>
  <si>
    <t>magneticVarAnomalyDes</t>
  </si>
  <si>
    <t>VA4</t>
  </si>
  <si>
    <t>Magnetic Variation Anomaly Description</t>
  </si>
  <si>
    <t>A description of a magnetic disturbance area, where the local magnetic declination differs from the magnetic declination of the surrounding area.</t>
  </si>
  <si>
    <t>Used, for example, where more than an Attribute: 'Magnetic Variation Anomaly' numeric value is required.</t>
  </si>
  <si>
    <t>Magnetic Declination Anomaly Description</t>
  </si>
  <si>
    <t>magneticVariationDate</t>
  </si>
  <si>
    <t>MVD</t>
  </si>
  <si>
    <t>Magnetic Variation Date</t>
  </si>
  <si>
    <t>The date on which the magnetic variation was measured.</t>
  </si>
  <si>
    <t>MvdStrucText</t>
  </si>
  <si>
    <t>mainSupplyRoute</t>
  </si>
  <si>
    <t>MSU</t>
  </si>
  <si>
    <t>An indication that a route is used as a main supply route.</t>
  </si>
  <si>
    <t>maintained</t>
  </si>
  <si>
    <t>MAS</t>
  </si>
  <si>
    <t>Maintained</t>
  </si>
  <si>
    <t>An indication that a feature is maintained.</t>
  </si>
  <si>
    <t>maleLifeExpectancy</t>
  </si>
  <si>
    <t>LEM</t>
  </si>
  <si>
    <t>Male Life Expectancy</t>
  </si>
  <si>
    <t>The average life span of male inhabitants residing within an area.</t>
  </si>
  <si>
    <t>malePopulation</t>
  </si>
  <si>
    <t>PPM</t>
  </si>
  <si>
    <t>Male Population</t>
  </si>
  <si>
    <t>The total number of male inhabitants residing within an area.</t>
  </si>
  <si>
    <t>malePopFrac0_14</t>
  </si>
  <si>
    <t>MI1</t>
  </si>
  <si>
    <t>Male Population Fraction: 0-14 years old</t>
  </si>
  <si>
    <t>The fraction of male inhabitants residing within an area that are less than 15 years in age.</t>
  </si>
  <si>
    <t>malePopFrac15_44</t>
  </si>
  <si>
    <t>MI2</t>
  </si>
  <si>
    <t>Male Population Fraction: 15-44 years old</t>
  </si>
  <si>
    <t>The fraction of male inhabitants residing within an area that are at least 15 and less than 45 years in age.</t>
  </si>
  <si>
    <t>malePopFrac45_64</t>
  </si>
  <si>
    <t>MI3</t>
  </si>
  <si>
    <t>Male Population Fraction: 45-64 years old</t>
  </si>
  <si>
    <t>The fraction of male inhabitants residing within an area that are at least 45 and less than 65 years in age.</t>
  </si>
  <si>
    <t>malePopFrac65</t>
  </si>
  <si>
    <t>MI4</t>
  </si>
  <si>
    <t>Male Population Fraction: 65+ years old</t>
  </si>
  <si>
    <t>The fraction of male inhabitants residing within an area that are greater than or equal to 65 years in age.</t>
  </si>
  <si>
    <t>manMade</t>
  </si>
  <si>
    <t>AZC</t>
  </si>
  <si>
    <t>Man-made</t>
  </si>
  <si>
    <t>An indication that a feature is man-made.</t>
  </si>
  <si>
    <t>manMadeShoreline</t>
  </si>
  <si>
    <t>MNS</t>
  </si>
  <si>
    <t>Man-made Shoreline</t>
  </si>
  <si>
    <t>An indication that a body of water is completely surrounded by a man-made shoreline.</t>
  </si>
  <si>
    <t>manned</t>
  </si>
  <si>
    <t>XA1</t>
  </si>
  <si>
    <t>Manned</t>
  </si>
  <si>
    <t>An indication if a feature (for example: a vehicle) is manned when operated.</t>
  </si>
  <si>
    <t>By vehicle an element transported, operated by, or performed by a human is meant.</t>
  </si>
  <si>
    <t>manufacturedBuilding</t>
  </si>
  <si>
    <t>MFB</t>
  </si>
  <si>
    <t>Manufactured Building</t>
  </si>
  <si>
    <t>An indication that a building is free-standing (detached) and self-contained and is built in a factory and then towed by a tractor to its semi-permanent site.</t>
  </si>
  <si>
    <t>Despite being constructed on a trailer frame with accompanying axles, wheels and a tow-hitch, they are usually left in place for the life of the building. Two or more units may be joined side-by-side to form a larger, squarer, building. They are often associated with rural areas and high-density developments termed 'trailer parks'. They may also be used as offices at building sites or small businesses.</t>
  </si>
  <si>
    <t>manufacturingFacilityType</t>
  </si>
  <si>
    <t>ICF</t>
  </si>
  <si>
    <t>Manufacturing Facility Type</t>
  </si>
  <si>
    <t>The type of a facility or building that is used for manufacturing purposes.</t>
  </si>
  <si>
    <t>IcfCode</t>
  </si>
  <si>
    <t>marineBiogeography</t>
  </si>
  <si>
    <t>MBG</t>
  </si>
  <si>
    <t>Marine Biogeography</t>
  </si>
  <si>
    <t>The geographic distribution of marine organisms defined by historical events (for example: migration, extinction, or speciation).</t>
  </si>
  <si>
    <t>For example, the geographic region used by marine species during a portion of their life cycle (spawning, feeding, nursery, migration, and shelter), but most habitats support only a subset of these activities. Marine species may change habitats with changes in life history stage, seasonal and geographic distributions, abundance, and interactions with other species.</t>
  </si>
  <si>
    <t>MbgCode</t>
  </si>
  <si>
    <t>marineFarmEncloseMethod</t>
  </si>
  <si>
    <t>MFE</t>
  </si>
  <si>
    <t>Marine Farm Enclosure Method</t>
  </si>
  <si>
    <t>The method by which a marine farm is enclosed.</t>
  </si>
  <si>
    <t>MfeCode</t>
  </si>
  <si>
    <t>marineHabitatDepth</t>
  </si>
  <si>
    <t>MHD</t>
  </si>
  <si>
    <t>Marine Habitat Depth</t>
  </si>
  <si>
    <t>The depth range within the water column of a typical habitat in which marine organisms are found.</t>
  </si>
  <si>
    <t>marineNavigationLineType</t>
  </si>
  <si>
    <t>NLC</t>
  </si>
  <si>
    <t>Marine Navigation Line Type</t>
  </si>
  <si>
    <t>The type of a marine navigation line based on construction and/or intended use.</t>
  </si>
  <si>
    <t>NlcCode</t>
  </si>
  <si>
    <t>marineRescueStationType</t>
  </si>
  <si>
    <t>RSC</t>
  </si>
  <si>
    <t>Marine Rescue Station Type</t>
  </si>
  <si>
    <t>The type of a marine rescue station based on its available equipment and intended use(s).</t>
  </si>
  <si>
    <t>RscCode</t>
  </si>
  <si>
    <t>marineSpeciesHabitat</t>
  </si>
  <si>
    <t>MHA</t>
  </si>
  <si>
    <t>Marine Species Habitat</t>
  </si>
  <si>
    <t>The ecological or environmental niche that is inhabited by a marine species.</t>
  </si>
  <si>
    <t>A habitat is the natural environment in which an organism lives, or the physical environment that surrounds (influences and is utilized by) a species population.</t>
  </si>
  <si>
    <t>MhaCode</t>
  </si>
  <si>
    <t>marineWarningSignalType</t>
  </si>
  <si>
    <t>SAW</t>
  </si>
  <si>
    <t>Marine Warning Signal Type</t>
  </si>
  <si>
    <t>The type of a marine warning signal based on the type(s) of information conveyed.</t>
  </si>
  <si>
    <t>SawCode</t>
  </si>
  <si>
    <t>maritimeAggressiveAction</t>
  </si>
  <si>
    <t>AGR</t>
  </si>
  <si>
    <t>Maritime Aggressive Action</t>
  </si>
  <si>
    <t>The type of an aggressive act based on the method of approach to a vessel, the threat made and/or the consequences of the act.</t>
  </si>
  <si>
    <t>AgrCode</t>
  </si>
  <si>
    <t>maritimeAggressorTransport</t>
  </si>
  <si>
    <t>AGT</t>
  </si>
  <si>
    <t>Maritime Aggressor Transport</t>
  </si>
  <si>
    <t>The type of maritime transportion used by aggressors in order to approach a victim.</t>
  </si>
  <si>
    <t>AgtCode</t>
  </si>
  <si>
    <t>maritimeAreaRestriction</t>
  </si>
  <si>
    <t>MRR</t>
  </si>
  <si>
    <t>Maritime Area Restriction</t>
  </si>
  <si>
    <t>The type of maritime restriction(s) in an area that are designated by an appropriate authority.</t>
  </si>
  <si>
    <t>May be in accordance with certain specified conditions. The official legal statue of each kind of restricted area defines the kind of restriction(s).</t>
  </si>
  <si>
    <t>MrrCode</t>
  </si>
  <si>
    <t>maritimeCautionType</t>
  </si>
  <si>
    <t>MCY</t>
  </si>
  <si>
    <t>Maritime Caution Type</t>
  </si>
  <si>
    <t>The type(s) of circumstance(s) influencing the safety of navigation that mariners should observe in an area.</t>
  </si>
  <si>
    <t>McyCode</t>
  </si>
  <si>
    <t>maritimeGeoLimitType</t>
  </si>
  <si>
    <t>MGL</t>
  </si>
  <si>
    <t>Maritime Geopolitical Limit Type</t>
  </si>
  <si>
    <t>The type of a maritime geopolitical dividing line (limit) based on the nature of its establishment and/or recognition.</t>
  </si>
  <si>
    <t>Generally established and recognized in accordance with International Law (for example: the United Nations Convention on the Law of the Sea (UNCLOS)).</t>
  </si>
  <si>
    <t>MglCode</t>
  </si>
  <si>
    <t>maritimeLightType</t>
  </si>
  <si>
    <t>LFC</t>
  </si>
  <si>
    <t>Maritime Light Type</t>
  </si>
  <si>
    <t>The type of a maritime light based on its structure, location and/or intended use(s).</t>
  </si>
  <si>
    <t>LfcCode</t>
  </si>
  <si>
    <t>mariNavBeaconStructType</t>
  </si>
  <si>
    <t>MNB</t>
  </si>
  <si>
    <t>Maritime Navigation Beacon Structure Type</t>
  </si>
  <si>
    <t>The type of a maritime navigation beacon based on its design and/or structure.</t>
  </si>
  <si>
    <t>MnbCode</t>
  </si>
  <si>
    <t>maritimeNavBeaconType</t>
  </si>
  <si>
    <t>BET</t>
  </si>
  <si>
    <t>Maritime Navigation Beacon Type</t>
  </si>
  <si>
    <t>The type of a beacon based on its significance to maritime navigation.</t>
  </si>
  <si>
    <t>BetCode</t>
  </si>
  <si>
    <t>maritimeNavLineFeatures</t>
  </si>
  <si>
    <t>LAF</t>
  </si>
  <si>
    <t>Maritime Navigation Line Features</t>
  </si>
  <si>
    <t>The type and/or number of features associated with a maritime navigation line (for example: a leading line, a transit line, or a clearing line).</t>
  </si>
  <si>
    <t>LafCode</t>
  </si>
  <si>
    <t>maritimeNavigationMarked</t>
  </si>
  <si>
    <t>MAN</t>
  </si>
  <si>
    <t>Maritime Navigation Marked</t>
  </si>
  <si>
    <t>An indication that a feature is significant to maritime safety of navigation and is marked (for example: by a light or beacon) by a maritime-specific navigational aid.</t>
  </si>
  <si>
    <t>Mariners may also use other prominent features (for example: rotating aeronautical beacons or lighted structures) for informal navigational purposes.</t>
  </si>
  <si>
    <t>maritimeNavRestriction</t>
  </si>
  <si>
    <t>MNR</t>
  </si>
  <si>
    <t>Maritime Navigation Restriction</t>
  </si>
  <si>
    <t>The type of maritime navigation restriction(s) in an area that are designated by an appropriate authority.</t>
  </si>
  <si>
    <t>MnrCode</t>
  </si>
  <si>
    <t>maritimeRadiobeaconPresent</t>
  </si>
  <si>
    <t>MRP</t>
  </si>
  <si>
    <t>Maritime Radiobeacon Present</t>
  </si>
  <si>
    <t>An indication that a structure (for example: a maritime navigation beacon or a maritime navigation light) has an associated maritime radiobeacon.</t>
  </si>
  <si>
    <t>A maritime radiobeacon is an electronic aid to maritime navigation consisting of a radio transmitter that broadcasts distinctive and/or characteristic signals.</t>
  </si>
  <si>
    <t>maritimeRadiobeaconType</t>
  </si>
  <si>
    <t>MRT</t>
  </si>
  <si>
    <t>Maritime Radiobeacon Type</t>
  </si>
  <si>
    <t>The type of an electronic aid to maritime navigation consisting of a radio transmitter that broadcasts distinctive and/or characteristic signals.</t>
  </si>
  <si>
    <t>For example, a directional radio beacon or a radar marker (RAMARK).</t>
  </si>
  <si>
    <t>MrtCode</t>
  </si>
  <si>
    <t>maritimeStationType</t>
  </si>
  <si>
    <t>STA</t>
  </si>
  <si>
    <t>Maritime Station Type</t>
  </si>
  <si>
    <t>The type(s) of activities of significance to navigation and/or operation that take place at a maritime station.</t>
  </si>
  <si>
    <t>StaCode</t>
  </si>
  <si>
    <t>maritimeStolenItem</t>
  </si>
  <si>
    <t>STI</t>
  </si>
  <si>
    <t>Maritime Stolen Item</t>
  </si>
  <si>
    <t>The type(s) of item(s) removed as a consequence of an aggressive action on or against a vessel.</t>
  </si>
  <si>
    <t>StiCode</t>
  </si>
  <si>
    <t>maritimeTrackType</t>
  </si>
  <si>
    <t>MTT</t>
  </si>
  <si>
    <t>Maritime Track Type</t>
  </si>
  <si>
    <t>The type of a maritime track based on direction, restrictions, and other characteristics.</t>
  </si>
  <si>
    <t>MttCode</t>
  </si>
  <si>
    <t>trafficSchemePart</t>
  </si>
  <si>
    <t>TSP</t>
  </si>
  <si>
    <t>Maritime Traffic Separation Scheme Component</t>
  </si>
  <si>
    <t>The type of a component of a maritime Traffic Separation Scheme (TSS) based on its purpose.</t>
  </si>
  <si>
    <t>A TSS is a routeing scheme whose intent is to reduce the risk of collision in congested and/or converging areas by separating traffic moving in opposite, or nearly opposite, directions.</t>
  </si>
  <si>
    <t>TspCode</t>
  </si>
  <si>
    <t>markerRadioBeaconClass</t>
  </si>
  <si>
    <t>MCL</t>
  </si>
  <si>
    <t>Marker Radio Beacon Class</t>
  </si>
  <si>
    <t>The class of a radio marker beacon based on the shape and power of its signal.</t>
  </si>
  <si>
    <t>For example: a fan marker, a low-powered fan marker, or a Z marker.</t>
  </si>
  <si>
    <t>Marker Position</t>
  </si>
  <si>
    <t>MclCode</t>
  </si>
  <si>
    <t>markerRadioBeaconType</t>
  </si>
  <si>
    <t>MBT</t>
  </si>
  <si>
    <t>Marker Radio Beacon Type</t>
  </si>
  <si>
    <t>The type of a radio marker beacon based upon distances and frequency modulation, as measured on the Instrument Landing System (ILS) glide path and localizer course line.</t>
  </si>
  <si>
    <t>For example: outer, middle, or inner.</t>
  </si>
  <si>
    <t>MbtCode</t>
  </si>
  <si>
    <t>marshType</t>
  </si>
  <si>
    <t>MTY</t>
  </si>
  <si>
    <t>Marsh Type</t>
  </si>
  <si>
    <t>The type of a marsh based on its morphology and/or dominant vegetation.</t>
  </si>
  <si>
    <t>MtyCode</t>
  </si>
  <si>
    <t>mastType</t>
  </si>
  <si>
    <t>MTC</t>
  </si>
  <si>
    <t>Mast Type</t>
  </si>
  <si>
    <t>The type of a mast based on its intended function.</t>
  </si>
  <si>
    <t>MtcCode</t>
  </si>
  <si>
    <t>materialHandlingFacilities</t>
  </si>
  <si>
    <t>MHF</t>
  </si>
  <si>
    <t>Material Handling Facilities</t>
  </si>
  <si>
    <t>The facilities available at a location or in the near vicinity for the handling of materials (for example: cargo).</t>
  </si>
  <si>
    <t>MhfCode</t>
  </si>
  <si>
    <t>maxAircraftHandlingCapacity</t>
  </si>
  <si>
    <t>MAA</t>
  </si>
  <si>
    <t>Maximum Aircraft Handling Capacity</t>
  </si>
  <si>
    <t>The maximum number of aircraft that can be handled at the facility.</t>
  </si>
  <si>
    <t>maximumAltitude</t>
  </si>
  <si>
    <t>MZX</t>
  </si>
  <si>
    <t>Maximum Altitude</t>
  </si>
  <si>
    <t>The highest altitude or flight level authorized by the designated authority for aircraft operations.</t>
  </si>
  <si>
    <t>When specified, the maximum altitude overrides the vertical upper limit, in those parts of the airspace where the vertical upper limit is situated below the maximum altitude.</t>
  </si>
  <si>
    <t>maximumDesignWaterDepth</t>
  </si>
  <si>
    <t>MWD</t>
  </si>
  <si>
    <t>Maximum Design Water Depth</t>
  </si>
  <si>
    <t>The maximum depth of water that the object was designed to hold.</t>
  </si>
  <si>
    <t>maximumElevationFigure</t>
  </si>
  <si>
    <t>MEF</t>
  </si>
  <si>
    <t>Maximum Elevation Figure (MEF)</t>
  </si>
  <si>
    <t>The highest elevation of terrain or vertical obstacles within a quadrant bounded by lines of geographic longitude (meridians) and geographic latitude (parallels).</t>
  </si>
  <si>
    <t>Maximum elevation figures are shown over land masses as well as over open water areas containing man-made obstacles such as oil rigs.</t>
  </si>
  <si>
    <t>maximumFloodWaterVelocity</t>
  </si>
  <si>
    <t>WVF</t>
  </si>
  <si>
    <t>Maximum Flooding Water Velocity</t>
  </si>
  <si>
    <t>The maximum water velocity, inclusive of high water due to runoff.</t>
  </si>
  <si>
    <t>maxNumberStudents</t>
  </si>
  <si>
    <t>STU</t>
  </si>
  <si>
    <t>Maximum Number of Students</t>
  </si>
  <si>
    <t>The maximum number of students.</t>
  </si>
  <si>
    <t>maxNumberTeachingStaff</t>
  </si>
  <si>
    <t>TEA</t>
  </si>
  <si>
    <t>Maximum Number of Teaching Staff</t>
  </si>
  <si>
    <t>The maximum number of teaching staff.</t>
  </si>
  <si>
    <t>maximumObstacleHeight</t>
  </si>
  <si>
    <t>MOH</t>
  </si>
  <si>
    <t>Maximum Obstacle Height</t>
  </si>
  <si>
    <t>The maximum distance from the bottom to the top of a terrain (or waterbody floor) obstacle.</t>
  </si>
  <si>
    <t>May be a height or a depth.</t>
  </si>
  <si>
    <t>maxPermitExplosives</t>
  </si>
  <si>
    <t>NQM</t>
  </si>
  <si>
    <t>Maximum Permitted Storage of Explosive Substances</t>
  </si>
  <si>
    <t>The total amount of explosive material, measured as the Net Explosive Quantity (NEQ), that may be stored at a facility.</t>
  </si>
  <si>
    <t>The NEQ is defined as the total mass of the contained explosive substances, without the packaging, casings etc. of a shipment of munitions, fireworks or similar products. It also includes the mass of the TNT-equivalent of all contained energetic substances.</t>
  </si>
  <si>
    <t>maximumSurfaceSlope</t>
  </si>
  <si>
    <t>SGF</t>
  </si>
  <si>
    <t>Maximum Surface Slope</t>
  </si>
  <si>
    <t>The maximum slope (rate of upward inclination of the surface from the horizontal) of the surface of a feature.</t>
  </si>
  <si>
    <t>For example: the terrain or a waterbody floor.</t>
  </si>
  <si>
    <t>maximumVehicleHeight</t>
  </si>
  <si>
    <t>MVH</t>
  </si>
  <si>
    <t>Maximum Vehicle Height</t>
  </si>
  <si>
    <t>The maximum height of a vehicle that can pass through the obstructing feature on a travelled way.</t>
  </si>
  <si>
    <t>The height limitation assumes that the vehicle is less than 12 metres long and has a maximum rectangular width of 2.6 metres.</t>
  </si>
  <si>
    <t>maximumVehicleLength</t>
  </si>
  <si>
    <t>MVL</t>
  </si>
  <si>
    <t>Maximum Vehicle Length</t>
  </si>
  <si>
    <t>The maximum length of a vehicle that can pass through the obstructing feature on a travelled way.</t>
  </si>
  <si>
    <t>The length limitation assumes that the vehicle has a maximum rectangular height of 4.3 metres and a maximum rectangular width of 2.6 metres.</t>
  </si>
  <si>
    <t>maximumVehicleWidth</t>
  </si>
  <si>
    <t>MVW</t>
  </si>
  <si>
    <t>Maximum Vehicle Width</t>
  </si>
  <si>
    <t>The maximum width of a vehicle that can pass through the obstructing feature on a travelled way.</t>
  </si>
  <si>
    <t>The wifth limitation assumes that the vehicle is less than 12 metres long and has a maximum rectangular height of 4.3 metres.</t>
  </si>
  <si>
    <t>maximumVerticalClearance</t>
  </si>
  <si>
    <t>MVC</t>
  </si>
  <si>
    <t>Maximum Vertical Clearance</t>
  </si>
  <si>
    <t>The greatest distance between the travelled way and any obstruction vertically above it.</t>
  </si>
  <si>
    <t>meanShearStrength</t>
  </si>
  <si>
    <t>SSM</t>
  </si>
  <si>
    <t>Mean Shear Strength</t>
  </si>
  <si>
    <t>The geological shear strength of the sediment, indicating the pressure required to deform the sediment materials.</t>
  </si>
  <si>
    <t>medianPresent</t>
  </si>
  <si>
    <t>MES</t>
  </si>
  <si>
    <t>Median Present</t>
  </si>
  <si>
    <t>An indication that the lanes or tracks of a divided land transportation route (for example: a road or a railway) are separated by a vertical median barrier.</t>
  </si>
  <si>
    <t>Often used to separate opposing flows of traffic in order to improve safety. For example, may be a substantial concrete barrier of approximately 1 metre height.</t>
  </si>
  <si>
    <t>medicalServices</t>
  </si>
  <si>
    <t>MEL</t>
  </si>
  <si>
    <t>Medical Services</t>
  </si>
  <si>
    <t>The type(s) of medical services provided by the facility.</t>
  </si>
  <si>
    <t>MelCode</t>
  </si>
  <si>
    <t>memorandum</t>
  </si>
  <si>
    <t>MEM</t>
  </si>
  <si>
    <t>Memorandum</t>
  </si>
  <si>
    <t>A narrative or other textual description that records observation(s) and/or event(s) associated with a particular subject (for example: a data instance, a data set or a data processing activity).</t>
  </si>
  <si>
    <t>No restriction is placed on its length.</t>
  </si>
  <si>
    <t>memorandumType</t>
  </si>
  <si>
    <t>MET</t>
  </si>
  <si>
    <t>Memorandum Type</t>
  </si>
  <si>
    <t>The type of a memorandum based on the nature of the information recorded and/or its intended use.</t>
  </si>
  <si>
    <t>MetCode</t>
  </si>
  <si>
    <t>messageBody</t>
  </si>
  <si>
    <t>MEB</t>
  </si>
  <si>
    <t>Message Body</t>
  </si>
  <si>
    <t>A narrative description that records information pertinent to a message (for example: what, where, or why).</t>
  </si>
  <si>
    <t>messageCancellingAuthority</t>
  </si>
  <si>
    <t>MEC</t>
  </si>
  <si>
    <t>Message Cancelling Authority</t>
  </si>
  <si>
    <t>The authority that determined that an active message could be cancelled (for example: due to the determination that a threat no longer existed).</t>
  </si>
  <si>
    <t>messageDateActive</t>
  </si>
  <si>
    <t>MDA</t>
  </si>
  <si>
    <t>Message Date Active</t>
  </si>
  <si>
    <t>The date that a message was originally transmitted or subsequently updated with additional information.</t>
  </si>
  <si>
    <t>MdaStrucText</t>
  </si>
  <si>
    <t>messageSequenceNumber</t>
  </si>
  <si>
    <t>MSQ</t>
  </si>
  <si>
    <t>Message Sequence Number</t>
  </si>
  <si>
    <t>The sequence number of a message within the Gregorian calendar year in which the message was sent.</t>
  </si>
  <si>
    <t>IntegerNonNegative</t>
  </si>
  <si>
    <t>metallicOreType</t>
  </si>
  <si>
    <t>MEO</t>
  </si>
  <si>
    <t>Metallic Ore Type</t>
  </si>
  <si>
    <t>The type of an ore mineral from which metal may be profitably extracted.</t>
  </si>
  <si>
    <t>MeoCode</t>
  </si>
  <si>
    <t>mlsChannel</t>
  </si>
  <si>
    <t>CML</t>
  </si>
  <si>
    <t>Microwave Landing System (MLS) Channel</t>
  </si>
  <si>
    <t>A number corresponding to the Microwave Landing System (MLS) frequency, as per ICAO Annex 10, Chapter 3, Table A.</t>
  </si>
  <si>
    <t>The MLS angle and data functions shall operate on any one of the 200 channels assigned in the frequencies from 5031.0 to 5090.7 megahertz (MHz) as shown in ICAO Annex 10, Chapter 3, Table A.</t>
  </si>
  <si>
    <t>CmlCode</t>
  </si>
  <si>
    <t>mlsElevationAngleAcc</t>
  </si>
  <si>
    <t>MLA</t>
  </si>
  <si>
    <t>Microwave Landing System (MLS) Elevation Angle Accuracy</t>
  </si>
  <si>
    <t>The accuracy of the scanning beam being transmitted by the Microwave Landing System (MLS) elevation ground substation, as compared to the published elevation angle.</t>
  </si>
  <si>
    <t>Angle accuracy may be affected by multiple factors, including the local physical environment, beam point errors, antenna alignment, and antenna field patterns in the scanning plane. All of these can yield false guidance unless appropriately compensated for in the design, construction, and/or implementation of the MLS.</t>
  </si>
  <si>
    <t>mlsLeftAngleCoverage</t>
  </si>
  <si>
    <t>ML2</t>
  </si>
  <si>
    <t>Microwave Landing System (MLS) Left Angle of Coverage</t>
  </si>
  <si>
    <t>The value of the angle from the zero indication direction within which the Microwave Landing System (MLS) azimuth indication is usable, and leftwards of this direction from the azimuth antenna.</t>
  </si>
  <si>
    <t>mlsLeftAngleProportion</t>
  </si>
  <si>
    <t>ML4</t>
  </si>
  <si>
    <t>Microwave Landing System (MLS) Left Angle of Proportionality</t>
  </si>
  <si>
    <t>The value of the angle within which the Microwave Landing System (MLS) azimuth indication is proportional to the angular displacement from the azimuth zero indication direction, and leftwards of this direction from the azimuth antenna.</t>
  </si>
  <si>
    <t>mlsMinimumAngle</t>
  </si>
  <si>
    <t>MA1</t>
  </si>
  <si>
    <t>Microwave Landing System (MLS) Minimum Angle</t>
  </si>
  <si>
    <t>The value of the lowest elevation angle authorized for a Microwave Landing System (MLS) procedure.</t>
  </si>
  <si>
    <t>mlsNominalAngle</t>
  </si>
  <si>
    <t>MA2</t>
  </si>
  <si>
    <t>Microwave Landing System (MLS) Nominal Angle</t>
  </si>
  <si>
    <t>The angle between a straight line which represents the mean of the Microwave Landing System (MLS) glide path and the horizontal plane at the base of the MLS elevation component.</t>
  </si>
  <si>
    <t>mlsRightAngleCoverage</t>
  </si>
  <si>
    <t>ML1</t>
  </si>
  <si>
    <t>Microwave Landing System (MLS) Right Angle of Coverage</t>
  </si>
  <si>
    <t>The value of the angle from the zero indication direction within which the Microwave Landing System (MLS) azimuth indication is usable, and rightwards of this direction from the azimuth antenna.</t>
  </si>
  <si>
    <t>mlsRightAngleProportion</t>
  </si>
  <si>
    <t>ML3</t>
  </si>
  <si>
    <t>Microwave Landing System (MLS) Right Angle of Proportionality</t>
  </si>
  <si>
    <t>The value of the angle within which the Microwave Landing System (MLS) azimuth indication is proportional to the angular displacement from the azimuth zero indication direction, and rightwards of this direction from the azimuth antenna.</t>
  </si>
  <si>
    <t>mlsSpanAngle</t>
  </si>
  <si>
    <t>MA3</t>
  </si>
  <si>
    <t>Microwave Landing System (MLS) Span Angle</t>
  </si>
  <si>
    <t>The value of the angle between the lower and upper limits in which the elevation component of the Microwave Landing System (MLS) is operating.</t>
  </si>
  <si>
    <t>mlsUnitAssociationType</t>
  </si>
  <si>
    <t>MLT</t>
  </si>
  <si>
    <t>Microwave Landing System (MLS) Unit Association Type</t>
  </si>
  <si>
    <t>The azimuth (lateral information) configuration used for the Microwave Landing System (MLS) ground equipment.</t>
  </si>
  <si>
    <t>MltCode</t>
  </si>
  <si>
    <t>migrationReason</t>
  </si>
  <si>
    <t>RFR</t>
  </si>
  <si>
    <t>Migration Reason</t>
  </si>
  <si>
    <t>The reason(s) for the movement of groups of people from their homeland.</t>
  </si>
  <si>
    <t>RfrCode</t>
  </si>
  <si>
    <t>migrationTransportType</t>
  </si>
  <si>
    <t>RFM</t>
  </si>
  <si>
    <t>Migration Transport Type</t>
  </si>
  <si>
    <t>The type(s) of transport used during a migration movement.</t>
  </si>
  <si>
    <t>RfmCode</t>
  </si>
  <si>
    <t>milecDensityMeasure</t>
  </si>
  <si>
    <t>DML</t>
  </si>
  <si>
    <t>MILEC Density Measure</t>
  </si>
  <si>
    <t>The density of mine-like sonar echoes (MILEC) per square mile.</t>
  </si>
  <si>
    <t>Reference NATO Publication ATP 24(c) Vol 1.</t>
  </si>
  <si>
    <t>DmlCode</t>
  </si>
  <si>
    <t>militaryAerodromeFunction</t>
  </si>
  <si>
    <t>XAF</t>
  </si>
  <si>
    <t>Military Aerodrome Function</t>
  </si>
  <si>
    <t>The main operational function of a military aerodrome.</t>
  </si>
  <si>
    <t>XafCode</t>
  </si>
  <si>
    <t>militaryBridgeInformation</t>
  </si>
  <si>
    <t>MBI</t>
  </si>
  <si>
    <t>Military Bridge Information</t>
  </si>
  <si>
    <t>Information describing a bridge, typically one that is subject to preplanned military interdiction.</t>
  </si>
  <si>
    <t>militaryEnvironHazardCat</t>
  </si>
  <si>
    <t>CCG</t>
  </si>
  <si>
    <t>Military Environmental Hazard Category</t>
  </si>
  <si>
    <t>The category(ies) of environmental hazards present in a region that affect military operations.</t>
  </si>
  <si>
    <t>CcgCode</t>
  </si>
  <si>
    <t>militaryFacilityType</t>
  </si>
  <si>
    <t>MFC</t>
  </si>
  <si>
    <t>Military Facility Type</t>
  </si>
  <si>
    <t>The type of a facility or building that is used for military purposes.</t>
  </si>
  <si>
    <t>MfcCode</t>
  </si>
  <si>
    <t>mgrsLocation</t>
  </si>
  <si>
    <t>MGR</t>
  </si>
  <si>
    <t>Military Grid Reference System Location</t>
  </si>
  <si>
    <t>A location specified using the Military Grid Reference System (MGRS) in terms of a world-wide grid zone and square designation plus a metre-based coordinate pair within a given grid square.</t>
  </si>
  <si>
    <t>It is based on the use of the Universal Transverse Mercator map projection between 84 arc degrees north and 80 arc degrees south and the Universal Polar Stereographic map projection in the polar regions.</t>
  </si>
  <si>
    <t>MgrStrucText</t>
  </si>
  <si>
    <t>militaryMinProcHeight</t>
  </si>
  <si>
    <t>MMH</t>
  </si>
  <si>
    <t>Military Minimum Procedure Height</t>
  </si>
  <si>
    <t>The minimum decision height or decision altitude for use by the military for certain instrument landing procedures.</t>
  </si>
  <si>
    <t>militaryMinProcVisibility</t>
  </si>
  <si>
    <t>MMV</t>
  </si>
  <si>
    <t>Military Minimum Procedure Visibility</t>
  </si>
  <si>
    <t>The minimum prevailing visibility for use by the military for certain instrument landing procedures.</t>
  </si>
  <si>
    <t>militaryRestrictZoneType</t>
  </si>
  <si>
    <t>TMZ</t>
  </si>
  <si>
    <t>Military Restriction Zone Type</t>
  </si>
  <si>
    <t>The type of a military restriction zone based on its intended use.</t>
  </si>
  <si>
    <t>TmzCode</t>
  </si>
  <si>
    <t>milRouteControl</t>
  </si>
  <si>
    <t>MRL</t>
  </si>
  <si>
    <t>Military Route Control</t>
  </si>
  <si>
    <t>The military classification of a route based on the responsible level of command.</t>
  </si>
  <si>
    <t>For example, ISAF is classifying a route as theatre controlled, provincial controlled or regional controlled.</t>
  </si>
  <si>
    <t>militaryRouteUse</t>
  </si>
  <si>
    <t>MRU</t>
  </si>
  <si>
    <t>Military Route Use</t>
  </si>
  <si>
    <t>The type of activity associated with a military air route.</t>
  </si>
  <si>
    <t>MruCode</t>
  </si>
  <si>
    <t>militaryServiceBranch</t>
  </si>
  <si>
    <t>YSU</t>
  </si>
  <si>
    <t>Military Service Branch</t>
  </si>
  <si>
    <t>The branch of the armed forces of a nation.</t>
  </si>
  <si>
    <t>May also be applied to similar organizations following military discipline (for example: a coastguard).</t>
  </si>
  <si>
    <t>YsuCode</t>
  </si>
  <si>
    <t>militaryTrainingFacType</t>
  </si>
  <si>
    <t>XHT</t>
  </si>
  <si>
    <t>Military Training Facility Type</t>
  </si>
  <si>
    <t>The type of a military training facility.</t>
  </si>
  <si>
    <t>XhtCode</t>
  </si>
  <si>
    <t>mineAcousticSensitivity</t>
  </si>
  <si>
    <t>MIA</t>
  </si>
  <si>
    <t>Mine Acoustic Sensitivity</t>
  </si>
  <si>
    <t>The frequency band(s) in which an explosive mine is sensitive.</t>
  </si>
  <si>
    <t>MiaCode</t>
  </si>
  <si>
    <t>mineActiveDuration</t>
  </si>
  <si>
    <t>DOM</t>
  </si>
  <si>
    <t>Mine Active Duration</t>
  </si>
  <si>
    <t>The length of time in which the mines in a minefield remain active.</t>
  </si>
  <si>
    <t>mineAllegiance</t>
  </si>
  <si>
    <t>MID</t>
  </si>
  <si>
    <t>Mine Allegiance</t>
  </si>
  <si>
    <t>The allegiance of the force responsible for the creation and/or maintenance of an explosive mine.</t>
  </si>
  <si>
    <t>MidCode</t>
  </si>
  <si>
    <t>mineAntiHuntingCapab</t>
  </si>
  <si>
    <t>MSH</t>
  </si>
  <si>
    <t>Mine Anti-Hunting Capability</t>
  </si>
  <si>
    <t>The type(s) of anti-hunting capability of a naval mine.</t>
  </si>
  <si>
    <t>MshCode</t>
  </si>
  <si>
    <t>mineAntiRecoveryCapab</t>
  </si>
  <si>
    <t>MSR</t>
  </si>
  <si>
    <t>Mine Anti-Recovery Capability</t>
  </si>
  <si>
    <t>The type(s) of anti-recovery capability of a naval mine.</t>
  </si>
  <si>
    <t>Anti-recovery devices may be fitted to mines to prevent discovery of details of the mechanisms of new types of mine.</t>
  </si>
  <si>
    <t>MsrCode</t>
  </si>
  <si>
    <t>mineAntiSweepWireCapab</t>
  </si>
  <si>
    <t>MSW</t>
  </si>
  <si>
    <t>Mine Anti-Sweep Wire Capability</t>
  </si>
  <si>
    <t>The type(s) of anti-sweep wire capability of a naval mine.</t>
  </si>
  <si>
    <t>Moorings of mines (for example: chains, piano wire, rubber-covered manila line, and canvas fire hose) may be designed to not be cut cleanly or not cut at all by mechanical sweeps. These may cause the mine to hang up in the sweep wire, endangering the ship during recovery operations.</t>
  </si>
  <si>
    <t>MswCode</t>
  </si>
  <si>
    <t>mineAutonomyType</t>
  </si>
  <si>
    <t>MNA</t>
  </si>
  <si>
    <t>Mine Autonomy Type</t>
  </si>
  <si>
    <t>The degree to which an explosive mine may be externally controlled or self-activated.</t>
  </si>
  <si>
    <t>MnaCode</t>
  </si>
  <si>
    <t>mineCablelessControl</t>
  </si>
  <si>
    <t>MNL</t>
  </si>
  <si>
    <t>Mine Cableless Control Method</t>
  </si>
  <si>
    <t>The method of cableless control of an explosive mine.</t>
  </si>
  <si>
    <t>MnlCode</t>
  </si>
  <si>
    <t>mineChargeSize</t>
  </si>
  <si>
    <t>MCH</t>
  </si>
  <si>
    <t>Mine Charge Size</t>
  </si>
  <si>
    <t>The mass of an explosive mine charge.</t>
  </si>
  <si>
    <t>mineControlMethod</t>
  </si>
  <si>
    <t>MNC</t>
  </si>
  <si>
    <t>Mine Control Method</t>
  </si>
  <si>
    <t>The method of control of an explosive mine.</t>
  </si>
  <si>
    <t>MncCode</t>
  </si>
  <si>
    <t>mineMagneticSensitivity</t>
  </si>
  <si>
    <t>MIM</t>
  </si>
  <si>
    <t>Mine Magnetic Sensitivity</t>
  </si>
  <si>
    <t>The magnetic sensitivity of an explosive mine.</t>
  </si>
  <si>
    <t>MimCode</t>
  </si>
  <si>
    <t>minePlacementMethod</t>
  </si>
  <si>
    <t>MPL</t>
  </si>
  <si>
    <t>Mine Placement Method</t>
  </si>
  <si>
    <t>Specifies the method and/or pattern of placement of explosive mines.</t>
  </si>
  <si>
    <t>MplCode</t>
  </si>
  <si>
    <t>mineSelfActuationMethod</t>
  </si>
  <si>
    <t>MNI</t>
  </si>
  <si>
    <t>Mine Self-Actuation Method</t>
  </si>
  <si>
    <t>The method of self-actuation of an explosive mine.</t>
  </si>
  <si>
    <t>MniCode</t>
  </si>
  <si>
    <t>mineSpecialCapability</t>
  </si>
  <si>
    <t>MSD</t>
  </si>
  <si>
    <t>Mine Special Capability</t>
  </si>
  <si>
    <t>The special capabilities of an explosive mine.</t>
  </si>
  <si>
    <t>MsdCode</t>
  </si>
  <si>
    <t>mineSwept</t>
  </si>
  <si>
    <t>MSS</t>
  </si>
  <si>
    <t>Mine Swept</t>
  </si>
  <si>
    <t>An indication that a region has been swept for explosive mines.</t>
  </si>
  <si>
    <t>minefieldDelineationCat</t>
  </si>
  <si>
    <t>MDC</t>
  </si>
  <si>
    <t>Minefield Delineation Category</t>
  </si>
  <si>
    <t>The method used to specify the geometry of a minefield.</t>
  </si>
  <si>
    <t>MdcCode</t>
  </si>
  <si>
    <t>minehuntingSeaBedClass</t>
  </si>
  <si>
    <t>MHC</t>
  </si>
  <si>
    <t>Minehunting Sea Bed Classification</t>
  </si>
  <si>
    <t>The classification of the profile of the sea bed from the perspective of minehunting.</t>
  </si>
  <si>
    <t>MhcCode</t>
  </si>
  <si>
    <t>minehuntingStatus</t>
  </si>
  <si>
    <t>MIS</t>
  </si>
  <si>
    <t>Minehunting Status</t>
  </si>
  <si>
    <t>The status of determination of the nature of an object on or in the seabed or floating in the water volume.</t>
  </si>
  <si>
    <t>MisCode</t>
  </si>
  <si>
    <t>mineralDepositClass</t>
  </si>
  <si>
    <t>NDE</t>
  </si>
  <si>
    <t>Mineral Deposit Classification</t>
  </si>
  <si>
    <t>The classification of an exploitable natural accumulation of mineral and/or rock based on their extractability.</t>
  </si>
  <si>
    <t>NdeCode</t>
  </si>
  <si>
    <t>mineralSpringUse</t>
  </si>
  <si>
    <t>MSP</t>
  </si>
  <si>
    <t>Mineral Spring Use</t>
  </si>
  <si>
    <t>The type of a mineral spring based on its principal use.</t>
  </si>
  <si>
    <t>MspCode</t>
  </si>
  <si>
    <t>minimumAltitude</t>
  </si>
  <si>
    <t>MAY</t>
  </si>
  <si>
    <t>Minimum Altitude</t>
  </si>
  <si>
    <t>The lowest altitude, height or flight level authorized by the designated authority for aircraft operations.</t>
  </si>
  <si>
    <t>When specified, the minimum altitude overrides the vertical lower limit, in those parts of the airspace where the vertical lower limit is situated below the minimum altitude.</t>
  </si>
  <si>
    <t>minimumAnchoringDepth</t>
  </si>
  <si>
    <t>MND</t>
  </si>
  <si>
    <t>Minimum Anchoring Depth</t>
  </si>
  <si>
    <t>The minimum depth within an anchorage which a vessel can anchor at.</t>
  </si>
  <si>
    <t>minimumClimbAltitude</t>
  </si>
  <si>
    <t>MIL</t>
  </si>
  <si>
    <t>Minimum Climb Altitude</t>
  </si>
  <si>
    <t>The minimum altitude that an aircraft must climb to and maintain while executing a terminal instrument procedure.</t>
  </si>
  <si>
    <t>The minimum climb altitude will be negative in the case of a dive. Minimum climb altitudes may be assigned to a takeoff leg, a missed approach leg, or a final leg (indicating a descent).</t>
  </si>
  <si>
    <t>minimumClimbGradient</t>
  </si>
  <si>
    <t>MCG</t>
  </si>
  <si>
    <t>Minimum Climb Gradient</t>
  </si>
  <si>
    <t>The minimum climb profile required to ensure vertical clearance.</t>
  </si>
  <si>
    <t>McgStrucText</t>
  </si>
  <si>
    <t>minimumDescentAltitude</t>
  </si>
  <si>
    <t>MDL</t>
  </si>
  <si>
    <t>Minimum Descent Altitude (MDA)</t>
  </si>
  <si>
    <t>A specified minimum altitude in reference to Mean Sea Level (MSL) in a non-precision approach or circling approach below which descent must not be made without the required visual reference.</t>
  </si>
  <si>
    <t>minimumDescentHeight</t>
  </si>
  <si>
    <t>MDH</t>
  </si>
  <si>
    <t>Minimum Descent Height (MDH)</t>
  </si>
  <si>
    <t>A specified minimum height in a non-precision approach or circling approach below which descent must not be made without the required visual reference.</t>
  </si>
  <si>
    <t>Minimum Descent Height (MDH) is referenced to the aerodrome elevation or to the threshold elevation if that is more than 2 metres (7 feet) below the aerodrome elevation. A minimum descent height for a circling approach is referenced to the aerodrome elevation.</t>
  </si>
  <si>
    <t>minimumDroughtWaterVel</t>
  </si>
  <si>
    <t>WVD</t>
  </si>
  <si>
    <t>Minimum Drought Water Velocity</t>
  </si>
  <si>
    <t>The minimum water velocity, inclusive of low water due to drought.</t>
  </si>
  <si>
    <t>minimumEnRouteAltitude</t>
  </si>
  <si>
    <t>MEA</t>
  </si>
  <si>
    <t>Minimum En-Route Altitude (MEA)</t>
  </si>
  <si>
    <t>The minimum altitude for an en-route segment that provides adequate reception of relevant navigation facilities and Air Traffic Service (ATS) communications, complies with the airspace structure, and provides the required obstacle clearance.</t>
  </si>
  <si>
    <t>minimumEyeHgtOverThreshold</t>
  </si>
  <si>
    <t>MEH</t>
  </si>
  <si>
    <t>Minimum Eye Height Over Threshold (MEHT)</t>
  </si>
  <si>
    <t>The minimum height of the aircraft cockpit over the threshold when the aircraft glideslope indicator is showing an on-slope indication.</t>
  </si>
  <si>
    <t>MEHT</t>
  </si>
  <si>
    <t>minimumObstacleClearAlt</t>
  </si>
  <si>
    <t>MOC</t>
  </si>
  <si>
    <t>Minimum Obstacle Clearance Altitude (MOCA)</t>
  </si>
  <si>
    <t>The minimum altitude for a defined segment that provides the required obstacle clearance.</t>
  </si>
  <si>
    <t>MOCA</t>
  </si>
  <si>
    <t>minPeakHorizGroundAcc</t>
  </si>
  <si>
    <t>MPA</t>
  </si>
  <si>
    <t>Minimum Peak Horizontal Ground Acceleration</t>
  </si>
  <si>
    <t>The minimum peak horizontal ground acceleration as a percent of the acceleration due to gravity at the surface of the Earth (9.8 metres per second squared).</t>
  </si>
  <si>
    <t>minimumRadioAltimeterHgt</t>
  </si>
  <si>
    <t>MRH</t>
  </si>
  <si>
    <t>Minimum Radio Altimeter Height</t>
  </si>
  <si>
    <t>The specified vertical distance above the surface as measured by a radio altimeter at which a missed approach procedure must be initiated if the visual reference required in order to continue the approach has not been established.</t>
  </si>
  <si>
    <t>Applies to Category II approaches.</t>
  </si>
  <si>
    <t>Radio Altitude (RA), Radio Height (RH)</t>
  </si>
  <si>
    <t>minimumReceptionAltitude</t>
  </si>
  <si>
    <t>MRA</t>
  </si>
  <si>
    <t>Minimum Reception Altitude (MRA)</t>
  </si>
  <si>
    <t>The lowest altitude required in order to receive adequate signals to determine specific Very High Frequency (VHF) omnirange/tactical air navigation fixes.</t>
  </si>
  <si>
    <t>minimumSectorAltitude</t>
  </si>
  <si>
    <t>MSA</t>
  </si>
  <si>
    <t>Minimum Sector Altitude (MSA)</t>
  </si>
  <si>
    <t>The lowest altitude which may be used which will provide a minimum clearance of 300 metres (1000 feet) above all objects located in the area contained within a sector of a circle of 46 kilometres (25 nautical miles) radius centered on a radio navigation aid or waypoint.</t>
  </si>
  <si>
    <t>minimumSurfaceSlope</t>
  </si>
  <si>
    <t>SGE</t>
  </si>
  <si>
    <t>Minimum Surface Slope</t>
  </si>
  <si>
    <t>The minimum slope (rate of upward inclination of the surface from the horizontal) of the surface of a feature.</t>
  </si>
  <si>
    <t>missileLaunchSupportComp</t>
  </si>
  <si>
    <t>XME</t>
  </si>
  <si>
    <t>Missile Launch Support Component</t>
  </si>
  <si>
    <t>The type of a component (for example: an equipment or site) that is used to support the preparation and launch of missiles.</t>
  </si>
  <si>
    <t>XmeCode</t>
  </si>
  <si>
    <t>missileSiteType</t>
  </si>
  <si>
    <t>MST</t>
  </si>
  <si>
    <t>Missile Site Type</t>
  </si>
  <si>
    <t>The type of a missile site based on the class of missiles it houses.</t>
  </si>
  <si>
    <t>MstCode</t>
  </si>
  <si>
    <t>mobileBridgeSpan</t>
  </si>
  <si>
    <t>BSM</t>
  </si>
  <si>
    <t>Mobile Bridge Span</t>
  </si>
  <si>
    <t>An indication that a bridge span moves in some manner to allow passage underneath.</t>
  </si>
  <si>
    <t>modificationDateTime</t>
  </si>
  <si>
    <t>MDT</t>
  </si>
  <si>
    <t>Modification Date and Time</t>
  </si>
  <si>
    <t>The date and, optionally, time when a digital representation (for example: of a feature or a geographic name) was created or modified.</t>
  </si>
  <si>
    <t>MdtStrucText</t>
  </si>
  <si>
    <t>modifiedMercalliIntensity</t>
  </si>
  <si>
    <t>IEM</t>
  </si>
  <si>
    <t>Modified Mercalli Intensity</t>
  </si>
  <si>
    <t>The intensity of the earthquake as measured on the Modified Mercalli (MM) Scale.</t>
  </si>
  <si>
    <t>The Modified Mercalli (MM) Scale quantifies the effects of an earthquake on the Earth's surface, humans, objects of nature, and man-made structures on a scale of I through XII, with I ('Instrumental') indicating that it was not felt by many people unless in favourable conditions, and XII ('Catastrophic') one that causes almost complete destruction. It has been updated since its original definition in 1931, most recently in 1995, to account for changes in building practices.</t>
  </si>
  <si>
    <t>IemCode</t>
  </si>
  <si>
    <t>moduIdentifier</t>
  </si>
  <si>
    <t>MOI</t>
  </si>
  <si>
    <t>MODU Identifier</t>
  </si>
  <si>
    <t>The numeric identifier of a Mobile Offshore Drilling Unit (MODU).</t>
  </si>
  <si>
    <t>The scope of uniqueness is global; uniqueness is guaranteed by drilling industry procedures.</t>
  </si>
  <si>
    <t>monitored</t>
  </si>
  <si>
    <t>MOS</t>
  </si>
  <si>
    <t>Monitored</t>
  </si>
  <si>
    <t>An indication that a feature is actively monitored.</t>
  </si>
  <si>
    <t>For example, attended or watched over by personnel.</t>
  </si>
  <si>
    <t>monitoringMethod</t>
  </si>
  <si>
    <t>MME</t>
  </si>
  <si>
    <t>Monitoring Method</t>
  </si>
  <si>
    <t>An indication of how the feature is observed over a period of time.</t>
  </si>
  <si>
    <t>MmeCode</t>
  </si>
  <si>
    <t>monumentPurpose</t>
  </si>
  <si>
    <t>MTP</t>
  </si>
  <si>
    <t>Monument Purpose</t>
  </si>
  <si>
    <t>The intended purpose of a monument based on its origin and/or function.</t>
  </si>
  <si>
    <t>MtpCode</t>
  </si>
  <si>
    <t>mooringWarpingFacType</t>
  </si>
  <si>
    <t>MWF</t>
  </si>
  <si>
    <t>Mooring and/or Warping Facility Type</t>
  </si>
  <si>
    <t>The type of a mooring and/or warping facility based on its structural and intended use characteristics.</t>
  </si>
  <si>
    <t>MwfCode</t>
  </si>
  <si>
    <t>mooringType</t>
  </si>
  <si>
    <t>MCT</t>
  </si>
  <si>
    <t>Mooring Type</t>
  </si>
  <si>
    <t>The type of system that is used to moor vessels, based on the nature and/or number of mooring points.</t>
  </si>
  <si>
    <t>MctCode</t>
  </si>
  <si>
    <t>moraineType</t>
  </si>
  <si>
    <t>MOR</t>
  </si>
  <si>
    <t>Moraine Type</t>
  </si>
  <si>
    <t>The type of a moraine based on its relationship to the glacier that produced it.</t>
  </si>
  <si>
    <t>MorCode</t>
  </si>
  <si>
    <t>mortalityRate</t>
  </si>
  <si>
    <t>DEA</t>
  </si>
  <si>
    <t>Mortality Rate</t>
  </si>
  <si>
    <t>The annual number of human deaths per 1000 inhabitants, within an area.</t>
  </si>
  <si>
    <t>motorizedCrossing</t>
  </si>
  <si>
    <t>MCX</t>
  </si>
  <si>
    <t>Motorized Crossing</t>
  </si>
  <si>
    <t>An indication that a ferry is propelled across a waterbody by a motor located on either the vessel or the shore.</t>
  </si>
  <si>
    <t>movementAreaEntryClearance</t>
  </si>
  <si>
    <t>ENT</t>
  </si>
  <si>
    <t>Movement Area Entry Clearance</t>
  </si>
  <si>
    <t>The maximum entry width of a movement area considering the taxiway width plus clearance from hazards (for example: trees, revetments, and buildings).</t>
  </si>
  <si>
    <t>multipleLightRanges</t>
  </si>
  <si>
    <t>MLR</t>
  </si>
  <si>
    <t>Multiple Light Ranges</t>
  </si>
  <si>
    <t>A set of two numbers for light ranges of visibility (at a light) expressed in nautical miles.</t>
  </si>
  <si>
    <t>MlrStrucText</t>
  </si>
  <si>
    <t>multipleOfficialNames</t>
  </si>
  <si>
    <t>MON</t>
  </si>
  <si>
    <t>Multiple Official Names</t>
  </si>
  <si>
    <t>An indication that a feature has more than one official, native script, geographic name.</t>
  </si>
  <si>
    <t>Multiple official names may exist when a feature passes through more than one country and those multiple countries have different official names for that feature. Some countries have more than one official language and therefore may have an official name for a feature in each official language.</t>
  </si>
  <si>
    <t>multiUnitBuilding</t>
  </si>
  <si>
    <t>MUB</t>
  </si>
  <si>
    <t>Multi-unit Building</t>
  </si>
  <si>
    <t>An indication that a building is divided into two or more distinct sets of rooms or other interior spaces that are internally fully-connected while being separated from each other and common areas by controlled access point(s) (for example: lockable doors) that enable physical privacy and security for its occupants.</t>
  </si>
  <si>
    <t>For example, an apartment building consisting of multiple self-contained residences individually including spaces for personal activities, cooking, eating, sleeping, and (usually) a private bathroom, or an office building housing multiple commercial establishments individually including spaces for reception, meetings, single or open-plan work areas, as well as individual or common-use bathrooms or cafeterias.</t>
  </si>
  <si>
    <t>name</t>
  </si>
  <si>
    <t>NAM</t>
  </si>
  <si>
    <t>A textual identifier or code that is used to denote a feature.</t>
  </si>
  <si>
    <t>nameEffectiveDateTime</t>
  </si>
  <si>
    <t>NED</t>
  </si>
  <si>
    <t>Name Effective Date and Time</t>
  </si>
  <si>
    <t>The date and, optionally, time when a geographic name may begin to be officially used.</t>
  </si>
  <si>
    <t>NedStrucText</t>
  </si>
  <si>
    <t>nameIdentifier</t>
  </si>
  <si>
    <t>NFN</t>
  </si>
  <si>
    <t>Name Identifier</t>
  </si>
  <si>
    <t>The unique name identifier element in the NGA Geographic Names Data Base (GNDB).</t>
  </si>
  <si>
    <t>Typically used together with Attribute: 'Named Feature Identifier' to provide a unique index into the NGA Geographic Names Data Base (GNDB) from which NGA draws all of its feature name information.</t>
  </si>
  <si>
    <t>KeyNonLex18</t>
  </si>
  <si>
    <t>nameModifier</t>
  </si>
  <si>
    <t>NMO</t>
  </si>
  <si>
    <t>Name Modifier</t>
  </si>
  <si>
    <t>The identifier of the last linguist or event that either initially created or subsequently modified any information regarding a geographic name.</t>
  </si>
  <si>
    <t>Typically includes an analyst name or initials, a specification of the event that triggered and/or associated process that generated a modification, and a possible inclusion of information related to the modification.</t>
  </si>
  <si>
    <t>nameMission</t>
  </si>
  <si>
    <t>OPN</t>
  </si>
  <si>
    <t>Name of Mission</t>
  </si>
  <si>
    <t>The name of a mission related to the feature.</t>
  </si>
  <si>
    <t>For example: 'ISAF'.</t>
  </si>
  <si>
    <t>nameSourceCitation</t>
  </si>
  <si>
    <t>GMC</t>
  </si>
  <si>
    <t>Name Source Citation</t>
  </si>
  <si>
    <t>An identification of a data set from which a geographic name was collected and a means of communication with person(s) and/or organisation(s) associated with that data set.</t>
  </si>
  <si>
    <t>GmcStrucText</t>
  </si>
  <si>
    <t>nameTerminationDateTime</t>
  </si>
  <si>
    <t>NTD</t>
  </si>
  <si>
    <t>Name Termination Date and Time</t>
  </si>
  <si>
    <t>The date and, optionally, time after which a geographic name may no longer be officially used.</t>
  </si>
  <si>
    <t>NtdStrucText</t>
  </si>
  <si>
    <t>namedFeatureIdentifier</t>
  </si>
  <si>
    <t>NFI</t>
  </si>
  <si>
    <t>Named Feature Identifier</t>
  </si>
  <si>
    <t>The unique named feature identifier element in the NGA Geographic Names Data Base (GNDB).</t>
  </si>
  <si>
    <t>Typically used together with Attribute: 'Name Identifier' to provide a unique index into the NGA Geographic Names Data Base (GNDB) from which NGA draws all of its feature name information.</t>
  </si>
  <si>
    <t>namedLocationType</t>
  </si>
  <si>
    <t>NLT</t>
  </si>
  <si>
    <t>Named Location Type</t>
  </si>
  <si>
    <t>The type of a location that normally does not appear as a specific, characterized object but that has a name that is required to be displayed in association with that location.</t>
  </si>
  <si>
    <t>NltCode</t>
  </si>
  <si>
    <t>nationalConflictType</t>
  </si>
  <si>
    <t>NCT</t>
  </si>
  <si>
    <t>National Conflict Type</t>
  </si>
  <si>
    <t>The type of an intrastate conflict within an area.</t>
  </si>
  <si>
    <t>NctCode</t>
  </si>
  <si>
    <t>nationalDebt</t>
  </si>
  <si>
    <t>INS</t>
  </si>
  <si>
    <t>National Debt</t>
  </si>
  <si>
    <t>The total amount of offically acknowledged debt of a State to creditors.</t>
  </si>
  <si>
    <t>nationalMonIconCategory</t>
  </si>
  <si>
    <t>NMI</t>
  </si>
  <si>
    <t>National Monument or Icon Category</t>
  </si>
  <si>
    <t>The degree to which a feature (for example: monument or icon) is of such national significance that its damage or destruction would have a great impact on the morale and public confidence of the nation as a whole, as a category.</t>
  </si>
  <si>
    <t>National monuments or icons are internationally recognized symbols of national power, culture, and tradition. They include sites and structures such as prominent historical attractions, monuments, cultural icons, and centers of government and commerce. Icons can be considered to include any structure, system, or resource that has cultural, historic, psychological, or political significance at the local, regional or national level if compromised or destroyed. National monuments or icons are usually located within the territory of the nation; the most common exceptions are cultural sites of religious significance which may be located within the territory of another nation.</t>
  </si>
  <si>
    <t>NmiCode</t>
  </si>
  <si>
    <t>nationality</t>
  </si>
  <si>
    <t>NAT</t>
  </si>
  <si>
    <t>Nationality</t>
  </si>
  <si>
    <t>The State with which a legal relationship has been established by an entity (for example: a person, a corporation, or a ship).</t>
  </si>
  <si>
    <t>In the case of a person this relationship is usually termed 'citizenship' whereas in the case of a corporation or ship it is usually termed 'registration'.</t>
  </si>
  <si>
    <t>nativeSettlementType</t>
  </si>
  <si>
    <t>NAS</t>
  </si>
  <si>
    <t>Native Settlement Type</t>
  </si>
  <si>
    <t>The type of a native settlement based on its distribution of dwellings.</t>
  </si>
  <si>
    <t>NasCode</t>
  </si>
  <si>
    <t>naturalDisasterType</t>
  </si>
  <si>
    <t>NDI</t>
  </si>
  <si>
    <t>Natural Disaster Type</t>
  </si>
  <si>
    <t>The type of a natural disaster.</t>
  </si>
  <si>
    <t>NdiCode</t>
  </si>
  <si>
    <t>naturalEnvironLimitReason</t>
  </si>
  <si>
    <t>LMS</t>
  </si>
  <si>
    <t>Natural Environmental Limit Reason</t>
  </si>
  <si>
    <t>The reason for a limit of natural characteristics.</t>
  </si>
  <si>
    <t>LmsCode</t>
  </si>
  <si>
    <t>NaturalEnvironLimitType</t>
  </si>
  <si>
    <t>NSL</t>
  </si>
  <si>
    <t>Natural Environmental Limit Type</t>
  </si>
  <si>
    <t>The type of a natural-spatial limit.</t>
  </si>
  <si>
    <t>NslCode</t>
  </si>
  <si>
    <t>naturalPoolType</t>
  </si>
  <si>
    <t>SWT</t>
  </si>
  <si>
    <t>Natural Pool Type</t>
  </si>
  <si>
    <t>The type of a natural pool, generally based on its origin.</t>
  </si>
  <si>
    <t>SwtCode</t>
  </si>
  <si>
    <t>naturalWaterObstruction</t>
  </si>
  <si>
    <t>WFL</t>
  </si>
  <si>
    <t>Natural Watercourse Obstruction</t>
  </si>
  <si>
    <t>An indication that an obstruction (for example: a waterfall, a rapid) in a watercourse is natural (not man-made).</t>
  </si>
  <si>
    <t>navalFiringPracticeType</t>
  </si>
  <si>
    <t>NFP</t>
  </si>
  <si>
    <t>Naval Firing and/or Practice Type</t>
  </si>
  <si>
    <t>The type(s) of an area where firing and/or munition exercises are conducted by Naval forces (for example: vessels or aircraft) based on the purpose(s) of the firing, practice, or exercise and/or the nature of the equipment employed.</t>
  </si>
  <si>
    <t>NfpCode</t>
  </si>
  <si>
    <t>mineTacticalUse</t>
  </si>
  <si>
    <t>MMT</t>
  </si>
  <si>
    <t>Naval Mine Intended Use</t>
  </si>
  <si>
    <t>The intended military use of a naval mine or minelike object.</t>
  </si>
  <si>
    <t>MmtCode</t>
  </si>
  <si>
    <t>navalMinePositioning</t>
  </si>
  <si>
    <t>MPC</t>
  </si>
  <si>
    <t>Naval Mine Positioning</t>
  </si>
  <si>
    <t>The capability by which an explosive naval mine maintains or changes position.</t>
  </si>
  <si>
    <t>MpcCode</t>
  </si>
  <si>
    <t>navalMinefieldPurpose</t>
  </si>
  <si>
    <t>MPU</t>
  </si>
  <si>
    <t>Naval Minefield Purpose</t>
  </si>
  <si>
    <t>Specifies the general purpose or intent of a minefield.</t>
  </si>
  <si>
    <t>MpuCode</t>
  </si>
  <si>
    <t>navalOperationsType</t>
  </si>
  <si>
    <t>NOA</t>
  </si>
  <si>
    <t>Naval Operations Type</t>
  </si>
  <si>
    <t>The type(s) of an area in which operations are conducted by Naval forces (for example: vessels or aircraft) based on the size, purpose, forces deployed and/or operation(s) conducted.</t>
  </si>
  <si>
    <t>NoaCode</t>
  </si>
  <si>
    <t>navigabilityInformation</t>
  </si>
  <si>
    <t>NVS</t>
  </si>
  <si>
    <t>Navigability Information</t>
  </si>
  <si>
    <t>Information about the navigability of a body of water by ocean-going and/or large vessels.</t>
  </si>
  <si>
    <t>Navigability is not intended to include jet skis, motorboats or other recreational craft.</t>
  </si>
  <si>
    <t>NvsCode</t>
  </si>
  <si>
    <t>navAidPointAngleIndication</t>
  </si>
  <si>
    <t>PAI</t>
  </si>
  <si>
    <t>Navigation Aid Point Angular Indication</t>
  </si>
  <si>
    <t>A published bearing to or radial from a radio navigation aid, referenced to a significant point or radio navigation aid checkpoint.</t>
  </si>
  <si>
    <t>Angular Reference</t>
  </si>
  <si>
    <t>PaiStrucText</t>
  </si>
  <si>
    <t>navAidPointDistIndication</t>
  </si>
  <si>
    <t>PDI</t>
  </si>
  <si>
    <t>Navigation Aid Point Distance Indication</t>
  </si>
  <si>
    <t>A published distance between a radio navigation aid and a significant point or radio navigation aid checkpoint.</t>
  </si>
  <si>
    <t>PdiStrucText</t>
  </si>
  <si>
    <t>navigationLandmark</t>
  </si>
  <si>
    <t>LMC</t>
  </si>
  <si>
    <t>Navigation Landmark</t>
  </si>
  <si>
    <t>An indication that a feature may serve as a navigation landmark, allowing for rapid and positive orientation of a navigator.</t>
  </si>
  <si>
    <t>Its size, shape, location, and/or isolation make it prominent in relation to its surroundings, and it is therefore easily recognized from the surface and/or from the air.</t>
  </si>
  <si>
    <t>navigationLightCharacter</t>
  </si>
  <si>
    <t>CHA</t>
  </si>
  <si>
    <t>Navigation Light Characteristic</t>
  </si>
  <si>
    <t>The sequence, grouping, and/or distinctive character (rythym and colour or colours) of a navigation light.</t>
  </si>
  <si>
    <t>ChaCode</t>
  </si>
  <si>
    <t>navigationMarkColour</t>
  </si>
  <si>
    <t>NMC</t>
  </si>
  <si>
    <t>Navigation Mark Colour</t>
  </si>
  <si>
    <t>The colour(s) of a International Association of Lighthouse Authorities (IALA) navigation mark.</t>
  </si>
  <si>
    <t>When the navigation mark is patterned, the Attribute: 'Colour Pattern' may be used to identify the pattern and a corresponding list of colours specified.</t>
  </si>
  <si>
    <t>NmcCode</t>
  </si>
  <si>
    <t>navServiceCheckpointType</t>
  </si>
  <si>
    <t>NCH</t>
  </si>
  <si>
    <t>Navigation Service Checkpoint Type</t>
  </si>
  <si>
    <t>The type of navigation system for which the checkpoint has been established.</t>
  </si>
  <si>
    <t>For example: Inertial Navigation System (INS), VHF Omnidirectional Range (VOR), or Global Navigation Satellite System (GNSS) systems.</t>
  </si>
  <si>
    <t>NchCode</t>
  </si>
  <si>
    <t>navigationSystemName</t>
  </si>
  <si>
    <t>NSY</t>
  </si>
  <si>
    <t>Navigation System Name</t>
  </si>
  <si>
    <t>The name of the navigation system used to measure the sounding depths.</t>
  </si>
  <si>
    <t>navigationSystemType</t>
  </si>
  <si>
    <t>NST</t>
  </si>
  <si>
    <t>Navigation System Type</t>
  </si>
  <si>
    <t>The type(s) of equipment or system used in electronic navigation.</t>
  </si>
  <si>
    <t>NstCode</t>
  </si>
  <si>
    <t>nearestTownName</t>
  </si>
  <si>
    <t>NTS</t>
  </si>
  <si>
    <t>Nearest Town Name</t>
  </si>
  <si>
    <t>The name of the nearest settlement to the feature.</t>
  </si>
  <si>
    <t>A settlement is understood as to be important enough to be a centre of potential resources.</t>
  </si>
  <si>
    <t>nephelometricTurbidity</t>
  </si>
  <si>
    <t>TUR</t>
  </si>
  <si>
    <t>Nephelometric Turbidity</t>
  </si>
  <si>
    <t>The cloudiness or haziness of a volume of solution as determined by its degree of light scattering.</t>
  </si>
  <si>
    <t>Turbidity is caused by suspended solids that are generally invisible to the naked eye, for example: suspended clay, silt, organic and inorganic matter, and plankton and other microorganisms. The units of turbidity from a calibrated nephelometer (based on the scattering of a focused beam of light) are called Nephelometric Turbidity Units (NTU).</t>
  </si>
  <si>
    <t>nomadicSeasonalLocation</t>
  </si>
  <si>
    <t>STL</t>
  </si>
  <si>
    <t>Nomadic Seasonal Location</t>
  </si>
  <si>
    <t>The season(s) in which a nomadic people are camped at a given location.</t>
  </si>
  <si>
    <t>StlCode</t>
  </si>
  <si>
    <t>nomboDensityMeasure</t>
  </si>
  <si>
    <t>DMN</t>
  </si>
  <si>
    <t>NOMBO Density Measure</t>
  </si>
  <si>
    <t>The density of non-mine-like bottom objects (NOMBO) per square mile.</t>
  </si>
  <si>
    <t>DmnCode</t>
  </si>
  <si>
    <t>nominalRange</t>
  </si>
  <si>
    <t>LVN</t>
  </si>
  <si>
    <t>Nominal Range</t>
  </si>
  <si>
    <t>The maximum distance at which a light can be seen (or signal detected) in a homogeneous atmosphere in which the meteorological visibility is 10 nautical miles (clear weather as defined by the International Visibility Code).</t>
  </si>
  <si>
    <t>The actual luminous range will be lesser (or occasionally greater) than the nominal range depending on prevailing weather conditions. The lesser of the geographic range and the luminous range is the range at which a light will first be sighted.</t>
  </si>
  <si>
    <t>nonStandardHoldingReason</t>
  </si>
  <si>
    <t>NHR</t>
  </si>
  <si>
    <t>Non-Standard Holding Reason</t>
  </si>
  <si>
    <t>A statement specifying the reason that the holding procedure does not employ standard length, time, and/or turns.</t>
  </si>
  <si>
    <t>nonSubContactPositionAcc</t>
  </si>
  <si>
    <t>NCP</t>
  </si>
  <si>
    <t>Non-submarine Contact Position Accuracy</t>
  </si>
  <si>
    <t>The accuracy of the position of a non-submarine contact.</t>
  </si>
  <si>
    <t>nonSubContactReportDate</t>
  </si>
  <si>
    <t>WDT</t>
  </si>
  <si>
    <t>Non-submarine Contact Report Date</t>
  </si>
  <si>
    <t>The date that a non-submarine contact was reported.</t>
  </si>
  <si>
    <t>Reference STANAG 3715.</t>
  </si>
  <si>
    <t>WdtStrucText</t>
  </si>
  <si>
    <t>nonSubContactReportAgType</t>
  </si>
  <si>
    <t>RAG</t>
  </si>
  <si>
    <t>Non-submarine Contact Reporting Agency Type</t>
  </si>
  <si>
    <t>General classification of the source of a reported non-submarine contact.</t>
  </si>
  <si>
    <t>Based on specific fields in the US and UK Wreck Lists.</t>
  </si>
  <si>
    <t>RagCode</t>
  </si>
  <si>
    <t>northReferenceType</t>
  </si>
  <si>
    <t>NRT</t>
  </si>
  <si>
    <t>North Reference Type</t>
  </si>
  <si>
    <t>The type of North to which the 'zero bearing' corresponds.</t>
  </si>
  <si>
    <t>For example: magnetic north, true north, or grid north.</t>
  </si>
  <si>
    <t>NrtCode</t>
  </si>
  <si>
    <t>noticeToMarinersDate</t>
  </si>
  <si>
    <t>NMD</t>
  </si>
  <si>
    <t>Notice to Mariners Date</t>
  </si>
  <si>
    <t>The publication date of a Notice To Mariners.</t>
  </si>
  <si>
    <t>NmdStrucText</t>
  </si>
  <si>
    <t>numberBerths</t>
  </si>
  <si>
    <t>NBE</t>
  </si>
  <si>
    <t>Number of Berths</t>
  </si>
  <si>
    <t>The number of berths at a facility.</t>
  </si>
  <si>
    <t>See STANAG 2255, page J-1-1.</t>
  </si>
  <si>
    <t>numberCriticalCareBeds</t>
  </si>
  <si>
    <t>CCB</t>
  </si>
  <si>
    <t>Number of Critical Care Beds</t>
  </si>
  <si>
    <t>The number of beds that a critical care or high-dependency medical unit can fully staff and equip.</t>
  </si>
  <si>
    <t>numberHardAircraftShelters</t>
  </si>
  <si>
    <t>NHS</t>
  </si>
  <si>
    <t xml:space="preserve">Number of Hardened Aircraft Shelters </t>
  </si>
  <si>
    <t>The number of Hardened Aircraft Shelters (HAS) at the facility.</t>
  </si>
  <si>
    <t>numberHelipads</t>
  </si>
  <si>
    <t>NHO</t>
  </si>
  <si>
    <t>Number of Helipads</t>
  </si>
  <si>
    <t>The number of helipads at the facility.</t>
  </si>
  <si>
    <t>A helipad is a designated area, usually with a prepared surface, used for the take-off, landing, or parking of helicopters.</t>
  </si>
  <si>
    <t>numberMineCatenaes</t>
  </si>
  <si>
    <t>LMR</t>
  </si>
  <si>
    <t>Number of Mine Catenaes</t>
  </si>
  <si>
    <t>The number or rows the mines in a mine field are layed.</t>
  </si>
  <si>
    <t>numberOfMines</t>
  </si>
  <si>
    <t>LMN</t>
  </si>
  <si>
    <t>Number of Mines</t>
  </si>
  <si>
    <t>The number of mines in a mine field.</t>
  </si>
  <si>
    <t>numericFeatureIdentifier</t>
  </si>
  <si>
    <t>UID</t>
  </si>
  <si>
    <t>Numeric Feature Identifier</t>
  </si>
  <si>
    <t>The numeric identifier of a feature instance.</t>
  </si>
  <si>
    <t>The scope of uniqueness is usually only within a dataset, but may be over a larger extent based on data production organisation policy and procedures.</t>
  </si>
  <si>
    <t>oasisType</t>
  </si>
  <si>
    <t>OTC</t>
  </si>
  <si>
    <t>Oasis Type</t>
  </si>
  <si>
    <t>The type of an oasis based on the type of available water and its use.</t>
  </si>
  <si>
    <t>OtcCode</t>
  </si>
  <si>
    <t>observationCount</t>
  </si>
  <si>
    <t>OCT</t>
  </si>
  <si>
    <t>Observation Count</t>
  </si>
  <si>
    <t>The number of times that a persistent phenomenon (for example: an object) has been observed.</t>
  </si>
  <si>
    <t>obsLandWaterBoundaryHgt</t>
  </si>
  <si>
    <t>OLH</t>
  </si>
  <si>
    <t>Observed Land Water Boundary Height</t>
  </si>
  <si>
    <t>The vertical elevation difference between an observed tidal level or river stage and a specified reference level (for example: a tidal sounding datum or a river base level).</t>
  </si>
  <si>
    <t>For example, a water line may be established for a time at which the tidal state doesn't correspond to a standard sounding datum. The observed boundary height then specifies how much higher or lower the tide stage was from a specified sounding datum.</t>
  </si>
  <si>
    <t>obstacleClearanceAltitude</t>
  </si>
  <si>
    <t>OCA</t>
  </si>
  <si>
    <t>Obstacle Clearance Altitude (OCA)</t>
  </si>
  <si>
    <t>The lowest altitude in reference to Mean Sea Level that is used in establishing compliance with appropriate obstacle clearance criteria.</t>
  </si>
  <si>
    <t>obstacleClearanceHeight</t>
  </si>
  <si>
    <t>OCH</t>
  </si>
  <si>
    <t>Obstacle Clearance Height (OCH)</t>
  </si>
  <si>
    <t>The lowest height above the elevation of the relevant runway threshold or the aerodrome elevation as applicable, used in establishing compliance with appropriate obstacle clearance criteria.</t>
  </si>
  <si>
    <t>Obstacle clearance height is referenced to the threshold elevation or in the case of non-precision approaches to the aerodrome elevation or the threshold elevation if that is more than 2 metres (7 feet) below the aerodrome elevation. An obstacle clearance height for a circling approach is referenced to the aerodrome elevation.</t>
  </si>
  <si>
    <t>obstacleIdentifier</t>
  </si>
  <si>
    <t>OIO</t>
  </si>
  <si>
    <t>Obstacle Identifier</t>
  </si>
  <si>
    <t>A published identifier allowing the unique identification of an obstacle within a State.</t>
  </si>
  <si>
    <t>obstacleMarkingPresent</t>
  </si>
  <si>
    <t>OMP</t>
  </si>
  <si>
    <t>Obstacle Marking Present</t>
  </si>
  <si>
    <t>An indication that an obstacle that constitutes a danger to air navigation is marked by visual means other than a light.</t>
  </si>
  <si>
    <t>May be painted or may display flags.</t>
  </si>
  <si>
    <t>obstructionLights</t>
  </si>
  <si>
    <t>OLQ</t>
  </si>
  <si>
    <t>Obstruction Lights</t>
  </si>
  <si>
    <t>The number of obstruction lights present, if any, as a category.</t>
  </si>
  <si>
    <t>For example, marking a bridge pier.</t>
  </si>
  <si>
    <t>OlqCode</t>
  </si>
  <si>
    <t>oceanBottomType</t>
  </si>
  <si>
    <t>LPC</t>
  </si>
  <si>
    <t>Ocean Bottom Type</t>
  </si>
  <si>
    <t>The ocean bottom type where a feature is located based on bottom composition and/or morphology.</t>
  </si>
  <si>
    <t>LpcCode</t>
  </si>
  <si>
    <t>oceanCurrentTemperature</t>
  </si>
  <si>
    <t>WTA</t>
  </si>
  <si>
    <t>Ocean Current Temperature</t>
  </si>
  <si>
    <t>The general heat status of an ocean current within an area.</t>
  </si>
  <si>
    <t>WtaCode</t>
  </si>
  <si>
    <t>oceanType</t>
  </si>
  <si>
    <t>SOT</t>
  </si>
  <si>
    <t>Ocean Type</t>
  </si>
  <si>
    <t>The characterization of all, or a part, of an ocean region as defined by its location relative to juxtaposed land masses and water bodies, as a category.</t>
  </si>
  <si>
    <t>SotCode</t>
  </si>
  <si>
    <t>oceanFrontIndicator</t>
  </si>
  <si>
    <t>OFI</t>
  </si>
  <si>
    <t>Oceanographic Front Indicator</t>
  </si>
  <si>
    <t>The type of water indicator that locates the position of an oceanographic front.</t>
  </si>
  <si>
    <t>OfiCode</t>
  </si>
  <si>
    <t>oceanographicFrontType</t>
  </si>
  <si>
    <t>OCF</t>
  </si>
  <si>
    <t>Oceanographic Front Type</t>
  </si>
  <si>
    <t>The type of physical oceanographic property whose difference distinguishes two adjacent water masses.</t>
  </si>
  <si>
    <t>OcfCode</t>
  </si>
  <si>
    <t>officialArea</t>
  </si>
  <si>
    <t>OAR</t>
  </si>
  <si>
    <t>Official Area</t>
  </si>
  <si>
    <t>The official approved value for the area of the feature.</t>
  </si>
  <si>
    <t>officialCurrency</t>
  </si>
  <si>
    <t>CUC</t>
  </si>
  <si>
    <t>Official Currency</t>
  </si>
  <si>
    <t>The currency that is the legally-determined medium of exchange within an area, as defined by the three letter international currency code (ISO 4217).</t>
  </si>
  <si>
    <t>CucStrucText</t>
  </si>
  <si>
    <t>officialDepth</t>
  </si>
  <si>
    <t>OAD</t>
  </si>
  <si>
    <t>Official Depth</t>
  </si>
  <si>
    <t>The official, or approved, value for the depth of the feature.</t>
  </si>
  <si>
    <t>This value can differ from the actual position of the geometric shape of the feature.</t>
  </si>
  <si>
    <t>officialElevation</t>
  </si>
  <si>
    <t>OEL</t>
  </si>
  <si>
    <t>Official Elevation</t>
  </si>
  <si>
    <t>The official approved elevation from a specified vertical datum to the highest point on a feature.</t>
  </si>
  <si>
    <t>officialHeight</t>
  </si>
  <si>
    <t>OHE</t>
  </si>
  <si>
    <t>Official Height</t>
  </si>
  <si>
    <t>The official approved value for the height of the feature above a given datum.</t>
  </si>
  <si>
    <t>officialLanguage</t>
  </si>
  <si>
    <t>OLA</t>
  </si>
  <si>
    <t>Official Language</t>
  </si>
  <si>
    <t>The name of the official spoken language within an area.</t>
  </si>
  <si>
    <t>officialLatitude</t>
  </si>
  <si>
    <t>OAB</t>
  </si>
  <si>
    <t>Official Latitude</t>
  </si>
  <si>
    <t>The official, or approved, value for the geodetic latitude of the feature.</t>
  </si>
  <si>
    <t>This value can differ from the value of the geometric shape of the feature.</t>
  </si>
  <si>
    <t>officialLength</t>
  </si>
  <si>
    <t>OLN</t>
  </si>
  <si>
    <t>Official Length</t>
  </si>
  <si>
    <t>The official approved value for the length of the feature.</t>
  </si>
  <si>
    <t>officialLongitude</t>
  </si>
  <si>
    <t>OAL</t>
  </si>
  <si>
    <t>Official Longitude</t>
  </si>
  <si>
    <t>The official, or approved, value for the geodetic longitude of the feature.</t>
  </si>
  <si>
    <t>officalOrientation</t>
  </si>
  <si>
    <t>OAO</t>
  </si>
  <si>
    <t>Official Orientation</t>
  </si>
  <si>
    <t>The official approved value for the orientation of the feature.</t>
  </si>
  <si>
    <t>The orientation is the angular distance in the horizontal plane measured from true north (0 degrees) clockwise to the major axis of the feature.</t>
  </si>
  <si>
    <t>officialWidth</t>
  </si>
  <si>
    <t>OWD</t>
  </si>
  <si>
    <t>Official Width</t>
  </si>
  <si>
    <t>The official approved value for the width of the feature.</t>
  </si>
  <si>
    <t>offRouteObstructClearAlt</t>
  </si>
  <si>
    <t>ORO</t>
  </si>
  <si>
    <t>Off-Route Obstruction Clearance Altitude (OROCA)</t>
  </si>
  <si>
    <t>An altitude which provides obstruction clearance with a 1000 foot buffer in non-mountainous terrain areas and a 2000 foot buffer in designated mountainous areas when operating outside the established airway structure.</t>
  </si>
  <si>
    <t>This altitude may not provide signal coverage from ground-based navigational aids, air traffic control radar, or communications coverage.</t>
  </si>
  <si>
    <t>OROCA</t>
  </si>
  <si>
    <t>offRouteTerrainClearAlt</t>
  </si>
  <si>
    <t>ORT</t>
  </si>
  <si>
    <t>Off-Route Terrain Clearance Altitude (ORTCA)</t>
  </si>
  <si>
    <t>An altitude which provides at least a 3000 foot clearance from terrain when operating outside the established airway structure.</t>
  </si>
  <si>
    <t>ORTCA</t>
  </si>
  <si>
    <t>offshoreConstPriStruct</t>
  </si>
  <si>
    <t>OCS</t>
  </si>
  <si>
    <t>Offshore Construction Primary Structure</t>
  </si>
  <si>
    <t>The type of primary structure of an offshore construction upon which various pieces of operation-specific equipment are affixed.</t>
  </si>
  <si>
    <t>OcsCode</t>
  </si>
  <si>
    <t>offshoreConstSupStruct</t>
  </si>
  <si>
    <t>OSS</t>
  </si>
  <si>
    <t>Offshore Construction Support Structure</t>
  </si>
  <si>
    <t>The means by which a offshore construction is supported above the water level.</t>
  </si>
  <si>
    <t>OssCode</t>
  </si>
  <si>
    <t>offshorePlatformType</t>
  </si>
  <si>
    <t>OPC</t>
  </si>
  <si>
    <t>Offshore Platform Type</t>
  </si>
  <si>
    <t>The type of an offshore platform based on its structure and/or use(s).</t>
  </si>
  <si>
    <t>OpcCode</t>
  </si>
  <si>
    <t>offshorePositioningMethod</t>
  </si>
  <si>
    <t>OPM</t>
  </si>
  <si>
    <t>Offshore Positioning Method</t>
  </si>
  <si>
    <t>The method by which the position of an offshore construction is maintained.</t>
  </si>
  <si>
    <t>OpmCode</t>
  </si>
  <si>
    <t>oilBarrierType</t>
  </si>
  <si>
    <t>OBC</t>
  </si>
  <si>
    <t>Oil Barrier Type</t>
  </si>
  <si>
    <t>The type of a waterbody oil barrier based on physical construction and/or method of operation.</t>
  </si>
  <si>
    <t>ObcCode</t>
  </si>
  <si>
    <t>omnidirectionalDepartAuth</t>
  </si>
  <si>
    <t>ODA</t>
  </si>
  <si>
    <t>Omnidirectional Departure Authorised</t>
  </si>
  <si>
    <t>An indication that a standard omnidirectional departure is authorised.</t>
  </si>
  <si>
    <t>The omnidirectional departure is a standard means of departing an aerodrome under instrument flight rule conditions. It is designed to assure that the aircraft has appropriate obstacle clearance at all times from the departure end of the runway to the first point along the predetermined flight plan. The basic procedure for this departure is that the aircraft is to fly the runway heading after takeoff until reaching an altitude of 120 metres (394 feet), and only after reaching this altitude can the aircraft initiate a turn towards the predetermined fligth plan.</t>
  </si>
  <si>
    <t>oneWay</t>
  </si>
  <si>
    <t>ONE</t>
  </si>
  <si>
    <t>One-way</t>
  </si>
  <si>
    <t>An indication that a thoroughfare is intended to be used only in a single direction.</t>
  </si>
  <si>
    <t>For example, a metropolitan street grid may include streets designated for one-way use in order to improve traffic flow; usually there is a paired parallel street nearby designated for one-way use in the opposite direction. A thoroughfare is a public way, unobstructed and forming a route (for example: a road or a path) between two places.</t>
  </si>
  <si>
    <t>openingThickness</t>
  </si>
  <si>
    <t>OPK</t>
  </si>
  <si>
    <t>Opening Thickness</t>
  </si>
  <si>
    <t>The dimension of an opening measured perpendicular to the plane of the opening.</t>
  </si>
  <si>
    <t>For example, the thickness of a door frame. An opening may be on man-made or natural features. The opening thickness of a revolving door would be the diameter of the tube which surrounds the panels or wings of the door. The thickness of a cave opening would be measured between the exterior rock face and the interior surface of a chamber, passage, or other transitional feature.</t>
  </si>
  <si>
    <t>operatingCycle</t>
  </si>
  <si>
    <t>OPT</t>
  </si>
  <si>
    <t>Operating Cycle</t>
  </si>
  <si>
    <t>The time(s) during which a feature is usable.</t>
  </si>
  <si>
    <t>OptCode</t>
  </si>
  <si>
    <t>operatingRestriction</t>
  </si>
  <si>
    <t>ORS</t>
  </si>
  <si>
    <t>Operating Restriction</t>
  </si>
  <si>
    <t>The conditions (for example: time or weather) during which the use of a feature (for example: a facility, an aerodrome, a port, or a thoroughfare) is restricted.</t>
  </si>
  <si>
    <t>OrsCode</t>
  </si>
  <si>
    <t>operational</t>
  </si>
  <si>
    <t>OPS</t>
  </si>
  <si>
    <t>Operational</t>
  </si>
  <si>
    <t>An indication that a feature is operational.</t>
  </si>
  <si>
    <t>operationsEndDateTime</t>
  </si>
  <si>
    <t>OEV</t>
  </si>
  <si>
    <t>Operations End Date and Time</t>
  </si>
  <si>
    <t>The date and, optionally, time of the end of an event or operating period.</t>
  </si>
  <si>
    <t>OevStrucText</t>
  </si>
  <si>
    <t>operationsInterval</t>
  </si>
  <si>
    <t>OEZ</t>
  </si>
  <si>
    <t>Operations Interval</t>
  </si>
  <si>
    <t>The time interval of an event or operating period, consisting of a pair of dates and, optionally, times.</t>
  </si>
  <si>
    <t>OezStrucText</t>
  </si>
  <si>
    <t>operationsStartDateTime</t>
  </si>
  <si>
    <t>OSV</t>
  </si>
  <si>
    <t>Operations Start Date and Time</t>
  </si>
  <si>
    <t>The date and, optionally, time of the start of an event or operating period.</t>
  </si>
  <si>
    <t>OsvStrucText</t>
  </si>
  <si>
    <t>ordnanceAreaConstruction</t>
  </si>
  <si>
    <t>OAC</t>
  </si>
  <si>
    <t>Ordnance Area Construction</t>
  </si>
  <si>
    <t>An indication that construction is taking place in an ordnance storage area.</t>
  </si>
  <si>
    <t>ordnanceBunkersPresent</t>
  </si>
  <si>
    <t>OBS</t>
  </si>
  <si>
    <t>Ordnance Bunker(s) Present</t>
  </si>
  <si>
    <t>An indication that an area includes ordnance stored in bunkers.</t>
  </si>
  <si>
    <t>ordnanceFacilityType</t>
  </si>
  <si>
    <t>OFT</t>
  </si>
  <si>
    <t>Ordnance Facility Type</t>
  </si>
  <si>
    <t>The type of an ordnance facility based on its size, structure, use and/or importance.</t>
  </si>
  <si>
    <t>OftCode</t>
  </si>
  <si>
    <t>ordnanceReinforcement</t>
  </si>
  <si>
    <t>ORF</t>
  </si>
  <si>
    <t>Ordnance Reinforcement</t>
  </si>
  <si>
    <t>The type of ordnance that is used to reinforce the feature (for example: a constructed obstacle).</t>
  </si>
  <si>
    <t>OrfCode</t>
  </si>
  <si>
    <t>orientBestObservation</t>
  </si>
  <si>
    <t>OBO</t>
  </si>
  <si>
    <t>Orientation of Best Observation</t>
  </si>
  <si>
    <t>The bearing from which the object can best be observed.</t>
  </si>
  <si>
    <t>orthoHeightRunwayHighEnd</t>
  </si>
  <si>
    <t>OHM</t>
  </si>
  <si>
    <t>Orthometric Height - Runway High End</t>
  </si>
  <si>
    <t>Elevation above the geoid at the highest end of the runway.</t>
  </si>
  <si>
    <t>orthoHeightRunwayLowEnd</t>
  </si>
  <si>
    <t>OLM</t>
  </si>
  <si>
    <t>Orthometric Height - Runway Low End</t>
  </si>
  <si>
    <t>Elevation above the geoid at the lowest end of the runway.</t>
  </si>
  <si>
    <t>overallBridgeHeight</t>
  </si>
  <si>
    <t>OHB</t>
  </si>
  <si>
    <t>Overall Bridge Height</t>
  </si>
  <si>
    <t>The vertical distance measured from the lowest point at ground or water level to the highest portion of the bridge (including superstructure).</t>
  </si>
  <si>
    <t>overheadCableIcingSag</t>
  </si>
  <si>
    <t>ICE</t>
  </si>
  <si>
    <t>Overhead Cable Icing Sag</t>
  </si>
  <si>
    <t>The value of the maximum variation in the vertical clearance of an overhead cable due to an accumulation of ice.</t>
  </si>
  <si>
    <t>overheadClearance</t>
  </si>
  <si>
    <t>OHC</t>
  </si>
  <si>
    <t>Overhead Clearance</t>
  </si>
  <si>
    <t>The least distance between the travelled way and any obstruction vertically above it.</t>
  </si>
  <si>
    <t>Reference STANAG 2253.</t>
  </si>
  <si>
    <t>overheadObstructionType</t>
  </si>
  <si>
    <t>OOC</t>
  </si>
  <si>
    <t>Overhead Obstruction Type</t>
  </si>
  <si>
    <t>The type of an overhead obstruction based on its shape, structure and/or intended use.</t>
  </si>
  <si>
    <t>OocCode</t>
  </si>
  <si>
    <t>ownerOrOperator</t>
  </si>
  <si>
    <t>OOP</t>
  </si>
  <si>
    <t>Owner or Operator</t>
  </si>
  <si>
    <t>The name or similar designation of the owner or operator of a facility (for example: a warehouse, a store, or an aircraft hangar).</t>
  </si>
  <si>
    <t>For example, 'Fed Ex', 'NASA', 'General Electric', and 'Millionair'.</t>
  </si>
  <si>
    <t>parallelLineCount</t>
  </si>
  <si>
    <t>NPL</t>
  </si>
  <si>
    <t>Parallel Line Count</t>
  </si>
  <si>
    <t>The total number of nominally parallel lines within the feature.</t>
  </si>
  <si>
    <t>partialFeatureIndicator</t>
  </si>
  <si>
    <t>Partial Feature Indicator</t>
  </si>
  <si>
    <t>An indication that a feature instance delineates only a portion of the complete feature.</t>
  </si>
  <si>
    <t>May be used when delineating separate parts of a single feature. For example, a single road may be delineated as several distinct parts since each part has a unique local name as it passes through different municipalities.</t>
  </si>
  <si>
    <t>passengerHandlingCapacity</t>
  </si>
  <si>
    <t>AHP</t>
  </si>
  <si>
    <t>Passenger Handling Capacity</t>
  </si>
  <si>
    <t>The number of passengers that can be handled at the facility per day.</t>
  </si>
  <si>
    <t>Passengers means travellers who are being carried by a particular kind of transport.</t>
  </si>
  <si>
    <t>passengerServiceDesc</t>
  </si>
  <si>
    <t>PSD</t>
  </si>
  <si>
    <t>Passenger Service Description</t>
  </si>
  <si>
    <t>A textual description of the type and level of passenger services available at the aerodrome.</t>
  </si>
  <si>
    <t>passengerServiceType</t>
  </si>
  <si>
    <t>PSY</t>
  </si>
  <si>
    <t>Passenger Service Type</t>
  </si>
  <si>
    <t>The type(s) of services that are available to passengers at or in the vicinity of the aerodrome.</t>
  </si>
  <si>
    <t>PsyCode</t>
  </si>
  <si>
    <t>pavementClassNumber</t>
  </si>
  <si>
    <t>PCN</t>
  </si>
  <si>
    <t>Pavement Classification Number (PCN)</t>
  </si>
  <si>
    <t>The bearing strength of a pavement for unrestricted operations.</t>
  </si>
  <si>
    <t>PCN, Pavement Load Rating (PLR), PCN Class</t>
  </si>
  <si>
    <t>pavementTypeForPcnDeterm</t>
  </si>
  <si>
    <t>PC1</t>
  </si>
  <si>
    <t>Pavement Type for PCN Determination</t>
  </si>
  <si>
    <t>The pavement behavior (for example: rigid or flexible) used for the Pavement Classification Number (PCN) determination, as a category.</t>
  </si>
  <si>
    <t>PCN Pavement Type</t>
  </si>
  <si>
    <t>Pc1Code</t>
  </si>
  <si>
    <t>pcnEvaluationMethod</t>
  </si>
  <si>
    <t>PC4</t>
  </si>
  <si>
    <t>PCN Evaluation Method</t>
  </si>
  <si>
    <t>The method used to rate a runway pavement.</t>
  </si>
  <si>
    <t>Pc4Code</t>
  </si>
  <si>
    <t>pcnMaxAllowTirePressCat</t>
  </si>
  <si>
    <t>PC3</t>
  </si>
  <si>
    <t>PCN Maximum Allowable Tire Pressure Category</t>
  </si>
  <si>
    <t>The maximum allowable tire pressure category related to the Pavement Classification Number (PCN), as a category.</t>
  </si>
  <si>
    <t>Pc3Code</t>
  </si>
  <si>
    <t>pcnMaxAllowTirePressVal</t>
  </si>
  <si>
    <t>PC5</t>
  </si>
  <si>
    <t>PCN Maximum Allowable Tire Pressure Value</t>
  </si>
  <si>
    <t>The value of the maximum allowable tire pressure related to the Pavement Classification Number (PCN).</t>
  </si>
  <si>
    <t>pcnPavementSubStrengthCat</t>
  </si>
  <si>
    <t>PC2</t>
  </si>
  <si>
    <t>PCN Pavement Subgrade Strength Category</t>
  </si>
  <si>
    <t>An categorized indication of the pavement subgrade strength related to the Pavement Classification Number (PCN).</t>
  </si>
  <si>
    <t>The pavement subgrade is the native material underneath a constructed pavement.</t>
  </si>
  <si>
    <t>PCN Pavement Category</t>
  </si>
  <si>
    <t>Pc2Code</t>
  </si>
  <si>
    <t>pedestrianCapacity</t>
  </si>
  <si>
    <t>PCU</t>
  </si>
  <si>
    <t>Pedestrian Capacity</t>
  </si>
  <si>
    <t>The maximum number of pedestrians that a feature can accommodate.</t>
  </si>
  <si>
    <t>pedestrianTraversable</t>
  </si>
  <si>
    <t>TRA</t>
  </si>
  <si>
    <t>Pedestrian Traversable</t>
  </si>
  <si>
    <t>An indication that a feature is traversable on foot.</t>
  </si>
  <si>
    <t>peopleCapacity</t>
  </si>
  <si>
    <t>PKP</t>
  </si>
  <si>
    <t>People Capacity</t>
  </si>
  <si>
    <t>The maximum number of people that a facility is intended to serve or perform a function for (for example to accommodate) at any given time.</t>
  </si>
  <si>
    <t>perennialCropAreaRatio</t>
  </si>
  <si>
    <t>PCL</t>
  </si>
  <si>
    <t>Perennial Crop Area Ratio</t>
  </si>
  <si>
    <t>The ratio of the area of perennial crops relative to an entire area of cropland.</t>
  </si>
  <si>
    <t>periodOfLight</t>
  </si>
  <si>
    <t>PER</t>
  </si>
  <si>
    <t>Period of Light</t>
  </si>
  <si>
    <t>The time occupied by an entire cycle of intervals of light and eclipse.</t>
  </si>
  <si>
    <t>periodMarineCurrentMonth</t>
  </si>
  <si>
    <t>HSE</t>
  </si>
  <si>
    <t>Periodic Marine Current Month Interval</t>
  </si>
  <si>
    <t>The month interval of the presence of a marine current.</t>
  </si>
  <si>
    <t>For example, a marine current may be present during the months of March through June.</t>
  </si>
  <si>
    <t>HseStrucText</t>
  </si>
  <si>
    <t>periodRestrictMonth</t>
  </si>
  <si>
    <t>PSE</t>
  </si>
  <si>
    <t>Periodic Restriction Month Interval</t>
  </si>
  <si>
    <t>The month interval in which seasonal restrictions (for example: due to climate) are present.</t>
  </si>
  <si>
    <t>For example, a port may be closed during the months of October through April due to ice blockage.</t>
  </si>
  <si>
    <t>PseStrucText</t>
  </si>
  <si>
    <t>permanent</t>
  </si>
  <si>
    <t>PRM</t>
  </si>
  <si>
    <t>Permanent</t>
  </si>
  <si>
    <t>An indication that a feature is permanent.</t>
  </si>
  <si>
    <t>Temporary features last, or are meant to last, for a limited time only.</t>
  </si>
  <si>
    <t>permanentIrrigation</t>
  </si>
  <si>
    <t>PIG</t>
  </si>
  <si>
    <t>Permanent Irrigation</t>
  </si>
  <si>
    <t>An indication that a field is continuously used for cultivation and permanent irrigation is required due to the natural aridity of the area.</t>
  </si>
  <si>
    <t>pH</t>
  </si>
  <si>
    <t>PHW</t>
  </si>
  <si>
    <t>The logarithm of the reciprocal of hydrogen ion (H+) concentration in gram atoms per liter of an aqueous solution.</t>
  </si>
  <si>
    <t>The pH (potential of Hydrogen) scale provides an indication of the acidity or alkalinity of a water sample. The scale ranges from 0 to 14, where 7 is neutral, greater than 7 is more alkaline and less than 7 is more acidic. The measure is termed the 'pH unit'.</t>
  </si>
  <si>
    <t>physicalCondition</t>
  </si>
  <si>
    <t>PCF</t>
  </si>
  <si>
    <t>Physical Condition</t>
  </si>
  <si>
    <t>The physical condition of a man-made structure, as a whole, including the inside and/or outside of the structure and any contained and/or associated equipment.</t>
  </si>
  <si>
    <t>The physical condition applies to any phase of the life cycle of a man-made structure from construction to destruction. Examples of man-made structures include roads, canals, buildings, towers, aerodromes and facilities.</t>
  </si>
  <si>
    <t>PcfCode</t>
  </si>
  <si>
    <t>physicalStateCategory</t>
  </si>
  <si>
    <t>PST</t>
  </si>
  <si>
    <t>Physical State Category</t>
  </si>
  <si>
    <t>The physical state of a feature.</t>
  </si>
  <si>
    <t>PstCode</t>
  </si>
  <si>
    <t>pictorialRepresentation</t>
  </si>
  <si>
    <t>PIC</t>
  </si>
  <si>
    <t>Pictorial Representation</t>
  </si>
  <si>
    <t>Specifies a resource site where a pictorial representation of a feature is available.</t>
  </si>
  <si>
    <t>The 'pictorial representation' could be a drawing or a photo.</t>
  </si>
  <si>
    <t>pileType</t>
  </si>
  <si>
    <t>PLC</t>
  </si>
  <si>
    <t>Pile Type</t>
  </si>
  <si>
    <t>The type of a pile based on its structural characteristics and/or intended use.</t>
  </si>
  <si>
    <t>PlcCode</t>
  </si>
  <si>
    <t>pilotBoardingMethod</t>
  </si>
  <si>
    <t>PBP</t>
  </si>
  <si>
    <t>Pilot Boarding Method</t>
  </si>
  <si>
    <t>The method by which pilots are transferred to vessels that use pilot services.</t>
  </si>
  <si>
    <t>PbpCode</t>
  </si>
  <si>
    <t>pilotBoatBerth</t>
  </si>
  <si>
    <t>PBB</t>
  </si>
  <si>
    <t>Pilot Boat Berth</t>
  </si>
  <si>
    <t>An indication that a berth is intended for the use of pilot boats.</t>
  </si>
  <si>
    <t>Pilot boats are used to transfer pilots to vessels that use pilot services.</t>
  </si>
  <si>
    <t>pilotControlledLighting</t>
  </si>
  <si>
    <t>PCO</t>
  </si>
  <si>
    <t>Pilot Controlled Lighting (PCL)</t>
  </si>
  <si>
    <t>An indication that radio control of lighting is available to provide airborne control of lights by keying the aircraft's microphone.</t>
  </si>
  <si>
    <t>PCL, PCL</t>
  </si>
  <si>
    <t>pilotDistrict</t>
  </si>
  <si>
    <t>PIL</t>
  </si>
  <si>
    <t>Pilot District</t>
  </si>
  <si>
    <t>Specifies the pilot district for which a pilot is responsible.</t>
  </si>
  <si>
    <t>pipelineType</t>
  </si>
  <si>
    <t>PLT</t>
  </si>
  <si>
    <t>Pipeline Type</t>
  </si>
  <si>
    <t>The type of a pipeline or pipeline-associated equipment based on structure and/or intended use(s).</t>
  </si>
  <si>
    <t>PltCode</t>
  </si>
  <si>
    <t>platformCount</t>
  </si>
  <si>
    <t>NOP</t>
  </si>
  <si>
    <t>Platform Count</t>
  </si>
  <si>
    <t>The number of platforms at a transportation station or similar facility.</t>
  </si>
  <si>
    <t>pointAbeamType</t>
  </si>
  <si>
    <t>PAB</t>
  </si>
  <si>
    <t>Point Abeam Type</t>
  </si>
  <si>
    <t>The type of offline feature to which the point on the runway is abeam.</t>
  </si>
  <si>
    <t>PabCode</t>
  </si>
  <si>
    <t>pondType</t>
  </si>
  <si>
    <t>POP</t>
  </si>
  <si>
    <t>Pond Type</t>
  </si>
  <si>
    <t>The type of use of a pond.</t>
  </si>
  <si>
    <t>PopCode</t>
  </si>
  <si>
    <t>popPlaceHabitationsCat</t>
  </si>
  <si>
    <t>PPS</t>
  </si>
  <si>
    <t>Populated Place Habitations Category</t>
  </si>
  <si>
    <t>The characterization of a small populated place based on the number of habitation places (400 or less) present, as a category.</t>
  </si>
  <si>
    <t>A habitation place is defined as a single locality where people reside such as a dwelling or a yard.</t>
  </si>
  <si>
    <t>PpsCode</t>
  </si>
  <si>
    <t>popPlaceLevelCategory</t>
  </si>
  <si>
    <t>CLF</t>
  </si>
  <si>
    <t>Populated Place Level Category</t>
  </si>
  <si>
    <t>The level of a populated place within a hierarchy of such places organized by their importance (centrality and sphere of influence), as a category.</t>
  </si>
  <si>
    <t>ClfCode</t>
  </si>
  <si>
    <t>popPlacePattern</t>
  </si>
  <si>
    <t>RUS</t>
  </si>
  <si>
    <t>Populated Place Pattern</t>
  </si>
  <si>
    <t>The arrangement (pattern) of a populated place based on the distribution of buildings.</t>
  </si>
  <si>
    <t>RusCode</t>
  </si>
  <si>
    <t>popPlaceSizeCategory</t>
  </si>
  <si>
    <t>SLI</t>
  </si>
  <si>
    <t>Populated Place Size Category</t>
  </si>
  <si>
    <t>The size of a populated place based on the number of inhabitants, as a category.</t>
  </si>
  <si>
    <t>SliCode</t>
  </si>
  <si>
    <t>populatedPlaceType</t>
  </si>
  <si>
    <t>PPT</t>
  </si>
  <si>
    <t>Populated Place Type</t>
  </si>
  <si>
    <t>The type of a populated place based on size, history of development and/or legal specification.</t>
  </si>
  <si>
    <t>PptCode</t>
  </si>
  <si>
    <t>population</t>
  </si>
  <si>
    <t>PPL</t>
  </si>
  <si>
    <t>Population</t>
  </si>
  <si>
    <t>The number of people within an area (for example: an administrative or built-up area).</t>
  </si>
  <si>
    <t>populationDensity</t>
  </si>
  <si>
    <t>POD</t>
  </si>
  <si>
    <t>Population Density</t>
  </si>
  <si>
    <t>The average number of inhabitants residing within an area, per unit area.</t>
  </si>
  <si>
    <t>populationDensityCat</t>
  </si>
  <si>
    <t>PPD</t>
  </si>
  <si>
    <t>Population Density Category</t>
  </si>
  <si>
    <t>The average number of inhabitants per unit area, as an interval-based category.</t>
  </si>
  <si>
    <t>PpdCode</t>
  </si>
  <si>
    <t>populationGrowthRate</t>
  </si>
  <si>
    <t>PGY</t>
  </si>
  <si>
    <t>Population Growth Rate</t>
  </si>
  <si>
    <t>The annual growth rate of the total population residing within an area.</t>
  </si>
  <si>
    <t>populationLangFraction</t>
  </si>
  <si>
    <t>LAQ</t>
  </si>
  <si>
    <t>Population Language Fraction</t>
  </si>
  <si>
    <t>The fraction of the total population that speak a particular language, within an area.</t>
  </si>
  <si>
    <t>portAccess</t>
  </si>
  <si>
    <t>RPA</t>
  </si>
  <si>
    <t>Port Access</t>
  </si>
  <si>
    <t>An indication that a waterbody feature, all or in part, is used to access a port.</t>
  </si>
  <si>
    <t>portOfEntry</t>
  </si>
  <si>
    <t>PEC</t>
  </si>
  <si>
    <t>Port of Entry</t>
  </si>
  <si>
    <t>An indication that a facility is a port of entry for customs and immigration purposes.</t>
  </si>
  <si>
    <t>portableAggressorWeapon</t>
  </si>
  <si>
    <t>AGW</t>
  </si>
  <si>
    <t>Portable Aggressor Weapon</t>
  </si>
  <si>
    <t>The type(s) of portable weapons displayed and/or employed by aggressors.</t>
  </si>
  <si>
    <t>AgwCode</t>
  </si>
  <si>
    <t>positionQualityCategory</t>
  </si>
  <si>
    <t>QUA</t>
  </si>
  <si>
    <t>Position Quality Category</t>
  </si>
  <si>
    <t>A general evaluation of the quality of a position, as a category.</t>
  </si>
  <si>
    <t>QuaCode</t>
  </si>
  <si>
    <t>postcode</t>
  </si>
  <si>
    <t>ZON</t>
  </si>
  <si>
    <t>Postcode</t>
  </si>
  <si>
    <t>The postcode of a postal address.</t>
  </si>
  <si>
    <t>A series of letters and numbers included in a postal address to facilitate the sorting and speedy delivery of mail.</t>
  </si>
  <si>
    <t>Postal Code, Zip Code</t>
  </si>
  <si>
    <t>KeyNonLex9</t>
  </si>
  <si>
    <t>potentialIndustrialHazards</t>
  </si>
  <si>
    <t>IHP</t>
  </si>
  <si>
    <t>Potential Industrial Hazards</t>
  </si>
  <si>
    <t>A description of the type of industry and the potential hazards associated with the site.</t>
  </si>
  <si>
    <t>powerLineMaximumVoltage</t>
  </si>
  <si>
    <t>KVA</t>
  </si>
  <si>
    <t>Power Line Maximum Voltage</t>
  </si>
  <si>
    <t>The maximum voltage at which a power line is designed to operate.</t>
  </si>
  <si>
    <t>powerSource</t>
  </si>
  <si>
    <t>POS</t>
  </si>
  <si>
    <t>Power Source</t>
  </si>
  <si>
    <t>The energy source(s) employed to generate power for off-site distribution.</t>
  </si>
  <si>
    <t>PosCode</t>
  </si>
  <si>
    <t>powerStationType</t>
  </si>
  <si>
    <t>PPC</t>
  </si>
  <si>
    <t>Power Station Type</t>
  </si>
  <si>
    <t>The type of an electric power station based on its energy source.</t>
  </si>
  <si>
    <t>PpcCode</t>
  </si>
  <si>
    <t>practicalSalinity</t>
  </si>
  <si>
    <t>WCS</t>
  </si>
  <si>
    <t>Practical Salinity</t>
  </si>
  <si>
    <t>A measure of the mass of dissolved material in seawater as determined by the electrical conductivity at a temperature of 288.15 kelvin (15 degrees Celsius) and the pressure of one standard atmosphere.</t>
  </si>
  <si>
    <t>The standard ocean value of absolute salinity, S[sub(a)], of 35 parts per thousand equates to 35 'practical salinity units'. The precision is about +/- 0.003 parts per thousand.</t>
  </si>
  <si>
    <t>preciousMetalOreType</t>
  </si>
  <si>
    <t>NOM</t>
  </si>
  <si>
    <t>Precious Metal Ore Type</t>
  </si>
  <si>
    <t>The type of an ore from which gold, silver and/or the metals of the platinum group can be extracted.</t>
  </si>
  <si>
    <t>NomCode</t>
  </si>
  <si>
    <t>precipSedimentRockType</t>
  </si>
  <si>
    <t>SAR</t>
  </si>
  <si>
    <t>Precipitate Sedimentary Rock Type</t>
  </si>
  <si>
    <t>The type of a sediment or sedimentary rock that has been deposited by the extensive evaporation of salt brine.</t>
  </si>
  <si>
    <t>SarCode</t>
  </si>
  <si>
    <t>predominantAvWaterVel</t>
  </si>
  <si>
    <t>WVA</t>
  </si>
  <si>
    <t>Predominant Average Water Velocity</t>
  </si>
  <si>
    <t>The average water velocity, exclusive of high water due to runoff or low water due to drought.</t>
  </si>
  <si>
    <t>predominantFeatureDepth</t>
  </si>
  <si>
    <t>PFD</t>
  </si>
  <si>
    <t>Predominant Feature Depth</t>
  </si>
  <si>
    <t>The predominant depth (the depth of at least 50 percent) of the feature.</t>
  </si>
  <si>
    <t>predominantFeatureHeight</t>
  </si>
  <si>
    <t>PFH</t>
  </si>
  <si>
    <t>Predominant Feature Height</t>
  </si>
  <si>
    <t>The predominant height (the height of at least 50 percent) of the feature measured from the lowest point of the base at ground or water level (downhill side/downstream side).</t>
  </si>
  <si>
    <t>predominantGapWidth</t>
  </si>
  <si>
    <t>PGW</t>
  </si>
  <si>
    <t>Predominant Gap Width</t>
  </si>
  <si>
    <t>The predominant width (the width of at least 50 percent) across the top of a gap in the terrain surface.</t>
  </si>
  <si>
    <t>For water-filled channels it is measured between the tops of the first accessible breaks in slope above mean water level on each bank.</t>
  </si>
  <si>
    <t>predominantLanguage</t>
  </si>
  <si>
    <t>LAO</t>
  </si>
  <si>
    <t>Predominant Language</t>
  </si>
  <si>
    <t>The name of the predominant spoken language within an area.</t>
  </si>
  <si>
    <t>predominantLeftBankHeight</t>
  </si>
  <si>
    <t>PLH</t>
  </si>
  <si>
    <t>Predominant Left Bank Height</t>
  </si>
  <si>
    <t>The predominant height (the height of at least 50 percent) of the left bank (facing downstream), measured from mean water level to the first break in slope above the mean water level.</t>
  </si>
  <si>
    <t>predominantLeftBankSlope</t>
  </si>
  <si>
    <t>PLB</t>
  </si>
  <si>
    <t>Predominant Left Bank Slope</t>
  </si>
  <si>
    <t>The predominant slope (the slope of at least 50 percent) of the left bank (facing downstream), measured from mean water level to the first accessible break in slope above the mean water level.</t>
  </si>
  <si>
    <t>predominantMaxWaterDepth</t>
  </si>
  <si>
    <t>WDH</t>
  </si>
  <si>
    <t>Predominant Maximum Water Depth</t>
  </si>
  <si>
    <t>The average (seasonal) high water depth, exclusive of high water due to runoff or low water due to drought.</t>
  </si>
  <si>
    <t>predominantMaxWaterVel</t>
  </si>
  <si>
    <t>WVH</t>
  </si>
  <si>
    <t>Predominant Maximum Water Velocity</t>
  </si>
  <si>
    <t>The average maximum (seasonal high water) water velocity, exclusive of high water due to runoff or low water due to drought.</t>
  </si>
  <si>
    <t>predominantMinWaterDepth</t>
  </si>
  <si>
    <t>WDL</t>
  </si>
  <si>
    <t>Predominant Minimum Water Depth</t>
  </si>
  <si>
    <t>The average (seasonal) low water depth, exclusive of high water due to runoff or low water due to drought.</t>
  </si>
  <si>
    <t>predominantMinWaterVel</t>
  </si>
  <si>
    <t>WVL</t>
  </si>
  <si>
    <t>Predominant Minimum Water Velocity</t>
  </si>
  <si>
    <t>The average minimum (seasonal low water) water velocity, exclusive of high water due to runoff or low water due to drought.</t>
  </si>
  <si>
    <t>predominantRightBankHgt</t>
  </si>
  <si>
    <t>PRH</t>
  </si>
  <si>
    <t>Predominant Right Bank Height</t>
  </si>
  <si>
    <t>The predominant height (the height of at least 50 percent) of the right bank (facing downstream), measured from mean water level to the first break in slope above the mean water level.</t>
  </si>
  <si>
    <t>predominantRightBankSlope</t>
  </si>
  <si>
    <t>PRB</t>
  </si>
  <si>
    <t>Predominant Right Bank Slope</t>
  </si>
  <si>
    <t>The predominant slope (the slope of at least 50 percent) of the right bank (facing downstream), measured from mean water level to the first break in slope above the mean water level.</t>
  </si>
  <si>
    <t>predominantStructHeight</t>
  </si>
  <si>
    <t>PSH</t>
  </si>
  <si>
    <t>Predominant Structure Height</t>
  </si>
  <si>
    <t>The predominant height (the height of at least 50 percent) of the structure(s).</t>
  </si>
  <si>
    <t>predominantVegHeight</t>
  </si>
  <si>
    <t>PVH</t>
  </si>
  <si>
    <t>Predominant Vegetation Height</t>
  </si>
  <si>
    <t>The predominant height (the height of at least 50 percent) of the vegetation.</t>
  </si>
  <si>
    <t>predominantVegZoneType</t>
  </si>
  <si>
    <t>VGZ</t>
  </si>
  <si>
    <t>Predominant Vegetation Zone Type</t>
  </si>
  <si>
    <t>The type of vegetation zone based on the predominant vegetation within an area.</t>
  </si>
  <si>
    <t>VgzCode</t>
  </si>
  <si>
    <t>predominantWaterDepth</t>
  </si>
  <si>
    <t>PWA</t>
  </si>
  <si>
    <t>Predominant Water Depth</t>
  </si>
  <si>
    <t>The predominant water depth (the depth of at least 50 percent), determined along a bank-to-bank cross section.</t>
  </si>
  <si>
    <t>Usually biased toward the maximum depths within the limits of the feature in order to support estimation of trafficability.</t>
  </si>
  <si>
    <t>predominantWaterBankHgt</t>
  </si>
  <si>
    <t>PWH</t>
  </si>
  <si>
    <t>Predominant Waterbody Bank Height</t>
  </si>
  <si>
    <t>The predominant height (the height of at least 50 percent) of the bank, measured from mean water level to the first break in slope above the mean water level.</t>
  </si>
  <si>
    <t>predominantWaterBankSlope</t>
  </si>
  <si>
    <t>PWS</t>
  </si>
  <si>
    <t>Predominant Waterbody Bank Slope</t>
  </si>
  <si>
    <t>The predominant slope (the slope of at least 50 percent) of the bank, measured from mean water level to the first accessible break in slope above the mean water level.</t>
  </si>
  <si>
    <t>presenceDateInterval</t>
  </si>
  <si>
    <t>DTV</t>
  </si>
  <si>
    <t>Presence Date Interval</t>
  </si>
  <si>
    <t>The date interval of the presence of an object (for example: a buoy).</t>
  </si>
  <si>
    <t>DtvStrucText</t>
  </si>
  <si>
    <t>primaryEnergyConsumeRate</t>
  </si>
  <si>
    <t>PEN</t>
  </si>
  <si>
    <t>Primary Energy Consumption Rate</t>
  </si>
  <si>
    <t>The annual amount of energy consumed for all uses (for example: residential, commercial and industrial) within an area.</t>
  </si>
  <si>
    <t>primaryEnvContaminant</t>
  </si>
  <si>
    <t>RD1</t>
  </si>
  <si>
    <t>Primary Environmental Contaminant</t>
  </si>
  <si>
    <t>The primary environmental contaminant within an area.</t>
  </si>
  <si>
    <t>Rd1Code</t>
  </si>
  <si>
    <t>primaryFrequency</t>
  </si>
  <si>
    <t>PFR</t>
  </si>
  <si>
    <t>Primary Frequency</t>
  </si>
  <si>
    <t>An indication that the radio frequency is the primary means of contacting the service or installation.</t>
  </si>
  <si>
    <t>primaryOperatingRange</t>
  </si>
  <si>
    <t>ORC</t>
  </si>
  <si>
    <t>Primary Operating Range</t>
  </si>
  <si>
    <t>The primary range of the NAVAID beyond which the capture of the signal is not completely assured.</t>
  </si>
  <si>
    <t>primaryStructMatChar</t>
  </si>
  <si>
    <t>PSC</t>
  </si>
  <si>
    <t>Primary Structural Material Characteristic</t>
  </si>
  <si>
    <t>The physical characteristic(s) (for example: particle size, morphology or consistency) of the primary type of material composing a feature.</t>
  </si>
  <si>
    <t>The basis for 'primary' may be, for example, compositional dominance or structural organization.</t>
  </si>
  <si>
    <t>PscCode</t>
  </si>
  <si>
    <t>privateInfoIndicator</t>
  </si>
  <si>
    <t>PRV</t>
  </si>
  <si>
    <t>Private Information Indicator</t>
  </si>
  <si>
    <t>An indication that information is designated as private and not to be generally released.</t>
  </si>
  <si>
    <t>For example, the information may represent system internal processing data.</t>
  </si>
  <si>
    <t>procedureAltitudeHeight</t>
  </si>
  <si>
    <t>PAH</t>
  </si>
  <si>
    <t>Procedure Altitude or Height</t>
  </si>
  <si>
    <t>A specified altitude/height flown operationally at or above the minimum altitude/height and established to accommodate a stabilized descent at a prescribed descent gradient/angle in the intermediate/final approach segment.</t>
  </si>
  <si>
    <t>procedureDescription</t>
  </si>
  <si>
    <t>PES</t>
  </si>
  <si>
    <t>Procedure Description</t>
  </si>
  <si>
    <t>A textual description of a visual or instrument flight procedure, or segment thereof, which may include arrivals and departures.</t>
  </si>
  <si>
    <t>Information should include, but not be limited to routing, heading, altitude and contact information.</t>
  </si>
  <si>
    <t>Arrival Route Description, Departure Route Description, IAP Description, SID Description, STAR Description</t>
  </si>
  <si>
    <t>procedureDesignCriteria</t>
  </si>
  <si>
    <t>PDC</t>
  </si>
  <si>
    <t>Procedure Design Criteria</t>
  </si>
  <si>
    <t>The set of rules used to design and evaluate visual and/or instrument flight procedures.</t>
  </si>
  <si>
    <t>PdcCode</t>
  </si>
  <si>
    <t>procedureDesignator</t>
  </si>
  <si>
    <t>PD1</t>
  </si>
  <si>
    <t>Procedure Designator</t>
  </si>
  <si>
    <t>A limited series of characters by which the flight procedure is identified in electronic systems.</t>
  </si>
  <si>
    <t>The designator is a shortened form of the procedure identification, in accordance with the appropriate organisational naming convention.</t>
  </si>
  <si>
    <t>SID Designator, STAR Designator, OID Designator, IAP Designator</t>
  </si>
  <si>
    <t>Pd1StrucText</t>
  </si>
  <si>
    <t>procedureIdentification</t>
  </si>
  <si>
    <t>PCD</t>
  </si>
  <si>
    <t>Procedure Identification</t>
  </si>
  <si>
    <t>The official identification of the flight procedure as established in accordance with the appropriate naming convention.</t>
  </si>
  <si>
    <t>Examples of the naming convention are specified in PANS-OPS Doc. 8168, Vol. 2, Part 1, Section 4, Chapter 9.</t>
  </si>
  <si>
    <t>Procedure Name</t>
  </si>
  <si>
    <t>PidStrucText</t>
  </si>
  <si>
    <t>procedureLowerLimit</t>
  </si>
  <si>
    <t>PLL</t>
  </si>
  <si>
    <t>Procedure Lower Limit</t>
  </si>
  <si>
    <t>The minimum allowed altitude for the flight procedure segment.</t>
  </si>
  <si>
    <t>procedureMinimaType</t>
  </si>
  <si>
    <t>PMT</t>
  </si>
  <si>
    <t>Procedure Minima Type</t>
  </si>
  <si>
    <t>The usage of the established minimum weather condition requirements for landing, based on whether the aerodrome is serving as an alternate to the original destination of the aircraft.</t>
  </si>
  <si>
    <t>PmtCode</t>
  </si>
  <si>
    <t>procMinimumSpeed</t>
  </si>
  <si>
    <t>PMS</t>
  </si>
  <si>
    <t>Procedure Minimum Speed</t>
  </si>
  <si>
    <t>The minimum permitted speed of an aircraft when travelling along a specified flight procedure route or segment.</t>
  </si>
  <si>
    <t>procRecommendedSpeed</t>
  </si>
  <si>
    <t>RSP</t>
  </si>
  <si>
    <t>Procedure Recommended Speed</t>
  </si>
  <si>
    <t>The recommended speed of an aircraft for a specified flight procedure route or segment, as advocated by air traffic control or the procedure designer.</t>
  </si>
  <si>
    <t>procedureSegmentAltitude</t>
  </si>
  <si>
    <t>PSA</t>
  </si>
  <si>
    <t>Procedure Segment Altitude</t>
  </si>
  <si>
    <t>The specified altitude for use with any flight procedure segment.</t>
  </si>
  <si>
    <t>procedureSegmentCourse</t>
  </si>
  <si>
    <t>PCS</t>
  </si>
  <si>
    <t>Procedure Segment Course</t>
  </si>
  <si>
    <t>The radial, course or bearing from the starting point to the end point of the flight procedure segment.</t>
  </si>
  <si>
    <t>Course Angle, Track Angle</t>
  </si>
  <si>
    <t>procedureSegmentLength</t>
  </si>
  <si>
    <t>PSL</t>
  </si>
  <si>
    <t>Procedure Segment Length</t>
  </si>
  <si>
    <t>The longitudinal extent of a flight procedure segment.</t>
  </si>
  <si>
    <t>procedureSegmentTime</t>
  </si>
  <si>
    <t>PTS</t>
  </si>
  <si>
    <t>Procedure Segment Time</t>
  </si>
  <si>
    <t>The length of time the aircraft should maintain track on the flight procedure segment.</t>
  </si>
  <si>
    <t>PtsStrucText</t>
  </si>
  <si>
    <t>procedureSpeedLimit</t>
  </si>
  <si>
    <t>SLP</t>
  </si>
  <si>
    <t>Procedure Speed Limit</t>
  </si>
  <si>
    <t>The maximum speed of the aircraft permitted for a particular flight procedure route or segment.</t>
  </si>
  <si>
    <t>procedureTurnRequired</t>
  </si>
  <si>
    <t>PTR</t>
  </si>
  <si>
    <t>Procedure Turn Required</t>
  </si>
  <si>
    <t>A Boolean indicating if a flight procedure turn is required at the end of the segment.</t>
  </si>
  <si>
    <t>A procedure turn is a manoeuvre in which a turn is made away from a designated track followed by a turn in the opposite direction to permit the aircraft to intercept and proceed along the reciprocal of the designated track. Note 1: Procedure turns are designated 'left' or 'right' according to the direction of the initial turn. Note 2: Procedure turns may be designated as being made either in level flight or while descending, according to the circumstances of each individual procedure.</t>
  </si>
  <si>
    <t>procedureUpperLimit</t>
  </si>
  <si>
    <t>PUL</t>
  </si>
  <si>
    <t>Procedure Upper Limit</t>
  </si>
  <si>
    <t>The maximum allowed altitude for the flight procedure segment.</t>
  </si>
  <si>
    <t>processStepDateTime</t>
  </si>
  <si>
    <t>PRD</t>
  </si>
  <si>
    <t>Process Step Date and Time</t>
  </si>
  <si>
    <t>The date and time, or range of date and time, on or over which a process step occurred.</t>
  </si>
  <si>
    <t>A process step is an event or transformation in the life of a dataset that is used to define, review and/or update the digital representation of a feature and/or attribute.</t>
  </si>
  <si>
    <t>PrdStrucText</t>
  </si>
  <si>
    <t>processStepDescription</t>
  </si>
  <si>
    <t>PRE</t>
  </si>
  <si>
    <t>Process Step Description</t>
  </si>
  <si>
    <t>A narrative or other textual description of a process step, including related processing parameters and/or tolerances.</t>
  </si>
  <si>
    <t>A process step is an event or transformation in the life of a dataset that is used to define, review and/or update the digital representation of a feature and/or attribute. No restriction is placed on the length of the description.</t>
  </si>
  <si>
    <t>PreStrucText</t>
  </si>
  <si>
    <t>processStepProcessor</t>
  </si>
  <si>
    <t>PSP</t>
  </si>
  <si>
    <t>Process Step Processor</t>
  </si>
  <si>
    <t>The identity of, and means of communication with, person(s) and/or organisation(s) associated with a process step.</t>
  </si>
  <si>
    <t>PspStrucText</t>
  </si>
  <si>
    <t>processStepRationale</t>
  </si>
  <si>
    <t>PRR</t>
  </si>
  <si>
    <t>Process Step Rationale</t>
  </si>
  <si>
    <t>A narrative or other textual description of the requirement or purpose for a process step.</t>
  </si>
  <si>
    <t>A process step is an event or transformation in the life of a dataset that is used to define, review and/or update the digital representation of a feature and/or attribute. No restriction is placed on the length of the rationale.</t>
  </si>
  <si>
    <t>PrrStrucText</t>
  </si>
  <si>
    <t>product</t>
  </si>
  <si>
    <t>PPO</t>
  </si>
  <si>
    <t>Product</t>
  </si>
  <si>
    <t>The principal product(s) resulting from a production, mining, or agricultural activity.</t>
  </si>
  <si>
    <t>If multiple products are specified then they are usually listed in descending order of importance.</t>
  </si>
  <si>
    <t>PpoCode</t>
  </si>
  <si>
    <t>productionRate</t>
  </si>
  <si>
    <t>PRA</t>
  </si>
  <si>
    <t>Production Rate</t>
  </si>
  <si>
    <t>The quantity of products produced per unit of time.</t>
  </si>
  <si>
    <t>protectedNaturalElement</t>
  </si>
  <si>
    <t>PNE</t>
  </si>
  <si>
    <t>Protected Natural Element</t>
  </si>
  <si>
    <t>The type of a natural element considered important enough to be protected against endangering influences.</t>
  </si>
  <si>
    <t>PneCode</t>
  </si>
  <si>
    <t>protectiveFunction</t>
  </si>
  <si>
    <t>PIT</t>
  </si>
  <si>
    <t>Protective Function</t>
  </si>
  <si>
    <t>The type of protective step taken to preserve the environment against threats.</t>
  </si>
  <si>
    <t>For example, protection against emissions or natural influences.</t>
  </si>
  <si>
    <t>PitCode</t>
  </si>
  <si>
    <t>protectiveMarkingAuth</t>
  </si>
  <si>
    <t>ONA</t>
  </si>
  <si>
    <t>Protective Marking Authority</t>
  </si>
  <si>
    <t>A code denoting the organisation or country that is responsible for establishing and setting the protective marking level.</t>
  </si>
  <si>
    <t>The text could be a trigraph country codes in accordance with ISO 3166, tetragraph or pentagraph international organizations (for example: 'NATO' for the North Atlantic Treaty Organization and 'SFOR' for Stabilisation Forces) or any name of agency or company.</t>
  </si>
  <si>
    <t>OnaStrucText</t>
  </si>
  <si>
    <t>publicAccommFacilityType</t>
  </si>
  <si>
    <t>PAF</t>
  </si>
  <si>
    <t>Public Accommodation Facility Type</t>
  </si>
  <si>
    <t>The type of a facility or building that is used for accommodating the public but not as a permanent or long term dwelling.</t>
  </si>
  <si>
    <t>PafCode</t>
  </si>
  <si>
    <t>publicServiceFacilityType</t>
  </si>
  <si>
    <t>PSF</t>
  </si>
  <si>
    <t>Public Service Facility Type</t>
  </si>
  <si>
    <t>The type of a facility or building that is used to provide service(s) to the general population.</t>
  </si>
  <si>
    <t>The service(s) may be associated with a government or private entity but are not normally associated with the act of governing.</t>
  </si>
  <si>
    <t>PsfCode</t>
  </si>
  <si>
    <t>publicationReference</t>
  </si>
  <si>
    <t>PBR</t>
  </si>
  <si>
    <t>Publication Reference</t>
  </si>
  <si>
    <t>Specifies a specific paragraph in a publication (for example: a Notice to Mariners).</t>
  </si>
  <si>
    <t>pylonConfiguration</t>
  </si>
  <si>
    <t>PYC</t>
  </si>
  <si>
    <t>Pylon Configuration</t>
  </si>
  <si>
    <t>The configuration of a pylon or pole.</t>
  </si>
  <si>
    <t>PycCode</t>
  </si>
  <si>
    <t>pylonMaterial</t>
  </si>
  <si>
    <t>PYM</t>
  </si>
  <si>
    <t>Pylon Material</t>
  </si>
  <si>
    <t>The primary type of material composing a pylon.</t>
  </si>
  <si>
    <t>PymCode</t>
  </si>
  <si>
    <t>racingType</t>
  </si>
  <si>
    <t>RAY</t>
  </si>
  <si>
    <t>Racing Type</t>
  </si>
  <si>
    <t>The type(s) of racing held at a site or facility.</t>
  </si>
  <si>
    <t>RayCode</t>
  </si>
  <si>
    <t>racingVehicleType</t>
  </si>
  <si>
    <t>RAV</t>
  </si>
  <si>
    <t>Racing Vehicle Type</t>
  </si>
  <si>
    <t>The type of a motor vehicle used in racing, based on its design and motive power.</t>
  </si>
  <si>
    <t>RavCode</t>
  </si>
  <si>
    <t>radarAntennaConfiguration</t>
  </si>
  <si>
    <t>RAC</t>
  </si>
  <si>
    <t>Radar Antenna Configuration</t>
  </si>
  <si>
    <t>The physical mounting and/or configuration of a radar antenna.</t>
  </si>
  <si>
    <t>RacCode</t>
  </si>
  <si>
    <t>radarMonitoring</t>
  </si>
  <si>
    <t>RAM</t>
  </si>
  <si>
    <t>Radar Monitoring</t>
  </si>
  <si>
    <t>An indication that radar monitoring is available via a specified communications service.</t>
  </si>
  <si>
    <t>radarReflectorPresent</t>
  </si>
  <si>
    <t>REF</t>
  </si>
  <si>
    <t>Radar Reflector Present</t>
  </si>
  <si>
    <t>An indication that an object has an associated radar reflector.</t>
  </si>
  <si>
    <t>radarStationFunction</t>
  </si>
  <si>
    <t>RAS</t>
  </si>
  <si>
    <t>Radar Station Function</t>
  </si>
  <si>
    <t>The primary purpose served by a radar station.</t>
  </si>
  <si>
    <t>RasCode</t>
  </si>
  <si>
    <t>radarWaveLength</t>
  </si>
  <si>
    <t>RWL</t>
  </si>
  <si>
    <t>Radar Wave Length</t>
  </si>
  <si>
    <t>The distance between two successive peaks (or other points of identical phase) on a electromagnetic wave in the radar band of the electromagnetic spectrum.</t>
  </si>
  <si>
    <t>radioCommChanFlightChecked</t>
  </si>
  <si>
    <t>RCF</t>
  </si>
  <si>
    <t>Radio Communication Channel Flight Checked</t>
  </si>
  <si>
    <t>An indication that the communication channel has been checked in flight by the appropriate authority.</t>
  </si>
  <si>
    <t>radioCommChanSelCallAvail</t>
  </si>
  <si>
    <t>SEL</t>
  </si>
  <si>
    <t>Radio Communication Channel Selective Calling (SELCAL) Available</t>
  </si>
  <si>
    <t>An indication that selective calling (SELCAL) is available on the particular frequency.</t>
  </si>
  <si>
    <t>Selective calling is a system which permits the selective calling of individual aircraft over radio telephone channels linking a ground station with the aircraft.</t>
  </si>
  <si>
    <t>radioCommDirection</t>
  </si>
  <si>
    <t>RCO</t>
  </si>
  <si>
    <t>Radio Communication Direction</t>
  </si>
  <si>
    <t>The directionality of the communication channel.</t>
  </si>
  <si>
    <t>For example: uplink, downlink, or bidirectional.</t>
  </si>
  <si>
    <t>RcoCode</t>
  </si>
  <si>
    <t>radioNavServCoverageType</t>
  </si>
  <si>
    <t>RNC</t>
  </si>
  <si>
    <t>Radio Navigation Service Coverage Type</t>
  </si>
  <si>
    <t>NAVAID Coverage Type</t>
  </si>
  <si>
    <t>RncCode</t>
  </si>
  <si>
    <t>radioNavServLimitationType</t>
  </si>
  <si>
    <t>RNL</t>
  </si>
  <si>
    <t>Radio Navigation Service Limitation Type</t>
  </si>
  <si>
    <t>The type of factor which would detract expected performance of a navigational aid signal circular sector.</t>
  </si>
  <si>
    <t>NAVAID Limit Type</t>
  </si>
  <si>
    <t>RnlCode</t>
  </si>
  <si>
    <t>radioStationClassification</t>
  </si>
  <si>
    <t>ROS</t>
  </si>
  <si>
    <t>Radio Station Classification</t>
  </si>
  <si>
    <t>Tabulates types of radio stations.</t>
  </si>
  <si>
    <t>RosCode</t>
  </si>
  <si>
    <t>radiofrequencyBand</t>
  </si>
  <si>
    <t>RFB</t>
  </si>
  <si>
    <t>Radiofrequency Band</t>
  </si>
  <si>
    <t>The radiofrequency band the equipment or facility operates in.</t>
  </si>
  <si>
    <t>RfbCode</t>
  </si>
  <si>
    <t>railwayClass</t>
  </si>
  <si>
    <t>RWC</t>
  </si>
  <si>
    <t>Railway Class</t>
  </si>
  <si>
    <t>The class of a railway based on its importance in the general transportation network.</t>
  </si>
  <si>
    <t>RwcCode</t>
  </si>
  <si>
    <t>railwayDensity</t>
  </si>
  <si>
    <t>RWD</t>
  </si>
  <si>
    <t>Railway Density</t>
  </si>
  <si>
    <t>The average length of railways (in kilometres) per 100 square kilometres, within an area.</t>
  </si>
  <si>
    <t>railwayGauge</t>
  </si>
  <si>
    <t>GAW</t>
  </si>
  <si>
    <t>Railway Gauge</t>
  </si>
  <si>
    <t>The distance between a single pair of rails of a railway, measured along the shortest distance from inside rail to inside rail.</t>
  </si>
  <si>
    <t>railwayGaugeClass</t>
  </si>
  <si>
    <t>RGC</t>
  </si>
  <si>
    <t>Railway Gauge Classification</t>
  </si>
  <si>
    <t>The classification of a railway based on the distance between a single pair of rails, measured along the shortest distance from inside rail to inside rail.</t>
  </si>
  <si>
    <t>RgcCode</t>
  </si>
  <si>
    <t>railwayInRoad</t>
  </si>
  <si>
    <t>RIR</t>
  </si>
  <si>
    <t>Railway in Road</t>
  </si>
  <si>
    <t>An indication that a railway track is located within the bounds of a roadbed.</t>
  </si>
  <si>
    <t>For example, an infrequently used railway spur in a roadway or a carline running (regularly) in a roadway.</t>
  </si>
  <si>
    <t>railwayPowerMethod</t>
  </si>
  <si>
    <t>RRA</t>
  </si>
  <si>
    <t>Railway Power Method</t>
  </si>
  <si>
    <t>The method by which electrical power is distributed on a railway, if any.</t>
  </si>
  <si>
    <t>RraCode</t>
  </si>
  <si>
    <t>railwayTrackMaxAxleLoad</t>
  </si>
  <si>
    <t>RMA</t>
  </si>
  <si>
    <t>Railway Track Maximum Axle Load</t>
  </si>
  <si>
    <t>The maximum load allowable from a single axle of a railway vehicle (for example: a locomotive or a rail wagon) on a railway track.</t>
  </si>
  <si>
    <t>The maximum allowable load is calculated in terms of equivalent uniform load for trains travelling at 30 kilometres per hour where the units of measurement are understood to be tons per linear metre per track.</t>
  </si>
  <si>
    <t>railwayUse</t>
  </si>
  <si>
    <t>RRC</t>
  </si>
  <si>
    <t>Railway Use</t>
  </si>
  <si>
    <t>The use(s) to which a railway is put as part of a transportation system.</t>
  </si>
  <si>
    <t>RrcCode</t>
  </si>
  <si>
    <t>rangeOfEffectiveness</t>
  </si>
  <si>
    <t>RAN</t>
  </si>
  <si>
    <t>Range of Effectiveness</t>
  </si>
  <si>
    <t>The radius of effectiveness of an omnidirectional radiometric navigational aid.</t>
  </si>
  <si>
    <t>rangeOfSignal</t>
  </si>
  <si>
    <t>RNG</t>
  </si>
  <si>
    <t>Range of Signal</t>
  </si>
  <si>
    <t>The range from a navigational aid at which it normally can be detected.</t>
  </si>
  <si>
    <t>rapidClass</t>
  </si>
  <si>
    <t>CLR</t>
  </si>
  <si>
    <t>Rapid Class</t>
  </si>
  <si>
    <t>The relative difficulty of traversing a rapid based on the International Scale of River Difficulty.</t>
  </si>
  <si>
    <t>The scale was developed by American Whitewater, a river conservation group.</t>
  </si>
  <si>
    <t>ClrCode</t>
  </si>
  <si>
    <t>ratedFlowCapacity</t>
  </si>
  <si>
    <t>CAP</t>
  </si>
  <si>
    <t>Rated Flow Capacity</t>
  </si>
  <si>
    <t>The flow capacity of a feature as stated in the design.</t>
  </si>
  <si>
    <t>rawMaterial</t>
  </si>
  <si>
    <t>PRW</t>
  </si>
  <si>
    <t>Raw Material</t>
  </si>
  <si>
    <t>The principal 'raw', or input, material(s) involved in a production activity.</t>
  </si>
  <si>
    <t>If multiple 'raw' materials are specified then they are usually listed in descending order of importance.</t>
  </si>
  <si>
    <t>PrwCode</t>
  </si>
  <si>
    <t>rawMaterialClass</t>
  </si>
  <si>
    <t>RMN</t>
  </si>
  <si>
    <t>Raw Material Class</t>
  </si>
  <si>
    <t>The general classification of a raw material based on its origin, composition, and/or utilization.</t>
  </si>
  <si>
    <t>For example, a metallic ore.</t>
  </si>
  <si>
    <t>RmnCode</t>
  </si>
  <si>
    <t>recommendedChannel</t>
  </si>
  <si>
    <t>RCH</t>
  </si>
  <si>
    <t>Recommended Channel</t>
  </si>
  <si>
    <t>An indication that a navigation channel, in a situation where there exist multiple channels, is the one recommended by local authorities for use by general maritime traffic.</t>
  </si>
  <si>
    <t>recommendedTrackAssoc</t>
  </si>
  <si>
    <t>RTS</t>
  </si>
  <si>
    <t>Recommended Track Associated</t>
  </si>
  <si>
    <t>An indication that a feature is associated with a recommended track.</t>
  </si>
  <si>
    <t>rvsmLowerLimit</t>
  </si>
  <si>
    <t>RLL</t>
  </si>
  <si>
    <t>Reduced Vertical Separation Minimum (RVSM) Lower Limit</t>
  </si>
  <si>
    <t>The altitude or flight level of the bottom of the Reduced Vertical Separation Minimum (RVSM) Airspace or RVSM portion of an airspace.</t>
  </si>
  <si>
    <t>rvsmPointType</t>
  </si>
  <si>
    <t>RVS</t>
  </si>
  <si>
    <t>Reduced Vertical Separation Minimum (RVSM) Point Type</t>
  </si>
  <si>
    <t>The type of end point of the Reduced Vertical Separation Minimum (RVSM) route segment.</t>
  </si>
  <si>
    <t>For example: an RVSM entry point, or an RVSM exit point.</t>
  </si>
  <si>
    <t>RvsCode</t>
  </si>
  <si>
    <t>rvsmUpperLimit</t>
  </si>
  <si>
    <t>RUL</t>
  </si>
  <si>
    <t>Reduced Vertical Separation Minimum (RVSM) Upper Limit</t>
  </si>
  <si>
    <t>The altitude or flight level of the top of the Reduced Vertical Separation Minimum (RVSM) Airspace or RVSM portion of an airspace.</t>
  </si>
  <si>
    <t>refPathIdentifier</t>
  </si>
  <si>
    <t>RFP</t>
  </si>
  <si>
    <t>Reference Path Identifier</t>
  </si>
  <si>
    <t>The unique designator of the final approach segment data block information.</t>
  </si>
  <si>
    <t>RfpStrucText</t>
  </si>
  <si>
    <t>refPointDetermineMethod</t>
  </si>
  <si>
    <t>RPD</t>
  </si>
  <si>
    <t>Reference Point Determination Method</t>
  </si>
  <si>
    <t>The method used to derive the reference point (RP) of an airport using operational runways.</t>
  </si>
  <si>
    <t>RpdCode</t>
  </si>
  <si>
    <t>refStationDataSelector</t>
  </si>
  <si>
    <t>RSD</t>
  </si>
  <si>
    <t>Reference Station Data Selector</t>
  </si>
  <si>
    <t>The unique designator of the Ground Based Augmentation System (GBAS) ground subsystem.</t>
  </si>
  <si>
    <t>RsdStrucText</t>
  </si>
  <si>
    <t>referenceWaterLevel</t>
  </si>
  <si>
    <t>REW</t>
  </si>
  <si>
    <t>Reference Water Level</t>
  </si>
  <si>
    <t>The reference water level from which temporal offsets in a time-series of measurements (for example: current speed or current direction) are determined.</t>
  </si>
  <si>
    <t>RewCode</t>
  </si>
  <si>
    <t>refugeeCount</t>
  </si>
  <si>
    <t>RFN</t>
  </si>
  <si>
    <t>Refugee Count</t>
  </si>
  <si>
    <t>The total number of refugees that are forced to leave their home country.</t>
  </si>
  <si>
    <t>refugeeMigrationEndDate</t>
  </si>
  <si>
    <t>RFE</t>
  </si>
  <si>
    <t>Refugee Migration End Date</t>
  </si>
  <si>
    <t>The date that a refugee migration ended.</t>
  </si>
  <si>
    <t>RfeStrucText</t>
  </si>
  <si>
    <t>refugeeMigrationRate</t>
  </si>
  <si>
    <t>RFY</t>
  </si>
  <si>
    <t>Refugee Migration Rate</t>
  </si>
  <si>
    <t>The annual number of refugees that are forced to leave their home country.</t>
  </si>
  <si>
    <t>refugeeMigrationStartDate</t>
  </si>
  <si>
    <t>RFS</t>
  </si>
  <si>
    <t>Refugee Migration Start Date</t>
  </si>
  <si>
    <t>The date that a refugee migration began.</t>
  </si>
  <si>
    <t>RfsStrucText</t>
  </si>
  <si>
    <t>regionalAerodromeCount</t>
  </si>
  <si>
    <t>NRA</t>
  </si>
  <si>
    <t>Regional Aerodrome Count</t>
  </si>
  <si>
    <t>The total number of regional aerodromes within an area.</t>
  </si>
  <si>
    <t>registeredAutoCount</t>
  </si>
  <si>
    <t>NAU</t>
  </si>
  <si>
    <t>Registered Automobile Count</t>
  </si>
  <si>
    <t>The total number of all registered automobiles within an area.</t>
  </si>
  <si>
    <t>rejectTakeOffDistAvailHeli</t>
  </si>
  <si>
    <t>RTO</t>
  </si>
  <si>
    <t>Rejected Take-off Distance Available Helicopter (RTODAH)</t>
  </si>
  <si>
    <t>The length of the final approach and take-off area declared available and suitable for performance Class 1 helicopters to complete a rejected take-off.</t>
  </si>
  <si>
    <t>RTODAH</t>
  </si>
  <si>
    <t>relativeImportance</t>
  </si>
  <si>
    <t>ORD</t>
  </si>
  <si>
    <t>Relative Importance</t>
  </si>
  <si>
    <t>The relative importance of an object.</t>
  </si>
  <si>
    <t>For example, as an ordinal rank.</t>
  </si>
  <si>
    <t>OrdCode</t>
  </si>
  <si>
    <t>relativeLevel</t>
  </si>
  <si>
    <t>RLE</t>
  </si>
  <si>
    <t>Relative Level</t>
  </si>
  <si>
    <t>The relationship of the elevation of the terrain surface of or at the base of the feature and that of the surrounding terrain.</t>
  </si>
  <si>
    <t>The terrain may be either dry or submerged (for example: a waterbody bottom).</t>
  </si>
  <si>
    <t>RleCode</t>
  </si>
  <si>
    <t>releasability</t>
  </si>
  <si>
    <t>REX</t>
  </si>
  <si>
    <t>Releasability</t>
  </si>
  <si>
    <t>The countries or organizations to which the digital representation of the feature or data set is releasable.</t>
  </si>
  <si>
    <t>RexStrucText</t>
  </si>
  <si>
    <t>releasabilityRestriction</t>
  </si>
  <si>
    <t>QLE</t>
  </si>
  <si>
    <t>Releasability Restriction</t>
  </si>
  <si>
    <t>A description of any releasability restrictions applicable to information regarding the feature or data set.</t>
  </si>
  <si>
    <t>religion</t>
  </si>
  <si>
    <t>REB</t>
  </si>
  <si>
    <t>Religion</t>
  </si>
  <si>
    <t>The category of a belief in (a) super human being(s) with the help of which man achieves a spiritual and physical harmony and by which man wants to explain meaningful its existence as well as to bring its life into line.</t>
  </si>
  <si>
    <t>Mostly imparted by chosen ecclesiastical dignitaries. For example: Christianity, Islamism and Judaism.</t>
  </si>
  <si>
    <t>RebCode</t>
  </si>
  <si>
    <t>religionGroup</t>
  </si>
  <si>
    <t>REA</t>
  </si>
  <si>
    <t>Religion Group</t>
  </si>
  <si>
    <t>The religious group within which a religion has been categorized.</t>
  </si>
  <si>
    <t>A religious group shares the same basic principles of belief.</t>
  </si>
  <si>
    <t>ReaCode</t>
  </si>
  <si>
    <t>religiousCommCharacter</t>
  </si>
  <si>
    <t>REI</t>
  </si>
  <si>
    <t>Religious Community Characteristics</t>
  </si>
  <si>
    <t>A description of particular characteristics of the religious community within an area.</t>
  </si>
  <si>
    <t>religiousCommDesc</t>
  </si>
  <si>
    <t>RED</t>
  </si>
  <si>
    <t>Religious Community Description</t>
  </si>
  <si>
    <t>A description of a community of people whose shared belief system derives from a common religion.</t>
  </si>
  <si>
    <t>For example, Sunnite/Sunna or Shiite/Shia as religious communities of Islam.</t>
  </si>
  <si>
    <t>religiousCommFraction</t>
  </si>
  <si>
    <t>REQ</t>
  </si>
  <si>
    <t>Religious Community Fraction</t>
  </si>
  <si>
    <t>The fraction of the total population that are members of a particular religious community, within an area.</t>
  </si>
  <si>
    <t>religiousCommLeader</t>
  </si>
  <si>
    <t>REH</t>
  </si>
  <si>
    <t>Religious Community Leader</t>
  </si>
  <si>
    <t>The name of the head of the religious community within an area.</t>
  </si>
  <si>
    <t>religiousCommName</t>
  </si>
  <si>
    <t>REN</t>
  </si>
  <si>
    <t>Religious Community Name</t>
  </si>
  <si>
    <t>The name of the religion, religious community and/or religious persuasion used by the believers themselves.</t>
  </si>
  <si>
    <t>religiousCommPersuasion</t>
  </si>
  <si>
    <t>REG</t>
  </si>
  <si>
    <t>Religious Community Persuasion</t>
  </si>
  <si>
    <t>A fellowship of people whose shared beliefs are derived from a common religious community.</t>
  </si>
  <si>
    <t>For example, Alevite or Ismailite as persuasions of the Shiite/Shia.</t>
  </si>
  <si>
    <t>religiousDesignation</t>
  </si>
  <si>
    <t>REL</t>
  </si>
  <si>
    <t>Religious Designation</t>
  </si>
  <si>
    <t>A designation denoting a religion or system of belief.</t>
  </si>
  <si>
    <t>RelCode</t>
  </si>
  <si>
    <t>religiousFacilityType</t>
  </si>
  <si>
    <t>RFA</t>
  </si>
  <si>
    <t>Religious Facility Type</t>
  </si>
  <si>
    <t>The type of a facility, building, structure or site that is designed and designated to be used for religious activities, based on its structure and/or the principal activity for which it was designed.</t>
  </si>
  <si>
    <t>RfaCode</t>
  </si>
  <si>
    <t>remoteSensMineActuateMeth</t>
  </si>
  <si>
    <t>MIO</t>
  </si>
  <si>
    <t>Remote Sensing Mine Actuation Method</t>
  </si>
  <si>
    <t>The method used to trigger a remote sensing (non-contact non-influence) explosive mine.</t>
  </si>
  <si>
    <t>MioCode</t>
  </si>
  <si>
    <t>representationScale</t>
  </si>
  <si>
    <t>XSC</t>
  </si>
  <si>
    <t>Representation Scale</t>
  </si>
  <si>
    <t>The denominator (a positive, non-zero integer) of the nominal scale selected for the representation of a feature or feature set.</t>
  </si>
  <si>
    <t>requiredNavPerformanceType</t>
  </si>
  <si>
    <t>RNP</t>
  </si>
  <si>
    <t>Required Navigation Performance (RNP) Type</t>
  </si>
  <si>
    <t>A containment value expressed as a distance from the intended position within which flights would be located for at least 95 percent of the total flying time.</t>
  </si>
  <si>
    <t>For example: RNP 4 represents a navigation accuracy of plus or minus 7.4 kilometres (4 nautical miles) on a 95 percent containment basis. RNP is a statement of the navigation performance necessary for operation within a defined airspace.</t>
  </si>
  <si>
    <t>RNP Type</t>
  </si>
  <si>
    <t>researchFacilityType</t>
  </si>
  <si>
    <t>RES</t>
  </si>
  <si>
    <t>Research Facility Type</t>
  </si>
  <si>
    <t>The type of a facility or building that supports research and/or observation activities or functions.</t>
  </si>
  <si>
    <t>ResCode</t>
  </si>
  <si>
    <t>reserveVessel</t>
  </si>
  <si>
    <t>RVE</t>
  </si>
  <si>
    <t>Reserve Vessel</t>
  </si>
  <si>
    <t>An indication that a vessel is in reserve status and potentially could be made seaworthy through a reactivation process.</t>
  </si>
  <si>
    <t>For example, a reserve fleet is a collection of naval vessels that are fully equipped for fighting but are not currently needed. They may be modified, for instance by having rustprone areas sealed off or wrapped in plastic. Ships of the reserve fleet are usually moored in backwater areas near naval bases or shipyards, to speed the reactivation process.</t>
  </si>
  <si>
    <t>restrictHorizClearance</t>
  </si>
  <si>
    <t>HCC</t>
  </si>
  <si>
    <t>Restricted Horizontal Clearance</t>
  </si>
  <si>
    <t>An indication that horizontal clearance for vehicles on a land transportation route is restricted.</t>
  </si>
  <si>
    <t>Horizontal clearance affects the maximum width of loads that extend laterally beyond the wheels of a vehicle.</t>
  </si>
  <si>
    <t>restrictOverheadClearance</t>
  </si>
  <si>
    <t>OCC</t>
  </si>
  <si>
    <t>Restricted Overhead Clearance</t>
  </si>
  <si>
    <t>An indication that there is an overhead obstruction located less than 4.3 metres above a land transportation route.</t>
  </si>
  <si>
    <t>Vertical clearance affects the maximum height of vehicle loads. (Reference STANAG 2253)</t>
  </si>
  <si>
    <t>restrictionDeclassExempt</t>
  </si>
  <si>
    <t>(Geospatial Intelligence Feature Database (GIFD): 'RSTRN_DCLS_XMPT_CD') (MGCP Feature Catalogue: 'RSTRN_DCLS')</t>
  </si>
  <si>
    <t>RDE</t>
  </si>
  <si>
    <t>Restriction Declassification Exemption</t>
  </si>
  <si>
    <t>The reason that information regarding the feature or data set can not be declassified.</t>
  </si>
  <si>
    <t>Typically used when the information is classified (for example: TOP SECRET, SECRET, or CONFIDENTIAL); for unclassified data it may be left unpopulated.</t>
  </si>
  <si>
    <t>RdeCode</t>
  </si>
  <si>
    <t>retroReflectorHeight</t>
  </si>
  <si>
    <t>RHE</t>
  </si>
  <si>
    <t>Retro-reflector Height</t>
  </si>
  <si>
    <t>The vertical distance measured from the lowest point at ground or water level to the highest point of the retro-reflector.</t>
  </si>
  <si>
    <t>The height of retro-reflectors that are located in tidal water are measured from a specified vertical datum.</t>
  </si>
  <si>
    <t>retroReflectorPresent</t>
  </si>
  <si>
    <t>RPR</t>
  </si>
  <si>
    <t>Retro-reflector Present</t>
  </si>
  <si>
    <t>An indication that an object has an associated retro-reflector.</t>
  </si>
  <si>
    <t>A retro-reflector is a device or surface that reflects light back to its source with minimum light scattering. Retro-reflectors are used, for example, on road surfaces, road signs, vehicles and on unlighted maritime marks.</t>
  </si>
  <si>
    <t>reverseMagneticTrack</t>
  </si>
  <si>
    <t>MA6</t>
  </si>
  <si>
    <t>Reverse Magnetic Track</t>
  </si>
  <si>
    <t>The projection on the Earth's surface of the reciprocal of the path of an aircraft, the direction of which path at any point is expressed in degrees from Magnetic North, as published by the appropriate authority.</t>
  </si>
  <si>
    <t>reverseTrueTrack</t>
  </si>
  <si>
    <t>TR2</t>
  </si>
  <si>
    <t>Reverse True Track</t>
  </si>
  <si>
    <t>The projection on the Earth's surface of the reciprocal of the path of an aircraft, the direction of which path at any point is expressed in degrees from True North, as published by the appropriate authority.</t>
  </si>
  <si>
    <t>reviewSourceDateTime</t>
  </si>
  <si>
    <t>(Geospatial Intelligence Feature Database (GIFD): 'UPDATE_SOURCE_DATE') (MGCP Feature Catalogue: 'UPD_DATE')</t>
  </si>
  <si>
    <t>RDV</t>
  </si>
  <si>
    <t>Review Source Date and Time</t>
  </si>
  <si>
    <t>The date and, optionally, time of collection of the data set that was used to review and/or update the digital representation of the feature or data set.</t>
  </si>
  <si>
    <t>RdvStrucText</t>
  </si>
  <si>
    <t>reviewSourceDescription</t>
  </si>
  <si>
    <t>(Geospatial Intelligence Feature Database (GIFD): 'UPDATE_SOURCE_INFO') (MGCP Feature Catalogue: 'UPD_INFO')</t>
  </si>
  <si>
    <t>RDP</t>
  </si>
  <si>
    <t>Review Source Description</t>
  </si>
  <si>
    <t>A description of the data set that was used to review and/or update the digital representation of the feature or data set.</t>
  </si>
  <si>
    <t>No restriction is placed on the length of the description.</t>
  </si>
  <si>
    <t>reviewSourceType</t>
  </si>
  <si>
    <t>(Geospatial Intelligence Feature Database (GIFD): 'UPDATE_SOURCE  ') (MGCP Feature Catalogue: 'UPD_NAME')</t>
  </si>
  <si>
    <t>RVT</t>
  </si>
  <si>
    <t>Review Source Type</t>
  </si>
  <si>
    <t>The type(s) of the data set(s) that were used to review and/or update the digital representation of the feature or data set.</t>
  </si>
  <si>
    <t>For example, based on a data product specification.</t>
  </si>
  <si>
    <t>RvtCode</t>
  </si>
  <si>
    <t>rigPresent</t>
  </si>
  <si>
    <t>RIP</t>
  </si>
  <si>
    <t>Rig Present</t>
  </si>
  <si>
    <t>An indication that a rig is present.</t>
  </si>
  <si>
    <t>A rig is a superstructure fitted for drilling or lifting operations for extraction and/or exploitation of natural resources.</t>
  </si>
  <si>
    <t>rightBankAccuracyCategory</t>
  </si>
  <si>
    <t>ACR</t>
  </si>
  <si>
    <t>Right Bank Accuracy Category</t>
  </si>
  <si>
    <t>The accuracy of the geographic position of the right bank of a watercourse.</t>
  </si>
  <si>
    <t>AcrCode</t>
  </si>
  <si>
    <t>rightBankHeight</t>
  </si>
  <si>
    <t>BHR</t>
  </si>
  <si>
    <t>Right Bank Height</t>
  </si>
  <si>
    <t>The height of the right bank (facing downstream) above the average water level.</t>
  </si>
  <si>
    <t>rightBankShorelineType</t>
  </si>
  <si>
    <t>SHR</t>
  </si>
  <si>
    <t>Right Bank Shoreline Type</t>
  </si>
  <si>
    <t>The physical characteristics of the shoreline of the right bank of a watercourse.</t>
  </si>
  <si>
    <t>ShrCode</t>
  </si>
  <si>
    <t>rightBankSlope</t>
  </si>
  <si>
    <t>BGR</t>
  </si>
  <si>
    <t>Right Bank Slope</t>
  </si>
  <si>
    <t>The amount of upward inclination between the horizontal surface of the mean water level of a watercourse where it touches the right bank and the top of the first usable break in slope, measured at the same point on the upper right bank as the military gap width.</t>
  </si>
  <si>
    <t>The right bank is determined by facing downstream (in the direction of flow). The (percent) slope is determined as the change in height divided by the horizontal distance over which the change takes place, multiplied by one hundred: ((h2-h1)/d)*100.</t>
  </si>
  <si>
    <t>rightBankVegetationCover</t>
  </si>
  <si>
    <t>RBV</t>
  </si>
  <si>
    <t>Right Bank Vegetation Cover</t>
  </si>
  <si>
    <t>The fraction of vegetation cover on the right bank (facing downstream) of a watercourse.</t>
  </si>
  <si>
    <t>rightBelowWaterBankSlope</t>
  </si>
  <si>
    <t>BWR</t>
  </si>
  <si>
    <t>Right Below Water Bank Slope</t>
  </si>
  <si>
    <t>The amount of downward inclination between the horizontal surface of the mean water level of a watercourse where it touches the right bank and the first break in underwater slope.</t>
  </si>
  <si>
    <t>The right bank is determined by facing downstream (in the direction of flow). The (percent) slope is determined as the change in depth divided by the horizontal distance over which the change takes place, multiplied by one hundred: ((h2-h1)/d)*100.</t>
  </si>
  <si>
    <t>roadDensity</t>
  </si>
  <si>
    <t>DRO</t>
  </si>
  <si>
    <t>Road Density</t>
  </si>
  <si>
    <t>The average length of roads (in kilometres) per 100 square kilometres, within an area.</t>
  </si>
  <si>
    <t>roadInterchangeRamp</t>
  </si>
  <si>
    <t>ROR</t>
  </si>
  <si>
    <t>Road Interchange Ramp</t>
  </si>
  <si>
    <t>An indication that a road serves as a section of a road interchange, providing traffic access from one through road to another, but does not itself carry through traffic.</t>
  </si>
  <si>
    <t>Through roads normally are located on separate vertical levels, thus affording uninterrupted traffic flow, with at least one road being supported by a bridge and the other proceeding through an underpass. In the case of a rotary interchange on a single level there is no uninterrupted through route, therefore all traffic flows pass along road interchange ramps.</t>
  </si>
  <si>
    <t>roadInterchangeType</t>
  </si>
  <si>
    <t>RIT</t>
  </si>
  <si>
    <t>Road Interchange Type</t>
  </si>
  <si>
    <t>The type of physical arrangement of a road interchange.</t>
  </si>
  <si>
    <t>RitCode</t>
  </si>
  <si>
    <t>roadWeatherRestriction</t>
  </si>
  <si>
    <t>WTC</t>
  </si>
  <si>
    <t>Road Weather Restriction</t>
  </si>
  <si>
    <t>The type of weather conditions under which a road is usable.</t>
  </si>
  <si>
    <t>WtcCode</t>
  </si>
  <si>
    <t>rockFormationStructure</t>
  </si>
  <si>
    <t>RKF</t>
  </si>
  <si>
    <t>Rock Formation Structure</t>
  </si>
  <si>
    <t>The structure of a signficiant outcropping of exposed rock.</t>
  </si>
  <si>
    <t>RkfCode</t>
  </si>
  <si>
    <t>rockLayerDepth</t>
  </si>
  <si>
    <t>DRL</t>
  </si>
  <si>
    <t>Rock Layer Depth</t>
  </si>
  <si>
    <t>The depth to the upper surface of the rock layer.</t>
  </si>
  <si>
    <t>rockSedimentPorosity</t>
  </si>
  <si>
    <t>POR</t>
  </si>
  <si>
    <t>Rock or Sediment Porosity</t>
  </si>
  <si>
    <t>The ratio of the aggregate volume of pore space in a rock or sediment to its total volume.</t>
  </si>
  <si>
    <t>rockType</t>
  </si>
  <si>
    <t>STO</t>
  </si>
  <si>
    <t>Rock Type</t>
  </si>
  <si>
    <t>The general type of a rock based on its geologic origin and/or observed characteristics.</t>
  </si>
  <si>
    <t>StoCode</t>
  </si>
  <si>
    <t>roofCover</t>
  </si>
  <si>
    <t>DMR</t>
  </si>
  <si>
    <t>Roof Cover</t>
  </si>
  <si>
    <t>The portion of an area that contains structures having roofs or tops (for example: buildings and storage tanks).</t>
  </si>
  <si>
    <t>roofShape</t>
  </si>
  <si>
    <t>SSR</t>
  </si>
  <si>
    <t>Roof Shape</t>
  </si>
  <si>
    <t>The configuration(s) and/or appearance(s) of a roof.</t>
  </si>
  <si>
    <t>SsrCode</t>
  </si>
  <si>
    <t>roofed</t>
  </si>
  <si>
    <t>RFD</t>
  </si>
  <si>
    <t>Roofed</t>
  </si>
  <si>
    <t>An indication that a feature is covered by a roof.</t>
  </si>
  <si>
    <t>The roof may be supported by spaced pillars with intervening openings or the sides may be completely closed (for example: by walls or windows) and thus afford substantial protection from the weather.</t>
  </si>
  <si>
    <t>rotorDiameter</t>
  </si>
  <si>
    <t>ROD</t>
  </si>
  <si>
    <t>Rotor Diameter</t>
  </si>
  <si>
    <t>The diameter of a rotor.</t>
  </si>
  <si>
    <t>For example, the rotor of a wind turbine.</t>
  </si>
  <si>
    <t>routeClassification</t>
  </si>
  <si>
    <t>RCL</t>
  </si>
  <si>
    <t>Route Classification</t>
  </si>
  <si>
    <t>The type of a route based on the function or responsible authority.</t>
  </si>
  <si>
    <t>RclCode</t>
  </si>
  <si>
    <t>routeDesignation</t>
  </si>
  <si>
    <t>RTN</t>
  </si>
  <si>
    <t>Route Designation</t>
  </si>
  <si>
    <t>The official designation assigned to a route.</t>
  </si>
  <si>
    <t>For example, 'I-95', 'A-1', 'E-6', or 'M-5'. The route designation may continue along ferry crossing or ice routes in order to provide continuity with the transportation network.</t>
  </si>
  <si>
    <t>routeDesignationType</t>
  </si>
  <si>
    <t>ROI</t>
  </si>
  <si>
    <t>Route Designation Type</t>
  </si>
  <si>
    <t>The type of designation(s) of a road network according to the nature of service that it is intended to provide, as designated by international, national and/or other administrative authorities.</t>
  </si>
  <si>
    <t>The type(s) of route designation may continue along ferry crossing or ice routes in order to provide continuity with the transportation network.</t>
  </si>
  <si>
    <t>RoiCode</t>
  </si>
  <si>
    <t>routeIntendedUse</t>
  </si>
  <si>
    <t>RTT</t>
  </si>
  <si>
    <t>Route Intended Use</t>
  </si>
  <si>
    <t>The intended use of a maritime route.</t>
  </si>
  <si>
    <t>Unless stated otherwise, routeing systems are recommended for use by all ships and may be made mandatory for all ships, certain categories of ships or ships carrying certain cargoes, or types and quantities of bunker fuel. Routeing systems are intended for use by day and by night in all weathers, in ice-free waters or under light ice conditions where no extraordinary manoeuvres or icebreaker assistance are required.</t>
  </si>
  <si>
    <t>RttCode</t>
  </si>
  <si>
    <t>routeInterchangeDesignation</t>
  </si>
  <si>
    <t>ROG</t>
  </si>
  <si>
    <t>Route Interchange Designation</t>
  </si>
  <si>
    <t>The official designation assigned to a road interchange with respect to a route that passes through that interchange.</t>
  </si>
  <si>
    <t>For example, '5' or '32A'.</t>
  </si>
  <si>
    <t>routeJunctionConnectivity</t>
  </si>
  <si>
    <t>JCR</t>
  </si>
  <si>
    <t>Route Junction Connectivity</t>
  </si>
  <si>
    <t>The degree to which at a junction (meeting and/or crossing) of multiple routes, all routes can be accessed from all other routes.</t>
  </si>
  <si>
    <t>JcrCode</t>
  </si>
  <si>
    <t>routeJunctionType</t>
  </si>
  <si>
    <t>Route Junction Type</t>
  </si>
  <si>
    <t>The type of shape formed by the junction (meeting and/or crossing) of multiple routes.</t>
  </si>
  <si>
    <t>CrcCode</t>
  </si>
  <si>
    <t>routeMedianWidth</t>
  </si>
  <si>
    <t>RMW</t>
  </si>
  <si>
    <t>Route Median Width</t>
  </si>
  <si>
    <t>The width of a divider that separates adjacent route lanes or tracks in a land transportation route.</t>
  </si>
  <si>
    <t>The adjacent route lanes may carry traffic in opposing directions (for example: a divided highway or a dual track railway) or in the same direction (for example: a high-speed 'thru' lane and a local collector/distributor lane).</t>
  </si>
  <si>
    <t>routeMilitaryLoadClass</t>
  </si>
  <si>
    <t>MLC</t>
  </si>
  <si>
    <t>Route Military Load Classification</t>
  </si>
  <si>
    <t>The military load classification (MLC) of a route is a number which represents the safe load carrying capacity of a route and indicates the maximum MLC of vehicle that can be accepted under normal conditions.</t>
  </si>
  <si>
    <t>The MLC of the route is determined by first calculating the highest value of MLC (whether tracked or wheeled) for each structure along the route, and then selecting the lowest value from that list of structure-specific MLC values. See STANAGs 2021 and 2253 for the method of MLC calculation; see also AMovP-1(A), page 4-3.</t>
  </si>
  <si>
    <t>routeMinTravelledWayWidth</t>
  </si>
  <si>
    <t>WD1</t>
  </si>
  <si>
    <t>Route Minimum Travelled Way Width</t>
  </si>
  <si>
    <t>The minimum width of the travelled way of a route.</t>
  </si>
  <si>
    <t>Excludes pavements and shoulders.</t>
  </si>
  <si>
    <t>routeSignificance</t>
  </si>
  <si>
    <t>RSF</t>
  </si>
  <si>
    <t>Route Significance</t>
  </si>
  <si>
    <t>The significance of a route based on its importance within a national traffic network.</t>
  </si>
  <si>
    <t>Routes refer to the road traffic network and include roads, ferries, and vehicle shuttles.</t>
  </si>
  <si>
    <t>RsfCode</t>
  </si>
  <si>
    <t>routeSurfaceComposition</t>
  </si>
  <si>
    <t>ROC</t>
  </si>
  <si>
    <t>Route Surface Composition</t>
  </si>
  <si>
    <t>The composition(s) of a durable surface (for example: a pavement) intended to sustain ground traffic (for example: vehicular traffic or foot traffic).</t>
  </si>
  <si>
    <t>Depending on the traffic situation (for example: on a floor, in a courtyard, or on a road) different compositions may be used, however in general such surfaces are composed of pieces of a hard material fitted closely together (for example: cobble-stone or brick) or of an undivided hard layer (for example: concrete) so as to give a compact, uniform, and smooth surface.</t>
  </si>
  <si>
    <t>RocCode</t>
  </si>
  <si>
    <t>routeTotalUsableWidth</t>
  </si>
  <si>
    <t>WD2</t>
  </si>
  <si>
    <t>Route Total Usable Width</t>
  </si>
  <si>
    <t>The total usable width of the travelled way of a route.</t>
  </si>
  <si>
    <t>Includes pavements and shoulders.</t>
  </si>
  <si>
    <t>routeConstrictionType</t>
  </si>
  <si>
    <t>CON</t>
  </si>
  <si>
    <t>Route Width Constriction Type</t>
  </si>
  <si>
    <t>The type of a route width constriction based on the nature of the surrounding area.</t>
  </si>
  <si>
    <t>For example, reduction in road width to less than 4 metres is considered to be a constriction. Width restrictions cause vehicles and people to travel through narrow passages creating choke points.</t>
  </si>
  <si>
    <t>ConCode</t>
  </si>
  <si>
    <t>routeExpansionType</t>
  </si>
  <si>
    <t>EXP</t>
  </si>
  <si>
    <t>Route Width Expansion Type</t>
  </si>
  <si>
    <t>The type of a route width expansion based on the nature of the expansion and/or surrounding area.</t>
  </si>
  <si>
    <t>ExpCode</t>
  </si>
  <si>
    <t>runwayBearingStrength</t>
  </si>
  <si>
    <t>RBS</t>
  </si>
  <si>
    <t>Runway Bearing Strength</t>
  </si>
  <si>
    <t>The runway weight bearing capacity expressed in terms of the gross weight which is allowed for continuing operations.</t>
  </si>
  <si>
    <t>runwayCentreLineLocRole</t>
  </si>
  <si>
    <t>RCP</t>
  </si>
  <si>
    <t>Runway Centre-line Location Role</t>
  </si>
  <si>
    <t>The role of a location that is established along a runway direction centre-line based on its relationship to an intended use of the runway or runway-related equipment.</t>
  </si>
  <si>
    <t>RcpCode</t>
  </si>
  <si>
    <t>runwayCount</t>
  </si>
  <si>
    <t>RWU</t>
  </si>
  <si>
    <t>Runway Count</t>
  </si>
  <si>
    <t>The number of runways at a facility or site.</t>
  </si>
  <si>
    <t>runwayDesignator</t>
  </si>
  <si>
    <t>RID</t>
  </si>
  <si>
    <t>Runway Designator</t>
  </si>
  <si>
    <t>The designator of the runway that is used to uniquely identify it at an aerodrome.</t>
  </si>
  <si>
    <t>This may be used to identify either both directions of the runway (for example: '09/27' or '02R/20L') or one direction independently (for example: '27', '35L', '01R').</t>
  </si>
  <si>
    <t>RidStrucText</t>
  </si>
  <si>
    <t>runwayDisplacedArea</t>
  </si>
  <si>
    <t>RDA</t>
  </si>
  <si>
    <t>Runway Displaced Area</t>
  </si>
  <si>
    <t>An indication that a runway element is bounded at one end by a displaced runway threshold and at the other by a runway end.</t>
  </si>
  <si>
    <t>A runway threshold may be displaced from the end of the runway for a variety of purposes, such as for a safety area from jet blast in the case of a runway blast area, or for an obstacle free approach area in the case of a displaced threshold area.</t>
  </si>
  <si>
    <t>runwayEndType</t>
  </si>
  <si>
    <t>RWT</t>
  </si>
  <si>
    <t>Runway End Type</t>
  </si>
  <si>
    <t>Indicates high or low end of runway.</t>
  </si>
  <si>
    <t>RwtCode</t>
  </si>
  <si>
    <t>runwayExtenDist</t>
  </si>
  <si>
    <t>RXD</t>
  </si>
  <si>
    <t>Runway Extensibility Distance</t>
  </si>
  <si>
    <t>The distance in which the runway may be increased in length should an operational requirement exist.</t>
  </si>
  <si>
    <t>runwayIdentifierHighEnd</t>
  </si>
  <si>
    <t>RIH</t>
  </si>
  <si>
    <t>Runway Identifier - High End</t>
  </si>
  <si>
    <t>The higher degree identification of the runway.</t>
  </si>
  <si>
    <t>RihStrucText</t>
  </si>
  <si>
    <t>runwayIdentifierLowEnd</t>
  </si>
  <si>
    <t>RIL</t>
  </si>
  <si>
    <t>Runway Identifier - Low End</t>
  </si>
  <si>
    <t>The lower degree identification of the runway.</t>
  </si>
  <si>
    <t>RilStrucText</t>
  </si>
  <si>
    <t>runwayMagHeading</t>
  </si>
  <si>
    <t>MAH</t>
  </si>
  <si>
    <t>Runway Magnetic Heading</t>
  </si>
  <si>
    <t>The magnetic heading of a runway.</t>
  </si>
  <si>
    <t>runwayMaximumLength</t>
  </si>
  <si>
    <t>RWV</t>
  </si>
  <si>
    <t>Runway Maximum Length</t>
  </si>
  <si>
    <t>The length of the longest runway at a facility, site, or in an area.</t>
  </si>
  <si>
    <t>runwayMidpointElevation</t>
  </si>
  <si>
    <t>RME</t>
  </si>
  <si>
    <t>Runway Midpoint Elevation</t>
  </si>
  <si>
    <t>The runway elevation midway between its endpoints.</t>
  </si>
  <si>
    <t>runwayObservedLoading</t>
  </si>
  <si>
    <t>MDU</t>
  </si>
  <si>
    <t>Runway Observed Loading</t>
  </si>
  <si>
    <t>A description of the heaviest aircraft observed utilizing a runway.</t>
  </si>
  <si>
    <t>runwayOffsetLength</t>
  </si>
  <si>
    <t>ROL</t>
  </si>
  <si>
    <t>Runway Offset Length</t>
  </si>
  <si>
    <t>A value specifying the longitudinal offset of the strip, when it is not symmetrically extended beyond the two runway ends.</t>
  </si>
  <si>
    <t>The longitudinal offset defines the distance along the centreline from the middle of the runway centreline towards the middle of the strip centreline. An offset in the direction defined from the threshold with the lower runway direction designation number towards the opposite runway threshold is indicated by a positive value. An offset in the opposite sense is indicated by a negative value. For Example: a runway oriented 09/27 has a strip that is extending 120 metres before the threshold of the runway direction 09 and only 100 metres before the threshold of the runway direction 27. The value of the longitudinal offset will be -10 metres.</t>
  </si>
  <si>
    <t>runwayOffsetWidth</t>
  </si>
  <si>
    <t>ROW</t>
  </si>
  <si>
    <t>Runway Offset Width</t>
  </si>
  <si>
    <t>A value specifying the lateral offset of the strip, when it is not symmetrically extended beyond the two runway edges.</t>
  </si>
  <si>
    <t>The lateral offset defines the distance from the runway centreline to the strip centreline in direction perpendicular to the runway centreline. An offset to the right, based on the direction defined from the threshold with the lower runway direction designation number towards the opposite runway threshold, is indicated by a positive value. An offset to the left is indicated by a negative value. For Example: a runway oriented 09/27 has a strip that is extending 150 metres to the right of the runway direction 09 and 300 metres to the left of the same runway direction. The value of the lateral offset will be -75 metres.</t>
  </si>
  <si>
    <t>runwayTrueHeading</t>
  </si>
  <si>
    <t>TRH</t>
  </si>
  <si>
    <t>Runway True Heading</t>
  </si>
  <si>
    <t>The true heading of a runway.</t>
  </si>
  <si>
    <t>runwayVisualRange</t>
  </si>
  <si>
    <t>RVR</t>
  </si>
  <si>
    <t>Runway Visual Range (RVR)</t>
  </si>
  <si>
    <t>An instrumentally derived value, based on standard calibrations, that represents the range over which the pilot of an aircraft on the centre line of a runway can see the runway surface markings or the lights delineating the runway or identifying its centre line.</t>
  </si>
  <si>
    <t>The runway visual range is based on the sighting of either high intensity runway lights or on the visual contrast of other targets, whichever yields the greater visual range.</t>
  </si>
  <si>
    <t>runwayVisualRangeObsSite</t>
  </si>
  <si>
    <t>RVO</t>
  </si>
  <si>
    <t>Runway Visual Range Observation Site</t>
  </si>
  <si>
    <t>The general position of the transmissometer along the runway direction for which the Runway Visual Range (RVR) reading is provided.</t>
  </si>
  <si>
    <t>RvoCode</t>
  </si>
  <si>
    <t>safeHorizontalClearance</t>
  </si>
  <si>
    <t>SHC</t>
  </si>
  <si>
    <t>Safe Horizontal Clearance</t>
  </si>
  <si>
    <t>Minimum safe horizontal distance between adjacent structures on either side of a navigable channel.</t>
  </si>
  <si>
    <t>sandDuneOrientation</t>
  </si>
  <si>
    <t>SDO</t>
  </si>
  <si>
    <t>Sand Dune Orientation</t>
  </si>
  <si>
    <t>The characteristic direction of the steep slope face from the crest of a sand dune.</t>
  </si>
  <si>
    <t>Normally, the angular distance measured from true north (0 degrees) clockwise to the direction of the steep slope face in the downwind direction (0-360 degrees).</t>
  </si>
  <si>
    <t>sandDuneStabilized</t>
  </si>
  <si>
    <t>SAD</t>
  </si>
  <si>
    <t>Sand Dune Stabilized</t>
  </si>
  <si>
    <t>An indication that the height and location of a sand dune, or area of sand dunes, is unchanging.</t>
  </si>
  <si>
    <t>The dune(s) are usually vegetated and in consequence they are relatively unaffected by the scouring action of local winds.</t>
  </si>
  <si>
    <t>sandDuneType</t>
  </si>
  <si>
    <t>SDT</t>
  </si>
  <si>
    <t>Sand Dune Type</t>
  </si>
  <si>
    <t>The type of a sand dune based on its shape and/or structure.</t>
  </si>
  <si>
    <t>SdtCode</t>
  </si>
  <si>
    <t>satelliteBasedAugSystem</t>
  </si>
  <si>
    <t>SBA</t>
  </si>
  <si>
    <t>Satellite Based Augmentation System</t>
  </si>
  <si>
    <t>SbaCode</t>
  </si>
  <si>
    <t>sbasServiceProvider</t>
  </si>
  <si>
    <t>SVP</t>
  </si>
  <si>
    <t>Satellite Based Augmentation System (SBAS) Service Provider</t>
  </si>
  <si>
    <t>The unique designator of the satellite based augmentation system service provider for the final approach segment data block.</t>
  </si>
  <si>
    <t>SvpStrucText</t>
  </si>
  <si>
    <t>scaleDenominator</t>
  </si>
  <si>
    <t>(Geospatial Intelligence Feature Database (GIFD): 'SCALE')</t>
  </si>
  <si>
    <t>SCL</t>
  </si>
  <si>
    <t>Scale Denominator</t>
  </si>
  <si>
    <t>The modulus (denominator) of the nominal scale at which a feature or feature set was collected.</t>
  </si>
  <si>
    <t>The modulus of the scale is indicated, for example, the scale 1:25,000 is encoded as the integer value '25000'.</t>
  </si>
  <si>
    <t>sceneOfIncident</t>
  </si>
  <si>
    <t>PHE</t>
  </si>
  <si>
    <t>Scene of Incident</t>
  </si>
  <si>
    <t>The type of environment in which the incident occurred or is susceptible to occur.</t>
  </si>
  <si>
    <t>PheCode</t>
  </si>
  <si>
    <t>scrapType</t>
  </si>
  <si>
    <t>WSC</t>
  </si>
  <si>
    <t>Scrap Type</t>
  </si>
  <si>
    <t>The type(s) of scrap collected as a heap and/or strewn across a tract of land.</t>
  </si>
  <si>
    <t>WscCode</t>
  </si>
  <si>
    <t>screener</t>
  </si>
  <si>
    <t>SCE</t>
  </si>
  <si>
    <t>Screener</t>
  </si>
  <si>
    <t>An indication that a tree is an obstacle to water-borne movement because it has fallen or is heavily leaning over a watercourse while still rooted on the shore and not fully submerged.</t>
  </si>
  <si>
    <t>Its trunk and branches may form an obstruction in the river much like a strainer.</t>
  </si>
  <si>
    <t>seaFisheryCatch</t>
  </si>
  <si>
    <t>DSF</t>
  </si>
  <si>
    <t>Sea Fishery Catch</t>
  </si>
  <si>
    <t>The annual amount (by mass) of fish caught within an ocean area by registered ships.</t>
  </si>
  <si>
    <t>seaIceType</t>
  </si>
  <si>
    <t>ICC</t>
  </si>
  <si>
    <t>Sea Ice Type</t>
  </si>
  <si>
    <t>The type of ice in the sea based on origin, morphology and/or age.</t>
  </si>
  <si>
    <t>IccCode</t>
  </si>
  <si>
    <t>seasonalIceLimit</t>
  </si>
  <si>
    <t>SSE</t>
  </si>
  <si>
    <t>Seasonal Ice Limit</t>
  </si>
  <si>
    <t>The month of the seasonal limit of the presence of ice that poses a hazard to maritime traffic.</t>
  </si>
  <si>
    <t>Used to specify the month for which an ice limit line is determined; hazardous ice may be present up to the polar side of the ice limit line.</t>
  </si>
  <si>
    <t>SseStrucText</t>
  </si>
  <si>
    <t>seasonalMaxDepth</t>
  </si>
  <si>
    <t>SMX</t>
  </si>
  <si>
    <t>Seasonal Maximum Depth</t>
  </si>
  <si>
    <t>The largest value that the depth of inland water (for example a river or channel) will increase to due to seasonal variations.</t>
  </si>
  <si>
    <t>seasonalMinDepth</t>
  </si>
  <si>
    <t>SMN</t>
  </si>
  <si>
    <t>Seasonal Minimum Depth</t>
  </si>
  <si>
    <t>The lowest value that the depth of inland water (for example a river or channel) will drop to due to seasonal variations.</t>
  </si>
  <si>
    <t>secondBroadcastFrequency</t>
  </si>
  <si>
    <t>BR2</t>
  </si>
  <si>
    <t>Second Broadcast Frequency</t>
  </si>
  <si>
    <t>The alternate or second transmission frequency of a radio communications device (for example: a television station, a radiobeacon).</t>
  </si>
  <si>
    <t>Used for additional, alternate, and/or backup transmissions.</t>
  </si>
  <si>
    <t>secondaryIcaoIdentifier</t>
  </si>
  <si>
    <t>IK2</t>
  </si>
  <si>
    <t>Secondary ICAO Identifier</t>
  </si>
  <si>
    <t>The secondary International Civil Aviation Organization location identifier that is sometimes assigned to an air facility.</t>
  </si>
  <si>
    <t>KeyNonLex254</t>
  </si>
  <si>
    <t>secondaryOperatingRange</t>
  </si>
  <si>
    <t>OR2</t>
  </si>
  <si>
    <t>Secondary Operating Range</t>
  </si>
  <si>
    <t>The secondary range of the NAVAID beyond which the capture of the signal is not completely assured.</t>
  </si>
  <si>
    <t>secondaryPowerDescription</t>
  </si>
  <si>
    <t>SPO</t>
  </si>
  <si>
    <t>Secondary Power Description</t>
  </si>
  <si>
    <t>A description of the availability of emergency power supply for the feature.</t>
  </si>
  <si>
    <t>The description may include power available and switch-over time.</t>
  </si>
  <si>
    <t>secondaryRouteDesig</t>
  </si>
  <si>
    <t>RN2</t>
  </si>
  <si>
    <t>Secondary Route Designation</t>
  </si>
  <si>
    <t>The alternative official designation assigned to a route.</t>
  </si>
  <si>
    <t>For example, 'Eisenhower Highway' or 'Hudson River Expressway'.</t>
  </si>
  <si>
    <t>secondaryStructMatType</t>
  </si>
  <si>
    <t>MCS</t>
  </si>
  <si>
    <t>Secondary Structural Material Type</t>
  </si>
  <si>
    <t>The secondary type of material composing a feature, exclusive of the surface.</t>
  </si>
  <si>
    <t>The basis for 'secondary' may be, for example, compositional dominance or structural organization.</t>
  </si>
  <si>
    <t>McsCode</t>
  </si>
  <si>
    <t>secondOrderAdminDivName</t>
  </si>
  <si>
    <t>SAN</t>
  </si>
  <si>
    <t>Second-order Administrative Division Name</t>
  </si>
  <si>
    <t>The full name that designates a subdivision of a principal administrative division of a geopolitical entity (for example: a State).</t>
  </si>
  <si>
    <t>For example, in the United States a principal administrative division is a 'state' and a subdivision of a state is a 'county'; in the 'state' of 'Maryland' lies the 'county' of 'Montgomery County'.</t>
  </si>
  <si>
    <t>securityClassification</t>
  </si>
  <si>
    <t>(Geospatial Intelligence Feature Database (GIFD): 'SEC_CLASS') (MGCP Feature Catalogue: 'SEC_CLASS')</t>
  </si>
  <si>
    <t>SEC</t>
  </si>
  <si>
    <t>Security Classification</t>
  </si>
  <si>
    <t>The security classification of information regarding the feature or data set.</t>
  </si>
  <si>
    <t>SecCode</t>
  </si>
  <si>
    <t>securityClassAuthority</t>
  </si>
  <si>
    <t>(Geospatial Intelligence Feature Database (GIFD): 'SEC_CLS_AUTH_MULT') (Geospatial Intelligence Feature Database (GIFD): 'SEC_CLS_AUTHORITY') (MGCP Feature Catalogue: 'CLS_AUTH')</t>
  </si>
  <si>
    <t>STH</t>
  </si>
  <si>
    <t>Security Classification Authority</t>
  </si>
  <si>
    <t>The authority(ies) used to determine the security classification of information regarding the feature or data set.</t>
  </si>
  <si>
    <t>SthCode</t>
  </si>
  <si>
    <t>secClassAuthorityDesc</t>
  </si>
  <si>
    <t>(Geospatial Intelligence Feature Database (GIFD): 'SEC_CLS_AUTH_DESC')</t>
  </si>
  <si>
    <t>STD</t>
  </si>
  <si>
    <t>Security Classification Authority Description</t>
  </si>
  <si>
    <t>The non-standard authority used to determine the security classification of information regarding the feature or data set.</t>
  </si>
  <si>
    <t>Used when there is no appropriate Enumerant of Attribute: 'Security Classification Authority'.</t>
  </si>
  <si>
    <t>secClassSystem</t>
  </si>
  <si>
    <t>(Geospatial Intelligence Feature Database (GIFD): 'SEC_CLASS_SYS_ID')</t>
  </si>
  <si>
    <t>SES</t>
  </si>
  <si>
    <t>Security Classification System</t>
  </si>
  <si>
    <t>The security classification system used to assign the security classification to information regarding the feature or data set.</t>
  </si>
  <si>
    <t>For example, all DoD produced data is classified under DoD classification direction. Standard references for DoD and NATO are: Executive Order (EO) 12958, Section 1.3(a) for US classified material; Executive Order (EO) 12958, ISSO Directive 1 for US unclassified material; US Security Authority for NATO (USSAN) Instruction 1-69 for NATO classified material. For a data set produced by another agency or foreign government with their own particular classification (for example: Restricted or Confidential) then their agency or government is identified as specifying the Security Classification System of the data. See DoD 5200.1-R dated January 1997-Appendix 6, for a list of equivalences of foreign security classifications to US security classifications.</t>
  </si>
  <si>
    <t>securityFacilityType</t>
  </si>
  <si>
    <t>SFY</t>
  </si>
  <si>
    <t>Security Facility Type</t>
  </si>
  <si>
    <t>The type of a facility or building that is used for security and crowd control.</t>
  </si>
  <si>
    <t>SfyCode</t>
  </si>
  <si>
    <t>sedimentColour</t>
  </si>
  <si>
    <t>SCO</t>
  </si>
  <si>
    <t>Sediment Colour</t>
  </si>
  <si>
    <t>The general colour of a waterbody sediment based on the Geological Society of America (GSA) rock colour chart and the Munsell colour system.</t>
  </si>
  <si>
    <t>The Munsell system is based on a colour solid, or approximately a colour sphere, which has a neutral gray central axis grading from white at the top to black at the bottom. This property of lightness is called value. Around the circumference or equator of the solid are the ten major hues, each of which is divided into ten numbered divisions, so that 5 marks the middle of the hue, and 10 marks the boundary between one hue and the next. Thus, any particular hue can be designated by a number and a letter such as 5R or 10YR. Any single vertical section through the neutral gray axis and a particular hue constitutes a colour chart on which the colors grade in value from light at the top to dark at the bottom, and in chroma (degree of saturation) from gray at one edge to the most vivid colors out at the margin. Both value and chroma are numbered so any particular colour can be given a numerical designation representing hue, value, and chroma such as 5R 6/4 and 10YR 8/2. Colour names are based on the Inter-Society Color Council-National Bureau of Standards system of names.</t>
  </si>
  <si>
    <t>ScoCode</t>
  </si>
  <si>
    <t>sedimentGasContent</t>
  </si>
  <si>
    <t>SGP</t>
  </si>
  <si>
    <t>Sediment Gas Content</t>
  </si>
  <si>
    <t>The gas content of a sediment material.</t>
  </si>
  <si>
    <t>sedimentGrainSize</t>
  </si>
  <si>
    <t>SGS</t>
  </si>
  <si>
    <t>Sediment Grain Size</t>
  </si>
  <si>
    <t>The average grain size of the sediment material.</t>
  </si>
  <si>
    <t>segmentEndCondition</t>
  </si>
  <si>
    <t>SEN</t>
  </si>
  <si>
    <t>Segment End Condition</t>
  </si>
  <si>
    <t>A specification of the event that allows identifying the end of the leg and the start of the next leg on the procedure.</t>
  </si>
  <si>
    <t>For example: reaching an altitude or outbound timing.</t>
  </si>
  <si>
    <t>End Condition Designator</t>
  </si>
  <si>
    <t>seismicActivityMagnitude</t>
  </si>
  <si>
    <t>SSA</t>
  </si>
  <si>
    <t>Seismic Activity Magnitude</t>
  </si>
  <si>
    <t>The magnitude of a seismic event according to the Richter Scale.</t>
  </si>
  <si>
    <t>RealNonNeg0r0to9r9</t>
  </si>
  <si>
    <t>seismicDisturbanceType</t>
  </si>
  <si>
    <t>EQK</t>
  </si>
  <si>
    <t>Seismic Disturbance Type</t>
  </si>
  <si>
    <t>The type of a seismic disturbance based on its origin.</t>
  </si>
  <si>
    <t>For example, a volcanic earthquake.</t>
  </si>
  <si>
    <t>EqkCode</t>
  </si>
  <si>
    <t>sensorCalibrationPointUse</t>
  </si>
  <si>
    <t>NCU</t>
  </si>
  <si>
    <t>Sensor Calibration Point Use</t>
  </si>
  <si>
    <t>The use of the calibration point, based on the type of sensor being calibrated.</t>
  </si>
  <si>
    <t>NcuCode</t>
  </si>
  <si>
    <t>sequenceOfSignal</t>
  </si>
  <si>
    <t>SEQ</t>
  </si>
  <si>
    <t>Sequence of a Signal</t>
  </si>
  <si>
    <t>Specifies the sequence of times occupied by intervals of light and eclipse.</t>
  </si>
  <si>
    <t>SeqStrucText</t>
  </si>
  <si>
    <t>settlementPattern</t>
  </si>
  <si>
    <t>USP</t>
  </si>
  <si>
    <t>Settlement Pattern</t>
  </si>
  <si>
    <t>The pattern of settlement of an urban area based on the most frequently occurring geometric configuration (pattern) of streets and/or canals.</t>
  </si>
  <si>
    <t>UspCode</t>
  </si>
  <si>
    <t>settlementServiceLife</t>
  </si>
  <si>
    <t>SLD</t>
  </si>
  <si>
    <t>Settlement Service Life</t>
  </si>
  <si>
    <t>The use duration of a settlement, as a category.</t>
  </si>
  <si>
    <t>SldCode</t>
  </si>
  <si>
    <t>severityOfHazard</t>
  </si>
  <si>
    <t>SOH</t>
  </si>
  <si>
    <t>Severity of Hazard</t>
  </si>
  <si>
    <t>Severity of hazard.</t>
  </si>
  <si>
    <t>SohCode</t>
  </si>
  <si>
    <t>sewageTreatmentRate</t>
  </si>
  <si>
    <t>SWG</t>
  </si>
  <si>
    <t>Sewage Treatment Rate</t>
  </si>
  <si>
    <t>The quantity of sewage treated per unit of time.</t>
  </si>
  <si>
    <t>shaftSlopeOrientation</t>
  </si>
  <si>
    <t>SSO</t>
  </si>
  <si>
    <t>Shaft Slope Orientation</t>
  </si>
  <si>
    <t>The classification of the slope of a shaft of an underground feature (for example: an extraction mine).</t>
  </si>
  <si>
    <t>SsoCode</t>
  </si>
  <si>
    <t>shedType</t>
  </si>
  <si>
    <t>SUC</t>
  </si>
  <si>
    <t>Shed Type</t>
  </si>
  <si>
    <t>The type of use of a shed.</t>
  </si>
  <si>
    <t>SucCode</t>
  </si>
  <si>
    <t>shelterBelt</t>
  </si>
  <si>
    <t>SBC</t>
  </si>
  <si>
    <t>Shelter Belt</t>
  </si>
  <si>
    <t>An indication that a feature (for example: a linear stand of trees) functions as a shelter belt, protecting other features (for example: roads, railways, cropland, and/or structures) from the effects of adverse weather.</t>
  </si>
  <si>
    <t>shippingContainerType</t>
  </si>
  <si>
    <t>SHT</t>
  </si>
  <si>
    <t>Shipping Container Type</t>
  </si>
  <si>
    <t>The type of a shipping container based on its structural characteristics and/or intended use.</t>
  </si>
  <si>
    <t>ShtCode</t>
  </si>
  <si>
    <t>shippingLoadClass</t>
  </si>
  <si>
    <t>SLC</t>
  </si>
  <si>
    <t>Shipping Load Class</t>
  </si>
  <si>
    <t>A description of any load restrictions which apply to ships using a section of waterway or facility.</t>
  </si>
  <si>
    <t>shorelineConstructionDesc</t>
  </si>
  <si>
    <t>PWD</t>
  </si>
  <si>
    <t>Shoreline Construction Description</t>
  </si>
  <si>
    <t>The description of a shoreline construction (for example: a pier, warf or quay).</t>
  </si>
  <si>
    <t>The description may include, for example, the construction materials and colour.</t>
  </si>
  <si>
    <t>shorelineConstructionType</t>
  </si>
  <si>
    <t>PWC</t>
  </si>
  <si>
    <t>Shoreline Construction Type</t>
  </si>
  <si>
    <t>The type of a shoreline construction (for example: a pier, a wharf, or a quay).</t>
  </si>
  <si>
    <t>May be used as a means of subtyping Feature: 'Shoreline Construction'.</t>
  </si>
  <si>
    <t>PwcCode</t>
  </si>
  <si>
    <t>shorelineDelineated</t>
  </si>
  <si>
    <t>SHD</t>
  </si>
  <si>
    <t>Shoreline Delineated</t>
  </si>
  <si>
    <t>An indication that the delineation of a shoreline is definite.</t>
  </si>
  <si>
    <t>The delineation of the shoreline along a beach is typically definite whereas along a mangrove swamp it is typically indefinite.</t>
  </si>
  <si>
    <t>shorelineRampType</t>
  </si>
  <si>
    <t>SLR</t>
  </si>
  <si>
    <t>Shoreline Ramp Type</t>
  </si>
  <si>
    <t>The type of a shoreline ramp based on its design and intended use.</t>
  </si>
  <si>
    <t>May be used as a means of subtyping Feature: 'Shoreline Ramp'.</t>
  </si>
  <si>
    <t>SlrCode</t>
  </si>
  <si>
    <t>shorelineType</t>
  </si>
  <si>
    <t>SLT</t>
  </si>
  <si>
    <t>Shoreline Type</t>
  </si>
  <si>
    <t>The physical characteristics of a shoreline.</t>
  </si>
  <si>
    <t>SltCode</t>
  </si>
  <si>
    <t>shortName</t>
  </si>
  <si>
    <t>SNA</t>
  </si>
  <si>
    <t>A shortened form of a full name that could substitute for the full name and consists of the specific part of the full name.</t>
  </si>
  <si>
    <t>It usually includes the specific term(s) in the full name for the following types of features: geopolitical entities and their administrative divisions; specific geomorphologic forms (for example: islands, mountains, mountain passes, and rivers); specific places (for example: railway stations); and in general those full names that are in English (excepting those that are considered to be variants) or have been transliterated.</t>
  </si>
  <si>
    <t>shortNameNoDiacritics</t>
  </si>
  <si>
    <t>SN1</t>
  </si>
  <si>
    <t>Short Name without Diacritics</t>
  </si>
  <si>
    <t>A shortened form of a full name that could substitute for the full name and consists of the specific part of the full name, except that any diacritics and special characters have been replaced with their corresponding Roman characters.</t>
  </si>
  <si>
    <t>shoulderType</t>
  </si>
  <si>
    <t>RSH</t>
  </si>
  <si>
    <t>Shoulder Type</t>
  </si>
  <si>
    <t>The type of a reserved lane by the verge of a road.</t>
  </si>
  <si>
    <t>Road shoulders are generally kept clear of traffic for breakdown, emergency purposes and use by maintenance vehicles.</t>
  </si>
  <si>
    <t>RshCode</t>
  </si>
  <si>
    <t>signType</t>
  </si>
  <si>
    <t>SIA</t>
  </si>
  <si>
    <t>Sign Type</t>
  </si>
  <si>
    <t>The type of a sign based on its function and/or structure.</t>
  </si>
  <si>
    <t>SiaCode</t>
  </si>
  <si>
    <t>signalGroupPattern</t>
  </si>
  <si>
    <t>GRP</t>
  </si>
  <si>
    <t>Signal Group Pattern</t>
  </si>
  <si>
    <t>The number of signals, the combination of signals or the Morse character(s) within one period of full sequence of a repeating signal.</t>
  </si>
  <si>
    <t>GrpStrucText</t>
  </si>
  <si>
    <t>signalLimitMaxRange</t>
  </si>
  <si>
    <t>SLX</t>
  </si>
  <si>
    <t>Signal Limitation Maximum Range</t>
  </si>
  <si>
    <t>The distance from a radio navigational aid at which the radio signal becomes usable or reliable after a range of unusable signal.</t>
  </si>
  <si>
    <t>signalLimitMinRange</t>
  </si>
  <si>
    <t>SLN</t>
  </si>
  <si>
    <t>Signal Limitation Minimum Range</t>
  </si>
  <si>
    <t>The minimum distance from a radio navigational aid at which the radio signal becomes unusable or unreliable.</t>
  </si>
  <si>
    <t>signalStrengthTarget</t>
  </si>
  <si>
    <t>SIS</t>
  </si>
  <si>
    <t>Signal Strength of Target</t>
  </si>
  <si>
    <t>The strength of the returning signal from the target.</t>
  </si>
  <si>
    <t>sigPointAssocInAirspace</t>
  </si>
  <si>
    <t>SPU</t>
  </si>
  <si>
    <t>Significant Point Association Use in Airspace</t>
  </si>
  <si>
    <t>The manner in which a significant point is used in association to an airspace.</t>
  </si>
  <si>
    <t>For example: entry point or exit point.</t>
  </si>
  <si>
    <t xml:space="preserve">Significant Association Type </t>
  </si>
  <si>
    <t>SpuCode</t>
  </si>
  <si>
    <t>sigPointRelLocToAirspace</t>
  </si>
  <si>
    <t>SPR</t>
  </si>
  <si>
    <t>Significant Point Relative Location to Airspace</t>
  </si>
  <si>
    <t>The location of a significant point in relation to an airspace, as a category.</t>
  </si>
  <si>
    <t>For example: In, Out, or On Border.</t>
  </si>
  <si>
    <t>SprCode</t>
  </si>
  <si>
    <t>singleIsolatedWheelLoad</t>
  </si>
  <si>
    <t>SIW</t>
  </si>
  <si>
    <t>Single Isolated Wheel Load (SIWL)</t>
  </si>
  <si>
    <t>The maximum calculated load on each tire of a landing gear assembly that a movement area surface can support.</t>
  </si>
  <si>
    <t>The single isolated wheel load is computed by dividing the assembly load by the number of tires on the assembly. There may be a different value for each landing gear assembly on the aircraft.</t>
  </si>
  <si>
    <t>SIWL Weight</t>
  </si>
  <si>
    <t>siwlTireInflationPressure</t>
  </si>
  <si>
    <t>SIX</t>
  </si>
  <si>
    <t>Single Isolated Wheel Load (SIWL) Tire Inflation Pressure</t>
  </si>
  <si>
    <t>The maximum aircraft tire pressure that a movement area surface can support.</t>
  </si>
  <si>
    <t>SIWL Pressure</t>
  </si>
  <si>
    <t>singleWheelBearingLoad</t>
  </si>
  <si>
    <t>SWL</t>
  </si>
  <si>
    <t>Single Wheel Bearing Load</t>
  </si>
  <si>
    <t>The estimated maximum load bearing capacity of a thoroughfare (for example: a road) for a single vehicle wheel.</t>
  </si>
  <si>
    <t>Exceeding the estimated load bearing capacity results in excessive surface degradation and premature failure.</t>
  </si>
  <si>
    <t>Estimated Single Wheel Load (ESWL)</t>
  </si>
  <si>
    <t>sinkingMethod</t>
  </si>
  <si>
    <t>SKM</t>
  </si>
  <si>
    <t>Sinking Method</t>
  </si>
  <si>
    <t>The method, if known, by which a wrecked vessel was sunk.</t>
  </si>
  <si>
    <t>SkmCode</t>
  </si>
  <si>
    <t>slavedVariation</t>
  </si>
  <si>
    <t>SVA</t>
  </si>
  <si>
    <t>Slaved Variation</t>
  </si>
  <si>
    <t>A fixed value of magnetic declination applied within an aid to navigation to the true direction in order to obtain the reported magnetic directions for radials, courses and headings.</t>
  </si>
  <si>
    <t>The value is fixed for a period of time and therefore may differ from the true declination due to subsequent drift of the Earth's magnetic field.</t>
  </si>
  <si>
    <t>Slaved Declination</t>
  </si>
  <si>
    <t>slavedVariationDateTime</t>
  </si>
  <si>
    <t>SVD</t>
  </si>
  <si>
    <t>Slaved Variation Date and Time</t>
  </si>
  <si>
    <t>The date and, optionally, time in which the slaved variation was programmed into the radio navigation aid installation.</t>
  </si>
  <si>
    <t>SvdStrucText</t>
  </si>
  <si>
    <t>sleepingCapacity</t>
  </si>
  <si>
    <t>NUR</t>
  </si>
  <si>
    <t>Sleeping Capacity</t>
  </si>
  <si>
    <t>The maximum number of beds or equivalent sleeping spaces normally available at a facility where guests or occupants can sleep for the night.</t>
  </si>
  <si>
    <t>This quantity indicates the maximum number of people that can sleep at the facility at any given time.</t>
  </si>
  <si>
    <t>slopeOrientationUphill</t>
  </si>
  <si>
    <t>SGO</t>
  </si>
  <si>
    <t>Slope Orientation Uphill</t>
  </si>
  <si>
    <t>The direction of maximum uphill surface slope of a feature.</t>
  </si>
  <si>
    <t>The direction is measured as an angle in a clockwise direction from true north (0 arc degrees). May be reported in whole arc degrees.</t>
  </si>
  <si>
    <t>smallScaleGeomorphType</t>
  </si>
  <si>
    <t>MOK</t>
  </si>
  <si>
    <t>Small-scale Geomorphologic Type</t>
  </si>
  <si>
    <t>The small-scale shape and/or configuration of the land surface in a localized area.</t>
  </si>
  <si>
    <t>MokCode</t>
  </si>
  <si>
    <t>soilDepth</t>
  </si>
  <si>
    <t>SDC</t>
  </si>
  <si>
    <t>Soil Depth</t>
  </si>
  <si>
    <t>The depth of the soil or unconsolidated surface material.</t>
  </si>
  <si>
    <t>The soil layer ranges from the top of the organic horizon 'O' to the bottom of the substratum 'C'.</t>
  </si>
  <si>
    <t>soilDeteriorationCause</t>
  </si>
  <si>
    <t>SOA</t>
  </si>
  <si>
    <t>Soil Deterioration Cause</t>
  </si>
  <si>
    <t>The agent(s) that are responsible for soil deterioration.</t>
  </si>
  <si>
    <t>SoaCode</t>
  </si>
  <si>
    <t>soilDeteriorationType</t>
  </si>
  <si>
    <t>SOR</t>
  </si>
  <si>
    <t>Soil Deterioration Type</t>
  </si>
  <si>
    <t>The type(s) of soil deterioration based on the effects to the soil.</t>
  </si>
  <si>
    <t>SorCode</t>
  </si>
  <si>
    <t>soilErosionCause</t>
  </si>
  <si>
    <t>KGE</t>
  </si>
  <si>
    <t>Soil Erosion Cause</t>
  </si>
  <si>
    <t>Force which has caused erosion to occur.</t>
  </si>
  <si>
    <t>For example: gravity, water, air.</t>
  </si>
  <si>
    <t>KgeCode</t>
  </si>
  <si>
    <t>soilType</t>
  </si>
  <si>
    <t>STP</t>
  </si>
  <si>
    <t>Soil Type</t>
  </si>
  <si>
    <t>The soil type as specified by the Unified Soil Classification System (USCS).</t>
  </si>
  <si>
    <t>StpCode</t>
  </si>
  <si>
    <t>soilUnitQualifier</t>
  </si>
  <si>
    <t>SUQ</t>
  </si>
  <si>
    <t>Soil Unit Qualifier</t>
  </si>
  <si>
    <t>The class of the formative element for second-level soil units.</t>
  </si>
  <si>
    <t>SuqCode</t>
  </si>
  <si>
    <t>soilWetTrafficabilityType</t>
  </si>
  <si>
    <t>STG</t>
  </si>
  <si>
    <t>Soil Wet Trafficability Type</t>
  </si>
  <si>
    <t>The type of wet weather trafficability of a soil based on soil types specified by the Unified Soil Classification System (USCS).</t>
  </si>
  <si>
    <t>Derived from Attribute: 'Soil Type'.</t>
  </si>
  <si>
    <t>StgCode</t>
  </si>
  <si>
    <t>soilWetnessCondition</t>
  </si>
  <si>
    <t>SWC</t>
  </si>
  <si>
    <t>Soil Wetness Condition</t>
  </si>
  <si>
    <t>General moisture content or condition of a soil.</t>
  </si>
  <si>
    <t>SwcCode</t>
  </si>
  <si>
    <t>solidMaritimeConstruction</t>
  </si>
  <si>
    <t>FAC</t>
  </si>
  <si>
    <t>Solid Maritime Construction</t>
  </si>
  <si>
    <t>An indication that a marine construction (for example: a pier, wharf, or quay) is solid, thereby blocking the free circulation of water underneath the construction.</t>
  </si>
  <si>
    <t>The construction may be of concrete, masonry, wood, and/or other building materials. Open pile construction is used where the benefits of protection from currents and waves is not required.</t>
  </si>
  <si>
    <t>sonarReflectivity</t>
  </si>
  <si>
    <t>SCR</t>
  </si>
  <si>
    <t>Sonar Reflectivity</t>
  </si>
  <si>
    <t>The measure of the sonar reflectivity returned by the object, as a category.</t>
  </si>
  <si>
    <t>ScrCode</t>
  </si>
  <si>
    <t>sonarConfirmed</t>
  </si>
  <si>
    <t>SCS</t>
  </si>
  <si>
    <t>Sonar-confirmed</t>
  </si>
  <si>
    <t>An indication that a contact or other object has been confirmed by sonar.</t>
  </si>
  <si>
    <t>sortName</t>
  </si>
  <si>
    <t>SON</t>
  </si>
  <si>
    <t>Sort Name</t>
  </si>
  <si>
    <t>A form of the full name that allows for easy sorting of full names into alpha-numeric sequence.</t>
  </si>
  <si>
    <t>It is maintained in all upper case with spaces, diacritics, and hyphens removed and numbers substituted with lower-case alphabetic characters.</t>
  </si>
  <si>
    <t>soundingDatum</t>
  </si>
  <si>
    <t>VDC</t>
  </si>
  <si>
    <t>Sounding Datum</t>
  </si>
  <si>
    <t>The tidal datum to which soundings and drying heights are referenced.</t>
  </si>
  <si>
    <t>It is usually taken to correspond to a low water stage of the tide.</t>
  </si>
  <si>
    <t>Chart Sounding Datum</t>
  </si>
  <si>
    <t>VdcCode</t>
  </si>
  <si>
    <t>soundingDatumName</t>
  </si>
  <si>
    <t>VDR</t>
  </si>
  <si>
    <t>Sounding Datum Name</t>
  </si>
  <si>
    <t>The name of the tidal datum to which soundings and drying heights are referenced.</t>
  </si>
  <si>
    <t>Used when the sounding datum is known but not specified using Attribute: 'Sounding Datum'.</t>
  </si>
  <si>
    <t>soundingExposition</t>
  </si>
  <si>
    <t>SOU</t>
  </si>
  <si>
    <t>Sounding Exposition</t>
  </si>
  <si>
    <t>The value of a sounding with respect to that of its surrounding depth area.</t>
  </si>
  <si>
    <t>SouCode</t>
  </si>
  <si>
    <t>soundingSourceIdentifier</t>
  </si>
  <si>
    <t>SSI</t>
  </si>
  <si>
    <t>Sounding Source Identifier</t>
  </si>
  <si>
    <t>The Bathymetric Document ID combined with the Sheet ID.</t>
  </si>
  <si>
    <t>soundingVelCorrectMethod</t>
  </si>
  <si>
    <t>SVC</t>
  </si>
  <si>
    <t>Sounding Velocity Correction Method</t>
  </si>
  <si>
    <t>The method of correction that has been used to correct a sounding velocity instrument reading to obtain the correct depth.</t>
  </si>
  <si>
    <t>SvcCode</t>
  </si>
  <si>
    <t>sourceAuthority</t>
  </si>
  <si>
    <t>SAG</t>
  </si>
  <si>
    <t>Source Authority</t>
  </si>
  <si>
    <t>The authority responsible for the production of the source materials.</t>
  </si>
  <si>
    <t>SagStrucText</t>
  </si>
  <si>
    <t>sourceCategory</t>
  </si>
  <si>
    <t>STC</t>
  </si>
  <si>
    <t>Source Category</t>
  </si>
  <si>
    <t>The type(s) of dataset(s) and associated process(es) that were used to define the digital representation of the feature or data set.</t>
  </si>
  <si>
    <t>StcCode</t>
  </si>
  <si>
    <t>sourceDateTime</t>
  </si>
  <si>
    <t>(Geospatial Intelligence Feature Database (GIFD): 'ORIG_SOURCE_DATE') (MGCP Feature Catalogue: 'SRC_DATE')</t>
  </si>
  <si>
    <t>SDV</t>
  </si>
  <si>
    <t>Source Date and Time</t>
  </si>
  <si>
    <t>The date and, optionally, time of collection of the data set that was used to define the digital representation of the feature or data set.</t>
  </si>
  <si>
    <t>SdvStrucText</t>
  </si>
  <si>
    <t>sourceDescription</t>
  </si>
  <si>
    <t>(Geospatial Intelligence Feature Database (GIFD): 'ORIG_SOURCE_INFO') (MGCP Feature Catalogue: 'SRC_INFO')</t>
  </si>
  <si>
    <t>SDP</t>
  </si>
  <si>
    <t>Source Description</t>
  </si>
  <si>
    <t>A description of the data set that was used to define the digital representation of the feature or data set.</t>
  </si>
  <si>
    <t>sourceEdition</t>
  </si>
  <si>
    <t>MSE</t>
  </si>
  <si>
    <t>Source Edition</t>
  </si>
  <si>
    <t>The edition of the data set (for example: a map sheet) that was used to define the digital representation of the feature or data set.</t>
  </si>
  <si>
    <t>sourceIdentifier</t>
  </si>
  <si>
    <t>Source Identifier</t>
  </si>
  <si>
    <t>The identifier of the source data set that was used to define the digital representation of the feature or data set.</t>
  </si>
  <si>
    <t>KeyNonLex30</t>
  </si>
  <si>
    <t>sourceOfReport</t>
  </si>
  <si>
    <t>WSR</t>
  </si>
  <si>
    <t>Source of Report</t>
  </si>
  <si>
    <t>The specific source of a reported non-submarine contact.</t>
  </si>
  <si>
    <t>WsrCode</t>
  </si>
  <si>
    <t>sourceType</t>
  </si>
  <si>
    <t>(Geospatial Intelligence Feature Database (GIFD): 'ORIGINATING_SOURCE ') (MGCP Feature Catalogue: 'SRC_NAME')</t>
  </si>
  <si>
    <t>SRT</t>
  </si>
  <si>
    <t>Source Type</t>
  </si>
  <si>
    <t>The type(s) of the data set(s) that were used to define the digital representation of the feature or data set.</t>
  </si>
  <si>
    <t>SrtCode</t>
  </si>
  <si>
    <t>spanCount</t>
  </si>
  <si>
    <t>NOS</t>
  </si>
  <si>
    <t>Span Count</t>
  </si>
  <si>
    <t>The number of spans in a bridge.</t>
  </si>
  <si>
    <t>specialAdminUnit</t>
  </si>
  <si>
    <t>AMB</t>
  </si>
  <si>
    <t>Special Administrative Unit</t>
  </si>
  <si>
    <t>The basis upon which an administratively subordinate division of a geopolitical entity (country) is established, other than for the purpose of governing as a unique subordinate division.</t>
  </si>
  <si>
    <t>Non-governance purposes for which an administrative division may be established include, for example: economic development, postal service, utility provision, or data collection.</t>
  </si>
  <si>
    <t>AmbCode</t>
  </si>
  <si>
    <t>specialAdminUnitDesc</t>
  </si>
  <si>
    <t>ADB</t>
  </si>
  <si>
    <t>Special Administrative Unit Description</t>
  </si>
  <si>
    <t>A description of the unique administrative circumstances of an administrative region, if any.</t>
  </si>
  <si>
    <t>For example, the type(s) of activities that are administered and the nature of the control(s) exerted.</t>
  </si>
  <si>
    <t>specialBorderCharacter</t>
  </si>
  <si>
    <t>AZA</t>
  </si>
  <si>
    <t>Special Border Characteristics</t>
  </si>
  <si>
    <t>A description of the unique circumstances of the establishment of a border, if any.</t>
  </si>
  <si>
    <t>specialNavServiceType</t>
  </si>
  <si>
    <t>SS2</t>
  </si>
  <si>
    <t>Special Navigation Service Type</t>
  </si>
  <si>
    <t>The type of service provided by the station equipment within the special navigation system chain.</t>
  </si>
  <si>
    <t>For example: Master, Red Slave (DECCA), or Slave (LORAN).</t>
  </si>
  <si>
    <t>Ss2Code</t>
  </si>
  <si>
    <t>specialNavSystemChainIdent</t>
  </si>
  <si>
    <t>SCI</t>
  </si>
  <si>
    <t>Special Navigation System Chain Identifier</t>
  </si>
  <si>
    <t>The unique identifier of a special navigation system chain of stations.</t>
  </si>
  <si>
    <t>SciStrucText</t>
  </si>
  <si>
    <t>specialNavSystemType</t>
  </si>
  <si>
    <t>SS1</t>
  </si>
  <si>
    <t>Special Navigation System Type</t>
  </si>
  <si>
    <t>The type of a worldwide land-based special navigation system.</t>
  </si>
  <si>
    <t>Ss1Code</t>
  </si>
  <si>
    <t>specialPurposeVehicleType</t>
  </si>
  <si>
    <t>SPV</t>
  </si>
  <si>
    <t>Special Purpose Vehicle Type</t>
  </si>
  <si>
    <t>Description of specific function of equipment available at site.</t>
  </si>
  <si>
    <t>SpvCode</t>
  </si>
  <si>
    <t>specifiedComplianceType</t>
  </si>
  <si>
    <t>CMP</t>
  </si>
  <si>
    <t>Specified Compliance Type</t>
  </si>
  <si>
    <t>The type of compliance of a feature to a requirement associated with its use.</t>
  </si>
  <si>
    <t>The nature of, and requirement for, specified compliance may be assigned by a controlling authority.</t>
  </si>
  <si>
    <t>CmpCode</t>
  </si>
  <si>
    <t>specifiedEnumerants</t>
  </si>
  <si>
    <t>OTH</t>
  </si>
  <si>
    <t>Specified Enumerant(s)</t>
  </si>
  <si>
    <t>One or more intended attribute domain values for one or more enumeration or codelist attributes that are not currently valid members of their respective attribute ranges.</t>
  </si>
  <si>
    <t>The actual attribute enumerant values may have been previously, or may become in the future, valid members of the attribute enumerant range.</t>
  </si>
  <si>
    <t>OthStrucText</t>
  </si>
  <si>
    <t>speedLimit(Knots)</t>
  </si>
  <si>
    <t>SPN</t>
  </si>
  <si>
    <t>Speed Limit (Knots)</t>
  </si>
  <si>
    <t>The maximum vessel speed legally permitted, expressed in knots per hour.</t>
  </si>
  <si>
    <t>speedLimitKph</t>
  </si>
  <si>
    <t>SPM</t>
  </si>
  <si>
    <t>Speed Limit (KPH)</t>
  </si>
  <si>
    <t>The maximum vehicle speed legally permitted, expressed in kilometres per hour.</t>
  </si>
  <si>
    <t>speedLimitMph</t>
  </si>
  <si>
    <t>SPD</t>
  </si>
  <si>
    <t>Speed Limit (MPH)</t>
  </si>
  <si>
    <t>The maximum vehicle speed legally permitted, expressed in miles per hour.</t>
  </si>
  <si>
    <t>speedLimitOperational</t>
  </si>
  <si>
    <t>SPQ</t>
  </si>
  <si>
    <t>Speed Limit Operational</t>
  </si>
  <si>
    <t>The estimated maximum speed for military vehicles regarding any enroute obstacles and physical limitations.</t>
  </si>
  <si>
    <t>The operational speed limitation disregards local legal speed limits.</t>
  </si>
  <si>
    <t>spillwayHeight</t>
  </si>
  <si>
    <t>HGS</t>
  </si>
  <si>
    <t>Spillway Height</t>
  </si>
  <si>
    <t>The vertical distance above ground or water level on the upstream side of the dam.</t>
  </si>
  <si>
    <t>sportType</t>
  </si>
  <si>
    <t>KOS</t>
  </si>
  <si>
    <t>Sport Type</t>
  </si>
  <si>
    <t>Describes the kind of sport, for which the facility is primarily intended to be used.</t>
  </si>
  <si>
    <t>KosCode</t>
  </si>
  <si>
    <t>standardOperatingTimes</t>
  </si>
  <si>
    <t>SOP</t>
  </si>
  <si>
    <t>Standard Operating Times</t>
  </si>
  <si>
    <t>A standard, community recognized categorization of a recurring timeframe in which a facility or service is available for use.</t>
  </si>
  <si>
    <t>SopCode</t>
  </si>
  <si>
    <t>stateSeaRelation</t>
  </si>
  <si>
    <t>PS2</t>
  </si>
  <si>
    <t>State Sea Relation</t>
  </si>
  <si>
    <t>The characterization of a State based on its shape and its relationship to the adjacent sea, as a category.</t>
  </si>
  <si>
    <t>Ps2Code</t>
  </si>
  <si>
    <t>staticWaterLevel</t>
  </si>
  <si>
    <t>SWW</t>
  </si>
  <si>
    <t>Static Water Level</t>
  </si>
  <si>
    <t>The natural level of the water table in a well, measured with respect to surface level when water is not being actively withdrawn.</t>
  </si>
  <si>
    <t>May be a positive value when an artesian aquifer is tapped and the resulting pressure is sufficient to raise the water in a connected tube above the surface level.</t>
  </si>
  <si>
    <t>stationDeclination</t>
  </si>
  <si>
    <t>DES</t>
  </si>
  <si>
    <t>Station Declination</t>
  </si>
  <si>
    <t>An alignment variation between the zero degree radial of a station and True North, determined at the time the station is calibrated.</t>
  </si>
  <si>
    <t>VOR and TACAN Declination</t>
  </si>
  <si>
    <t>stationDeclinationDateTime</t>
  </si>
  <si>
    <t>SDD</t>
  </si>
  <si>
    <t>Station Declination Date and Time</t>
  </si>
  <si>
    <t>The date and, optionally, time on which the station declination was measured.</t>
  </si>
  <si>
    <t>SddStrucText</t>
  </si>
  <si>
    <t>stationary</t>
  </si>
  <si>
    <t>STN</t>
  </si>
  <si>
    <t>Stationary</t>
  </si>
  <si>
    <t>The feature, observed intermittently over a period of time, appears to be stationary (not shifting in position from observation to observation).</t>
  </si>
  <si>
    <t>statisticalGeoAreaType</t>
  </si>
  <si>
    <t>SGA</t>
  </si>
  <si>
    <t>Statistical Geographic Area Type</t>
  </si>
  <si>
    <t>The type of a geographic area based on its statistically derived and/or aggregated properties.</t>
  </si>
  <si>
    <t>SgaCode</t>
  </si>
  <si>
    <t>stemDiameter</t>
  </si>
  <si>
    <t>SDS</t>
  </si>
  <si>
    <t>Stem Diameter</t>
  </si>
  <si>
    <t>The average diameter of the tree trunks in an area, measured at a height of approximately 1.5 metres or 4.5 feet on the high side (if on a hillside) above the surface of the ground.</t>
  </si>
  <si>
    <t>Commonly referred to as the 'diameter at breast height' (dbh). For trees up to 2 metres high, the stem diameter is measured at the mid-point between the ground and the stem tip.</t>
  </si>
  <si>
    <t>storageFacilitiesAvail</t>
  </si>
  <si>
    <t>SFA</t>
  </si>
  <si>
    <t>Storage Facilities Available</t>
  </si>
  <si>
    <t>The type(s) of storage facilities available at a location (for example: a storage depot) or in the near vicinity (for example: near a pier).</t>
  </si>
  <si>
    <t>SfaCode</t>
  </si>
  <si>
    <t>straightTunnel</t>
  </si>
  <si>
    <t>SGT</t>
  </si>
  <si>
    <t>Straight Tunnel</t>
  </si>
  <si>
    <t>An indication that from one end of a tunnel the opposite end is visible when sighting through its interior.</t>
  </si>
  <si>
    <t>strainer</t>
  </si>
  <si>
    <t>SNR</t>
  </si>
  <si>
    <t>Strainer</t>
  </si>
  <si>
    <t>An indication that an entity poses a hazard to water-borne movement by blocking the passage of larger objects whilst permitting the free flow of water to continue.</t>
  </si>
  <si>
    <t>These objects can be very dangerous, because the force of the water will pin an object or body against the strainer and then pile up, pushing it down under water. Strainers are formed by many different objects, for example: storm grates over tunnels, trees that have fallen into a river (a 'log jam'), bushes by the side of the river that are flooded during high water, and reinforcing bars from broken concrete.</t>
  </si>
  <si>
    <t>streamOrder</t>
  </si>
  <si>
    <t>RIO</t>
  </si>
  <si>
    <t>Stream Order</t>
  </si>
  <si>
    <t>The designation by a dimensionless integer series (1, 2, 3, …) of the relative position of stream segments in the network of a drainage basin (catchment area), with the fourth order being the lowest rating.</t>
  </si>
  <si>
    <t>In general, all unbranched streams are first order streams. When two first order streams meet, the resulting channel is a second order stream. Where two second order streams meet a third order stream results, and so on. Any tributary of a lower order than the main channel is ignored.</t>
  </si>
  <si>
    <t>Channel Order, River Order, Drain Order</t>
  </si>
  <si>
    <t>streetSignType</t>
  </si>
  <si>
    <t>SSG</t>
  </si>
  <si>
    <t>Street Sign Type</t>
  </si>
  <si>
    <t>The type of a street sign based on the nature of the information that it displays.</t>
  </si>
  <si>
    <t>SsgCode</t>
  </si>
  <si>
    <t>structMatType</t>
  </si>
  <si>
    <t>MCC</t>
  </si>
  <si>
    <t>Structural Material Type</t>
  </si>
  <si>
    <t>The primary type(s) of material composing a feature, exclusive of the surface.</t>
  </si>
  <si>
    <t>MccCode</t>
  </si>
  <si>
    <t>structurallyDissected</t>
  </si>
  <si>
    <t>SDQ</t>
  </si>
  <si>
    <t>Structurally-dissected</t>
  </si>
  <si>
    <t>An indication that at least 50 percent of the terrain within an area is covered by a large number of vertical structures that are separated by ground-level passageways (for example: walkways, alleys, roads).</t>
  </si>
  <si>
    <t>A high concentration of vertical structures provides good cover and concealment, limits fields of observation and fire, and slows, diverts, or stops the movement of personnel or vehicles. Vertical structures are man-made features or objects, for example, buildings or non-building structures, such as, water towers, storage tanks, tombs, grave markers or memorial monuments.</t>
  </si>
  <si>
    <t>structureDensity</t>
  </si>
  <si>
    <t>DMS</t>
  </si>
  <si>
    <t>Structure Density</t>
  </si>
  <si>
    <t>The density of structures in an area.</t>
  </si>
  <si>
    <t>The number of structures in the area are counted and divided by the total area. Major wings may be counted as separate buildings provided there are significant changes in roof directions from the main building.</t>
  </si>
  <si>
    <t>structureShape</t>
  </si>
  <si>
    <t>SSC</t>
  </si>
  <si>
    <t>Structure Shape</t>
  </si>
  <si>
    <t>The geometric form, appearance, and/or configuration of the feature as a whole.</t>
  </si>
  <si>
    <t>SscCode</t>
  </si>
  <si>
    <t>submarineAcousticSigType</t>
  </si>
  <si>
    <t>SAS</t>
  </si>
  <si>
    <t>Submarine Acoustic Signal Type</t>
  </si>
  <si>
    <t>The type of an underwater acoustic signal based on method of generation, control, and/or intended use.</t>
  </si>
  <si>
    <t>SasCode</t>
  </si>
  <si>
    <t>submarineLikeObject</t>
  </si>
  <si>
    <t>NSO</t>
  </si>
  <si>
    <t>Submarine-like Object</t>
  </si>
  <si>
    <t>An indication that an object on the sea floor (for example: a wreck) could be mistakenly identified as an operable submarine when detected (for example: using acoustic or magnetic sensors).</t>
  </si>
  <si>
    <t>substationType</t>
  </si>
  <si>
    <t>SBT</t>
  </si>
  <si>
    <t>Substation Type</t>
  </si>
  <si>
    <t>The type of an electricity distribution substation based on its function(s).</t>
  </si>
  <si>
    <t>SbtCode</t>
  </si>
  <si>
    <t>subsurfaceBurialProcess</t>
  </si>
  <si>
    <t>SUB</t>
  </si>
  <si>
    <t>Subsurface Burial Process</t>
  </si>
  <si>
    <t>The process by which an object has or could become buried under the surface of the sea bed.</t>
  </si>
  <si>
    <t>SubCode</t>
  </si>
  <si>
    <t>sulfateConcentration</t>
  </si>
  <si>
    <t>SUL</t>
  </si>
  <si>
    <t>Sulfate Concentration</t>
  </si>
  <si>
    <t>The mass of sulfate ions per volume of solution.</t>
  </si>
  <si>
    <t>summerCanopyCover</t>
  </si>
  <si>
    <t>STR</t>
  </si>
  <si>
    <t>Summer Canopy Cover</t>
  </si>
  <si>
    <t>The fraction of canopy cover within a defined area during the summer season.</t>
  </si>
  <si>
    <t>supported</t>
  </si>
  <si>
    <t>SPT</t>
  </si>
  <si>
    <t>Supported</t>
  </si>
  <si>
    <t>An indication that a feature is physically supported by another feature.</t>
  </si>
  <si>
    <t>For example, a tower may be supported by a building, an aerial may be supported by a tower, or a pipeline may be supported by a trestle.</t>
  </si>
  <si>
    <t>supportedByBridgeSpan</t>
  </si>
  <si>
    <t>SBB</t>
  </si>
  <si>
    <t>Supported by Bridge Span</t>
  </si>
  <si>
    <t>The object is at least partially supported by, or passes across, a bridge span.</t>
  </si>
  <si>
    <t>For example, an aqueduct carried across a valley by one or more bridge spans.</t>
  </si>
  <si>
    <t>surfaceDetectionStationType</t>
  </si>
  <si>
    <t>SDY</t>
  </si>
  <si>
    <t>Surface Detection Station Type</t>
  </si>
  <si>
    <t>The type of an aerodrome surface detection station based on the nature of its sensing equipment.</t>
  </si>
  <si>
    <t>SdyCode</t>
  </si>
  <si>
    <t>surfaceMaterialType</t>
  </si>
  <si>
    <t>SMC</t>
  </si>
  <si>
    <t>Surface Material Type</t>
  </si>
  <si>
    <t>The surface material composition of a feature, excluding its internal (structural) composition.</t>
  </si>
  <si>
    <t>Usually determined by remotely sensed characteristics, for example radar return. Generally, the very thin layer that interacts with electro-optical wavelengths.</t>
  </si>
  <si>
    <t>SmcCode</t>
  </si>
  <si>
    <t>surfaceSlope</t>
  </si>
  <si>
    <t>SGC</t>
  </si>
  <si>
    <t>Surface Slope</t>
  </si>
  <si>
    <t>The slope (rate of upward inclination of the surface from the horizontal) of the surface of a feature (for example: the terrain or a waterbody floor).</t>
  </si>
  <si>
    <t>The (percent) slope is determined as the change in height divided by the horizontal distance over which the change takes place, multiplied by one hundred: ((h2-h1)/d)*100. Generally the slope is determined along the primary alignment of a feature (its established direction of flow or use; for example: a road, a railway, a ridge line, and/or a bridge). In those cases where the primary alignment is essentially horizontal (for example, a beach, a watercourse bank, or a cut) the surface slope is typically determined at right angles to the primary alignment.</t>
  </si>
  <si>
    <t>surfaceWaveMagnitude</t>
  </si>
  <si>
    <t>SWM</t>
  </si>
  <si>
    <t>Surface-wave Magnitude</t>
  </si>
  <si>
    <t>The surface-wave magnitude of the earthquake as reported by the U.S. Geological Survey.</t>
  </si>
  <si>
    <t>A surface-wave is a seismic wave that is constrained to follow the natural wave guide of the Earth's uppermost layers. Its magnitude is quantified using a base-10 logarithmic scale based on the ratio of the amplitude of ground motion to its period, corrected by a factor that is a function of the distance from the point of measurement to the earthquake epicenter.</t>
  </si>
  <si>
    <t>surveyControlPointType</t>
  </si>
  <si>
    <t>CPA</t>
  </si>
  <si>
    <t>Survey Control Point Type</t>
  </si>
  <si>
    <t>The type of a control point established by surveying methods based on method of establishment and/or intended use.</t>
  </si>
  <si>
    <t>CpaCode</t>
  </si>
  <si>
    <t>surveyCoverageCategory</t>
  </si>
  <si>
    <t>SUR</t>
  </si>
  <si>
    <t>Survey Coverage Category</t>
  </si>
  <si>
    <t>A general evaluation of the coverage quality of a survey, as a category.</t>
  </si>
  <si>
    <t>See possibly accompanying Attribute: 'Position Quality Category' for additional survey-related information.</t>
  </si>
  <si>
    <t>SurCode</t>
  </si>
  <si>
    <t>surveyDateInterval</t>
  </si>
  <si>
    <t>SUV</t>
  </si>
  <si>
    <t>Survey Date Interval</t>
  </si>
  <si>
    <t>The date interval of a survey.</t>
  </si>
  <si>
    <t>SuvStrucText</t>
  </si>
  <si>
    <t>surveyPointMark</t>
  </si>
  <si>
    <t>SUM</t>
  </si>
  <si>
    <t>Survey Point Mark</t>
  </si>
  <si>
    <t>The nature of the mark established at a survey point.</t>
  </si>
  <si>
    <t>SumCode</t>
  </si>
  <si>
    <t>surveyPointType</t>
  </si>
  <si>
    <t>SUY</t>
  </si>
  <si>
    <t>Survey Point Type</t>
  </si>
  <si>
    <t>The type of a survey point based on the purpose for which it is established.</t>
  </si>
  <si>
    <t>SuyCode</t>
  </si>
  <si>
    <t>surveyTechnique</t>
  </si>
  <si>
    <t>SUH</t>
  </si>
  <si>
    <t>Survey Technique</t>
  </si>
  <si>
    <t>The means by which a survey coordinate is developed.</t>
  </si>
  <si>
    <t>SuhCode</t>
  </si>
  <si>
    <t>suspended</t>
  </si>
  <si>
    <t>SSP</t>
  </si>
  <si>
    <t>Suspended</t>
  </si>
  <si>
    <t>An indication that a feature is suspended overhead.</t>
  </si>
  <si>
    <t>For example, a power transmission line is suspended between pylons and thus one may physically pass under it. Note that the power transmission line is also supported by the pylons and thus if the pylons were removed the power transmission line would fall.</t>
  </si>
  <si>
    <t>swampType</t>
  </si>
  <si>
    <t>SWA</t>
  </si>
  <si>
    <t>Swamp Type</t>
  </si>
  <si>
    <t>SwaCode</t>
  </si>
  <si>
    <t>sweptMineCondition</t>
  </si>
  <si>
    <t>MSC</t>
  </si>
  <si>
    <t>Swept Mine Condition</t>
  </si>
  <si>
    <t>The condition of a naval mine after being swept.</t>
  </si>
  <si>
    <t>MscCode</t>
  </si>
  <si>
    <t>synchronized</t>
  </si>
  <si>
    <t>SYC</t>
  </si>
  <si>
    <t>Synchronized</t>
  </si>
  <si>
    <t>An indication that a periodic behaviour of the feature is synchronized with that of another feature.</t>
  </si>
  <si>
    <t>For example, the members of a set of flashing lights may flash in unison.</t>
  </si>
  <si>
    <t>tacticalAirNavChannel</t>
  </si>
  <si>
    <t>TAC</t>
  </si>
  <si>
    <t>Tactical Air Navigation Aid (TACAN) Channel</t>
  </si>
  <si>
    <t>The Tactical Air Navigation Aid (TACAN) frequency as specified in ICAO Annex 10, Chapter 3, Table A.</t>
  </si>
  <si>
    <t>TACAN operating channels shall be chosen from ICAO Annex 10 Chapter 3 Table A, of the 352 channels in which the channel numbers, frequencies, and pulse codes are assigned. They are specified by a number followed by a letter.</t>
  </si>
  <si>
    <t>TacCode</t>
  </si>
  <si>
    <t>tacticalAirNavComponent</t>
  </si>
  <si>
    <t>TCA</t>
  </si>
  <si>
    <t>Tactical Air Navigation Aid (TACAN) Component</t>
  </si>
  <si>
    <t>The component of the Tactical Air Navigation Aid (TACAN).</t>
  </si>
  <si>
    <t>For example: azimuth indicator or distance indicator.</t>
  </si>
  <si>
    <t>TcaCode</t>
  </si>
  <si>
    <t>tacticalAirNavCompLimit</t>
  </si>
  <si>
    <t>TLC</t>
  </si>
  <si>
    <t>Tactical Air Navigation Aid (TACAN) Component Limitation</t>
  </si>
  <si>
    <t>The component of the Tactical Air Navigation Aid (TACAN) for which a limitation exists.</t>
  </si>
  <si>
    <t>TlcCode</t>
  </si>
  <si>
    <t>tacticalFormation</t>
  </si>
  <si>
    <t>XMU</t>
  </si>
  <si>
    <t>Tactical Formation</t>
  </si>
  <si>
    <t>The operational setup of military vehicles and/or equipment.</t>
  </si>
  <si>
    <t>XmuCode</t>
  </si>
  <si>
    <t>tacticalName</t>
  </si>
  <si>
    <t>TRN</t>
  </si>
  <si>
    <t>Tactical Name</t>
  </si>
  <si>
    <t>The name a feature is given in a theatre or operation.</t>
  </si>
  <si>
    <t>tacticalUsage</t>
  </si>
  <si>
    <t>TRU</t>
  </si>
  <si>
    <t>Tactical Usage</t>
  </si>
  <si>
    <t>An indication that a feature is of tactical use and needed in an operation.</t>
  </si>
  <si>
    <t>takeOffDistAvailable</t>
  </si>
  <si>
    <t>TOD</t>
  </si>
  <si>
    <t>Take-Off Distance Available (TODA)</t>
  </si>
  <si>
    <t>The length of the take-off run available plus the length of the clearway, if provided.</t>
  </si>
  <si>
    <t>A clearway is a defined rectangular area on the ground or water under the control of the appropriate authority, selected or prepared as a suitable area over which an aircraft may make a portion of its initial climb to a specified height.</t>
  </si>
  <si>
    <t>TODA</t>
  </si>
  <si>
    <t>takeOffDistAvailCopter</t>
  </si>
  <si>
    <t>TOH</t>
  </si>
  <si>
    <t>Take-Off Distance Available Helicopter (TODAH)</t>
  </si>
  <si>
    <t>The length of the final approach and take-off area plus the length of helicopter clearway (if provided) declared available and suitable for helicopters to complete the take-off.</t>
  </si>
  <si>
    <t>TODAH</t>
  </si>
  <si>
    <t>takeOffRunAvailable</t>
  </si>
  <si>
    <t>TOR</t>
  </si>
  <si>
    <t>Take-Off Run Available (TORA)</t>
  </si>
  <si>
    <t>The length of runway declared available and suitable for the ground run of an aircraft taking off.</t>
  </si>
  <si>
    <t>TORA</t>
  </si>
  <si>
    <t>taxiwayDesignator</t>
  </si>
  <si>
    <t>DS1</t>
  </si>
  <si>
    <t>Taxiway Designator</t>
  </si>
  <si>
    <t>The designator of a taxiway that is used to uniquely identify it at an aerodrome.</t>
  </si>
  <si>
    <t>A taxiway shall be identified by a designator comprising a letter, a set of letters, or a combination of a letter or letters followed by a number. The designator is intended to be unique within an appropriate scope (for example: an aerodrome or a military installation) and may be assigned based on a system of abbreviations and/or numbers (for example: 'T1' for Taxiway 1) or based on a naming scheme (for example: 'Alpha', 'Baker' or 'Charlie'), or simply a recognized name (for example: 'Warehouse B' or 'Hanger 11').</t>
  </si>
  <si>
    <t>taxiwayRemarks</t>
  </si>
  <si>
    <t>TXR</t>
  </si>
  <si>
    <t>Taxiway Remarks</t>
  </si>
  <si>
    <t>Remarks concerning the taxiway.</t>
  </si>
  <si>
    <t>taxiwayType</t>
  </si>
  <si>
    <t>TXP</t>
  </si>
  <si>
    <t>Taxiway Type</t>
  </si>
  <si>
    <t>The type of an aircraft taxiway based on its connectivity to other aerodrome ground surfaces.</t>
  </si>
  <si>
    <t>TxpCode</t>
  </si>
  <si>
    <t>tectonicStructureType</t>
  </si>
  <si>
    <t>STE</t>
  </si>
  <si>
    <t>Tectonic Structure Type</t>
  </si>
  <si>
    <t>Classification of structural element based on origin and form.</t>
  </si>
  <si>
    <t>SteCode</t>
  </si>
  <si>
    <t>telescopeType</t>
  </si>
  <si>
    <t>TEL</t>
  </si>
  <si>
    <t>Telescope Type</t>
  </si>
  <si>
    <t>The type of a telescope based on its design, structure and/or intended use.</t>
  </si>
  <si>
    <t>TelCode</t>
  </si>
  <si>
    <t>temperature</t>
  </si>
  <si>
    <t>TEP</t>
  </si>
  <si>
    <t>Temperature</t>
  </si>
  <si>
    <t>The thermal energy (heat) of a substance.</t>
  </si>
  <si>
    <t>terminalArriveAltAreaType</t>
  </si>
  <si>
    <t>TAA</t>
  </si>
  <si>
    <t>Terminal Arrival Altitude (TAA) Area Type</t>
  </si>
  <si>
    <t>The type of Terminal Arrival Altitude (TAA) area which is contained by an arc defined by the extension of the initial legs and the intermediate segment course based upon the arrangement of an Area Navigation (RNAV) procedure.</t>
  </si>
  <si>
    <t>TAAs are associated with an RNAV procedure based upon the 'T' or 'Y' Arrangement. The Basic T approach segment configuration is the standard configuration for transition from the en route to the terminal environment. The standard arrangement consists of three TAAs: straight-in, right and left base.</t>
  </si>
  <si>
    <t>TaaCode</t>
  </si>
  <si>
    <t>termInstProcDesig</t>
  </si>
  <si>
    <t>TPD</t>
  </si>
  <si>
    <t>Terminal Instrument Procedure Designator</t>
  </si>
  <si>
    <t>A unique encoded designator for the terminal instrument procedure.</t>
  </si>
  <si>
    <t xml:space="preserve">The designator is used primarily by automated flight management systems as a primary key to search for, select, portray, and fly while on automatic pilot. This is also used to encode the full identifier into a short string of characters so it may be selected from an on-screen list of available procedures, without the need for the pilot to have to scroll through what at times can be a lengthly list of terminal instrument procedure identifications. </t>
  </si>
  <si>
    <t>TpdStrucText</t>
  </si>
  <si>
    <t>termInstProcIdent</t>
  </si>
  <si>
    <t>TPI</t>
  </si>
  <si>
    <t>Terminal Instrument Procedure Identification</t>
  </si>
  <si>
    <t>The official identification of the terminal instrument procedure as established in accordance with the appropriate naming convention.</t>
  </si>
  <si>
    <t>Examples of the naming convention are specified in Procedures for Air Navigation Services - Aircraft Operations (PANS-OPS) Doc. 8168, Vol. 2, Part 1, Section 4, Chapter 9.</t>
  </si>
  <si>
    <t>TpiStrucText</t>
  </si>
  <si>
    <t>termInstProcTransitionId</t>
  </si>
  <si>
    <t>TPT</t>
  </si>
  <si>
    <t>Terminal Instrument Procedure Transition Identification</t>
  </si>
  <si>
    <t>The official identification of the flight procedure transition as established in accordance with the appropriate naming convention.</t>
  </si>
  <si>
    <t>TptStrucText</t>
  </si>
  <si>
    <t>terrainFaceType</t>
  </si>
  <si>
    <t>TFT</t>
  </si>
  <si>
    <t>Terrain Face Type</t>
  </si>
  <si>
    <t>The type of a steep terrain face based on its morphology and/or relationship to the surrounding area.</t>
  </si>
  <si>
    <t>TftCode</t>
  </si>
  <si>
    <t>terrainGapWidth</t>
  </si>
  <si>
    <t>WD3</t>
  </si>
  <si>
    <t>Terrain Gap Width</t>
  </si>
  <si>
    <t>The minimum horizontal bridging distance necessary to cross a channel.</t>
  </si>
  <si>
    <t>The width is measured perpendicular to the direction of water flow from bank to bank, at the first usable break in slope on each side of the channel above mean high water. Usable banks are those accessible by vehicles; small unusable ledges and cliffs are not considered usable breaks in slopes.</t>
  </si>
  <si>
    <t>Military Gap Width</t>
  </si>
  <si>
    <t>terrainMorphology</t>
  </si>
  <si>
    <t>SRD</t>
  </si>
  <si>
    <t>Terrain Morphology</t>
  </si>
  <si>
    <t>The type of terrain morphology based on composition and/or configuration.</t>
  </si>
  <si>
    <t>Terrain morphology influences military operations such as mobility prediction, mining of construction materials, and identification of potential landing sites.</t>
  </si>
  <si>
    <t>SrdCode</t>
  </si>
  <si>
    <t>terrainMorphologyDesc</t>
  </si>
  <si>
    <t>TSR</t>
  </si>
  <si>
    <t>Terrain Morphology Description</t>
  </si>
  <si>
    <t>A description of any unique aspects of the terrain morphology.</t>
  </si>
  <si>
    <t>Used to expand on the use of Attribute: 'Terrain Morphology', especially when the required value is not one of the standard Terrain Morphology values.</t>
  </si>
  <si>
    <t>territorySpecialStatType</t>
  </si>
  <si>
    <t>ADS</t>
  </si>
  <si>
    <t>Territory Special Status Type</t>
  </si>
  <si>
    <t>Geographical or legal status of a territory, which is no independent sovereign State nor a regular part of a sovereign State.</t>
  </si>
  <si>
    <t>AdsCode</t>
  </si>
  <si>
    <t>tertiaryStructMatType</t>
  </si>
  <si>
    <t>MCU</t>
  </si>
  <si>
    <t>Tertiary Structural Material Type</t>
  </si>
  <si>
    <t>The tertiary type of material composing a feature, exclusive of the surface.</t>
  </si>
  <si>
    <t>The basis for 'tertiary' may be, for example, compositional dominance or structural organization.</t>
  </si>
  <si>
    <t>McuCode</t>
  </si>
  <si>
    <t>thematicClassification</t>
  </si>
  <si>
    <t>THL</t>
  </si>
  <si>
    <t>Thematic Classification</t>
  </si>
  <si>
    <t>The classification of a feature among geographic themes.</t>
  </si>
  <si>
    <t>ThlCode</t>
  </si>
  <si>
    <t>thickness</t>
  </si>
  <si>
    <t>THI</t>
  </si>
  <si>
    <t>Thickness</t>
  </si>
  <si>
    <t>The distance between the two opposite surfaces of an object, usually the distance of smallest measure.</t>
  </si>
  <si>
    <t>The third dimension of an object, distinct from length and width (breadth).</t>
  </si>
  <si>
    <t>thoroughfareClass</t>
  </si>
  <si>
    <t>HCT</t>
  </si>
  <si>
    <t>Thoroughfare Class</t>
  </si>
  <si>
    <t>The class of a thoroughfare based on its importance in the general transportation network.</t>
  </si>
  <si>
    <t>HctCode</t>
  </si>
  <si>
    <t>thoroughfareName</t>
  </si>
  <si>
    <t>THN</t>
  </si>
  <si>
    <t>Thoroughfare Name</t>
  </si>
  <si>
    <t>The name of a thoroughfare.</t>
  </si>
  <si>
    <t>For example, 'Dolley Madison Boulevard', 'Chain Bridge Road', or 'Meander Lane'. The thoroughfare name may be used to represent the components of a postal address in concert with Attributes: 'Address Number', 'Address Direction Prefix', (optionally) 'Thoroughfare Type', and 'Address Direction Suffix'.</t>
  </si>
  <si>
    <t>thoroughfareType</t>
  </si>
  <si>
    <t>TYP</t>
  </si>
  <si>
    <t>Thoroughfare Type</t>
  </si>
  <si>
    <t>The type of a roadway based on its design and/or location.</t>
  </si>
  <si>
    <t>A thoroughfare is a public way, unobstructed and forming a route (for example: a road or a path) between two places. The thoroughfare type may be used in proper names and thus to represent the components of a postal address in concert with Attributes: 'Address Number', 'Address Direction Prefix', 'Thoroughfare Name', and 'Address Direction Suffix'.</t>
  </si>
  <si>
    <t>TypCode</t>
  </si>
  <si>
    <t>thoroughfareUse</t>
  </si>
  <si>
    <t>RDT</t>
  </si>
  <si>
    <t>Thoroughfare Use</t>
  </si>
  <si>
    <t>The use to which a thoroughfare is put as part of a transportation system.</t>
  </si>
  <si>
    <t>A thoroughfare is a public way, unobstructed and forming a route (for example: a road or a path) between two places.</t>
  </si>
  <si>
    <t>RdtCode</t>
  </si>
  <si>
    <t>thresholdCourseWidth</t>
  </si>
  <si>
    <t>TCW</t>
  </si>
  <si>
    <t>Threshold Course Width</t>
  </si>
  <si>
    <t>The width of the final approach course at the Landing Threshold Point (LTP).</t>
  </si>
  <si>
    <t>This width, in conjunction with the location of the Flight Path Alignment Point (FPAP) defines the sensitivity of the lateral deviations throughout the approach. The value ranges between 80.00 and143.75 metres, inclusive, in steps of 0.25 metre.</t>
  </si>
  <si>
    <t>thresholdCrossingHeight</t>
  </si>
  <si>
    <t>TCH</t>
  </si>
  <si>
    <t>Threshold Crossing Height (TCH)</t>
  </si>
  <si>
    <t>The height above the runway threshold at which the computed glide path crosses the threshold.</t>
  </si>
  <si>
    <t>TCH, Reference Datum Height (RDH)</t>
  </si>
  <si>
    <t>throughRoute</t>
  </si>
  <si>
    <t>THR</t>
  </si>
  <si>
    <t>Through Route</t>
  </si>
  <si>
    <t>An indication that a ground transportation route (for example: road, cart track or trail) is the most direct way through (both into and then out of) a built-up area or populated place.</t>
  </si>
  <si>
    <t>Routes may branch off of the main through route providing an alternate through route out of the built-up area or populated place. The direct or alternate ways through a built-up area or populated place may consist of the quickest or shortest route. A through route may have devices (for example: traffic lights) to control traffic flow.</t>
  </si>
  <si>
    <t>thrustAugmentFluidType</t>
  </si>
  <si>
    <t>TAF</t>
  </si>
  <si>
    <t>Thrust Augmentation Fluid Type</t>
  </si>
  <si>
    <t>The type(s) of special power boost fluids available for injecting into the airflow of the aircraft engine to increase power output.</t>
  </si>
  <si>
    <t>Starting Fluid</t>
  </si>
  <si>
    <t>TafCode</t>
  </si>
  <si>
    <t>tidalCoastType</t>
  </si>
  <si>
    <t>TCT</t>
  </si>
  <si>
    <t>Tidal Coast Type</t>
  </si>
  <si>
    <t>The type of a coast based on its sedimentation and ablation processes and/or its predominant vegetation.</t>
  </si>
  <si>
    <t>TctCode</t>
  </si>
  <si>
    <t>tidalCurDirect</t>
  </si>
  <si>
    <t>D40</t>
  </si>
  <si>
    <t>Tidal Current Direction</t>
  </si>
  <si>
    <t>The tidal current direction at the time of the tide reference level.</t>
  </si>
  <si>
    <t>Typically used together with Attribute: 'Reference Water Level' to specify the tide reference level.</t>
  </si>
  <si>
    <t>RealNonNeg359</t>
  </si>
  <si>
    <t>tidalCurDirect1HrAfter</t>
  </si>
  <si>
    <t>D41</t>
  </si>
  <si>
    <t>Tidal Current Direction 1 Hour After</t>
  </si>
  <si>
    <t>The tidal current direction 1 hour after the tide reference level.</t>
  </si>
  <si>
    <t>Typically used together with Attribute: 'Reference Water Level' to specify the tide reference level from which the time offset is specified.</t>
  </si>
  <si>
    <t>tidalCurDirect1HrBefore</t>
  </si>
  <si>
    <t>D39</t>
  </si>
  <si>
    <t>Tidal Current Direction 1 Hour Before</t>
  </si>
  <si>
    <t>The tidal current direction 1 hour before the tide reference level.</t>
  </si>
  <si>
    <t>tidalCurDir10HrsAfter</t>
  </si>
  <si>
    <t>D50</t>
  </si>
  <si>
    <t>Tidal Current Direction 10 Hours After</t>
  </si>
  <si>
    <t>The tidal current direction 10 hours after the tide reference level.</t>
  </si>
  <si>
    <t>tidalCurDir10HrsBefore</t>
  </si>
  <si>
    <t>D30</t>
  </si>
  <si>
    <t>Tidal Current Direction 10 Hours Before</t>
  </si>
  <si>
    <t>The tidal current direction 10 hours before the tide reference level.</t>
  </si>
  <si>
    <t>tidalCurDir11HrsAfter</t>
  </si>
  <si>
    <t>D51</t>
  </si>
  <si>
    <t>Tidal Current Direction 11 Hours After</t>
  </si>
  <si>
    <t>The tidal current direction 11 hours after the tide reference level.</t>
  </si>
  <si>
    <t>tidalCurDir11HrsBefore</t>
  </si>
  <si>
    <t>D29</t>
  </si>
  <si>
    <t>Tidal Current Direction 11 Hours Before</t>
  </si>
  <si>
    <t>The tidal current direction 11 hours before the tide reference level.</t>
  </si>
  <si>
    <t>tidalCurDir12HrsBefore</t>
  </si>
  <si>
    <t>D28</t>
  </si>
  <si>
    <t>Tidal Current Direction 12 Hours Before</t>
  </si>
  <si>
    <t>The tidal current direction 12 hours before the tide reference level.</t>
  </si>
  <si>
    <t>tidalCurDirect2HrsAfter</t>
  </si>
  <si>
    <t>D42</t>
  </si>
  <si>
    <t>Tidal Current Direction 2 Hours After</t>
  </si>
  <si>
    <t>The tidal current direction 2 hours after the tide reference level.</t>
  </si>
  <si>
    <t>tidalCurDirect2HrsBefore</t>
  </si>
  <si>
    <t>D38</t>
  </si>
  <si>
    <t>Tidal Current Direction 2 Hours Before</t>
  </si>
  <si>
    <t>The tidal current direction 2 hours before the tide reference level.</t>
  </si>
  <si>
    <t>tidalCurDirect3HrsAfter</t>
  </si>
  <si>
    <t>D43</t>
  </si>
  <si>
    <t>Tidal Current Direction 3 Hours After</t>
  </si>
  <si>
    <t>The tidal current direction 3 hours after the tide reference level.</t>
  </si>
  <si>
    <t>tidalCurDirect3HrsBefore</t>
  </si>
  <si>
    <t>D37</t>
  </si>
  <si>
    <t>Tidal Current Direction 3 Hours Before</t>
  </si>
  <si>
    <t>The tidal current direction 3 hours before the tide reference level.</t>
  </si>
  <si>
    <t>tidalCurDirect4HrsAfter</t>
  </si>
  <si>
    <t>D44</t>
  </si>
  <si>
    <t>Tidal Current Direction 4 Hours After</t>
  </si>
  <si>
    <t>The tidal current direction 4 hours after the tide reference level.</t>
  </si>
  <si>
    <t>tidalCurDirect4HrsBefore</t>
  </si>
  <si>
    <t>D36</t>
  </si>
  <si>
    <t>Tidal Current Direction 4 Hours Before</t>
  </si>
  <si>
    <t>The tidal current direction 4 hours before the tide reference level.</t>
  </si>
  <si>
    <t>tidalCurDirect5HrsAfter</t>
  </si>
  <si>
    <t>D45</t>
  </si>
  <si>
    <t>Tidal Current Direction 5 Hours After</t>
  </si>
  <si>
    <t>The tidal current direction 5 hours after the tide reference level.</t>
  </si>
  <si>
    <t>tidalCurDirect5HrsBefore</t>
  </si>
  <si>
    <t>D35</t>
  </si>
  <si>
    <t>Tidal Current Direction 5 Hours Before</t>
  </si>
  <si>
    <t>The tidal current direction 5 hours before the tide reference level.</t>
  </si>
  <si>
    <t>tidalCurDirect6HrsAfter</t>
  </si>
  <si>
    <t>D46</t>
  </si>
  <si>
    <t>Tidal Current Direction 6 Hours After</t>
  </si>
  <si>
    <t>The tidal current direction 6 hours after the tide reference level.</t>
  </si>
  <si>
    <t>tidalCurDir6HrsBefore</t>
  </si>
  <si>
    <t>D34</t>
  </si>
  <si>
    <t>Tidal Current Direction 6 Hours Before</t>
  </si>
  <si>
    <t>The tidal current direction 6 hours before the tide reference level.</t>
  </si>
  <si>
    <t>tidalCurDir7HrsAfter</t>
  </si>
  <si>
    <t>D47</t>
  </si>
  <si>
    <t>Tidal Current Direction 7 Hours After</t>
  </si>
  <si>
    <t>The tidal current direction 7 hours after the tide reference level.</t>
  </si>
  <si>
    <t>tidalCurDir7HrsBefore</t>
  </si>
  <si>
    <t>D33</t>
  </si>
  <si>
    <t>Tidal Current Direction 7 Hours Before</t>
  </si>
  <si>
    <t>The tidal current direction 7 hours before the tide reference level.</t>
  </si>
  <si>
    <t>tidalCurDir8HrsAfter</t>
  </si>
  <si>
    <t>D48</t>
  </si>
  <si>
    <t>Tidal Current Direction 8 Hours After</t>
  </si>
  <si>
    <t>The tidal current direction 8 hours after the tide reference level.</t>
  </si>
  <si>
    <t>tidalCurDir8HrsBefore</t>
  </si>
  <si>
    <t>D32</t>
  </si>
  <si>
    <t>Tidal Current Direction 8 Hours Before</t>
  </si>
  <si>
    <t>The tidal current direction 8 hours before the tide reference level.</t>
  </si>
  <si>
    <t>tidalCurDir9HrsAfter</t>
  </si>
  <si>
    <t>D49</t>
  </si>
  <si>
    <t>Tidal Current Direction 9 Hours After</t>
  </si>
  <si>
    <t>The tidal current direction 9 hours after the tide reference level.</t>
  </si>
  <si>
    <t>tidalCurDir9HrsBefore</t>
  </si>
  <si>
    <t>D31</t>
  </si>
  <si>
    <t>Tidal Current Direction 9 Hours Before</t>
  </si>
  <si>
    <t>The tidal current direction 9 hours before the tide reference level.</t>
  </si>
  <si>
    <t>tidalCurSpeed</t>
  </si>
  <si>
    <t>C40</t>
  </si>
  <si>
    <t>Tidal Current Speed</t>
  </si>
  <si>
    <t>The tidal current speed at the time of the tide reference level.</t>
  </si>
  <si>
    <t>RealNonNegInterval</t>
  </si>
  <si>
    <t>tidalCurSpeed1HrAfter</t>
  </si>
  <si>
    <t>C41</t>
  </si>
  <si>
    <t>Tidal Current Speed 1 Hour After</t>
  </si>
  <si>
    <t>The tidal current speed 1 hour after the tide reference level.</t>
  </si>
  <si>
    <t>tidalCurSpeed1HrBefore</t>
  </si>
  <si>
    <t>C39</t>
  </si>
  <si>
    <t>Tidal Current Speed 1 Hour Before</t>
  </si>
  <si>
    <t>The tidal current speed 1 hour before the tide reference level.</t>
  </si>
  <si>
    <t>tidalCurSpeed10HrsAfter</t>
  </si>
  <si>
    <t>C50</t>
  </si>
  <si>
    <t>Tidal Current Speed 10 Hours After</t>
  </si>
  <si>
    <t>The tidal current speed 10 hours after the tide reference level.</t>
  </si>
  <si>
    <t>tidalCurSpeed10HrsBefore</t>
  </si>
  <si>
    <t>C30</t>
  </si>
  <si>
    <t>Tidal Current Speed 10 Hours Before</t>
  </si>
  <si>
    <t>The tidal current speed 10 hours before the tide reference level.</t>
  </si>
  <si>
    <t>tidalCurSpeed11HrsAfter</t>
  </si>
  <si>
    <t>C51</t>
  </si>
  <si>
    <t>Tidal Current Speed 11 Hours After</t>
  </si>
  <si>
    <t>The tidal current speed 11 hours after the tide reference level.</t>
  </si>
  <si>
    <t>tidalCurSpeed11HrsBefore</t>
  </si>
  <si>
    <t>C29</t>
  </si>
  <si>
    <t>Tidal Current Speed 11 Hours Before</t>
  </si>
  <si>
    <t>The tidal current speed 11 hours before the tide reference level.</t>
  </si>
  <si>
    <t>tidalCurSpeed12HrsBefore</t>
  </si>
  <si>
    <t>C28</t>
  </si>
  <si>
    <t>Tidal Current Speed 12 Hours Before</t>
  </si>
  <si>
    <t>The tidal current speed 12 hours before the tide reference level.</t>
  </si>
  <si>
    <t>tidalCurSpeed2HrsAfter</t>
  </si>
  <si>
    <t>C42</t>
  </si>
  <si>
    <t>Tidal Current Speed 2 Hours After</t>
  </si>
  <si>
    <t>The tidal current speed 2 hours after the tide reference level.</t>
  </si>
  <si>
    <t>tidalCurSpeed2HrsBefore</t>
  </si>
  <si>
    <t>C38</t>
  </si>
  <si>
    <t>Tidal Current Speed 2 Hours Before</t>
  </si>
  <si>
    <t>The tidal current speed 2 hours before the tide reference level.</t>
  </si>
  <si>
    <t>tidalCurSpeed3HrsAfter</t>
  </si>
  <si>
    <t>C43</t>
  </si>
  <si>
    <t>Tidal Current Speed 3 Hours After</t>
  </si>
  <si>
    <t>The tidal current speed 3 hours after the tide reference level.</t>
  </si>
  <si>
    <t>tidalCurSpeed3HrsBefore</t>
  </si>
  <si>
    <t>C37</t>
  </si>
  <si>
    <t>Tidal Current Speed 3 Hours Before</t>
  </si>
  <si>
    <t>The tidal current speed 3 hours before the tide reference level.</t>
  </si>
  <si>
    <t>tidalCurSpeed4HrsAfter</t>
  </si>
  <si>
    <t>C44</t>
  </si>
  <si>
    <t>Tidal Current Speed 4 Hours After</t>
  </si>
  <si>
    <t>The tidal current speed 4 hours after the tide reference level.</t>
  </si>
  <si>
    <t>tidalCurSpeed4HrsBefore</t>
  </si>
  <si>
    <t>C36</t>
  </si>
  <si>
    <t>Tidal Current Speed 4 Hours Before</t>
  </si>
  <si>
    <t>The tidal current speed 4 hours before the tide reference level.</t>
  </si>
  <si>
    <t>tidalCurSpeed5HrsAfter</t>
  </si>
  <si>
    <t>C45</t>
  </si>
  <si>
    <t>Tidal Current Speed 5 Hours After</t>
  </si>
  <si>
    <t>The tidal current speed 5 hours after the tide reference level.</t>
  </si>
  <si>
    <t>tidalCurSpeed5HrsBefore</t>
  </si>
  <si>
    <t>C35</t>
  </si>
  <si>
    <t>Tidal Current Speed 5 Hours Before</t>
  </si>
  <si>
    <t>The tidal current speed 5 hours before the tide reference level.</t>
  </si>
  <si>
    <t>tidalCurSpeed6HrsAfter</t>
  </si>
  <si>
    <t>C46</t>
  </si>
  <si>
    <t>Tidal Current Speed 6 Hours After</t>
  </si>
  <si>
    <t>The tidal current speed 6 hours after the tide reference level.</t>
  </si>
  <si>
    <t>tidalCurSpeed6HrsBefore</t>
  </si>
  <si>
    <t>C34</t>
  </si>
  <si>
    <t>Tidal Current Speed 6 Hours Before</t>
  </si>
  <si>
    <t>The tidal current speed 6 hours before the tide reference level.</t>
  </si>
  <si>
    <t>tidalCurSpeed7HrsAfter</t>
  </si>
  <si>
    <t>C47</t>
  </si>
  <si>
    <t>Tidal Current Speed 7 Hours After</t>
  </si>
  <si>
    <t>The tidal current speed 7 hours after the tide reference level.</t>
  </si>
  <si>
    <t>tidalCurSpeed7HrsBefore</t>
  </si>
  <si>
    <t>C33</t>
  </si>
  <si>
    <t>Tidal Current Speed 7 Hours Before</t>
  </si>
  <si>
    <t>The tidal current speed 7 hours before the tide reference level.</t>
  </si>
  <si>
    <t>tidalCurSpeed8HrsAfter</t>
  </si>
  <si>
    <t>C48</t>
  </si>
  <si>
    <t>Tidal Current Speed 8 Hours After</t>
  </si>
  <si>
    <t>The tidal current speed 8 hours after the tide reference level.</t>
  </si>
  <si>
    <t>tidalCurSpeed8HrsBefore</t>
  </si>
  <si>
    <t>C32</t>
  </si>
  <si>
    <t>Tidal Current Speed 8 Hours Before</t>
  </si>
  <si>
    <t>The tidal current speed 8 hours before the tide reference level.</t>
  </si>
  <si>
    <t>tidalCurSpeed9HrsAfter</t>
  </si>
  <si>
    <t>C49</t>
  </si>
  <si>
    <t>Tidal Current Speed 9 Hours After</t>
  </si>
  <si>
    <t>The tidal current speed 9 hours after the tide reference level.</t>
  </si>
  <si>
    <t>tidalCurSpeed9HrsBefore</t>
  </si>
  <si>
    <t>C31</t>
  </si>
  <si>
    <t>Tidal Current Speed 9 Hours Before</t>
  </si>
  <si>
    <t>The tidal current speed 9 hours before the tide reference level.</t>
  </si>
  <si>
    <t>tidalRange</t>
  </si>
  <si>
    <t>THA</t>
  </si>
  <si>
    <t>Tidal Range</t>
  </si>
  <si>
    <t>The average difference in water level height between high and low tides.</t>
  </si>
  <si>
    <t>tideCategory</t>
  </si>
  <si>
    <t>TDC</t>
  </si>
  <si>
    <t>Tide Category</t>
  </si>
  <si>
    <t>The type of tidal flow in an area, as a category.</t>
  </si>
  <si>
    <t>TdcCode</t>
  </si>
  <si>
    <t>tideInfluenced</t>
  </si>
  <si>
    <t>TID</t>
  </si>
  <si>
    <t>Tide Influenced</t>
  </si>
  <si>
    <t>An indication that a waterbody is affected by the tide.</t>
  </si>
  <si>
    <t>tollRoute</t>
  </si>
  <si>
    <t>TOL</t>
  </si>
  <si>
    <t>Toll Route</t>
  </si>
  <si>
    <t>An indication that a transportation route may only be used if a fee is paid.</t>
  </si>
  <si>
    <t>tombType</t>
  </si>
  <si>
    <t>TTY</t>
  </si>
  <si>
    <t>Tomb Type</t>
  </si>
  <si>
    <t>The type of structure within which a corpse is entombed based on its method of construction, location, and/or occupancy.</t>
  </si>
  <si>
    <t>TtyCode</t>
  </si>
  <si>
    <t>tonnage</t>
  </si>
  <si>
    <t>TNG</t>
  </si>
  <si>
    <t>Tonnage</t>
  </si>
  <si>
    <t>Tonnage of a sunken or stranded wreck, a hulk, or other vessel.</t>
  </si>
  <si>
    <t>topmarkShape</t>
  </si>
  <si>
    <t>TZP</t>
  </si>
  <si>
    <t>Topmark Shape</t>
  </si>
  <si>
    <t>The characteristic topmark or daymark shape attached to a maritime aid to navigation to aid identification.</t>
  </si>
  <si>
    <t>May be secured at the top of a buoy or beacon.</t>
  </si>
  <si>
    <t>TzpCode</t>
  </si>
  <si>
    <t>topographicLocation</t>
  </si>
  <si>
    <t>TPP</t>
  </si>
  <si>
    <t>Topographic Location</t>
  </si>
  <si>
    <t>The topographic location(s) of a feature.</t>
  </si>
  <si>
    <t>TppCode</t>
  </si>
  <si>
    <t>totalDissolvedSolids</t>
  </si>
  <si>
    <t>TDS</t>
  </si>
  <si>
    <t>Total Dissolved Solids</t>
  </si>
  <si>
    <t>The total mass of dissolved inorganic chemical constituents per volume of solution.</t>
  </si>
  <si>
    <t>totalExportsValue</t>
  </si>
  <si>
    <t>VIM</t>
  </si>
  <si>
    <t>Total Exports Value</t>
  </si>
  <si>
    <t>The annual total value of all goods exported from within an area.</t>
  </si>
  <si>
    <t>totalImportsValue</t>
  </si>
  <si>
    <t>VEX</t>
  </si>
  <si>
    <t>Total Imports Value</t>
  </si>
  <si>
    <t>The annual total value of all goods imported into an area.</t>
  </si>
  <si>
    <t>totalLengthOfMotorways</t>
  </si>
  <si>
    <t>LMO</t>
  </si>
  <si>
    <t>Total Length of Motorways</t>
  </si>
  <si>
    <t>The total of the length of all motorways located within an area.</t>
  </si>
  <si>
    <t>Total Length of Highways</t>
  </si>
  <si>
    <t>totalLengthOfRailways</t>
  </si>
  <si>
    <t>LRA</t>
  </si>
  <si>
    <t>Total Length of Railways</t>
  </si>
  <si>
    <t>The total of the length of all railways located within an area.</t>
  </si>
  <si>
    <t>totalLengthOfRoads</t>
  </si>
  <si>
    <t>LRO</t>
  </si>
  <si>
    <t>Total Length of Roads</t>
  </si>
  <si>
    <t>The total of the length of all roads located within an area.</t>
  </si>
  <si>
    <t>totalLengthOfWaterways</t>
  </si>
  <si>
    <t>LSW</t>
  </si>
  <si>
    <t>Total Length of Waterways</t>
  </si>
  <si>
    <t>The total of the length of all navigatable waterways located within an area.</t>
  </si>
  <si>
    <t>touchdownLiftOffAreaDesig</t>
  </si>
  <si>
    <t>TLD</t>
  </si>
  <si>
    <t>Touchdown and Lift-off Area (TLOF) Designator</t>
  </si>
  <si>
    <t>The designator of the Touchdown and Lift-off Area (TLOF) that is used to uniquely identify it at an aerodrome.</t>
  </si>
  <si>
    <t>TldStrucText</t>
  </si>
  <si>
    <t>touchdownZoneElevation</t>
  </si>
  <si>
    <t>TZE</t>
  </si>
  <si>
    <t>Touchdown Zone (TDZ) Elevation</t>
  </si>
  <si>
    <t>The value of the highest elevation of the runway Touchdown Zone (TDZ).</t>
  </si>
  <si>
    <t>The Touchdown zone is the portion of a runway, beyond the threshold, intended as the first point of contact between landing aircraft and the runway. 1. For fixed wing aircraft the touchdown zone extends from the threshold for a longitudinal distance of 900 metres, except that on runways less than 1800 metres in length, the touchdown zone shall be shortened so that it does not extend beyond the midpoint of the runway. 2. For rotary-wing and vectored-thrust aircraft, the portion of the helipad or runway used for landing.</t>
  </si>
  <si>
    <t>touchdownZoneElevHighEnd</t>
  </si>
  <si>
    <t>THM</t>
  </si>
  <si>
    <t>Touchdown Zone Elevation - Runway High End</t>
  </si>
  <si>
    <t>The highest elevation in the first 3,000 feet of the high end usable runway landing surface measured from Mean Sea Level (MSL).</t>
  </si>
  <si>
    <t>A negative value indicates the elevation is below mean sea level.</t>
  </si>
  <si>
    <t>touchdownZoneElevLowEnd</t>
  </si>
  <si>
    <t>TLM</t>
  </si>
  <si>
    <t>Touchdown Zone Elevation - Runway Low End</t>
  </si>
  <si>
    <t>The highest elevation in the first 3,000 feet of the low end usable runway landing surface measured from Mean Sea Level (MSL).</t>
  </si>
  <si>
    <t>touristAttraction</t>
  </si>
  <si>
    <t>TOA</t>
  </si>
  <si>
    <t>Tourist Attraction</t>
  </si>
  <si>
    <t>An indication that a feature is a regionally known landmark and/or place of interest where tourists visit, typically for its inherent or exhibited cultural value, historical significance, natural or architectural beauty, or amusement opportunities.</t>
  </si>
  <si>
    <t>touristicName</t>
  </si>
  <si>
    <t>NA2</t>
  </si>
  <si>
    <t>Touristic Name</t>
  </si>
  <si>
    <t>A touristic identifier or code that is used to denote a feature.</t>
  </si>
  <si>
    <t>Used in addition to a geographic name.</t>
  </si>
  <si>
    <t>towerShape</t>
  </si>
  <si>
    <t>TOS</t>
  </si>
  <si>
    <t>Tower Shape</t>
  </si>
  <si>
    <t>The general shape and/or structure of a tower.</t>
  </si>
  <si>
    <t>TosCode</t>
  </si>
  <si>
    <t>towerType</t>
  </si>
  <si>
    <t>TTC</t>
  </si>
  <si>
    <t>Tower Type</t>
  </si>
  <si>
    <t>The type of a tower based on its intended use(s).</t>
  </si>
  <si>
    <t>TtcCode</t>
  </si>
  <si>
    <t>trackOrLaneCount</t>
  </si>
  <si>
    <t>LTN</t>
  </si>
  <si>
    <t>Track or Lane Count</t>
  </si>
  <si>
    <t>The total number of independent, parallel paths (for example: a railway track and/or a road lane) in both directions within a route.</t>
  </si>
  <si>
    <t>trackType</t>
  </si>
  <si>
    <t>TRT</t>
  </si>
  <si>
    <t>Track Type</t>
  </si>
  <si>
    <t>The type of function, configuration, and/or management of a railway track.</t>
  </si>
  <si>
    <t>TrtCode</t>
  </si>
  <si>
    <t>tradeBalance</t>
  </si>
  <si>
    <t>TSB</t>
  </si>
  <si>
    <t>Trade Balance</t>
  </si>
  <si>
    <t>The annual difference between the values of all imported and all exported goods (surplus or deficit) within an area.</t>
  </si>
  <si>
    <t>trafficFlow</t>
  </si>
  <si>
    <t>TRF</t>
  </si>
  <si>
    <t>Traffic Flow</t>
  </si>
  <si>
    <t>The type of traffic flow on a maritime route based on direction, origin, and/or destination.</t>
  </si>
  <si>
    <t>TrfCode</t>
  </si>
  <si>
    <t>trafficMonitorType</t>
  </si>
  <si>
    <t>TMY</t>
  </si>
  <si>
    <t>Traffic Monitor Type</t>
  </si>
  <si>
    <t>The type(s) of device(s) used to collect information regarding vehicular and/or pedestrian traffic.</t>
  </si>
  <si>
    <t>Such devices can collect, and through automatic analysis derive, traffic information such as volume, speed, inter-vehicular gap and vehicle classification.</t>
  </si>
  <si>
    <t>TmyCode</t>
  </si>
  <si>
    <t>trafficRestrictionType</t>
  </si>
  <si>
    <t>SRE</t>
  </si>
  <si>
    <t>Traffic Restriction Type</t>
  </si>
  <si>
    <t>The reason for traffic restriction based on the nature of the route.</t>
  </si>
  <si>
    <t>SreCode</t>
  </si>
  <si>
    <t>trafficSignalStationType</t>
  </si>
  <si>
    <t>SIT</t>
  </si>
  <si>
    <t>Traffic Signal Station Type</t>
  </si>
  <si>
    <t>The type of a traffic signal station based on the nature(s) of the controlled traffic.</t>
  </si>
  <si>
    <t>SitCode</t>
  </si>
  <si>
    <t>trainedAviatFirefighterCnt</t>
  </si>
  <si>
    <t>TFN</t>
  </si>
  <si>
    <t>Trained Aviation Firefighter Count</t>
  </si>
  <si>
    <t>The number of firefighters that are specifically trained to combat the types of fires that may occur at an aerodrome.</t>
  </si>
  <si>
    <t>transitionAltitude</t>
  </si>
  <si>
    <t>TNA</t>
  </si>
  <si>
    <t>Transition Altitude</t>
  </si>
  <si>
    <t>The altitude at or below which the vertical position of an aircraft is controlled by reference to altitudes.</t>
  </si>
  <si>
    <t>transitionLevel</t>
  </si>
  <si>
    <t>TLV</t>
  </si>
  <si>
    <t>Transition Level</t>
  </si>
  <si>
    <t>The lowest flight level available for use above the transition altitude.</t>
  </si>
  <si>
    <t>transEstimatedRange</t>
  </si>
  <si>
    <t>ERT</t>
  </si>
  <si>
    <t>Transmission Estimated Range</t>
  </si>
  <si>
    <t>The estimated range of a non-optical electromagnetic transmission.</t>
  </si>
  <si>
    <t>The estimated range (distance) assumes 'in vacuo' transmission and a standard antenna height of 5 metres. It provides the mariner an estimate as to whether transmissions are likely to be received at his current range.</t>
  </si>
  <si>
    <t>transportationBlockType</t>
  </si>
  <si>
    <t>DGC</t>
  </si>
  <si>
    <t>Transportation Block Type</t>
  </si>
  <si>
    <t>The type of a transportation block based on its method of action.</t>
  </si>
  <si>
    <t>May be used as a means of subtyping Feature: 'Transportation Block'.</t>
  </si>
  <si>
    <t>DgcCode</t>
  </si>
  <si>
    <t>transportationFacilityType</t>
  </si>
  <si>
    <t>TFC</t>
  </si>
  <si>
    <t>Transportation Facility Type</t>
  </si>
  <si>
    <t>The type of a facility or building that is used for transportation purposes.</t>
  </si>
  <si>
    <t>TfcCode</t>
  </si>
  <si>
    <t>transportRteConstructEffect</t>
  </si>
  <si>
    <t>CNE</t>
  </si>
  <si>
    <t>Transportation Route Construction Effect</t>
  </si>
  <si>
    <t>The effect of construction activities on vehicular traffic along a transportation route.</t>
  </si>
  <si>
    <t>CneCode</t>
  </si>
  <si>
    <t>transRteLeavingRestrict</t>
  </si>
  <si>
    <t>LRR</t>
  </si>
  <si>
    <t>Transportation Route Leaving Restrictions</t>
  </si>
  <si>
    <t>An indication that a standard vehicle for this transportation route (for example: a truck on a road) cannot leave the route.</t>
  </si>
  <si>
    <t>transRteProtStructType</t>
  </si>
  <si>
    <t>TRP</t>
  </si>
  <si>
    <t>Transportation Route Protection Structure Type</t>
  </si>
  <si>
    <t>The type of a transportation route protection structure based on its configuration and/or intended purpose.</t>
  </si>
  <si>
    <t>TrpCode</t>
  </si>
  <si>
    <t>transportationSystemType</t>
  </si>
  <si>
    <t>TRS</t>
  </si>
  <si>
    <t>Transportation System Type</t>
  </si>
  <si>
    <t>The type of a transportation system based on the type(s) of vehicles employed and/or the nature(s) of the objects transported.</t>
  </si>
  <si>
    <t>TrsCode</t>
  </si>
  <si>
    <t>transportationUse</t>
  </si>
  <si>
    <t>TUC</t>
  </si>
  <si>
    <t>Transportation Use</t>
  </si>
  <si>
    <t>The primary use(s) of a transportation system.</t>
  </si>
  <si>
    <t>TucCode</t>
  </si>
  <si>
    <t>trappy</t>
  </si>
  <si>
    <t>LMY</t>
  </si>
  <si>
    <t>Trappy</t>
  </si>
  <si>
    <t>An indication that the mines are protected against mine clearing operations.</t>
  </si>
  <si>
    <t>travelledWayTotalLength</t>
  </si>
  <si>
    <t>TLN</t>
  </si>
  <si>
    <t>Travelled Way Total Length</t>
  </si>
  <si>
    <t>The total length of the travelled way between two locations.</t>
  </si>
  <si>
    <t>treeSpacing</t>
  </si>
  <si>
    <t>TSC</t>
  </si>
  <si>
    <t>Tree Spacing</t>
  </si>
  <si>
    <t>The average tree spacing between trees in a stand, determined from centre to centre of adjacent trees.</t>
  </si>
  <si>
    <t>trueBearing</t>
  </si>
  <si>
    <t>TBE</t>
  </si>
  <si>
    <t>True Bearing</t>
  </si>
  <si>
    <t>The horizontal direction of an object or point measured clockwise from True North up to, but not including, 360 degrees.</t>
  </si>
  <si>
    <t>The Magnetic Bearing added to the Magnetic Variation equals the True Bearing.</t>
  </si>
  <si>
    <t>trueBearingAcc</t>
  </si>
  <si>
    <t>TBA</t>
  </si>
  <si>
    <t>True Bearing Accuracy</t>
  </si>
  <si>
    <t>The accuracy of the measured angle between the localizer beam and true north at the localizer antenna, as compared to the published accuracy.</t>
  </si>
  <si>
    <t>trueFeatureHeadingHighEnd</t>
  </si>
  <si>
    <t>FHH</t>
  </si>
  <si>
    <t>True Feature Heading (High End)</t>
  </si>
  <si>
    <t>The eastern half of the feature centerline alignment measured clockwise from true north.</t>
  </si>
  <si>
    <t>trueFeatureHeadingLowEnd</t>
  </si>
  <si>
    <t>FHL</t>
  </si>
  <si>
    <t>True Feature Heading (Low End)</t>
  </si>
  <si>
    <t>The western half of the feature centerline alignment measured clockwise from true north.</t>
  </si>
  <si>
    <t>trueTrack</t>
  </si>
  <si>
    <t>TR1</t>
  </si>
  <si>
    <t>True Track</t>
  </si>
  <si>
    <t>The projection on the Earth's surface of the path of an aircraft, the direction of which path at any point is expressed in arc degrees from True North, as published by the appropriate authority.</t>
  </si>
  <si>
    <t>tssImoAdopted</t>
  </si>
  <si>
    <t>TSS</t>
  </si>
  <si>
    <t>TSS IMO-adopted</t>
  </si>
  <si>
    <t>An indication that a marine TSS system has been adopted by the IMO.</t>
  </si>
  <si>
    <t>tssAssocAidsToNavigation</t>
  </si>
  <si>
    <t>TAN</t>
  </si>
  <si>
    <t>TSS-associated Aids to Navigation</t>
  </si>
  <si>
    <t>A description of marked navigational aids that are either associated with or supporting a maritime Traffic Separation Scheme (TSS).</t>
  </si>
  <si>
    <t>turnDirection</t>
  </si>
  <si>
    <t>TND</t>
  </si>
  <si>
    <t>Turn Direction</t>
  </si>
  <si>
    <t>The applicable direction of the aircraft turn.</t>
  </si>
  <si>
    <t>For example: left or right.</t>
  </si>
  <si>
    <t>TndCode</t>
  </si>
  <si>
    <t>typeOfControlStation</t>
  </si>
  <si>
    <t>TY3</t>
  </si>
  <si>
    <t>Type of Control Station</t>
  </si>
  <si>
    <t>The type of an airfield control station.</t>
  </si>
  <si>
    <t>Ty3Code</t>
  </si>
  <si>
    <t>uncoveringHeightKnown</t>
  </si>
  <si>
    <t>UHS</t>
  </si>
  <si>
    <t>Uncovering Height Known</t>
  </si>
  <si>
    <t>An indication that information is known about the height to which a marine feature may be uncovered by the tide.</t>
  </si>
  <si>
    <t>underbridgeClearance</t>
  </si>
  <si>
    <t>UBC</t>
  </si>
  <si>
    <t>Underbridge Clearance</t>
  </si>
  <si>
    <t>Clearance below bridge, measured from the lowest surface level to the base of the lower of either a cross beam or the lowest bridge deck.</t>
  </si>
  <si>
    <t>undergroundAccessOrient</t>
  </si>
  <si>
    <t>UAO</t>
  </si>
  <si>
    <t>Underground Access Orientation</t>
  </si>
  <si>
    <t>The ground slope of the floor of the entrance at the point of access for an underground feature (for example: a cave, tunnel or underground extraction mine) as a category.</t>
  </si>
  <si>
    <t>UaoCode</t>
  </si>
  <si>
    <t>undergroundMineAccess</t>
  </si>
  <si>
    <t>UMA</t>
  </si>
  <si>
    <t>Underground Mine Access</t>
  </si>
  <si>
    <t>The means by which an underground mine is accessed from the surface.</t>
  </si>
  <si>
    <t>For example, by a tunnel or a shaft.</t>
  </si>
  <si>
    <t>UmaCode</t>
  </si>
  <si>
    <t>undergndStorageFormType</t>
  </si>
  <si>
    <t>USF</t>
  </si>
  <si>
    <t>Underground Storage Formation Type</t>
  </si>
  <si>
    <t>The type of an underground storage formation based on its geologic structure.</t>
  </si>
  <si>
    <t>UsfCode</t>
  </si>
  <si>
    <t>undergrowthDensity</t>
  </si>
  <si>
    <t>DMB</t>
  </si>
  <si>
    <t>Undergrowth Density</t>
  </si>
  <si>
    <t>The fraction of land within a defined area that is covered by undergrowth (for example: scrub, brush, and/or bush).</t>
  </si>
  <si>
    <t>unemploymentRate</t>
  </si>
  <si>
    <t>RAU</t>
  </si>
  <si>
    <t>Unemployment Rate</t>
  </si>
  <si>
    <t>The fraction of the total able workforce inhabitants residing within an area that are unemployed.</t>
  </si>
  <si>
    <t>worldHeritageSite</t>
  </si>
  <si>
    <t>UNM</t>
  </si>
  <si>
    <t>UNESCO World Heritage Site</t>
  </si>
  <si>
    <t>An indication that a feature is a UNESCO (United Nations Educational, Scientific and Cultural Organization) World Heritage Site.</t>
  </si>
  <si>
    <t>A UNESCO World Heritage Site is a site (for example: a forest, mountain, lake, desert, monument, building, complex, or city) that is on the list maintained by the International World Heritage Programme administered by the UNESCO World Heritage Committee.</t>
  </si>
  <si>
    <t>uniqueEntityIdentifier</t>
  </si>
  <si>
    <t>UFI</t>
  </si>
  <si>
    <t>Unique Entity Identifier</t>
  </si>
  <si>
    <t>The globally unique and persistent identifier of an entity (for example: feature or event) instance as specified by a Uniform Resource Name (URN) in accordance with the Internet Engineering Task Force (IETF) RFC2396 and RFC2141.</t>
  </si>
  <si>
    <t>It is based on the Uniform Resource Identifier (URI), a compact string of characters for identifying an abstract or physical resource. The term 'Uniform Resource Name' (URN) refers to the subset of URI that are required to remain globally unique and persistent even when the resource ceases to exist or becomes unavailable. The URN is drawn from one of a set of defined namespaces, each of which has its own set name structure and assignment procedures.</t>
  </si>
  <si>
    <t>UfiStrucText</t>
  </si>
  <si>
    <t>unitedNationsActivity</t>
  </si>
  <si>
    <t>KOP</t>
  </si>
  <si>
    <t>United Nations Activity</t>
  </si>
  <si>
    <t>The type of a United Nations (U.N.) controlled activty within an area.</t>
  </si>
  <si>
    <t>KopCode</t>
  </si>
  <si>
    <t>unitedNationsMission</t>
  </si>
  <si>
    <t>UNE</t>
  </si>
  <si>
    <t>United Nations Mission</t>
  </si>
  <si>
    <t>The type of a United Nations (U.N.) mission within an area.</t>
  </si>
  <si>
    <t>UneCode</t>
  </si>
  <si>
    <t>universalUniqueIdentifier</t>
  </si>
  <si>
    <t>UUI</t>
  </si>
  <si>
    <t>Universal Unique Identifier</t>
  </si>
  <si>
    <t>The Universal Unique Identifier (UUID) that is assigned to a feature in order to uniquely identify it for the purpose of maintaining relationships between features (relational database) and version control.</t>
  </si>
  <si>
    <t>UUIDs are defined in ITU-T Rec. X.667 | ISO/IEC 9834-8.</t>
  </si>
  <si>
    <t>UuiStrucText</t>
  </si>
  <si>
    <t>updateReason</t>
  </si>
  <si>
    <t>URE</t>
  </si>
  <si>
    <t>Update Reason</t>
  </si>
  <si>
    <t>The reason why the feature has been updated in a review process.</t>
  </si>
  <si>
    <t>upperAddressNumber</t>
  </si>
  <si>
    <t>TAD</t>
  </si>
  <si>
    <t>Upper Address Number</t>
  </si>
  <si>
    <t>The upper limit of a range of postal address numbers associated with a feature.</t>
  </si>
  <si>
    <t>For example, a thoroughfare (or portion of a thoroughfare) or a building (for example: an apartment or office building) may have a range of assigned postal address numbers (for example: 3778 through 3884). If the postal address has only one number, the values of Attribute: 'Lower Address Number' and Attribute: 'Upper Address Number' are the same. Consideration should be given to the alternative use of Attribute: 'Address Number'.</t>
  </si>
  <si>
    <t>upstreamHeight</t>
  </si>
  <si>
    <t>HGU</t>
  </si>
  <si>
    <t>Upstream Height</t>
  </si>
  <si>
    <t>The height above water level on the upstream side.</t>
  </si>
  <si>
    <t>urbanLandUse</t>
  </si>
  <si>
    <t>GAU</t>
  </si>
  <si>
    <t>Urban Land Use</t>
  </si>
  <si>
    <t>The type(s) of land use within an urbanized area.</t>
  </si>
  <si>
    <t>GauCode</t>
  </si>
  <si>
    <t>usableFlowCapacity</t>
  </si>
  <si>
    <t>CAQ</t>
  </si>
  <si>
    <t>Usable Flow Capacity</t>
  </si>
  <si>
    <t>The flow capacity of a feature under practical operational conditions.</t>
  </si>
  <si>
    <t>May be affected by external influences and is often lower than the rated flow capacity.</t>
  </si>
  <si>
    <t>usableHeight</t>
  </si>
  <si>
    <t>HNU</t>
  </si>
  <si>
    <t>Usable Height</t>
  </si>
  <si>
    <t>The interior height of a structure (for example: an aircraft bunker or a storage container).</t>
  </si>
  <si>
    <t>usableLength</t>
  </si>
  <si>
    <t>LNU</t>
  </si>
  <si>
    <t>Usable Length</t>
  </si>
  <si>
    <t>The interior length of a structure (for example: an aircraft bunker or a lock).</t>
  </si>
  <si>
    <t>The length is taken along the primary alignment of the structure. If the structure is irregular in shape the length is along its greatest horizontal dimension, else if the structure is regular in shape then a shape-specific rule may apply: for a rectangular structure, the length of the longer axis; for a round structure, the diameter.</t>
  </si>
  <si>
    <t>usableWidth</t>
  </si>
  <si>
    <t>WDU</t>
  </si>
  <si>
    <t>Usable Width</t>
  </si>
  <si>
    <t>The interior width of a structure.</t>
  </si>
  <si>
    <t>For example, an aircraft bunker or a lock.</t>
  </si>
  <si>
    <t>utcOffset</t>
  </si>
  <si>
    <t>UTO</t>
  </si>
  <si>
    <t>UTC Offset</t>
  </si>
  <si>
    <t>The number of hours to be added or subtracted from Coordinated Universal Time (UTC) to obtain local standard time.</t>
  </si>
  <si>
    <t>utilityFacilityType</t>
  </si>
  <si>
    <t>UUC</t>
  </si>
  <si>
    <t>Utility Facility Type</t>
  </si>
  <si>
    <t>The type of a facility, building, or structure that is used for utility provision purposes.</t>
  </si>
  <si>
    <t>For example, services such as gas, electricity, water, or sewers.</t>
  </si>
  <si>
    <t>UucCode</t>
  </si>
  <si>
    <t>vegetationCharacteristic</t>
  </si>
  <si>
    <t>VEG</t>
  </si>
  <si>
    <t>Vegetation Characteristic</t>
  </si>
  <si>
    <t>The type of a vegetated area based on species, biome, physiography and/or structural organization.</t>
  </si>
  <si>
    <t>VegCode</t>
  </si>
  <si>
    <t>vegetationDensityEval</t>
  </si>
  <si>
    <t>VDE</t>
  </si>
  <si>
    <t>Vegetation Density Evaluation</t>
  </si>
  <si>
    <t>A subjective evaluation of the concentration of spatial coverage and/or density of vegetation (for example: along a waterbody bank).</t>
  </si>
  <si>
    <t>vegetationPresent</t>
  </si>
  <si>
    <t>VGP</t>
  </si>
  <si>
    <t>Vegetation Present</t>
  </si>
  <si>
    <t>An indication that an area contains vegetation.</t>
  </si>
  <si>
    <t>For example, a land area is occupied by scattered scrub or covered by grasses, or a waterbody area is occupied by clumps of reeds or covered by water hyacinth.</t>
  </si>
  <si>
    <t>vegetationSpecies</t>
  </si>
  <si>
    <t>VSP</t>
  </si>
  <si>
    <t>Vegetation Species</t>
  </si>
  <si>
    <t>The predominant species of a tract of vegetation.</t>
  </si>
  <si>
    <t>VspCode</t>
  </si>
  <si>
    <t>vegetationTrafficImpact</t>
  </si>
  <si>
    <t>VTI</t>
  </si>
  <si>
    <t>Vegetation Trafficability Impact</t>
  </si>
  <si>
    <t>The degree of impact of vegetation on trafficability, based on the percent trafficability reduction from a smooth, vegetation-free terrain surface (zero percent reduction).</t>
  </si>
  <si>
    <t>Vegetation reduces trafficability by requiring that either it must be 'overridden' (for example: scrub by a battle tank) or bypassed (for example: orchard trees by an infantryman).</t>
  </si>
  <si>
    <t>vehicleCapacity</t>
  </si>
  <si>
    <t>VEC</t>
  </si>
  <si>
    <t>Vehicle Capacity</t>
  </si>
  <si>
    <t>The number of vehicles that a feature can accommodate.</t>
  </si>
  <si>
    <t>vehicleScaleCount</t>
  </si>
  <si>
    <t>VST</t>
  </si>
  <si>
    <t>Vehicle Scale Count</t>
  </si>
  <si>
    <t>The number of vehicle scales at a weigh station.</t>
  </si>
  <si>
    <t>A weigh station is a building and associated equipment that is used to inspect and weigh motor vehicles. It is located adjacent to a road and used to enforce a variety of motor vehicle safety regulations. Motor vehicles may be weighed by driving them onto a platform.</t>
  </si>
  <si>
    <t>vehicleType</t>
  </si>
  <si>
    <t>VET</t>
  </si>
  <si>
    <t>Vehicle Type</t>
  </si>
  <si>
    <t>The type of a vehicle based on its use and/or mode of propulsion.</t>
  </si>
  <si>
    <t>VetCode</t>
  </si>
  <si>
    <t>verticalAlarmLimit</t>
  </si>
  <si>
    <t>VLI</t>
  </si>
  <si>
    <t>Vertical Alarm Limit</t>
  </si>
  <si>
    <t>Half the length of a segment on the vertical axis (perpendicular to the horizontal plane of WGS-84 ellipsoid), which represents the maximum acceptable magnitude of error introduced by the navigation system, and yet still be usable for precision approach operations.</t>
  </si>
  <si>
    <t>verticalClearanceRef</t>
  </si>
  <si>
    <t>VCD</t>
  </si>
  <si>
    <t>Vertical Clearance Reference</t>
  </si>
  <si>
    <t>The reference water level from which the safe vertical clearance is measured, if the clearance is measured from a body of water.</t>
  </si>
  <si>
    <t>VcdCode</t>
  </si>
  <si>
    <t>verticalClearanceRemark</t>
  </si>
  <si>
    <t>VCR</t>
  </si>
  <si>
    <t>Vertical Clearance Remark</t>
  </si>
  <si>
    <t>Information pertaining to ensuring safe vertical clearance for vessels passing under potential overhead obstacles (for example: a bridge).</t>
  </si>
  <si>
    <t>For example, may state the local sounding datum or reference water level from which overhead clearance is specified on charts.</t>
  </si>
  <si>
    <t>TextLex132</t>
  </si>
  <si>
    <t>verticalClearanceClosed</t>
  </si>
  <si>
    <t>VCC</t>
  </si>
  <si>
    <t>Vertical Clearance, Closed</t>
  </si>
  <si>
    <t>The vertical clearance of an object in closed condition (for example: a closed lifting bridge) measured from the horizontal plane towards the object overhead.</t>
  </si>
  <si>
    <t>verticalClearanceOpened</t>
  </si>
  <si>
    <t>VCO</t>
  </si>
  <si>
    <t>Vertical Clearance, Opened</t>
  </si>
  <si>
    <t>The vertical clearance of an object in opened condition (for example: an open lifting bridge) measured from the horizontal plane towards the object overhead.</t>
  </si>
  <si>
    <t>verticalClearanceSafe</t>
  </si>
  <si>
    <t>VCS</t>
  </si>
  <si>
    <t>Vertical Clearance, Safe</t>
  </si>
  <si>
    <t>The safe vertical clearance of an object measured from the horizontal plane toward the object overhead.</t>
  </si>
  <si>
    <t>verticalDatum</t>
  </si>
  <si>
    <t>VDT</t>
  </si>
  <si>
    <t>Vertical Datum</t>
  </si>
  <si>
    <t>A reference surface with respect to which elevations and/or depths are specified.</t>
  </si>
  <si>
    <t>The values of elevation (or sometimes equivalently, height) and depth are determined along the direction of the reference surface normal.</t>
  </si>
  <si>
    <t>VdtCode</t>
  </si>
  <si>
    <t>verticalDatumName</t>
  </si>
  <si>
    <t>VDN</t>
  </si>
  <si>
    <t>Vertical Datum Name</t>
  </si>
  <si>
    <t>The set of reference points or a mathematical model of the Earth's surface (a datum) against which vertical position measurements are made as basis for measuring elevations.</t>
  </si>
  <si>
    <t>For example, 'AMSTERDAM GAUGE', 'NEWLYN', 'WGS84', 'MSL', 'AGL', etc. A datum is a mathematical model (for example: ellipsoid) or reference point, of the earth from a geometric, geodetic, and gravitational point of view built on the scientific and technological knowledge available at the moment.</t>
  </si>
  <si>
    <t>verticalDistanceReference</t>
  </si>
  <si>
    <t>DRV</t>
  </si>
  <si>
    <t>Vertical Distance Reference</t>
  </si>
  <si>
    <t>The reference system for determining a vertical distance.</t>
  </si>
  <si>
    <t>Two series of values exist: 1. real distance from either GND, MSL, or the WGS-84 ellipsoid; 2. pressure distance.</t>
  </si>
  <si>
    <t>DrvCode</t>
  </si>
  <si>
    <t>verticalLowerLimit</t>
  </si>
  <si>
    <t>VLL</t>
  </si>
  <si>
    <t>Vertical Lower Limit</t>
  </si>
  <si>
    <t>The altitude, height or flight level of the bottom of the airspace, air route, or holding pattern.</t>
  </si>
  <si>
    <t>verticalObstructionIdent</t>
  </si>
  <si>
    <t>VOI</t>
  </si>
  <si>
    <t>Vertical Obstruction Identifier</t>
  </si>
  <si>
    <t>A unique identification code that identifies a feature that is a vertical obstruction to low-level flight.</t>
  </si>
  <si>
    <t>Although parts of the identifier include digits it can also consist of non-numeric characters.</t>
  </si>
  <si>
    <t>VoiStrucText</t>
  </si>
  <si>
    <t>verticalOverrideLimit</t>
  </si>
  <si>
    <t>VLO</t>
  </si>
  <si>
    <t>Vertical Override Limit</t>
  </si>
  <si>
    <t>The numerical value of an altitude that may be assigned by Air Traffic Control (ATC) when different from the relevant published value.</t>
  </si>
  <si>
    <t>verticalRelativeLocation</t>
  </si>
  <si>
    <t>LOC</t>
  </si>
  <si>
    <t>Vertical Relative Location</t>
  </si>
  <si>
    <t>The relationship between the feature and the underlying ground (terrain) or waterbody bottom.</t>
  </si>
  <si>
    <t>LocCode</t>
  </si>
  <si>
    <t>verticalSourceCategory</t>
  </si>
  <si>
    <t>(Geospatial Intelligence Feature Database (GIFD): 'Z_VALUE_TYPE') (MGCP Feature Catalogue: 'ZVAL_TYPE')</t>
  </si>
  <si>
    <t>VSC</t>
  </si>
  <si>
    <t>Vertical Source Category</t>
  </si>
  <si>
    <t>The type of dataset and associated process that was used to define the digital representation of the vertical coordinate values of the feature or data set.</t>
  </si>
  <si>
    <t>VscCode</t>
  </si>
  <si>
    <t>verticalUpperLimit</t>
  </si>
  <si>
    <t>VLU</t>
  </si>
  <si>
    <t>Vertical Upper Limit</t>
  </si>
  <si>
    <t>The altitude, height or flight level of the top of the airspace, air route, or holding pattern.</t>
  </si>
  <si>
    <t>vesselBoardingMethod</t>
  </si>
  <si>
    <t>VBM</t>
  </si>
  <si>
    <t>Vessel Boarding Method</t>
  </si>
  <si>
    <t>The method by which a vessel was boarded.</t>
  </si>
  <si>
    <t>VbmCode</t>
  </si>
  <si>
    <t>vesselBoardingPoint</t>
  </si>
  <si>
    <t>VEP</t>
  </si>
  <si>
    <t>Vessel Boarding Point</t>
  </si>
  <si>
    <t>The part of a vessel at which boarding was accomplished.</t>
  </si>
  <si>
    <t>VepCode</t>
  </si>
  <si>
    <t>vesselDraftCorrection</t>
  </si>
  <si>
    <t>DCR</t>
  </si>
  <si>
    <t>Vessel Draft Correction</t>
  </si>
  <si>
    <t>An indication that a vessel draft correction has been applied.</t>
  </si>
  <si>
    <t>vesselType</t>
  </si>
  <si>
    <t>WKT</t>
  </si>
  <si>
    <t>Vessel Type</t>
  </si>
  <si>
    <t>The type of a vessel or vessel-like object based on size, shape, design, function and/or condition.</t>
  </si>
  <si>
    <t>May be used to characterize vessels that are functional, disused, hulks, or wrecked (reference STANAG 3715), as well as objects that may appear similar to a vessel from a distance.</t>
  </si>
  <si>
    <t>WktCode</t>
  </si>
  <si>
    <t>vorBeaconType</t>
  </si>
  <si>
    <t>VTY</t>
  </si>
  <si>
    <t>VHF Omnidirectional Radio Beacon (VOR) Type</t>
  </si>
  <si>
    <t>The type of VHF Omnidirectional Radio Beacon (VOR) based on its unique equipment.</t>
  </si>
  <si>
    <t>For example: conventional VOR or Doppler VOR.</t>
  </si>
  <si>
    <t>VtyCode</t>
  </si>
  <si>
    <t>victimAbducteeCount</t>
  </si>
  <si>
    <t>VIA</t>
  </si>
  <si>
    <t>Victim Abductee Count</t>
  </si>
  <si>
    <t>The number of victim individuals abducted as the result of an aggressive act.</t>
  </si>
  <si>
    <t>victimFatalityCount</t>
  </si>
  <si>
    <t>VIF</t>
  </si>
  <si>
    <t>Victim Fatality Count</t>
  </si>
  <si>
    <t>The number of victim individuals killed as the result of an aggressive act.</t>
  </si>
  <si>
    <t>victimVesselName</t>
  </si>
  <si>
    <t>VVN</t>
  </si>
  <si>
    <t>Victim Vessel Name</t>
  </si>
  <si>
    <t>The name of a vessel targeted by an aggressive act.</t>
  </si>
  <si>
    <t>victimVesselOutcome</t>
  </si>
  <si>
    <t>VVO</t>
  </si>
  <si>
    <t>Victim Vessel Outcome</t>
  </si>
  <si>
    <t>The physical consequences to a vessel resulting from an aggressive act.</t>
  </si>
  <si>
    <t>VvoCode</t>
  </si>
  <si>
    <t>victimVesselStatus</t>
  </si>
  <si>
    <t>VVS</t>
  </si>
  <si>
    <t>Victim Vessel Status</t>
  </si>
  <si>
    <t>The operational status of a vessel at the time it was targeted by an aggressive act.</t>
  </si>
  <si>
    <t>VvsCode</t>
  </si>
  <si>
    <t>victimVesselType</t>
  </si>
  <si>
    <t>VVT</t>
  </si>
  <si>
    <t>Victim Vessel Type</t>
  </si>
  <si>
    <t>The type of a vessel based on size, shape, design, function and/or condition.</t>
  </si>
  <si>
    <t>VvtCode</t>
  </si>
  <si>
    <t>visibilityCondition</t>
  </si>
  <si>
    <t>TVB</t>
  </si>
  <si>
    <t>Visibility Condition</t>
  </si>
  <si>
    <t>A description of the visibility conditions.</t>
  </si>
  <si>
    <t>visualAidsCategory</t>
  </si>
  <si>
    <t>VAC</t>
  </si>
  <si>
    <t>Visual Aids Category</t>
  </si>
  <si>
    <t>Identifies the type of visual ground signs for aeronautical aids.</t>
  </si>
  <si>
    <t>VacCode</t>
  </si>
  <si>
    <t>vasisApproachSlope</t>
  </si>
  <si>
    <t>VS2</t>
  </si>
  <si>
    <t>Visual Approach Slope Indicator System (VASIS) Approach Slope</t>
  </si>
  <si>
    <t>A descent angle determined for visual vertical guidance during the final approach.</t>
  </si>
  <si>
    <t>vasisNumberUnits</t>
  </si>
  <si>
    <t>VS3</t>
  </si>
  <si>
    <t>Visual Approach Slope Indicator System (VASIS) Number of Units</t>
  </si>
  <si>
    <t>The number of units that compose the visual approach slope indicator system.</t>
  </si>
  <si>
    <t>vasisType</t>
  </si>
  <si>
    <t>VS1</t>
  </si>
  <si>
    <t>Visual Approach Slope Indicator System (VASIS) Type</t>
  </si>
  <si>
    <t>The type of visual approach slope guidance system installed based on the number, color, and/or position of various components.</t>
  </si>
  <si>
    <t>Vs1Code</t>
  </si>
  <si>
    <t>vfrPatternDirection</t>
  </si>
  <si>
    <t>ATD</t>
  </si>
  <si>
    <t>Visual Flight Rules (VFR) Pattern Direction</t>
  </si>
  <si>
    <t>The direction of the Visual Flight Rules (VFR) flight landing pattern at an aerodrome.</t>
  </si>
  <si>
    <t>For example: left turns or right turns.</t>
  </si>
  <si>
    <t>Turn Direction, Traffic Circuit</t>
  </si>
  <si>
    <t>AtdCode</t>
  </si>
  <si>
    <t>visualReflectorPresent</t>
  </si>
  <si>
    <t>VRF</t>
  </si>
  <si>
    <t>Visual Reflector Present</t>
  </si>
  <si>
    <t>An indication that an aid to navigation (for example: a bouy or a beacon) has an associated visual reflector.</t>
  </si>
  <si>
    <t>voidCollectionReason</t>
  </si>
  <si>
    <t>VCA</t>
  </si>
  <si>
    <t>Void Collection Reason</t>
  </si>
  <si>
    <t>The reason(s) that geospatial data was not collected.</t>
  </si>
  <si>
    <t>VcaCode</t>
  </si>
  <si>
    <t>voidCollectionType</t>
  </si>
  <si>
    <t>VCT</t>
  </si>
  <si>
    <t>Void Collection Type</t>
  </si>
  <si>
    <t>The type(s) of geospatial data that were not collected.</t>
  </si>
  <si>
    <t>VctCode</t>
  </si>
  <si>
    <t>volcanicActivity</t>
  </si>
  <si>
    <t>VOA</t>
  </si>
  <si>
    <t>Volcanic Activity</t>
  </si>
  <si>
    <t>The current level of activity of a volcano.</t>
  </si>
  <si>
    <t>VoaCode</t>
  </si>
  <si>
    <t>volcanicEruptionFrequency</t>
  </si>
  <si>
    <t>FOE</t>
  </si>
  <si>
    <t>Volcanic Eruption Frequency</t>
  </si>
  <si>
    <t>The average interval between eruptions of a volcano based on the historical and geologic record.</t>
  </si>
  <si>
    <t>volcanicExplosivityIndex</t>
  </si>
  <si>
    <t>VEI</t>
  </si>
  <si>
    <t>Volcanic Explosivity Index</t>
  </si>
  <si>
    <t>The relative size of an explosive eruption, based on ejecta volume, rate, height, duration and related factors.</t>
  </si>
  <si>
    <t>The volcanic explosivity index correlates with the magnitude and/or intensity and/or destructiveness and/or (less frequently) dispersive power, violence, and energy release rate of the volcanic eruption. The VEI scale ranges from 0 to 8, where 0 denotes an eruption with a minimum of plume formation.</t>
  </si>
  <si>
    <t>VeiCode</t>
  </si>
  <si>
    <t>volcanicLavaComposition</t>
  </si>
  <si>
    <t>VLC</t>
  </si>
  <si>
    <t>Volcanic Lava Composition</t>
  </si>
  <si>
    <t>The type of lava based on its characteristics.</t>
  </si>
  <si>
    <t>VlcCode</t>
  </si>
  <si>
    <t>volcanicPhenomenaType</t>
  </si>
  <si>
    <t>VPT</t>
  </si>
  <si>
    <t>Volcanic Phenomena Type</t>
  </si>
  <si>
    <t>The type of a volcanic phenomenon based on its cause and/or form.</t>
  </si>
  <si>
    <t>VptCode</t>
  </si>
  <si>
    <t>volcanoShape</t>
  </si>
  <si>
    <t>VGT</t>
  </si>
  <si>
    <t>Volcano Shape</t>
  </si>
  <si>
    <t>The classification by shape of a volcano.</t>
  </si>
  <si>
    <t>VgtCode</t>
  </si>
  <si>
    <t>VLM</t>
  </si>
  <si>
    <t>The volume of a feature.</t>
  </si>
  <si>
    <t>For example, the storage capacity of a water tower.</t>
  </si>
  <si>
    <t>wallType</t>
  </si>
  <si>
    <t>WTI</t>
  </si>
  <si>
    <t>Wall Type</t>
  </si>
  <si>
    <t>The type of a wall based on structure and/or function.</t>
  </si>
  <si>
    <t>WtiCode</t>
  </si>
  <si>
    <t>waterColumnDensity</t>
  </si>
  <si>
    <t>WCD</t>
  </si>
  <si>
    <t>Water Column Density</t>
  </si>
  <si>
    <t>The density of the water column expressed as Sigma-t.</t>
  </si>
  <si>
    <t>waterColumnDepth</t>
  </si>
  <si>
    <t>WCZ</t>
  </si>
  <si>
    <t>Water Column Depth</t>
  </si>
  <si>
    <t>Depth.</t>
  </si>
  <si>
    <t>waterColumnForelColorCode</t>
  </si>
  <si>
    <t>WCF</t>
  </si>
  <si>
    <t>Water Column Forel Color Code</t>
  </si>
  <si>
    <t>The forel field is a two-digit code representing values that were originally entered as a text field.</t>
  </si>
  <si>
    <t>The text description refers to the appearance of the colour of the immersed Secchi disk when compared to a standard (the forel-ule chromatic scale which is a set of tubes with water of standard colour value).</t>
  </si>
  <si>
    <t>WcfCode</t>
  </si>
  <si>
    <t>waterColumnSoundVelocity</t>
  </si>
  <si>
    <t>WCV</t>
  </si>
  <si>
    <t>Water Column Sound Velocity</t>
  </si>
  <si>
    <t>Sound speed velocity.</t>
  </si>
  <si>
    <t>waterColumnTemperature</t>
  </si>
  <si>
    <t>WCT</t>
  </si>
  <si>
    <t>Water Column Temperature</t>
  </si>
  <si>
    <t>Temperature.</t>
  </si>
  <si>
    <t>waterColumnVisQuality</t>
  </si>
  <si>
    <t>WCQ</t>
  </si>
  <si>
    <t>Water Column Visibility Quality</t>
  </si>
  <si>
    <t>Average Secchi depth.</t>
  </si>
  <si>
    <t>waterConductivity</t>
  </si>
  <si>
    <t>WAC</t>
  </si>
  <si>
    <t>Water Conductivity</t>
  </si>
  <si>
    <t>The electrical conductivity of water.</t>
  </si>
  <si>
    <t>Electrical conductivity is the ease with which an electric current flows through a conductor per unit length.</t>
  </si>
  <si>
    <t>waterCurrentSpeed</t>
  </si>
  <si>
    <t>WCU</t>
  </si>
  <si>
    <t>Water Current Speed</t>
  </si>
  <si>
    <t>The average speed of a water current (for example: a tidal stream or an ocean current).</t>
  </si>
  <si>
    <t>waterFlow</t>
  </si>
  <si>
    <t>AWO</t>
  </si>
  <si>
    <t>Water Flow</t>
  </si>
  <si>
    <t>The rate of water flow through or exiting from a feature.</t>
  </si>
  <si>
    <t>waterGateType</t>
  </si>
  <si>
    <t>GNC</t>
  </si>
  <si>
    <t>Water Gate Type</t>
  </si>
  <si>
    <t>The type of barrier that may be swung, drawn, or lowered to block an entrance or passageway on a watercourse.</t>
  </si>
  <si>
    <t>GncCode</t>
  </si>
  <si>
    <t>waterHardness</t>
  </si>
  <si>
    <t>HAR</t>
  </si>
  <si>
    <t>Water Hardness</t>
  </si>
  <si>
    <t>The 'hardness' of a sample of water as determined by the combined mass of calcium carbonate and magnesium carbonate per volume of solution.</t>
  </si>
  <si>
    <t>Calcium and magnesium enter water mainly through the weathering of rocks. 'Hard' water has a high mineral content (in contrast with 'soft' water).</t>
  </si>
  <si>
    <t>waterLevelEffect</t>
  </si>
  <si>
    <t>WLE</t>
  </si>
  <si>
    <t>Water Level Effect</t>
  </si>
  <si>
    <t>The relationship between the feature and surrounding (including covering and/or underlying) water.</t>
  </si>
  <si>
    <t>WleCode</t>
  </si>
  <si>
    <t>waterPotability</t>
  </si>
  <si>
    <t>YWQ</t>
  </si>
  <si>
    <t>Water Potability</t>
  </si>
  <si>
    <t>The potability of water based on the type of treatment required before it is safe for human consumption.</t>
  </si>
  <si>
    <t>YwqCode</t>
  </si>
  <si>
    <t>waterProtectionClass</t>
  </si>
  <si>
    <t>WPA</t>
  </si>
  <si>
    <t>Water Protection Class</t>
  </si>
  <si>
    <t>The class of a protected water gathering ground or reservoir.</t>
  </si>
  <si>
    <t>The protected (restricted use) terrain incorporates facilities for the collection of water and is so designated in order to protect the water on and beneath the terrain from being contaminated.</t>
  </si>
  <si>
    <t>WpaCode</t>
  </si>
  <si>
    <t>waterRaceType</t>
  </si>
  <si>
    <t>WRT</t>
  </si>
  <si>
    <t>Water Race Type</t>
  </si>
  <si>
    <t>The type of a water race based on its structure and/or intended purpose.</t>
  </si>
  <si>
    <t>WrtCode</t>
  </si>
  <si>
    <t>waterSupplyImportance</t>
  </si>
  <si>
    <t>WUS</t>
  </si>
  <si>
    <t>Water Supply Importance</t>
  </si>
  <si>
    <t>The reason for the importance of an area to the supply of drinking water.</t>
  </si>
  <si>
    <t>WusCode</t>
  </si>
  <si>
    <t>waterTableDepth</t>
  </si>
  <si>
    <t>WTD</t>
  </si>
  <si>
    <t>Water Table Depth</t>
  </si>
  <si>
    <t>The average depth of the zone of soil saturation except where bounded by an impermeable body in which no water table exists.</t>
  </si>
  <si>
    <t>waterTurbulenceType</t>
  </si>
  <si>
    <t>WTT</t>
  </si>
  <si>
    <t>Water Turbulence Type</t>
  </si>
  <si>
    <t>The type of a water disturbance caused by the interaction of any combination of waves, currents, eddies, tidal streams, wind, shoals, and obstructions.</t>
  </si>
  <si>
    <t>May be used as a means of subtyping Feature: 'Water Turbulence'.</t>
  </si>
  <si>
    <t>WttCode</t>
  </si>
  <si>
    <t>waterType</t>
  </si>
  <si>
    <t>SCC</t>
  </si>
  <si>
    <t>Water Type</t>
  </si>
  <si>
    <t>The type of available water based on its composition.</t>
  </si>
  <si>
    <t>SccCode</t>
  </si>
  <si>
    <t>waterUse</t>
  </si>
  <si>
    <t>WUR</t>
  </si>
  <si>
    <t>Water Use</t>
  </si>
  <si>
    <t>The use(s) for which water is withdrawn or consumed from a source.</t>
  </si>
  <si>
    <t>Uses include, for example: domestic purposes, industrial processing, and irrigation.</t>
  </si>
  <si>
    <t>WurCode</t>
  </si>
  <si>
    <t>waterWellConstructionDesc</t>
  </si>
  <si>
    <t>WAD</t>
  </si>
  <si>
    <t>Water Well Construction Description</t>
  </si>
  <si>
    <t>A narrative or other textual description of the screening, casing, and/or finishing of a water well.</t>
  </si>
  <si>
    <t>A well screen is system of mesh screening or holes designed to allow water to enter a well or borehole without undue loss of flow while excluding sand, silt, and other geologic material. A well casing is a tubular structure placed in the drilled hole to maintain the physical opening from the underground water source to the surface, and also to insulate the passage of water from either loss or pollution in the intervening strata. The casing extends above the surface and protects against surface contaminants entering the water supply by its height and some form of covering.</t>
  </si>
  <si>
    <t>waterbodyBankHeight</t>
  </si>
  <si>
    <t>WBH</t>
  </si>
  <si>
    <t>Waterbody Bank Height</t>
  </si>
  <si>
    <t>The height of the waterbody bank above the average water level.</t>
  </si>
  <si>
    <t>waterbodyBankVegCover</t>
  </si>
  <si>
    <t>WVC</t>
  </si>
  <si>
    <t>Waterbody Bank Vegetation Cover</t>
  </si>
  <si>
    <t>The fraction of vegetation cover on the bank of a watercourse.</t>
  </si>
  <si>
    <t>waterbodyBottomHardness</t>
  </si>
  <si>
    <t>SSH</t>
  </si>
  <si>
    <t>Waterbody Bottom Hardness</t>
  </si>
  <si>
    <t>The general evaluation of the surface hardness of the bottom of a waterbody within an area, as a category.</t>
  </si>
  <si>
    <t>SshCode</t>
  </si>
  <si>
    <t>waterbodyDepth</t>
  </si>
  <si>
    <t>WBD</t>
  </si>
  <si>
    <t>Waterbody Depth</t>
  </si>
  <si>
    <t>The distance, measured vertically upward, from the bottom of an inland waterbody to a reference level datum.</t>
  </si>
  <si>
    <t>waterbodyMorphology</t>
  </si>
  <si>
    <t>SEA</t>
  </si>
  <si>
    <t>Waterbody Morphology</t>
  </si>
  <si>
    <t>The shape and/or configuration of a waterbody as a whole or in a localized area.</t>
  </si>
  <si>
    <t>Generally used to describe relatively large bodies of water, for example those that are characterized by tidal conditions, swells, and/or high heavy wave action, whether containing fresh or salt water.</t>
  </si>
  <si>
    <t>SeaCode</t>
  </si>
  <si>
    <t>waterbodyOverheadObstruct</t>
  </si>
  <si>
    <t>OWO</t>
  </si>
  <si>
    <t>Waterbody Overhead Obstruction</t>
  </si>
  <si>
    <t>An indication that an object is an overhead obstruction over a navigable waterbody.</t>
  </si>
  <si>
    <t>watercourseChannelType</t>
  </si>
  <si>
    <t>WCC</t>
  </si>
  <si>
    <t>Watercourse Channel Type</t>
  </si>
  <si>
    <t>The type of trough-like depression that is normally occupied by a watercourse.</t>
  </si>
  <si>
    <t>WccCode</t>
  </si>
  <si>
    <t>watercourseMorphology</t>
  </si>
  <si>
    <t>WMT</t>
  </si>
  <si>
    <t>Watercourse Morphology</t>
  </si>
  <si>
    <t>The type of a watercourse based on its shape and/or configuration.</t>
  </si>
  <si>
    <t>WmtCode</t>
  </si>
  <si>
    <t>watercourseSinkType</t>
  </si>
  <si>
    <t>WST</t>
  </si>
  <si>
    <t>Watercourse Sink Type</t>
  </si>
  <si>
    <t>The type of the sink of a watercourse.</t>
  </si>
  <si>
    <t>WstCode</t>
  </si>
  <si>
    <t>waterwayClassification</t>
  </si>
  <si>
    <t>WWC</t>
  </si>
  <si>
    <t>Waterway Classification</t>
  </si>
  <si>
    <t>The classification of an inland waterway based on the length, width, draft, and tonnage of supported ship types and pushed convoys, class I being defined as the lowest level (classes I to IV, according to the European inland waterways classification).</t>
  </si>
  <si>
    <t>WwcCode</t>
  </si>
  <si>
    <t>waterwayMaintStatus</t>
  </si>
  <si>
    <t>WMA</t>
  </si>
  <si>
    <t>Waterway Maintenance Status</t>
  </si>
  <si>
    <t>The status of maintenance of a waterway based on the existance of a plan and schedule for its upkeep.</t>
  </si>
  <si>
    <t>For a man-made channel, the schedule for resurvey or dredging to ensure charted depths are accurate and the waterway is safe for navigation.</t>
  </si>
  <si>
    <t>WmaCode</t>
  </si>
  <si>
    <t>wayPointClass</t>
  </si>
  <si>
    <t>WPL</t>
  </si>
  <si>
    <t>Way-point Class</t>
  </si>
  <si>
    <t>An indication of whether the way-point is considered named or un-named.</t>
  </si>
  <si>
    <t>One distinguishing factor between a named way-point and an un-named way-point is whether or not an aircraft can use the way-point as a location reference to air traffic control.</t>
  </si>
  <si>
    <t>WplCode</t>
  </si>
  <si>
    <t>wayPointType</t>
  </si>
  <si>
    <t>Way-point Type</t>
  </si>
  <si>
    <t>A characteristic describing the aircraft's flight path when navigating by or over a waypoint.</t>
  </si>
  <si>
    <t>WptCode</t>
  </si>
  <si>
    <t>wayPointUsage</t>
  </si>
  <si>
    <t>WPU</t>
  </si>
  <si>
    <t>Way-point Usage</t>
  </si>
  <si>
    <t>The intended use of a way-point within the defined limits of an airspace.</t>
  </si>
  <si>
    <t>For example, a free-flight way-point or a special use airspace entry or exit point.</t>
  </si>
  <si>
    <t>WpuCode</t>
  </si>
  <si>
    <t>weaponStorageType</t>
  </si>
  <si>
    <t>XMT</t>
  </si>
  <si>
    <t>Weapon Storage Type</t>
  </si>
  <si>
    <t>The type of weapons storage based on its shape, usage and/or construction</t>
  </si>
  <si>
    <t>XmtCode</t>
  </si>
  <si>
    <t>weaponSystemCat</t>
  </si>
  <si>
    <t>XFM</t>
  </si>
  <si>
    <t>Weapon System Category</t>
  </si>
  <si>
    <t>The category of a weapon system.</t>
  </si>
  <si>
    <t>XfmCode</t>
  </si>
  <si>
    <t>weaponsRangeType</t>
  </si>
  <si>
    <t>FRT</t>
  </si>
  <si>
    <t>Weapons Range Type</t>
  </si>
  <si>
    <t>The type of a weapons range based on its intended use(s).</t>
  </si>
  <si>
    <t>FrtCode</t>
  </si>
  <si>
    <t>weatherRestrictionType</t>
  </si>
  <si>
    <t>WRX</t>
  </si>
  <si>
    <t>Weather Restriction Type</t>
  </si>
  <si>
    <t>The type of weather conditions under which a feature is usable.</t>
  </si>
  <si>
    <t>WrxCode</t>
  </si>
  <si>
    <t>weightBearingCapacity</t>
  </si>
  <si>
    <t>WBC</t>
  </si>
  <si>
    <t>Weight Bearing Capacity</t>
  </si>
  <si>
    <t>The maximum weight that can be supported by a surface.</t>
  </si>
  <si>
    <t>weightRestrictionReason</t>
  </si>
  <si>
    <t>WER</t>
  </si>
  <si>
    <t>Weight Restriction Reason</t>
  </si>
  <si>
    <t>The cause of a weight bearing restriction on a land transporation route.</t>
  </si>
  <si>
    <t>WerCode</t>
  </si>
  <si>
    <t>wellEquipment</t>
  </si>
  <si>
    <t>WEQ</t>
  </si>
  <si>
    <t>Well Equipment</t>
  </si>
  <si>
    <t>The type(s) of equipment attached to or adjacent to a wellbore.</t>
  </si>
  <si>
    <t>A wellbore is the openhole or uncased portion of a well.</t>
  </si>
  <si>
    <t>WeqCode</t>
  </si>
  <si>
    <t>wellType</t>
  </si>
  <si>
    <t>WFT</t>
  </si>
  <si>
    <t>Well Type</t>
  </si>
  <si>
    <t>The type of a well, generally based on method of construction.</t>
  </si>
  <si>
    <t>WftCode</t>
  </si>
  <si>
    <t>wellboreInjectionMaterial</t>
  </si>
  <si>
    <t>WIM</t>
  </si>
  <si>
    <t>Wellbore Injection Material</t>
  </si>
  <si>
    <t>The type(s) of material that are pumped down a wellbore.</t>
  </si>
  <si>
    <t>Steam, carbon dioxide, water, and other substances can be injected into an oil-producing stratum in order to maintain reservoir pressure, heat the oil or lower its viscosity, thus allowing it to flow to a producing well nearby. Waste water may be injected into the ground between impermeable layers of rocks to avoid polluting fresh water supplies, or carbon dioxide similarly sequestered.</t>
  </si>
  <si>
    <t>WimCode</t>
  </si>
  <si>
    <t>wellboreStatus</t>
  </si>
  <si>
    <t>WBS</t>
  </si>
  <si>
    <t>Wellbore Status</t>
  </si>
  <si>
    <t>The operational status of a wellbore.</t>
  </si>
  <si>
    <t>For example: active, shut-in, or plugged.</t>
  </si>
  <si>
    <t>WbsCode</t>
  </si>
  <si>
    <t>wetlandType</t>
  </si>
  <si>
    <t>WSF</t>
  </si>
  <si>
    <t>Wetland Type</t>
  </si>
  <si>
    <t>The type of a wetland on its hydrologic character, morphology and/or dominant vegetation.</t>
  </si>
  <si>
    <t>WsfCode</t>
  </si>
  <si>
    <t>wideBerth</t>
  </si>
  <si>
    <t>WIB</t>
  </si>
  <si>
    <t>Wide Berth</t>
  </si>
  <si>
    <t>An indication that wide berth should be given to a marine feature by nearby vessels.</t>
  </si>
  <si>
    <t>For example, the surrounding area may constitute an underwater hazard due to submerged equipment or should not be disturbed due to ongoing scientific investigation.</t>
  </si>
  <si>
    <t>width</t>
  </si>
  <si>
    <t>WID</t>
  </si>
  <si>
    <t>Width</t>
  </si>
  <si>
    <t>The dimension of a feature taken perpendicular to its primary alignment of use and generally in the horizontal plane.</t>
  </si>
  <si>
    <t>The primary alignment of a feature is its established direction of flow or use (for example: a road, a power line right-of-way, a river, rapid, and/or a bridge). A feature-specific rule may apply. In the case of a bridge, the width is the distance perpendicular to the bridge centre-line and generally in the horizontal plane. In the case of a dam, the width is the distance perpendicular to (across the) the dam crest. If no such direction of flow or use exists then (1) if the feature is irregular in shape its width is taken perpendicular to the direction of its greatest horizontal dimension (see Attribute: 'Greatest Horizontal Extent'), else (2) if the feature is regular in shape then a shape-specific rule may apply: for a rectangular feature, the length of the shorter axis; for a round feature, the diameter.</t>
  </si>
  <si>
    <t>widthBeamOfVessel</t>
  </si>
  <si>
    <t>WD7</t>
  </si>
  <si>
    <t>Width - Beam of Vessel</t>
  </si>
  <si>
    <t>The beam of the vessel, being the widest part of its hull, in its operational state.</t>
  </si>
  <si>
    <t>widthAtBottom</t>
  </si>
  <si>
    <t>WD6</t>
  </si>
  <si>
    <t>Width at Bottom</t>
  </si>
  <si>
    <t>The width at the bottom of a feature.</t>
  </si>
  <si>
    <t>widthAtMeanHighWater</t>
  </si>
  <si>
    <t>WHW</t>
  </si>
  <si>
    <t>Width at Mean High Water</t>
  </si>
  <si>
    <t>Width of water at Mean High Water (MHW).</t>
  </si>
  <si>
    <t>widthAtMeanLowWater</t>
  </si>
  <si>
    <t>WLW</t>
  </si>
  <si>
    <t>Width at Mean Low Water</t>
  </si>
  <si>
    <t>Width of water at Mean Low Water (MLW).</t>
  </si>
  <si>
    <t>widthAtMeanWater</t>
  </si>
  <si>
    <t>WMW</t>
  </si>
  <si>
    <t>Width at Mean Water</t>
  </si>
  <si>
    <t>Width of water at Mean Water.</t>
  </si>
  <si>
    <t>widthAtTop</t>
  </si>
  <si>
    <t>WD5</t>
  </si>
  <si>
    <t>Width at Top</t>
  </si>
  <si>
    <t>The width at the top of a feature.</t>
  </si>
  <si>
    <t>widthOfSecondTravelledWay</t>
  </si>
  <si>
    <t>WT2</t>
  </si>
  <si>
    <t>Width of Second Travelled Way</t>
  </si>
  <si>
    <t>The width of a second travelled way that is the lesser width of the two travelled ways in a divided highway.</t>
  </si>
  <si>
    <t>windDirectIndicatorType</t>
  </si>
  <si>
    <t>WNT</t>
  </si>
  <si>
    <t>Wind Direction Indicator Type</t>
  </si>
  <si>
    <t>The type visual indicator located at the aerodrome showing the wind direction.</t>
  </si>
  <si>
    <t>WntCode</t>
  </si>
  <si>
    <t>wingless</t>
  </si>
  <si>
    <t>WGL</t>
  </si>
  <si>
    <t>Wingless</t>
  </si>
  <si>
    <t>An indication that a feature, for example a wind turbine, has no wings attached.</t>
  </si>
  <si>
    <t>This may occure because of maintenance purposes or because of the type of construction.</t>
  </si>
  <si>
    <t>winterCanopyCover</t>
  </si>
  <si>
    <t>WCL</t>
  </si>
  <si>
    <t>Winter Canopy Cover</t>
  </si>
  <si>
    <t>The fraction of canopy cover within a defined area during the winter season.</t>
  </si>
  <si>
    <t>wirelessTelecomType</t>
  </si>
  <si>
    <t>WIT</t>
  </si>
  <si>
    <t>Wireless Telecommunication Type</t>
  </si>
  <si>
    <t>The type of a wireless telecommunication service based on the mechanism(s) of transmission and/or the nature of the communication(s) supported.</t>
  </si>
  <si>
    <t>For example, radio broadcast or mobile phone service.</t>
  </si>
  <si>
    <t>WitCode</t>
  </si>
  <si>
    <t>woodyVegetationDensity</t>
  </si>
  <si>
    <t>WVE</t>
  </si>
  <si>
    <t>Woody Vegetation Density</t>
  </si>
  <si>
    <t>The fraction of land within a defined area that is covered by woody vegetation, excluding undergrowth.</t>
  </si>
  <si>
    <t>worldAeroChartIdentifier</t>
  </si>
  <si>
    <t>WA1</t>
  </si>
  <si>
    <t>World Aeronautical Chart Identifier</t>
  </si>
  <si>
    <t>An identifier that is used to determine the World Aeronautical Chart (WAC) number of the region in which a given geographic point is included.</t>
  </si>
  <si>
    <t>Wa1StrucText</t>
  </si>
  <si>
    <t>worldPort</t>
  </si>
  <si>
    <t>PIA</t>
  </si>
  <si>
    <t>World Port</t>
  </si>
  <si>
    <t>An indication that a port is in the World Port Index.</t>
  </si>
  <si>
    <t>worldPortIndexIdentifier</t>
  </si>
  <si>
    <t>WPI</t>
  </si>
  <si>
    <t>World Port Index Identifier</t>
  </si>
  <si>
    <t>The unique identifier element in the NGA World Port Index (Publication 150).</t>
  </si>
  <si>
    <t>The World Port Index lists all of the major shipping ports in the world, giving all the information (for example: latitude and longitude, facilities information, tidal data, and customs information) that a ship captain might need to prepare for a visit.</t>
  </si>
  <si>
    <t>KeyNonLex5</t>
  </si>
  <si>
    <t>wreckName</t>
  </si>
  <si>
    <t>WKN</t>
  </si>
  <si>
    <t>Wreck Name</t>
  </si>
  <si>
    <t>The registered name of a wrecked or sunken vessel.</t>
  </si>
  <si>
    <t>wreckNumber</t>
  </si>
  <si>
    <t>WRN</t>
  </si>
  <si>
    <t>Wreck Number</t>
  </si>
  <si>
    <t>A unique number identifying a source-receiver combination during the collection of transmission loss data, as determined by the Acoustic Station Inventory System (ASIS).</t>
  </si>
  <si>
    <t>wreckHulkExposure</t>
  </si>
  <si>
    <t>WLO</t>
  </si>
  <si>
    <t>Wreck or Hulk Exposure</t>
  </si>
  <si>
    <t>The portion of a wreck or hulk that is persistently showing above the water surface.</t>
  </si>
  <si>
    <t>WloCode</t>
  </si>
  <si>
    <t>wreckStatus</t>
  </si>
  <si>
    <t>WRK</t>
  </si>
  <si>
    <t>Wreck Status</t>
  </si>
  <si>
    <t>The status of a maritime wreck based on configuration and hazardousness to navigation.</t>
  </si>
  <si>
    <t>WrkCode</t>
  </si>
  <si>
    <t>Absolute Horizontal Accuracy Evaluation Method Code</t>
  </si>
  <si>
    <t>A coded domain value denoting an absolute horizontal accuracy evaluation method.</t>
  </si>
  <si>
    <t>Absolute Vertical Accuracy Evaluation Method Code</t>
  </si>
  <si>
    <t>A coded domain value denoting an absolute vertical accuracy evaluation method.</t>
  </si>
  <si>
    <t>Accessibility Status Code</t>
  </si>
  <si>
    <t>A coded domain value denoting an accessibility status.</t>
  </si>
  <si>
    <t>Accessible Utility Type Code</t>
  </si>
  <si>
    <t>A coded domain value denoting an accessible utility type.</t>
  </si>
  <si>
    <t>Accomodation Type Code</t>
  </si>
  <si>
    <t>A coded domain value denoting an accomodation type.</t>
  </si>
  <si>
    <t>Active Period End Date and Time Structured Text</t>
  </si>
  <si>
    <t>A structured text value specifying an active period end date and time.</t>
  </si>
  <si>
    <t>structuredText</t>
  </si>
  <si>
    <t>The realization of this structuredText datatype is implementation-dependent.</t>
  </si>
  <si>
    <t>Formatted in accordance with ISO 8601:2000, 5.4.1, Combinations of date and time of day - Complete representation - Extended format, a calendar date and time representation, as a single data element comprising up to twenty characters, where [YYYY] represents a calendar year, [MM] the ordinal number of a calendar month within the calendar year, [DD] the ordinal number of a day within the calendar month, [hh] the ordinal number of an hour within the calendar day, [mm] the ordinal number of a minute within the hour, [ss] the ordinal number of a second within the minute, and an optional 'Z' when the time is according to Coordinated Universal Time (UTC), as 'YYYY-MM-DDThh:mm:ssZ' (for example: '1985-04-12T11:45:20Z' for 11 hours, 45 minutes and 20 seconds UTC on 12 April 1985). Representations with reduced precision may be used in accordance with 5.4.2 (for example: '1985-04-12' for 12 April 1985). Representations consistently using basic format (eliminating the hyphen '-' and the colon ':') may be used in accordance with 5.4.1 (for example: '19850412T114520Z').</t>
  </si>
  <si>
    <t>Active Period Interval Structured Text</t>
  </si>
  <si>
    <t>A structured text value specifying an active period interval.</t>
  </si>
  <si>
    <t>Formatted in accordance with ISO 8601:2000, 5.5.4.1, Representation of time-intervals identified by start and end - Extended format, as a single data element comprising up to forty-one characters, using an expression in accordance with 5.5.2 combining any two date and time of the day representations as defined in 5.4.1, as 'YYYY-MM-DDThh:mm:ssZ/YYYY-MM-DDThh:mm:ssZ' (for example: '1985-04-12T11:45:20Z/1985-07-01T08:23:50Z' for 11 hours, 45 minutes and 20 seconds UTC on 12 April 1985 through 8 hours, 23 minutes and 50 seconds UTC on 1 July 1985). Representations with reduced precision may be used in accordance with 5.4.2 (for example: '1985-04-12/1985-07-01' for 12 April 1985 through 1 July 1985). Representations consistently using basic format (eliminating the hyphen '-' and the colon ':') may be used in accordance with 5.4.1 (for example: '19850412/19850701'). Either of the dates may be left unspecified by the use of '--------' (for example: '19850412/--------' for 12 April 1985 through an unspecified ending date).</t>
  </si>
  <si>
    <t>Active Period Start Date and Time Structured Text</t>
  </si>
  <si>
    <t>A structured text value specifying an active period start date and time.</t>
  </si>
  <si>
    <t>Activity Duration Structured Text</t>
  </si>
  <si>
    <t>A structured text value specifying an activity duration.</t>
  </si>
  <si>
    <t>Formatted in accordance with ISO 8601:2000, 5.5.4.2.1, Basic format, 'Representation of time-interval by duration only' as 'PnYnMnDTnHnMnS' (for example: 'P2Y10M15DT10H30M20S' for a time-interval with a duration of two years, 10 months, 15 days, 10 hours, 30 minutes and 20 seconds).</t>
  </si>
  <si>
    <t>Address Direction Prefix Code</t>
  </si>
  <si>
    <t>A coded domain value denoting an address direction prefix.</t>
  </si>
  <si>
    <t>Address Direction Suffix Code</t>
  </si>
  <si>
    <t>A coded domain value denoting an address direction suffix.</t>
  </si>
  <si>
    <t>Address Number Structured Text</t>
  </si>
  <si>
    <t>A structured text value specifying an address number.</t>
  </si>
  <si>
    <t>A sequence of characters expressing a single (for example: '9729 1/2') or a range (for example: '3778' through '3884') of assigned postal address numbers; note that fractional numbers are used in some countries (for example: Japan).</t>
  </si>
  <si>
    <t>Address Structured Text</t>
  </si>
  <si>
    <t>A structured text value specifying an address.</t>
  </si>
  <si>
    <t>Unlimited</t>
  </si>
  <si>
    <t>A value representing an address, as specified by ISO 19115:2003, B.3.2.2 Line 380, CI_Address.</t>
  </si>
  <si>
    <t>Administrative Division Level Code</t>
  </si>
  <si>
    <t>A coded domain value denoting an administrative division level.</t>
  </si>
  <si>
    <t>Administrative Subdivision Level Code</t>
  </si>
  <si>
    <t>A coded domain value denoting an administrative subdivision level.</t>
  </si>
  <si>
    <t>Aerial Refuelling Receiver Channel Code</t>
  </si>
  <si>
    <t>A coded domain value denoting an aerial refuelling receiver channel.</t>
  </si>
  <si>
    <t>Aerial Refuelling Tanker Channel Code</t>
  </si>
  <si>
    <t>A coded domain value denoting an aerial refuelling tanker channel.</t>
  </si>
  <si>
    <t>Aerodrome Approach Lighting System Type Code</t>
  </si>
  <si>
    <t>A coded domain value denoting an aerodrome approach lighting system type.</t>
  </si>
  <si>
    <t>Aerodrome Co-Location Identifier Structured Text</t>
  </si>
  <si>
    <t>A structured text value specifying an aerodrome co-location identifier.</t>
  </si>
  <si>
    <t>Characters 1 and 2 indicate the ICAO region as stated in ICAO Doc7910, characters 3 and 4 are in the ranges A-Z and/or 0-9.</t>
  </si>
  <si>
    <t>Aerodrome Control Station Type Code</t>
  </si>
  <si>
    <t>A coded domain value denoting an aerodrome control station type.</t>
  </si>
  <si>
    <t>Aerodrome Fire Fighting Category Code</t>
  </si>
  <si>
    <t>A coded domain value denoting an aerodrome fire fighting category.</t>
  </si>
  <si>
    <t>Aerodrome Hot Spot Designator Structured Text</t>
  </si>
  <si>
    <t>A structured text value specifying an aerodrome hot spot designator</t>
  </si>
  <si>
    <t>A five-character alphanumeric identifier that is often, but not necessarily, in the form of the 2-character prefix 'HS' followed by a three-digit number.</t>
  </si>
  <si>
    <t>Aerodrome Identifier Key</t>
  </si>
  <si>
    <t>A key domain value specifying an aerodrome identifier.</t>
  </si>
  <si>
    <t>key</t>
  </si>
  <si>
    <t>The realization of this key datatype is implementation-dependent.</t>
  </si>
  <si>
    <t>A seven character code consisting of a two character country code as specified in the Digital Aeronautical Flight Information File (DAFIF) Appendix C, followed by a five digit number that is uniquely assigned within that country by the U.S. National Geospatial-Intelligence Agency (NGA) as part of the process of preparing DAFIF data.</t>
  </si>
  <si>
    <t>Aerodrome Movement Area Light System Type Code</t>
  </si>
  <si>
    <t>A coded domain value denoting an aerodrome movement area light system type.</t>
  </si>
  <si>
    <t>Aerodrome Movement Area Pavement Condition Code</t>
  </si>
  <si>
    <t>A coded domain value denoting an aerodrome movement area pavement condition.</t>
  </si>
  <si>
    <t>Aerodrome Movement Area Surface Category Code</t>
  </si>
  <si>
    <t>A coded domain value denoting an aerodrome movement area surface category.</t>
  </si>
  <si>
    <t>Aerodrome Movement Area Surface Composition Code</t>
  </si>
  <si>
    <t>A coded domain value denoting an aerodrome movement area surface composition.</t>
  </si>
  <si>
    <t>Aerodrome Movement Area Surface Preparation Method Code</t>
  </si>
  <si>
    <t>A coded domain value denoting an aerodrome movement area surface preparation method.</t>
  </si>
  <si>
    <t>Aerodrome Pavement Functional Status Code</t>
  </si>
  <si>
    <t>A coded domain value denoting an aerodrome pavement functional status.</t>
  </si>
  <si>
    <t>Aerodrome Surface Status Code</t>
  </si>
  <si>
    <t>A coded domain value denoting an aerodrome surface status.</t>
  </si>
  <si>
    <t>Aeronautical Advisory and Information Service Type Code</t>
  </si>
  <si>
    <t>A coded domain value denoting an aeronautical advisory and information service type.</t>
  </si>
  <si>
    <t>Aeronautical Beacon Type Code</t>
  </si>
  <si>
    <t>A coded domain value denoting an aeronautical beacon type.</t>
  </si>
  <si>
    <t>Aeronautical Communication Channel Mode Code</t>
  </si>
  <si>
    <t>A coded domain value denoting an aeronautical communication channel mode.</t>
  </si>
  <si>
    <t>Aeronautical Light Function  Code</t>
  </si>
  <si>
    <t>A coded domain value denoting an aeronautical light function.</t>
  </si>
  <si>
    <t>Aeronautical Radio Navigation Service Identifier Structured Text</t>
  </si>
  <si>
    <t>A structured text value specifying an aeronautical radio navigation service identifier.</t>
  </si>
  <si>
    <t>Any character in the range A-Z.</t>
  </si>
  <si>
    <t>Aeronautical Responsible Authority Type Code</t>
  </si>
  <si>
    <t>A coded domain value denoting an aeronautical responsible authority type.</t>
  </si>
  <si>
    <t>Aeronautical Route Category Code</t>
  </si>
  <si>
    <t>A coded domain value denoting an aeronautical route category.</t>
  </si>
  <si>
    <t>Aeronautical Service Operational Status Code</t>
  </si>
  <si>
    <t>A coded domain value denoting an aeronautical service operational status.</t>
  </si>
  <si>
    <t>Aeronautical Service Ranking Code</t>
  </si>
  <si>
    <t>A coded domain value denoting an aeronautical service ranking.</t>
  </si>
  <si>
    <t>Aeronautical Unit Type Code</t>
  </si>
  <si>
    <t>A coded domain value denoting an aeronautical unit type.</t>
  </si>
  <si>
    <t>Affiliation Status Code</t>
  </si>
  <si>
    <t>A coded domain value denoting an affiliation status.</t>
  </si>
  <si>
    <t>Aggressor Affiliation Code</t>
  </si>
  <si>
    <t>A coded domain value denoting an aggressor affiliation.</t>
  </si>
  <si>
    <t>Agricultural Facility Type Code</t>
  </si>
  <si>
    <t>A coded domain value denoting an agricultural facility type.</t>
  </si>
  <si>
    <t>Agricultural Zone Type Code</t>
  </si>
  <si>
    <t>A coded domain value denoting an agricultural zone type.</t>
  </si>
  <si>
    <t>Air Refuelling Point Usage Code</t>
  </si>
  <si>
    <t>A coded domain value denoting an air refuelling point usage.</t>
  </si>
  <si>
    <t>Air Refuelling Procedure Direction Code</t>
  </si>
  <si>
    <t>A coded domain value denoting an air refuelling procedure direction.</t>
  </si>
  <si>
    <t>Air Refuelling Procedure Type Code</t>
  </si>
  <si>
    <t>A coded domain value denoting an air refuelling procedure type.</t>
  </si>
  <si>
    <t>Air Traffic Control (ATC) Required Report Type Code</t>
  </si>
  <si>
    <t>A coded domain value denoting an air traffic control required report type.</t>
  </si>
  <si>
    <t>Air Traffic Control Service Type Code</t>
  </si>
  <si>
    <t>A coded domain value denoting an air traffic control service type.</t>
  </si>
  <si>
    <t>Air Traffic Management Service Type Code</t>
  </si>
  <si>
    <t>A coded domain value denoting an air traffic management service type.</t>
  </si>
  <si>
    <t>Air Traffic Permitted Type Code</t>
  </si>
  <si>
    <t>A coded domain value denoting an air traffic permitted type.</t>
  </si>
  <si>
    <t>Air Traffic Service (ATS) Route Location Designator Structured Text</t>
  </si>
  <si>
    <t>A structured text value specifying an air traffic service route location designator.</t>
  </si>
  <si>
    <t>The 2 letter pair ICAO nationality designation of the country of origin as specified in ICAO Doc7910, followed by a dash, then the 2 letter pair ICAO nationality designation of the country of destination as specified in ICAO doc.7910.</t>
  </si>
  <si>
    <t>Air Traffic Service (ATS) Route Segment Availability Code</t>
  </si>
  <si>
    <t>A coded domain value denoting an air traffic service route segment availability.</t>
  </si>
  <si>
    <t>Air Traffic Service (ATS) Route Segment Path Basis Code</t>
  </si>
  <si>
    <t>A coded domain value denoting an air traffic service route segment path basis.</t>
  </si>
  <si>
    <t>Air Traffic Service (ATS) Route Segment Usage Direction Code</t>
  </si>
  <si>
    <t>A coded domain value denoting an air traffic service route segment usage direction.</t>
  </si>
  <si>
    <t>Air Traffic Service (ATS) Route Type Code</t>
  </si>
  <si>
    <t>A coded domain value denoting an air traffic service route type.</t>
  </si>
  <si>
    <t>Airborne Identification Radar Beacon Code (APX) Structured Text</t>
  </si>
  <si>
    <t>A structured text value specifying an airborne identification radar beacon code.</t>
  </si>
  <si>
    <t>First digit allowable values: '2', '3', '4', '5', '6'; Second digit allowable values: '1'; OR No values entered in both positions.</t>
  </si>
  <si>
    <t>Airborne Navigation Radar Beacon Code (APN) Structured Text</t>
  </si>
  <si>
    <t>A structured text value specifying an airborne navigation radar beacon code.</t>
  </si>
  <si>
    <t>First digit allowable values: '1', '2', '3'; Second digit allowable values: '0', '1', '2', '3', '4'; Third digit allowable values - '0', '1', '2', '3', '4'; OR No values entered in all three positions.</t>
  </si>
  <si>
    <t>Aircraft Approach Category Code</t>
  </si>
  <si>
    <t>A coded domain value denoting an aircraft approach category.</t>
  </si>
  <si>
    <t>Aircraft De-Icing Fluid Type Code</t>
  </si>
  <si>
    <t>A coded domain value denoting an aircraft de-icing fluid type.</t>
  </si>
  <si>
    <t>Aircraft Fuel Service Unit Type Code</t>
  </si>
  <si>
    <t>A coded domain value denoting an aircraft fuel service unit type.</t>
  </si>
  <si>
    <t>Aircraft Fuel Transfer Infrastructure Code</t>
  </si>
  <si>
    <t>A coded domain value denoting an aircraft fuel transfer infrastructure.</t>
  </si>
  <si>
    <t>Aircraft Ground Service Type Code</t>
  </si>
  <si>
    <t>A coded domain value denoting an aircraft ground service type.</t>
  </si>
  <si>
    <t>Aircraft Speed Reference Code</t>
  </si>
  <si>
    <t>A coded domain value denoting an aircraft speed reference.</t>
  </si>
  <si>
    <t>Aircraft Stand Type Code</t>
  </si>
  <si>
    <t>A coded domain value denoting an aircraft stand type.</t>
  </si>
  <si>
    <t>Aircraft Wing Configuration Code</t>
  </si>
  <si>
    <t>A coded domain value denoting an aircraft wing configuration.</t>
  </si>
  <si>
    <t>Airfield Type Code</t>
  </si>
  <si>
    <t>A coded domain value denoting an airfield type.</t>
  </si>
  <si>
    <t>Airfield Use Code</t>
  </si>
  <si>
    <t>A coded domain value denoting an airfield use.</t>
  </si>
  <si>
    <t>Airspace Activity Code</t>
  </si>
  <si>
    <t>A coded domain value denoting an airspace activity.</t>
  </si>
  <si>
    <t>Airspace Class Code</t>
  </si>
  <si>
    <t>A coded domain value denoting an airspace class.</t>
  </si>
  <si>
    <t>Airspace Control Code</t>
  </si>
  <si>
    <t>A coded domain value denoting an airspace control.</t>
  </si>
  <si>
    <t>Airspace Type Code</t>
  </si>
  <si>
    <t>A coded domain value denoting an airspace type.</t>
  </si>
  <si>
    <t>Allowed Aircraft on Route Code</t>
  </si>
  <si>
    <t>A coded domain value denoting an allowed aircraft on route.</t>
  </si>
  <si>
    <t>Altitude Description Code</t>
  </si>
  <si>
    <t>A coded domain value denoting an altitude description.</t>
  </si>
  <si>
    <t>Amusement Attraction Type Code</t>
  </si>
  <si>
    <t>A coded domain value denoting an amusement attraction type.</t>
  </si>
  <si>
    <t>Anchorage Type Code</t>
  </si>
  <si>
    <t>A coded domain value denoting an anchorage type.</t>
  </si>
  <si>
    <t>Angle Reference Type Code</t>
  </si>
  <si>
    <t>A coded domain value denoting an angle reference type.</t>
  </si>
  <si>
    <t>Animal Husbandry Type Code</t>
  </si>
  <si>
    <t>A coded domain value denoting an animal husbandry type.</t>
  </si>
  <si>
    <t>Antenna Configuration Code</t>
  </si>
  <si>
    <t>A coded domain value denoting an antenna configuration.</t>
  </si>
  <si>
    <t>Approach Capability Markings Code</t>
  </si>
  <si>
    <t>A coded domain value denoting an approach capability markings.</t>
  </si>
  <si>
    <t>Approach Prefix Code</t>
  </si>
  <si>
    <t>A coded domain value denoting an approach prefix.</t>
  </si>
  <si>
    <t>Approach Type Code</t>
  </si>
  <si>
    <t>A coded domain value denoting an approach type.</t>
  </si>
  <si>
    <t>Apron Type Code</t>
  </si>
  <si>
    <t>A coded domain value denoting an apron type.</t>
  </si>
  <si>
    <t>Apron Usage Code</t>
  </si>
  <si>
    <t>A coded domain value denoting an apron usage.</t>
  </si>
  <si>
    <t>Aquaculture Facility Type Code</t>
  </si>
  <si>
    <t>A coded domain value denoting an aquaculture facility type.</t>
  </si>
  <si>
    <t>Aquatic Vegetation Growth Habit Code</t>
  </si>
  <si>
    <t>A coded domain value denoting an aquatic vegetation growth habit code.</t>
  </si>
  <si>
    <t>Aqueduct Type Code</t>
  </si>
  <si>
    <t>A coded domain value denoting an aqueduct type.</t>
  </si>
  <si>
    <t>Aquifer Composition Code</t>
  </si>
  <si>
    <t>A coded domain value denoting an aquifer composition.</t>
  </si>
  <si>
    <t>Aquifer Overburden Code</t>
  </si>
  <si>
    <t>A coded domain value denoting an aquifer overburden.</t>
  </si>
  <si>
    <t>Aquifer Productivity Code</t>
  </si>
  <si>
    <t>A coded domain value denoting an aquifer productivity.</t>
  </si>
  <si>
    <t>Arresting Gear Category Code</t>
  </si>
  <si>
    <t>A coded domain value denoting an arresting gear category.</t>
  </si>
  <si>
    <t>Arresting System Energy Absorber Type Code</t>
  </si>
  <si>
    <t>A coded domain value denoting an arresting system energy absorber type.</t>
  </si>
  <si>
    <t>Arresting System Engagement Device Type Code</t>
  </si>
  <si>
    <t>A coded domain value denoting an arresting system engagement device type.</t>
  </si>
  <si>
    <t>Arresting System Engagement Direction Code</t>
  </si>
  <si>
    <t>A coded domain value denoting an arresting system engagement direction.</t>
  </si>
  <si>
    <t>Availability Category Code</t>
  </si>
  <si>
    <t>A coded domain value denoting an availability category.</t>
  </si>
  <si>
    <t>Available POL Code</t>
  </si>
  <si>
    <t>A coded domain value denoting available POL.</t>
  </si>
  <si>
    <t>Available Vehicle Maintenance Code</t>
  </si>
  <si>
    <t>A coded domain value denoting an available vehicle maintenance.</t>
  </si>
  <si>
    <t>Available Vessel Service Code</t>
  </si>
  <si>
    <t>A coded domain value denoting an available vessel service.</t>
  </si>
  <si>
    <t>Aviation Fuel Type Code</t>
  </si>
  <si>
    <t>A coded domain value denoting an aviation fuel type.</t>
  </si>
  <si>
    <t>Aviation Hydraulic Fluid Type Code</t>
  </si>
  <si>
    <t>A coded domain value denoting an aviation hydraulic fluid type.</t>
  </si>
  <si>
    <t>Aviation Nitrogen Supply Type Code</t>
  </si>
  <si>
    <t>A coded domain value denoting an aviation nitrogen supply type.</t>
  </si>
  <si>
    <t>Aviation Oil Type Code</t>
  </si>
  <si>
    <t>A coded domain value denoting an aviation oil type.</t>
  </si>
  <si>
    <t>Aviation Oxygen Supply Type Code</t>
  </si>
  <si>
    <t>A coded domain value denoting an aviation oxygen supply type.</t>
  </si>
  <si>
    <t>Aviation Port of Entry Status Code</t>
  </si>
  <si>
    <t>A coded domain value denoting an aviation port of entry status.</t>
  </si>
  <si>
    <t>Backcourse Localizer Use Type Code</t>
  </si>
  <si>
    <t>A coded domain value denoting a backcourse localizer use type.</t>
  </si>
  <si>
    <t>Bank Orientation Code</t>
  </si>
  <si>
    <t>A coded domain value denoting a bank orientation.</t>
  </si>
  <si>
    <t>Bank Vegetation Character Code</t>
  </si>
  <si>
    <t>A coded domain value denoting a bank vegetation character.</t>
  </si>
  <si>
    <t>Barrier Top Type Code</t>
  </si>
  <si>
    <t>A coded domain value denoting a barrier top type.</t>
  </si>
  <si>
    <t>Basic Encyclopedia (BE) Number Key</t>
  </si>
  <si>
    <t>A key domain value that is a unique identifier of a feature as assigned in the Basic Encyclopedia.</t>
  </si>
  <si>
    <t>A ten character code consisting of four blocks of information as follows: Positions 1-4, a World Aeronautical Chart (WAC) Identifier; Position 5, a hyphen, '-', or an 'E', indicating that position 6 will contain values 0-9. Alternately, the fifth position may contain the first of a two-character system-assigned record originator code, in which case position 6 will then contain the second character of the system-assigned record originator code; Position 6, may contain the second character of the system-assigned record originator code, in which case the one-up-number series will then begin in position seven, and range from 0001-9999. If the one-up-number series begins in position 6, then this position will contain the first of a five-position one-up-number, and range from 00001-99999; Positions 7-10, a one-up-number series that depending on the content of position 5, the series may have either begun in position 6 and have a range of 00001-99999, or have begun in position 7 and have a range from 0001-9999.</t>
  </si>
  <si>
    <t>Basin Gate Type Code</t>
  </si>
  <si>
    <t>A coded domain value denoting a basin gate type.</t>
  </si>
  <si>
    <t>Bathymetric Measurement Quality Category Code</t>
  </si>
  <si>
    <t>A coded domain value denoting a bathymetric measurement quality category.</t>
  </si>
  <si>
    <t>Bathymetric Measurement Technique Code</t>
  </si>
  <si>
    <t>A coded domain value denoting a bathymetric measurement technique.</t>
  </si>
  <si>
    <t>Bay Type Code</t>
  </si>
  <si>
    <t>A coded domain value denoting a bay type.</t>
  </si>
  <si>
    <t>Beach Configuration Code</t>
  </si>
  <si>
    <t>A coded domain value denoting a beach configuration.</t>
  </si>
  <si>
    <t>Bearing and Reciprocal Category Structured Text</t>
  </si>
  <si>
    <t>A structured text value specifying a bearing and reciprocal category.</t>
  </si>
  <si>
    <t>Resolution of the bearing and reciprocal are to the nearest 0.1 arc degree, separated by a hyphen, for example:, '053.1-233.1'.</t>
  </si>
  <si>
    <t>Biological Condition Code</t>
  </si>
  <si>
    <t>A coded domain value denoting a biological condition.</t>
  </si>
  <si>
    <t>Biome Type Code</t>
  </si>
  <si>
    <t>A coded domain value denoting a biome type.</t>
  </si>
  <si>
    <t>Bog Type Code</t>
  </si>
  <si>
    <t>A coded domain value denoting a bog type.</t>
  </si>
  <si>
    <t>Bollard Type Code</t>
  </si>
  <si>
    <t>A coded domain value denoting a bollard type.</t>
  </si>
  <si>
    <t>A Boolean domain value.</t>
  </si>
  <si>
    <t>The domain of values is { TRUE, FALSE }, representing the true and false values in a two-valued logic system.</t>
  </si>
  <si>
    <t>boolean</t>
  </si>
  <si>
    <t>The realization of this boolean datatype is implementation-dependent.</t>
  </si>
  <si>
    <t>Border Crossing Type Code</t>
  </si>
  <si>
    <t>A coded domain value denoting a border crossing type.</t>
  </si>
  <si>
    <t>Border Protection Type Code</t>
  </si>
  <si>
    <t>A coded domain value denoting a border protection type.</t>
  </si>
  <si>
    <t>Borehole Abandonment Date Structured Text</t>
  </si>
  <si>
    <t>A structured text value specifying an abandonment date.</t>
  </si>
  <si>
    <t>Formatted in accordance with ISO 8601:2000, 5.2.1.1, Basic format, as a single numeric data element comprising eight digits, where [YYYY] represents a calendar year, [MM] the ordinal number of a calendar month within the calendar year, and [DD] the ordinal number of a day within the calendar month, as 'YYYYMMDD' (for example: '19850412' for 12 April 1985).</t>
  </si>
  <si>
    <t>Borehole Type Code</t>
  </si>
  <si>
    <t>A coded domain value denoting a borehole type.</t>
  </si>
  <si>
    <t>Bottom Contact Status Code</t>
  </si>
  <si>
    <t>A coded domain value denoting a bottom contact status.</t>
  </si>
  <si>
    <t>Bottom Material Type Code</t>
  </si>
  <si>
    <t>A coded domain value denoting a bottom material type.</t>
  </si>
  <si>
    <t>Bottom Object Type Code</t>
  </si>
  <si>
    <t>A coded domain value denoting a bottom object type.</t>
  </si>
  <si>
    <t>Boundary Determination Method Code</t>
  </si>
  <si>
    <t>A coded domain value denoting a boundary determination method.</t>
  </si>
  <si>
    <t>Boundary Dispute Type Code</t>
  </si>
  <si>
    <t>A coded domain value denoting a boundary dispute type.</t>
  </si>
  <si>
    <t>Boundary Representation Policy Code</t>
  </si>
  <si>
    <t>A coded domain value denoting a boundary representation policy.</t>
  </si>
  <si>
    <t>Boundary Status Code</t>
  </si>
  <si>
    <t>A coded domain value denoting a boundary status.</t>
  </si>
  <si>
    <t>Branch Railway Type Code</t>
  </si>
  <si>
    <t>A coded domain value denoting a branch railway type.</t>
  </si>
  <si>
    <t>Bridge Information Reliability Code</t>
  </si>
  <si>
    <t>A coded domain value denoting a bridge information reliability.</t>
  </si>
  <si>
    <t>Bridge Opening Type Code</t>
  </si>
  <si>
    <t>A coded domain value denoting a bridge opening type.</t>
  </si>
  <si>
    <t>Bridge Structure Type Code</t>
  </si>
  <si>
    <t>A coded domain value denoting a bridge structure type.</t>
  </si>
  <si>
    <t>Bridge Support Type Code</t>
  </si>
  <si>
    <t>A coded domain value denoting a bridge support type.</t>
  </si>
  <si>
    <t>Building Overhang Type Code</t>
  </si>
  <si>
    <t>A coded domain value denoting a building overhang type.</t>
  </si>
  <si>
    <t>Building Superstructure Type Code</t>
  </si>
  <si>
    <t>A coded domain value denoting a building superstructure type.</t>
  </si>
  <si>
    <t>Built-up Area Density Category Code</t>
  </si>
  <si>
    <t>A coded domain value denoting a built-up area density category.</t>
  </si>
  <si>
    <t>Bunker Function Code</t>
  </si>
  <si>
    <t>A coded domain value denoting a bunker function.</t>
  </si>
  <si>
    <t>Buoy Shape Code</t>
  </si>
  <si>
    <t>A coded domain value denoting a buoy shape.</t>
  </si>
  <si>
    <t>Buoy Type Code</t>
  </si>
  <si>
    <t>A coded domain value denoting a buoy type.</t>
  </si>
  <si>
    <t>Buried Utility Type Code</t>
  </si>
  <si>
    <t>A coded domain value denoting a buried utility type.</t>
  </si>
  <si>
    <t>Bypass Condition Code</t>
  </si>
  <si>
    <t>A coded domain value denoting a bypass condition.</t>
  </si>
  <si>
    <t>By-product Code</t>
  </si>
  <si>
    <t>A coded domain value denoting a by-product.</t>
  </si>
  <si>
    <t>Cable Suspended Shape Code</t>
  </si>
  <si>
    <t>A coded domain value denoting a cable suspended shape.</t>
  </si>
  <si>
    <t>Cable Type Code</t>
  </si>
  <si>
    <t>A coded domain value denoting a cable type.</t>
  </si>
  <si>
    <t>Cableway Type Code</t>
  </si>
  <si>
    <t>A coded domain value denoting a cableway type.</t>
  </si>
  <si>
    <t>Cadastral Source Type Code</t>
  </si>
  <si>
    <t>A coded domain value denoting a cadastral source type.</t>
  </si>
  <si>
    <t>Camouflage Method Code</t>
  </si>
  <si>
    <t>A coded domain value denoting a camouflage method.</t>
  </si>
  <si>
    <t>Cargo Type Code</t>
  </si>
  <si>
    <t>A coded domain value denoting a cargo type.</t>
  </si>
  <si>
    <t>Cave Type Code</t>
  </si>
  <si>
    <t>A coded domain value denoting a cave type.</t>
  </si>
  <si>
    <t>Cell Partition Scheme Code</t>
  </si>
  <si>
    <t>A coded domain value denoting a cell partition scheme.</t>
  </si>
  <si>
    <t>Channel Type Code</t>
  </si>
  <si>
    <t>A coded domain value denoting a channel type.</t>
  </si>
  <si>
    <t>Character of Light Structured Text</t>
  </si>
  <si>
    <t>A structured text value specifying a character of light.</t>
  </si>
  <si>
    <t>For example: 'Q(6)+L F1, VQ G, L F1 (3+2)WR'.</t>
  </si>
  <si>
    <t>Checkpoint Type Code</t>
  </si>
  <si>
    <t>A coded domain value denoting a checkpoint type.</t>
  </si>
  <si>
    <t>Chemical Element Name Code</t>
  </si>
  <si>
    <t>A coded domain value denoting a chemical element name.</t>
  </si>
  <si>
    <t>Choke Point Type Code</t>
  </si>
  <si>
    <t>A coded domain value denoting a choke point type.</t>
  </si>
  <si>
    <t>Circling Procedure Identification Structured Text</t>
  </si>
  <si>
    <t>A structured text value specifying a circling procedure identification.</t>
  </si>
  <si>
    <t>A designation of the approach procedure equipment type (for example: 'VOR', 'TACAN', 'ILS', 'LOC/DME') followed by a dash ('-'), followed by a single character in the range A-Z.</t>
  </si>
  <si>
    <t>Climate Type Code</t>
  </si>
  <si>
    <t>A coded domain value denoting a climate type.</t>
  </si>
  <si>
    <t>Climate Zone Code</t>
  </si>
  <si>
    <t>A coded domain value denoting a climate zone.</t>
  </si>
  <si>
    <t>Coast Type Code</t>
  </si>
  <si>
    <t>A coded domain value denoting a coast type.</t>
  </si>
  <si>
    <t>Coastal Work Type Code</t>
  </si>
  <si>
    <t>A coded domain value denoting a coastal work type.</t>
  </si>
  <si>
    <t>Colour Pattern Code</t>
  </si>
  <si>
    <t>A coded domain value denoting a colour pattern.</t>
  </si>
  <si>
    <t>Commercial Facility Type Code</t>
  </si>
  <si>
    <t>A coded domain value denoting a commercial facility type.</t>
  </si>
  <si>
    <t>Commissioned Status Code</t>
  </si>
  <si>
    <t>A coded domain value denoting a commissioned status.</t>
  </si>
  <si>
    <t>Communication Channel Structured Text</t>
  </si>
  <si>
    <t>A structured text value specifying a communication channel.</t>
  </si>
  <si>
    <t>Should be indicated by 2 digits and up to 2 characters (A-Z).</t>
  </si>
  <si>
    <t>Communication Facility Type Code</t>
  </si>
  <si>
    <t>A coded domain value denoting a communication facility type.</t>
  </si>
  <si>
    <t>Compilation Date Structured Text</t>
  </si>
  <si>
    <t>A structured text value specifying a compilation date.</t>
  </si>
  <si>
    <t>Condition of Facility Code</t>
  </si>
  <si>
    <t>A coded domain value denoting a condition of facility.</t>
  </si>
  <si>
    <t>Conflict Basis Code</t>
  </si>
  <si>
    <t>A coded domain value denoting a conflict basis.</t>
  </si>
  <si>
    <t>Conflict End Date Structured Text</t>
  </si>
  <si>
    <t>A structured text value specifying a conflict ending date.</t>
  </si>
  <si>
    <t>Formatted in accordance with ISO 8601:2000, 5.2.1.1, Basic format, as a single numeric data element comprising eight digits, where [YYYY] represents a calendar year, [MM] the ordinal number of a calendar month within the calendar year, and [DD] the ordinal number of a day within the calendar month' as 'YYYYMMDD' (for example: '19850412' for 12 April 1985). Representations with reduced precision may be used in accordance with 5.2.1.2.a as 'YYYY-MM' (for example: '1985-04' for April 1985) or in accordance with 5.2.1.2.b as 'YYYY' (for example: '1985' for 1985).</t>
  </si>
  <si>
    <t>Conflict Start Date Structured Text</t>
  </si>
  <si>
    <t>A structured text value specifying a conflict start date.</t>
  </si>
  <si>
    <t>Conservation Area Management Boundary Category Code</t>
  </si>
  <si>
    <t>A coded domain value denoting a conservation area management boundary category.</t>
  </si>
  <si>
    <t>Conservation Area Management Category Code</t>
  </si>
  <si>
    <t>A coded domain value denoting a conservation area management category.</t>
  </si>
  <si>
    <t>Conspicuous Air Category Code</t>
  </si>
  <si>
    <t>A coded domain value denoting a conspicuous air category.</t>
  </si>
  <si>
    <t>Conspicuous Ground Category Code</t>
  </si>
  <si>
    <t>A coded domain value denoting a conspicuous ground category.</t>
  </si>
  <si>
    <t>Conspicuous Sea Category Code</t>
  </si>
  <si>
    <t>A coded domain value denoting a conspicuous sea category.</t>
  </si>
  <si>
    <t>Construction Date Structured Text</t>
  </si>
  <si>
    <t>A structured text value specifying a construction date.</t>
  </si>
  <si>
    <t>Contact Lay Platform Code</t>
  </si>
  <si>
    <t>A coded domain value denoting a contact lay platform.</t>
  </si>
  <si>
    <t>Contact Mine Actuation Method Code</t>
  </si>
  <si>
    <t>A coded domain value denoting a contact mine actuation method.</t>
  </si>
  <si>
    <t>Contact Status Code</t>
  </si>
  <si>
    <t>A coded domain value denoting a contact status.</t>
  </si>
  <si>
    <t>Contaminant Source Code</t>
  </si>
  <si>
    <t>A coded domain value denoting a contaminant source.</t>
  </si>
  <si>
    <t>Contaminated Site Type Code</t>
  </si>
  <si>
    <t>A coded domain value denoting a contaminated site type.</t>
  </si>
  <si>
    <t>Contamination Status Code</t>
  </si>
  <si>
    <t>A coded domain value denoting a contamination status.</t>
  </si>
  <si>
    <t>Contour Interval Relationship Code</t>
  </si>
  <si>
    <t>A coded domain value denoting a contour interval relationship.</t>
  </si>
  <si>
    <t>Controlling Authority Code</t>
  </si>
  <si>
    <t>A coded domain value denoting a controlling authority.</t>
  </si>
  <si>
    <t>Conveyor Type Code</t>
  </si>
  <si>
    <t>A coded domain value denoting a conveyor type.</t>
  </si>
  <si>
    <t>Corrections Facility Type Code</t>
  </si>
  <si>
    <t>A coded domain value denoting a corrections facility type.</t>
  </si>
  <si>
    <t>A count domain value.</t>
  </si>
  <si>
    <t>The domain of values is a cardinal number or an ordinal number. For example, 4 (as in the number of legs of a cow).</t>
  </si>
  <si>
    <t>count</t>
  </si>
  <si>
    <t>The realization of this count datatype is implementation-dependent.</t>
  </si>
  <si>
    <t>Course Type Code</t>
  </si>
  <si>
    <t>A coded domain value denoting a course type.</t>
  </si>
  <si>
    <t>Cover Closure Type Code</t>
  </si>
  <si>
    <t>A coded domain value denoting a cover closure type.</t>
  </si>
  <si>
    <t>Crane Mobility Type Code</t>
  </si>
  <si>
    <t>A coded domain value denoting a crane mobility type.</t>
  </si>
  <si>
    <t>Crane Type Code</t>
  </si>
  <si>
    <t>A coded domain value denoting a crane type.</t>
  </si>
  <si>
    <t>Crater Type Code</t>
  </si>
  <si>
    <t>A coded domain value denoting a crater type.</t>
  </si>
  <si>
    <t>Creation Date and Time Structured Text</t>
  </si>
  <si>
    <t>A structured text value specifying a creation date and time.</t>
  </si>
  <si>
    <t>Crew Injuries Code</t>
  </si>
  <si>
    <t>A coded domain value denoting a crew injuries.</t>
  </si>
  <si>
    <t>Crop Species Code</t>
  </si>
  <si>
    <t>A coded domain value denoting a crop species.</t>
  </si>
  <si>
    <t>Cross-sectional Profile Code</t>
  </si>
  <si>
    <t>A coded domain value denoting a cross-sectional profile.</t>
  </si>
  <si>
    <t>Cross-sectional Shape Code</t>
  </si>
  <si>
    <t>A coded domain value denoting a cross-sectional shape.</t>
  </si>
  <si>
    <t>Cultural Context Type Code</t>
  </si>
  <si>
    <t>A coded domain value denoting a cultural context type.</t>
  </si>
  <si>
    <t>Cultural Economic System Code</t>
  </si>
  <si>
    <t>A coded domain value denoting a cultural economic system.</t>
  </si>
  <si>
    <t>Cultural Facility Type Code</t>
  </si>
  <si>
    <t>A coded domain value denoting a cultural facility type.</t>
  </si>
  <si>
    <t>Culture Rule Structure Code</t>
  </si>
  <si>
    <t>A coded domain value denoting a culture rule structure.</t>
  </si>
  <si>
    <t>Culvert Type Code</t>
  </si>
  <si>
    <t>A coded domain value denoting a culvert type.</t>
  </si>
  <si>
    <t>Current Type Category Code</t>
  </si>
  <si>
    <t>A coded domain value denoting a current type category.</t>
  </si>
  <si>
    <t>Cyclic Redundancy Check Value Structured Text</t>
  </si>
  <si>
    <t>A structured text value specifying a cyclic redundancy check value.</t>
  </si>
  <si>
    <t>Composed of digits in the range 0-9.</t>
  </si>
  <si>
    <t>Dam Face Type Code</t>
  </si>
  <si>
    <t>A coded domain value denoting a dam face type.</t>
  </si>
  <si>
    <t>Dam Type Code</t>
  </si>
  <si>
    <t>A coded domain value denoting a dam type.</t>
  </si>
  <si>
    <t>Data Collection Quality Code</t>
  </si>
  <si>
    <t>A coded domain value denoting a data collection quality.</t>
  </si>
  <si>
    <t>Data Quality Statement Structured Text</t>
  </si>
  <si>
    <t>A structured text value specifying a data quality statement.</t>
  </si>
  <si>
    <t>A value representing a lineage statement, as specified by ISO 19115:2003, LI_Lineage.statement.</t>
  </si>
  <si>
    <t>Data Set Citation Structured Text</t>
  </si>
  <si>
    <t>A structured text value specifying a data set citation.</t>
  </si>
  <si>
    <t>A value representing a citation, as specified by ISO 19115:2003, B.3.2.1 Line 359, CI_Citation.</t>
  </si>
  <si>
    <t>Date of Last Earthquake Structured Text</t>
  </si>
  <si>
    <t>A structured text value specifying a date of last earthquake.</t>
  </si>
  <si>
    <t>Date of Last Tsunami Structured Text</t>
  </si>
  <si>
    <t>A structured text value specifying a date of last tsunami.</t>
  </si>
  <si>
    <t>Date of Sinking Structured Text</t>
  </si>
  <si>
    <t>A structured text value specifying a date of sinking.</t>
  </si>
  <si>
    <t>Daymark Shape Code</t>
  </si>
  <si>
    <t>A coded domain value denoting a daymark shape.</t>
  </si>
  <si>
    <t>Declassification Basis Structured Text</t>
  </si>
  <si>
    <t>A structured text value specifying a declassification basis.</t>
  </si>
  <si>
    <t>Either a date formatted in accordance with ISO 8601:2000, 5.2.1.1, Basic format, as a single numeric data element comprising eight digits, where [YYYY] represents a calendar year, [MM] the ordinal number of a calendar month within the calendar year, and [DD] the ordinal number of a day within the calendar month, as 'YYYYMMDD' (for example: '19850412' for 12 April 1985), or a value of 'MR' indicating Manual Review.</t>
  </si>
  <si>
    <t>Depth Exposition Code</t>
  </si>
  <si>
    <t>A coded domain value denoting a depth exposition.</t>
  </si>
  <si>
    <t>Derived Aerodrome Location Identifier Structured Text</t>
  </si>
  <si>
    <t>A structured text value specifying a derived aerodrome location identifier.</t>
  </si>
  <si>
    <t xml:space="preserve">Either the International Civil Aviation Organisation (ICAO) four letter location indicator or the International Air Transport Association (IATA) three letter code. If neither is available, then a local authority or provider generated code will be used. Recommended provider practice: This will contain a group of letters and numbers. The group of letters could be the 2 letter code of the State being responsible for the aerodrome and the last two could be an integer between 01 and 99 or characters A-Z. </t>
  </si>
  <si>
    <t>Desert Surface Type Code</t>
  </si>
  <si>
    <t>A coded domain value denoting a desert surface type.</t>
  </si>
  <si>
    <t>Desert Type Code</t>
  </si>
  <si>
    <t>A coded domain value denoting a desert type.</t>
  </si>
  <si>
    <t>Designated Point Identifier Structured Text</t>
  </si>
  <si>
    <t>A structured text value specifying a designated point identifier.</t>
  </si>
  <si>
    <t>Composed of alpha-numeric characters in the ranges 0-9 and/or A-Z.</t>
  </si>
  <si>
    <t>Designated Point Type Code</t>
  </si>
  <si>
    <t>A coded domain value denoting a designated point type.</t>
  </si>
  <si>
    <t>Direction Basis Code</t>
  </si>
  <si>
    <t>A coded domain value denoting a direction basis.</t>
  </si>
  <si>
    <t>Direction of Traffic Flow Code</t>
  </si>
  <si>
    <t>A coded domain value denoting a direction of traffic flow.</t>
  </si>
  <si>
    <t>Directivity Code</t>
  </si>
  <si>
    <t>A coded domain value denoting a directivity.</t>
  </si>
  <si>
    <t>Disease Localization Code</t>
  </si>
  <si>
    <t>A coded domain value denoting a disease localization.</t>
  </si>
  <si>
    <t>Disease Reservoir Type Code</t>
  </si>
  <si>
    <t>A coded domain value denoting a disease reservoir type.</t>
  </si>
  <si>
    <t>Disease Transmission Type Code</t>
  </si>
  <si>
    <t>A coded domain value denoting a disease transmission type.</t>
  </si>
  <si>
    <t>Distance Measuring Equipment (DME) Channel Code</t>
  </si>
  <si>
    <t>A coded domain value denoting a distance measuring equipment channel.</t>
  </si>
  <si>
    <t>Distance Measuring Equipment (DME) Type Code</t>
  </si>
  <si>
    <t>A coded domain value denoting a distance measuring equipment type.</t>
  </si>
  <si>
    <t>Ditch Function Code</t>
  </si>
  <si>
    <t>A coded domain value denoting a ditch function.</t>
  </si>
  <si>
    <t>Diving Activity Code</t>
  </si>
  <si>
    <t>A coded domain value denoting a diving activity.</t>
  </si>
  <si>
    <t>Dock Type Code</t>
  </si>
  <si>
    <t>A coded domain value denoting a dock type.</t>
  </si>
  <si>
    <t>Door Structure Code</t>
  </si>
  <si>
    <t>A coded domain value denoting a door structure.</t>
  </si>
  <si>
    <t>Dredge Type Code</t>
  </si>
  <si>
    <t>A coded domain value denoting a dredge type.</t>
  </si>
  <si>
    <t>Drilling Method Code</t>
  </si>
  <si>
    <t>A coded domain value denoting a drilling method.</t>
  </si>
  <si>
    <t>Dumping Ground Type Code</t>
  </si>
  <si>
    <t>A coded domain value denoting a dumping ground type.</t>
  </si>
  <si>
    <t>Duplicate Procedure Identification Structured Text</t>
  </si>
  <si>
    <t>A structured text value specifying a duplicate procedure identification.</t>
  </si>
  <si>
    <t>Dwelling Type Code</t>
  </si>
  <si>
    <t>A coded domain value denoting a dwelling type.</t>
  </si>
  <si>
    <t>Dynamic Magnetic Variation Date and Time Structured Text</t>
  </si>
  <si>
    <t>A structured text value specifying a dynamic magnetic variation date and time.</t>
  </si>
  <si>
    <t>Earthquake Effect Code</t>
  </si>
  <si>
    <t>A coded domain value denoting an earthquake effect.</t>
  </si>
  <si>
    <t>Earthquake Magnitude Type Code</t>
  </si>
  <si>
    <t>A coded domain value denoting an earthquake magnitude type.</t>
  </si>
  <si>
    <t>Earthquake Subsoil Damage Code</t>
  </si>
  <si>
    <t>A coded domain value denoting an earthquake subsoil damage.</t>
  </si>
  <si>
    <t>Economic Reserve Basis Code</t>
  </si>
  <si>
    <t>A coded domain value denoting an economic reserve basis.</t>
  </si>
  <si>
    <t>Ecozone Code</t>
  </si>
  <si>
    <t>A coded domain value denoting an ecozone.</t>
  </si>
  <si>
    <t>Educational Facility Type Code</t>
  </si>
  <si>
    <t>A coded domain value denoting an educational facility type.</t>
  </si>
  <si>
    <t>Elevation Accuracy Category Code</t>
  </si>
  <si>
    <t>A coded domain value denoting an elevation accuracy category.</t>
  </si>
  <si>
    <t>Elevation Surface Category Code</t>
  </si>
  <si>
    <t>A coded domain value denoting an elevation surface category.</t>
  </si>
  <si>
    <t>Embankment Type Code</t>
  </si>
  <si>
    <t>A coded domain value denoting an embankment type.</t>
  </si>
  <si>
    <t>Endangered Environment Components Code</t>
  </si>
  <si>
    <t>A coded domain value denoting an endangered environment components.</t>
  </si>
  <si>
    <t>Energy Raw Material Code</t>
  </si>
  <si>
    <t>A coded domain value denoting an energy raw material.</t>
  </si>
  <si>
    <t>Engine Test Cell Type Code</t>
  </si>
  <si>
    <t>A coded domain value denoting an engine test cell type.</t>
  </si>
  <si>
    <t>Engineered Earthwork Type  Code</t>
  </si>
  <si>
    <t>A coded domain value denoting an engineered earthwork type.</t>
  </si>
  <si>
    <t>Enhanced Fujita Tornado Scale Code</t>
  </si>
  <si>
    <t>A coded domain category denoting an enhanced fujita tornado scale.</t>
  </si>
  <si>
    <t>Entity Identifier Type Code</t>
  </si>
  <si>
    <t>A coded domain value denoting an entity identifier type.</t>
  </si>
  <si>
    <t>Entrance and/or Exit Closure Method Code</t>
  </si>
  <si>
    <t>A coded domain value denoting an entrance and/or exit closure method.</t>
  </si>
  <si>
    <t>Entrance and/or Exit Type Code</t>
  </si>
  <si>
    <t>A coded domain value denoting an entrance and/or exit type.</t>
  </si>
  <si>
    <t>Environmental Damage Type Code</t>
  </si>
  <si>
    <t>A coded domain value denoting an environmental damage type.</t>
  </si>
  <si>
    <t>Epidemic Type Code</t>
  </si>
  <si>
    <t>A coded domain value denoting an epidemic type.</t>
  </si>
  <si>
    <t>Equivalent Scale Category Code</t>
  </si>
  <si>
    <t>A coded domain value denoting an equivalent scale category.</t>
  </si>
  <si>
    <t>Ethnic Group Hierarchy Code</t>
  </si>
  <si>
    <t>A coded domain value denoting an ethnic group hierarchy.</t>
  </si>
  <si>
    <t>Evacuation Route Use Code</t>
  </si>
  <si>
    <t>A coded domain category denoting an evacuation route use.</t>
  </si>
  <si>
    <t>Event Date and Time Structured Text</t>
  </si>
  <si>
    <t>A structured text value specifying an event date and, optionally, time.</t>
  </si>
  <si>
    <t>Event Local Time Structured Text</t>
  </si>
  <si>
    <t>A structured text value specifying an event local time.</t>
  </si>
  <si>
    <t>Event Type Code</t>
  </si>
  <si>
    <t>A coded domain value denoting an event type.</t>
  </si>
  <si>
    <t>Existence Certainty Category Code</t>
  </si>
  <si>
    <t>A coded domain value denoting an existence certainty category.</t>
  </si>
  <si>
    <t>Exit Usability Code</t>
  </si>
  <si>
    <t>A coded domain value denoting exit usability.</t>
  </si>
  <si>
    <t>Extraction Mine Type Code</t>
  </si>
  <si>
    <t>A coded domain value denoting an extraction mine type.</t>
  </si>
  <si>
    <t>Extraction Specification Code</t>
  </si>
  <si>
    <t>A coded domain value denoting an extraction specification.</t>
  </si>
  <si>
    <t>Extraction Timestamp Structured Text</t>
  </si>
  <si>
    <t>A structured text value specifying a extraction timestamp.</t>
  </si>
  <si>
    <t>Fabrication Facility Type Code</t>
  </si>
  <si>
    <t>A coded domain value denoting a fabrication facility type.</t>
  </si>
  <si>
    <t>Facility Operational Status Code</t>
  </si>
  <si>
    <t>A coded domain value denoting a facility operational status.</t>
  </si>
  <si>
    <t>FAO Soil Group Code</t>
  </si>
  <si>
    <t>A coded domain value denoting an FAO soil group.</t>
  </si>
  <si>
    <t>Farming Method Code</t>
  </si>
  <si>
    <t>A coded domain value denoting a farming method.</t>
  </si>
  <si>
    <t>Farming Pattern Code</t>
  </si>
  <si>
    <t>A coded domain value denoting a farming pattern.</t>
  </si>
  <si>
    <t>Feature Configuration Code</t>
  </si>
  <si>
    <t>A coded domain value denoting a feature configuration.</t>
  </si>
  <si>
    <t>Feature Function Code</t>
  </si>
  <si>
    <t>A coded domain value denoting a feature function.</t>
  </si>
  <si>
    <t>Feature Vertical Orientation Code</t>
  </si>
  <si>
    <t>A coded domain value denoting a feature vertical orientation.</t>
  </si>
  <si>
    <t>Fence Function Code</t>
  </si>
  <si>
    <t>A coded domain value denoting a fence function.</t>
  </si>
  <si>
    <t>Fence Type Code</t>
  </si>
  <si>
    <t>A coded domain value denoting a fence type.</t>
  </si>
  <si>
    <t>Ferry Crossing Duration Structured Text</t>
  </si>
  <si>
    <t>A structured text value specifying a ferry crossing duration.</t>
  </si>
  <si>
    <t>Formatted in accordance with ISO 8601:2004, 4.4.3.2, Time Interval - Duration - Format with designators, a combination of components with accurate duration (hour, minute and second) and components with nominal duration (year, month, week and day), as a single data element comprising up to twenty characters, where the number of years shall be followed by the designator [Y], the number of months by [M], the number of weeks by [W], and the number of days by [D]. The part including time components shall be preceded by the designator [T]; the number of hours shall be followed by [H], the number of minutes by [M] and the number of seconds by [S]. In these expressions the day component [nnD] is expressed as a multiple of the duration of a calendar day. The complete representation of the expression for duration shall be of the form [PnnYnnMnnDTnnHnnMnnS], for example: 'P00Y00M02DT02H20M00S' for 2 days, 20 hours and 20 minutes. Representations with reduced precision may be used in accordance with 4.4.3.2.c (for example: 'P02DT02H20M').</t>
  </si>
  <si>
    <t>Ferry Crossing Type Code</t>
  </si>
  <si>
    <t>A coded domain value denoting a ferry crossing type.</t>
  </si>
  <si>
    <t>Final Approach Alignment Code</t>
  </si>
  <si>
    <t>A coded domain value denoting a final approach alignment.</t>
  </si>
  <si>
    <t>A coded domain value denoting a FIPS 10-4 country.</t>
  </si>
  <si>
    <t>A two-character alphanumeric code that includes only the letters A through Z; punctuation marks are not allowed.</t>
  </si>
  <si>
    <t>A coded domain value denoting a FIPS 10-4 principal administrative division.</t>
  </si>
  <si>
    <t>A four-character alphanumeric code that includes only the letters A through Z and digits 0 through 9; punctuation marks are not allowed. The last two characters may be blank filled if principal administrative division information is either unknown or is not required.</t>
  </si>
  <si>
    <t>A coded domain value denoting a FIPS 10-4 principal administrative division extension.</t>
  </si>
  <si>
    <t>A two-character alphanumeric code that includes only the letters A through Z and digits 0 through 9; punctuation marks are not allowed.</t>
  </si>
  <si>
    <t>First Detection Date and Time Structured Text</t>
  </si>
  <si>
    <t>A structured text value specifying a first detection date and time.</t>
  </si>
  <si>
    <t>Fishing Facility Type Code</t>
  </si>
  <si>
    <t>A coded domain value denoting a fishing facility type.</t>
  </si>
  <si>
    <t>Flight Rule Type Code</t>
  </si>
  <si>
    <t>A coded domain value denoting a flight rule type.</t>
  </si>
  <si>
    <t>Floating Barrier Type Code</t>
  </si>
  <si>
    <t>A coded domain value denoting a floating barrier type.</t>
  </si>
  <si>
    <t>Flood Control Structure Type Code</t>
  </si>
  <si>
    <t>A coded domain value denoting a flood control structure type.</t>
  </si>
  <si>
    <t>Fog Signal Generation Type Code</t>
  </si>
  <si>
    <t>A coded domain value denoting a fog signal generation type.</t>
  </si>
  <si>
    <t>Fog Signal Type Code</t>
  </si>
  <si>
    <t>A coded domain value denoting a fog signal type.</t>
  </si>
  <si>
    <t>Foliage Type Code</t>
  </si>
  <si>
    <t>A coded domain value denoting a foliage type.</t>
  </si>
  <si>
    <t>Foreign Government Information Structured Text</t>
  </si>
  <si>
    <t>A structured text value specifying a foreign government information.</t>
  </si>
  <si>
    <t>Contains the characters 'FGI' followed by a list of trigraph country codes in accordance with ISO 3166 and then by a list of tetragraph international organizations (for example: 'NATO') that are applicable. For example: 'FGI CRI LUX NATO'. Multiple values are individually separated by a single space and should be ordered alphabetically with the alphabetical trigraph country values preceding the alphabetical tetragraph values. If the specific government must be concealed, only the characters 'FGI' should be used.</t>
  </si>
  <si>
    <t>Forest Condition Code</t>
  </si>
  <si>
    <t>A coded domain value denoting a forest condition.</t>
  </si>
  <si>
    <t>Forest Function Code</t>
  </si>
  <si>
    <t>A coded domain value denoting a forest function.</t>
  </si>
  <si>
    <t>Forest Habitat Code</t>
  </si>
  <si>
    <t>A coded domain value denoting a forest habitat.</t>
  </si>
  <si>
    <t>Forest Type Code</t>
  </si>
  <si>
    <t>A coded domain value denoting a forest type.</t>
  </si>
  <si>
    <t>Forest Usage Type Code</t>
  </si>
  <si>
    <t>A coded domain value denoting a forest usage type.</t>
  </si>
  <si>
    <t>Forestry Form Code</t>
  </si>
  <si>
    <t>A coded domain value denoting a forestry form.</t>
  </si>
  <si>
    <t>Form of Rule Code</t>
  </si>
  <si>
    <t>A coded domain value denoting a form of rule.</t>
  </si>
  <si>
    <t>Fortified Building Type Code</t>
  </si>
  <si>
    <t>A coded domain value denoting a fortified building type.</t>
  </si>
  <si>
    <t>Frozen Cover Type Code</t>
  </si>
  <si>
    <t>A coded domain value denoting a frozen cover type.</t>
  </si>
  <si>
    <t>Fuel Dispensing Method Code</t>
  </si>
  <si>
    <t>A coded domain value denoting a fuel dispensing method.</t>
  </si>
  <si>
    <t>Fuel Storage Method Code</t>
  </si>
  <si>
    <t>A coded domain value denoting a fuel storage method.</t>
  </si>
  <si>
    <t>Fujita Tornado Scale Code</t>
  </si>
  <si>
    <t>A coded domain category denoting a fujita tornado scale.</t>
  </si>
  <si>
    <t>Functional Use Code</t>
  </si>
  <si>
    <t>A coded domain value denoting a functional use.</t>
  </si>
  <si>
    <t>Gate Use Code</t>
  </si>
  <si>
    <t>A coded domain value denoting a gate use.</t>
  </si>
  <si>
    <t>Gemstone Type Code</t>
  </si>
  <si>
    <t>A coded domain value denoting a gemstone type.</t>
  </si>
  <si>
    <t>Geodetic Datum Code</t>
  </si>
  <si>
    <t>A coded domain value denoting a geodetic datum.</t>
  </si>
  <si>
    <t>Geographic Name Classification Structured Text</t>
  </si>
  <si>
    <t>A structured text value specifying a geographic name classification.</t>
  </si>
  <si>
    <t>A single character from the set { 'A': Administrative region; 'H': Hydrographic (including ocean areas within the 12 nautical mile limit of sovereignty); 'L: Locality or area; 'P': Populated place; 'R': Streets, highways, roads, or railroad; 'S': Spot feature; 'T': Hypsographic; ''U': Undersea (located under an ocean outside the 12 nautical mile limit of sovereignty); 'V': Vegetation }.</t>
  </si>
  <si>
    <t>Geographic Name Designation Structured Text</t>
  </si>
  <si>
    <t>A structured text value specifying a geographic name designation.</t>
  </si>
  <si>
    <t>A two to five-character alphanumeric code that includes only the letters A through Z and digits 0 through 9.</t>
  </si>
  <si>
    <t>Geographic Name Type Code</t>
  </si>
  <si>
    <t>A coded domain value denoting a geographic name type.</t>
  </si>
  <si>
    <t>Geographic Region Code</t>
  </si>
  <si>
    <t>A coded domain value denoting a geographic region.</t>
  </si>
  <si>
    <t>Geologic Mass Movement Motion Code</t>
  </si>
  <si>
    <t>A coded domain value denoting a geologic mass movement motion.</t>
  </si>
  <si>
    <t>Geologic Mass Movement Type Code</t>
  </si>
  <si>
    <t>A coded domain value denoting a geologic mass movement type.</t>
  </si>
  <si>
    <t>Geologic Structure Geometry Code</t>
  </si>
  <si>
    <t>A coded domain value denoting a geologic structure geometry.</t>
  </si>
  <si>
    <t>Geologic-hydrologic Process Classification Code</t>
  </si>
  <si>
    <t>A coded domain value denoting a geologic-hydrologic process classification.</t>
  </si>
  <si>
    <t>Geomorphic Type Code</t>
  </si>
  <si>
    <t>A coded domain value denoting a geomorphic type.</t>
  </si>
  <si>
    <t>Geophysical Anomaly Type Code</t>
  </si>
  <si>
    <t>A coded domain value denoting a geophysical anomaly type.</t>
  </si>
  <si>
    <t>Geopolitical Entity Type Code</t>
  </si>
  <si>
    <t>A coded domain value denoting a geopolitical entity type.</t>
  </si>
  <si>
    <t>Geopolitical Line Type Code</t>
  </si>
  <si>
    <t>A coded domain value denoting a geopolitical line type.</t>
  </si>
  <si>
    <t>Geothermal Outlet Type Code</t>
  </si>
  <si>
    <t>A coded domain value denoting a geothermal outlet type.</t>
  </si>
  <si>
    <t>GNSS Constellation Code</t>
  </si>
  <si>
    <t>A coded domain value denoting a GNSS constellation.</t>
  </si>
  <si>
    <t>Government Facility Type Code</t>
  </si>
  <si>
    <t>A coded domain value denoting a government facility type.</t>
  </si>
  <si>
    <t>Grading Type Code</t>
  </si>
  <si>
    <t>A coded domain value denoting a grading type.</t>
  </si>
  <si>
    <t>Grid Variation Date and Time Structured Text</t>
  </si>
  <si>
    <t>A structured text value specifying a grid variation date and time.</t>
  </si>
  <si>
    <t>Ground Vegetation Character Code</t>
  </si>
  <si>
    <t>A coded domain value denoting a ground vegetation character.</t>
  </si>
  <si>
    <t>Ground-water Flow Class Code</t>
  </si>
  <si>
    <t>A coded domain value denoting a ground-water flow class.</t>
  </si>
  <si>
    <t>Habitation Building Type Code</t>
  </si>
  <si>
    <t>A coded domain value denoting a habitation building type.</t>
  </si>
  <si>
    <t>Hangar Type Category Code</t>
  </si>
  <si>
    <t>A coded domain value denoting a hangar type category.</t>
  </si>
  <si>
    <t>Harbour Facility Function Code</t>
  </si>
  <si>
    <t>A coded domain value denoting a harbour facility function.</t>
  </si>
  <si>
    <t>Hazard Shelter Intended Use Code</t>
  </si>
  <si>
    <t>A coded domain value denoting a hazard shelter intended use.</t>
  </si>
  <si>
    <t>Hazardous Fauna Category Code</t>
  </si>
  <si>
    <t>A coded domain value denoting a hazardous fauna category.</t>
  </si>
  <si>
    <t>Hazardous Flora Category Code</t>
  </si>
  <si>
    <t>A coded domain value denoting a hazardous flora category.</t>
  </si>
  <si>
    <t>Hazardous Flora Part Code</t>
  </si>
  <si>
    <t>A coded domain value denoting a hazardous flora part.</t>
  </si>
  <si>
    <t>Hazardous Flora Poisonousness Code</t>
  </si>
  <si>
    <t>A coded domain value denoting a hazardous flora poisonousness.</t>
  </si>
  <si>
    <t>Helicopter Performance Class Code</t>
  </si>
  <si>
    <t>A coded domain value denoting a helicopter performance class.</t>
  </si>
  <si>
    <t>Helipad Associated Facility Code</t>
  </si>
  <si>
    <t>A coded domain value denoting a helipad associated facility.</t>
  </si>
  <si>
    <t>High Water Month Interval Structured Text</t>
  </si>
  <si>
    <t>A structured text value specifying a low water month interval.</t>
  </si>
  <si>
    <t>Formatted in accordance with ISO 8601:2000, 5.2.1, Calendar date - month, as a single data element comprising five characters as two pairs of digits separated by a solidus ('/') where the first [MM] digit-pair represents the ordinal number of a calendar month within the calendar year, and the second [MM] digit-pair the ordinal number of a subsequent calendar month within the same or subsequent calendar year, as 'MM/MM' (for example: '03/09' for March through September). Either of the months may be left unspecified by the use of '--' (for example: '11/--' for November through an unspecified ending month).</t>
  </si>
  <si>
    <t>Historic Significance Code</t>
  </si>
  <si>
    <t>A coded domain value denoting an historic significance.</t>
  </si>
  <si>
    <t>Holding Procedure Type Code</t>
  </si>
  <si>
    <t>A coded domain value denoting a holding procedure type.</t>
  </si>
  <si>
    <t>Horizontal Accuracy Category Code</t>
  </si>
  <si>
    <t>A coded domain value denoting a horizontal accuracy category.</t>
  </si>
  <si>
    <t>Hostile Incident Type Code</t>
  </si>
  <si>
    <t>A coded domain value denoting a hostile incident type.</t>
  </si>
  <si>
    <t>House of Worship Type Code</t>
  </si>
  <si>
    <t>A coded domain value denoting a house of worship type.</t>
  </si>
  <si>
    <t>Hulk Type Code</t>
  </si>
  <si>
    <t>A coded domain value denoting a hulk type.</t>
  </si>
  <si>
    <t>Human Development Index Code</t>
  </si>
  <si>
    <t>A coded domain value denoting a human development index.</t>
  </si>
  <si>
    <t>Human Hazard Code</t>
  </si>
  <si>
    <t>A coded domain value denoting a human hazard.</t>
  </si>
  <si>
    <t>Humanitarian Relief Administrative Region Type Code</t>
  </si>
  <si>
    <t>A coded domain category denoting a humanitarian relief administrative region type.</t>
  </si>
  <si>
    <t>Hydrographic Base Reference Code</t>
  </si>
  <si>
    <t>A coded domain value denoting a hydrographic base reference.</t>
  </si>
  <si>
    <t>Hydrographic NAVAID System Code</t>
  </si>
  <si>
    <t>A coded domain value denoting a hydrographic navaid system.</t>
  </si>
  <si>
    <t>Hydrologic Persistence Code</t>
  </si>
  <si>
    <t>A coded domain value denoting a hydrologic persistence.</t>
  </si>
  <si>
    <t>Hyperbolic Echo Type Code</t>
  </si>
  <si>
    <t>A coded domain value denoting a hyperbolic echo type.</t>
  </si>
  <si>
    <t>Hypsography Portrayal Type Code</t>
  </si>
  <si>
    <t>A coded domain value denoting a hypsography portrayal type.</t>
  </si>
  <si>
    <t>IATA Location Identifier Structured Text</t>
  </si>
  <si>
    <t>A structured text value specifying an IATA location identifier.</t>
  </si>
  <si>
    <t>ICAO Location Indicator Structured Text</t>
  </si>
  <si>
    <t>A structured text value specifying an ICAO location indicator.</t>
  </si>
  <si>
    <t>The 2 letter ICAO code of the State being responsible for the aerodrome in accordance with ICAO Doc7910, followed by either a two-digit integer between 01 and 99 or characters in the range A-Z.</t>
  </si>
  <si>
    <t>ICAO Path Terminator Type Code</t>
  </si>
  <si>
    <t>A coded domain value denoting an ICAO path terminator type.</t>
  </si>
  <si>
    <t>Incident Status Code</t>
  </si>
  <si>
    <t>A coded domain value denoting an incident status.</t>
  </si>
  <si>
    <t>An index domain value.</t>
  </si>
  <si>
    <t>The domain of values is an integer that is used for identification. For example, 44762 (as in the number assigned to a prison inmate).</t>
  </si>
  <si>
    <t>index</t>
  </si>
  <si>
    <t>The realization of this index datatype is implementation-dependent.</t>
  </si>
  <si>
    <t>Industrial Mineral Type Code</t>
  </si>
  <si>
    <t>A coded domain value denoting an industrial mineral type.</t>
  </si>
  <si>
    <t>Influence Mine Actuation Method Code</t>
  </si>
  <si>
    <t>A coded domain value denoting an influence mine actuation method.</t>
  </si>
  <si>
    <t>Inhabitant Density Category Code</t>
  </si>
  <si>
    <t>A coded domain value denoting an inhabitant density category.</t>
  </si>
  <si>
    <t>Inland Water Function Code</t>
  </si>
  <si>
    <t>A coded domain value denoting a inland water function.</t>
  </si>
  <si>
    <t>Inland Water Type Code</t>
  </si>
  <si>
    <t>A coded domain value denoting an inland water type.</t>
  </si>
  <si>
    <t>Installation Buoy Type Code</t>
  </si>
  <si>
    <t>A coded domain value denoting an installation buoy type.</t>
  </si>
  <si>
    <t>Instrument Approach Procedure (IAP) Fix Role Code</t>
  </si>
  <si>
    <t>A coded domain value denoting an instrument approach procedure fix role.</t>
  </si>
  <si>
    <t>Instrument Landing System (ILS) Facility Performance Category Code</t>
  </si>
  <si>
    <t>A coded domain value denoting an instrument landing system facility performance category.</t>
  </si>
  <si>
    <t>Instrument Procedure Additional Equipment Code</t>
  </si>
  <si>
    <t>A coded domain value denoting an instrument procedure additional equipment.</t>
  </si>
  <si>
    <t>An integer domain value.</t>
  </si>
  <si>
    <t>The domain of values is an integer. For example, 6 (as in the length of a fathom in feet).</t>
  </si>
  <si>
    <t>integer</t>
  </si>
  <si>
    <t>The realization of this integer datatype is implementation-dependent.</t>
  </si>
  <si>
    <t>Integer: 0 to 100</t>
  </si>
  <si>
    <t>An integer domain value that is restricted to fall in the range from zero to 100, inclusive.</t>
  </si>
  <si>
    <t>0</t>
  </si>
  <si>
    <t>100</t>
  </si>
  <si>
    <t>Integer: 0 to 120</t>
  </si>
  <si>
    <t>An integer domain value that is restricted to fall in the range from zero to 120, inclusive.</t>
  </si>
  <si>
    <t>120</t>
  </si>
  <si>
    <t>Integer: 0 to 359</t>
  </si>
  <si>
    <t>An integer domain value that is restricted to fall in the range from zero to 359, inclusive.</t>
  </si>
  <si>
    <t>359</t>
  </si>
  <si>
    <t>Intended Route Use Code</t>
  </si>
  <si>
    <t>A coded domain value denoting an intended route use.</t>
  </si>
  <si>
    <t>International Conflict Type Code</t>
  </si>
  <si>
    <t>A coded domain value denoting an international conflict type.</t>
  </si>
  <si>
    <t>International Gravimetric Bureau (IGB) Unique Station Code Structured Text</t>
  </si>
  <si>
    <t>A structured text value specifying an International Gravimetric Bureau (IGB) unique station code.</t>
  </si>
  <si>
    <t>A 6 digit positive (non-zero) integer.</t>
  </si>
  <si>
    <t>International Organisation Membership Code</t>
  </si>
  <si>
    <t>A coded domain value denoting an international organisation membership.</t>
  </si>
  <si>
    <t>Intersection Control Type Code</t>
  </si>
  <si>
    <t>A coded domain value denoting an intersection control type.</t>
  </si>
  <si>
    <t>IncCode</t>
  </si>
  <si>
    <t>Interval Closure Type Code</t>
  </si>
  <si>
    <t>The closure conditions of the two endpoints of a numeric interval.</t>
  </si>
  <si>
    <t>Interval endpoint notation uses the parenthesis to specify that the endpoint is excluded from the interval (the continuous interval extends to, but does not include, the endpoint) and the square bracket to specify that the endpoint is included in the interval (the continuous interval extends to and includes the endpoint). For example, the unbounded interval [lowerValue, +infinity) where the lower endpoint is included and there is no upper endpoint.</t>
  </si>
  <si>
    <t>Inundation Date Structured Text</t>
  </si>
  <si>
    <t>A structured text value specifying an inundation date.</t>
  </si>
  <si>
    <t>Inundation Type Code</t>
  </si>
  <si>
    <t>A coded domain value denoting an inundation type.</t>
  </si>
  <si>
    <t>Irrigation Method Code</t>
  </si>
  <si>
    <t>A coded domain value denoting an irrigation method.</t>
  </si>
  <si>
    <t>A coded domain value denoting an ISO 15924 script.</t>
  </si>
  <si>
    <t>The four-letter codes shall be written with an initial capital Latin letter and final small Latin letters (taken from the range Aaaa to Zzzz). This serves to help differentiate script codes from language codes and country codes: so, for example, 'Mong mon MON' or 'Mong mn MN' would refer to a book in the Mongolian script, in the Mongolian language, originating in Mongolia.</t>
  </si>
  <si>
    <t>ISO 3166-1 Alpha-2 Code</t>
  </si>
  <si>
    <t>A coded domain value denoting an ISO 3166-1 alpha-2 code.</t>
  </si>
  <si>
    <t>ISO 3166-1 Alpha-3 Code</t>
  </si>
  <si>
    <t>A coded domain value denoting an ISO 3166-1 alpha-3 code.</t>
  </si>
  <si>
    <t>ISO 3166-1 Numeric Code</t>
  </si>
  <si>
    <t>A coded domain value denoting an ISO 3166-1 numeric code.</t>
  </si>
  <si>
    <t>ISO 3166-2 Extension Code</t>
  </si>
  <si>
    <t>A coded domain value denoting an ISO 3166-2 extension code.</t>
  </si>
  <si>
    <t>A one, two or three-character alphanumeric code that includes only the letters A through Z and digits 0 through 9.</t>
  </si>
  <si>
    <t>ISO 3166-3 Alpha-4 Code</t>
  </si>
  <si>
    <t>A coded domain value denoting an ISO 3166-3 alpha-4 code.</t>
  </si>
  <si>
    <t>The first two characters are the withdrawn code from ISO 3166-1, while the last two characters are either: the ISO 3166-1 code that replaced it, the ISO 3166-1 code of the country that absorbed the country whose code is withdrawn, or the special code 'HH' to indicate that there is no single successor code.</t>
  </si>
  <si>
    <t>Jet Aircraft Starting Unit (JASU) Type Code</t>
  </si>
  <si>
    <t>A coded domain value denoting a jet aircraft starting unit type.</t>
  </si>
  <si>
    <t>Key: Non-lexical; 18 characters</t>
  </si>
  <si>
    <t>A key domain value that contains only non-lexical characters and is 18 characters in maximum length.</t>
  </si>
  <si>
    <t>Key: Non-lexical; 24 characters</t>
  </si>
  <si>
    <t>A key domain value that contains only non-lexical characters and is 24 characters in maximum length.</t>
  </si>
  <si>
    <t>Key: Non-lexical; 254 characters</t>
  </si>
  <si>
    <t>A key domain value that contains only non-lexical characters and is 254 characters in maximum length.</t>
  </si>
  <si>
    <t>Key: Non-lexical; 30 characters</t>
  </si>
  <si>
    <t>A key domain value that contains only non-lexical characters and is 30 characters in maximum length.</t>
  </si>
  <si>
    <t>Key: Non-lexical; 4 characters</t>
  </si>
  <si>
    <t>A key domain value that contains only non-lexical characters and is 4 characters in maximum length.</t>
  </si>
  <si>
    <t>Key: Non-lexical; 5 characters</t>
  </si>
  <si>
    <t>A key domain value that contains only non-lexical characters and is 5 characters in maximum length.</t>
  </si>
  <si>
    <t>Key: Non-lexical; 80 characters</t>
  </si>
  <si>
    <t>A key domain value that contains only non-lexical characters and is 80 characters in maximum length.</t>
  </si>
  <si>
    <t>Key: Non-lexical; 9 characters</t>
  </si>
  <si>
    <t>A key domain value that contains only non-lexical characters and is 9 characters in maximum length.</t>
  </si>
  <si>
    <t>Land Mine Type Code</t>
  </si>
  <si>
    <t>A coded domain value denoting a land mine type.</t>
  </si>
  <si>
    <t>Land Reclamation Intent Code</t>
  </si>
  <si>
    <t>A coded domain value denoting a land reclamation intent.</t>
  </si>
  <si>
    <t>Landscape Morphology Code</t>
  </si>
  <si>
    <t>A coded domain value denoting a landscape morphology.</t>
  </si>
  <si>
    <t>Landslide Hazard Category Code</t>
  </si>
  <si>
    <t>A coded domain value denoting a landslide hazard category.</t>
  </si>
  <si>
    <t>Language Class Code</t>
  </si>
  <si>
    <t>A coded domain value denoting a language class.</t>
  </si>
  <si>
    <t>A coded domain value denoting a language.</t>
  </si>
  <si>
    <t>Language Code Structured Text</t>
  </si>
  <si>
    <t>A structured text value specifying a language code.</t>
  </si>
  <si>
    <t>Language Dialect Code Structured Text</t>
  </si>
  <si>
    <t>A structured text value specifying a language dialect code.</t>
  </si>
  <si>
    <t>Last Detection Date and Time Structured Text</t>
  </si>
  <si>
    <t>A structured text value specifying a last detection date and time.</t>
  </si>
  <si>
    <t>Last Recorded Eruption Date Structured Text</t>
  </si>
  <si>
    <t>A structured text value specifying a last recorded eruption date.</t>
  </si>
  <si>
    <t>Left Bank Accuracy Category Code</t>
  </si>
  <si>
    <t>A coded domain value denoting a left bank accuracy category.</t>
  </si>
  <si>
    <t>Left Bank Shoreline Type Code</t>
  </si>
  <si>
    <t>A coded domain value denoting a left bank shoreline type.</t>
  </si>
  <si>
    <t>Legal Status Code</t>
  </si>
  <si>
    <t>A coded domain value denoting a legal status.</t>
  </si>
  <si>
    <t>Light System Intensity Code</t>
  </si>
  <si>
    <t>A coded domain value denoting a light system intensity.</t>
  </si>
  <si>
    <t>Light System Intensity Variability Code</t>
  </si>
  <si>
    <t>A coded domain value denoting a light system intensity variability.</t>
  </si>
  <si>
    <t>Light Visibility Code</t>
  </si>
  <si>
    <t>A coded domain value denoting light visibility.</t>
  </si>
  <si>
    <t>Linear Feature Arrangement Code</t>
  </si>
  <si>
    <t>A coded domain value denoting a linear feature arrangement.</t>
  </si>
  <si>
    <t>Lithospheric Plate Movement Type Code</t>
  </si>
  <si>
    <t>A coded domain value denoting a lithospheric plate movement type.</t>
  </si>
  <si>
    <t>Lithospheric Plate Name Code</t>
  </si>
  <si>
    <t>A coded domain value denoting a lithospheric plate name.</t>
  </si>
  <si>
    <t>Lithospheric Plate Type Code</t>
  </si>
  <si>
    <t>A coded domain value denoting a lithospheric plate type.</t>
  </si>
  <si>
    <t>Load Classification Number (LCN) Validity Code</t>
  </si>
  <si>
    <t>A coded domain value denoting a load classification number (LCN) validity.</t>
  </si>
  <si>
    <t>Load-bearing Surface Type Code</t>
  </si>
  <si>
    <t>A coded domain value denoting a load-bearing surface type.</t>
  </si>
  <si>
    <t>Location Referenced to Shoreline Code</t>
  </si>
  <si>
    <t>A coded domain value denoting a location referenced to shoreline.</t>
  </si>
  <si>
    <t>A coded domain value denoting a low visibility holding position category.</t>
  </si>
  <si>
    <t>Low Water Month Interval Structured Text</t>
  </si>
  <si>
    <t>A structured text value specifying a high water month interval.</t>
  </si>
  <si>
    <t>Magnetic Anomaly Detector Signature Code</t>
  </si>
  <si>
    <t>A coded domain value denoting a magnetic anomaly detector (MAD) signature.</t>
  </si>
  <si>
    <t>Magnetic Variation Date Structured Text</t>
  </si>
  <si>
    <t>A structured text value specifying a magnetic variation date.</t>
  </si>
  <si>
    <t>MMDDYYYY</t>
  </si>
  <si>
    <t>Manufacturing Facility Type Code</t>
  </si>
  <si>
    <t>A coded domain value denoting a manufacturing facility type.</t>
  </si>
  <si>
    <t>Marine Biogeography Code</t>
  </si>
  <si>
    <t>A coded domain value denoting a marine biogeography.</t>
  </si>
  <si>
    <t>Marine Farm Enclosure Method Code</t>
  </si>
  <si>
    <t>A coded domain value denoting a marine farm enclosure method.</t>
  </si>
  <si>
    <t>Marine Navigation Line Type Code</t>
  </si>
  <si>
    <t>A coded domain value denoting a marine navigation line type.</t>
  </si>
  <si>
    <t>Marine Rescue Station Type Code</t>
  </si>
  <si>
    <t>A coded domain value denoting a marine rescue station type.</t>
  </si>
  <si>
    <t>Marine Species Habitat Code</t>
  </si>
  <si>
    <t>A coded domain value denoting a marine species habitat code.</t>
  </si>
  <si>
    <t>Marine Warning Signal Type Code</t>
  </si>
  <si>
    <t>A coded domain value denoting a marine warning signal type.</t>
  </si>
  <si>
    <t>Maritime Aggressive Action Code</t>
  </si>
  <si>
    <t>A coded domain value denoting a maritime aggressive action.</t>
  </si>
  <si>
    <t>Maritime Aggressor Transport Code</t>
  </si>
  <si>
    <t>A coded domain value denoting a maritime aggressor transport.</t>
  </si>
  <si>
    <t>Maritime Area Restriction Code</t>
  </si>
  <si>
    <t>A coded domain value denoting a maritime area restriction.</t>
  </si>
  <si>
    <t>Maritime Caution Type Code</t>
  </si>
  <si>
    <t>A coded domain value denoting a maritime caution type.</t>
  </si>
  <si>
    <t>Maritime Geopolitical Limit Type Code</t>
  </si>
  <si>
    <t>A coded domain value denoting a maritime geopolitical limit type.</t>
  </si>
  <si>
    <t>Maritime Light Type Code</t>
  </si>
  <si>
    <t>A coded domain value denoting a maritime light type.</t>
  </si>
  <si>
    <t>Maritime Navigation Beacon Structure Type Code</t>
  </si>
  <si>
    <t>A coded domain value denoting a maritime navigation beacon structure type.</t>
  </si>
  <si>
    <t>Maritime Navigation Beacon Type Code</t>
  </si>
  <si>
    <t>A coded domain value denoting a maritime navigation beacon type.</t>
  </si>
  <si>
    <t>Maritime Navigation Line Features Code</t>
  </si>
  <si>
    <t>A coded domain value denoting maritime navigation line features.</t>
  </si>
  <si>
    <t>Maritime Navigation Restriction Code</t>
  </si>
  <si>
    <t>A coded domain value denoting a maritime navigation restriction.</t>
  </si>
  <si>
    <t>Maritime Radiobeacon Type Code</t>
  </si>
  <si>
    <t>A coded domain value denoting a maritime radiobeacon type.</t>
  </si>
  <si>
    <t>Maritime Station Type Code</t>
  </si>
  <si>
    <t>A coded domain value denoting a maritime station type.</t>
  </si>
  <si>
    <t>Maritime Stolen Item Code</t>
  </si>
  <si>
    <t>A coded domain value denoting a maritime stolen item.</t>
  </si>
  <si>
    <t>Maritime Track Type Code</t>
  </si>
  <si>
    <t>A coded domain value denoting a maritime track type.</t>
  </si>
  <si>
    <t>Maritime Traffic Separation Scheme Component Code</t>
  </si>
  <si>
    <t>A coded domain value denoting a maritime traffic separation scheme component.</t>
  </si>
  <si>
    <t>Marker Radio Beacon Class Code</t>
  </si>
  <si>
    <t>A coded domain value denoting a marker radio beacon class.</t>
  </si>
  <si>
    <t>Marker Radio Beacon Type Code</t>
  </si>
  <si>
    <t>A coded domain value denoting a marker radio beacon type.</t>
  </si>
  <si>
    <t>Marsh Type Code</t>
  </si>
  <si>
    <t>A coded domain value denoting a marsh type.</t>
  </si>
  <si>
    <t>Mast Type Code</t>
  </si>
  <si>
    <t>A coded domain value denoting a mast type.</t>
  </si>
  <si>
    <t>Material Handling Facilities Code</t>
  </si>
  <si>
    <t>A coded domain value denoting material handling facilities.</t>
  </si>
  <si>
    <t>Medical Services Code</t>
  </si>
  <si>
    <t>A coded domain value denoting a medical services.</t>
  </si>
  <si>
    <t>Memorandum Type Code</t>
  </si>
  <si>
    <t>A coded domain value denoting a memorandum type.</t>
  </si>
  <si>
    <t>Message Date Active Structured Text</t>
  </si>
  <si>
    <t>A structured text value specifying a message date active.</t>
  </si>
  <si>
    <t>Metallic Ore Type Code</t>
  </si>
  <si>
    <t>A coded domain value denoting a metallic ore type.</t>
  </si>
  <si>
    <t>Microwave Landing System (MLS) Channel Code</t>
  </si>
  <si>
    <t>A coded domain value denoting a microwave landing system channel.</t>
  </si>
  <si>
    <t>Microwave Landing System (MLS) Unit Association Type Code</t>
  </si>
  <si>
    <t>A coded domain value denoting a microwave landing system unit association type.</t>
  </si>
  <si>
    <t>Migration Reason Code</t>
  </si>
  <si>
    <t>A coded domain value denoting a migration reason.</t>
  </si>
  <si>
    <t>Migration Transport Type Code</t>
  </si>
  <si>
    <t>A coded domain value denoting a migration transport type.</t>
  </si>
  <si>
    <t>MILEC Density Measure Code</t>
  </si>
  <si>
    <t>A coded domain value denoting a MILEC density measure.</t>
  </si>
  <si>
    <t>Military Aerodrome Function Code</t>
  </si>
  <si>
    <t>A coded domain value denoting a military aerodrome function.</t>
  </si>
  <si>
    <t>Military Environmental Hazard Category Code</t>
  </si>
  <si>
    <t>A coded domain value denoting a military environmental hazard category.</t>
  </si>
  <si>
    <t>Military Facility Type Code</t>
  </si>
  <si>
    <t>A coded domain value denoting a military facility type.</t>
  </si>
  <si>
    <t>Military Grid Reference System Location Structured Text</t>
  </si>
  <si>
    <t>A structured text value specifying a military grid reference system location.</t>
  </si>
  <si>
    <t>The world is generally divided into 6 arc degree by 8 arc degree geographic areas, each of which is given a unique identification, termed the 'Grid Zone Designation', encoded by a 3 character alphanumeric value (for example: '13H'). These areas are covered by a pattern of 100,000-metre squares, with each square identified by a 2-character alphabetic value (for example: 'AA') that is unique within the grid zone. Within a square the location is designated by a 5-digit metre-based offset eastwards followed by a 5-digit metre-based offset northwards, from the southwest corner of the square (for example: '0015502350'). The location within the square may be truncated to lesser precision, resulting in either a 10-digit offset (full 1 metre precision) or an 8-digit, 6-digit, 4-digit, or 2-digit (10 kilometre precision) offset. See DMA Technical Manual 8358.1 'Datums, Ellipsoids, Grids, and Grid Reference Systems' for the method of calculation.</t>
  </si>
  <si>
    <t>Military Restriction Zone Type Code</t>
  </si>
  <si>
    <t>A coded domain value denoting a military restriction zone type.</t>
  </si>
  <si>
    <t>Military Route Use Code</t>
  </si>
  <si>
    <t>A coded domain value denoting a military route use.</t>
  </si>
  <si>
    <t>Military Service Branch Code</t>
  </si>
  <si>
    <t>A coded domain value denoting a military service branch.</t>
  </si>
  <si>
    <t>Military Training Facility Type Code</t>
  </si>
  <si>
    <t>A coded domain value denoting a military training facility type.</t>
  </si>
  <si>
    <t>Mine Acoustic Sensitivity Code</t>
  </si>
  <si>
    <t>A coded domain value denoting a mine acoustic sensitivity.</t>
  </si>
  <si>
    <t>Mine Allegiance Code</t>
  </si>
  <si>
    <t>A coded domain value denoting a mine allegiance.</t>
  </si>
  <si>
    <t>Mine Anti-Hunting Capability Code</t>
  </si>
  <si>
    <t>A coded domain value denoting a mine anti-hunting capability.</t>
  </si>
  <si>
    <t>Mine Anti-Recovery Capability Code</t>
  </si>
  <si>
    <t>A coded domain value denoting a mine anti-recovery capability.</t>
  </si>
  <si>
    <t>Mine Anti-Sweep Wire Capability Code</t>
  </si>
  <si>
    <t>A coded domain value denoting a mine anti-sweep wire capability.</t>
  </si>
  <si>
    <t>Mine Autonomy Type Code</t>
  </si>
  <si>
    <t>A coded domain value denoting a mine autonomy type.</t>
  </si>
  <si>
    <t>Mine Cableless Control Method Code</t>
  </si>
  <si>
    <t>A coded domain value denoting a mine cableless control method.</t>
  </si>
  <si>
    <t>Mine Control Method Code</t>
  </si>
  <si>
    <t>A coded domain value denoting a mine control method.</t>
  </si>
  <si>
    <t>Mine Magnetic Sensitivity Code</t>
  </si>
  <si>
    <t>A coded domain value denoting a mine magnetic sensitivity.</t>
  </si>
  <si>
    <t>Mine Placement Method Code</t>
  </si>
  <si>
    <t>A coded domain value denoting a mine placement method.</t>
  </si>
  <si>
    <t>Mine Self-Actuation Method Code</t>
  </si>
  <si>
    <t>A coded domain value denoting a mine self-actuation method.</t>
  </si>
  <si>
    <t>Mine Special Capability Code</t>
  </si>
  <si>
    <t>A coded domain value denoting a mine special capability.</t>
  </si>
  <si>
    <t>Minefield Delineation Category Code</t>
  </si>
  <si>
    <t>A coded domain value denoting a minefield delineation category.</t>
  </si>
  <si>
    <t>Mine-Hunting Sea Bed Classification Code</t>
  </si>
  <si>
    <t>A coded domain value denoting a mine-hunting sea bed classification.</t>
  </si>
  <si>
    <t>Minehunting Status Code</t>
  </si>
  <si>
    <t>A coded domain value denoting a minehunting status.</t>
  </si>
  <si>
    <t>Mineral Deposit Classification Code</t>
  </si>
  <si>
    <t>A coded domain value denoting a mineral deposit classification.</t>
  </si>
  <si>
    <t>Mineral Spring Use Code</t>
  </si>
  <si>
    <t>A coded domain value denoting a mineral spring use.</t>
  </si>
  <si>
    <t>Minimum Climb Gradient Structured Text</t>
  </si>
  <si>
    <t>A structured text value specifying a minimum climb gradient.</t>
  </si>
  <si>
    <t>Either a two digit numeric percentage, '01''to '99', or up to four digits ('0' to '9') with no leading zeros followed by '/NM'. If the digits are not followed by '/NM' then the value is assumed to be a percentage slope (rise/run).</t>
  </si>
  <si>
    <t>Missile Launch Support Component Code</t>
  </si>
  <si>
    <t>A coded domain value denoting a missile launch support component.</t>
  </si>
  <si>
    <t>Missile Site Type Code</t>
  </si>
  <si>
    <t>A coded domain value denoting a missile site type.</t>
  </si>
  <si>
    <t>Modification Date and Time Structured Text</t>
  </si>
  <si>
    <t>A structured text value specifying a modification date and time.</t>
  </si>
  <si>
    <t>Modified Mercalli Intensity Code</t>
  </si>
  <si>
    <t>A coded domain value denoting an earthquake Modified Mercalli (MM) intensity.</t>
  </si>
  <si>
    <t>Monitoring Method Code</t>
  </si>
  <si>
    <t>A coded domain value denoting a monitoring method.</t>
  </si>
  <si>
    <t>Monument Purpose Code</t>
  </si>
  <si>
    <t>A coded domain value denoting a monument purpose.</t>
  </si>
  <si>
    <t>Mooring and/or Warping Facility Type Code</t>
  </si>
  <si>
    <t>A coded domain value denoting a mooring and/or warping facility type.</t>
  </si>
  <si>
    <t>Mooring Type Code</t>
  </si>
  <si>
    <t>A coded domain value denoting a mooring type.</t>
  </si>
  <si>
    <t>Moraine Type Code</t>
  </si>
  <si>
    <t>A coded domain value denoting a moraine type.</t>
  </si>
  <si>
    <t>Multiple Light Ranges Structured Text</t>
  </si>
  <si>
    <t>A structured text value specifying a multiple light ranges.</t>
  </si>
  <si>
    <t>The numbers are separated by a slash (/) if only two visibilities exist, or by a dash ('-') separating the greatest and least visibilities if three or more exist.</t>
  </si>
  <si>
    <t>Name Effective Date and Time Structured Text</t>
  </si>
  <si>
    <t>A structured text value specifying a name effective date and time.</t>
  </si>
  <si>
    <t>Name Source Citation Structured Text</t>
  </si>
  <si>
    <t>A structured text value specifying a name source citation.</t>
  </si>
  <si>
    <t>Name Termination Date and Time Structured Text</t>
  </si>
  <si>
    <t>A structured text value specifying a name termination date and time.</t>
  </si>
  <si>
    <t>Named Location Type Code</t>
  </si>
  <si>
    <t>A coded domain value denoting a named location type.</t>
  </si>
  <si>
    <t>National Conflict Type Code</t>
  </si>
  <si>
    <t>A coded domain value denoting a national conflict type.</t>
  </si>
  <si>
    <t>National Monument or Icon Category Code</t>
  </si>
  <si>
    <t>A coded domain value denoting a national monument or icon category.</t>
  </si>
  <si>
    <t>Native Settlement Type Code</t>
  </si>
  <si>
    <t>A coded domain value denoting a native settlement type.</t>
  </si>
  <si>
    <t>Natural Disaster Type Code</t>
  </si>
  <si>
    <t>A coded domain value denoting a natural disaster type.</t>
  </si>
  <si>
    <t>Natural Environmental Limit Reason Code</t>
  </si>
  <si>
    <t>A coded domain value denoting a natural environmental limit reason.</t>
  </si>
  <si>
    <t>Natural Environmental Limit Type Code</t>
  </si>
  <si>
    <t>A coded domain value denoting a natural environmental limit type.</t>
  </si>
  <si>
    <t>Natural Pool Type Code</t>
  </si>
  <si>
    <t>A coded domain value denoting a natural pool type.</t>
  </si>
  <si>
    <t>Naval Firing and/or Practice Type Code</t>
  </si>
  <si>
    <t>A coded domain value denoting a naval firing and/or practice type.</t>
  </si>
  <si>
    <t>Naval Mine Intended Use Code</t>
  </si>
  <si>
    <t>A coded domain value denoting a naval mine intended use.</t>
  </si>
  <si>
    <t>Naval Mine Positioning Code</t>
  </si>
  <si>
    <t>A coded domain value denoting a naval mine positioning.</t>
  </si>
  <si>
    <t>Naval Minefield Purpose Code</t>
  </si>
  <si>
    <t>A coded domain value denoting a naval minefield purpose.</t>
  </si>
  <si>
    <t>Naval Operations Type Code</t>
  </si>
  <si>
    <t>A coded domain value denoting a naval operations type.</t>
  </si>
  <si>
    <t>Navigability Information Code</t>
  </si>
  <si>
    <t>A coded domain value denoting a navigability information.</t>
  </si>
  <si>
    <t>Navigation Aid Point Angular Indication Structured Text</t>
  </si>
  <si>
    <t>A structured text value specifying a navigation aid point angular indication.</t>
  </si>
  <si>
    <t>The first three characters are either 'RDL' (Radial) or 'BRG' (Bearing), followed by a space, followed by a 3 digit angular value measured from True North in the range '000'-'359', followed by a space, followed by a three character navigation aid identifier. For example: 'RDL 237 FFM' or 'BRG 040 SIB'.</t>
  </si>
  <si>
    <t>Navigation Aid Point Distance Indication Structured Text</t>
  </si>
  <si>
    <t>A structured text value specifying a navigation aid point distance indication.</t>
  </si>
  <si>
    <t>An up to three digit numeric value with no leading zeros, followed by a space, followed by a designation of the unit of measure as one of: 'NM' (Nautical Mile), 'KM' (Kilometre), or 'SM' (Statute Mile), followed by a space, followed by the three character navigation aid identifier. For example: '37 NM FFM'.</t>
  </si>
  <si>
    <t>Navigation Light Characteristic Code</t>
  </si>
  <si>
    <t>A coded domain value denoting a navigation light characteristic.</t>
  </si>
  <si>
    <t>Navigation Mark Colour Code</t>
  </si>
  <si>
    <t>A coded domain value denoting a navigation mark colour.</t>
  </si>
  <si>
    <t>Navigation Service Checkpoint Type Code</t>
  </si>
  <si>
    <t>A coded domain value denoting a navigation service checkpoint type.</t>
  </si>
  <si>
    <t>Navigation System Type Code</t>
  </si>
  <si>
    <t>A coded domain value denoting a navigation system type.</t>
  </si>
  <si>
    <t>Nomadic Seasonal Location Code</t>
  </si>
  <si>
    <t>A coded domain value denoting a nomadic seasonal location.</t>
  </si>
  <si>
    <t>NOMBO Density Measure Code</t>
  </si>
  <si>
    <t>A coded domain value denoting a NOMBO density measure.</t>
  </si>
  <si>
    <t>Non-negative Integer</t>
  </si>
  <si>
    <t>An integer domain value that is restricted to be non-negative.</t>
  </si>
  <si>
    <t>Non-negative Real</t>
  </si>
  <si>
    <t>A real domain value that is restricted to be non-negative.</t>
  </si>
  <si>
    <t>real</t>
  </si>
  <si>
    <t>The realization of this real datatype is implementation-dependent.</t>
  </si>
  <si>
    <t>Non-negative Real Interval</t>
  </si>
  <si>
    <t>A real-interval domain value that is restricted to be non-negative.</t>
  </si>
  <si>
    <t>complex</t>
  </si>
  <si>
    <t>The realization of this complex datatype is implementation-dependent.</t>
  </si>
  <si>
    <t>lowerValue</t>
  </si>
  <si>
    <t>Real Interval Lower-value</t>
  </si>
  <si>
    <t>The lower-value of a real-interval, the first member of a pair of real numbers that represent all of the numbers between the two and possibly including one and/or the other depending on the interval closure.</t>
  </si>
  <si>
    <t>For example, the value 27.5 as the included lower end of the interval: [27.5 ... 150.0].</t>
  </si>
  <si>
    <t>dat</t>
  </si>
  <si>
    <t>upperValue</t>
  </si>
  <si>
    <t>Real Interval Upper-value</t>
  </si>
  <si>
    <t>For example, the value 15.71 as the excluded upper end of the interval: [-3.9 ... 15.71).</t>
  </si>
  <si>
    <t>closure</t>
  </si>
  <si>
    <t>Interval Closure</t>
  </si>
  <si>
    <t>The closure conditions of the two endpoints of the real number interval.</t>
  </si>
  <si>
    <t>For example, the right half-open unbounded interval (-infinity, upperValue).</t>
  </si>
  <si>
    <t>Non-submarine Contact Report Date Structured Text</t>
  </si>
  <si>
    <t>A structured text value specifying a non-submarine contact report date.</t>
  </si>
  <si>
    <t>Non-submarine Contact Reporting Agency Type Code</t>
  </si>
  <si>
    <t>A coded domain value denoting a non-submarine contact reporting agency type.</t>
  </si>
  <si>
    <t>North Reference Type Code</t>
  </si>
  <si>
    <t>A coded domain value denoting a north reference type.</t>
  </si>
  <si>
    <t>Notice to Mariners Date Structured Text</t>
  </si>
  <si>
    <t>A structured text value specifying a notice to mariners date.</t>
  </si>
  <si>
    <t>Oasis Type Code</t>
  </si>
  <si>
    <t>A coded domain value denoting an oasis type.</t>
  </si>
  <si>
    <t>Obstruction Lights Code</t>
  </si>
  <si>
    <t>A coded domain value denoting an obstruction lights.</t>
  </si>
  <si>
    <t>Ocean Bottom Type Code</t>
  </si>
  <si>
    <t>A coded domain value denoting an ocean bottom type.</t>
  </si>
  <si>
    <t>Ocean Current Temperature Code</t>
  </si>
  <si>
    <t>A coded domain value denoting an ocean current temperature.</t>
  </si>
  <si>
    <t>Ocean Type Code</t>
  </si>
  <si>
    <t>A coded domain value denoting an ocean type.</t>
  </si>
  <si>
    <t>Oceanographic Front Indicator Code</t>
  </si>
  <si>
    <t>A coded domain value denoting na oceanographic front indicator code.</t>
  </si>
  <si>
    <t>Oceanographic Front Type Code</t>
  </si>
  <si>
    <t>A coded domain value denoting an oceanographic front type code.</t>
  </si>
  <si>
    <t>Official Currency Code</t>
  </si>
  <si>
    <t>A coded domain value denoting an ISO 4217 currency.</t>
  </si>
  <si>
    <t>Formatted in accordance with ISO 4217:2001, as a three letter code where the first two letters of the code are the two letters of the ISO 3166-1 alpha-2 country code and the third is usually the initial of the name of the currency (for example: 'USD' for the United States Dollar). Supranational currencies, such as the East Caribbean dollar, the CFP franc, the CFA franc BEAC and the CFA franc BCEAO are normally also represented by codes beginning with an 'X'. The euro is represented by the code 'EUR'; the predecessor to the Euro, the European Currency Unit, had the code 'XEU'.</t>
  </si>
  <si>
    <t>Offshore Construction Primary Structure Code</t>
  </si>
  <si>
    <t>A coded domain value denoting an offshore construction primary structure.</t>
  </si>
  <si>
    <t>Offshore Construction Support Structure Code</t>
  </si>
  <si>
    <t>A coded domain value denoting an offshore construction support structure.</t>
  </si>
  <si>
    <t>Offshore Platform Type Code</t>
  </si>
  <si>
    <t>A coded domain value denoting an offshore platform type.</t>
  </si>
  <si>
    <t>Offshore Positioning Method Code</t>
  </si>
  <si>
    <t>A coded domain value denoting an offshore positioning method.</t>
  </si>
  <si>
    <t>Oil Barrier Type Code</t>
  </si>
  <si>
    <t>A coded domain value denoting an oil barrier type.</t>
  </si>
  <si>
    <t>Operating Cycle Code</t>
  </si>
  <si>
    <t>A coded domain value denoting an operating cycle.</t>
  </si>
  <si>
    <t>Operating Restriction Code</t>
  </si>
  <si>
    <t>A coded domain value denoting an operating restriction.</t>
  </si>
  <si>
    <t>Operations End Date and Time Structured Text</t>
  </si>
  <si>
    <t>A structured text value specifying an operations end date and time.</t>
  </si>
  <si>
    <t>Operations Interval Structured Text</t>
  </si>
  <si>
    <t>A structured text value specifying an operations interval.</t>
  </si>
  <si>
    <t>Operations Start Date and Time Structured Text</t>
  </si>
  <si>
    <t>A structured text value specifying an operations start date and time.</t>
  </si>
  <si>
    <t>Ordnance Facility Type Code</t>
  </si>
  <si>
    <t>A coded domain value denoting an ordnance facility type.</t>
  </si>
  <si>
    <t>Ordnance Reinforcement Code</t>
  </si>
  <si>
    <t>A coded domain value denoting an ordnance reinforcement.</t>
  </si>
  <si>
    <t>Overhead Obstruction Type Code</t>
  </si>
  <si>
    <t>A coded domain value denoting a overhead obstruction type.</t>
  </si>
  <si>
    <t>Owner Authority Structured Text</t>
  </si>
  <si>
    <t>A structured text value specifying an owner authority.</t>
  </si>
  <si>
    <t>Passenger Service Type Code</t>
  </si>
  <si>
    <t>A coded domain value denoting a passenger service type.</t>
  </si>
  <si>
    <t>Pavement Type for PCN Determination Code</t>
  </si>
  <si>
    <t>A coded domain value denoting a pavement type for PCN determination.</t>
  </si>
  <si>
    <t>PCN Evaluation Method Code</t>
  </si>
  <si>
    <t>A coded domain value denoting a PCN evaluation method.</t>
  </si>
  <si>
    <t>PCN Maximum Allowable Tire Pressure Category Code</t>
  </si>
  <si>
    <t>A coded domain value denoting a PCN maximum allowable tire pressure category.</t>
  </si>
  <si>
    <t>PCN Pavement Subgrade Strength Category Code</t>
  </si>
  <si>
    <t>A coded domain value denoting a PCN pavement subgrade strength category.</t>
  </si>
  <si>
    <t>Periodic Marine Current Month Interval Structured Text</t>
  </si>
  <si>
    <t>A structured text value specifying a periodic marine current month interval.</t>
  </si>
  <si>
    <t>Formatted in accordance with ISO 8601:2000, 5.2.1, Calendar date - month, as a single data element comprising four digits, where the first [MM] represents the ordinal number of a calendar month within the calendar year, and the second [MM] the ordinal number of a subsequent calendar month within the same or subsequent calendar year, as 'MMMM' (for example: '0309' for March through September). Either of the months may be left unspecified by the use of '--' (for example: '11--' for November through an unspecified ending month).</t>
  </si>
  <si>
    <t>Periodic Restriction Month Interval Structured Text</t>
  </si>
  <si>
    <t>A structured text value specifying a periodic restriction month interval.</t>
  </si>
  <si>
    <t>Physical Condition Code</t>
  </si>
  <si>
    <t>A coded domain value denoting a physical condition.</t>
  </si>
  <si>
    <t>Physical State Category Code</t>
  </si>
  <si>
    <t>A coded domain value denoting a physical state category.</t>
  </si>
  <si>
    <t>Pile Type Code</t>
  </si>
  <si>
    <t>A coded domain value denoting a pile type.</t>
  </si>
  <si>
    <t>Pilot Boarding Method Code</t>
  </si>
  <si>
    <t>A coded domain value denoting a pilot boarding method.</t>
  </si>
  <si>
    <t>Pipeline Type Code</t>
  </si>
  <si>
    <t>A coded domain value denoting a pipeline type.</t>
  </si>
  <si>
    <t>Point Abeam Type Code</t>
  </si>
  <si>
    <t>A coded domain value denoting a point abeam type.</t>
  </si>
  <si>
    <t>Pond Type Code</t>
  </si>
  <si>
    <t>A coded domain value denoting a pond type.</t>
  </si>
  <si>
    <t>Populated Place Habitations Category Code</t>
  </si>
  <si>
    <t>A coded domain value denoting a populated place habitations category.</t>
  </si>
  <si>
    <t>Populated Place Level Category Code</t>
  </si>
  <si>
    <t>A coded domain value denoting a populated place level category.</t>
  </si>
  <si>
    <t>Populated Place Pattern Code</t>
  </si>
  <si>
    <t>A coded domain value denoting a populated place pattern.</t>
  </si>
  <si>
    <t>Populated Place Size Category Code</t>
  </si>
  <si>
    <t>A coded domain value denoting a populated place size category.</t>
  </si>
  <si>
    <t>Populated Place Type Code</t>
  </si>
  <si>
    <t>A coded domain value denoting a populated place type.</t>
  </si>
  <si>
    <t>Population Density Category Code</t>
  </si>
  <si>
    <t>A coded domain value denoting a population density category.</t>
  </si>
  <si>
    <t>Portable Aggressor Weapon Code</t>
  </si>
  <si>
    <t>A coded domain value denoting a portable aggressor weapon.</t>
  </si>
  <si>
    <t>Position Quality Category Code</t>
  </si>
  <si>
    <t>A coded domain value denoting a position quality category.</t>
  </si>
  <si>
    <t>Power Source Code</t>
  </si>
  <si>
    <t>A coded domain value denoting a power source.</t>
  </si>
  <si>
    <t>Power Station Type Code</t>
  </si>
  <si>
    <t>A coded domain value denoting a power station type.</t>
  </si>
  <si>
    <t>Precious Metal Ore Type Code</t>
  </si>
  <si>
    <t>A coded domain value denoting a precious metal ore type.</t>
  </si>
  <si>
    <t>Precipitate Sedimentary Rock Type Code</t>
  </si>
  <si>
    <t>A coded domain value denoting a precipitate sedimentary rock type.</t>
  </si>
  <si>
    <t>Predominant Vegetation Zone Type Code</t>
  </si>
  <si>
    <t>A coded domain value denoting a predominant vegetation zone type.</t>
  </si>
  <si>
    <t>Presence Date Interval Structured Text</t>
  </si>
  <si>
    <t>A structured text value specifying a presence date interval.</t>
  </si>
  <si>
    <t>Formatted in accordance with ISO 8601:2000, 5.5, Time-intervals, as a single data element comprising up to seventeen characters, where the first [YYYY] represents a calendar year, [MM] the ordinal number of a calendar month within the calendar year, and [DD] the ordinal number of a day within the calendar month of the start of the time interval, followed by a solidus '/', followed by the second [YYYY] representing a calendar year, [MM] the ordinal number of a calendar month within the calendar year, and [DD] the ordinal number of a day within the calendar month of the end of the time interval as 'YYYYMMDD/YYYYMMDD' (for example: '19850412/19871007' for 12 April 1985 through 7 October 1987). Either of the dates may be left unspecified by the use of '--------' (for example: '19861201/--------' for 1 December 1986 through an unspecified ending date). Other truncated date representations in accordance with ISO 8601:2000 may be used.</t>
  </si>
  <si>
    <t>Primary Environmental Contaminant Code</t>
  </si>
  <si>
    <t>A coded domain value denoting a primary environmental contaminant.</t>
  </si>
  <si>
    <t>Primary Structural Material Characteristic Code</t>
  </si>
  <si>
    <t>A coded domain value denoting a primary structural material characteristic.</t>
  </si>
  <si>
    <t>Procedure Design Criteria Code</t>
  </si>
  <si>
    <t>A coded domain value denoting a procedure design criteria.</t>
  </si>
  <si>
    <t>Procedure Designator Structured Text</t>
  </si>
  <si>
    <t>A structured text value specifying a procedure designator.</t>
  </si>
  <si>
    <t>Procedure Identification Structured Text</t>
  </si>
  <si>
    <t>A structured text value specifying a procedure identification.</t>
  </si>
  <si>
    <t>Procedure Minima Type Code</t>
  </si>
  <si>
    <t>A coded domain value denoting a procedure minima type.</t>
  </si>
  <si>
    <t>Procedure Segment Time Structured Text</t>
  </si>
  <si>
    <t>A structured text value specifying a procedure segment time.</t>
  </si>
  <si>
    <t>The first two digits ('0' to '9') specify a number of minutes and the last two digits ('00' to '59') specify a number of seconds, with the conuts of minutes and seconds separated by a colon (':').</t>
  </si>
  <si>
    <t>Process Step Date and Time Structured Text</t>
  </si>
  <si>
    <t>A structured text value specifying a process step date and time.</t>
  </si>
  <si>
    <t>For a single date and time, formatted in accordance with ISO 8601:2000, 5.4.1, Combinations of date and time of day - Complete representation - Extended format, a calendar date and time representation, as a single data element comprising up to twenty characters, where [YYYY] represents a calendar year, [MM] the ordinal number of a calendar month within the calendar year, [DD] the ordinal number of a day within the calendar month, [hh] the ordinal number of an hour within the calendar day, [mm] the ordinal number of a minute within the hour, [ss] the ordinal number of a second within the minute, and an optional 'Z' when the time is according to Coordinated Universal Time (UTC), as 'YYYY-MM-DDThh:mm:ssZ' (for example: '1985-04-12T11:45:20Z' for 11 hours, 45 minutes and 20 seconds UTC on 12 April 1985). Representations with reduced precision may be used in accordance with 5.4.2 (for example: '1985-04-12' for 12 April 1985). Representations consistently using basic format (eliminating the hyphen '-' and the colon ':') may be used in accordance with 5.4.1 (for example: '19850412T114520Z'). For a range of date and time, formatted in accordance with ISO 8601:2000, 5.5.4.1, Representation of time-intervals identified by start and end - Extended format, as a single data element comprising up to forty-one characters, using an expression in accordance with 5.5.2 combining any two date and time of the day representations as defined in 5.4.1, as 'YYYY-MM-DDThh:mm:ssZ/YYYY-MM-DDThh:mm:ssZ' (for example: '1985-04-12T11:45:20Z/1985-07-01T08:23:50Z' for 11 hours, 45 minutes and 20 seconds UTC on 12 April 1985 through 8 hours, 23 minutes and 50 seconds UTC on 1 July 1985). Representations with reduced precision may be used in accordance with 5.4.2 (for example: '1985-04-12/1985-07-01' for 12 April 1985 through 1 July 1985). Representations consistently using basic format (eliminating the hyphen '-' and the colon ':') may be used in accordance with 5.4.1 (for example: '19850412/19850701'). Either of the dates may be left unspecified by the use of '--------' (for example: '19850412/--------' for 12 April 1985 through an unspecified ending date).</t>
  </si>
  <si>
    <t>Process Step Description Structured Text</t>
  </si>
  <si>
    <t>A structured text value specifying a process step description.</t>
  </si>
  <si>
    <t>A value representing a process step description, as specified by ISO 19115:2003, LI_ProcessStep.description.</t>
  </si>
  <si>
    <t>Process Step Processor Structured Text</t>
  </si>
  <si>
    <t>A structured text value specifying a process step processor.</t>
  </si>
  <si>
    <t>A value representing a processor, as specified by ISO 19115:2003, B.3.2.1 Line 374, CI_Responsible Party.</t>
  </si>
  <si>
    <t>Process Step Rationale Structured Text</t>
  </si>
  <si>
    <t>A structured text value specifying a process step rationale.</t>
  </si>
  <si>
    <t>A value representing a process step rationale, as specified by ISO 19115:2003, LI_ProcessStep.rationale.</t>
  </si>
  <si>
    <t>Product Code</t>
  </si>
  <si>
    <t>A coded domain value denoting a product.</t>
  </si>
  <si>
    <t>Protected Natural Element Code</t>
  </si>
  <si>
    <t>A coded domain value denoting a protected natural element.</t>
  </si>
  <si>
    <t>Protective Function Code</t>
  </si>
  <si>
    <t>A coded domain value denoting a protective function.</t>
  </si>
  <si>
    <t>Public Accommodation Facility Type Code</t>
  </si>
  <si>
    <t>A coded domain value denoting a public accommodation facility type.</t>
  </si>
  <si>
    <t>Public Service Facility Type Code</t>
  </si>
  <si>
    <t>A coded domain value denoting a public service facility type.</t>
  </si>
  <si>
    <t>Pylon Configuration Code</t>
  </si>
  <si>
    <t>A coded domain value denoting a pylon configuration.</t>
  </si>
  <si>
    <t>Pylon Material Code</t>
  </si>
  <si>
    <t>A coded domain value denoting a pylon material.</t>
  </si>
  <si>
    <t>Racing Type Code</t>
  </si>
  <si>
    <t>A coded domain value denoting a racing type.</t>
  </si>
  <si>
    <t>Racing Vehicle Type Code</t>
  </si>
  <si>
    <t>A coded domain value denoting a racing vehicle type.</t>
  </si>
  <si>
    <t>Radar Antenna Configuration Code</t>
  </si>
  <si>
    <t>A coded domain value denoting a radar antenna configuration.</t>
  </si>
  <si>
    <t>Radar Station Function Code</t>
  </si>
  <si>
    <t>A coded domain value denoting a radar station function.</t>
  </si>
  <si>
    <t>Radio Communication Direction Code</t>
  </si>
  <si>
    <t>A coded domain value denoting a radio communication direction.</t>
  </si>
  <si>
    <t>Radio Navigation Service Coverage Type Code</t>
  </si>
  <si>
    <t>A coded domain value denoting a radio navigation service coverage type.</t>
  </si>
  <si>
    <t>Radio Navigation Service Limitation Type Code</t>
  </si>
  <si>
    <t>A coded domain value denoting a radio navigation service limitation type.</t>
  </si>
  <si>
    <t>Radio Station Classification Code</t>
  </si>
  <si>
    <t>A coded domain value denoting a radio station classification.</t>
  </si>
  <si>
    <t>Radiofrequency Band Code</t>
  </si>
  <si>
    <t>A coded domain value denoting a radiofrequency band.</t>
  </si>
  <si>
    <t>Railway Class Code</t>
  </si>
  <si>
    <t>A coded domain value denoting a railway class.</t>
  </si>
  <si>
    <t>Railway Gauge Classification Code</t>
  </si>
  <si>
    <t>A coded domain value denoting a railway gauge classification.</t>
  </si>
  <si>
    <t>Railway Power Method Code</t>
  </si>
  <si>
    <t>A coded domain value denoting a railway power method.</t>
  </si>
  <si>
    <t>Railway Use Code</t>
  </si>
  <si>
    <t>A coded domain value denoting a railway use.</t>
  </si>
  <si>
    <t>Rapid Class Code</t>
  </si>
  <si>
    <t>A coded domain value denoting a rapid class.</t>
  </si>
  <si>
    <t>Raw Material Class Code</t>
  </si>
  <si>
    <t>A coded domain value denoting a raw material class.</t>
  </si>
  <si>
    <t>Raw Material Code</t>
  </si>
  <si>
    <t>A coded domain value denoting a raw material.</t>
  </si>
  <si>
    <t>A real domain value.</t>
  </si>
  <si>
    <t>The domain of values is a real number. For example, 98.6 (as in the normal human body temperature in degrees Fahrenheit).</t>
  </si>
  <si>
    <t>Real Interval</t>
  </si>
  <si>
    <t>A real-interval domain value.</t>
  </si>
  <si>
    <t>The domain of values is a real number interval.</t>
  </si>
  <si>
    <t>The upper-value of a real-interval, the second member of a pair of real numbers that represent all of the numbers between the two and possibly including one and/or the other depending on the interval closure.</t>
  </si>
  <si>
    <t>Real Interval: 0 to 100</t>
  </si>
  <si>
    <t>A real-interval domain value that is restricted to be completely contained in the range from 0 to 100, inclusive.</t>
  </si>
  <si>
    <t>Real Interval: 0 to 360</t>
  </si>
  <si>
    <t>A real-interval domain value that is restricted to be completely contained in the range from 0 to 360, inclusive.</t>
  </si>
  <si>
    <t>360</t>
  </si>
  <si>
    <t>Real: 0 to 359</t>
  </si>
  <si>
    <t>A real domain value that is restricted to fall in the range from 0 to 359, inclusive.</t>
  </si>
  <si>
    <t>Real: 0 to 359.9</t>
  </si>
  <si>
    <t>A real domain value that is restricted to fall in the range from 0 to 359.9, inclusive.</t>
  </si>
  <si>
    <t>359.9</t>
  </si>
  <si>
    <t>Real: 0 to 360</t>
  </si>
  <si>
    <t>A real domain value that is restricted to fall in the range from 0 to 360, inclusive.</t>
  </si>
  <si>
    <t>Real: 0.0 to 9.9</t>
  </si>
  <si>
    <t>A real domain value that is restricted to fall in the range from 0.0 to 9.9, inclusive.</t>
  </si>
  <si>
    <t>0.0</t>
  </si>
  <si>
    <t>9.9</t>
  </si>
  <si>
    <t>Real: 0.00 to 4.99</t>
  </si>
  <si>
    <t>A real domain value that is restricted to fall in the range from 0.00 to 4.99, inclusive.</t>
  </si>
  <si>
    <t>0.00</t>
  </si>
  <si>
    <t>4.99</t>
  </si>
  <si>
    <t>Real: -180 to 180</t>
  </si>
  <si>
    <t>A real domain value that is restricted to fall in the range from -180 to 180, inclusive.</t>
  </si>
  <si>
    <t>-180</t>
  </si>
  <si>
    <t>180</t>
  </si>
  <si>
    <t>RcdStrucText</t>
  </si>
  <si>
    <t>Recording Date Structured Text</t>
  </si>
  <si>
    <t>A structured text value specifying a recording date.</t>
  </si>
  <si>
    <t>Reduced Vertical Separation Minimum (RVSM) Point Type Code</t>
  </si>
  <si>
    <t>A coded domain value denoting a reduced vertical separation minimum point type.</t>
  </si>
  <si>
    <t>Reference Path Identifier Structured Text</t>
  </si>
  <si>
    <t>A structured text value specifying a reference path identifier.</t>
  </si>
  <si>
    <t>The leading character of the designator references the system providing service (for example: 'W' for WAAS, 'E' for EGNOS, and 'M' for MSAS); this is followed by the two-digit runway number. The last character, assigned starting with the letter 'A' designates the first procedure for the runway; successive letters, excluding the three letters 'C', 'L', and 'R', designate each additional procedure to the runway. For example, an aerodrome has 3 parallel runways where the left and right runways have both a straight-in procedure and an offset procedure, while the centre runway has a straight-in procedure only. The following (extreme) examples would be applicable: 'W09A' and 'W09B' would designate the two unique final approach segment data blocks to Rwy '09L'; 'W09D' would designate the final approach segment data block for Rwy '09C'; and 'W09E' and 'W09F' would designate the final approach segment data blocks for Rwy '09R'.</t>
  </si>
  <si>
    <t>Reference Point Determination Method Code</t>
  </si>
  <si>
    <t>A coded domain value denoting a reference point determination method.</t>
  </si>
  <si>
    <t>Reference Station Data Selector Structured Text</t>
  </si>
  <si>
    <t>A structured text value specifying a reference station data selector.</t>
  </si>
  <si>
    <t>A two digit value in the range '00' through '48'.</t>
  </si>
  <si>
    <t>Reference Water Level Code</t>
  </si>
  <si>
    <t>A coded domain value denoting a reference water level.</t>
  </si>
  <si>
    <t>Refugee Migration End Date Structured Text</t>
  </si>
  <si>
    <t>A structured text value specifying a refugee migration end date.</t>
  </si>
  <si>
    <t>Refugee Migration Start Date Structured Text</t>
  </si>
  <si>
    <t>Relative Importance Code</t>
  </si>
  <si>
    <t>A coded domain value denoting a relative importance.</t>
  </si>
  <si>
    <t>Relative Level Code</t>
  </si>
  <si>
    <t>A coded domain value denoting a relative level.</t>
  </si>
  <si>
    <t>Releasability Structured Text</t>
  </si>
  <si>
    <t>A structured text value specifying a releasability.</t>
  </si>
  <si>
    <t>Contains a list of trigraph country codes in accordance with ISO 3166 and then by a list of tetragraph international organizations (for example: 'NATO') that are applicable. Multiple values are individually separated by a comma followed by a single space and should be ordered alphabetically with the alphabetical trigraph country values preceding the alphabetical tetragraph values. The last two entries are separated by a single space followed by the characters 'and' followed by a single space. For example: 'USA, CRI, LUX, ZWE and NATO'.</t>
  </si>
  <si>
    <t>Religion  Code</t>
  </si>
  <si>
    <t>A coded domain value denoting a religion .</t>
  </si>
  <si>
    <t>Religion Group Code</t>
  </si>
  <si>
    <t>A coded domain value denoting a religion group.</t>
  </si>
  <si>
    <t>Religious Designation Code</t>
  </si>
  <si>
    <t>A coded domain value denoting a religious designation.</t>
  </si>
  <si>
    <t>Religious Facility Type Code</t>
  </si>
  <si>
    <t>A coded domain value denoting a religious facility type.</t>
  </si>
  <si>
    <t>Remote Sensing Mine Actuation Method Code</t>
  </si>
  <si>
    <t>A coded domain value denoting a remote sensing mine actuation method.</t>
  </si>
  <si>
    <t>Research Facility Type Code</t>
  </si>
  <si>
    <t>A coded domain value denoting a research facility type.</t>
  </si>
  <si>
    <t>Restriction Declassification Exemption Code</t>
  </si>
  <si>
    <t>A coded domain value denoting a restriction declassification exemption.</t>
  </si>
  <si>
    <t>Review Source Date and Time Structured Text</t>
  </si>
  <si>
    <t>A structured text value specifying a review source date and time.</t>
  </si>
  <si>
    <t>Review Source Type Code</t>
  </si>
  <si>
    <t>A coded domain value denoting a review source type.</t>
  </si>
  <si>
    <t>Right Bank Accuracy Category Code</t>
  </si>
  <si>
    <t>A coded domain value denoting a right bank accuracy category.</t>
  </si>
  <si>
    <t>Right Bank Shoreline Type Code</t>
  </si>
  <si>
    <t>A coded domain value denoting a right bank shoreline type.</t>
  </si>
  <si>
    <t>Road Interchange Type Code</t>
  </si>
  <si>
    <t>A coded domain value denoting a road interchange type.</t>
  </si>
  <si>
    <t>Road Weather Restriction Code</t>
  </si>
  <si>
    <t>A coded domain value denoting a road weather restriction.</t>
  </si>
  <si>
    <t>Rock Formation Structure Code</t>
  </si>
  <si>
    <t>A coded domain value denoting a rock formation structure.</t>
  </si>
  <si>
    <t>Rock Type Code</t>
  </si>
  <si>
    <t>A coded domain value denoting a rock type.</t>
  </si>
  <si>
    <t>Roof Shape Code</t>
  </si>
  <si>
    <t>A coded domain value denoting a roof shape.</t>
  </si>
  <si>
    <t>Route Classification Code</t>
  </si>
  <si>
    <t>A coded domain value denoting a route classification.</t>
  </si>
  <si>
    <t>Route Constriction Type Code</t>
  </si>
  <si>
    <t>A coded domain value denoting a route constriction type.</t>
  </si>
  <si>
    <t>Route Designation Type Code</t>
  </si>
  <si>
    <t>A coded domain value denoting a route designation type.</t>
  </si>
  <si>
    <t>Route Expansion Type Code</t>
  </si>
  <si>
    <t>A coded domain value denoting a route expansion type.</t>
  </si>
  <si>
    <t>Route Intended Use Code</t>
  </si>
  <si>
    <t>A coded domain value denoting a route intended use.</t>
  </si>
  <si>
    <t>Route Junction Connectivity Code</t>
  </si>
  <si>
    <t>A coded domain value denoting a route junction connectivity.</t>
  </si>
  <si>
    <t>Route Junction Type Code</t>
  </si>
  <si>
    <t>A coded domain value denoting a route junction type.</t>
  </si>
  <si>
    <t>Route Significance Code</t>
  </si>
  <si>
    <t>A coded domain value denoting a route significance type.</t>
  </si>
  <si>
    <t>Route Surface Composition Code</t>
  </si>
  <si>
    <t>A coded domain value denoting a route surface composition.</t>
  </si>
  <si>
    <t>Runway Centre-line Location Role Code</t>
  </si>
  <si>
    <t>A coded domain value denoting a runway centre-line location role.</t>
  </si>
  <si>
    <t>Runway Designator Structured Text</t>
  </si>
  <si>
    <t>A structured text value specifying a runway designator.</t>
  </si>
  <si>
    <t>The structure is composed of the two digit runway identifier with suffix of 'L' (left), 'R' (right), 'C' (center) and if denoting both directions separated by a back slash ('\').</t>
  </si>
  <si>
    <t>Runway End Type Code</t>
  </si>
  <si>
    <t>A coded domain value denoting a runway end type.</t>
  </si>
  <si>
    <t>Runway Identifier - High End Structured Text</t>
  </si>
  <si>
    <t>A structured text value specifying a runway identifier - high end.</t>
  </si>
  <si>
    <t>A two-digit identifier ranging from 01-36, derived from the runway heading, rounded to the nearest ten degrees and divided by ten. For parallel runways a third character is added to differentiate between left (L), right (R), centre (C), or STOL (S) runway positions.</t>
  </si>
  <si>
    <t>Runway Identifier - Low End Structured Text</t>
  </si>
  <si>
    <t>A structured text value specifying a runway identifier - low end.</t>
  </si>
  <si>
    <t>Runway Visual Range Observation Site Code</t>
  </si>
  <si>
    <t>A coded domain value denoting a runway visual range observation site.</t>
  </si>
  <si>
    <t>Sand Dune Type Code</t>
  </si>
  <si>
    <t>A coded domain value denoting a sand dune type.</t>
  </si>
  <si>
    <t>Satellite Based Augmentation System (SBAS) Service Provider  Structured Text</t>
  </si>
  <si>
    <t>A structured text value specifying a Satellite Based Augmentation System (SBAS) service provider.</t>
  </si>
  <si>
    <t>A two digit value in the range '00' through '15'.</t>
  </si>
  <si>
    <t>Satellite Based Augmentation System Code</t>
  </si>
  <si>
    <t>A coded domain value denoting a satellite based augmentation system.</t>
  </si>
  <si>
    <t>Scene of Incident Code</t>
  </si>
  <si>
    <t>A coded domain value denoting a scene of incident type.</t>
  </si>
  <si>
    <t>Scrap Type Code</t>
  </si>
  <si>
    <t>A coded domain value denoting a scrap type.</t>
  </si>
  <si>
    <t>Sea Ice Type Code</t>
  </si>
  <si>
    <t>A coded domain value denoting a sea ice type.</t>
  </si>
  <si>
    <t>Seasonal Ice Limit Structured Text</t>
  </si>
  <si>
    <t>A structured text value specifying a seasonal ice limit.</t>
  </si>
  <si>
    <t>Formatted in accordance with ISO 8601:2000, 5.2.1.3 e, Basic format, as a specific month in the implied year, as '--MM' (for example: '--04' for the month of April).</t>
  </si>
  <si>
    <t>Secondary Structural Material Type Code</t>
  </si>
  <si>
    <t>A coded domain value denoting a secondary structural material type.</t>
  </si>
  <si>
    <t>Security Classification Authority Code</t>
  </si>
  <si>
    <t>A coded domain value denoting a security classification authority.</t>
  </si>
  <si>
    <t>Security Classification Code</t>
  </si>
  <si>
    <t>A coded domain value denoting a security classification.</t>
  </si>
  <si>
    <t>Security Facility Type Code</t>
  </si>
  <si>
    <t>A coded domain value denoting a security facility type.</t>
  </si>
  <si>
    <t>Sediment Colour Code</t>
  </si>
  <si>
    <t>A coded domain value denoting a sediment colour.</t>
  </si>
  <si>
    <t>Seismic Disturbance Type Code</t>
  </si>
  <si>
    <t>A coded domain value denoting a seismic disturbance type.</t>
  </si>
  <si>
    <t>Sensor Calibration Point Use Code</t>
  </si>
  <si>
    <t>A coded domain value denoting a sensor calibration point use.</t>
  </si>
  <si>
    <t>Sequence of a Signal Structured Text</t>
  </si>
  <si>
    <t>A structured text value specifying a sequence of a signal.</t>
  </si>
  <si>
    <t>Settlement Pattern Code</t>
  </si>
  <si>
    <t>A coded domain value denoting a settlement pattern.</t>
  </si>
  <si>
    <t>Settlement Service Life Code</t>
  </si>
  <si>
    <t>A coded domain value denoting a settlement service life.</t>
  </si>
  <si>
    <t>Severity of Hazard Code</t>
  </si>
  <si>
    <t>A coded domain value denoting a severity of hazard.</t>
  </si>
  <si>
    <t>Shaft Slope Orientation Code</t>
  </si>
  <si>
    <t>A coded domain value denoting a shaft slope orientation.</t>
  </si>
  <si>
    <t>Shed Type Code</t>
  </si>
  <si>
    <t>A coded domain value denoting a shed type.</t>
  </si>
  <si>
    <t>Shipping Container Type Code</t>
  </si>
  <si>
    <t>A coded domain value denoting a shipping container type.</t>
  </si>
  <si>
    <t>Shoreline Construction Type Code</t>
  </si>
  <si>
    <t>A coded domain value denoting a shoreline construction type.</t>
  </si>
  <si>
    <t>Shoreline Ramp Type Code</t>
  </si>
  <si>
    <t>A coded domain value denoting a shoreline ramp type.</t>
  </si>
  <si>
    <t>Shoreline Type Code</t>
  </si>
  <si>
    <t>A coded domain value denoting a shoreline type.</t>
  </si>
  <si>
    <t>Shoulder Type Code</t>
  </si>
  <si>
    <t>A coded domain value denoting a shoulder type.</t>
  </si>
  <si>
    <t>Sign Type Code</t>
  </si>
  <si>
    <t>A coded domain value denoting a sign type.</t>
  </si>
  <si>
    <t>Signal Group Pattern Structured Text</t>
  </si>
  <si>
    <t>A structured text value specifying a signal group pattern.</t>
  </si>
  <si>
    <t>The signal group of a light is encoded using curved brackets to separate the individual groups. A group of signals may be a single number, a chain of numbers separated by '+', a sequence of up to 4 letters or a letter and a number. Where no specific signal group is given for one of the light characteristics, this should be shown by an empty pair of brackets. A fixed light has no signal group. For example, for a Very Quick (6) and Long Flashing light the encoding is '(6)(1)' whereas as for a Fixed and Flashing light the encoding is '()(1)'.</t>
  </si>
  <si>
    <t>Significant Point Association Use in Airspace Code</t>
  </si>
  <si>
    <t>A coded domain value denoting a significant point association use in airspace.</t>
  </si>
  <si>
    <t>Significant Point Relative Location to Airspace Code</t>
  </si>
  <si>
    <t>A coded domain value denoting a significant point relative location to airspace.</t>
  </si>
  <si>
    <t>Sinking Method Code</t>
  </si>
  <si>
    <t>A coded domain value denoting a sinking method.</t>
  </si>
  <si>
    <t>Slaved Variation Date and Time Structured Text</t>
  </si>
  <si>
    <t>A structured text value specifying a slaved variation date and time.</t>
  </si>
  <si>
    <t>Small-scale Geomorphologic Type Code</t>
  </si>
  <si>
    <t>A coded domain value denoting a small-scale geomorphologic type.</t>
  </si>
  <si>
    <t>Soil Deterioration Cause Code</t>
  </si>
  <si>
    <t>A coded domain value denoting a soil deterioration cause.</t>
  </si>
  <si>
    <t>Soil Deterioration Type Code</t>
  </si>
  <si>
    <t>A coded domain value denoting a soil deterioration type.</t>
  </si>
  <si>
    <t>Soil Erosion Cause Code</t>
  </si>
  <si>
    <t>A coded domain value denoting a soil erosion cause.</t>
  </si>
  <si>
    <t>Soil Type Code</t>
  </si>
  <si>
    <t>A coded domain value denoting a soil type.</t>
  </si>
  <si>
    <t>Soil Unit Qualifier Code</t>
  </si>
  <si>
    <t>A coded domain value denoting a soil unit qualifier.</t>
  </si>
  <si>
    <t>Soil Wet Trafficability Type Code</t>
  </si>
  <si>
    <t>A coded domain value denoting a soil wet trafficability type.</t>
  </si>
  <si>
    <t>Soil Wetness Condition Code</t>
  </si>
  <si>
    <t>A coded domain value denoting a soil wetness condition.</t>
  </si>
  <si>
    <t>Sonar Contact Reflectivity Code</t>
  </si>
  <si>
    <t>A coded domain value denoting a sonar contact reflectivity.</t>
  </si>
  <si>
    <t>Sounding Datum Code</t>
  </si>
  <si>
    <t>A coded domain value denoting a sounding datum.</t>
  </si>
  <si>
    <t>Sounding Exposition Code</t>
  </si>
  <si>
    <t>A coded domain value denoting a sounding exposition.</t>
  </si>
  <si>
    <t>Sounding Velocity Correction Method Code</t>
  </si>
  <si>
    <t>A coded domain value denoting a sounding velocity correction method.</t>
  </si>
  <si>
    <t>Source Agency Structured Text</t>
  </si>
  <si>
    <t>A structured text value specifying a source agency.</t>
  </si>
  <si>
    <t>Two character code derived from ISO 3166 as specified in IHO S-57, Appendix A, Annex A.</t>
  </si>
  <si>
    <t>Source Category Code</t>
  </si>
  <si>
    <t>A coded domain value denoting a source category.</t>
  </si>
  <si>
    <t>Source Date and Time Structured Text</t>
  </si>
  <si>
    <t>A structured text value specifying a source date and time.</t>
  </si>
  <si>
    <t>Source of Report Code</t>
  </si>
  <si>
    <t>A coded domain value denoting a source of report.</t>
  </si>
  <si>
    <t>Source Type Code</t>
  </si>
  <si>
    <t>A coded domain value denoting a source type.</t>
  </si>
  <si>
    <t>Special Administrative Unit Code</t>
  </si>
  <si>
    <t>A coded domain value denoting a special administrative unit.</t>
  </si>
  <si>
    <t>Special Navigation Service Type Code</t>
  </si>
  <si>
    <t>A coded domain value denoting a special navigation service type.</t>
  </si>
  <si>
    <t>Special Navigation System Chain Identifier Structured Text</t>
  </si>
  <si>
    <t>A structured text value specifying a special navigation system chain identifier.</t>
  </si>
  <si>
    <t>Special Navigation System Type Code</t>
  </si>
  <si>
    <t>A coded domain value denoting a special navigation system type.</t>
  </si>
  <si>
    <t>Special Purpose Vehicle Type Code</t>
  </si>
  <si>
    <t>A coded domain value denoting a special purpose vehicle type.</t>
  </si>
  <si>
    <t>Specified Compliance Type Code</t>
  </si>
  <si>
    <t>A coded domain value denoting a specified compliance type.</t>
  </si>
  <si>
    <t>Specified Enumerant(s) Structured Text</t>
  </si>
  <si>
    <t>A structured text value specifying a set of pairs of attribute and enumerant value.</t>
  </si>
  <si>
    <t>A string containing zero or more parenthesis-enclosed ( '(' and ')' ) substrings separated by spaces (' '). Each substring consists of an attribute code followed by a colon ':' followed by the preferred name or description for the missing enumerant. The enumerant name or description may contain any character except the right-parenthesis ( ')' ).  The ordering of the substrings is not significant.  Each referenced attribute must be of type 'enumeration'.  For example, either of the strings '(cropSpecies:Kumquat) (cropSpecies:Okra) (farmingMethod:Organic Techniques)' or '(CSP:Kumquat) (CSP:Okra) (FMM:Organic Techniques)' could be used in the case that it is intended that two enumerant values be assigned to the 'Crop Species' attribute and one enumerant value be assigned to the 'Farming Method' attribute.</t>
  </si>
  <si>
    <t>Sport Type Code</t>
  </si>
  <si>
    <t>A coded domain value denoting a sport type.</t>
  </si>
  <si>
    <t>Standard Operating Times Code</t>
  </si>
  <si>
    <t>A coded domain value denoting a standard operating times.</t>
  </si>
  <si>
    <t>State Sea Relation Code</t>
  </si>
  <si>
    <t>A coded domain value denoting a state sea relation.</t>
  </si>
  <si>
    <t>Station Declination Date and Time Structured Text</t>
  </si>
  <si>
    <t>A structured text value specifying a station declination date and time.</t>
  </si>
  <si>
    <t>Statistical Geographic Area Type Code</t>
  </si>
  <si>
    <t>A coded domain category denoting a statistical geographic area type.</t>
  </si>
  <si>
    <t>Storage Facilities Available Code</t>
  </si>
  <si>
    <t>A coded domain value denoting a storage facilities available.</t>
  </si>
  <si>
    <t>Street Sign Type Code</t>
  </si>
  <si>
    <t>A coded domain value denoting a street sign type.</t>
  </si>
  <si>
    <t>Structural Material Type Code</t>
  </si>
  <si>
    <t>A coded domain value denoting a structural material type.</t>
  </si>
  <si>
    <t>Structure Shape Code</t>
  </si>
  <si>
    <t>A coded domain value denoting a structure shape.</t>
  </si>
  <si>
    <t>Submarine Acoustic Signal Type Code</t>
  </si>
  <si>
    <t>A coded domain value denoting a submarine acoustic signal type.</t>
  </si>
  <si>
    <t>Substation Type Code</t>
  </si>
  <si>
    <t>A coded domain value denoting a substation type.</t>
  </si>
  <si>
    <t>Subsurface Burial Process Code</t>
  </si>
  <si>
    <t>A coded domain value denoting a subsurface burial process.</t>
  </si>
  <si>
    <t>Surface Detection Station Type Code</t>
  </si>
  <si>
    <t>A coded domain value denoting a surface detection station type.</t>
  </si>
  <si>
    <t>Surface Material Type Code</t>
  </si>
  <si>
    <t>A coded domain value denoting a surface material type.</t>
  </si>
  <si>
    <t>Survey Control Point Type Code</t>
  </si>
  <si>
    <t>A coded domain value denoting a survey control point type.</t>
  </si>
  <si>
    <t>Survey Coverage Category Code</t>
  </si>
  <si>
    <t>A coded domain value denoting a survey coverage category.</t>
  </si>
  <si>
    <t>Survey Date Interval Structured Text</t>
  </si>
  <si>
    <t>A structured text value specifying a survey date interval.</t>
  </si>
  <si>
    <t>Survey Point Mark Code</t>
  </si>
  <si>
    <t>A coded domain value denoting a survey point mark type.</t>
  </si>
  <si>
    <t>Survey Point Type Code</t>
  </si>
  <si>
    <t>A coded domain value denoting a survey point type.</t>
  </si>
  <si>
    <t>Survey Technique Code</t>
  </si>
  <si>
    <t>A coded domain value denoting a survey technique.</t>
  </si>
  <si>
    <t>Swamp Type Code</t>
  </si>
  <si>
    <t>A coded domain value denoting a swamp type.</t>
  </si>
  <si>
    <t>Swept Mine Condition Code</t>
  </si>
  <si>
    <t>A coded domain value denoting a swept mine condition.</t>
  </si>
  <si>
    <t>Tactical Air Navigation Aid (TACAN) Channel Code</t>
  </si>
  <si>
    <t>A coded domain value denoting a tactical air navigation aid channel.</t>
  </si>
  <si>
    <t>Tactical Air Navigation Aid (TACAN) Component Code</t>
  </si>
  <si>
    <t>A coded domain value denoting a tactical air navigation aid component.</t>
  </si>
  <si>
    <t>Tactical Air Navigation Aid (TACAN) Component Limitation Code</t>
  </si>
  <si>
    <t>A coded domain value denoting a tactical air navigation aid component limitation.</t>
  </si>
  <si>
    <t>Tactical Formation Code</t>
  </si>
  <si>
    <t>A coded domain value denoting a tactical formation.</t>
  </si>
  <si>
    <t>Taxiway Type Code</t>
  </si>
  <si>
    <t>A coded domain value denoting a taxiway type.</t>
  </si>
  <si>
    <t>Tectonic Structure type Code</t>
  </si>
  <si>
    <t>A coded domain value denoting a tectonic structure type.</t>
  </si>
  <si>
    <t>Telescope Type Code</t>
  </si>
  <si>
    <t>A coded domain value denoting a telescope type.</t>
  </si>
  <si>
    <t>Terminal Arrival Altitude (TAA) Area Type Code</t>
  </si>
  <si>
    <t>A coded domain value denoting a terminal arrival altitude area type.</t>
  </si>
  <si>
    <t>Terminal Instrument Procedure Designator Structured Text</t>
  </si>
  <si>
    <t>A structured text value specifying a terminal instrument procedure designator.</t>
  </si>
  <si>
    <t>Six alphanumeric characters where alphabetic characters range from 'A' to 'Z' and numeric characters range from '0' to '9'. In the case of a Standard Instrument Arrival (STAR) or Standard Instrument Departure (SID) procedure the identifier consists of a 5 character component followed by a single character consisting of either a space (' ') or a letter from 'A' to 'Z' or digit from '0' to '9' used to discriminate cases of multiple procedure identifiers at an aerodrome that would otherwise be identical. In the case of a Standard Instrument Arrival (STAR) the identifier consists of the flight management system encoded designator (for example: 'GILMOR SIX ARRIVAL' becomes 'GQE6'). In all cases 'runway' is abbreviated as 'RW' (for example 'RWY 34' becomes 'RW34'). If no encoded designator is provided by the appropriate authority then the full terminal instrument procedure identification is used as the identifier if five or less characters in length (the result being right-padded to 5 characters using the space (' ')), else the full identification is truncated from right-to-left to 5 characters, retaining the suffix character (discriminating cases of multiple otherwise-identical procedure identifiers) as the sixth character if indicated. In the case of an approach procedure the identifier consists of up to 5 characters followed by a single character consisting of a space (' '). The first character is the segment type (for example: 'I' = ILS, 'V' = VOR, 'N' = NDB) followed by the identifier of the primary runway served by the procedure (a two digit identifier with a suffix of 'L' (left), 'R' (right), 'C' (center)) followed by a space (' '). For example: 'ILS Runway 7L' becomes 'I07L  ' (note spaces). In the case of a circling approach, the type of primary navigational aid followed by the circling identification character is used. For example: 'VOR-A' becomes 'VVORA ' (note space).</t>
  </si>
  <si>
    <t>Terminal Instrument Procedure Identification Structured Text</t>
  </si>
  <si>
    <t>A structured text value specifying a terminal instrument procedure identification.</t>
  </si>
  <si>
    <t>Twenty-one alphanumeric characters where alphabetic characters range from 'A' to 'Z', numeric characters range from '0' to '9', and the hyphen, dash, or minus sign ('-') is included. The full name is constructed by: (a) eliminating words or abbreviations such as 'departure' and 'arrivals'; (b) eliminating city names and names of airports or heliports; and (c) numbers are converted to integers (for example: 'three' becomes '3').</t>
  </si>
  <si>
    <t>Terminal Instrument Procedure Transition Identification Structured Text</t>
  </si>
  <si>
    <t>A structured text value specifying a transition identification.</t>
  </si>
  <si>
    <t>A five character string composed of alpha-numeric characters in the range '0' to '9' and 'A' to 'Z', plus the space character (' ') which may only be used to pad the rightmost portion of the string in the case that the transition identification uses fewer than five characters. For example: 'RW09', 'BF   ' (note spaces), 'TOXEV', 'REXAR', 'YXX01', and 'ALL  ' (note spaces).</t>
  </si>
  <si>
    <t>Terrain Face Type Code</t>
  </si>
  <si>
    <t>A coded domain value denoting a terrain face type.</t>
  </si>
  <si>
    <t>Terrain Morphology Code</t>
  </si>
  <si>
    <t>A coded domain value denoting a terrain morphology.</t>
  </si>
  <si>
    <t>Territory Special Status Type Code</t>
  </si>
  <si>
    <t>A coded domain value denoting a territory special status type.</t>
  </si>
  <si>
    <t>Tertiary Structural Material Type Code</t>
  </si>
  <si>
    <t>A coded domain value denoting a tertiary structural material type.</t>
  </si>
  <si>
    <t>A text domain value that has no restrictions on lexicality or length.</t>
  </si>
  <si>
    <t>The domain of values is a character string. For example: Golden Gate Bridge.</t>
  </si>
  <si>
    <t>text</t>
  </si>
  <si>
    <t>The realization of this text datatype is implementation-dependent.</t>
  </si>
  <si>
    <t>Text: Lexical; 128 characters</t>
  </si>
  <si>
    <t>A text domain value that may contain lexical characters and is 128 characters in maximum length.</t>
  </si>
  <si>
    <t>Text: Lexical; 132 characters</t>
  </si>
  <si>
    <t>A text domain value that may contain lexical characters and is 132 characters in maximum length.</t>
  </si>
  <si>
    <t>Text: Lexical; 200 characters</t>
  </si>
  <si>
    <t>A text domain value that may contain lexical characters and is 200 characters in maximum length.</t>
  </si>
  <si>
    <t>Text: Lexical; 24 characters</t>
  </si>
  <si>
    <t>A text domain value that may contain lexical characters and is 24 characters in maximum length.</t>
  </si>
  <si>
    <t>Text: Lexical; 255 characters</t>
  </si>
  <si>
    <t>A text domain value that may contain lexical characters and is 255 characters in maximum length.</t>
  </si>
  <si>
    <t>Text: Lexical; 4095 characters</t>
  </si>
  <si>
    <t>A text domain value that may contain lexical characters and is 4095 characters in maximum length.</t>
  </si>
  <si>
    <t>Text: Lexical; 80 characters</t>
  </si>
  <si>
    <t>A text domain value that may contain lexical characters and is 80 characters in maximum length.</t>
  </si>
  <si>
    <t>Text: Lexical; unconstrained</t>
  </si>
  <si>
    <t>A text domain value that may contain lexical characters and is unconstrained in length.</t>
  </si>
  <si>
    <t>Text: Non-lexical; 10 characters</t>
  </si>
  <si>
    <t>A text domain value that contains only non-lexical characters and is 10 characters in maximum length.</t>
  </si>
  <si>
    <t>Text: Non-lexical; 128 characters</t>
  </si>
  <si>
    <t>A text domain value that contains only non-lexical characters and is 128 characters in maximum length.</t>
  </si>
  <si>
    <t>Text: Non-lexical; 200 characters</t>
  </si>
  <si>
    <t>A text domain value that contains only non-lexical characters and is 200 characters in maximum length.</t>
  </si>
  <si>
    <t>Text: Non-lexical; 22 characters</t>
  </si>
  <si>
    <t>A text domain value that contains only non-lexical characters and is 22 characters in maximum length.</t>
  </si>
  <si>
    <t>Text: Non-lexical; 38 characters</t>
  </si>
  <si>
    <t>A text domain value that contains only non-lexical characters and is 38 characters in maximum length.</t>
  </si>
  <si>
    <t>Text: Non-lexical; 50 characters</t>
  </si>
  <si>
    <t>A text domain value that contains only non-lexical characters and is 50 characters in maximum length.</t>
  </si>
  <si>
    <t>Text: Non-lexical; 60 characters</t>
  </si>
  <si>
    <t>A text domain value that contains only non-lexical characters and is 60 characters in maximum length.</t>
  </si>
  <si>
    <t>Text: Non-lexical; 80 characters</t>
  </si>
  <si>
    <t>A text domain value that contains only non-lexical characters and is 80 characters in maximum length.</t>
  </si>
  <si>
    <t>Text: Non-lexical; unconstrained</t>
  </si>
  <si>
    <t>A text domain value that contains only non-lexical characters and is unconstrained in length.</t>
  </si>
  <si>
    <t>Thematic Classification Code</t>
  </si>
  <si>
    <t>A coded domain value denoting a thematic classification.</t>
  </si>
  <si>
    <t>Thoroughfare Class Code</t>
  </si>
  <si>
    <t>A coded domain value denoting a thoroughfare class.</t>
  </si>
  <si>
    <t>Thoroughfare Type Code</t>
  </si>
  <si>
    <t>A coded domain value denoting a thoroughfare type.</t>
  </si>
  <si>
    <t>Thoroughfare Use Code</t>
  </si>
  <si>
    <t>A coded domain value denoting a thoroughfare use.</t>
  </si>
  <si>
    <t>Thrust Augmentation Fluid Type Code</t>
  </si>
  <si>
    <t>A coded domain value denoting a thrust augmentation fluid type.</t>
  </si>
  <si>
    <t>Tidal Coast Type Code</t>
  </si>
  <si>
    <t>A coded domain value denoting a tidal coast type.</t>
  </si>
  <si>
    <t>Tide Category Code</t>
  </si>
  <si>
    <t>A coded domain value denoting a tide category.</t>
  </si>
  <si>
    <t>Tomb Type Code</t>
  </si>
  <si>
    <t>A coded domain value denoting a tomb type.</t>
  </si>
  <si>
    <t>Topmark Shape Code</t>
  </si>
  <si>
    <t>A coded domain value denoting a topmark shape.</t>
  </si>
  <si>
    <t>Topographic Location Code</t>
  </si>
  <si>
    <t>A coded domain value denoting a topographic location.</t>
  </si>
  <si>
    <t>Touchdown and Lift-off Area (TLOF) Designator Structured Text</t>
  </si>
  <si>
    <t>A structured text value specifying a touchdown and lift-off area designator.</t>
  </si>
  <si>
    <t>Tower Shape Code</t>
  </si>
  <si>
    <t>A coded domain value denoting a tower shape.</t>
  </si>
  <si>
    <t>Tower Type Code</t>
  </si>
  <si>
    <t>A coded domain value denoting a tower type.</t>
  </si>
  <si>
    <t>Track Type Code</t>
  </si>
  <si>
    <t>A coded domain value denoting a track type.</t>
  </si>
  <si>
    <t>Traffic Flow Code</t>
  </si>
  <si>
    <t>A coded domain value denoting a traffic flow.</t>
  </si>
  <si>
    <t>Traffic Monitor Type Code</t>
  </si>
  <si>
    <t>A coded domain category denoting a traffic monitor type.</t>
  </si>
  <si>
    <t>Traffic Restriction Type Code</t>
  </si>
  <si>
    <t>A coded domain value denoting a traffic restriction type.</t>
  </si>
  <si>
    <t>Traffic Signal Station Type Code</t>
  </si>
  <si>
    <t>A coded domain value denoting a traffic signal station type.</t>
  </si>
  <si>
    <t>Transportation Block Type Code</t>
  </si>
  <si>
    <t>A coded domain value denoting a transportation block type.</t>
  </si>
  <si>
    <t>Transportation Facility Type Code</t>
  </si>
  <si>
    <t>A coded domain value denoting a transportation facility type.</t>
  </si>
  <si>
    <t>Transportation Route Construction Effect Code</t>
  </si>
  <si>
    <t>A coded domain value denoting a transportation route construction effect.</t>
  </si>
  <si>
    <t>Transportation Route Protection Shelter Type Code</t>
  </si>
  <si>
    <t>A coded domain value denoting a transportation route protection shelter type.</t>
  </si>
  <si>
    <t>Transportation System Type Code</t>
  </si>
  <si>
    <t>A coded domain value denoting a transportation system type.</t>
  </si>
  <si>
    <t>Transportation Use Code</t>
  </si>
  <si>
    <t>A coded domain value denoting a transportation use.</t>
  </si>
  <si>
    <t>Turn Direction Code</t>
  </si>
  <si>
    <t>A coded domain value denoting a turn direction.</t>
  </si>
  <si>
    <t>Type of Control Station Code</t>
  </si>
  <si>
    <t>A coded domain value denoting a type of control station.</t>
  </si>
  <si>
    <t>Underground Access Orientation Code</t>
  </si>
  <si>
    <t>A coded domain value denoting an underground access orientation.</t>
  </si>
  <si>
    <t>Underground Mine Access Code</t>
  </si>
  <si>
    <t>A coded domain value denoting a underground mine access.</t>
  </si>
  <si>
    <t>Underground Storage Formation Type Code</t>
  </si>
  <si>
    <t>A coded domain category denoting an underground storage formation type.</t>
  </si>
  <si>
    <t>Unique Feature Identifier Structured Text</t>
  </si>
  <si>
    <t>A structured text value specifying a unique feature identifier.</t>
  </si>
  <si>
    <t>Structured in accordance with IETF RFC2141 (URN Syntax); the namespace is managed by the NGA National Center for Geospatial Intelligence Standards (NCGIS).</t>
  </si>
  <si>
    <t>United Nations Activity Code</t>
  </si>
  <si>
    <t>A coded domain value denoting a United Nations activity.</t>
  </si>
  <si>
    <t>United Nations Mission Code</t>
  </si>
  <si>
    <t>A coded domain value denoting a United Nations mission.</t>
  </si>
  <si>
    <t>Universal Unique Identifier Structured Text</t>
  </si>
  <si>
    <t>A structured text value specifying a Universal Unique Identifier (UUID).</t>
  </si>
  <si>
    <t>The character-array representation of a Universal Unique Identifier (UUID), composed of five fields of hexadecimal characters. Each field has a fixed length, and fields are separated by the hyphen character, for a total of 36 characters.</t>
  </si>
  <si>
    <t>Urban Land Use Code</t>
  </si>
  <si>
    <t>A coded domain value denoting an urban land use.</t>
  </si>
  <si>
    <t>Utility Facility Type Code</t>
  </si>
  <si>
    <t>A coded domain value denoting a utility facility type.</t>
  </si>
  <si>
    <t>Vegetation Characteristic Code</t>
  </si>
  <si>
    <t>A coded domain value denoting a vegetation characteristic.</t>
  </si>
  <si>
    <t>Vegetation Species Code</t>
  </si>
  <si>
    <t>A coded domain value denoting a vegetation species.</t>
  </si>
  <si>
    <t>Vehicle Type Code</t>
  </si>
  <si>
    <t>A coded domain value denoting a vehicle type.</t>
  </si>
  <si>
    <t>Vertical Clearance Reference Code</t>
  </si>
  <si>
    <t>A coded domain value denoting a vertical clearance reference.</t>
  </si>
  <si>
    <t>Vertical Datum Code</t>
  </si>
  <si>
    <t>A coded domain value denoting a vertical datum.</t>
  </si>
  <si>
    <t>Vertical Distance Reference Code</t>
  </si>
  <si>
    <t>A coded domain value denoting a vertical distance reference.</t>
  </si>
  <si>
    <t>Vertical Obstruction Identifier Structured Text</t>
  </si>
  <si>
    <t>A structured text value specifying a vertical obstruction identifier.</t>
  </si>
  <si>
    <t>An eleven character code consisting of four blocks of information as follows: Positions 1-2, the FIPS 10-4 two-character Country Code; Positions 3-6, a World Aeronautical Chart (WAC) Identifier; Positions 7-10, a Unique Obstruction Identification consisting of a four-digit (0001-9999) number; Position 11, an alphanumeric Producer Code.</t>
  </si>
  <si>
    <t>Vertical Relative Location Code</t>
  </si>
  <si>
    <t>A coded domain value denoting a vertical relative location.</t>
  </si>
  <si>
    <t>Vertical Source Category Code</t>
  </si>
  <si>
    <t>A coded domain value denoting a vertical source category.</t>
  </si>
  <si>
    <t>Vessel Boarding Method Code</t>
  </si>
  <si>
    <t>A coded domain value denoting a vessel boarding method.</t>
  </si>
  <si>
    <t>Vessel Boarding Point Code</t>
  </si>
  <si>
    <t>A coded domain value denoting a vessel boarding point.</t>
  </si>
  <si>
    <t>Vessel Type Code</t>
  </si>
  <si>
    <t>A coded domain value denoting a vessel type.</t>
  </si>
  <si>
    <t>VHF Omnidirectional Radio Beacon (VOR) Type Code</t>
  </si>
  <si>
    <t>A coded domain value denoting a VHF omnidirectional radio beacon type.</t>
  </si>
  <si>
    <t>Victim Vessel Outcome Code</t>
  </si>
  <si>
    <t>A coded domain value denoting a victim vessel outcome.</t>
  </si>
  <si>
    <t>Victim Vessel Status Code</t>
  </si>
  <si>
    <t>A coded domain value denoting a victim vessel status.</t>
  </si>
  <si>
    <t>Victim Vessel Type Code</t>
  </si>
  <si>
    <t>A coded domain value denoting a victim vessel type.</t>
  </si>
  <si>
    <t>Visual Aids Category Code</t>
  </si>
  <si>
    <t>A coded domain value denoting a visual aids category.</t>
  </si>
  <si>
    <t>Visual Approach Slope Indicator System (VASIS) Type Code</t>
  </si>
  <si>
    <t>A coded domain value denoting a visual approach slope indicator system type.</t>
  </si>
  <si>
    <t>Visual Flight Rules (VFR) Pattern Direction Code</t>
  </si>
  <si>
    <t>A coded domain value denoting a visual flight rules pattern direction.</t>
  </si>
  <si>
    <t>Void Collection Reason Code</t>
  </si>
  <si>
    <t>A coded domain value denoting a void collection reason.</t>
  </si>
  <si>
    <t>Void Collection Type Code</t>
  </si>
  <si>
    <t>A coded domain value denoting a void collection type.</t>
  </si>
  <si>
    <t>Volcanic Activity Code</t>
  </si>
  <si>
    <t>A coded domain value denoting a volcanic activity.</t>
  </si>
  <si>
    <t>Volcanic Explosivity Index Code</t>
  </si>
  <si>
    <t>A coded domain category denoting a volcanic explosivity index.</t>
  </si>
  <si>
    <t>Volcanic Lava Composition Code</t>
  </si>
  <si>
    <t>A coded domain value denoting a volcanic lava composition.</t>
  </si>
  <si>
    <t>Volcanic Phenomena Type Code</t>
  </si>
  <si>
    <t>A coded domain value denoting a volcanic phenomena type.</t>
  </si>
  <si>
    <t>Volcano Shape Code</t>
  </si>
  <si>
    <t>A coded domain value denoting a volcano shape.</t>
  </si>
  <si>
    <t>Wall Type Code</t>
  </si>
  <si>
    <t>A coded domain value denoting a wall type.</t>
  </si>
  <si>
    <t>A coded domain value denoting a water column forel color.</t>
  </si>
  <si>
    <t>Water Gate Type Code</t>
  </si>
  <si>
    <t>A coded domain value denoting a water gate type.</t>
  </si>
  <si>
    <t>Water Level Effect Code</t>
  </si>
  <si>
    <t>A coded domain value denoting a water level effect.</t>
  </si>
  <si>
    <t>Water Potability Code</t>
  </si>
  <si>
    <t>A coded domain value denoting a water potability.</t>
  </si>
  <si>
    <t>Water Protection Class Code</t>
  </si>
  <si>
    <t>A coded domain value denoting a water protection class.</t>
  </si>
  <si>
    <t>Water Race Type Code</t>
  </si>
  <si>
    <t>A coded domain value denoting a water race type.</t>
  </si>
  <si>
    <t>Water Supply Importance Code</t>
  </si>
  <si>
    <t>A coded domain value denoting a water supply importance.</t>
  </si>
  <si>
    <t>Water Turbulence Type Code</t>
  </si>
  <si>
    <t>A coded domain value denoting a water turbulence type.</t>
  </si>
  <si>
    <t>Water Type Code</t>
  </si>
  <si>
    <t>A coded domain value denoting a water type.</t>
  </si>
  <si>
    <t>Water Use Code</t>
  </si>
  <si>
    <t>A coded domain value denoting a water use.</t>
  </si>
  <si>
    <t>Waterbody Bottom Hardness Code</t>
  </si>
  <si>
    <t>A coded domain value denoting a waterbody bottom hardness.</t>
  </si>
  <si>
    <t>Waterbody Morphology Code</t>
  </si>
  <si>
    <t>A coded domain value denoting a waterbody morphology.</t>
  </si>
  <si>
    <t>Watercourse Channel Type Code</t>
  </si>
  <si>
    <t>A coded domain value denoting a watercourse channel type.</t>
  </si>
  <si>
    <t>Watercourse Morphology Code</t>
  </si>
  <si>
    <t>A coded domain value denoting a watercourse morphology.</t>
  </si>
  <si>
    <t>Watercourse Sink Type Code</t>
  </si>
  <si>
    <t>A coded domain value denoting a watercourse sink type.</t>
  </si>
  <si>
    <t>Waterway Classification Code</t>
  </si>
  <si>
    <t>A coded domain value denoting a waterway classification.</t>
  </si>
  <si>
    <t>Waterway Maintenance Status Code</t>
  </si>
  <si>
    <t>A coded domain value denoting a waterway maintenance status.</t>
  </si>
  <si>
    <t>Way-point Class Code</t>
  </si>
  <si>
    <t>A coded domain value denoting a way-point class.</t>
  </si>
  <si>
    <t>Way-point Type Code</t>
  </si>
  <si>
    <t>A coded domain value denoting a way-point type.</t>
  </si>
  <si>
    <t>Way-point Usage Code</t>
  </si>
  <si>
    <t>A coded domain value denoting a way-point usage.</t>
  </si>
  <si>
    <t>Weapon Storage Type Code</t>
  </si>
  <si>
    <t>A coded domain value denoting a weapon storage type.</t>
  </si>
  <si>
    <t>Weapon System Category Code</t>
  </si>
  <si>
    <t>A coded domain value denoting a weapon system category.</t>
  </si>
  <si>
    <t>Weapons Range Type Code</t>
  </si>
  <si>
    <t>A coded domain value denoting a weapons range type.</t>
  </si>
  <si>
    <t>Weather Restriction Type Code</t>
  </si>
  <si>
    <t>A coded domain value denoting a weather restriction type.</t>
  </si>
  <si>
    <t>Weight Restriction Reason Code</t>
  </si>
  <si>
    <t>A coded domain value denoting a weight restriction reason.</t>
  </si>
  <si>
    <t>Well Equipment Code</t>
  </si>
  <si>
    <t>A coded domain value denoting a well equipment.</t>
  </si>
  <si>
    <t>Well Type Code</t>
  </si>
  <si>
    <t>A coded domain value denoting a well type.</t>
  </si>
  <si>
    <t>Wellbore Injection Material Code</t>
  </si>
  <si>
    <t>A coded domain category denoting a wellbore injection material.</t>
  </si>
  <si>
    <t>Wellbore Status Code</t>
  </si>
  <si>
    <t>A coded domain category denoting a wellbore status.</t>
  </si>
  <si>
    <t>Wetland Type Code</t>
  </si>
  <si>
    <t>A coded domain value denoting a wetland type.</t>
  </si>
  <si>
    <t>Wind Direction Indicator Type Code</t>
  </si>
  <si>
    <t>A coded domain value denoting a wind direction indicator type.</t>
  </si>
  <si>
    <t>Wireless Telecommunication Type Code</t>
  </si>
  <si>
    <t>A coded domain value denoting a wireless telecommunication type.</t>
  </si>
  <si>
    <t>World Aeronautical Chart Identifier Structured Text</t>
  </si>
  <si>
    <t>A structured text value specifying a World Aeronautical Chart (WAC) identifier.</t>
  </si>
  <si>
    <t>A four-character alphanumeric code consisting of either a 4-digit numeric value in the range 0000 through 1851, or one of the two-character values: '1A','1B', '1C', '1D', '1E', or '1F'.</t>
  </si>
  <si>
    <t>Wreck or Hulk Exposure Code</t>
  </si>
  <si>
    <t>A coded domain value denoting a wreck or hulk exposure.</t>
  </si>
  <si>
    <t>Wreck Status Code</t>
  </si>
  <si>
    <t>A coded domain value denoting a wreck status.</t>
  </si>
  <si>
    <t>Datatype
[Short Name]</t>
  </si>
  <si>
    <t>Field
[Short Name]</t>
  </si>
  <si>
    <t>analystEstimate</t>
  </si>
  <si>
    <t>Analyst Estimate</t>
  </si>
  <si>
    <t>Estimate based on analyst familiarity.</t>
  </si>
  <si>
    <t>AhmCode_analystEstimate</t>
  </si>
  <si>
    <t>digitalProductWithoutMeth</t>
  </si>
  <si>
    <t>Digital Product without Method</t>
  </si>
  <si>
    <t>Digital product, no evaluation method available.</t>
  </si>
  <si>
    <t>AhmCode_digitalProductWithoutMeth</t>
  </si>
  <si>
    <t>errorBudgetEvaluation</t>
  </si>
  <si>
    <t>Error Budget Evaluation</t>
  </si>
  <si>
    <t>Error budget evaluation (production data).</t>
  </si>
  <si>
    <t>AhmCode_errorBudgetEvaluation</t>
  </si>
  <si>
    <t>evaluationDeferred</t>
  </si>
  <si>
    <t>Evaluation Deferred</t>
  </si>
  <si>
    <t>Evaluation deferred (no measurement).</t>
  </si>
  <si>
    <t>AhmCode_evaluationDeferred</t>
  </si>
  <si>
    <t>extrapolation</t>
  </si>
  <si>
    <t>Extrapolation</t>
  </si>
  <si>
    <t>Extrapolation.</t>
  </si>
  <si>
    <t>AhmCode_extrapolation</t>
  </si>
  <si>
    <t>geodeticSurveyAdequate</t>
  </si>
  <si>
    <t>Geodetic Survey Adequate</t>
  </si>
  <si>
    <t>Geodetic survey control - adequate sample.</t>
  </si>
  <si>
    <t>AhmCode_geodeticSurveyAdequate</t>
  </si>
  <si>
    <t>geodeticSurveySmall</t>
  </si>
  <si>
    <t>Geodetic Survey Small</t>
  </si>
  <si>
    <t>Geodetic survey control - small sample.</t>
  </si>
  <si>
    <t>AhmCode_geodeticSurveySmall</t>
  </si>
  <si>
    <t>insufficientControl</t>
  </si>
  <si>
    <t>Insufficient Control</t>
  </si>
  <si>
    <t>Insufficient control presently available to perform metric evaluation - assumed adequate sample.</t>
  </si>
  <si>
    <t>AhmCode_insufficientControl</t>
  </si>
  <si>
    <t>insufficientGraticule</t>
  </si>
  <si>
    <t>Insufficient Graticule</t>
  </si>
  <si>
    <t>Insufficient graticule for metric evaluation - assumed small sample.</t>
  </si>
  <si>
    <t>AhmCode_insufficientGraticule</t>
  </si>
  <si>
    <t>insufficientIdentFeatures</t>
  </si>
  <si>
    <t>Insufficient Identifiable Features</t>
  </si>
  <si>
    <t>Insufficient identifiable map features for metric evaluation - assumed adequate sample.</t>
  </si>
  <si>
    <t>AhmCode_insufficientIdentFeatures</t>
  </si>
  <si>
    <t>oldEvaluation</t>
  </si>
  <si>
    <t>Old Evaluation</t>
  </si>
  <si>
    <t>Very old evaluation of unknown origin.</t>
  </si>
  <si>
    <t>AhmCode_oldEvaluation</t>
  </si>
  <si>
    <t>photogrammAdequate</t>
  </si>
  <si>
    <t>Photogrammetric Adequate</t>
  </si>
  <si>
    <t>Photogrammetric control - adequate sample.</t>
  </si>
  <si>
    <t>AhmCode_photogrammAdequate</t>
  </si>
  <si>
    <t>photogrammGdasAdequate</t>
  </si>
  <si>
    <t>Photogrammetric GDAS Adequate</t>
  </si>
  <si>
    <t>Photogrammetric control (GDAS II) - adequate sample.</t>
  </si>
  <si>
    <t>The Geodetic Data Assessment System (GDAS) was a US system used to evaluate the accuracy of hardcopy products; it has been retired.</t>
  </si>
  <si>
    <t>AhmCode_photogrammGdasAdequate</t>
  </si>
  <si>
    <t>photogrammGdasSmall</t>
  </si>
  <si>
    <t>Photogrammetric GDAS Small</t>
  </si>
  <si>
    <t>Photogrammetric control (GDAS II) - small sample.</t>
  </si>
  <si>
    <t>AhmCode_photogrammGdasSmall</t>
  </si>
  <si>
    <t>photogrammNonGdasAdequate</t>
  </si>
  <si>
    <t>Photogrammetric non-GDAS Adequate</t>
  </si>
  <si>
    <t>Photogrammetric control (IEC, FPE) - adequate sample.</t>
  </si>
  <si>
    <t>AhmCode_photogrammNonGdasAdequate</t>
  </si>
  <si>
    <t>photogrammNonGdasSmall</t>
  </si>
  <si>
    <t>Photogrammetric non-GDAS Small</t>
  </si>
  <si>
    <t>Photogrammetric control (IEC, FPE) - small sample.</t>
  </si>
  <si>
    <t>AhmCode_photogrammNonGdasSmall</t>
  </si>
  <si>
    <t>photogrammSmall</t>
  </si>
  <si>
    <t>Photogrammetric Small</t>
  </si>
  <si>
    <t>Photogrammetric control - small sample.</t>
  </si>
  <si>
    <t>AhmCode_photogrammSmall</t>
  </si>
  <si>
    <t>photogrammWithBias</t>
  </si>
  <si>
    <t>Photogrammetric with Bias</t>
  </si>
  <si>
    <t>Photogrammetric control, however only old statistics are available and unable to convert to 'Photogrammetric GDASII Adequate' (ANA) due to significant bias.</t>
  </si>
  <si>
    <t>AhmCode_photogrammWithBias</t>
  </si>
  <si>
    <t>postProductionSampling</t>
  </si>
  <si>
    <t>Post-Production Sampling</t>
  </si>
  <si>
    <t>Results from a large sampling of post-production evaluations that are similar in compilation or specification.</t>
  </si>
  <si>
    <t>AhmCode_postProductionSampling</t>
  </si>
  <si>
    <t>productSpecification</t>
  </si>
  <si>
    <t>Product Specification</t>
  </si>
  <si>
    <t>Product specification accuracy value - assumed adequate sample.</t>
  </si>
  <si>
    <t>AhmCode_productSpecification</t>
  </si>
  <si>
    <t>scaleTooSmall</t>
  </si>
  <si>
    <t>Scale Too Small</t>
  </si>
  <si>
    <t>Scale too small (less than 1:300,000) to perform metric evaluation on GDAS systems - assumed adequate sample.</t>
  </si>
  <si>
    <t>AhmCode_scaleTooSmall</t>
  </si>
  <si>
    <t>sourceAccuracy</t>
  </si>
  <si>
    <t>Source Accuracy</t>
  </si>
  <si>
    <t>Accuracy evaluation printed on the map sheet or the evaluation was derived from source accuracy.</t>
  </si>
  <si>
    <t>AhmCode_sourceAccuracy</t>
  </si>
  <si>
    <t>unableToPerformEvaluation</t>
  </si>
  <si>
    <t>Unable to Perform Evaluation</t>
  </si>
  <si>
    <t>Unable to perform metric evaluation for reasons other than 'Scale Too Small' (EZM), 'Insufficient Graticule' (EZG), 'Insufficient Identifiable Features' (AZF), or 'Insufficient Control' (AZE) - assumed adequate sample.</t>
  </si>
  <si>
    <t>AhmCode_unableToPerformEvaluation</t>
  </si>
  <si>
    <t>AvmCode_analystEstimate</t>
  </si>
  <si>
    <t>AvmCode_digitalProductWithoutMeth</t>
  </si>
  <si>
    <t>AvmCode_errorBudgetEvaluation</t>
  </si>
  <si>
    <t>AvmCode_evaluationDeferred</t>
  </si>
  <si>
    <t>AvmCode_extrapolation</t>
  </si>
  <si>
    <t>AvmCode_geodeticSurveyAdequate</t>
  </si>
  <si>
    <t>AvmCode_geodeticSurveySmall</t>
  </si>
  <si>
    <t>AvmCode_insufficientControl</t>
  </si>
  <si>
    <t>AvmCode_insufficientGraticule</t>
  </si>
  <si>
    <t>AvmCode_insufficientIdentFeatures</t>
  </si>
  <si>
    <t>AvmCode_oldEvaluation</t>
  </si>
  <si>
    <t>AvmCode_photogrammAdequate</t>
  </si>
  <si>
    <t>AvmCode_photogrammGdasAdequate</t>
  </si>
  <si>
    <t>AvmCode_photogrammGdasSmall</t>
  </si>
  <si>
    <t>AvmCode_photogrammNonGdasAdequate</t>
  </si>
  <si>
    <t>AvmCode_photogrammNonGdasSmall</t>
  </si>
  <si>
    <t>AvmCode_photogrammSmall</t>
  </si>
  <si>
    <t>AvmCode_photogrammWithBias</t>
  </si>
  <si>
    <t>AvmCode_postProductionSampling</t>
  </si>
  <si>
    <t>AvmCode_productSpecification</t>
  </si>
  <si>
    <t>AvmCode_scaleTooSmall</t>
  </si>
  <si>
    <t>AvmCode_sourceAccuracy</t>
  </si>
  <si>
    <t>AvmCode_unableToPerformEvaluation</t>
  </si>
  <si>
    <t>closed</t>
  </si>
  <si>
    <t>Closed</t>
  </si>
  <si>
    <t>Access is officially prohibited.</t>
  </si>
  <si>
    <t>May be covered and/or blocked by a physical barrier.</t>
  </si>
  <si>
    <t>AcsCode_closed</t>
  </si>
  <si>
    <t>limited</t>
  </si>
  <si>
    <t>Limited</t>
  </si>
  <si>
    <t>A limitation on access, but not function, has been imposed.</t>
  </si>
  <si>
    <t>Not necessarily enforced by a physical barrier.</t>
  </si>
  <si>
    <t>AcsCode_limited</t>
  </si>
  <si>
    <t>locked</t>
  </si>
  <si>
    <t>Locked</t>
  </si>
  <si>
    <t>Access is prevented by a physical barrier, requiring special means to pass (for example: a key).</t>
  </si>
  <si>
    <t>AcsCode_locked</t>
  </si>
  <si>
    <t>lockedClosed</t>
  </si>
  <si>
    <t>Locked Closed</t>
  </si>
  <si>
    <t>Access is officially prohibited and is restricted by a physical barrier, requiring special means to pass (for example: a key).</t>
  </si>
  <si>
    <t>AcsCode_lockedClosed</t>
  </si>
  <si>
    <t>lockedOpen</t>
  </si>
  <si>
    <t>Locked Open</t>
  </si>
  <si>
    <t>Access is officially allowed although restricted by a physical barrier that is currently open, requiring special means to close and prevent future passage (for example: a key).</t>
  </si>
  <si>
    <t>AcsCode_lockedOpen</t>
  </si>
  <si>
    <t>open</t>
  </si>
  <si>
    <t>Open</t>
  </si>
  <si>
    <t>Access is officially allowed.</t>
  </si>
  <si>
    <t>May be covered and/or blocked by a physical barrier that is temporarily passable.</t>
  </si>
  <si>
    <t>AcsCode_open</t>
  </si>
  <si>
    <t>restricted</t>
  </si>
  <si>
    <t>Restricted</t>
  </si>
  <si>
    <t>Access is officially allowed although a limitation on function has been imposed.</t>
  </si>
  <si>
    <t>AcsCode_restricted</t>
  </si>
  <si>
    <t>cableTelevision</t>
  </si>
  <si>
    <t>Cable Television</t>
  </si>
  <si>
    <t>An electrical cable that transmits television signals.</t>
  </si>
  <si>
    <t>UtyCode_cableTelevision</t>
  </si>
  <si>
    <t>coolingFluidCirculation</t>
  </si>
  <si>
    <t>Cooling Fluid Circulation</t>
  </si>
  <si>
    <t>A pipe that carries coolant or refrigerant that is circulated to remove heat.</t>
  </si>
  <si>
    <t>UtyCode_coolingFluidCirculation</t>
  </si>
  <si>
    <t>digitalFibreOpticSystem</t>
  </si>
  <si>
    <t>Digital Fibre-optic System</t>
  </si>
  <si>
    <t>A cable that transmits digital signals using optical fibres.</t>
  </si>
  <si>
    <t>UtyCode_digitalFibreOpticSystem</t>
  </si>
  <si>
    <t>electricPowerDistribution</t>
  </si>
  <si>
    <t>Electric Power Distribution</t>
  </si>
  <si>
    <t>A heavy electrical cable that distributes electrical power.</t>
  </si>
  <si>
    <t>UtyCode_electricPowerDistribution</t>
  </si>
  <si>
    <t>heatingFluidCirculation</t>
  </si>
  <si>
    <t>Heating Fluid Circulation</t>
  </si>
  <si>
    <t>A pipe that carries steam and/or hot water that is circulated to transfer heat.</t>
  </si>
  <si>
    <t>UtyCode_heatingFluidCirculation</t>
  </si>
  <si>
    <t>naturalGasDistribution</t>
  </si>
  <si>
    <t>Natural Gas Distribution</t>
  </si>
  <si>
    <t>A pipe used to distribute natural gas.</t>
  </si>
  <si>
    <t>It may also carry other gaseous products used as a source of energy (for example: gases produced from petroleum cracking).</t>
  </si>
  <si>
    <t>UtyCode_naturalGasDistribution</t>
  </si>
  <si>
    <t>sewage</t>
  </si>
  <si>
    <t>Sewage</t>
  </si>
  <si>
    <t>A pipe conveying waste, especially excremental, matter to a sewage treatment facility.</t>
  </si>
  <si>
    <t>UtyCode_sewage</t>
  </si>
  <si>
    <t>stormSewer</t>
  </si>
  <si>
    <t>Storm Sewer</t>
  </si>
  <si>
    <t>A pipe that carries off and discharges storm water from buildings and/or built-up areas.</t>
  </si>
  <si>
    <t>UtyCode_stormSewer</t>
  </si>
  <si>
    <t>streetLight</t>
  </si>
  <si>
    <t>An electrical cable that is used to energize and/or control street lighting.</t>
  </si>
  <si>
    <t>UtyCode_streetLight</t>
  </si>
  <si>
    <t>telegraph</t>
  </si>
  <si>
    <t>Telegraph</t>
  </si>
  <si>
    <t>An electrical cable that transmits telegraph signals.</t>
  </si>
  <si>
    <t>UtyCode_telegraph</t>
  </si>
  <si>
    <t>telephone</t>
  </si>
  <si>
    <t>Telephone</t>
  </si>
  <si>
    <t>An electrical cable that transmits telephone signals.</t>
  </si>
  <si>
    <t>Such cables may also multiplex and carry analog signals for purposes other than voice communication (for example: the use of computer modems).</t>
  </si>
  <si>
    <t>UtyCode_telephone</t>
  </si>
  <si>
    <t>trafficLight</t>
  </si>
  <si>
    <t>An electrical cable that is used to energize and/or control traffic lights.</t>
  </si>
  <si>
    <t>UtyCode_trafficLight</t>
  </si>
  <si>
    <t>waterDistribution</t>
  </si>
  <si>
    <t>Water Distribution</t>
  </si>
  <si>
    <t>A pipe that carries water from a point of preparation (for example: treatment to remove particulates or impurities) to a point of use (for example: a home or business).</t>
  </si>
  <si>
    <t>UtyCode_waterDistribution</t>
  </si>
  <si>
    <t>resident</t>
  </si>
  <si>
    <t>Resident</t>
  </si>
  <si>
    <t>The personnel are permanently-assigned occupants.</t>
  </si>
  <si>
    <t>Such assignment normally also applies to the installation that the barrack serves.</t>
  </si>
  <si>
    <t>BruCode_resident</t>
  </si>
  <si>
    <t>transient</t>
  </si>
  <si>
    <t>Transient</t>
  </si>
  <si>
    <t>The personnel are only temporarily-assigned occupants.</t>
  </si>
  <si>
    <t>Temporary assignment may occur while awaiting a residency assignment or while personnel visit the installation that the barrack serves.</t>
  </si>
  <si>
    <t>BruCode_transient</t>
  </si>
  <si>
    <t>east</t>
  </si>
  <si>
    <t>East</t>
  </si>
  <si>
    <t>East' or 'E'.</t>
  </si>
  <si>
    <t>DipCode_east</t>
  </si>
  <si>
    <t>noPrefix</t>
  </si>
  <si>
    <t>No Prefix</t>
  </si>
  <si>
    <t>The address has no directional prefix.</t>
  </si>
  <si>
    <t>DipCode_noPrefix</t>
  </si>
  <si>
    <t>north</t>
  </si>
  <si>
    <t>North</t>
  </si>
  <si>
    <t>North' or 'N'.</t>
  </si>
  <si>
    <t>DipCode_north</t>
  </si>
  <si>
    <t>northeast</t>
  </si>
  <si>
    <t>Northeast</t>
  </si>
  <si>
    <t>Northeast' or 'NE'.</t>
  </si>
  <si>
    <t>DipCode_northeast</t>
  </si>
  <si>
    <t>northwest</t>
  </si>
  <si>
    <t>Northwest</t>
  </si>
  <si>
    <t>Northwest' or 'NW'.</t>
  </si>
  <si>
    <t>DipCode_northwest</t>
  </si>
  <si>
    <t>south</t>
  </si>
  <si>
    <t>South</t>
  </si>
  <si>
    <t>South' or 'S'.</t>
  </si>
  <si>
    <t>DipCode_south</t>
  </si>
  <si>
    <t>southeast</t>
  </si>
  <si>
    <t>Southeast</t>
  </si>
  <si>
    <t>Southeast' or 'SE'.</t>
  </si>
  <si>
    <t>DipCode_southeast</t>
  </si>
  <si>
    <t>southwest</t>
  </si>
  <si>
    <t>Southwest</t>
  </si>
  <si>
    <t>Southwest' or 'SW'.</t>
  </si>
  <si>
    <t>DipCode_southwest</t>
  </si>
  <si>
    <t>west</t>
  </si>
  <si>
    <t>West</t>
  </si>
  <si>
    <t>West' or 'W'.</t>
  </si>
  <si>
    <t>DipCode_west</t>
  </si>
  <si>
    <t>DrsCode_east</t>
  </si>
  <si>
    <t>noSuffix</t>
  </si>
  <si>
    <t>No Suffix</t>
  </si>
  <si>
    <t>The address has no directional suffix.</t>
  </si>
  <si>
    <t>DrsCode_noSuffix</t>
  </si>
  <si>
    <t>DrsCode_north</t>
  </si>
  <si>
    <t>DrsCode_northeast</t>
  </si>
  <si>
    <t>DrsCode_northwest</t>
  </si>
  <si>
    <t>DrsCode_south</t>
  </si>
  <si>
    <t>DrsCode_southeast</t>
  </si>
  <si>
    <t>DrsCode_southwest</t>
  </si>
  <si>
    <t>DrsCode_west</t>
  </si>
  <si>
    <t>eighthLevel</t>
  </si>
  <si>
    <t>Eighth Level</t>
  </si>
  <si>
    <t>The eighth level in the administrative hierarchy in a sovereign State.</t>
  </si>
  <si>
    <t>AduCode_eighthLevel</t>
  </si>
  <si>
    <t>fifthLevel</t>
  </si>
  <si>
    <t>Fifth Level</t>
  </si>
  <si>
    <t>The fifth level in the administrative hierarchy in a sovereign State.</t>
  </si>
  <si>
    <t>AduCode_fifthLevel</t>
  </si>
  <si>
    <t>firstLevel</t>
  </si>
  <si>
    <t>First Level</t>
  </si>
  <si>
    <t>The first level in the administrative hierarchy in a sovereign State.</t>
  </si>
  <si>
    <t>For example, a 'Land' in Germany.</t>
  </si>
  <si>
    <t>AduCode_firstLevel</t>
  </si>
  <si>
    <t>fourthLevel</t>
  </si>
  <si>
    <t>Fourth Level</t>
  </si>
  <si>
    <t>The fourth level in the administrative hierarchy in a sovereign State.</t>
  </si>
  <si>
    <t>AduCode_fourthLevel</t>
  </si>
  <si>
    <t>secondLevel</t>
  </si>
  <si>
    <t>Second Level</t>
  </si>
  <si>
    <t>The second level in the administrative hierarchy in a sovereign State.</t>
  </si>
  <si>
    <t>AduCode_secondLevel</t>
  </si>
  <si>
    <t>seventhLevel</t>
  </si>
  <si>
    <t>Seventh Level</t>
  </si>
  <si>
    <t>The seventh level in the administrative hierarchy in a sovereign State.</t>
  </si>
  <si>
    <t>AduCode_seventhLevel</t>
  </si>
  <si>
    <t>sixthLevel</t>
  </si>
  <si>
    <t>Sixth Level</t>
  </si>
  <si>
    <t>The sixth level in the administrative hierarchy in a sovereign State.</t>
  </si>
  <si>
    <t>AduCode_sixthLevel</t>
  </si>
  <si>
    <t>thirdLevel</t>
  </si>
  <si>
    <t>Third Level</t>
  </si>
  <si>
    <t>The third level in the administrative hierarchy in a sovereign State.</t>
  </si>
  <si>
    <t>AduCode_thirdLevel</t>
  </si>
  <si>
    <t>international</t>
  </si>
  <si>
    <t>International</t>
  </si>
  <si>
    <t>Established by international authority.</t>
  </si>
  <si>
    <t>AslCode_international</t>
  </si>
  <si>
    <t>local</t>
  </si>
  <si>
    <t>Local</t>
  </si>
  <si>
    <t>A primary local administrative subdivision of a subnational region as established at the local level.</t>
  </si>
  <si>
    <t>For example, a (US) township, (US) magisterial district, or (FR) commune.</t>
  </si>
  <si>
    <t>AslCode_local</t>
  </si>
  <si>
    <t>municipal</t>
  </si>
  <si>
    <t>Municipal</t>
  </si>
  <si>
    <t>Administered by the civic authorities of a borough, town, or city.</t>
  </si>
  <si>
    <t>For example, may be specified a 'city' by charter.</t>
  </si>
  <si>
    <t>AslCode_municipal</t>
  </si>
  <si>
    <t>national</t>
  </si>
  <si>
    <t>National</t>
  </si>
  <si>
    <t>A principal administrative division of a nation as established at the national level.</t>
  </si>
  <si>
    <t>For example, a (US) state, (UK) county, (CA) province, (FR) region, (FR) department, (CH) canton, or (GE) laender.</t>
  </si>
  <si>
    <t>AslCode_national</t>
  </si>
  <si>
    <t>sublocal</t>
  </si>
  <si>
    <t>Sublocal</t>
  </si>
  <si>
    <t>A secondary local administrative subdivision of a local region as established at the sublocal level.</t>
  </si>
  <si>
    <t>AslCode_sublocal</t>
  </si>
  <si>
    <t>subnational</t>
  </si>
  <si>
    <t>Subnational</t>
  </si>
  <si>
    <t>A secondary administrative subdivision of a nation as established at the subnational level.</t>
  </si>
  <si>
    <t>For example, a (US) county.</t>
  </si>
  <si>
    <t>AslCode_subnational</t>
  </si>
  <si>
    <t>(Aeronautical Information Exchange Model (AIXM): '100X')</t>
  </si>
  <si>
    <t>chan100X</t>
  </si>
  <si>
    <t>Channel 100X</t>
  </si>
  <si>
    <t>The Tactical Air Navigation System (TACAN) channel of '100X' is assigned to the aircraft that is receiving fuel during air Refuel operations.</t>
  </si>
  <si>
    <t>See ICAO Annex 10, Chapter 3, Table A.</t>
  </si>
  <si>
    <t>ChxCode_chan100X</t>
  </si>
  <si>
    <t>(Aeronautical Information Exchange Model (AIXM): '100Y')</t>
  </si>
  <si>
    <t>chan100Y</t>
  </si>
  <si>
    <t>Channel 100Y</t>
  </si>
  <si>
    <t>The Tactical Air Navigation System (TACAN) channel of '100Y' is assigned to the aircraft that is receiving fuel during air Refuel operations.</t>
  </si>
  <si>
    <t>ChxCode_chan100Y</t>
  </si>
  <si>
    <t>(Aeronautical Information Exchange Model (AIXM): '100Z')</t>
  </si>
  <si>
    <t>chan100Z</t>
  </si>
  <si>
    <t>Channel 100Z</t>
  </si>
  <si>
    <t>The Tactical Air Navigation System (TACAN) channel of '100Z' is assigned to the aircraft that is receiving fuel during air Refuel operations.</t>
  </si>
  <si>
    <t>ChxCode_chan100Z</t>
  </si>
  <si>
    <t>(Aeronautical Information Exchange Model (AIXM): '101X')</t>
  </si>
  <si>
    <t>chan101X</t>
  </si>
  <si>
    <t>Channel 101X</t>
  </si>
  <si>
    <t>The Tactical Air Navigation System (TACAN) channel of '101X' is assigned to the aircraft that is receiving fuel during air Refuel operations.</t>
  </si>
  <si>
    <t>ChxCode_chan101X</t>
  </si>
  <si>
    <t>(Aeronautical Information Exchange Model (AIXM): '101Y')</t>
  </si>
  <si>
    <t>chan101Y</t>
  </si>
  <si>
    <t>Channel 101Y</t>
  </si>
  <si>
    <t>The Tactical Air Navigation System (TACAN) channel of '101Y' is assigned to the aircraft that is receiving fuel during air Refuel operations.</t>
  </si>
  <si>
    <t>ChxCode_chan101Y</t>
  </si>
  <si>
    <t>(Aeronautical Information Exchange Model (AIXM): '101Z')</t>
  </si>
  <si>
    <t>chan101Z</t>
  </si>
  <si>
    <t>Channel 101Z</t>
  </si>
  <si>
    <t>The Tactical Air Navigation System (TACAN) channel of '101Z' is assigned to the aircraft that is receiving fuel during air Refuel operations.</t>
  </si>
  <si>
    <t>ChxCode_chan101Z</t>
  </si>
  <si>
    <t>(Aeronautical Information Exchange Model (AIXM): '102X')</t>
  </si>
  <si>
    <t>chan102X</t>
  </si>
  <si>
    <t>Channel 102X</t>
  </si>
  <si>
    <t>The Tactical Air Navigation System (TACAN) channel of '102X' is assigned to the aircraft that is receiving fuel during air Refuel operations.</t>
  </si>
  <si>
    <t>ChxCode_chan102X</t>
  </si>
  <si>
    <t>(Aeronautical Information Exchange Model (AIXM): '102Y')</t>
  </si>
  <si>
    <t>chan102Y</t>
  </si>
  <si>
    <t>Channel 102Y</t>
  </si>
  <si>
    <t>The Tactical Air Navigation System (TACAN) channel of '102Y' is assigned to the aircraft that is receiving fuel during air Refuel operations.</t>
  </si>
  <si>
    <t>ChxCode_chan102Y</t>
  </si>
  <si>
    <t>(Aeronautical Information Exchange Model (AIXM): '102Z')</t>
  </si>
  <si>
    <t>chan102Z</t>
  </si>
  <si>
    <t>Channel 102Z</t>
  </si>
  <si>
    <t>The Tactical Air Navigation System (TACAN) channel of '102Z' is assigned to the aircraft that is receiving fuel during air Refuel operations.</t>
  </si>
  <si>
    <t>ChxCode_chan102Z</t>
  </si>
  <si>
    <t>(Aeronautical Information Exchange Model (AIXM): '103X')</t>
  </si>
  <si>
    <t>chan103X</t>
  </si>
  <si>
    <t>Channel 103X</t>
  </si>
  <si>
    <t>The Tactical Air Navigation System (TACAN) channel of '103X' is assigned to the aircraft that is receiving fuel during air Refuel operations.</t>
  </si>
  <si>
    <t>ChxCode_chan103X</t>
  </si>
  <si>
    <t>(Aeronautical Information Exchange Model (AIXM): '103Y')</t>
  </si>
  <si>
    <t>chan103Y</t>
  </si>
  <si>
    <t>Channel 103Y</t>
  </si>
  <si>
    <t>The Tactical Air Navigation System (TACAN) channel of '103Y' is assigned to the aircraft that is receiving fuel during air Refuel operations.</t>
  </si>
  <si>
    <t>ChxCode_chan103Y</t>
  </si>
  <si>
    <t>(Aeronautical Information Exchange Model (AIXM): '103Z')</t>
  </si>
  <si>
    <t>chan103Z</t>
  </si>
  <si>
    <t>Channel 103Z</t>
  </si>
  <si>
    <t>The Tactical Air Navigation System (TACAN) channel of '103Z' is assigned to the aircraft that is receiving fuel during air Refuel operations.</t>
  </si>
  <si>
    <t>ChxCode_chan103Z</t>
  </si>
  <si>
    <t>(Aeronautical Information Exchange Model (AIXM): '104X')</t>
  </si>
  <si>
    <t>chan104X</t>
  </si>
  <si>
    <t>Channel 104X</t>
  </si>
  <si>
    <t>The Tactical Air Navigation System (TACAN) channel of '104X' is assigned to the aircraft that is receiving fuel during air Refuel operations.</t>
  </si>
  <si>
    <t>ChxCode_chan104X</t>
  </si>
  <si>
    <t>(Aeronautical Information Exchange Model (AIXM): '104Y')</t>
  </si>
  <si>
    <t>chan104Y</t>
  </si>
  <si>
    <t>Channel 104Y</t>
  </si>
  <si>
    <t>The Tactical Air Navigation System (TACAN) channel of '104Y' is assigned to the aircraft that is receiving fuel during air Refuel operations.</t>
  </si>
  <si>
    <t>ChxCode_chan104Y</t>
  </si>
  <si>
    <t>(Aeronautical Information Exchange Model (AIXM): '104Z')</t>
  </si>
  <si>
    <t>chan104Z</t>
  </si>
  <si>
    <t>Channel 104Z</t>
  </si>
  <si>
    <t>The Tactical Air Navigation System (TACAN) channel of '104Z' is assigned to the aircraft that is receiving fuel during air Refuel operations.</t>
  </si>
  <si>
    <t>ChxCode_chan104Z</t>
  </si>
  <si>
    <t>(Aeronautical Information Exchange Model (AIXM): '105X')</t>
  </si>
  <si>
    <t>chan105X</t>
  </si>
  <si>
    <t>Channel 105X</t>
  </si>
  <si>
    <t>The Tactical Air Navigation System (TACAN) channel of '105X' is assigned to the aircraft that is receiving fuel during air Refuel operations.</t>
  </si>
  <si>
    <t>ChxCode_chan105X</t>
  </si>
  <si>
    <t>(Aeronautical Information Exchange Model (AIXM): '105Y')</t>
  </si>
  <si>
    <t>chan105Y</t>
  </si>
  <si>
    <t>Channel 105Y</t>
  </si>
  <si>
    <t>The Tactical Air Navigation System (TACAN) channel of '105Y' is assigned to the aircraft that is receiving fuel during air Refuel operations.</t>
  </si>
  <si>
    <t>ChxCode_chan105Y</t>
  </si>
  <si>
    <t>(Aeronautical Information Exchange Model (AIXM): '105Z')</t>
  </si>
  <si>
    <t>chan105Z</t>
  </si>
  <si>
    <t>Channel 105Z</t>
  </si>
  <si>
    <t>The Tactical Air Navigation System (TACAN) channel of '105Z' is assigned to the aircraft that is receiving fuel during air Refuel operations.</t>
  </si>
  <si>
    <t>ChxCode_chan105Z</t>
  </si>
  <si>
    <t>(Aeronautical Information Exchange Model (AIXM): '106X')</t>
  </si>
  <si>
    <t>chan106X</t>
  </si>
  <si>
    <t>Channel 106X</t>
  </si>
  <si>
    <t>The Tactical Air Navigation System (TACAN) channel of '106X' is assigned to the aircraft that is receiving fuel during air Refuel operations.</t>
  </si>
  <si>
    <t>ChxCode_chan106X</t>
  </si>
  <si>
    <t>(Aeronautical Information Exchange Model (AIXM): '106Y')</t>
  </si>
  <si>
    <t>chan106Y</t>
  </si>
  <si>
    <t>Channel 106Y</t>
  </si>
  <si>
    <t>The Tactical Air Navigation System (TACAN) channel of '106Y' is assigned to the aircraft that is receiving fuel during air Refuel operations.</t>
  </si>
  <si>
    <t>ChxCode_chan106Y</t>
  </si>
  <si>
    <t>(Aeronautical Information Exchange Model (AIXM): '106Z')</t>
  </si>
  <si>
    <t>chan106Z</t>
  </si>
  <si>
    <t>Channel 106Z</t>
  </si>
  <si>
    <t>The Tactical Air Navigation System (TACAN) channel of '106Z' is assigned to the aircraft that is receiving fuel during air Refuel operations.</t>
  </si>
  <si>
    <t>ChxCode_chan106Z</t>
  </si>
  <si>
    <t>(Aeronautical Information Exchange Model (AIXM): '107X')</t>
  </si>
  <si>
    <t>chan107X</t>
  </si>
  <si>
    <t>Channel 107X</t>
  </si>
  <si>
    <t>The Tactical Air Navigation System (TACAN) channel of '107X' is assigned to the aircraft that is receiving fuel during air Refuel operations.</t>
  </si>
  <si>
    <t>ChxCode_chan107X</t>
  </si>
  <si>
    <t>(Aeronautical Information Exchange Model (AIXM): '107Y')</t>
  </si>
  <si>
    <t>chan107Y</t>
  </si>
  <si>
    <t>Channel 107Y</t>
  </si>
  <si>
    <t>The Tactical Air Navigation System (TACAN) channel of '107Y' is assigned to the aircraft that is receiving fuel during air Refuel operations.</t>
  </si>
  <si>
    <t>ChxCode_chan107Y</t>
  </si>
  <si>
    <t>(Aeronautical Information Exchange Model (AIXM): '107Z')</t>
  </si>
  <si>
    <t>chan107Z</t>
  </si>
  <si>
    <t>Channel 107Z</t>
  </si>
  <si>
    <t>The Tactical Air Navigation System (TACAN) channel of '107Z' is assigned to the aircraft that is receiving fuel during air Refuel operations.</t>
  </si>
  <si>
    <t>ChxCode_chan107Z</t>
  </si>
  <si>
    <t>(Aeronautical Information Exchange Model (AIXM): '108X')</t>
  </si>
  <si>
    <t>chan108X</t>
  </si>
  <si>
    <t>Channel 108X</t>
  </si>
  <si>
    <t>The Tactical Air Navigation System (TACAN) channel of '108X' is assigned to the aircraft that is receiving fuel during air Refuel operations.</t>
  </si>
  <si>
    <t>ChxCode_chan108X</t>
  </si>
  <si>
    <t>(Aeronautical Information Exchange Model (AIXM): '108Y')</t>
  </si>
  <si>
    <t>chan108Y</t>
  </si>
  <si>
    <t>Channel 108Y</t>
  </si>
  <si>
    <t>The Tactical Air Navigation System (TACAN) channel of '108Y' is assigned to the aircraft that is receiving fuel during air Refuel operations.</t>
  </si>
  <si>
    <t>ChxCode_chan108Y</t>
  </si>
  <si>
    <t>(Aeronautical Information Exchange Model (AIXM): '108Z')</t>
  </si>
  <si>
    <t>chan108Z</t>
  </si>
  <si>
    <t>Channel 108Z</t>
  </si>
  <si>
    <t>The Tactical Air Navigation System (TACAN) channel of '108Z' is assigned to the aircraft that is receiving fuel during air Refuel operations.</t>
  </si>
  <si>
    <t>ChxCode_chan108Z</t>
  </si>
  <si>
    <t>(Aeronautical Information Exchange Model (AIXM): '109X')</t>
  </si>
  <si>
    <t>chan109X</t>
  </si>
  <si>
    <t>Channel 109X</t>
  </si>
  <si>
    <t>The Tactical Air Navigation System (TACAN) channel of '109X' is assigned to the aircraft that is receiving fuel during air Refuel operations.</t>
  </si>
  <si>
    <t>ChxCode_chan109X</t>
  </si>
  <si>
    <t>(Aeronautical Information Exchange Model (AIXM): '109Y')</t>
  </si>
  <si>
    <t>chan109Y</t>
  </si>
  <si>
    <t>Channel 109Y</t>
  </si>
  <si>
    <t>The Tactical Air Navigation System (TACAN) channel of '109Y' is assigned to the aircraft that is receiving fuel during air Refuel operations.</t>
  </si>
  <si>
    <t>ChxCode_chan109Y</t>
  </si>
  <si>
    <t>(Aeronautical Information Exchange Model (AIXM): '109Z')</t>
  </si>
  <si>
    <t>chan109Z</t>
  </si>
  <si>
    <t>Channel 109Z</t>
  </si>
  <si>
    <t>The Tactical Air Navigation System (TACAN) channel of '109Z' is assigned to the aircraft that is receiving fuel during air Refuel operations.</t>
  </si>
  <si>
    <t>ChxCode_chan109Z</t>
  </si>
  <si>
    <t>(Aeronautical Information Exchange Model (AIXM): '10X')</t>
  </si>
  <si>
    <t>chan010X</t>
  </si>
  <si>
    <t>Channel 10X</t>
  </si>
  <si>
    <t>The Tactical Air Navigation System (TACAN) channel of '10X' is assigned to the aircraft that is receiving fuel during air Refuel operations.</t>
  </si>
  <si>
    <t>ChxCode_chan010X</t>
  </si>
  <si>
    <t>(Aeronautical Information Exchange Model (AIXM): '10Y')</t>
  </si>
  <si>
    <t>chan010Y</t>
  </si>
  <si>
    <t>Channel 10Y</t>
  </si>
  <si>
    <t>The Tactical Air Navigation System (TACAN) channel of '10Y' is assigned to the aircraft that is receiving fuel during air Refuel operations.</t>
  </si>
  <si>
    <t>ChxCode_chan010Y</t>
  </si>
  <si>
    <t>(Aeronautical Information Exchange Model (AIXM): '110X')</t>
  </si>
  <si>
    <t>chan110X</t>
  </si>
  <si>
    <t>Channel 110X</t>
  </si>
  <si>
    <t>The Tactical Air Navigation System (TACAN) channel of '110X' is assigned to the aircraft that is receiving fuel during air Refuel operations.</t>
  </si>
  <si>
    <t>ChxCode_chan110X</t>
  </si>
  <si>
    <t>(Aeronautical Information Exchange Model (AIXM): '110Y')</t>
  </si>
  <si>
    <t>chan110Y</t>
  </si>
  <si>
    <t>Channel 110Y</t>
  </si>
  <si>
    <t>The Tactical Air Navigation System (TACAN) channel of '110Y' is assigned to the aircraft that is receiving fuel during air Refuel operations.</t>
  </si>
  <si>
    <t>ChxCode_chan110Y</t>
  </si>
  <si>
    <t>(Aeronautical Information Exchange Model (AIXM): '110Z')</t>
  </si>
  <si>
    <t>chan110Z</t>
  </si>
  <si>
    <t>Channel 110Z</t>
  </si>
  <si>
    <t>The Tactical Air Navigation System (TACAN) channel of '110Z' is assigned to the aircraft that is receiving fuel during air Refuel operations.</t>
  </si>
  <si>
    <t>ChxCode_chan110Z</t>
  </si>
  <si>
    <t>(Aeronautical Information Exchange Model (AIXM): '111X')</t>
  </si>
  <si>
    <t>chan111X</t>
  </si>
  <si>
    <t>Channel 111X</t>
  </si>
  <si>
    <t>The Tactical Air Navigation System (TACAN) channel of '111X' is assigned to the aircraft that is receiving fuel during air Refuel operations.</t>
  </si>
  <si>
    <t>ChxCode_chan111X</t>
  </si>
  <si>
    <t>(Aeronautical Information Exchange Model (AIXM): '111Y')</t>
  </si>
  <si>
    <t>chan111Y</t>
  </si>
  <si>
    <t>Channel 111Y</t>
  </si>
  <si>
    <t>The Tactical Air Navigation System (TACAN) channel of '111Y' is assigned to the aircraft that is receiving fuel during air Refuel operations.</t>
  </si>
  <si>
    <t>ChxCode_chan111Y</t>
  </si>
  <si>
    <t>(Aeronautical Information Exchange Model (AIXM): '111Z')</t>
  </si>
  <si>
    <t>chan111Z</t>
  </si>
  <si>
    <t>Channel 111Z</t>
  </si>
  <si>
    <t>The Tactical Air Navigation System (TACAN) channel of '111Z' is assigned to the aircraft that is receiving fuel during air Refuel operations.</t>
  </si>
  <si>
    <t>ChxCode_chan111Z</t>
  </si>
  <si>
    <t>(Aeronautical Information Exchange Model (AIXM): '112X')</t>
  </si>
  <si>
    <t>chan112X</t>
  </si>
  <si>
    <t>Channel 112X</t>
  </si>
  <si>
    <t>The Tactical Air Navigation System (TACAN) channel of '112X' is assigned to the aircraft that is receiving fuel during air Refuel operations.</t>
  </si>
  <si>
    <t>ChxCode_chan112X</t>
  </si>
  <si>
    <t>(Aeronautical Information Exchange Model (AIXM): '112Y')</t>
  </si>
  <si>
    <t>chan112Y</t>
  </si>
  <si>
    <t>Channel 112Y</t>
  </si>
  <si>
    <t>The Tactical Air Navigation System (TACAN) channel of '112Y' is assigned to the aircraft that is receiving fuel during air Refuel operations.</t>
  </si>
  <si>
    <t>ChxCode_chan112Y</t>
  </si>
  <si>
    <t>(Aeronautical Information Exchange Model (AIXM): '112Z')</t>
  </si>
  <si>
    <t>chan112Z</t>
  </si>
  <si>
    <t>Channel 112Z</t>
  </si>
  <si>
    <t>The Tactical Air Navigation System (TACAN) channel of '112Z' is assigned to the aircraft that is receiving fuel during air Refuel operations.</t>
  </si>
  <si>
    <t>ChxCode_chan112Z</t>
  </si>
  <si>
    <t>(Aeronautical Information Exchange Model (AIXM): '113X')</t>
  </si>
  <si>
    <t>chan113X</t>
  </si>
  <si>
    <t>Channel 113X</t>
  </si>
  <si>
    <t>The Tactical Air Navigation System (TACAN) channel of '113X' is assigned to the aircraft that is receiving fuel during air Refuel operations.</t>
  </si>
  <si>
    <t>ChxCode_chan113X</t>
  </si>
  <si>
    <t>(Aeronautical Information Exchange Model (AIXM): '113Y')</t>
  </si>
  <si>
    <t>chan113Y</t>
  </si>
  <si>
    <t>Channel 113Y</t>
  </si>
  <si>
    <t>The Tactical Air Navigation System (TACAN) channel of '113Y' is assigned to the aircraft that is receiving fuel during air Refuel operations.</t>
  </si>
  <si>
    <t>ChxCode_chan113Y</t>
  </si>
  <si>
    <t>(Aeronautical Information Exchange Model (AIXM): '113Z')</t>
  </si>
  <si>
    <t>chan113Z</t>
  </si>
  <si>
    <t>Channel 113Z</t>
  </si>
  <si>
    <t>The Tactical Air Navigation System (TACAN) channel of '113Z' is assigned to the aircraft that is receiving fuel during air Refuel operations.</t>
  </si>
  <si>
    <t>ChxCode_chan113Z</t>
  </si>
  <si>
    <t>(Aeronautical Information Exchange Model (AIXM): '114X')</t>
  </si>
  <si>
    <t>chan114X</t>
  </si>
  <si>
    <t>Channel 114X</t>
  </si>
  <si>
    <t>The Tactical Air Navigation System (TACAN) channel of '114X' is assigned to the aircraft that is receiving fuel during air Refuel operations.</t>
  </si>
  <si>
    <t>ChxCode_chan114X</t>
  </si>
  <si>
    <t>(Aeronautical Information Exchange Model (AIXM): '114Y')</t>
  </si>
  <si>
    <t>chan114Y</t>
  </si>
  <si>
    <t>Channel 114Y</t>
  </si>
  <si>
    <t>The Tactical Air Navigation System (TACAN) channel of '114Y' is assigned to the aircraft that is receiving fuel during air Refuel operations.</t>
  </si>
  <si>
    <t>ChxCode_chan114Y</t>
  </si>
  <si>
    <t>(Aeronautical Information Exchange Model (AIXM): '114Z')</t>
  </si>
  <si>
    <t>chan114Z</t>
  </si>
  <si>
    <t>Channel 114Z</t>
  </si>
  <si>
    <t>The Tactical Air Navigation System (TACAN) channel of '114Z' is assigned to the aircraft that is receiving fuel during air Refuel operations.</t>
  </si>
  <si>
    <t>ChxCode_chan114Z</t>
  </si>
  <si>
    <t>(Aeronautical Information Exchange Model (AIXM): '115X')</t>
  </si>
  <si>
    <t>chan115X</t>
  </si>
  <si>
    <t>Channel 115X</t>
  </si>
  <si>
    <t>The Tactical Air Navigation System (TACAN) channel of '115X' is assigned to the aircraft that is receiving fuel during air Refuel operations.</t>
  </si>
  <si>
    <t>ChxCode_chan115X</t>
  </si>
  <si>
    <t>(Aeronautical Information Exchange Model (AIXM): '115Y')</t>
  </si>
  <si>
    <t>chan115Y</t>
  </si>
  <si>
    <t>Channel 115Y</t>
  </si>
  <si>
    <t>The Tactical Air Navigation System (TACAN) channel of '115Y' is assigned to the aircraft that is receiving fuel during air Refuel operations.</t>
  </si>
  <si>
    <t>ChxCode_chan115Y</t>
  </si>
  <si>
    <t>(Aeronautical Information Exchange Model (AIXM): '115Z')</t>
  </si>
  <si>
    <t>chan115Z</t>
  </si>
  <si>
    <t>Channel 115Z</t>
  </si>
  <si>
    <t>The Tactical Air Navigation System (TACAN) channel of '115Z' is assigned to the aircraft that is receiving fuel during air Refuel operations.</t>
  </si>
  <si>
    <t>ChxCode_chan115Z</t>
  </si>
  <si>
    <t>(Aeronautical Information Exchange Model (AIXM): '116X')</t>
  </si>
  <si>
    <t>chan116X</t>
  </si>
  <si>
    <t>Channel 116X</t>
  </si>
  <si>
    <t>The Tactical Air Navigation System (TACAN) channel of '116X' is assigned to the aircraft that is receiving fuel during air Refuel operations.</t>
  </si>
  <si>
    <t>ChxCode_chan116X</t>
  </si>
  <si>
    <t>(Aeronautical Information Exchange Model (AIXM): '116Y')</t>
  </si>
  <si>
    <t>chan116Y</t>
  </si>
  <si>
    <t>Channel 116Y</t>
  </si>
  <si>
    <t>The Tactical Air Navigation System (TACAN) channel of '116Y' is assigned to the aircraft that is receiving fuel during air Refuel operations.</t>
  </si>
  <si>
    <t>ChxCode_chan116Y</t>
  </si>
  <si>
    <t>(Aeronautical Information Exchange Model (AIXM): '116Z')</t>
  </si>
  <si>
    <t>chan116Z</t>
  </si>
  <si>
    <t>Channel 116Z</t>
  </si>
  <si>
    <t>The Tactical Air Navigation System (TACAN) channel of '116Z' is assigned to the aircraft that is receiving fuel during air Refuel operations.</t>
  </si>
  <si>
    <t>ChxCode_chan116Z</t>
  </si>
  <si>
    <t>(Aeronautical Information Exchange Model (AIXM): '117X')</t>
  </si>
  <si>
    <t>chan117X</t>
  </si>
  <si>
    <t>Channel 117X</t>
  </si>
  <si>
    <t>The Tactical Air Navigation System (TACAN) channel of '117X' is assigned to the aircraft that is receiving fuel during air Refuel operations.</t>
  </si>
  <si>
    <t>ChxCode_chan117X</t>
  </si>
  <si>
    <t>(Aeronautical Information Exchange Model (AIXM): '117Y')</t>
  </si>
  <si>
    <t>chan117Y</t>
  </si>
  <si>
    <t>Channel 117Y</t>
  </si>
  <si>
    <t>The Tactical Air Navigation System (TACAN) channel of '117Y' is assigned to the aircraft that is receiving fuel during air Refuel operations.</t>
  </si>
  <si>
    <t>ChxCode_chan117Y</t>
  </si>
  <si>
    <t>(Aeronautical Information Exchange Model (AIXM): '117Z')</t>
  </si>
  <si>
    <t>chan117Z</t>
  </si>
  <si>
    <t>Channel 117Z</t>
  </si>
  <si>
    <t>The Tactical Air Navigation System (TACAN) channel of '117Z' is assigned to the aircraft that is receiving fuel during air Refuel operations.</t>
  </si>
  <si>
    <t>ChxCode_chan117Z</t>
  </si>
  <si>
    <t>(Aeronautical Information Exchange Model (AIXM): '118X')</t>
  </si>
  <si>
    <t>chan118X</t>
  </si>
  <si>
    <t>Channel 118X</t>
  </si>
  <si>
    <t>The Tactical Air Navigation System (TACAN) channel of '118X' is assigned to the aircraft that is receiving fuel during air Refuel operations.</t>
  </si>
  <si>
    <t>ChxCode_chan118X</t>
  </si>
  <si>
    <t>(Aeronautical Information Exchange Model (AIXM): '118Y')</t>
  </si>
  <si>
    <t>chan118Y</t>
  </si>
  <si>
    <t>Channel 118Y</t>
  </si>
  <si>
    <t>The Tactical Air Navigation System (TACAN) channel of '118Y' is assigned to the aircraft that is receiving fuel during air Refuel operations.</t>
  </si>
  <si>
    <t>ChxCode_chan118Y</t>
  </si>
  <si>
    <t>(Aeronautical Information Exchange Model (AIXM): '118Z')</t>
  </si>
  <si>
    <t>chan118Z</t>
  </si>
  <si>
    <t>Channel 118Z</t>
  </si>
  <si>
    <t>The Tactical Air Navigation System (TACAN) channel of '118Z' is assigned to the aircraft that is receiving fuel during air Refuel operations.</t>
  </si>
  <si>
    <t>ChxCode_chan118Z</t>
  </si>
  <si>
    <t>(Aeronautical Information Exchange Model (AIXM): '119X')</t>
  </si>
  <si>
    <t>chan119X</t>
  </si>
  <si>
    <t>Channel 119X</t>
  </si>
  <si>
    <t>The Tactical Air Navigation System (TACAN) channel of '119X' is assigned to the aircraft that is receiving fuel during air Refuel operations.</t>
  </si>
  <si>
    <t>ChxCode_chan119X</t>
  </si>
  <si>
    <t>(Aeronautical Information Exchange Model (AIXM): '119Y')</t>
  </si>
  <si>
    <t>chan119Y</t>
  </si>
  <si>
    <t>Channel 119Y</t>
  </si>
  <si>
    <t>The Tactical Air Navigation System (TACAN) channel of '119Y' is assigned to the aircraft that is receiving fuel during air Refuel operations.</t>
  </si>
  <si>
    <t>ChxCode_chan119Y</t>
  </si>
  <si>
    <t>(Aeronautical Information Exchange Model (AIXM): '119Z')</t>
  </si>
  <si>
    <t>chan119Z</t>
  </si>
  <si>
    <t>Channel 119Z</t>
  </si>
  <si>
    <t>The Tactical Air Navigation System (TACAN) channel of '119Z' is assigned to the aircraft that is receiving fuel during air Refuel operations.</t>
  </si>
  <si>
    <t>ChxCode_chan119Z</t>
  </si>
  <si>
    <t>(Aeronautical Information Exchange Model (AIXM): '11X')</t>
  </si>
  <si>
    <t>chan011X</t>
  </si>
  <si>
    <t>Channel 11X</t>
  </si>
  <si>
    <t>The Tactical Air Navigation System (TACAN) channel of '11X' is assigned to the aircraft that is receiving fuel during air Refuel operations.</t>
  </si>
  <si>
    <t>ChxCode_chan011X</t>
  </si>
  <si>
    <t>(Aeronautical Information Exchange Model (AIXM): '11Y')</t>
  </si>
  <si>
    <t>chan011Y</t>
  </si>
  <si>
    <t>Channel 11Y</t>
  </si>
  <si>
    <t>The Tactical Air Navigation System (TACAN) channel of '11Y' is assigned to the aircraft that is receiving fuel during air Refuel operations.</t>
  </si>
  <si>
    <t>ChxCode_chan011Y</t>
  </si>
  <si>
    <t>(Aeronautical Information Exchange Model (AIXM): '120X')</t>
  </si>
  <si>
    <t>chan120X</t>
  </si>
  <si>
    <t>Channel 120X</t>
  </si>
  <si>
    <t>The Tactical Air Navigation System (TACAN) channel of '120X' is assigned to the aircraft that is receiving fuel during air Refuel operations.</t>
  </si>
  <si>
    <t>ChxCode_chan120X</t>
  </si>
  <si>
    <t>(Aeronautical Information Exchange Model (AIXM): '120Y')</t>
  </si>
  <si>
    <t>chan120Y</t>
  </si>
  <si>
    <t>Channel 120Y</t>
  </si>
  <si>
    <t>The Tactical Air Navigation System (TACAN) channel of '120Y' is assigned to the aircraft that is receiving fuel during air Refuel operations.</t>
  </si>
  <si>
    <t>ChxCode_chan120Y</t>
  </si>
  <si>
    <t>(Aeronautical Information Exchange Model (AIXM): '121X')</t>
  </si>
  <si>
    <t>chan121X</t>
  </si>
  <si>
    <t>Channel 121X</t>
  </si>
  <si>
    <t>The Tactical Air Navigation System (TACAN) channel of '121X' is assigned to the aircraft that is receiving fuel during air Refuel operations.</t>
  </si>
  <si>
    <t>ChxCode_chan121X</t>
  </si>
  <si>
    <t>(Aeronautical Information Exchange Model (AIXM): '121Y')</t>
  </si>
  <si>
    <t>chan121Y</t>
  </si>
  <si>
    <t>Channel 121Y</t>
  </si>
  <si>
    <t>The Tactical Air Navigation System (TACAN) channel of '121Y' is assigned to the aircraft that is receiving fuel during air Refuel operations.</t>
  </si>
  <si>
    <t>ChxCode_chan121Y</t>
  </si>
  <si>
    <t>(Aeronautical Information Exchange Model (AIXM): '122X')</t>
  </si>
  <si>
    <t>chan122X</t>
  </si>
  <si>
    <t>Channel 122X</t>
  </si>
  <si>
    <t>The Tactical Air Navigation System (TACAN) channel of '122X' is assigned to the aircraft that is receiving fuel during air Refuel operations.</t>
  </si>
  <si>
    <t>ChxCode_chan122X</t>
  </si>
  <si>
    <t>(Aeronautical Information Exchange Model (AIXM): '122Y')</t>
  </si>
  <si>
    <t>chan122Y</t>
  </si>
  <si>
    <t>Channel 122Y</t>
  </si>
  <si>
    <t>The Tactical Air Navigation System (TACAN) channel of '122Y' is assigned to the aircraft that is receiving fuel during air Refuel operations.</t>
  </si>
  <si>
    <t>ChxCode_chan122Y</t>
  </si>
  <si>
    <t>(Aeronautical Information Exchange Model (AIXM): '123X')</t>
  </si>
  <si>
    <t>chan123X</t>
  </si>
  <si>
    <t>Channel 123X</t>
  </si>
  <si>
    <t>The Tactical Air Navigation System (TACAN) channel of '123X' is assigned to the aircraft that is receiving fuel during air Refuel operations.</t>
  </si>
  <si>
    <t>ChxCode_chan123X</t>
  </si>
  <si>
    <t>(Aeronautical Information Exchange Model (AIXM): '123Y')</t>
  </si>
  <si>
    <t>chan123Y</t>
  </si>
  <si>
    <t>Channel 123Y</t>
  </si>
  <si>
    <t>The Tactical Air Navigation System (TACAN) channel of '123Y' is assigned to the aircraft that is receiving fuel during air Refuel operations.</t>
  </si>
  <si>
    <t>ChxCode_chan123Y</t>
  </si>
  <si>
    <t>(Aeronautical Information Exchange Model (AIXM): '124X')</t>
  </si>
  <si>
    <t>chan124X</t>
  </si>
  <si>
    <t>Channel 124X</t>
  </si>
  <si>
    <t>The Tactical Air Navigation System (TACAN) channel of '124X' is assigned to the aircraft that is receiving fuel during air Refuel operations.</t>
  </si>
  <si>
    <t>ChxCode_chan124X</t>
  </si>
  <si>
    <t>(Aeronautical Information Exchange Model (AIXM): '124Y')</t>
  </si>
  <si>
    <t>chan124Y</t>
  </si>
  <si>
    <t>Channel 124Y</t>
  </si>
  <si>
    <t>The Tactical Air Navigation System (TACAN) channel of '124Y' is assigned to the aircraft that is receiving fuel during air Refuel operations.</t>
  </si>
  <si>
    <t>ChxCode_chan124Y</t>
  </si>
  <si>
    <t>(Aeronautical Information Exchange Model (AIXM): '125X')</t>
  </si>
  <si>
    <t>chan125X</t>
  </si>
  <si>
    <t>Channel 125X</t>
  </si>
  <si>
    <t>The Tactical Air Navigation System (TACAN) channel of '125X' is assigned to the aircraft that is receiving fuel during air Refuel operations.</t>
  </si>
  <si>
    <t>ChxCode_chan125X</t>
  </si>
  <si>
    <t>(Aeronautical Information Exchange Model (AIXM): '125Y')</t>
  </si>
  <si>
    <t>chan125Y</t>
  </si>
  <si>
    <t>Channel 125Y</t>
  </si>
  <si>
    <t>The Tactical Air Navigation System (TACAN) channel of '125Y' is assigned to the aircraft that is receiving fuel during air Refuel operations.</t>
  </si>
  <si>
    <t>ChxCode_chan125Y</t>
  </si>
  <si>
    <t>(Aeronautical Information Exchange Model (AIXM): '126X')</t>
  </si>
  <si>
    <t>chan126X</t>
  </si>
  <si>
    <t>Channel 126X</t>
  </si>
  <si>
    <t>The Tactical Air Navigation System (TACAN) channel of '126X' is assigned to the aircraft that is receiving fuel during air Refuel operations.</t>
  </si>
  <si>
    <t>ChxCode_chan126X</t>
  </si>
  <si>
    <t>(Aeronautical Information Exchange Model (AIXM): '126Y')</t>
  </si>
  <si>
    <t>chan126Y</t>
  </si>
  <si>
    <t>Channel 126Y</t>
  </si>
  <si>
    <t>The Tactical Air Navigation System (TACAN) channel of '126Y' is assigned to the aircraft that is receiving fuel during air Refuel operations.</t>
  </si>
  <si>
    <t>ChxCode_chan126Y</t>
  </si>
  <si>
    <t>(Aeronautical Information Exchange Model (AIXM): '12X')</t>
  </si>
  <si>
    <t>chan012X</t>
  </si>
  <si>
    <t>Channel 12X</t>
  </si>
  <si>
    <t>The Tactical Air Navigation System (TACAN) channel of '12X' is assigned to the aircraft that is receiving fuel during air Refuel operations.</t>
  </si>
  <si>
    <t>ChxCode_chan012X</t>
  </si>
  <si>
    <t>(Aeronautical Information Exchange Model (AIXM): '12Y')</t>
  </si>
  <si>
    <t>chan012Y</t>
  </si>
  <si>
    <t>Channel 12Y</t>
  </si>
  <si>
    <t>The Tactical Air Navigation System (TACAN) channel of '12Y' is assigned to the aircraft that is receiving fuel during air Refuel operations.</t>
  </si>
  <si>
    <t>ChxCode_chan012Y</t>
  </si>
  <si>
    <t>(Aeronautical Information Exchange Model (AIXM): '13X')</t>
  </si>
  <si>
    <t>chan013X</t>
  </si>
  <si>
    <t>Channel 13X</t>
  </si>
  <si>
    <t>The Tactical Air Navigation System (TACAN) channel of '13X' is assigned to the aircraft that is receiving fuel during air Refuel operations.</t>
  </si>
  <si>
    <t>ChxCode_chan013X</t>
  </si>
  <si>
    <t>(Aeronautical Information Exchange Model (AIXM): '13Y')</t>
  </si>
  <si>
    <t>chan013Y</t>
  </si>
  <si>
    <t>Channel 13Y</t>
  </si>
  <si>
    <t>The Tactical Air Navigation System (TACAN) channel of '13Y' is assigned to the aircraft that is receiving fuel during air Refuel operations.</t>
  </si>
  <si>
    <t>ChxCode_chan013Y</t>
  </si>
  <si>
    <t>(Aeronautical Information Exchange Model (AIXM): '14X')</t>
  </si>
  <si>
    <t>chan014X</t>
  </si>
  <si>
    <t>Channel 14X</t>
  </si>
  <si>
    <t>The Tactical Air Navigation System (TACAN) channel of '14X' is assigned to the aircraft that is receiving fuel during air Refuel operations.</t>
  </si>
  <si>
    <t>ChxCode_chan014X</t>
  </si>
  <si>
    <t>(Aeronautical Information Exchange Model (AIXM): '14Y')</t>
  </si>
  <si>
    <t>chan014Y</t>
  </si>
  <si>
    <t>Channel 14Y</t>
  </si>
  <si>
    <t>The Tactical Air Navigation System (TACAN) channel of '14Y' is assigned to the aircraft that is receiving fuel during air Refuel operations.</t>
  </si>
  <si>
    <t>ChxCode_chan014Y</t>
  </si>
  <si>
    <t>(Aeronautical Information Exchange Model (AIXM): '15X')</t>
  </si>
  <si>
    <t>chan015X</t>
  </si>
  <si>
    <t>Channel 15X</t>
  </si>
  <si>
    <t>The Tactical Air Navigation System (TACAN) channel of '15X' is assigned to the aircraft that is receiving fuel during air Refuel operations.</t>
  </si>
  <si>
    <t>ChxCode_chan015X</t>
  </si>
  <si>
    <t>(Aeronautical Information Exchange Model (AIXM): '15Y')</t>
  </si>
  <si>
    <t>chan015Y</t>
  </si>
  <si>
    <t>Channel 15Y</t>
  </si>
  <si>
    <t>The Tactical Air Navigation System (TACAN) channel of '15Y' is assigned to the aircraft that is receiving fuel during air Refuel operations.</t>
  </si>
  <si>
    <t>ChxCode_chan015Y</t>
  </si>
  <si>
    <t>(Aeronautical Information Exchange Model (AIXM): '16X')</t>
  </si>
  <si>
    <t>chan016X</t>
  </si>
  <si>
    <t>Channel 16X</t>
  </si>
  <si>
    <t>The Tactical Air Navigation System (TACAN) channel of '16X' is assigned to the aircraft that is receiving fuel during air Refuel operations.</t>
  </si>
  <si>
    <t>ChxCode_chan016X</t>
  </si>
  <si>
    <t>(Aeronautical Information Exchange Model (AIXM): '16Y')</t>
  </si>
  <si>
    <t>chan016Y</t>
  </si>
  <si>
    <t>Channel 16Y</t>
  </si>
  <si>
    <t>The Tactical Air Navigation System (TACAN) channel of '16Y' is assigned to the aircraft that is receiving fuel during air Refuel operations.</t>
  </si>
  <si>
    <t>ChxCode_chan016Y</t>
  </si>
  <si>
    <t>(Aeronautical Information Exchange Model (AIXM): '17X')</t>
  </si>
  <si>
    <t>chan017X</t>
  </si>
  <si>
    <t>Channel 17X</t>
  </si>
  <si>
    <t>The Tactical Air Navigation System (TACAN) channel of '17X' is assigned to the aircraft that is receiving fuel during air Refuel operations.</t>
  </si>
  <si>
    <t>ChxCode_chan017X</t>
  </si>
  <si>
    <t>(Aeronautical Information Exchange Model (AIXM): '17Y')</t>
  </si>
  <si>
    <t>chan017Y</t>
  </si>
  <si>
    <t>Channel 17Y</t>
  </si>
  <si>
    <t>The Tactical Air Navigation System (TACAN) channel of '17Y' is assigned to the aircraft that is receiving fuel during air Refuel operations.</t>
  </si>
  <si>
    <t>ChxCode_chan017Y</t>
  </si>
  <si>
    <t>(Aeronautical Information Exchange Model (AIXM): '17Z')</t>
  </si>
  <si>
    <t>chan017Z</t>
  </si>
  <si>
    <t>Channel 17Z</t>
  </si>
  <si>
    <t>The Tactical Air Navigation System (TACAN) channel of '17Z' is assigned to the aircraft that is receiving fuel during air Refuel operations.</t>
  </si>
  <si>
    <t>ChxCode_chan017Z</t>
  </si>
  <si>
    <t>(Aeronautical Information Exchange Model (AIXM): '18W')</t>
  </si>
  <si>
    <t>chan018W</t>
  </si>
  <si>
    <t>Channel 18W</t>
  </si>
  <si>
    <t>The Tactical Air Navigation System (TACAN) channel of '18W' is assigned to the aircraft that is receiving fuel during air Refuel operations.</t>
  </si>
  <si>
    <t>ChxCode_chan018W</t>
  </si>
  <si>
    <t>(Aeronautical Information Exchange Model (AIXM): '18X')</t>
  </si>
  <si>
    <t>chan018X</t>
  </si>
  <si>
    <t>Channel 18X</t>
  </si>
  <si>
    <t>The Tactical Air Navigation System (TACAN) channel of '18X' is assigned to the aircraft that is receiving fuel during air Refuel operations.</t>
  </si>
  <si>
    <t>ChxCode_chan018X</t>
  </si>
  <si>
    <t>(Aeronautical Information Exchange Model (AIXM): '18Y')</t>
  </si>
  <si>
    <t>chan018Y</t>
  </si>
  <si>
    <t>Channel 18Y</t>
  </si>
  <si>
    <t>The Tactical Air Navigation System (TACAN) channel of '18Y' is assigned to the aircraft that is receiving fuel during air Refuel operations.</t>
  </si>
  <si>
    <t>ChxCode_chan018Y</t>
  </si>
  <si>
    <t>(Aeronautical Information Exchange Model (AIXM): '18Z')</t>
  </si>
  <si>
    <t>chan018Z</t>
  </si>
  <si>
    <t>Channel 18Z</t>
  </si>
  <si>
    <t>The Tactical Air Navigation System (TACAN) channel of '18Z' is assigned to the aircraft that is receiving fuel during air Refuel operations.</t>
  </si>
  <si>
    <t>ChxCode_chan018Z</t>
  </si>
  <si>
    <t>(Aeronautical Information Exchange Model (AIXM): '19X')</t>
  </si>
  <si>
    <t>chan019X</t>
  </si>
  <si>
    <t>Channel 19X</t>
  </si>
  <si>
    <t>The Tactical Air Navigation System (TACAN) channel of '19X' is assigned to the aircraft that is receiving fuel during air Refuel operations.</t>
  </si>
  <si>
    <t>ChxCode_chan019X</t>
  </si>
  <si>
    <t>(Aeronautical Information Exchange Model (AIXM): '19Y')</t>
  </si>
  <si>
    <t>chan019Y</t>
  </si>
  <si>
    <t>Channel 19Y</t>
  </si>
  <si>
    <t>The Tactical Air Navigation System (TACAN) channel of '19Y' is assigned to the aircraft that is receiving fuel during air Refuel operations.</t>
  </si>
  <si>
    <t>ChxCode_chan019Y</t>
  </si>
  <si>
    <t>(Aeronautical Information Exchange Model (AIXM): '19Z')</t>
  </si>
  <si>
    <t>chan019Z</t>
  </si>
  <si>
    <t>Channel 19Z</t>
  </si>
  <si>
    <t>The Tactical Air Navigation System (TACAN) channel of '19Z' is assigned to the aircraft that is receiving fuel during air Refuel operations.</t>
  </si>
  <si>
    <t>ChxCode_chan019Z</t>
  </si>
  <si>
    <t>(Aeronautical Information Exchange Model (AIXM): '1X')</t>
  </si>
  <si>
    <t>chan001X</t>
  </si>
  <si>
    <t>Channel 1X</t>
  </si>
  <si>
    <t>The Tactical Air Navigation System (TACAN) channel of '1X' is assigned to the aircraft that is receiving fuel during air Refuel operations.</t>
  </si>
  <si>
    <t>ChxCode_chan001X</t>
  </si>
  <si>
    <t>(Aeronautical Information Exchange Model (AIXM): '1Y')</t>
  </si>
  <si>
    <t>chan001Y</t>
  </si>
  <si>
    <t>Channel 1Y</t>
  </si>
  <si>
    <t>The Tactical Air Navigation System (TACAN) channel of '1Y' is assigned to the aircraft that is receiving fuel during air Refuel operations.</t>
  </si>
  <si>
    <t>ChxCode_chan001Y</t>
  </si>
  <si>
    <t>(Aeronautical Information Exchange Model (AIXM): '20W')</t>
  </si>
  <si>
    <t>chan020W</t>
  </si>
  <si>
    <t>Channel 20W</t>
  </si>
  <si>
    <t>The Tactical Air Navigation System (TACAN) channel of '20W' is assigned to the aircraft that is receiving fuel during air Refuel operations.</t>
  </si>
  <si>
    <t>ChxCode_chan020W</t>
  </si>
  <si>
    <t>(Aeronautical Information Exchange Model (AIXM): '20X')</t>
  </si>
  <si>
    <t>chan020X</t>
  </si>
  <si>
    <t>Channel 20X</t>
  </si>
  <si>
    <t>The Tactical Air Navigation System (TACAN) channel of '20X' is assigned to the aircraft that is receiving fuel during air Refuel operations.</t>
  </si>
  <si>
    <t>ChxCode_chan020X</t>
  </si>
  <si>
    <t>(Aeronautical Information Exchange Model (AIXM): '20Y')</t>
  </si>
  <si>
    <t>chan020Y</t>
  </si>
  <si>
    <t>Channel 20Y</t>
  </si>
  <si>
    <t>The Tactical Air Navigation System (TACAN) channel of '20Y' is assigned to the aircraft that is receiving fuel during air Refuel operations.</t>
  </si>
  <si>
    <t>ChxCode_chan020Y</t>
  </si>
  <si>
    <t>(Aeronautical Information Exchange Model (AIXM): '20Z')</t>
  </si>
  <si>
    <t>chan020Z</t>
  </si>
  <si>
    <t>Channel 20Z</t>
  </si>
  <si>
    <t>The Tactical Air Navigation System (TACAN) channel of '20Z' is assigned to the aircraft that is receiving fuel during air Refuel operations.</t>
  </si>
  <si>
    <t>ChxCode_chan020Z</t>
  </si>
  <si>
    <t>(Aeronautical Information Exchange Model (AIXM): '21X')</t>
  </si>
  <si>
    <t>chan021X</t>
  </si>
  <si>
    <t>Channel 21X</t>
  </si>
  <si>
    <t>The Tactical Air Navigation System (TACAN) channel of '21X' is assigned to the aircraft that is receiving fuel during air Refuel operations.</t>
  </si>
  <si>
    <t>ChxCode_chan021X</t>
  </si>
  <si>
    <t>(Aeronautical Information Exchange Model (AIXM): '21Y')</t>
  </si>
  <si>
    <t>chan021Y</t>
  </si>
  <si>
    <t>Channel 21Y</t>
  </si>
  <si>
    <t>The Tactical Air Navigation System (TACAN) channel of '21Y' is assigned to the aircraft that is receiving fuel during air Refuel operations.</t>
  </si>
  <si>
    <t>ChxCode_chan021Y</t>
  </si>
  <si>
    <t>(Aeronautical Information Exchange Model (AIXM): '21Z')</t>
  </si>
  <si>
    <t>chan021Z</t>
  </si>
  <si>
    <t>Channel 21Z</t>
  </si>
  <si>
    <t>The Tactical Air Navigation System (TACAN) channel of '21Z' is assigned to the aircraft that is receiving fuel during air Refuel operations.</t>
  </si>
  <si>
    <t>ChxCode_chan021Z</t>
  </si>
  <si>
    <t>(Aeronautical Information Exchange Model (AIXM): '22W')</t>
  </si>
  <si>
    <t>chan022W</t>
  </si>
  <si>
    <t>Channel 22W</t>
  </si>
  <si>
    <t>The Tactical Air Navigation System (TACAN) channel of '22W' is assigned to the aircraft that is receiving fuel during air Refuel operations.</t>
  </si>
  <si>
    <t>ChxCode_chan022W</t>
  </si>
  <si>
    <t>(Aeronautical Information Exchange Model (AIXM): '22X')</t>
  </si>
  <si>
    <t>chan022X</t>
  </si>
  <si>
    <t>Channel 22X</t>
  </si>
  <si>
    <t>The Tactical Air Navigation System (TACAN) channel of '22X' is assigned to the aircraft that is receiving fuel during air Refuel operations.</t>
  </si>
  <si>
    <t>ChxCode_chan022X</t>
  </si>
  <si>
    <t>(Aeronautical Information Exchange Model (AIXM): '22Y')</t>
  </si>
  <si>
    <t>chan022Y</t>
  </si>
  <si>
    <t>Channel 22Y</t>
  </si>
  <si>
    <t>The Tactical Air Navigation System (TACAN) channel of '22Y' is assigned to the aircraft that is receiving fuel during air Refuel operations.</t>
  </si>
  <si>
    <t>ChxCode_chan022Y</t>
  </si>
  <si>
    <t>(Aeronautical Information Exchange Model (AIXM): '22Z')</t>
  </si>
  <si>
    <t>chan022Z</t>
  </si>
  <si>
    <t>Channel 22Z</t>
  </si>
  <si>
    <t>The Tactical Air Navigation System (TACAN) channel of '22Z' is assigned to the aircraft that is receiving fuel during air Refuel operations.</t>
  </si>
  <si>
    <t>ChxCode_chan022Z</t>
  </si>
  <si>
    <t>(Aeronautical Information Exchange Model (AIXM): '23X')</t>
  </si>
  <si>
    <t>chan023X</t>
  </si>
  <si>
    <t>Channel 23X</t>
  </si>
  <si>
    <t>The Tactical Air Navigation System (TACAN) channel of '23X' is assigned to the aircraft that is receiving fuel during air Refuel operations.</t>
  </si>
  <si>
    <t>ChxCode_chan023X</t>
  </si>
  <si>
    <t>(Aeronautical Information Exchange Model (AIXM): '23Y')</t>
  </si>
  <si>
    <t>chan023Y</t>
  </si>
  <si>
    <t>Channel 23Y</t>
  </si>
  <si>
    <t>The Tactical Air Navigation System (TACAN) channel of '23Y' is assigned to the aircraft that is receiving fuel during air Refuel operations.</t>
  </si>
  <si>
    <t>ChxCode_chan023Y</t>
  </si>
  <si>
    <t>(Aeronautical Information Exchange Model (AIXM): '23Z')</t>
  </si>
  <si>
    <t>chan023Z</t>
  </si>
  <si>
    <t>Channel 23Z</t>
  </si>
  <si>
    <t>The Tactical Air Navigation System (TACAN) channel of '23Z' is assigned to the aircraft that is receiving fuel during air Refuel operations.</t>
  </si>
  <si>
    <t>ChxCode_chan023Z</t>
  </si>
  <si>
    <t>(Aeronautical Information Exchange Model (AIXM): '24W')</t>
  </si>
  <si>
    <t>chan024W</t>
  </si>
  <si>
    <t>Channel 24W</t>
  </si>
  <si>
    <t>The Tactical Air Navigation System (TACAN) channel of '24W' is assigned to the aircraft that is receiving fuel during air Refuel operations.</t>
  </si>
  <si>
    <t>ChxCode_chan024W</t>
  </si>
  <si>
    <t>(Aeronautical Information Exchange Model (AIXM): '24X')</t>
  </si>
  <si>
    <t>chan024X</t>
  </si>
  <si>
    <t>Channel 24X</t>
  </si>
  <si>
    <t>The Tactical Air Navigation System (TACAN) channel of '24X' is assigned to the aircraft that is receiving fuel during air Refuel operations.</t>
  </si>
  <si>
    <t>ChxCode_chan024X</t>
  </si>
  <si>
    <t>(Aeronautical Information Exchange Model (AIXM): '24Y')</t>
  </si>
  <si>
    <t>chan024Y</t>
  </si>
  <si>
    <t>Channel 24Y</t>
  </si>
  <si>
    <t>The Tactical Air Navigation System (TACAN) channel of '24Y' is assigned to the aircraft that is receiving fuel during air Refuel operations.</t>
  </si>
  <si>
    <t>ChxCode_chan024Y</t>
  </si>
  <si>
    <t>(Aeronautical Information Exchange Model (AIXM): '24Z')</t>
  </si>
  <si>
    <t>chan024Z</t>
  </si>
  <si>
    <t>Channel 24Z</t>
  </si>
  <si>
    <t>The Tactical Air Navigation System (TACAN) channel of '24Z' is assigned to the aircraft that is receiving fuel during air Refuel operations.</t>
  </si>
  <si>
    <t>ChxCode_chan024Z</t>
  </si>
  <si>
    <t>(Aeronautical Information Exchange Model (AIXM): '25X')</t>
  </si>
  <si>
    <t>chan025X</t>
  </si>
  <si>
    <t>Channel 25X</t>
  </si>
  <si>
    <t>The Tactical Air Navigation System (TACAN) channel of '25X' is assigned to the aircraft that is receiving fuel during air Refuel operations.</t>
  </si>
  <si>
    <t>ChxCode_chan025X</t>
  </si>
  <si>
    <t>(Aeronautical Information Exchange Model (AIXM): '25Y')</t>
  </si>
  <si>
    <t>chan025Y</t>
  </si>
  <si>
    <t>Channel 25Y</t>
  </si>
  <si>
    <t>The Tactical Air Navigation System (TACAN) channel of '25Y' is assigned to the aircraft that is receiving fuel during air Refuel operations.</t>
  </si>
  <si>
    <t>ChxCode_chan025Y</t>
  </si>
  <si>
    <t>(Aeronautical Information Exchange Model (AIXM): '25Z')</t>
  </si>
  <si>
    <t>chan025Z</t>
  </si>
  <si>
    <t>Channel 25Z</t>
  </si>
  <si>
    <t>The Tactical Air Navigation System (TACAN) channel of '25Z' is assigned to the aircraft that is receiving fuel during air Refuel operations.</t>
  </si>
  <si>
    <t>ChxCode_chan025Z</t>
  </si>
  <si>
    <t>(Aeronautical Information Exchange Model (AIXM): '26W')</t>
  </si>
  <si>
    <t>chan026W</t>
  </si>
  <si>
    <t>Channel 26W</t>
  </si>
  <si>
    <t>The Tactical Air Navigation System (TACAN) channel of '26W' is assigned to the aircraft that is receiving fuel during air Refuel operations.</t>
  </si>
  <si>
    <t>ChxCode_chan026W</t>
  </si>
  <si>
    <t>(Aeronautical Information Exchange Model (AIXM): '26X')</t>
  </si>
  <si>
    <t>chan026X</t>
  </si>
  <si>
    <t>Channel 26X</t>
  </si>
  <si>
    <t>The Tactical Air Navigation System (TACAN) channel of '26X' is assigned to the aircraft that is receiving fuel during air Refuel operations.</t>
  </si>
  <si>
    <t>ChxCode_chan026X</t>
  </si>
  <si>
    <t>(Aeronautical Information Exchange Model (AIXM): '26Y')</t>
  </si>
  <si>
    <t>chan026Y</t>
  </si>
  <si>
    <t>Channel 26Y</t>
  </si>
  <si>
    <t>The Tactical Air Navigation System (TACAN) channel of '26Y' is assigned to the aircraft that is receiving fuel during air Refuel operations.</t>
  </si>
  <si>
    <t>ChxCode_chan026Y</t>
  </si>
  <si>
    <t>(Aeronautical Information Exchange Model (AIXM): '26Z')</t>
  </si>
  <si>
    <t>chan026Z</t>
  </si>
  <si>
    <t>Channel 26Z</t>
  </si>
  <si>
    <t>The Tactical Air Navigation System (TACAN) channel of '26Z' is assigned to the aircraft that is receiving fuel during air Refuel operations.</t>
  </si>
  <si>
    <t>ChxCode_chan026Z</t>
  </si>
  <si>
    <t>(Aeronautical Information Exchange Model (AIXM): '27X')</t>
  </si>
  <si>
    <t>chan027X</t>
  </si>
  <si>
    <t>Channel 27X</t>
  </si>
  <si>
    <t>The Tactical Air Navigation System (TACAN) channel of '27X' is assigned to the aircraft that is receiving fuel during air Refuel operations.</t>
  </si>
  <si>
    <t>ChxCode_chan027X</t>
  </si>
  <si>
    <t>(Aeronautical Information Exchange Model (AIXM): '27Y')</t>
  </si>
  <si>
    <t>chan027Y</t>
  </si>
  <si>
    <t>Channel 27Y</t>
  </si>
  <si>
    <t>The Tactical Air Navigation System (TACAN) channel of '27Y' is assigned to the aircraft that is receiving fuel during air Refuel operations.</t>
  </si>
  <si>
    <t>ChxCode_chan027Y</t>
  </si>
  <si>
    <t>(Aeronautical Information Exchange Model (AIXM): '27Z')</t>
  </si>
  <si>
    <t>chan027Z</t>
  </si>
  <si>
    <t>Channel 27Z</t>
  </si>
  <si>
    <t>The Tactical Air Navigation System (TACAN) channel of '27Z' is assigned to the aircraft that is receiving fuel during air Refuel operations.</t>
  </si>
  <si>
    <t>ChxCode_chan027Z</t>
  </si>
  <si>
    <t>(Aeronautical Information Exchange Model (AIXM): '28W')</t>
  </si>
  <si>
    <t>chan028W</t>
  </si>
  <si>
    <t>Channel 28W</t>
  </si>
  <si>
    <t>The Tactical Air Navigation System (TACAN) channel of '28W' is assigned to the aircraft that is receiving fuel during air Refuel operations.</t>
  </si>
  <si>
    <t>ChxCode_chan028W</t>
  </si>
  <si>
    <t>(Aeronautical Information Exchange Model (AIXM): '28X')</t>
  </si>
  <si>
    <t>chan028X</t>
  </si>
  <si>
    <t>Channel 28X</t>
  </si>
  <si>
    <t>The Tactical Air Navigation System (TACAN) channel of '28X' is assigned to the aircraft that is receiving fuel during air Refuel operations.</t>
  </si>
  <si>
    <t>ChxCode_chan028X</t>
  </si>
  <si>
    <t>(Aeronautical Information Exchange Model (AIXM): '28Y')</t>
  </si>
  <si>
    <t>chan028Y</t>
  </si>
  <si>
    <t>Channel 28Y</t>
  </si>
  <si>
    <t>The Tactical Air Navigation System (TACAN) channel of '28Y' is assigned to the aircraft that is receiving fuel during air Refuel operations.</t>
  </si>
  <si>
    <t>ChxCode_chan028Y</t>
  </si>
  <si>
    <t>(Aeronautical Information Exchange Model (AIXM): '28Z')</t>
  </si>
  <si>
    <t>chan028Z</t>
  </si>
  <si>
    <t>Channel 28Z</t>
  </si>
  <si>
    <t>The Tactical Air Navigation System (TACAN) channel of '28Z' is assigned to the aircraft that is receiving fuel during air Refuel operations.</t>
  </si>
  <si>
    <t>ChxCode_chan028Z</t>
  </si>
  <si>
    <t>(Aeronautical Information Exchange Model (AIXM): '29X')</t>
  </si>
  <si>
    <t>chan029X</t>
  </si>
  <si>
    <t>Channel 29X</t>
  </si>
  <si>
    <t>The Tactical Air Navigation System (TACAN) channel of '29X' is assigned to the aircraft that is receiving fuel during air Refuel operations.</t>
  </si>
  <si>
    <t>ChxCode_chan029X</t>
  </si>
  <si>
    <t>(Aeronautical Information Exchange Model (AIXM): '29Y')</t>
  </si>
  <si>
    <t>chan029Y</t>
  </si>
  <si>
    <t>Channel 29Y</t>
  </si>
  <si>
    <t>The Tactical Air Navigation System (TACAN) channel of '29Y' is assigned to the aircraft that is receiving fuel during air Refuel operations.</t>
  </si>
  <si>
    <t>ChxCode_chan029Y</t>
  </si>
  <si>
    <t>(Aeronautical Information Exchange Model (AIXM): '29Z')</t>
  </si>
  <si>
    <t>chan029Z</t>
  </si>
  <si>
    <t>Channel 29Z</t>
  </si>
  <si>
    <t>The Tactical Air Navigation System (TACAN) channel of '29Z' is assigned to the aircraft that is receiving fuel during air Refuel operations.</t>
  </si>
  <si>
    <t>ChxCode_chan029Z</t>
  </si>
  <si>
    <t>(Aeronautical Information Exchange Model (AIXM): '2X')</t>
  </si>
  <si>
    <t>chan002X</t>
  </si>
  <si>
    <t>Channel 2X</t>
  </si>
  <si>
    <t>The Tactical Air Navigation System (TACAN) channel of '2X' is assigned to the aircraft that is receiving fuel during air Refuel operations.</t>
  </si>
  <si>
    <t>ChxCode_chan002X</t>
  </si>
  <si>
    <t>(Aeronautical Information Exchange Model (AIXM): '2Y')</t>
  </si>
  <si>
    <t>chan002Y</t>
  </si>
  <si>
    <t>Channel 2Y</t>
  </si>
  <si>
    <t>The Tactical Air Navigation System (TACAN) channel of '2Y' is assigned to the aircraft that is receiving fuel during air Refuel operations.</t>
  </si>
  <si>
    <t>ChxCode_chan002Y</t>
  </si>
  <si>
    <t>(Aeronautical Information Exchange Model (AIXM): '30W')</t>
  </si>
  <si>
    <t>chan030W</t>
  </si>
  <si>
    <t>Channel 30W</t>
  </si>
  <si>
    <t>The Tactical Air Navigation System (TACAN) channel of '30W' is assigned to the aircraft that is receiving fuel during air Refuel operations.</t>
  </si>
  <si>
    <t>ChxCode_chan030W</t>
  </si>
  <si>
    <t>(Aeronautical Information Exchange Model (AIXM): '30X')</t>
  </si>
  <si>
    <t>chan030X</t>
  </si>
  <si>
    <t>Channel 30X</t>
  </si>
  <si>
    <t>The Tactical Air Navigation System (TACAN) channel of '30X' is assigned to the aircraft that is receiving fuel during air Refuel operations.</t>
  </si>
  <si>
    <t>ChxCode_chan030X</t>
  </si>
  <si>
    <t>(Aeronautical Information Exchange Model (AIXM): '30Y')</t>
  </si>
  <si>
    <t>chan030Y</t>
  </si>
  <si>
    <t>Channel 30Y</t>
  </si>
  <si>
    <t>The Tactical Air Navigation System (TACAN) channel of '30Y' is assigned to the aircraft that is receiving fuel during air Refuel operations.</t>
  </si>
  <si>
    <t>ChxCode_chan030Y</t>
  </si>
  <si>
    <t>(Aeronautical Information Exchange Model (AIXM): '30Z')</t>
  </si>
  <si>
    <t>chan030Z</t>
  </si>
  <si>
    <t>Channel 30Z</t>
  </si>
  <si>
    <t>The Tactical Air Navigation System (TACAN) channel of '30Z' is assigned to the aircraft that is receiving fuel during air Refuel operations.</t>
  </si>
  <si>
    <t>ChxCode_chan030Z</t>
  </si>
  <si>
    <t>(Aeronautical Information Exchange Model (AIXM): '31X')</t>
  </si>
  <si>
    <t>chan031X</t>
  </si>
  <si>
    <t>Channel 31X</t>
  </si>
  <si>
    <t>The Tactical Air Navigation System (TACAN) channel of '31X' is assigned to the aircraft that is receiving fuel during air Refuel operations.</t>
  </si>
  <si>
    <t>ChxCode_chan031X</t>
  </si>
  <si>
    <t>(Aeronautical Information Exchange Model (AIXM): '31Y')</t>
  </si>
  <si>
    <t>chan031Y</t>
  </si>
  <si>
    <t>Channel 31Y</t>
  </si>
  <si>
    <t>The Tactical Air Navigation System (TACAN) channel of '31Y' is assigned to the aircraft that is receiving fuel during air Refuel operations.</t>
  </si>
  <si>
    <t>ChxCode_chan031Y</t>
  </si>
  <si>
    <t>(Aeronautical Information Exchange Model (AIXM): '31Z')</t>
  </si>
  <si>
    <t>chan031Z</t>
  </si>
  <si>
    <t>Channel 31Z</t>
  </si>
  <si>
    <t>The Tactical Air Navigation System (TACAN) channel of '31Z' is assigned to the aircraft that is receiving fuel during air Refuel operations.</t>
  </si>
  <si>
    <t>ChxCode_chan031Z</t>
  </si>
  <si>
    <t>(Aeronautical Information Exchange Model (AIXM): '32W')</t>
  </si>
  <si>
    <t>chan032W</t>
  </si>
  <si>
    <t>Channel 32W</t>
  </si>
  <si>
    <t>The Tactical Air Navigation System (TACAN) channel of '32W' is assigned to the aircraft that is receiving fuel during air Refuel operations.</t>
  </si>
  <si>
    <t>ChxCode_chan032W</t>
  </si>
  <si>
    <t>(Aeronautical Information Exchange Model (AIXM): '32X')</t>
  </si>
  <si>
    <t>chan032X</t>
  </si>
  <si>
    <t>Channel 32X</t>
  </si>
  <si>
    <t>The Tactical Air Navigation System (TACAN) channel of '32X' is assigned to the aircraft that is receiving fuel during air Refuel operations.</t>
  </si>
  <si>
    <t>ChxCode_chan032X</t>
  </si>
  <si>
    <t>(Aeronautical Information Exchange Model (AIXM): '32Y')</t>
  </si>
  <si>
    <t>chan032Y</t>
  </si>
  <si>
    <t>Channel 32Y</t>
  </si>
  <si>
    <t>The Tactical Air Navigation System (TACAN) channel of '32Y' is assigned to the aircraft that is receiving fuel during air Refuel operations.</t>
  </si>
  <si>
    <t>ChxCode_chan032Y</t>
  </si>
  <si>
    <t>(Aeronautical Information Exchange Model (AIXM): '32Z')</t>
  </si>
  <si>
    <t>chan032Z</t>
  </si>
  <si>
    <t>Channel 32Z</t>
  </si>
  <si>
    <t>The Tactical Air Navigation System (TACAN) channel of '32Z' is assigned to the aircraft that is receiving fuel during air Refuel operations.</t>
  </si>
  <si>
    <t>ChxCode_chan032Z</t>
  </si>
  <si>
    <t>(Aeronautical Information Exchange Model (AIXM): '33X')</t>
  </si>
  <si>
    <t>chan033X</t>
  </si>
  <si>
    <t>Channel 33X</t>
  </si>
  <si>
    <t>The Tactical Air Navigation System (TACAN) channel of '33X' is assigned to the aircraft that is receiving fuel during air Refuel operations.</t>
  </si>
  <si>
    <t>ChxCode_chan033X</t>
  </si>
  <si>
    <t>(Aeronautical Information Exchange Model (AIXM): '33Y')</t>
  </si>
  <si>
    <t>chan033Y</t>
  </si>
  <si>
    <t>Channel 33Y</t>
  </si>
  <si>
    <t>The Tactical Air Navigation System (TACAN) channel of '33Y' is assigned to the aircraft that is receiving fuel during air Refuel operations.</t>
  </si>
  <si>
    <t>ChxCode_chan033Y</t>
  </si>
  <si>
    <t>(Aeronautical Information Exchange Model (AIXM): '33Z')</t>
  </si>
  <si>
    <t>chan033Z</t>
  </si>
  <si>
    <t>Channel 33Z</t>
  </si>
  <si>
    <t>The Tactical Air Navigation System (TACAN) channel of '33Z' is assigned to the aircraft that is receiving fuel during air Refuel operations.</t>
  </si>
  <si>
    <t>ChxCode_chan033Z</t>
  </si>
  <si>
    <t>(Aeronautical Information Exchange Model (AIXM): '34W')</t>
  </si>
  <si>
    <t>chan034W</t>
  </si>
  <si>
    <t>Channel 34W</t>
  </si>
  <si>
    <t>The Tactical Air Navigation System (TACAN) channel of '34W' is assigned to the aircraft that is receiving fuel during air Refuel operations.</t>
  </si>
  <si>
    <t>ChxCode_chan034W</t>
  </si>
  <si>
    <t>(Aeronautical Information Exchange Model (AIXM): '34X')</t>
  </si>
  <si>
    <t>chan034X</t>
  </si>
  <si>
    <t>Channel 34X</t>
  </si>
  <si>
    <t>The Tactical Air Navigation System (TACAN) channel of '34X' is assigned to the aircraft that is receiving fuel during air Refuel operations.</t>
  </si>
  <si>
    <t>ChxCode_chan034X</t>
  </si>
  <si>
    <t>(Aeronautical Information Exchange Model (AIXM): '34Y')</t>
  </si>
  <si>
    <t>chan034Y</t>
  </si>
  <si>
    <t>Channel 34Y</t>
  </si>
  <si>
    <t>The Tactical Air Navigation System (TACAN) channel of '34Y' is assigned to the aircraft that is receiving fuel during air Refuel operations.</t>
  </si>
  <si>
    <t>ChxCode_chan034Y</t>
  </si>
  <si>
    <t>(Aeronautical Information Exchange Model (AIXM): '34Z')</t>
  </si>
  <si>
    <t>chan034Z</t>
  </si>
  <si>
    <t>Channel 34Z</t>
  </si>
  <si>
    <t>The Tactical Air Navigation System (TACAN) channel of '34Z' is assigned to the aircraft that is receiving fuel during air Refuel operations.</t>
  </si>
  <si>
    <t>ChxCode_chan034Z</t>
  </si>
  <si>
    <t>(Aeronautical Information Exchange Model (AIXM): '35X')</t>
  </si>
  <si>
    <t>chan035X</t>
  </si>
  <si>
    <t>Channel 35X</t>
  </si>
  <si>
    <t>The Tactical Air Navigation System (TACAN) channel of '35X' is assigned to the aircraft that is receiving fuel during air Refuel operations.</t>
  </si>
  <si>
    <t>ChxCode_chan035X</t>
  </si>
  <si>
    <t>(Aeronautical Information Exchange Model (AIXM): '35Y')</t>
  </si>
  <si>
    <t>chan035Y</t>
  </si>
  <si>
    <t>Channel 35Y</t>
  </si>
  <si>
    <t>The Tactical Air Navigation System (TACAN) channel of '35Y' is assigned to the aircraft that is receiving fuel during air Refuel operations.</t>
  </si>
  <si>
    <t>ChxCode_chan035Y</t>
  </si>
  <si>
    <t>(Aeronautical Information Exchange Model (AIXM): '35Z')</t>
  </si>
  <si>
    <t>chan035Z</t>
  </si>
  <si>
    <t>Channel 35Z</t>
  </si>
  <si>
    <t>The Tactical Air Navigation System (TACAN) channel of '35Z' is assigned to the aircraft that is receiving fuel during air Refuel operations.</t>
  </si>
  <si>
    <t>ChxCode_chan035Z</t>
  </si>
  <si>
    <t>(Aeronautical Information Exchange Model (AIXM): '36W')</t>
  </si>
  <si>
    <t>chan036W</t>
  </si>
  <si>
    <t>Channel 36W</t>
  </si>
  <si>
    <t>The Tactical Air Navigation System (TACAN) channel of '36W' is assigned to the aircraft that is receiving fuel during air Refuel operations.</t>
  </si>
  <si>
    <t>ChxCode_chan036W</t>
  </si>
  <si>
    <t>(Aeronautical Information Exchange Model (AIXM): '36X')</t>
  </si>
  <si>
    <t>chan036X</t>
  </si>
  <si>
    <t>Channel 36X</t>
  </si>
  <si>
    <t>The Tactical Air Navigation System (TACAN) channel of '36X' is assigned to the aircraft that is receiving fuel during air Refuel operations.</t>
  </si>
  <si>
    <t>ChxCode_chan036X</t>
  </si>
  <si>
    <t>(Aeronautical Information Exchange Model (AIXM): '36Y')</t>
  </si>
  <si>
    <t>chan036Y</t>
  </si>
  <si>
    <t>Channel 36Y</t>
  </si>
  <si>
    <t>The Tactical Air Navigation System (TACAN) channel of '36Y' is assigned to the aircraft that is receiving fuel during air Refuel operations.</t>
  </si>
  <si>
    <t>ChxCode_chan036Y</t>
  </si>
  <si>
    <t>(Aeronautical Information Exchange Model (AIXM): '36Z')</t>
  </si>
  <si>
    <t>chan036Z</t>
  </si>
  <si>
    <t>Channel 36Z</t>
  </si>
  <si>
    <t>The Tactical Air Navigation System (TACAN) channel of '36Z' is assigned to the aircraft that is receiving fuel during air Refuel operations.</t>
  </si>
  <si>
    <t>ChxCode_chan036Z</t>
  </si>
  <si>
    <t>(Aeronautical Information Exchange Model (AIXM): '37X')</t>
  </si>
  <si>
    <t>chan037X</t>
  </si>
  <si>
    <t>Channel 37X</t>
  </si>
  <si>
    <t>The Tactical Air Navigation System (TACAN) channel of '37X' is assigned to the aircraft that is receiving fuel during air Refuel operations.</t>
  </si>
  <si>
    <t>ChxCode_chan037X</t>
  </si>
  <si>
    <t>(Aeronautical Information Exchange Model (AIXM): '37Y')</t>
  </si>
  <si>
    <t>chan037Y</t>
  </si>
  <si>
    <t>Channel 37Y</t>
  </si>
  <si>
    <t>The Tactical Air Navigation System (TACAN) channel of '37Y' is assigned to the aircraft that is receiving fuel during air Refuel operations.</t>
  </si>
  <si>
    <t>ChxCode_chan037Y</t>
  </si>
  <si>
    <t>(Aeronautical Information Exchange Model (AIXM): '37Z')</t>
  </si>
  <si>
    <t>chan037Z</t>
  </si>
  <si>
    <t>Channel 37Z</t>
  </si>
  <si>
    <t>The Tactical Air Navigation System (TACAN) channel of '37Z' is assigned to the aircraft that is receiving fuel during air Refuel operations.</t>
  </si>
  <si>
    <t>ChxCode_chan037Z</t>
  </si>
  <si>
    <t>(Aeronautical Information Exchange Model (AIXM): '38W')</t>
  </si>
  <si>
    <t>chan038W</t>
  </si>
  <si>
    <t>Channel 38W</t>
  </si>
  <si>
    <t>The Tactical Air Navigation System (TACAN) channel of '38W' is assigned to the aircraft that is receiving fuel during air Refuel operations.</t>
  </si>
  <si>
    <t>ChxCode_chan038W</t>
  </si>
  <si>
    <t>(Aeronautical Information Exchange Model (AIXM): '38X')</t>
  </si>
  <si>
    <t>chan038X</t>
  </si>
  <si>
    <t>Channel 38X</t>
  </si>
  <si>
    <t>The Tactical Air Navigation System (TACAN) channel of '38X' is assigned to the aircraft that is receiving fuel during air Refuel operations.</t>
  </si>
  <si>
    <t>ChxCode_chan038X</t>
  </si>
  <si>
    <t>(Aeronautical Information Exchange Model (AIXM): '38Y')</t>
  </si>
  <si>
    <t>chan038Y</t>
  </si>
  <si>
    <t>Channel 38Y</t>
  </si>
  <si>
    <t>The Tactical Air Navigation System (TACAN) channel of '38Y' is assigned to the aircraft that is receiving fuel during air Refuel operations.</t>
  </si>
  <si>
    <t>ChxCode_chan038Y</t>
  </si>
  <si>
    <t>(Aeronautical Information Exchange Model (AIXM): '38Z')</t>
  </si>
  <si>
    <t>chan038Z</t>
  </si>
  <si>
    <t>Channel 38Z</t>
  </si>
  <si>
    <t>The Tactical Air Navigation System (TACAN) channel of '38Z' is assigned to the aircraft that is receiving fuel during air Refuel operations.</t>
  </si>
  <si>
    <t>ChxCode_chan038Z</t>
  </si>
  <si>
    <t>(Aeronautical Information Exchange Model (AIXM): '39X')</t>
  </si>
  <si>
    <t>chan039X</t>
  </si>
  <si>
    <t>Channel 39X</t>
  </si>
  <si>
    <t>The Tactical Air Navigation System (TACAN) channel of '39X' is assigned to the aircraft that is receiving fuel during air Refuel operations.</t>
  </si>
  <si>
    <t>ChxCode_chan039X</t>
  </si>
  <si>
    <t>(Aeronautical Information Exchange Model (AIXM): '39Y')</t>
  </si>
  <si>
    <t>chan039Y</t>
  </si>
  <si>
    <t>Channel 39Y</t>
  </si>
  <si>
    <t>The Tactical Air Navigation System (TACAN) channel of '39Y' is assigned to the aircraft that is receiving fuel during air Refuel operations.</t>
  </si>
  <si>
    <t>ChxCode_chan039Y</t>
  </si>
  <si>
    <t>(Aeronautical Information Exchange Model (AIXM): '39Z')</t>
  </si>
  <si>
    <t>chan039Z</t>
  </si>
  <si>
    <t>Channel 39Z</t>
  </si>
  <si>
    <t>The Tactical Air Navigation System (TACAN) channel of '39Z' is assigned to the aircraft that is receiving fuel during air Refuel operations.</t>
  </si>
  <si>
    <t>ChxCode_chan039Z</t>
  </si>
  <si>
    <t>(Aeronautical Information Exchange Model (AIXM): '3X')</t>
  </si>
  <si>
    <t>chan003X</t>
  </si>
  <si>
    <t>Channel 3X</t>
  </si>
  <si>
    <t>The Tactical Air Navigation System (TACAN) channel of '3X' is assigned to the aircraft that is receiving fuel during air Refuel operations.</t>
  </si>
  <si>
    <t>ChxCode_chan003X</t>
  </si>
  <si>
    <t>(Aeronautical Information Exchange Model (AIXM): '3Y')</t>
  </si>
  <si>
    <t>chan003Y</t>
  </si>
  <si>
    <t>Channel 3Y</t>
  </si>
  <si>
    <t>The Tactical Air Navigation System (TACAN) channel of '3Y' is assigned to the aircraft that is receiving fuel during air Refuel operations.</t>
  </si>
  <si>
    <t>ChxCode_chan003Y</t>
  </si>
  <si>
    <t>(Aeronautical Information Exchange Model (AIXM): '40W')</t>
  </si>
  <si>
    <t>chan040W</t>
  </si>
  <si>
    <t>Channel 40W</t>
  </si>
  <si>
    <t>The Tactical Air Navigation System (TACAN) channel of '40W' is assigned to the aircraft that is receiving fuel during air Refuel operations.</t>
  </si>
  <si>
    <t>ChxCode_chan040W</t>
  </si>
  <si>
    <t>(Aeronautical Information Exchange Model (AIXM): '40X')</t>
  </si>
  <si>
    <t>chan040X</t>
  </si>
  <si>
    <t>Channel 40X</t>
  </si>
  <si>
    <t>The Tactical Air Navigation System (TACAN) channel of '40X' is assigned to the aircraft that is receiving fuel during air Refuel operations.</t>
  </si>
  <si>
    <t>ChxCode_chan040X</t>
  </si>
  <si>
    <t>(Aeronautical Information Exchange Model (AIXM): '40Y')</t>
  </si>
  <si>
    <t>chan040Y</t>
  </si>
  <si>
    <t>Channel 40Y</t>
  </si>
  <si>
    <t>The Tactical Air Navigation System (TACAN) channel of '40Y' is assigned to the aircraft that is receiving fuel during air Refuel operations.</t>
  </si>
  <si>
    <t>ChxCode_chan040Y</t>
  </si>
  <si>
    <t>(Aeronautical Information Exchange Model (AIXM): '40Z')</t>
  </si>
  <si>
    <t>chan040Z</t>
  </si>
  <si>
    <t>Channel 40Z</t>
  </si>
  <si>
    <t>The Tactical Air Navigation System (TACAN) channel of '40Z' is assigned to the aircraft that is receiving fuel during air Refuel operations.</t>
  </si>
  <si>
    <t>ChxCode_chan040Z</t>
  </si>
  <si>
    <t>(Aeronautical Information Exchange Model (AIXM): '41X')</t>
  </si>
  <si>
    <t>chan041X</t>
  </si>
  <si>
    <t>Channel 41X</t>
  </si>
  <si>
    <t>The Tactical Air Navigation System (TACAN) channel of '41X' is assigned to the aircraft that is receiving fuel during air Refuel operations.</t>
  </si>
  <si>
    <t>ChxCode_chan041X</t>
  </si>
  <si>
    <t>(Aeronautical Information Exchange Model (AIXM): '41Y')</t>
  </si>
  <si>
    <t>chan041Y</t>
  </si>
  <si>
    <t>Channel 41Y</t>
  </si>
  <si>
    <t>The Tactical Air Navigation System (TACAN) channel of '41Y' is assigned to the aircraft that is receiving fuel during air Refuel operations.</t>
  </si>
  <si>
    <t>ChxCode_chan041Y</t>
  </si>
  <si>
    <t>(Aeronautical Information Exchange Model (AIXM): '41Z')</t>
  </si>
  <si>
    <t>chan041Z</t>
  </si>
  <si>
    <t>Channel 41Z</t>
  </si>
  <si>
    <t>The Tactical Air Navigation System (TACAN) channel of '41Z' is assigned to the aircraft that is receiving fuel during air Refuel operations.</t>
  </si>
  <si>
    <t>ChxCode_chan041Z</t>
  </si>
  <si>
    <t>(Aeronautical Information Exchange Model (AIXM): '42W')</t>
  </si>
  <si>
    <t>chan042W</t>
  </si>
  <si>
    <t>Channel 42W</t>
  </si>
  <si>
    <t>The Tactical Air Navigation System (TACAN) channel of '42W' is assigned to the aircraft that is receiving fuel during air Refuel operations.</t>
  </si>
  <si>
    <t>ChxCode_chan042W</t>
  </si>
  <si>
    <t>(Aeronautical Information Exchange Model (AIXM): '42X')</t>
  </si>
  <si>
    <t>chan042X</t>
  </si>
  <si>
    <t>Channel 42X</t>
  </si>
  <si>
    <t>The Tactical Air Navigation System (TACAN) channel of '42X' is assigned to the aircraft that is receiving fuel during air Refuel operations.</t>
  </si>
  <si>
    <t>ChxCode_chan042X</t>
  </si>
  <si>
    <t>(Aeronautical Information Exchange Model (AIXM): '42Y')</t>
  </si>
  <si>
    <t>chan042Y</t>
  </si>
  <si>
    <t>Channel 42Y</t>
  </si>
  <si>
    <t>The Tactical Air Navigation System (TACAN) channel of '42Y' is assigned to the aircraft that is receiving fuel during air Refuel operations.</t>
  </si>
  <si>
    <t>ChxCode_chan042Y</t>
  </si>
  <si>
    <t>(Aeronautical Information Exchange Model (AIXM): '42Z')</t>
  </si>
  <si>
    <t>chan042Z</t>
  </si>
  <si>
    <t>Channel 42Z</t>
  </si>
  <si>
    <t>The Tactical Air Navigation System (TACAN) channel of '42Z' is assigned to the aircraft that is receiving fuel during air Refuel operations.</t>
  </si>
  <si>
    <t>ChxCode_chan042Z</t>
  </si>
  <si>
    <t>(Aeronautical Information Exchange Model (AIXM): '43X')</t>
  </si>
  <si>
    <t>chan043X</t>
  </si>
  <si>
    <t>Channel 43X</t>
  </si>
  <si>
    <t>The Tactical Air Navigation System (TACAN) channel of '43X' is assigned to the aircraft that is receiving fuel during air Refuel operations.</t>
  </si>
  <si>
    <t>ChxCode_chan043X</t>
  </si>
  <si>
    <t>(Aeronautical Information Exchange Model (AIXM): '43Y')</t>
  </si>
  <si>
    <t>chan043Y</t>
  </si>
  <si>
    <t>Channel 43Y</t>
  </si>
  <si>
    <t>The Tactical Air Navigation System (TACAN) channel of '43Y' is assigned to the aircraft that is receiving fuel during air Refuel operations.</t>
  </si>
  <si>
    <t>ChxCode_chan043Y</t>
  </si>
  <si>
    <t>(Aeronautical Information Exchange Model (AIXM): '43Z')</t>
  </si>
  <si>
    <t>chan043Z</t>
  </si>
  <si>
    <t>Channel 43Z</t>
  </si>
  <si>
    <t>The Tactical Air Navigation System (TACAN) channel of '43Z' is assigned to the aircraft that is receiving fuel during air Refuel operations.</t>
  </si>
  <si>
    <t>ChxCode_chan043Z</t>
  </si>
  <si>
    <t>(Aeronautical Information Exchange Model (AIXM): '44W')</t>
  </si>
  <si>
    <t>chan044W</t>
  </si>
  <si>
    <t>Channel 44W</t>
  </si>
  <si>
    <t>The Tactical Air Navigation System (TACAN) channel of '44W' is assigned to the aircraft that is receiving fuel during air Refuel operations.</t>
  </si>
  <si>
    <t>ChxCode_chan044W</t>
  </si>
  <si>
    <t>(Aeronautical Information Exchange Model (AIXM): '44X')</t>
  </si>
  <si>
    <t>chan044X</t>
  </si>
  <si>
    <t>Channel 44X</t>
  </si>
  <si>
    <t>The Tactical Air Navigation System (TACAN) channel of '44X' is assigned to the aircraft that is receiving fuel during air Refuel operations.</t>
  </si>
  <si>
    <t>ChxCode_chan044X</t>
  </si>
  <si>
    <t>(Aeronautical Information Exchange Model (AIXM): '44Y')</t>
  </si>
  <si>
    <t>chan044Y</t>
  </si>
  <si>
    <t>Channel 44Y</t>
  </si>
  <si>
    <t>The Tactical Air Navigation System (TACAN) channel of '44Y' is assigned to the aircraft that is receiving fuel during air Refuel operations.</t>
  </si>
  <si>
    <t>ChxCode_chan044Y</t>
  </si>
  <si>
    <t>(Aeronautical Information Exchange Model (AIXM): '44Z')</t>
  </si>
  <si>
    <t>chan044Z</t>
  </si>
  <si>
    <t>Channel 44Z</t>
  </si>
  <si>
    <t>The Tactical Air Navigation System (TACAN) channel of '44Z' is assigned to the aircraft that is receiving fuel during air Refuel operations.</t>
  </si>
  <si>
    <t>ChxCode_chan044Z</t>
  </si>
  <si>
    <t>(Aeronautical Information Exchange Model (AIXM): '45X')</t>
  </si>
  <si>
    <t>chan045X</t>
  </si>
  <si>
    <t>Channel 45X</t>
  </si>
  <si>
    <t>The Tactical Air Navigation System (TACAN) channel of '45X' is assigned to the aircraft that is receiving fuel during air Refuel operations.</t>
  </si>
  <si>
    <t>ChxCode_chan045X</t>
  </si>
  <si>
    <t>(Aeronautical Information Exchange Model (AIXM): '45Y')</t>
  </si>
  <si>
    <t>chan045Y</t>
  </si>
  <si>
    <t>Channel 45Y</t>
  </si>
  <si>
    <t>The Tactical Air Navigation System (TACAN) channel of '45Y' is assigned to the aircraft that is receiving fuel during air Refuel operations.</t>
  </si>
  <si>
    <t>ChxCode_chan045Y</t>
  </si>
  <si>
    <t>(Aeronautical Information Exchange Model (AIXM): '45Z')</t>
  </si>
  <si>
    <t>chan045Z</t>
  </si>
  <si>
    <t>Channel 45Z</t>
  </si>
  <si>
    <t>The Tactical Air Navigation System (TACAN) channel of '45Z' is assigned to the aircraft that is receiving fuel during air Refuel operations.</t>
  </si>
  <si>
    <t>ChxCode_chan045Z</t>
  </si>
  <si>
    <t>(Aeronautical Information Exchange Model (AIXM): '46W')</t>
  </si>
  <si>
    <t>chan046W</t>
  </si>
  <si>
    <t>Channel 46W</t>
  </si>
  <si>
    <t>The Tactical Air Navigation System (TACAN) channel of '46W' is assigned to the aircraft that is receiving fuel during air Refuel operations.</t>
  </si>
  <si>
    <t>ChxCode_chan046W</t>
  </si>
  <si>
    <t>(Aeronautical Information Exchange Model (AIXM): '46X')</t>
  </si>
  <si>
    <t>chan046X</t>
  </si>
  <si>
    <t>Channel 46X</t>
  </si>
  <si>
    <t>The Tactical Air Navigation System (TACAN) channel of '46X' is assigned to the aircraft that is receiving fuel during air Refuel operations.</t>
  </si>
  <si>
    <t>ChxCode_chan046X</t>
  </si>
  <si>
    <t>(Aeronautical Information Exchange Model (AIXM): '46Y')</t>
  </si>
  <si>
    <t>chan046Y</t>
  </si>
  <si>
    <t>Channel 46Y</t>
  </si>
  <si>
    <t>The Tactical Air Navigation System (TACAN) channel of '46Y' is assigned to the aircraft that is receiving fuel during air Refuel operations.</t>
  </si>
  <si>
    <t>ChxCode_chan046Y</t>
  </si>
  <si>
    <t>(Aeronautical Information Exchange Model (AIXM): '46Z')</t>
  </si>
  <si>
    <t>chan046Z</t>
  </si>
  <si>
    <t>Channel 46Z</t>
  </si>
  <si>
    <t>The Tactical Air Navigation System (TACAN) channel of '46Z' is assigned to the aircraft that is receiving fuel during air Refuel operations.</t>
  </si>
  <si>
    <t>ChxCode_chan046Z</t>
  </si>
  <si>
    <t>(Aeronautical Information Exchange Model (AIXM): '47X')</t>
  </si>
  <si>
    <t>chan047X</t>
  </si>
  <si>
    <t>Channel 47X</t>
  </si>
  <si>
    <t>The Tactical Air Navigation System (TACAN) channel of '47X' is assigned to the aircraft that is receiving fuel during air Refuel operations.</t>
  </si>
  <si>
    <t>ChxCode_chan047X</t>
  </si>
  <si>
    <t>(Aeronautical Information Exchange Model (AIXM): '47Y')</t>
  </si>
  <si>
    <t>chan047Y</t>
  </si>
  <si>
    <t>Channel 47Y</t>
  </si>
  <si>
    <t>The Tactical Air Navigation System (TACAN) channel of '47Y' is assigned to the aircraft that is receiving fuel during air Refuel operations.</t>
  </si>
  <si>
    <t>ChxCode_chan047Y</t>
  </si>
  <si>
    <t>(Aeronautical Information Exchange Model (AIXM): '47Z')</t>
  </si>
  <si>
    <t>chan047Z</t>
  </si>
  <si>
    <t>Channel 47Z</t>
  </si>
  <si>
    <t>The Tactical Air Navigation System (TACAN) channel of '47Z' is assigned to the aircraft that is receiving fuel during air Refuel operations.</t>
  </si>
  <si>
    <t>ChxCode_chan047Z</t>
  </si>
  <si>
    <t>(Aeronautical Information Exchange Model (AIXM): '48W')</t>
  </si>
  <si>
    <t>chan048W</t>
  </si>
  <si>
    <t>Channel 48W</t>
  </si>
  <si>
    <t>The Tactical Air Navigation System (TACAN) channel of '48W' is assigned to the aircraft that is receiving fuel during air Refuel operations.</t>
  </si>
  <si>
    <t>ChxCode_chan048W</t>
  </si>
  <si>
    <t>(Aeronautical Information Exchange Model (AIXM): '48X')</t>
  </si>
  <si>
    <t>chan048X</t>
  </si>
  <si>
    <t>Channel 48X</t>
  </si>
  <si>
    <t>The Tactical Air Navigation System (TACAN) channel of '48X' is assigned to the aircraft that is receiving fuel during air Refuel operations.</t>
  </si>
  <si>
    <t>ChxCode_chan048X</t>
  </si>
  <si>
    <t>(Aeronautical Information Exchange Model (AIXM): '48Y')</t>
  </si>
  <si>
    <t>chan048Y</t>
  </si>
  <si>
    <t>Channel 48Y</t>
  </si>
  <si>
    <t>The Tactical Air Navigation System (TACAN) channel of '48Y' is assigned to the aircraft that is receiving fuel during air Refuel operations.</t>
  </si>
  <si>
    <t>ChxCode_chan048Y</t>
  </si>
  <si>
    <t>(Aeronautical Information Exchange Model (AIXM): '48Z')</t>
  </si>
  <si>
    <t>chan048Z</t>
  </si>
  <si>
    <t>Channel 48Z</t>
  </si>
  <si>
    <t>The Tactical Air Navigation System (TACAN) channel of '48Z' is assigned to the aircraft that is receiving fuel during air Refuel operations.</t>
  </si>
  <si>
    <t>ChxCode_chan048Z</t>
  </si>
  <si>
    <t>(Aeronautical Information Exchange Model (AIXM): '49X')</t>
  </si>
  <si>
    <t>chan049X</t>
  </si>
  <si>
    <t>Channel 49X</t>
  </si>
  <si>
    <t>The Tactical Air Navigation System (TACAN) channel of '49X' is assigned to the aircraft that is receiving fuel during air Refuel operations.</t>
  </si>
  <si>
    <t>ChxCode_chan049X</t>
  </si>
  <si>
    <t>(Aeronautical Information Exchange Model (AIXM): '49Y')</t>
  </si>
  <si>
    <t>chan049Y</t>
  </si>
  <si>
    <t>Channel 49Y</t>
  </si>
  <si>
    <t>The Tactical Air Navigation System (TACAN) channel of '49Y' is assigned to the aircraft that is receiving fuel during air Refuel operations.</t>
  </si>
  <si>
    <t>ChxCode_chan049Y</t>
  </si>
  <si>
    <t>(Aeronautical Information Exchange Model (AIXM): '49Z')</t>
  </si>
  <si>
    <t>chan049Z</t>
  </si>
  <si>
    <t>Channel 49Z</t>
  </si>
  <si>
    <t>The Tactical Air Navigation System (TACAN) channel of '49Z' is assigned to the aircraft that is receiving fuel during air Refuel operations.</t>
  </si>
  <si>
    <t>ChxCode_chan049Z</t>
  </si>
  <si>
    <t>(Aeronautical Information Exchange Model (AIXM): '4X')</t>
  </si>
  <si>
    <t>chan004X</t>
  </si>
  <si>
    <t>Channel 4X</t>
  </si>
  <si>
    <t>The Tactical Air Navigation System (TACAN) channel of '4X' is assigned to the aircraft that is receiving fuel during air Refuel operations.</t>
  </si>
  <si>
    <t>ChxCode_chan004X</t>
  </si>
  <si>
    <t>(Aeronautical Information Exchange Model (AIXM): '4Y')</t>
  </si>
  <si>
    <t>chan004Y</t>
  </si>
  <si>
    <t>Channel 4Y</t>
  </si>
  <si>
    <t>The Tactical Air Navigation System (TACAN) channel of '4Y' is assigned to the aircraft that is receiving fuel during air Refuel operations.</t>
  </si>
  <si>
    <t>ChxCode_chan004Y</t>
  </si>
  <si>
    <t>(Aeronautical Information Exchange Model (AIXM): '50W')</t>
  </si>
  <si>
    <t>chan050W</t>
  </si>
  <si>
    <t>Channel 50W</t>
  </si>
  <si>
    <t>The Tactical Air Navigation System (TACAN) channel of '50W' is assigned to the aircraft that is receiving fuel during air Refuel operations.</t>
  </si>
  <si>
    <t>ChxCode_chan050W</t>
  </si>
  <si>
    <t>(Aeronautical Information Exchange Model (AIXM): '50X')</t>
  </si>
  <si>
    <t>chan050X</t>
  </si>
  <si>
    <t>Channel 50X</t>
  </si>
  <si>
    <t>The Tactical Air Navigation System (TACAN) channel of '50X' is assigned to the aircraft that is receiving fuel during air Refuel operations.</t>
  </si>
  <si>
    <t>ChxCode_chan050X</t>
  </si>
  <si>
    <t>(Aeronautical Information Exchange Model (AIXM): '50Y')</t>
  </si>
  <si>
    <t>chan050Y</t>
  </si>
  <si>
    <t>Channel 50Y</t>
  </si>
  <si>
    <t>The Tactical Air Navigation System (TACAN) channel of '50Y' is assigned to the aircraft that is receiving fuel during air Refuel operations.</t>
  </si>
  <si>
    <t>ChxCode_chan050Y</t>
  </si>
  <si>
    <t>(Aeronautical Information Exchange Model (AIXM): '50Z')</t>
  </si>
  <si>
    <t>chan050Z</t>
  </si>
  <si>
    <t>Channel 50Z</t>
  </si>
  <si>
    <t>The Tactical Air Navigation System (TACAN) channel of '50Z' is assigned to the aircraft that is receiving fuel during air Refuel operations.</t>
  </si>
  <si>
    <t>ChxCode_chan050Z</t>
  </si>
  <si>
    <t>(Aeronautical Information Exchange Model (AIXM): '51X')</t>
  </si>
  <si>
    <t>chan051X</t>
  </si>
  <si>
    <t>Channel 51X</t>
  </si>
  <si>
    <t>The Tactical Air Navigation System (TACAN) channel of '51X' is assigned to the aircraft that is receiving fuel during air Refuel operations.</t>
  </si>
  <si>
    <t>ChxCode_chan051X</t>
  </si>
  <si>
    <t>(Aeronautical Information Exchange Model (AIXM): '51Y')</t>
  </si>
  <si>
    <t>chan051Y</t>
  </si>
  <si>
    <t>Channel 51Y</t>
  </si>
  <si>
    <t>The Tactical Air Navigation System (TACAN) channel of '51Y' is assigned to the aircraft that is receiving fuel during air Refuel operations.</t>
  </si>
  <si>
    <t>ChxCode_chan051Y</t>
  </si>
  <si>
    <t>(Aeronautical Information Exchange Model (AIXM): '51Z')</t>
  </si>
  <si>
    <t>chan051Z</t>
  </si>
  <si>
    <t>Channel 51Z</t>
  </si>
  <si>
    <t>The Tactical Air Navigation System (TACAN) channel of '51Z' is assigned to the aircraft that is receiving fuel during air Refuel operations.</t>
  </si>
  <si>
    <t>ChxCode_chan051Z</t>
  </si>
  <si>
    <t>(Aeronautical Information Exchange Model (AIXM): '52W')</t>
  </si>
  <si>
    <t>chan052W</t>
  </si>
  <si>
    <t>Channel 52W</t>
  </si>
  <si>
    <t>The Tactical Air Navigation System (TACAN) channel of '52W' is assigned to the aircraft that is receiving fuel during air Refuel operations.</t>
  </si>
  <si>
    <t>ChxCode_chan052W</t>
  </si>
  <si>
    <t>(Aeronautical Information Exchange Model (AIXM): '52X')</t>
  </si>
  <si>
    <t>chan052X</t>
  </si>
  <si>
    <t>Channel 52X</t>
  </si>
  <si>
    <t>The Tactical Air Navigation System (TACAN) channel of '52X' is assigned to the aircraft that is receiving fuel during air Refuel operations.</t>
  </si>
  <si>
    <t>ChxCode_chan052X</t>
  </si>
  <si>
    <t>(Aeronautical Information Exchange Model (AIXM): '52Y')</t>
  </si>
  <si>
    <t>chan052Y</t>
  </si>
  <si>
    <t>Channel 52Y</t>
  </si>
  <si>
    <t>The Tactical Air Navigation System (TACAN) channel of '52Y' is assigned to the aircraft that is receiving fuel during air Refuel operations.</t>
  </si>
  <si>
    <t>ChxCode_chan052Y</t>
  </si>
  <si>
    <t>(Aeronautical Information Exchange Model (AIXM): '52Z')</t>
  </si>
  <si>
    <t>chan052Z</t>
  </si>
  <si>
    <t>Channel 52Z</t>
  </si>
  <si>
    <t>The Tactical Air Navigation System (TACAN) channel of '52Z' is assigned to the aircraft that is receiving fuel during air Refuel operations.</t>
  </si>
  <si>
    <t>ChxCode_chan052Z</t>
  </si>
  <si>
    <t>(Aeronautical Information Exchange Model (AIXM): '53X')</t>
  </si>
  <si>
    <t>chan053X</t>
  </si>
  <si>
    <t>Channel 53X</t>
  </si>
  <si>
    <t>The Tactical Air Navigation System (TACAN) channel of '53X' is assigned to the aircraft that is receiving fuel during air Refuel operations.</t>
  </si>
  <si>
    <t>ChxCode_chan053X</t>
  </si>
  <si>
    <t>(Aeronautical Information Exchange Model (AIXM): '53Y')</t>
  </si>
  <si>
    <t>chan053Y</t>
  </si>
  <si>
    <t>Channel 53Y</t>
  </si>
  <si>
    <t>The Tactical Air Navigation System (TACAN) channel of '53Y' is assigned to the aircraft that is receiving fuel during air Refuel operations.</t>
  </si>
  <si>
    <t>ChxCode_chan053Y</t>
  </si>
  <si>
    <t>(Aeronautical Information Exchange Model (AIXM): '53Z')</t>
  </si>
  <si>
    <t>chan053Z</t>
  </si>
  <si>
    <t>Channel 53Z</t>
  </si>
  <si>
    <t>The Tactical Air Navigation System (TACAN) channel of '53Z' is assigned to the aircraft that is receiving fuel during air Refuel operations.</t>
  </si>
  <si>
    <t>ChxCode_chan053Z</t>
  </si>
  <si>
    <t>(Aeronautical Information Exchange Model (AIXM): '54W')</t>
  </si>
  <si>
    <t>chan054W</t>
  </si>
  <si>
    <t>Channel 54W</t>
  </si>
  <si>
    <t>The Tactical Air Navigation System (TACAN) channel of '54W' is assigned to the aircraft that is receiving fuel during air Refuel operations.</t>
  </si>
  <si>
    <t>ChxCode_chan054W</t>
  </si>
  <si>
    <t>(Aeronautical Information Exchange Model (AIXM): '54X')</t>
  </si>
  <si>
    <t>chan054X</t>
  </si>
  <si>
    <t>Channel 54X</t>
  </si>
  <si>
    <t>The Tactical Air Navigation System (TACAN) channel of '54X' is assigned to the aircraft that is receiving fuel during air Refuel operations.</t>
  </si>
  <si>
    <t>ChxCode_chan054X</t>
  </si>
  <si>
    <t>(Aeronautical Information Exchange Model (AIXM): '54Y')</t>
  </si>
  <si>
    <t>chan054Y</t>
  </si>
  <si>
    <t>Channel 54Y</t>
  </si>
  <si>
    <t>The Tactical Air Navigation System (TACAN) channel of '54Y' is assigned to the aircraft that is receiving fuel during air Refuel operations.</t>
  </si>
  <si>
    <t>ChxCode_chan054Y</t>
  </si>
  <si>
    <t>(Aeronautical Information Exchange Model (AIXM): '54Z')</t>
  </si>
  <si>
    <t>chan054Z</t>
  </si>
  <si>
    <t>Channel 54Z</t>
  </si>
  <si>
    <t>The Tactical Air Navigation System (TACAN) channel of '54Z' is assigned to the aircraft that is receiving fuel during air Refuel operations.</t>
  </si>
  <si>
    <t>ChxCode_chan054Z</t>
  </si>
  <si>
    <t>(Aeronautical Information Exchange Model (AIXM): '55X')</t>
  </si>
  <si>
    <t>chan055X</t>
  </si>
  <si>
    <t>Channel 55X</t>
  </si>
  <si>
    <t>The Tactical Air Navigation System (TACAN) channel of '55X' is assigned to the aircraft that is receiving fuel during air Refuel operations.</t>
  </si>
  <si>
    <t>ChxCode_chan055X</t>
  </si>
  <si>
    <t>(Aeronautical Information Exchange Model (AIXM): '55Y')</t>
  </si>
  <si>
    <t>chan055Y</t>
  </si>
  <si>
    <t>Channel 55Y</t>
  </si>
  <si>
    <t>The Tactical Air Navigation System (TACAN) channel of '55Y' is assigned to the aircraft that is receiving fuel during air Refuel operations.</t>
  </si>
  <si>
    <t>ChxCode_chan055Y</t>
  </si>
  <si>
    <t>(Aeronautical Information Exchange Model (AIXM): '55Z')</t>
  </si>
  <si>
    <t>chan055Z</t>
  </si>
  <si>
    <t>Channel 55Z</t>
  </si>
  <si>
    <t>The Tactical Air Navigation System (TACAN) channel of '55Z' is assigned to the aircraft that is receiving fuel during air Refuel operations.</t>
  </si>
  <si>
    <t>ChxCode_chan055Z</t>
  </si>
  <si>
    <t>(Aeronautical Information Exchange Model (AIXM): '56W')</t>
  </si>
  <si>
    <t>chan056W</t>
  </si>
  <si>
    <t>Channel 56W</t>
  </si>
  <si>
    <t>The Tactical Air Navigation System (TACAN) channel of '56W' is assigned to the aircraft that is receiving fuel during air Refuel operations.</t>
  </si>
  <si>
    <t>ChxCode_chan056W</t>
  </si>
  <si>
    <t>(Aeronautical Information Exchange Model (AIXM): '56X')</t>
  </si>
  <si>
    <t>chan056X</t>
  </si>
  <si>
    <t>Channel 56X</t>
  </si>
  <si>
    <t>The Tactical Air Navigation System (TACAN) channel of '56X' is assigned to the aircraft that is receiving fuel during air Refuel operations.</t>
  </si>
  <si>
    <t>ChxCode_chan056X</t>
  </si>
  <si>
    <t>(Aeronautical Information Exchange Model (AIXM): '56Y')</t>
  </si>
  <si>
    <t>chan056Y</t>
  </si>
  <si>
    <t>Channel 56Y</t>
  </si>
  <si>
    <t>The Tactical Air Navigation System (TACAN) channel of '56Y' is assigned to the aircraft that is receiving fuel during air Refuel operations.</t>
  </si>
  <si>
    <t>ChxCode_chan056Y</t>
  </si>
  <si>
    <t>(Aeronautical Information Exchange Model (AIXM): '56Z')</t>
  </si>
  <si>
    <t>chan056Z</t>
  </si>
  <si>
    <t>Channel 56Z</t>
  </si>
  <si>
    <t>The Tactical Air Navigation System (TACAN) channel of '56Z' is assigned to the aircraft that is receiving fuel during air Refuel operations.</t>
  </si>
  <si>
    <t>ChxCode_chan056Z</t>
  </si>
  <si>
    <t>(Aeronautical Information Exchange Model (AIXM): '57X')</t>
  </si>
  <si>
    <t>chan057X</t>
  </si>
  <si>
    <t>Channel 57X</t>
  </si>
  <si>
    <t>The Tactical Air Navigation System (TACAN) channel of '57X' is assigned to the aircraft that is receiving fuel during air Refuel operations.</t>
  </si>
  <si>
    <t>ChxCode_chan057X</t>
  </si>
  <si>
    <t>(Aeronautical Information Exchange Model (AIXM): '57Y')</t>
  </si>
  <si>
    <t>chan057Y</t>
  </si>
  <si>
    <t>Channel 57Y</t>
  </si>
  <si>
    <t>The Tactical Air Navigation System (TACAN) channel of '57Y' is assigned to the aircraft that is receiving fuel during air Refuel operations.</t>
  </si>
  <si>
    <t>ChxCode_chan057Y</t>
  </si>
  <si>
    <t>(Aeronautical Information Exchange Model (AIXM): '58X')</t>
  </si>
  <si>
    <t>chan058X</t>
  </si>
  <si>
    <t>Channel 58X</t>
  </si>
  <si>
    <t>The Tactical Air Navigation System (TACAN) channel of '58X' is assigned to the aircraft that is receiving fuel during air Refuel operations.</t>
  </si>
  <si>
    <t>ChxCode_chan058X</t>
  </si>
  <si>
    <t>(Aeronautical Information Exchange Model (AIXM): '58Y')</t>
  </si>
  <si>
    <t>chan058Y</t>
  </si>
  <si>
    <t>Channel 58Y</t>
  </si>
  <si>
    <t>The Tactical Air Navigation System (TACAN) channel of '58Y' is assigned to the aircraft that is receiving fuel during air Refuel operations.</t>
  </si>
  <si>
    <t>ChxCode_chan058Y</t>
  </si>
  <si>
    <t>(Aeronautical Information Exchange Model (AIXM): '59X')</t>
  </si>
  <si>
    <t>chan059X</t>
  </si>
  <si>
    <t>Channel 59X</t>
  </si>
  <si>
    <t>The Tactical Air Navigation System (TACAN) channel of '59X' is assigned to the aircraft that is receiving fuel during air Refuel operations.</t>
  </si>
  <si>
    <t>ChxCode_chan059X</t>
  </si>
  <si>
    <t>(Aeronautical Information Exchange Model (AIXM): '59Y')</t>
  </si>
  <si>
    <t>chan059Y</t>
  </si>
  <si>
    <t>Channel 59Y</t>
  </si>
  <si>
    <t>The Tactical Air Navigation System (TACAN) channel of '59Y' is assigned to the aircraft that is receiving fuel during air Refuel operations.</t>
  </si>
  <si>
    <t>ChxCode_chan059Y</t>
  </si>
  <si>
    <t>(Aeronautical Information Exchange Model (AIXM): '5X')</t>
  </si>
  <si>
    <t>chan005X</t>
  </si>
  <si>
    <t>Channel 5X</t>
  </si>
  <si>
    <t>The Tactical Air Navigation System (TACAN) channel of '5X' is assigned to the aircraft that is receiving fuel during air Refuel operations.</t>
  </si>
  <si>
    <t>ChxCode_chan005X</t>
  </si>
  <si>
    <t>(Aeronautical Information Exchange Model (AIXM): '5Y')</t>
  </si>
  <si>
    <t>chan005Y</t>
  </si>
  <si>
    <t>Channel 5Y</t>
  </si>
  <si>
    <t>The Tactical Air Navigation System (TACAN) channel of '5Y' is assigned to the aircraft that is receiving fuel during air Refuel operations.</t>
  </si>
  <si>
    <t>ChxCode_chan005Y</t>
  </si>
  <si>
    <t>(Aeronautical Information Exchange Model (AIXM): '60X')</t>
  </si>
  <si>
    <t>chan060X</t>
  </si>
  <si>
    <t>Channel 60X</t>
  </si>
  <si>
    <t>The Tactical Air Navigation System (TACAN) channel of '60X' is assigned to the aircraft that is receiving fuel during air Refuel operations.</t>
  </si>
  <si>
    <t>ChxCode_chan060X</t>
  </si>
  <si>
    <t>(Aeronautical Information Exchange Model (AIXM): '60Y')</t>
  </si>
  <si>
    <t>chan060Y</t>
  </si>
  <si>
    <t>Channel 60Y</t>
  </si>
  <si>
    <t>The Tactical Air Navigation System (TACAN) channel of '60Y' is assigned to the aircraft that is receiving fuel during air Refuel operations.</t>
  </si>
  <si>
    <t>ChxCode_chan060Y</t>
  </si>
  <si>
    <t>(Aeronautical Information Exchange Model (AIXM): '61X')</t>
  </si>
  <si>
    <t>chan061X</t>
  </si>
  <si>
    <t>Channel 61X</t>
  </si>
  <si>
    <t>The Tactical Air Navigation System (TACAN) channel of '61X' is assigned to the aircraft that is receiving fuel during air Refuel operations.</t>
  </si>
  <si>
    <t>ChxCode_chan061X</t>
  </si>
  <si>
    <t>(Aeronautical Information Exchange Model (AIXM): '61Y')</t>
  </si>
  <si>
    <t>chan061Y</t>
  </si>
  <si>
    <t>Channel 61Y</t>
  </si>
  <si>
    <t>The Tactical Air Navigation System (TACAN) channel of '61Y' is assigned to the aircraft that is receiving fuel during air Refuel operations.</t>
  </si>
  <si>
    <t>ChxCode_chan061Y</t>
  </si>
  <si>
    <t>(Aeronautical Information Exchange Model (AIXM): '62X')</t>
  </si>
  <si>
    <t>chan062X</t>
  </si>
  <si>
    <t>Channel 62X</t>
  </si>
  <si>
    <t>The Tactical Air Navigation System (TACAN) channel of '62X' is assigned to the aircraft that is receiving fuel during air Refuel operations.</t>
  </si>
  <si>
    <t>ChxCode_chan062X</t>
  </si>
  <si>
    <t>(Aeronautical Information Exchange Model (AIXM): '62Y')</t>
  </si>
  <si>
    <t>chan062Y</t>
  </si>
  <si>
    <t>Channel 62Y</t>
  </si>
  <si>
    <t>The Tactical Air Navigation System (TACAN) channel of '62Y' is assigned to the aircraft that is receiving fuel during air Refuel operations.</t>
  </si>
  <si>
    <t>ChxCode_chan062Y</t>
  </si>
  <si>
    <t>(Aeronautical Information Exchange Model (AIXM): '63X')</t>
  </si>
  <si>
    <t>chan063X</t>
  </si>
  <si>
    <t>Channel 63X</t>
  </si>
  <si>
    <t>The Tactical Air Navigation System (TACAN) channel of '63X' is assigned to the aircraft that is receiving fuel during air Refuel operations.</t>
  </si>
  <si>
    <t>ChxCode_chan063X</t>
  </si>
  <si>
    <t>(Aeronautical Information Exchange Model (AIXM): '63Y')</t>
  </si>
  <si>
    <t>chan063Y</t>
  </si>
  <si>
    <t>Channel 63Y</t>
  </si>
  <si>
    <t>The Tactical Air Navigation System (TACAN) channel of '63Y' is assigned to the aircraft that is receiving fuel during air Refuel operations.</t>
  </si>
  <si>
    <t>ChxCode_chan063Y</t>
  </si>
  <si>
    <t>(Aeronautical Information Exchange Model (AIXM): '64X')</t>
  </si>
  <si>
    <t>chan064X</t>
  </si>
  <si>
    <t>Channel 64X</t>
  </si>
  <si>
    <t>The Tactical Air Navigation System (TACAN) channel of '64X' is assigned to the aircraft that is receiving fuel during air Refuel operations.</t>
  </si>
  <si>
    <t>ChxCode_chan064X</t>
  </si>
  <si>
    <t>(Aeronautical Information Exchange Model (AIXM): '64Y')</t>
  </si>
  <si>
    <t>chan064Y</t>
  </si>
  <si>
    <t>Channel 64Y</t>
  </si>
  <si>
    <t>The Tactical Air Navigation System (TACAN) channel of '64Y' is assigned to the aircraft that is receiving fuel during air Refuel operations.</t>
  </si>
  <si>
    <t>ChxCode_chan064Y</t>
  </si>
  <si>
    <t>(Aeronautical Information Exchange Model (AIXM): '65X')</t>
  </si>
  <si>
    <t>chan065X</t>
  </si>
  <si>
    <t>Channel 65X</t>
  </si>
  <si>
    <t>The Tactical Air Navigation System (TACAN) channel of '65X' is assigned to the aircraft that is receiving fuel during air Refuel operations.</t>
  </si>
  <si>
    <t>ChxCode_chan065X</t>
  </si>
  <si>
    <t>(Aeronautical Information Exchange Model (AIXM): '65Y')</t>
  </si>
  <si>
    <t>chan065Y</t>
  </si>
  <si>
    <t>Channel 65Y</t>
  </si>
  <si>
    <t>The Tactical Air Navigation System (TACAN) channel of '65Y' is assigned to the aircraft that is receiving fuel during air Refuel operations.</t>
  </si>
  <si>
    <t>ChxCode_chan065Y</t>
  </si>
  <si>
    <t>(Aeronautical Information Exchange Model (AIXM): '66X')</t>
  </si>
  <si>
    <t>chan066X</t>
  </si>
  <si>
    <t>Channel 66X</t>
  </si>
  <si>
    <t>The Tactical Air Navigation System (TACAN) channel of '66X' is assigned to the aircraft that is receiving fuel during air Refuel operations.</t>
  </si>
  <si>
    <t>ChxCode_chan066X</t>
  </si>
  <si>
    <t>(Aeronautical Information Exchange Model (AIXM): '66Y')</t>
  </si>
  <si>
    <t>chan066Y</t>
  </si>
  <si>
    <t>Channel 66Y</t>
  </si>
  <si>
    <t>The Tactical Air Navigation System (TACAN) channel of '66Y' is assigned to the aircraft that is receiving fuel during air Refuel operations.</t>
  </si>
  <si>
    <t>ChxCode_chan066Y</t>
  </si>
  <si>
    <t>(Aeronautical Information Exchange Model (AIXM): '67X')</t>
  </si>
  <si>
    <t>chan067X</t>
  </si>
  <si>
    <t>Channel 67X</t>
  </si>
  <si>
    <t>The Tactical Air Navigation System (TACAN) channel of '67X' is assigned to the aircraft that is receiving fuel during air Refuel operations.</t>
  </si>
  <si>
    <t>ChxCode_chan067X</t>
  </si>
  <si>
    <t>(Aeronautical Information Exchange Model (AIXM): '67Y')</t>
  </si>
  <si>
    <t>chan067Y</t>
  </si>
  <si>
    <t>Channel 67Y</t>
  </si>
  <si>
    <t>The Tactical Air Navigation System (TACAN) channel of '67Y' is assigned to the aircraft that is receiving fuel during air Refuel operations.</t>
  </si>
  <si>
    <t>ChxCode_chan067Y</t>
  </si>
  <si>
    <t>(Aeronautical Information Exchange Model (AIXM): '68X')</t>
  </si>
  <si>
    <t>chan068X</t>
  </si>
  <si>
    <t>Channel 68X</t>
  </si>
  <si>
    <t>The Tactical Air Navigation System (TACAN) channel of '68X' is assigned to the aircraft that is receiving fuel during air Refuel operations.</t>
  </si>
  <si>
    <t>ChxCode_chan068X</t>
  </si>
  <si>
    <t>(Aeronautical Information Exchange Model (AIXM): '68Y')</t>
  </si>
  <si>
    <t>chan068Y</t>
  </si>
  <si>
    <t>Channel 68Y</t>
  </si>
  <si>
    <t>The Tactical Air Navigation System (TACAN) channel of '68Y' is assigned to the aircraft that is receiving fuel during air Refuel operations.</t>
  </si>
  <si>
    <t>ChxCode_chan068Y</t>
  </si>
  <si>
    <t>(Aeronautical Information Exchange Model (AIXM): '69X')</t>
  </si>
  <si>
    <t>chan069X</t>
  </si>
  <si>
    <t>Channel 69X</t>
  </si>
  <si>
    <t>The Tactical Air Navigation System (TACAN) channel of '69X' is assigned to the aircraft that is receiving fuel during air Refuel operations.</t>
  </si>
  <si>
    <t>ChxCode_chan069X</t>
  </si>
  <si>
    <t>(Aeronautical Information Exchange Model (AIXM): '69Y')</t>
  </si>
  <si>
    <t>chan069Y</t>
  </si>
  <si>
    <t>Channel 69Y</t>
  </si>
  <si>
    <t>The Tactical Air Navigation System (TACAN) channel of '69Y' is assigned to the aircraft that is receiving fuel during air Refuel operations.</t>
  </si>
  <si>
    <t>ChxCode_chan069Y</t>
  </si>
  <si>
    <t>(Aeronautical Information Exchange Model (AIXM): '6X')</t>
  </si>
  <si>
    <t>chan006X</t>
  </si>
  <si>
    <t>Channel 6X</t>
  </si>
  <si>
    <t>The Tactical Air Navigation System (TACAN) channel of '6X' is assigned to the aircraft that is receiving fuel during air Refuel operations.</t>
  </si>
  <si>
    <t>ChxCode_chan006X</t>
  </si>
  <si>
    <t>(Aeronautical Information Exchange Model (AIXM): '6Y')</t>
  </si>
  <si>
    <t>chan006Y</t>
  </si>
  <si>
    <t>Channel 6Y</t>
  </si>
  <si>
    <t>The Tactical Air Navigation System (TACAN) channel of '6Y' is assigned to the aircraft that is receiving fuel during air Refuel operations.</t>
  </si>
  <si>
    <t>ChxCode_chan006Y</t>
  </si>
  <si>
    <t>(Aeronautical Information Exchange Model (AIXM): '70X')</t>
  </si>
  <si>
    <t>chan070X</t>
  </si>
  <si>
    <t>Channel 70X</t>
  </si>
  <si>
    <t>The Tactical Air Navigation System (TACAN) channel of '70X' is assigned to the aircraft that is receiving fuel during air Refuel operations.</t>
  </si>
  <si>
    <t>ChxCode_chan070X</t>
  </si>
  <si>
    <t>(Aeronautical Information Exchange Model (AIXM): '70Y')</t>
  </si>
  <si>
    <t>chan070Y</t>
  </si>
  <si>
    <t>Channel 70Y</t>
  </si>
  <si>
    <t>The Tactical Air Navigation System (TACAN) channel of '70Y' is assigned to the aircraft that is receiving fuel during air Refuel operations.</t>
  </si>
  <si>
    <t>ChxCode_chan070Y</t>
  </si>
  <si>
    <t>(Aeronautical Information Exchange Model (AIXM): '71X')</t>
  </si>
  <si>
    <t>chan071X</t>
  </si>
  <si>
    <t>Channel 71X</t>
  </si>
  <si>
    <t>The Tactical Air Navigation System (TACAN) channel of '71X' is assigned to the aircraft that is receiving fuel during air Refuel operations.</t>
  </si>
  <si>
    <t>ChxCode_chan071X</t>
  </si>
  <si>
    <t>(Aeronautical Information Exchange Model (AIXM): '71Y')</t>
  </si>
  <si>
    <t>chan071Y</t>
  </si>
  <si>
    <t>Channel 71Y</t>
  </si>
  <si>
    <t>The Tactical Air Navigation System (TACAN) channel of '71Y' is assigned to the aircraft that is receiving fuel during air Refuel operations.</t>
  </si>
  <si>
    <t>ChxCode_chan071Y</t>
  </si>
  <si>
    <t>(Aeronautical Information Exchange Model (AIXM): '72X')</t>
  </si>
  <si>
    <t>chan072X</t>
  </si>
  <si>
    <t>Channel 72X</t>
  </si>
  <si>
    <t>The Tactical Air Navigation System (TACAN) channel of '72X' is assigned to the aircraft that is receiving fuel during air Refuel operations.</t>
  </si>
  <si>
    <t>ChxCode_chan072X</t>
  </si>
  <si>
    <t>(Aeronautical Information Exchange Model (AIXM): '72Y')</t>
  </si>
  <si>
    <t>chan072Y</t>
  </si>
  <si>
    <t>Channel 72Y</t>
  </si>
  <si>
    <t>The Tactical Air Navigation System (TACAN) channel of '72Y' is assigned to the aircraft that is receiving fuel during air Refuel operations.</t>
  </si>
  <si>
    <t>ChxCode_chan072Y</t>
  </si>
  <si>
    <t>(Aeronautical Information Exchange Model (AIXM): '73X')</t>
  </si>
  <si>
    <t>chan073X</t>
  </si>
  <si>
    <t>Channel 73X</t>
  </si>
  <si>
    <t>The Tactical Air Navigation System (TACAN) channel of '73X' is assigned to the aircraft that is receiving fuel during air Refuel operations.</t>
  </si>
  <si>
    <t>ChxCode_chan073X</t>
  </si>
  <si>
    <t>(Aeronautical Information Exchange Model (AIXM): '73Y')</t>
  </si>
  <si>
    <t>chan073Y</t>
  </si>
  <si>
    <t>Channel 73Y</t>
  </si>
  <si>
    <t>The Tactical Air Navigation System (TACAN) channel of '73Y' is assigned to the aircraft that is receiving fuel during air Refuel operations.</t>
  </si>
  <si>
    <t>ChxCode_chan073Y</t>
  </si>
  <si>
    <t>(Aeronautical Information Exchange Model (AIXM): '74X')</t>
  </si>
  <si>
    <t>chan074X</t>
  </si>
  <si>
    <t>Channel 74X</t>
  </si>
  <si>
    <t>The Tactical Air Navigation System (TACAN) channel of '74X' is assigned to the aircraft that is receiving fuel during air Refuel operations.</t>
  </si>
  <si>
    <t>ChxCode_chan074X</t>
  </si>
  <si>
    <t>(Aeronautical Information Exchange Model (AIXM): '74Y')</t>
  </si>
  <si>
    <t>chan074Y</t>
  </si>
  <si>
    <t>Channel 74Y</t>
  </si>
  <si>
    <t>The Tactical Air Navigation System (TACAN) channel of '74Y' is assigned to the aircraft that is receiving fuel during air Refuel operations.</t>
  </si>
  <si>
    <t>ChxCode_chan074Y</t>
  </si>
  <si>
    <t>(Aeronautical Information Exchange Model (AIXM): '75X')</t>
  </si>
  <si>
    <t>chan075X</t>
  </si>
  <si>
    <t>Channel 75X</t>
  </si>
  <si>
    <t>The Tactical Air Navigation System (TACAN) channel of '75X' is assigned to the aircraft that is receiving fuel during air Refuel operations.</t>
  </si>
  <si>
    <t>ChxCode_chan075X</t>
  </si>
  <si>
    <t>(Aeronautical Information Exchange Model (AIXM): '75Y')</t>
  </si>
  <si>
    <t>chan075Y</t>
  </si>
  <si>
    <t>Channel 75Y</t>
  </si>
  <si>
    <t>The Tactical Air Navigation System (TACAN) channel of '75Y' is assigned to the aircraft that is receiving fuel during air Refuel operations.</t>
  </si>
  <si>
    <t>ChxCode_chan075Y</t>
  </si>
  <si>
    <t>(Aeronautical Information Exchange Model (AIXM): '76X')</t>
  </si>
  <si>
    <t>chan076X</t>
  </si>
  <si>
    <t>Channel 76X</t>
  </si>
  <si>
    <t>The Tactical Air Navigation System (TACAN) channel of '76X' is assigned to the aircraft that is receiving fuel during air Refuel operations.</t>
  </si>
  <si>
    <t>ChxCode_chan076X</t>
  </si>
  <si>
    <t>(Aeronautical Information Exchange Model (AIXM): '76Y')</t>
  </si>
  <si>
    <t>chan076Y</t>
  </si>
  <si>
    <t>Channel 76Y</t>
  </si>
  <si>
    <t>The Tactical Air Navigation System (TACAN) channel of '76Y' is assigned to the aircraft that is receiving fuel during air Refuel operations.</t>
  </si>
  <si>
    <t>ChxCode_chan076Y</t>
  </si>
  <si>
    <t>(Aeronautical Information Exchange Model (AIXM): '77X')</t>
  </si>
  <si>
    <t>chan077X</t>
  </si>
  <si>
    <t>Channel 77X</t>
  </si>
  <si>
    <t>The Tactical Air Navigation System (TACAN) channel of '77X' is assigned to the aircraft that is receiving fuel during air Refuel operations.</t>
  </si>
  <si>
    <t>ChxCode_chan077X</t>
  </si>
  <si>
    <t>(Aeronautical Information Exchange Model (AIXM): '77Y')</t>
  </si>
  <si>
    <t>chan077Y</t>
  </si>
  <si>
    <t>Channel 77Y</t>
  </si>
  <si>
    <t>The Tactical Air Navigation System (TACAN) channel of '77Y' is assigned to the aircraft that is receiving fuel during air Refuel operations.</t>
  </si>
  <si>
    <t>ChxCode_chan077Y</t>
  </si>
  <si>
    <t>(Aeronautical Information Exchange Model (AIXM): '78X')</t>
  </si>
  <si>
    <t>chan078X</t>
  </si>
  <si>
    <t>Channel 78X</t>
  </si>
  <si>
    <t>The Tactical Air Navigation System (TACAN) channel of '78X' is assigned to the aircraft that is receiving fuel during air Refuel operations.</t>
  </si>
  <si>
    <t>ChxCode_chan078X</t>
  </si>
  <si>
    <t>(Aeronautical Information Exchange Model (AIXM): '78Y')</t>
  </si>
  <si>
    <t>chan078Y</t>
  </si>
  <si>
    <t>Channel 78Y</t>
  </si>
  <si>
    <t>The Tactical Air Navigation System (TACAN) channel of '78Y' is assigned to the aircraft that is receiving fuel during air Refuel operations.</t>
  </si>
  <si>
    <t>ChxCode_chan078Y</t>
  </si>
  <si>
    <t>(Aeronautical Information Exchange Model (AIXM): '79X')</t>
  </si>
  <si>
    <t>chan079X</t>
  </si>
  <si>
    <t>Channel 79X</t>
  </si>
  <si>
    <t>The Tactical Air Navigation System (TACAN) channel of '79X' is assigned to the aircraft that is receiving fuel during air Refuel operations.</t>
  </si>
  <si>
    <t>ChxCode_chan079X</t>
  </si>
  <si>
    <t>(Aeronautical Information Exchange Model (AIXM): '79Y')</t>
  </si>
  <si>
    <t>chan079Y</t>
  </si>
  <si>
    <t>Channel 79Y</t>
  </si>
  <si>
    <t>The Tactical Air Navigation System (TACAN) channel of '79Y' is assigned to the aircraft that is receiving fuel during air Refuel operations.</t>
  </si>
  <si>
    <t>ChxCode_chan079Y</t>
  </si>
  <si>
    <t>(Aeronautical Information Exchange Model (AIXM): '7X')</t>
  </si>
  <si>
    <t>chan007X</t>
  </si>
  <si>
    <t>Channel 7X</t>
  </si>
  <si>
    <t>The Tactical Air Navigation System (TACAN) channel of '7X' is assigned to the aircraft that is receiving fuel during air Refuel operations.</t>
  </si>
  <si>
    <t>ChxCode_chan007X</t>
  </si>
  <si>
    <t>(Aeronautical Information Exchange Model (AIXM): '7Y')</t>
  </si>
  <si>
    <t>chan007Y</t>
  </si>
  <si>
    <t>Channel 7Y</t>
  </si>
  <si>
    <t>The Tactical Air Navigation System (TACAN) channel of '7Y' is assigned to the aircraft that is receiving fuel during air Refuel operations.</t>
  </si>
  <si>
    <t>ChxCode_chan007Y</t>
  </si>
  <si>
    <t>(Aeronautical Information Exchange Model (AIXM): '80X')</t>
  </si>
  <si>
    <t>chan080X</t>
  </si>
  <si>
    <t>Channel 80X</t>
  </si>
  <si>
    <t>The Tactical Air Navigation System (TACAN) channel of '80X' is assigned to the aircraft that is receiving fuel during air Refuel operations.</t>
  </si>
  <si>
    <t>ChxCode_chan080X</t>
  </si>
  <si>
    <t>(Aeronautical Information Exchange Model (AIXM): '80Y')</t>
  </si>
  <si>
    <t>chan080Y</t>
  </si>
  <si>
    <t>Channel 80Y</t>
  </si>
  <si>
    <t>The Tactical Air Navigation System (TACAN) channel of '80Y' is assigned to the aircraft that is receiving fuel during air Refuel operations.</t>
  </si>
  <si>
    <t>ChxCode_chan080Y</t>
  </si>
  <si>
    <t>(Aeronautical Information Exchange Model (AIXM): '80Z')</t>
  </si>
  <si>
    <t>chan080Z</t>
  </si>
  <si>
    <t>Channel 80Z</t>
  </si>
  <si>
    <t>The Tactical Air Navigation System (TACAN) channel of '80Z' is assigned to the aircraft that is receiving fuel during air Refuel operations.</t>
  </si>
  <si>
    <t>ChxCode_chan080Z</t>
  </si>
  <si>
    <t>(Aeronautical Information Exchange Model (AIXM): '81X')</t>
  </si>
  <si>
    <t>chan081X</t>
  </si>
  <si>
    <t>Channel 81X</t>
  </si>
  <si>
    <t>The Tactical Air Navigation System (TACAN) channel of '81X' is assigned to the aircraft that is receiving fuel during air Refuel operations.</t>
  </si>
  <si>
    <t>ChxCode_chan081X</t>
  </si>
  <si>
    <t>(Aeronautical Information Exchange Model (AIXM): '81Y')</t>
  </si>
  <si>
    <t>chan081Y</t>
  </si>
  <si>
    <t>Channel 81Y</t>
  </si>
  <si>
    <t>The Tactical Air Navigation System (TACAN) channel of '81Y' is assigned to the aircraft that is receiving fuel during air Refuel operations.</t>
  </si>
  <si>
    <t>ChxCode_chan081Y</t>
  </si>
  <si>
    <t>(Aeronautical Information Exchange Model (AIXM): '81Z')</t>
  </si>
  <si>
    <t>chan081Z</t>
  </si>
  <si>
    <t>Channel 81Z</t>
  </si>
  <si>
    <t>The Tactical Air Navigation System (TACAN) channel of '81Z' is assigned to the aircraft that is receiving fuel during air Refuel operations.</t>
  </si>
  <si>
    <t>ChxCode_chan081Z</t>
  </si>
  <si>
    <t>(Aeronautical Information Exchange Model (AIXM): '82X')</t>
  </si>
  <si>
    <t>chan082X</t>
  </si>
  <si>
    <t>Channel 82X</t>
  </si>
  <si>
    <t>The Tactical Air Navigation System (TACAN) channel of '82X' is assigned to the aircraft that is receiving fuel during air Refuel operations.</t>
  </si>
  <si>
    <t>ChxCode_chan082X</t>
  </si>
  <si>
    <t>(Aeronautical Information Exchange Model (AIXM): '82Y')</t>
  </si>
  <si>
    <t>chan082Y</t>
  </si>
  <si>
    <t>Channel 82Y</t>
  </si>
  <si>
    <t>The Tactical Air Navigation System (TACAN) channel of '82Y' is assigned to the aircraft that is receiving fuel during air Refuel operations.</t>
  </si>
  <si>
    <t>ChxCode_chan082Y</t>
  </si>
  <si>
    <t>(Aeronautical Information Exchange Model (AIXM): '82Z')</t>
  </si>
  <si>
    <t>chan082Z</t>
  </si>
  <si>
    <t>Channel 82Z</t>
  </si>
  <si>
    <t>The Tactical Air Navigation System (TACAN) channel of '82Z' is assigned to the aircraft that is receiving fuel during air Refuel operations.</t>
  </si>
  <si>
    <t>ChxCode_chan082Z</t>
  </si>
  <si>
    <t>(Aeronautical Information Exchange Model (AIXM): '83X')</t>
  </si>
  <si>
    <t>chan083X</t>
  </si>
  <si>
    <t>Channel 83X</t>
  </si>
  <si>
    <t>The Tactical Air Navigation System (TACAN) channel of '83X' is assigned to the aircraft that is receiving fuel during air Refuel operations.</t>
  </si>
  <si>
    <t>ChxCode_chan083X</t>
  </si>
  <si>
    <t>(Aeronautical Information Exchange Model (AIXM): '83Y')</t>
  </si>
  <si>
    <t>chan083Y</t>
  </si>
  <si>
    <t>Channel 83Y</t>
  </si>
  <si>
    <t>The Tactical Air Navigation System (TACAN) channel of '83Y' is assigned to the aircraft that is receiving fuel during air Refuel operations.</t>
  </si>
  <si>
    <t>ChxCode_chan083Y</t>
  </si>
  <si>
    <t>(Aeronautical Information Exchange Model (AIXM): '83Z')</t>
  </si>
  <si>
    <t>chan083Z</t>
  </si>
  <si>
    <t>Channel 83Z</t>
  </si>
  <si>
    <t>The Tactical Air Navigation System (TACAN) channel of '83Z' is assigned to the aircraft that is receiving fuel during air Refuel operations.</t>
  </si>
  <si>
    <t>ChxCode_chan083Z</t>
  </si>
  <si>
    <t>(Aeronautical Information Exchange Model (AIXM): '84X')</t>
  </si>
  <si>
    <t>chan084X</t>
  </si>
  <si>
    <t>Channel 84X</t>
  </si>
  <si>
    <t>The Tactical Air Navigation System (TACAN) channel of '84X' is assigned to the aircraft that is receiving fuel during air Refuel operations.</t>
  </si>
  <si>
    <t>ChxCode_chan084X</t>
  </si>
  <si>
    <t>(Aeronautical Information Exchange Model (AIXM): '84Y')</t>
  </si>
  <si>
    <t>chan084Y</t>
  </si>
  <si>
    <t>Channel 84Y</t>
  </si>
  <si>
    <t>The Tactical Air Navigation System (TACAN) channel of '84Y' is assigned to the aircraft that is receiving fuel during air Refuel operations.</t>
  </si>
  <si>
    <t>ChxCode_chan084Y</t>
  </si>
  <si>
    <t>(Aeronautical Information Exchange Model (AIXM): '84Z')</t>
  </si>
  <si>
    <t>chan084Z</t>
  </si>
  <si>
    <t>Channel 84Z</t>
  </si>
  <si>
    <t>The Tactical Air Navigation System (TACAN) channel of '84Z' is assigned to the aircraft that is receiving fuel during air Refuel operations.</t>
  </si>
  <si>
    <t>ChxCode_chan084Z</t>
  </si>
  <si>
    <t>(Aeronautical Information Exchange Model (AIXM): '85X')</t>
  </si>
  <si>
    <t>chan085X</t>
  </si>
  <si>
    <t>Channel 85X</t>
  </si>
  <si>
    <t>The Tactical Air Navigation System (TACAN) channel of '85X' is assigned to the aircraft that is receiving fuel during air Refuel operations.</t>
  </si>
  <si>
    <t>ChxCode_chan085X</t>
  </si>
  <si>
    <t>(Aeronautical Information Exchange Model (AIXM): '85Y')</t>
  </si>
  <si>
    <t>chan085Y</t>
  </si>
  <si>
    <t>Channel 85Y</t>
  </si>
  <si>
    <t>The Tactical Air Navigation System (TACAN) channel of '85Y' is assigned to the aircraft that is receiving fuel during air Refuel operations.</t>
  </si>
  <si>
    <t>ChxCode_chan085Y</t>
  </si>
  <si>
    <t>(Aeronautical Information Exchange Model (AIXM): '85Z')</t>
  </si>
  <si>
    <t>chan085Z</t>
  </si>
  <si>
    <t>Channel 85Z</t>
  </si>
  <si>
    <t>The Tactical Air Navigation System (TACAN) channel of '85Z' is assigned to the aircraft that is receiving fuel during air Refuel operations.</t>
  </si>
  <si>
    <t>ChxCode_chan085Z</t>
  </si>
  <si>
    <t>(Aeronautical Information Exchange Model (AIXM): '86X')</t>
  </si>
  <si>
    <t>chan086X</t>
  </si>
  <si>
    <t>Channel 86X</t>
  </si>
  <si>
    <t>The Tactical Air Navigation System (TACAN) channel of '86X' is assigned to the aircraft that is receiving fuel during air Refuel operations.</t>
  </si>
  <si>
    <t>ChxCode_chan086X</t>
  </si>
  <si>
    <t>(Aeronautical Information Exchange Model (AIXM): '86Y')</t>
  </si>
  <si>
    <t>chan086Y</t>
  </si>
  <si>
    <t>Channel 86Y</t>
  </si>
  <si>
    <t>The Tactical Air Navigation System (TACAN) channel of '86Y' is assigned to the aircraft that is receiving fuel during air Refuel operations.</t>
  </si>
  <si>
    <t>ChxCode_chan086Y</t>
  </si>
  <si>
    <t>(Aeronautical Information Exchange Model (AIXM): '86Z')</t>
  </si>
  <si>
    <t>chan086Z</t>
  </si>
  <si>
    <t>Channel 86Z</t>
  </si>
  <si>
    <t>The Tactical Air Navigation System (TACAN) channel of '86Z' is assigned to the aircraft that is receiving fuel during air Refuel operations.</t>
  </si>
  <si>
    <t>ChxCode_chan086Z</t>
  </si>
  <si>
    <t>(Aeronautical Information Exchange Model (AIXM): '87X')</t>
  </si>
  <si>
    <t>chan087X</t>
  </si>
  <si>
    <t>Channel 87X</t>
  </si>
  <si>
    <t>The Tactical Air Navigation System (TACAN) channel of '87X' is assigned to the aircraft that is receiving fuel during air Refuel operations.</t>
  </si>
  <si>
    <t>ChxCode_chan087X</t>
  </si>
  <si>
    <t>(Aeronautical Information Exchange Model (AIXM): '87Y')</t>
  </si>
  <si>
    <t>chan087Y</t>
  </si>
  <si>
    <t>Channel 87Y</t>
  </si>
  <si>
    <t>The Tactical Air Navigation System (TACAN) channel of '87Y' is assigned to the aircraft that is receiving fuel during air Refuel operations.</t>
  </si>
  <si>
    <t>ChxCode_chan087Y</t>
  </si>
  <si>
    <t>(Aeronautical Information Exchange Model (AIXM): '87Z')</t>
  </si>
  <si>
    <t>chan087Z</t>
  </si>
  <si>
    <t>Channel 87Z</t>
  </si>
  <si>
    <t>The Tactical Air Navigation System (TACAN) channel of '87Z' is assigned to the aircraft that is receiving fuel during air Refuel operations.</t>
  </si>
  <si>
    <t>ChxCode_chan087Z</t>
  </si>
  <si>
    <t>(Aeronautical Information Exchange Model (AIXM): '88X')</t>
  </si>
  <si>
    <t>chan088X</t>
  </si>
  <si>
    <t>Channel 88X</t>
  </si>
  <si>
    <t>The Tactical Air Navigation System (TACAN) channel of '88X' is assigned to the aircraft that is receiving fuel during air Refuel operations.</t>
  </si>
  <si>
    <t>ChxCode_chan088X</t>
  </si>
  <si>
    <t>(Aeronautical Information Exchange Model (AIXM): '88Y')</t>
  </si>
  <si>
    <t>chan088Y</t>
  </si>
  <si>
    <t>Channel 88Y</t>
  </si>
  <si>
    <t>The Tactical Air Navigation System (TACAN) channel of '88Y' is assigned to the aircraft that is receiving fuel during air Refuel operations.</t>
  </si>
  <si>
    <t>ChxCode_chan088Y</t>
  </si>
  <si>
    <t>(Aeronautical Information Exchange Model (AIXM): '88Z')</t>
  </si>
  <si>
    <t>chan088Z</t>
  </si>
  <si>
    <t>Channel 88Z</t>
  </si>
  <si>
    <t>The Tactical Air Navigation System (TACAN) channel of '88Z' is assigned to the aircraft that is receiving fuel during air Refuel operations.</t>
  </si>
  <si>
    <t>ChxCode_chan088Z</t>
  </si>
  <si>
    <t>(Aeronautical Information Exchange Model (AIXM): '89X')</t>
  </si>
  <si>
    <t>chan089X</t>
  </si>
  <si>
    <t>Channel 89X</t>
  </si>
  <si>
    <t>The Tactical Air Navigation System (TACAN) channel of '89X' is assigned to the aircraft that is receiving fuel during air Refuel operations.</t>
  </si>
  <si>
    <t>ChxCode_chan089X</t>
  </si>
  <si>
    <t>(Aeronautical Information Exchange Model (AIXM): '89Y')</t>
  </si>
  <si>
    <t>chan089Y</t>
  </si>
  <si>
    <t>Channel 89Y</t>
  </si>
  <si>
    <t>The Tactical Air Navigation System (TACAN) channel of '89Y' is assigned to the aircraft that is receiving fuel during air Refuel operations.</t>
  </si>
  <si>
    <t>ChxCode_chan089Y</t>
  </si>
  <si>
    <t>(Aeronautical Information Exchange Model (AIXM): '89Z')</t>
  </si>
  <si>
    <t>chan089Z</t>
  </si>
  <si>
    <t>Channel 89Z</t>
  </si>
  <si>
    <t>The Tactical Air Navigation System (TACAN) channel of '89Z' is assigned to the aircraft that is receiving fuel during air Refuel operations.</t>
  </si>
  <si>
    <t>ChxCode_chan089Z</t>
  </si>
  <si>
    <t>(Aeronautical Information Exchange Model (AIXM): '8X')</t>
  </si>
  <si>
    <t>chan008X</t>
  </si>
  <si>
    <t>Channel 8X</t>
  </si>
  <si>
    <t>The Tactical Air Navigation System (TACAN) channel of '8X' is assigned to the aircraft that is receiving fuel during air Refuel operations.</t>
  </si>
  <si>
    <t>ChxCode_chan008X</t>
  </si>
  <si>
    <t>(Aeronautical Information Exchange Model (AIXM): '8Y')</t>
  </si>
  <si>
    <t>chan008Y</t>
  </si>
  <si>
    <t>Channel 8Y</t>
  </si>
  <si>
    <t>The Tactical Air Navigation System (TACAN) channel of '8Y' is assigned to the aircraft that is receiving fuel during air Refuel operations.</t>
  </si>
  <si>
    <t>ChxCode_chan008Y</t>
  </si>
  <si>
    <t>(Aeronautical Information Exchange Model (AIXM): '90X')</t>
  </si>
  <si>
    <t>chan090X</t>
  </si>
  <si>
    <t>Channel 90X</t>
  </si>
  <si>
    <t>The Tactical Air Navigation System (TACAN) channel of '90X' is assigned to the aircraft that is receiving fuel during air Refuel operations.</t>
  </si>
  <si>
    <t>ChxCode_chan090X</t>
  </si>
  <si>
    <t>(Aeronautical Information Exchange Model (AIXM): '90Y')</t>
  </si>
  <si>
    <t>chan090Y</t>
  </si>
  <si>
    <t>Channel 90Y</t>
  </si>
  <si>
    <t>The Tactical Air Navigation System (TACAN) channel of '90Y' is assigned to the aircraft that is receiving fuel during air Refuel operations.</t>
  </si>
  <si>
    <t>ChxCode_chan090Y</t>
  </si>
  <si>
    <t>(Aeronautical Information Exchange Model (AIXM): '90Z')</t>
  </si>
  <si>
    <t>chan090Z</t>
  </si>
  <si>
    <t>Channel 90Z</t>
  </si>
  <si>
    <t>The Tactical Air Navigation System (TACAN) channel of '90Z' is assigned to the aircraft that is receiving fuel during air Refuel operations.</t>
  </si>
  <si>
    <t>ChxCode_chan090Z</t>
  </si>
  <si>
    <t>(Aeronautical Information Exchange Model (AIXM): '91X')</t>
  </si>
  <si>
    <t>chan091X</t>
  </si>
  <si>
    <t>Channel 91X</t>
  </si>
  <si>
    <t>The Tactical Air Navigation System (TACAN) channel of '91X' is assigned to the aircraft that is receiving fuel during air Refuel operations.</t>
  </si>
  <si>
    <t>ChxCode_chan091X</t>
  </si>
  <si>
    <t>(Aeronautical Information Exchange Model (AIXM): '91Y')</t>
  </si>
  <si>
    <t>chan091Y</t>
  </si>
  <si>
    <t>Channel 91Y</t>
  </si>
  <si>
    <t>The Tactical Air Navigation System (TACAN) channel of '91Y' is assigned to the aircraft that is receiving fuel during air Refuel operations.</t>
  </si>
  <si>
    <t>ChxCode_chan091Y</t>
  </si>
  <si>
    <t>(Aeronautical Information Exchange Model (AIXM): '91Z')</t>
  </si>
  <si>
    <t>chan091Z</t>
  </si>
  <si>
    <t>Channel 91Z</t>
  </si>
  <si>
    <t>The Tactical Air Navigation System (TACAN) channel of '91Z' is assigned to the aircraft that is receiving fuel during air Refuel operations.</t>
  </si>
  <si>
    <t>ChxCode_chan091Z</t>
  </si>
  <si>
    <t>(Aeronautical Information Exchange Model (AIXM): '92X')</t>
  </si>
  <si>
    <t>chan092X</t>
  </si>
  <si>
    <t>Channel 92X</t>
  </si>
  <si>
    <t>The Tactical Air Navigation System (TACAN) channel of '92X' is assigned to the aircraft that is receiving fuel during air Refuel operations.</t>
  </si>
  <si>
    <t>ChxCode_chan092X</t>
  </si>
  <si>
    <t>(Aeronautical Information Exchange Model (AIXM): '92Y')</t>
  </si>
  <si>
    <t>chan092Y</t>
  </si>
  <si>
    <t>Channel 92Y</t>
  </si>
  <si>
    <t>The Tactical Air Navigation System (TACAN) channel of '92Y' is assigned to the aircraft that is receiving fuel during air Refuel operations.</t>
  </si>
  <si>
    <t>ChxCode_chan092Y</t>
  </si>
  <si>
    <t>(Aeronautical Information Exchange Model (AIXM): '92Z')</t>
  </si>
  <si>
    <t>chan092Z</t>
  </si>
  <si>
    <t>Channel 92Z</t>
  </si>
  <si>
    <t>The Tactical Air Navigation System (TACAN) channel of '92Z' is assigned to the aircraft that is receiving fuel during air Refuel operations.</t>
  </si>
  <si>
    <t>ChxCode_chan092Z</t>
  </si>
  <si>
    <t>(Aeronautical Information Exchange Model (AIXM): '93X')</t>
  </si>
  <si>
    <t>chan093X</t>
  </si>
  <si>
    <t>Channel 93X</t>
  </si>
  <si>
    <t>The Tactical Air Navigation System (TACAN) channel of '93X' is assigned to the aircraft that is receiving fuel during air Refuel operations.</t>
  </si>
  <si>
    <t>ChxCode_chan093X</t>
  </si>
  <si>
    <t>(Aeronautical Information Exchange Model (AIXM): '93Y')</t>
  </si>
  <si>
    <t>chan093Y</t>
  </si>
  <si>
    <t>Channel 93Y</t>
  </si>
  <si>
    <t>The Tactical Air Navigation System (TACAN) channel of '93Y' is assigned to the aircraft that is receiving fuel during air Refuel operations.</t>
  </si>
  <si>
    <t>ChxCode_chan093Y</t>
  </si>
  <si>
    <t>(Aeronautical Information Exchange Model (AIXM): '93Z')</t>
  </si>
  <si>
    <t>chan093Z</t>
  </si>
  <si>
    <t>Channel 93Z</t>
  </si>
  <si>
    <t>The Tactical Air Navigation System (TACAN) channel of '93Z' is assigned to the aircraft that is receiving fuel during air Refuel operations.</t>
  </si>
  <si>
    <t>ChxCode_chan093Z</t>
  </si>
  <si>
    <t>(Aeronautical Information Exchange Model (AIXM): '94X')</t>
  </si>
  <si>
    <t>chan094X</t>
  </si>
  <si>
    <t>Channel 94X</t>
  </si>
  <si>
    <t>The Tactical Air Navigation System (TACAN) channel of '94X' is assigned to the aircraft that is receiving fuel during air Refuel operations.</t>
  </si>
  <si>
    <t>ChxCode_chan094X</t>
  </si>
  <si>
    <t>(Aeronautical Information Exchange Model (AIXM): '94Y')</t>
  </si>
  <si>
    <t>chan094Y</t>
  </si>
  <si>
    <t>Channel 94Y</t>
  </si>
  <si>
    <t>The Tactical Air Navigation System (TACAN) channel of '94Y' is assigned to the aircraft that is receiving fuel during air Refuel operations.</t>
  </si>
  <si>
    <t>ChxCode_chan094Y</t>
  </si>
  <si>
    <t>(Aeronautical Information Exchange Model (AIXM): '94Z')</t>
  </si>
  <si>
    <t>chan094Z</t>
  </si>
  <si>
    <t>Channel 94Z</t>
  </si>
  <si>
    <t>The Tactical Air Navigation System (TACAN) channel of '94Z' is assigned to the aircraft that is receiving fuel during air Refuel operations.</t>
  </si>
  <si>
    <t>ChxCode_chan094Z</t>
  </si>
  <si>
    <t>(Aeronautical Information Exchange Model (AIXM): '95X')</t>
  </si>
  <si>
    <t>chan095X</t>
  </si>
  <si>
    <t>Channel 95X</t>
  </si>
  <si>
    <t>The Tactical Air Navigation System (TACAN) channel of '95X' is assigned to the aircraft that is receiving fuel during air Refuel operations.</t>
  </si>
  <si>
    <t>ChxCode_chan095X</t>
  </si>
  <si>
    <t>(Aeronautical Information Exchange Model (AIXM): '95Y')</t>
  </si>
  <si>
    <t>chan095Y</t>
  </si>
  <si>
    <t>Channel 95Y</t>
  </si>
  <si>
    <t>The Tactical Air Navigation System (TACAN) channel of '95Y' is assigned to the aircraft that is receiving fuel during air Refuel operations.</t>
  </si>
  <si>
    <t>ChxCode_chan095Y</t>
  </si>
  <si>
    <t>(Aeronautical Information Exchange Model (AIXM): '95Z')</t>
  </si>
  <si>
    <t>chan095Z</t>
  </si>
  <si>
    <t>Channel 95Z</t>
  </si>
  <si>
    <t>The Tactical Air Navigation System (TACAN) channel of '95Z' is assigned to the aircraft that is receiving fuel during air Refuel operations.</t>
  </si>
  <si>
    <t>ChxCode_chan095Z</t>
  </si>
  <si>
    <t>(Aeronautical Information Exchange Model (AIXM): '96X')</t>
  </si>
  <si>
    <t>chan096X</t>
  </si>
  <si>
    <t>Channel 96X</t>
  </si>
  <si>
    <t>The Tactical Air Navigation System (TACAN) channel of '96X' is assigned to the aircraft that is receiving fuel during air Refuel operations.</t>
  </si>
  <si>
    <t>ChxCode_chan096X</t>
  </si>
  <si>
    <t>(Aeronautical Information Exchange Model (AIXM): '96Y')</t>
  </si>
  <si>
    <t>chan096Y</t>
  </si>
  <si>
    <t>Channel 96Y</t>
  </si>
  <si>
    <t>The Tactical Air Navigation System (TACAN) channel of '96Y' is assigned to the aircraft that is receiving fuel during air Refuel operations.</t>
  </si>
  <si>
    <t>ChxCode_chan096Y</t>
  </si>
  <si>
    <t>(Aeronautical Information Exchange Model (AIXM): '96Z')</t>
  </si>
  <si>
    <t>chan096Z</t>
  </si>
  <si>
    <t>Channel 96Z</t>
  </si>
  <si>
    <t>The Tactical Air Navigation System (TACAN) channel of '96Z' is assigned to the aircraft that is receiving fuel during air Refuel operations.</t>
  </si>
  <si>
    <t>ChxCode_chan096Z</t>
  </si>
  <si>
    <t>(Aeronautical Information Exchange Model (AIXM): '97X')</t>
  </si>
  <si>
    <t>chan097X</t>
  </si>
  <si>
    <t>Channel 97X</t>
  </si>
  <si>
    <t>The Tactical Air Navigation System (TACAN) channel of '97X' is assigned to the aircraft that is receiving fuel during air Refuel operations.</t>
  </si>
  <si>
    <t>ChxCode_chan097X</t>
  </si>
  <si>
    <t>(Aeronautical Information Exchange Model (AIXM): '97Y')</t>
  </si>
  <si>
    <t>chan097Y</t>
  </si>
  <si>
    <t>Channel 97Y</t>
  </si>
  <si>
    <t>The Tactical Air Navigation System (TACAN) channel of '97Y' is assigned to the aircraft that is receiving fuel during air Refuel operations.</t>
  </si>
  <si>
    <t>ChxCode_chan097Y</t>
  </si>
  <si>
    <t>(Aeronautical Information Exchange Model (AIXM): '97Z')</t>
  </si>
  <si>
    <t>chan097Z</t>
  </si>
  <si>
    <t>Channel 97Z</t>
  </si>
  <si>
    <t>The Tactical Air Navigation System (TACAN) channel of '97Z' is assigned to the aircraft that is receiving fuel during air Refuel operations.</t>
  </si>
  <si>
    <t>ChxCode_chan097Z</t>
  </si>
  <si>
    <t>(Aeronautical Information Exchange Model (AIXM): '98X')</t>
  </si>
  <si>
    <t>chan098X</t>
  </si>
  <si>
    <t>Channel 98X</t>
  </si>
  <si>
    <t>The Tactical Air Navigation System (TACAN) channel of '98X' is assigned to the aircraft that is receiving fuel during air Refuel operations.</t>
  </si>
  <si>
    <t>ChxCode_chan098X</t>
  </si>
  <si>
    <t>(Aeronautical Information Exchange Model (AIXM): '98Y')</t>
  </si>
  <si>
    <t>chan098Y</t>
  </si>
  <si>
    <t>Channel 98Y</t>
  </si>
  <si>
    <t>The Tactical Air Navigation System (TACAN) channel of '98Y' is assigned to the aircraft that is receiving fuel during air Refuel operations.</t>
  </si>
  <si>
    <t>ChxCode_chan098Y</t>
  </si>
  <si>
    <t>(Aeronautical Information Exchange Model (AIXM): '98Z')</t>
  </si>
  <si>
    <t>chan098Z</t>
  </si>
  <si>
    <t>Channel 98Z</t>
  </si>
  <si>
    <t>The Tactical Air Navigation System (TACAN) channel of '98Z' is assigned to the aircraft that is receiving fuel during air Refuel operations.</t>
  </si>
  <si>
    <t>ChxCode_chan098Z</t>
  </si>
  <si>
    <t>(Aeronautical Information Exchange Model (AIXM): '99X')</t>
  </si>
  <si>
    <t>chan099X</t>
  </si>
  <si>
    <t>Channel 99X</t>
  </si>
  <si>
    <t>The Tactical Air Navigation System (TACAN) channel of '99X' is assigned to the aircraft that is receiving fuel during air Refuel operations.</t>
  </si>
  <si>
    <t>ChxCode_chan099X</t>
  </si>
  <si>
    <t>(Aeronautical Information Exchange Model (AIXM): '99Y')</t>
  </si>
  <si>
    <t>chan099Y</t>
  </si>
  <si>
    <t>Channel 99Y</t>
  </si>
  <si>
    <t>The Tactical Air Navigation System (TACAN) channel of '99Y' is assigned to the aircraft that is receiving fuel during air Refuel operations.</t>
  </si>
  <si>
    <t>ChxCode_chan099Y</t>
  </si>
  <si>
    <t>(Aeronautical Information Exchange Model (AIXM): '99Z')</t>
  </si>
  <si>
    <t>chan099Z</t>
  </si>
  <si>
    <t>Channel 99Z</t>
  </si>
  <si>
    <t>The Tactical Air Navigation System (TACAN) channel of '99Z' is assigned to the aircraft that is receiving fuel during air Refuel operations.</t>
  </si>
  <si>
    <t>ChxCode_chan099Z</t>
  </si>
  <si>
    <t>(Aeronautical Information Exchange Model (AIXM): '9X')</t>
  </si>
  <si>
    <t>chan009X</t>
  </si>
  <si>
    <t>Channel 9X</t>
  </si>
  <si>
    <t>The Tactical Air Navigation System (TACAN) channel of '9X' is assigned to the aircraft that is receiving fuel during air Refuel operations.</t>
  </si>
  <si>
    <t>ChxCode_chan009X</t>
  </si>
  <si>
    <t>(Aeronautical Information Exchange Model (AIXM): '9Y')</t>
  </si>
  <si>
    <t>chan009Y</t>
  </si>
  <si>
    <t>Channel 9Y</t>
  </si>
  <si>
    <t>The Tactical Air Navigation System (TACAN) channel of '9Y' is assigned to the aircraft that is receiving fuel during air Refuel operations.</t>
  </si>
  <si>
    <t>ChxCode_chan009Y</t>
  </si>
  <si>
    <t>The Tactical Air Navigation System (TACAN) channel of '100X' is assigned to the aircraft that is supplying fuel during air Refuel operations.</t>
  </si>
  <si>
    <t>ChyCode_chan100X</t>
  </si>
  <si>
    <t>The Tactical Air Navigation System (TACAN) channel of '100Y' is assigned to the aircraft that is supplying fuel during air Refuel operations.</t>
  </si>
  <si>
    <t>ChyCode_chan100Y</t>
  </si>
  <si>
    <t>The Tactical Air Navigation System (TACAN) channel of '100Z' is assigned to the aircraft that is supplying fuel during air Refuel operations.</t>
  </si>
  <si>
    <t>ChyCode_chan100Z</t>
  </si>
  <si>
    <t>The Tactical Air Navigation System (TACAN) channel of '101X' is assigned to the aircraft that is supplying fuel during air Refuel operations.</t>
  </si>
  <si>
    <t>ChyCode_chan101X</t>
  </si>
  <si>
    <t>The Tactical Air Navigation System (TACAN) channel of '101Y' is assigned to the aircraft that is supplying fuel during air Refuel operations.</t>
  </si>
  <si>
    <t>ChyCode_chan101Y</t>
  </si>
  <si>
    <t>The Tactical Air Navigation System (TACAN) channel of '101Z' is assigned to the aircraft that is supplying fuel during air Refuel operations.</t>
  </si>
  <si>
    <t>ChyCode_chan101Z</t>
  </si>
  <si>
    <t>The Tactical Air Navigation System (TACAN) channel of '102X' is assigned to the aircraft that is supplying fuel during air Refuel operations.</t>
  </si>
  <si>
    <t>ChyCode_chan102X</t>
  </si>
  <si>
    <t>The Tactical Air Navigation System (TACAN) channel of '102Y' is assigned to the aircraft that is supplying fuel during air Refuel operations.</t>
  </si>
  <si>
    <t>ChyCode_chan102Y</t>
  </si>
  <si>
    <t>The Tactical Air Navigation System (TACAN) channel of '102Z' is assigned to the aircraft that is supplying fuel during air Refuel operations.</t>
  </si>
  <si>
    <t>ChyCode_chan102Z</t>
  </si>
  <si>
    <t>The Tactical Air Navigation System (TACAN) channel of '103X' is assigned to the aircraft that is supplying fuel during air Refuel operations.</t>
  </si>
  <si>
    <t>ChyCode_chan103X</t>
  </si>
  <si>
    <t>The Tactical Air Navigation System (TACAN) channel of '103Y' is assigned to the aircraft that is supplying fuel during air Refuel operations.</t>
  </si>
  <si>
    <t>ChyCode_chan103Y</t>
  </si>
  <si>
    <t>The Tactical Air Navigation System (TACAN) channel of '103Z' is assigned to the aircraft that is supplying fuel during air Refuel operations.</t>
  </si>
  <si>
    <t>ChyCode_chan103Z</t>
  </si>
  <si>
    <t>The Tactical Air Navigation System (TACAN) channel of '104X' is assigned to the aircraft that is supplying fuel during air Refuel operations.</t>
  </si>
  <si>
    <t>ChyCode_chan104X</t>
  </si>
  <si>
    <t>The Tactical Air Navigation System (TACAN) channel of '104Y' is assigned to the aircraft that is supplying fuel during air Refuel operations.</t>
  </si>
  <si>
    <t>ChyCode_chan104Y</t>
  </si>
  <si>
    <t>The Tactical Air Navigation System (TACAN) channel of '104Z' is assigned to the aircraft that is supplying fuel during air Refuel operations.</t>
  </si>
  <si>
    <t>ChyCode_chan104Z</t>
  </si>
  <si>
    <t>The Tactical Air Navigation System (TACAN) channel of '105X' is assigned to the aircraft that is supplying fuel during air Refuel operations.</t>
  </si>
  <si>
    <t>ChyCode_chan105X</t>
  </si>
  <si>
    <t>The Tactical Air Navigation System (TACAN) channel of '105Y' is assigned to the aircraft that is supplying fuel during air Refuel operations.</t>
  </si>
  <si>
    <t>ChyCode_chan105Y</t>
  </si>
  <si>
    <t>The Tactical Air Navigation System (TACAN) channel of '105Z' is assigned to the aircraft that is supplying fuel during air Refuel operations.</t>
  </si>
  <si>
    <t>ChyCode_chan105Z</t>
  </si>
  <si>
    <t>The Tactical Air Navigation System (TACAN) channel of '106X' is assigned to the aircraft that is supplying fuel during air Refuel operations.</t>
  </si>
  <si>
    <t>ChyCode_chan106X</t>
  </si>
  <si>
    <t>The Tactical Air Navigation System (TACAN) channel of '106Y' is assigned to the aircraft that is supplying fuel during air Refuel operations.</t>
  </si>
  <si>
    <t>ChyCode_chan106Y</t>
  </si>
  <si>
    <t>The Tactical Air Navigation System (TACAN) channel of '106Z' is assigned to the aircraft that is supplying fuel during air Refuel operations.</t>
  </si>
  <si>
    <t>ChyCode_chan106Z</t>
  </si>
  <si>
    <t>The Tactical Air Navigation System (TACAN) channel of '107X' is assigned to the aircraft that is supplying fuel during air Refuel operations.</t>
  </si>
  <si>
    <t>ChyCode_chan107X</t>
  </si>
  <si>
    <t>The Tactical Air Navigation System (TACAN) channel of '107Y' is assigned to the aircraft that is supplying fuel during air Refuel operations.</t>
  </si>
  <si>
    <t>ChyCode_chan107Y</t>
  </si>
  <si>
    <t>The Tactical Air Navigation System (TACAN) channel of '107Z' is assigned to the aircraft that is supplying fuel during air Refuel operations.</t>
  </si>
  <si>
    <t>ChyCode_chan107Z</t>
  </si>
  <si>
    <t>The Tactical Air Navigation System (TACAN) channel of '108X' is assigned to the aircraft that is supplying fuel during air Refuel operations.</t>
  </si>
  <si>
    <t>ChyCode_chan108X</t>
  </si>
  <si>
    <t>The Tactical Air Navigation System (TACAN) channel of '108Y' is assigned to the aircraft that is supplying fuel during air Refuel operations.</t>
  </si>
  <si>
    <t>ChyCode_chan108Y</t>
  </si>
  <si>
    <t>The Tactical Air Navigation System (TACAN) channel of '108Z' is assigned to the aircraft that is supplying fuel during air Refuel operations.</t>
  </si>
  <si>
    <t>ChyCode_chan108Z</t>
  </si>
  <si>
    <t>The Tactical Air Navigation System (TACAN) channel of '109X' is assigned to the aircraft that is supplying fuel during air Refuel operations.</t>
  </si>
  <si>
    <t>ChyCode_chan109X</t>
  </si>
  <si>
    <t>The Tactical Air Navigation System (TACAN) channel of '109Y' is assigned to the aircraft that is supplying fuel during air Refuel operations.</t>
  </si>
  <si>
    <t>ChyCode_chan109Y</t>
  </si>
  <si>
    <t>The Tactical Air Navigation System (TACAN) channel of '109Z' is assigned to the aircraft that is supplying fuel during air Refuel operations.</t>
  </si>
  <si>
    <t>ChyCode_chan109Z</t>
  </si>
  <si>
    <t>The Tactical Air Navigation System (TACAN) channel of '10X' is assigned to the aircraft that is supplying fuel during air Refuel operations.</t>
  </si>
  <si>
    <t>ChyCode_chan010X</t>
  </si>
  <si>
    <t>The Tactical Air Navigation System (TACAN) channel of '10Y' is assigned to the aircraft that is supplying fuel during air Refuel operations.</t>
  </si>
  <si>
    <t>ChyCode_chan010Y</t>
  </si>
  <si>
    <t>The Tactical Air Navigation System (TACAN) channel of '110X' is assigned to the aircraft that is supplying fuel during air Refuel operations.</t>
  </si>
  <si>
    <t>ChyCode_chan110X</t>
  </si>
  <si>
    <t>The Tactical Air Navigation System (TACAN) channel of '110Y' is assigned to the aircraft that is supplying fuel during air Refuel operations.</t>
  </si>
  <si>
    <t>ChyCode_chan110Y</t>
  </si>
  <si>
    <t>The Tactical Air Navigation System (TACAN) channel of '110Z' is assigned to the aircraft that is supplying fuel during air Refuel operations.</t>
  </si>
  <si>
    <t>ChyCode_chan110Z</t>
  </si>
  <si>
    <t>The Tactical Air Navigation System (TACAN) channel of '111X' is assigned to the aircraft that is supplying fuel during air Refuel operations.</t>
  </si>
  <si>
    <t>ChyCode_chan111X</t>
  </si>
  <si>
    <t>The Tactical Air Navigation System (TACAN) channel of '111Y' is assigned to the aircraft that is supplying fuel during air Refuel operations.</t>
  </si>
  <si>
    <t>ChyCode_chan111Y</t>
  </si>
  <si>
    <t>The Tactical Air Navigation System (TACAN) channel of '111Z' is assigned to the aircraft that is supplying fuel during air Refuel operations.</t>
  </si>
  <si>
    <t>ChyCode_chan111Z</t>
  </si>
  <si>
    <t>The Tactical Air Navigation System (TACAN) channel of '112X' is assigned to the aircraft that is supplying fuel during air Refuel operations.</t>
  </si>
  <si>
    <t>ChyCode_chan112X</t>
  </si>
  <si>
    <t>The Tactical Air Navigation System (TACAN) channel of '112Y' is assigned to the aircraft that is supplying fuel during air Refuel operations.</t>
  </si>
  <si>
    <t>ChyCode_chan112Y</t>
  </si>
  <si>
    <t>The Tactical Air Navigation System (TACAN) channel of '112Z' is assigned to the aircraft that is supplying fuel during air Refuel operations.</t>
  </si>
  <si>
    <t>ChyCode_chan112Z</t>
  </si>
  <si>
    <t>The Tactical Air Navigation System (TACAN) channel of '113X' is assigned to the aircraft that is supplying fuel during air Refuel operations.</t>
  </si>
  <si>
    <t>ChyCode_chan113X</t>
  </si>
  <si>
    <t>The Tactical Air Navigation System (TACAN) channel of '113Y' is assigned to the aircraft that is supplying fuel during air Refuel operations.</t>
  </si>
  <si>
    <t>ChyCode_chan113Y</t>
  </si>
  <si>
    <t>The Tactical Air Navigation System (TACAN) channel of '113Z' is assigned to the aircraft that is supplying fuel during air Refuel operations.</t>
  </si>
  <si>
    <t>ChyCode_chan113Z</t>
  </si>
  <si>
    <t>The Tactical Air Navigation System (TACAN) channel of '114X' is assigned to the aircraft that is supplying fuel during air Refuel operations.</t>
  </si>
  <si>
    <t>ChyCode_chan114X</t>
  </si>
  <si>
    <t>The Tactical Air Navigation System (TACAN) channel of '114Y' is assigned to the aircraft that is supplying fuel during air Refuel operations.</t>
  </si>
  <si>
    <t>ChyCode_chan114Y</t>
  </si>
  <si>
    <t>The Tactical Air Navigation System (TACAN) channel of '114Z' is assigned to the aircraft that is supplying fuel during air Refuel operations.</t>
  </si>
  <si>
    <t>ChyCode_chan114Z</t>
  </si>
  <si>
    <t>The Tactical Air Navigation System (TACAN) channel of '115X' is assigned to the aircraft that is supplying fuel during air Refuel operations.</t>
  </si>
  <si>
    <t>ChyCode_chan115X</t>
  </si>
  <si>
    <t>The Tactical Air Navigation System (TACAN) channel of '115Y' is assigned to the aircraft that is supplying fuel during air Refuel operations.</t>
  </si>
  <si>
    <t>ChyCode_chan115Y</t>
  </si>
  <si>
    <t>The Tactical Air Navigation System (TACAN) channel of '115Z' is assigned to the aircraft that is supplying fuel during air Refuel operations.</t>
  </si>
  <si>
    <t>ChyCode_chan115Z</t>
  </si>
  <si>
    <t>The Tactical Air Navigation System (TACAN) channel of '116X' is assigned to the aircraft that is supplying fuel during air Refuel operations.</t>
  </si>
  <si>
    <t>ChyCode_chan116X</t>
  </si>
  <si>
    <t>The Tactical Air Navigation System (TACAN) channel of '116Y' is assigned to the aircraft that is supplying fuel during air Refuel operations.</t>
  </si>
  <si>
    <t>ChyCode_chan116Y</t>
  </si>
  <si>
    <t>The Tactical Air Navigation System (TACAN) channel of '116Z' is assigned to the aircraft that is supplying fuel during air Refuel operations.</t>
  </si>
  <si>
    <t>ChyCode_chan116Z</t>
  </si>
  <si>
    <t>The Tactical Air Navigation System (TACAN) channel of '117X' is assigned to the aircraft that is supplying fuel during air Refuel operations.</t>
  </si>
  <si>
    <t>ChyCode_chan117X</t>
  </si>
  <si>
    <t>The Tactical Air Navigation System (TACAN) channel of '117Y' is assigned to the aircraft that is supplying fuel during air Refuel operations.</t>
  </si>
  <si>
    <t>ChyCode_chan117Y</t>
  </si>
  <si>
    <t>The Tactical Air Navigation System (TACAN) channel of '117Z' is assigned to the aircraft that is supplying fuel during air Refuel operations.</t>
  </si>
  <si>
    <t>ChyCode_chan117Z</t>
  </si>
  <si>
    <t>The Tactical Air Navigation System (TACAN) channel of '118X' is assigned to the aircraft that is supplying fuel during air Refuel operations.</t>
  </si>
  <si>
    <t>ChyCode_chan118X</t>
  </si>
  <si>
    <t>The Tactical Air Navigation System (TACAN) channel of '118Y' is assigned to the aircraft that is supplying fuel during air Refuel operations.</t>
  </si>
  <si>
    <t>ChyCode_chan118Y</t>
  </si>
  <si>
    <t>The Tactical Air Navigation System (TACAN) channel of '118Z' is assigned to the aircraft that is supplying fuel during air Refuel operations.</t>
  </si>
  <si>
    <t>ChyCode_chan118Z</t>
  </si>
  <si>
    <t>The Tactical Air Navigation System (TACAN) channel of '119X' is assigned to the aircraft that is supplying fuel during air Refuel operations.</t>
  </si>
  <si>
    <t>ChyCode_chan119X</t>
  </si>
  <si>
    <t>The Tactical Air Navigation System (TACAN) channel of '119Y' is assigned to the aircraft that is supplying fuel during air Refuel operations.</t>
  </si>
  <si>
    <t>ChyCode_chan119Y</t>
  </si>
  <si>
    <t>The Tactical Air Navigation System (TACAN) channel of '119Z' is assigned to the aircraft that is supplying fuel during air Refuel operations.</t>
  </si>
  <si>
    <t>ChyCode_chan119Z</t>
  </si>
  <si>
    <t>The Tactical Air Navigation System (TACAN) channel of '11X' is assigned to the aircraft that is supplying fuel during air Refuel operations.</t>
  </si>
  <si>
    <t>ChyCode_chan011X</t>
  </si>
  <si>
    <t>The Tactical Air Navigation System (TACAN) channel of '11Y' is assigned to the aircraft that is supplying fuel during air Refuel operations.</t>
  </si>
  <si>
    <t>ChyCode_chan011Y</t>
  </si>
  <si>
    <t>The Tactical Air Navigation System (TACAN) channel of '120X' is assigned to the aircraft that is supplying fuel during air Refuel operations.</t>
  </si>
  <si>
    <t>ChyCode_chan120X</t>
  </si>
  <si>
    <t>The Tactical Air Navigation System (TACAN) channel of '120Y' is assigned to the aircraft that is supplying fuel during air Refuel operations.</t>
  </si>
  <si>
    <t>ChyCode_chan120Y</t>
  </si>
  <si>
    <t>The Tactical Air Navigation System (TACAN) channel of '121X' is assigned to the aircraft that is supplying fuel during air Refuel operations.</t>
  </si>
  <si>
    <t>ChyCode_chan121X</t>
  </si>
  <si>
    <t>The Tactical Air Navigation System (TACAN) channel of '121Y' is assigned to the aircraft that is supplying fuel during air Refuel operations.</t>
  </si>
  <si>
    <t>ChyCode_chan121Y</t>
  </si>
  <si>
    <t>The Tactical Air Navigation System (TACAN) channel of '122X' is assigned to the aircraft that is supplying fuel during air Refuel operations.</t>
  </si>
  <si>
    <t>ChyCode_chan122X</t>
  </si>
  <si>
    <t>The Tactical Air Navigation System (TACAN) channel of '122Y' is assigned to the aircraft that is supplying fuel during air Refuel operations.</t>
  </si>
  <si>
    <t>ChyCode_chan122Y</t>
  </si>
  <si>
    <t>The Tactical Air Navigation System (TACAN) channel of '123X' is assigned to the aircraft that is supplying fuel during air Refuel operations.</t>
  </si>
  <si>
    <t>ChyCode_chan123X</t>
  </si>
  <si>
    <t>The Tactical Air Navigation System (TACAN) channel of '123Y' is assigned to the aircraft that is supplying fuel during air Refuel operations.</t>
  </si>
  <si>
    <t>ChyCode_chan123Y</t>
  </si>
  <si>
    <t>The Tactical Air Navigation System (TACAN) channel of '124X' is assigned to the aircraft that is supplying fuel during air Refuel operations.</t>
  </si>
  <si>
    <t>ChyCode_chan124X</t>
  </si>
  <si>
    <t>The Tactical Air Navigation System (TACAN) channel of '124Y' is assigned to the aircraft that is supplying fuel during air Refuel operations.</t>
  </si>
  <si>
    <t>ChyCode_chan124Y</t>
  </si>
  <si>
    <t>The Tactical Air Navigation System (TACAN) channel of '125X' is assigned to the aircraft that is supplying fuel during air Refuel operations.</t>
  </si>
  <si>
    <t>ChyCode_chan125X</t>
  </si>
  <si>
    <t>The Tactical Air Navigation System (TACAN) channel of '125Y' is assigned to the aircraft that is supplying fuel during air Refuel operations.</t>
  </si>
  <si>
    <t>ChyCode_chan125Y</t>
  </si>
  <si>
    <t>The Tactical Air Navigation System (TACAN) channel of '126X' is assigned to the aircraft that is supplying fuel during air Refuel operations.</t>
  </si>
  <si>
    <t>ChyCode_chan126X</t>
  </si>
  <si>
    <t>The Tactical Air Navigation System (TACAN) channel of '126Y' is assigned to the aircraft that is supplying fuel during air Refuel operations.</t>
  </si>
  <si>
    <t>ChyCode_chan126Y</t>
  </si>
  <si>
    <t>The Tactical Air Navigation System (TACAN) channel of '12X' is assigned to the aircraft that is supplying fuel during air Refuel operations.</t>
  </si>
  <si>
    <t>ChyCode_chan012X</t>
  </si>
  <si>
    <t>The Tactical Air Navigation System (TACAN) channel of '12Y' is assigned to the aircraft that is supplying fuel during air Refuel operations.</t>
  </si>
  <si>
    <t>ChyCode_chan012Y</t>
  </si>
  <si>
    <t>The Tactical Air Navigation System (TACAN) channel of '13X' is assigned to the aircraft that is supplying fuel during air Refuel operations.</t>
  </si>
  <si>
    <t>ChyCode_chan013X</t>
  </si>
  <si>
    <t>The Tactical Air Navigation System (TACAN) channel of '13Y' is assigned to the aircraft that is supplying fuel during air Refuel operations.</t>
  </si>
  <si>
    <t>ChyCode_chan013Y</t>
  </si>
  <si>
    <t>The Tactical Air Navigation System (TACAN) channel of '14X' is assigned to the aircraft that is supplying fuel during air Refuel operations.</t>
  </si>
  <si>
    <t>ChyCode_chan014X</t>
  </si>
  <si>
    <t>The Tactical Air Navigation System (TACAN) channel of '14Y' is assigned to the aircraft that is supplying fuel during air Refuel operations.</t>
  </si>
  <si>
    <t>ChyCode_chan014Y</t>
  </si>
  <si>
    <t>The Tactical Air Navigation System (TACAN) channel of '15X' is assigned to the aircraft that is supplying fuel during air Refuel operations.</t>
  </si>
  <si>
    <t>ChyCode_chan015X</t>
  </si>
  <si>
    <t>The Tactical Air Navigation System (TACAN) channel of '15Y' is assigned to the aircraft that is supplying fuel during air Refuel operations.</t>
  </si>
  <si>
    <t>ChyCode_chan015Y</t>
  </si>
  <si>
    <t>The Tactical Air Navigation System (TACAN) channel of '16X' is assigned to the aircraft that is supplying fuel during air Refuel operations.</t>
  </si>
  <si>
    <t>ChyCode_chan016X</t>
  </si>
  <si>
    <t>The Tactical Air Navigation System (TACAN) channel of '16Y' is assigned to the aircraft that is supplying fuel during air Refuel operations.</t>
  </si>
  <si>
    <t>ChyCode_chan016Y</t>
  </si>
  <si>
    <t>The Tactical Air Navigation System (TACAN) channel of '17X' is assigned to the aircraft that is supplying fuel during air Refuel operations.</t>
  </si>
  <si>
    <t>ChyCode_chan017X</t>
  </si>
  <si>
    <t>The Tactical Air Navigation System (TACAN) channel of '17Y' is assigned to the aircraft that is supplying fuel during air Refuel operations.</t>
  </si>
  <si>
    <t>ChyCode_chan017Y</t>
  </si>
  <si>
    <t>The Tactical Air Navigation System (TACAN) channel of '17Z' is assigned to the aircraft that is supplying fuel during air Refuel operations.</t>
  </si>
  <si>
    <t>ChyCode_chan017Z</t>
  </si>
  <si>
    <t>The Tactical Air Navigation System (TACAN) channel of '18W' is assigned to the aircraft that is supplying fuel during air Refuel operations.</t>
  </si>
  <si>
    <t>ChyCode_chan018W</t>
  </si>
  <si>
    <t>The Tactical Air Navigation System (TACAN) channel of '18X' is assigned to the aircraft that is supplying fuel during air Refuel operations.</t>
  </si>
  <si>
    <t>ChyCode_chan018X</t>
  </si>
  <si>
    <t>The Tactical Air Navigation System (TACAN) channel of '18Y' is assigned to the aircraft that is supplying fuel during air Refuel operations.</t>
  </si>
  <si>
    <t>ChyCode_chan018Y</t>
  </si>
  <si>
    <t>The Tactical Air Navigation System (TACAN) channel of '18Z' is assigned to the aircraft that is supplying fuel during air Refuel operations.</t>
  </si>
  <si>
    <t>ChyCode_chan018Z</t>
  </si>
  <si>
    <t>The Tactical Air Navigation System (TACAN) channel of '19X' is assigned to the aircraft that is supplying fuel during air Refuel operations.</t>
  </si>
  <si>
    <t>ChyCode_chan019X</t>
  </si>
  <si>
    <t>The Tactical Air Navigation System (TACAN) channel of '19Y' is assigned to the aircraft that is supplying fuel during air Refuel operations.</t>
  </si>
  <si>
    <t>ChyCode_chan019Y</t>
  </si>
  <si>
    <t>The Tactical Air Navigation System (TACAN) channel of '19Z' is assigned to the aircraft that is supplying fuel during air Refuel operations.</t>
  </si>
  <si>
    <t>ChyCode_chan019Z</t>
  </si>
  <si>
    <t>The Tactical Air Navigation System (TACAN) channel of '1X' is assigned to the aircraft that is supplying fuel during air Refuel operations.</t>
  </si>
  <si>
    <t>ChyCode_chan001X</t>
  </si>
  <si>
    <t>The Tactical Air Navigation System (TACAN) channel of '1Y' is assigned to the aircraft that is supplying fuel during air Refuel operations.</t>
  </si>
  <si>
    <t>ChyCode_chan001Y</t>
  </si>
  <si>
    <t>The Tactical Air Navigation System (TACAN) channel of '20W' is assigned to the aircraft that is supplying fuel during air Refuel operations.</t>
  </si>
  <si>
    <t>ChyCode_chan020W</t>
  </si>
  <si>
    <t>The Tactical Air Navigation System (TACAN) channel of '20X' is assigned to the aircraft that is supplying fuel during air Refuel operations.</t>
  </si>
  <si>
    <t>ChyCode_chan020X</t>
  </si>
  <si>
    <t>The Tactical Air Navigation System (TACAN) channel of '20Y' is assigned to the aircraft that is supplying fuel during air Refuel operations.</t>
  </si>
  <si>
    <t>ChyCode_chan020Y</t>
  </si>
  <si>
    <t>The Tactical Air Navigation System (TACAN) channel of '20Z' is assigned to the aircraft that is supplying fuel during air Refuel operations.</t>
  </si>
  <si>
    <t>ChyCode_chan020Z</t>
  </si>
  <si>
    <t>The Tactical Air Navigation System (TACAN) channel of '21X' is assigned to the aircraft that is supplying fuel during air Refuel operations.</t>
  </si>
  <si>
    <t>ChyCode_chan021X</t>
  </si>
  <si>
    <t>The Tactical Air Navigation System (TACAN) channel of '21Y' is assigned to the aircraft that is supplying fuel during air Refuel operations.</t>
  </si>
  <si>
    <t>ChyCode_chan021Y</t>
  </si>
  <si>
    <t>The Tactical Air Navigation System (TACAN) channel of '21Z' is assigned to the aircraft that is supplying fuel during air Refuel operations.</t>
  </si>
  <si>
    <t>ChyCode_chan021Z</t>
  </si>
  <si>
    <t>The Tactical Air Navigation System (TACAN) channel of '22W' is assigned to the aircraft that is supplying fuel during air Refuel operations.</t>
  </si>
  <si>
    <t>ChyCode_chan022W</t>
  </si>
  <si>
    <t>The Tactical Air Navigation System (TACAN) channel of '22X' is assigned to the aircraft that is supplying fuel during air Refuel operations.</t>
  </si>
  <si>
    <t>ChyCode_chan022X</t>
  </si>
  <si>
    <t>The Tactical Air Navigation System (TACAN) channel of '22Y' is assigned to the aircraft that is supplying fuel during air Refuel operations.</t>
  </si>
  <si>
    <t>ChyCode_chan022Y</t>
  </si>
  <si>
    <t>The Tactical Air Navigation System (TACAN) channel of '22Z' is assigned to the aircraft that is supplying fuel during air Refuel operations.</t>
  </si>
  <si>
    <t>ChyCode_chan022Z</t>
  </si>
  <si>
    <t>The Tactical Air Navigation System (TACAN) channel of '23X' is assigned to the aircraft that is supplying fuel during air Refuel operations.</t>
  </si>
  <si>
    <t>ChyCode_chan023X</t>
  </si>
  <si>
    <t>The Tactical Air Navigation System (TACAN) channel of '23Y' is assigned to the aircraft that is supplying fuel during air Refuel operations.</t>
  </si>
  <si>
    <t>ChyCode_chan023Y</t>
  </si>
  <si>
    <t>The Tactical Air Navigation System (TACAN) channel of '23Z' is assigned to the aircraft that is supplying fuel during air Refuel operations.</t>
  </si>
  <si>
    <t>ChyCode_chan023Z</t>
  </si>
  <si>
    <t>The Tactical Air Navigation System (TACAN) channel of '24W' is assigned to the aircraft that is supplying fuel during air Refuel operations.</t>
  </si>
  <si>
    <t>ChyCode_chan024W</t>
  </si>
  <si>
    <t>The Tactical Air Navigation System (TACAN) channel of '24X' is assigned to the aircraft that is supplying fuel during air Refuel operations.</t>
  </si>
  <si>
    <t>ChyCode_chan024X</t>
  </si>
  <si>
    <t>The Tactical Air Navigation System (TACAN) channel of '24Y' is assigned to the aircraft that is supplying fuel during air Refuel operations.</t>
  </si>
  <si>
    <t>ChyCode_chan024Y</t>
  </si>
  <si>
    <t>The Tactical Air Navigation System (TACAN) channel of '24Z' is assigned to the aircraft that is supplying fuel during air Refuel operations.</t>
  </si>
  <si>
    <t>ChyCode_chan024Z</t>
  </si>
  <si>
    <t>The Tactical Air Navigation System (TACAN) channel of '25X' is assigned to the aircraft that is supplying fuel during air Refuel operations.</t>
  </si>
  <si>
    <t>ChyCode_chan025X</t>
  </si>
  <si>
    <t>The Tactical Air Navigation System (TACAN) channel of '25Y' is assigned to the aircraft that is supplying fuel during air Refuel operations.</t>
  </si>
  <si>
    <t>ChyCode_chan025Y</t>
  </si>
  <si>
    <t>The Tactical Air Navigation System (TACAN) channel of '25Z' is assigned to the aircraft that is supplying fuel during air Refuel operations.</t>
  </si>
  <si>
    <t>ChyCode_chan025Z</t>
  </si>
  <si>
    <t>The Tactical Air Navigation System (TACAN) channel of '26W' is assigned to the aircraft that is supplying fuel during air Refuel operations.</t>
  </si>
  <si>
    <t>ChyCode_chan026W</t>
  </si>
  <si>
    <t>The Tactical Air Navigation System (TACAN) channel of '26X' is assigned to the aircraft that is supplying fuel during air Refuel operations.</t>
  </si>
  <si>
    <t>ChyCode_chan026X</t>
  </si>
  <si>
    <t>The Tactical Air Navigation System (TACAN) channel of '26Y' is assigned to the aircraft that is supplying fuel during air Refuel operations.</t>
  </si>
  <si>
    <t>ChyCode_chan026Y</t>
  </si>
  <si>
    <t>The Tactical Air Navigation System (TACAN) channel of '26Z' is assigned to the aircraft that is supplying fuel during air Refuel operations.</t>
  </si>
  <si>
    <t>ChyCode_chan026Z</t>
  </si>
  <si>
    <t>The Tactical Air Navigation System (TACAN) channel of '27X' is assigned to the aircraft that is supplying fuel during air Refuel operations.</t>
  </si>
  <si>
    <t>ChyCode_chan027X</t>
  </si>
  <si>
    <t>The Tactical Air Navigation System (TACAN) channel of '27Y' is assigned to the aircraft that is supplying fuel during air Refuel operations.</t>
  </si>
  <si>
    <t>ChyCode_chan027Y</t>
  </si>
  <si>
    <t>The Tactical Air Navigation System (TACAN) channel of '27Z' is assigned to the aircraft that is supplying fuel during air Refuel operations.</t>
  </si>
  <si>
    <t>ChyCode_chan027Z</t>
  </si>
  <si>
    <t>The Tactical Air Navigation System (TACAN) channel of '28W' is assigned to the aircraft that is supplying fuel during air Refuel operations.</t>
  </si>
  <si>
    <t>ChyCode_chan028W</t>
  </si>
  <si>
    <t>The Tactical Air Navigation System (TACAN) channel of '28X' is assigned to the aircraft that is supplying fuel during air Refuel operations.</t>
  </si>
  <si>
    <t>ChyCode_chan028X</t>
  </si>
  <si>
    <t>The Tactical Air Navigation System (TACAN) channel of '28Y' is assigned to the aircraft that is supplying fuel during air Refuel operations.</t>
  </si>
  <si>
    <t>ChyCode_chan028Y</t>
  </si>
  <si>
    <t>The Tactical Air Navigation System (TACAN) channel of '28Z' is assigned to the aircraft that is supplying fuel during air Refuel operations.</t>
  </si>
  <si>
    <t>ChyCode_chan028Z</t>
  </si>
  <si>
    <t>The Tactical Air Navigation System (TACAN) channel of '29X' is assigned to the aircraft that is supplying fuel during air Refuel operations.</t>
  </si>
  <si>
    <t>ChyCode_chan029X</t>
  </si>
  <si>
    <t>The Tactical Air Navigation System (TACAN) channel of '29Y' is assigned to the aircraft that is supplying fuel during air Refuel operations.</t>
  </si>
  <si>
    <t>ChyCode_chan029Y</t>
  </si>
  <si>
    <t>The Tactical Air Navigation System (TACAN) channel of '29Z' is assigned to the aircraft that is supplying fuel during air Refuel operations.</t>
  </si>
  <si>
    <t>ChyCode_chan029Z</t>
  </si>
  <si>
    <t>The Tactical Air Navigation System (TACAN) channel of '2X' is assigned to the aircraft that is supplying fuel during air Refuel operations.</t>
  </si>
  <si>
    <t>ChyCode_chan002X</t>
  </si>
  <si>
    <t>The Tactical Air Navigation System (TACAN) channel of '2Y' is assigned to the aircraft that is supplying fuel during air Refuel operations.</t>
  </si>
  <si>
    <t>ChyCode_chan002Y</t>
  </si>
  <si>
    <t>The Tactical Air Navigation System (TACAN) channel of '30W' is assigned to the aircraft that is supplying fuel during air Refuel operations.</t>
  </si>
  <si>
    <t>ChyCode_chan030W</t>
  </si>
  <si>
    <t>The Tactical Air Navigation System (TACAN) channel of '30X' is assigned to the aircraft that is supplying fuel during air Refuel operations.</t>
  </si>
  <si>
    <t>ChyCode_chan030X</t>
  </si>
  <si>
    <t>The Tactical Air Navigation System (TACAN) channel of '30Y' is assigned to the aircraft that is supplying fuel during air Refuel operations.</t>
  </si>
  <si>
    <t>ChyCode_chan030Y</t>
  </si>
  <si>
    <t>The Tactical Air Navigation System (TACAN) channel of '30Z' is assigned to the aircraft that is supplying fuel during air Refuel operations.</t>
  </si>
  <si>
    <t>ChyCode_chan030Z</t>
  </si>
  <si>
    <t>The Tactical Air Navigation System (TACAN) channel of '31X' is assigned to the aircraft that is supplying fuel during air Refuel operations.</t>
  </si>
  <si>
    <t>ChyCode_chan031X</t>
  </si>
  <si>
    <t>The Tactical Air Navigation System (TACAN) channel of '31Y' is assigned to the aircraft that is supplying fuel during air Refuel operations.</t>
  </si>
  <si>
    <t>ChyCode_chan031Y</t>
  </si>
  <si>
    <t>The Tactical Air Navigation System (TACAN) channel of '31Z' is assigned to the aircraft that is supplying fuel during air Refuel operations.</t>
  </si>
  <si>
    <t>ChyCode_chan031Z</t>
  </si>
  <si>
    <t>The Tactical Air Navigation System (TACAN) channel of '32W' is assigned to the aircraft that is supplying fuel during air Refuel operations.</t>
  </si>
  <si>
    <t>ChyCode_chan032W</t>
  </si>
  <si>
    <t>The Tactical Air Navigation System (TACAN) channel of '32X' is assigned to the aircraft that is supplying fuel during air Refuel operations.</t>
  </si>
  <si>
    <t>ChyCode_chan032X</t>
  </si>
  <si>
    <t>The Tactical Air Navigation System (TACAN) channel of '32Y' is assigned to the aircraft that is supplying fuel during air Refuel operations.</t>
  </si>
  <si>
    <t>ChyCode_chan032Y</t>
  </si>
  <si>
    <t>The Tactical Air Navigation System (TACAN) channel of '32Z' is assigned to the aircraft that is supplying fuel during air Refuel operations.</t>
  </si>
  <si>
    <t>ChyCode_chan032Z</t>
  </si>
  <si>
    <t>The Tactical Air Navigation System (TACAN) channel of '33X' is assigned to the aircraft that is supplying fuel during air Refuel operations.</t>
  </si>
  <si>
    <t>ChyCode_chan033X</t>
  </si>
  <si>
    <t>The Tactical Air Navigation System (TACAN) channel of '33Y' is assigned to the aircraft that is supplying fuel during air Refuel operations.</t>
  </si>
  <si>
    <t>ChyCode_chan033Y</t>
  </si>
  <si>
    <t>The Tactical Air Navigation System (TACAN) channel of '33Z' is assigned to the aircraft that is supplying fuel during air Refuel operations.</t>
  </si>
  <si>
    <t>ChyCode_chan033Z</t>
  </si>
  <si>
    <t>The Tactical Air Navigation System (TACAN) channel of '34W' is assigned to the aircraft that is supplying fuel during air Refuel operations.</t>
  </si>
  <si>
    <t>ChyCode_chan034W</t>
  </si>
  <si>
    <t>The Tactical Air Navigation System (TACAN) channel of '34X' is assigned to the aircraft that is supplying fuel during air Refuel operations.</t>
  </si>
  <si>
    <t>ChyCode_chan034X</t>
  </si>
  <si>
    <t>The Tactical Air Navigation System (TACAN) channel of '34Y' is assigned to the aircraft that is supplying fuel during air Refuel operations.</t>
  </si>
  <si>
    <t>ChyCode_chan034Y</t>
  </si>
  <si>
    <t>The Tactical Air Navigation System (TACAN) channel of '34Z' is assigned to the aircraft that is supplying fuel during air Refuel operations.</t>
  </si>
  <si>
    <t>ChyCode_chan034Z</t>
  </si>
  <si>
    <t>The Tactical Air Navigation System (TACAN) channel of '35X' is assigned to the aircraft that is supplying fuel during air Refuel operations.</t>
  </si>
  <si>
    <t>ChyCode_chan035X</t>
  </si>
  <si>
    <t>The Tactical Air Navigation System (TACAN) channel of '35Y' is assigned to the aircraft that is supplying fuel during air Refuel operations.</t>
  </si>
  <si>
    <t>ChyCode_chan035Y</t>
  </si>
  <si>
    <t>The Tactical Air Navigation System (TACAN) channel of '35Z' is assigned to the aircraft that is supplying fuel during air Refuel operations.</t>
  </si>
  <si>
    <t>ChyCode_chan035Z</t>
  </si>
  <si>
    <t>The Tactical Air Navigation System (TACAN) channel of '36W' is assigned to the aircraft that is supplying fuel during air Refuel operations.</t>
  </si>
  <si>
    <t>ChyCode_chan036W</t>
  </si>
  <si>
    <t>The Tactical Air Navigation System (TACAN) channel of '36X' is assigned to the aircraft that is supplying fuel during air Refuel operations.</t>
  </si>
  <si>
    <t>ChyCode_chan036X</t>
  </si>
  <si>
    <t>The Tactical Air Navigation System (TACAN) channel of '36Y' is assigned to the aircraft that is supplying fuel during air Refuel operations.</t>
  </si>
  <si>
    <t>ChyCode_chan036Y</t>
  </si>
  <si>
    <t>The Tactical Air Navigation System (TACAN) channel of '36Z' is assigned to the aircraft that is supplying fuel during air Refuel operations.</t>
  </si>
  <si>
    <t>ChyCode_chan036Z</t>
  </si>
  <si>
    <t>The Tactical Air Navigation System (TACAN) channel of '37X' is assigned to the aircraft that is supplying fuel during air Refuel operations.</t>
  </si>
  <si>
    <t>ChyCode_chan037X</t>
  </si>
  <si>
    <t>The Tactical Air Navigation System (TACAN) channel of '37Y' is assigned to the aircraft that is supplying fuel during air Refuel operations.</t>
  </si>
  <si>
    <t>ChyCode_chan037Y</t>
  </si>
  <si>
    <t>The Tactical Air Navigation System (TACAN) channel of '37Z' is assigned to the aircraft that is supplying fuel during air Refuel operations.</t>
  </si>
  <si>
    <t>ChyCode_chan037Z</t>
  </si>
  <si>
    <t>The Tactical Air Navigation System (TACAN) channel of '38W' is assigned to the aircraft that is supplying fuel during air Refuel operations.</t>
  </si>
  <si>
    <t>ChyCode_chan038W</t>
  </si>
  <si>
    <t>The Tactical Air Navigation System (TACAN) channel of '38X' is assigned to the aircraft that is supplying fuel during air Refuel operations.</t>
  </si>
  <si>
    <t>ChyCode_chan038X</t>
  </si>
  <si>
    <t>The Tactical Air Navigation System (TACAN) channel of '38Y' is assigned to the aircraft that is supplying fuel during air Refuel operations.</t>
  </si>
  <si>
    <t>ChyCode_chan038Y</t>
  </si>
  <si>
    <t>The Tactical Air Navigation System (TACAN) channel of '38Z' is assigned to the aircraft that is supplying fuel during air Refuel operations.</t>
  </si>
  <si>
    <t>ChyCode_chan038Z</t>
  </si>
  <si>
    <t>The Tactical Air Navigation System (TACAN) channel of '39X' is assigned to the aircraft that is supplying fuel during air Refuel operations.</t>
  </si>
  <si>
    <t>ChyCode_chan039X</t>
  </si>
  <si>
    <t>The Tactical Air Navigation System (TACAN) channel of '39Y' is assigned to the aircraft that is supplying fuel during air Refuel operations.</t>
  </si>
  <si>
    <t>ChyCode_chan039Y</t>
  </si>
  <si>
    <t>The Tactical Air Navigation System (TACAN) channel of '39Z' is assigned to the aircraft that is supplying fuel during air Refuel operations.</t>
  </si>
  <si>
    <t>ChyCode_chan039Z</t>
  </si>
  <si>
    <t>The Tactical Air Navigation System (TACAN) channel of '3X' is assigned to the aircraft that is supplying fuel during air Refuel operations.</t>
  </si>
  <si>
    <t>ChyCode_chan003X</t>
  </si>
  <si>
    <t>The Tactical Air Navigation System (TACAN) channel of '3Y' is assigned to the aircraft that is supplying fuel during air Refuel operations.</t>
  </si>
  <si>
    <t>ChyCode_chan003Y</t>
  </si>
  <si>
    <t>The Tactical Air Navigation System (TACAN) channel of '40W' is assigned to the aircraft that is supplying fuel during air Refuel operations.</t>
  </si>
  <si>
    <t>ChyCode_chan040W</t>
  </si>
  <si>
    <t>The Tactical Air Navigation System (TACAN) channel of '40X' is assigned to the aircraft that is supplying fuel during air Refuel operations.</t>
  </si>
  <si>
    <t>ChyCode_chan040X</t>
  </si>
  <si>
    <t>The Tactical Air Navigation System (TACAN) channel of '40Y' is assigned to the aircraft that is supplying fuel during air Refuel operations.</t>
  </si>
  <si>
    <t>ChyCode_chan040Y</t>
  </si>
  <si>
    <t>The Tactical Air Navigation System (TACAN) channel of '40Z' is assigned to the aircraft that is supplying fuel during air Refuel operations.</t>
  </si>
  <si>
    <t>ChyCode_chan040Z</t>
  </si>
  <si>
    <t>The Tactical Air Navigation System (TACAN) channel of '41X' is assigned to the aircraft that is supplying fuel during air Refuel operations.</t>
  </si>
  <si>
    <t>ChyCode_chan041X</t>
  </si>
  <si>
    <t>The Tactical Air Navigation System (TACAN) channel of '41Y' is assigned to the aircraft that is supplying fuel during air Refuel operations.</t>
  </si>
  <si>
    <t>ChyCode_chan041Y</t>
  </si>
  <si>
    <t>The Tactical Air Navigation System (TACAN) channel of '41Z' is assigned to the aircraft that is supplying fuel during air Refuel operations.</t>
  </si>
  <si>
    <t>ChyCode_chan041Z</t>
  </si>
  <si>
    <t>The Tactical Air Navigation System (TACAN) channel of '42W' is assigned to the aircraft that is supplying fuel during air Refuel operations.</t>
  </si>
  <si>
    <t>ChyCode_chan042W</t>
  </si>
  <si>
    <t>The Tactical Air Navigation System (TACAN) channel of '42X' is assigned to the aircraft that is supplying fuel during air Refuel operations.</t>
  </si>
  <si>
    <t>ChyCode_chan042X</t>
  </si>
  <si>
    <t>The Tactical Air Navigation System (TACAN) channel of '42Y' is assigned to the aircraft that is supplying fuel during air Refuel operations.</t>
  </si>
  <si>
    <t>ChyCode_chan042Y</t>
  </si>
  <si>
    <t>The Tactical Air Navigation System (TACAN) channel of '42Z' is assigned to the aircraft that is supplying fuel during air Refuel operations.</t>
  </si>
  <si>
    <t>ChyCode_chan042Z</t>
  </si>
  <si>
    <t>The Tactical Air Navigation System (TACAN) channel of '43X' is assigned to the aircraft that is supplying fuel during air Refuel operations.</t>
  </si>
  <si>
    <t>ChyCode_chan043X</t>
  </si>
  <si>
    <t>The Tactical Air Navigation System (TACAN) channel of '43Y' is assigned to the aircraft that is supplying fuel during air Refuel operations.</t>
  </si>
  <si>
    <t>ChyCode_chan043Y</t>
  </si>
  <si>
    <t>The Tactical Air Navigation System (TACAN) channel of '43Z' is assigned to the aircraft that is supplying fuel during air Refuel operations.</t>
  </si>
  <si>
    <t>ChyCode_chan043Z</t>
  </si>
  <si>
    <t>The Tactical Air Navigation System (TACAN) channel of '44W' is assigned to the aircraft that is supplying fuel during air Refuel operations.</t>
  </si>
  <si>
    <t>ChyCode_chan044W</t>
  </si>
  <si>
    <t>The Tactical Air Navigation System (TACAN) channel of '44X' is assigned to the aircraft that is supplying fuel during air Refuel operations.</t>
  </si>
  <si>
    <t>ChyCode_chan044X</t>
  </si>
  <si>
    <t>The Tactical Air Navigation System (TACAN) channel of '44Y' is assigned to the aircraft that is supplying fuel during air Refuel operations.</t>
  </si>
  <si>
    <t>ChyCode_chan044Y</t>
  </si>
  <si>
    <t>The Tactical Air Navigation System (TACAN) channel of '44Z' is assigned to the aircraft that is supplying fuel during air Refuel operations.</t>
  </si>
  <si>
    <t>ChyCode_chan044Z</t>
  </si>
  <si>
    <t>The Tactical Air Navigation System (TACAN) channel of '45X' is assigned to the aircraft that is supplying fuel during air Refuel operations.</t>
  </si>
  <si>
    <t>ChyCode_chan045X</t>
  </si>
  <si>
    <t>The Tactical Air Navigation System (TACAN) channel of '45Y' is assigned to the aircraft that is supplying fuel during air Refuel operations.</t>
  </si>
  <si>
    <t>ChyCode_chan045Y</t>
  </si>
  <si>
    <t>The Tactical Air Navigation System (TACAN) channel of '45Z' is assigned to the aircraft that is supplying fuel during air Refuel operations.</t>
  </si>
  <si>
    <t>ChyCode_chan045Z</t>
  </si>
  <si>
    <t>The Tactical Air Navigation System (TACAN) channel of '46W' is assigned to the aircraft that is supplying fuel during air Refuel operations.</t>
  </si>
  <si>
    <t>ChyCode_chan046W</t>
  </si>
  <si>
    <t>The Tactical Air Navigation System (TACAN) channel of '46X' is assigned to the aircraft that is supplying fuel during air Refuel operations.</t>
  </si>
  <si>
    <t>ChyCode_chan046X</t>
  </si>
  <si>
    <t>The Tactical Air Navigation System (TACAN) channel of '46Y' is assigned to the aircraft that is supplying fuel during air Refuel operations.</t>
  </si>
  <si>
    <t>ChyCode_chan046Y</t>
  </si>
  <si>
    <t>The Tactical Air Navigation System (TACAN) channel of '46Z' is assigned to the aircraft that is supplying fuel during air Refuel operations.</t>
  </si>
  <si>
    <t>ChyCode_chan046Z</t>
  </si>
  <si>
    <t>The Tactical Air Navigation System (TACAN) channel of '47X' is assigned to the aircraft that is supplying fuel during air Refuel operations.</t>
  </si>
  <si>
    <t>ChyCode_chan047X</t>
  </si>
  <si>
    <t>The Tactical Air Navigation System (TACAN) channel of '47Y' is assigned to the aircraft that is supplying fuel during air Refuel operations.</t>
  </si>
  <si>
    <t>ChyCode_chan047Y</t>
  </si>
  <si>
    <t>The Tactical Air Navigation System (TACAN) channel of '47Z' is assigned to the aircraft that is supplying fuel during air Refuel operations.</t>
  </si>
  <si>
    <t>ChyCode_chan047Z</t>
  </si>
  <si>
    <t>The Tactical Air Navigation System (TACAN) channel of '48W' is assigned to the aircraft that is supplying fuel during air Refuel operations.</t>
  </si>
  <si>
    <t>ChyCode_chan048W</t>
  </si>
  <si>
    <t>The Tactical Air Navigation System (TACAN) channel of '48X' is assigned to the aircraft that is supplying fuel during air Refuel operations.</t>
  </si>
  <si>
    <t>ChyCode_chan048X</t>
  </si>
  <si>
    <t>The Tactical Air Navigation System (TACAN) channel of '48Y' is assigned to the aircraft that is supplying fuel during air Refuel operations.</t>
  </si>
  <si>
    <t>ChyCode_chan048Y</t>
  </si>
  <si>
    <t>The Tactical Air Navigation System (TACAN) channel of '48Z' is assigned to the aircraft that is supplying fuel during air Refuel operations.</t>
  </si>
  <si>
    <t>ChyCode_chan048Z</t>
  </si>
  <si>
    <t>The Tactical Air Navigation System (TACAN) channel of '49X' is assigned to the aircraft that is supplying fuel during air Refuel operations.</t>
  </si>
  <si>
    <t>ChyCode_chan049X</t>
  </si>
  <si>
    <t>The Tactical Air Navigation System (TACAN) channel of '49Y' is assigned to the aircraft that is supplying fuel during air Refuel operations.</t>
  </si>
  <si>
    <t>ChyCode_chan049Y</t>
  </si>
  <si>
    <t>The Tactical Air Navigation System (TACAN) channel of '49Z' is assigned to the aircraft that is supplying fuel during air Refuel operations.</t>
  </si>
  <si>
    <t>ChyCode_chan049Z</t>
  </si>
  <si>
    <t>The Tactical Air Navigation System (TACAN) channel of '4X' is assigned to the aircraft that is supplying fuel during air Refuel operations.</t>
  </si>
  <si>
    <t>ChyCode_chan004X</t>
  </si>
  <si>
    <t>The Tactical Air Navigation System (TACAN) channel of '4Y' is assigned to the aircraft that is supplying fuel during air Refuel operations.</t>
  </si>
  <si>
    <t>ChyCode_chan004Y</t>
  </si>
  <si>
    <t>The Tactical Air Navigation System (TACAN) channel of '50W' is assigned to the aircraft that is supplying fuel during air Refuel operations.</t>
  </si>
  <si>
    <t>ChyCode_chan050W</t>
  </si>
  <si>
    <t>The Tactical Air Navigation System (TACAN) channel of '50X' is assigned to the aircraft that is supplying fuel during air Refuel operations.</t>
  </si>
  <si>
    <t>ChyCode_chan050X</t>
  </si>
  <si>
    <t>The Tactical Air Navigation System (TACAN) channel of '50Y' is assigned to the aircraft that is supplying fuel during air Refuel operations.</t>
  </si>
  <si>
    <t>ChyCode_chan050Y</t>
  </si>
  <si>
    <t>The Tactical Air Navigation System (TACAN) channel of '50Z' is assigned to the aircraft that is supplying fuel during air Refuel operations.</t>
  </si>
  <si>
    <t>ChyCode_chan050Z</t>
  </si>
  <si>
    <t>The Tactical Air Navigation System (TACAN) channel of '51X' is assigned to the aircraft that is supplying fuel during air Refuel operations.</t>
  </si>
  <si>
    <t>ChyCode_chan051X</t>
  </si>
  <si>
    <t>The Tactical Air Navigation System (TACAN) channel of '51Y' is assigned to the aircraft that is supplying fuel during air Refuel operations.</t>
  </si>
  <si>
    <t>ChyCode_chan051Y</t>
  </si>
  <si>
    <t>The Tactical Air Navigation System (TACAN) channel of '51Z' is assigned to the aircraft that is supplying fuel during air Refuel operations.</t>
  </si>
  <si>
    <t>ChyCode_chan051Z</t>
  </si>
  <si>
    <t>The Tactical Air Navigation System (TACAN) channel of '52W' is assigned to the aircraft that is supplying fuel during air Refuel operations.</t>
  </si>
  <si>
    <t>ChyCode_chan052W</t>
  </si>
  <si>
    <t>The Tactical Air Navigation System (TACAN) channel of '52X' is assigned to the aircraft that is supplying fuel during air Refuel operations.</t>
  </si>
  <si>
    <t>ChyCode_chan052X</t>
  </si>
  <si>
    <t>The Tactical Air Navigation System (TACAN) channel of '52Y' is assigned to the aircraft that is supplying fuel during air Refuel operations.</t>
  </si>
  <si>
    <t>ChyCode_chan052Y</t>
  </si>
  <si>
    <t>The Tactical Air Navigation System (TACAN) channel of '52Z' is assigned to the aircraft that is supplying fuel during air Refuel operations.</t>
  </si>
  <si>
    <t>ChyCode_chan052Z</t>
  </si>
  <si>
    <t>The Tactical Air Navigation System (TACAN) channel of '53X' is assigned to the aircraft that is supplying fuel during air Refuel operations.</t>
  </si>
  <si>
    <t>ChyCode_chan053X</t>
  </si>
  <si>
    <t>The Tactical Air Navigation System (TACAN) channel of '53Y' is assigned to the aircraft that is supplying fuel during air Refuel operations.</t>
  </si>
  <si>
    <t>ChyCode_chan053Y</t>
  </si>
  <si>
    <t>The Tactical Air Navigation System (TACAN) channel of '53Z' is assigned to the aircraft that is supplying fuel during air Refuel operations.</t>
  </si>
  <si>
    <t>ChyCode_chan053Z</t>
  </si>
  <si>
    <t>The Tactical Air Navigation System (TACAN) channel of '54W' is assigned to the aircraft that is supplying fuel during air Refuel operations.</t>
  </si>
  <si>
    <t>ChyCode_chan054W</t>
  </si>
  <si>
    <t>The Tactical Air Navigation System (TACAN) channel of '54X' is assigned to the aircraft that is supplying fuel during air Refuel operations.</t>
  </si>
  <si>
    <t>ChyCode_chan054X</t>
  </si>
  <si>
    <t>The Tactical Air Navigation System (TACAN) channel of '54Y' is assigned to the aircraft that is supplying fuel during air Refuel operations.</t>
  </si>
  <si>
    <t>ChyCode_chan054Y</t>
  </si>
  <si>
    <t>The Tactical Air Navigation System (TACAN) channel of '54Z' is assigned to the aircraft that is supplying fuel during air Refuel operations.</t>
  </si>
  <si>
    <t>ChyCode_chan054Z</t>
  </si>
  <si>
    <t>The Tactical Air Navigation System (TACAN) channel of '55X' is assigned to the aircraft that is supplying fuel during air Refuel operations.</t>
  </si>
  <si>
    <t>ChyCode_chan055X</t>
  </si>
  <si>
    <t>The Tactical Air Navigation System (TACAN) channel of '55Y' is assigned to the aircraft that is supplying fuel during air Refuel operations.</t>
  </si>
  <si>
    <t>ChyCode_chan055Y</t>
  </si>
  <si>
    <t>The Tactical Air Navigation System (TACAN) channel of '55Z' is assigned to the aircraft that is supplying fuel during air Refuel operations.</t>
  </si>
  <si>
    <t>ChyCode_chan055Z</t>
  </si>
  <si>
    <t>The Tactical Air Navigation System (TACAN) channel of '56W' is assigned to the aircraft that is supplying fuel during air Refuel operations.</t>
  </si>
  <si>
    <t>ChyCode_chan056W</t>
  </si>
  <si>
    <t>The Tactical Air Navigation System (TACAN) channel of '56X' is assigned to the aircraft that is supplying fuel during air Refuel operations.</t>
  </si>
  <si>
    <t>ChyCode_chan056X</t>
  </si>
  <si>
    <t>The Tactical Air Navigation System (TACAN) channel of '56Y' is assigned to the aircraft that is supplying fuel during air Refuel operations.</t>
  </si>
  <si>
    <t>ChyCode_chan056Y</t>
  </si>
  <si>
    <t>The Tactical Air Navigation System (TACAN) channel of '56Z' is assigned to the aircraft that is supplying fuel during air Refuel operations.</t>
  </si>
  <si>
    <t>ChyCode_chan056Z</t>
  </si>
  <si>
    <t>The Tactical Air Navigation System (TACAN) channel of '57X' is assigned to the aircraft that is supplying fuel during air Refuel operations.</t>
  </si>
  <si>
    <t>ChyCode_chan057X</t>
  </si>
  <si>
    <t>The Tactical Air Navigation System (TACAN) channel of '57Y' is assigned to the aircraft that is supplying fuel during air Refuel operations.</t>
  </si>
  <si>
    <t>ChyCode_chan057Y</t>
  </si>
  <si>
    <t>The Tactical Air Navigation System (TACAN) channel of '58X' is assigned to the aircraft that is supplying fuel during air Refuel operations.</t>
  </si>
  <si>
    <t>ChyCode_chan058X</t>
  </si>
  <si>
    <t>The Tactical Air Navigation System (TACAN) channel of '58Y' is assigned to the aircraft that is supplying fuel during air Refuel operations.</t>
  </si>
  <si>
    <t>ChyCode_chan058Y</t>
  </si>
  <si>
    <t>The Tactical Air Navigation System (TACAN) channel of '59X' is assigned to the aircraft that is supplying fuel during air Refuel operations.</t>
  </si>
  <si>
    <t>ChyCode_chan059X</t>
  </si>
  <si>
    <t>The Tactical Air Navigation System (TACAN) channel of '59Y' is assigned to the aircraft that is supplying fuel during air Refuel operations.</t>
  </si>
  <si>
    <t>ChyCode_chan059Y</t>
  </si>
  <si>
    <t>The Tactical Air Navigation System (TACAN) channel of '5X' is assigned to the aircraft that is supplying fuel during air Refuel operations.</t>
  </si>
  <si>
    <t>ChyCode_chan005X</t>
  </si>
  <si>
    <t>The Tactical Air Navigation System (TACAN) channel of '5Y' is assigned to the aircraft that is supplying fuel during air Refuel operations.</t>
  </si>
  <si>
    <t>ChyCode_chan005Y</t>
  </si>
  <si>
    <t>The Tactical Air Navigation System (TACAN) channel of '60X' is assigned to the aircraft that is supplying fuel during air Refuel operations.</t>
  </si>
  <si>
    <t>ChyCode_chan060X</t>
  </si>
  <si>
    <t>The Tactical Air Navigation System (TACAN) channel of '60Y' is assigned to the aircraft that is supplying fuel during air Refuel operations.</t>
  </si>
  <si>
    <t>ChyCode_chan060Y</t>
  </si>
  <si>
    <t>The Tactical Air Navigation System (TACAN) channel of '61X' is assigned to the aircraft that is supplying fuel during air Refuel operations.</t>
  </si>
  <si>
    <t>ChyCode_chan061X</t>
  </si>
  <si>
    <t>The Tactical Air Navigation System (TACAN) channel of '61Y' is assigned to the aircraft that is supplying fuel during air Refuel operations.</t>
  </si>
  <si>
    <t>ChyCode_chan061Y</t>
  </si>
  <si>
    <t>The Tactical Air Navigation System (TACAN) channel of '62X' is assigned to the aircraft that is supplying fuel during air Refuel operations.</t>
  </si>
  <si>
    <t>ChyCode_chan062X</t>
  </si>
  <si>
    <t>The Tactical Air Navigation System (TACAN) channel of '62Y' is assigned to the aircraft that is supplying fuel during air Refuel operations.</t>
  </si>
  <si>
    <t>ChyCode_chan062Y</t>
  </si>
  <si>
    <t>The Tactical Air Navigation System (TACAN) channel of '63X' is assigned to the aircraft that is supplying fuel during air Refuel operations.</t>
  </si>
  <si>
    <t>ChyCode_chan063X</t>
  </si>
  <si>
    <t>The Tactical Air Navigation System (TACAN) channel of '63Y' is assigned to the aircraft that is supplying fuel during air Refuel operations.</t>
  </si>
  <si>
    <t>ChyCode_chan063Y</t>
  </si>
  <si>
    <t>The Tactical Air Navigation System (TACAN) channel of '64X' is assigned to the aircraft that is supplying fuel during air Refuel operations.</t>
  </si>
  <si>
    <t>ChyCode_chan064X</t>
  </si>
  <si>
    <t>The Tactical Air Navigation System (TACAN) channel of '64Y' is assigned to the aircraft that is supplying fuel during air Refuel operations.</t>
  </si>
  <si>
    <t>ChyCode_chan064Y</t>
  </si>
  <si>
    <t>The Tactical Air Navigation System (TACAN) channel of '65X' is assigned to the aircraft that is supplying fuel during air Refuel operations.</t>
  </si>
  <si>
    <t>ChyCode_chan065X</t>
  </si>
  <si>
    <t>The Tactical Air Navigation System (TACAN) channel of '65Y' is assigned to the aircraft that is supplying fuel during air Refuel operations.</t>
  </si>
  <si>
    <t>ChyCode_chan065Y</t>
  </si>
  <si>
    <t>The Tactical Air Navigation System (TACAN) channel of '66X' is assigned to the aircraft that is supplying fuel during air Refuel operations.</t>
  </si>
  <si>
    <t>ChyCode_chan066X</t>
  </si>
  <si>
    <t>The Tactical Air Navigation System (TACAN) channel of '66Y' is assigned to the aircraft that is supplying fuel during air Refuel operations.</t>
  </si>
  <si>
    <t>ChyCode_chan066Y</t>
  </si>
  <si>
    <t>The Tactical Air Navigation System (TACAN) channel of '67X' is assigned to the aircraft that is supplying fuel during air Refuel operations.</t>
  </si>
  <si>
    <t>ChyCode_chan067X</t>
  </si>
  <si>
    <t>The Tactical Air Navigation System (TACAN) channel of '67Y' is assigned to the aircraft that is supplying fuel during air Refuel operations.</t>
  </si>
  <si>
    <t>ChyCode_chan067Y</t>
  </si>
  <si>
    <t>The Tactical Air Navigation System (TACAN) channel of '68X' is assigned to the aircraft that is supplying fuel during air Refuel operations.</t>
  </si>
  <si>
    <t>ChyCode_chan068X</t>
  </si>
  <si>
    <t>The Tactical Air Navigation System (TACAN) channel of '68Y' is assigned to the aircraft that is supplying fuel during air Refuel operations.</t>
  </si>
  <si>
    <t>ChyCode_chan068Y</t>
  </si>
  <si>
    <t>The Tactical Air Navigation System (TACAN) channel of '69X' is assigned to the aircraft that is supplying fuel during air Refuel operations.</t>
  </si>
  <si>
    <t>ChyCode_chan069X</t>
  </si>
  <si>
    <t>The Tactical Air Navigation System (TACAN) channel of '69Y' is assigned to the aircraft that is supplying fuel during air Refuel operations.</t>
  </si>
  <si>
    <t>ChyCode_chan069Y</t>
  </si>
  <si>
    <t>The Tactical Air Navigation System (TACAN) channel of '6X' is assigned to the aircraft that is supplying fuel during air Refuel operations.</t>
  </si>
  <si>
    <t>ChyCode_chan006X</t>
  </si>
  <si>
    <t>The Tactical Air Navigation System (TACAN) channel of '6Y' is assigned to the aircraft that is supplying fuel during air Refuel operations.</t>
  </si>
  <si>
    <t>ChyCode_chan006Y</t>
  </si>
  <si>
    <t>The Tactical Air Navigation System (TACAN) channel of '70X' is assigned to the aircraft that is supplying fuel during air Refuel operations.</t>
  </si>
  <si>
    <t>ChyCode_chan070X</t>
  </si>
  <si>
    <t>The Tactical Air Navigation System (TACAN) channel of '70Y' is assigned to the aircraft that is supplying fuel during air Refuel operations.</t>
  </si>
  <si>
    <t>ChyCode_chan070Y</t>
  </si>
  <si>
    <t>The Tactical Air Navigation System (TACAN) channel of '71X' is assigned to the aircraft that is supplying fuel during air Refuel operations.</t>
  </si>
  <si>
    <t>ChyCode_chan071X</t>
  </si>
  <si>
    <t>The Tactical Air Navigation System (TACAN) channel of '71Y' is assigned to the aircraft that is supplying fuel during air Refuel operations.</t>
  </si>
  <si>
    <t>ChyCode_chan071Y</t>
  </si>
  <si>
    <t>The Tactical Air Navigation System (TACAN) channel of '72X' is assigned to the aircraft that is supplying fuel during air Refuel operations.</t>
  </si>
  <si>
    <t>ChyCode_chan072X</t>
  </si>
  <si>
    <t>The Tactical Air Navigation System (TACAN) channel of '72Y' is assigned to the aircraft that is supplying fuel during air Refuel operations.</t>
  </si>
  <si>
    <t>ChyCode_chan072Y</t>
  </si>
  <si>
    <t>The Tactical Air Navigation System (TACAN) channel of '73X' is assigned to the aircraft that is supplying fuel during air Refuel operations.</t>
  </si>
  <si>
    <t>ChyCode_chan073X</t>
  </si>
  <si>
    <t>The Tactical Air Navigation System (TACAN) channel of '73Y' is assigned to the aircraft that is supplying fuel during air Refuel operations.</t>
  </si>
  <si>
    <t>ChyCode_chan073Y</t>
  </si>
  <si>
    <t>The Tactical Air Navigation System (TACAN) channel of '74X' is assigned to the aircraft that is supplying fuel during air Refuel operations.</t>
  </si>
  <si>
    <t>ChyCode_chan074X</t>
  </si>
  <si>
    <t>The Tactical Air Navigation System (TACAN) channel of '74Y' is assigned to the aircraft that is supplying fuel during air Refuel operations.</t>
  </si>
  <si>
    <t>ChyCode_chan074Y</t>
  </si>
  <si>
    <t>The Tactical Air Navigation System (TACAN) channel of '75X' is assigned to the aircraft that is supplying fuel during air Refuel operations.</t>
  </si>
  <si>
    <t>ChyCode_chan075X</t>
  </si>
  <si>
    <t>The Tactical Air Navigation System (TACAN) channel of '75Y' is assigned to the aircraft that is supplying fuel during air Refuel operations.</t>
  </si>
  <si>
    <t>ChyCode_chan075Y</t>
  </si>
  <si>
    <t>The Tactical Air Navigation System (TACAN) channel of '76X' is assigned to the aircraft that is supplying fuel during air Refuel operations.</t>
  </si>
  <si>
    <t>ChyCode_chan076X</t>
  </si>
  <si>
    <t>The Tactical Air Navigation System (TACAN) channel of '76Y' is assigned to the aircraft that is supplying fuel during air Refuel operations.</t>
  </si>
  <si>
    <t>ChyCode_chan076Y</t>
  </si>
  <si>
    <t>The Tactical Air Navigation System (TACAN) channel of '77X' is assigned to the aircraft that is supplying fuel during air Refuel operations.</t>
  </si>
  <si>
    <t>ChyCode_chan077X</t>
  </si>
  <si>
    <t>The Tactical Air Navigation System (TACAN) channel of '77Y' is assigned to the aircraft that is supplying fuel during air Refuel operations.</t>
  </si>
  <si>
    <t>ChyCode_chan077Y</t>
  </si>
  <si>
    <t>The Tactical Air Navigation System (TACAN) channel of '78X' is assigned to the aircraft that is supplying fuel during air Refuel operations.</t>
  </si>
  <si>
    <t>ChyCode_chan078X</t>
  </si>
  <si>
    <t>The Tactical Air Navigation System (TACAN) channel of '78Y' is assigned to the aircraft that is supplying fuel during air Refuel operations.</t>
  </si>
  <si>
    <t>ChyCode_chan078Y</t>
  </si>
  <si>
    <t>The Tactical Air Navigation System (TACAN) channel of '79X' is assigned to the aircraft that is supplying fuel during air Refuel operations.</t>
  </si>
  <si>
    <t>ChyCode_chan079X</t>
  </si>
  <si>
    <t>The Tactical Air Navigation System (TACAN) channel of '79Y' is assigned to the aircraft that is supplying fuel during air Refuel operations.</t>
  </si>
  <si>
    <t>ChyCode_chan079Y</t>
  </si>
  <si>
    <t>The Tactical Air Navigation System (TACAN) channel of '7X' is assigned to the aircraft that is supplying fuel during air Refuel operations.</t>
  </si>
  <si>
    <t>ChyCode_chan007X</t>
  </si>
  <si>
    <t>The Tactical Air Navigation System (TACAN) channel of '7Y' is assigned to the aircraft that is supplying fuel during air Refuel operations.</t>
  </si>
  <si>
    <t>ChyCode_chan007Y</t>
  </si>
  <si>
    <t>The Tactical Air Navigation System (TACAN) channel of '80X' is assigned to the aircraft that is supplying fuel during air Refuel operations.</t>
  </si>
  <si>
    <t>ChyCode_chan080X</t>
  </si>
  <si>
    <t>The Tactical Air Navigation System (TACAN) channel of '80Y' is assigned to the aircraft that is supplying fuel during air Refuel operations.</t>
  </si>
  <si>
    <t>ChyCode_chan080Y</t>
  </si>
  <si>
    <t>The Tactical Air Navigation System (TACAN) channel of '80Z' is assigned to the aircraft that is supplying fuel during air Refuel operations.</t>
  </si>
  <si>
    <t>ChyCode_chan080Z</t>
  </si>
  <si>
    <t>The Tactical Air Navigation System (TACAN) channel of '81X' is assigned to the aircraft that is supplying fuel during air Refuel operations.</t>
  </si>
  <si>
    <t>ChyCode_chan081X</t>
  </si>
  <si>
    <t>The Tactical Air Navigation System (TACAN) channel of '81Y' is assigned to the aircraft that is supplying fuel during air Refuel operations.</t>
  </si>
  <si>
    <t>ChyCode_chan081Y</t>
  </si>
  <si>
    <t>The Tactical Air Navigation System (TACAN) channel of '81Z' is assigned to the aircraft that is supplying fuel during air Refuel operations.</t>
  </si>
  <si>
    <t>ChyCode_chan081Z</t>
  </si>
  <si>
    <t>The Tactical Air Navigation System (TACAN) channel of '82X' is assigned to the aircraft that is supplying fuel during air Refuel operations.</t>
  </si>
  <si>
    <t>ChyCode_chan082X</t>
  </si>
  <si>
    <t>The Tactical Air Navigation System (TACAN) channel of '82Y' is assigned to the aircraft that is supplying fuel during air Refuel operations.</t>
  </si>
  <si>
    <t>ChyCode_chan082Y</t>
  </si>
  <si>
    <t>The Tactical Air Navigation System (TACAN) channel of '82Z' is assigned to the aircraft that is supplying fuel during air Refuel operations.</t>
  </si>
  <si>
    <t>ChyCode_chan082Z</t>
  </si>
  <si>
    <t>The Tactical Air Navigation System (TACAN) channel of '83X' is assigned to the aircraft that is supplying fuel during air Refuel operations.</t>
  </si>
  <si>
    <t>ChyCode_chan083X</t>
  </si>
  <si>
    <t>The Tactical Air Navigation System (TACAN) channel of '83Y' is assigned to the aircraft that is supplying fuel during air Refuel operations.</t>
  </si>
  <si>
    <t>ChyCode_chan083Y</t>
  </si>
  <si>
    <t>The Tactical Air Navigation System (TACAN) channel of '83Z' is assigned to the aircraft that is supplying fuel during air Refuel operations.</t>
  </si>
  <si>
    <t>ChyCode_chan083Z</t>
  </si>
  <si>
    <t>The Tactical Air Navigation System (TACAN) channel of '84X' is assigned to the aircraft that is supplying fuel during air Refuel operations.</t>
  </si>
  <si>
    <t>ChyCode_chan084X</t>
  </si>
  <si>
    <t>The Tactical Air Navigation System (TACAN) channel of '84Y' is assigned to the aircraft that is supplying fuel during air Refuel operations.</t>
  </si>
  <si>
    <t>ChyCode_chan084Y</t>
  </si>
  <si>
    <t>The Tactical Air Navigation System (TACAN) channel of '84Z' is assigned to the aircraft that is supplying fuel during air Refuel operations.</t>
  </si>
  <si>
    <t>ChyCode_chan084Z</t>
  </si>
  <si>
    <t>The Tactical Air Navigation System (TACAN) channel of '85X' is assigned to the aircraft that is supplying fuel during air Refuel operations.</t>
  </si>
  <si>
    <t>ChyCode_chan085X</t>
  </si>
  <si>
    <t>The Tactical Air Navigation System (TACAN) channel of '85Y' is assigned to the aircraft that is supplying fuel during air Refuel operations.</t>
  </si>
  <si>
    <t>ChyCode_chan085Y</t>
  </si>
  <si>
    <t>The Tactical Air Navigation System (TACAN) channel of '85Z' is assigned to the aircraft that is supplying fuel during air Refuel operations.</t>
  </si>
  <si>
    <t>ChyCode_chan085Z</t>
  </si>
  <si>
    <t>The Tactical Air Navigation System (TACAN) channel of '86X' is assigned to the aircraft that is supplying fuel during air Refuel operations.</t>
  </si>
  <si>
    <t>ChyCode_chan086X</t>
  </si>
  <si>
    <t>The Tactical Air Navigation System (TACAN) channel of '86Y' is assigned to the aircraft that is supplying fuel during air Refuel operations.</t>
  </si>
  <si>
    <t>ChyCode_chan086Y</t>
  </si>
  <si>
    <t>The Tactical Air Navigation System (TACAN) channel of '86Z' is assigned to the aircraft that is supplying fuel during air Refuel operations.</t>
  </si>
  <si>
    <t>ChyCode_chan086Z</t>
  </si>
  <si>
    <t>The Tactical Air Navigation System (TACAN) channel of '87X' is assigned to the aircraft that is supplying fuel during air Refuel operations.</t>
  </si>
  <si>
    <t>ChyCode_chan087X</t>
  </si>
  <si>
    <t>The Tactical Air Navigation System (TACAN) channel of '87Y' is assigned to the aircraft that is supplying fuel during air Refuel operations.</t>
  </si>
  <si>
    <t>ChyCode_chan087Y</t>
  </si>
  <si>
    <t>The Tactical Air Navigation System (TACAN) channel of '87Z' is assigned to the aircraft that is supplying fuel during air Refuel operations.</t>
  </si>
  <si>
    <t>ChyCode_chan087Z</t>
  </si>
  <si>
    <t>The Tactical Air Navigation System (TACAN) channel of '88X' is assigned to the aircraft that is supplying fuel during air Refuel operations.</t>
  </si>
  <si>
    <t>ChyCode_chan088X</t>
  </si>
  <si>
    <t>The Tactical Air Navigation System (TACAN) channel of '88Y' is assigned to the aircraft that is supplying fuel during air Refuel operations.</t>
  </si>
  <si>
    <t>ChyCode_chan088Y</t>
  </si>
  <si>
    <t>The Tactical Air Navigation System (TACAN) channel of '88Z' is assigned to the aircraft that is supplying fuel during air Refuel operations.</t>
  </si>
  <si>
    <t>ChyCode_chan088Z</t>
  </si>
  <si>
    <t>The Tactical Air Navigation System (TACAN) channel of '89X' is assigned to the aircraft that is supplying fuel during air Refuel operations.</t>
  </si>
  <si>
    <t>ChyCode_chan089X</t>
  </si>
  <si>
    <t>The Tactical Air Navigation System (TACAN) channel of '89Y' is assigned to the aircraft that is supplying fuel during air Refuel operations.</t>
  </si>
  <si>
    <t>ChyCode_chan089Y</t>
  </si>
  <si>
    <t>The Tactical Air Navigation System (TACAN) channel of '89Z' is assigned to the aircraft that is supplying fuel during air Refuel operations.</t>
  </si>
  <si>
    <t>ChyCode_chan089Z</t>
  </si>
  <si>
    <t>The Tactical Air Navigation System (TACAN) channel of '8X' is assigned to the aircraft that is supplying fuel during air Refuel operations.</t>
  </si>
  <si>
    <t>ChyCode_chan008X</t>
  </si>
  <si>
    <t>The Tactical Air Navigation System (TACAN) channel of '8Y' is assigned to the aircraft that is supplying fuel during air Refuel operations.</t>
  </si>
  <si>
    <t>ChyCode_chan008Y</t>
  </si>
  <si>
    <t>The Tactical Air Navigation System (TACAN) channel of '90X' is assigned to the aircraft that is supplying fuel during air Refuel operations.</t>
  </si>
  <si>
    <t>ChyCode_chan090X</t>
  </si>
  <si>
    <t>The Tactical Air Navigation System (TACAN) channel of '90Y' is assigned to the aircraft that is supplying fuel during air Refuel operations.</t>
  </si>
  <si>
    <t>ChyCode_chan090Y</t>
  </si>
  <si>
    <t>The Tactical Air Navigation System (TACAN) channel of '90Z' is assigned to the aircraft that is supplying fuel during air Refuel operations.</t>
  </si>
  <si>
    <t>ChyCode_chan090Z</t>
  </si>
  <si>
    <t>The Tactical Air Navigation System (TACAN) channel of '91X' is assigned to the aircraft that is supplying fuel during air Refuel operations.</t>
  </si>
  <si>
    <t>ChyCode_chan091X</t>
  </si>
  <si>
    <t>The Tactical Air Navigation System (TACAN) channel of '91Y' is assigned to the aircraft that is supplying fuel during air Refuel operations.</t>
  </si>
  <si>
    <t>ChyCode_chan091Y</t>
  </si>
  <si>
    <t>The Tactical Air Navigation System (TACAN) channel of '91Z' is assigned to the aircraft that is supplying fuel during air Refuel operations.</t>
  </si>
  <si>
    <t>ChyCode_chan091Z</t>
  </si>
  <si>
    <t>The Tactical Air Navigation System (TACAN) channel of '92X' is assigned to the aircraft that is supplying fuel during air Refuel operations.</t>
  </si>
  <si>
    <t>ChyCode_chan092X</t>
  </si>
  <si>
    <t>The Tactical Air Navigation System (TACAN) channel of '92Y' is assigned to the aircraft that is supplying fuel during air Refuel operations.</t>
  </si>
  <si>
    <t>ChyCode_chan092Y</t>
  </si>
  <si>
    <t>The Tactical Air Navigation System (TACAN) channel of '92Z' is assigned to the aircraft that is supplying fuel during air Refuel operations.</t>
  </si>
  <si>
    <t>ChyCode_chan092Z</t>
  </si>
  <si>
    <t>The Tactical Air Navigation System (TACAN) channel of '93X' is assigned to the aircraft that is supplying fuel during air Refuel operations.</t>
  </si>
  <si>
    <t>ChyCode_chan093X</t>
  </si>
  <si>
    <t>The Tactical Air Navigation System (TACAN) channel of '93Y' is assigned to the aircraft that is supplying fuel during air Refuel operations.</t>
  </si>
  <si>
    <t>ChyCode_chan093Y</t>
  </si>
  <si>
    <t>The Tactical Air Navigation System (TACAN) channel of '93Z' is assigned to the aircraft that is supplying fuel during air Refuel operations.</t>
  </si>
  <si>
    <t>ChyCode_chan093Z</t>
  </si>
  <si>
    <t>The Tactical Air Navigation System (TACAN) channel of '94X' is assigned to the aircraft that is supplying fuel during air Refuel operations.</t>
  </si>
  <si>
    <t>ChyCode_chan094X</t>
  </si>
  <si>
    <t>The Tactical Air Navigation System (TACAN) channel of '94Y' is assigned to the aircraft that is supplying fuel during air Refuel operations.</t>
  </si>
  <si>
    <t>ChyCode_chan094Y</t>
  </si>
  <si>
    <t>The Tactical Air Navigation System (TACAN) channel of '94Z' is assigned to the aircraft that is supplying fuel during air Refuel operations.</t>
  </si>
  <si>
    <t>ChyCode_chan094Z</t>
  </si>
  <si>
    <t>The Tactical Air Navigation System (TACAN) channel of '95X' is assigned to the aircraft that is supplying fuel during air Refuel operations.</t>
  </si>
  <si>
    <t>ChyCode_chan095X</t>
  </si>
  <si>
    <t>The Tactical Air Navigation System (TACAN) channel of '95Y' is assigned to the aircraft that is supplying fuel during air Refuel operations.</t>
  </si>
  <si>
    <t>ChyCode_chan095Y</t>
  </si>
  <si>
    <t>The Tactical Air Navigation System (TACAN) channel of '95Z' is assigned to the aircraft that is supplying fuel during air Refuel operations.</t>
  </si>
  <si>
    <t>ChyCode_chan095Z</t>
  </si>
  <si>
    <t>The Tactical Air Navigation System (TACAN) channel of '96X' is assigned to the aircraft that is supplying fuel during air Refuel operations.</t>
  </si>
  <si>
    <t>ChyCode_chan096X</t>
  </si>
  <si>
    <t>The Tactical Air Navigation System (TACAN) channel of '96Y' is assigned to the aircraft that is supplying fuel during air Refuel operations.</t>
  </si>
  <si>
    <t>ChyCode_chan096Y</t>
  </si>
  <si>
    <t>The Tactical Air Navigation System (TACAN) channel of '96Z' is assigned to the aircraft that is supplying fuel during air Refuel operations.</t>
  </si>
  <si>
    <t>ChyCode_chan096Z</t>
  </si>
  <si>
    <t>The Tactical Air Navigation System (TACAN) channel of '97X' is assigned to the aircraft that is supplying fuel during air Refuel operations.</t>
  </si>
  <si>
    <t>ChyCode_chan097X</t>
  </si>
  <si>
    <t>The Tactical Air Navigation System (TACAN) channel of '97Y' is assigned to the aircraft that is supplying fuel during air Refuel operations.</t>
  </si>
  <si>
    <t>ChyCode_chan097Y</t>
  </si>
  <si>
    <t>The Tactical Air Navigation System (TACAN) channel of '97Z' is assigned to the aircraft that is supplying fuel during air Refuel operations.</t>
  </si>
  <si>
    <t>ChyCode_chan097Z</t>
  </si>
  <si>
    <t>The Tactical Air Navigation System (TACAN) channel of '98X' is assigned to the aircraft that is supplying fuel during air Refuel operations.</t>
  </si>
  <si>
    <t>ChyCode_chan098X</t>
  </si>
  <si>
    <t>The Tactical Air Navigation System (TACAN) channel of '98Y' is assigned to the aircraft that is supplying fuel during air Refuel operations.</t>
  </si>
  <si>
    <t>ChyCode_chan098Y</t>
  </si>
  <si>
    <t>The Tactical Air Navigation System (TACAN) channel of '98Z' is assigned to the aircraft that is supplying fuel during air Refuel operations.</t>
  </si>
  <si>
    <t>ChyCode_chan098Z</t>
  </si>
  <si>
    <t>The Tactical Air Navigation System (TACAN) channel of '99X' is assigned to the aircraft that is supplying fuel during air Refuel operations.</t>
  </si>
  <si>
    <t>ChyCode_chan099X</t>
  </si>
  <si>
    <t>The Tactical Air Navigation System (TACAN) channel of '99Y' is assigned to the aircraft that is supplying fuel during air Refuel operations.</t>
  </si>
  <si>
    <t>ChyCode_chan099Y</t>
  </si>
  <si>
    <t>The Tactical Air Navigation System (TACAN) channel of '99Z' is assigned to the aircraft that is supplying fuel during air Refuel operations.</t>
  </si>
  <si>
    <t>ChyCode_chan099Z</t>
  </si>
  <si>
    <t>The Tactical Air Navigation System (TACAN) channel of '9X' is assigned to the aircraft that is supplying fuel during air Refuel operations.</t>
  </si>
  <si>
    <t>ChyCode_chan009X</t>
  </si>
  <si>
    <t>The Tactical Air Navigation System (TACAN) channel of '9Y' is assigned to the aircraft that is supplying fuel during air Refuel operations.</t>
  </si>
  <si>
    <t>ChyCode_chan009Y</t>
  </si>
  <si>
    <t>airForceOverrun</t>
  </si>
  <si>
    <t>Air Force Overrun</t>
  </si>
  <si>
    <t>An overrun lighting system used by the U.S. Air Force consisting of red side row lights, three on the left and one on the right, terminated by a bar of green lights.</t>
  </si>
  <si>
    <t>RlsCode_airForceOverrun</t>
  </si>
  <si>
    <t>alsfType1</t>
  </si>
  <si>
    <t>Approach Lighting with Sequenced Flashing Lights (ALSF) Category 1</t>
  </si>
  <si>
    <t>A high-intensity approach lighting system including sequenced flashing lights in a Precision Approach ILS Category I configuration.</t>
  </si>
  <si>
    <t>The variable intensity approach lights extend a total of 720 metres (2400 feet), and possibly up to 900 metres (3000 feet) when permitted by the terrain, from the runway threshold.</t>
  </si>
  <si>
    <t>RlsCode_alsfType1</t>
  </si>
  <si>
    <t>alsfType2</t>
  </si>
  <si>
    <t>Approach Lighting with Sequenced Flashing Lights (ALSF) Category 2</t>
  </si>
  <si>
    <t>A high-intensity approach lighting system including sequenced flashing lights in a Precision Approach ILS Category II configuration.</t>
  </si>
  <si>
    <t>The variable intensity approach lights extend a total of 720 metres (2400 feet), and possibly up to 900 metres (3000 feet) when permitted by the terrain, from the runway threshold. This approach lighting system may operate as a Short Simplified Approach Lighting (SSAL) System with Runway Alignment Indicator Lights (RAIL) when weather conditions permit by selectively disabling a subset of lights (for example: white main bars and/or red side row bars) in the pattern.</t>
  </si>
  <si>
    <t>RlsCode_alsfType2</t>
  </si>
  <si>
    <t>calvertBritish</t>
  </si>
  <si>
    <t>Calvert I (British)</t>
  </si>
  <si>
    <t>An approach lighting system consisting of six bars of white variable intensity lights spaced 150 metres (500 feet) apart for 900 metres (3000 feet) commencing at 150 metres (500 feet) from the runway threshold and accompanied by single lights along the extended runway centreline for the initial 300 metres (1000 feet) from the runway threshold and then double lights along the extended runway centreline for the second 300 metres (1000 feet) and then triple lights along the extended runway centreline for the final 300 metres (1000 feet).</t>
  </si>
  <si>
    <t>The variable intensity approach lights extend a total of 900 metres (3000 feet) from the runway threshold. Note that sequenced flashing lights may be present.</t>
  </si>
  <si>
    <t>RlsCode_calvertBritish</t>
  </si>
  <si>
    <t>cross</t>
  </si>
  <si>
    <t>Cross</t>
  </si>
  <si>
    <t>An approach lighting system consisting of a single bar of white lights accompanied by single white lights along the extended runway centreline.</t>
  </si>
  <si>
    <t>RlsCode_cross</t>
  </si>
  <si>
    <t>formerNatoStandard</t>
  </si>
  <si>
    <t>Former NATO Standard</t>
  </si>
  <si>
    <t>The former NATO standard approach lighting system consisting of five bars of white variable intensity lights spaced 150 metres (500 feet) apart for 750 metres (2500 feet) commencing at 150 metres (600 feet) from the runway threshold and accompanied by single lights along the extended runway centreline between 300 and 450 metres (1000 and 1500 feet) from the runway threshold and then double lights along the extended runway centreline for the final 450 metres (1500 feet), with the initial 300 metres (1000 feet) being free of centreline lights and bars as the white bars are laterally displaced and accompanied by red side rows (double on the left; single on the right).</t>
  </si>
  <si>
    <t>The variable intensity approach lights extend a total of 900 metres (3000 feet) from the runway threshold. Note that sequenced flashing lights may not be present.</t>
  </si>
  <si>
    <t>RlsCode_formerNatoStandard</t>
  </si>
  <si>
    <t>hialCategory1</t>
  </si>
  <si>
    <t>High Intensity Approach Lighting (HIAL) System Category I</t>
  </si>
  <si>
    <t>A high-intensity approach lighting system in an ILS Category I configuration.</t>
  </si>
  <si>
    <t>This system consists of bars of five white variable intensity lights spaced at intervals of 30 metres (100 feet) commencing 90 metres (300 feet) from the runway threshold and extending for a distance of 900 metres (3000 feet) when permitted by the terrain.</t>
  </si>
  <si>
    <t>HIAL Category 1</t>
  </si>
  <si>
    <t>RlsCode_hialCategory1</t>
  </si>
  <si>
    <t>hialCategory2</t>
  </si>
  <si>
    <t>High Intensity Approach Lighting (HIAL) System Category II</t>
  </si>
  <si>
    <t>A high-intensity approach lighting system in an ILS Category II configuration.</t>
  </si>
  <si>
    <t>This system consists of bars of five white variable intensity lights spaced at intervals of 30 metres (100 feet) commencing 30 metres (100 feet) from the runway threshold and extending for a distance of 720 metres (2400 feet).</t>
  </si>
  <si>
    <t>HIAL Category 2</t>
  </si>
  <si>
    <t>RlsCode_hialCategory2</t>
  </si>
  <si>
    <t>leadInLightSystem</t>
  </si>
  <si>
    <t>Lead-in-light System</t>
  </si>
  <si>
    <t>A lead-in lighting system consisting of one or more series of flashing lights installed at or near ground level that provides positive visual guidance along an approach path, either curving or straight, where special problems exist with hazardous terrain, obstructions, or noise abatement procedures.</t>
  </si>
  <si>
    <t>RlsCode_leadInLightSystem</t>
  </si>
  <si>
    <t>leftSingleRow</t>
  </si>
  <si>
    <t>Left Single Row</t>
  </si>
  <si>
    <t>A low-intensity approach lighting system consisting of single aviation yellow fixed intensity lights spaced at 90 metre (300 foot) intervals commencing 90 metres (300 feet) from the runway threshold and aligned left of the extended runway centerline.</t>
  </si>
  <si>
    <t>RlsCode_leftSingleRow</t>
  </si>
  <si>
    <t>lowApproachLightSystem</t>
  </si>
  <si>
    <t>Low-intensity Approach Lighting System</t>
  </si>
  <si>
    <t>A low-intensity approach lighting system consisting of twin aviation yellow fixed intensity light units spaced at 60 metre (200 foot) intervals commencing 60 metres (200 feet) from the runway threshold and extending back for a distance of 900 metres (3000 feet), terrain permitting.</t>
  </si>
  <si>
    <t>This system is provided on non-precision approach runways.</t>
  </si>
  <si>
    <t>RlsCode_lowApproachLightSystem</t>
  </si>
  <si>
    <t>mediumApproachLightSystem</t>
  </si>
  <si>
    <t>Medium-intensity Approach Lighting System (MALS)</t>
  </si>
  <si>
    <t>A medium-intensity approach lighting system consisting of seven bars of white variable intensity lights spaced 60 metres (200 feet) apart for 420 metres (1400 feet) commencing at 60 metres (200 feet) from the runway threshold.</t>
  </si>
  <si>
    <t>The variable intensity approach lights extend a total of 420 metres (1400 feet) from the runway threshold.</t>
  </si>
  <si>
    <t>RlsCode_mediumApproachLightSystem</t>
  </si>
  <si>
    <t>malsWithRunwayAlignInd</t>
  </si>
  <si>
    <t>Medium-intensity Approach Lighting System (MALS) with Runway Alignment Indicator Lights (RAIL)</t>
  </si>
  <si>
    <t>A medium-intensity approach lighting system consisting of seven bars of white variable intensity lights spaced 60 metres (200 feet) apart for 420 metres (1400 feet) commencing at 60 metres (200 feet) from the runway threshold and which is preceeded by Runway Alignment Indicator Lights (RAIL).</t>
  </si>
  <si>
    <t>The variable intensity approach lights extend a total of 720 metres (2400 feet) from the runway threshold.</t>
  </si>
  <si>
    <t>RlsCode_malsWithRunwayAlignInd</t>
  </si>
  <si>
    <t>malsWithSeqFlashingLights</t>
  </si>
  <si>
    <t>Medium-intensity Approach Lighting System (MALS) with Sequenced Flashing Lights</t>
  </si>
  <si>
    <t>A medium-intensity approach lighting system consisting of seven bars of white variable intensity lights spaced 60 metres (200 feet) apart for 420 metres (1400 feet) commencing at 60 metres (200 feet) from the runway threshold, where the three bars farthest away from the runway threshold also contain a sequenced flashing light unit.</t>
  </si>
  <si>
    <t>RlsCode_malsWithSeqFlashingLights</t>
  </si>
  <si>
    <t>narrowMultiCross</t>
  </si>
  <si>
    <t>Narrow Multi-cross</t>
  </si>
  <si>
    <t>An approach lighting system consisting of a series of bars of white lights accompanied by single white lights along the extended runway centreline, with a bar of green lights located at the runway threshold.</t>
  </si>
  <si>
    <t>RlsCode_narrowMultiCross</t>
  </si>
  <si>
    <t>natoStandard</t>
  </si>
  <si>
    <t>NATO Standard</t>
  </si>
  <si>
    <t>The NATO standard approach lighting system consisting of five bars of white variable intensity lights spaced 150 metres (500 feet) apart for 750 metres (2500 feet) commencing at 150 metres (500 feet) from the runway threshold and accompanied by single lights along the extended runway centreline for the initial 450 metres (1500 feet) from the runway threshold and then double lights along the extended runway centreline for the final 450 metres (1500 feet).</t>
  </si>
  <si>
    <t>RlsCode_natoStandard</t>
  </si>
  <si>
    <t>omniApproachLightSystem</t>
  </si>
  <si>
    <t>Omnidirectional Approach Lighting System (ODALS)</t>
  </si>
  <si>
    <t>An approach lighting system consisting of seven omnidirectional flashing lights located in the approach area of a nonprecision runway.</t>
  </si>
  <si>
    <t>Five lights are located on the runway centerline extended with the first light located 90 metres (300 feet) from the runway threshold and extending at equal intervals up to 450 metres (1500 feet) from the runway threshold. The other two lights are located, one on each side of the runway runway threshold, at a lateral distance of 40 feet from the runway edge, or 75 feet from the runway edge when installed on a runway equipped with a VASI.</t>
  </si>
  <si>
    <t>RlsCode_omniApproachLightSystem</t>
  </si>
  <si>
    <t>runwayAlignmentIndicator</t>
  </si>
  <si>
    <t>Runway Alignment Indicator Lights (RAIL)</t>
  </si>
  <si>
    <t>An approach lighting system including sequenced flashing lights that are located along the extended runway centreline.</t>
  </si>
  <si>
    <t>Runway alignment indicator lights are installed only in combination with other lighting systems (for example: that indicate distance from the runway threshold).</t>
  </si>
  <si>
    <t>RlsCode_runwayAlignmentIndicator</t>
  </si>
  <si>
    <t>shortApproachLightSystem</t>
  </si>
  <si>
    <t>Short Approach Lighting System (SALS)</t>
  </si>
  <si>
    <t>A high-intensity approach lighting system that is similar to the ALSF Category 1 but extends only 1500 feet from the runway threshold and does not include sequential flashing lights.</t>
  </si>
  <si>
    <t>RlsCode_shortApproachLightSystem</t>
  </si>
  <si>
    <t>salsWithSeqFlashingLights</t>
  </si>
  <si>
    <t>Short Approach Lighting System (SALS) with Sequenced Flashing Lights</t>
  </si>
  <si>
    <t>A high-intensity approach lighting system that is similar to the ALSF Category 1 but extends only 1500 feet from the runway threshold.</t>
  </si>
  <si>
    <t>RlsCode_salsWithSeqFlashingLights</t>
  </si>
  <si>
    <t>ssalWithRunwayAlignInd</t>
  </si>
  <si>
    <t>Short Simplified Approach Lighting (SSAL) System with Runway Alignment Indicator Lights (RAIL)</t>
  </si>
  <si>
    <t>A high-intensity approach lighting system that is similar to the ALSF Category 2 but excludes the red side row bars and has a reduced number of white main bars.</t>
  </si>
  <si>
    <t>RlsCode_ssalWithRunwayAlignInd</t>
  </si>
  <si>
    <t>singleRowCentreline</t>
  </si>
  <si>
    <t>Single Row Centreline</t>
  </si>
  <si>
    <t>A simple approach lighting system consisting of single white lights located along the extended runway centreline with a bar of green lights located at the runway threshold.</t>
  </si>
  <si>
    <t>RlsCode_singleRowCentreline</t>
  </si>
  <si>
    <t>twoParallelRow</t>
  </si>
  <si>
    <t>Two Parallel Row</t>
  </si>
  <si>
    <t>An approach lighting system consisting of two series of red side row lights, a single light to each side, spaced at intervals of 30 metres (100 feet) commencing 30 metres (100 feet) from the runway threshold and extending for a distance of 720 metres (2400 feet), with a bar of green lights located at the runway threshold.</t>
  </si>
  <si>
    <t>RlsCode_twoParallelRow</t>
  </si>
  <si>
    <t>primary</t>
  </si>
  <si>
    <t>Primary</t>
  </si>
  <si>
    <t>An aerodrome control station whose position is tied to the National Spatial Reference System (NSRS).</t>
  </si>
  <si>
    <t>The existence of a Primary Aerodrome Control Station (PACS) must be declared by the applicable National Geodetic Survey.</t>
  </si>
  <si>
    <t>AcyCode_primary</t>
  </si>
  <si>
    <t>secondary</t>
  </si>
  <si>
    <t>Secondary</t>
  </si>
  <si>
    <t>An aerodrome control station whose position is tied to the Primary Airport Control Station (PACS).</t>
  </si>
  <si>
    <t>The existence of a Secondary Aerodrome Control Station (SACS) must be declared by the applicable National Geodetic Survey.</t>
  </si>
  <si>
    <t>AcyCode_secondary</t>
  </si>
  <si>
    <t>(Aeronautical Information Exchange Model (AIXM): 'A1')</t>
  </si>
  <si>
    <t>aircraftRescueFireCat1</t>
  </si>
  <si>
    <t>(Aircraft) Rescue and Fire Category 1</t>
  </si>
  <si>
    <t>0 up to, but not including, 9 metres over-all length and 2 metres maximum fuselage width.</t>
  </si>
  <si>
    <t>AffCode_aircraftRescueFireCat1</t>
  </si>
  <si>
    <t>(Aeronautical Information Exchange Model (AIXM): 'A10')</t>
  </si>
  <si>
    <t>aircraftRescueFireCat10</t>
  </si>
  <si>
    <t>(Aircraft) Rescue and Fire Category 10</t>
  </si>
  <si>
    <t>76 metres up to, but not including, 90 metres over-all length and 8 metres maximum fuselage width.</t>
  </si>
  <si>
    <t>AffCode_aircraftRescueFireCat10</t>
  </si>
  <si>
    <t>(Aeronautical Information Exchange Model (AIXM): 'A2')</t>
  </si>
  <si>
    <t>aircraftRescueFireCat2</t>
  </si>
  <si>
    <t>(Aircraft) Rescue and Fire Category 2</t>
  </si>
  <si>
    <t>9 metres up to, but not including, 12 metres over-all length and 2 metres maximum fuselage width.</t>
  </si>
  <si>
    <t>AffCode_aircraftRescueFireCat2</t>
  </si>
  <si>
    <t>(Aeronautical Information Exchange Model (AIXM): 'A3')</t>
  </si>
  <si>
    <t>aircraftRescueFireCat3</t>
  </si>
  <si>
    <t>(Aircraft) Rescue and Fire Category 3</t>
  </si>
  <si>
    <t>12 metres up to, but not including, 18 metres over-all length and 3 metres maximum fuselage width.</t>
  </si>
  <si>
    <t>AffCode_aircraftRescueFireCat3</t>
  </si>
  <si>
    <t>(Aeronautical Information Exchange Model (AIXM): 'A4')</t>
  </si>
  <si>
    <t>aircraftRescueFireCat4</t>
  </si>
  <si>
    <t>(Aircraft) Rescue and Fire Category 4</t>
  </si>
  <si>
    <t>18 metres up to, but not including, 24 metres over-all length and 4 metres maximum fuselage width.</t>
  </si>
  <si>
    <t>AffCode_aircraftRescueFireCat4</t>
  </si>
  <si>
    <t>(Aeronautical Information Exchange Model (AIXM): 'A5')</t>
  </si>
  <si>
    <t>aircraftRescueFireCat5</t>
  </si>
  <si>
    <t>(Aircraft) Rescue and Fire Category 5</t>
  </si>
  <si>
    <t>24 metres up to, but not including, 28 metres over-all length and 4 metres maximum fuselage width.</t>
  </si>
  <si>
    <t>AffCode_aircraftRescueFireCat5</t>
  </si>
  <si>
    <t>(Aeronautical Information Exchange Model (AIXM): 'A6')</t>
  </si>
  <si>
    <t>aircraftRescueFireCat6</t>
  </si>
  <si>
    <t>(Aircraft) Rescue and Fire Category 6</t>
  </si>
  <si>
    <t>28 metres up to, but not including, 39 metres over-all length and 5 metres maximum fuselage width.</t>
  </si>
  <si>
    <t>AffCode_aircraftRescueFireCat6</t>
  </si>
  <si>
    <t>(Aeronautical Information Exchange Model (AIXM): 'A7')</t>
  </si>
  <si>
    <t>aircraftRescueFireCat7</t>
  </si>
  <si>
    <t>(Aircraft) Rescue and Fire Category 7</t>
  </si>
  <si>
    <t>39 metres up to, but not including, 49 metres over-all length and 5 metres maximum fuselage width.</t>
  </si>
  <si>
    <t>AffCode_aircraftRescueFireCat7</t>
  </si>
  <si>
    <t>(Aeronautical Information Exchange Model (AIXM): 'A8')</t>
  </si>
  <si>
    <t>aircraftRescueFireCat8</t>
  </si>
  <si>
    <t>(Aircraft) Rescue and Fire Category 8</t>
  </si>
  <si>
    <t>49 metres up to, but not including, 61 metres over-all length and 7 metres maximum fuselage width.</t>
  </si>
  <si>
    <t>AffCode_aircraftRescueFireCat8</t>
  </si>
  <si>
    <t>(Aeronautical Information Exchange Model (AIXM): 'A9')</t>
  </si>
  <si>
    <t>aircraftRescueFireCat9</t>
  </si>
  <si>
    <t>(Aircraft) Rescue and Fire Category 9</t>
  </si>
  <si>
    <t>61 metres up to, but not including, 76 metres over-all length and 7 metres maximum fuselage width.</t>
  </si>
  <si>
    <t>AffCode_aircraftRescueFireCat9</t>
  </si>
  <si>
    <t>(Aeronautical Information Exchange Model (AIXM): 'H1')</t>
  </si>
  <si>
    <t>helicopterRescueFireCat1</t>
  </si>
  <si>
    <t>(Helicopter) Rescue and Fire Category 1</t>
  </si>
  <si>
    <t>Up to, but not including, 15 metres in length.</t>
  </si>
  <si>
    <t>AffCode_helicopterRescueFireCat1</t>
  </si>
  <si>
    <t>(Aeronautical Information Exchange Model (AIXM): 'H2')</t>
  </si>
  <si>
    <t>helicopterRescueFireCat2</t>
  </si>
  <si>
    <t>(Helicopter) Rescue and Fire Category 2</t>
  </si>
  <si>
    <t>From 15 metres up to, but not including, 24 metres in length.</t>
  </si>
  <si>
    <t>AffCode_helicopterRescueFireCat2</t>
  </si>
  <si>
    <t>(Aeronautical Information Exchange Model (AIXM): 'H3')</t>
  </si>
  <si>
    <t>helicopterRescueFireCat3</t>
  </si>
  <si>
    <t>(Helicopter) Rescue and Fire Category 3</t>
  </si>
  <si>
    <t>From 24 metres up to, but not including, 35 metres in length.</t>
  </si>
  <si>
    <t>AffCode_helicopterRescueFireCat3</t>
  </si>
  <si>
    <t>aircraftStandManeuver</t>
  </si>
  <si>
    <t>Aircraft Stand Maneuvering Guidance</t>
  </si>
  <si>
    <t>Aircraft stand manoeuvring guidance lights facilitate the positioning of an aircraft on an aircraft stand, on a paved apron, or on a de-icing/anti-icing facility intended for use in poor visibility conditions.</t>
  </si>
  <si>
    <t>MalCode_aircraftStandManeuver</t>
  </si>
  <si>
    <t>apronFlood</t>
  </si>
  <si>
    <t>Apron Flood</t>
  </si>
  <si>
    <t>Apron floodlights provide adequate illumination on all apron service areas.</t>
  </si>
  <si>
    <t>MalCode_apronFlood</t>
  </si>
  <si>
    <t>deicingAreaExit</t>
  </si>
  <si>
    <t>Deicing Area Exit</t>
  </si>
  <si>
    <t>De-icing/anti-icing area exit lights should be provided at the exit boundary of a remote de-icing/anti-icing area adjoining a taxiway.</t>
  </si>
  <si>
    <t>De-icing/anti-icing facility exit lights shall consist of in-pavement fixed unidirectional lights spaced at intervals of 6 metres showing yellow in the direction of the approach to the exit boundary with a light distribution similar to taxiway centre line lights.</t>
  </si>
  <si>
    <t>MalCode_deicingAreaExit</t>
  </si>
  <si>
    <t>finalApproachTakeOffArea</t>
  </si>
  <si>
    <t>Final Approach and Take-off Area</t>
  </si>
  <si>
    <t>Lights placed along the edge identifying the final approach and take-off area.</t>
  </si>
  <si>
    <t>Final approach and take-off area lights shall be fixed omnidirectional lights showing white. Where the intensity of the lights is to be varied the lights shall show variable white.</t>
  </si>
  <si>
    <t>MalCode_finalApproachTakeOffArea</t>
  </si>
  <si>
    <t>intermediateHolding</t>
  </si>
  <si>
    <t>Intermediate Holding</t>
  </si>
  <si>
    <t>A light designating a position intended for traffic control at which taxiing aircraft and vehicles shall stop and hold until further cleared to proceed, when so instructed by the aerodrome control tower.</t>
  </si>
  <si>
    <t xml:space="preserve"> Intermediate holding position lights shall consist of three fixed unidirectional lights showing yellow in the direction of approach to the intermediate holding position with a light distribution similar to taxiway centre line lights if provided. The lights shall be disposed symmetrically about and at right angle to the taxiway centre line, with individual lights spaced 1.5 metres apart.</t>
  </si>
  <si>
    <t>MalCode_intermediateHolding</t>
  </si>
  <si>
    <t>landandHoldShort</t>
  </si>
  <si>
    <t>Land and Hold Short</t>
  </si>
  <si>
    <t>Land and hold short lights are used to indicate the hold short point on certain runways which are approved for Land and Hold Short Operations (LAHSO).</t>
  </si>
  <si>
    <t>Land and hold short lights consist of a row of pulsing white lights installed across the runway at the hold short point. Where installed, the lights will be on anytime LAHSO is in effect. These lights will be off when LAHSO is not in effect.</t>
  </si>
  <si>
    <t>MalCode_landandHoldShort</t>
  </si>
  <si>
    <t>rapidExitTaxiwayIndicator</t>
  </si>
  <si>
    <t>Rapid Exit Taxiway Indicator</t>
  </si>
  <si>
    <t>Rapid exit taxiway indicator lights (RETILs) provide pilots with distance-to-go information to the nearest rapid exit taxiway on the runway, to enhance situational awareness in low visibility conditions and enable pilots to apply braking action for more efficient roll-out and runway exit speeds.</t>
  </si>
  <si>
    <t>Rapid exit taxiway indicator lights shall be fixed unidirectional yellow lights, aligned so as to be visible to the pilot of a landing aircraft in the direction of approach to the runway.</t>
  </si>
  <si>
    <t>MalCode_rapidExitTaxiwayIndicator</t>
  </si>
  <si>
    <t>roadHoldingPosition</t>
  </si>
  <si>
    <t>Road Holding Position</t>
  </si>
  <si>
    <t>A road holding position light designates a position at which vehicles may be required to hold.</t>
  </si>
  <si>
    <t>The road-holding position light shall comprise of either a controllable red (stop)/green (go) traffic light or a flashing-red light.</t>
  </si>
  <si>
    <t>MalCode_roadHoldingPosition</t>
  </si>
  <si>
    <t>runwayCenterline</t>
  </si>
  <si>
    <t>Runway Centerline</t>
  </si>
  <si>
    <t>Runway centerline lights define the centerline of a runway, and are installed on some precision approach runways to facilitate landing and Take-off under adverse visibility conditions.</t>
  </si>
  <si>
    <t>Runway centre line lights shall be fixed lights showing variable white from the threshold to the point 900 metres from the runway end; alternate red and variable white from 900 metres to 300 metres from the runway end; and red from 300 metres to the runway end, except that for runways less than 1 800 metres in length, the alternate red and variable white lights shall extend from the mid-point of the runway usable for landing to 300 metres from the runway end.</t>
  </si>
  <si>
    <t>MalCode_runwayCenterline</t>
  </si>
  <si>
    <t>runwayEdge</t>
  </si>
  <si>
    <t>Runway Edge</t>
  </si>
  <si>
    <t>Runway edge lights are used to outline the edges of runways during periods of darkness or restricted visibility conditions.</t>
  </si>
  <si>
    <t>These light systems are classified according to the intensity or brightness they are capable of producing: they are the High Intensity Runway Lights (HIRL), Medium Intensity Runway Lights (MIRL), and the Low Intensity Runway Lights (LIRL). The HIRL and MIRL systems have variable intensity controls, whereas the LIRLs normally have one intensity setting.</t>
  </si>
  <si>
    <t>MalCode_runwayEdge</t>
  </si>
  <si>
    <t>runwayEnd</t>
  </si>
  <si>
    <t>Runway end lights are used to outline the landing end of the runway during periods of darkness or restricted visibility conditions.</t>
  </si>
  <si>
    <t>Runway end lights shall be fixed unidirectional lights showing red in the direction of the runway. The intensity and beam spread of the lights shall be adequate for the conditions of visibility and ambient light in which use of the runway is intended.</t>
  </si>
  <si>
    <t>MalCode_runwayEnd</t>
  </si>
  <si>
    <t>runwayEndIdentifierLight</t>
  </si>
  <si>
    <t>Runway End Identifier Light (REIL)</t>
  </si>
  <si>
    <t>REILs are installed at many airfields to provide rapid and positive identification of the approach end of a particular runway.</t>
  </si>
  <si>
    <t>The system consists of a pair of synchronized flashing lights located laterally on each side of the runway threshold. REILs may be either omnidirectional or unidirectional facing the approach area. They are effective for Identification of a runway surrounded by a preponderance of other lighting; Identification of a runway which lacks contrast with surrounding terrain; Identification of a runway during reduced visibility. REILs are flashing white lights with a flash frequency between 60 and 120 per minute.</t>
  </si>
  <si>
    <t>MalCode_runwayEndIdentifierLight</t>
  </si>
  <si>
    <t>runwayGuard</t>
  </si>
  <si>
    <t>Runway Guard</t>
  </si>
  <si>
    <t>Runway guard lights provide warning to pilots and drivers of vehicles when they are operating on taxiways, that they are about to enter an active runway.</t>
  </si>
  <si>
    <t>There are two standard configurations of runway guard lights. Configuration A is a pair of unidirectional flashing yellow lights located at each side of the taxiway at a distance from the runway centre line. Configuration B are unidirectional flashing yellow lights spaced at intervals of 3 metres located across the taxiway at a distance from the runway centre line.</t>
  </si>
  <si>
    <t>MalCode_runwayGuard</t>
  </si>
  <si>
    <t>runwayTurnPad</t>
  </si>
  <si>
    <t>Runway turn pad lights provide continuous guidance on a runway turn pad intended for use in runway visual range conditions less than a value of 350 m, to enable an aeroplane to complete a 180-degree turn and align with the runway centre line.</t>
  </si>
  <si>
    <t>Runway turn pad lights shall be unidirectional fixed lights showing green with beam dimensions such that the light is visible only from aircraft on or approaching the runway turn pad.</t>
  </si>
  <si>
    <t>MalCode_runwayTurnPad</t>
  </si>
  <si>
    <t>stopbars</t>
  </si>
  <si>
    <t>Stopbars</t>
  </si>
  <si>
    <t>Stop bar lights are used to confirm the ATC clearance to enter or cross the active runway in low visibility conditions.</t>
  </si>
  <si>
    <t>A stop bar consists of a row of red, unidirectional, steady−burning in-pavement lights installed across the entire taxiway at the runway holding position, and elevated steady−burning red lights on each side.</t>
  </si>
  <si>
    <t>MalCode_stopbars</t>
  </si>
  <si>
    <t>stopwayEdge</t>
  </si>
  <si>
    <t>Stopway Edge</t>
  </si>
  <si>
    <t>Stopway edge lights are used to outline the edges of the stopway during periods of darkness or restricted visibility conditions.</t>
  </si>
  <si>
    <t>Stopway lights shall be placed along the full length of the stopway and shall be in two parallel rows that are equidistant from the centre line and coincident with the rows of the runway edge lights. Stopway lights shall also be provided across the end of a stopway on a line at right angles to the stopway axis as near to the end of the stopway as possible and, in any case, not more than 3 metres outside the end.</t>
  </si>
  <si>
    <t>MalCode_stopwayEdge</t>
  </si>
  <si>
    <t>taxiwayCenterline</t>
  </si>
  <si>
    <t>Taxiway Centerline</t>
  </si>
  <si>
    <t>Taxiway centerline lights define the centerline of the taxiway and are used to facilitate ground traffic under low visibility conditions.</t>
  </si>
  <si>
    <t>They are located along the taxiway centerline in a straight line on straight portions, on the centerline of curved portions, and along designated taxiing paths in portions of runways, ramp, and apron areas. Taxiway centerline lights are steady burning and emit green light.</t>
  </si>
  <si>
    <t>MalCode_taxiwayCenterline</t>
  </si>
  <si>
    <t>taxiwayEdge</t>
  </si>
  <si>
    <t>Taxiway Edge</t>
  </si>
  <si>
    <t>Taxiway edge lights are used to outline the edges of taxiways during periods of darkness or restricted visibility conditions.</t>
  </si>
  <si>
    <t>These fixtures emit blue light.</t>
  </si>
  <si>
    <t>MalCode_taxiwayEdge</t>
  </si>
  <si>
    <t>taxiwayExitCenterLights</t>
  </si>
  <si>
    <t>Taxiway Exit Centerline Lights</t>
  </si>
  <si>
    <t>Taxiway exit centerline lights identify a track on a runway where an aircraft may make a smooth transition from the runway environment to an adjacent taxiway.</t>
  </si>
  <si>
    <t>The lights are spaced at longitudinal intervals of not more than 15 metres, except that, where runway centre line lights are not provided, a greater interval not exceeding 30 metres may be used. The lights alternate green and white.</t>
  </si>
  <si>
    <t>MalCode_taxiwayExitCenterLights</t>
  </si>
  <si>
    <t>threshold</t>
  </si>
  <si>
    <t>Threshold</t>
  </si>
  <si>
    <t>A group of lights identifying the beginning of the landing surface of the runway.</t>
  </si>
  <si>
    <t>Runway threshold lights are variable intensity red and green units in the form of wing bars along each side of the runway centerline, except that for Category II and higher runways, the red and green lights extend along the full width of the runway. Green shows in the approach direction and red shows in the opposite. When a threshold is at the extremity of a runway, the threshold lights shall be placed in a row at right angles to the runway axis as near to the extremity of the runway as possible and, in any case, not more than 3 metres outside the extremity. When a threshold is displaced from the extremity of a runway, threshold lights shall be placed in a row at right angles to the runway axis at the displaced threshold.</t>
  </si>
  <si>
    <t>MalCode_threshold</t>
  </si>
  <si>
    <t>touchdownAndLiftOffArea</t>
  </si>
  <si>
    <t>Touchdown and Lift-off Area</t>
  </si>
  <si>
    <t>Lights placed to identify the designated Touchdown and Lift-Off area.</t>
  </si>
  <si>
    <t>Touchdown and lift-off area perimeter lights shall be placed along the edge of the area designated for use as the touchdown and lift-off area or within a distance of 1.5 metres from the edge. Where the touchdown and lift-off area is a circle the lights shall be: a) located on straight lines in a pattern which will provide information to pilots on drift displacement; and b) where a) is not practicable, evenly spaced around the perimeter of the touchdown and lift-off area at the appropriate interval except that over a sector of 45 degrees the lights shall be spaced at half spacing.</t>
  </si>
  <si>
    <t>MalCode_touchdownAndLiftOffArea</t>
  </si>
  <si>
    <t>touchdownZone</t>
  </si>
  <si>
    <t>Touchdown Zone</t>
  </si>
  <si>
    <t>Touchdown Zone lights define the touchdown zone of a runway, and are installed on some precision approach runways to facilitate landing and Take-off under adverse visibility conditions.</t>
  </si>
  <si>
    <t>Touchdown zone lights shall extend from the threshold for a longitudinal distance of 900 metres, except that on runways less than 1800 metres in length, the system shall be shortened so that it does not extend beyond the midpoint of the runway. The pattern shall be formed by pairs of barrettes symmetrically located about the runway centre line. The lateral spacing between the innermost lights of a pair of barrettes shall be equal to the lateral spacing selected for the touchdown zone marking. The longitudinal spacing between pairs of barrettes shall be either 30 metres or 60 metres.</t>
  </si>
  <si>
    <t>MalCode_touchdownZone</t>
  </si>
  <si>
    <t>visualDockingGuidance</t>
  </si>
  <si>
    <t>Visual Docking Guidance</t>
  </si>
  <si>
    <t>A visual docking guidance system indicates, by a visual aid, the precise positioning of an aircraft on an aircraft stand when other alternative means, such as marshallers, are not practicable.</t>
  </si>
  <si>
    <t>MalCode_visualDockingGuidance</t>
  </si>
  <si>
    <t>damaged</t>
  </si>
  <si>
    <t>Damaged</t>
  </si>
  <si>
    <t>The movement area has been damaged in part causing non-specific degradation in function.</t>
  </si>
  <si>
    <t>AszCode_damaged</t>
  </si>
  <si>
    <t>destroyed</t>
  </si>
  <si>
    <t>Destroyed</t>
  </si>
  <si>
    <t>The movement area has been destroyed, resulting in total loss of function.</t>
  </si>
  <si>
    <t>AszCode_destroyed</t>
  </si>
  <si>
    <t>deteriorated</t>
  </si>
  <si>
    <t>Deteriorated</t>
  </si>
  <si>
    <t>The movement surface has significant rough, broken, or rutted areas due to neglect over a period of time, but may remain operational.</t>
  </si>
  <si>
    <t>A deteriorated surface may have characteristic such as vegetation growing through cracks.</t>
  </si>
  <si>
    <t>AszCode_deteriorated</t>
  </si>
  <si>
    <t>fair</t>
  </si>
  <si>
    <t>Fair</t>
  </si>
  <si>
    <t>The movement area shows visible signs of deterioration and/or damage and is fully functional.</t>
  </si>
  <si>
    <t>AszCode_fair</t>
  </si>
  <si>
    <t>good</t>
  </si>
  <si>
    <t>Good</t>
  </si>
  <si>
    <t>The movement area shows minimal to no signs of deterioration and/or damage and is fully functional.</t>
  </si>
  <si>
    <t>AszCode_good</t>
  </si>
  <si>
    <t>ruined</t>
  </si>
  <si>
    <t>Ruined</t>
  </si>
  <si>
    <t>The movement area has deteriorated to the point of becoming a permanent hazard to aircraft operations.</t>
  </si>
  <si>
    <t>AszCode_ruined</t>
  </si>
  <si>
    <t>underConstruction</t>
  </si>
  <si>
    <t>Under Construction</t>
  </si>
  <si>
    <t>Construction or maintenance work is in progress and constitutes a danger to aircraft and/or aircraft navigation on the movement area.</t>
  </si>
  <si>
    <t>AszCode_underConstruction</t>
  </si>
  <si>
    <t>completelyPaved</t>
  </si>
  <si>
    <t>Completely Paved</t>
  </si>
  <si>
    <t>The subgrade has been prepared for load-bearing and the surface has been paved using durable materials.</t>
  </si>
  <si>
    <t>Intended to be a permanent surface that is highly resistant to the effects of weathering and traffic.</t>
  </si>
  <si>
    <t>AsxCode_completelyPaved</t>
  </si>
  <si>
    <t>mostlyPaved</t>
  </si>
  <si>
    <t>Mostly Paved</t>
  </si>
  <si>
    <t>The surface is paved for at least 50 percent of its length.</t>
  </si>
  <si>
    <t>AsxCode_mostlyPaved</t>
  </si>
  <si>
    <t>partiallyPaved</t>
  </si>
  <si>
    <t>Partially Paved</t>
  </si>
  <si>
    <t>The surface is paved, but for less than 50 percent of its length.</t>
  </si>
  <si>
    <t>AsxCode_partiallyPaved</t>
  </si>
  <si>
    <t>unpaved</t>
  </si>
  <si>
    <t>Unpaved</t>
  </si>
  <si>
    <t>The surface has been prepared (for example: by grading or rolling) but has not been paved.</t>
  </si>
  <si>
    <t>Generally considered to be only temporary in nature as unless regularly maintained the surface relatively rapidly degrades as a result of weathering and traffic. Non-local materials (for example: gravel or landing mats) may be used to improve the load-bearing and wear characteristics of the surface.</t>
  </si>
  <si>
    <t>AsxCode_unpaved</t>
  </si>
  <si>
    <t>unprepared</t>
  </si>
  <si>
    <t>Unprepared</t>
  </si>
  <si>
    <t>The naturally occurring surface is used without any preparation.</t>
  </si>
  <si>
    <t>For example: no grading or rolling.</t>
  </si>
  <si>
    <t>AsxCode_unprepared</t>
  </si>
  <si>
    <t>asphalt</t>
  </si>
  <si>
    <t>Asphalt</t>
  </si>
  <si>
    <t>A surface composed of various mixtures of sand, gravel, crushed rock, and/or recycled paving bound together by asphalt, a black or brownish-black, solid or viscous, bituminous pitch that may be of natural origin but is most commonly produced from petroleum.</t>
  </si>
  <si>
    <t>Depending on the formulation, known variously as 'asphaltic concrete', 'tar macadam', 'bitumen-bound macadam' or simply 'asphalt'. In some situations the pavement perimeter (edges and/or ends) may consist of solely of concrete (for example: around a runway).</t>
  </si>
  <si>
    <t>AsuCode_asphalt</t>
  </si>
  <si>
    <t>asphaltOverConcrete</t>
  </si>
  <si>
    <t>Asphalt Over Concrete</t>
  </si>
  <si>
    <t>A surface composed of asphalt applied over a concrete underlayment.</t>
  </si>
  <si>
    <t>AsuCode_asphaltOverConcrete</t>
  </si>
  <si>
    <t>bituminousMix</t>
  </si>
  <si>
    <t>Bituminous Mix</t>
  </si>
  <si>
    <t>A surface composed of the original surface material mixed in place with a bituminous binder (for example: tar or asphalt).</t>
  </si>
  <si>
    <t>Often referred to as 'earth cement'. Prepared by digging up the surface, mixing the material with bitumen or oil binder, and surfacing with the resulting mixture. Bitumen is the family name for either tar (derived from coal) or asphalt (derived from petroleum).</t>
  </si>
  <si>
    <t>AsuCode_bituminousMix</t>
  </si>
  <si>
    <t>brick</t>
  </si>
  <si>
    <t>Brick</t>
  </si>
  <si>
    <t>A surface composed of masonry units packed closely together on a firm subgrade, with or without mortar.</t>
  </si>
  <si>
    <t>AsuCode_brick</t>
  </si>
  <si>
    <t>clay</t>
  </si>
  <si>
    <t>Clay</t>
  </si>
  <si>
    <t>A surface composed of clay, packed over a firm subgrade, that has hardened over a period of time.</t>
  </si>
  <si>
    <t>AsuCode_clay</t>
  </si>
  <si>
    <t>concrete</t>
  </si>
  <si>
    <t>Concrete</t>
  </si>
  <si>
    <t>A surface composed of a mixture of broken stone or gravel, sand, cement, and water, that forms a stonelike mass on hardening.</t>
  </si>
  <si>
    <t>May include an internal steel mesh to improve resistance to cracking and minimize subsequent separation of the pieces. The joints between adjacent pavement slabs may incorporate steel pins to prevent vertical misalignment of the adjacent slabs over time.</t>
  </si>
  <si>
    <t>AsuCode_concrete</t>
  </si>
  <si>
    <t>coral</t>
  </si>
  <si>
    <t>Coral</t>
  </si>
  <si>
    <t>A surface composed of crushed coral that has been graded and rolled to produce a firm regular surface.</t>
  </si>
  <si>
    <t>Sometimes mixed with sand and/or clay.</t>
  </si>
  <si>
    <t>AsuCode_coral</t>
  </si>
  <si>
    <t>earthen</t>
  </si>
  <si>
    <t>Earthen</t>
  </si>
  <si>
    <t>A surface composed of the existing earth material(s).</t>
  </si>
  <si>
    <t>May be grass-covered or bare.</t>
  </si>
  <si>
    <t>AsuCode_earthen</t>
  </si>
  <si>
    <t>gravel</t>
  </si>
  <si>
    <t>Gravel</t>
  </si>
  <si>
    <t>A surface composed of small water-worn or crushed stones compacted to produce a firm regular surface.</t>
  </si>
  <si>
    <t>AsuCode_gravel</t>
  </si>
  <si>
    <t>ice</t>
  </si>
  <si>
    <t>Ice</t>
  </si>
  <si>
    <t>A cleared area of a frozen watercourse.</t>
  </si>
  <si>
    <t>Usually marked and intended to support regular traffic.</t>
  </si>
  <si>
    <t>AsuCode_ice</t>
  </si>
  <si>
    <t>landingMat</t>
  </si>
  <si>
    <t>Landing Mat</t>
  </si>
  <si>
    <t>A surface composed of prefabricated, portable mats so designed that any number of planks (sections) may be fastened together to form a stable landing surface.</t>
  </si>
  <si>
    <t>Usually made of aluminum (for example: US Air Force AM-2 aluminum matting) with a non-skid coating applied. May also be used for beach landings, heliports, bridge decking, heavy duty roads, and other similar applications such as flooring for relocatable shelters, tents, and hangers.</t>
  </si>
  <si>
    <t>AsuCode_landingMat</t>
  </si>
  <si>
    <t>laterite</t>
  </si>
  <si>
    <t>Laterite</t>
  </si>
  <si>
    <t>A surface composed of a clayey (usually red) soil that hardens on exposure to the air, packed over a firm subgrade.</t>
  </si>
  <si>
    <t>Laterite is characterized by a high proportion of sesquioxides, especially of aluminum and iron, and a low proportion of bases and silica. It is formed by chemical weathering in tropical and subtropical regions. Also loosely any of various other reddish or iron-rich surface materials in the tropics and sub-tropics.</t>
  </si>
  <si>
    <t>AsuCode_laterite</t>
  </si>
  <si>
    <t>macadam</t>
  </si>
  <si>
    <t>Macadam</t>
  </si>
  <si>
    <t>A surface composed of broken rock or ironstone slag of varying size and shape that is packed through repeated rolling and water-bound.</t>
  </si>
  <si>
    <t>The range of sizes and shapes results in a relatively firm interlocking of the materials.</t>
  </si>
  <si>
    <t>AsuCode_macadam</t>
  </si>
  <si>
    <t>membrane</t>
  </si>
  <si>
    <t>Membrane</t>
  </si>
  <si>
    <t>A surface covered by spread rolls of protective laminate, providing waterproofing and dustproofing on soils that have adequate strength for airfield traffic areas.</t>
  </si>
  <si>
    <t>Usually rubber-based, but may be plastic (for example: nylon) or other coated fibre material.</t>
  </si>
  <si>
    <t>AsuCode_membrane</t>
  </si>
  <si>
    <t>nonBituminousMix</t>
  </si>
  <si>
    <t>Non-bituminous Mix</t>
  </si>
  <si>
    <t>A surface composed of the original surface material mixed in place with a non-bituminous binder (for example: portland cement).</t>
  </si>
  <si>
    <t>AsuCode_nonBituminousMix</t>
  </si>
  <si>
    <t>piercedSteelPlanking</t>
  </si>
  <si>
    <t>Pierced Steel Planking</t>
  </si>
  <si>
    <t>A surface composed of pierced steel sheets, nominally 15 inches by 10 feet in size, that have been clipped together edgewise to form a continuous mat.</t>
  </si>
  <si>
    <t>Used to best effect on stabilized subgrade, resulting in a semi-permanent runway.</t>
  </si>
  <si>
    <t>AsuCode_piercedSteelPlanking</t>
  </si>
  <si>
    <t>sand</t>
  </si>
  <si>
    <t>Sand</t>
  </si>
  <si>
    <t>A surface composed of sand that has been graded, rolled, and/or oiled.</t>
  </si>
  <si>
    <t>AsuCode_sand</t>
  </si>
  <si>
    <t>snow</t>
  </si>
  <si>
    <t>Snow</t>
  </si>
  <si>
    <t>A surface composed of packed snow, usually resulting from multiple snowfalls, that may have additionally been rolled to ensure the absence of voids or cavities.</t>
  </si>
  <si>
    <t>AsuCode_snow</t>
  </si>
  <si>
    <t>stone</t>
  </si>
  <si>
    <t>Stone</t>
  </si>
  <si>
    <t>A surface composed of rock or similar mineral substances (other than metal) of generally regular form and size, usually artificially shaped.</t>
  </si>
  <si>
    <t>AsuCode_stone</t>
  </si>
  <si>
    <t>water</t>
  </si>
  <si>
    <t>Water</t>
  </si>
  <si>
    <t>A body of water that is kept clear for use as a seaplane run.</t>
  </si>
  <si>
    <t>AsuCode_water</t>
  </si>
  <si>
    <t>wood</t>
  </si>
  <si>
    <t>A surface composed of wood logs, beams, or planks.</t>
  </si>
  <si>
    <t>AsuCode_wood</t>
  </si>
  <si>
    <t>aggregateSealCoat</t>
  </si>
  <si>
    <t>Aggregate Seal Coat</t>
  </si>
  <si>
    <t>The paved surface is seal coated to bring aggregate particles into contact with vehicle tires to improve skid resistance.</t>
  </si>
  <si>
    <t>AspCode_aggregateSealCoat</t>
  </si>
  <si>
    <t>graded</t>
  </si>
  <si>
    <t>Graded</t>
  </si>
  <si>
    <t>The movement area has been leveled to result in a smooth surface.</t>
  </si>
  <si>
    <t>May include a slight grade to promote drainage.</t>
  </si>
  <si>
    <t>AspCode_graded</t>
  </si>
  <si>
    <t>grass</t>
  </si>
  <si>
    <t>Grass</t>
  </si>
  <si>
    <t>The surface is covered with grass.</t>
  </si>
  <si>
    <t>AspCode_grass</t>
  </si>
  <si>
    <t>grooved</t>
  </si>
  <si>
    <t>Grooved</t>
  </si>
  <si>
    <t>The paved surface is grooved to promote drainage and traction.</t>
  </si>
  <si>
    <t>Accomplished by, for example, cutting or the emplacement of plastic strips that are later removed.</t>
  </si>
  <si>
    <t>AspCode_grooved</t>
  </si>
  <si>
    <t>oiled</t>
  </si>
  <si>
    <t>Oiled</t>
  </si>
  <si>
    <t>The surface is coated with a light layer of oil to reduce dust formation.</t>
  </si>
  <si>
    <t>Usually accomplished by spraying.</t>
  </si>
  <si>
    <t>AspCode_oiled</t>
  </si>
  <si>
    <t>porousFrictionCourse</t>
  </si>
  <si>
    <t>Porous Friction Course</t>
  </si>
  <si>
    <t>The paved surface is covered by a material designed to improve drainage and reduce slippage.</t>
  </si>
  <si>
    <t>For example, Porous European Mix (PEM), a porous asphaltic concrete formulated with 20-24 percent air voids used as an open graded friction course (OGFC).</t>
  </si>
  <si>
    <t>AspCode_porousFrictionCourse</t>
  </si>
  <si>
    <t>rolled</t>
  </si>
  <si>
    <t>Rolled</t>
  </si>
  <si>
    <t>The surface is prepared with heavy rollers to result in a firm, packed surface without local dips or swales.</t>
  </si>
  <si>
    <t>AspCode_rolled</t>
  </si>
  <si>
    <t>rubberizedSealCoat</t>
  </si>
  <si>
    <t>Rubberized Seal Coat</t>
  </si>
  <si>
    <t>The paved surface is seal coated using an asphalt-rubber binder.</t>
  </si>
  <si>
    <t>Sometimes termed a 'stress-absorbing membrane' (SAM). May be based on the use of recycled scrap tire rubber.</t>
  </si>
  <si>
    <t>AspCode_rubberizedSealCoat</t>
  </si>
  <si>
    <t>excellent</t>
  </si>
  <si>
    <t>Excellent</t>
  </si>
  <si>
    <t>The surface is capable of supporting extended aircraft operations with minimal maintenance.</t>
  </si>
  <si>
    <t>The surface is newly constructed, less than 5 years old, and is capable of supporting extended aircraft operations by the heaviest (highest Load Classification Number (LCN) or Aircraft Classification Number (ACN)) aircraft that is rated to use the facility, with minimal need for maintenance.</t>
  </si>
  <si>
    <t>SfsCode_excellent</t>
  </si>
  <si>
    <t>The condition is adequate for limited aircraft operations.</t>
  </si>
  <si>
    <t>It is capable of supporting 30 days of limited operations by the heaviest (highest Load Classification Number (LCN) or Aircraft Classification Number (ACN)) aircraft that can use the facility.</t>
  </si>
  <si>
    <t>SfsCode_fair</t>
  </si>
  <si>
    <t>fairEstimated</t>
  </si>
  <si>
    <t>Fair Estimated</t>
  </si>
  <si>
    <t>It is estimated (in lieu of reported information) that the condition is adequate for limited aircraft operations.</t>
  </si>
  <si>
    <t>It is estimated to be capable of supporting 30 days of limited operations by the heaviest (highest Load Classification Number (LCN) or Aircraft Classification Number (ACN)) aircraft that can use the facility.</t>
  </si>
  <si>
    <t>SfsCode_fairEstimated</t>
  </si>
  <si>
    <t>The condition is adequate for sustained aircraft operations.</t>
  </si>
  <si>
    <t>It will support 30 days of sustained operations by the heaviest (highest Load Classification Number (LCN) or Aircraft Classification Number (ACN)) aircraft that can use the facility.</t>
  </si>
  <si>
    <t>SfsCode_good</t>
  </si>
  <si>
    <t>goodEstimated</t>
  </si>
  <si>
    <t>Good Estimated</t>
  </si>
  <si>
    <t>It is estimated (in lieu of reported information) that the condition is adequate for sustained aircraft operations.</t>
  </si>
  <si>
    <t>It is estimated that it will support 30 days of sustained operations by the heaviest (highest Load Classification Number (LCN) or Aircraft Classification Number (ACN)) aircraft that can use the facility.</t>
  </si>
  <si>
    <t>SfsCode_goodEstimated</t>
  </si>
  <si>
    <t>poor</t>
  </si>
  <si>
    <t>Poor</t>
  </si>
  <si>
    <t>The condition is sufficient for only emergency aircraft operations.</t>
  </si>
  <si>
    <t>It will support only emergency or occasional operations by the heaviest (highest Load Classification Number (LCN) or Aircraft Classification Number (ACN)) aircraft that can use the facility.</t>
  </si>
  <si>
    <t>SfsCode_poor</t>
  </si>
  <si>
    <t>poorEstimated</t>
  </si>
  <si>
    <t>Poor Estimated</t>
  </si>
  <si>
    <t>It is estimated (in lieu of reported information) that the condition is sufficient for only emergency aircraft operations.</t>
  </si>
  <si>
    <t>It is estimated that it will support only emergency or occasional operations by the heaviest (highest Load Classification Number (LCN) or Aircraft Classification Number (ACN)) aircraft that can use the facility.</t>
  </si>
  <si>
    <t>SfsCode_poorEstimated</t>
  </si>
  <si>
    <t>The surface is under construction and is therefore not capable of supporting aircraft operations.</t>
  </si>
  <si>
    <t>SfsCode_underConstruction</t>
  </si>
  <si>
    <t>unserviceable</t>
  </si>
  <si>
    <t>Unserviceable</t>
  </si>
  <si>
    <t>The surface is in such a state of deterioration or disrepair that it is completely unusable and cannot be safely used for any type of aircraft operations.</t>
  </si>
  <si>
    <t>SfsCode_unserviceable</t>
  </si>
  <si>
    <t>(Aeronautical Information Exchange Model (AIXM): 'CLSD')</t>
  </si>
  <si>
    <t>AxsCode_closed</t>
  </si>
  <si>
    <t>Access is officially permitted.</t>
  </si>
  <si>
    <t>AxsCode_open</t>
  </si>
  <si>
    <t>(Aeronautical Information Exchange Model (AIXM): 'PARKED')</t>
  </si>
  <si>
    <t>parkedDisabledAircraft</t>
  </si>
  <si>
    <t>Parked or Disabled Aircraft</t>
  </si>
  <si>
    <t>Aircraft may be parked on the movement surface limiting operations.</t>
  </si>
  <si>
    <t>AxsCode_parkedDisabledAircraft</t>
  </si>
  <si>
    <t>(Aeronautical Information Exchange Model (AIXM): 'WIP')</t>
  </si>
  <si>
    <t>workInProgress</t>
  </si>
  <si>
    <t>Work in Progress</t>
  </si>
  <si>
    <t>AxsCode_workInProgress</t>
  </si>
  <si>
    <t>aerodromeFlightInfoServ</t>
  </si>
  <si>
    <t>Aerodrome Flight Information Service</t>
  </si>
  <si>
    <t>A unit providing pilots of aircraft with details of other known traffic taking off, landing and flying in the vicinity of the aerodrome where, despite not being busy enough for full Air Traffic Control, the traffic is such that some form of service is necessary.</t>
  </si>
  <si>
    <t>AFIS</t>
  </si>
  <si>
    <t>AstCode_aerodromeFlightInfoServ</t>
  </si>
  <si>
    <t>aeronauticalInfoService</t>
  </si>
  <si>
    <t>Aeronautical Information Service</t>
  </si>
  <si>
    <t>A service established within the defined area of coverage responsible for the provision of aeronautical information/data necessary for the safety, regularity and efficiency of air navigation.</t>
  </si>
  <si>
    <t>AIS</t>
  </si>
  <si>
    <t>AstCode_aeronauticalInfoService</t>
  </si>
  <si>
    <t>airmetService</t>
  </si>
  <si>
    <t>AIRMET Service</t>
  </si>
  <si>
    <t>Information issued by a meteorological watch office concerning the occurrence or expected occurrence of specified en-route weather phenomena which may affect the safety of low-level aircraft operations and which was not already included in the forecast issued for low-level flights in the flight information region concerned or sub-area thereof.</t>
  </si>
  <si>
    <t>AstCode_airmetService</t>
  </si>
  <si>
    <t>altimeterService</t>
  </si>
  <si>
    <t>Altimeter Service</t>
  </si>
  <si>
    <t>A service providing altimeter setting information.</t>
  </si>
  <si>
    <t>AstCode_altimeterService</t>
  </si>
  <si>
    <t>autoSurfaceObsSystem</t>
  </si>
  <si>
    <t>Automated Surface Observation System (ASOS)</t>
  </si>
  <si>
    <t>An automated weather sensor platforms that collect weather data at airports and disseminate the weather information via radio and/or landline.</t>
  </si>
  <si>
    <t>Information provided includes, altimeter, wind, temperature/dew point, visibility, clouds/ceiling, as well as precipitation and density altitude.</t>
  </si>
  <si>
    <t>ASOS</t>
  </si>
  <si>
    <t>AstCode_autoSurfaceObsSystem</t>
  </si>
  <si>
    <t>autoTerminalInfoService</t>
  </si>
  <si>
    <t>Automated Terminal Information Service</t>
  </si>
  <si>
    <t>The automatic provision of current, routine information to arriving and departing aircraft throughout 24 hours or a specified portion thereof.</t>
  </si>
  <si>
    <t>ATIS</t>
  </si>
  <si>
    <t>AstCode_autoTerminalInfoService</t>
  </si>
  <si>
    <t>autoWeatherObsService</t>
  </si>
  <si>
    <t>Automated Weather Observation Service (AWOS)</t>
  </si>
  <si>
    <t>Information provided includes: altimeter, wind, temperature/dew point, visibility, clouds/ceiling, as well as density altitude. AWOS does not provide precipitation information.</t>
  </si>
  <si>
    <t>AWOS</t>
  </si>
  <si>
    <t>AstCode_autoWeatherObsService</t>
  </si>
  <si>
    <t>autoWeatherSensorSystem</t>
  </si>
  <si>
    <t>Automated Weather Sensor System (AWSS)</t>
  </si>
  <si>
    <t>The Automated Weather Sensor System (AWSS) is a follow on program providing identical information as the Automated Surface Observation System (ASOS).</t>
  </si>
  <si>
    <t>AWSS</t>
  </si>
  <si>
    <t>AstCode_autoWeatherSensorSystem</t>
  </si>
  <si>
    <t>automaticFlightInfoServ</t>
  </si>
  <si>
    <t>Automatic Flight Information Service</t>
  </si>
  <si>
    <t>The continuous broadcast of recorded non-control information at airports in Alaska where a FSS provides local airport advisory service.</t>
  </si>
  <si>
    <t>The AFI broadcast automates the repetitive transmission of essential but routine information such as weather, wind, altimeter, favored runway, breaking action, airport NOTAMs, and other applicable information. The information is continuously broadcast over a discrete VHF radio frequency (usually the ASOS frequency).</t>
  </si>
  <si>
    <t>AstCode_automaticFlightInfoServ</t>
  </si>
  <si>
    <t>briefingService</t>
  </si>
  <si>
    <t>Briefing Service</t>
  </si>
  <si>
    <t>Pre-flight and post-flight briefing service.</t>
  </si>
  <si>
    <t>AstCode_briefingService</t>
  </si>
  <si>
    <t>enRouteFlightAdvisoryServ</t>
  </si>
  <si>
    <t>En-route Flight Advisory Service</t>
  </si>
  <si>
    <t>A service specifically designed to provide, upon pilot request, timely weather information pertinent to his/her type of flight, intended route of flight, and altitude.</t>
  </si>
  <si>
    <t>EFAS</t>
  </si>
  <si>
    <t>AstCode_enRouteFlightAdvisoryServ</t>
  </si>
  <si>
    <t>flightInfoService</t>
  </si>
  <si>
    <t>Flight Information Service</t>
  </si>
  <si>
    <t>A service provided for the purpose of giving advice and information useful for the safe and efficient conduct of flights.</t>
  </si>
  <si>
    <t>FIS</t>
  </si>
  <si>
    <t>AstCode_flightInfoService</t>
  </si>
  <si>
    <t>hfOperationFlightInfoServ</t>
  </si>
  <si>
    <t>HF Operational Flight Information Service (OFIS)</t>
  </si>
  <si>
    <t>The service provided for the broadcast on the high frequency (HF) band, of meteorological information and operational information concerning navigation aids and aerodromes in an integrated form.</t>
  </si>
  <si>
    <t>OFIS HF</t>
  </si>
  <si>
    <t>AstCode_hfOperationFlightInfoServ</t>
  </si>
  <si>
    <t>highAltWeatherObsSystem</t>
  </si>
  <si>
    <t>High Altitude Weather Observation System</t>
  </si>
  <si>
    <t>A continuous recorded hazardous in-flight weather forecasts broadcasted to airborne aircraft.</t>
  </si>
  <si>
    <t>HIWAS</t>
  </si>
  <si>
    <t>AstCode_highAltWeatherObsSystem</t>
  </si>
  <si>
    <t>infoService</t>
  </si>
  <si>
    <t>INFO Service</t>
  </si>
  <si>
    <t>Limited ad-hoc information provision, about a specific activity at a particular location.</t>
  </si>
  <si>
    <t>AstCode_infoService</t>
  </si>
  <si>
    <t>meteorologicalService</t>
  </si>
  <si>
    <t>Meteorological Service</t>
  </si>
  <si>
    <t>Facilities and services that provide aviation with meteorological forecasts, briefs, and observations as well as SIGMET information, VOLMET broadcasting material and any other meteorological data provided by states for aeronautical use.</t>
  </si>
  <si>
    <t>METAR</t>
  </si>
  <si>
    <t>AstCode_meteorologicalService</t>
  </si>
  <si>
    <t>notamService</t>
  </si>
  <si>
    <t>NOTAM Service</t>
  </si>
  <si>
    <t>The provision of notices distributed by means of telecommunication containing information concerning the establishment, condition or change in any aeronautical facility, service, procedure or hazard, the timely knowledge of which is essential to personnel concerned with flight operations.</t>
  </si>
  <si>
    <t>AstCode_notamService</t>
  </si>
  <si>
    <t>sigmetService</t>
  </si>
  <si>
    <t>SIGMET Service</t>
  </si>
  <si>
    <t>Information issued by a meteorological watch office concerning the occurrence or expected occurrence of specified en-route weather phenomena which may affect the safety of aircraft operations.</t>
  </si>
  <si>
    <t>AstCode_sigmetService</t>
  </si>
  <si>
    <t>transcribedWxBroadcastServ</t>
  </si>
  <si>
    <t>Transcribed Weather Broadcast Service</t>
  </si>
  <si>
    <t>A continuous recording of meteorological and aeronautical information that is broadcast on L/MF and VOR facilities for pilots.</t>
  </si>
  <si>
    <t>TWEB</t>
  </si>
  <si>
    <t>AstCode_transcribedWxBroadcastServ</t>
  </si>
  <si>
    <t>vhfOperationFlightInfoServ</t>
  </si>
  <si>
    <t>VHF Operational Flight Information Service (OFIS)</t>
  </si>
  <si>
    <t>The service provided for the broadcast on the very high frequency (VHF) band, of meteorological information and operational information concerning navigation aids and aerodromes in an integrated form.</t>
  </si>
  <si>
    <t>OFIS VHF</t>
  </si>
  <si>
    <t>AstCode_vhfOperationFlightInfoServ</t>
  </si>
  <si>
    <t>volmetService</t>
  </si>
  <si>
    <t>VOLMET Service</t>
  </si>
  <si>
    <t>A service providing routine broadcasts containing, as appropriate, current aerodrome weather reports, aerodrome forecasts and SIGMET messages for aircraft in flight.</t>
  </si>
  <si>
    <t>AstCode_volmetService</t>
  </si>
  <si>
    <t>(Aeronautical Information Exchange Model (AIXM): 'SIG')</t>
  </si>
  <si>
    <t>controlTowerSignalBeacon</t>
  </si>
  <si>
    <t>Control Tower Signaling Beacon</t>
  </si>
  <si>
    <t>A handheld directional light signaling device which emits a brilliant narrow beam of white, green, or red light as selected by the tower controller.</t>
  </si>
  <si>
    <t>The color and type of light transmitted can be used to approve or disapprove anticipated pilot actions where radio communication is not available. The light gun is used for controlling traffic operating in the vicinity of the airport and on the airport movement area.</t>
  </si>
  <si>
    <t>Light Gun</t>
  </si>
  <si>
    <t>AbtCode_controlTowerSignalBeacon</t>
  </si>
  <si>
    <t>(Aeronautical Information Exchange Model (AIXM): 'BCN')</t>
  </si>
  <si>
    <t>generalAeronauticalBeacon</t>
  </si>
  <si>
    <t>General Aeronautical Beacon</t>
  </si>
  <si>
    <t>An aeronautical ground light visible at all azimuths, either continuously or intermittently, to designate a particular point on the surface of the earth.</t>
  </si>
  <si>
    <t>AbtCode_generalAeronauticalBeacon</t>
  </si>
  <si>
    <t>hazardBeacon</t>
  </si>
  <si>
    <t>Hazard Beacon</t>
  </si>
  <si>
    <t>An aeronautical beacon used to designate a danger to air navigation.</t>
  </si>
  <si>
    <t>AbtCode_hazardBeacon</t>
  </si>
  <si>
    <t>(Aeronautical Information Exchange Model (AIXM): 'IBN')</t>
  </si>
  <si>
    <t>identificationBeacon</t>
  </si>
  <si>
    <t>Identification Beacon</t>
  </si>
  <si>
    <t>A beacon emitting a coded lighted signal by means of which a particular point of reference can be visually identified.</t>
  </si>
  <si>
    <t>An identification beacon shall show flashing green at a land aerodrome and flashing-yellow at a water aerodrome. The identification characters shall be transmitted in the International Morse Code.</t>
  </si>
  <si>
    <t>AbtCode_identificationBeacon</t>
  </si>
  <si>
    <t>(Aeronautical Information Exchange Model (AIXM): 'HBCN')</t>
  </si>
  <si>
    <t>lightedHeliport</t>
  </si>
  <si>
    <t>Lighted Heliport</t>
  </si>
  <si>
    <t>A beacon indicating the location of a heliport.</t>
  </si>
  <si>
    <t>US FAA has established sequence of green, yellow, and white flashing lights.</t>
  </si>
  <si>
    <t>AbtCode_lightedHeliport</t>
  </si>
  <si>
    <t>(Aeronautical Information Exchange Model (AIXM): 'ABN')</t>
  </si>
  <si>
    <t>lightedLandAerodrome</t>
  </si>
  <si>
    <t>Lighted Land Aerodrome</t>
  </si>
  <si>
    <t>A beacon indicating the location of a land aerodrome.</t>
  </si>
  <si>
    <t>ICAO specified the beacon is flashing green.</t>
  </si>
  <si>
    <t>AbtCode_lightedLandAerodrome</t>
  </si>
  <si>
    <t>lightedWaterAerodrome</t>
  </si>
  <si>
    <t>Lighted Water Aerodrome</t>
  </si>
  <si>
    <t>A beacon indicating the location of a water aerodrome.</t>
  </si>
  <si>
    <t>ICAO specified the beacon is flashing yellow.</t>
  </si>
  <si>
    <t>AbtCode_lightedWaterAerodrome</t>
  </si>
  <si>
    <t>(Aeronautical Information Exchange Model (AIXM): 'MARINE')</t>
  </si>
  <si>
    <t>marineBeacon</t>
  </si>
  <si>
    <t>Marine Beacon</t>
  </si>
  <si>
    <t>A beacon whose primary purpose is to be used for maritime navigation, but can be seen from the air.</t>
  </si>
  <si>
    <t>AbtCode_marineBeacon</t>
  </si>
  <si>
    <t>militaryAerodrome</t>
  </si>
  <si>
    <t>Military Aerodrome</t>
  </si>
  <si>
    <t>A beacon indicating the location of a military aerodrome.</t>
  </si>
  <si>
    <t>AbtCode_militaryAerodrome</t>
  </si>
  <si>
    <t>(Aeronautical Information Exchange Model (AIXM): 'RSP')</t>
  </si>
  <si>
    <t>responderBeacon</t>
  </si>
  <si>
    <t>Responder Beacon</t>
  </si>
  <si>
    <t>A responder beacon.</t>
  </si>
  <si>
    <t>AbtCode_responderBeacon</t>
  </si>
  <si>
    <t>channelSpacing8r33</t>
  </si>
  <si>
    <t>8.33 Channel Spacing</t>
  </si>
  <si>
    <t>Reduced frequency separation requirement of 8.33 kHz.</t>
  </si>
  <si>
    <t>AcmCode_channelSpacing8r33</t>
  </si>
  <si>
    <t>adsB</t>
  </si>
  <si>
    <t>ADS-B</t>
  </si>
  <si>
    <t>Automatic Dependent Surveillance - Broadcast: standard mode.</t>
  </si>
  <si>
    <t>AcmCode_adsB</t>
  </si>
  <si>
    <t>adsBwithVDL</t>
  </si>
  <si>
    <t>ADS-B with VDL</t>
  </si>
  <si>
    <t>Automatic Dependent Surveillance - Broadcast: extended mode, using VDL 4.</t>
  </si>
  <si>
    <t>AcmCode_adsBwithVDL</t>
  </si>
  <si>
    <t>amss</t>
  </si>
  <si>
    <t>AMSS</t>
  </si>
  <si>
    <t>Aeronautical Mobile Satellite Service, currently used by ACARS.</t>
  </si>
  <si>
    <t>AcmCode_amss</t>
  </si>
  <si>
    <t>hf</t>
  </si>
  <si>
    <t>HF</t>
  </si>
  <si>
    <t>High Frequency radio voice channel.</t>
  </si>
  <si>
    <t>AcmCode_hf</t>
  </si>
  <si>
    <t>hfdl</t>
  </si>
  <si>
    <t>HFDL</t>
  </si>
  <si>
    <t>High Frequency Data Link.</t>
  </si>
  <si>
    <t>AcmCode_hfdl</t>
  </si>
  <si>
    <t>uhf</t>
  </si>
  <si>
    <t>UHF</t>
  </si>
  <si>
    <t>Ultra-High Frequency radio voice channel.</t>
  </si>
  <si>
    <t>AcmCode_uhf</t>
  </si>
  <si>
    <t>vdl1</t>
  </si>
  <si>
    <t>VDL1</t>
  </si>
  <si>
    <t>Legacy VHF data link protocol employing CSMA.</t>
  </si>
  <si>
    <t>AcmCode_vdl1</t>
  </si>
  <si>
    <t>vdl2</t>
  </si>
  <si>
    <t>VDL2</t>
  </si>
  <si>
    <t>VHF data link protocol employing CSMA but much more efficient than VDL1.</t>
  </si>
  <si>
    <t>AcmCode_vdl2</t>
  </si>
  <si>
    <t>vdl4</t>
  </si>
  <si>
    <t>VDL4</t>
  </si>
  <si>
    <t>VHF data link protocol using TDMA; being considered for use by ADS-B.</t>
  </si>
  <si>
    <t>AcmCode_vdl4</t>
  </si>
  <si>
    <t>vhf</t>
  </si>
  <si>
    <t>VHF</t>
  </si>
  <si>
    <t>Very High Frequency radio voice channel.</t>
  </si>
  <si>
    <t>AcmCode_vhf</t>
  </si>
  <si>
    <t>aeronautical</t>
  </si>
  <si>
    <t>Aeronautical</t>
  </si>
  <si>
    <t>LfaCode_aeronautical</t>
  </si>
  <si>
    <t>LfaCode_airForceOverrun</t>
  </si>
  <si>
    <t>airportTerminalLights</t>
  </si>
  <si>
    <t>Airport Terminal Lights</t>
  </si>
  <si>
    <t>Lights associated with an aerodrome terminal.</t>
  </si>
  <si>
    <t>LfaCode_airportTerminalLights</t>
  </si>
  <si>
    <t>ALSF-I</t>
  </si>
  <si>
    <t>Approach lighting with sequential flashing - type I.</t>
  </si>
  <si>
    <t>LfaCode_alsfType1</t>
  </si>
  <si>
    <t>ALSF-II</t>
  </si>
  <si>
    <t>Approach lighting with sequential flashing - type II.</t>
  </si>
  <si>
    <t>LfaCode_alsfType2</t>
  </si>
  <si>
    <t>alternateCentreBarApproach</t>
  </si>
  <si>
    <t>Alternate Centre-line and Bar Approach Lights</t>
  </si>
  <si>
    <t>LfaCode_alternateCentreBarApproach</t>
  </si>
  <si>
    <t>apapAlignment</t>
  </si>
  <si>
    <t>APAP Alignment</t>
  </si>
  <si>
    <t>An alignment of elements system consisting of a set of three painted plywood panels (called approach path alignment panels: APAP) that are used as a visual glide slope indicator and is lighted for night use.</t>
  </si>
  <si>
    <t>LfaCode_apapAlignment</t>
  </si>
  <si>
    <t>Flood lighting associated with an apron.</t>
  </si>
  <si>
    <t>LfaCode_apronFlood</t>
  </si>
  <si>
    <t>articulated</t>
  </si>
  <si>
    <t>Articulated</t>
  </si>
  <si>
    <t>LfaCode_articulated</t>
  </si>
  <si>
    <t>auxiliary</t>
  </si>
  <si>
    <t>Auxiliary</t>
  </si>
  <si>
    <t>LfaCode_auxiliary</t>
  </si>
  <si>
    <t>beacon</t>
  </si>
  <si>
    <t>Beacon</t>
  </si>
  <si>
    <t>LfaCode_beacon</t>
  </si>
  <si>
    <t>boundary</t>
  </si>
  <si>
    <t>Lights marking the boundary of an airfield.</t>
  </si>
  <si>
    <t>LfaCode_boundary</t>
  </si>
  <si>
    <t>calvert</t>
  </si>
  <si>
    <t>Calvert</t>
  </si>
  <si>
    <t>Calvert, the standard system of approach lighting for Australia.</t>
  </si>
  <si>
    <t>LfaCode_calvert</t>
  </si>
  <si>
    <t>centreandDoubleRow</t>
  </si>
  <si>
    <t>Centre and Double Row</t>
  </si>
  <si>
    <t>LfaCode_centreandDoubleRow</t>
  </si>
  <si>
    <t>centreRow</t>
  </si>
  <si>
    <t>Centre Row</t>
  </si>
  <si>
    <t>LfaCode_centreRow</t>
  </si>
  <si>
    <t>centreRowCategory1</t>
  </si>
  <si>
    <t>Centre Row Category 1</t>
  </si>
  <si>
    <t>Centre row, IFR instrument landing system category 1, high intensity lights.</t>
  </si>
  <si>
    <t>LfaCode_centreRowCategory1</t>
  </si>
  <si>
    <t>centreRowCategory2</t>
  </si>
  <si>
    <t>Centre Row Category 2</t>
  </si>
  <si>
    <t>Centre row, IFR instrument landing system category 2, high intensity lights.</t>
  </si>
  <si>
    <t>LfaCode_centreRowCategory2</t>
  </si>
  <si>
    <t>centre2CrossbarApproach</t>
  </si>
  <si>
    <t>Centre-line 2 Crossbars Approach Lights</t>
  </si>
  <si>
    <t>LfaCode_centre2CrossbarApproach</t>
  </si>
  <si>
    <t>centrelineAndBar</t>
  </si>
  <si>
    <t>Centre-line and Bar</t>
  </si>
  <si>
    <t>LfaCode_centrelineAndBar</t>
  </si>
  <si>
    <t>centreHiIntenseApproach</t>
  </si>
  <si>
    <t>Centre-line High Intensity Approach Lights</t>
  </si>
  <si>
    <t>LfaCode_centreHiIntenseApproach</t>
  </si>
  <si>
    <t>LfaCode_cross</t>
  </si>
  <si>
    <t>fishing</t>
  </si>
  <si>
    <t>Fishing</t>
  </si>
  <si>
    <t>LfaCode_fishing</t>
  </si>
  <si>
    <t>flares</t>
  </si>
  <si>
    <t>Flares</t>
  </si>
  <si>
    <t>LfaCode_flares</t>
  </si>
  <si>
    <t>fogDetector</t>
  </si>
  <si>
    <t>Fog Detector</t>
  </si>
  <si>
    <t>A light used to automatically determine conditions of visibility on a runway.</t>
  </si>
  <si>
    <t>LfaCode_fogDetector</t>
  </si>
  <si>
    <t>LfaCode_formerNatoStandard</t>
  </si>
  <si>
    <t>harbour</t>
  </si>
  <si>
    <t>LfaCode_harbour</t>
  </si>
  <si>
    <t>hiIntensityRunwayLights</t>
  </si>
  <si>
    <t>HIRL</t>
  </si>
  <si>
    <t>High intensity runway lights.</t>
  </si>
  <si>
    <t>LfaCode_hiIntensityRunwayLights</t>
  </si>
  <si>
    <t>hongKongCurve</t>
  </si>
  <si>
    <t>Hong Kong Curve</t>
  </si>
  <si>
    <t>The system of approach lighting for Kai Tak Airport in Hong Kong.</t>
  </si>
  <si>
    <t>LfaCode_hongKongCurve</t>
  </si>
  <si>
    <t>horizontal</t>
  </si>
  <si>
    <t>Horizontal</t>
  </si>
  <si>
    <t>LfaCode_horizontal</t>
  </si>
  <si>
    <t>LfaCode_identificationBeacon</t>
  </si>
  <si>
    <t>lcVasi</t>
  </si>
  <si>
    <t>LCVASI</t>
  </si>
  <si>
    <t>Low cost visual approach slope indicator.</t>
  </si>
  <si>
    <t>LfaCode_lcVasi</t>
  </si>
  <si>
    <t>ldin</t>
  </si>
  <si>
    <t>LDIN</t>
  </si>
  <si>
    <t>Landing direction indicator light.</t>
  </si>
  <si>
    <t>LfaCode_ldin</t>
  </si>
  <si>
    <t>leftRowHigh</t>
  </si>
  <si>
    <t>Left Row High</t>
  </si>
  <si>
    <t>Row of high intensity lights on the left side on a runway.</t>
  </si>
  <si>
    <t>LfaCode_leftRowHigh</t>
  </si>
  <si>
    <t>LfaCode_leftSingleRow</t>
  </si>
  <si>
    <t>loIntensityRunwayLights</t>
  </si>
  <si>
    <t>LIRL</t>
  </si>
  <si>
    <t>Low intensity runway lighting system.</t>
  </si>
  <si>
    <t>LfaCode_loIntensityRunwayLights</t>
  </si>
  <si>
    <t>major</t>
  </si>
  <si>
    <t>Major</t>
  </si>
  <si>
    <t>LfaCode_major</t>
  </si>
  <si>
    <t>malsf</t>
  </si>
  <si>
    <t>MALSF</t>
  </si>
  <si>
    <t>Medium intensity approach lighting system with sequenced flashing lights.</t>
  </si>
  <si>
    <t>LfaCode_malsf</t>
  </si>
  <si>
    <t>malsr</t>
  </si>
  <si>
    <t>MALSR</t>
  </si>
  <si>
    <t>Medium intensity approach lighting system with runway alignment indicator lights.</t>
  </si>
  <si>
    <t>LfaCode_malsr</t>
  </si>
  <si>
    <t>minor</t>
  </si>
  <si>
    <t>Minor</t>
  </si>
  <si>
    <t>LfaCode_minor</t>
  </si>
  <si>
    <t>medIntensityRunwayLights</t>
  </si>
  <si>
    <t>MIRL</t>
  </si>
  <si>
    <t>Medium intensity runway lighting system.</t>
  </si>
  <si>
    <t>LfaCode_medIntensityRunwayLights</t>
  </si>
  <si>
    <t>LfaCode_narrowMultiCross</t>
  </si>
  <si>
    <t>LfaCode_natoStandard</t>
  </si>
  <si>
    <t>navyParallelRowsCrossbar</t>
  </si>
  <si>
    <t>Navy Parallel Rows and Crossbar</t>
  </si>
  <si>
    <t>LfaCode_navyParallelRowsCrossbar</t>
  </si>
  <si>
    <t>neonLadder</t>
  </si>
  <si>
    <t>Neon Ladder</t>
  </si>
  <si>
    <t>LfaCode_neonLadder</t>
  </si>
  <si>
    <t>noneAvailable</t>
  </si>
  <si>
    <t>None available</t>
  </si>
  <si>
    <t>No lighting is available or used.</t>
  </si>
  <si>
    <t>LfaCode_noneAvailable</t>
  </si>
  <si>
    <t>obstruction</t>
  </si>
  <si>
    <t>Obstruction</t>
  </si>
  <si>
    <t>LfaCode_obstruction</t>
  </si>
  <si>
    <t>obstructionMarker</t>
  </si>
  <si>
    <t>Obstruction Marker</t>
  </si>
  <si>
    <t>Lighting marking temporary obstructions to aircraft movement.</t>
  </si>
  <si>
    <t>LfaCode_obstructionMarker</t>
  </si>
  <si>
    <t>occasional</t>
  </si>
  <si>
    <t>Occasional</t>
  </si>
  <si>
    <t>LfaCode_occasional</t>
  </si>
  <si>
    <t>odals</t>
  </si>
  <si>
    <t>ODALS</t>
  </si>
  <si>
    <t>An omnidirectional approach landing system, consisting of seven omnidirectional flashing lights located in the approach area of a nonprecision runway.</t>
  </si>
  <si>
    <t>LfaCode_odals</t>
  </si>
  <si>
    <t>opticalLandingSystem</t>
  </si>
  <si>
    <t>Optical Landing System</t>
  </si>
  <si>
    <t>LfaCode_opticalLandingSystem</t>
  </si>
  <si>
    <t>otherAirportLighting</t>
  </si>
  <si>
    <t>Other Airport Lighting</t>
  </si>
  <si>
    <t>LfaCode_otherAirportLighting</t>
  </si>
  <si>
    <t>otherApproachLighting</t>
  </si>
  <si>
    <t>Other Approach Lighting</t>
  </si>
  <si>
    <t>LfaCode_otherApproachLighting</t>
  </si>
  <si>
    <t>overrunCentreline</t>
  </si>
  <si>
    <t>Overrun Centre-line</t>
  </si>
  <si>
    <t>LfaCode_overrunCentreline</t>
  </si>
  <si>
    <t>papi</t>
  </si>
  <si>
    <t>PAPI</t>
  </si>
  <si>
    <t>Precision approach path indicator light.</t>
  </si>
  <si>
    <t>LfaCode_papi</t>
  </si>
  <si>
    <t>LfaCode_pilotControlledLighting</t>
  </si>
  <si>
    <t>portableApproach</t>
  </si>
  <si>
    <t>Portable Approach</t>
  </si>
  <si>
    <t>LfaCode_portableApproach</t>
  </si>
  <si>
    <t>portableRunwayLights</t>
  </si>
  <si>
    <t>Portable Runway Lights</t>
  </si>
  <si>
    <t>LfaCode_portableRunwayLights</t>
  </si>
  <si>
    <t>LfaCode_primary</t>
  </si>
  <si>
    <t>private</t>
  </si>
  <si>
    <t>Private</t>
  </si>
  <si>
    <t>LfaCode_private</t>
  </si>
  <si>
    <t>pVasi</t>
  </si>
  <si>
    <t>PVASI</t>
  </si>
  <si>
    <t>Pulsating visual approach slope indicator light.</t>
  </si>
  <si>
    <t>LfaCode_pVasi</t>
  </si>
  <si>
    <t>rail</t>
  </si>
  <si>
    <t>RAIL</t>
  </si>
  <si>
    <t>Runway alignment indicator lights.</t>
  </si>
  <si>
    <t>LfaCode_rail</t>
  </si>
  <si>
    <t>range</t>
  </si>
  <si>
    <t>Range</t>
  </si>
  <si>
    <t>LfaCode_range</t>
  </si>
  <si>
    <t>reil</t>
  </si>
  <si>
    <t>REIL</t>
  </si>
  <si>
    <t>Runway end identification lighting.</t>
  </si>
  <si>
    <t>LfaCode_reil</t>
  </si>
  <si>
    <t>rotatingBeacon</t>
  </si>
  <si>
    <t>Rotating Beacon</t>
  </si>
  <si>
    <t>LfaCode_rotatingBeacon</t>
  </si>
  <si>
    <t>runwayCentreline</t>
  </si>
  <si>
    <t>Runway Centre-line</t>
  </si>
  <si>
    <t>Lighting associated with the centre-line of a runway.</t>
  </si>
  <si>
    <t>LfaCode_runwayCentreline</t>
  </si>
  <si>
    <t>Lighting associated with the edge of a runway.</t>
  </si>
  <si>
    <t>LfaCode_runwayEdge</t>
  </si>
  <si>
    <t>runwayFlood</t>
  </si>
  <si>
    <t>Runway Flood</t>
  </si>
  <si>
    <t>Flood lighting associated with a runway.</t>
  </si>
  <si>
    <t>LfaCode_runwayFlood</t>
  </si>
  <si>
    <t>seasonal</t>
  </si>
  <si>
    <t>Seasonal</t>
  </si>
  <si>
    <t>LfaCode_seasonal</t>
  </si>
  <si>
    <t>LfaCode_secondary</t>
  </si>
  <si>
    <t>sequencedFlashingLights</t>
  </si>
  <si>
    <t>Sequenced Flashing Lights (SFL)</t>
  </si>
  <si>
    <t>LfaCode_sequencedFlashingLights</t>
  </si>
  <si>
    <t>sequencedStrobe</t>
  </si>
  <si>
    <t>Sequenced Strobe</t>
  </si>
  <si>
    <t>LfaCode_sequencedStrobe</t>
  </si>
  <si>
    <t>singaporeCentreline</t>
  </si>
  <si>
    <t>Singapore Centre-line</t>
  </si>
  <si>
    <t>The system of approach lighting for Changi Airport in Singapore.</t>
  </si>
  <si>
    <t>LfaCode_singaporeCentreline</t>
  </si>
  <si>
    <t>Single Row Centre-line</t>
  </si>
  <si>
    <t>LfaCode_singleRowCentreline</t>
  </si>
  <si>
    <t>ssalf</t>
  </si>
  <si>
    <t>SSALF</t>
  </si>
  <si>
    <t>Simplified short approach lighting system with sequenced flashing lights.</t>
  </si>
  <si>
    <t>LfaCode_ssalf</t>
  </si>
  <si>
    <t>ssalr</t>
  </si>
  <si>
    <t>SSALR</t>
  </si>
  <si>
    <t>Simplified short approach lighting system with runway alignment indicator lights.</t>
  </si>
  <si>
    <t>LfaCode_ssalr</t>
  </si>
  <si>
    <t>strobe</t>
  </si>
  <si>
    <t>Strobe</t>
  </si>
  <si>
    <t>A light with an extremely short duration flash.</t>
  </si>
  <si>
    <t>LfaCode_strobe</t>
  </si>
  <si>
    <t>taxiwayLighting</t>
  </si>
  <si>
    <t>Taxiway Lighting</t>
  </si>
  <si>
    <t>Lighting associated with a taxiway.</t>
  </si>
  <si>
    <t>LfaCode_taxiwayLighting</t>
  </si>
  <si>
    <t>Lighting associated with a runway threshold.</t>
  </si>
  <si>
    <t>LfaCode_threshold</t>
  </si>
  <si>
    <t>tidal</t>
  </si>
  <si>
    <t>Tidal</t>
  </si>
  <si>
    <t>LfaCode_tidal</t>
  </si>
  <si>
    <t>Lighting associated with a runway touchdown zone.</t>
  </si>
  <si>
    <t>LfaCode_touchdownZone</t>
  </si>
  <si>
    <t>tVasi</t>
  </si>
  <si>
    <t>T-VASI</t>
  </si>
  <si>
    <t>T'-bar visual approach slope indicator light.</t>
  </si>
  <si>
    <t>LfaCode_tVasi</t>
  </si>
  <si>
    <t>twoParallelRows</t>
  </si>
  <si>
    <t>Two Parallel Rows</t>
  </si>
  <si>
    <t>LfaCode_twoParallelRows</t>
  </si>
  <si>
    <t>usConfigurationB</t>
  </si>
  <si>
    <t>U.S. Configuration (B)</t>
  </si>
  <si>
    <t>LfaCode_usConfigurationB</t>
  </si>
  <si>
    <t>variableIntenseRunwayLight</t>
  </si>
  <si>
    <t>Variable Intensity Runway Lights</t>
  </si>
  <si>
    <t>LfaCode_variableIntenseRunwayLight</t>
  </si>
  <si>
    <t>vasi</t>
  </si>
  <si>
    <t>VASI</t>
  </si>
  <si>
    <t>Visual approach slope indicator light.</t>
  </si>
  <si>
    <t>LfaCode_vasi</t>
  </si>
  <si>
    <t>vasi2Bar</t>
  </si>
  <si>
    <t>VASI 2-bar</t>
  </si>
  <si>
    <t>Two-bar visual approach slope indicator light.</t>
  </si>
  <si>
    <t>LfaCode_vasi2Bar</t>
  </si>
  <si>
    <t>vasi3Bar</t>
  </si>
  <si>
    <t>VASI 3-bar</t>
  </si>
  <si>
    <t>Three-bar visual approach slope indicator light.</t>
  </si>
  <si>
    <t>LfaCode_vasi3Bar</t>
  </si>
  <si>
    <t>vasiWithThreshIndicator</t>
  </si>
  <si>
    <t>VASI with Threshold Indicator</t>
  </si>
  <si>
    <t>Visual approach slope indicator light with an indicator for threshold crossing height.</t>
  </si>
  <si>
    <t>Used to accommodate long-bodied or jumbo aircraft.</t>
  </si>
  <si>
    <t>LfaCode_vasiWithThreshIndicator</t>
  </si>
  <si>
    <t>vertical</t>
  </si>
  <si>
    <t>Vertical</t>
  </si>
  <si>
    <t>LfaCode_vertical</t>
  </si>
  <si>
    <t>windIndicatorLights</t>
  </si>
  <si>
    <t>Wind Indicator Lights</t>
  </si>
  <si>
    <t>LfaCode_windIndicatorLights</t>
  </si>
  <si>
    <t>(Aeronautical Information Exchange Model (AIXM): 'DLGT')</t>
  </si>
  <si>
    <t>airspaceDelegation</t>
  </si>
  <si>
    <t>Airspace Delegation</t>
  </si>
  <si>
    <t>An authority is assigned or entrusted with the responsibility for that airspace.</t>
  </si>
  <si>
    <t>AauCode_airspaceDelegation</t>
  </si>
  <si>
    <t>(Aeronautical Information Exchange Model (AIXM): 'OWN')</t>
  </si>
  <si>
    <t>airspaceOwnership</t>
  </si>
  <si>
    <t>Airspace Ownership</t>
  </si>
  <si>
    <t>An authority has the legal right of possession and proprietorship over a defined airspace.</t>
  </si>
  <si>
    <t>AauCode_airspaceOwnership</t>
  </si>
  <si>
    <t>(Aeronautical Information Exchange Model (AIXM): 'AIS')</t>
  </si>
  <si>
    <t>aisAuthority</t>
  </si>
  <si>
    <t>AIS Authority</t>
  </si>
  <si>
    <t>The organization is responsible for the provision of aeronautical information or data necessary for the safety, regularity and efficiency of air navigation.</t>
  </si>
  <si>
    <t>AauCode_aisAuthority</t>
  </si>
  <si>
    <t>(Aeronautical Information Exchange Model (AIXM): 'OTHER')</t>
  </si>
  <si>
    <t>otherResponsibleAuthority</t>
  </si>
  <si>
    <t>Other Responsible Authority</t>
  </si>
  <si>
    <t>A responsible authority not included in the existing Responsible Authority Type list.</t>
  </si>
  <si>
    <t>AauCode_otherResponsibleAuthority</t>
  </si>
  <si>
    <t>both</t>
  </si>
  <si>
    <t>Both</t>
  </si>
  <si>
    <t>Used for both low and high altitude enroute control.</t>
  </si>
  <si>
    <t>ArtCode_both</t>
  </si>
  <si>
    <t>high</t>
  </si>
  <si>
    <t>High</t>
  </si>
  <si>
    <t>Used for high altitude enroute control.</t>
  </si>
  <si>
    <t>ArtCode_high</t>
  </si>
  <si>
    <t>low</t>
  </si>
  <si>
    <t>Low</t>
  </si>
  <si>
    <t>Used for low altitude enroute control.</t>
  </si>
  <si>
    <t>ArtCode_low</t>
  </si>
  <si>
    <t>conditional</t>
  </si>
  <si>
    <t>Conditional</t>
  </si>
  <si>
    <t>Operative subject to published limitations or conditions.</t>
  </si>
  <si>
    <t>AsoCode_conditional</t>
  </si>
  <si>
    <t>displaced</t>
  </si>
  <si>
    <t>Displaced</t>
  </si>
  <si>
    <t>The service or equipment has been relocated.</t>
  </si>
  <si>
    <t>AsoCode_displaced</t>
  </si>
  <si>
    <t>falseIndicationDefinite</t>
  </si>
  <si>
    <t>False Indication Definite</t>
  </si>
  <si>
    <t>Giving false indication, do not use.</t>
  </si>
  <si>
    <t>AsoCode_falseIndicationDefinite</t>
  </si>
  <si>
    <t>falseIndicationPossible</t>
  </si>
  <si>
    <t>False Indication Possible</t>
  </si>
  <si>
    <t>False indication possible, use with caution.</t>
  </si>
  <si>
    <t>AsoCode_falseIndicationPossible</t>
  </si>
  <si>
    <t>inConstruction</t>
  </si>
  <si>
    <t>In Construction</t>
  </si>
  <si>
    <t>The equipment is under construction.</t>
  </si>
  <si>
    <t>AsoCode_inConstruction</t>
  </si>
  <si>
    <t>intermittent</t>
  </si>
  <si>
    <t>Intermittent</t>
  </si>
  <si>
    <t>Operations are intended to be continuous but may be interrupted.</t>
  </si>
  <si>
    <t>AsoCode_intermittent</t>
  </si>
  <si>
    <t>interrupt</t>
  </si>
  <si>
    <t>Interrupt</t>
  </si>
  <si>
    <t>Expect interruptions of the signal.</t>
  </si>
  <si>
    <t>AsoCode_interrupt</t>
  </si>
  <si>
    <t>irregular</t>
  </si>
  <si>
    <t>Irregular</t>
  </si>
  <si>
    <t>Operations may occur sporadically.</t>
  </si>
  <si>
    <t>AsoCode_irregular</t>
  </si>
  <si>
    <t>Operating with limited capabilities.</t>
  </si>
  <si>
    <t>For example, used when just the DME part of a VOR/DME is working.</t>
  </si>
  <si>
    <t>AsoCode_limited</t>
  </si>
  <si>
    <t>navaidDmeOutOfService</t>
  </si>
  <si>
    <t>NAVAID DME Out-of-service</t>
  </si>
  <si>
    <t>The Distance Measuring Equipment (DME) component of the Navigational Aid (NAVAID) service is out-of-service.</t>
  </si>
  <si>
    <t>A NAVAID that is out-of-service may be transmitting but does not meet operational specifications.</t>
  </si>
  <si>
    <t>AsoCode_navaidDmeOutOfService</t>
  </si>
  <si>
    <t>navaidFreqOutOfService</t>
  </si>
  <si>
    <t>NAVAID Frequency Out-of-service</t>
  </si>
  <si>
    <t>The frequency component of the Navigational Aid (NAVAID) service is out-of-service.</t>
  </si>
  <si>
    <t>AsoCode_navaidFreqOutOfService</t>
  </si>
  <si>
    <t>navaidPartialService</t>
  </si>
  <si>
    <t>NAVAID Partial Service</t>
  </si>
  <si>
    <t>The Navigational Aid (NAVAID) service is operating with limited capabilities.</t>
  </si>
  <si>
    <t>The nature of the limitation is such that the NAVAID does not meet operational specifications.</t>
  </si>
  <si>
    <t>AsoCode_navaidPartialService</t>
  </si>
  <si>
    <t>onTest</t>
  </si>
  <si>
    <t>On-Test</t>
  </si>
  <si>
    <t>Undergoing testing, do not use.</t>
  </si>
  <si>
    <t>Signals may be transmitted, but are not reliable.</t>
  </si>
  <si>
    <t>AsoCode_onTest</t>
  </si>
  <si>
    <t>Operating normally.</t>
  </si>
  <si>
    <t>AsoCode_operational</t>
  </si>
  <si>
    <t>unreliable</t>
  </si>
  <si>
    <t>Unreliable</t>
  </si>
  <si>
    <t>An indication the service may not meet applicable requirements.</t>
  </si>
  <si>
    <t>For example, it may give erratic or false indications. This is a more generalized concept than either 'False Indication Definite' or 'False Indication Possible'.</t>
  </si>
  <si>
    <t>AsoCode_unreliable</t>
  </si>
  <si>
    <t>Not available.</t>
  </si>
  <si>
    <t>AsoCode_unserviceable</t>
  </si>
  <si>
    <t>withdrawn</t>
  </si>
  <si>
    <t>Withdrawn</t>
  </si>
  <si>
    <t>The service or equipment has been decommissioned and/or removed.</t>
  </si>
  <si>
    <t>AsoCode_withdrawn</t>
  </si>
  <si>
    <t>The service may be used in lieu of the primary or secondary service.</t>
  </si>
  <si>
    <t>SerCode_alternate</t>
  </si>
  <si>
    <t>emergency</t>
  </si>
  <si>
    <t>Emergency</t>
  </si>
  <si>
    <t>The service is designated for emergency use.</t>
  </si>
  <si>
    <t>SerCode_emergency</t>
  </si>
  <si>
    <t>The service is protected due to the importance of information being exchanged.</t>
  </si>
  <si>
    <t>SerCode_guarded</t>
  </si>
  <si>
    <t>Is designated as the principal provider of the service.</t>
  </si>
  <si>
    <t>SerCode_primary</t>
  </si>
  <si>
    <t>Is designated as the contingency provider of the primary service.</t>
  </si>
  <si>
    <t>SerCode_secondary</t>
  </si>
  <si>
    <t>advisoryCentre</t>
  </si>
  <si>
    <t>Advisory Centre</t>
  </si>
  <si>
    <t>A unit providing a service within advisory airspace to ensure separation, in so far as practical, between aircraft which are operating on IFR flight plans.</t>
  </si>
  <si>
    <t>ADVC</t>
  </si>
  <si>
    <t>AtuCode_advisoryCentre</t>
  </si>
  <si>
    <t>aerodromeAisUnit</t>
  </si>
  <si>
    <t>Aerodrome Aeronautical Information Service (AIS) Unit</t>
  </si>
  <si>
    <t>A unit established at an aerodrome to provide aeronautical information/data for preflight planning.</t>
  </si>
  <si>
    <t>AtuCode_aerodromeAisUnit</t>
  </si>
  <si>
    <t>aerodromeControlTower</t>
  </si>
  <si>
    <t>Aerodrome Control Tower</t>
  </si>
  <si>
    <t>A unit established to provide air traffic control service to aerodrome traffic.</t>
  </si>
  <si>
    <t>TWR</t>
  </si>
  <si>
    <t>AtuCode_aerodromeControlTower</t>
  </si>
  <si>
    <t>aerodromeMetOffice</t>
  </si>
  <si>
    <t>Aerodrome Meteorological Office</t>
  </si>
  <si>
    <t>An office, located at an aerodrome, designated to provide meteorological service for international air navigation.</t>
  </si>
  <si>
    <t>AtuCode_aerodromeMetOffice</t>
  </si>
  <si>
    <t>aeroInfoServicesHeadOffice</t>
  </si>
  <si>
    <t>Aeronautical Information Services Headquarters Office</t>
  </si>
  <si>
    <t>An office responsible for the provision of aeronautical information services within a defined area of coverage normally comprising a State or group of States.</t>
  </si>
  <si>
    <t>AOF</t>
  </si>
  <si>
    <t>AtuCode_aeroInfoServicesHeadOffice</t>
  </si>
  <si>
    <t>airRouteTraffControlCentre</t>
  </si>
  <si>
    <t>Air Route Traffic Control Centre</t>
  </si>
  <si>
    <t>A facility established to provide Air Traffic Control service to aircraft operating on IFR flight plans within controlled airspace and principally during the enroute phase of flight.</t>
  </si>
  <si>
    <t>ARTCC, CNTR</t>
  </si>
  <si>
    <t>AtuCode_airRouteTraffControlCentre</t>
  </si>
  <si>
    <t>airTrafficControlCentre</t>
  </si>
  <si>
    <t>Air Traffic Control Centre</t>
  </si>
  <si>
    <t>A unit combining the functions of an area control centre and a flight information centre.</t>
  </si>
  <si>
    <t>ATCC</t>
  </si>
  <si>
    <t>AtuCode_airTrafficControlCentre</t>
  </si>
  <si>
    <t>airTrafficFlowManagement</t>
  </si>
  <si>
    <t>Air Traffic Flow Management Unit</t>
  </si>
  <si>
    <t>A unit providing services with the objective of contributing to a safe, orderly and expeditious flow of air traffic by ensuring that ATC capacity is utilized to the maximum extent possible, and that the traffic volume is compatible with the capacities declared by the appropriate ATS authority.</t>
  </si>
  <si>
    <t>ATFMU</t>
  </si>
  <si>
    <t>AtuCode_airTrafficFlowManagement</t>
  </si>
  <si>
    <t>airTrafficManagementUnit</t>
  </si>
  <si>
    <t>Air Traffic Management Unit</t>
  </si>
  <si>
    <t>A unit established to aggregate the airborne functions and ground-based functions (air traffic services, airspace management and air traffic flow management) required to ensure the safe and efficient movement of aircraft during all phases of operations.</t>
  </si>
  <si>
    <t>ATMU</t>
  </si>
  <si>
    <t>AtuCode_airTrafficManagementUnit</t>
  </si>
  <si>
    <t>airTrafficServicesReporting</t>
  </si>
  <si>
    <t>Air Traffic Services Reporting Office</t>
  </si>
  <si>
    <t>A unit established for the purpose of receiving reports concerning air traffic services and flight plans submitted before departure.</t>
  </si>
  <si>
    <t>An air traffic services reporting office may be established as a separate unit or combined with an existing unit, such as another air traffic services unit, or a unit of the aeronautical information service.</t>
  </si>
  <si>
    <t>Aerodrome Reporting Office, ARO</t>
  </si>
  <si>
    <t>AtuCode_airTrafficServicesReporting</t>
  </si>
  <si>
    <t>airTrafficServicesUnit</t>
  </si>
  <si>
    <t>Air Traffic Services Unit</t>
  </si>
  <si>
    <t>A generic term meaning variously, air traffic control unit, flight information centre or air traffic services reporting office.</t>
  </si>
  <si>
    <t>ATSU</t>
  </si>
  <si>
    <t>AtuCode_airTrafficServicesUnit</t>
  </si>
  <si>
    <t>airliftCommandPost</t>
  </si>
  <si>
    <t>Airlift Command Post</t>
  </si>
  <si>
    <t>A command post used in specialised airlift operations.</t>
  </si>
  <si>
    <t>They may be centrally located or at a deployed location.</t>
  </si>
  <si>
    <t>ALCE, ACP</t>
  </si>
  <si>
    <t>AtuCode_airliftCommandPost</t>
  </si>
  <si>
    <t>alertingPost</t>
  </si>
  <si>
    <t>Alerting Post</t>
  </si>
  <si>
    <t>Any facility intended to serve as an intermediary between a person reporting an emergency and a rescue coordination centre or rescue subcentre.</t>
  </si>
  <si>
    <t>ALPS</t>
  </si>
  <si>
    <t>AtuCode_alertingPost</t>
  </si>
  <si>
    <t>approachControlUnit</t>
  </si>
  <si>
    <t>Approach Control Unit</t>
  </si>
  <si>
    <t>A unit established to provide air traffic control service to controlled flights arriving at, or departing from, one or more aerodromes.</t>
  </si>
  <si>
    <t>APP</t>
  </si>
  <si>
    <t>AtuCode_approachControlUnit</t>
  </si>
  <si>
    <t>areaControlCentre</t>
  </si>
  <si>
    <t>Area Control Centre</t>
  </si>
  <si>
    <t>A unit established to provide air traffic control service to controlled flights in control areas under its jurisdiction.</t>
  </si>
  <si>
    <t>AtuCode_areaControlCentre</t>
  </si>
  <si>
    <t>arrivalsApproachControl</t>
  </si>
  <si>
    <t>Arrivals Approach Control Office</t>
  </si>
  <si>
    <t>A facility providing Air Traffic Control service for arriving IFR and, under certain conditions, VFR aircraft.</t>
  </si>
  <si>
    <t>APP/ARR, Arrivial Control</t>
  </si>
  <si>
    <t>AtuCode_arrivalsApproachControl</t>
  </si>
  <si>
    <t>autoDependSurveillanceUnit</t>
  </si>
  <si>
    <t>Automatic Dependent Surveillance Unit</t>
  </si>
  <si>
    <t>A unit providing ADS support to equipped aircraft.</t>
  </si>
  <si>
    <t>ADSU</t>
  </si>
  <si>
    <t>AtuCode_autoDependSurveillanceUnit</t>
  </si>
  <si>
    <t>commandPost</t>
  </si>
  <si>
    <t>Command Post</t>
  </si>
  <si>
    <t>A military office designated for preflight planning and aircraft dispatch at an aerodrome.</t>
  </si>
  <si>
    <t>A command post is also responsible for the orderly operations of the air base.</t>
  </si>
  <si>
    <t>MILOPS, POST, Base Ops, Wing Ops</t>
  </si>
  <si>
    <t>AtuCode_commandPost</t>
  </si>
  <si>
    <t>commercialBroadcastStation</t>
  </si>
  <si>
    <t>Commercial Broadcasting Station</t>
  </si>
  <si>
    <t>A unit providing commercial service through broadcast transmissions such as radio and television.</t>
  </si>
  <si>
    <t>BS</t>
  </si>
  <si>
    <t>AtuCode_commercialBroadcastStation</t>
  </si>
  <si>
    <t>departuresApproachControl</t>
  </si>
  <si>
    <t>Departures Approach Control Office</t>
  </si>
  <si>
    <t>A facility providing Air Traffic Control service for departing IFR and, under certain conditions, VFR aircraft.</t>
  </si>
  <si>
    <t>APP/DEP, Departure Control</t>
  </si>
  <si>
    <t>AtuCode_departuresApproachControl</t>
  </si>
  <si>
    <t>flightInformationCentre</t>
  </si>
  <si>
    <t>Flight Information Centre</t>
  </si>
  <si>
    <t>A unit established to provide flight information service and alerting service.</t>
  </si>
  <si>
    <t>AtuCode_flightInformationCentre</t>
  </si>
  <si>
    <t>flightServiceStation</t>
  </si>
  <si>
    <t>Flight Service Station</t>
  </si>
  <si>
    <t>Air traffic facilities which provide pilot briefing, enroute communications and VFR Search And Rescue service, assist lost aircraft and aircraft in emergency situations, relay Air Traffic Control clearances, originate Notices to Airman, broadcast aviation weather and National Airspace System (NAS) information, receive and process IFR flight plans, and monitor NAVAIDS.</t>
  </si>
  <si>
    <t>FSS</t>
  </si>
  <si>
    <t>AtuCode_flightServiceStation</t>
  </si>
  <si>
    <t>generalCommunicationsUnit</t>
  </si>
  <si>
    <t>General Communications Unit</t>
  </si>
  <si>
    <t>A unit providing miscellaneous communication services.</t>
  </si>
  <si>
    <t>COM</t>
  </si>
  <si>
    <t>AtuCode_generalCommunicationsUnit</t>
  </si>
  <si>
    <t>internationalNotamOffice</t>
  </si>
  <si>
    <t>International NOTAM Office</t>
  </si>
  <si>
    <t>An office designated by a State for the exchange of Notices to Airman (NOTAM) internationally.</t>
  </si>
  <si>
    <t>A NOTAM is a notice distributed by means of telecommunication containing information concerning the establishment, condition or change in any aeronautical facility, service, procedure or hazard, the timely knowledge of which is essential to personnel concerned with flight operations.</t>
  </si>
  <si>
    <t>NOF, MILNOF</t>
  </si>
  <si>
    <t>AtuCode_internationalNotamOffice</t>
  </si>
  <si>
    <t>meteorologicalOffice</t>
  </si>
  <si>
    <t>Meteorological Office</t>
  </si>
  <si>
    <t>An office designated to provide meteorological service for international air navigation.</t>
  </si>
  <si>
    <t>AtuCode_meteorologicalOffice</t>
  </si>
  <si>
    <t>oceanicControlCentre</t>
  </si>
  <si>
    <t>Oceanic Control Centre</t>
  </si>
  <si>
    <t>The unit providing Air Traffic Control (ATC) services given to the area of International Airspace which lies above oceanic airspace.</t>
  </si>
  <si>
    <t>AtuCode_oceanicControlCentre</t>
  </si>
  <si>
    <t>radarApproachControlFac</t>
  </si>
  <si>
    <t>Radar Approach Control Facility</t>
  </si>
  <si>
    <t>A terminal ATC facility that uses radar and non-radar capabilities to provide approach control services to aircraft arriving, departing, or transiting airspace controlled by the facility.</t>
  </si>
  <si>
    <t>AtuCode_radarApproachControlFac</t>
  </si>
  <si>
    <t>regionalAreaForecastCentre</t>
  </si>
  <si>
    <t>Regional Area Forecast Centre</t>
  </si>
  <si>
    <t>A meteorological centre designated to prepare and supply area forecasts for flights departing from aerodromes within its service area and to supply grid-point data in digital form for up to world-wide coverage.</t>
  </si>
  <si>
    <t>RAFC</t>
  </si>
  <si>
    <t>AtuCode_regionalAreaForecastCentre</t>
  </si>
  <si>
    <t>rescueCoOrdinationCentre</t>
  </si>
  <si>
    <t>Rescue Co-ordination Centre</t>
  </si>
  <si>
    <t>A unit responsible for promoting efficient organization of search and rescue services and for coordinating the conduct of search and rescue operations within a search and rescue region.</t>
  </si>
  <si>
    <t>RCC</t>
  </si>
  <si>
    <t>AtuCode_rescueCoOrdinationCentre</t>
  </si>
  <si>
    <t>rescueSubCentre</t>
  </si>
  <si>
    <t>Rescue Sub-centre</t>
  </si>
  <si>
    <t>A unit subordinate to a rescue coordination centre, established to complement the latter according to particular provisions of the responsible authorities.</t>
  </si>
  <si>
    <t>AtuCode_rescueSubCentre</t>
  </si>
  <si>
    <t>surfaceMovementRadarOffice</t>
  </si>
  <si>
    <t>Surface Movement Radar Office</t>
  </si>
  <si>
    <t>A unit providing ground movement radar services for aircraft.</t>
  </si>
  <si>
    <t>SMR</t>
  </si>
  <si>
    <t>AtuCode_surfaceMovementRadarOffice</t>
  </si>
  <si>
    <t>tempReservedAirspaceMonitor</t>
  </si>
  <si>
    <t>Temporary Reserved Airspace Monitoring Unit</t>
  </si>
  <si>
    <t>A unit providing air traffic service within a temporary reserved airspace to participating and non-participating aircraft when the airspace is active.</t>
  </si>
  <si>
    <t>TRAMON</t>
  </si>
  <si>
    <t>AtuCode_tempReservedAirspaceMonitor</t>
  </si>
  <si>
    <t>uhfDirectionFindingStation</t>
  </si>
  <si>
    <t>UHF Direction Finding Station</t>
  </si>
  <si>
    <t>A unit providing direction finding services over a ultra high frequency band radio, whose headings will lead the aircraft to a predetermined point such as the DF station or an airport.</t>
  </si>
  <si>
    <t>UDF</t>
  </si>
  <si>
    <t>AtuCode_uhfDirectionFindingStation</t>
  </si>
  <si>
    <t>upperAreaControlCentre</t>
  </si>
  <si>
    <t>Upper Area Control Centre</t>
  </si>
  <si>
    <t>A unit established to provide air traffic control service to controlled flights in upper control areas under its jurisdiction.</t>
  </si>
  <si>
    <t>UAC</t>
  </si>
  <si>
    <t>AtuCode_upperAreaControlCentre</t>
  </si>
  <si>
    <t>upperInformationCentre</t>
  </si>
  <si>
    <t>Upper Information Centre</t>
  </si>
  <si>
    <t>A unit established to provide flight information service and alerting service for upper airspace levels.</t>
  </si>
  <si>
    <t>UIC</t>
  </si>
  <si>
    <t>AtuCode_upperInformationCentre</t>
  </si>
  <si>
    <t>vhfDirectionFindingStation</t>
  </si>
  <si>
    <t>VHF Direction Finding Station</t>
  </si>
  <si>
    <t>A unit providing direction finding services over a very high frequency band radio, whose headings will lead the aircraft to a predetermined point such as the DF station or an airport.</t>
  </si>
  <si>
    <t>VDF</t>
  </si>
  <si>
    <t>AtuCode_vhfDirectionFindingStation</t>
  </si>
  <si>
    <t>worldAreaForecastCentre</t>
  </si>
  <si>
    <t>World Area Forecast Centre</t>
  </si>
  <si>
    <t>A meteorological centre designated to prepare and issue significant weather forecasts and upper-air forecasts in digital form on a global basis direct to States by appropriate means as part of the aeronautical fixed service.</t>
  </si>
  <si>
    <t>WAFC</t>
  </si>
  <si>
    <t>AtuCode_worldAreaForecastCentre</t>
  </si>
  <si>
    <t>assumedFriend</t>
  </si>
  <si>
    <t>Assumed Friend</t>
  </si>
  <si>
    <t>Assumed to be a friend because of its characteristics, behaviour, origin or nationality.</t>
  </si>
  <si>
    <t>FfoCode_assumedFriend</t>
  </si>
  <si>
    <t>friend</t>
  </si>
  <si>
    <t>Friend</t>
  </si>
  <si>
    <t>Positively identified as friendly.</t>
  </si>
  <si>
    <t>FfoCode_friend</t>
  </si>
  <si>
    <t>hostile</t>
  </si>
  <si>
    <t>Hostile</t>
  </si>
  <si>
    <t>Positively identified as enemy; eligible to be engaged.</t>
  </si>
  <si>
    <t>FfoCode_hostile</t>
  </si>
  <si>
    <t>neutral</t>
  </si>
  <si>
    <t>Neutral</t>
  </si>
  <si>
    <t>Characteristics, behaviour, origin or nationality indicate neither supporting or opposing friendly forces.</t>
  </si>
  <si>
    <t>FfoCode_neutral</t>
  </si>
  <si>
    <t>suspect</t>
  </si>
  <si>
    <t>Suspect</t>
  </si>
  <si>
    <t>Potentially hostile because of its characteristics, behaviour, origin or nationality.</t>
  </si>
  <si>
    <t>FfoCode_suspect</t>
  </si>
  <si>
    <t>activists</t>
  </si>
  <si>
    <t>Activists</t>
  </si>
  <si>
    <t>Belonging to a vigorous and sometimes aggressive group pursuing a political or social end.</t>
  </si>
  <si>
    <t>AgaCode_activists</t>
  </si>
  <si>
    <t>criminalSyndicate</t>
  </si>
  <si>
    <t>Criminal Syndicate</t>
  </si>
  <si>
    <t>An affiliation of gangsters in charge of organized criminal activities.</t>
  </si>
  <si>
    <t>AgaCode_criminalSyndicate</t>
  </si>
  <si>
    <t>insurgent</t>
  </si>
  <si>
    <t>Insurgent</t>
  </si>
  <si>
    <t>Persons who rebel or rise in active revolt against authority.</t>
  </si>
  <si>
    <t>AgaCode_insurgent</t>
  </si>
  <si>
    <t>localGang</t>
  </si>
  <si>
    <t>Local Gang</t>
  </si>
  <si>
    <t>An association of criminals that is loosely structured and of local scope.</t>
  </si>
  <si>
    <t>AgaCode_localGang</t>
  </si>
  <si>
    <t>military</t>
  </si>
  <si>
    <t>Military</t>
  </si>
  <si>
    <t>An armed force formed by a government and trained exclusively for the purpose of warfare.</t>
  </si>
  <si>
    <t>AgaCode_military</t>
  </si>
  <si>
    <t>multiNationalAlliance</t>
  </si>
  <si>
    <t>Multi-national Alliance</t>
  </si>
  <si>
    <t>A military coalition or cooperation formed by two or more governments with common goals or interests.</t>
  </si>
  <si>
    <t>AgaCode_multiNationalAlliance</t>
  </si>
  <si>
    <t>nonGovArmedForces</t>
  </si>
  <si>
    <t>Non-government Armed Forces</t>
  </si>
  <si>
    <t>An independent military organization (pseudo-militia) engaged in extremist political activity and aggressive armed tactics and that is not recognized by any official government.</t>
  </si>
  <si>
    <t>AgaCode_nonGovArmedForces</t>
  </si>
  <si>
    <t>nonMilitarySecurityForces</t>
  </si>
  <si>
    <t>Non-military Security Forces</t>
  </si>
  <si>
    <t>Belonging to an official non-military security force (for example police).</t>
  </si>
  <si>
    <t>AgaCode_nonMilitarySecurityForces</t>
  </si>
  <si>
    <t>terroristCell</t>
  </si>
  <si>
    <t>Terrorist Cell</t>
  </si>
  <si>
    <t>Belonging to a violent course of action against government authority through attempted or accomplished systematic and compulsion-based intimidation.</t>
  </si>
  <si>
    <t>AgaCode_terroristCell</t>
  </si>
  <si>
    <t>tribalGroup</t>
  </si>
  <si>
    <t>Tribal Group</t>
  </si>
  <si>
    <t>A homogeneous and, under political or social aspects, an autonomous ethnic group (usually managing its own territory) defined by linguistic and cultural characteristics.</t>
  </si>
  <si>
    <t>AgaCode_tribalGroup</t>
  </si>
  <si>
    <t>barn</t>
  </si>
  <si>
    <t>A farm building that is used to store agricultural crops, livestock and/or machinery.</t>
  </si>
  <si>
    <t>AfcCode_barn</t>
  </si>
  <si>
    <t>farmBuilding</t>
  </si>
  <si>
    <t>Farm Building</t>
  </si>
  <si>
    <t>A building located on a farm.</t>
  </si>
  <si>
    <t>AfcCode_farmBuilding</t>
  </si>
  <si>
    <t>farmhouse</t>
  </si>
  <si>
    <t>Farmhouse</t>
  </si>
  <si>
    <t>A dwelling-house attached to a farm.</t>
  </si>
  <si>
    <t>Usually the chief such dwelling-house.</t>
  </si>
  <si>
    <t>AfcCode_farmhouse</t>
  </si>
  <si>
    <t>greenhouse</t>
  </si>
  <si>
    <t>A building that is often constructed primarily of transparent material (for example: glass or plastic), in which temperature and humidity can be controlled for the cultivation and/or protection of plants.</t>
  </si>
  <si>
    <t>AfcCode_greenhouse</t>
  </si>
  <si>
    <t>marketGarden</t>
  </si>
  <si>
    <t>Market Garden</t>
  </si>
  <si>
    <t>The relatively small-scale agricultural facility for fruits, vegetables and/or flowers as cash crops, frequently sold directly to consumers and restaurants.</t>
  </si>
  <si>
    <t xml:space="preserve"> It is distinguishable from other types of farming by the diversity of crops grown on a small area of land, typically, from under one acre (4,000 square metres) to a few acres, or sometimes in greenhouses.</t>
  </si>
  <si>
    <t>AfcCode_marketGarden</t>
  </si>
  <si>
    <t>outbuilding</t>
  </si>
  <si>
    <t>Outbuilding</t>
  </si>
  <si>
    <t>A relatively small building that is separate from but is located near a main building and whose agricultural use has not been determined.</t>
  </si>
  <si>
    <t>AfcCode_outbuilding</t>
  </si>
  <si>
    <t>shed</t>
  </si>
  <si>
    <t>A small building that usually has one or more open sides.</t>
  </si>
  <si>
    <t>AfcCode_shed</t>
  </si>
  <si>
    <t>stable</t>
  </si>
  <si>
    <t>AfcCode_stable</t>
  </si>
  <si>
    <t>treeNursery</t>
  </si>
  <si>
    <t>Tree Nursery</t>
  </si>
  <si>
    <t>A place, especially a commercial garden, where plants and/or trees are grown and raised for sale or for transplantation.</t>
  </si>
  <si>
    <t>AfcCode_treeNursery</t>
  </si>
  <si>
    <t>borealConiferousForest</t>
  </si>
  <si>
    <t>Boreal Coniferous Forest</t>
  </si>
  <si>
    <t>Characterized by predominant forest use including timber harvest and hunting.</t>
  </si>
  <si>
    <t>AztCode_borealConiferousForest</t>
  </si>
  <si>
    <t>extensiveNomadPastureFarm</t>
  </si>
  <si>
    <t>Extensive Nomadic Pasture Farming</t>
  </si>
  <si>
    <t>Characterized by animal farming in semiarid areas with rather poor and seasonally changing availability of food resulting in a nomadic lifestyle.</t>
  </si>
  <si>
    <t>AztCode_extensiveNomadPastureFarm</t>
  </si>
  <si>
    <t>intensiveGrasslandFarming</t>
  </si>
  <si>
    <t>Intensive Grassland Farming</t>
  </si>
  <si>
    <t>Characterized by animal farming on longeval (for example: prarie) grassland rotation (permanent pasture).</t>
  </si>
  <si>
    <t>AztCode_intensiveGrasslandFarming</t>
  </si>
  <si>
    <t>specializedAgriculture</t>
  </si>
  <si>
    <t>Specialized Agriculture</t>
  </si>
  <si>
    <t>Characterized by specialized farm enterprises with few agricultural products.</t>
  </si>
  <si>
    <t>AztCode_specializedAgriculture</t>
  </si>
  <si>
    <t>stationaryPastureFarming</t>
  </si>
  <si>
    <t>Stationary Pasture Farming</t>
  </si>
  <si>
    <t>Characterized by animal farming (for example: ranching) in semiarid savannas and steppes, often by highly specialized big business farms.</t>
  </si>
  <si>
    <t>AztCode_stationaryPastureFarming</t>
  </si>
  <si>
    <t>subtropicalMixedAgriculture</t>
  </si>
  <si>
    <t>Subtropical Mixed Agriculture</t>
  </si>
  <si>
    <t>Characterized by different land use, animal husbandry and mostly specialized crop cultivation in subtropical climates.</t>
  </si>
  <si>
    <t>AztCode_subtropicalMixedAgriculture</t>
  </si>
  <si>
    <t>temperateMixedAgriculture</t>
  </si>
  <si>
    <t>Temperate Mixed Agriculture</t>
  </si>
  <si>
    <t>Characterized by mixed agricultural and animal farming products in one enterprise in temperate climates.</t>
  </si>
  <si>
    <t>AztCode_temperateMixedAgriculture</t>
  </si>
  <si>
    <t>tropicalMixedAgriculture</t>
  </si>
  <si>
    <t>Tropical Mixed Agriculture</t>
  </si>
  <si>
    <t>Characterized by regular changes of the agricultural areas and removal of the settlements in a tropical climates.</t>
  </si>
  <si>
    <t>AztCode_tropicalMixedAgriculture</t>
  </si>
  <si>
    <t>tropicalRainforestLandRot</t>
  </si>
  <si>
    <t>Tropical Rainforest with Land Rotation</t>
  </si>
  <si>
    <t>Characterized by regular changes of the agricultural areas and constant settlements in a tropical rainforest.</t>
  </si>
  <si>
    <t>AztCode_tropicalRainforestLandRot</t>
  </si>
  <si>
    <t>wetRiceCultivation</t>
  </si>
  <si>
    <t>Wet-rice Cultivation</t>
  </si>
  <si>
    <t>Characterized by wetland cultivaton of rice, subject to available water.</t>
  </si>
  <si>
    <t>AztCode_wetRiceCultivation</t>
  </si>
  <si>
    <t>anchorPattern</t>
  </si>
  <si>
    <t>Anchor Pattern</t>
  </si>
  <si>
    <t>A geographic position or radio navigation fix which determines the segment length of an air refuelling anchor pattern.</t>
  </si>
  <si>
    <t>RpuCode_anchorPattern</t>
  </si>
  <si>
    <t>anchorPoint</t>
  </si>
  <si>
    <t>Anchor Point</t>
  </si>
  <si>
    <t>A geographic position or radio navigation fix upon which an air refuelling anchor pattern is orientated.</t>
  </si>
  <si>
    <t>RpuCode_anchorPoint</t>
  </si>
  <si>
    <t>controlPoint</t>
  </si>
  <si>
    <t>A geographic position or radio navigation fix where a rendezvous between the tanker and receiver is completed prior to refuelling.</t>
  </si>
  <si>
    <t>This may also be a point where the tanker enters the air refuelling anchor pattern or air refuelling track.</t>
  </si>
  <si>
    <t>RpuCode_controlPoint</t>
  </si>
  <si>
    <t>controlPointNato</t>
  </si>
  <si>
    <t>Control Point [NATO]</t>
  </si>
  <si>
    <t>The planned geographic point over which the receiver(s) arrive in the observation/pre-contact position with respect to the assigned tanker.</t>
  </si>
  <si>
    <t>RpuCode_controlPointNato</t>
  </si>
  <si>
    <t>entryPoint</t>
  </si>
  <si>
    <t>Entry Point</t>
  </si>
  <si>
    <t>A geographic position or radio navigation fix where tanker or receiver aircraft may enter the air refuelling anchor pattern area without the assistance of radar.</t>
  </si>
  <si>
    <t>RpuCode_entryPoint</t>
  </si>
  <si>
    <t>exitPoint</t>
  </si>
  <si>
    <t>Exit Point</t>
  </si>
  <si>
    <t>The geographic position or radio navigation fix where the tanker and receiver aircraft may depart the air refuelling anchor pattern after refuelling is completed, or the point at which the air refuelling track terminates.</t>
  </si>
  <si>
    <t>RpuCode_exitPoint</t>
  </si>
  <si>
    <t>initialPoint</t>
  </si>
  <si>
    <t>Initial Point</t>
  </si>
  <si>
    <t>The geographic position or radio navigation fix at which the receiver enters the air refuelling track or anchor, initiates radio contact with the tanker and begins manoeuvre to rendezvous.</t>
  </si>
  <si>
    <t>An initial point is located prior to the air refuelling control point along the flight path.</t>
  </si>
  <si>
    <t>ARIP</t>
  </si>
  <si>
    <t>RpuCode_initialPoint</t>
  </si>
  <si>
    <t>navigationCheckPoint</t>
  </si>
  <si>
    <t>Navigation Check Point</t>
  </si>
  <si>
    <t>A geographic position or radio navigation fix intended to provide a means for adequate navigation for refuelling aircraft and for departure from the track subsequent to refuelling.</t>
  </si>
  <si>
    <t>RpuCode_navigationCheckPoint</t>
  </si>
  <si>
    <t>rendezvousPoint</t>
  </si>
  <si>
    <t>Rendezvous Point</t>
  </si>
  <si>
    <t>A geographic position or radio navigation fix where tanker and receiver are planned to be joined in formation.</t>
  </si>
  <si>
    <t>RpuCode_rendezvousPoint</t>
  </si>
  <si>
    <t>turningPoint</t>
  </si>
  <si>
    <t>Turning Point</t>
  </si>
  <si>
    <t>A point on an air refuelling anchor pattern at which a turn is completed opposite the anchor point or anchor pattern point.</t>
  </si>
  <si>
    <t>RpuCode_turningPoint</t>
  </si>
  <si>
    <t>The geographic octant centered on East.</t>
  </si>
  <si>
    <t>RdiCode_east</t>
  </si>
  <si>
    <t>The geographic octant centered on North.</t>
  </si>
  <si>
    <t>RdiCode_north</t>
  </si>
  <si>
    <t>The geographic octant centered on Northeast.</t>
  </si>
  <si>
    <t>RdiCode_northeast</t>
  </si>
  <si>
    <t>The geographic octant centered on Northwest.</t>
  </si>
  <si>
    <t>RdiCode_northwest</t>
  </si>
  <si>
    <t>The geographic octant centered on South.</t>
  </si>
  <si>
    <t>RdiCode_south</t>
  </si>
  <si>
    <t>The geographic octant centered on Southeast.</t>
  </si>
  <si>
    <t>RdiCode_southeast</t>
  </si>
  <si>
    <t>The geographic octant centered on Southwest.</t>
  </si>
  <si>
    <t>RdiCode_southwest</t>
  </si>
  <si>
    <t>The geographic octant centered on West.</t>
  </si>
  <si>
    <t>RdiCode_west</t>
  </si>
  <si>
    <t>RptCode_anchorPattern</t>
  </si>
  <si>
    <t>Aerial Refuelling Procedure with the shape of both a track and an anchor pattern.</t>
  </si>
  <si>
    <t>RptCode_both</t>
  </si>
  <si>
    <t>track</t>
  </si>
  <si>
    <t>Track</t>
  </si>
  <si>
    <t>RptCode_track</t>
  </si>
  <si>
    <t>(Aeronautical Information Exchange Model (AIXM): 'C')</t>
  </si>
  <si>
    <t>compulsory</t>
  </si>
  <si>
    <t>Compulsory</t>
  </si>
  <si>
    <t>Points on which a report is required to Air Traffic Control when not in radar coverage.</t>
  </si>
  <si>
    <t>RrtCode_compulsory</t>
  </si>
  <si>
    <t>(Aeronautical Information Exchange Model (AIXM): 'N')</t>
  </si>
  <si>
    <t>noReport</t>
  </si>
  <si>
    <t>No Report</t>
  </si>
  <si>
    <t>Points on which a report is never required to Air Traffic Control.</t>
  </si>
  <si>
    <t>RrtCode_noReport</t>
  </si>
  <si>
    <t>(Aeronautical Information Exchange Model (AIXM): 'R')</t>
  </si>
  <si>
    <t>onRequest</t>
  </si>
  <si>
    <t>On Request</t>
  </si>
  <si>
    <t>Points on which a report is not required to Air Traffic Control, unless requested.</t>
  </si>
  <si>
    <t>RrtCode_onRequest</t>
  </si>
  <si>
    <t>advSurfMoveGuidControlSys</t>
  </si>
  <si>
    <t>Advanced Surface Movement Guidance and Control System</t>
  </si>
  <si>
    <t>A system providing routing, guidance and surveillance for the control of aircraft and vehicles to maintain the declared surface movement rate under all weather conditions within the aerodrome visibility operational level (AVOL) while maintaining the required level of safety.</t>
  </si>
  <si>
    <t>ActCode_advSurfMoveGuidControlSys</t>
  </si>
  <si>
    <t>aerodromeControlService</t>
  </si>
  <si>
    <t>Aerodrome Control Service</t>
  </si>
  <si>
    <t>Air traffic control service for aerodrome traffic.</t>
  </si>
  <si>
    <t>ActCode_aerodromeControlService</t>
  </si>
  <si>
    <t>airTrafficAdvisoryService</t>
  </si>
  <si>
    <t>Air Traffic Advisory Service</t>
  </si>
  <si>
    <t>A service provided within advisory airspace to ensure separation, in so far as practical, between aircraft which are operating on IFR flight plans.</t>
  </si>
  <si>
    <t>ADVS</t>
  </si>
  <si>
    <t>ActCode_airTrafficAdvisoryService</t>
  </si>
  <si>
    <t>airportAdvisoryService</t>
  </si>
  <si>
    <t>Airport Advisory Service</t>
  </si>
  <si>
    <t>A service provided at airports without an operating control tower that have certified automated weather reporting via voice capability.</t>
  </si>
  <si>
    <t>ASS</t>
  </si>
  <si>
    <t>ActCode_airportAdvisoryService</t>
  </si>
  <si>
    <t>alertingService</t>
  </si>
  <si>
    <t>Alerting Service</t>
  </si>
  <si>
    <t>A service provided to notify appropriate organizations regarding aircraft in need of search and rescue aid, and assist such organizations as required.</t>
  </si>
  <si>
    <t>ActCode_alertingService</t>
  </si>
  <si>
    <t>approachControlService</t>
  </si>
  <si>
    <t>Approach Control Service</t>
  </si>
  <si>
    <t>Air traffic control service for arriving or departing controlled flights.</t>
  </si>
  <si>
    <t>ActCode_approachControlService</t>
  </si>
  <si>
    <t>areaControlService</t>
  </si>
  <si>
    <t>Area Control Service</t>
  </si>
  <si>
    <t>Air traffic control service for controlled flights in control areas.</t>
  </si>
  <si>
    <t>ACS, ARTCC, ACC, Center</t>
  </si>
  <si>
    <t>ActCode_areaControlService</t>
  </si>
  <si>
    <t>arrivalControlService</t>
  </si>
  <si>
    <t>Arrival Control Service</t>
  </si>
  <si>
    <t>Air traffic control service for only arriving controlled flights.</t>
  </si>
  <si>
    <t>ActCode_arrivalControlService</t>
  </si>
  <si>
    <t>commonTraffAdviseFreqServ</t>
  </si>
  <si>
    <t>Common Traffic Advisory Frequency Service (CTAF)</t>
  </si>
  <si>
    <t>A frequency designed for the purpose of carrying out airport advisory practices while operating to or from an airport without an operating control tower.</t>
  </si>
  <si>
    <t>The CTAF may be a UNICOM, Multicom, FSS, or tower frequency and is identified in appropriate aeronautical publications.</t>
  </si>
  <si>
    <t>ActCode_commonTraffAdviseFreqServ</t>
  </si>
  <si>
    <t>departureControlService</t>
  </si>
  <si>
    <t>Departure Control Service</t>
  </si>
  <si>
    <t>Air traffic control service for only departing controlled flights.</t>
  </si>
  <si>
    <t>ActCode_departureControlService</t>
  </si>
  <si>
    <t>lowAltitudeRadarService</t>
  </si>
  <si>
    <t>Low Altitude Radar Service (LARS)</t>
  </si>
  <si>
    <t>A radar advisory service supplied to aircraft flying at low altitude outside controlled airspace in order to facilitate safe navigation and separation from other aircraft and protected airspace.</t>
  </si>
  <si>
    <t>LARS makes use of existing civil and military radar units to provide integrated coverage within radar and radio range of the units. LARS is not available in all countries; where LARS is available, complete coverage may not be available.</t>
  </si>
  <si>
    <t>LARS</t>
  </si>
  <si>
    <t>ActCode_lowAltitudeRadarService</t>
  </si>
  <si>
    <t>oceanicAreaControlService</t>
  </si>
  <si>
    <t>Oceanic Area Control Service</t>
  </si>
  <si>
    <t>Air traffic control service for controlled flights in areas over oceans.</t>
  </si>
  <si>
    <t>OACS</t>
  </si>
  <si>
    <t>ActCode_oceanicAreaControlService</t>
  </si>
  <si>
    <t>terminalControlService</t>
  </si>
  <si>
    <t>Terminal Control Service</t>
  </si>
  <si>
    <t>A control service provided by area control centres (ACC) and terminal control units (TCU) to aircraft operating within specified control areas.</t>
  </si>
  <si>
    <t>ActCode_terminalControlService</t>
  </si>
  <si>
    <t>terminalRadarService</t>
  </si>
  <si>
    <t>Terminal Radar Service</t>
  </si>
  <si>
    <t>A US national program instituted to extend the terminal radar services provided instrument flight rules (IFR) aircraft to visual flight rules (VFR) aircraft.</t>
  </si>
  <si>
    <t>The program is divided into four types service referred to as: basic radar service, terminal radar service area (TRSA) service, Class B service, and Class C service.</t>
  </si>
  <si>
    <t>ActCode_terminalRadarService</t>
  </si>
  <si>
    <t>upperAreaControlService</t>
  </si>
  <si>
    <t>Upper Area Control Service</t>
  </si>
  <si>
    <t>Air traffic control service for flights in upper control areas.</t>
  </si>
  <si>
    <t>ActCode_upperAreaControlService</t>
  </si>
  <si>
    <t>airTrafficFlowManageServ</t>
  </si>
  <si>
    <t>Air Traffic Flow Management Service</t>
  </si>
  <si>
    <t>A service established with the objective of contributing to a safe, orderly and expeditious flow of air traffic by ensuring that ATC capacity is utilized to the maximum extent possible and that the traffic volume is compatible with the capacities declared by the appropriate ATS authority.</t>
  </si>
  <si>
    <t>ATFM</t>
  </si>
  <si>
    <t>AmtCode_airTrafficFlowManageServ</t>
  </si>
  <si>
    <t>clearance</t>
  </si>
  <si>
    <t>Clearance</t>
  </si>
  <si>
    <t>A service providing permissions (for example: entry, landing, overflying, exit) for a given location.</t>
  </si>
  <si>
    <t>AmtCode_clearance</t>
  </si>
  <si>
    <t>flightPlanningService</t>
  </si>
  <si>
    <t>Flight Planning Service</t>
  </si>
  <si>
    <t>A service that provides flight plan acceptance and distribution to the ATC units concerned.</t>
  </si>
  <si>
    <t>AmtCode_flightPlanningService</t>
  </si>
  <si>
    <t>flightPlanningValidServ</t>
  </si>
  <si>
    <t>Flight Planning Validation Service</t>
  </si>
  <si>
    <t>A service that provides flight plan validation before acceptance and distribution to the ATC units concerned.</t>
  </si>
  <si>
    <t>AmtCode_flightPlanningValidServ</t>
  </si>
  <si>
    <t>scheduling</t>
  </si>
  <si>
    <t>Scheduling</t>
  </si>
  <si>
    <t>Scheduling and slot allocation service for aerodrome and flight routes.</t>
  </si>
  <si>
    <t>AmtCode_scheduling</t>
  </si>
  <si>
    <t>civil</t>
  </si>
  <si>
    <t>Civil</t>
  </si>
  <si>
    <t>A flight not conducted by the military.</t>
  </si>
  <si>
    <t>AtvCode_civil</t>
  </si>
  <si>
    <t>instrumentFlightRules</t>
  </si>
  <si>
    <t>Instrument Flight Rules (IFR)</t>
  </si>
  <si>
    <t>A flight conducted in accordance with the instrument flight rules.</t>
  </si>
  <si>
    <t>AtvCode_instrumentFlightRules</t>
  </si>
  <si>
    <t>A flight that departs from one country and arrives in another country.</t>
  </si>
  <si>
    <t>AtvCode_international</t>
  </si>
  <si>
    <t>A flight conducted by Armed Forces of a nation or State.</t>
  </si>
  <si>
    <t>AtvCode_military</t>
  </si>
  <si>
    <t>A flight that begins and ends in the same country.</t>
  </si>
  <si>
    <t>Domestic</t>
  </si>
  <si>
    <t>AtvCode_national</t>
  </si>
  <si>
    <t>nonScheduled</t>
  </si>
  <si>
    <t>Non-scheduled</t>
  </si>
  <si>
    <t>Charter or Special flights not published in a regular timetable.</t>
  </si>
  <si>
    <t>AtvCode_nonScheduled</t>
  </si>
  <si>
    <t>A flight operated by an individual or corporation, rather than a State or a public body.</t>
  </si>
  <si>
    <t>AtvCode_private</t>
  </si>
  <si>
    <t>scheduled</t>
  </si>
  <si>
    <t>Scheduled</t>
  </si>
  <si>
    <t>A flight that takes place in accordance with an airlines published regular timetable, as opposed to a charter flight or special flight.</t>
  </si>
  <si>
    <t>AtvCode_scheduled</t>
  </si>
  <si>
    <t>visualFlightRules</t>
  </si>
  <si>
    <t>Visual Flight Rules (VFR)</t>
  </si>
  <si>
    <t>A flight conducted in accordance with the visual flight rules.</t>
  </si>
  <si>
    <t>AtvCode_visualFlightRules</t>
  </si>
  <si>
    <t>The airway is used as an alternate airway for backup purposes.</t>
  </si>
  <si>
    <t>RsvCode_alternate</t>
  </si>
  <si>
    <t>Route segment is not available for use.</t>
  </si>
  <si>
    <t>RsvCode_closed</t>
  </si>
  <si>
    <t>(Aeronautical Information Exchange Model (AIXM): 'CDR1')</t>
  </si>
  <si>
    <t>conditionalRouteType1</t>
  </si>
  <si>
    <t>Conditional Route Type 1</t>
  </si>
  <si>
    <t>Permanently plannable Conditional Route (CDR) during the times published in AIPs.</t>
  </si>
  <si>
    <t>Available most of the times, not available on specific conditions (for example: activation of a military training zone).</t>
  </si>
  <si>
    <t>RsvCode_conditionalRouteType1</t>
  </si>
  <si>
    <t>(Aeronautical Information Exchange Model (AIXM): 'CDR2')</t>
  </si>
  <si>
    <t>conditionalRouteType2</t>
  </si>
  <si>
    <t>Conditional Route Type 2</t>
  </si>
  <si>
    <t>Non-permanently plannable Conditional Route (CDR).</t>
  </si>
  <si>
    <t>Available on specific conditions such as facilitating traffic flow and increasing ATC capacity.</t>
  </si>
  <si>
    <t>RsvCode_conditionalRouteType2</t>
  </si>
  <si>
    <t>(Aeronautical Information Exchange Model (AIXM): 'CDR3')</t>
  </si>
  <si>
    <t>conditionalRouteType3</t>
  </si>
  <si>
    <t>Conditional Route Type 3</t>
  </si>
  <si>
    <t>Not plannable Conditional Route (CDR).</t>
  </si>
  <si>
    <t>Available on short notice, useable only on ATC instructions.</t>
  </si>
  <si>
    <t>RsvCode_conditionalRouteType3</t>
  </si>
  <si>
    <t>The route segment is always available for use.</t>
  </si>
  <si>
    <t>RsvCode_open</t>
  </si>
  <si>
    <t>The airway is used on a seasonal basis.</t>
  </si>
  <si>
    <t>RsvCode_seasonal</t>
  </si>
  <si>
    <t>(Aeronautical Information Exchange Model (AIXM): 'SPEC')</t>
  </si>
  <si>
    <t>specialUse</t>
  </si>
  <si>
    <t>Special Use</t>
  </si>
  <si>
    <t>A special condition exists and should be explained in a free text annotation.</t>
  </si>
  <si>
    <t>This value is needed as long as 'special' types of routes exist. For example: routes which are closed during some time periods, but still may be used for landings on a specified aerodrome; flights that may be performed below the minimum level of the route in special circumstances.</t>
  </si>
  <si>
    <t>RsvCode_specialUse</t>
  </si>
  <si>
    <t>(Aeronautical Information Exchange Model (AIXM): 'NONFUA')</t>
  </si>
  <si>
    <t>timetable</t>
  </si>
  <si>
    <t>Timetable</t>
  </si>
  <si>
    <t>The route segment should be flown only according to its own timetable.</t>
  </si>
  <si>
    <t>RsvCode_timetable</t>
  </si>
  <si>
    <t>(Aeronautical Information Exchange Model (AIXM): 'ABE')</t>
  </si>
  <si>
    <t>arcByEdge</t>
  </si>
  <si>
    <t>Arc by Edge</t>
  </si>
  <si>
    <t>A three point arc.</t>
  </si>
  <si>
    <t>ArpCode_arcByEdge</t>
  </si>
  <si>
    <t>(Aeronautical Information Exchange Model (AIXM): 'CWA')</t>
  </si>
  <si>
    <t>clockwiseArc</t>
  </si>
  <si>
    <t>Clockwise Arc</t>
  </si>
  <si>
    <t>An arc designed in a clockwise direction.</t>
  </si>
  <si>
    <t>ArpCode_clockwiseArc</t>
  </si>
  <si>
    <t>(Aeronautical Information Exchange Model (AIXM): 'CCA')</t>
  </si>
  <si>
    <t>counterClockwiseArc</t>
  </si>
  <si>
    <t>Counter Clockwise Arc</t>
  </si>
  <si>
    <t>An arc designed in a counter-clockwise direction.</t>
  </si>
  <si>
    <t>ArpCode_counterClockwiseArc</t>
  </si>
  <si>
    <t>(Aeronautical Information Exchange Model (AIXM): 'GDS')</t>
  </si>
  <si>
    <t>geodesic</t>
  </si>
  <si>
    <t>Geodesic</t>
  </si>
  <si>
    <t>The shortest path between any two points on a mathematically defined ellipsoidal surface.</t>
  </si>
  <si>
    <t>ArpCode_geodesic</t>
  </si>
  <si>
    <t>(Aeronautical Information Exchange Model (AIXM): 'FNT')</t>
  </si>
  <si>
    <t>geoBorderVertices</t>
  </si>
  <si>
    <t>Geographical Border Vertices</t>
  </si>
  <si>
    <t>The path that follows the border of a state.</t>
  </si>
  <si>
    <t>ArpCode_geoBorderVertices</t>
  </si>
  <si>
    <t>(Aeronautical Information Exchange Model (AIXM): 'GRC')</t>
  </si>
  <si>
    <t>greatCircle</t>
  </si>
  <si>
    <t>Great Circle</t>
  </si>
  <si>
    <t>The shortest path between any two points on the surface of a sphere.</t>
  </si>
  <si>
    <t>ArpCode_greatCircle</t>
  </si>
  <si>
    <t>(Aeronautical Information Exchange Model (AIXM): 'RHL')</t>
  </si>
  <si>
    <t>rhumbline</t>
  </si>
  <si>
    <t>Rhumbline</t>
  </si>
  <si>
    <t>A rhumbline is a line following a constant angle of the compass (that is, a line of constant direction).</t>
  </si>
  <si>
    <t>ArpCode_rhumbline</t>
  </si>
  <si>
    <t>(Aeronautical Information Exchange Model (AIXM): 'B')</t>
  </si>
  <si>
    <t>backward</t>
  </si>
  <si>
    <t>Backward</t>
  </si>
  <si>
    <t>The direction from the end point to the start point.</t>
  </si>
  <si>
    <t>RsxCode_backward</t>
  </si>
  <si>
    <t>Route segment usage can be both forward and backward.</t>
  </si>
  <si>
    <t>RsxCode_both</t>
  </si>
  <si>
    <t>(Aeronautical Information Exchange Model (AIXM): 'F')</t>
  </si>
  <si>
    <t>forward</t>
  </si>
  <si>
    <t>Forward</t>
  </si>
  <si>
    <t>The direction from the start point to the end point.</t>
  </si>
  <si>
    <t>RsxCode_forward</t>
  </si>
  <si>
    <t>(Aeronautical Information Exchange Model (AIXM): 'ADV')</t>
  </si>
  <si>
    <t>advisoryRoute</t>
  </si>
  <si>
    <t>Advisory Route</t>
  </si>
  <si>
    <t>An ATS designated route along which air traffic advisory service is available.</t>
  </si>
  <si>
    <t>AryCode_advisoryRoute</t>
  </si>
  <si>
    <t>(Aeronautical Information Exchange Model (AIXM): 'RNAV')</t>
  </si>
  <si>
    <t>areaNavigationRoute</t>
  </si>
  <si>
    <t>Area Navigation Route (RNAV)</t>
  </si>
  <si>
    <t>An ATS route established for the use of aircraft capable of employing area navigation.</t>
  </si>
  <si>
    <t>Area Navigation is a method of navigation which permits aircraft operation on any desired flight path within the coverage of station-referenced navigation aids or within the limits of the capability of self-contained aids, or a combination of these.</t>
  </si>
  <si>
    <t>AryCode_areaNavigationRoute</t>
  </si>
  <si>
    <t>(Aeronautical Information Exchange Model (AIXM): 'CONV')</t>
  </si>
  <si>
    <t>conventionalRoute</t>
  </si>
  <si>
    <t>Conventional Route</t>
  </si>
  <si>
    <t>An ATS route defined by conventional radio navigational aids (non area navigation).</t>
  </si>
  <si>
    <t>Examples of conventional radio navigation aids include: VOR, NDB, and TACAN.</t>
  </si>
  <si>
    <t>AryCode_conventionalRoute</t>
  </si>
  <si>
    <t>corridorRoute</t>
  </si>
  <si>
    <t>Corridor Route</t>
  </si>
  <si>
    <t>An ATS route providing the main routings through critical areas which will be accessible to aircraft regardless of point of departure but at the same time will prevent aircraft criss-crossing the main routes and/or airspace.</t>
  </si>
  <si>
    <t>AryCode_corridorRoute</t>
  </si>
  <si>
    <t>(Aeronautical Information Exchange Model (AIXM): 'DCTATS')</t>
  </si>
  <si>
    <t>direct</t>
  </si>
  <si>
    <t>Direct</t>
  </si>
  <si>
    <t>A charted track allowing direct flight between two navigational aids, fixes, point or any combination thereof.</t>
  </si>
  <si>
    <t>AryCode_direct</t>
  </si>
  <si>
    <t>helicopterRoute</t>
  </si>
  <si>
    <t>Helicopter Route</t>
  </si>
  <si>
    <t>A low level route established for use primarily by helicopters.</t>
  </si>
  <si>
    <t>Kopter Route, Copter Route</t>
  </si>
  <si>
    <t>AryCode_helicopterRoute</t>
  </si>
  <si>
    <t>militaryRoute</t>
  </si>
  <si>
    <t>Military Route</t>
  </si>
  <si>
    <t>A route designated primarily for military purposes.</t>
  </si>
  <si>
    <t>AryCode_militaryRoute</t>
  </si>
  <si>
    <t>visualRoute</t>
  </si>
  <si>
    <t>Visual Route</t>
  </si>
  <si>
    <t>A route that has been established for use by aircraft operating in accordance with the Visual Flight Rules (VFR).</t>
  </si>
  <si>
    <t>AryCode_visualRoute</t>
  </si>
  <si>
    <t>(Aeronautical Information Exchange Model (AIXM): 'A')</t>
  </si>
  <si>
    <t>categoryA</t>
  </si>
  <si>
    <t>Category A</t>
  </si>
  <si>
    <t>Less than 169 kilometres/hour (91 knots) Indicated Air Speed (IAS).</t>
  </si>
  <si>
    <t>AacCode_categoryA</t>
  </si>
  <si>
    <t>categoryB</t>
  </si>
  <si>
    <t>Category B</t>
  </si>
  <si>
    <t>169 kilometres/hour (91 knots) or more but less than 224 kilometres/hour (121 knots) Indicated Air Speed (IAS).</t>
  </si>
  <si>
    <t>AacCode_categoryB</t>
  </si>
  <si>
    <t>categoryC</t>
  </si>
  <si>
    <t>Category C</t>
  </si>
  <si>
    <t>224 kilometres/hour (121 knots) or more but less than 261 kilometres/hour (141 knots) Indicated Air Speed (IAS).</t>
  </si>
  <si>
    <t>AacCode_categoryC</t>
  </si>
  <si>
    <t>(Aeronautical Information Exchange Model (AIXM): 'D')</t>
  </si>
  <si>
    <t>categoryD</t>
  </si>
  <si>
    <t>Category D</t>
  </si>
  <si>
    <t>261 kilometres/hour (141 knots) or more but less than 307 kilometres/hour (166 knots) Indicated Air Speed (IAS).</t>
  </si>
  <si>
    <t>AacCode_categoryD</t>
  </si>
  <si>
    <t>(Aeronautical Information Exchange Model (AIXM): 'E')</t>
  </si>
  <si>
    <t>categoryE</t>
  </si>
  <si>
    <t>Category E</t>
  </si>
  <si>
    <t>307 kilometres/hour (166 knots) Indicated Air Speed (IAS) or more.</t>
  </si>
  <si>
    <t>ICAO specifies an upper limit of 390 kilometres/hour (211 knots) Indicated Air Speed (IAS).</t>
  </si>
  <si>
    <t>AacCode_categoryE</t>
  </si>
  <si>
    <t>(Aeronautical Information Exchange Model (AIXM): 'H')</t>
  </si>
  <si>
    <t>categoryH</t>
  </si>
  <si>
    <t>Category H</t>
  </si>
  <si>
    <t>Helicopter only.</t>
  </si>
  <si>
    <t>The stall speed method of calculating aircraft category does not apply.</t>
  </si>
  <si>
    <t>AacCode_categoryH</t>
  </si>
  <si>
    <t>milA_8243</t>
  </si>
  <si>
    <t>MIL-A-8243</t>
  </si>
  <si>
    <t>Anti-Icing/De-Icing/Defrosting fluid.</t>
  </si>
  <si>
    <t>AdfCode_milA_8243</t>
  </si>
  <si>
    <t>pressurizedAir</t>
  </si>
  <si>
    <t>Pressurized Air</t>
  </si>
  <si>
    <t>Air compressors rated 3000 psi or higher used to blow contaminants off aircraft surfaces.</t>
  </si>
  <si>
    <t>AdfCode_pressurizedAir</t>
  </si>
  <si>
    <t>s_1745</t>
  </si>
  <si>
    <t>S-1745</t>
  </si>
  <si>
    <t>Inhibitor, icing, fuel system.</t>
  </si>
  <si>
    <t>AdfCode_s_1745</t>
  </si>
  <si>
    <t>s_745</t>
  </si>
  <si>
    <t>S-745</t>
  </si>
  <si>
    <t>Deicing/Defrosting Fluid.</t>
  </si>
  <si>
    <t>AdfCode_s_745</t>
  </si>
  <si>
    <t>s_747</t>
  </si>
  <si>
    <t>S-747</t>
  </si>
  <si>
    <t>Methanol, reagent grade.</t>
  </si>
  <si>
    <t>AdfCode_s_747</t>
  </si>
  <si>
    <t>tl_6850_0010</t>
  </si>
  <si>
    <t>TL 6850-0010</t>
  </si>
  <si>
    <t>Anti-freeze Aircraft Engine.</t>
  </si>
  <si>
    <t>AdfCode_tl_6850_0010</t>
  </si>
  <si>
    <t>tl_6850_0043</t>
  </si>
  <si>
    <t>TL 6850-0043</t>
  </si>
  <si>
    <t>De-icing and Anti-icing Fluid (Type II).</t>
  </si>
  <si>
    <t>AdfCode_tl_6850_0043</t>
  </si>
  <si>
    <t>ma1</t>
  </si>
  <si>
    <t>A stationary unit, located at a designated refuelling position on an aerodrome surface, in which fuel is pumped into the aircraft via a hose and nozzle.</t>
  </si>
  <si>
    <t>A stationary fuelling unit has a filtering mechanism in which contaminants such as water are separated from fuel.</t>
  </si>
  <si>
    <t>FryCode_ma1</t>
  </si>
  <si>
    <t>mh</t>
  </si>
  <si>
    <t>MH2</t>
  </si>
  <si>
    <t>A trailer which has a fuel tank and dispenser, designed to be towed to the aircraft for purposes of refuelling.</t>
  </si>
  <si>
    <t>FryCode_mh</t>
  </si>
  <si>
    <t>t4</t>
  </si>
  <si>
    <t>T4</t>
  </si>
  <si>
    <t>A hose cart or truck which is used to connect a stationary fueling port to an aircraft.</t>
  </si>
  <si>
    <t>FryCode_t4</t>
  </si>
  <si>
    <t>overWing</t>
  </si>
  <si>
    <t>Over-wing</t>
  </si>
  <si>
    <t>Infrastructure and/or equipment are available to enable refuelling of aircraft whose fuel tank access is located on the top side of the wing.</t>
  </si>
  <si>
    <t>AfiCode_overWing</t>
  </si>
  <si>
    <t>overWingDrums</t>
  </si>
  <si>
    <t>Over-wing from drums</t>
  </si>
  <si>
    <t>A standard fuel drum or set of fuel drums and associated infrastructure and/or equipment are available to refuel an aircraft whose fuel tank access is located on the top side of the wing.</t>
  </si>
  <si>
    <t>AfiCode_overWingDrums</t>
  </si>
  <si>
    <t>underWing</t>
  </si>
  <si>
    <t>Under-wing</t>
  </si>
  <si>
    <t>Infrastructure and/or equipment are available to enable refuelling of aircraft whose fuel tank access is located on the underside of the wing.</t>
  </si>
  <si>
    <t>AfiCode_underWing</t>
  </si>
  <si>
    <t>aircraftDeIcing</t>
  </si>
  <si>
    <t>Aircraft De-icing</t>
  </si>
  <si>
    <t>The availability of services and fluids to remove ice, snow, slush or frost from aircraft surfaces.</t>
  </si>
  <si>
    <t>AgsCode_aircraftDeIcing</t>
  </si>
  <si>
    <t>aircraftHandling</t>
  </si>
  <si>
    <t>Aircraft Handling</t>
  </si>
  <si>
    <t>The availability of services to organize and provide ground support for aircraft and flight crew.</t>
  </si>
  <si>
    <t>For example: catering, aircraft cleaning, ground transportation, and lavatory service.</t>
  </si>
  <si>
    <t>AgsCode_aircraftHandling</t>
  </si>
  <si>
    <t>aircraftHangaring</t>
  </si>
  <si>
    <t>Aircraft Hangaring</t>
  </si>
  <si>
    <t>The availability of shelter and/or indoor storage for aircraft.</t>
  </si>
  <si>
    <t>AgsCode_aircraftHangaring</t>
  </si>
  <si>
    <t>aircraftMaintenance</t>
  </si>
  <si>
    <t>Aircraft Maintenance</t>
  </si>
  <si>
    <t>The availability of services of routine maintenance and inspection of aircraft.</t>
  </si>
  <si>
    <t>AgsCode_aircraftMaintenance</t>
  </si>
  <si>
    <t>aircraftRemoval</t>
  </si>
  <si>
    <t>Aircraft Removal</t>
  </si>
  <si>
    <t>The availability of services for the removal of disabled or damaged aircraft.</t>
  </si>
  <si>
    <t>AgsCode_aircraftRemoval</t>
  </si>
  <si>
    <t>aircraftRepair</t>
  </si>
  <si>
    <t>Aircraft Repair</t>
  </si>
  <si>
    <t>The availability of services to perform repairs to aircraft.</t>
  </si>
  <si>
    <t>AgsCode_aircraftRepair</t>
  </si>
  <si>
    <t>cargoHandling</t>
  </si>
  <si>
    <t>Cargo Handling</t>
  </si>
  <si>
    <t>The availability of services to organize and provide ground support for aircraft cargo.</t>
  </si>
  <si>
    <t>AgsCode_cargoHandling</t>
  </si>
  <si>
    <t>security</t>
  </si>
  <si>
    <t>Security</t>
  </si>
  <si>
    <t>The availability of services to guard against acts of unlawful interference at the aerodrome.</t>
  </si>
  <si>
    <t>AgsCode_security</t>
  </si>
  <si>
    <t>calibratedAirspeed</t>
  </si>
  <si>
    <t>Calibrated Airspeed</t>
  </si>
  <si>
    <t>The calibrated airspeed is equal to the airspeed indicator reading corrected for position and instrument error.</t>
  </si>
  <si>
    <t>AsrCode_calibratedAirspeed</t>
  </si>
  <si>
    <t>equivalentAirspeed</t>
  </si>
  <si>
    <t>Equivalent Airspeed</t>
  </si>
  <si>
    <t>The airspeed at sea level that would produce the same incompressible dynamic pressure as the true airspeed at the altitude at which the aircraft is flying.</t>
  </si>
  <si>
    <t>AsrCode_equivalentAirspeed</t>
  </si>
  <si>
    <t>groundSpeed</t>
  </si>
  <si>
    <t>Ground Speed</t>
  </si>
  <si>
    <t>The speed of an aircraft relative to the surface of the earth.</t>
  </si>
  <si>
    <t>AsrCode_groundSpeed</t>
  </si>
  <si>
    <t>indicatedAirspeed</t>
  </si>
  <si>
    <t>Indicated Airspeed</t>
  </si>
  <si>
    <t>The speed of an aircraft as shown on its pitot static airspeed indicator calibrated to reflect standard atmosphere adiabatic compressible flow at sea level uncorrected for airspeed system errors.</t>
  </si>
  <si>
    <t>AsrCode_indicatedAirspeed</t>
  </si>
  <si>
    <t>trueAirspeed</t>
  </si>
  <si>
    <t>True Airspeed</t>
  </si>
  <si>
    <t>The speed of the aircraft relative to undisturbed air.</t>
  </si>
  <si>
    <t>AsrCode_trueAirspeed</t>
  </si>
  <si>
    <t>(Aeronautical Information Exchange Model (AIXM): 'ANG-NI')</t>
  </si>
  <si>
    <t>angledNoseIn</t>
  </si>
  <si>
    <t>Angled Nose-in</t>
  </si>
  <si>
    <t>Angled nose-in parking position.</t>
  </si>
  <si>
    <t>SatCode_angledNoseIn</t>
  </si>
  <si>
    <t>(Aeronautical Information Exchange Model (AIXM): 'ANG-NO')</t>
  </si>
  <si>
    <t>angledNoseOut</t>
  </si>
  <si>
    <t>Angled Nose-out</t>
  </si>
  <si>
    <t>Angled nose-out parking position.</t>
  </si>
  <si>
    <t>SatCode_angledNoseOut</t>
  </si>
  <si>
    <t>(Aeronautical Information Exchange Model (AIXM): 'ISOL')</t>
  </si>
  <si>
    <t>isolated</t>
  </si>
  <si>
    <t>Isolated</t>
  </si>
  <si>
    <t>Isolated parking position.</t>
  </si>
  <si>
    <t>SatCode_isolated</t>
  </si>
  <si>
    <t>(Aeronautical Information Exchange Model (AIXM): 'NI')</t>
  </si>
  <si>
    <t>noseIn</t>
  </si>
  <si>
    <t>Nose-in</t>
  </si>
  <si>
    <t>Nose-in parking position.</t>
  </si>
  <si>
    <t>SatCode_noseIn</t>
  </si>
  <si>
    <t>(Aeronautical Information Exchange Model (AIXM): 'PAR')</t>
  </si>
  <si>
    <t>parallel</t>
  </si>
  <si>
    <t>Parallel</t>
  </si>
  <si>
    <t>Parallel (to building) parking position.</t>
  </si>
  <si>
    <t>SatCode_parallel</t>
  </si>
  <si>
    <t>(Aeronautical Information Exchange Model (AIXM): 'RMT')</t>
  </si>
  <si>
    <t>remote</t>
  </si>
  <si>
    <t>Remote</t>
  </si>
  <si>
    <t>Remote parking position.</t>
  </si>
  <si>
    <t>SatCode_remote</t>
  </si>
  <si>
    <t>fixedWingAircraft</t>
  </si>
  <si>
    <t>Fixed Wing Aircraft</t>
  </si>
  <si>
    <t>A type of vehicle which is able to fly by being supported in the air using one of more fixed engines and fixed wing surfaces.</t>
  </si>
  <si>
    <t>XaaCode_fixedWingAircraft</t>
  </si>
  <si>
    <t>helicopter</t>
  </si>
  <si>
    <t>Helicopter</t>
  </si>
  <si>
    <t>Aircraft capable of flight having rotor blades, which revolve around a mast that produce lift.</t>
  </si>
  <si>
    <t>XaaCode_helicopter</t>
  </si>
  <si>
    <t>Runways are greater than or equal to 910 metres in length and hard-surfaced.</t>
  </si>
  <si>
    <t>FptCode_major</t>
  </si>
  <si>
    <t>Runways are either less than 910 metres in length or are soft-surfaced.</t>
  </si>
  <si>
    <t>FptCode_minor</t>
  </si>
  <si>
    <t>minorAndHard</t>
  </si>
  <si>
    <t>Minor and Hard</t>
  </si>
  <si>
    <t>Runways are less than 910 metres in length and hard-surfaced.</t>
  </si>
  <si>
    <t>FptCode_minorAndHard</t>
  </si>
  <si>
    <t>minorSoft</t>
  </si>
  <si>
    <t>Minor and Soft</t>
  </si>
  <si>
    <t>Runways are soft-surfaced.</t>
  </si>
  <si>
    <t>FptCode_minorSoft</t>
  </si>
  <si>
    <t>airship</t>
  </si>
  <si>
    <t>Airship Airfield</t>
  </si>
  <si>
    <t>An airfield intended for the takeoff and landing of airships.</t>
  </si>
  <si>
    <t>AptCode_airship</t>
  </si>
  <si>
    <t>balloonSite</t>
  </si>
  <si>
    <t>Balloon Site</t>
  </si>
  <si>
    <t>A site designated for the takeoff of balloons.</t>
  </si>
  <si>
    <t>AptCode_balloonSite</t>
  </si>
  <si>
    <t>An aerodrome that has been reserved for emergency purposes, such as landing of distressed aircraft, landing of hazardous aircraft, or military operations during time of exercise or conflict.</t>
  </si>
  <si>
    <t>AptCode_emergency</t>
  </si>
  <si>
    <t>generalAviatAircraftOper</t>
  </si>
  <si>
    <t>General Aviation Aircraft Operating Only</t>
  </si>
  <si>
    <t>An aerodrome that has the necessary equipment for the takeoff, landing, maintenance, and storage needs of general aviation (sometimes referred to as 'light') aircraft.</t>
  </si>
  <si>
    <t>AptCode_generalAviatAircraftOper</t>
  </si>
  <si>
    <t>gliderSite</t>
  </si>
  <si>
    <t>Glider Site</t>
  </si>
  <si>
    <t>An aerodrome that has the necessary equipment for the launch, landing, maintenance, and storage of manned gliders.</t>
  </si>
  <si>
    <t>AptCode_gliderSite</t>
  </si>
  <si>
    <t>hangGliderSite</t>
  </si>
  <si>
    <t>Hang Glider Site</t>
  </si>
  <si>
    <t>An aerodrome that is specifically designed to accommodate the special takeoff, landing, maintenance, and storage needs of hang glider type aircraft.</t>
  </si>
  <si>
    <t>AptCode_hangGliderSite</t>
  </si>
  <si>
    <t>helicopterSite</t>
  </si>
  <si>
    <t>Helicopter Site</t>
  </si>
  <si>
    <t>AptCode_helicopterSite</t>
  </si>
  <si>
    <t>majorAirfield</t>
  </si>
  <si>
    <t>Major Airfield</t>
  </si>
  <si>
    <t>An aerodrome that has the facilities, equipment, and services to support the operations of large commercial aircraft.</t>
  </si>
  <si>
    <t>AptCode_majorAirfield</t>
  </si>
  <si>
    <t>minorAirfield</t>
  </si>
  <si>
    <t>Minor Airfield</t>
  </si>
  <si>
    <t>An aerodrome that has the facilities, equipment, and services to support the operations of mid-sized regional type aircraft or general aviation aircraft.</t>
  </si>
  <si>
    <t>AptCode_minorAirfield</t>
  </si>
  <si>
    <t>parascendingSite</t>
  </si>
  <si>
    <t>Parascending Site</t>
  </si>
  <si>
    <t>An aerodrome that is specifically designed to accommodate the special takeoff, landing, maintenance, and storage needs of parasailing aircraft or individuals engaged in parascending sport.</t>
  </si>
  <si>
    <t>AptCode_parascendingSite</t>
  </si>
  <si>
    <t>seaplaneBase</t>
  </si>
  <si>
    <t>Seaplane Base</t>
  </si>
  <si>
    <t>AptCode_seaplaneBase</t>
  </si>
  <si>
    <t>searchRescue</t>
  </si>
  <si>
    <t>Search and Rescue Airfield</t>
  </si>
  <si>
    <t>An airfield that is equipped with search and rescue aircraft and facilities.</t>
  </si>
  <si>
    <t>AptCode_searchRescue</t>
  </si>
  <si>
    <t>ultralightSite</t>
  </si>
  <si>
    <t>Ultralight Site</t>
  </si>
  <si>
    <t>An aerodrome specifically designed to accommodate the special takeoff, landing, maintenance, and storage needs of a microlight- or ultralight-class aircraft.</t>
  </si>
  <si>
    <t>AptCode_ultralightSite</t>
  </si>
  <si>
    <t>undefinedLandingArea</t>
  </si>
  <si>
    <t>Undefined Landing Area</t>
  </si>
  <si>
    <t>AptCode_undefinedLandingArea</t>
  </si>
  <si>
    <t>winchLaunchHangGliderSite</t>
  </si>
  <si>
    <t>Winch Launched Hang Glider Site</t>
  </si>
  <si>
    <t>An aerodrome that has the necessary equipment for the launch, landing, maintenance, and storage of hang gliders that are launched by a winch.</t>
  </si>
  <si>
    <t>AptCode_winchLaunchHangGliderSite</t>
  </si>
  <si>
    <t>(Aeronautical Information Exchange Model (AIXM): 'EQUIPMENT-833')</t>
  </si>
  <si>
    <t>channelSpacingEquip8r33</t>
  </si>
  <si>
    <t>8.33 Channel Spacing Equipment</t>
  </si>
  <si>
    <t>Airspace which is dependent upon every participant having 8.33 VHF voice receivers channel spacing equipment.</t>
  </si>
  <si>
    <t>A type of procedure/service.</t>
  </si>
  <si>
    <t>8.33 Channel Equipment Required</t>
  </si>
  <si>
    <t>AaaCode_channelSpacingEquip8r33</t>
  </si>
  <si>
    <t>(Aeronautical Information Exchange Model (AIXM): 'ACCIDENT')</t>
  </si>
  <si>
    <t>accidentInvestigation</t>
  </si>
  <si>
    <t>Accident Investigation</t>
  </si>
  <si>
    <t>Airspace needing a protective status due to an investigation of a flight catastrophe.</t>
  </si>
  <si>
    <t>A type of protection.</t>
  </si>
  <si>
    <t>Accident Investigation Area</t>
  </si>
  <si>
    <t>AaaCode_accidentInvestigation</t>
  </si>
  <si>
    <t>(Aeronautical Information Exchange Model (AIXM): 'AIRGUN')</t>
  </si>
  <si>
    <t>aerialGunnery</t>
  </si>
  <si>
    <t>Aerial Gunnery</t>
  </si>
  <si>
    <t>The delivery of air to air or air to ground weapons for the destruction of a target.</t>
  </si>
  <si>
    <t>A type of military activity (usually).</t>
  </si>
  <si>
    <t>AaaCode_aerialGunnery</t>
  </si>
  <si>
    <t>(Aeronautical Information Exchange Model (AIXM): 'SPORT')</t>
  </si>
  <si>
    <t>aerialSporting</t>
  </si>
  <si>
    <t>Aerial Sporting</t>
  </si>
  <si>
    <t>The competition or practice by an individual or a group to achieve the best aerial performance.</t>
  </si>
  <si>
    <t>A type of special air traffic. This could be an air race or aerobatic training or competition.</t>
  </si>
  <si>
    <t>AaaCode_aerialSporting</t>
  </si>
  <si>
    <t>(Aeronautical Information Exchange Model (AIXM): 'WORK')</t>
  </si>
  <si>
    <t>aerialWork</t>
  </si>
  <si>
    <t>Aerial Work</t>
  </si>
  <si>
    <t>Operations in which an aircraft is used for specialized services.</t>
  </si>
  <si>
    <t>A type of special air traffic. For example, services such as: agriculture, construction, photography, surveying, observation and patrol, search and rescue, and aerial advertisement.</t>
  </si>
  <si>
    <t>AaaCode_aerialWork</t>
  </si>
  <si>
    <t>(Aeronautical Information Exchange Model (AIXM): 'ACROBAT')</t>
  </si>
  <si>
    <t>aerobatics</t>
  </si>
  <si>
    <t>Aerobatics</t>
  </si>
  <si>
    <t>The usage of unusual or artful flying maneuvers for recreation, competition, or entertainment.</t>
  </si>
  <si>
    <t>A type of special air traffic.</t>
  </si>
  <si>
    <t>Acrobatic Flights, Acrobatics</t>
  </si>
  <si>
    <t>AaaCode_aerobatics</t>
  </si>
  <si>
    <t>(Aeronautical Information Exchange Model (AIXM): 'TFC-AD')</t>
  </si>
  <si>
    <t>aerodromeTraffic</t>
  </si>
  <si>
    <t>Aerodrome Traffic</t>
  </si>
  <si>
    <t>All traffic on the manouevring area of an aerodrome and all aircraft flying in the vicinity of an aerodrome.</t>
  </si>
  <si>
    <t>AaaCode_aerodromeTraffic</t>
  </si>
  <si>
    <t>(Aeronautical Information Exchange Model (AIXM): 'EXERCISE')</t>
  </si>
  <si>
    <t>airCombatOrExercises</t>
  </si>
  <si>
    <t>Air Combat or Exercises</t>
  </si>
  <si>
    <t>Intercepting and destroying of hostile aircraft or conducting similar training activities.</t>
  </si>
  <si>
    <t>AaaCode_airCombatOrExercises</t>
  </si>
  <si>
    <t>(Aeronautical Information Exchange Model (AIXM): 'REFUEL')</t>
  </si>
  <si>
    <t>airRefuelling</t>
  </si>
  <si>
    <t>Air Refuelling</t>
  </si>
  <si>
    <t>Transfer of fuel between aircraft in the air.</t>
  </si>
  <si>
    <t>Refueling</t>
  </si>
  <si>
    <t>AaaCode_airRefuelling</t>
  </si>
  <si>
    <t>(Aeronautical Information Exchange Model (AIXM): 'AIRSHOW')</t>
  </si>
  <si>
    <t>airShow</t>
  </si>
  <si>
    <t>Air Show</t>
  </si>
  <si>
    <t>A show at which aircraft are on view and featuring aerial displays.</t>
  </si>
  <si>
    <t>AaaCode_airShow</t>
  </si>
  <si>
    <t>(Aeronautical Information Exchange Model (AIXM): 'ATS')</t>
  </si>
  <si>
    <t>airTrafficServices</t>
  </si>
  <si>
    <t>Air Traffic Services</t>
  </si>
  <si>
    <t>Custom specific flight information service, alerting service, air traffic advisory service, air traffic control service, area control service, approach control service, or airport control service is provided.</t>
  </si>
  <si>
    <t>A type of procedure/service. This could be a service in the air or on the ground.</t>
  </si>
  <si>
    <t>AaaCode_airTrafficServices</t>
  </si>
  <si>
    <t>(Aeronautical Information Exchange Model (AIXM): 'ANTIHAIL')</t>
  </si>
  <si>
    <t>antiHailRocketFiring</t>
  </si>
  <si>
    <t>Anti-hail Rocket Firing</t>
  </si>
  <si>
    <t>The use of small rockets to protect crops by seeding clouds with small particles that prevent hailstorms from forming.</t>
  </si>
  <si>
    <t>A type of hazard.</t>
  </si>
  <si>
    <t>AaaCode_antiHailRocketFiring</t>
  </si>
  <si>
    <t>(Aeronautical Information Exchange Model (AIXM): 'ARTILERY')</t>
  </si>
  <si>
    <t>artilleryFiring</t>
  </si>
  <si>
    <t>Artillery Firing</t>
  </si>
  <si>
    <t>The discharge of a projectile into the air for the destruction of a target.</t>
  </si>
  <si>
    <t>AaaCode_artilleryFiring</t>
  </si>
  <si>
    <t>(Aeronautical Information Exchange Model (AIXM): 'BIRD')</t>
  </si>
  <si>
    <t>birdHazard</t>
  </si>
  <si>
    <t>Bird Hazard</t>
  </si>
  <si>
    <t>High concentration of birds.</t>
  </si>
  <si>
    <t>AaaCode_birdHazard</t>
  </si>
  <si>
    <t>(Aeronautical Information Exchange Model (AIXM): 'BIRD-MGR')</t>
  </si>
  <si>
    <t>birdMigration</t>
  </si>
  <si>
    <t>Bird Migration</t>
  </si>
  <si>
    <t>A high number of bird species as they fly instinctual routes based on breeding or diverse environmental urges.</t>
  </si>
  <si>
    <t>A type of hazard. For example, large scale movements of migrating birds occur during various months in the European-Mediterranean and UK areas. There are also large concentrations of nesting, breeding, and wintering birds, often numbering in the millions, that may create a hazard to air traffic.</t>
  </si>
  <si>
    <t>AaaCode_birdMigration</t>
  </si>
  <si>
    <t>(Aeronautical Information Exchange Model (AIXM): 'BLAST')</t>
  </si>
  <si>
    <t>blastingOperations</t>
  </si>
  <si>
    <t>Blasting Operations</t>
  </si>
  <si>
    <t>Controlled use of explosives to excavate or remove rock.</t>
  </si>
  <si>
    <t>AaaCode_blastingOperations</t>
  </si>
  <si>
    <t>(Aeronautical Information Exchange Model (AIXM): 'IND-CHEM')</t>
  </si>
  <si>
    <t>chemicalPlant</t>
  </si>
  <si>
    <t>Chemical Plant</t>
  </si>
  <si>
    <t>A facility utilizing a chemical process for manufacturing.</t>
  </si>
  <si>
    <t>A type of industrial hazard.</t>
  </si>
  <si>
    <t>AaaCode_chemicalPlant</t>
  </si>
  <si>
    <t>(Aeronautical Information Exchange Model (AIXM): 'JETCLIMB')</t>
  </si>
  <si>
    <t>climbOutJetAircraft</t>
  </si>
  <si>
    <t>Climb-out for Jet Aircraft</t>
  </si>
  <si>
    <t>Climb-out of jet aircraft via predefined and common tracks.</t>
  </si>
  <si>
    <t>Climb-out Sector for Jet Aircraft</t>
  </si>
  <si>
    <t>AaaCode_climbOutJetAircraft</t>
  </si>
  <si>
    <t>(Aeronautical Information Exchange Model (AIXM): 'DROP')</t>
  </si>
  <si>
    <t>droppings</t>
  </si>
  <si>
    <t>Droppings</t>
  </si>
  <si>
    <t>The dropping of troops, supplies, and/or bombs, from an aircraft.</t>
  </si>
  <si>
    <t>AaaCode_droppings</t>
  </si>
  <si>
    <t>(Aeronautical Information Exchange Model (AIXM): 'FIREWORK')</t>
  </si>
  <si>
    <t>fireworks</t>
  </si>
  <si>
    <t>Fireworks</t>
  </si>
  <si>
    <t>Launching of pyrotechnic devices.</t>
  </si>
  <si>
    <t>AaaCode_fireworks</t>
  </si>
  <si>
    <t>(Aeronautical Information Exchange Model (AIXM): 'MISSILES')</t>
  </si>
  <si>
    <t>flightGuidedMissiles</t>
  </si>
  <si>
    <t>Flight of Guided Missiles</t>
  </si>
  <si>
    <t>The launch, transit, and targeting of guided missiles.</t>
  </si>
  <si>
    <t>A type of military activity (usually). A guided missile is an unmanned self-propelled vehicle whose trajectory or course, while in flight, is controlled.</t>
  </si>
  <si>
    <t>AaaCode_flightGuidedMissiles</t>
  </si>
  <si>
    <t>(Aeronautical Information Exchange Model (AIXM): 'GAZ')</t>
  </si>
  <si>
    <t>gasFieldOrGasolineVapor</t>
  </si>
  <si>
    <t>Gas Field or Gasoline Vaporization</t>
  </si>
  <si>
    <t>Pumping natural gas from the ground or converting gasoline into vapour.</t>
  </si>
  <si>
    <t>AaaCode_gasFieldOrGasolineVapor</t>
  </si>
  <si>
    <t>(Aeronautical Information Exchange Model (AIXM): 'GLIDER')</t>
  </si>
  <si>
    <t>gliding</t>
  </si>
  <si>
    <t>Gliding</t>
  </si>
  <si>
    <t>Flying a non-power-driven heavier-than-air aircraft.</t>
  </si>
  <si>
    <t>A type of special air traffic. A glider derives its lift in flight chiefly from aerodynamic reactions on surfaces which remain fixed under given conditions of flight.</t>
  </si>
  <si>
    <t>AaaCode_gliding</t>
  </si>
  <si>
    <t>(Aeronautical Information Exchange Model (AIXM): 'HANGGLIDER')</t>
  </si>
  <si>
    <t>hangGliding</t>
  </si>
  <si>
    <t>Hang-gliding</t>
  </si>
  <si>
    <t>Recreational and competitive flying sport using a small glider from which the operator is suspended in a frame and which is controlled by movements of the body.</t>
  </si>
  <si>
    <t>AaaCode_hangGliding</t>
  </si>
  <si>
    <t>(Aeronautical Information Exchange Model (AIXM): 'FIRE')</t>
  </si>
  <si>
    <t>heavyFireSuppressionWork</t>
  </si>
  <si>
    <t>Heavy Fire Suppression Work</t>
  </si>
  <si>
    <t>Intense fire fighting activity involving chemical agents being laid down from fire fighting aircraft.</t>
  </si>
  <si>
    <t>AaaCode_heavyFireSuppressionWork</t>
  </si>
  <si>
    <t>(Aeronautical Information Exchange Model (AIXM): 'TFC-HELI')</t>
  </si>
  <si>
    <t>helicopterGyroTraffic</t>
  </si>
  <si>
    <t>Helicopter/Gyrocopter Traffic</t>
  </si>
  <si>
    <t>Helicopter or gyrocopter operations.</t>
  </si>
  <si>
    <t>AaaCode_helicopterGyroTraffic</t>
  </si>
  <si>
    <t>(Aeronautical Information Exchange Model (AIXM): 'HI-LIGHT')</t>
  </si>
  <si>
    <t>highIntensityLights</t>
  </si>
  <si>
    <t>High Intensity Lights</t>
  </si>
  <si>
    <t>Non-navigational lights with high visibility potential.</t>
  </si>
  <si>
    <t>AaaCode_highIntensityLights</t>
  </si>
  <si>
    <t>(Aeronautical Information Exchange Model (AIXM): 'HI-RADIO')</t>
  </si>
  <si>
    <t>highIntensityRadioTrans</t>
  </si>
  <si>
    <t>High Intensity Radio Transmission (HIRTA)</t>
  </si>
  <si>
    <t>Electromagnetic fields produced by high intensity radio transmission.</t>
  </si>
  <si>
    <t>AaaCode_highIntensityRadioTrans</t>
  </si>
  <si>
    <t>(Aeronautical Information Exchange Model (AIXM): 'POPULATION')</t>
  </si>
  <si>
    <t>highlyPopulatedArea</t>
  </si>
  <si>
    <t>Highly Populated Area</t>
  </si>
  <si>
    <t>An area with a high concentration of inhabitants.</t>
  </si>
  <si>
    <t>AaaCode_highlyPopulatedArea</t>
  </si>
  <si>
    <t>(Aeronautical Information Exchange Model (AIXM): 'BALLOON')</t>
  </si>
  <si>
    <t>hotAirBalloons</t>
  </si>
  <si>
    <t>Hot Air Balloons</t>
  </si>
  <si>
    <t>Flight activity involving a bag called the envelope that is capable of containing heated air, with a gondola or basket suspended beneath.</t>
  </si>
  <si>
    <t>AaaCode_hotAirBalloons</t>
  </si>
  <si>
    <t>(Aeronautical Information Exchange Model (AIXM): 'LASER')</t>
  </si>
  <si>
    <t>laserUsage</t>
  </si>
  <si>
    <t>Laser Usage</t>
  </si>
  <si>
    <t>The emission of photons in a coherent beam by an optical source.</t>
  </si>
  <si>
    <t>A type of hazard. For example: a laser light show. Laser stands for Light Amplification by Stimulated Emission of Radiation.</t>
  </si>
  <si>
    <t>Laser Light Activity</t>
  </si>
  <si>
    <t>AaaCode_laserUsage</t>
  </si>
  <si>
    <t>(Aeronautical Information Exchange Model (AIXM): 'MILOPS')</t>
  </si>
  <si>
    <t>militaryOperations</t>
  </si>
  <si>
    <t>Military Operations</t>
  </si>
  <si>
    <t>The execution of operations by the military.</t>
  </si>
  <si>
    <t>AaaCode_militaryOperations</t>
  </si>
  <si>
    <t>(Aeronautical Information Exchange Model (AIXM): 'NATURE')</t>
  </si>
  <si>
    <t>naturalReserve</t>
  </si>
  <si>
    <t>Natural Reserve</t>
  </si>
  <si>
    <t>Wildlife, flora, fauna or features of geological or other special interest which is reserved and managed for conservation.</t>
  </si>
  <si>
    <t>A type of protection. This is given a protective status. This could provide special opportunities for study or research. For example: a national park.</t>
  </si>
  <si>
    <t>AaaCode_naturalReserve</t>
  </si>
  <si>
    <t>(Aeronautical Information Exchange Model (AIXM): 'NAVAL')</t>
  </si>
  <si>
    <t>navalFiringAndOrPractice</t>
  </si>
  <si>
    <t>Naval Firing and/or Practice</t>
  </si>
  <si>
    <t>Naval forces (for example: vessels or aircraft) conduct firing and/or munitions exercises.</t>
  </si>
  <si>
    <t>Ship Exercise</t>
  </si>
  <si>
    <t>AaaCode_navalFiringAndOrPractice</t>
  </si>
  <si>
    <t>(Aeronautical Information Exchange Model (AIXM): 'NO-NOISE')</t>
  </si>
  <si>
    <t>noiseAbatement</t>
  </si>
  <si>
    <t>Noise Abatement</t>
  </si>
  <si>
    <t>Airspace in which special procedures or other precautionary measures are established for reducing noise.</t>
  </si>
  <si>
    <t>AaaCode_noiseAbatement</t>
  </si>
  <si>
    <t>(Aeronautical Information Exchange Model (AIXM): 'IND-NUCLEAR')</t>
  </si>
  <si>
    <t>nuclearEnergyPlant</t>
  </si>
  <si>
    <t>Nuclear Energy Plant</t>
  </si>
  <si>
    <t>An installation which provides power derived from fission or fusion of atomic nuclei.</t>
  </si>
  <si>
    <t>Nuclear Energy Plant/Activity</t>
  </si>
  <si>
    <t>AaaCode_nuclearEnergyPlant</t>
  </si>
  <si>
    <t>(Aeronautical Information Exchange Model (AIXM): 'OIL')</t>
  </si>
  <si>
    <t>oilField</t>
  </si>
  <si>
    <t>Oil Field</t>
  </si>
  <si>
    <t>An area in which oil occurs in quantities worthy of exploitation.</t>
  </si>
  <si>
    <t>AaaCode_oilField</t>
  </si>
  <si>
    <t>(Aeronautical Information Exchange Model (AIXM): 'PARACHUTE')</t>
  </si>
  <si>
    <t>parachuteJumping</t>
  </si>
  <si>
    <t>Parachute Jumping</t>
  </si>
  <si>
    <t>Exiting a flying aircraft by an individual using a parachute.</t>
  </si>
  <si>
    <t>A type of special air traffic. A parachute is a soft fabric device used to slow the motion through the atmosphere by generating drag.</t>
  </si>
  <si>
    <t>AaaCode_parachuteJumping</t>
  </si>
  <si>
    <t>(Aeronautical Information Exchange Model (AIXM): 'PARAGLIDER')</t>
  </si>
  <si>
    <t>paragliding</t>
  </si>
  <si>
    <t>Paragliding</t>
  </si>
  <si>
    <t>Recreational and competitive flying sport using a free-flying, foot launched aircraft.</t>
  </si>
  <si>
    <t>A type of special air traffic. When paragliding, the pilot sits in a harness suspended below a fabric wing, whose shape is formed by the pressure of air entering vents in the front of the wing. It is known in some countries as parapenting.</t>
  </si>
  <si>
    <t>AaaCode_paragliding</t>
  </si>
  <si>
    <t>(Aeronautical Information Exchange Model (AIXM): 'IND-OIL')</t>
  </si>
  <si>
    <t>petrochemicalRefinery</t>
  </si>
  <si>
    <t>Petrochemical Refinery</t>
  </si>
  <si>
    <t>A facility where petroleum and/or petroleum products are refined.</t>
  </si>
  <si>
    <t>Oil Refinery</t>
  </si>
  <si>
    <t>AaaCode_petrochemicalRefinery</t>
  </si>
  <si>
    <t>(Aeronautical Information Exchange Model (AIXM): 'VIP-PRES')</t>
  </si>
  <si>
    <t>president</t>
  </si>
  <si>
    <t>President</t>
  </si>
  <si>
    <t>The presence of an individual with status of head of state.</t>
  </si>
  <si>
    <t>AaaCode_president</t>
  </si>
  <si>
    <t>(Aeronautical Information Exchange Model (AIXM): 'ASCENT')</t>
  </si>
  <si>
    <t>radiosonde</t>
  </si>
  <si>
    <t>Radiosonde</t>
  </si>
  <si>
    <t>The lifting of devices through the atmosphere, which are tied to a helium or hydrogen filled balloon.</t>
  </si>
  <si>
    <t>A type of special air traffic. For example: radio probes and meteorological balloons.</t>
  </si>
  <si>
    <t>Ascent of Radio Probe, Radiosonde, Meteorological Balloon</t>
  </si>
  <si>
    <t>AaaCode_radiosonde</t>
  </si>
  <si>
    <t>(Aeronautical Information Exchange Model (AIXM): 'EQUIPMENT-RNAV')</t>
  </si>
  <si>
    <t>rnavEquipment</t>
  </si>
  <si>
    <t>RNAV Equipment</t>
  </si>
  <si>
    <t>Every aircraft must have Area Navigation (RNAV) equipment.</t>
  </si>
  <si>
    <t>RNAV Equipment Required</t>
  </si>
  <si>
    <t>AaaCode_rnavEquipment</t>
  </si>
  <si>
    <t>(Aeronautical Information Exchange Model (AIXM): 'EQUIPMENT-RVSM')</t>
  </si>
  <si>
    <t>rvsmEquipment</t>
  </si>
  <si>
    <t>RVSM Equipment</t>
  </si>
  <si>
    <t>Every aircraft must have Reduced Vertical Separation Minimum (RVSM) equipment.</t>
  </si>
  <si>
    <t>RVSM Equipment Required</t>
  </si>
  <si>
    <t>AaaCode_rvsmEquipment</t>
  </si>
  <si>
    <t>(Aeronautical Information Exchange Model (AIXM): 'DUSTING')</t>
  </si>
  <si>
    <t>seasonalCropDusting</t>
  </si>
  <si>
    <t>Seasonal Crop Dusting</t>
  </si>
  <si>
    <t>Spraying crops with fertilizers, pesticides, and fungicides from an agricultural aircraft.</t>
  </si>
  <si>
    <t>AaaCode_seasonalCropDusting</t>
  </si>
  <si>
    <t>(Aeronautical Information Exchange Model (AIXM): 'FAUNA')</t>
  </si>
  <si>
    <t>sensitiveFauna</t>
  </si>
  <si>
    <t>Sensitive Fauna</t>
  </si>
  <si>
    <t>The animals or animal life of a given area, habitat, or epoch which is easily and dangerously aroused by excessive aerial noise such as from an aircraft.</t>
  </si>
  <si>
    <t>A type of protection. For example: mink farms, turkey farms, and zoos.</t>
  </si>
  <si>
    <t>AaaCode_sensitiveFauna</t>
  </si>
  <si>
    <t>(Aeronautical Information Exchange Model (AIXM): 'SHOOT')</t>
  </si>
  <si>
    <t>shootingFromGround</t>
  </si>
  <si>
    <t>Shooting from Ground</t>
  </si>
  <si>
    <t>The discharge of a gun or bow to propel arrows, bullets, etc swiftly or violently direct and sharply in specified directions.</t>
  </si>
  <si>
    <t>A type of military activity (usually). For example: a shooting range or hunting area.</t>
  </si>
  <si>
    <t>AaaCode_shootingFromGround</t>
  </si>
  <si>
    <t>(Aeronautical Information Exchange Model (AIXM): 'SPACEFLT')</t>
  </si>
  <si>
    <t>spaceFlightOperations</t>
  </si>
  <si>
    <t>Space Flight Operations</t>
  </si>
  <si>
    <t>Vertical launch for space flight operations.</t>
  </si>
  <si>
    <t>AaaCode_spaceFlightOperations</t>
  </si>
  <si>
    <t>(Aeronautical Information Exchange Model (AIXM): 'EQUIPMENT')</t>
  </si>
  <si>
    <t>specialEquipment</t>
  </si>
  <si>
    <t>Special Equipment</t>
  </si>
  <si>
    <t>Operations requiring the aircraft to use special equipment.</t>
  </si>
  <si>
    <t>AaaCode_specialEquipment</t>
  </si>
  <si>
    <t>(Aeronautical Information Exchange Model (AIXM): 'PROCEDURE')</t>
  </si>
  <si>
    <t>specialProcedure</t>
  </si>
  <si>
    <t>Special Procedure</t>
  </si>
  <si>
    <t>Special procedures established for use by operational personnel in execution of their flight.</t>
  </si>
  <si>
    <t>A type of procedure/service. An overhead approach is an example of a special procedure.</t>
  </si>
  <si>
    <t>AaaCode_specialProcedure</t>
  </si>
  <si>
    <t>(Aeronautical Information Exchange Model (AIXM): 'TOWING')</t>
  </si>
  <si>
    <t>targetTowing</t>
  </si>
  <si>
    <t>Target Towing</t>
  </si>
  <si>
    <t>Drawing or pulling through the air a target for aerial shooting practice.</t>
  </si>
  <si>
    <t>AaaCode_targetTowing</t>
  </si>
  <si>
    <t>(Aeronautical Information Exchange Model (AIXM): 'TECHNICAL')</t>
  </si>
  <si>
    <t>technicalActivity</t>
  </si>
  <si>
    <t>Technical Activity</t>
  </si>
  <si>
    <t>Generic technical activity affecting air traffic.</t>
  </si>
  <si>
    <t>AaaCode_technicalActivity</t>
  </si>
  <si>
    <t>(Aeronautical Information Exchange Model (AIXM): 'TRG')</t>
  </si>
  <si>
    <t>training</t>
  </si>
  <si>
    <t>Training</t>
  </si>
  <si>
    <t>Flights conducted for the purpose of training.</t>
  </si>
  <si>
    <t>AaaCode_training</t>
  </si>
  <si>
    <t>(Aeronautical Information Exchange Model (AIXM): 'ULM')</t>
  </si>
  <si>
    <t>ultraLightFlights</t>
  </si>
  <si>
    <t>Ultra Light Flights</t>
  </si>
  <si>
    <t>Operations of lightweight, slow-flying aircraft.</t>
  </si>
  <si>
    <t>AaaCode_ultraLightFlights</t>
  </si>
  <si>
    <t>(Aeronautical Information Exchange Model (AIXM): 'WATERBLAST')</t>
  </si>
  <si>
    <t>underwaterExplosions</t>
  </si>
  <si>
    <t>Underwater Explosions</t>
  </si>
  <si>
    <t>The action or an act of forcing out or emitting something suddenly underwater.</t>
  </si>
  <si>
    <t>A type of hazard. Usually involving violence and noise.</t>
  </si>
  <si>
    <t>AaaCode_underwaterExplosions</t>
  </si>
  <si>
    <t>(Aeronautical Information Exchange Model (AIXM): 'UAV')</t>
  </si>
  <si>
    <t>unmannedAerialVehicles</t>
  </si>
  <si>
    <t>Unmanned Aerial Vehicles</t>
  </si>
  <si>
    <t>The operation of a powered, aerial vehicle that does not carry a human operator.</t>
  </si>
  <si>
    <t>A type of special air traffic. An Unmanned Aerial Vehicle uses aerodynamic forces to provide vehicle lift, can fly autonomously or be piloted remotely, can be expendable or recoverable, and can carry a lethal or non-lethal payload.</t>
  </si>
  <si>
    <t>Unmanned Aerial Vehicle</t>
  </si>
  <si>
    <t>AaaCode_unmannedAerialVehicles</t>
  </si>
  <si>
    <t>(Aeronautical Information Exchange Model (AIXM): 'VIP')</t>
  </si>
  <si>
    <t>vipPublicFigure</t>
  </si>
  <si>
    <t>VIP: Public Figure</t>
  </si>
  <si>
    <t>The presence of an individual of renowned status and considered as a very important person.</t>
  </si>
  <si>
    <t>AaaCode_vipPublicFigure</t>
  </si>
  <si>
    <t>(Aeronautical Information Exchange Model (AIXM): 'VIP-VICE')</t>
  </si>
  <si>
    <t>vipVicePresident</t>
  </si>
  <si>
    <t>VIP: Vice President</t>
  </si>
  <si>
    <t>The presence of an individual with status of Vice-Head of State.</t>
  </si>
  <si>
    <t>AaaCode_vipVicePresident</t>
  </si>
  <si>
    <t>classA</t>
  </si>
  <si>
    <t>Class A</t>
  </si>
  <si>
    <t>IFR flights only are permitted, all flights are provided with air traffic control service and are separated from each other.</t>
  </si>
  <si>
    <t>AcxCode_classA</t>
  </si>
  <si>
    <t>classB</t>
  </si>
  <si>
    <t>Class B</t>
  </si>
  <si>
    <t>IFR and VFR flights are permitted, all flights are provided with air traffic control service and are separated from each other.</t>
  </si>
  <si>
    <t>AcxCode_classB</t>
  </si>
  <si>
    <t>classC</t>
  </si>
  <si>
    <t>Class C</t>
  </si>
  <si>
    <t>IFR and VFR flights are permitted, all flights are provided with air traffic control service and IFR flights are separated from other IFR flights and from VFR flights.</t>
  </si>
  <si>
    <t>VFR flights are separated from IFR flights and receive traffic information in respect of other VFR flights.</t>
  </si>
  <si>
    <t>AcxCode_classC</t>
  </si>
  <si>
    <t>classD</t>
  </si>
  <si>
    <t>Class D</t>
  </si>
  <si>
    <t>IFR and VFR flights are permitted and all flights are provided with air traffic control service, IFR flights are separated from other IFR flights and receive traffic information in respect of VFR flights, VFR flights receive traffic information in respect of all other flights.</t>
  </si>
  <si>
    <t>AcxCode_classD</t>
  </si>
  <si>
    <t>classE</t>
  </si>
  <si>
    <t>Class E</t>
  </si>
  <si>
    <t>IFR and VFR flights are permitted, IFR flights are provided with air traffic control service and are separated from other IFR flights.</t>
  </si>
  <si>
    <t>All flights receive traffic information as far as is practical. Class E shall not be used for control zones.</t>
  </si>
  <si>
    <t>AcxCode_classE</t>
  </si>
  <si>
    <t>classF</t>
  </si>
  <si>
    <t>Class F</t>
  </si>
  <si>
    <t>IFR and VFR flights are permitted, all participating IFR flights receive an air traffic advisory service and all flights receive flight information service if requested.</t>
  </si>
  <si>
    <t>Where air traffic advisory service is implemented, this is considered normally as a temporary measure only until such time as it can be replaced by air traffic control.</t>
  </si>
  <si>
    <t>AcxCode_classF</t>
  </si>
  <si>
    <t>(Aeronautical Information Exchange Model (AIXM): 'G')</t>
  </si>
  <si>
    <t>classG</t>
  </si>
  <si>
    <t>Class G</t>
  </si>
  <si>
    <t>IFR and VFR flights are permitted and receive flight information service if requested.</t>
  </si>
  <si>
    <t>AcxCode_classG</t>
  </si>
  <si>
    <t>bothCivilMilitaryControl</t>
  </si>
  <si>
    <t>Both Civil and Military Control</t>
  </si>
  <si>
    <t>Both Military and Civilian organizations provide air traffic services within the designated airspace.</t>
  </si>
  <si>
    <t>AcoCode_bothCivilMilitaryControl</t>
  </si>
  <si>
    <t>civilControl</t>
  </si>
  <si>
    <t>Civil Control</t>
  </si>
  <si>
    <t>A Civilian organization provides air traffic services within the designated airspace.</t>
  </si>
  <si>
    <t>AcoCode_civilControl</t>
  </si>
  <si>
    <t>militaryControl</t>
  </si>
  <si>
    <t>Military Control</t>
  </si>
  <si>
    <t>The Military provides air traffic services within the designated airspace.</t>
  </si>
  <si>
    <t>AcoCode_militaryControl</t>
  </si>
  <si>
    <t>advisoryArea</t>
  </si>
  <si>
    <t>Advisory Area</t>
  </si>
  <si>
    <t>An area of defined dimensions within which air traffic advisory service is available.</t>
  </si>
  <si>
    <t>Air traffic control service provides a much more complete service than air traffic advisory service; advisory areas and routes are therefore not established within controlled airspace, but air traffic advisory service may be provided below and above. Recognized by ICAO.</t>
  </si>
  <si>
    <t>AtyCode_advisoryArea</t>
  </si>
  <si>
    <t>aerodromeTrafficZone</t>
  </si>
  <si>
    <t>Aerodrome Traffic Zone</t>
  </si>
  <si>
    <t>An airspace of defined dimensions established around an aerodrome for the protection of aerodrome traffic.</t>
  </si>
  <si>
    <t>Recognized by ICAO.</t>
  </si>
  <si>
    <t>AtyCode_aerodromeTrafficZone</t>
  </si>
  <si>
    <t>(Aeronautical Information Exchange Model (AIXM): 'ADIZ')</t>
  </si>
  <si>
    <t>airDefenseIdentZone</t>
  </si>
  <si>
    <t>Air Defense Identification Zone</t>
  </si>
  <si>
    <t>Special designated airspace of defined dimensions within which aircraft are required to comply with special identification and/or reporting procedures additional to those related to the provision of air traffic services (ATS).</t>
  </si>
  <si>
    <t>AtyCode_airDefenseIdentZone</t>
  </si>
  <si>
    <t>(Aeronautical Information Exchange Model (AIXM): 'AWY')</t>
  </si>
  <si>
    <t>airway</t>
  </si>
  <si>
    <t>Airway</t>
  </si>
  <si>
    <t>A control area or portion thereof established in the form of a corridor.</t>
  </si>
  <si>
    <t>NATO specifies that is must be marked with Radio Navigational Aids. Recognized by ICAO.</t>
  </si>
  <si>
    <t>AtyCode_airway</t>
  </si>
  <si>
    <t>alertArea</t>
  </si>
  <si>
    <t>Alert Area</t>
  </si>
  <si>
    <t>Airspace which may contain a high volume of pilot training activities or unusual type of aerial activity, neither of which is hazardous to aircraft.</t>
  </si>
  <si>
    <t>Mainly used in contiguous United States and its territories. Not recognized by ICAO.</t>
  </si>
  <si>
    <t>AtyCode_alertArea</t>
  </si>
  <si>
    <t>(Aeronautical Information Exchange Model (AIXM): 'ASR')</t>
  </si>
  <si>
    <t>altimeterSettingRegion</t>
  </si>
  <si>
    <t>Altimeter Setting Region</t>
  </si>
  <si>
    <t>An airspace of defined dimensions within which standardized altimeter setting procedures apply.</t>
  </si>
  <si>
    <t>For example: during flight the altimeter shall be set to the current altimeter setting of the nearest station along the route of flight. Not recognized by ICAO.</t>
  </si>
  <si>
    <t>AtyCode_altimeterSettingRegion</t>
  </si>
  <si>
    <t>(Aeronautical Information Exchange Model (AIXM): 'D-AMC')</t>
  </si>
  <si>
    <t>amcManageableDangerArea</t>
  </si>
  <si>
    <t>AMC Manageable Danger Area</t>
  </si>
  <si>
    <t>A danger area which is managed and allocated the day before operations of the Temporary Segregated Area.</t>
  </si>
  <si>
    <t>Mainly used in Europe under the Flexible Use of Airspace (FUA) concept. Not recognized by ICAO.</t>
  </si>
  <si>
    <t>AtyCode_amcManageableDangerArea</t>
  </si>
  <si>
    <t>(Aeronautical Information Exchange Model (AIXM): 'R-AMC')</t>
  </si>
  <si>
    <t>amcManageableRestrictArea</t>
  </si>
  <si>
    <t>AMC Manageable Restricted Area</t>
  </si>
  <si>
    <t>A restricted area which is managed and allocated the day before operations of the Temporary Segregated Area.</t>
  </si>
  <si>
    <t>AtyCode_amcManageableRestrictArea</t>
  </si>
  <si>
    <t>(Aeronautical Information Exchange Model (AIXM): 'AMA')</t>
  </si>
  <si>
    <t>Area Minimum Altitude</t>
  </si>
  <si>
    <t>The lowest altitude to be used under instrument meteorological conditions (IMC) which will provide a minimum vertical clearance of 300 metres (1000 feet) or in designated mountainous terrain 600 metres (2000 feet) above all obstacles located in the area specified.</t>
  </si>
  <si>
    <t>Published by many States as rectangles of 1 x 1 degree on the ENR 6 charts. Note that in the exact calculation 984 feet can be used as an equivalent to 300 metres. Recognized by ICAO.</t>
  </si>
  <si>
    <t>AtyCode_areaMinimumAltitude</t>
  </si>
  <si>
    <t>(Aeronautical Information Exchange Model (AIXM): 'CTA')</t>
  </si>
  <si>
    <t>controlArea</t>
  </si>
  <si>
    <t>Control Area</t>
  </si>
  <si>
    <t>A controlled airspace extending upwards from a specified limit above the earth.</t>
  </si>
  <si>
    <t>AtyCode_controlArea</t>
  </si>
  <si>
    <t>(Aeronautical Information Exchange Model (AIXM): 'SECTOR')</t>
  </si>
  <si>
    <t>controlSector</t>
  </si>
  <si>
    <t>Control Sector</t>
  </si>
  <si>
    <t>A subdivision of a designated control area within which responsibility is assigned to one controller or to a small group of controllers.</t>
  </si>
  <si>
    <t>AtyCode_controlSector</t>
  </si>
  <si>
    <t>(Aeronautical Information Exchange Model (AIXM): 'CTR')</t>
  </si>
  <si>
    <t>controlZone</t>
  </si>
  <si>
    <t>Control Zone</t>
  </si>
  <si>
    <t>A controlled airspace extending upwards from the surface of the earth to a specified upper limit.</t>
  </si>
  <si>
    <t>AtyCode_controlZone</t>
  </si>
  <si>
    <t>(Aeronautical Information Exchange Model (AIXM): 'CBA')</t>
  </si>
  <si>
    <t>crossBorderArea</t>
  </si>
  <si>
    <t>Cross Border Area</t>
  </si>
  <si>
    <t>An airspace of defined dimensions, above the land areas or territorial waters of more than one state.</t>
  </si>
  <si>
    <t>AtyCode_crossBorderArea</t>
  </si>
  <si>
    <t>dangerArea</t>
  </si>
  <si>
    <t>Danger Area</t>
  </si>
  <si>
    <t>An airspace of defined dimensions within which activities dangerous to the flight of aircraft may exist at specified times.</t>
  </si>
  <si>
    <t>AtyCode_dangerArea</t>
  </si>
  <si>
    <t>(Aeronautical Information Exchange Model (AIXM): 'FIR')</t>
  </si>
  <si>
    <t>flightInformationRegion</t>
  </si>
  <si>
    <t>Flight Information Region</t>
  </si>
  <si>
    <t>An airspace of defined dimensions within which flight information service and alerting service are provided.</t>
  </si>
  <si>
    <t>Might, for example, be used if service provided by more than one unit. Recognized by ICAO.</t>
  </si>
  <si>
    <t>AtyCode_flightInformationRegion</t>
  </si>
  <si>
    <t>frenchPeripheralZone</t>
  </si>
  <si>
    <t>French Peripheral Zone</t>
  </si>
  <si>
    <t>A classification boundary before crossing which all French or foreign aircraft entering French airspace must be identified, for which purpose they must establish radio contact with the appropriate traffic coordination and control centre.</t>
  </si>
  <si>
    <t>Crossing the peripheral classification line should be carried out at a minimum flight altitude of 1500 feet. Specific to French airspace. Not recognized by ICAO.</t>
  </si>
  <si>
    <t>AtyCode_frenchPeripheralZone</t>
  </si>
  <si>
    <t>germanDeconflictionLine</t>
  </si>
  <si>
    <t>German Deconfliction Line</t>
  </si>
  <si>
    <t>Flights with the intention to land, exercises and flights carrying dangerous goods on board of military aircraft of foreign armed forces east of the deconfliction line are subject to authorization by Federal Ministry.</t>
  </si>
  <si>
    <t>Specific to German Airspace. Not recognized by ICAO.</t>
  </si>
  <si>
    <t>AtyCode_germanDeconflictionLine</t>
  </si>
  <si>
    <t>germanLowFlyAreas250Feet</t>
  </si>
  <si>
    <t>German Low Flying Areas (250 feet)</t>
  </si>
  <si>
    <t>The Low Flying Areas are special training areas used for air-to-ground attack exercises.</t>
  </si>
  <si>
    <t>AtyCode_germanLowFlyAreas250Feet</t>
  </si>
  <si>
    <t>germanNightLowFlyingSys</t>
  </si>
  <si>
    <t>German Night Low Flying System</t>
  </si>
  <si>
    <t>The night low flying system is situated exclusively in Class E controlled airspace with a lower limit of 1000 feet GND and a width of 5 nautical miles for all routes within the Federal Republic of Germany.</t>
  </si>
  <si>
    <t>It is used by jet combat aircraft, transport and liaison aircraft for night low level (terrain following) flights. Specific to German Airspace. Not recognized by ICAO.</t>
  </si>
  <si>
    <t>AtyCode_germanNightLowFlyingSys</t>
  </si>
  <si>
    <t>lowerTrafficArea</t>
  </si>
  <si>
    <t>Lower Traffic Area</t>
  </si>
  <si>
    <t>Control area established inside a flight information region, consisting of a fixed lower boundary and the lower boundary of the upper control region.</t>
  </si>
  <si>
    <t>For example: Flight information regions for Brest, Bordeaux, Marseille, Paris, and Reims above the highest of either FL115 or 3000 Feet AGL (900 metres), with some exceptions. Specific to French AIP. Not recognized by ICAO.</t>
  </si>
  <si>
    <t>AtyCode_lowerTrafficArea</t>
  </si>
  <si>
    <t>milAerodromeTrafficZone</t>
  </si>
  <si>
    <t>Military Aerodrome Traffic Zone</t>
  </si>
  <si>
    <t>An airspace of defined dimensions established around an military aerodrome for the protection of aerodrome traffic.</t>
  </si>
  <si>
    <t>Not recognized by ICAO.</t>
  </si>
  <si>
    <t>AtyCode_milAerodromeTrafficZone</t>
  </si>
  <si>
    <t>militaryOperationsArea</t>
  </si>
  <si>
    <t>Military Operations Area (MOA)</t>
  </si>
  <si>
    <t>Airspace of defined vertical and lateral limits established for the purpose of separating certain military training operations from civilian air traffic.</t>
  </si>
  <si>
    <t>Whenever a Military Operations Area (MOA) is being used, non-participating Instrument Flight Rules (IFR) traffic may be cleared through a MOA if IFR separation can be provided by Air Traffic Control (ATC).</t>
  </si>
  <si>
    <t>MOA</t>
  </si>
  <si>
    <t>AtyCode_militaryOperationsArea</t>
  </si>
  <si>
    <t>milTerminalControlArea</t>
  </si>
  <si>
    <t>Military Terminal Control Area</t>
  </si>
  <si>
    <t>A control area normally established at the confluence of ATS routes in the vicinity of one or more major military aerodromes.</t>
  </si>
  <si>
    <t>AtyCode_milTerminalControlArea</t>
  </si>
  <si>
    <t>noFlyArea</t>
  </si>
  <si>
    <t>No-fly Area</t>
  </si>
  <si>
    <t>An airspace with defined dimensions in which flight of any type of aircraft is prohibited.</t>
  </si>
  <si>
    <t>No-fly areas are usually set up in a military context, somewhat like a demilitarized zone in the sky, and usually prohibit military aircraft of a belligerent nation from operating in the region.</t>
  </si>
  <si>
    <t>AtyCode_noFlyArea</t>
  </si>
  <si>
    <t>(Aeronautical Information Exchange Model (AIXM): 'OCA')</t>
  </si>
  <si>
    <t>oceanicControlArea</t>
  </si>
  <si>
    <t>Oceanic Control Area</t>
  </si>
  <si>
    <t>A Control Area extending upwards in the upper airspace.</t>
  </si>
  <si>
    <t>AtyCode_oceanicControlArea</t>
  </si>
  <si>
    <t>(Aeronautical Information Exchange Model (AIXM): 'P')</t>
  </si>
  <si>
    <t>prohibitedArea</t>
  </si>
  <si>
    <t>Prohibited Area</t>
  </si>
  <si>
    <t>An airspace of defined dimensions, above the land areas or territorial waters of a State, within which the flight of aircraft is prohibited.</t>
  </si>
  <si>
    <t>AtyCode_prohibitedArea</t>
  </si>
  <si>
    <t>reducedCoOrdinationArea</t>
  </si>
  <si>
    <t>Reduced Co-ordination Area</t>
  </si>
  <si>
    <t>An Airspace of defined dimensions within which GAT is permitted to fly 'off-route' without requiring GAT controllers to initiate co-ordination with OAT controllers.</t>
  </si>
  <si>
    <t>AtyCode_reducedCoOrdinationArea</t>
  </si>
  <si>
    <t>restrictedArea</t>
  </si>
  <si>
    <t>An airspace of defined dimensions, above the land areas or territorial waters of a State, within which the flight of aircraft is restricted in accordance with certain specified conditions.</t>
  </si>
  <si>
    <t>Also an area in which there are special restrictive measures employed to prevent or minimize interference between friendly forces, or which is under military jurisdiction in which special security measures are employed to prevent unauthorized entry. Recognized by ICAO.</t>
  </si>
  <si>
    <t>AtyCode_restrictedArea</t>
  </si>
  <si>
    <t>specialRulesZone</t>
  </si>
  <si>
    <t>Special Rules Zone</t>
  </si>
  <si>
    <t>In order to protect certain kinds of air traffic or special air activities, specified areas may be designated as a special rules zone with further regulations.</t>
  </si>
  <si>
    <t>The execution of a flight within an SRZ with non-participating aircraft is prohibited during activities. Specific to German Airspace. Not recognized by ICAO.</t>
  </si>
  <si>
    <t>AtyCode_specialRulesZone</t>
  </si>
  <si>
    <t>standardPressureRegion</t>
  </si>
  <si>
    <t>Standard Pressure Region</t>
  </si>
  <si>
    <t>An airspace of defined dimensions within which the standard pressure altimeter setting applies.</t>
  </si>
  <si>
    <t>Standard Pressure setting is 29.92 inches Hg or 1013.2 hectoPascals (hPa). Not recognized by ICAO.</t>
  </si>
  <si>
    <t>AtyCode_standardPressureRegion</t>
  </si>
  <si>
    <t>temporaryReservedArea</t>
  </si>
  <si>
    <t>Temporary Reserved Area</t>
  </si>
  <si>
    <t>An airspace of pre-defined dimensions within which activities require the reservation of airspace during a predetermined period of time.</t>
  </si>
  <si>
    <t>Specific to the Flexible Use of Airspace concept in Europe. Not recognized by ICAO.</t>
  </si>
  <si>
    <t>AtyCode_temporaryReservedArea</t>
  </si>
  <si>
    <t>(Aeronautical Information Exchange Model (AIXM): 'TSA')</t>
  </si>
  <si>
    <t>temporarySegregatedArea</t>
  </si>
  <si>
    <t>Temporary Segregated Area</t>
  </si>
  <si>
    <t>An airspace of pre-defined dimensions within which activities require the reservation of airspace for the exclusive use of specific users during a predetermined period of time.</t>
  </si>
  <si>
    <t>Mainly used in Europe under the Flexible Use of Airspace concept. Not recognized by ICAO.</t>
  </si>
  <si>
    <t>AtyCode_temporarySegregatedArea</t>
  </si>
  <si>
    <t>(Aeronautical Information Exchange Model (AIXM): 'TMA')</t>
  </si>
  <si>
    <t>terminalControlArea</t>
  </si>
  <si>
    <t>Terminal Control Area</t>
  </si>
  <si>
    <t>A control area normally established at the confluence of ATS routes in the vicinity of one or more major aerodromes.</t>
  </si>
  <si>
    <t>AtyCode_terminalControlArea</t>
  </si>
  <si>
    <t>upperAdvisoryArea</t>
  </si>
  <si>
    <t>Upper Advisory Area</t>
  </si>
  <si>
    <t>An area of defined dimensions in upper airspace within which air traffic advisory service is available.</t>
  </si>
  <si>
    <t>AtyCode_upperAdvisoryArea</t>
  </si>
  <si>
    <t>(Aeronautical Information Exchange Model (AIXM): 'UTA')</t>
  </si>
  <si>
    <t>upperControlArea</t>
  </si>
  <si>
    <t>Upper Control Area</t>
  </si>
  <si>
    <t>AtyCode_upperControlArea</t>
  </si>
  <si>
    <t>(Aeronautical Information Exchange Model (AIXM): 'UIR')</t>
  </si>
  <si>
    <t>upperFlightInfoRegion</t>
  </si>
  <si>
    <t>Upper Flight Information Region</t>
  </si>
  <si>
    <t>An upper airspace of defined dimensions within which flight information service and alerting service are provided.</t>
  </si>
  <si>
    <t>Each state determines the definition for upper airspace. Not recognized by ICAO.</t>
  </si>
  <si>
    <t>AtyCode_upperFlightInfoRegion</t>
  </si>
  <si>
    <t>(Aeronautical Information Exchange Model (AIXM): 'W')</t>
  </si>
  <si>
    <t>warningArea</t>
  </si>
  <si>
    <t>Warning Area</t>
  </si>
  <si>
    <t>A non-regulatory airspace of defined dimensions designated over international waters that contains activity which may be hazardous to aircraft not participating in the activity.</t>
  </si>
  <si>
    <t>AtyCode_warningArea</t>
  </si>
  <si>
    <t>(Aeronautical Information Exchange Model (AIXM): 'HP')</t>
  </si>
  <si>
    <t>helicopterPropeller</t>
  </si>
  <si>
    <t>Helicopter and Propeller</t>
  </si>
  <si>
    <t>Both propeller aircraft and helicopter aircraft are allowed to operate on the route segment.</t>
  </si>
  <si>
    <t>AarCode_helicopterPropeller</t>
  </si>
  <si>
    <t>helicopterPerformanceClass</t>
  </si>
  <si>
    <t>Only helicopter aircraft are allowed to operate on the route segment.</t>
  </si>
  <si>
    <t>AarCode_helicopterPerformanceClass</t>
  </si>
  <si>
    <t>(Aeronautical Information Exchange Model (AIXM): 'J')</t>
  </si>
  <si>
    <t>jet</t>
  </si>
  <si>
    <t>Jet</t>
  </si>
  <si>
    <t>Only jet aircraft are allowed to operate on the route segment.</t>
  </si>
  <si>
    <t>AarCode_jet</t>
  </si>
  <si>
    <t>(Aeronautical Information Exchange Model (AIXM): 'JP')</t>
  </si>
  <si>
    <t>jetPropeller</t>
  </si>
  <si>
    <t>Jet and Propeller</t>
  </si>
  <si>
    <t>Both jet aircraft and propeller aircraft are allowed to operate on the route segment.</t>
  </si>
  <si>
    <t>AarCode_jetPropeller</t>
  </si>
  <si>
    <t>(Aeronautical Information Exchange Model (AIXM): 'ALL')</t>
  </si>
  <si>
    <t>jetPropellerHelicopter</t>
  </si>
  <si>
    <t>Jet, Propeller and Helicopter</t>
  </si>
  <si>
    <t>Jet aircraft, propeller aircraft as well as helicopter aircraft are allowed to operate on the route segment.</t>
  </si>
  <si>
    <t>AarCode_jetPropellerHelicopter</t>
  </si>
  <si>
    <t>propeller</t>
  </si>
  <si>
    <t>Propeller</t>
  </si>
  <si>
    <t>Only propeller aircraft are allowed to operate on the route segment.</t>
  </si>
  <si>
    <t>AarCode_propeller</t>
  </si>
  <si>
    <t>asAssigned</t>
  </si>
  <si>
    <t>As Assigned</t>
  </si>
  <si>
    <t>Aircraft shall be flown at an altitude/flight level determined by Air Traffic Control.</t>
  </si>
  <si>
    <t>AldCode_asAssigned</t>
  </si>
  <si>
    <t>atOrAbove</t>
  </si>
  <si>
    <t>At or Above</t>
  </si>
  <si>
    <t>Aircraft shall be flown at the specified altitude/flight level or higher.</t>
  </si>
  <si>
    <t>AldCode_atOrAbove</t>
  </si>
  <si>
    <t>atOrBelow</t>
  </si>
  <si>
    <t>At or Below</t>
  </si>
  <si>
    <t>Aircraft shall be flown at the specified altitude/flight level or lower.</t>
  </si>
  <si>
    <t>AldCode_atOrBelow</t>
  </si>
  <si>
    <t>between</t>
  </si>
  <si>
    <t>Between</t>
  </si>
  <si>
    <t>Aircraft shall be flown between the lower and the upper specified altitudes/flight levels.</t>
  </si>
  <si>
    <t>Altitude Window</t>
  </si>
  <si>
    <t>AldCode_between</t>
  </si>
  <si>
    <t>expected</t>
  </si>
  <si>
    <t>Expected</t>
  </si>
  <si>
    <t>Aircraft should be flown at the specified altitude/flight level, unless otherwise instructed by air traffic control.</t>
  </si>
  <si>
    <t>AldCode_expected</t>
  </si>
  <si>
    <t>mandatory</t>
  </si>
  <si>
    <t>Mandatory</t>
  </si>
  <si>
    <t>Aircraft must be flown only at the specified altitude/flight level.</t>
  </si>
  <si>
    <t>AldCode_mandatory</t>
  </si>
  <si>
    <t>recommended</t>
  </si>
  <si>
    <t>Recommended</t>
  </si>
  <si>
    <t>Aircraft should be flown at the specified altitude/flight level.</t>
  </si>
  <si>
    <t>AldCode_recommended</t>
  </si>
  <si>
    <t>artificialMountain</t>
  </si>
  <si>
    <t>Artificial Mountain</t>
  </si>
  <si>
    <t>Having the general form of a mountain (for example: conical and peaked, but smaller) and occupied by amusement attractions.</t>
  </si>
  <si>
    <t>AmaCode_artificialMountain</t>
  </si>
  <si>
    <t>ferrisWheel</t>
  </si>
  <si>
    <t>Ferris Wheel</t>
  </si>
  <si>
    <t>A giant, vertical revolving wheel with passenger cars on its periphery.</t>
  </si>
  <si>
    <t>AmaCode_ferrisWheel</t>
  </si>
  <si>
    <t>rollerCoaster</t>
  </si>
  <si>
    <t>Roller-coaster</t>
  </si>
  <si>
    <t>A switchback railway that goes up and down and/or changes direction repeatedly and/or suddenly.</t>
  </si>
  <si>
    <t>AmaCode_rollerCoaster</t>
  </si>
  <si>
    <t>spherical</t>
  </si>
  <si>
    <t>Spherical</t>
  </si>
  <si>
    <t>Having the form of a sphere and occupied by amusement attractions.</t>
  </si>
  <si>
    <t>For example, Epcot Center.</t>
  </si>
  <si>
    <t>AmaCode_spherical</t>
  </si>
  <si>
    <t>verticalRide</t>
  </si>
  <si>
    <t>Vertical Ride</t>
  </si>
  <si>
    <t>Amusement rides with passenger cars or apparatus that travel up, down, around or between one or more tall fixed vertical structures.</t>
  </si>
  <si>
    <t>For example, drop towers, pendulum rides, bungee jump and reverse bungee rides.</t>
  </si>
  <si>
    <t>AmaCode_verticalRide</t>
  </si>
  <si>
    <t>waterAttraction</t>
  </si>
  <si>
    <t>Water Attraction</t>
  </si>
  <si>
    <t>An amusement ride or activity normally located in an amusement park or water park that involves water as an essential part of the amusement.</t>
  </si>
  <si>
    <t>For example, water slides, splash pads, spraygrounds (water playgrounds), lazy rivers, or other recreational bathing environments. Parks in more current states of development may also be equipped with some type of artificial surfing or bodyboarding environment such as a wave pool or a FlowRider(R).</t>
  </si>
  <si>
    <t>AmaCode_waterAttraction</t>
  </si>
  <si>
    <t>anchorageBerth</t>
  </si>
  <si>
    <t>Anchorage Berth</t>
  </si>
  <si>
    <t>A designated area of water where a single vessel may anchor.</t>
  </si>
  <si>
    <t>In general the anchorage berth is defined by the centre point and a swinging circle.</t>
  </si>
  <si>
    <t>AchCode_anchorageBerth</t>
  </si>
  <si>
    <t>anchorageUpTo24Hours</t>
  </si>
  <si>
    <t>Anchorage for up to 24 hours</t>
  </si>
  <si>
    <t>An area in which vessels anchor or may anchor for periods of up to 24 hours.</t>
  </si>
  <si>
    <t>AchCode_anchorageUpTo24Hours</t>
  </si>
  <si>
    <t>deepWaterAnchorage</t>
  </si>
  <si>
    <t>Deep Water Anchorage</t>
  </si>
  <si>
    <t>An area in which vessels of deep draught anchor or may anchor.</t>
  </si>
  <si>
    <t>AchCode_deepWaterAnchorage</t>
  </si>
  <si>
    <t>explosivesAnchorage</t>
  </si>
  <si>
    <t>Explosives Anchorage</t>
  </si>
  <si>
    <t>An area set apart for anchored ships discharging or receiving explosives.</t>
  </si>
  <si>
    <t>AchCode_explosivesAnchorage</t>
  </si>
  <si>
    <t>navalReserveAnchorage</t>
  </si>
  <si>
    <t>Naval Reserve Anchorage</t>
  </si>
  <si>
    <t>An anchorage for a reserve fleet.</t>
  </si>
  <si>
    <t>A reserve fleet is a collection of naval vessels that are fully equipped for fighting but are not currently needed. They may be modified, for instance by having rust prone areas sealed off or wrapped in plastic. Ships of the reserve fleet are usually moored in backwater areas near naval bases or shipyards, to speed the reactivation process.</t>
  </si>
  <si>
    <t>AchCode_navalReserveAnchorage</t>
  </si>
  <si>
    <t>quarantineAnchorage</t>
  </si>
  <si>
    <t>Quarantine Anchorage</t>
  </si>
  <si>
    <t>An area where a vessel anchors when satisfying quarantine regulations.</t>
  </si>
  <si>
    <t>AchCode_quarantineAnchorage</t>
  </si>
  <si>
    <t>reservedAnchorage</t>
  </si>
  <si>
    <t>Reserved Anchorage</t>
  </si>
  <si>
    <t>A specified area designated by an appropriate authority within which vessels anchor or may anchor in accordance with certain specified conditions.</t>
  </si>
  <si>
    <t>AchCode_reservedAnchorage</t>
  </si>
  <si>
    <t>seaplaneAnchorage</t>
  </si>
  <si>
    <t>Seaplane Anchorage</t>
  </si>
  <si>
    <t>An area in which seaplanes anchor or may anchor.</t>
  </si>
  <si>
    <t>AchCode_seaplaneAnchorage</t>
  </si>
  <si>
    <t>smallCraftAnchorage</t>
  </si>
  <si>
    <t>Small Craft Anchorage</t>
  </si>
  <si>
    <t>An area in which yachts and/or small boats anchor or may anchor.</t>
  </si>
  <si>
    <t>AchCode_smallCraftAnchorage</t>
  </si>
  <si>
    <t>smallCraftMooringArea</t>
  </si>
  <si>
    <t>Small Craft Mooring Area</t>
  </si>
  <si>
    <t>An area in which yachts and small boats moor.</t>
  </si>
  <si>
    <t>AchCode_smallCraftMooringArea</t>
  </si>
  <si>
    <t>tankerAnchorage</t>
  </si>
  <si>
    <t>Tanker Anchorage</t>
  </si>
  <si>
    <t>An area in which tankers anchor or may anchor.</t>
  </si>
  <si>
    <t>AchCode_tankerAnchorage</t>
  </si>
  <si>
    <t>timeLimited</t>
  </si>
  <si>
    <t>Time Limited</t>
  </si>
  <si>
    <t>An area in which vessels may anchor for a period of time not to exceed a specific limit.</t>
  </si>
  <si>
    <t>Restricted in duration or to a specific period of time.</t>
  </si>
  <si>
    <t>AchCode_timeLimited</t>
  </si>
  <si>
    <t>unrestrictedAnchorage</t>
  </si>
  <si>
    <t>Unrestricted Anchorage</t>
  </si>
  <si>
    <t>An area in which vessels anchor or may anchor without restriction.</t>
  </si>
  <si>
    <t>AchCode_unrestrictedAnchorage</t>
  </si>
  <si>
    <t>(Aeronautical Information Exchange Model (AIXM): 'MAG')</t>
  </si>
  <si>
    <t>The horizontal direction of an object or point measured clockwise from Magnetic North up to, but not including, 360 arc degrees.</t>
  </si>
  <si>
    <t>AntCode_magneticBearing</t>
  </si>
  <si>
    <t>(Aeronautical Information Exchange Model (AIXM): 'TRUE')</t>
  </si>
  <si>
    <t>The horizontal direction of an object or point measured clockwise from True North up to, but not including, 360 arc degrees.</t>
  </si>
  <si>
    <t>AntCode_trueBearing</t>
  </si>
  <si>
    <t>(Aeronautical Information Exchange Model (AIXM): 'RAD')</t>
  </si>
  <si>
    <t>vorRadial</t>
  </si>
  <si>
    <t>VOR Radial</t>
  </si>
  <si>
    <t>A magnetic bearing extending from a VOR navigation facility.</t>
  </si>
  <si>
    <t>AntCode_vorRadial</t>
  </si>
  <si>
    <t>camel</t>
  </si>
  <si>
    <t>Camel</t>
  </si>
  <si>
    <t>A large, homeless, humpbacked ruminant with long neck and padded feet, used as a beast of burden.</t>
  </si>
  <si>
    <t>AnbCode_camel</t>
  </si>
  <si>
    <t>cattle</t>
  </si>
  <si>
    <t>Cattle</t>
  </si>
  <si>
    <t>Domesticated animals, especially oxen and cows.</t>
  </si>
  <si>
    <t>AnbCode_cattle</t>
  </si>
  <si>
    <t>dog</t>
  </si>
  <si>
    <t>Dog</t>
  </si>
  <si>
    <t>A domesticated quadruped of numerous breeds classed together as Canis familiaris, derived from crossing of various species, bred as a pet or for special ranges of use.</t>
  </si>
  <si>
    <t>AnbCode_dog</t>
  </si>
  <si>
    <t>donkey</t>
  </si>
  <si>
    <t>Donkey</t>
  </si>
  <si>
    <t>A domesticated horse-like animal that is used as a pack or draught animal.</t>
  </si>
  <si>
    <t>Ass</t>
  </si>
  <si>
    <t>AnbCode_donkey</t>
  </si>
  <si>
    <t>elephant</t>
  </si>
  <si>
    <t>Elephant</t>
  </si>
  <si>
    <t>A large pachydermatous animal, four-footed, with flexible proboscis and long curved tusks, partially domesticated and used as beast of draught and burden.</t>
  </si>
  <si>
    <t>AnbCode_elephant</t>
  </si>
  <si>
    <t>fish</t>
  </si>
  <si>
    <t>Fish</t>
  </si>
  <si>
    <t>An aquatic oviparous, cold blooded vertebrate animal, provided with permanent gills, usually covered with scales and moving by means of fins, that is used as food.</t>
  </si>
  <si>
    <t>AnbCode_fish</t>
  </si>
  <si>
    <t>furBearingAnimal</t>
  </si>
  <si>
    <t>Fur-bearing Animal</t>
  </si>
  <si>
    <t>An animal yielding a fur valuable commercially and bred on farms.</t>
  </si>
  <si>
    <t>AnbCode_furBearingAnimal</t>
  </si>
  <si>
    <t>game</t>
  </si>
  <si>
    <t>Game</t>
  </si>
  <si>
    <t>Wild animal bred in fenced parks for the sake of their flesh and/or skin.</t>
  </si>
  <si>
    <t>AnbCode_game</t>
  </si>
  <si>
    <t>goat</t>
  </si>
  <si>
    <t>Goat</t>
  </si>
  <si>
    <t>A hairy, horned and bearded domesticated ruminant belonging to the genus Capra.</t>
  </si>
  <si>
    <t>AnbCode_goat</t>
  </si>
  <si>
    <t>honeyBee</t>
  </si>
  <si>
    <t>Honey-bee</t>
  </si>
  <si>
    <t>A bee that produces honey as food for man.</t>
  </si>
  <si>
    <t>AnbCode_honeyBee</t>
  </si>
  <si>
    <t>horse</t>
  </si>
  <si>
    <t>Horse</t>
  </si>
  <si>
    <t>A solid-hoofed quadruped with mane and tail of long coarse hair, domesticated for the sake of pack or draught animal as well as for sports.</t>
  </si>
  <si>
    <t>AnbCode_horse</t>
  </si>
  <si>
    <t>llama</t>
  </si>
  <si>
    <t>Llama</t>
  </si>
  <si>
    <t>A domesticated Peruvian wool-bearing animal, resembling a camel, but humpless and smaller, used as a beast of burden and for its wool.</t>
  </si>
  <si>
    <t>AnbCode_llama</t>
  </si>
  <si>
    <t>mule</t>
  </si>
  <si>
    <t>Mule</t>
  </si>
  <si>
    <t>The offspring of a male ass and a mare that is used as a pack animal.</t>
  </si>
  <si>
    <t>Hinny</t>
  </si>
  <si>
    <t>AnbCode_mule</t>
  </si>
  <si>
    <t>pig</t>
  </si>
  <si>
    <t>Pig</t>
  </si>
  <si>
    <t>A swine, domesticated for the sake of its flesh and skin.</t>
  </si>
  <si>
    <t>AnbCode_pig</t>
  </si>
  <si>
    <t>poultry</t>
  </si>
  <si>
    <t>Poultry</t>
  </si>
  <si>
    <t>Domestic fowl, including barn-door fowls, geese, ducks, and turkeys, that are used for their flesh, eggs and/or feathers.</t>
  </si>
  <si>
    <t>AnbCode_poultry</t>
  </si>
  <si>
    <t>reindeer</t>
  </si>
  <si>
    <t>Reindeer</t>
  </si>
  <si>
    <t>A deer inhabiting the sub-arctic parts of the northern hemisphere, domesticated and mostly used as a draught animal.</t>
  </si>
  <si>
    <t>AnbCode_reindeer</t>
  </si>
  <si>
    <t>sheep</t>
  </si>
  <si>
    <t>Sheep</t>
  </si>
  <si>
    <t>A gregarious ruminant animal, especially the domesticated Ovis aries, reared for the sake of its flesh and wool.</t>
  </si>
  <si>
    <t>AnbCode_sheep</t>
  </si>
  <si>
    <t>silkworm</t>
  </si>
  <si>
    <t>Silkworm</t>
  </si>
  <si>
    <t>The larva of Bombyx mori or allied moths that enclose their chrysalis in a cocoon of silk and is bred for the production of silk for textiles.</t>
  </si>
  <si>
    <t>AnbCode_silkworm</t>
  </si>
  <si>
    <t>dipole</t>
  </si>
  <si>
    <t>Dipole</t>
  </si>
  <si>
    <t>A radio antenna that can be made from a simple wire, with a centre fed driven element.</t>
  </si>
  <si>
    <t>XesCode_dipole</t>
  </si>
  <si>
    <t>longWire</t>
  </si>
  <si>
    <t>Long Wire</t>
  </si>
  <si>
    <t>A radio frequency antenna consisting of a wire whose length does not bear relation to the wavelength of the radio waves used, and chosen more for for convenience.</t>
  </si>
  <si>
    <t>XesCode_longWire</t>
  </si>
  <si>
    <t>phasedArray</t>
  </si>
  <si>
    <t>Phased Array</t>
  </si>
  <si>
    <t>A group of antennas which varies respective signals feeding the antennas effectively to reinforce radiation pattern in desired directions, and suppressing undesired directions.</t>
  </si>
  <si>
    <t>XesCode_phasedArray</t>
  </si>
  <si>
    <t>yagi</t>
  </si>
  <si>
    <t>Yagi</t>
  </si>
  <si>
    <t>A directional radio or TV antenna consisting of two or more dipoles in the same plane with all dipoles parallel to each other.</t>
  </si>
  <si>
    <t>XesCode_yagi</t>
  </si>
  <si>
    <t>nonPrecision</t>
  </si>
  <si>
    <t>Non-precision</t>
  </si>
  <si>
    <t>The runway has the minimum markings required to support non-precision Instrument Flight Rules (IFR) operations.</t>
  </si>
  <si>
    <t>These minimum requirements are the Runway Designation, Centerline, Threshold, and Aiming Point markings.</t>
  </si>
  <si>
    <t>ApmCode_nonPrecision</t>
  </si>
  <si>
    <t>precision</t>
  </si>
  <si>
    <t>Precision</t>
  </si>
  <si>
    <t>The runway has the minimum markings required to support precision Instrument Flight Rules (IFR) operations.</t>
  </si>
  <si>
    <t>These minimum requirements are the Runway Designation, Centerline, Threshold, Aiming Point, and Touchdown Zone markings.</t>
  </si>
  <si>
    <t>ApmCode_precision</t>
  </si>
  <si>
    <t>visual</t>
  </si>
  <si>
    <t>Visual</t>
  </si>
  <si>
    <t>The runway has the minimum markings required to support Visual Flight Rules (VFR) operations.</t>
  </si>
  <si>
    <t>These minimum requirements are the Runway Designation and Centerline markings.</t>
  </si>
  <si>
    <t>ApmCode_visual</t>
  </si>
  <si>
    <t>(Aeronautical Information Exchange Model (AIXM): 'CONVERGING')</t>
  </si>
  <si>
    <t>converging</t>
  </si>
  <si>
    <t>CONVERGING</t>
  </si>
  <si>
    <t>A prefix indicating a procedure with parallel or joining ILS courses operating simultaneously.</t>
  </si>
  <si>
    <t>ApfCode_converging</t>
  </si>
  <si>
    <t>(Aeronautical Information Exchange Model (AIXM): 'COPTER')</t>
  </si>
  <si>
    <t>copter</t>
  </si>
  <si>
    <t>COPTER</t>
  </si>
  <si>
    <t>A prefix indicating a procedure specifically designed for helicopters.</t>
  </si>
  <si>
    <t>ApfCode_copter</t>
  </si>
  <si>
    <t>(Aeronautical Information Exchange Model (AIXM): 'HI')</t>
  </si>
  <si>
    <t>hi</t>
  </si>
  <si>
    <t>HI</t>
  </si>
  <si>
    <t>A prefix indicating an approach procedure with a high altitude initial segment such as a high altitude teardrop penetration.</t>
  </si>
  <si>
    <t>Usually requested by Military. Normally C, D and E Minimums only.</t>
  </si>
  <si>
    <t>ApfCode_hi</t>
  </si>
  <si>
    <t>(Aeronautical Information Exchange Model (AIXM): 'ARSR')</t>
  </si>
  <si>
    <t>airRouteSurveillanceRadar</t>
  </si>
  <si>
    <t>Air Route Surveillance Radar (ARSR)</t>
  </si>
  <si>
    <t>The Instrument Approach Procedure (IAP) depends on the use of Air Route Surveillance Radar (ARSR).</t>
  </si>
  <si>
    <t>IatCode_airRouteSurveillanceRadar</t>
  </si>
  <si>
    <t>(Aeronautical Information Exchange Model (AIXM): 'ARA')</t>
  </si>
  <si>
    <t>airborneRadarApproach</t>
  </si>
  <si>
    <t>Airborne Radar Approach (ARA)</t>
  </si>
  <si>
    <t>The Instrument Approach Procedure (IAP) depends on the use of (precision, on-board) Airborne Radar Approach (ARA) equipment.</t>
  </si>
  <si>
    <t>IatCode_airborneRadarApproach</t>
  </si>
  <si>
    <t>airportSurveillanceRadar</t>
  </si>
  <si>
    <t>Airport Surveillance Radar (ASR)</t>
  </si>
  <si>
    <t>The Instrument Approach Procedure (IAP) depends on the use of Airport Surveillance Radar (ASR).</t>
  </si>
  <si>
    <t>IatCode_airportSurveillanceRadar</t>
  </si>
  <si>
    <t>areaNavigation</t>
  </si>
  <si>
    <t>Area Navigation (RNAV)</t>
  </si>
  <si>
    <t>The Instrument Approach Procedure (IAP) depends on the use of Area Navigation (RNAV) equipment.</t>
  </si>
  <si>
    <t>IatCode_areaNavigation</t>
  </si>
  <si>
    <t>rnavToInstLandingSys</t>
  </si>
  <si>
    <t>Area Navigation (RNAV) to Instrument Landing System (ILS)</t>
  </si>
  <si>
    <t>The Instrument Approach Procedure (IAP) depends on the use of Area Navigation (RNAV) equipment followed by Instrument Landing System (ILS) equipment.</t>
  </si>
  <si>
    <t>IatCode_rnavToInstLandingSys</t>
  </si>
  <si>
    <t>(Aeronautical Information Exchange Model (AIXM): 'DME')</t>
  </si>
  <si>
    <t>distanceMeasuringEquipment</t>
  </si>
  <si>
    <t>The Instrument Approach Procedure (IAP) depends on the use of Distance Measuring Equipment (DME).</t>
  </si>
  <si>
    <t>IatCode_distanceMeasuringEquipment</t>
  </si>
  <si>
    <t>(Aeronautical Information Exchange Model (AIXM): 'DME_DME')</t>
  </si>
  <si>
    <t>dmeWithDistMeasuringEquip</t>
  </si>
  <si>
    <t>Distance Measuring Equipment (DME) with Distance Measuring Equipment (DME)</t>
  </si>
  <si>
    <t>The Instrument Approach Procedure (IAP) depends on the use of Distance Measuring Equipment (DME) with Distance Measuring Equipment (DME) located at an additional location.</t>
  </si>
  <si>
    <t>IatCode_dmeWithDistMeasuringEquip</t>
  </si>
  <si>
    <t>globalNavSatelliteSystem</t>
  </si>
  <si>
    <t>The Instrument Approach Procedure (IAP) depends on the use of Global Navigation Satellite System (GNSS) receiver equipment.</t>
  </si>
  <si>
    <t>IatCode_globalNavSatelliteSystem</t>
  </si>
  <si>
    <t>(Aeronautical Information Exchange Model (AIXM): 'GPS')</t>
  </si>
  <si>
    <t>globalPositioningSystem</t>
  </si>
  <si>
    <t>Global Positioning System (GPS)</t>
  </si>
  <si>
    <t>The Instrument Approach Procedure (IAP) depends on the use of Global Positioning System (GPS) receiver equipment.</t>
  </si>
  <si>
    <t>IatCode_globalPositioningSystem</t>
  </si>
  <si>
    <t>(Aeronautical Information Exchange Model (AIXM): 'IGS')</t>
  </si>
  <si>
    <t>instrumentGuidanceSystem</t>
  </si>
  <si>
    <t>Instrument Guidance System (IGS)</t>
  </si>
  <si>
    <t>The Instrument Approach Procedure (IAP) depends on the use of Instrument Guidance System (IGS) equipment.</t>
  </si>
  <si>
    <t>IatCode_instrumentGuidanceSystem</t>
  </si>
  <si>
    <t>(Aeronautical Information Exchange Model (AIXM): 'ILS')</t>
  </si>
  <si>
    <t>instrumentLandingSystem</t>
  </si>
  <si>
    <t>The Instrument Approach Procedure (IAP) depends on the use of Instrument Landing System (ILS) equipment.</t>
  </si>
  <si>
    <t>IatCode_instrumentLandingSystem</t>
  </si>
  <si>
    <t>(Aeronautical Information Exchange Model (AIXM): 'ILS_PRM')</t>
  </si>
  <si>
    <t>ilsUsingPrecRunwayMonitor</t>
  </si>
  <si>
    <t>Instrument Landing System (ILS) using a Precision Runway Monitor (PRM)</t>
  </si>
  <si>
    <t>The Instrument Approach Procedure (IAP) depends on the use of an Instrument Landing System (ILS) using a Precision Runway Monitor (PRM).</t>
  </si>
  <si>
    <t>IatCode_ilsUsingPrecRunwayMonitor</t>
  </si>
  <si>
    <t>(Aeronautical Information Exchange Model (AIXM): 'ILS_DME')</t>
  </si>
  <si>
    <t>ilsWithDistMeasuringEquip</t>
  </si>
  <si>
    <t>Instrument Landing System (ILS) with Distance Measuring Equipment (DME)</t>
  </si>
  <si>
    <t>The Instrument Approach Procedure (IAP) depends on the use of an Instrument Landing System (ILS) with Distance Measuring Equipment (DME).</t>
  </si>
  <si>
    <t>IatCode_ilsWithDistMeasuringEquip</t>
  </si>
  <si>
    <t>(Aeronautical Information Exchange Model (AIXM): 'LOC')</t>
  </si>
  <si>
    <t>localizer</t>
  </si>
  <si>
    <t>Localizer</t>
  </si>
  <si>
    <t>The Instrument Approach Procedure (IAP) depends on the use of Localizer equipment.</t>
  </si>
  <si>
    <t>IatCode_localizer</t>
  </si>
  <si>
    <t>(Aeronautical Information Exchange Model (AIXM): 'LOC_BC')</t>
  </si>
  <si>
    <t>localizerBackCourse</t>
  </si>
  <si>
    <t>Localizer Back Course</t>
  </si>
  <si>
    <t>The Instrument Approach Procedure (IAP) depends on the use of Localizer Back Course equipment.</t>
  </si>
  <si>
    <t>IatCode_localizerBackCourse</t>
  </si>
  <si>
    <t>(Aeronautical Information Exchange Model (AIXM): 'LOC_DME')</t>
  </si>
  <si>
    <t>localizerWithDme</t>
  </si>
  <si>
    <t>Localizer with Distance Measuring Equipment (DME)</t>
  </si>
  <si>
    <t>The Instrument Approach Procedure (IAP) depends on the use of a Localizer with Distance Measuring Equipment (DME).</t>
  </si>
  <si>
    <t>IatCode_localizerWithDme</t>
  </si>
  <si>
    <t>(Aeronautical Information Exchange Model (AIXM): 'LOC_DME_BC')</t>
  </si>
  <si>
    <t>localizerWithDmeBackCourse</t>
  </si>
  <si>
    <t>Localizer with Distance Measuring Equipment (DME) Back Course</t>
  </si>
  <si>
    <t>The Instrument Approach Procedure (IAP) depends on the use of a Localizer Back Course with Distance Measuring Equipment (DME).</t>
  </si>
  <si>
    <t>IatCode_localizerWithDmeBackCourse</t>
  </si>
  <si>
    <t>(Aeronautical Information Exchange Model (AIXM): 'LDA')</t>
  </si>
  <si>
    <t>localizerTypeDirectionAid</t>
  </si>
  <si>
    <t>The Instrument Approach Procedure (IAP) depends on the use of Localizer Type Directional Aid (LDA) equipment.</t>
  </si>
  <si>
    <t>IatCode_localizerTypeDirectionAid</t>
  </si>
  <si>
    <t>(Aeronautical Information Exchange Model (AIXM): 'LDA_DME')</t>
  </si>
  <si>
    <t>ldaWithDistMeasuringEquip</t>
  </si>
  <si>
    <t>Localizer-type Directional Aid (LDA) with Distance Measuring Equipment (DME)</t>
  </si>
  <si>
    <t>The Instrument Approach Procedure (IAP) depends on the use of a Localizer Type Directional Aid (LDA) with Distance Measuring Equipment (DME).</t>
  </si>
  <si>
    <t>IatCode_ldaWithDistMeasuringEquip</t>
  </si>
  <si>
    <t>(Aeronautical Information Exchange Model (AIXM): 'MLS')</t>
  </si>
  <si>
    <t>microwaveLandingSystem</t>
  </si>
  <si>
    <t>The Instrument Approach Procedure (IAP) depends on the use of Microwave Landing System (MLS) equipment.</t>
  </si>
  <si>
    <t>IatCode_microwaveLandingSystem</t>
  </si>
  <si>
    <t>(Aeronautical Information Exchange Model (AIXM): 'MLS_DME')</t>
  </si>
  <si>
    <t>mlsWithDistMeasuringEquip</t>
  </si>
  <si>
    <t>Microwave Landing System (MLS) with Distance Measuring Equipment (DME)</t>
  </si>
  <si>
    <t>The Instrument Approach Procedure (IAP) depends on the use of a Microwave Landing System (MLS) with Distance Measuring Equipment (DME).</t>
  </si>
  <si>
    <t>IatCode_mlsWithDistMeasuringEquip</t>
  </si>
  <si>
    <t>(Aeronautical Information Exchange Model (AIXM): 'NDB')</t>
  </si>
  <si>
    <t>nonDirectionalBeacon</t>
  </si>
  <si>
    <t>Non-Directional Beacon (NDB)</t>
  </si>
  <si>
    <t>The Instrument Approach Procedure (IAP) depends on the use of Non-Directional Beacon (NDB) equipment.</t>
  </si>
  <si>
    <t>IatCode_nonDirectionalBeacon</t>
  </si>
  <si>
    <t>(Aeronautical Information Exchange Model (AIXM): 'NDB_DME')</t>
  </si>
  <si>
    <t>ndbWithDistMeasuringEquip</t>
  </si>
  <si>
    <t>Non-Directional Beacon (NDB) with Distance Measuring Equipment (DME)</t>
  </si>
  <si>
    <t>The Instrument Approach Procedure (IAP) depends on the use of a Non-Directional Beacon (NDB) with Distance Measuring Equipment (DME).</t>
  </si>
  <si>
    <t>IatCode_ndbWithDistMeasuringEquip</t>
  </si>
  <si>
    <t>precisionApproachRadar</t>
  </si>
  <si>
    <t>The Instrument Approach Procedure (IAP) depends on the use of Precision Approach Radar (PAR).</t>
  </si>
  <si>
    <t>IatCode_precisionApproachRadar</t>
  </si>
  <si>
    <t>(Aeronautical Information Exchange Model (AIXM): 'RNP')</t>
  </si>
  <si>
    <t>requiredNavPerformance</t>
  </si>
  <si>
    <t>Required Navigation Performance (RNP)</t>
  </si>
  <si>
    <t>The Instrument Approach Procedure (IAP) depends on the use of Required Navigation Performance (RNP) capabilities.</t>
  </si>
  <si>
    <t>IatCode_requiredNavPerformance</t>
  </si>
  <si>
    <t>The Instrument Approach Procedure (IAP) depends on the use of Satellite Based Augmentation System (SBAS) equipment.</t>
  </si>
  <si>
    <t>IatCode_satelliteBasedAugSystem</t>
  </si>
  <si>
    <t>(Aeronautical Information Exchange Model (AIXM): 'SDF')</t>
  </si>
  <si>
    <t>simplifiedDirectionalFac</t>
  </si>
  <si>
    <t>The Instrument Approach Procedure (IAP) depends on the use of Simplified Directional Facility (SDF) equipment.</t>
  </si>
  <si>
    <t>IatCode_simplifiedDirectionalFac</t>
  </si>
  <si>
    <t>specAircraftCrewApproval</t>
  </si>
  <si>
    <t>Special Aircraft and Aircrew Approval Required (SAAAR)</t>
  </si>
  <si>
    <t>The Instrument Approach Procedure (IAP) depends on the use of Required Navigation Performance (RNP) Special Aircraft and Aircrew Approval Required (SAAAR) capabilities.</t>
  </si>
  <si>
    <t>IatCode_specAircraftCrewApproval</t>
  </si>
  <si>
    <t>(Aeronautical Information Exchange Model (AIXM): 'TLS')</t>
  </si>
  <si>
    <t>transponderLandingSystem</t>
  </si>
  <si>
    <t>Transponder Landing System (TLS)</t>
  </si>
  <si>
    <t>The Instrument Approach Procedure (IAP) depends on the use of Transponder Landing System (TLS) equipment.</t>
  </si>
  <si>
    <t>IatCode_transponderLandingSystem</t>
  </si>
  <si>
    <t>(Aeronautical Information Exchange Model (AIXM): 'TACAN')</t>
  </si>
  <si>
    <t>uhfTacticalAirNavBeacon</t>
  </si>
  <si>
    <t>UHF Tactical Air Navigation (TACAN) Beacon</t>
  </si>
  <si>
    <t>The Instrument Approach Procedure (IAP) depends on the use of UHF Tactical Air Navigation (TACAN) Beacon equipment.</t>
  </si>
  <si>
    <t>IatCode_uhfTacticalAirNavBeacon</t>
  </si>
  <si>
    <t>(Aeronautical Information Exchange Model (AIXM): 'VOR')</t>
  </si>
  <si>
    <t>vhfOmnidirectionalRadio</t>
  </si>
  <si>
    <t>VHF Omnidirectional Radio (VOR)</t>
  </si>
  <si>
    <t>The Instrument Approach Procedure (IAP) depends on the use of VHF Omnidirectional Radio (VOR) equipment.</t>
  </si>
  <si>
    <t>IatCode_vhfOmnidirectionalRadio</t>
  </si>
  <si>
    <t>(Aeronautical Information Exchange Model (AIXM): 'VOR_DME')</t>
  </si>
  <si>
    <t>vorWithDistMeasuringEquip</t>
  </si>
  <si>
    <t>VHF Omnidirectional Radio (VOR) with Distance Measuring Equipment (DME)</t>
  </si>
  <si>
    <t>The Instrument Approach Procedure (IAP) depends on the use of a VHF Omnidirectional Radio (VOR) with Distance Measuring Equipment (DME).</t>
  </si>
  <si>
    <t>IatCode_vorWithDistMeasuringEquip</t>
  </si>
  <si>
    <t>(Aeronautical Information Exchange Model (AIXM): 'VORTAC')</t>
  </si>
  <si>
    <t>vorWithTacanBeacon</t>
  </si>
  <si>
    <t>VHF Omnidirectional Radio (VOR) with UHF Tactical Air Navigation (TACAN) Beacon</t>
  </si>
  <si>
    <t>The Instrument Approach Procedure (IAP) depends on the use of a VHF Omnidirectional Radio (VOR) with UHF Tactical Air Navigation (TACAN) Beacon equipment.</t>
  </si>
  <si>
    <t>IatCode_vorWithTacanBeacon</t>
  </si>
  <si>
    <t>The Instrument Approach Procedure (IAP) depends on the use of Visual procedures.</t>
  </si>
  <si>
    <t>IatCode_visual</t>
  </si>
  <si>
    <t>cargo</t>
  </si>
  <si>
    <t>Cargo</t>
  </si>
  <si>
    <t>An area designed for aircraft maneuvering and parking that is adjacent or readily accessible to cargo facilities.</t>
  </si>
  <si>
    <t>Depot Apron</t>
  </si>
  <si>
    <t>ApyCode_cargo</t>
  </si>
  <si>
    <t>dispersal</t>
  </si>
  <si>
    <t>Dispersal</t>
  </si>
  <si>
    <t>An area for a single military aircraft designed to isolate the damage suffered by one aircraft from spreading to the others during an attack.</t>
  </si>
  <si>
    <t>Usually found in a group but separated from others by distance and often revetted. They are found arrayed along a loop taxiway that is connected to the runway(s).</t>
  </si>
  <si>
    <t>ApyCode_dispersal</t>
  </si>
  <si>
    <t>generalAviation</t>
  </si>
  <si>
    <t>General Aviation</t>
  </si>
  <si>
    <t>An area designed for aircraft maneuvering and parking that is adjacent or readily accessible to facilities that support corporate or personal flying operations.</t>
  </si>
  <si>
    <t>ApyCode_generalAviation</t>
  </si>
  <si>
    <t>holding</t>
  </si>
  <si>
    <t>Holding</t>
  </si>
  <si>
    <t>A defined area where aircraft can be held, or bypassed, to facilitate efficient surface movement of aircraft.</t>
  </si>
  <si>
    <t>ApyCode_holding</t>
  </si>
  <si>
    <t>An area designed for aircraft maneuvering and parking that is adjacent or readily accessible to facilities that support military operations.</t>
  </si>
  <si>
    <t>ApyCode_military</t>
  </si>
  <si>
    <t>passenger</t>
  </si>
  <si>
    <t>Passenger</t>
  </si>
  <si>
    <t>An area designed for aircraft maneuvering and parking that is adjacent or readily accessible to passenger terminal facilities.</t>
  </si>
  <si>
    <t>ApyCode_passenger</t>
  </si>
  <si>
    <t>remoteParking</t>
  </si>
  <si>
    <t>Remote Parking</t>
  </si>
  <si>
    <t>An area removed from the passenger or cargo terminal where aircraft may park as to not disturb normal aerodrome operations.</t>
  </si>
  <si>
    <t>ApyCode_remoteParking</t>
  </si>
  <si>
    <t>servicesHangar</t>
  </si>
  <si>
    <t>Services and/or Hangar</t>
  </si>
  <si>
    <t>An uncovered area adjacent to a hangar on which aircraft maintenance can be performed, or an area on which aircraft move into and out of a hangar.</t>
  </si>
  <si>
    <t>ApyCode_servicesHangar</t>
  </si>
  <si>
    <t>aircraftWashStand</t>
  </si>
  <si>
    <t>Aircraft Wash Stand</t>
  </si>
  <si>
    <t>An apron where aircraft are cleaned.</t>
  </si>
  <si>
    <t>ApuCode_aircraftWashStand</t>
  </si>
  <si>
    <t>alert</t>
  </si>
  <si>
    <t>Alert</t>
  </si>
  <si>
    <t>An military apron usually collocated with a taxiway with rapid access to a runway end, used by combat-ready aircraft prepared to take off on short notice.</t>
  </si>
  <si>
    <t>Holding Bay, Holding Apron</t>
  </si>
  <si>
    <t>ApuCode_alert</t>
  </si>
  <si>
    <t>compassRose</t>
  </si>
  <si>
    <t>Compass Rose</t>
  </si>
  <si>
    <t>A painted compass rose on the surface of an apron, used as reference to calibrate on-board aircraft compasses.</t>
  </si>
  <si>
    <t>ApuCode_compassRose</t>
  </si>
  <si>
    <t>decontamination</t>
  </si>
  <si>
    <t>Decontamination</t>
  </si>
  <si>
    <t>A designated site where a Chemical, Biological, Radiological or Nuclear (CBRN) contaminated aircraft, checked at landing, is sent to be decontaminated by special teams.</t>
  </si>
  <si>
    <t>ApuCode_decontamination</t>
  </si>
  <si>
    <t>deIcingAntiIcing</t>
  </si>
  <si>
    <t>De-icing and/or Anti-icing</t>
  </si>
  <si>
    <t>An apron where frost, ice or snow is removed (de-icing) from the aircraft to provide clean surfaces, and/or where clean surfaces of the aircraft receive protection (anti-icing) preventing the formation of frost or ice and accumulation of snow or slush for a limited period of time.</t>
  </si>
  <si>
    <t>ApuCode_deIcingAntiIcing</t>
  </si>
  <si>
    <t>engineRunUp</t>
  </si>
  <si>
    <t>Engine Run Up</t>
  </si>
  <si>
    <t>An apron where aircraft engines are occasionally pre-flight tested at high RPM.</t>
  </si>
  <si>
    <t>May be equipped with one or more blast deflectors.</t>
  </si>
  <si>
    <t>Pad Apron</t>
  </si>
  <si>
    <t>ApuCode_engineRunUp</t>
  </si>
  <si>
    <t>firingIn</t>
  </si>
  <si>
    <t>Firing-In</t>
  </si>
  <si>
    <t>Designed for the use of a single military fighter aircraft for zeroing-in and aligning forward-firing weapons, located in a protected area opposite a tall, wide earthen targeting wall.</t>
  </si>
  <si>
    <t>ApuCode_firingIn</t>
  </si>
  <si>
    <t>fuelling</t>
  </si>
  <si>
    <t>Fuelling</t>
  </si>
  <si>
    <t>An apron that is used for either or both the loading or unloading of fuel.</t>
  </si>
  <si>
    <t>ApuCode_fuelling</t>
  </si>
  <si>
    <t>hotRefuelling</t>
  </si>
  <si>
    <t>Hot Refuelling</t>
  </si>
  <si>
    <t>An apron that is used for the loading of fuel while the aircraft engines are running.</t>
  </si>
  <si>
    <t>ApuCode_hotRefuelling</t>
  </si>
  <si>
    <t>insAlignment</t>
  </si>
  <si>
    <t>INS Alignment</t>
  </si>
  <si>
    <t>A designated location where the automated Inertial Navigation System (INS) instruments of aircraft are reset before taking-off.</t>
  </si>
  <si>
    <t>ApuCode_insAlignment</t>
  </si>
  <si>
    <t>loadingUnloading</t>
  </si>
  <si>
    <t>Loading and/or Unloading</t>
  </si>
  <si>
    <t>An apron that is used for either or both the loading or unloading passengers or cargo.</t>
  </si>
  <si>
    <t>ApuCode_loadingUnloading</t>
  </si>
  <si>
    <t>maintenance</t>
  </si>
  <si>
    <t>Maintenance</t>
  </si>
  <si>
    <t>An apron where aircraft maintenance is performed.</t>
  </si>
  <si>
    <t>It is often attended by special purpose vehicles.</t>
  </si>
  <si>
    <t>ApuCode_maintenance</t>
  </si>
  <si>
    <t>parking</t>
  </si>
  <si>
    <t>Parking</t>
  </si>
  <si>
    <t>An apron used for parking of aircraft.</t>
  </si>
  <si>
    <t>ApuCode_parking</t>
  </si>
  <si>
    <t>An apron where space has been set aside for use by visiting aircraft.</t>
  </si>
  <si>
    <t>Itinerant</t>
  </si>
  <si>
    <t>ApuCode_transient</t>
  </si>
  <si>
    <t>weaponLoading</t>
  </si>
  <si>
    <t>Weapon Loading</t>
  </si>
  <si>
    <t>An apron that is used for either or both the loading or unloading of aircraft weaponry.</t>
  </si>
  <si>
    <t>ApuCode_weaponLoading</t>
  </si>
  <si>
    <t>fishFarm</t>
  </si>
  <si>
    <t>Fish Farm</t>
  </si>
  <si>
    <t>A facility involved in the raising of fish commercially in tanks or landlocked enclosures, usually for food.</t>
  </si>
  <si>
    <t>AqfCode_fishFarm</t>
  </si>
  <si>
    <t>fishHatchery</t>
  </si>
  <si>
    <t>Fish Hatchery</t>
  </si>
  <si>
    <t>A facility that raises and then releases juvenile fish into the wild to support recreational fishing, or to supplement the natural numbers of a species.</t>
  </si>
  <si>
    <t>AqfCode_fishHatchery</t>
  </si>
  <si>
    <t>freshwaterPrawnFarm</t>
  </si>
  <si>
    <t>Freshwater Prawn Farm</t>
  </si>
  <si>
    <t>An aquaculture business designed to raise and produce freshwater prawn or shrimp for human consumption.</t>
  </si>
  <si>
    <t>AqfCode_freshwaterPrawnFarm</t>
  </si>
  <si>
    <t>kelpFarm</t>
  </si>
  <si>
    <t>Kelp Farm</t>
  </si>
  <si>
    <t>The harvesting of the top few feet of natural kelp beds by boats with mowers.</t>
  </si>
  <si>
    <t>AqfCode_kelpFarm</t>
  </si>
  <si>
    <t>marineCulture</t>
  </si>
  <si>
    <t>Marine Culture</t>
  </si>
  <si>
    <t>The cultivation of marine organisms for food and other products in either the open ocean, in an enclosed section of the ocean, or in tanks, ponds or raceways that are filled with seawater (for example: the farming of marine fish, prawns, or oysters in saltwater ponds).</t>
  </si>
  <si>
    <t>AqfCode_marineCulture</t>
  </si>
  <si>
    <t>seaRanch</t>
  </si>
  <si>
    <t>Sea Ranch</t>
  </si>
  <si>
    <t>A process for free ranching marine fish or sea ranching.</t>
  </si>
  <si>
    <t>The principle is based on behavioral conditioning and the migratory nature of certain species of marine fish. Fish hatchlings are initially raised in a closely knitted net in a harbor, during which time an underwater horn is sounded before each feeding. When the young fish are old enough they are freed from the net to mature in the open sea. During spawning season, about 80 percent of these fish return to their birthplace. The fish are harvested by sounding the horn and then raising the net.</t>
  </si>
  <si>
    <t>AqfCode_seaRanch</t>
  </si>
  <si>
    <t>shrimpFarm</t>
  </si>
  <si>
    <t>Shrimp Farm</t>
  </si>
  <si>
    <t>An aquaculture business for the cultivation of marine shrimp for human consumption.</t>
  </si>
  <si>
    <t>AqfCode_shrimpFarm</t>
  </si>
  <si>
    <t>emergent</t>
  </si>
  <si>
    <t>Emergent</t>
  </si>
  <si>
    <t>Aquatic vegetation that is rooted in the sediments and either extends above the water surface for a short height or floats on the surface of the water.</t>
  </si>
  <si>
    <t>Includes water lilies, grasses, sedges, and rushes.</t>
  </si>
  <si>
    <t>AghCode_emergent</t>
  </si>
  <si>
    <t>freeFloating</t>
  </si>
  <si>
    <t>Free-floating</t>
  </si>
  <si>
    <t>Aquatic vegetation that is not rooted and floats with local currents.</t>
  </si>
  <si>
    <t>Algae that can accumulate in still waters, coastally, within coves and/or along frontal boundaries.</t>
  </si>
  <si>
    <t>AghCode_freeFloating</t>
  </si>
  <si>
    <t>submerged</t>
  </si>
  <si>
    <t>Submerged</t>
  </si>
  <si>
    <t>Aquatic vegetation that grows completely under the surface of the water.</t>
  </si>
  <si>
    <t>Includes sea grass and large (macro) algae such as kelp. Parts of the plant may expose at low water levels, but the plant will begin to die if the normal water level is not soon restored.</t>
  </si>
  <si>
    <t>AghCode_submerged</t>
  </si>
  <si>
    <t>waterlogged</t>
  </si>
  <si>
    <t>Waterlogged</t>
  </si>
  <si>
    <t>Aquatic vegetation that occurs in waterlogged soils and has specialized roots for stabilization and oxygen.</t>
  </si>
  <si>
    <t>Includes mangroves, cypress, and shrubs. Normally located in areas sheltered from high-energy waves.</t>
  </si>
  <si>
    <t>AghCode_waterlogged</t>
  </si>
  <si>
    <t>qanat</t>
  </si>
  <si>
    <t>Qanat</t>
  </si>
  <si>
    <t>An artificial gently sloping underground channel or tunnel connected to the surface by qanat shafts.</t>
  </si>
  <si>
    <t>A qanat aqueduct generally starts in the mountains and uses gravity to bring water to a village below.</t>
  </si>
  <si>
    <t>AtcCode_qanat</t>
  </si>
  <si>
    <t>surface</t>
  </si>
  <si>
    <t>Surface</t>
  </si>
  <si>
    <t>A lined but usually uncovered surface-level channel.</t>
  </si>
  <si>
    <t>In order to allow for gravity-driven flow it may be raised on an embankment, supported by a bridge, and/or pass through a terrain cut.</t>
  </si>
  <si>
    <t>AtcCode_surface</t>
  </si>
  <si>
    <t>underground</t>
  </si>
  <si>
    <t>Underground</t>
  </si>
  <si>
    <t>An artificial gently sloping underground channel or tunnel.</t>
  </si>
  <si>
    <t>Usually lined to prevent or reduce water loss.</t>
  </si>
  <si>
    <t>AtcCode_underground</t>
  </si>
  <si>
    <t>underwater</t>
  </si>
  <si>
    <t>Underwater</t>
  </si>
  <si>
    <t>A pipe located on a waterbody bottom.</t>
  </si>
  <si>
    <t>May be either buried or lie relatively unprotected on the waterbody bottom.</t>
  </si>
  <si>
    <t>AtcCode_underwater</t>
  </si>
  <si>
    <t>basalt</t>
  </si>
  <si>
    <t>Basalt</t>
  </si>
  <si>
    <t>A dark-colored fine-grained extrusive or intrusive igneous rock composed largely of plagioclase feldspar and pyroxene.</t>
  </si>
  <si>
    <t>AqpCode_basalt</t>
  </si>
  <si>
    <t>boulders</t>
  </si>
  <si>
    <t>Boulders</t>
  </si>
  <si>
    <t>Loose rock (sediment) larger than 256 millimetres (10 inches).</t>
  </si>
  <si>
    <t>AqpCode_boulders</t>
  </si>
  <si>
    <t>A clastic mineral particle of any composition that has a grain size smaller than 1/256 millimetres.</t>
  </si>
  <si>
    <t>Descriptive of a broad category of hydrous silicate minerals in which the silica tetrahedrons are arranged into sheets. Clastic rocks are composed of fragments, or clasts, of pre-existing rock.</t>
  </si>
  <si>
    <t>AqpCode_clay</t>
  </si>
  <si>
    <t>conglomerate</t>
  </si>
  <si>
    <t>Conglomerate</t>
  </si>
  <si>
    <t>A clastic sedimentary rock that contains large (greater than 2.0 millimetres In diameter) rounded or semirounded rock particles.</t>
  </si>
  <si>
    <t>The space between the rock particles are generally filled with smaller particles and/or chemical cement that bind the rock together.</t>
  </si>
  <si>
    <t>AqpCode_conglomerate</t>
  </si>
  <si>
    <t>dolomite</t>
  </si>
  <si>
    <t>Dolomite</t>
  </si>
  <si>
    <t>A sedimentary rock type of compact limestone consisting of calcium magnesium carbonate in the form of the mineral dolomite.</t>
  </si>
  <si>
    <t>AqpCode_dolomite</t>
  </si>
  <si>
    <t>granite</t>
  </si>
  <si>
    <t>Granite</t>
  </si>
  <si>
    <t>A coarse-grained, intrusive igneous rock composed primarily of light colored minerals such as quartz, orthoclase, sodium plagioclase and muscovite mica.</t>
  </si>
  <si>
    <t>AqpCode_granite</t>
  </si>
  <si>
    <t>Clastic sedimentary particles of any composition that are greater than 2.0 millimetres in diameter and less than 256 millimetres.</t>
  </si>
  <si>
    <t>Clastic rocks are composed of fragments, or clasts, of pre-existing rock.</t>
  </si>
  <si>
    <t>AqpCode_gravel</t>
  </si>
  <si>
    <t>igneousRock</t>
  </si>
  <si>
    <t>Igneous Rock</t>
  </si>
  <si>
    <t>Rock formed by the solidification of molten rock material below the Earth's surface or rock formed at the Earth's surface as a result of the partial melting of rocks within the mantle and crust.</t>
  </si>
  <si>
    <t>When formed below the Earth's surface it is called intrusive igneous rocks. When formed at the Earth's surface it is called extrusive igneous rocks.</t>
  </si>
  <si>
    <t>AqpCode_igneousRock</t>
  </si>
  <si>
    <t>karst</t>
  </si>
  <si>
    <t>Karst</t>
  </si>
  <si>
    <t>A landscape, normally underlain by limestone, dolomite or gypsum, where the topography is primarily formed by the dissolving of rock by water, and in which the bedrock may be characterized by voids and cavities.</t>
  </si>
  <si>
    <t>Karst areas have numerous depressions and/or valleys caused by the collapse of the underlying bedrock. Karst topography is characterized by sinkholes, sinking streams, closed depressions, subterranean drainage, and caves.</t>
  </si>
  <si>
    <t>AqpCode_karst</t>
  </si>
  <si>
    <t>limestone</t>
  </si>
  <si>
    <t>Limestone</t>
  </si>
  <si>
    <t>A sedimentary rock that contains at least 50 percent calcium carbonate in the form of calcite by weight.</t>
  </si>
  <si>
    <t>Limestone is usually formed from shells of once-living organisms or other organic processes, but may also form by inorganic precipitation.</t>
  </si>
  <si>
    <t>AqpCode_limestone</t>
  </si>
  <si>
    <t>marl</t>
  </si>
  <si>
    <t>Marl</t>
  </si>
  <si>
    <t>A calcium carbonate or lime-rich mud or mudstone which contains variable amounts of clays and aragonite.</t>
  </si>
  <si>
    <t>It is formed by precipitation in lake or marine settings. High calcium carbonate content tends to make dried marl earthy and crumbly.</t>
  </si>
  <si>
    <t>AqpCode_marl</t>
  </si>
  <si>
    <t>metamorphicRock</t>
  </si>
  <si>
    <t>Metamorphic Rock</t>
  </si>
  <si>
    <t>Existing rocks that have been altered by heat and pressure or by contact with molten magma.</t>
  </si>
  <si>
    <t>Examples include quartzite and marble.</t>
  </si>
  <si>
    <t>AqpCode_metamorphicRock</t>
  </si>
  <si>
    <t>mud</t>
  </si>
  <si>
    <t>Mud</t>
  </si>
  <si>
    <t>A sedimentary material consisting of a mixture of clay and/or silt with water to form a plastic mass with a grain size preponderantly below 0.06 millimetres in diameter.</t>
  </si>
  <si>
    <t>Mud is deposited in low-energy environments in lakes, estuaries and lagoons. It may also be deposited in deep-sea environments.</t>
  </si>
  <si>
    <t>AqpCode_mud</t>
  </si>
  <si>
    <t>A sedimentary material, finer than gravel and coarser than silt, with grains between 1/16 and 2.0 millimetres in diameter.</t>
  </si>
  <si>
    <t>AqpCode_sand</t>
  </si>
  <si>
    <t>sandstone</t>
  </si>
  <si>
    <t>Sandstone</t>
  </si>
  <si>
    <t>Any of various sedimentary rocks composed of sand grains, especially of quartz, cemented together.</t>
  </si>
  <si>
    <t>Typically red, yellow, brown, grey, or white in colour.</t>
  </si>
  <si>
    <t>AqpCode_sandstone</t>
  </si>
  <si>
    <t>schist</t>
  </si>
  <si>
    <t>Schist</t>
  </si>
  <si>
    <t>A metamorphic rock containing abundant particles of mica, characterized by strong foliation, and originating from a metamorphism in which directed pressure plays a significant role.</t>
  </si>
  <si>
    <t>AqpCode_schist</t>
  </si>
  <si>
    <t>semiConsolidatedVolcanicAsh</t>
  </si>
  <si>
    <t>Semi-consolidated and Consolidated Volcanic Ash</t>
  </si>
  <si>
    <t>Fine particles of volcanic rock and glass blown into the atmosphere by volcanic eruptions, which have settled to form semi-consolidated to consolidated layers, for example tuff, but may include agglomerate, pyroclastic breccia, lapillistone, and lapilli tuff.</t>
  </si>
  <si>
    <t>Volcanic ash includes tiny jagged pieces of rock and glass that are hard, mildly corrosive, conduct electricity when wet, and does not dissolve in water.</t>
  </si>
  <si>
    <t>AqpCode_semiConsolidatedVolcanicAsh</t>
  </si>
  <si>
    <t>shale</t>
  </si>
  <si>
    <t>Shale</t>
  </si>
  <si>
    <t>Soft finely stratified rock that splits easily into fragile laminae, consisting of consolidated mud or clay.</t>
  </si>
  <si>
    <t>AqpCode_shale</t>
  </si>
  <si>
    <t>unconsolidated</t>
  </si>
  <si>
    <t>Unconsolidated</t>
  </si>
  <si>
    <t>Sediment that has not been lithified.</t>
  </si>
  <si>
    <t>Lithification is the process in which sediments compact under pressure, expel connate fluids, and gradually become solid rock.</t>
  </si>
  <si>
    <t>AqpCode_unconsolidated</t>
  </si>
  <si>
    <t>volcanicRock</t>
  </si>
  <si>
    <t>Volcanic Rock</t>
  </si>
  <si>
    <t>Rock formed by the solidification of molten rock material at or near the Earth's surface.</t>
  </si>
  <si>
    <t>AqpCode_volcanicRock</t>
  </si>
  <si>
    <t>AqoCode_basalt</t>
  </si>
  <si>
    <t>AqoCode_boulders</t>
  </si>
  <si>
    <t>AqoCode_clay</t>
  </si>
  <si>
    <t>AqoCode_conglomerate</t>
  </si>
  <si>
    <t>AqoCode_dolomite</t>
  </si>
  <si>
    <t>AqoCode_granite</t>
  </si>
  <si>
    <t>AqoCode_gravel</t>
  </si>
  <si>
    <t>AqoCode_igneousRock</t>
  </si>
  <si>
    <t>AqoCode_karst</t>
  </si>
  <si>
    <t>AqoCode_limestone</t>
  </si>
  <si>
    <t>AqoCode_marl</t>
  </si>
  <si>
    <t>AqoCode_metamorphicRock</t>
  </si>
  <si>
    <t>AqoCode_mud</t>
  </si>
  <si>
    <t>AqoCode_sand</t>
  </si>
  <si>
    <t>AqoCode_sandstone</t>
  </si>
  <si>
    <t>AqoCode_schist</t>
  </si>
  <si>
    <t>AqoCode_semiConsolidatedVolcanicAsh</t>
  </si>
  <si>
    <t>AqoCode_shale</t>
  </si>
  <si>
    <t>AqoCode_unconsolidated</t>
  </si>
  <si>
    <t>AqoCode_volcanicRock</t>
  </si>
  <si>
    <t>Between 10 and 20 litres per second.</t>
  </si>
  <si>
    <t>An aquifer with intermediate permeability (permeabilty coefficient from 10E-4 to 10E-6 metres per second). It has the potential to be considered a source for public supply or industry.</t>
  </si>
  <si>
    <t>AqcCode_high</t>
  </si>
  <si>
    <t>Between 0.1 and 1 litres per second.</t>
  </si>
  <si>
    <t>An aquifer with moderate and variable permeability (permeabilty coefficient from 10E-6 to 10E-8 metres per second). It is considered suitable for groundwater supplies to a single or a small group of houses.</t>
  </si>
  <si>
    <t>AqcCode_low</t>
  </si>
  <si>
    <t>moderate</t>
  </si>
  <si>
    <t>Moderate</t>
  </si>
  <si>
    <t>Between 1 and 10 litres per second.</t>
  </si>
  <si>
    <t>An aquifer located at great depth.</t>
  </si>
  <si>
    <t>AqcCode_moderate</t>
  </si>
  <si>
    <t>veryHigh</t>
  </si>
  <si>
    <t>Very High</t>
  </si>
  <si>
    <t>Greater than 20 litres per second.</t>
  </si>
  <si>
    <t>An aquifer with high permeability (permeabilty coefficient greater than 10E-4 metres per second). It has the potential to be considered a source for public supply or industry.</t>
  </si>
  <si>
    <t>AqcCode_veryHigh</t>
  </si>
  <si>
    <t>veryLow</t>
  </si>
  <si>
    <t>Very Low</t>
  </si>
  <si>
    <t>Less than 0.1 litres per second.</t>
  </si>
  <si>
    <t>AqcCode_veryLow</t>
  </si>
  <si>
    <t>cable</t>
  </si>
  <si>
    <t>An unspecified type of hook cable (tail hook) engagement.</t>
  </si>
  <si>
    <t>AgcCode_cable</t>
  </si>
  <si>
    <t>jetBarrier</t>
  </si>
  <si>
    <t>Jet Barrier</t>
  </si>
  <si>
    <t>An unspecified barrier used to stop aircraft.</t>
  </si>
  <si>
    <t>AgcCode_jetBarrier</t>
  </si>
  <si>
    <t>net</t>
  </si>
  <si>
    <t>Net</t>
  </si>
  <si>
    <t>An unspecified type of net engagement barrier.</t>
  </si>
  <si>
    <t>AgcCode_net</t>
  </si>
  <si>
    <t>rotary1300</t>
  </si>
  <si>
    <t>1300 Rotary Brake</t>
  </si>
  <si>
    <t>1300 rotary hydraulic water brake.</t>
  </si>
  <si>
    <t>May be used with any type of engagement device.</t>
  </si>
  <si>
    <t>BA</t>
  </si>
  <si>
    <t>AgbCode_rotary1300</t>
  </si>
  <si>
    <t>rotary2800</t>
  </si>
  <si>
    <t>2800 Rotary Brake</t>
  </si>
  <si>
    <t>2800 rotary hydraulic water brake.</t>
  </si>
  <si>
    <t>BB</t>
  </si>
  <si>
    <t>AgbCode_rotary2800</t>
  </si>
  <si>
    <t>rotary34B_1A</t>
  </si>
  <si>
    <t>34B-1A Rotary Brake</t>
  </si>
  <si>
    <t>34B-1A rotary hydraulic water brake.</t>
  </si>
  <si>
    <t>AA</t>
  </si>
  <si>
    <t>AgbCode_rotary34B_1A</t>
  </si>
  <si>
    <t>rotary34B_1B</t>
  </si>
  <si>
    <t>34B-1B Rotary Brake</t>
  </si>
  <si>
    <t>34B-1B rotary hydraulic water brake.</t>
  </si>
  <si>
    <t>AB</t>
  </si>
  <si>
    <t>AgbCode_rotary34B_1B</t>
  </si>
  <si>
    <t>rotary34B_1C</t>
  </si>
  <si>
    <t>34B-1C Rotary Brake</t>
  </si>
  <si>
    <t>34B-1C rotary hydraulic water brake.</t>
  </si>
  <si>
    <t>AC</t>
  </si>
  <si>
    <t>AgbCode_rotary34B_1C</t>
  </si>
  <si>
    <t>rotary34D_1F</t>
  </si>
  <si>
    <t>34D-1F Rotary Brake</t>
  </si>
  <si>
    <t>34D-1F rotary hydraulic water brake.</t>
  </si>
  <si>
    <t>AL</t>
  </si>
  <si>
    <t>AgbCode_rotary34D_1F</t>
  </si>
  <si>
    <t>rotary44B_2C</t>
  </si>
  <si>
    <t>44B-2C Rotary Brake</t>
  </si>
  <si>
    <t>44B-2C rotary hydraulic water brake.</t>
  </si>
  <si>
    <t>AD</t>
  </si>
  <si>
    <t>AgbCode_rotary44B_2C</t>
  </si>
  <si>
    <t>rotary44B_2D</t>
  </si>
  <si>
    <t>44B-2D Rotary Brake</t>
  </si>
  <si>
    <t>44B-2D rotary hydraulic water brake.</t>
  </si>
  <si>
    <t>AE</t>
  </si>
  <si>
    <t>AgbCode_rotary44B_2D</t>
  </si>
  <si>
    <t>rotary44B_2E</t>
  </si>
  <si>
    <t>44B-2E Rotary Brake</t>
  </si>
  <si>
    <t>44B-2E rotary hydraulic water brake.</t>
  </si>
  <si>
    <t>AF</t>
  </si>
  <si>
    <t>AgbCode_rotary44B_2E</t>
  </si>
  <si>
    <t>rotary44B_2F</t>
  </si>
  <si>
    <t>44B-2F Rotary Brake</t>
  </si>
  <si>
    <t>44B-2F rotary hydraulic water brake.</t>
  </si>
  <si>
    <t>AG</t>
  </si>
  <si>
    <t>AgbCode_rotary44B_2F</t>
  </si>
  <si>
    <t>rotary44B_2H</t>
  </si>
  <si>
    <t>44B-2H Rotary Brake</t>
  </si>
  <si>
    <t>44B-2H rotary hydraulic water brake.</t>
  </si>
  <si>
    <t>AH</t>
  </si>
  <si>
    <t>AgbCode_rotary44B_2H</t>
  </si>
  <si>
    <t>rotary44B_2I</t>
  </si>
  <si>
    <t>44B-2I Rotary Brake</t>
  </si>
  <si>
    <t>44B-2I rotary hydraulic water brake.</t>
  </si>
  <si>
    <t>AJ</t>
  </si>
  <si>
    <t>AgbCode_rotary44B_2I</t>
  </si>
  <si>
    <t>rotary44B_2L</t>
  </si>
  <si>
    <t>44B-2L Rotary Brake</t>
  </si>
  <si>
    <t>44B-2L rotary hydraulic water brake.</t>
  </si>
  <si>
    <t>AI</t>
  </si>
  <si>
    <t>AgbCode_rotary44B_2L</t>
  </si>
  <si>
    <t>rotary44B_3A</t>
  </si>
  <si>
    <t>44B-3A Rotary Brake</t>
  </si>
  <si>
    <t>44B-3A rotary hydraulic water brake.</t>
  </si>
  <si>
    <t>AN</t>
  </si>
  <si>
    <t>AgbCode_rotary44B_3A</t>
  </si>
  <si>
    <t>rotary44B_3H</t>
  </si>
  <si>
    <t>44B-3H Rotary Brake</t>
  </si>
  <si>
    <t>44B-3H rotary hydraulic water brake.</t>
  </si>
  <si>
    <t>AO</t>
  </si>
  <si>
    <t>AgbCode_rotary44B_3H</t>
  </si>
  <si>
    <t>rotary44B_3L</t>
  </si>
  <si>
    <t>44B-3L Rotary Brake</t>
  </si>
  <si>
    <t>44B-3L rotary hydraulic water brake.</t>
  </si>
  <si>
    <t>AK</t>
  </si>
  <si>
    <t>AgbCode_rotary44B_3L</t>
  </si>
  <si>
    <t>rotary44B_4C</t>
  </si>
  <si>
    <t>44B-4C Rotary Brake</t>
  </si>
  <si>
    <t>44B-4C rotary hydraulic water brake.</t>
  </si>
  <si>
    <t>AP</t>
  </si>
  <si>
    <t>AgbCode_rotary44B_4C</t>
  </si>
  <si>
    <t>rotary44B_4E</t>
  </si>
  <si>
    <t>44B-4E Rotary Brake</t>
  </si>
  <si>
    <t>44B-4E rotary hydraulic water brake.</t>
  </si>
  <si>
    <t>AQ</t>
  </si>
  <si>
    <t>AgbCode_rotary44B_4E</t>
  </si>
  <si>
    <t>rotary44B_4H</t>
  </si>
  <si>
    <t>44B-4H Rotary Brake</t>
  </si>
  <si>
    <t>44B-4H rotary hydraulic water brake.</t>
  </si>
  <si>
    <t>AR</t>
  </si>
  <si>
    <t>AgbCode_rotary44B_4H</t>
  </si>
  <si>
    <t>rotary500S</t>
  </si>
  <si>
    <t>500S Rotary Brake</t>
  </si>
  <si>
    <t>500S rotary friction brake that may carry a nameplate showing 'Bliss', 'Esco', or 'Gulf+Western' (the 'G+W' logo).</t>
  </si>
  <si>
    <t>AS</t>
  </si>
  <si>
    <t>AgbCode_rotary500S</t>
  </si>
  <si>
    <t>rotary500S_4</t>
  </si>
  <si>
    <t>500S-4 Rotary Brake</t>
  </si>
  <si>
    <t>500S-4 rotary friction brake that may carry a nameplate showing 'Bliss', 'Esco', or 'Gulf+Western' (the 'G+W' logo).</t>
  </si>
  <si>
    <t>AT</t>
  </si>
  <si>
    <t>AgbCode_rotary500S_4</t>
  </si>
  <si>
    <t>rotary500S_6</t>
  </si>
  <si>
    <t>500S-6 Rotary Brake</t>
  </si>
  <si>
    <t>500S-6 rotary friction brake that may carry a nameplate showing 'Bliss', 'Esco', or 'Gulf+Western' (the 'G+W' logo).</t>
  </si>
  <si>
    <t>AU</t>
  </si>
  <si>
    <t>AgbCode_rotary500S_6</t>
  </si>
  <si>
    <t>rotary500S_8</t>
  </si>
  <si>
    <t>500S-8 Rotary Brake</t>
  </si>
  <si>
    <t>500S-8 rotary friction brake that may carry a nameplate showing 'Bliss', 'Esco', or 'Gulf+Western' (the 'G+W' logo).</t>
  </si>
  <si>
    <t>AW</t>
  </si>
  <si>
    <t>AgbCode_rotary500S_8</t>
  </si>
  <si>
    <t>rotaryTrans500S_8</t>
  </si>
  <si>
    <t>500S-8 Transportable Rotary Brake</t>
  </si>
  <si>
    <t>500S-8 rotary friction brake transportable arresting gear that may carry a nameplate showing 'Bliss', 'Esco', or 'Gulf+Western' (the 'G+W' logo).</t>
  </si>
  <si>
    <t>AV</t>
  </si>
  <si>
    <t>AgbCode_rotaryTrans500S_8</t>
  </si>
  <si>
    <t>rotaryAAE_64</t>
  </si>
  <si>
    <t>AAE-64 Rotary Brake</t>
  </si>
  <si>
    <t>AAE-64 rotary hydraulic water brake.</t>
  </si>
  <si>
    <t>BC</t>
  </si>
  <si>
    <t>AgbCode_rotaryAAE_64</t>
  </si>
  <si>
    <t>rotaryBAK_12A</t>
  </si>
  <si>
    <t>BAK-12A Rotary Brake</t>
  </si>
  <si>
    <t>BAK-12A rotary friction brake (950 foot run-out; 40,000 pound capacity).</t>
  </si>
  <si>
    <t>BK</t>
  </si>
  <si>
    <t>AgbCode_rotaryBAK_12A</t>
  </si>
  <si>
    <t>rotaryBAK_12B</t>
  </si>
  <si>
    <t>BAK-12B Rotary Brake</t>
  </si>
  <si>
    <t>BAK-12B rotary friction brake (1,200 foot run-out; 50,000 pound capacity).</t>
  </si>
  <si>
    <t>BL</t>
  </si>
  <si>
    <t>AgbCode_rotaryBAK_12B</t>
  </si>
  <si>
    <t>rotaryBAK_13</t>
  </si>
  <si>
    <t>BAK-13 Rotary Brake</t>
  </si>
  <si>
    <t>BAK-13 rotary hydraulic water brake.</t>
  </si>
  <si>
    <t>BG</t>
  </si>
  <si>
    <t>AgbCode_rotaryBAK_13</t>
  </si>
  <si>
    <t>linearBAK_6</t>
  </si>
  <si>
    <t>BAK-6 Linear Brake</t>
  </si>
  <si>
    <t>BAK-6 linear hydraulic (water squeezer) brake.</t>
  </si>
  <si>
    <t>Used only with a hook engagement device.</t>
  </si>
  <si>
    <t>BD</t>
  </si>
  <si>
    <t>AgbCode_linearBAK_6</t>
  </si>
  <si>
    <t>rotaryBAK_9</t>
  </si>
  <si>
    <t>BAK-9 Rotary Brake</t>
  </si>
  <si>
    <t>BAK-9 rotary friction brake.</t>
  </si>
  <si>
    <t>BE</t>
  </si>
  <si>
    <t>AgbCode_rotaryBAK_9</t>
  </si>
  <si>
    <t>diskBEFAB_12_3</t>
  </si>
  <si>
    <t>BEFAB 12:3 Disk Brake</t>
  </si>
  <si>
    <t>BEFAB 12:3 pneumatic disc brake, also known as SAFEBAR or SAFELAND 12:3.</t>
  </si>
  <si>
    <t>BJ</t>
  </si>
  <si>
    <t>AgbCode_diskBEFAB_12_3</t>
  </si>
  <si>
    <t>diskBEFAB_20_4</t>
  </si>
  <si>
    <t>BEFAB 20:4 Disk Brake</t>
  </si>
  <si>
    <t>BEFAB 20:4 pneumatic disc brake, also known as SAFEBAR or SAFELAND 20:4.</t>
  </si>
  <si>
    <t>BN</t>
  </si>
  <si>
    <t>AgbCode_diskBEFAB_20_4</t>
  </si>
  <si>
    <t>diskBEFAB_21_2</t>
  </si>
  <si>
    <t>BEFAB 21:2 Disk Brake</t>
  </si>
  <si>
    <t>BEFAB 21:2 pneumatic disc brake, also known as SAFEBAR or SAFELAND 21:2.</t>
  </si>
  <si>
    <t>BO</t>
  </si>
  <si>
    <t>AgbCode_diskBEFAB_21_2</t>
  </si>
  <si>
    <t>diskBEFAB_24_4</t>
  </si>
  <si>
    <t>BEFAB 24:4 Disk Brake</t>
  </si>
  <si>
    <t>BEFAB 24:4 pneumatic disc brake, also known as SAFEBAR or SAFELAND 24:4.</t>
  </si>
  <si>
    <t>BP</t>
  </si>
  <si>
    <t>AgbCode_diskBEFAB_24_4</t>
  </si>
  <si>
    <t>diskBEFAB_56_2</t>
  </si>
  <si>
    <t>BEFAB 56:2 Disk Brake</t>
  </si>
  <si>
    <t>BEFAB 56:2 pneumatic disc brake, also known as SAFEBAR or SAFELAND 56:2.</t>
  </si>
  <si>
    <t>BQ</t>
  </si>
  <si>
    <t>AgbCode_diskBEFAB_56_2</t>
  </si>
  <si>
    <t>diskBEFAB_6_3</t>
  </si>
  <si>
    <t>BEFAB 6:3 Disk Brake</t>
  </si>
  <si>
    <t>BEFAB 6:3 pneumatic disc brake, also known as SAFEBAR or SAFELAND 6:2.</t>
  </si>
  <si>
    <t>BH</t>
  </si>
  <si>
    <t>AgbCode_diskBEFAB_6_3</t>
  </si>
  <si>
    <t>diskBEFAB_60_2</t>
  </si>
  <si>
    <t>BEFAB 60:2 Disk Brake</t>
  </si>
  <si>
    <t>BEFAB 60:2 pneumatic disc brake, also known as SAFEBAR or SAFELAND 60:2.</t>
  </si>
  <si>
    <t>BR</t>
  </si>
  <si>
    <t>AgbCode_diskBEFAB_60_2</t>
  </si>
  <si>
    <t>diskBEFAB_8_3</t>
  </si>
  <si>
    <t>BEFAB 8:3 Disk Brake</t>
  </si>
  <si>
    <t>BEFAB 8:3 pneumatic disc brake, also known as SAFEBAR or SAFELAND 8:3.</t>
  </si>
  <si>
    <t>BI</t>
  </si>
  <si>
    <t>AgbCode_diskBEFAB_8_3</t>
  </si>
  <si>
    <t>chainCHAG</t>
  </si>
  <si>
    <t>CHAG Chain Brake</t>
  </si>
  <si>
    <t>CHAG chain brake.</t>
  </si>
  <si>
    <t>AgbCode_chainCHAG</t>
  </si>
  <si>
    <t>rotaryDualBAK_12</t>
  </si>
  <si>
    <t>Dual BAK-12 Rotary Brake</t>
  </si>
  <si>
    <t>Dual BAK-12 rotary friction brake.</t>
  </si>
  <si>
    <t>BT</t>
  </si>
  <si>
    <t>AgbCode_rotaryDualBAK_12</t>
  </si>
  <si>
    <t>rotaryE15</t>
  </si>
  <si>
    <t>E15 Rotary Brake</t>
  </si>
  <si>
    <t>E15 rotary friction brake.</t>
  </si>
  <si>
    <t>CT</t>
  </si>
  <si>
    <t>AgbCode_rotaryE15</t>
  </si>
  <si>
    <t>rotaryE27</t>
  </si>
  <si>
    <t>E27 Rotary Brake</t>
  </si>
  <si>
    <t>E27 rotary friction brake.</t>
  </si>
  <si>
    <t>CE</t>
  </si>
  <si>
    <t>AgbCode_rotaryE27</t>
  </si>
  <si>
    <t>rotaryE28</t>
  </si>
  <si>
    <t>E28 Rotary Brake</t>
  </si>
  <si>
    <t>E28 rotary hydraulic water brake.</t>
  </si>
  <si>
    <t>CF</t>
  </si>
  <si>
    <t>AgbCode_rotaryE28</t>
  </si>
  <si>
    <t>chainE5</t>
  </si>
  <si>
    <t>E5 Chain Brake</t>
  </si>
  <si>
    <t>E5 chain brake.</t>
  </si>
  <si>
    <t>BU</t>
  </si>
  <si>
    <t>AgbCode_chainE5</t>
  </si>
  <si>
    <t>chainE5_1</t>
  </si>
  <si>
    <t>E5-1 Chain Brake</t>
  </si>
  <si>
    <t>E5-1 chain brake.</t>
  </si>
  <si>
    <t>BV</t>
  </si>
  <si>
    <t>AgbCode_chainE5_1</t>
  </si>
  <si>
    <t>chainE5_2</t>
  </si>
  <si>
    <t>E5-2 Chain Brake</t>
  </si>
  <si>
    <t>E5-2 chain brake.</t>
  </si>
  <si>
    <t>BW</t>
  </si>
  <si>
    <t>AgbCode_chainE5_2</t>
  </si>
  <si>
    <t>chainE5_3</t>
  </si>
  <si>
    <t>E5-3 Chain Brake</t>
  </si>
  <si>
    <t>E5-3 chain brake.</t>
  </si>
  <si>
    <t>CA</t>
  </si>
  <si>
    <t>AgbCode_chainE5_3</t>
  </si>
  <si>
    <t>chainE6</t>
  </si>
  <si>
    <t>E6 Chain Brake</t>
  </si>
  <si>
    <t>E6 chain brake.</t>
  </si>
  <si>
    <t>CB</t>
  </si>
  <si>
    <t>AgbCode_chainE6</t>
  </si>
  <si>
    <t>engMatArrestSystem</t>
  </si>
  <si>
    <t>Engineered Materials Arresting System (EMAS)</t>
  </si>
  <si>
    <t>High-energy-absorbing material located in the runway overrun that is designed to crush under the weight of an aircraft as the material exerts deceleration forces on the aircraft landing gear.</t>
  </si>
  <si>
    <t>AgbCode_engMatArrestSystem</t>
  </si>
  <si>
    <t>rotaryChainJetStop</t>
  </si>
  <si>
    <t>JET STOP Rotary Chain Gear</t>
  </si>
  <si>
    <t>JET STOP rotary friction chain gear.</t>
  </si>
  <si>
    <t>CG</t>
  </si>
  <si>
    <t>AgbCode_rotaryChainJetStop</t>
  </si>
  <si>
    <t>mobileRotaryM21</t>
  </si>
  <si>
    <t>M21 Mobile Rotary Brake</t>
  </si>
  <si>
    <t>A mobile rotary hydraulic water brake.</t>
  </si>
  <si>
    <t>CH</t>
  </si>
  <si>
    <t>AgbCode_mobileRotaryM21</t>
  </si>
  <si>
    <t>mobileRotaryMAAS</t>
  </si>
  <si>
    <t>MAAS Mobile Rotary Brake</t>
  </si>
  <si>
    <t>MAAS, a trailer-mounted rotary friction BAK-12.</t>
  </si>
  <si>
    <t>Used by the USAF only with a hook engagement device, but may be used with any engagement by others.</t>
  </si>
  <si>
    <t>CI</t>
  </si>
  <si>
    <t>AgbCode_mobileRotaryMAAS</t>
  </si>
  <si>
    <t>mobileRotaryMAG_I</t>
  </si>
  <si>
    <t>MAG I Mobile Rotary Brake</t>
  </si>
  <si>
    <t>MAG I rotary hydraulic mobile arresting gear.</t>
  </si>
  <si>
    <t>CJ</t>
  </si>
  <si>
    <t>AgbCode_mobileRotaryMAG_I</t>
  </si>
  <si>
    <t>mobileRotaryMAG_II</t>
  </si>
  <si>
    <t>MAG II Mobile Rotary Brake</t>
  </si>
  <si>
    <t>MAG II rotary hydraulic mobile arresting gear.</t>
  </si>
  <si>
    <t>CN</t>
  </si>
  <si>
    <t>AgbCode_mobileRotaryMAG_II</t>
  </si>
  <si>
    <t>mobileRotaryMAG_III</t>
  </si>
  <si>
    <t>MAG III Mobile Rotary Brake</t>
  </si>
  <si>
    <t>MAG III rotary hydraulic mobile arresting gear.</t>
  </si>
  <si>
    <t>CO</t>
  </si>
  <si>
    <t>AgbCode_mobileRotaryMAG_III</t>
  </si>
  <si>
    <t>mobileRotaryMAG_IV</t>
  </si>
  <si>
    <t>MAG IV Mobile Rotary Brake</t>
  </si>
  <si>
    <t>MAG IV rotary hydraulic mobile arresting gear.</t>
  </si>
  <si>
    <t>CP</t>
  </si>
  <si>
    <t>AgbCode_mobileRotaryMAG_IV</t>
  </si>
  <si>
    <t>mobileRotaryMAG_IX</t>
  </si>
  <si>
    <t>MAG IX Mobile Rotary Brake</t>
  </si>
  <si>
    <t>MAG IX rotary hydraulic mobile arresting gear.</t>
  </si>
  <si>
    <t>Used only with a net engagement device.</t>
  </si>
  <si>
    <t>CU</t>
  </si>
  <si>
    <t>AgbCode_mobileRotaryMAG_IX</t>
  </si>
  <si>
    <t>mobileRotaryMAG_VI</t>
  </si>
  <si>
    <t>MAG VI Mobile Rotary Brake</t>
  </si>
  <si>
    <t>MAG VI rotary hydraulic mobile arresting gear.</t>
  </si>
  <si>
    <t>CR</t>
  </si>
  <si>
    <t>AgbCode_mobileRotaryMAG_VI</t>
  </si>
  <si>
    <t>mobileRotaryMAG_VII</t>
  </si>
  <si>
    <t>MAG VII Mobile Rotary Brake</t>
  </si>
  <si>
    <t>MAG VII rotary hydraulic mobile arresting gear.</t>
  </si>
  <si>
    <t>CS</t>
  </si>
  <si>
    <t>AgbCode_mobileRotaryMAG_VII</t>
  </si>
  <si>
    <t>mobileRotaryMAG_VIII</t>
  </si>
  <si>
    <t>MAG VIII Mobile Rotary Brake</t>
  </si>
  <si>
    <t>MAG VIII rotary hydraulic mobile arresting gear.</t>
  </si>
  <si>
    <t>AgbCode_mobileRotaryMAG_VIII</t>
  </si>
  <si>
    <t>mobileRotaryMAG_X</t>
  </si>
  <si>
    <t>MAG X Mobile Rotary Brake</t>
  </si>
  <si>
    <t>MAG X rotary hydraulic mobile arresting gear.</t>
  </si>
  <si>
    <t>CV</t>
  </si>
  <si>
    <t>AgbCode_mobileRotaryMAG_X</t>
  </si>
  <si>
    <t>textileMB_100</t>
  </si>
  <si>
    <t>MB-100 Textile Brake</t>
  </si>
  <si>
    <t>MB-100 textile brake (bidirectional).</t>
  </si>
  <si>
    <t>DQ</t>
  </si>
  <si>
    <t>AgbCode_textileMB_100</t>
  </si>
  <si>
    <t>textileMB_60</t>
  </si>
  <si>
    <t>MB-60 Textile Brake</t>
  </si>
  <si>
    <t>MB-60 textile brake (unidirectional).</t>
  </si>
  <si>
    <t>DP</t>
  </si>
  <si>
    <t>AgbCode_textileMB_60</t>
  </si>
  <si>
    <t>mobileRotaryHydraulicWater</t>
  </si>
  <si>
    <t>Mobile Rotary Hydraulic Water Brake, Type Unspecified</t>
  </si>
  <si>
    <t>An unspecified type of mobile rotary hydraulic water brake.</t>
  </si>
  <si>
    <t>CQ</t>
  </si>
  <si>
    <t>AgbCode_mobileRotaryHydraulicWater</t>
  </si>
  <si>
    <t>rotaryPUAG_MK_21</t>
  </si>
  <si>
    <t>PUAG MK-21 Rotary Brake</t>
  </si>
  <si>
    <t>PUAG MK-21 rotary hydraulic water brake.</t>
  </si>
  <si>
    <t>AgbCode_rotaryPUAG_MK_21</t>
  </si>
  <si>
    <t>diskRAF_MK_12A</t>
  </si>
  <si>
    <t>RAF MK-12A Disk Brake</t>
  </si>
  <si>
    <t>RAF MK-12A pneumatic disc brake.</t>
  </si>
  <si>
    <t>DC</t>
  </si>
  <si>
    <t>AgbCode_diskRAF_MK_12A</t>
  </si>
  <si>
    <t>diskRAF_MK_6</t>
  </si>
  <si>
    <t>RAF MK-6 Disk Brake</t>
  </si>
  <si>
    <t>RAF MK-6 pneumatic disc brake.</t>
  </si>
  <si>
    <t>DF</t>
  </si>
  <si>
    <t>AgbCode_diskRAF_MK_6</t>
  </si>
  <si>
    <t>rafPortableArrestingGear</t>
  </si>
  <si>
    <t>RAF Portable Arresting Gear</t>
  </si>
  <si>
    <t>Portable aircraft arresting gear (British).</t>
  </si>
  <si>
    <t>CW</t>
  </si>
  <si>
    <t>AgbCode_rafPortableArrestingGear</t>
  </si>
  <si>
    <t>diskRafTypeA_BEFAB_6_3</t>
  </si>
  <si>
    <t>RAF Type A BEFAB 6:3 Disk Brake</t>
  </si>
  <si>
    <t>RAF Type A BEFAB 6:3 pneumatic disc brake.</t>
  </si>
  <si>
    <t>DG</t>
  </si>
  <si>
    <t>AgbCode_diskRafTypeA_BEFAB_6_3</t>
  </si>
  <si>
    <t>diskRafTypeB_BEFAB_12_3</t>
  </si>
  <si>
    <t>RAF Type B BEFAB 12:3 Disk Brake</t>
  </si>
  <si>
    <t>RAF Type B BEFAB 12:3 pneumatic disc brake.</t>
  </si>
  <si>
    <t>AgbCode_diskRafTypeB_BEFAB_12_3</t>
  </si>
  <si>
    <t>rotaryRHAG_MK_1</t>
  </si>
  <si>
    <t>RHAG MK-1 Rotary Brake</t>
  </si>
  <si>
    <t>RHAG MK-1 rotary hydraulic water brake.</t>
  </si>
  <si>
    <t>DI</t>
  </si>
  <si>
    <t>AgbCode_rotaryRHAG_MK_1</t>
  </si>
  <si>
    <t>rotaryHydraulicWater</t>
  </si>
  <si>
    <t>Rotary Hydraulic Water Brake, Type Unspecified</t>
  </si>
  <si>
    <t>An unspecified type of static rotary hydraulic water brake.</t>
  </si>
  <si>
    <t>CK</t>
  </si>
  <si>
    <t>AgbCode_rotaryHydraulicWater</t>
  </si>
  <si>
    <t>barrierDiskSafeland</t>
  </si>
  <si>
    <t>Safeland Barrier Disk Brake</t>
  </si>
  <si>
    <t>Safeland Barrier pneumatic disc brake.</t>
  </si>
  <si>
    <t>DJ</t>
  </si>
  <si>
    <t>AgbCode_barrierDiskSafeland</t>
  </si>
  <si>
    <t>linearSPRAG_MK_1</t>
  </si>
  <si>
    <t>SPRAG MK-1 Linear Brake</t>
  </si>
  <si>
    <t>SPRAG MK-1 linear hydraulic (water squeezer).</t>
  </si>
  <si>
    <t>DN</t>
  </si>
  <si>
    <t>AgbCode_linearSPRAG_MK_1</t>
  </si>
  <si>
    <t>barricadeNet61QSII</t>
  </si>
  <si>
    <t>61QSII Barricade Net</t>
  </si>
  <si>
    <t>A barricade net system.</t>
  </si>
  <si>
    <t>AgeCode_barricadeNet61QSII</t>
  </si>
  <si>
    <t>netWithHook62NI</t>
  </si>
  <si>
    <t>62NI Net with Hook</t>
  </si>
  <si>
    <t>A net barrier with hook cable interconnect.</t>
  </si>
  <si>
    <t>AgeCode_netWithHook62NI</t>
  </si>
  <si>
    <t>hook63PI</t>
  </si>
  <si>
    <t>63PI Hook</t>
  </si>
  <si>
    <t>A dual cable interconnect for hook engagements.</t>
  </si>
  <si>
    <t>AgeCode_hook63PI</t>
  </si>
  <si>
    <t>netA30</t>
  </si>
  <si>
    <t>A30 Net</t>
  </si>
  <si>
    <t>A 30-element net (F30) manufactured by AERAZUR.</t>
  </si>
  <si>
    <t>AgeCode_netA30</t>
  </si>
  <si>
    <t>netA40</t>
  </si>
  <si>
    <t>A40 Net</t>
  </si>
  <si>
    <t>A 40-element net (F40) manufactured by AERAZUR.</t>
  </si>
  <si>
    <t>AgeCode_netA40</t>
  </si>
  <si>
    <t>strutBAK_11</t>
  </si>
  <si>
    <t>BAK-11 Strut</t>
  </si>
  <si>
    <t>A main strut engaging device.</t>
  </si>
  <si>
    <t>AgeCode_strutBAK_11</t>
  </si>
  <si>
    <t>hookBAK_14</t>
  </si>
  <si>
    <t>BAK-14 Hook</t>
  </si>
  <si>
    <t>A retractable hook cable engaging device that may be used bi-directionally.</t>
  </si>
  <si>
    <t>The cable takes 5 seconds to be raised.</t>
  </si>
  <si>
    <t>AgeCode_hookBAK_14</t>
  </si>
  <si>
    <t>stanchionNetBAK_15</t>
  </si>
  <si>
    <t>BAK-15 Stanchion and Net</t>
  </si>
  <si>
    <t>A 61QSIIM stanchion and net barricade system.</t>
  </si>
  <si>
    <t>AgeCode_stanchionNetBAK_15</t>
  </si>
  <si>
    <t>withHookBAK_15</t>
  </si>
  <si>
    <t>BAK-15 with Hook</t>
  </si>
  <si>
    <t>A web barrier interconnected with hook pickup cable.</t>
  </si>
  <si>
    <t>AgeCode_withHookBAK_15</t>
  </si>
  <si>
    <t>hookCable</t>
  </si>
  <si>
    <t>Hook Cable</t>
  </si>
  <si>
    <t>AgeCode_hookCable</t>
  </si>
  <si>
    <t>hpNet</t>
  </si>
  <si>
    <t>HP-NET</t>
  </si>
  <si>
    <t>A high performance net manufactured by ADEC.</t>
  </si>
  <si>
    <t>AgeCode_hpNet</t>
  </si>
  <si>
    <t>jayBar</t>
  </si>
  <si>
    <t>J-BAR</t>
  </si>
  <si>
    <t>A generic 'barrier' (non-hook cable) engagements.</t>
  </si>
  <si>
    <t>AgeCode_jayBar</t>
  </si>
  <si>
    <t>AgeCode_jetBarrier</t>
  </si>
  <si>
    <t>netMA_1</t>
  </si>
  <si>
    <t>MA-1 Net</t>
  </si>
  <si>
    <t>A main gear cable engagement net barrier (early MA-1A).</t>
  </si>
  <si>
    <t>AgeCode_netMA_1</t>
  </si>
  <si>
    <t>netMA_1a</t>
  </si>
  <si>
    <t>MA-1A Net</t>
  </si>
  <si>
    <t>A main gear cable engagement net barrier.</t>
  </si>
  <si>
    <t>AgeCode_netMA_1a</t>
  </si>
  <si>
    <t>withHookCableMA_1a</t>
  </si>
  <si>
    <t>MA-1A with Hook Cable</t>
  </si>
  <si>
    <t>An MA-1A main gear cable engagement net barrier with interconnected hook cable.</t>
  </si>
  <si>
    <t>AgeCode_withHookCableMA_1a</t>
  </si>
  <si>
    <t>An unspecified type of net engagement.</t>
  </si>
  <si>
    <t>AgeCode_net</t>
  </si>
  <si>
    <t>hookTypeH</t>
  </si>
  <si>
    <t>Type H Hook</t>
  </si>
  <si>
    <t>The cable takes 1.5 seconds to be raised.</t>
  </si>
  <si>
    <t>AgeCode_hookTypeH</t>
  </si>
  <si>
    <t>The arresting gear is usable by aircraft approaching either end of the runway.</t>
  </si>
  <si>
    <t>AgdCode_bidirectional</t>
  </si>
  <si>
    <t>highEnd</t>
  </si>
  <si>
    <t>High End</t>
  </si>
  <si>
    <t>The arresting gear is usable only by aircraft approaching the runway from the high end identifier.</t>
  </si>
  <si>
    <t>Runway identifiers are '01' - '18' (low end) and '19' - '36' (high end).</t>
  </si>
  <si>
    <t>AgdCode_highEnd</t>
  </si>
  <si>
    <t>lowEnd</t>
  </si>
  <si>
    <t>Low End</t>
  </si>
  <si>
    <t>The arresting gear is usable only by aircraft approaching the runway from the low end identifier.</t>
  </si>
  <si>
    <t>AgdCode_lowEnd</t>
  </si>
  <si>
    <t>confirmedAvailable</t>
  </si>
  <si>
    <t>Confirmed Available</t>
  </si>
  <si>
    <t>The product, service, feature, or facility is confirmed to be available.</t>
  </si>
  <si>
    <t>AcgCode_confirmedAvailable</t>
  </si>
  <si>
    <t>notAvailable</t>
  </si>
  <si>
    <t>Not Available</t>
  </si>
  <si>
    <t>The product, service, feature, or facility is confirmed to be unavailable.</t>
  </si>
  <si>
    <t>AcgCode_notAvailable</t>
  </si>
  <si>
    <t>unconfirmedAvailable</t>
  </si>
  <si>
    <t>UnconfirmedAvailable</t>
  </si>
  <si>
    <t>The product, service, feature, or facility may be available, but this has not been confirmed.</t>
  </si>
  <si>
    <t>AcgCode_unconfirmedAvailable</t>
  </si>
  <si>
    <t>aviationFuel</t>
  </si>
  <si>
    <t>Aviation Fuel</t>
  </si>
  <si>
    <t>Refined petroleum as used as a fuel in aviation vehicles.</t>
  </si>
  <si>
    <t>For example, JP-4, JP-5, JP-7 and JP-8.</t>
  </si>
  <si>
    <t>FfaCode_aviationFuel</t>
  </si>
  <si>
    <t>biodiesel</t>
  </si>
  <si>
    <t>Biodiesel</t>
  </si>
  <si>
    <t>A fuel made from vegetable oils (for example: soybean or canola), animal fats, and/or recycled grease, and intended for use in diesel engines.</t>
  </si>
  <si>
    <t>For U.S. Energy Information Administration reporting, biodiesel is a fuel composed of mono-alkyl esters of long chain fatty acids derived from vegetable oils or animal fats, and meeting the requirements of American Society for Testing and Materials (ASTM) D6751. Biodiesel is registered with the EPA as both a fuel and a fuel additive. Its designation as B100 indicates it is unblended (100 percent) biodiesel. It can serve as a substitute for petroleum-derived diesel or distillate fuel. Biodiesel Blend is a fuel that combines pure biodiesel stock with petroleum-based diesel.</t>
  </si>
  <si>
    <t>FfaCode_biodiesel</t>
  </si>
  <si>
    <t>biodieselBlend</t>
  </si>
  <si>
    <t>Biodiesel Blend</t>
  </si>
  <si>
    <t>A fuel blended from biodiesel and petroleum-based diesel fuel, and intended for use in diesel engines.</t>
  </si>
  <si>
    <t>Biodiesel Blend is designated BXX, where XX represents the volume percentage of biodiesel fuel in the blend. The blending ratio typically varies from 2 percent biodiesel (B2) up to 99.9 percent biodiesel (B99.9), with unblended biodiesel referred to as B100. Blending may occur at the point of biodiesel production, at an intermediate storage or distribution facility, or at the point-of-sale (for example: a motor vehicle station).</t>
  </si>
  <si>
    <t>FfaCode_biodieselBlend</t>
  </si>
  <si>
    <t>butane</t>
  </si>
  <si>
    <t>Butane</t>
  </si>
  <si>
    <t>A gaseous alkane, C4H10 (of which there are two isomers), used especially in liquefied form as a fuel.</t>
  </si>
  <si>
    <t>FfaCode_butane</t>
  </si>
  <si>
    <t>coal</t>
  </si>
  <si>
    <t>Coal</t>
  </si>
  <si>
    <t>A hard opaque black or blackish mineral, mainly carbonized plant matter, found in seams or strata at or below the Earth's surface.</t>
  </si>
  <si>
    <t>Used as fuel and in manufacture (for example: to produce gas and/or tar).</t>
  </si>
  <si>
    <t>FfaCode_coal</t>
  </si>
  <si>
    <t>compressedNaturalGas</t>
  </si>
  <si>
    <t>Compressed Natural Gas (CNG)</t>
  </si>
  <si>
    <t>Natural gas compressed into high-pressure cylinders and used as an environmentally friendly fuel.</t>
  </si>
  <si>
    <t>Natural gas occurs naturally underground, consisting chiefly of methane and is often found associated with petroleum.</t>
  </si>
  <si>
    <t>FfaCode_compressedNaturalGas</t>
  </si>
  <si>
    <t>dieselOil</t>
  </si>
  <si>
    <t>Diesel Oil</t>
  </si>
  <si>
    <t>A petroleum fraction used as fuel in diesel engines.</t>
  </si>
  <si>
    <t>Diesel Fuel</t>
  </si>
  <si>
    <t>FfaCode_dieselOil</t>
  </si>
  <si>
    <t>ethanol</t>
  </si>
  <si>
    <t>Ethanol</t>
  </si>
  <si>
    <t>A colourless volatile flammable liquid alcohol, C2H5OH, used as a solvent, antifreeze and fuel.</t>
  </si>
  <si>
    <t>Produced by the fermentation of hexose sugars.</t>
  </si>
  <si>
    <t>Ethyl Alcohol</t>
  </si>
  <si>
    <t>FfaCode_ethanol</t>
  </si>
  <si>
    <t>ethanol85</t>
  </si>
  <si>
    <t>Ethanol 85 Percent</t>
  </si>
  <si>
    <t>A mixed biofuel consisting of 85 percent ethanol and 15 percent unleaded gasoline, commonly known as 'E85'.</t>
  </si>
  <si>
    <t>It can be used to run automobiles known as flexible fuel vehicles (FFV). Using E85 in non-FFV vehicles can cause corrosion of vehicle parts, because these parts are not incompatible with high concentrations of ethanol.</t>
  </si>
  <si>
    <t>FfaCode_ethanol85</t>
  </si>
  <si>
    <t>hydrogen</t>
  </si>
  <si>
    <t>Hydrogen</t>
  </si>
  <si>
    <t>A colorless odorless highly flammable diatomic gas that may be used as an alternative fuel for transportation.</t>
  </si>
  <si>
    <t>Using a fuel cell, hydrogen may be used to generate electricity to power electrically-driven wheels, or it may be directly combusted.</t>
  </si>
  <si>
    <t>FfaCode_hydrogen</t>
  </si>
  <si>
    <t>hythane</t>
  </si>
  <si>
    <t>Hythane</t>
  </si>
  <si>
    <t>Hythane (Hydrogen Compressed Natural Gas (HCNG)) is a mixture of natural gas (methane) and hydrogen.</t>
  </si>
  <si>
    <t>Hythane is usually 5-7 percent hydrogen by energy.</t>
  </si>
  <si>
    <t>E85</t>
  </si>
  <si>
    <t>FfaCode_hythane</t>
  </si>
  <si>
    <t>kerosene</t>
  </si>
  <si>
    <t>Kerosene</t>
  </si>
  <si>
    <t>A petroleum distillate containing liquid hydrocarbons which boils in the range 150 to 300 degrees Centigrade.</t>
  </si>
  <si>
    <t>It is used as a fuel for tractors and jet engines, and in domestic heaters.</t>
  </si>
  <si>
    <t>Paraffin Oil</t>
  </si>
  <si>
    <t>FfaCode_kerosene</t>
  </si>
  <si>
    <t>liquefiedNaturalGas</t>
  </si>
  <si>
    <t>Liquefied Natural Gas (LNG)</t>
  </si>
  <si>
    <t>Natural gas that has been liquefied for ease of transport by cooling the gas to -162 degrees Centigrade.</t>
  </si>
  <si>
    <t>It is stored in a vacuum bottle-type container at very low temperatures and under moderate pressure. Natural gas has 600 times the volume of LNG.</t>
  </si>
  <si>
    <t>HCNG, Hydrogen Compressed Natural Gas</t>
  </si>
  <si>
    <t>FfaCode_liquefiedNaturalGas</t>
  </si>
  <si>
    <t>liquefiedPetroleumGas</t>
  </si>
  <si>
    <t>Liquefied Petroleum Gas (LPG)</t>
  </si>
  <si>
    <t>A mixture of propane and butane, usually with propylene and butylenes present in small concentration and a powerful odorant, ethyl mercaptan, added so that leaks can be detected easily.</t>
  </si>
  <si>
    <t>It becomes liquid at room temperature at 6 bar pressure, so it is supplied in pressurised steel bottles. The liquefied gas has an expansion ratio of about 250:1. Used as a fuel in heating appliances and vehicles. LPG is manufactured during the refining of crude oil, or extracted from oil or gas streams as they emerge from the ground.</t>
  </si>
  <si>
    <t>FfaCode_liquefiedPetroleumGas</t>
  </si>
  <si>
    <t>lubricants</t>
  </si>
  <si>
    <t>Lubricants</t>
  </si>
  <si>
    <t>A substance, usually an oil, used to lubricate machinery.</t>
  </si>
  <si>
    <t>FfaCode_lubricants</t>
  </si>
  <si>
    <t>methane</t>
  </si>
  <si>
    <t>Methane</t>
  </si>
  <si>
    <t>A colourless odourless flammable gas, CH4, the simplest of the alkanes.</t>
  </si>
  <si>
    <t>It occurs in natural gas, coal gas, and decaying organic matter, and forms an explosive mixture with air.</t>
  </si>
  <si>
    <t>FfaCode_methane</t>
  </si>
  <si>
    <t>noPolAvailable</t>
  </si>
  <si>
    <t>No POL Available</t>
  </si>
  <si>
    <t>No petroleum, oil, or lubricants are available.</t>
  </si>
  <si>
    <t>FfaCode_noPolAvailable</t>
  </si>
  <si>
    <t>oil</t>
  </si>
  <si>
    <t>Oil</t>
  </si>
  <si>
    <t>Any of numerous liquids with a smooth sticky feel that are immiscible with water (but miscible with organic solvents), flammable, and chemically neutral.</t>
  </si>
  <si>
    <t>FfaCode_oil</t>
  </si>
  <si>
    <t>petrol</t>
  </si>
  <si>
    <t>Petrol</t>
  </si>
  <si>
    <t>Refined petroleum as used as a fuel in motor vehicles.</t>
  </si>
  <si>
    <t>Gasoline</t>
  </si>
  <si>
    <t>FfaCode_petrol</t>
  </si>
  <si>
    <t>propane</t>
  </si>
  <si>
    <t>Propane</t>
  </si>
  <si>
    <t>A colorless gas, C3H8, derived from natural gas and petroleum and widely used as a fuel.</t>
  </si>
  <si>
    <t>Commonly transported and dispensed in liquefied form, especially in pressurized hand-carry tanks for use as a fuel for outdoor cooking in barbecues and portable stoves. The standard steel container holds 18 litre (4.73 U.S. gallon) and is often termed a 'barbecue tank'. Due to its low boiling point, liquefied propane vaporizes as soon as it is released from its pressurized container. Note that Liquefied Petroleum Gas (LPG) sold as an automotive fuel is a combination of propane and butane, often with propylene and/or butylenes, plus an odorant.</t>
  </si>
  <si>
    <t>FfaCode_propane</t>
  </si>
  <si>
    <t>specialFuel</t>
  </si>
  <si>
    <t>Special Fuel</t>
  </si>
  <si>
    <t>A fuel infrequently used and not widely available.</t>
  </si>
  <si>
    <t>For example, hydrogen (compressed or liquid) and rocket propellants (such as hydrazine, nitrogen tetraoxide, RP-1 (CH1.97) or UDMH).</t>
  </si>
  <si>
    <t>FfaCode_specialFuel</t>
  </si>
  <si>
    <t>The transparent, colourless, tasteless, odourless, liquid compound of hydrogen and oxygen (formula H2O).</t>
  </si>
  <si>
    <t>Typically intended for cleaning or steam generation and not necessarily potable.</t>
  </si>
  <si>
    <t>FfaCode_water</t>
  </si>
  <si>
    <t>aircraftFabrication</t>
  </si>
  <si>
    <t>Aircraft Fabrication</t>
  </si>
  <si>
    <t>Facilities for the fabrication of aircraft.</t>
  </si>
  <si>
    <t>MfaCode_aircraftFabrication</t>
  </si>
  <si>
    <t>Facilities for the maintenance and repair of aircraft.</t>
  </si>
  <si>
    <t>MfaCode_aircraftRepair</t>
  </si>
  <si>
    <t>bargeFabrication</t>
  </si>
  <si>
    <t>Barge Fabrication</t>
  </si>
  <si>
    <t>Facilities for the fabrication of barges.</t>
  </si>
  <si>
    <t>MfaCode_bargeFabrication</t>
  </si>
  <si>
    <t>bargeRepair</t>
  </si>
  <si>
    <t>Barge Repair</t>
  </si>
  <si>
    <t>Facilities for the maintenance and repair of barges.</t>
  </si>
  <si>
    <t>MfaCode_bargeRepair</t>
  </si>
  <si>
    <t>boatHoist</t>
  </si>
  <si>
    <t>Boat Hoist</t>
  </si>
  <si>
    <t>A hoist for lifting boats out of the water.</t>
  </si>
  <si>
    <t>MfaCode_boatHoist</t>
  </si>
  <si>
    <t>generalElecFabrication</t>
  </si>
  <si>
    <t>General Electrical Fabrication</t>
  </si>
  <si>
    <t>Facilities for the general fabrication of electrical parts and/or components.</t>
  </si>
  <si>
    <t>MfaCode_generalElecFabrication</t>
  </si>
  <si>
    <t>generalFabrication</t>
  </si>
  <si>
    <t>General Fabrication</t>
  </si>
  <si>
    <t>Facilities for the general fabrication of vehicles and/or vehicle components.</t>
  </si>
  <si>
    <t>MfaCode_generalFabrication</t>
  </si>
  <si>
    <t>generalMechFabrication</t>
  </si>
  <si>
    <t>General Mechanical Fabrication</t>
  </si>
  <si>
    <t>Facilities for the general fabrication of mechanical parts and/or components.</t>
  </si>
  <si>
    <t>MfaCode_generalMechFabrication</t>
  </si>
  <si>
    <t>inspectionRamp</t>
  </si>
  <si>
    <t>Inspection Ramp</t>
  </si>
  <si>
    <t>Facilities for the inspection of vehicles, including ramps for raising vehicles in order to inspect their undersides.</t>
  </si>
  <si>
    <t>MfaCode_inspectionRamp</t>
  </si>
  <si>
    <t>locomotiveFabrication</t>
  </si>
  <si>
    <t>Locomotive Fabrication</t>
  </si>
  <si>
    <t>Facilities for the fabrication of locomotives.</t>
  </si>
  <si>
    <t>MfaCode_locomotiveFabrication</t>
  </si>
  <si>
    <t>locomotiveRepair</t>
  </si>
  <si>
    <t>Locomotive Repair</t>
  </si>
  <si>
    <t>Facilities for the maintenance and repair of locomotives.</t>
  </si>
  <si>
    <t>MfaCode_locomotiveRepair</t>
  </si>
  <si>
    <t>None Available</t>
  </si>
  <si>
    <t>No facilities are available.</t>
  </si>
  <si>
    <t>MfaCode_noneAvailable</t>
  </si>
  <si>
    <t>roadVehicleFabrication</t>
  </si>
  <si>
    <t>Road Vehicle Fabrication</t>
  </si>
  <si>
    <t>Facilities for the fabrication of road vehicles.</t>
  </si>
  <si>
    <t>MfaCode_roadVehicleFabrication</t>
  </si>
  <si>
    <t>roadVehicleRepair</t>
  </si>
  <si>
    <t>Road Vehicle Repair</t>
  </si>
  <si>
    <t>Facilities for the maintenance and repair of road vehicles.</t>
  </si>
  <si>
    <t>MfaCode_roadVehicleRepair</t>
  </si>
  <si>
    <t>sailmaker</t>
  </si>
  <si>
    <t>Sailmaker</t>
  </si>
  <si>
    <t>A place where sails are made or may be taken for repair.</t>
  </si>
  <si>
    <t>MfaCode_sailmaker</t>
  </si>
  <si>
    <t>shipFabrication</t>
  </si>
  <si>
    <t>Ship Fabrication</t>
  </si>
  <si>
    <t>Facilities for the fabrication of ships.</t>
  </si>
  <si>
    <t>MfaCode_shipFabrication</t>
  </si>
  <si>
    <t>shipRepair</t>
  </si>
  <si>
    <t>Ship Repair</t>
  </si>
  <si>
    <t>Facilities for the maintenance and repair of ships.</t>
  </si>
  <si>
    <t>MfaCode_shipRepair</t>
  </si>
  <si>
    <t>shipSalvage</t>
  </si>
  <si>
    <t>Ship Salvage</t>
  </si>
  <si>
    <t>Facilities for the dismantling of ships and the recovery of their components for future use.</t>
  </si>
  <si>
    <t>MfaCode_shipSalvage</t>
  </si>
  <si>
    <t>AfaCode_boatHoist</t>
  </si>
  <si>
    <t>boatPark</t>
  </si>
  <si>
    <t>Boat Park</t>
  </si>
  <si>
    <t>A place on shore where boats and/or trailers may be parked.</t>
  </si>
  <si>
    <t>AfaCode_boatPark</t>
  </si>
  <si>
    <t>boatYard</t>
  </si>
  <si>
    <t>Boat Yard</t>
  </si>
  <si>
    <t>A place on shore where boats may be built, stored and repaired.</t>
  </si>
  <si>
    <t>AfaCode_boatYard</t>
  </si>
  <si>
    <t>bottleGas</t>
  </si>
  <si>
    <t>Bottle Gas</t>
  </si>
  <si>
    <t>A place where bottled gas is available.</t>
  </si>
  <si>
    <t>May include liquefied petroleum gas (LPG).</t>
  </si>
  <si>
    <t>AfaCode_bottleGas</t>
  </si>
  <si>
    <t>campingSite</t>
  </si>
  <si>
    <t>Camping Site</t>
  </si>
  <si>
    <t>A place where visitors may pitch tents and camp.</t>
  </si>
  <si>
    <t>AfaCode_campingSite</t>
  </si>
  <si>
    <t>carPark</t>
  </si>
  <si>
    <t>Car Park</t>
  </si>
  <si>
    <t>A place where cars may be parked.</t>
  </si>
  <si>
    <t>Parking Lot</t>
  </si>
  <si>
    <t>AfaCode_carPark</t>
  </si>
  <si>
    <t>caravanSite</t>
  </si>
  <si>
    <t>Caravan Site</t>
  </si>
  <si>
    <t>A place where caravans may be parked or where caravan accommodation is provided.</t>
  </si>
  <si>
    <t>Recreational Vehicle Park</t>
  </si>
  <si>
    <t>AfaCode_caravanSite</t>
  </si>
  <si>
    <t>chandler</t>
  </si>
  <si>
    <t>Chandler</t>
  </si>
  <si>
    <t>A dealer in supplies and equipment for ships.</t>
  </si>
  <si>
    <t>AfaCode_chandler</t>
  </si>
  <si>
    <t>desalinationFacility</t>
  </si>
  <si>
    <t>Desalination Facility</t>
  </si>
  <si>
    <t>A facility that removes salt from water.</t>
  </si>
  <si>
    <t>AfaCode_desalinationFacility</t>
  </si>
  <si>
    <t>distillationFacility</t>
  </si>
  <si>
    <t>Distillation Facility</t>
  </si>
  <si>
    <t>A facility that completely removes dissolved impurities from water through a process of distillation.</t>
  </si>
  <si>
    <t>AfaCode_distillationFacility</t>
  </si>
  <si>
    <t>drinkingWater</t>
  </si>
  <si>
    <t>Drinking Water</t>
  </si>
  <si>
    <t>Water that is suitable for human consumption.</t>
  </si>
  <si>
    <t>AfaCode_drinkingWater</t>
  </si>
  <si>
    <t>electricity</t>
  </si>
  <si>
    <t>Electricity</t>
  </si>
  <si>
    <t>A place where a connection to an electrical supply is available.</t>
  </si>
  <si>
    <t>AfaCode_electricity</t>
  </si>
  <si>
    <t>emergencyTelephone</t>
  </si>
  <si>
    <t>Emergency Telephone</t>
  </si>
  <si>
    <t>A place where a telephone is available for emergency use only.</t>
  </si>
  <si>
    <t>AfaCode_emergencyTelephone</t>
  </si>
  <si>
    <t>fuelStation</t>
  </si>
  <si>
    <t>Fuel Station</t>
  </si>
  <si>
    <t>A place where fuel is available.</t>
  </si>
  <si>
    <t>AfaCode_fuelStation</t>
  </si>
  <si>
    <t>helipad</t>
  </si>
  <si>
    <t>An improved area used for take-off and landing of helicopters.</t>
  </si>
  <si>
    <t>AfaCode_helipad</t>
  </si>
  <si>
    <t>hotel</t>
  </si>
  <si>
    <t>Hotel</t>
  </si>
  <si>
    <t>An establishment, especially of a comfortable or luxurious kind, where paying visitors are provided with accommodation, meals and other services.</t>
  </si>
  <si>
    <t>AfaCode_hotel</t>
  </si>
  <si>
    <t>launderette</t>
  </si>
  <si>
    <t>Launderette</t>
  </si>
  <si>
    <t>A place where there are facilities for washing clothes.</t>
  </si>
  <si>
    <t>AfaCode_launderette</t>
  </si>
  <si>
    <t>mechanicsWorkshop</t>
  </si>
  <si>
    <t>Mechanics Workshop</t>
  </si>
  <si>
    <t>A place where mechanical repairs can be undertaken to engines or other equipment.</t>
  </si>
  <si>
    <t>AfaCode_mechanicsWorkshop</t>
  </si>
  <si>
    <t>AfaCode_noneAvailable</t>
  </si>
  <si>
    <t>pharmacy</t>
  </si>
  <si>
    <t>Pharmacy</t>
  </si>
  <si>
    <t>A place where medical drugs are dispensed.</t>
  </si>
  <si>
    <t>Chemist</t>
  </si>
  <si>
    <t>AfaCode_pharmacy</t>
  </si>
  <si>
    <t>physician</t>
  </si>
  <si>
    <t>Physician</t>
  </si>
  <si>
    <t>A place where a physician is available to provide medical attention.</t>
  </si>
  <si>
    <t>Medical Doctor</t>
  </si>
  <si>
    <t>AfaCode_physician</t>
  </si>
  <si>
    <t>picnicArea</t>
  </si>
  <si>
    <t>Picnic Area</t>
  </si>
  <si>
    <t>A place where people may go to eat a picnic.</t>
  </si>
  <si>
    <t>AfaCode_picnicArea</t>
  </si>
  <si>
    <t>postBox</t>
  </si>
  <si>
    <t>Post Box</t>
  </si>
  <si>
    <t>A place where mail may be posted.</t>
  </si>
  <si>
    <t>Mail Box</t>
  </si>
  <si>
    <t>AfaCode_postBox</t>
  </si>
  <si>
    <t>provisions</t>
  </si>
  <si>
    <t>Provisions</t>
  </si>
  <si>
    <t>A place where food and other such supplies are available.</t>
  </si>
  <si>
    <t>AfaCode_provisions</t>
  </si>
  <si>
    <t>publicTelephone</t>
  </si>
  <si>
    <t>Public Telephone</t>
  </si>
  <si>
    <t>A place where a telephone is available for public use.</t>
  </si>
  <si>
    <t>AfaCode_publicTelephone</t>
  </si>
  <si>
    <t>publicToilets</t>
  </si>
  <si>
    <t>Public Toilets</t>
  </si>
  <si>
    <t>A place where toilets are available for public use.</t>
  </si>
  <si>
    <t>AfaCode_publicToilets</t>
  </si>
  <si>
    <t>rampMarine</t>
  </si>
  <si>
    <t>Ramp (Marine)</t>
  </si>
  <si>
    <t>AfaCode_rampMarine</t>
  </si>
  <si>
    <t>refuseBin</t>
  </si>
  <si>
    <t>Refuse Bin</t>
  </si>
  <si>
    <t>A place where refuse may be dumped.</t>
  </si>
  <si>
    <t>AfaCode_refuseBin</t>
  </si>
  <si>
    <t>restaurant</t>
  </si>
  <si>
    <t>Restaurant</t>
  </si>
  <si>
    <t>A commercial establishment serving food.</t>
  </si>
  <si>
    <t>AfaCode_restaurant</t>
  </si>
  <si>
    <t>AfaCode_sailmaker</t>
  </si>
  <si>
    <t>scrubbingBerth</t>
  </si>
  <si>
    <t>Scrubbing Berth</t>
  </si>
  <si>
    <t>A place where vessels may berth for the purpose of careening.</t>
  </si>
  <si>
    <t>AfaCode_scrubbingBerth</t>
  </si>
  <si>
    <t>securityService</t>
  </si>
  <si>
    <t>Security Service</t>
  </si>
  <si>
    <t>A place patrolled by a security service or where secure lockup is available.</t>
  </si>
  <si>
    <t>Guard Service</t>
  </si>
  <si>
    <t>AfaCode_securityService</t>
  </si>
  <si>
    <t>seweragePumpOutStation</t>
  </si>
  <si>
    <t>Sewerage Pump-out Station</t>
  </si>
  <si>
    <t>AfaCode_seweragePumpOutStation</t>
  </si>
  <si>
    <t>showers</t>
  </si>
  <si>
    <t>Showers</t>
  </si>
  <si>
    <t>A place where showers are available.</t>
  </si>
  <si>
    <t>AfaCode_showers</t>
  </si>
  <si>
    <t>visitorsBerth</t>
  </si>
  <si>
    <t>Visitors Berth</t>
  </si>
  <si>
    <t>A berth is set aside for the use of visiting vessels.</t>
  </si>
  <si>
    <t>AfaCode_visitorsBerth</t>
  </si>
  <si>
    <t>visitorsMooring</t>
  </si>
  <si>
    <t>Visitors Mooring</t>
  </si>
  <si>
    <t>A mooring is set aside for the use of visiting vessels.</t>
  </si>
  <si>
    <t>AfaCode_visitorsMooring</t>
  </si>
  <si>
    <t>waterPoliceStation</t>
  </si>
  <si>
    <t>Water-police Station</t>
  </si>
  <si>
    <t>The headquarters of a local water-police force.</t>
  </si>
  <si>
    <t>AfaCode_waterPoliceStation</t>
  </si>
  <si>
    <t>yachtClub</t>
  </si>
  <si>
    <t>Yacht-club</t>
  </si>
  <si>
    <t>A facility for owners and/or sailors of yachts.</t>
  </si>
  <si>
    <t>Sailing Club</t>
  </si>
  <si>
    <t>AfaCode_yachtClub</t>
  </si>
  <si>
    <t>a</t>
  </si>
  <si>
    <t>A</t>
  </si>
  <si>
    <t>Jet A aviation fuel.</t>
  </si>
  <si>
    <t>AfuCode_a</t>
  </si>
  <si>
    <t>a1</t>
  </si>
  <si>
    <t>A1</t>
  </si>
  <si>
    <t>Jet A1 aviation fuel.</t>
  </si>
  <si>
    <t>F-35, TS1</t>
  </si>
  <si>
    <t>AfuCode_a1</t>
  </si>
  <si>
    <t>a1_Plus</t>
  </si>
  <si>
    <t>A1-Plus</t>
  </si>
  <si>
    <t>Jet A1-plus FS-II (freezing point minus 47 degrees Centigrade) aviation fuel.</t>
  </si>
  <si>
    <t>AfuCode_a1_Plus</t>
  </si>
  <si>
    <t>all</t>
  </si>
  <si>
    <t>All</t>
  </si>
  <si>
    <t>All regular fuel types.</t>
  </si>
  <si>
    <t>AfuCode_all</t>
  </si>
  <si>
    <t>avGas</t>
  </si>
  <si>
    <t>AvGas</t>
  </si>
  <si>
    <t>Octane 100 aviation gasoline.</t>
  </si>
  <si>
    <t>AfuCode_avGas</t>
  </si>
  <si>
    <t>avGas_LL</t>
  </si>
  <si>
    <t>AvGas-LL</t>
  </si>
  <si>
    <t>Octane 100 Low Lead aviation gasoline.</t>
  </si>
  <si>
    <t>F-18, B95, B100</t>
  </si>
  <si>
    <t>AfuCode_avGas_LL</t>
  </si>
  <si>
    <t>b</t>
  </si>
  <si>
    <t>B</t>
  </si>
  <si>
    <t>Jet B wide cut turbine fuel, without icing inhibitor.</t>
  </si>
  <si>
    <t>AfuCode_b</t>
  </si>
  <si>
    <t>b_Plus</t>
  </si>
  <si>
    <t>B+</t>
  </si>
  <si>
    <t>Jet B wide cut turbine fuel, with icing inhibitor.</t>
  </si>
  <si>
    <t>AfuCode_b_Plus</t>
  </si>
  <si>
    <t>Jet aviation fuel.</t>
  </si>
  <si>
    <t>AfuCode_jet</t>
  </si>
  <si>
    <t>jp1</t>
  </si>
  <si>
    <t>JP1</t>
  </si>
  <si>
    <t>Jet JP-1 aviation fuel.</t>
  </si>
  <si>
    <t>AfuCode_jp1</t>
  </si>
  <si>
    <t>jp10</t>
  </si>
  <si>
    <t>JP10</t>
  </si>
  <si>
    <t>Jet JP-10 aviation fuel - missiles.</t>
  </si>
  <si>
    <t>AfuCode_jp10</t>
  </si>
  <si>
    <t>jp2</t>
  </si>
  <si>
    <t>JP2</t>
  </si>
  <si>
    <t>Jet JP-2 aviation fuel.</t>
  </si>
  <si>
    <t>AfuCode_jp2</t>
  </si>
  <si>
    <t>jp3</t>
  </si>
  <si>
    <t>JP3</t>
  </si>
  <si>
    <t>Jet JP-3 aviation fuel.</t>
  </si>
  <si>
    <t>AfuCode_jp3</t>
  </si>
  <si>
    <t>jp4</t>
  </si>
  <si>
    <t>JP4</t>
  </si>
  <si>
    <t>Jet JP-4 wide cut turbine fuel.</t>
  </si>
  <si>
    <t>F-40, T2</t>
  </si>
  <si>
    <t>AfuCode_jp4</t>
  </si>
  <si>
    <t>jp5</t>
  </si>
  <si>
    <t>JP5</t>
  </si>
  <si>
    <t>Jet JP-5 aviation fuel.</t>
  </si>
  <si>
    <t>F-44, T1, T5, T6, T7</t>
  </si>
  <si>
    <t>AfuCode_jp5</t>
  </si>
  <si>
    <t>jp6</t>
  </si>
  <si>
    <t>JP6</t>
  </si>
  <si>
    <t>Jet JP-6 aviation fuel.</t>
  </si>
  <si>
    <t>AfuCode_jp6</t>
  </si>
  <si>
    <t>jp7</t>
  </si>
  <si>
    <t>JP7</t>
  </si>
  <si>
    <t>Jet JP-7 aviation fuel.</t>
  </si>
  <si>
    <t>Glass tank fuel.</t>
  </si>
  <si>
    <t>AfuCode_jp7</t>
  </si>
  <si>
    <t>jp8</t>
  </si>
  <si>
    <t>JP8</t>
  </si>
  <si>
    <t>Jet JP-8 aviation fuel with icing inhibitor.</t>
  </si>
  <si>
    <t>F-34</t>
  </si>
  <si>
    <t>AfuCode_jp8</t>
  </si>
  <si>
    <t>jp8_Plus100</t>
  </si>
  <si>
    <t>JP8+100</t>
  </si>
  <si>
    <t>Jet A-1, Kerosene with FS-II (freezing point minus 47 degrees Centigrade), with fuel additive package that improves thermo stability characteristics of JP-8.</t>
  </si>
  <si>
    <t>AfuCode_jp8_Plus100</t>
  </si>
  <si>
    <t>jp9</t>
  </si>
  <si>
    <t>JP9</t>
  </si>
  <si>
    <t>Jet JP-9 aviation fuel - missiles.</t>
  </si>
  <si>
    <t>AfuCode_jp9</t>
  </si>
  <si>
    <t>mogas</t>
  </si>
  <si>
    <t>MOGAS</t>
  </si>
  <si>
    <t>MOGAS aviation gasoline.</t>
  </si>
  <si>
    <t>AfuCode_mogas</t>
  </si>
  <si>
    <t>octane100_130</t>
  </si>
  <si>
    <t>Octane 100-130</t>
  </si>
  <si>
    <t>Octane 100-130 aviation gasoline.</t>
  </si>
  <si>
    <t>AfuCode_octane100_130</t>
  </si>
  <si>
    <t>octane108_135</t>
  </si>
  <si>
    <t>Octane 108-135</t>
  </si>
  <si>
    <t>Octane 108-135 aviation gasoline.</t>
  </si>
  <si>
    <t>AfuCode_octane108_135</t>
  </si>
  <si>
    <t>octane115_145</t>
  </si>
  <si>
    <t>Octane 115-145</t>
  </si>
  <si>
    <t>Octane 115-145 aviation gasoline.</t>
  </si>
  <si>
    <t>F-22, BA</t>
  </si>
  <si>
    <t>AfuCode_octane115_145</t>
  </si>
  <si>
    <t>octane73</t>
  </si>
  <si>
    <t>Octane 73</t>
  </si>
  <si>
    <t>Octane 73 aviation gasoline.</t>
  </si>
  <si>
    <t>AfuCode_octane73</t>
  </si>
  <si>
    <t>octane80</t>
  </si>
  <si>
    <t>Octane 80</t>
  </si>
  <si>
    <t>Octane 80 aviation gasoline.</t>
  </si>
  <si>
    <t>F-12</t>
  </si>
  <si>
    <t>AfuCode_octane80</t>
  </si>
  <si>
    <t>octane80_87</t>
  </si>
  <si>
    <t>Octane 80-87</t>
  </si>
  <si>
    <t>Octane 80-87 aviation gasoline.</t>
  </si>
  <si>
    <t>AfuCode_octane80_87</t>
  </si>
  <si>
    <t>octane82Unleaded</t>
  </si>
  <si>
    <t>Octane 82 Unleaded</t>
  </si>
  <si>
    <t>Octane 82 low-octane unleaded aviation gasoline.</t>
  </si>
  <si>
    <t>AfuCode_octane82Unleaded</t>
  </si>
  <si>
    <t>octane91_98</t>
  </si>
  <si>
    <t>Octane 91-98</t>
  </si>
  <si>
    <t>Octane 91-96 aviation gasoline.</t>
  </si>
  <si>
    <t>B91</t>
  </si>
  <si>
    <t>AfuCode_octane91_98</t>
  </si>
  <si>
    <t>rt</t>
  </si>
  <si>
    <t>RT</t>
  </si>
  <si>
    <t>(Russia) jet RT aviation fuel.</t>
  </si>
  <si>
    <t>AfuCode_rt</t>
  </si>
  <si>
    <t>tr0</t>
  </si>
  <si>
    <t>TR0</t>
  </si>
  <si>
    <t>(France) jet TR0 aviation fuel.</t>
  </si>
  <si>
    <t>AfuCode_tr0</t>
  </si>
  <si>
    <t>tr4</t>
  </si>
  <si>
    <t>TR4</t>
  </si>
  <si>
    <t>(France) jet TR4 aviation fuel.</t>
  </si>
  <si>
    <t>AfuCode_tr4</t>
  </si>
  <si>
    <t>c_635</t>
  </si>
  <si>
    <t>C-635</t>
  </si>
  <si>
    <t>Hydraulic Fluid, Petroleum Based.</t>
  </si>
  <si>
    <t>AhfCode_c_635</t>
  </si>
  <si>
    <t>h_515</t>
  </si>
  <si>
    <t>H-515</t>
  </si>
  <si>
    <t>AhfCode_h_515</t>
  </si>
  <si>
    <t>h_520</t>
  </si>
  <si>
    <t>H-520</t>
  </si>
  <si>
    <t>AhfCode_h_520</t>
  </si>
  <si>
    <t>h_537</t>
  </si>
  <si>
    <t>H-537</t>
  </si>
  <si>
    <t>Hydraulic Fluid, Polyalphaolefin based, Flame Resistant.</t>
  </si>
  <si>
    <t>MIL-H-83282</t>
  </si>
  <si>
    <t>AhfCode_h_537</t>
  </si>
  <si>
    <t>h_538</t>
  </si>
  <si>
    <t>H-538</t>
  </si>
  <si>
    <t>Hydraulic Fluid, Polyalphaolefin based.</t>
  </si>
  <si>
    <t>AhfCode_h_538</t>
  </si>
  <si>
    <t>h_544</t>
  </si>
  <si>
    <t>H-544</t>
  </si>
  <si>
    <t>AhfCode_h_544</t>
  </si>
  <si>
    <t>skydrol</t>
  </si>
  <si>
    <t>Skydrol</t>
  </si>
  <si>
    <t>Phosphate-Ester based.</t>
  </si>
  <si>
    <t>AhfCode_skydrol</t>
  </si>
  <si>
    <t>bottle</t>
  </si>
  <si>
    <t>Bottle</t>
  </si>
  <si>
    <t>Nitrogen replacement bottles available when pressure is not specified.</t>
  </si>
  <si>
    <t>AnsCode_bottle</t>
  </si>
  <si>
    <t>directTransfer</t>
  </si>
  <si>
    <t>Direct Transfer</t>
  </si>
  <si>
    <t>Indicates nitrogen available when type of servicing is unspecified.</t>
  </si>
  <si>
    <t>AnsCode_directTransfer</t>
  </si>
  <si>
    <t>gasDirectTransfer</t>
  </si>
  <si>
    <t>Gas Direct Transfer</t>
  </si>
  <si>
    <t>Low and high pressure nitrogen available from servicing equipment.</t>
  </si>
  <si>
    <t>AnsCode_gasDirectTransfer</t>
  </si>
  <si>
    <t>highPressureBottle</t>
  </si>
  <si>
    <t>High Pressure Bottle</t>
  </si>
  <si>
    <t>Nitrogen available only in high pressure replacement bottles.</t>
  </si>
  <si>
    <t>AnsCode_highPressureBottle</t>
  </si>
  <si>
    <t>highPressureDirectTransfer</t>
  </si>
  <si>
    <t>High Pressure Direct Transfer</t>
  </si>
  <si>
    <t>Nitrogen available, under high pressure only, from servicing equipment.</t>
  </si>
  <si>
    <t>AnsCode_highPressureDirectTransfer</t>
  </si>
  <si>
    <t>liquidDirectTransfer</t>
  </si>
  <si>
    <t>Liquid Direct Transfer</t>
  </si>
  <si>
    <t>Liquid nitrogen available from servicing equipment.</t>
  </si>
  <si>
    <t>AnsCode_liquidDirectTransfer</t>
  </si>
  <si>
    <t>lowPressureBottle</t>
  </si>
  <si>
    <t>Low Pressure Bottle</t>
  </si>
  <si>
    <t>Nitrogen available only in low pressure replacement bottles.</t>
  </si>
  <si>
    <t>AnsCode_lowPressureBottle</t>
  </si>
  <si>
    <t>lowPressureDirectTransfer</t>
  </si>
  <si>
    <t>Low Pressure Direct Transfer</t>
  </si>
  <si>
    <t>Nitrogen available, under low pressure only, from servicing equipment.</t>
  </si>
  <si>
    <t>AnsCode_lowPressureDirectTransfer</t>
  </si>
  <si>
    <t>o_113</t>
  </si>
  <si>
    <t>O-113</t>
  </si>
  <si>
    <t>1065, Reciprocating Engine Oil (MIL-L-6082).</t>
  </si>
  <si>
    <t>AotCode_o_113</t>
  </si>
  <si>
    <t>o_117</t>
  </si>
  <si>
    <t>O-117</t>
  </si>
  <si>
    <t>1100, Reciprocating Engine Oil (MIL-L-6082).</t>
  </si>
  <si>
    <t>AotCode_o_117</t>
  </si>
  <si>
    <t>o_117Plus</t>
  </si>
  <si>
    <t>O-117+</t>
  </si>
  <si>
    <t>1100, O-117 plus cyclohexanone (MIL-L-6082).</t>
  </si>
  <si>
    <t>AotCode_o_117Plus</t>
  </si>
  <si>
    <t>o_123</t>
  </si>
  <si>
    <t>O-123</t>
  </si>
  <si>
    <t>1065, (Dispersant), Reciprocating Engine Oil (MIL-L-22851 Type III).</t>
  </si>
  <si>
    <t>AotCode_o_123</t>
  </si>
  <si>
    <t>o_128</t>
  </si>
  <si>
    <t>O-128</t>
  </si>
  <si>
    <t>1100, (Dispersant), Reciprocating Engine Oil (MIL-L-22851 Type II).</t>
  </si>
  <si>
    <t>AotCode_o_128</t>
  </si>
  <si>
    <t>o_132</t>
  </si>
  <si>
    <t>O-132</t>
  </si>
  <si>
    <t>1005, Jet Engine Oil (MIL-L-6081).</t>
  </si>
  <si>
    <t>AotCode_o_132</t>
  </si>
  <si>
    <t>o_133</t>
  </si>
  <si>
    <t>O-133</t>
  </si>
  <si>
    <t>1010, Jet Engine Oil (MIL-L-6081).</t>
  </si>
  <si>
    <t>AotCode_o_133</t>
  </si>
  <si>
    <t>o_135</t>
  </si>
  <si>
    <t>O-135</t>
  </si>
  <si>
    <t>Lubricating Oil, Aircraft Turbine Engine, Petroleum.</t>
  </si>
  <si>
    <t>AotCode_o_135</t>
  </si>
  <si>
    <t>o_138</t>
  </si>
  <si>
    <t>O-138</t>
  </si>
  <si>
    <t>AotCode_o_138</t>
  </si>
  <si>
    <t>o_147</t>
  </si>
  <si>
    <t>O-147</t>
  </si>
  <si>
    <t>MIL-L-6085A Lubricating Oil, Instrument, Synthetic.</t>
  </si>
  <si>
    <t>AotCode_o_147</t>
  </si>
  <si>
    <t>o_148</t>
  </si>
  <si>
    <t>O-148</t>
  </si>
  <si>
    <t>MIL-L-7808 (Synthetic Base) Turbine Engine Oil.</t>
  </si>
  <si>
    <t>AotCode_o_148</t>
  </si>
  <si>
    <t>o_149</t>
  </si>
  <si>
    <t>O-149</t>
  </si>
  <si>
    <t>Aircraft Turbine Engine Synthetic, 7.5c St.</t>
  </si>
  <si>
    <t>AotCode_o_149</t>
  </si>
  <si>
    <t>o_153</t>
  </si>
  <si>
    <t>O-153</t>
  </si>
  <si>
    <t>Lubricating Oil, Gear, Helicopter.</t>
  </si>
  <si>
    <t>AotCode_o_153</t>
  </si>
  <si>
    <t>o_155</t>
  </si>
  <si>
    <t>O-155</t>
  </si>
  <si>
    <t>MIL-L-6086C, Aircraft, Medium Grade.</t>
  </si>
  <si>
    <t>AotCode_o_155</t>
  </si>
  <si>
    <t>o_156</t>
  </si>
  <si>
    <t>O-156</t>
  </si>
  <si>
    <t>MIL-L-23699 (Synthetic Base), Turboprop and Turboshaft Engines.</t>
  </si>
  <si>
    <t>AotCode_o_156</t>
  </si>
  <si>
    <t>o_160</t>
  </si>
  <si>
    <t>O-160</t>
  </si>
  <si>
    <t>Lubricating Oil, Aircraft Turbine Engine, Synthetic.</t>
  </si>
  <si>
    <t>AotCode_o_160</t>
  </si>
  <si>
    <t>o_190</t>
  </si>
  <si>
    <t>O-190</t>
  </si>
  <si>
    <t>Lubricating Oil, General Use.</t>
  </si>
  <si>
    <t>AotCode_o_190</t>
  </si>
  <si>
    <t>o_226</t>
  </si>
  <si>
    <t>O-226</t>
  </si>
  <si>
    <t>Lubricating Oil, Gear, (SAE 80W-90).</t>
  </si>
  <si>
    <t>AotCode_o_226</t>
  </si>
  <si>
    <t>Oxygen replacement bottles available when pressure is not specified.</t>
  </si>
  <si>
    <t>OXRB</t>
  </si>
  <si>
    <t>AosCode_bottle</t>
  </si>
  <si>
    <t>Indicates oxygen available when type of servicing is unspecified.</t>
  </si>
  <si>
    <t>OX</t>
  </si>
  <si>
    <t>AosCode_directTransfer</t>
  </si>
  <si>
    <t>Low and high pressure oxygen available from servicing equipment.</t>
  </si>
  <si>
    <t>LHOX</t>
  </si>
  <si>
    <t>AosCode_gasDirectTransfer</t>
  </si>
  <si>
    <t>Oxygen available only in high pressure replacement bottles.</t>
  </si>
  <si>
    <t>HOXRB, HPOXRB</t>
  </si>
  <si>
    <t>AosCode_highPressureBottle</t>
  </si>
  <si>
    <t>Oxygen available, under high pressure only, from servicing equipment.</t>
  </si>
  <si>
    <t>HPOX</t>
  </si>
  <si>
    <t>AosCode_highPressureDirectTransfer</t>
  </si>
  <si>
    <t>Liquid oxygen available from servicing equipment.</t>
  </si>
  <si>
    <t>LOX</t>
  </si>
  <si>
    <t>AosCode_liquidDirectTransfer</t>
  </si>
  <si>
    <t>Oxygen available only in low pressure replacement bottles.</t>
  </si>
  <si>
    <t>LOXRB, LPOXRB</t>
  </si>
  <si>
    <t>AosCode_lowPressureBottle</t>
  </si>
  <si>
    <t>Oxygen available, under low pressure only, from servicing equipment.</t>
  </si>
  <si>
    <t>LPOX</t>
  </si>
  <si>
    <t>AosCode_lowPressureDirectTransfer</t>
  </si>
  <si>
    <t>airportOfEntry</t>
  </si>
  <si>
    <t>Airport of Entry</t>
  </si>
  <si>
    <t>An aerodrome that provides full customs and immigration services, which are readily available to any landing aircraft.</t>
  </si>
  <si>
    <t>Customs and immigration services are mandated by law to be available at an airport of entry.</t>
  </si>
  <si>
    <t>PysCode_airportOfEntry</t>
  </si>
  <si>
    <t>airportOfEntryLandRights</t>
  </si>
  <si>
    <t>Airport of Entry and Landing Rights Airport</t>
  </si>
  <si>
    <t>An aerodrome that provides full customs and immigration services, which are readily available, but prior permission to land must be given to any international flight.</t>
  </si>
  <si>
    <t>Customs and immigration services are mandated by law to be available at an airport of entry. These services must be requested at a landing rights airport.</t>
  </si>
  <si>
    <t>PysCode_airportOfEntryLandRights</t>
  </si>
  <si>
    <t>landingRightsAirport</t>
  </si>
  <si>
    <t>Landing Rights Airport</t>
  </si>
  <si>
    <t>An aerodrome for which an aircraft on an international flight plan must obtain prior permission to land from the appropriate authority.</t>
  </si>
  <si>
    <t>Customs and immigration services must be requested at a landing rights airport.</t>
  </si>
  <si>
    <t>PysCode_landingRightsAirport</t>
  </si>
  <si>
    <t>limitedAirportOfEntry</t>
  </si>
  <si>
    <t>Limited Airport of Entry</t>
  </si>
  <si>
    <t>An aerodrome that provides customs and immigration services, but those services are only available at certain times or on occasion.</t>
  </si>
  <si>
    <t>PysCode_limitedAirportOfEntry</t>
  </si>
  <si>
    <t>limitedLandingRightsAirport</t>
  </si>
  <si>
    <t>Limited Landing Rights Airport</t>
  </si>
  <si>
    <t>An aerodrome for which an aircraft must obtain prior permission to land, but that permission is only available at certain times.</t>
  </si>
  <si>
    <t>PysCode_limitedLandingRightsAirport</t>
  </si>
  <si>
    <t>regularAirportOfEntry</t>
  </si>
  <si>
    <t>Regular Airport of Entry</t>
  </si>
  <si>
    <t>An aerodrome for which full customs and immigration services are regularly available and that has been designated by the appropriate authority as a recommended entry point for international flights.</t>
  </si>
  <si>
    <t>PysCode_regularAirportOfEntry</t>
  </si>
  <si>
    <t>regularLandingRightsAirport</t>
  </si>
  <si>
    <t>Regular Landing Rights Airport</t>
  </si>
  <si>
    <t>An aerodrome for which prior permission is required to land and which has been designated by the appropriate authority as a recommended entry point for international flights.</t>
  </si>
  <si>
    <t>PysCode_regularLandingRightsAirport</t>
  </si>
  <si>
    <t>no</t>
  </si>
  <si>
    <t>No</t>
  </si>
  <si>
    <t>There is no capability to fly the course line along the extended centerline of a runway, in the opposite direction to the front or approach course.</t>
  </si>
  <si>
    <t>LbuCode_no</t>
  </si>
  <si>
    <t>There is limited capability of the course line along the extended centerline of a runway, in the opposite direction to the front or approach course.</t>
  </si>
  <si>
    <t>Some partial capability of this course guidance throughout the descent path to the runway threshold from a distance of 18 nautical miles from the antenna between an altitude of 1000 feet above the highest terrain along the course line and 4 500 feet above the elevation of the antenna site. Proper off-course indications are provided to 10 arc degrees either side of the course along a radius of 18 nautical miles from the antenna, and from 10 to 35 arc degrees either side of the course along a radius of 10 nautical miles.</t>
  </si>
  <si>
    <t>LbuCode_restricted</t>
  </si>
  <si>
    <t>(Aeronautical Information Exchange Model (AIXM): 'Y')</t>
  </si>
  <si>
    <t>yes</t>
  </si>
  <si>
    <t>Yes</t>
  </si>
  <si>
    <t>There is full normal limits capability of the course line along the extended centerline of a runway, in the opposite direction to the front or approach course.</t>
  </si>
  <si>
    <t>Course guidance throughout the descent path to the runway threshold from a distance of 18 nautical miles from the antenna between an altitude of 1000 feet above the highest terrain along the course line and 4 500 feet above the elevation of the antenna site. Proper off-course indications are provided to 10 arc degrees either side of the course along a radius of 18 nautical miles from the antenna, and from 10 to 35 arc degrees either side of the course along a radius of 10 nautical miles.</t>
  </si>
  <si>
    <t>LbuCode_yes</t>
  </si>
  <si>
    <t>indeterminate</t>
  </si>
  <si>
    <t>Indeterminate</t>
  </si>
  <si>
    <t>Due to indistinct flow or for other reasons (for example: obscuration), the predominant direction of adjacent waterbody flow can not be determined.</t>
  </si>
  <si>
    <t>IboCode_indeterminate</t>
  </si>
  <si>
    <t>left</t>
  </si>
  <si>
    <t>Left</t>
  </si>
  <si>
    <t>When facing the flowing waterbody, the predominant flow is from right to left.</t>
  </si>
  <si>
    <t>Viewed from the flowing waterbody while facing downstream the bank is thus on the left.</t>
  </si>
  <si>
    <t>IboCode_left</t>
  </si>
  <si>
    <t>noFlow</t>
  </si>
  <si>
    <t>No Flow</t>
  </si>
  <si>
    <t>The adjacent waterbody does not exhibit significant flow (for example: a lake).</t>
  </si>
  <si>
    <t>IboCode_noFlow</t>
  </si>
  <si>
    <t>right</t>
  </si>
  <si>
    <t>Right</t>
  </si>
  <si>
    <t>When facing the flowing waterbody, the predominant flow is from left to right.</t>
  </si>
  <si>
    <t>Viewed from the flowing waterbody while facing downstream the bank is thus on the right.</t>
  </si>
  <si>
    <t>IboCode_right</t>
  </si>
  <si>
    <t>bog</t>
  </si>
  <si>
    <t>It is generally too soft to bear the weight of any heavy body.</t>
  </si>
  <si>
    <t>BvcCode_bog</t>
  </si>
  <si>
    <t>brush</t>
  </si>
  <si>
    <t>A tract covered mainly by short, uncultured, woody plants.</t>
  </si>
  <si>
    <t>For example, covered by brush, scrub and/or shrubs. The predominant height is usually less than 2-3 metres.</t>
  </si>
  <si>
    <t>BvcCode_brush</t>
  </si>
  <si>
    <t>cropLand</t>
  </si>
  <si>
    <t>BvcCode_cropLand</t>
  </si>
  <si>
    <t>forestClearing</t>
  </si>
  <si>
    <t>BvcCode_forestClearing</t>
  </si>
  <si>
    <t>Open, treeless areas that are not managed as farmland and are generally dominated by native grasses.</t>
  </si>
  <si>
    <t>BvcCode_grass</t>
  </si>
  <si>
    <t>jungle</t>
  </si>
  <si>
    <t>Jungle</t>
  </si>
  <si>
    <t>A tract of land that is densely overgrown with tropical vegetation and trees.</t>
  </si>
  <si>
    <t>A forest with many trees usually of many different species growing close to each other. Most often found in equatorial areas with high levels of rainfall.</t>
  </si>
  <si>
    <t>BvcCode_jungle</t>
  </si>
  <si>
    <t>reclaimedLand</t>
  </si>
  <si>
    <t>Reclaimed Land</t>
  </si>
  <si>
    <t>An area where the ground surface has been increased, usually by filling, thus changing the shoreline.</t>
  </si>
  <si>
    <t>The area has been so physically disturbed by human activity as to have no significant vegetation.</t>
  </si>
  <si>
    <t>BvcCode_reclaimedLand</t>
  </si>
  <si>
    <t>scrubland</t>
  </si>
  <si>
    <t>BvcCode_scrubland</t>
  </si>
  <si>
    <t>shrub</t>
  </si>
  <si>
    <t>Shrub</t>
  </si>
  <si>
    <t>An area covered by woody perennial plants, generally of more than 0.5 metre and less than 5 metre height, and often without a definite stem and crown.</t>
  </si>
  <si>
    <t>BvcCode_shrub</t>
  </si>
  <si>
    <t>thicket</t>
  </si>
  <si>
    <t>BvcCode_thicket</t>
  </si>
  <si>
    <t>unvegetatedLand</t>
  </si>
  <si>
    <t>BvcCode_unvegetatedLand</t>
  </si>
  <si>
    <t>BvcCode_wood</t>
  </si>
  <si>
    <t>barbedWire</t>
  </si>
  <si>
    <t>Barbed Wire</t>
  </si>
  <si>
    <t>Constructed of twisted wire strands with short pointed pieces inserted at intervals.</t>
  </si>
  <si>
    <t>BatCode_barbedWire</t>
  </si>
  <si>
    <t>chainLink</t>
  </si>
  <si>
    <t>Chain-link</t>
  </si>
  <si>
    <t>Constructed of heavy wire in a diamond-shaped mesh.</t>
  </si>
  <si>
    <t>Usually the top is left untreated, thus exposing an irregular edge.</t>
  </si>
  <si>
    <t>BatCode_chainLink</t>
  </si>
  <si>
    <t>concertinaWire</t>
  </si>
  <si>
    <t>Concertina Wire</t>
  </si>
  <si>
    <t>A type of barbed wire or razor wire that is formed in large coils, each consisting of two oppositely wound helices which support each other against crushing, that are expanded like a concertina.</t>
  </si>
  <si>
    <t>BatCode_concertinaWire</t>
  </si>
  <si>
    <t>electricWire</t>
  </si>
  <si>
    <t>Electrified Wire</t>
  </si>
  <si>
    <t>Constructed of wire that is supported by insulators and electrified so as to shock an animal touching it.</t>
  </si>
  <si>
    <t>The shock is usually mild for animal fences but potentially life threatening for security fences.</t>
  </si>
  <si>
    <t>BatCode_electricWire</t>
  </si>
  <si>
    <t>spiked</t>
  </si>
  <si>
    <t>Spiked</t>
  </si>
  <si>
    <t>Surmounted by a dense set of spiked and/or sharp structures (for example: sharp rocks, nails, broken glass, or manufactured saw-toothed metal 'combs').</t>
  </si>
  <si>
    <t>BatCode_spiked</t>
  </si>
  <si>
    <t>caisson</t>
  </si>
  <si>
    <t>A steel structure used for closing the entrance of locks, wet docks, and dry docks.</t>
  </si>
  <si>
    <t>BgtCode_caisson</t>
  </si>
  <si>
    <t>lockGate</t>
  </si>
  <si>
    <t>The massive hinged doors at each end of a lock.</t>
  </si>
  <si>
    <t>BgtCode_lockGate</t>
  </si>
  <si>
    <t>tideLock</t>
  </si>
  <si>
    <t>Tide Lock</t>
  </si>
  <si>
    <t>A gate positioned between a canal or basin and tidal water that is used to maintain the water level in the canal or basin at a desired level as the height of the tide changes.</t>
  </si>
  <si>
    <t>The gates are opened when the height of the tide exceeds a predetermined level.</t>
  </si>
  <si>
    <t>BgtCode_tideLock</t>
  </si>
  <si>
    <t>depthDoubtful</t>
  </si>
  <si>
    <t>Depth Doubtful</t>
  </si>
  <si>
    <t>The depth or drying height may be less than indicated.</t>
  </si>
  <si>
    <t>For negative depth values, the drying height may be greater or less than indicated.</t>
  </si>
  <si>
    <t>Doubtful Sounding</t>
  </si>
  <si>
    <t>DkcCode_depthDoubtful</t>
  </si>
  <si>
    <t>depthKnown</t>
  </si>
  <si>
    <t>Depth Known</t>
  </si>
  <si>
    <t>The depth from the chart datum to the bottom (or to the top of the dry feature) is known.</t>
  </si>
  <si>
    <t>For negative depth values, the drying height is known.</t>
  </si>
  <si>
    <t>DkcCode_depthKnown</t>
  </si>
  <si>
    <t>depthUnknown</t>
  </si>
  <si>
    <t>Depth Unknown</t>
  </si>
  <si>
    <t>The depth from the chart datum to the bottom (or to the top of the dry feature) is unknown.</t>
  </si>
  <si>
    <t>For negative depth values, the drying height is not known.</t>
  </si>
  <si>
    <t>DkcCode_depthUnknown</t>
  </si>
  <si>
    <t>depthUnreliable</t>
  </si>
  <si>
    <t>Depth Unreliable</t>
  </si>
  <si>
    <t>The depth or drying height is considered to be an unreliable value.</t>
  </si>
  <si>
    <t>For negative depth values, the drying height is considered to be an unreliable value.</t>
  </si>
  <si>
    <t>Unreliable Sounding</t>
  </si>
  <si>
    <t>DkcCode_depthUnreliable</t>
  </si>
  <si>
    <t>leastDepth</t>
  </si>
  <si>
    <t>Least Depth</t>
  </si>
  <si>
    <t>The shoalest depth over a feature is known.</t>
  </si>
  <si>
    <t>DkcCode_leastDepth</t>
  </si>
  <si>
    <t>maintainedDepth</t>
  </si>
  <si>
    <t>Maintained Depth</t>
  </si>
  <si>
    <t>The depth at which a channel is kept by human influence, usually by dredging.</t>
  </si>
  <si>
    <t>DkcCode_maintainedDepth</t>
  </si>
  <si>
    <t>noBottom</t>
  </si>
  <si>
    <t>No Bottom</t>
  </si>
  <si>
    <t>The bottom was not reached because the general depths were too great for the method of measurement.</t>
  </si>
  <si>
    <t>DkcCode_noBottom</t>
  </si>
  <si>
    <t>reportedDepth</t>
  </si>
  <si>
    <t>Reported Depth</t>
  </si>
  <si>
    <t>The depth or drying height was obtained from a report, but not fully surveyed.</t>
  </si>
  <si>
    <t>For negative depth values, the drying height was received from a report.</t>
  </si>
  <si>
    <t>DkcCode_reportedDepth</t>
  </si>
  <si>
    <t>safeClearanceKnown</t>
  </si>
  <si>
    <t>Safe Clearance Known</t>
  </si>
  <si>
    <t>The depth from the chart datum to the bottom is not known, but there is considered to be safe clearance at the stated depth.</t>
  </si>
  <si>
    <t>Safe Clearance at Depth Shown</t>
  </si>
  <si>
    <t>DkcCode_safeClearanceKnown</t>
  </si>
  <si>
    <t>unconfirmedDepth</t>
  </si>
  <si>
    <t>Unconfirmed Depth</t>
  </si>
  <si>
    <t>The depth or drying height was obtained from a report, which it has not been possible to confirm.</t>
  </si>
  <si>
    <t>For negative depth values, the drying height has not been confirmed.</t>
  </si>
  <si>
    <t>DkcCode_unconfirmedDepth</t>
  </si>
  <si>
    <t>unmaintainedDepth</t>
  </si>
  <si>
    <t>Unmaintained Depth</t>
  </si>
  <si>
    <t>The depth may be altered by human influence, but is not routinely maintained.</t>
  </si>
  <si>
    <t>DkcCode_unmaintainedDepth</t>
  </si>
  <si>
    <t>areaSweptbySideScanSonar</t>
  </si>
  <si>
    <t>Area Swept by Side-scan Sonar</t>
  </si>
  <si>
    <t>The given area was determined to be free from navigational dangers to a certain depth by towing a side-scan-sonar.</t>
  </si>
  <si>
    <t>TecCode_areaSweptbySideScanSonar</t>
  </si>
  <si>
    <t>areaSweptVertAcousticSys</t>
  </si>
  <si>
    <t>Area Swept by Vertical Acoustic System</t>
  </si>
  <si>
    <t>The given area was determined to be free from navigational dangers to a certain depth by using a system comprised of multiple echo sounder transducers attached to booms deployed from the survey vessel.</t>
  </si>
  <si>
    <t>TecCode_areaSweptVertAcousticSys</t>
  </si>
  <si>
    <t>areaSweptWireDrag</t>
  </si>
  <si>
    <t>Area Swept by Wire-drag</t>
  </si>
  <si>
    <t>The given area was determined to be free from navigational dangers to a certain depth by towing a buoyed wire at the desired depth by two launches, or a least depth was identified using the same technique.</t>
  </si>
  <si>
    <t>TecCode_areaSweptWireDrag</t>
  </si>
  <si>
    <t>bathymetricLidar</t>
  </si>
  <si>
    <t>Bathymetric LiDAR</t>
  </si>
  <si>
    <t>The depth was determined by using a Light Detection and Ranging (LiDAR) instrument in which a laser measures distances by calculating return time of sea floor bottom reflecting surfaces.</t>
  </si>
  <si>
    <t>For bathymetry collection (generally limited to shallow, clear water) typically operates at 534 nanometre wavelength.</t>
  </si>
  <si>
    <t>TecCode_bathymetricLidar</t>
  </si>
  <si>
    <t>computerGenerated</t>
  </si>
  <si>
    <t>Computer Generated</t>
  </si>
  <si>
    <t>The depth was determined from a bottom model constructed using a computer.</t>
  </si>
  <si>
    <t>TecCode_computerGenerated</t>
  </si>
  <si>
    <t>diver</t>
  </si>
  <si>
    <t>Diver</t>
  </si>
  <si>
    <t>The depth was determined by a person skilled in the practice of diving.</t>
  </si>
  <si>
    <t>TecCode_diver</t>
  </si>
  <si>
    <t>echoSounder</t>
  </si>
  <si>
    <t>Echo Sounder</t>
  </si>
  <si>
    <t>The depth was determined by using an instrument that determines depth of water by measuring the time interval between emission of a sonic or ultrasonic signal and return of its echo from the bottom.</t>
  </si>
  <si>
    <t>For example, a fathometer or Precision Depth Recorder (PDR).</t>
  </si>
  <si>
    <t>TecCode_echoSounder</t>
  </si>
  <si>
    <t>electromagneticSensor</t>
  </si>
  <si>
    <t>Electromagnetic Sensor</t>
  </si>
  <si>
    <t>The depth was determined by using an instrument that compares electromagnetic signals.</t>
  </si>
  <si>
    <t>Used, for example, to determine bathymetry through an ice-covered water body surface.</t>
  </si>
  <si>
    <t>TecCode_electromagneticSensor</t>
  </si>
  <si>
    <t>leadLine</t>
  </si>
  <si>
    <t>Lead-line</t>
  </si>
  <si>
    <t>The depth was determined by using a line, graduated with attached marks and fastened to a sounding lead.</t>
  </si>
  <si>
    <t>TecCode_leadLine</t>
  </si>
  <si>
    <t>levelling</t>
  </si>
  <si>
    <t>Levelling</t>
  </si>
  <si>
    <t>The depth was determined by using levelling techniques to find the elevation of the point relative to a datum.</t>
  </si>
  <si>
    <t>TecCode_levelling</t>
  </si>
  <si>
    <t>multiBeamEchoSounder</t>
  </si>
  <si>
    <t>Multi-beam Echo Sounder</t>
  </si>
  <si>
    <t>The depth was determined by using a wide swath echo sounder that uses multiple beams to measure depths directly below and transverse to the ship's track.</t>
  </si>
  <si>
    <t>TecCode_multiBeamEchoSounder</t>
  </si>
  <si>
    <t>photogrammetry</t>
  </si>
  <si>
    <t>Photogrammetry</t>
  </si>
  <si>
    <t>The depth was determined by applying mathematical techniques to photographs.</t>
  </si>
  <si>
    <t>TecCode_photogrammetry</t>
  </si>
  <si>
    <t>satelliteImagery</t>
  </si>
  <si>
    <t>Satellite Imagery</t>
  </si>
  <si>
    <t>The depth was determined by using instruments placed aboard an artificial satellite.</t>
  </si>
  <si>
    <t>TecCode_satelliteImagery</t>
  </si>
  <si>
    <t>sideScanSonar</t>
  </si>
  <si>
    <t>Side-scan Sonar</t>
  </si>
  <si>
    <t>The depth was computed from a record produced by active sonar in which fixed acoustic beams are directed into the water perpendicularly to the direction of travel to scan the bottom and generate a record of the bottom configuration.</t>
  </si>
  <si>
    <t>TecCode_sideScanSonar</t>
  </si>
  <si>
    <t>singlebeam</t>
  </si>
  <si>
    <t>Singlebeam</t>
  </si>
  <si>
    <t>The depth was determined by using an echo sounder that uses a single beam to measure depths below the ship's track.</t>
  </si>
  <si>
    <t>TecCode_singlebeam</t>
  </si>
  <si>
    <t>underwaterUtilityVehicle</t>
  </si>
  <si>
    <t>Underwater Utility Vehicle</t>
  </si>
  <si>
    <t>The depth was determined utilizing sonar on board an Underwater Utility Vehicle (UUV).</t>
  </si>
  <si>
    <t>TecCode_underwaterUtilityVehicle</t>
  </si>
  <si>
    <t>bay</t>
  </si>
  <si>
    <t>Bay</t>
  </si>
  <si>
    <t>An arm or inlet of the sea extending into the land with a wide mouth.</t>
  </si>
  <si>
    <t>Local terms are cove, inlet or gulf.</t>
  </si>
  <si>
    <t>Cove, Inlet</t>
  </si>
  <si>
    <t>BycCode_bay</t>
  </si>
  <si>
    <t>coastalLake</t>
  </si>
  <si>
    <t>Coastal Lake</t>
  </si>
  <si>
    <t>A costal inlet of predominantly brackish water divided from the sea by a sandy beach ridge, either fully closed or with narrow passages.</t>
  </si>
  <si>
    <t>Local terms are haff, bodden, liman or etang.</t>
  </si>
  <si>
    <t>BycCode_coastalLake</t>
  </si>
  <si>
    <t>dykedBay</t>
  </si>
  <si>
    <t>Dyked Bay</t>
  </si>
  <si>
    <t>A costal inlet artificially embarked for the reclamation of land.</t>
  </si>
  <si>
    <t>BycCode_dykedBay</t>
  </si>
  <si>
    <t>fiord</t>
  </si>
  <si>
    <t>Fiord</t>
  </si>
  <si>
    <t>An estuary, an arm of the sea extending into mountainous coasts with predominantly steep slopes.</t>
  </si>
  <si>
    <t>Local terms are firth, calanque, fjard, ria or canale.</t>
  </si>
  <si>
    <t>Firth</t>
  </si>
  <si>
    <t>BycCode_fiord</t>
  </si>
  <si>
    <t>lagoon</t>
  </si>
  <si>
    <t>A shallow water body enclosed by an atoll or a coral island.</t>
  </si>
  <si>
    <t>BycCode_lagoon</t>
  </si>
  <si>
    <t>concave</t>
  </si>
  <si>
    <t>Concave</t>
  </si>
  <si>
    <t>The centre of the beach curves inward towards the land mass.</t>
  </si>
  <si>
    <t>BecCode_concave</t>
  </si>
  <si>
    <t>convex</t>
  </si>
  <si>
    <t>Convex</t>
  </si>
  <si>
    <t>The centre of the beach curves (bulges) outwards into the water.</t>
  </si>
  <si>
    <t>BecCode_convex</t>
  </si>
  <si>
    <t>The beach configuration is without symmetry or even shape.</t>
  </si>
  <si>
    <t>BecCode_irregular</t>
  </si>
  <si>
    <t>straight</t>
  </si>
  <si>
    <t>Straight</t>
  </si>
  <si>
    <t>The beach is essentially linear, without curves.</t>
  </si>
  <si>
    <t>BecCode_straight</t>
  </si>
  <si>
    <t>endangered</t>
  </si>
  <si>
    <t>Endangered</t>
  </si>
  <si>
    <t>A high risk of extinction of species based on biological factors.</t>
  </si>
  <si>
    <t>BcoCode_endangered</t>
  </si>
  <si>
    <t>intact</t>
  </si>
  <si>
    <t>Intact</t>
  </si>
  <si>
    <t>Not threatened at present.</t>
  </si>
  <si>
    <t>BcoCode_intact</t>
  </si>
  <si>
    <t>vulnerable</t>
  </si>
  <si>
    <t>Vulnerable</t>
  </si>
  <si>
    <t>A lower risk of extinction of species based on biological factors.</t>
  </si>
  <si>
    <t>BcoCode_vulnerable</t>
  </si>
  <si>
    <t>borealForests</t>
  </si>
  <si>
    <t>Boreal Forests (Taiga)</t>
  </si>
  <si>
    <t>Low annual temperatures characterize northerly latitudes; precipitation ranges from 40-100 centimetres per year and may fall mainly as snow.</t>
  </si>
  <si>
    <t>This combination, along with nutrient poor soils - largely a result of permafrost and the resultant poor drainage - favors the preponderence of conifer species (Abies, Picea, Larix, and Pinus), although species of deciduous trees are also rather common: Betula spp. and Populus spp. Ground cover in Boreal Forests and Taiga is dominated by mosses and lichens.</t>
  </si>
  <si>
    <t>WwfCode_borealForests</t>
  </si>
  <si>
    <t>desertsXericShrublands</t>
  </si>
  <si>
    <t>Deserts &amp; Xeric Shrublands</t>
  </si>
  <si>
    <t>Worldwide, Deserts and Xeric Shrublands vary greatly in the amount of annual rainfall they receive; generally, however, evaporation exceeds rainfall in these ecoregions, usually less than 10 inches annually. Temperature variability is also extremely diverse in these remarkable lands, with many deserts, such as the Sahara, being hot year-round but others, such as Asia's Gobi, becoming quite cold in winter.</t>
  </si>
  <si>
    <t>Temperature extremes are a characteristic of most deserts. Searing daytime heat gives way to cold nights because there is no insulation provided by humidity and cloud cover. Not surprisingly, the diversity of climatic conditions - though quite harsh - supports a rich array of habitats. Many of these habitats are ephemeral in nature - reflecting the paucity and seasonality of available water.</t>
  </si>
  <si>
    <t>WwfCode_desertsXericShrublands</t>
  </si>
  <si>
    <t>floodedGrasslandsSavannas</t>
  </si>
  <si>
    <t>Flooded Grasslands &amp; Savannas</t>
  </si>
  <si>
    <t>Common to four of the continents on Earth are large expanses or complexes of flooded grasslands. These areas support numerous plants and animals adapted to the unique hydrologic regimes and soil conditions. Large congregations of migratory and resident waterbirds may be found in these regions.</t>
  </si>
  <si>
    <t>However, the relative importance of these habitat types for these birds as well as more vagile taxa typically varies as the availability of water and productivity annually and seasonally shifts among complexes of smaller and larger wetlands throughout a region.</t>
  </si>
  <si>
    <t>WwfCode_floodedGrasslandsSavannas</t>
  </si>
  <si>
    <t>largeLakes</t>
  </si>
  <si>
    <t>Large Lakes</t>
  </si>
  <si>
    <t>The most outstanding examples of diverse and endemic freshwater faunas in large lakes are found in temperate and tropical regions, many displaying extraordinary species flocks and adaptive radiations in fish taxa.</t>
  </si>
  <si>
    <t>WwfCode_largeLakes</t>
  </si>
  <si>
    <t>largeRiverDeltas</t>
  </si>
  <si>
    <t>Large River Deltas</t>
  </si>
  <si>
    <t>Delta complexes of several large temperate and polar rivers are identified, including the Mesopotamian, Volga, and Lena river deltas. The Niger, the most extensive river delta in Africa, is characterized by high species richness. The extensive deltas of the Orinoco and Amazon rivers are covered by their respective large river ecoregions.</t>
  </si>
  <si>
    <t>WwfCode_largeRiverDeltas</t>
  </si>
  <si>
    <t>largeRiverHeadwaters</t>
  </si>
  <si>
    <t>Large River Headwaters</t>
  </si>
  <si>
    <t>Species, assemblages, and processes in headwater areas are distinct from those of their larger mainstems.</t>
  </si>
  <si>
    <t>WwfCode_largeRiverHeadwaters</t>
  </si>
  <si>
    <t>largeRivers</t>
  </si>
  <si>
    <t>Large Rivers</t>
  </si>
  <si>
    <t>Faunas adapted to high flow regimes of large rivers are uncommon and best developed in the Yangtze, Colorado, lower Mississippi, and lower Congo rivers. A relatively small area of rapids in the latter region supports 22 endemic species of rapid specialist fish.</t>
  </si>
  <si>
    <t>WwfCode_largeRivers</t>
  </si>
  <si>
    <t>mangroves</t>
  </si>
  <si>
    <t>Mangroves</t>
  </si>
  <si>
    <t>Mangroves occur in the waterlogged, salty soils of sheltered tropical and subtropical shores. They are subject to the twice-daily ebb and flow of tides, fortnightly spring and neap tides, and seasonal weather fluctuations. They stretch from the intertidal zone up to the high-tide mark. These forests are comprised of 12 genera comprising about 60 species of salt-tolerant trees.</t>
  </si>
  <si>
    <t>With their distinctive nest of stilt and prop-like roots, mangroves can thrive in areas of soft, waterlogged, and oxygen-poor soil by using aerial and even horizontal roots to gain a foothold. The roots also absorb oxygen from the air, while the tree's leaves can excrete excess salt.</t>
  </si>
  <si>
    <t>WwfCode_mangroves</t>
  </si>
  <si>
    <t>mediterrForWoodlandsScrub</t>
  </si>
  <si>
    <t>Mediterranean Forests, Woodlands &amp; Scrub</t>
  </si>
  <si>
    <t>Mediterranean Forests, Woodlands, and Scrub ecoregions are characterized by hot and dry summers, while winters tend to be cool and moist with most precipitation arriving during these months.</t>
  </si>
  <si>
    <t>Only 5 regions in the world experience these conditions: the Mediterranean, south-central and southwestern Australia, the fynbos of southern Africa, the Chilean matorral, and the Mediterranean ecoregions of California. Although the habitat is globally rare, it features an extraordinary biodiversity of uniquely adapted animal and plant species, which can adapt to the stressful conditions of long, hot summers with little rain. Most plants are fire adapted, and dependent on this disturbance for their persistence.</t>
  </si>
  <si>
    <t>WwfCode_mediterrForWoodlandsScrub</t>
  </si>
  <si>
    <t>montaneGrassShrublands</t>
  </si>
  <si>
    <t>Montane Grasslands &amp; Shrublands</t>
  </si>
  <si>
    <t>This major habitat type includes high elevation (montane and alpine) grasslands and shrublands, including the puna and paramo in South America, subalpine heath in New Guinea and East Africa, steppes of the Tibetan plateaus, as well as other similar subalpine habitats around the world.</t>
  </si>
  <si>
    <t>They are tropical, subtropical, and temperate.The plants and animals of tropical montane paramos display striking adaptations to cool, wet conditions and intense sunlight. Around the world, characteristic plants of these habitats display features such as rosette structures, waxy surfaces, and abundant pilosity.</t>
  </si>
  <si>
    <t>WwfCode_montaneGrassShrublands</t>
  </si>
  <si>
    <t>polarSeas</t>
  </si>
  <si>
    <t>Polar Seas</t>
  </si>
  <si>
    <t>Low temperatures, low salinity, high plankton levels and correspondingly green color generally characterize Polar marine waters; extensive ice is also typical of the polar ocean, both in terms of cover by sheets and in the form of drift ice and icebergs carried by polar currents.</t>
  </si>
  <si>
    <t>WwfCode_polarSeas</t>
  </si>
  <si>
    <t>smallLakes</t>
  </si>
  <si>
    <t>Small Lakes</t>
  </si>
  <si>
    <t>Similarly, a number of lentic systems represented by smaller lakes around the world host extraordinary expressions of freshwater biodiversity.</t>
  </si>
  <si>
    <t>WwfCode_smallLakes</t>
  </si>
  <si>
    <t>smallRivers</t>
  </si>
  <si>
    <t>Small Rivers</t>
  </si>
  <si>
    <t>The Mississippi River embayment, the Mobile River basin, and numerous coastal streams and rivers of southeastern North America together support one of the Earth's richest temperate freshwater biotas.</t>
  </si>
  <si>
    <t>WwfCode_smallRivers</t>
  </si>
  <si>
    <t>tempBroadleafMixedForests</t>
  </si>
  <si>
    <t>Temperate Broadleaf &amp; Mixed Forests - TBMF</t>
  </si>
  <si>
    <t>Forests in the temperate world experience a wide range of variability in temperature and precipitation. In regions where rainfall is broadly distributed throughout the year, deciduous trees mix with species of evergreens. Species such as oak (Quercus spp.), beech (Fagus spp.), birch (Betupa spp.), and maple (Acer spp.) typify the composition of the Temperate Broadleaf and Mixed Forests (TBMF).</t>
  </si>
  <si>
    <t>Structurally, these forests are characterized by 4 layers: a canopy composed of mature full-sized dominant species and a slightly lower layer of mature trees, a shrub layer, and understory layer of grasses and other herbaceous plants. In contrast to tropical rain forests, most biodiversity is concentrated much closer to the forest floor.</t>
  </si>
  <si>
    <t>WwfCode_tempBroadleafMixedForests</t>
  </si>
  <si>
    <t>tempConiferousForests</t>
  </si>
  <si>
    <t>Temperate Coniferous Forests</t>
  </si>
  <si>
    <t>Temperate evergreen forests are found predominantly in areas with warm summers and cool winters, and vary enormously in their kinds of plant life. In some, needleleaf trees dominate, while others are home primarily to broadleaf evergreen trees or a mix of both tree types.</t>
  </si>
  <si>
    <t>Temperate evergreen forests are common in the coastal areas of regions that have mild winters and heavy rainfall, or inland in drier climates or montane areas. Many species of trees inhabit these forests including pine, cedar, fir, and redwood.</t>
  </si>
  <si>
    <t>WwfCode_tempConiferousForests</t>
  </si>
  <si>
    <t>tempGrassSavShrub</t>
  </si>
  <si>
    <t>Temperate Grasslands, Savannas &amp; Shrublands</t>
  </si>
  <si>
    <t>Known as prairies in North America, pampas in South America, veld in Southern Africa and steppe in Asia, Temperate Grasslands, Savannas, and Shrublands differ largely from tropical grasslands in the annual temperature regime as well as the types of species found here. Generally speaking, these regions are devoid of trees, except for riparian or gallery forests associated with streams and rivers.</t>
  </si>
  <si>
    <t>However, some regions do support savanna conditions characterized by interspersed individuals or clusters of trees. Biodiversity in these habitats includes a number of large grazing mammals and associated predators in addition to burrowing mammals, numerous bird species, and of course, a diversity of insects.</t>
  </si>
  <si>
    <t>WwfCode_tempGrassSavShrub</t>
  </si>
  <si>
    <t>temperateShelfSeas</t>
  </si>
  <si>
    <t>Temperate Shelf and Seas</t>
  </si>
  <si>
    <t>The Temperate Shelf and Seas are highly productive regions of great biological importance, supporting resident as well as migratory species during various life cycle stages. The relative shallowness of these regions (the continental shelf extends to an average maximum depth of 150 metres) leads to warmer temperatures and seasonal stratification of the water column based on temperature.</t>
  </si>
  <si>
    <t>WwfCode_temperateShelfSeas</t>
  </si>
  <si>
    <t>temperateUpwelling</t>
  </si>
  <si>
    <t>Temperate Upwelling</t>
  </si>
  <si>
    <t>Important coastal temperate upwelling areas occur along the West Coast of North America where the California Current moves southward. Along the Southwest coast of Africa the Benguela Current exhibits similar dynamics.</t>
  </si>
  <si>
    <t>WwfCode_temperateUpwelling</t>
  </si>
  <si>
    <t>tropSubtropDryBroadlFor</t>
  </si>
  <si>
    <t>Tropical &amp; Subtropical Dry Broadleaf Forests</t>
  </si>
  <si>
    <t>Tropical and Subtropical Dry Forests are found in southern Mexico, southeastern Africa, the Lesser Sundas, central India, Indochina, Madagascar, New Caledonia, eastern Bolivia and central Brazil, the Caribbean, valleys of the northern Andes, and along the coasts of Ecuador and Peru.</t>
  </si>
  <si>
    <t>Though these forests occur in climates that are warm year-round, and may receive several hundred centimetres of rain per year, they deal with long dry seasons which last several months and vary with geographic location. These seasonal droughts have great impact on all living things in the forest.</t>
  </si>
  <si>
    <t>WwfCode_tropSubtropDryBroadlFor</t>
  </si>
  <si>
    <t>tropSubtropGrassSavShrub</t>
  </si>
  <si>
    <t>Tropical &amp; Subtropical Grasslands, Savannas &amp; Shrublands</t>
  </si>
  <si>
    <t>Large expanses of land in the tropics do not receive enough rainfall to support extensive tree cover. The Tropical and Subtropical Grasslands, Savannas, and Shrublands are characterized by rainfall levels between 90-150 centimetres per year.</t>
  </si>
  <si>
    <t>However, there may be great variability in soil moisture throughout the year. Grasses dominate the species composition of these ecoregions, although scattered trees may be common. Large mammals that have evolved to take advantage of the ample forage typify the biodiversity associated with these habitats.</t>
  </si>
  <si>
    <t>WwfCode_tropSubtropGrassSavShrub</t>
  </si>
  <si>
    <t>tropSuptropConifForests</t>
  </si>
  <si>
    <t>Tropical &amp; Suptropical Coniferous Forests</t>
  </si>
  <si>
    <t>Found predominantly in North and Central America, these tropical regions experience low levels of precipitation and moderate variability in temperature, Tropical and Subtropical Coniferous Forests are characterized by diverse species of conifers, whose needles are adapted to deal with the variable climatic conditions.</t>
  </si>
  <si>
    <t>Many migratory birds and butterflies spend winter in tropical and subtropical coniferous forests. These biomes feature a thick, closed canopy which blocks light to the floor and allows little underbrush. As a result, the ground is often covered with fungi and ferns. Shrubs and small trees compose a diverse understory.</t>
  </si>
  <si>
    <t>WwfCode_tropSuptropConifForests</t>
  </si>
  <si>
    <t>tropSubtropMoistBroadlFor</t>
  </si>
  <si>
    <t>Tropical and Subtropical Moist Broadleaf Forests - TSMF</t>
  </si>
  <si>
    <t>Generally found in large, discontinuous patches centered on the equatorial belt and between the Tropics of Cancer and Capricorn, Tropical and Subtropical Moist Forests (TSMF) are characterized by low variability in annual temperature and high levels of rainfall (&gt;200 centimetres annually).</t>
  </si>
  <si>
    <t>Forest composition is dominated by semi-evergreen and evergreen deciduous tree species. These trees number in the thousands and contribute to the highest levels of species diversity in any terrestrial major habitat type. In general, biodiversity is highest in the forest canopy which can be divided into five layers: overstory canopy with emergent crowns, a medium layer of canopy, lower canopy, shrub level, and finally understory.</t>
  </si>
  <si>
    <t>WwfCode_tropSubtropMoistBroadlFor</t>
  </si>
  <si>
    <t>tropicalCoral</t>
  </si>
  <si>
    <t>Tropical Coral</t>
  </si>
  <si>
    <t>The greatest known species diversity of any marine ecosystem is found in coral reefs; their vertical growth and complexity provides numerous niches for different species to fill.</t>
  </si>
  <si>
    <t>WwfCode_tropicalCoral</t>
  </si>
  <si>
    <t>tropicalUpwelling</t>
  </si>
  <si>
    <t>Tropical Upwelling</t>
  </si>
  <si>
    <t>Similar to Temperate Upwelling areas, Tropical Upwelling habitats are characterized by high productivity resulting from the upwelling of nutrient rich bottom waters. These regions are distinct from other tropical waters in that the bottom waters bring cool water and nutrients to the surface.</t>
  </si>
  <si>
    <t>WwfCode_tropicalUpwelling</t>
  </si>
  <si>
    <t>tundra</t>
  </si>
  <si>
    <t>The tundra is a treeless polar desert found in the high latitudes in the polar regions, primarily in Alaska, Canada, Russia, Greenland, Iceland, and Scandinavia, as well as sub-Antarctic islands; the region's long, dry winters feature months of total darkness and extremely frigid temperatures.</t>
  </si>
  <si>
    <t>Structurally, the Tundra is a treeless expanse that supports communities of sedges and heaths as well as dwarf shrubs. Vegetation is generally scattered, although it can be patchy reflecting changes in soil and moisture gradients. Most precipitation falls in the form of snow during the winter while soils tend to be acidic and saturated with water where not frozen.</t>
  </si>
  <si>
    <t>WwfCode_tundra</t>
  </si>
  <si>
    <t>xericBasins</t>
  </si>
  <si>
    <t>Xeric Basins</t>
  </si>
  <si>
    <t>Little permanent surface water and a relative abundance of springs characterize ecoregions in this major habitat type. Extraordinary freshwater biodiversity in desert regions occurs in the Chihuahuan, Anatolian, and Central Australian freshwater ecoregion.</t>
  </si>
  <si>
    <t>WwfCode_xericBasins</t>
  </si>
  <si>
    <t>atlanticPlateauBog</t>
  </si>
  <si>
    <t>Atlantic Plateau Bog</t>
  </si>
  <si>
    <t>A bog with a flat to undulating surface raised above the surrounding terrain and whose edges commonly slope steeply downwards to the mineral soil terrain.</t>
  </si>
  <si>
    <t>Large pools scattered on the bog may reach depths of 2 to 4 metre.</t>
  </si>
  <si>
    <t>BocCode_atlanticPlateauBog</t>
  </si>
  <si>
    <t>basinBog</t>
  </si>
  <si>
    <t>Basin Bog</t>
  </si>
  <si>
    <t>A bog situated in a basin with essentially closed drainage which receives water from precipitation and runoff from the immediate surroundings.</t>
  </si>
  <si>
    <t>The surface of the bog is flat with peat generally deepest at the centre.</t>
  </si>
  <si>
    <t>BocCode_basinBog</t>
  </si>
  <si>
    <t>blanketBog</t>
  </si>
  <si>
    <t>Blanket Bog</t>
  </si>
  <si>
    <t>A bog consisting of extensive peat deposits that occur more or less uniformly over gently sloping hills and valleys.</t>
  </si>
  <si>
    <t>The peat thickness is usually less than 2 metres.</t>
  </si>
  <si>
    <t>BocCode_blanketBog</t>
  </si>
  <si>
    <t>cranberryBog</t>
  </si>
  <si>
    <t>Cranberry Bog</t>
  </si>
  <si>
    <t>A man-made bog used for the farming of cranberries, heavily watered (2-3 centimetres per week) during the growing season and generally flooded during the winter season and for berry harvesting.</t>
  </si>
  <si>
    <t>For construction utilizing an existing peat bog the site is ditched to drain the peat and the tops of the bogs are scraped level and then covered with a 3 to 6 inch layer of coarse sand. Upland sites typically range from sandy sites with a naturally high water table, to impermeable clay based sites with no natural water table.</t>
  </si>
  <si>
    <t>BocCode_cranberryBog</t>
  </si>
  <si>
    <t>domedBog</t>
  </si>
  <si>
    <t>Domed Bog</t>
  </si>
  <si>
    <t>A large bog (diameter usually greater than 500 metres) with a convex surface rising several metres above the surrounding terrain whose centre usually drains in all directions.</t>
  </si>
  <si>
    <t>Small crescentic pools commonly form around the highest point; a concentric pattern is formed if the highest point is in the centre, while an eccentric pattern is formed if the highest point is off-centre. The peat thickness is usually greater than 3 metres.</t>
  </si>
  <si>
    <t>BocCode_domedBog</t>
  </si>
  <si>
    <t>fen</t>
  </si>
  <si>
    <t>Fen</t>
  </si>
  <si>
    <t>A fen whose morphology and/or dominant vegetation has not been determined.</t>
  </si>
  <si>
    <t>A fen is similar to a bog but may have alkaline, neutral, or only slightly acid peaty soil whereas a bog is generally very acidic.</t>
  </si>
  <si>
    <t>BocCode_fen</t>
  </si>
  <si>
    <t>flatBog</t>
  </si>
  <si>
    <t>Flat Bog</t>
  </si>
  <si>
    <t>A bog having a flat, featureless surface and occurring in broad, poorly defined depressions.</t>
  </si>
  <si>
    <t>The depth of peat is generally uniform.</t>
  </si>
  <si>
    <t>BocCode_flatBog</t>
  </si>
  <si>
    <t>horizontalFen</t>
  </si>
  <si>
    <t>Horizontal Fen</t>
  </si>
  <si>
    <t>A fen with a gently sloping, featureless surface occupying broad, often ill-defined depressions and potentially interconnecting with other fens.</t>
  </si>
  <si>
    <t>BocCode_horizontalFen</t>
  </si>
  <si>
    <t>lowlandPolygonBog</t>
  </si>
  <si>
    <t>Lowland Polygon Bog</t>
  </si>
  <si>
    <t>A bog with flat-topped or convex peat surfaces (often referred to as 'high-centre polygons') separated by trenches over ice wedges that form a polygonal pattern when viewed from above.</t>
  </si>
  <si>
    <t>The peat was deposited in a permafrost environment as shown by internal structures.</t>
  </si>
  <si>
    <t>BocCode_lowlandPolygonBog</t>
  </si>
  <si>
    <t>northernRibbedFen</t>
  </si>
  <si>
    <t>Northern Ribbed Fen</t>
  </si>
  <si>
    <t>A fen with parallel, low peat ridges ('strings') alternating with wet hollows or shallow pools, oriented across the major slope at right angles to water movement.</t>
  </si>
  <si>
    <t>The depth of peat is greater than 1 metre.</t>
  </si>
  <si>
    <t>BocCode_northernRibbedFen</t>
  </si>
  <si>
    <t>palsaBog</t>
  </si>
  <si>
    <t>Palsa Bog</t>
  </si>
  <si>
    <t>A bog consisting of a mound or ridge of peat covered with vegetation and containing a core of frozen peat or mineral soil in which are numerous ice lenses.</t>
  </si>
  <si>
    <t>A landform of subarctic regions.</t>
  </si>
  <si>
    <t>BocCode_palsaBog</t>
  </si>
  <si>
    <t>peatBog</t>
  </si>
  <si>
    <t>Peat Bog</t>
  </si>
  <si>
    <t>A bog whose morphology and/or dominant vegetation has not been determined.</t>
  </si>
  <si>
    <t>BocCode_peatBog</t>
  </si>
  <si>
    <t>peatPlateauBog</t>
  </si>
  <si>
    <t>Peat Plateau Bog</t>
  </si>
  <si>
    <t>A bog composed of perennially frozen peat rising abruptly about 1 metre from the surrounding unfrozen fen and whose surface is relatively flat and even.</t>
  </si>
  <si>
    <t>It commonly covers large areas. The peat was originally deposited in a nonpermafrost environment and is associated in many places with collapse scar bogs or fens.</t>
  </si>
  <si>
    <t>BocCode_peatPlateauBog</t>
  </si>
  <si>
    <t>polygonalPeatPlateauBog</t>
  </si>
  <si>
    <t>Polygonal Peat Plateau Bog</t>
  </si>
  <si>
    <t>A perennially frozen bog rising approximately 1 metre above the surrounding fen and whose surface is relatively flat, scored by a polygonal pattern of trenches that developed over ice wedges.</t>
  </si>
  <si>
    <t>The permafrost and ice wedges developed in peat originally deposited in a nonpermafrost environment.</t>
  </si>
  <si>
    <t>BocCode_polygonalPeatPlateauBog</t>
  </si>
  <si>
    <t>shoreFen</t>
  </si>
  <si>
    <t>Shore Fen</t>
  </si>
  <si>
    <t>A fen with an anchored surface mat that forms the shore of a pond or lake.</t>
  </si>
  <si>
    <t>The rooting zone is affected by the water of the lake at both normal and flood levels.</t>
  </si>
  <si>
    <t>BocCode_shoreFen</t>
  </si>
  <si>
    <t>slopeBog</t>
  </si>
  <si>
    <t>Slope Bog</t>
  </si>
  <si>
    <t>A bog occurring in areas of high rainfall on appreciably sloping land surfaces, being fed by rainwater and by water draining from other nutrient-poor peatlands.</t>
  </si>
  <si>
    <t>The peat thickness may exceed 1 metre.</t>
  </si>
  <si>
    <t>BocCode_slopeBog</t>
  </si>
  <si>
    <t>slopeFen</t>
  </si>
  <si>
    <t>Slope Fen</t>
  </si>
  <si>
    <t>A fen occurring mainly on slow-draining, nutrient-enriched seepage slopes on which pools are usually absent, but wet seepage tracks may occur.</t>
  </si>
  <si>
    <t>BocCode_slopeFen</t>
  </si>
  <si>
    <t>stringBog</t>
  </si>
  <si>
    <t>String Bog</t>
  </si>
  <si>
    <t>A bog characterized by a pattern of narrow (2 to 3 metre wide), low (less than 1 metre high) ridges oriented at right angles to the direction of drainage with wet depressions or pools occurring between the ridges.</t>
  </si>
  <si>
    <t>The water and peat are very low in nutrients because the water has been derived from other ombrotrophic wetlands. The peat thickness is greater than 1 metre.</t>
  </si>
  <si>
    <t>BocCode_stringBog</t>
  </si>
  <si>
    <t>veneerBog</t>
  </si>
  <si>
    <t>Veneer Bog</t>
  </si>
  <si>
    <t>A bog occurring on gently sloping terrain underlain by generally discontinuous permafrost with drainage predominantly below the surface.</t>
  </si>
  <si>
    <t>Overland flow occurs in poorly defined drainways during peak runoff. The peat thickness is usually less than 1.5 metres.</t>
  </si>
  <si>
    <t>BocCode_veneerBog</t>
  </si>
  <si>
    <t>mooring</t>
  </si>
  <si>
    <t>Mooring</t>
  </si>
  <si>
    <t>A vertical post to which ships are moored.</t>
  </si>
  <si>
    <t>The bollard may be made out of wood, iron or stone. Mooring bollards are located where ships are berthed, such as at a pier, wharf or quay. A ship is moored to a bollard with a mooring chain.</t>
  </si>
  <si>
    <t>BrdCode_mooring</t>
  </si>
  <si>
    <t>safetySecurity</t>
  </si>
  <si>
    <t>Safety and Security</t>
  </si>
  <si>
    <t>A vertical post or object that is used to delineate, protect, or to limit vehicle access to an area.</t>
  </si>
  <si>
    <t>Safety and security bollards have many uses, including, for example: infrastructure protection, traffic flow management, pedestrian safety and terrorist threat protection. Safety and security bollards are designed in a wide variety of shapes and sizes, ranging from short bell-shaped objects to large planter-like objects.</t>
  </si>
  <si>
    <t>BrdCode_safetySecurity</t>
  </si>
  <si>
    <t>bridge</t>
  </si>
  <si>
    <t>An elevated structure connecting locations in neighboring States that carries a transportation route (for example: a road or a railway) over a border obstacle (for example: a waterbody).</t>
  </si>
  <si>
    <t>BryCode_bridge</t>
  </si>
  <si>
    <t>crossing</t>
  </si>
  <si>
    <t>No specialized transportation structure is present as the neighboring States are not separated by a significant natural obstacle.</t>
  </si>
  <si>
    <t>Additional structures may be present whose purpose is to control transport flow, for example: gates.</t>
  </si>
  <si>
    <t>BryCode_crossing</t>
  </si>
  <si>
    <t>dam</t>
  </si>
  <si>
    <t>A barrier across a waterbody between neighboring States that carries a transportation route along its top.</t>
  </si>
  <si>
    <t>Constructed to hold back water and raise its level to form a reservoir or to prevent flooding.</t>
  </si>
  <si>
    <t>BryCode_dam</t>
  </si>
  <si>
    <t>ferry</t>
  </si>
  <si>
    <t>Ferry</t>
  </si>
  <si>
    <t>A ferry that crosses a waterbody between neighboring States.</t>
  </si>
  <si>
    <t>May carry pedestrians, motor vehicles, and occasionally railway rolling stock.</t>
  </si>
  <si>
    <t>BryCode_ferry</t>
  </si>
  <si>
    <t>tunnel</t>
  </si>
  <si>
    <t>An underground passage connecting locations in neighboring States that is open at both ends and provides for the passage of a transportation route (for example: a road and/or a railway) under a border obstacle (for example: a mountain or a waterbody).</t>
  </si>
  <si>
    <t>BryCode_tunnel</t>
  </si>
  <si>
    <t>fences</t>
  </si>
  <si>
    <t>Fences</t>
  </si>
  <si>
    <t>A man-made barrier of relatively light structure used as an enclosure or boundary and protection.</t>
  </si>
  <si>
    <t>BptCode_fences</t>
  </si>
  <si>
    <t>mines</t>
  </si>
  <si>
    <t>Mines</t>
  </si>
  <si>
    <t>An explosive device used for destroying vehicles, ships or people that touch or pass near it.</t>
  </si>
  <si>
    <t>Often placed in a concealed position.</t>
  </si>
  <si>
    <t>BptCode_mines</t>
  </si>
  <si>
    <t>notProtected</t>
  </si>
  <si>
    <t>Not Protected</t>
  </si>
  <si>
    <t>Not defended or protected from harm.</t>
  </si>
  <si>
    <t>BptCode_notProtected</t>
  </si>
  <si>
    <t>walls</t>
  </si>
  <si>
    <t>Walls</t>
  </si>
  <si>
    <t>BptCode_walls</t>
  </si>
  <si>
    <t>cathodicProtectionWell</t>
  </si>
  <si>
    <t>Cathodic Protection Well</t>
  </si>
  <si>
    <t>A borehole housing devices to minimize electrolytic corrosion of metallic pipelines, tanks, and other facilities in contact with the ground.</t>
  </si>
  <si>
    <t>Cathodic protection wells (boreholes), sometimes called 'deep groundbeds', are widely installed to protect metallic objects in contact with the ground from electrolytic corrosion. Such objects include petroleum, natural gas, and water pipelines, and related storage facilities; power lines; telephone cables; and switchyards. Cathodic protection wells are sometimes used to control electrolytic corrosion in large water wells.</t>
  </si>
  <si>
    <t>PtdCode_cathodicProtectionWell</t>
  </si>
  <si>
    <t>disposalWell</t>
  </si>
  <si>
    <t>Disposal Well</t>
  </si>
  <si>
    <t>A well, often a depleted oil or gas well, into which waste fluids can be injected for safe disposal.</t>
  </si>
  <si>
    <t>Disposal wells typically are subject to regulatory requirements to avoid the contamination of freshwater aquifers.</t>
  </si>
  <si>
    <t>PtdCode_disposalWell</t>
  </si>
  <si>
    <t>enhancedOilRecoveryWell</t>
  </si>
  <si>
    <t>Enhanced Oil Recovery (EOR) Well</t>
  </si>
  <si>
    <t>A well drilled as part of an Enhanced Oil Recovery (EOR) activity to increase the amount of crude oil that can be extracted from an oil field.</t>
  </si>
  <si>
    <t>Using EOR (also termed 'tertiary recovery'), 30 to 60 percent, or more, of the reservoir's original oil can be extracted compared with 20 to 40 percent using primary and secondary recovery. Enhanced oil recovery is achieved by gas injection, chemical injection, ultrasonic stimulation, microbial injection, or thermal recovery (which includes cyclic steam, steamflooding, and fireflooding).</t>
  </si>
  <si>
    <t>PtdCode_enhancedOilRecoveryWell</t>
  </si>
  <si>
    <t>injectionWell</t>
  </si>
  <si>
    <t>Injection Well</t>
  </si>
  <si>
    <t>A well into which water, other liquids, or gases are injected instead of being pumped out.</t>
  </si>
  <si>
    <t>Injection wells are used in petroleum production. Steam, carbon dioxide, water, and other substances can be injected into an oil-producing unit in order to maintain reservoir pressure, heat the oil or lower its viscosity, thus allowing it to flow to a producing well nearby. Injection wells may also be used for waste water dumping, in which waste water is injected into the ground between impermeable layers of rocks to avoid polluting fresh water supplies.</t>
  </si>
  <si>
    <t>PtdCode_injectionWell</t>
  </si>
  <si>
    <t>observationWell</t>
  </si>
  <si>
    <t>Observation Well</t>
  </si>
  <si>
    <t>A well that is used to observe changes in groundwater levels over a period, or more specifically during a pumping test.</t>
  </si>
  <si>
    <t>Pumping does not normally take place from observation wells, which are typically of relatively small diameter.</t>
  </si>
  <si>
    <t>PtdCode_observationWell</t>
  </si>
  <si>
    <t>producing</t>
  </si>
  <si>
    <t>Producing</t>
  </si>
  <si>
    <t>A well from which petroleum and gas is obtained by pumping or by natural flow.</t>
  </si>
  <si>
    <t>PtdCode_producing</t>
  </si>
  <si>
    <t>prospect</t>
  </si>
  <si>
    <t>Prospect</t>
  </si>
  <si>
    <t>An exploratory borehole drilled for the purpose of prospecting mineral-bearing ground for metal ores, water, oil and/or gas.</t>
  </si>
  <si>
    <t>PtdCode_prospect</t>
  </si>
  <si>
    <t>radioactiveHole</t>
  </si>
  <si>
    <t>Radioactive Hole</t>
  </si>
  <si>
    <t>A wellbore that was not brought into service due to the excessive presence of radioactive materials in subsurface strata.</t>
  </si>
  <si>
    <t>Subsurface formations may contain low levels of radioactive materials such as uranium and thorium and their daughter products, radium 226 and radium 228. Such Naturally Occurring Radioactive Material (NORM) typically appears in trace amounts and can be brought to the surface through oil or gas wells (for example: when fluids that are present in the radioactive formation are pumped out of the well, or when natural gas contains radon gas, a radium daughter).</t>
  </si>
  <si>
    <t>PtdCode_radioactiveHole</t>
  </si>
  <si>
    <t>research</t>
  </si>
  <si>
    <t>Research</t>
  </si>
  <si>
    <t>A borehole drilled for the purpose of conducting geological research.</t>
  </si>
  <si>
    <t>PtdCode_research</t>
  </si>
  <si>
    <t>serviceWell</t>
  </si>
  <si>
    <t>Service Well</t>
  </si>
  <si>
    <t>A well intended for the purpose of supporting production in an existing field.</t>
  </si>
  <si>
    <t>Such wells are drilled for the following specific purposes: gas injection (natural gas, propane, butane, flue gas, or carbon dioxide); water injection; steam injection; air injection; saltwater disposal; water supply for injection (termed a 'source well'); observation; or injection for in-situ combustion (termed 'fire flooding').</t>
  </si>
  <si>
    <t>PtdCode_serviceWell</t>
  </si>
  <si>
    <t>shaft</t>
  </si>
  <si>
    <t>Shaft</t>
  </si>
  <si>
    <t>A shaft drilled for the purpose of creating a passageway (shaft or tunnel).</t>
  </si>
  <si>
    <t>PtdCode_shaft</t>
  </si>
  <si>
    <t>storageWell</t>
  </si>
  <si>
    <t>Storage Well</t>
  </si>
  <si>
    <t>A well that is used to pump materials (for example: liquefied petroleum gas) into an underground reservoir or cavern for later retrieval.</t>
  </si>
  <si>
    <t>PtdCode_storageWell</t>
  </si>
  <si>
    <t>stratigraphicWell</t>
  </si>
  <si>
    <t>Stratigraphic Well</t>
  </si>
  <si>
    <t>A well that is drilled in order to determine the types and layering of subsurface strata.</t>
  </si>
  <si>
    <t>Such wells may be drilled to: evaluate subsurface rock formations for suitability for oil and/or gas production, solution mining, geothermal development, underground gas storage or brine disposal; investigate subsurface conditions in problem areas; or gather information for research (for example: retrieval of ice cores) or construction projects.</t>
  </si>
  <si>
    <t>PtdCode_stratigraphicWell</t>
  </si>
  <si>
    <t>weaponTest</t>
  </si>
  <si>
    <t>Weapon Test</t>
  </si>
  <si>
    <t>A vertical shaft that after installation of the requisite weapon and associated test equipment is blocked (excepting equipment power and signal cables) to prevent the escape of post-explosion residue (for example: radioactive debris).</t>
  </si>
  <si>
    <t>Most nuclear weapon states have constructed underground testing facilities similar to the U.S. Nevada Test Site including numerous boreholes used in weapons development and proof testing. Typical boreholes are 1 to 3 metres (roughly 48 to 120 inches) in diameter and 213 to 762 metres (600 to 2,500 feet) in depth.</t>
  </si>
  <si>
    <t>PtdCode_weaponTest</t>
  </si>
  <si>
    <t>classified</t>
  </si>
  <si>
    <t>Classified</t>
  </si>
  <si>
    <t>A subsurface contact whose properties (for example: size, shape, shadow and/or structure) lead to the assumption that it may be an obstruction (and potential hazard to navigation).</t>
  </si>
  <si>
    <t>Determination may require additional passes at slower speeds and better angles (for example: passing parallel to the object, 25-30 metres off its apparent centreline in order to capture a full image and associated shadow).</t>
  </si>
  <si>
    <t>BcsCode_classified</t>
  </si>
  <si>
    <t>detected</t>
  </si>
  <si>
    <t>Detected</t>
  </si>
  <si>
    <t>A subsurface contact that distinguishes itself from the general structure of the bottom.</t>
  </si>
  <si>
    <t>Contacts and echoes of interest may be obtained from first pass multibeam or side scan sonar and magnetometer returns.</t>
  </si>
  <si>
    <t>BcsCode_detected</t>
  </si>
  <si>
    <t>identified</t>
  </si>
  <si>
    <t>Identified</t>
  </si>
  <si>
    <t>The positive identification of a subsurface contact as an obstruction and therefore a potential hazard to navigation.</t>
  </si>
  <si>
    <t>May require the use of divers, underwater vehicles and/or other systems. If the obstruction is determined to be a wreck, then the use of historical records along with divers reports (private and/or commercial) may result in a specific identification of the vessel found.</t>
  </si>
  <si>
    <t>BcsCode_identified</t>
  </si>
  <si>
    <t>bedrock</t>
  </si>
  <si>
    <t>Bedrock</t>
  </si>
  <si>
    <t>Native consolidated solid rock that has been unaffected by the processes of weathering and underlies the surface of the Earth.</t>
  </si>
  <si>
    <t>Often overlain by the results of weathering processes, including soil, clay, sand, gravel and related loose materials.</t>
  </si>
  <si>
    <t>BmcCode_bedrock</t>
  </si>
  <si>
    <t>claySilt</t>
  </si>
  <si>
    <t>Clay and Silt</t>
  </si>
  <si>
    <t>Material consisting of particles finer than 0.074 millimetres (No. 200 sieve) including fine-textured materials of both low plasticity (for example: silt) and high plasticity (for example: clay).</t>
  </si>
  <si>
    <t>BmcCode_claySilt</t>
  </si>
  <si>
    <t>A heavy-duty building material made from a mixture of broken stone or gravel, sand, cement, and water, that forms a stonelike mass on hardening.</t>
  </si>
  <si>
    <t>BmcCode_concrete</t>
  </si>
  <si>
    <t>A usually hard calcareous substance secreted by many marine polyps as an external skeleton for support and habitation.</t>
  </si>
  <si>
    <t>Occurs in both single specimens and extensive accumulations. A similar substance may be produced by other lime-secreting marine organisms.</t>
  </si>
  <si>
    <t>BmcCode_coral</t>
  </si>
  <si>
    <t>gravelCobble</t>
  </si>
  <si>
    <t>Gravel and Cobble</t>
  </si>
  <si>
    <t>Small water-worn, rounded or pounded stones up to the sizes used for paving.</t>
  </si>
  <si>
    <t>Sometimes with an intermixture of sand and/or clay but generally ranging from 4.76 millimetres (No.4 sieve) up to 15-20 centimetres in size.</t>
  </si>
  <si>
    <t>BmcCode_gravelCobble</t>
  </si>
  <si>
    <t>masonry</t>
  </si>
  <si>
    <t>Masonry</t>
  </si>
  <si>
    <t>Building materials (for example: stone, brick, concrete, hollow-tile, concrete block, gypsum block, or other similar building units or materials and/or a combination of the same) bonded together with mortar to form a structure (for example: a wall, a pier, or a buttress).</t>
  </si>
  <si>
    <t>Stonework</t>
  </si>
  <si>
    <t>BmcCode_masonry</t>
  </si>
  <si>
    <t>paved</t>
  </si>
  <si>
    <t>Paved</t>
  </si>
  <si>
    <t>Made of pieces of a hard material (for example: cobbles or concrete blocks) fitted closely together or of an undivided hard coating so as to give a compact, uniform, and smooth surface.</t>
  </si>
  <si>
    <t>BmcCode_paved</t>
  </si>
  <si>
    <t>peat</t>
  </si>
  <si>
    <t>Peat</t>
  </si>
  <si>
    <t>Vegetable matter partly decomposed in wet acid conditions in bogs and fens to form a firm brown deposit resembling soil.</t>
  </si>
  <si>
    <t>BmcCode_peat</t>
  </si>
  <si>
    <t>reinforcedConcrete</t>
  </si>
  <si>
    <t>Reinforced Concrete</t>
  </si>
  <si>
    <t>Poured concrete containing steel bars or metal netting to increase its tensile strength.</t>
  </si>
  <si>
    <t>Ferroconcrete</t>
  </si>
  <si>
    <t>BmcCode_reinforcedConcrete</t>
  </si>
  <si>
    <t>rocksBoulders</t>
  </si>
  <si>
    <t>Rocks and Boulders</t>
  </si>
  <si>
    <t>Large water- or weather-worn stones.</t>
  </si>
  <si>
    <t>Generally ranging from 15-20 centimetres to several metres in size.</t>
  </si>
  <si>
    <t>BmcCode_rocksBoulders</t>
  </si>
  <si>
    <t>Granular material consisting of small eroded fragments of (mainly siliceous) rocks, finer than gravel and larger than a coarse silt grain.</t>
  </si>
  <si>
    <t>Generally ranging between 0.074 millimetres (No. 200 sieve) and 4.76 millimetres (No. 4 sieve) in size. Often a major constituent of a beach, desert, or the bed of a river or sea. Used for various purposes, as in smoothing stone, founding, or as an ingredient in mortar.</t>
  </si>
  <si>
    <t>BmcCode_sand</t>
  </si>
  <si>
    <t>sandGravel</t>
  </si>
  <si>
    <t>Sand and Gravel</t>
  </si>
  <si>
    <t>Granular material consisting of a mixture of small sandy eroded fragments of (mainly siliceous) rocks and small water-worn or pounded stones that are larger than a coarse silt grain.</t>
  </si>
  <si>
    <t>Generally ranging between 0.074 millimetres (No. 200 sieve) and 7.62 centimetres in size.</t>
  </si>
  <si>
    <t>BmcCode_sandGravel</t>
  </si>
  <si>
    <t>sandOverMud</t>
  </si>
  <si>
    <t>Sand over Mud</t>
  </si>
  <si>
    <t>Granular material consisting of small eroded fragments of (mainly siliceous) rocks, finer than gravel and larger than a coarse silt grain that are underlain with soft soil, silt, and/or clay.</t>
  </si>
  <si>
    <t>BmcCode_sandOverMud</t>
  </si>
  <si>
    <t>siltySands</t>
  </si>
  <si>
    <t>Silty Sands</t>
  </si>
  <si>
    <t>Granular material consisting of small eroded fragments of (mainly siliceous) rocks, including fine-textured materials of low plasticity.</t>
  </si>
  <si>
    <t>Generally finer than 4.76 millimetres in diametre (No. 4 sieve).</t>
  </si>
  <si>
    <t>BmcCode_siltySands</t>
  </si>
  <si>
    <t>slash</t>
  </si>
  <si>
    <t>Slash</t>
  </si>
  <si>
    <t>Swampy ground.</t>
  </si>
  <si>
    <t>Often located along in a low-lying coastal region.</t>
  </si>
  <si>
    <t>BmcCode_slash</t>
  </si>
  <si>
    <t>soil</t>
  </si>
  <si>
    <t>Soil</t>
  </si>
  <si>
    <t>The material comprising the thin top layer of much of the Earth's land surface, composed of fragmented rock particles with humus, water, and air.</t>
  </si>
  <si>
    <t>BmcCode_soil</t>
  </si>
  <si>
    <t>anchor</t>
  </si>
  <si>
    <t>An anchor that is now abandoned and/or discarded on the sea floor.</t>
  </si>
  <si>
    <t>An anchor is a device normally placed on the sea bottom used to position a vessel, boat, or any other floating structure.</t>
  </si>
  <si>
    <t>BobCode_anchor</t>
  </si>
  <si>
    <t>buoy</t>
  </si>
  <si>
    <t>A buoy that is now abandoned and/or discarded on the sea floor.</t>
  </si>
  <si>
    <t>A buoy is a floating object normally used as an aid to navigation.</t>
  </si>
  <si>
    <t>BobCode_buoy</t>
  </si>
  <si>
    <t>A large mass of cable discarded on the sea floor.</t>
  </si>
  <si>
    <t>A cable is single continuous rope-like bundle consisting of multiple strands of fiber, plastic, metal, and/or glass.</t>
  </si>
  <si>
    <t>BobCode_cable</t>
  </si>
  <si>
    <t>A caisson that has been sunk and is now abandoned and/or discarded on the sea floor.</t>
  </si>
  <si>
    <t>A caisson is a structure that is used for either closing the entrance of locks, docks, and dry docks, or to ensure a watertight (and water free) work environment during underwater construction and/or excavation.</t>
  </si>
  <si>
    <t>BobCode_caisson</t>
  </si>
  <si>
    <t>crane</t>
  </si>
  <si>
    <t>A crane that has been sunk and is now abandoned and/or discarded on the sea floor.</t>
  </si>
  <si>
    <t>Cranes are equipment for lifting, shifting, and lowering objects or materials by means of a swinging boom or with the lifting apparatus supported on an overhead track.</t>
  </si>
  <si>
    <t>BobCode_crane</t>
  </si>
  <si>
    <t>dryDock</t>
  </si>
  <si>
    <t>A dry dock that has been sunk and is now abandoned and/or discarded on the sea floor.</t>
  </si>
  <si>
    <t>A dry dock is an artificial basin fitted with a gate or caisson intended to float vessels to maintenance.</t>
  </si>
  <si>
    <t>BobCode_dryDock</t>
  </si>
  <si>
    <t>pilings</t>
  </si>
  <si>
    <t>Pilings</t>
  </si>
  <si>
    <t>Piling(s) that are now abandoned and/or discarded on the sea floor.</t>
  </si>
  <si>
    <t>Pilings are long slender column(s) usually of timber, steel, or reinforced concrete driven into the ground to carry a vertical load.</t>
  </si>
  <si>
    <t>BobCode_pilings</t>
  </si>
  <si>
    <t>anthropogeographic</t>
  </si>
  <si>
    <t>Anthropogeographic</t>
  </si>
  <si>
    <t>A boundary that has been configured to follow a man-made separation that follows neither physical terrain (or geographic) features (for example: peaks, ridges, or drainage) nor generalized geometric configurations (point-to-point line segments, arcs).</t>
  </si>
  <si>
    <t>Such boundaries include ethnic separations, historic-, economic-, or military engagement lines, city or cadastral limits, walls, canals, rail lines and other man-made features.</t>
  </si>
  <si>
    <t>CftCode_anthropogeographic</t>
  </si>
  <si>
    <t>arc</t>
  </si>
  <si>
    <t>Arc</t>
  </si>
  <si>
    <t>A boundary defined by geometrically constructed curve.</t>
  </si>
  <si>
    <t>For example, an arc based on a centerpoint and a radius. Often used at sea where natural features are not readily accessible as the basis for boundary specification.</t>
  </si>
  <si>
    <t>Envelope of Arc</t>
  </si>
  <si>
    <t>CftCode_arc</t>
  </si>
  <si>
    <t>archipelagicBaseline</t>
  </si>
  <si>
    <t>Archipelagic Baseline</t>
  </si>
  <si>
    <t>A closed boundary connecting and surrounding the islands of an archipelagic State; archipelagic waters are those within the baseline and maritime zones fall outside the baseline.</t>
  </si>
  <si>
    <t>(UNCLOS Article 47, Archipelagic baselines, item 1) An archipelagic State may draw straight archipelagic baselines joining the outermost points of the outermost islands and drying reefs of the archipelago provided that within such baselines are included the main islands and an area in which the ratio of the area of the water to the area of the land, including atolls, is between 1 to 1 and 9 to 1.</t>
  </si>
  <si>
    <t>CftCode_archipelagicBaseline</t>
  </si>
  <si>
    <t>cadastral</t>
  </si>
  <si>
    <t>Cadastral</t>
  </si>
  <si>
    <t>An anthropogeographic boundary that is based on cadastral limits.</t>
  </si>
  <si>
    <t>An anthropogeographic boundary follows a man-made separation that follows neither physical terrain features nor generalized geometric configurations.</t>
  </si>
  <si>
    <t>CftCode_cadastral</t>
  </si>
  <si>
    <t>drainageLimit</t>
  </si>
  <si>
    <t>The drainage limit does not always follow the ridgeline or the highest peaks in a range.</t>
  </si>
  <si>
    <t>Waterparting, Drainage Divide, Divortium Aquarum, Watershed (Europe)</t>
  </si>
  <si>
    <t>CftCode_drainageLimit</t>
  </si>
  <si>
    <t>drainageLine</t>
  </si>
  <si>
    <t>Drainage Line</t>
  </si>
  <si>
    <t>A boundary established by alternating peaks and lines of drainage, descending along a drainage line from one peak to the point where it meets a drainage line from another peak, along which it then ascends.</t>
  </si>
  <si>
    <t>CftCode_drainageLine</t>
  </si>
  <si>
    <t>economic</t>
  </si>
  <si>
    <t>Economic</t>
  </si>
  <si>
    <t>An anthropogeographic boundary that is based on an economic line.</t>
  </si>
  <si>
    <t>CftCode_economic</t>
  </si>
  <si>
    <t>elevationContour</t>
  </si>
  <si>
    <t>A boundary that follows a line connecting points having the same elevation value relative to a vertical datum.</t>
  </si>
  <si>
    <t>CftCode_elevationContour</t>
  </si>
  <si>
    <t>ethnic</t>
  </si>
  <si>
    <t>Ethnic</t>
  </si>
  <si>
    <t>An anthropogeographic boundary that is based on ethnic separations.</t>
  </si>
  <si>
    <t>Social, Cultural</t>
  </si>
  <si>
    <t>CftCode_ethnic</t>
  </si>
  <si>
    <t>extendedContinentalShelf</t>
  </si>
  <si>
    <t>Extended Continental Shelf</t>
  </si>
  <si>
    <t>A boundary defined by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</si>
  <si>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(UNCLOS Article 76, Continental shelf, item 7) The coastal State shall delineate the outer limits of its continental shelf, where that shelf extends beyond 200 nautical miles from the baselines from which the breadth of the territorial sea is measured, by straight lines not exceeding 60 nautical miles in length, connecting fixed points, defined by coordinates of latitude and longitude.</t>
  </si>
  <si>
    <t>CftCode_extendedContinentalShelf</t>
  </si>
  <si>
    <t>A boundary defined by the shortest path between two points on the surface of a spheroid (an ellipsoid of revolution).</t>
  </si>
  <si>
    <t>CftCode_geodesic</t>
  </si>
  <si>
    <t>A boundary defined by the shortest path between two points on the surface of a sphere.</t>
  </si>
  <si>
    <t>In the Mercator projection a great circle appears as a straight line.</t>
  </si>
  <si>
    <t>CftCode_greatCircle</t>
  </si>
  <si>
    <t>historic</t>
  </si>
  <si>
    <t>Historic</t>
  </si>
  <si>
    <t>An anthropogeographic boundary that is based on an historic line.</t>
  </si>
  <si>
    <t>CftCode_historic</t>
  </si>
  <si>
    <t>lakeTransect</t>
  </si>
  <si>
    <t>Lake Transect</t>
  </si>
  <si>
    <t>A boundary that follows the general midline of a lake, defined by straight line segments drawn roughly midway between opposing shorelines.</t>
  </si>
  <si>
    <t>CftCode_lakeTransect</t>
  </si>
  <si>
    <t>leftBank</t>
  </si>
  <si>
    <t>Left Bank</t>
  </si>
  <si>
    <t>A boundary that follows the left bank edge of a watercourse.</t>
  </si>
  <si>
    <t>The left bank is determined by facing downstream (in the direction of flow) and the bank edge is typically based on average water flow conditions.</t>
  </si>
  <si>
    <t>CftCode_leftBank</t>
  </si>
  <si>
    <t>mainChannel</t>
  </si>
  <si>
    <t>Main Channel</t>
  </si>
  <si>
    <t>A boundary that follows the principal navigable channel of a stream.</t>
  </si>
  <si>
    <t>CftCode_mainChannel</t>
  </si>
  <si>
    <t>median</t>
  </si>
  <si>
    <t>Median</t>
  </si>
  <si>
    <t>A boundary defined by straight line segments drawn between opposing shorelines of a waterbody (for example: a stream) that are formed by connecting the midpoints of transects strung between opposing points (for example: significant turns or projections) along the shorelines.</t>
  </si>
  <si>
    <t>Because strict equidistant lines can become very complicated, agreeing states often resort to drawing modified or simplified lines which may deviate from or smooth out complex lines by leaving out certain intermediate turning points.</t>
  </si>
  <si>
    <t>Equidistant</t>
  </si>
  <si>
    <t>CftCode_median</t>
  </si>
  <si>
    <t>meridian</t>
  </si>
  <si>
    <t>Meridian</t>
  </si>
  <si>
    <t>A boundary defined by a meridian (a line of constant longitude).</t>
  </si>
  <si>
    <t>Longitude Line</t>
  </si>
  <si>
    <t>CftCode_meridian</t>
  </si>
  <si>
    <t>militaryEngagement</t>
  </si>
  <si>
    <t>Military Engagement</t>
  </si>
  <si>
    <t>An anthropogeographic boundary that is based on a military engagement line.</t>
  </si>
  <si>
    <t>CftCode_militaryEngagement</t>
  </si>
  <si>
    <t>An anthropogeographic boundary that is based on municipal (for example: city) limits.</t>
  </si>
  <si>
    <t>CftCode_municipal</t>
  </si>
  <si>
    <t>normalBaseline</t>
  </si>
  <si>
    <t>Normal Baseline</t>
  </si>
  <si>
    <t>A boundary established by a tangent of the seaward landmass at low tide elevation as depicted on the claimant State's submitted large-scale charts.</t>
  </si>
  <si>
    <t>(UNCLOS Article 5, Normal baseline) Except where otherwise provided in this Convention, the normal baseline for measuring the breadth of the territorial sea is the low-water line along the coast as marked on large-scale charts officially recognized by the coastal State.</t>
  </si>
  <si>
    <t>CftCode_normalBaseline</t>
  </si>
  <si>
    <t>normalContinentalShelf</t>
  </si>
  <si>
    <t>Normal Continental Shelf</t>
  </si>
  <si>
    <t>A boundary defined by the outer edge of the continental margin (the submerged prolongation of the land mass of a coastal State, consisting of the shelf, the slope and the rise, but does not include the deep ocean floor with its oceanic ridges) or a maximum of 200 nautical miles distant from the territorial baseline.</t>
  </si>
  <si>
    <t>(UNCLOS Article 76, Continental shelf, item 1) The continental shelf of a coastal State comprises the seabed and subsoil of the submarine areas that extend beyond its territorial sea throughout the natural prolongation of its land territory to the outer edge of the continental margin, or to a distance of 200 nautical miles from the baselines from which the breadth of the territorial sea is measured where the outer edge of the continental margin does not extend up to that distance.</t>
  </si>
  <si>
    <t>CftCode_normalContinentalShelf</t>
  </si>
  <si>
    <t>A boundary defined by a parallel (a line of constant latitude).</t>
  </si>
  <si>
    <t>Latitude Line</t>
  </si>
  <si>
    <t>CftCode_parallel</t>
  </si>
  <si>
    <t>ridgeline</t>
  </si>
  <si>
    <t>Ridgeline</t>
  </si>
  <si>
    <t>An elevated boundary that follows the ridgeline or the highest peaks in a range.</t>
  </si>
  <si>
    <t>CftCode_ridgeline</t>
  </si>
  <si>
    <t>rightBank</t>
  </si>
  <si>
    <t>Right Bank</t>
  </si>
  <si>
    <t>A boundary that follows the right bank edge of a watercourse.</t>
  </si>
  <si>
    <t>The right bank is determined by facing downstream (in the direction of flow) and the bank edge is typically based on average water flow conditions.</t>
  </si>
  <si>
    <t>CftCode_rightBank</t>
  </si>
  <si>
    <t>shoreline</t>
  </si>
  <si>
    <t>A boundary that follows the edge of a waterbody for which there is no well-specified direction of flow (for example: a lake or ocean).</t>
  </si>
  <si>
    <t>In the case of an ocean, the boundary may follow the normal limit of wave action above the higher high water line as defined by the National Authority.</t>
  </si>
  <si>
    <t>CftCode_shoreline</t>
  </si>
  <si>
    <t>A boundary defined by the shortest path between two points.</t>
  </si>
  <si>
    <t>As the shape of the earth is curved, 'straight' is dependent on how the curvature is distorted by a map projection. At large scales and short distances 'straight lines' in all map projections are equivalent; at small scales the curvature of the surface of the earth allows for a variety of approximations to 'straight', for example a geodesic line and a great circle line.</t>
  </si>
  <si>
    <t>CftCode_straight</t>
  </si>
  <si>
    <t>straightBaseline</t>
  </si>
  <si>
    <t>Straight Baseline</t>
  </si>
  <si>
    <t>A boundary comprised of a system of straight lines joining specified or discrete turning points on the low water line that States may employ to simplify definition of a coastline that is either deeply indented or is cut into or fringed by nearby islands.</t>
  </si>
  <si>
    <t>(UNCLOS Article 7, Straight baseline) In localities where the coastline is deeply indented and cut into, or if there is a fringe of islands along the coast in its immediate vicinity, the method of straight baselines joining appropriate points may be employed in drawing the baseline from which the breadth of the territorial sea is measured. Where because of the presence of a delta and other natural conditions the coastline is highly unstable, the appropriate points may be selected along the furthest seaward extent of the low-water line and, notwithstanding subsequent regression of the low-water line, the straight baselines shall remain effective until changed by the coastal State in accordance with this Convention.</t>
  </si>
  <si>
    <t>CftCode_straightBaseline</t>
  </si>
  <si>
    <t>straightSegmented</t>
  </si>
  <si>
    <t>Straight Segmented</t>
  </si>
  <si>
    <t>A boundary defined by the shortest path between adjacent points in a series.</t>
  </si>
  <si>
    <t>Polyline, Polygon</t>
  </si>
  <si>
    <t>CftCode_straightSegmented</t>
  </si>
  <si>
    <t>thalweg</t>
  </si>
  <si>
    <t>A boundary that follows the deepest part of the main channel of a stream.</t>
  </si>
  <si>
    <t>On occasion, a thalweg boundary may instead follow the principal navigable channel of a stream. Treaties do not always specify which interpretation of thalweg is intended for a boundary.</t>
  </si>
  <si>
    <t>Stream Thalweg</t>
  </si>
  <si>
    <t>CftCode_thalweg</t>
  </si>
  <si>
    <t>thalwegToPeak</t>
  </si>
  <si>
    <t>Thalweg to Peak</t>
  </si>
  <si>
    <t>A boundary extending from the deepest part of the main channel of a stream to the peak of a nearby mountain.</t>
  </si>
  <si>
    <t>CftCode_thalwegToPeak</t>
  </si>
  <si>
    <t>deFacto</t>
  </si>
  <si>
    <t>De Facto</t>
  </si>
  <si>
    <t>The boundary is not governed by a formal legal agreement (as opposed to de jure).</t>
  </si>
  <si>
    <t>A de facto boundary may, however, be accepted by both authorities without dispute.</t>
  </si>
  <si>
    <t>DspCode_deFacto</t>
  </si>
  <si>
    <t>deJure</t>
  </si>
  <si>
    <t>De Jure</t>
  </si>
  <si>
    <t>Under current treaty practice, the boundary has come into force pursuant to a treaty, agreement (including bi- or multi-lateral negotiations, decisions, exchanges of notes, or other legal instruments), or a United Nations Security Council Resolution.</t>
  </si>
  <si>
    <t>Most boundary treaties come into force when there is an exchange of instruments of ratification. At the present time a lack of registration with the United Nation (which is required by Article 102 of the UN Charter) has no effect on the instrument being in force (the only penalty being that the unregistered treaty may not be invoked before any UN organ). A de jure boundary is usually demarcated, but it can also remain delimited. Disputes may arise over segments of a de jure boundary, but these segments are generally not labeled as 'in dispute'. Boundaries established between colonial powers or as administrative lines within a colony that become the boundaries of post-colonial States who do not reconfirm their mutual boundary by treaty may be termed 'historical de jure boundaries'.</t>
  </si>
  <si>
    <t>DspCode_deJure</t>
  </si>
  <si>
    <t>inDispute</t>
  </si>
  <si>
    <t>In Dispute</t>
  </si>
  <si>
    <t>A boundary whereby one or both adjoining authorities contest some portion(s) of or an entire boundary.</t>
  </si>
  <si>
    <t>Disputes can be active or dormant and the parties can respond in varying degrees of intensity ranging from hostile belligerence to cooperative conciliation. Among geopolitical entities a boundary dispute is usually a territorial dispute and very often involves contention over the exploitation of natural resources.</t>
  </si>
  <si>
    <t>Disputed</t>
  </si>
  <si>
    <t>DspCode_inDispute</t>
  </si>
  <si>
    <t>undisputed</t>
  </si>
  <si>
    <t>Undisputed</t>
  </si>
  <si>
    <t>A boundary that is not in dispute.</t>
  </si>
  <si>
    <t>DspCode_undisputed</t>
  </si>
  <si>
    <t>administerAsInternational</t>
  </si>
  <si>
    <t>Administrative as International</t>
  </si>
  <si>
    <t>An administrative boundary that is also treated as an international boundary.</t>
  </si>
  <si>
    <t>RpcCode_administerAsInternational</t>
  </si>
  <si>
    <t>definite</t>
  </si>
  <si>
    <t>Definite</t>
  </si>
  <si>
    <t>A category of international boundary that indicates an established, internationally-accepted delimitation where no significant sections are in dispute by the adjoining states.</t>
  </si>
  <si>
    <t>Some definite boundaries may not be governed. Definite boundaries are typically recognized by the United Nations.</t>
  </si>
  <si>
    <t>RpcCode_definite</t>
  </si>
  <si>
    <t>A boundary whereby one or both adjoining states contest some portion(s) of or an entire boundary; a boundary dispute is usually a territorial dispute and very often involves natural resource disputes.</t>
  </si>
  <si>
    <t>Disputes can be active or dormant and the parties can respond in varying degrees of intensity ranging from hostile belligerence to cooperative conciliation. The depiction of disputed boundaries on United States Government maps is done in keeping with U.S. foreign policy. Unilateral claims by states are not generally depicted or labeled in dispute on standard-issue maps. Cartographically, recognized disputed boundaries employ a distinct symbol or label where scale and policy permits.</t>
  </si>
  <si>
    <t>RpcCode_inDispute</t>
  </si>
  <si>
    <t>indefinite</t>
  </si>
  <si>
    <t>Indefinite</t>
  </si>
  <si>
    <t>A category of international boundary that is not actively disputed but is vaguely delimited so as to question the accurate delineation of territory and its depiction on cartographic products.</t>
  </si>
  <si>
    <t>Sometimes shown on maps distinct from definite and in dispute boundaries. Indefinite boundaries are typically agreed by the two states concerned, but have not been registered at the United Nations.</t>
  </si>
  <si>
    <t>RpcCode_indefinite</t>
  </si>
  <si>
    <t>showNoLine</t>
  </si>
  <si>
    <t>Show No Line</t>
  </si>
  <si>
    <t>A boundary that has no official existence.</t>
  </si>
  <si>
    <t>RpcCode_showNoLine</t>
  </si>
  <si>
    <t>changeable</t>
  </si>
  <si>
    <t>Changeable</t>
  </si>
  <si>
    <t>A boundary whose course is subject to changing natural conditions.</t>
  </si>
  <si>
    <t>For example, the boundary is determined by the shifting channel of a river.</t>
  </si>
  <si>
    <t>BstCode_changeable</t>
  </si>
  <si>
    <t>A boundary having an established, accepted delimitation where no significant sections are in dispute by the adjoining authorities.</t>
  </si>
  <si>
    <t>Some definite boundaries may not be governed. Definite geopolitical boundaries are typically recognized by the United Nations.</t>
  </si>
  <si>
    <t>BstCode_definite</t>
  </si>
  <si>
    <t>BstCode_inDispute</t>
  </si>
  <si>
    <t>A boundary that is vaguely delimited, so as to question the accurate delineation of territory and its depiction on cartographic products, but that is not actively disputed by the adjoining authorities.</t>
  </si>
  <si>
    <t>An indefinite boundary is typically agreed by the two authorities concerned. In the case of geopolitical entities it may not have been registered at the United Nations. Sometimes shown on maps distinct from definite and in dispute boundaries.</t>
  </si>
  <si>
    <t>BstCode_indefinite</t>
  </si>
  <si>
    <t>noDefinedBoundary</t>
  </si>
  <si>
    <t>No Defined Boundary</t>
  </si>
  <si>
    <t>Has not been defined by either of the adjoining authorities.</t>
  </si>
  <si>
    <t>BstCode_noDefinedBoundary</t>
  </si>
  <si>
    <t>notOfficiallyEstablished</t>
  </si>
  <si>
    <t>Not Officially Established</t>
  </si>
  <si>
    <t>A boundary whose course is temporarily set and accepted by interim arrangements.</t>
  </si>
  <si>
    <t>It may be controversial, for example as is the border between Ethiopia and Eritrea.</t>
  </si>
  <si>
    <t>BstCode_notOfficiallyEstablished</t>
  </si>
  <si>
    <t>officiallyEstablished</t>
  </si>
  <si>
    <t>Officially Established</t>
  </si>
  <si>
    <t>A boundary whose course is set by international agreements or determined on a national level.</t>
  </si>
  <si>
    <t>BstCode_officiallyEstablished</t>
  </si>
  <si>
    <t>passing</t>
  </si>
  <si>
    <t>Passing</t>
  </si>
  <si>
    <t>A short stretch of track used to enable trains on the same main track to pass.</t>
  </si>
  <si>
    <t>RsaCode_passing</t>
  </si>
  <si>
    <t>siding</t>
  </si>
  <si>
    <t>Siding</t>
  </si>
  <si>
    <t>A short stretch of track that is used to store rolling-stock and/or enable trains on the same track to pass.</t>
  </si>
  <si>
    <t>RsaCode_siding</t>
  </si>
  <si>
    <t>spur</t>
  </si>
  <si>
    <t>Spur</t>
  </si>
  <si>
    <t>A short railway that connects with the main line at one end only.</t>
  </si>
  <si>
    <t>For example, ending in an industrial park, factory, and/or warehouse area.</t>
  </si>
  <si>
    <t>RsaCode_spur</t>
  </si>
  <si>
    <t>estimated</t>
  </si>
  <si>
    <t>Estimated</t>
  </si>
  <si>
    <t>The information was determined from incomplete data or data of questionable accuracy.</t>
  </si>
  <si>
    <t>RbcCode_estimated</t>
  </si>
  <si>
    <t>known</t>
  </si>
  <si>
    <t>Known</t>
  </si>
  <si>
    <t>The information was determined from complete data of appropriate accuracy.</t>
  </si>
  <si>
    <t>RbcCode_known</t>
  </si>
  <si>
    <t>bascule</t>
  </si>
  <si>
    <t>Bascule</t>
  </si>
  <si>
    <t>Raised or lowered with a counterpoise.</t>
  </si>
  <si>
    <t>Balance</t>
  </si>
  <si>
    <t>BotCode_bascule</t>
  </si>
  <si>
    <t>drawbridge</t>
  </si>
  <si>
    <t>Drawbridge</t>
  </si>
  <si>
    <t>Hinged at one end for drawing up and lowering to prevent or permit passage across it or to open or close a channel spanned by it.</t>
  </si>
  <si>
    <t>May be operated by a counterpoise (for example: a bascule bridge).</t>
  </si>
  <si>
    <t>BotCode_drawbridge</t>
  </si>
  <si>
    <t>fixed</t>
  </si>
  <si>
    <t>Fixed</t>
  </si>
  <si>
    <t>Having permanent horizontal and vertical alignment.</t>
  </si>
  <si>
    <t>BotCode_fixed</t>
  </si>
  <si>
    <t>liftBridge</t>
  </si>
  <si>
    <t>Lift-bridge</t>
  </si>
  <si>
    <t>Opens though a vertical lifting operation.</t>
  </si>
  <si>
    <t>For example, a bridge on a canal that may be raised to allow the passage of a boat.</t>
  </si>
  <si>
    <t>BotCode_liftBridge</t>
  </si>
  <si>
    <t>opening</t>
  </si>
  <si>
    <t>Opening</t>
  </si>
  <si>
    <t>Capable of being closed when set for carrying road traffic and open when set to permit maritime traffic to pass along the watercourse it crosses.</t>
  </si>
  <si>
    <t>Modern opening bridges are either bascule, vertical lift or swing.</t>
  </si>
  <si>
    <t>Moveable</t>
  </si>
  <si>
    <t>BotCode_opening</t>
  </si>
  <si>
    <t>retractable</t>
  </si>
  <si>
    <t>Retractable</t>
  </si>
  <si>
    <t>Moves away from the gap across the abutment along the travelled way.</t>
  </si>
  <si>
    <t>BotCode_retractable</t>
  </si>
  <si>
    <t>submersible</t>
  </si>
  <si>
    <t>Submersible</t>
  </si>
  <si>
    <t>Can be lowered under the surface of the water.</t>
  </si>
  <si>
    <t>It is intended to survive periodic submersion and may lower deep enough to allow vessel passage or simply enough to avoid aerial detection.</t>
  </si>
  <si>
    <t>BotCode_submersible</t>
  </si>
  <si>
    <t>swingBridge</t>
  </si>
  <si>
    <t>Swing-bridge</t>
  </si>
  <si>
    <t>Can be turned on a pivot (either at one end or in the centre) to allow the passage of ships.</t>
  </si>
  <si>
    <t>BotCode_swingBridge</t>
  </si>
  <si>
    <t>arch</t>
  </si>
  <si>
    <t>Arch</t>
  </si>
  <si>
    <t>Supported by an arch underneath the bridge that directs pressure and weight of the bridge outward to the supports along the arch.</t>
  </si>
  <si>
    <t>BscCode_arch</t>
  </si>
  <si>
    <t>bowstringBridge</t>
  </si>
  <si>
    <t>Bowstring-bridge</t>
  </si>
  <si>
    <t>A girder bridge consisting of an arch (the 'bow'), a horizontal tie, and a series of hangars providing additional load-carrying support.</t>
  </si>
  <si>
    <t>Hangers descend vertically at regular intervals from the cables to the bridge deck.</t>
  </si>
  <si>
    <t>Bowstring, Tied Arch</t>
  </si>
  <si>
    <t>BscCode_bowstringBridge</t>
  </si>
  <si>
    <t>cableStayed</t>
  </si>
  <si>
    <t>Cable Stayed</t>
  </si>
  <si>
    <t>The deck is suspended from cables attached directly to tower-like supports.</t>
  </si>
  <si>
    <t>There are two major classes of cable-stayed bridges, differentiated by how the cables are connected to the towers. In a parallel attachment design, the cables are made nearly parallel by having the height of attachment on the tower be similar to the distance from the pillar along the roadway. In a radial attachment design, the cables all connect to or pass over the top of the pillar.</t>
  </si>
  <si>
    <t>BscCode_cableStayed</t>
  </si>
  <si>
    <t>cantilever</t>
  </si>
  <si>
    <t>Cantilever</t>
  </si>
  <si>
    <t>Consists of beams or trusses that project from piers or abutments toward each other and, when joined directly or by a suspended connecting member, form a bridge span.</t>
  </si>
  <si>
    <t>The beams or trusses are anchored at one end and unsupported at the other end.</t>
  </si>
  <si>
    <t>BscCode_cantilever</t>
  </si>
  <si>
    <t>closedSpandrelArch</t>
  </si>
  <si>
    <t>Closed Spandrel Arch</t>
  </si>
  <si>
    <t>Arch, where the space above the right and left curves of the arch is closed.</t>
  </si>
  <si>
    <t>BscCode_closedSpandrelArch</t>
  </si>
  <si>
    <t>covered</t>
  </si>
  <si>
    <t>Covered</t>
  </si>
  <si>
    <t>Including protection from the weather for the travel surface.</t>
  </si>
  <si>
    <t>BscCode_covered</t>
  </si>
  <si>
    <t>deck</t>
  </si>
  <si>
    <t>Deck</t>
  </si>
  <si>
    <t>Carries the travelled way upon the upper chords.</t>
  </si>
  <si>
    <t>BscCode_deck</t>
  </si>
  <si>
    <t>Fixed, floating, and supported by pontoons.</t>
  </si>
  <si>
    <t>Usually temporary in nature.</t>
  </si>
  <si>
    <t>BscCode_floating</t>
  </si>
  <si>
    <t>girder</t>
  </si>
  <si>
    <t>Girder</t>
  </si>
  <si>
    <t>Consists of two or more girders supporting a separate floor or system.</t>
  </si>
  <si>
    <t>May be assembled as single spans or combined into multiple spans with intermediate supports.</t>
  </si>
  <si>
    <t>Plate Girder</t>
  </si>
  <si>
    <t>BscCode_girder</t>
  </si>
  <si>
    <t>openSpandrelArch</t>
  </si>
  <si>
    <t>Open Spandrel Arch</t>
  </si>
  <si>
    <t>Arch, where the space above the right and left curves of the arch is open.</t>
  </si>
  <si>
    <t>BscCode_openSpandrelArch</t>
  </si>
  <si>
    <t>slab</t>
  </si>
  <si>
    <t>Slab</t>
  </si>
  <si>
    <t>A self-supporting slab.</t>
  </si>
  <si>
    <t>BscCode_slab</t>
  </si>
  <si>
    <t>stringerBeam</t>
  </si>
  <si>
    <t>Stringer Beam</t>
  </si>
  <si>
    <t>Consists of two or more beams supporting a separate floor or system.</t>
  </si>
  <si>
    <t>The stringers may be in standard rolled shapes in spans up to 90 feet in length and as beams built-up with welded steel plate in the 60 to 120 foot span range.</t>
  </si>
  <si>
    <t>BscCode_stringerBeam</t>
  </si>
  <si>
    <t>Designed to be located under or near the surface of the water and intended to survive periodic submersion.</t>
  </si>
  <si>
    <t>BscCode_submersible</t>
  </si>
  <si>
    <t>suspension</t>
  </si>
  <si>
    <t>Suspension</t>
  </si>
  <si>
    <t>The deck is suspended by hangars from cables attached to and extending between supports.</t>
  </si>
  <si>
    <t>The supports may be in the form of towers located between the ends of the bridge.</t>
  </si>
  <si>
    <t>BscCode_suspension</t>
  </si>
  <si>
    <t>towerSuspension</t>
  </si>
  <si>
    <t>Tower Suspension</t>
  </si>
  <si>
    <t>The deck is suspended by hangars from cables that pass over two (or more) towers and are anchored by backstays to a firm foundation.</t>
  </si>
  <si>
    <t>BscCode_towerSuspension</t>
  </si>
  <si>
    <t>transporter</t>
  </si>
  <si>
    <t>Transporter</t>
  </si>
  <si>
    <t>Consists of towers on each side of the watercourse connected by a system of girders on which a carriage runs.</t>
  </si>
  <si>
    <t>Ferry Bridge</t>
  </si>
  <si>
    <t>BscCode_transporter</t>
  </si>
  <si>
    <t>trestle</t>
  </si>
  <si>
    <t>Trestle</t>
  </si>
  <si>
    <t>Consists of a large number of short spans, supported by splayed vertical elements to provide lateral rigidity.</t>
  </si>
  <si>
    <t>Traditionally used mainly for railways and constructed from wood timbers. Twentieth century construction has eliminated much of the need for trestles by using more extensive grading and tunneling, however they remain in use as approaches to bridges where required by the local topography.</t>
  </si>
  <si>
    <t>BscCode_trestle</t>
  </si>
  <si>
    <t>truss</t>
  </si>
  <si>
    <t>Truss</t>
  </si>
  <si>
    <t>Supported by a framework of rafters, posts and struts.</t>
  </si>
  <si>
    <t>Typically used in long spans from 150 to 1,000 feet or more.</t>
  </si>
  <si>
    <t>BscCode_truss</t>
  </si>
  <si>
    <t>viaduct</t>
  </si>
  <si>
    <t>Viaduct</t>
  </si>
  <si>
    <t>A long elevated structure designed to carry a railway or road over a valley, river, or low-lying ground.</t>
  </si>
  <si>
    <t>BscCode_viaduct</t>
  </si>
  <si>
    <t>abutment</t>
  </si>
  <si>
    <t>Abutment</t>
  </si>
  <si>
    <t>A Structure supporting the ends of a bridge superstructure.</t>
  </si>
  <si>
    <t>XbtCode_abutment</t>
  </si>
  <si>
    <t>pier</t>
  </si>
  <si>
    <t>Pier</t>
  </si>
  <si>
    <t>An intermediate support in a multi-span bridge.</t>
  </si>
  <si>
    <t>XbtCode_pier</t>
  </si>
  <si>
    <t>tower</t>
  </si>
  <si>
    <t>A tall structure that is almost always taller than it is wide, usually by a significant margin.</t>
  </si>
  <si>
    <t>XbtCode_tower</t>
  </si>
  <si>
    <t>awning</t>
  </si>
  <si>
    <t>Awning</t>
  </si>
  <si>
    <t>A sheet of canvas (or similar) forming a shelter against sun and/or rain.</t>
  </si>
  <si>
    <t>BovCode_awning</t>
  </si>
  <si>
    <t>balcony</t>
  </si>
  <si>
    <t>Balcony</t>
  </si>
  <si>
    <t>A railed or balustraded platform projecting from the wall of a building, with access from an upper-floor window.</t>
  </si>
  <si>
    <t>BovCode_balcony</t>
  </si>
  <si>
    <t>flagpole</t>
  </si>
  <si>
    <t>BovCode_flagpole</t>
  </si>
  <si>
    <t>jutty</t>
  </si>
  <si>
    <t>Jutty</t>
  </si>
  <si>
    <t>A projecting part of a wall or building.</t>
  </si>
  <si>
    <t>BovCode_jutty</t>
  </si>
  <si>
    <t>ornamentalElements</t>
  </si>
  <si>
    <t>Ornamental Elements</t>
  </si>
  <si>
    <t>Small structures for ornamental purposes attached to a building.</t>
  </si>
  <si>
    <t>BovCode_ornamentalElements</t>
  </si>
  <si>
    <t>projectingRoof</t>
  </si>
  <si>
    <t>Projecting Roof</t>
  </si>
  <si>
    <t>A small structure attached to a building with a roof to protect agains rain, snow and/or wind.</t>
  </si>
  <si>
    <t>BovCode_projectingRoof</t>
  </si>
  <si>
    <t>chimney</t>
  </si>
  <si>
    <t>A chimney containing a passage or flue for discharging smoke and gases of combustion.</t>
  </si>
  <si>
    <t>BsuCode_chimney</t>
  </si>
  <si>
    <t>cupola</t>
  </si>
  <si>
    <t>Cupola</t>
  </si>
  <si>
    <t>An accessory small rounded vault or dome forming part of the roof.</t>
  </si>
  <si>
    <t>Usually relatively small and sometimes intended as an adornment.</t>
  </si>
  <si>
    <t>BsuCode_cupola</t>
  </si>
  <si>
    <t>dome</t>
  </si>
  <si>
    <t>Dome</t>
  </si>
  <si>
    <t>An arched roof of even curvature that may be segmented, semicircular, pointed or bulbous.</t>
  </si>
  <si>
    <t>For example, an onion dome that is shaped like a bulb and is characteristic of Russian and Byzantine church architecture.</t>
  </si>
  <si>
    <t>BsuCode_dome</t>
  </si>
  <si>
    <t>elevatorMachineRoom</t>
  </si>
  <si>
    <t>Elevator Machine Room</t>
  </si>
  <si>
    <t>An enclosed structure located over an elevator shaft which houses the operating equipment, motor, cables, and accessories for the elevator.</t>
  </si>
  <si>
    <t>BsuCode_elevatorMachineRoom</t>
  </si>
  <si>
    <t>hvacEquipment</t>
  </si>
  <si>
    <t>HVAC Equipment</t>
  </si>
  <si>
    <t>A rooftop unit that contains equipment for heating, ventilating, and/or air conditioning (HVAC).</t>
  </si>
  <si>
    <t>BsuCode_hvacEquipment</t>
  </si>
  <si>
    <t>lightningRod</t>
  </si>
  <si>
    <t>Lightning Rod</t>
  </si>
  <si>
    <t>A metal strip or rod, usually made of copper or aluminum, installed on buildings to protect the structure from damage due to lightning strikes.</t>
  </si>
  <si>
    <t>Lightning rods are placed at regular intervals on the highest parts of a building.</t>
  </si>
  <si>
    <t>BsuCode_lightningRod</t>
  </si>
  <si>
    <t>minaret</t>
  </si>
  <si>
    <t>Minaret</t>
  </si>
  <si>
    <t>An accessory tall tower or turret surrounded by one or more projecting balconies.</t>
  </si>
  <si>
    <t>It is usually connected with a mosque and from which a muezzin calls at hours of prayer.</t>
  </si>
  <si>
    <t>BsuCode_minaret</t>
  </si>
  <si>
    <t>ornamentalElement</t>
  </si>
  <si>
    <t>Ornamental Element</t>
  </si>
  <si>
    <t>An added decorative detail that is not a structural component.</t>
  </si>
  <si>
    <t>Ornamental elements may include, for example: statuary, sculptural decoration, gargoyles or grotesques.</t>
  </si>
  <si>
    <t>BsuCode_ornamentalElement</t>
  </si>
  <si>
    <t>parapet</t>
  </si>
  <si>
    <t>Parapet</t>
  </si>
  <si>
    <t>A low wall-like barrier at the edge of a roof.</t>
  </si>
  <si>
    <t>The parapet may serve to prevent accidental falls over the edge or it may be a defensive, constructional, or stylistic architectural feature. Parapets may be plain, embattled (specifically pierced for the discharge of defensive projectiles), perforated (for stylistic reasons), or paneled.</t>
  </si>
  <si>
    <t>BsuCode_parapet</t>
  </si>
  <si>
    <t>roofDeck</t>
  </si>
  <si>
    <t>Roof Deck</t>
  </si>
  <si>
    <t>An open, usually unroofed, outdoor deck located on the roof of a building.</t>
  </si>
  <si>
    <t>May be seen in combination with a roof garden.</t>
  </si>
  <si>
    <t>BsuCode_roofDeck</t>
  </si>
  <si>
    <t>roofGarden</t>
  </si>
  <si>
    <t>Roof Garden</t>
  </si>
  <si>
    <t>A garden on the roof of a building.</t>
  </si>
  <si>
    <t>May be seen in combination with a roof deck.</t>
  </si>
  <si>
    <t>BsuCode_roofGarden</t>
  </si>
  <si>
    <t>signage</t>
  </si>
  <si>
    <t>Signage</t>
  </si>
  <si>
    <t>An advertising display attached to the roof of a building.</t>
  </si>
  <si>
    <t>For example, a commercial or public sign in the form of large letters indicating the name of the building. Signage may be illuminated.</t>
  </si>
  <si>
    <t>BsuCode_signage</t>
  </si>
  <si>
    <t>skylight</t>
  </si>
  <si>
    <t>Skylight</t>
  </si>
  <si>
    <t>A flat or sloped window built into the roof of a building.</t>
  </si>
  <si>
    <t>BsuCode_skylight</t>
  </si>
  <si>
    <t>solarPanels</t>
  </si>
  <si>
    <t>Solar Panels</t>
  </si>
  <si>
    <t>A panel designed to absorb the sun's rays for the purpose of generating electricity or heat on a building's roof.</t>
  </si>
  <si>
    <t>BsuCode_solarPanels</t>
  </si>
  <si>
    <t>steeple</t>
  </si>
  <si>
    <t>A pointed (for example: pyramidal) structure towering above the roof.</t>
  </si>
  <si>
    <t>For example, on a church, temple, or other public building.</t>
  </si>
  <si>
    <t>BsuCode_steeple</t>
  </si>
  <si>
    <t>A tall narrow structure, usually of square, circular, or rectangular section.</t>
  </si>
  <si>
    <t>For example, on a castle (for example: a watch-tower) or a church (for example: a bell-tower).</t>
  </si>
  <si>
    <t>BsuCode_tower</t>
  </si>
  <si>
    <t>turret</t>
  </si>
  <si>
    <t>Turret</t>
  </si>
  <si>
    <t>A small or subordinate tower, especially one projecting (frequently at some height above the ground) from an angle of the walls.</t>
  </si>
  <si>
    <t>May serve no useful function other than decoration. Found, for example, on a castle.</t>
  </si>
  <si>
    <t>BsuCode_turret</t>
  </si>
  <si>
    <t>dense</t>
  </si>
  <si>
    <t>Dense</t>
  </si>
  <si>
    <t>The concentration of buildings is such that few places remain to construct more buildings.</t>
  </si>
  <si>
    <t>Very little open land is available.</t>
  </si>
  <si>
    <t>BacCode_dense</t>
  </si>
  <si>
    <t>The concentration of buildings is such that space remains for the construction of more buildings.</t>
  </si>
  <si>
    <t>A significant amount of open land remains.</t>
  </si>
  <si>
    <t>BacCode_moderate</t>
  </si>
  <si>
    <t>sparse</t>
  </si>
  <si>
    <t>Sparse</t>
  </si>
  <si>
    <t>The concentration of buildings is low.</t>
  </si>
  <si>
    <t>A large amount of open land remains.</t>
  </si>
  <si>
    <t>BacCode_sparse</t>
  </si>
  <si>
    <t>controlCenterComm</t>
  </si>
  <si>
    <t>Control Center Communicatoion</t>
  </si>
  <si>
    <t>A center for the communication to other facilities or installations which send or receive communication signals (via wires, radio, radar, or other carriers).</t>
  </si>
  <si>
    <t>BufCode_controlCenterComm</t>
  </si>
  <si>
    <t>controlCenterSupplyNet</t>
  </si>
  <si>
    <t>Control Center Supply Network</t>
  </si>
  <si>
    <t>A central hub for gas, water and/or power supply network to collect and/or provide resources to other installations or facilities.</t>
  </si>
  <si>
    <t>In this context supply is not meant as provision of food or other equipment.</t>
  </si>
  <si>
    <t>BufCode_controlCenterSupplyNet</t>
  </si>
  <si>
    <t>controlCenterTransport</t>
  </si>
  <si>
    <t>Control Center Transportation</t>
  </si>
  <si>
    <t>A center for the coordination and/or regulating of traffic (for example: on land transportation routes, on waterways, or on rails).</t>
  </si>
  <si>
    <t>BufCode_controlCenterTransport</t>
  </si>
  <si>
    <t>defencePosition</t>
  </si>
  <si>
    <t>Defence Position</t>
  </si>
  <si>
    <t>A hardened and/or armored location for self protection and to repel attacks.</t>
  </si>
  <si>
    <t>The locations can be manned and/or equipped with weapons.</t>
  </si>
  <si>
    <t>BufCode_defencePosition</t>
  </si>
  <si>
    <t>ordnanceDepot</t>
  </si>
  <si>
    <t>Ordnance Depot</t>
  </si>
  <si>
    <t>A storage for weapons, ammunition, explosives and similar goods.</t>
  </si>
  <si>
    <t>BufCode_ordnanceDepot</t>
  </si>
  <si>
    <t>ordnanceMaintenance</t>
  </si>
  <si>
    <t>Ordnance Maintenance</t>
  </si>
  <si>
    <t>A facility to maintain and/or repair weapons, ammunition, explosives and similar items.</t>
  </si>
  <si>
    <t>BufCode_ordnanceMaintenance</t>
  </si>
  <si>
    <t>protectionPersonnel</t>
  </si>
  <si>
    <t>Protection for Personnel</t>
  </si>
  <si>
    <t>A shelter for persons.</t>
  </si>
  <si>
    <t>BufCode_protectionPersonnel</t>
  </si>
  <si>
    <t>storageDepot</t>
  </si>
  <si>
    <t>A storage for goods (no explosives, ammunitions or similar dangerous items).</t>
  </si>
  <si>
    <t>Goods could be for example breakbulk.</t>
  </si>
  <si>
    <t>BufCode_storageDepot</t>
  </si>
  <si>
    <t>testSite</t>
  </si>
  <si>
    <t>A facility for the testing of technical products and equipment.</t>
  </si>
  <si>
    <t>BufCode_testSite</t>
  </si>
  <si>
    <t>barrel</t>
  </si>
  <si>
    <t>Barrel</t>
  </si>
  <si>
    <t>The upper part of the body above the water-line, or the greater part of the superstructure, has the form of a barrel or cylinder floating horizontally.</t>
  </si>
  <si>
    <t>Tun</t>
  </si>
  <si>
    <t>BusCode_barrel</t>
  </si>
  <si>
    <t>can</t>
  </si>
  <si>
    <t>Can</t>
  </si>
  <si>
    <t>The upper part of the body above the water-line, or the greater part of the superstructure, has the shape of a cylinder, or a truncated cone that approximates to a cylinder, with a flat end uppermost.</t>
  </si>
  <si>
    <t>Cylindrical</t>
  </si>
  <si>
    <t>BusCode_can</t>
  </si>
  <si>
    <t>conical</t>
  </si>
  <si>
    <t>Conical</t>
  </si>
  <si>
    <t>The upper part of the body above the water-line, or the greater part of the superstructure, has approximately the shape or the appearance of a pointed cone with the point upwards.</t>
  </si>
  <si>
    <t>Nun, Ogival</t>
  </si>
  <si>
    <t>BusCode_conical</t>
  </si>
  <si>
    <t>diamond</t>
  </si>
  <si>
    <t>Diamond</t>
  </si>
  <si>
    <t>The body has approximately the shape or appearance of two cones placed base-to-base, with one of the points upwards.</t>
  </si>
  <si>
    <t>BusCode_diamond</t>
  </si>
  <si>
    <t>icebuoy</t>
  </si>
  <si>
    <t>Ice buoy</t>
  </si>
  <si>
    <t>A specially constructed shuttle-shaped buoy which is used in ice conditions.</t>
  </si>
  <si>
    <t>BusCode_icebuoy</t>
  </si>
  <si>
    <t>pillar</t>
  </si>
  <si>
    <t>Pillar</t>
  </si>
  <si>
    <t>The upper part of the body above the water-line, or the greater part of the superstructure is a narrow vertical structure, pillar or lattice tower.</t>
  </si>
  <si>
    <t>BusCode_pillar</t>
  </si>
  <si>
    <t>spar</t>
  </si>
  <si>
    <t>Spar</t>
  </si>
  <si>
    <t>The upper part of the body above the water-line, or the greater part of the superstructure, has the form of a pole, or of a very long cylinder, floating upright.</t>
  </si>
  <si>
    <t>Spindle</t>
  </si>
  <si>
    <t>BusCode_spar</t>
  </si>
  <si>
    <t>The upper part of the body above the water-line, or the greater part of the superstructure, has the shape of a part of a sphere.</t>
  </si>
  <si>
    <t>BusCode_spherical</t>
  </si>
  <si>
    <t>superBuoy</t>
  </si>
  <si>
    <t>Super-buoy</t>
  </si>
  <si>
    <t>A very large buoy, generally more than 5 metres in diameter.</t>
  </si>
  <si>
    <t>BusCode_superBuoy</t>
  </si>
  <si>
    <t>accelerometer</t>
  </si>
  <si>
    <t>Accelerometer</t>
  </si>
  <si>
    <t>A surface-following buoy anchored to the seabed by means of an elastic mooring and used to determine wave information.</t>
  </si>
  <si>
    <t>An accelerometer mounted within the buoy registers the rate at which the buoy is rising or falling as it follows the pattern of waves; by integrating against time, the acceleration signal can be converted to vertical displacement. The displacement values are usually telemetered to a recording station on the shore.</t>
  </si>
  <si>
    <t>Waverider</t>
  </si>
  <si>
    <t>ButCode_accelerometer</t>
  </si>
  <si>
    <t>aeronauticalAnchorage</t>
  </si>
  <si>
    <t>Aeronautical Anchorage</t>
  </si>
  <si>
    <t>A buoy indicating an aeronautical anchorage (for example: for seaplanes).</t>
  </si>
  <si>
    <t>Seaplane Anchorage Mark</t>
  </si>
  <si>
    <t>ButCode_aeronauticalAnchorage</t>
  </si>
  <si>
    <t>anchorage</t>
  </si>
  <si>
    <t>A buoy indicating an anchorage.</t>
  </si>
  <si>
    <t>Anchorage Mark</t>
  </si>
  <si>
    <t>ButCode_anchorage</t>
  </si>
  <si>
    <t>anchoringProhibited</t>
  </si>
  <si>
    <t>Anchoring Prohibited</t>
  </si>
  <si>
    <t>A buoy indicating an area where anchoring is prohibited.</t>
  </si>
  <si>
    <t>Anchoring Prohibited Mark</t>
  </si>
  <si>
    <t>ButCode_anchoringProhibited</t>
  </si>
  <si>
    <t>apexFloat</t>
  </si>
  <si>
    <t>APEX Float</t>
  </si>
  <si>
    <t>An autonomous drifting profiler used to measure subsurface currents and make profile measurements that surfaces at programmed intervals for data telemetry and geo-location via ARGOS satellite.</t>
  </si>
  <si>
    <t>Approximately 16.5 centimetres in diameter and 130 centimetres tall (not including the 70 centimetre aerial). Surfaces approximately 150 times from a maximum depth of 2000 metres over a 4-year lifespan. Automatically adjusts buoyancy to follow an isobaric surface while drifting, or can be programmed to follow an isopycnal surface.</t>
  </si>
  <si>
    <t>ButCode_apexFloat</t>
  </si>
  <si>
    <t>articulatedLight</t>
  </si>
  <si>
    <t>Articulated Light</t>
  </si>
  <si>
    <t>A buoy-like structure consisting of a light or lights fixed to a vertical pipe structure that oscillates around a universal coupling connected to a sinker.</t>
  </si>
  <si>
    <t>The structure is kept upright by the buoyancy of a submerged floating chamber. Primarily designed to mark narrow channels with greater precision than conventional buoys.</t>
  </si>
  <si>
    <t>ButCode_articulatedLight</t>
  </si>
  <si>
    <t>artificialReef</t>
  </si>
  <si>
    <t>Artificial Reef</t>
  </si>
  <si>
    <t>A buoy indicating the existence or the extent of an artificial reef.</t>
  </si>
  <si>
    <t>Artificial Reef Mark</t>
  </si>
  <si>
    <t>ButCode_artificialReef</t>
  </si>
  <si>
    <t>barge</t>
  </si>
  <si>
    <t>Barge</t>
  </si>
  <si>
    <t>A buoy of relevance to barges.</t>
  </si>
  <si>
    <t>Barge Mark</t>
  </si>
  <si>
    <t>ButCode_barge</t>
  </si>
  <si>
    <t>berthingPermitted</t>
  </si>
  <si>
    <t>Berthing Permitted</t>
  </si>
  <si>
    <t>A buoy indicating that berthing is allowed.</t>
  </si>
  <si>
    <t>Berthing Permitted Mark</t>
  </si>
  <si>
    <t>ButCode_berthingPermitted</t>
  </si>
  <si>
    <t>berthingProhibited</t>
  </si>
  <si>
    <t>Berthing Prohibited</t>
  </si>
  <si>
    <t>A buoy indicating that berthing is prohibited.</t>
  </si>
  <si>
    <t>Berthing Prohibited Mark</t>
  </si>
  <si>
    <t>ButCode_berthingProhibited</t>
  </si>
  <si>
    <t>bifurcation</t>
  </si>
  <si>
    <t>Bifurcation</t>
  </si>
  <si>
    <t>A distinctive lateral buoy used to indicate both the point at which a channel divides and the channel that has been designated as preferred channel.</t>
  </si>
  <si>
    <t>ButCode_bifurcation</t>
  </si>
  <si>
    <t>A buoy indicating the position of submarine cables or the point at which they run on to the land.</t>
  </si>
  <si>
    <t>Cable Mark</t>
  </si>
  <si>
    <t>ButCode_cable</t>
  </si>
  <si>
    <t>cardinal</t>
  </si>
  <si>
    <t>Cardinal</t>
  </si>
  <si>
    <t>A buoy used to indicate that the best navigable water is to be found in one particular of the quadrants that are bounded by the four bearings NW, NE, SE and SW taken from the position of the mark.</t>
  </si>
  <si>
    <t>ButCode_cardinal</t>
  </si>
  <si>
    <t>channelEdgeGradient</t>
  </si>
  <si>
    <t>Channel Edge Gradient</t>
  </si>
  <si>
    <t>A buoy indicating the gradient of the slope of a dredge channel edge.</t>
  </si>
  <si>
    <t>Channel Edge Gradient' Mark</t>
  </si>
  <si>
    <t>ButCode_channelEdgeGradient</t>
  </si>
  <si>
    <t>clearingLine</t>
  </si>
  <si>
    <t>Clearing Line</t>
  </si>
  <si>
    <t>A buoy indicating a clearing line.</t>
  </si>
  <si>
    <t>Clearing Mark</t>
  </si>
  <si>
    <t>ButCode_clearingLine</t>
  </si>
  <si>
    <t>compassAdjustment</t>
  </si>
  <si>
    <t>Compass Adjustment</t>
  </si>
  <si>
    <t>A buoy placed at a favourable location to assist a vessel to adjust its compass or swing ship.</t>
  </si>
  <si>
    <t>Swinging Buoy</t>
  </si>
  <si>
    <t>ButCode_compassAdjustment</t>
  </si>
  <si>
    <t>control</t>
  </si>
  <si>
    <t>Control</t>
  </si>
  <si>
    <t>A buoy indicating the location at which a restriction or requirement exists.</t>
  </si>
  <si>
    <t>Control Mark</t>
  </si>
  <si>
    <t>ButCode_control</t>
  </si>
  <si>
    <t>dan</t>
  </si>
  <si>
    <t>Dan</t>
  </si>
  <si>
    <t>A buoy consisting of a ballasted float carrying a staff which supports a flag or light.</t>
  </si>
  <si>
    <t>ButCode_dan</t>
  </si>
  <si>
    <t>daybeacon</t>
  </si>
  <si>
    <t>Daybeacon</t>
  </si>
  <si>
    <t>A buoy equipped with an unlighted daymark identified by its colour, shape, and number depending on the purpose of the buoy.</t>
  </si>
  <si>
    <t>ButCode_daybeacon</t>
  </si>
  <si>
    <t>degaussingRange</t>
  </si>
  <si>
    <t>Degaussing Range</t>
  </si>
  <si>
    <t>A buoy indicating a degaussing range.</t>
  </si>
  <si>
    <t>Degaussing Range Mark</t>
  </si>
  <si>
    <t>ButCode_degaussingRange</t>
  </si>
  <si>
    <t>diving</t>
  </si>
  <si>
    <t>Diving</t>
  </si>
  <si>
    <t>A buoy indicating that diving may take place or be taking place in the vicinity.</t>
  </si>
  <si>
    <t>Diving Mark</t>
  </si>
  <si>
    <t>ButCode_diving</t>
  </si>
  <si>
    <t>dndCanada</t>
  </si>
  <si>
    <t>DND Canada</t>
  </si>
  <si>
    <t>A buoy maintained by the Canadian Department of National Defence (DND).</t>
  </si>
  <si>
    <t>ButCode_dndCanada</t>
  </si>
  <si>
    <t>eastCardinal</t>
  </si>
  <si>
    <t>East Cardinal</t>
  </si>
  <si>
    <t>A buoy used to indicate that the best navigable water is to be found in the quadrant bounded by the two bearings NE and SE taken from the position of the buoy.</t>
  </si>
  <si>
    <t>East Cardinal Mark</t>
  </si>
  <si>
    <t>ButCode_eastCardinal</t>
  </si>
  <si>
    <t>entryProhibited</t>
  </si>
  <si>
    <t>Entry Prohibited</t>
  </si>
  <si>
    <t>A buoy indicating that entry is prohibited.</t>
  </si>
  <si>
    <t>Keep-Out</t>
  </si>
  <si>
    <t>ButCode_entryProhibited</t>
  </si>
  <si>
    <t>exerciseArea</t>
  </si>
  <si>
    <t>Exercise Area</t>
  </si>
  <si>
    <t>A buoy indicating an area shown on charts within which naval, military or aerial exercises are carried out.</t>
  </si>
  <si>
    <t>Military Practice Area</t>
  </si>
  <si>
    <t>ButCode_exerciseArea</t>
  </si>
  <si>
    <t>explosiveAnchorage</t>
  </si>
  <si>
    <t>Explosive Anchorage</t>
  </si>
  <si>
    <t>A buoy indicating an area set apart for anchored ships discharging or receiving explosives.</t>
  </si>
  <si>
    <t>ButCode_explosiveAnchorage</t>
  </si>
  <si>
    <t>fairway</t>
  </si>
  <si>
    <t>Fairway</t>
  </si>
  <si>
    <t>A buoy intended to be the first to be seen during an approach from the open sea to a fairway.</t>
  </si>
  <si>
    <t>Safe water exists on both sides.</t>
  </si>
  <si>
    <t>ButCode_fairway</t>
  </si>
  <si>
    <t>ferryCrossing</t>
  </si>
  <si>
    <t>A buoy indicating that a ferry route crosses the ship route.</t>
  </si>
  <si>
    <t>Often includes a 'sound ships siren' mark.</t>
  </si>
  <si>
    <t>Ferry Crossing Mark</t>
  </si>
  <si>
    <t>ButCode_ferryCrossing</t>
  </si>
  <si>
    <t>firingDangerArea</t>
  </si>
  <si>
    <t>Firing Danger Area</t>
  </si>
  <si>
    <t>A buoy indicating a firing danger area.</t>
  </si>
  <si>
    <t>Firing Danger Mark</t>
  </si>
  <si>
    <t>ButCode_firingDangerArea</t>
  </si>
  <si>
    <t>fishTrap</t>
  </si>
  <si>
    <t>Fish Trap</t>
  </si>
  <si>
    <t>A buoy indicating the limits of a fish trap area.</t>
  </si>
  <si>
    <t>ButCode_fishTrap</t>
  </si>
  <si>
    <t>float</t>
  </si>
  <si>
    <t>Float</t>
  </si>
  <si>
    <t>A small buoyant object attached to nets or fishing lines.</t>
  </si>
  <si>
    <t>Also used for the small buoys used for current observations.</t>
  </si>
  <si>
    <t>ButCode_float</t>
  </si>
  <si>
    <t>foulGround</t>
  </si>
  <si>
    <t>A buoy indicating a foul ground.</t>
  </si>
  <si>
    <t>Foul Ground Mark</t>
  </si>
  <si>
    <t>ButCode_foulGround</t>
  </si>
  <si>
    <t>generalWarning</t>
  </si>
  <si>
    <t>General Warning</t>
  </si>
  <si>
    <t>A buoy indicating that special caution must be exercised in the vicinity of the buoy.</t>
  </si>
  <si>
    <t>Caution</t>
  </si>
  <si>
    <t>ButCode_generalWarning</t>
  </si>
  <si>
    <t>gpsMark</t>
  </si>
  <si>
    <t>GPS Mark</t>
  </si>
  <si>
    <t>A buoy indicating a location at which a GPS position has been accurately determined.</t>
  </si>
  <si>
    <t>ButCode_gpsMark</t>
  </si>
  <si>
    <t>heliport</t>
  </si>
  <si>
    <t>A buoy indicating an area where helicopters may land.</t>
  </si>
  <si>
    <t>Heliport Mark</t>
  </si>
  <si>
    <t>ButCode_heliport</t>
  </si>
  <si>
    <t>iceBuoy</t>
  </si>
  <si>
    <t>Ice Buoy</t>
  </si>
  <si>
    <t>A specially constructed shuttle shaped buoy which is used in ice conditions.</t>
  </si>
  <si>
    <t>ButCode_iceBuoy</t>
  </si>
  <si>
    <t>illuminated</t>
  </si>
  <si>
    <t>Illuminated</t>
  </si>
  <si>
    <t>A buoy that is illuminated (for example: by floodlights or strip lights) and does not exhibit a light for the purposes of supporting navigation.</t>
  </si>
  <si>
    <t>ButCode_illuminated</t>
  </si>
  <si>
    <t>installation</t>
  </si>
  <si>
    <t>A buoy used for loading tankers with gas or oil.</t>
  </si>
  <si>
    <t>For example, a catenary anchor leg mooring (CALM) or a single buoy mooring (SBM).</t>
  </si>
  <si>
    <t>ButCode_installation</t>
  </si>
  <si>
    <t>isolatedDanger</t>
  </si>
  <si>
    <t>Isolated Danger</t>
  </si>
  <si>
    <t>A navigation buoy used alone to indicate a danger (for example: a reef or shoal).</t>
  </si>
  <si>
    <t>Isolated Danger Mark</t>
  </si>
  <si>
    <t>ButCode_isolatedDanger</t>
  </si>
  <si>
    <t>junction</t>
  </si>
  <si>
    <t>Junction</t>
  </si>
  <si>
    <t>A buoy marking the inner end of a middle ground (a shallow area in otherwise deeper water with channels on both sides of it).</t>
  </si>
  <si>
    <t>Middle Ground Buoy</t>
  </si>
  <si>
    <t>ButCode_junction</t>
  </si>
  <si>
    <t>landfall</t>
  </si>
  <si>
    <t>Landfall</t>
  </si>
  <si>
    <t>The outermost buoy marking the entrance to a channel or harbour.</t>
  </si>
  <si>
    <t>Farewell, Sea</t>
  </si>
  <si>
    <t>ButCode_landfall</t>
  </si>
  <si>
    <t>largeAutomaticNavBuoy</t>
  </si>
  <si>
    <t>Large Automatic Navigation Buoy</t>
  </si>
  <si>
    <t>A large buoy designed to take the place of a lightship where construction of an offshore light station is not feasible.</t>
  </si>
  <si>
    <t>It may vary in size up to a displacement of 140 tonnes and a diameter and/or height of 12 metres.</t>
  </si>
  <si>
    <t>ButCode_largeAutomaticNavBuoy</t>
  </si>
  <si>
    <t>lateral</t>
  </si>
  <si>
    <t>Lateral</t>
  </si>
  <si>
    <t>ButCode_lateral</t>
  </si>
  <si>
    <t>leadingLine</t>
  </si>
  <si>
    <t>A buoy identifying a leading line for vessels when they are in transit.</t>
  </si>
  <si>
    <t>A maritime aid to navigation so located as to indicate the path to be followed.</t>
  </si>
  <si>
    <t>Leading Mark</t>
  </si>
  <si>
    <t>ButCode_leadingLine</t>
  </si>
  <si>
    <t>lightFloat</t>
  </si>
  <si>
    <t>Light Float</t>
  </si>
  <si>
    <t>A boat-like structure used instead of a light buoy in waters where strong streams or currents are experienced, or when a greater elevation than that of a light buoy is necessary.</t>
  </si>
  <si>
    <t>ButCode_lightFloat</t>
  </si>
  <si>
    <t>marineFarm</t>
  </si>
  <si>
    <t>Marine Farm</t>
  </si>
  <si>
    <t>A buoy indicating the existence of a fish, mussel, oyster or pearl farm and/or culture.</t>
  </si>
  <si>
    <t>Marine Farm Mark</t>
  </si>
  <si>
    <t>ButCode_marineFarm</t>
  </si>
  <si>
    <t>markerShip</t>
  </si>
  <si>
    <t>Marker Ship</t>
  </si>
  <si>
    <t>A buoy indicating the position of a ship which is used as a target during military exercises.</t>
  </si>
  <si>
    <t>Marker Ship Mark</t>
  </si>
  <si>
    <t>ButCode_markerShip</t>
  </si>
  <si>
    <t>maximumVesselsDraft</t>
  </si>
  <si>
    <t>Maximum Vessel's Draft</t>
  </si>
  <si>
    <t>A buoy indicating the maximum draft of vessels permitted.</t>
  </si>
  <si>
    <t>Maximum Vessel's Draught Mark</t>
  </si>
  <si>
    <t>ButCode_maximumVesselsDraft</t>
  </si>
  <si>
    <t>measuredDistance</t>
  </si>
  <si>
    <t>Measured Distance</t>
  </si>
  <si>
    <t>A buoy forming part of a transit indicating one end of a measured distance.</t>
  </si>
  <si>
    <t>Measured Distance Mark</t>
  </si>
  <si>
    <t>ButCode_measuredDistance</t>
  </si>
  <si>
    <t>midChannel</t>
  </si>
  <si>
    <t>Mid-Channel</t>
  </si>
  <si>
    <t>A buoy identifying the middle of a channel.</t>
  </si>
  <si>
    <t>ButCode_midChannel</t>
  </si>
  <si>
    <t>A buoy indicating a mooring or moorings.</t>
  </si>
  <si>
    <t>Mooring Mark</t>
  </si>
  <si>
    <t>ButCode_mooring</t>
  </si>
  <si>
    <t>nccbBuoy</t>
  </si>
  <si>
    <t>Navigation, communication and control buoy (NCCB)</t>
  </si>
  <si>
    <t>A floating structure with control room, power and storage facilities, attached to the sea bed by a flexible pipeline and cables.</t>
  </si>
  <si>
    <t>ButCode_nccbBuoy</t>
  </si>
  <si>
    <t>northCardinal</t>
  </si>
  <si>
    <t>North Cardinal</t>
  </si>
  <si>
    <t>A buoy used to indicate that the best navigable water is to be found in the quadrant bounded by the two bearings NW and NE taken from the position of the buoy.</t>
  </si>
  <si>
    <t>North Cardinal Mark</t>
  </si>
  <si>
    <t>ButCode_northCardinal</t>
  </si>
  <si>
    <t>notice</t>
  </si>
  <si>
    <t>Notice</t>
  </si>
  <si>
    <t>A buoy providing information to the mariner.</t>
  </si>
  <si>
    <t>Notice Mark</t>
  </si>
  <si>
    <t>ButCode_notice</t>
  </si>
  <si>
    <t>A buoy indicating an obstruction to maritime navigation.</t>
  </si>
  <si>
    <t>ButCode_obstruction</t>
  </si>
  <si>
    <t>odasBuoy</t>
  </si>
  <si>
    <t>Ocean Data Acquisition System (ODAS) Buoy</t>
  </si>
  <si>
    <t>A large (up to 6 metres in diameter) buoy carrying oceanographic and meteorological sensors together with an on-board data recording system.</t>
  </si>
  <si>
    <t>When anchored by means of an elastic mooring an accelerometer mounted within the buoy registers the rate at which the buoy is rising or falling as it follows the pattern of waves; by integrating against time, the acceleration signal can be converted to vertical displacement. Some ODAS buoys also contain an electronic compass and two additional accelerometers (sensing pitch and roll of the buoy respectively) in order to measure the directional components of the wave field.</t>
  </si>
  <si>
    <t>ButCode_odasBuoy</t>
  </si>
  <si>
    <t>outfall</t>
  </si>
  <si>
    <t>Outfall</t>
  </si>
  <si>
    <t>A buoy indicating the position of an outfall or the point at which it leaves the land.</t>
  </si>
  <si>
    <t>Outfall Mark</t>
  </si>
  <si>
    <t>ButCode_outfall</t>
  </si>
  <si>
    <t>overheadPowerCable</t>
  </si>
  <si>
    <t>Overhead Power Cable</t>
  </si>
  <si>
    <t>A buoy indicating an overhead power cable.</t>
  </si>
  <si>
    <t>Overhead Power Cable Mark</t>
  </si>
  <si>
    <t>ButCode_overheadPowerCable</t>
  </si>
  <si>
    <t>overtakingProhibited</t>
  </si>
  <si>
    <t>Overtaking Prohibited</t>
  </si>
  <si>
    <t>A buoy indicating that overtaking is prohibited.</t>
  </si>
  <si>
    <t>Overtaking Prohibited Mark</t>
  </si>
  <si>
    <t>ButCode_overtakingProhibited</t>
  </si>
  <si>
    <t>pipeline</t>
  </si>
  <si>
    <t>A buoy indicating the position of submarine pipelines or the point at which they run on to the land.</t>
  </si>
  <si>
    <t>Pipeline Mark</t>
  </si>
  <si>
    <t>ButCode_pipeline</t>
  </si>
  <si>
    <t>portHandEdge</t>
  </si>
  <si>
    <t>Port-hand Edge</t>
  </si>
  <si>
    <t>A buoy identifying the port hand edge of a channel, according to the locally administered direction of buoyage in the IALA lateral system.</t>
  </si>
  <si>
    <t>Its colour and shape will vary between IALA regions A and B.</t>
  </si>
  <si>
    <t>Port-hand Lateral Mark</t>
  </si>
  <si>
    <t>ButCode_portHandEdge</t>
  </si>
  <si>
    <t>preferredChannelPort</t>
  </si>
  <si>
    <t>Preferred Channel to Port</t>
  </si>
  <si>
    <t>A buoy indicating that the preferred channel in a lateral system of buoyage is to port.</t>
  </si>
  <si>
    <t>Preferred Channel to Port Lateral Mark</t>
  </si>
  <si>
    <t>ButCode_preferredChannelPort</t>
  </si>
  <si>
    <t>preferredChannelStarboard</t>
  </si>
  <si>
    <t>Preferred Channel to Starboard</t>
  </si>
  <si>
    <t>A buoy indicating that the preferred channel in a lateral system of buoyage is to starboard.</t>
  </si>
  <si>
    <t>Preferred Channel to Starboard Lateral Mark</t>
  </si>
  <si>
    <t>ButCode_preferredChannelStarboard</t>
  </si>
  <si>
    <t>A privately maintained bouy.</t>
  </si>
  <si>
    <t>Private Mark</t>
  </si>
  <si>
    <t>ButCode_private</t>
  </si>
  <si>
    <t>quarantine</t>
  </si>
  <si>
    <t>Quarantine</t>
  </si>
  <si>
    <t>A buoy indicating a quarantine anchorage.</t>
  </si>
  <si>
    <t>ButCode_quarantine</t>
  </si>
  <si>
    <t>radiobeacon</t>
  </si>
  <si>
    <t>Radiobeacon</t>
  </si>
  <si>
    <t>A buoy equipped with a marker radiobeacon serving as an aid to navigation and secured to its charted position by a mooring.</t>
  </si>
  <si>
    <t>ButCode_radiobeacon</t>
  </si>
  <si>
    <t>recording</t>
  </si>
  <si>
    <t>Recording</t>
  </si>
  <si>
    <t>A buoy used to record data for scientific purposes.</t>
  </si>
  <si>
    <t>Recording Mark</t>
  </si>
  <si>
    <t>ButCode_recording</t>
  </si>
  <si>
    <t>recreationZone</t>
  </si>
  <si>
    <t>Recreation Zone</t>
  </si>
  <si>
    <t>A buoy indicating a recreation zone.</t>
  </si>
  <si>
    <t>Recreation Zone Mark</t>
  </si>
  <si>
    <t>ButCode_recreationZone</t>
  </si>
  <si>
    <t>reducedWake</t>
  </si>
  <si>
    <t>Reduced Wake</t>
  </si>
  <si>
    <t>A buoy indicating that vessels must not generate excessive wake.</t>
  </si>
  <si>
    <t>Reduced Wake' Mark</t>
  </si>
  <si>
    <t>ButCode_reducedWake</t>
  </si>
  <si>
    <t>refuge</t>
  </si>
  <si>
    <t>Refuge</t>
  </si>
  <si>
    <t>A buoy providing or indicating a place of safety.</t>
  </si>
  <si>
    <t>Refuge Beacon</t>
  </si>
  <si>
    <t>ButCode_refuge</t>
  </si>
  <si>
    <t>restrictedHorizClearance</t>
  </si>
  <si>
    <t>A buoy indicating the minimum horizontal space available for passage.</t>
  </si>
  <si>
    <t>Restricted Horizontal Clearance Mark</t>
  </si>
  <si>
    <t>ButCode_restrictedHorizClearance</t>
  </si>
  <si>
    <t>restrictedVertClearance</t>
  </si>
  <si>
    <t>Restricted Vertical Clearance</t>
  </si>
  <si>
    <t>A buoy indicating the minimum vertical space available for passage.</t>
  </si>
  <si>
    <t>Restricted Vertical Clearance Mark</t>
  </si>
  <si>
    <t>ButCode_restrictedVertClearance</t>
  </si>
  <si>
    <t>safeWater</t>
  </si>
  <si>
    <t>Safe Water</t>
  </si>
  <si>
    <t>A buoy in the IALA Maritime Buoyage System indicating that there is navigable water around its position.</t>
  </si>
  <si>
    <t>Safe Water Mark</t>
  </si>
  <si>
    <t>ButCode_safeWater</t>
  </si>
  <si>
    <t>seaplaneLanding</t>
  </si>
  <si>
    <t>Seaplane Landing</t>
  </si>
  <si>
    <t>A buoy indicating an area where seaplanes land.</t>
  </si>
  <si>
    <t>Seaplane Landing Mark</t>
  </si>
  <si>
    <t>ButCode_seaplaneLanding</t>
  </si>
  <si>
    <t>soundShipsSiren</t>
  </si>
  <si>
    <t>Sound Ship's Siren</t>
  </si>
  <si>
    <t>A buoy indicating that a ship should sound its siren or horn.</t>
  </si>
  <si>
    <t>Sound Ships Siren' Mark</t>
  </si>
  <si>
    <t>ButCode_soundShipsSiren</t>
  </si>
  <si>
    <t>southCardinal</t>
  </si>
  <si>
    <t>South Cardinal</t>
  </si>
  <si>
    <t>A buoy used to indicate that the best navigable water is to be found in the quadrant bounded by the two bearings SE and SW taken from the position of the buoy.</t>
  </si>
  <si>
    <t>South Cardinal Mark</t>
  </si>
  <si>
    <t>ButCode_southCardinal</t>
  </si>
  <si>
    <t>special</t>
  </si>
  <si>
    <t>Special</t>
  </si>
  <si>
    <t>A buoy primarily used to indicate an area or feature referred to in nautical documents (for example: chart, Sailing Directions or Notices to Mariners) rather than to assist navigation.</t>
  </si>
  <si>
    <t>Special Purpose</t>
  </si>
  <si>
    <t>ButCode_special</t>
  </si>
  <si>
    <t>speedLimit</t>
  </si>
  <si>
    <t>Speed Limit</t>
  </si>
  <si>
    <t>A buoy indicating that a speed limit applies.</t>
  </si>
  <si>
    <t>Speed Limit Mark</t>
  </si>
  <si>
    <t>ButCode_speedLimit</t>
  </si>
  <si>
    <t>spoilGround</t>
  </si>
  <si>
    <t>Spoil Ground</t>
  </si>
  <si>
    <t>A buoy indicating the limit of a spoil ground.</t>
  </si>
  <si>
    <t>Spoil Ground Mark</t>
  </si>
  <si>
    <t>ButCode_spoilGround</t>
  </si>
  <si>
    <t>starboardHandEdge</t>
  </si>
  <si>
    <t>Starboard-hand Edge</t>
  </si>
  <si>
    <t>A buoy identifying the starboard hand edge of a channel, according to the locally administered direction of buoyage in the IALA lateral system.</t>
  </si>
  <si>
    <t>Starboard-hand Lateral Mark</t>
  </si>
  <si>
    <t>ButCode_starboardHandEdge</t>
  </si>
  <si>
    <t>stop</t>
  </si>
  <si>
    <t>Stop</t>
  </si>
  <si>
    <t>A buoy indicating the place where the bow of a ship must stop when traffic lights show red.</t>
  </si>
  <si>
    <t>Stop Mark</t>
  </si>
  <si>
    <t>ButCode_stop</t>
  </si>
  <si>
    <t>strongCurrentWarning</t>
  </si>
  <si>
    <t>Strong Current Warning</t>
  </si>
  <si>
    <t>A buoy warning of strong currents.</t>
  </si>
  <si>
    <t>Strong Current Warning Mark</t>
  </si>
  <si>
    <t>ButCode_strongCurrentWarning</t>
  </si>
  <si>
    <t>swim</t>
  </si>
  <si>
    <t>Swim</t>
  </si>
  <si>
    <t>A buoy indicating an area in which people may swim and therefore vessel movement may be restricted.</t>
  </si>
  <si>
    <t>ButCode_swim</t>
  </si>
  <si>
    <t>target</t>
  </si>
  <si>
    <t>Target</t>
  </si>
  <si>
    <t>A buoy distinctively marked to aid in its identification (for example: as a weapons target, or for identification on a photograph).</t>
  </si>
  <si>
    <t>Target Mark</t>
  </si>
  <si>
    <t>ButCode_target</t>
  </si>
  <si>
    <t>telegraphCable</t>
  </si>
  <si>
    <t>Telegraph Cable</t>
  </si>
  <si>
    <t>A buoy indicating the position of a submarine telegraph cable.</t>
  </si>
  <si>
    <t>ButCode_telegraphCable</t>
  </si>
  <si>
    <t>A buoy indicating the presence of a telephone.</t>
  </si>
  <si>
    <t>Telephone Mark</t>
  </si>
  <si>
    <t>ButCode_telephone</t>
  </si>
  <si>
    <t>trot</t>
  </si>
  <si>
    <t>Trot</t>
  </si>
  <si>
    <t>A buoy indicating a mooring point within a system for the fore and aft mooring of several boats in rows.</t>
  </si>
  <si>
    <t>ButCode_trot</t>
  </si>
  <si>
    <t>tss</t>
  </si>
  <si>
    <t>A buoy indicating a traffic separation scheme.</t>
  </si>
  <si>
    <t>TSS Mark</t>
  </si>
  <si>
    <t>ButCode_tss</t>
  </si>
  <si>
    <t>twoWayTrafficProhibited</t>
  </si>
  <si>
    <t>Two-Way Traffic Prohibited</t>
  </si>
  <si>
    <t>A buoy indicating a one way route.</t>
  </si>
  <si>
    <t>Two-Way Traffic Prohibited Mark</t>
  </si>
  <si>
    <t>ButCode_twoWayTrafficProhibited</t>
  </si>
  <si>
    <t>warping</t>
  </si>
  <si>
    <t>Warping</t>
  </si>
  <si>
    <t>A buoy so located that lines to it can be used for the movement of ships.</t>
  </si>
  <si>
    <t>ButCode_warping</t>
  </si>
  <si>
    <t>waterColumnSensor</t>
  </si>
  <si>
    <t>Water Column Sensor</t>
  </si>
  <si>
    <t>A buoy which is normally submerged in order to position oceanographic and/or acoustic sensors within the water column.</t>
  </si>
  <si>
    <t>It is moored to the waterbody bottom and suspended within the water column to measure water column properties (for example: currents, acoustic returns, temperature and other oceanographic phenomena).</t>
  </si>
  <si>
    <t>ButCode_waterColumnSensor</t>
  </si>
  <si>
    <t>wavemeter</t>
  </si>
  <si>
    <t>Wavemeter</t>
  </si>
  <si>
    <t>A buoy equipped with instruments for measuring waves (for example: their height and/or period).</t>
  </si>
  <si>
    <t>ButCode_wavemeter</t>
  </si>
  <si>
    <t>wellhead</t>
  </si>
  <si>
    <t>Wellhead</t>
  </si>
  <si>
    <t>A buoy indicating a borehole that produces or is capable of producing oil or natural gas.</t>
  </si>
  <si>
    <t>Wellhead Mark</t>
  </si>
  <si>
    <t>ButCode_wellhead</t>
  </si>
  <si>
    <t>westCardinal</t>
  </si>
  <si>
    <t>West Cardinal</t>
  </si>
  <si>
    <t>A buoy used to indicate that the best navigable water is to be found in the quadrant bounded by the two bearings NW and SW taken from the position of the buoy.</t>
  </si>
  <si>
    <t>West Cardinal Mark</t>
  </si>
  <si>
    <t>ButCode_westCardinal</t>
  </si>
  <si>
    <t>Work In Progress</t>
  </si>
  <si>
    <t>A buoy indicating that work (generally construction) is in progress.</t>
  </si>
  <si>
    <t>Work In Progress Mark</t>
  </si>
  <si>
    <t>ButCode_workInProgress</t>
  </si>
  <si>
    <t>wreck</t>
  </si>
  <si>
    <t>A buoy indicating the location of a wreck.</t>
  </si>
  <si>
    <t>ButCode_wreck</t>
  </si>
  <si>
    <t>yachting</t>
  </si>
  <si>
    <t>Yachting</t>
  </si>
  <si>
    <t>A buoy installed for use by yachtsmen.</t>
  </si>
  <si>
    <t>Yachting Mark</t>
  </si>
  <si>
    <t>ButCode_yachting</t>
  </si>
  <si>
    <t>districtHeatingCooling</t>
  </si>
  <si>
    <t>District Heating or Cooling</t>
  </si>
  <si>
    <t>A buried pipe for the transport of heated or chilled fluids for heating or cooling purposes.</t>
  </si>
  <si>
    <t>BurCode_districtHeatingCooling</t>
  </si>
  <si>
    <t>gas</t>
  </si>
  <si>
    <t>Gas</t>
  </si>
  <si>
    <t>A buried pipe used for transport (supply) of natural gas or liquid product.</t>
  </si>
  <si>
    <t>BurCode_gas</t>
  </si>
  <si>
    <t>A buried cable that transmits or distributes electrical power.</t>
  </si>
  <si>
    <t>BurCode_power</t>
  </si>
  <si>
    <t>A buried buried pipe in a sewage system for carrying water or sewage to a disposal area.</t>
  </si>
  <si>
    <t>BurCode_sewage</t>
  </si>
  <si>
    <t>telecommunication</t>
  </si>
  <si>
    <t>Telecommunication</t>
  </si>
  <si>
    <t>A buried cable that transmits communication signals.</t>
  </si>
  <si>
    <t>For example, telephone, telegraph, television cable, fibre optic, and digital communications.</t>
  </si>
  <si>
    <t>BurCode_telecommunication</t>
  </si>
  <si>
    <t>A buried pipe used for transport (supply) of potable water.</t>
  </si>
  <si>
    <t>BurCode_water</t>
  </si>
  <si>
    <t>difficult</t>
  </si>
  <si>
    <t>Difficult</t>
  </si>
  <si>
    <t>Obstacle can be crossed within 2 kilometres of feature, work required.</t>
  </si>
  <si>
    <t>BccCode_difficult</t>
  </si>
  <si>
    <t>easy</t>
  </si>
  <si>
    <t>Easy</t>
  </si>
  <si>
    <t>Obstacle can be crossed within 2 kilometres of feature, no work.</t>
  </si>
  <si>
    <t>BccCode_easy</t>
  </si>
  <si>
    <t>impossible</t>
  </si>
  <si>
    <t>Impossible</t>
  </si>
  <si>
    <t>Obstacle can not be bypassed within 2 kilometres of feature.</t>
  </si>
  <si>
    <t>BccCode_impossible</t>
  </si>
  <si>
    <t>animalFeed</t>
  </si>
  <si>
    <t>Animal Feed</t>
  </si>
  <si>
    <t>Food intended for animals.</t>
  </si>
  <si>
    <t>PbyCode_animalFeed</t>
  </si>
  <si>
    <t>ash</t>
  </si>
  <si>
    <t>Ash</t>
  </si>
  <si>
    <t>The powdery residue, composed chiefly of earthy or mineral particles, left after the combustion of any substance.</t>
  </si>
  <si>
    <t>PbyCode_ash</t>
  </si>
  <si>
    <t>cinders</t>
  </si>
  <si>
    <t>Cinders</t>
  </si>
  <si>
    <t>Residual pieces of combustible matter (for example: coal or wood) that has ceased to flame but has still combustible matter in them.</t>
  </si>
  <si>
    <t>PbyCode_cinders</t>
  </si>
  <si>
    <t>distilledWater</t>
  </si>
  <si>
    <t>Distilled Water</t>
  </si>
  <si>
    <t>Water from which all contaminants have been removed through a process of distillation.</t>
  </si>
  <si>
    <t>PbyCode_distilledWater</t>
  </si>
  <si>
    <t>A gaseous hydrocarbon or hydrocarbon mixture that a suitable for burning in order to provide heat, light, or power.</t>
  </si>
  <si>
    <t>PbyCode_gas</t>
  </si>
  <si>
    <t>manure</t>
  </si>
  <si>
    <t>Manure</t>
  </si>
  <si>
    <t>Dung or compost (to be) spread over or mixed with soil to fertilize it.</t>
  </si>
  <si>
    <t>PbyCode_manure</t>
  </si>
  <si>
    <t>matte</t>
  </si>
  <si>
    <t>Matte</t>
  </si>
  <si>
    <t>A mixture of impure metal sulphides produced during the smelting of sulphide ores (for example: of copper or nickel).</t>
  </si>
  <si>
    <t>PbyCode_matte</t>
  </si>
  <si>
    <t>metal</t>
  </si>
  <si>
    <t>Metal</t>
  </si>
  <si>
    <t>Any of the class of substances that are characteristically lustrous, ductile, fusible, malleable solids and are good conductors of heat and electricity.</t>
  </si>
  <si>
    <t>For example, gold, silver, copper, iron, lead, tin, and certain alloys (as brass and bronze).</t>
  </si>
  <si>
    <t>PbyCode_metal</t>
  </si>
  <si>
    <t>Soft wet soil, sand, dust, and/or other earthy matter.</t>
  </si>
  <si>
    <t>Also, the hard ground produced by the drying of an area of mud.</t>
  </si>
  <si>
    <t>Mire</t>
  </si>
  <si>
    <t>PbyCode_mud</t>
  </si>
  <si>
    <t>noByproduct</t>
  </si>
  <si>
    <t>No Byproduct</t>
  </si>
  <si>
    <t>No byproduct is produced.</t>
  </si>
  <si>
    <t>PbyCode_noByproduct</t>
  </si>
  <si>
    <t>radioactiveMaterial</t>
  </si>
  <si>
    <t>Radioactive Material</t>
  </si>
  <si>
    <t>Any material or combination of materials which spontaneously emits ionizing radiation (for example: nuclear particles and/or gamma rays).</t>
  </si>
  <si>
    <t>PbyCode_radioactiveMaterial</t>
  </si>
  <si>
    <t>refuse</t>
  </si>
  <si>
    <t>Refuse</t>
  </si>
  <si>
    <t>Waste material that is thrown away as worthless.</t>
  </si>
  <si>
    <t>Waste, Trash</t>
  </si>
  <si>
    <t>PbyCode_refuse</t>
  </si>
  <si>
    <t>rubble</t>
  </si>
  <si>
    <t>Rubble</t>
  </si>
  <si>
    <t>The debris (for example: waste fragments of masonry) of decayed or demolished buildings and/or other structures.</t>
  </si>
  <si>
    <t>PbyCode_rubble</t>
  </si>
  <si>
    <t>sawdust</t>
  </si>
  <si>
    <t>Sawdust</t>
  </si>
  <si>
    <t>Wood in a state of small particles, produced (as) in sawing.</t>
  </si>
  <si>
    <t>PbyCode_sawdust</t>
  </si>
  <si>
    <t>scrapMetal</t>
  </si>
  <si>
    <t>Scrap-metal</t>
  </si>
  <si>
    <t>Discarded metal for reprocessing.</t>
  </si>
  <si>
    <t>PbyCode_scrapMetal</t>
  </si>
  <si>
    <t>Waste, especially excremental, matter conveyed in sewers.</t>
  </si>
  <si>
    <t>PbyCode_sewage</t>
  </si>
  <si>
    <t>silt</t>
  </si>
  <si>
    <t>Silt</t>
  </si>
  <si>
    <t>Material consisting of particles whose sizes fall within a specified range (typically 0.002-0.06 millimetres) between those of sand and clay.</t>
  </si>
  <si>
    <t>PbyCode_silt</t>
  </si>
  <si>
    <t>slag</t>
  </si>
  <si>
    <t>Slag</t>
  </si>
  <si>
    <t>Stony material composed of waste matter or dross separated from metals during smelting or refining.</t>
  </si>
  <si>
    <t>Also any similar waste product resulting from the fusion of other substances.</t>
  </si>
  <si>
    <t>PbyCode_slag</t>
  </si>
  <si>
    <t>sludge</t>
  </si>
  <si>
    <t>Sludge</t>
  </si>
  <si>
    <t>A muddy or slimy matter or deposit consisting of a thick suspension of fine particles or gel in a liquid, especially one formed as waste in any of various industrial and mechanical processes.</t>
  </si>
  <si>
    <t>PbyCode_sludge</t>
  </si>
  <si>
    <t>spoil</t>
  </si>
  <si>
    <t>Spoil</t>
  </si>
  <si>
    <t>Rocky or soil-like material resulting from excavating, mining, dredging, and/or processing activities.</t>
  </si>
  <si>
    <t>Spoil from mining activities is known as 'Tailings'.</t>
  </si>
  <si>
    <t>Tailing</t>
  </si>
  <si>
    <t>PbyCode_spoil</t>
  </si>
  <si>
    <t>woodChips</t>
  </si>
  <si>
    <t>Wood Chips</t>
  </si>
  <si>
    <t>Pieces of wood separated by a cutting instrument, usually in large volume.</t>
  </si>
  <si>
    <t>For example, chips for use in manufacturing pressed board.</t>
  </si>
  <si>
    <t>PbyCode_woodChips</t>
  </si>
  <si>
    <t>woodFragments</t>
  </si>
  <si>
    <t>Wood Fragments</t>
  </si>
  <si>
    <t>Small fragments of wood, produced either intentionally (for example: chips for use in manufacturing pressed board) or as a waste (for example: dust made by sawing timber).</t>
  </si>
  <si>
    <t>PbyCode_woodFragments</t>
  </si>
  <si>
    <t>mountainCatenary</t>
  </si>
  <si>
    <t>Mountain Catenary</t>
  </si>
  <si>
    <t>The cable is suspended between pylons located at significantly dissimilar elevations, and sometimes irregular spacings, thus forming asymmetric catenary curves of varying depth and shape.</t>
  </si>
  <si>
    <t>TstCode_mountainCatenary</t>
  </si>
  <si>
    <t>overwaterCatenary</t>
  </si>
  <si>
    <t>Overwater Catenary</t>
  </si>
  <si>
    <t>The cable is suspended between pylons located at similar elevations but with unusually long spacings, thus forming symmetric catenary curves of unusual depth.</t>
  </si>
  <si>
    <t>TstCode_overwaterCatenary</t>
  </si>
  <si>
    <t>symmetricCatenary</t>
  </si>
  <si>
    <t>Symmetric Catenary</t>
  </si>
  <si>
    <t>The cable is suspended between pylons located at similar elevations and regular spacings, thus forming symmetric catenary curves of regular depth.</t>
  </si>
  <si>
    <t>TstCode_symmetricCatenary</t>
  </si>
  <si>
    <t>barrier</t>
  </si>
  <si>
    <t>Barrier</t>
  </si>
  <si>
    <t>A cable that is a barrier to movement.</t>
  </si>
  <si>
    <t>For example, cable gates, cable fences and guard rail cables. Cable fences are a thick cable or cables securely locked across a vehicle access to prevent or control entry or exit providing a physical barrier against unauthorized vehicles and cable fences which usually consist of cables stretched between anchor posts. Cable fences are used primarily for confinement areas, such as holding pens, feed lots and corrals but may also be installed along hillside slopes to reduce the risk of rocks falling onto roadways. Additionally, they may be installed in areas to prevent vehicular traffic access for security or safety reasons. Guard rail cables are a cable or cables erected along a road used to prevent vehicles from leaving the roadway.</t>
  </si>
  <si>
    <t>Confinement</t>
  </si>
  <si>
    <t>CabCode_barrier</t>
  </si>
  <si>
    <t>cableway</t>
  </si>
  <si>
    <t>A cable suspended above the ground that transports people, goods or equipment.</t>
  </si>
  <si>
    <t>Carrier units are attached to the cable. For example, a ski lift.</t>
  </si>
  <si>
    <t>CabCode_cableway</t>
  </si>
  <si>
    <t>communicationLine</t>
  </si>
  <si>
    <t>CabCode_communicationLine</t>
  </si>
  <si>
    <t>digitalCommunicationLine</t>
  </si>
  <si>
    <t>Digital Communication Line</t>
  </si>
  <si>
    <t>A cable that transmits digital signals.</t>
  </si>
  <si>
    <t>May use either electrical (for example: T1 or T3) or optical (for example: fibre-optic) means.</t>
  </si>
  <si>
    <t>CabCode_digitalCommunicationLine</t>
  </si>
  <si>
    <t>fibreOptic</t>
  </si>
  <si>
    <t>Fibre-optic</t>
  </si>
  <si>
    <t>CabCode_fibreOptic</t>
  </si>
  <si>
    <t>guide</t>
  </si>
  <si>
    <t>Guide</t>
  </si>
  <si>
    <t>A cable that is used to guide or direct a moving object.</t>
  </si>
  <si>
    <t>For example, a cable or a set of cables connected to opposite shores that are used to guide or propell a cable ferry across a body of water. Older ferries may be moved by poling, by currents or by people pulling the ferry along the stationary cable. Modern cable ferries use a winch either located on the vessel or on shore to propel it across the waterbody. A cable ferry usually operates on narrow rivers that have little or no marine traffic.</t>
  </si>
  <si>
    <t>CabCode_guide</t>
  </si>
  <si>
    <t>loadBearing</t>
  </si>
  <si>
    <t>Load Bearing</t>
  </si>
  <si>
    <t>A cable that functions to suspend and/or support an object or part of an object.</t>
  </si>
  <si>
    <t>For example, the suspension cables and the suspenders that constitute the suspension mechanism supporting a bridge deck on a suspension bridge, or the supporting cables on a cable stayed bridge.</t>
  </si>
  <si>
    <t>CabCode_loadBearing</t>
  </si>
  <si>
    <t>powerDistributionLine</t>
  </si>
  <si>
    <t>Power Distribution Line</t>
  </si>
  <si>
    <t>A cable that distributes electrical power over a localized area.</t>
  </si>
  <si>
    <t>Typically in a localized power network, connecting from secondary substations and/or transformer yards and and then terminating at individual facilities, buildings, or structures.</t>
  </si>
  <si>
    <t>CabCode_powerDistributionLine</t>
  </si>
  <si>
    <t>powerTransmissionLine</t>
  </si>
  <si>
    <t>Power Transmission Line</t>
  </si>
  <si>
    <t>A cable that transmits electrical power over long distances.</t>
  </si>
  <si>
    <t>Typically at a high voltage and suspended in the air on pylons, connecting from primary power generation facilities and/or substations and then terminating at secondary substations and/or transformer yards for further distribution of electric power within the network.</t>
  </si>
  <si>
    <t>CabCode_powerTransmissionLine</t>
  </si>
  <si>
    <t>restraining</t>
  </si>
  <si>
    <t>Restraining</t>
  </si>
  <si>
    <t>A cable that restrains an object so as to prevent movement altogether.</t>
  </si>
  <si>
    <t>For example, a guy wire that is a tensioned cable used for holding a structure in position or to add stability.</t>
  </si>
  <si>
    <t>CabCode_restraining</t>
  </si>
  <si>
    <t>A cable that transmits telegraph signals.</t>
  </si>
  <si>
    <t>CabCode_telegraph</t>
  </si>
  <si>
    <t>A cable that transmits telephone signals.</t>
  </si>
  <si>
    <t>CabCode_telephone</t>
  </si>
  <si>
    <t>tethering</t>
  </si>
  <si>
    <t>Tethering</t>
  </si>
  <si>
    <t>A cable that restrains or limits the movement of an object by connecting it to an anchoring mechanism.</t>
  </si>
  <si>
    <t>For example, a cable tethering a balloon, an anchor trot or a buoy.</t>
  </si>
  <si>
    <t>CabCode_tethering</t>
  </si>
  <si>
    <t>towing</t>
  </si>
  <si>
    <t>Towing</t>
  </si>
  <si>
    <t>A cable that provides an object with the means of moving not under its own power.</t>
  </si>
  <si>
    <t>For example, as used by cable cars and cable railroads. Cable cars are a type of streetcar that is pulled along by a continuously moving cable running at a steady speed under the street. The cable is gripped with a vise-like apparatus that is operated via a grip lever in the front of the cable car. Cable cars stop and start by releasing and gripping the cable as necessary. A cable railway is a steeply graded railway that uses a cable or rope to haul trains up a hillside which is too steep for the railway to climb unassisted. It consists of a track along which cars are pulled by a moving cable that is operated by a stationary engine. The majority of cable railways are used in industrial areas, including quarries and mines.</t>
  </si>
  <si>
    <t>Propulsion</t>
  </si>
  <si>
    <t>CabCode_towing</t>
  </si>
  <si>
    <t>aerialTramway</t>
  </si>
  <si>
    <t>Aerial Tramway</t>
  </si>
  <si>
    <t>A cableway consisting of two or more loops of cable and two passenger cabins where one of the cables is always fixed and provides support for the cabins while the second cable moves the cabins (for example: up or down a mountain).</t>
  </si>
  <si>
    <t>The second cable is usually driven by an electric motor and is connected to the cabins by means of a grip. They differ from gondola lifts in that the latter use several smaller cabins circulating on a looped cable.</t>
  </si>
  <si>
    <t>CatCode_aerialTramway</t>
  </si>
  <si>
    <t>chairLift</t>
  </si>
  <si>
    <t>Chair-lift</t>
  </si>
  <si>
    <t>An aerial lift that consists of a constantly moving loop of steel cable strung between two end terminals and generally over intermediate towers.</t>
  </si>
  <si>
    <t>Ubiquitous at ski areas, and can also be found at amusement parks, and various tourist attractions.</t>
  </si>
  <si>
    <t>CatCode_chairLift</t>
  </si>
  <si>
    <t>gondolaLift</t>
  </si>
  <si>
    <t>Gondola Lift</t>
  </si>
  <si>
    <t>An aerial lift that consists of a loop of steel cable that is strung between two stations, preferably over intermedate supporting towers from which is suspended gondolas that circulate between the stations.</t>
  </si>
  <si>
    <t>The cable is driven by a bullwheel in the terminal, which is connected to an engine, which is usually electric. They differ from aerial tramways in that the latter consist only of one or two usually larger cabins, moving up and down, not circulating.</t>
  </si>
  <si>
    <t>Cable Car</t>
  </si>
  <si>
    <t>CatCode_gondolaLift</t>
  </si>
  <si>
    <t>industrialRopeway</t>
  </si>
  <si>
    <t>Industrial Ropeway</t>
  </si>
  <si>
    <t>A system of overhead cables from which containers (for example: buckets or cars) are suspended and moved between locations at an industrial facility (for example: from a mine to a processing facility).</t>
  </si>
  <si>
    <t>CatCode_industrialRopeway</t>
  </si>
  <si>
    <t>materialTramway</t>
  </si>
  <si>
    <t>Material Tramway</t>
  </si>
  <si>
    <t>An overhead cable used as transportation method to carry equipment and food across diffficult terrain (for example: up steep mountains or across fast moving rivers).</t>
  </si>
  <si>
    <t>CatCode_materialTramway</t>
  </si>
  <si>
    <t>skiTow</t>
  </si>
  <si>
    <t>Ski Tow</t>
  </si>
  <si>
    <t>A mechanised system for pulling skiers uphill, usually consisting of a long rope loop that skiers grab and are pulled along while standing on their skis (or snowboard).</t>
  </si>
  <si>
    <t>The rope runs over a series of wheels and is usually powered by an engine at the upper end.</t>
  </si>
  <si>
    <t>Rope Tow</t>
  </si>
  <si>
    <t>CatCode_skiTow</t>
  </si>
  <si>
    <t>teeBarLift</t>
  </si>
  <si>
    <t>T-bar Lift</t>
  </si>
  <si>
    <t>A mechanised system for pulling skiers uphill consisting of an aerial steel rope loop from which are hanging equally-spaced vertical cables attached to a plastic T-shaped bar that is placed between the skier's or snowboarder's legs, thus pulling the skier or snowboarder uphill.</t>
  </si>
  <si>
    <t>The rope runs over a series of wheels and is usually powered by an engine at the upper end. A T-bar can lift a maximum of two people at a time per T-bar.</t>
  </si>
  <si>
    <t>T-bar</t>
  </si>
  <si>
    <t>CatCode_teeBarLift</t>
  </si>
  <si>
    <t>collateralEvidence</t>
  </si>
  <si>
    <t>Collateral Evidence</t>
  </si>
  <si>
    <t>Forms of evidence for the spatial location of a property which are supplemental to official surveying documents.</t>
  </si>
  <si>
    <t>For example: acts and testimony of interested landowners, competent surveyors, other qualified local authorities or some acceptable record evidence that may be used along with other evidence in identifying the true original position of a corner or boundary.</t>
  </si>
  <si>
    <t>CdyCode_collateralEvidence</t>
  </si>
  <si>
    <t>fieldNotes</t>
  </si>
  <si>
    <t>Field Notes</t>
  </si>
  <si>
    <t>The official written record of the survey, certified by the field surveyor and approved by proper authority.</t>
  </si>
  <si>
    <t>Field notes are transcribed from notebooks called "field tablets" in which the initial information is recorded in the field.</t>
  </si>
  <si>
    <t>CdyCode_fieldNotes</t>
  </si>
  <si>
    <t>fieldSketch</t>
  </si>
  <si>
    <t>Field Sketch</t>
  </si>
  <si>
    <t>A drawing of a tract of land, including the length of each border line and indications of intersecting fences, roads, and streams.</t>
  </si>
  <si>
    <t>A field sketch may be included with field notes.</t>
  </si>
  <si>
    <t>CdyCode_fieldSketch</t>
  </si>
  <si>
    <t>gnssSurvey</t>
  </si>
  <si>
    <t>GNSS Survey</t>
  </si>
  <si>
    <t>A survey performed with positioning tools that use the Global Navigation Satellite System (GNSS) in order to establish coordinates and determine boundaries.</t>
  </si>
  <si>
    <t>GNSS-based technologies may be used in conjunction with traditional land survey methods (and permanent survey marks) or independently. GNSS technology may be used to establish or verify the coordinates of survey marks used in traditional surveying. GNSS receivers may be used to establish points without reference to traditional survey marks. A higher accuracy for standalone GNSS positioning tools is achieved using GNSS signals together with CORS (Continuously Operating Reference Stations) to establish land survey data associated with the geodetic datum.</t>
  </si>
  <si>
    <t>CdyCode_gnssSurvey</t>
  </si>
  <si>
    <t>officialCadastralSurvey</t>
  </si>
  <si>
    <t>Official Cadastral Survey</t>
  </si>
  <si>
    <t>A survey that has been accepted and the plat thereof has been filed in the appropriate land office by direction of the relevant authority.</t>
  </si>
  <si>
    <t>CdyCode_officialCadastralSurvey</t>
  </si>
  <si>
    <t>orthophoto</t>
  </si>
  <si>
    <t>Orthophoto</t>
  </si>
  <si>
    <t>A rectified aerial photograph which has a uniform scale and may be used to measure distances or as a base map to overlay additional information.</t>
  </si>
  <si>
    <t>The rectification process removes the effects of tilt and relief from the original aerial photograph.</t>
  </si>
  <si>
    <t>CdyCode_orthophoto</t>
  </si>
  <si>
    <t>plat</t>
  </si>
  <si>
    <t>Plat</t>
  </si>
  <si>
    <t>A drawing that represents the particular area included in a survey, such as a township, private land claim, or mineral claim, and the lines surveyed, established, retraced or resurveyed, showing: the direction and length of each such line; the relation to the adjoining official surveys; the boundaries, descriptions, and area of each parcel of land subdivided; and, as nearly as may be practicable, a representation of the relief and improvements within the limits of the survey.</t>
  </si>
  <si>
    <t>CdyCode_plat</t>
  </si>
  <si>
    <t>relativeMeasurement</t>
  </si>
  <si>
    <t>Relative Measurement</t>
  </si>
  <si>
    <t>A description of a land parcel using physical features of the land, with instructions regarding directions and distances, to indicate the boundaries of the parcel.</t>
  </si>
  <si>
    <t>Such a "metes and bounds" description uses physical features (which may include trees, rocks, stream bed, roads, posts, and other items found in the vicinity of a property) instead of special-purpose permanent survey monuments to indicate corners and boundaries.</t>
  </si>
  <si>
    <t>CdyCode_relativeMeasurement</t>
  </si>
  <si>
    <t>resurvey</t>
  </si>
  <si>
    <t>Resurvey</t>
  </si>
  <si>
    <t>The work products of a survey performed to reestablish or restore land boundaries and subdivisions by the rerunning and remaking of the lines that were represented in the field-note record and on the plat of the previous official survey, and which includes the field-note record of the retracement data, observations, measurements, and monuments descriptive of the work performed, and a plat that represents the resurvey.</t>
  </si>
  <si>
    <t>A resurvey may be performed to confirm, correct, or complete the determination of the boundaries and extent of a property, subject to the approval of the directing authority.</t>
  </si>
  <si>
    <t>CdyCode_resurvey</t>
  </si>
  <si>
    <t>survey</t>
  </si>
  <si>
    <t>Survey</t>
  </si>
  <si>
    <t>The plat and the field-note record of the observations, measurements, and monuments descriptive of the work performed.</t>
  </si>
  <si>
    <t>Surveying is the process of recording observations, making measurements, and marking the boundaries of tracts of lands.</t>
  </si>
  <si>
    <t>CdyCode_survey</t>
  </si>
  <si>
    <t>tenureMap</t>
  </si>
  <si>
    <t>Tenure Map</t>
  </si>
  <si>
    <t>A document in which customary use rights to land and land-related resources are marked against locations on a map.</t>
  </si>
  <si>
    <t>An aerial photo or sketch may serve as the map. A tenure map is typically the product of a customary land delimitation process in which occupants participate. A tenure map may be used to indicate rights to resources within the customary-tenure area (or 'tenure shell').</t>
  </si>
  <si>
    <t>CdyCode_tenureMap</t>
  </si>
  <si>
    <t>topographicMap</t>
  </si>
  <si>
    <t>Topographic Map</t>
  </si>
  <si>
    <t>A map that uses contour lines to portray the shape and elevation of land on a two-dimensional surface, and which represents and names both natural and man-made features.</t>
  </si>
  <si>
    <t>CdyCode_topographicMap</t>
  </si>
  <si>
    <t>usePlat</t>
  </si>
  <si>
    <t>Use Plat</t>
  </si>
  <si>
    <t>A copy of the master title plat (and any supplemental master title plats) of a township or other administrative area, showing additional information concerning use of the lands, such as applications, leases and permits.</t>
  </si>
  <si>
    <t>CdyCode_usePlat</t>
  </si>
  <si>
    <t>video</t>
  </si>
  <si>
    <t>Video</t>
  </si>
  <si>
    <t>A video record of a property that documents its extent or improvements.</t>
  </si>
  <si>
    <t>CdyCode_video</t>
  </si>
  <si>
    <t>artificial</t>
  </si>
  <si>
    <t>Artificial</t>
  </si>
  <si>
    <t>Any material or substance that is produced for the purpose of camouflaging or natural materials that are moved from their original location in order to disguise.</t>
  </si>
  <si>
    <t>Artificial camouflage may include walls, burlap, nets, paint, or natural material that has been moved from its original location.</t>
  </si>
  <si>
    <t>CmeCode_artificial</t>
  </si>
  <si>
    <t>natural</t>
  </si>
  <si>
    <t>Natural</t>
  </si>
  <si>
    <t>Camouflage techniques which take advantage of the immediate natural environment.</t>
  </si>
  <si>
    <t>Natural camouflage uses vegetation or natural objects that are native to the given area. Natural camouflage includes such things as bushes, grass, leaves, trees, rocks and shadows.</t>
  </si>
  <si>
    <t>CmeCode_natural</t>
  </si>
  <si>
    <t>breakbulk</t>
  </si>
  <si>
    <t>Breakbulk</t>
  </si>
  <si>
    <t>Cargo that is not carried in containers and is not shipped as liquid or dry bulk.</t>
  </si>
  <si>
    <t>Non-containerized general cargo may be packed (for example: in cases, bales, cartons, drums, or carboys) or individually stowed (for example: iron, steel, or machinery).</t>
  </si>
  <si>
    <t>CtyCode_breakbulk</t>
  </si>
  <si>
    <t>bulk</t>
  </si>
  <si>
    <t>Bulk</t>
  </si>
  <si>
    <t>Cargo that is made up of an unpacked commodity.</t>
  </si>
  <si>
    <t>For example, grain, oil, or ore.</t>
  </si>
  <si>
    <t>CtyCode_bulk</t>
  </si>
  <si>
    <t>container</t>
  </si>
  <si>
    <t>Container</t>
  </si>
  <si>
    <t>Cargo that is packed in a reusable, rigid, exterior 'box' in which merchandise is shipped (for example: by air, vessel, truck, and/or rail).</t>
  </si>
  <si>
    <t>CtyCode_container</t>
  </si>
  <si>
    <t>heavyLift</t>
  </si>
  <si>
    <t>Heavy Lift</t>
  </si>
  <si>
    <t>Cargo in the form of very large objects that require special handling.</t>
  </si>
  <si>
    <t>Some types may be capable of floating (for example: oil platforms or damaged vessels) and the transport vessel may be semi-submerged in order to load and un-load.</t>
  </si>
  <si>
    <t>CtyCode_heavyLift</t>
  </si>
  <si>
    <t>roRo</t>
  </si>
  <si>
    <t>Ro-Ro</t>
  </si>
  <si>
    <t>Cargo that rolls on wheels (for example: vehicles and trailers) and is driven onto the transport (for example: vessel deck and/or railway flatbed wagon) and later driven off.</t>
  </si>
  <si>
    <t>CtyCode_roRo</t>
  </si>
  <si>
    <t>tanker</t>
  </si>
  <si>
    <t>Tanker</t>
  </si>
  <si>
    <t>Cargo that is shipped in liquid bulk (for example: oil or liquefied natural gas).</t>
  </si>
  <si>
    <t>CtyCode_tanker</t>
  </si>
  <si>
    <t>aeolian</t>
  </si>
  <si>
    <t>Aeolian</t>
  </si>
  <si>
    <t>Formed by wind blown abrasive particles striking a weak zone in the host rock.</t>
  </si>
  <si>
    <t>CtxCode_aeolian</t>
  </si>
  <si>
    <t>erosional</t>
  </si>
  <si>
    <t>Erosional</t>
  </si>
  <si>
    <t>Formed by flowing underground streams carrying rocks and other sediments attacking a fault or joint in the host rock.</t>
  </si>
  <si>
    <t>Can be formed in any type of rock.</t>
  </si>
  <si>
    <t>CtxCode_erosional</t>
  </si>
  <si>
    <t>glacier</t>
  </si>
  <si>
    <t>Formed when passages are created in the ice by melting water moving through or under glaciers.</t>
  </si>
  <si>
    <t>Steam or high heat flow can also form glacier caves. Some glacier caves are relatively unstable due to melting and glacial movement.</t>
  </si>
  <si>
    <t>CtxCode_glacier</t>
  </si>
  <si>
    <t>lava</t>
  </si>
  <si>
    <t>Lava</t>
  </si>
  <si>
    <t>Formed when the outer surface of a lava flow cools and hardens while the molten lava within continues to flow and ultimately drains away.</t>
  </si>
  <si>
    <t>Lava caves or tubes are called primary caves as they are formed at the same time as the surrounding rock.</t>
  </si>
  <si>
    <t>CtxCode_lava</t>
  </si>
  <si>
    <t>solution</t>
  </si>
  <si>
    <t>Solution</t>
  </si>
  <si>
    <t>Predominately formed in carbonate and sulphate rocks such as limestone, dolomite, marble, and gypsum by the action of slowly moving ground water that dissolves the rock to form tunnels, irregular passages, and caverns along bedding-planes, faults and joints.</t>
  </si>
  <si>
    <t>Caves can also form in other materials, including chalk, salt, granite, loess, sandstone and gypsum. The natural acids in groundwater assist in dissolving the rocks. Limestone caves are frequently adorned with formations such as, stalactites, stalagmites, soda straws and columns. Most of the caves in the world are solution cave. It takes geological epochs for cracks to expand into caves or cave systems.</t>
  </si>
  <si>
    <t>CtxCode_solution</t>
  </si>
  <si>
    <t>talus</t>
  </si>
  <si>
    <t>Talus</t>
  </si>
  <si>
    <t>Formed when rocks fall from a cliff creating chambers within the resulting boulder piles.</t>
  </si>
  <si>
    <t>CtxCode_talus</t>
  </si>
  <si>
    <t>waterbody</t>
  </si>
  <si>
    <t>Waterbody</t>
  </si>
  <si>
    <t>Formed by wave action, abrasive force of suspended sand and rock and compression of air within a weak zone or fracture in rock along the coastline of an ocean or large lake.</t>
  </si>
  <si>
    <t>Sea caves are found actively being formed along present coastlines and as relict sea caves alongside former coastlines.</t>
  </si>
  <si>
    <t>CtxCode_waterbody</t>
  </si>
  <si>
    <t>fixed0r25</t>
  </si>
  <si>
    <t>Fixed Cells, 0.25 Arc Degree</t>
  </si>
  <si>
    <t>A global geodetic grid consisting of 15 by 15 arc minute cells over land.</t>
  </si>
  <si>
    <t>A cell is identified by a string in the form '39N078W@', where '39N078W' specifies the lower-left (southwest corner), and where '@' is in the character range 'A' through 'P' with each individually denoting 1/16th of the base 1 by 1 arc degree cell. These sequence characters 'A' through 'P' are ordered left-to-right then bottom-to-top within the base cell; specifically, the southern-most row consists of {'A', 'B', 'C', 'D'} and the northern-most row consists of {'M', 'N', 'O', 'P'}.</t>
  </si>
  <si>
    <t>CpsCode_fixed0r25</t>
  </si>
  <si>
    <t>fixed0r5</t>
  </si>
  <si>
    <t>Fixed Cells, 0.5 Arc Degree</t>
  </si>
  <si>
    <t>A global geodetic grid consisting of 30 by 30 arc minute cells over land.</t>
  </si>
  <si>
    <t>A cell is identified by a string of the form '39N078W@@', where '@@' is one of {'NW', 'NE', 'SW', 'SE'} with each individually denoting 1/4th of the base 1 by 1 arc degree cell. These sequence characters indicate the northwestern, northeastern, southwestern, and southeastern quadrants of the base cell, respectively.</t>
  </si>
  <si>
    <t>CpsCode_fixed0r5</t>
  </si>
  <si>
    <t>fixed1r0</t>
  </si>
  <si>
    <t>Fixed Cells, 1 Arc Degree</t>
  </si>
  <si>
    <t>A global geodetic grid consisting of 1 by 1 arc degree cells.</t>
  </si>
  <si>
    <t>A cell is identified by a string of the form '39N078W', in the same format as used by Digital Topographic Elevation Data (DTED).</t>
  </si>
  <si>
    <t>CpsCode_fixed1r0</t>
  </si>
  <si>
    <t>fixed5r0</t>
  </si>
  <si>
    <t>Fixed Cells, 5 Arc Degree</t>
  </si>
  <si>
    <t>A global geodetic grid consisting of 5 by 5 arc degree cells.</t>
  </si>
  <si>
    <t>A cell is identified by a string of the form 'N15E120'.</t>
  </si>
  <si>
    <t>CpsCode_fixed5r0</t>
  </si>
  <si>
    <t>variable</t>
  </si>
  <si>
    <t>Variable Cells</t>
  </si>
  <si>
    <t>A geodetic grid consisting of variable-sized cells situated so as to cover the extent of a region of interest.</t>
  </si>
  <si>
    <t>A cell, bounded by specified meridians and parallels, is identified by a string of the form '-2588556:01', consisting of a series of digits and the minus ('-') and colon (':') characters. The string is divided into two components by the colon character, where the first part is the unique named feature identifier element (UFI) in the NGA Geographic Names Data Base (GNDB) designating the feature corresponding to the named region of interest; this designation consists of a series of digits, possibly prefixed by the minus character, with a maximum total length of 18 characters. The second part is a two digit unique identifier of a specific cell within that region of interest, generally assigned west-to-east and then north-to-south in ascending order starting with '01'. The extent of individual cells may vary within a region of interest in order to accommodate varying feature density but the overall result is a set of unique, continuous, non-overlapping, regions that completely cover the region of interest.</t>
  </si>
  <si>
    <t>CpsCode_variable</t>
  </si>
  <si>
    <t>That part of a marine channel that is designated as the preferred routeing.</t>
  </si>
  <si>
    <t>ChtCode_fairway</t>
  </si>
  <si>
    <t>lagoonalChannel</t>
  </si>
  <si>
    <t>Lagoonal Channel</t>
  </si>
  <si>
    <t>That part of a lagoon having water deep enough for navigation between potential hazards (for example: sand banks or reefs).</t>
  </si>
  <si>
    <t>Lagoons are usually enclosed by a barrier reef or atoll.</t>
  </si>
  <si>
    <t>ChtCode_lagoonalChannel</t>
  </si>
  <si>
    <t>lakeChannel</t>
  </si>
  <si>
    <t>Lake Channel</t>
  </si>
  <si>
    <t>That part of a lake having water deep enough for navigation between potential hazards (for example: islands or shoals).</t>
  </si>
  <si>
    <t>ChtCode_lakeChannel</t>
  </si>
  <si>
    <t>marineChannel</t>
  </si>
  <si>
    <t>Marine Channel</t>
  </si>
  <si>
    <t>That part of a body of water deep enough for navigation through an area otherwise not suitable.</t>
  </si>
  <si>
    <t>The channel may extend through inland waters but is capable of being transited by ocean-going vessels and has access to the sea.</t>
  </si>
  <si>
    <t>ChtCode_marineChannel</t>
  </si>
  <si>
    <t>riverChannel</t>
  </si>
  <si>
    <t>River Channel</t>
  </si>
  <si>
    <t>That part of a river (sometimes dredged) deep enough for navigation and through which the main current flows.</t>
  </si>
  <si>
    <t>ChtCode_riverChannel</t>
  </si>
  <si>
    <t>borderCrossingOfficial</t>
  </si>
  <si>
    <t>Border Crossing (Official)</t>
  </si>
  <si>
    <t>A checkpoint at a crossing to enter or exit a country, that is recognised by both concerned governments.</t>
  </si>
  <si>
    <t>BcpCode_borderCrossingOfficial</t>
  </si>
  <si>
    <t>borderCrossingUnofficial</t>
  </si>
  <si>
    <t>Border Crossing (Unofficial)</t>
  </si>
  <si>
    <t>A checkpoint at a crossing to enter or exit a country, that is not recognised by both concerned governments.</t>
  </si>
  <si>
    <t>BcpCode_borderCrossingUnofficial</t>
  </si>
  <si>
    <t>customsCheckpoint</t>
  </si>
  <si>
    <t>Customs Checkpoint</t>
  </si>
  <si>
    <t>Serves as a government checkpoint where customs duties are collected, the flow of goods are regulated and restrictions enforced, and shipments or vehicles are cleared for entering or leaving a country.</t>
  </si>
  <si>
    <t>BcpCode_customsCheckpoint</t>
  </si>
  <si>
    <t>immigration</t>
  </si>
  <si>
    <t>Immigration</t>
  </si>
  <si>
    <t>A checkpoint for the regulation of the movement of people between States.</t>
  </si>
  <si>
    <t>BcpCode_immigration</t>
  </si>
  <si>
    <t>insurgentCheckpoint</t>
  </si>
  <si>
    <t>Insurgent Checkpoint</t>
  </si>
  <si>
    <t>Set up and controlled by insurgent armed forces.</t>
  </si>
  <si>
    <t>BcpCode_insurgentCheckpoint</t>
  </si>
  <si>
    <t>nationalMilitaryCheckpoint</t>
  </si>
  <si>
    <t>National Military Checkpoint</t>
  </si>
  <si>
    <t>Set up by national military to regulate the flow of goods and people and enforce restrictions.</t>
  </si>
  <si>
    <t>BcpCode_nationalMilitaryCheckpoint</t>
  </si>
  <si>
    <t>nonMilitarySecurityForcesCheckpoint</t>
  </si>
  <si>
    <t>Non-military Security Forces Checkpoint</t>
  </si>
  <si>
    <t>Set up by an official non-military security force (for example: police).</t>
  </si>
  <si>
    <t>BcpCode_nonMilitarySecurityForcesCheckpoint</t>
  </si>
  <si>
    <t>nonNatMilitaryCheckpoint</t>
  </si>
  <si>
    <t>Non-national Military Checkpoint</t>
  </si>
  <si>
    <t>Set up by non-national military to regulate the flow of goods and people and enforce restrictions.</t>
  </si>
  <si>
    <t>Includes NATO crossings.</t>
  </si>
  <si>
    <t>BcpCode_nonNatMilitaryCheckpoint</t>
  </si>
  <si>
    <t>aluminum</t>
  </si>
  <si>
    <t>Aluminum (Al)</t>
  </si>
  <si>
    <t>A silvery, light weight, malleable metal.</t>
  </si>
  <si>
    <t>Aluminum is nontoxic (as the metal), nonmagnetic and nonsparking.</t>
  </si>
  <si>
    <t>EleCode_aluminum</t>
  </si>
  <si>
    <t>antimony</t>
  </si>
  <si>
    <t>Antimony (Sb)</t>
  </si>
  <si>
    <t>A hard brittle bluish-white metal.</t>
  </si>
  <si>
    <t>EleCode_antimony</t>
  </si>
  <si>
    <t>arsenic</t>
  </si>
  <si>
    <t>Arsenic (As)</t>
  </si>
  <si>
    <t>A gray brittle metalloid (semi-metallic) flakes.</t>
  </si>
  <si>
    <t>Arsenic tarnishes in air, and when heated rapidly oxidises to arsenous oxide.</t>
  </si>
  <si>
    <t>EleCode_arsenic</t>
  </si>
  <si>
    <t>barium</t>
  </si>
  <si>
    <t>Barium (Ba)</t>
  </si>
  <si>
    <t>A soft heavy silver colored metal.</t>
  </si>
  <si>
    <t>Barium oxidises very easily.</t>
  </si>
  <si>
    <t>EleCode_barium</t>
  </si>
  <si>
    <t>berylium</t>
  </si>
  <si>
    <t>Berylium (Be)</t>
  </si>
  <si>
    <t>A strong, hard, grey-white metal.</t>
  </si>
  <si>
    <t>Lightest rigid metal.</t>
  </si>
  <si>
    <t>EleCode_berylium</t>
  </si>
  <si>
    <t>bismuth</t>
  </si>
  <si>
    <t>Bismuth (Bi)</t>
  </si>
  <si>
    <t>A brittle white metal with a pink tint.</t>
  </si>
  <si>
    <t>Bismuth is the most diamagnetic of all metals, and the thermal conductivity is lower than any metal, except mercury.</t>
  </si>
  <si>
    <t>EleCode_bismuth</t>
  </si>
  <si>
    <t>boron</t>
  </si>
  <si>
    <t>Boron (B)</t>
  </si>
  <si>
    <t>A yellow-brown non-metallic crystal.</t>
  </si>
  <si>
    <t>EleCode_boron</t>
  </si>
  <si>
    <t>bromine</t>
  </si>
  <si>
    <t>Bromine (Br)</t>
  </si>
  <si>
    <t>The only liquid nonmetallic element.</t>
  </si>
  <si>
    <t>It is a heavy, volatile, mobile, dangerous reddish-brown liquid that is a member of the halogen group.</t>
  </si>
  <si>
    <t>EleCode_bromine</t>
  </si>
  <si>
    <t>cadmium</t>
  </si>
  <si>
    <t>Cadmium (Cd)</t>
  </si>
  <si>
    <t>A silvery white transition metal.</t>
  </si>
  <si>
    <t>Cadmium and its compounds are highly toxic.</t>
  </si>
  <si>
    <t>EleCode_cadmium</t>
  </si>
  <si>
    <t>caesium</t>
  </si>
  <si>
    <t>Caesium (Cs)</t>
  </si>
  <si>
    <t>A soft light silvery-white alkali metal.</t>
  </si>
  <si>
    <t>Caesium reacts explosively with cold water.</t>
  </si>
  <si>
    <t>EleCode_caesium</t>
  </si>
  <si>
    <t>calcium</t>
  </si>
  <si>
    <t>Calcium (Ca)</t>
  </si>
  <si>
    <t>A silvery, soft metal.</t>
  </si>
  <si>
    <t>Calcium tarnishes to grayish white after exposure to air.</t>
  </si>
  <si>
    <t>EleCode_calcium</t>
  </si>
  <si>
    <t>carbon</t>
  </si>
  <si>
    <t>Carbon (C)</t>
  </si>
  <si>
    <t>A non-metal; in pure form as diamonds or graphite.</t>
  </si>
  <si>
    <t>EleCode_carbon</t>
  </si>
  <si>
    <t>cerium</t>
  </si>
  <si>
    <t>Cerium (Ce)</t>
  </si>
  <si>
    <t>A soft grey rare earth metal.</t>
  </si>
  <si>
    <t>Cerium is malleable, and oxidises very readily at room temperature, especially in moist air.</t>
  </si>
  <si>
    <t>EleCode_cerium</t>
  </si>
  <si>
    <t>chlorine</t>
  </si>
  <si>
    <t>Chlorine (Cl)</t>
  </si>
  <si>
    <t>A yellow-green halogen gas.</t>
  </si>
  <si>
    <t>EleCode_chlorine</t>
  </si>
  <si>
    <t>chromium</t>
  </si>
  <si>
    <t>Chromium (Cr)</t>
  </si>
  <si>
    <t>A hard brittle grey transition metal.</t>
  </si>
  <si>
    <t>EleCode_chromium</t>
  </si>
  <si>
    <t>cobalt</t>
  </si>
  <si>
    <t>Cobalt (Co)</t>
  </si>
  <si>
    <t>A tough silver-white transition metal.</t>
  </si>
  <si>
    <t>EleCode_cobalt</t>
  </si>
  <si>
    <t>copper</t>
  </si>
  <si>
    <t>Copper (Cu)</t>
  </si>
  <si>
    <t>A reddish orange transition metal.</t>
  </si>
  <si>
    <t>Copper is malleable, ductile, and a good conductor of heat and electricity.</t>
  </si>
  <si>
    <t>EleCode_copper</t>
  </si>
  <si>
    <t>fluorine</t>
  </si>
  <si>
    <t>Fluorine (F)</t>
  </si>
  <si>
    <t>A greenish-yellow halogen gas.</t>
  </si>
  <si>
    <t>EleCode_fluorine</t>
  </si>
  <si>
    <t>gallium</t>
  </si>
  <si>
    <t>Gallium (Ga)</t>
  </si>
  <si>
    <t>A soft silver-white metal.</t>
  </si>
  <si>
    <t>Properties similar to aluminum.</t>
  </si>
  <si>
    <t>EleCode_gallium</t>
  </si>
  <si>
    <t>germanium</t>
  </si>
  <si>
    <t>Germanium (Ge)</t>
  </si>
  <si>
    <t>A hard brittle greyish-white metalloid (semi-metallic).</t>
  </si>
  <si>
    <t>Germanium is stable in air and water. It is unaffected by acids (except HNO3) and alkalis.</t>
  </si>
  <si>
    <t>EleCode_germanium</t>
  </si>
  <si>
    <t>gold</t>
  </si>
  <si>
    <t>Gold (Au)</t>
  </si>
  <si>
    <t>A soft bright yellow transition metal.</t>
  </si>
  <si>
    <t>EleCode_gold</t>
  </si>
  <si>
    <t>indium</t>
  </si>
  <si>
    <t>Indium (In)</t>
  </si>
  <si>
    <t>A very soft, silvery-white metal with a brilliant lustre.</t>
  </si>
  <si>
    <t>EleCode_indium</t>
  </si>
  <si>
    <t>iridium</t>
  </si>
  <si>
    <t>Iridium (Ir)</t>
  </si>
  <si>
    <t>A heavy brittle white transition metal.</t>
  </si>
  <si>
    <t>Iridium is very hard and brittle.</t>
  </si>
  <si>
    <t>EleCode_iridium</t>
  </si>
  <si>
    <t>iron</t>
  </si>
  <si>
    <t>Iron (Fe)</t>
  </si>
  <si>
    <t>A lustrous, silvery metal.</t>
  </si>
  <si>
    <t>Iron easily rusts in damp air.</t>
  </si>
  <si>
    <t>EleCode_iron</t>
  </si>
  <si>
    <t>lanthanum</t>
  </si>
  <si>
    <t>Lanthanum (La)</t>
  </si>
  <si>
    <t>A soft silvery white transition metal.</t>
  </si>
  <si>
    <t>Lanthanum rapidly tarnishes in air. It will burn easily if ignited.</t>
  </si>
  <si>
    <t>EleCode_lanthanum</t>
  </si>
  <si>
    <t>lead</t>
  </si>
  <si>
    <t>Lead (Pb)</t>
  </si>
  <si>
    <t>A very soft bluish-white metal.</t>
  </si>
  <si>
    <t>Lead tarnishes in moist air.</t>
  </si>
  <si>
    <t>EleCode_lead</t>
  </si>
  <si>
    <t>lithium</t>
  </si>
  <si>
    <t>Lithium (Li)</t>
  </si>
  <si>
    <t>A soft silvery-white metal.</t>
  </si>
  <si>
    <t>Lightest of metals.</t>
  </si>
  <si>
    <t>EleCode_lithium</t>
  </si>
  <si>
    <t>magnesium</t>
  </si>
  <si>
    <t>Magnesium (Mg)</t>
  </si>
  <si>
    <t>A greyish-white metal.</t>
  </si>
  <si>
    <t>Magnesium reacts with hot water and burns in air when ignited.</t>
  </si>
  <si>
    <t>EleCode_magnesium</t>
  </si>
  <si>
    <t>manganese</t>
  </si>
  <si>
    <t>Manganese (Mn)</t>
  </si>
  <si>
    <t>A silver-grey transition metal with a pinkish tinge.</t>
  </si>
  <si>
    <t>EleCode_manganese</t>
  </si>
  <si>
    <t>mercury</t>
  </si>
  <si>
    <t>Mercury (Hg)</t>
  </si>
  <si>
    <t>A silver colored liquid transition metal.</t>
  </si>
  <si>
    <t>Quicksilver</t>
  </si>
  <si>
    <t>EleCode_mercury</t>
  </si>
  <si>
    <t>molybdenum</t>
  </si>
  <si>
    <t>Molybdenum (Mo)</t>
  </si>
  <si>
    <t>A hard silvery-white, hard, transition metal.</t>
  </si>
  <si>
    <t>EleCode_molybdenum</t>
  </si>
  <si>
    <t>nickel</t>
  </si>
  <si>
    <t>Nickel (Ni)</t>
  </si>
  <si>
    <t>A silvery-white transition metal.</t>
  </si>
  <si>
    <t>Nickel is malleable and ductile.</t>
  </si>
  <si>
    <t>EleCode_nickel</t>
  </si>
  <si>
    <t>niobium</t>
  </si>
  <si>
    <t>Niobium (Nb)</t>
  </si>
  <si>
    <t>A shiny white soft transition metal.</t>
  </si>
  <si>
    <t>Niobium resists corrosion due to an oxide film on its surface.</t>
  </si>
  <si>
    <t>EleCode_niobium</t>
  </si>
  <si>
    <t>osmium</t>
  </si>
  <si>
    <t>Osmium (Os)</t>
  </si>
  <si>
    <t>A fine black powder or hard blue-gray mass.</t>
  </si>
  <si>
    <t>Osmium has a pungent odor.</t>
  </si>
  <si>
    <t>EleCode_osmium</t>
  </si>
  <si>
    <t>palladium</t>
  </si>
  <si>
    <t>Palladium (Pd)</t>
  </si>
  <si>
    <t>Palladium does not tarnish in air.</t>
  </si>
  <si>
    <t>EleCode_palladium</t>
  </si>
  <si>
    <t>phosphorus</t>
  </si>
  <si>
    <t>Phosphorus (P)</t>
  </si>
  <si>
    <t>A non-metallic soft white waxy solid, brownish-red powder or black solid.</t>
  </si>
  <si>
    <t>EleCode_phosphorus</t>
  </si>
  <si>
    <t>platinum</t>
  </si>
  <si>
    <t>Platinum (Pt)</t>
  </si>
  <si>
    <t>A silver white transition metal.</t>
  </si>
  <si>
    <t>Platinum is when pure, malleable and ductile.</t>
  </si>
  <si>
    <t>EleCode_platinum</t>
  </si>
  <si>
    <t>potassium</t>
  </si>
  <si>
    <t>Potassium (K)</t>
  </si>
  <si>
    <t>A very soft silvery metal.</t>
  </si>
  <si>
    <t>Potassium quickly oxidizes to white in air and reacts violently in water.</t>
  </si>
  <si>
    <t>EleCode_potassium</t>
  </si>
  <si>
    <t>rhenium</t>
  </si>
  <si>
    <t>Rhenium (Re)</t>
  </si>
  <si>
    <t>A rare and expensive silver white metal.</t>
  </si>
  <si>
    <t>Rhenium is usually obtained as a grey powder.</t>
  </si>
  <si>
    <t>EleCode_rhenium</t>
  </si>
  <si>
    <t>rhodium</t>
  </si>
  <si>
    <t>Rhodium (Rh)</t>
  </si>
  <si>
    <t>A hard silver white metal.</t>
  </si>
  <si>
    <t>Rhodium is unaffected by air and water up to 875K.</t>
  </si>
  <si>
    <t>EleCode_rhodium</t>
  </si>
  <si>
    <t>rubidium</t>
  </si>
  <si>
    <t>Rubidium (Rb)</t>
  </si>
  <si>
    <t>A soft silver white metal.</t>
  </si>
  <si>
    <t>Rubidium oxidises rapidly and ignites in air.</t>
  </si>
  <si>
    <t>EleCode_rubidium</t>
  </si>
  <si>
    <t>ruthenium</t>
  </si>
  <si>
    <t>Ruthenium (Ru)</t>
  </si>
  <si>
    <t>A rare hard brittle silvery metal.</t>
  </si>
  <si>
    <t>Ruthenium is unaffected by air water and acids.</t>
  </si>
  <si>
    <t>EleCode_ruthenium</t>
  </si>
  <si>
    <t>scandium</t>
  </si>
  <si>
    <t>Scandium (Sc)</t>
  </si>
  <si>
    <t>A soft silvery white metal.</t>
  </si>
  <si>
    <t>Scandium tarnishes in air and burns easily once ignited.</t>
  </si>
  <si>
    <t>EleCode_scandium</t>
  </si>
  <si>
    <t>selenium</t>
  </si>
  <si>
    <t>Selenium (Se)</t>
  </si>
  <si>
    <t>A dark gray lustrous rods or dark red crystals of non-metal.</t>
  </si>
  <si>
    <t>Selenium burns in contact with air but is unaffected by water.</t>
  </si>
  <si>
    <t>EleCode_selenium</t>
  </si>
  <si>
    <t>silicon</t>
  </si>
  <si>
    <t>Silicon (Si)</t>
  </si>
  <si>
    <t>A hard dark grey non-metal.</t>
  </si>
  <si>
    <t>EleCode_silicon</t>
  </si>
  <si>
    <t>silver</t>
  </si>
  <si>
    <t>Silver (Ag)</t>
  </si>
  <si>
    <t>EleCode_silver</t>
  </si>
  <si>
    <t>sodium</t>
  </si>
  <si>
    <t>Sodium (Na)</t>
  </si>
  <si>
    <t>A soft silvery white alkali metal.</t>
  </si>
  <si>
    <t>Sodium reacts violently with water and oxidises rapidly when cut. Pure sodium must be stored in oil.</t>
  </si>
  <si>
    <t>EleCode_sodium</t>
  </si>
  <si>
    <t>strontium</t>
  </si>
  <si>
    <t>Strontium (Sr)</t>
  </si>
  <si>
    <t>A soft silvery yellow metal.</t>
  </si>
  <si>
    <t>Strontium will burn if ignited in air.</t>
  </si>
  <si>
    <t>EleCode_strontium</t>
  </si>
  <si>
    <t>sulphur</t>
  </si>
  <si>
    <t>Sulphur (S)</t>
  </si>
  <si>
    <t>A solid pale yellow non-metal.</t>
  </si>
  <si>
    <t>Sulphur is stable in air and water but burns if heated.</t>
  </si>
  <si>
    <t>EleCode_sulphur</t>
  </si>
  <si>
    <t>tantalum</t>
  </si>
  <si>
    <t>Tantalum (Ta)</t>
  </si>
  <si>
    <t>A rare grey metal.</t>
  </si>
  <si>
    <t>Tantalum has a high melting point, which resists corrosion due to an oxide film that forms on its surface.</t>
  </si>
  <si>
    <t>EleCode_tantalum</t>
  </si>
  <si>
    <t>tellurium</t>
  </si>
  <si>
    <t>Tellurium (Te)</t>
  </si>
  <si>
    <t>A silvery white metal-looking non-metal.</t>
  </si>
  <si>
    <t>Tellurium is usually obtained as a dark grey powder. It is unaffected by water and HCl, but burns in air or oxygen and dissolves in HNO3.</t>
  </si>
  <si>
    <t>EleCode_tellurium</t>
  </si>
  <si>
    <t>thallium</t>
  </si>
  <si>
    <t>Thallium (Tl)</t>
  </si>
  <si>
    <t>A silvery white metal.</t>
  </si>
  <si>
    <t>Thallium readily tarnishes in moist air and reacts with steam to form TlOH.</t>
  </si>
  <si>
    <t>EleCode_thallium</t>
  </si>
  <si>
    <t>thorium</t>
  </si>
  <si>
    <t>Thorium (Th)</t>
  </si>
  <si>
    <t>A soft silvery radioactive metal.</t>
  </si>
  <si>
    <t>Thorium is ductile and soft.</t>
  </si>
  <si>
    <t>EleCode_thorium</t>
  </si>
  <si>
    <t>tin</t>
  </si>
  <si>
    <t>Tin (Sn)</t>
  </si>
  <si>
    <t>A very malleable silver white metal.</t>
  </si>
  <si>
    <t>Tin forms a protective oxide film on its surface that prevents it from reacting with oxygen.</t>
  </si>
  <si>
    <t>EleCode_tin</t>
  </si>
  <si>
    <t>titanium</t>
  </si>
  <si>
    <t>Titanium (Ti)</t>
  </si>
  <si>
    <t>A pure titanium is a lustrous white metal.</t>
  </si>
  <si>
    <t>Titanium is strong as steel, 45 percent lighter than steel and 60 percent heavier than aluminum.</t>
  </si>
  <si>
    <t>EleCode_titanium</t>
  </si>
  <si>
    <t>tungsten</t>
  </si>
  <si>
    <t>Tungsten (W)</t>
  </si>
  <si>
    <t>A hard, silver-white metal.</t>
  </si>
  <si>
    <t>Tungsten is generally obtained as a dull grey powder that is hard to melt.</t>
  </si>
  <si>
    <t>EleCode_tungsten</t>
  </si>
  <si>
    <t>uranium</t>
  </si>
  <si>
    <t>Uranium (U)</t>
  </si>
  <si>
    <t>A A very heavy silvery-white radioactive metal.</t>
  </si>
  <si>
    <t>EleCode_uranium</t>
  </si>
  <si>
    <t>vanadium</t>
  </si>
  <si>
    <t>Vanadium (V)</t>
  </si>
  <si>
    <t>A silvery-white metal.</t>
  </si>
  <si>
    <t>EleCode_vanadium</t>
  </si>
  <si>
    <t>yttrium</t>
  </si>
  <si>
    <t>Yttrium (Y)</t>
  </si>
  <si>
    <t>A silvery metal.</t>
  </si>
  <si>
    <t>Yttrium is stable in air because of an oxide film that forms on its surface.</t>
  </si>
  <si>
    <t>EleCode_yttrium</t>
  </si>
  <si>
    <t>zinc</t>
  </si>
  <si>
    <t>Zinc (Zn)</t>
  </si>
  <si>
    <t>A hard, brittle, shiny bluish-white transition metal.</t>
  </si>
  <si>
    <t>EleCode_zinc</t>
  </si>
  <si>
    <t>zirconium</t>
  </si>
  <si>
    <t>Zirconium (Zr)</t>
  </si>
  <si>
    <t>A hard rare greyish-white metal.</t>
  </si>
  <si>
    <t>Zirconium is resistant towards corrosion due to an oxide film on its surface. It will burn in air if ignited.</t>
  </si>
  <si>
    <t>EleCode_zirconium</t>
  </si>
  <si>
    <t>damagedRoad</t>
  </si>
  <si>
    <t>Damaged Road</t>
  </si>
  <si>
    <t>The presence of a damaged road as a potential place to launch an attack.</t>
  </si>
  <si>
    <t>ChpCode_damagedRoad</t>
  </si>
  <si>
    <t>flooded</t>
  </si>
  <si>
    <t>Flooded</t>
  </si>
  <si>
    <t>The presence of flood water as a potential place to launch an attack.</t>
  </si>
  <si>
    <t>ChpCode_flooded</t>
  </si>
  <si>
    <t>gradient</t>
  </si>
  <si>
    <t>Gradient</t>
  </si>
  <si>
    <t>The presence of a gradient as a potential place to launch an attack.</t>
  </si>
  <si>
    <t>ChpCode_gradient</t>
  </si>
  <si>
    <t>higherGround</t>
  </si>
  <si>
    <t>Higher Ground</t>
  </si>
  <si>
    <t>The presence of a higher ground as a potential place to launch an attack.</t>
  </si>
  <si>
    <t>ChpCode_higherGround</t>
  </si>
  <si>
    <t>loamySimilarSoils</t>
  </si>
  <si>
    <t>Loamy and similar soils</t>
  </si>
  <si>
    <t>The presence of a loamy and similar soils as a potential place to launch an attack.</t>
  </si>
  <si>
    <t>ChpCode_loamySimilarSoils</t>
  </si>
  <si>
    <t>narrowEscarpment</t>
  </si>
  <si>
    <t>Narrow Escarpment</t>
  </si>
  <si>
    <t>The presence of a narrow escarpment as a potential place to launch an attack.</t>
  </si>
  <si>
    <t>ChpCode_narrowEscarpment</t>
  </si>
  <si>
    <t>poorSurfaceCondition</t>
  </si>
  <si>
    <t>Poor Surface Condition</t>
  </si>
  <si>
    <t>The presence of a poor surface condition as a potential place to launch an attack.</t>
  </si>
  <si>
    <t>ChpCode_poorSurfaceCondition</t>
  </si>
  <si>
    <t>potentialLandslideZone</t>
  </si>
  <si>
    <t>The presence of a potential landslide zone as a potential place to launch an attack.</t>
  </si>
  <si>
    <t>ChpCode_potentialLandslideZone</t>
  </si>
  <si>
    <t>roadBlock</t>
  </si>
  <si>
    <t>Road Block</t>
  </si>
  <si>
    <t>The presence of a road block as a potential place to launch an attack.</t>
  </si>
  <si>
    <t>ChpCode_roadBlock</t>
  </si>
  <si>
    <t>snowIce</t>
  </si>
  <si>
    <t>Snow and/or Ice</t>
  </si>
  <si>
    <t>The presence of a snow and/or Ice as a potential place to launch an attack.</t>
  </si>
  <si>
    <t>ChpCode_snowIce</t>
  </si>
  <si>
    <t>tollGate</t>
  </si>
  <si>
    <t>Toll-gate</t>
  </si>
  <si>
    <t>The presence of a toll-gate as a potential place to launch an attack.</t>
  </si>
  <si>
    <t>ChpCode_tollGate</t>
  </si>
  <si>
    <t>ChpCode_trafficLight</t>
  </si>
  <si>
    <t>continental</t>
  </si>
  <si>
    <t>Continental (III5)</t>
  </si>
  <si>
    <t>A zone of cold and dry winters, moderate warm and humid summers, continental deciduous and mixed forests, forest-steppes.</t>
  </si>
  <si>
    <t>ClmCode_continental</t>
  </si>
  <si>
    <t>continentalBoreal</t>
  </si>
  <si>
    <t>Continental Boreal (II2)</t>
  </si>
  <si>
    <t>A zone of long and very cold winters with heavy precipitation (precipitation maximum), short warm summers, continental coniferous forests.</t>
  </si>
  <si>
    <t>ClmCode_continentalBoreal</t>
  </si>
  <si>
    <t>dryWinterColdSteppe</t>
  </si>
  <si>
    <t>Dry and Winter-Cold Steppe (III9a)</t>
  </si>
  <si>
    <t>A zone of cold winters with temperatures below 0 degrees Centigrade, drougth summers, short-grass steppes.</t>
  </si>
  <si>
    <t>ClmCode_dryWinterColdSteppe</t>
  </si>
  <si>
    <t>dryWinterSoftSteppe</t>
  </si>
  <si>
    <t>Dry and Winter-Soft Steppe (III9b)</t>
  </si>
  <si>
    <t>A zone of mild winters with temperatures above 0 degrees Centigrade, drought summers, short-grass steppe.</t>
  </si>
  <si>
    <t>ClmCode_dryWinterSoftSteppe</t>
  </si>
  <si>
    <t>highContinental</t>
  </si>
  <si>
    <t>High Continental (III6)</t>
  </si>
  <si>
    <t>A zone of cold and dry winters, warm and humid summers, high-continental deciduous and mixed forests, forest-steppes.</t>
  </si>
  <si>
    <t>ClmCode_highContinental</t>
  </si>
  <si>
    <t>highContinentalBoreal</t>
  </si>
  <si>
    <t>High Continental Boreal (II3)</t>
  </si>
  <si>
    <t>A zone of very long and extremly cold and dry winters, short warm periods, permafrost soils, continental coniferous forests.</t>
  </si>
  <si>
    <t>ClmCode_highContinentalBoreal</t>
  </si>
  <si>
    <t>highMaritimeCoastal</t>
  </si>
  <si>
    <t>High Maritime Coastal (III1)</t>
  </si>
  <si>
    <t>A zone of very mild winters (precipitation maximum), cold or moderate warm summers, permanent green deciduous and mixed forests.</t>
  </si>
  <si>
    <t>ClmCode_highMaritimeCoastal</t>
  </si>
  <si>
    <t>highPolarIce</t>
  </si>
  <si>
    <t>High Polar Ice (I1)</t>
  </si>
  <si>
    <t>A zone of eternal ice and snow.</t>
  </si>
  <si>
    <t>ClmCode_highPolarIce</t>
  </si>
  <si>
    <t>humidWinterColdSteppe</t>
  </si>
  <si>
    <t>Humid and Winter-Cold Steppe (III8a)</t>
  </si>
  <si>
    <t>A zone of cold winters with temperatures below 0 degrees Centigrade, high-grass steppes.</t>
  </si>
  <si>
    <t>ClmCode_humidWinterColdSteppe</t>
  </si>
  <si>
    <t>humidWinterSoftSteppe</t>
  </si>
  <si>
    <t>Humid and Winter-Soft Steppe (III8b)</t>
  </si>
  <si>
    <t>A zone of mild winters with temperatures above 0 degrees Centigrade, high-grass steppes.</t>
  </si>
  <si>
    <t>ClmCode_humidWinterSoftSteppe</t>
  </si>
  <si>
    <t>longSummerHumidSteppe</t>
  </si>
  <si>
    <t>Long Summer-Humid Steppe (IV4)</t>
  </si>
  <si>
    <t>A zone of mild and dry winters, long vegetation period (from 9 to 6 months), tropical grass, sclerophyllous and forest-steppes.</t>
  </si>
  <si>
    <t>ClmCode_longSummerHumidSteppe</t>
  </si>
  <si>
    <t>maritime</t>
  </si>
  <si>
    <t>Maritime (III2)</t>
  </si>
  <si>
    <t>A zone of mild winters (precipitation maximum in winter or autumn), moderate warm summers, maritime deciduous and mixed forests.</t>
  </si>
  <si>
    <t>ClmCode_maritime</t>
  </si>
  <si>
    <t>maritimeBoreal</t>
  </si>
  <si>
    <t>Maritime Boreal (II1)</t>
  </si>
  <si>
    <t>A zone of moderate cold winters with heavy precipitation (precipitation maximum), moderate warm summers, maritime humid coniferous forests.</t>
  </si>
  <si>
    <t>ClmCode_maritimeBoreal</t>
  </si>
  <si>
    <t>permanentHumidGrassWood</t>
  </si>
  <si>
    <t>Permanently Humid Grassland and Woodland (IV6)</t>
  </si>
  <si>
    <t>A zone of mild winters, very long vegetation period (from 12 to 10 months), subtropical grasslands.</t>
  </si>
  <si>
    <t>ClmCode_permanentHumidGrassWood</t>
  </si>
  <si>
    <t>polar</t>
  </si>
  <si>
    <t>Polar (I2)</t>
  </si>
  <si>
    <t>A zone of polar frost detritus and low summer temperatures.</t>
  </si>
  <si>
    <t>ClmCode_polar</t>
  </si>
  <si>
    <t>semiDesertDesert</t>
  </si>
  <si>
    <t>Semi-desert and Desert (IV5)</t>
  </si>
  <si>
    <t>A zone of mild and dry winters (night-frost), very short vegetation period (less than 2 months), deserts.</t>
  </si>
  <si>
    <t>ClmCode_semiDesertDesert</t>
  </si>
  <si>
    <t>shortSummerHumidSteppe</t>
  </si>
  <si>
    <t>Short Summer-Humid Steppe (IV3)</t>
  </si>
  <si>
    <t>A zone of mild and dry winters, less than 5 month of vegetation period, tropical thorn- and succulent steppes.</t>
  </si>
  <si>
    <t>ClmCode_shortSummerHumidSteppe</t>
  </si>
  <si>
    <t>subarcticTundra</t>
  </si>
  <si>
    <t>Subarctic Tundra (I3)</t>
  </si>
  <si>
    <t>A zone of very strong winters and tundras.</t>
  </si>
  <si>
    <t>ClmCode_subarcticTundra</t>
  </si>
  <si>
    <t>subcontinental</t>
  </si>
  <si>
    <t>Subcontinental (III4)</t>
  </si>
  <si>
    <t>A zone of cold winters, moderate warm summers (precipitation maximum in summer), continental deciduous and mixed forests.</t>
  </si>
  <si>
    <t>ClmCode_subcontinental</t>
  </si>
  <si>
    <t>submaritime</t>
  </si>
  <si>
    <t>Submaritime (III3)</t>
  </si>
  <si>
    <t>A zone of mild or moderate cold winters, warm or moderate warm and long summers (precipitation maximum in winter or autumn), submaritime deciduous and mixed forests.</t>
  </si>
  <si>
    <t>ClmCode_submaritime</t>
  </si>
  <si>
    <t>subpolarHighMaritime</t>
  </si>
  <si>
    <t>Subpolar High-maritime (I4)</t>
  </si>
  <si>
    <t>A zone of moderate cold winters, poor in precipitation, subpolar grasslands, bogs.</t>
  </si>
  <si>
    <t>ClmCode_subpolarHighMaritime</t>
  </si>
  <si>
    <t>summerHumidSteppe</t>
  </si>
  <si>
    <t>Summer-Humid Steppe (III10)</t>
  </si>
  <si>
    <t>A zone of cold and dry winters, steppes.</t>
  </si>
  <si>
    <t>ClmCode_summerHumidSteppe</t>
  </si>
  <si>
    <t>summerWarmPermanentHumid</t>
  </si>
  <si>
    <t>Summer-Warm and Permanently Humid (III7c)</t>
  </si>
  <si>
    <t>A zone of mild or moderate cold winters, moist heat-loving deciduous and mixed forests.</t>
  </si>
  <si>
    <t>ClmCode_summerWarmPermanentHumid</t>
  </si>
  <si>
    <t>summerWarmSummerHumid</t>
  </si>
  <si>
    <t>Summer-Warm and Summer-Humid (III7a)</t>
  </si>
  <si>
    <t>A zone of moderate cold and dry winters, heat-loving deciduous and mixed forests, forest-steppes.</t>
  </si>
  <si>
    <t>ClmCode_summerWarmSummerHumid</t>
  </si>
  <si>
    <t>summerWarmWinterHumid</t>
  </si>
  <si>
    <t>Summer-Warm and Winter-Humid (III7b)</t>
  </si>
  <si>
    <t>A zone of mild or moderate cold winters, dry forests.</t>
  </si>
  <si>
    <t>ClmCode_summerWarmWinterHumid</t>
  </si>
  <si>
    <t>tropicalDry</t>
  </si>
  <si>
    <t>Tropical Dry (V4)</t>
  </si>
  <si>
    <t>A zone with short vegetation period (from 4.5 to 2 months) tropical thorn and succulent forests and savannahs.</t>
  </si>
  <si>
    <t>ClmCode_tropicalDry</t>
  </si>
  <si>
    <t>tropicalHumid</t>
  </si>
  <si>
    <t>Tropical Humid (V2)</t>
  </si>
  <si>
    <t>A zone with long vegetation period (from 9 to 7.5 months), raingreen moist forests or moist savannahs.</t>
  </si>
  <si>
    <t>ClmCode_tropicalHumid</t>
  </si>
  <si>
    <t>tropicalRain</t>
  </si>
  <si>
    <t>Tropical Rain (V1)</t>
  </si>
  <si>
    <t>A zone of permanent rainy season and very long vegetation period (from 12 to 9.5 months), evergreen tropical rain forests.</t>
  </si>
  <si>
    <t>ClmCode_tropicalRain</t>
  </si>
  <si>
    <t>tropicalSemiDesertDesert</t>
  </si>
  <si>
    <t>Tropical Semi-desert and Desert (V5)</t>
  </si>
  <si>
    <t>A zone with very short vegetation period (less than 2 months), tropical deserts.</t>
  </si>
  <si>
    <t>ClmCode_tropicalSemiDesertDesert</t>
  </si>
  <si>
    <t>tropicalChangingHumidity</t>
  </si>
  <si>
    <t>Tropical with Changing Humidity (V3)</t>
  </si>
  <si>
    <t>A zone with vegetation period from 7 to 4.5 months, dry forests and savannahs.</t>
  </si>
  <si>
    <t>ClmCode_tropicalChangingHumidity</t>
  </si>
  <si>
    <t>winterColdSemiDesert</t>
  </si>
  <si>
    <t>Winter-Cold Semi-desert and Desert (III11a)</t>
  </si>
  <si>
    <t>A zone of cold winters with temperatures below 0 degrees Centigrade, deserts.</t>
  </si>
  <si>
    <t>ClmCode_winterColdSemiDesert</t>
  </si>
  <si>
    <t>winterHumSumDroughtSteppe</t>
  </si>
  <si>
    <t>Winter-Humid and Summer-Drought Steppe (IV2)</t>
  </si>
  <si>
    <t>A zone of mild and moist winters, drougth summer, vegetation period less than 5 months, sub-tropical grass and shrub steppes.</t>
  </si>
  <si>
    <t>ClmCode_winterHumSumDroughtSteppe</t>
  </si>
  <si>
    <t>winterHumSumDryMediterran</t>
  </si>
  <si>
    <t>Winter-Humid and Summer-Dry Mediterranian (IV1)</t>
  </si>
  <si>
    <t>A zone of mild and moist winters, dry summer, vegetation period more than 5 months, sub-tropical sclerophyllous and coniferous forests.</t>
  </si>
  <si>
    <t>ClmCode_winterHumSumDryMediterran</t>
  </si>
  <si>
    <t>winterSoftSemiDesert</t>
  </si>
  <si>
    <t>Winter-Soft Semi-desert and Desert (III11b)</t>
  </si>
  <si>
    <t>A zone of mild winters with temperatures above 0 degrees Centigrade, deserts.</t>
  </si>
  <si>
    <t>ClmCode_winterSoftSemiDesert</t>
  </si>
  <si>
    <t>mountainAltitude</t>
  </si>
  <si>
    <t>Mountain Altitude</t>
  </si>
  <si>
    <t>A zone with change of climate due to altitude-induced descent of temperature.</t>
  </si>
  <si>
    <t>ClzCode_mountainAltitude</t>
  </si>
  <si>
    <t>polarSubpolar</t>
  </si>
  <si>
    <t>Polar and Subpolar (I)</t>
  </si>
  <si>
    <t>A zone pertaining to, near, or adjacent to a planetary pole.</t>
  </si>
  <si>
    <t>ClzCode_polarSubpolar</t>
  </si>
  <si>
    <t>seasonalHumidCoast</t>
  </si>
  <si>
    <t>Seasonal Humid Coast (IV/V)</t>
  </si>
  <si>
    <t>A zone of arid areas (for example: deserts and steppes) with misty humidity.</t>
  </si>
  <si>
    <t>ClzCode_seasonalHumidCoast</t>
  </si>
  <si>
    <t>temperateColdBoreal</t>
  </si>
  <si>
    <t>Temperately Cold Boreal (II)</t>
  </si>
  <si>
    <t>A zone of moderate cold or cold climate, rather poor in precipitation, subject to large seasonal temperature intervals.</t>
  </si>
  <si>
    <t>ClzCode_temperateColdBoreal</t>
  </si>
  <si>
    <t>temperateCool</t>
  </si>
  <si>
    <t>Temperately Cool (III)</t>
  </si>
  <si>
    <t>A zone of intermediate latitude with warm summers and cold winters, including steppe and desert climates.</t>
  </si>
  <si>
    <t>ClzCode_temperateCool</t>
  </si>
  <si>
    <t>temperateWarmSubtropical</t>
  </si>
  <si>
    <t>Temperately Warm Subtropical (IV)</t>
  </si>
  <si>
    <t>An intermediate zone characterized by trade winds and high pressure areas that is located between the tropics and a temperate cool zone.</t>
  </si>
  <si>
    <t>ClzCode_temperateWarmSubtropical</t>
  </si>
  <si>
    <t>tropical</t>
  </si>
  <si>
    <t>Tropical (V)</t>
  </si>
  <si>
    <t>A zone of warm, and during the rainy season (different duration), very humid climate.</t>
  </si>
  <si>
    <t>ClzCode_tropical</t>
  </si>
  <si>
    <t>A shoreline area dominated by shoreline constructions (for example: docks, wharfs, and/or seawalls).</t>
  </si>
  <si>
    <t>ShoCode_artificial</t>
  </si>
  <si>
    <t>coralReef</t>
  </si>
  <si>
    <t>Coral Reef</t>
  </si>
  <si>
    <t>A reef, often of large extent, composed chiefly of coral and its derivatives.</t>
  </si>
  <si>
    <t>ShoCode_coralReef</t>
  </si>
  <si>
    <t>flatCoast</t>
  </si>
  <si>
    <t>Flat Coast</t>
  </si>
  <si>
    <t>A level coast with no obvious topographic features.</t>
  </si>
  <si>
    <t>ShoCode_flatCoast</t>
  </si>
  <si>
    <t>The seaward projecting extension of a glacier, usually afloat.</t>
  </si>
  <si>
    <t>Glacier Tongue</t>
  </si>
  <si>
    <t>ShoCode_glacier</t>
  </si>
  <si>
    <t>hillocks</t>
  </si>
  <si>
    <t>Hillocks</t>
  </si>
  <si>
    <t>A shoreline area consisting of a series of small rounded hills.</t>
  </si>
  <si>
    <t>The hillocks do not provide a good radar return but may be useful for visual identification from a short distance.</t>
  </si>
  <si>
    <t>ShoCode_hillocks</t>
  </si>
  <si>
    <t>iceCoast</t>
  </si>
  <si>
    <t>Ice Coast</t>
  </si>
  <si>
    <t>A vertical cliff forming the seaward edge of an ice shelf, ranging in height from 2 to 50 metres or more above sea level.</t>
  </si>
  <si>
    <t>ShoCode_iceCoast</t>
  </si>
  <si>
    <t>mangrove</t>
  </si>
  <si>
    <t>Mangrove</t>
  </si>
  <si>
    <t>A low lying coast covered by mangrove (one of several genera of tropical trees or shrubs which produce many prop roots and grow into shallow water).</t>
  </si>
  <si>
    <t>ShoCode_mangrove</t>
  </si>
  <si>
    <t>marshy</t>
  </si>
  <si>
    <t>Marshy</t>
  </si>
  <si>
    <t>A shoreline area made up of spongy land saturated with water (possibly with a shallow covering of water), usually with a considerable amount of vegetation appearing above the surface.</t>
  </si>
  <si>
    <t>ShoCode_marshy</t>
  </si>
  <si>
    <t>sandyShore</t>
  </si>
  <si>
    <t>Sandy Shore</t>
  </si>
  <si>
    <t>A shoreline area made up of sand (loose material consisting of small but easily distinguishable, separate grains, between 0.0625 and 2.000 millimetres in diameter).</t>
  </si>
  <si>
    <t>ShoCode_sandyShore</t>
  </si>
  <si>
    <t>shellyShore</t>
  </si>
  <si>
    <t>Shelly Shore</t>
  </si>
  <si>
    <t>A shoreline area made up of shells (the hard outside covering of marine animals).</t>
  </si>
  <si>
    <t>ShoCode_shellyShore</t>
  </si>
  <si>
    <t>shinglyShore</t>
  </si>
  <si>
    <t>Shingly Shore</t>
  </si>
  <si>
    <t>A shoreline area made up of rounded, often flat waterworn rock fragments larger than approximately 16 millimetres.</t>
  </si>
  <si>
    <t>ShoCode_shinglyShore</t>
  </si>
  <si>
    <t>steepCoast</t>
  </si>
  <si>
    <t>Steep Coast</t>
  </si>
  <si>
    <t>A coast backed by rock or earth cliffs, where cliffs alternate with low lying coast along the shoreline.</t>
  </si>
  <si>
    <t>The cliffs cause a good radar return and are useful for visual identification from a considerable distance off.</t>
  </si>
  <si>
    <t>ShoCode_steepCoast</t>
  </si>
  <si>
    <t>stonyShore</t>
  </si>
  <si>
    <t>Stony Shore</t>
  </si>
  <si>
    <t>A shoreline area made up of rock and rock fragments ranging in size from pebbles and gravel to boulders or large rock masses.</t>
  </si>
  <si>
    <t>ShoCode_stonyShore</t>
  </si>
  <si>
    <t>constructionOfStructures</t>
  </si>
  <si>
    <t>Construction of Structures</t>
  </si>
  <si>
    <t>The building of elevated features either on land reclamation areas or pre-existing ground surface and island areas thus changing the appearance of the horizon for a vessel.</t>
  </si>
  <si>
    <t>WpcCode_constructionOfStructures</t>
  </si>
  <si>
    <t>landReclamation</t>
  </si>
  <si>
    <t>Land Reclamation</t>
  </si>
  <si>
    <t>Operations by which the ground surface area or island area is increased thus changing the coastline.</t>
  </si>
  <si>
    <t>WpcCode_landReclamation</t>
  </si>
  <si>
    <t>borderStripe</t>
  </si>
  <si>
    <t>Border Stripe</t>
  </si>
  <si>
    <t>A band or stripe of colour is displayed around the outer edge.</t>
  </si>
  <si>
    <t>The encoding convention is that the first colour in the list is the border stripe, the second color is that of the background.</t>
  </si>
  <si>
    <t>CptCode_borderStripe</t>
  </si>
  <si>
    <t>diagonalStripes</t>
  </si>
  <si>
    <t>Diagonal Stripes</t>
  </si>
  <si>
    <t>Straight bands or stripes of differing colours painted diagonally.</t>
  </si>
  <si>
    <t>The encoding convention is that the first colour in the list is the topleft and subsequent colours follow sequentially from topleft to bottomright.</t>
  </si>
  <si>
    <t>CptCode_diagonalStripes</t>
  </si>
  <si>
    <t>horizontalStripes</t>
  </si>
  <si>
    <t>Horizontal Stripes</t>
  </si>
  <si>
    <t>Straight bands or stripes of differing colours painted horizontally.</t>
  </si>
  <si>
    <t>The encoding convention is that the first colour in the list is the topmost and subsequent colours follow sequentially from top to bottom.</t>
  </si>
  <si>
    <t>CptCode_horizontalStripes</t>
  </si>
  <si>
    <t>singleColor</t>
  </si>
  <si>
    <t>Single Color</t>
  </si>
  <si>
    <t>A single uniform colour.</t>
  </si>
  <si>
    <t>CptCode_singleColor</t>
  </si>
  <si>
    <t>squared</t>
  </si>
  <si>
    <t>Squared</t>
  </si>
  <si>
    <t>Alternate colours are used to create squares similar to a chess or draught board.</t>
  </si>
  <si>
    <t>The pattern may be straight or diagnal. The encoding convention is that the first colour in the list is the topleft square and subsequent colours follow sequentially from left to right along the toprow and alternate for following rows.</t>
  </si>
  <si>
    <t>CptCode_squared</t>
  </si>
  <si>
    <t>stripes</t>
  </si>
  <si>
    <t>Stripes</t>
  </si>
  <si>
    <t>Straight bands or stripes of differing colours painted in an unknown direction.</t>
  </si>
  <si>
    <t>CptCode_stripes</t>
  </si>
  <si>
    <t>verticalStripes</t>
  </si>
  <si>
    <t>Vertical Stripes</t>
  </si>
  <si>
    <t>Straight bands or stripes of differing colours painted vertically.</t>
  </si>
  <si>
    <t>The encoding convention is that the first colour in the list is the leftmost and subsequent colours follow sequentially from left to right.</t>
  </si>
  <si>
    <t>CptCode_verticalStripes</t>
  </si>
  <si>
    <t>bank</t>
  </si>
  <si>
    <t>Bank</t>
  </si>
  <si>
    <t>A building occupied by an establishment for the custody, deposit, loan, exchange, and/or issue of money, which it pays out on the customer's order.</t>
  </si>
  <si>
    <t>CitCode_bank</t>
  </si>
  <si>
    <t>buildingContractor</t>
  </si>
  <si>
    <t>Building Contractor</t>
  </si>
  <si>
    <t>Houses a business that involves the construction, or supervision of construction, of structures intended to shelter people, animals or property.</t>
  </si>
  <si>
    <t>It is often the case that a significant portion of the construction work is sub-contracted to other businesses.</t>
  </si>
  <si>
    <t>CitCode_buildingContractor</t>
  </si>
  <si>
    <t>carpentry</t>
  </si>
  <si>
    <t>Carpentry</t>
  </si>
  <si>
    <t>A building in which wooden objects are repaired (for example: furniture).</t>
  </si>
  <si>
    <t>Carpentry Shop</t>
  </si>
  <si>
    <t>CitCode_carpentry</t>
  </si>
  <si>
    <t>civilEngineering</t>
  </si>
  <si>
    <t>Civil Engineering</t>
  </si>
  <si>
    <t>Houses a business that involves the design, construction, and/or maintenance of works of public utility.</t>
  </si>
  <si>
    <t>CitCode_civilEngineering</t>
  </si>
  <si>
    <t>kennel</t>
  </si>
  <si>
    <t>Kennel</t>
  </si>
  <si>
    <t>A structure used for the breeding, training, and/or boarding of dogs.</t>
  </si>
  <si>
    <t>CitCode_kennel</t>
  </si>
  <si>
    <t>market</t>
  </si>
  <si>
    <t>Market</t>
  </si>
  <si>
    <t>An open space or covered building in which goods (for example: provisions and/or livestock) are displayed for sale.</t>
  </si>
  <si>
    <t>CitCode_market</t>
  </si>
  <si>
    <t>newspaperPlant</t>
  </si>
  <si>
    <t>Newspaper Plant</t>
  </si>
  <si>
    <t>A building used in the printing, collating, storage, and/or distribution of a newspaper.</t>
  </si>
  <si>
    <t>CitCode_newspaperPlant</t>
  </si>
  <si>
    <t>parkingGarage</t>
  </si>
  <si>
    <t>CitCode_parkingGarage</t>
  </si>
  <si>
    <t>printingShop</t>
  </si>
  <si>
    <t>Printing Shop</t>
  </si>
  <si>
    <t>A location used primarily for printing.</t>
  </si>
  <si>
    <t>Printing is an industrial process for reproducing copies of texts and images, typically with ink on paper using a printing press.</t>
  </si>
  <si>
    <t>CitCode_printingShop</t>
  </si>
  <si>
    <t>repairFacility</t>
  </si>
  <si>
    <t>Repair Facility</t>
  </si>
  <si>
    <t>A facility for restoring broken and/or damaged goods (for example: household appliances) to sound condition.</t>
  </si>
  <si>
    <t>CitCode_repairFacility</t>
  </si>
  <si>
    <t>shoppingCentre</t>
  </si>
  <si>
    <t>Shopping Centre</t>
  </si>
  <si>
    <t>A group of shops, often including restaurants and other businesses, that share a common parking lot.</t>
  </si>
  <si>
    <t>CitCode_shoppingCentre</t>
  </si>
  <si>
    <t>signifNonGovBuilding</t>
  </si>
  <si>
    <t>Significant Non-governmental Building</t>
  </si>
  <si>
    <t>A building that is not owned by a government but by nature of its size, design, and/or other factors is notable.</t>
  </si>
  <si>
    <t>For example, the Empire State Building or the former World Trade Center in New York City.</t>
  </si>
  <si>
    <t>CitCode_signifNonGovBuilding</t>
  </si>
  <si>
    <t>stockExchange</t>
  </si>
  <si>
    <t>Stock Exchange</t>
  </si>
  <si>
    <t>A building or market where stocks and shares are traded.</t>
  </si>
  <si>
    <t>CitCode_stockExchange</t>
  </si>
  <si>
    <t>supermarket</t>
  </si>
  <si>
    <t>Supermarket</t>
  </si>
  <si>
    <t>A large self-service store, frequently one of a chain, selling a wide range of goods (for example: foods, medicine, clothes, and other household products).</t>
  </si>
  <si>
    <t>CitCode_supermarket</t>
  </si>
  <si>
    <t>tradingPost</t>
  </si>
  <si>
    <t>Trading Post</t>
  </si>
  <si>
    <t>A place occupied for purposes of trade, especially in a remote and/or unsettled region.</t>
  </si>
  <si>
    <t>CitCode_tradingPost</t>
  </si>
  <si>
    <t>warehouse</t>
  </si>
  <si>
    <t>Warehouse</t>
  </si>
  <si>
    <t>A building, or part of a building, used for the storage of retail goods (for example: furniture).</t>
  </si>
  <si>
    <t>CitCode_warehouse</t>
  </si>
  <si>
    <t>commissionedOnTest</t>
  </si>
  <si>
    <t>Commissioned and on Test</t>
  </si>
  <si>
    <t>Admitted to active service and on test period.</t>
  </si>
  <si>
    <t>CmsCode_commissionedOnTest</t>
  </si>
  <si>
    <t>commissionedOperational</t>
  </si>
  <si>
    <t>Commissioned and Operational</t>
  </si>
  <si>
    <t>Admitted to active service and operational.</t>
  </si>
  <si>
    <t>CmsCode_commissionedOperational</t>
  </si>
  <si>
    <t>commissionedOutOfService</t>
  </si>
  <si>
    <t>Commissioned but Out of Service</t>
  </si>
  <si>
    <t>Admitted to active service but not in service.</t>
  </si>
  <si>
    <t>CmsCode_commissionedOutOfService</t>
  </si>
  <si>
    <t>notCommissionOutOfService</t>
  </si>
  <si>
    <t>Not Commissioned and Out of Service</t>
  </si>
  <si>
    <t>Not admitted to active service and not in service.</t>
  </si>
  <si>
    <t>CmsCode_notCommissionOutOfService</t>
  </si>
  <si>
    <t>onTestNotCommissioned</t>
  </si>
  <si>
    <t>On Test but Not Commissioned</t>
  </si>
  <si>
    <t>Not admitted to active service and on test period.</t>
  </si>
  <si>
    <t>CmsCode_onTestNotCommissioned</t>
  </si>
  <si>
    <t>operationalNotCommissioned</t>
  </si>
  <si>
    <t>Operational but Not Commissioned</t>
  </si>
  <si>
    <t>Not admitted to active service but operational.</t>
  </si>
  <si>
    <t>CmsCode_operationalNotCommissioned</t>
  </si>
  <si>
    <t>astronomicAerial</t>
  </si>
  <si>
    <t>Astronomic Aerial</t>
  </si>
  <si>
    <t>An aerial for receiving astronomic signals.</t>
  </si>
  <si>
    <t>CusCode_astronomicAerial</t>
  </si>
  <si>
    <t>broadcastRelay</t>
  </si>
  <si>
    <t>Broadcast Relay</t>
  </si>
  <si>
    <t>Associated with a relay station for radio or television used to reach valleys or other regions subject to transmittance shadow and not adequately reached by a basic network station.</t>
  </si>
  <si>
    <t>CusCode_broadcastRelay</t>
  </si>
  <si>
    <t>broadcastingAerial</t>
  </si>
  <si>
    <t>Broadcasting Aerial</t>
  </si>
  <si>
    <t>An aerial for the transmission of broadcast communications.</t>
  </si>
  <si>
    <t>For example, for radio or television broadcast.</t>
  </si>
  <si>
    <t>CusCode_broadcastingAerial</t>
  </si>
  <si>
    <t>broadcastingStudio</t>
  </si>
  <si>
    <t>Broadcasting Studio</t>
  </si>
  <si>
    <t>Associated with the recording and/or making of broadcast transmissions.</t>
  </si>
  <si>
    <t>CusCode_broadcastingStudio</t>
  </si>
  <si>
    <t>mainTelephoneExchange</t>
  </si>
  <si>
    <t>Main Telephone Exchange</t>
  </si>
  <si>
    <t>Associated with a location where telephone calls are connected between different trunk lines.</t>
  </si>
  <si>
    <t>CusCode_mainTelephoneExchange</t>
  </si>
  <si>
    <t>missionControlAerial</t>
  </si>
  <si>
    <t>Mission Control Aerial</t>
  </si>
  <si>
    <t>An aerial for the transmission of video and/or audio signals for mission leader's control.</t>
  </si>
  <si>
    <t>CusCode_missionControlAerial</t>
  </si>
  <si>
    <t>radioCommunicationStation</t>
  </si>
  <si>
    <t>Radio Communication Station</t>
  </si>
  <si>
    <t>Associated with a facility for controlling and coordination of radio traffic.</t>
  </si>
  <si>
    <t>CusCode_radioCommunicationStation</t>
  </si>
  <si>
    <t>satelliteGroundStation</t>
  </si>
  <si>
    <t>Satellite Ground Station</t>
  </si>
  <si>
    <t>Associated with the tracking, control, transmission, and/or reception of signals from satellites.</t>
  </si>
  <si>
    <t>CusCode_satelliteGroundStation</t>
  </si>
  <si>
    <t>Associated with telegraph signals processing and/or controlling.</t>
  </si>
  <si>
    <t>CusCode_telegraph</t>
  </si>
  <si>
    <t>Associated with telephone signals processing and/or controlling.</t>
  </si>
  <si>
    <t>CusCode_telephone</t>
  </si>
  <si>
    <t>telephoneSwitchStation</t>
  </si>
  <si>
    <t>Telephone Switching Station</t>
  </si>
  <si>
    <t>Associated with a location where telephone calls are connected between different lines.</t>
  </si>
  <si>
    <t>CusCode_telephoneSwitchStation</t>
  </si>
  <si>
    <t>televisionStudio</t>
  </si>
  <si>
    <t>Television Studio</t>
  </si>
  <si>
    <t>Associated with the recording and/or making of television transmissions.</t>
  </si>
  <si>
    <t>CusCode_televisionStudio</t>
  </si>
  <si>
    <t>abandoned</t>
  </si>
  <si>
    <t>Abandoned</t>
  </si>
  <si>
    <t>Left in place to deteriorate (both equipment and structures).</t>
  </si>
  <si>
    <t>FunCode_abandoned</t>
  </si>
  <si>
    <t>Equipment and/or structures damaged in part causing non-specific degradation in function.</t>
  </si>
  <si>
    <t>FunCode_damaged</t>
  </si>
  <si>
    <t>All equipment and structures destroyed, resulting in total loss of function.</t>
  </si>
  <si>
    <t>FunCode_destroyed</t>
  </si>
  <si>
    <t>dismantled</t>
  </si>
  <si>
    <t>Dismantled</t>
  </si>
  <si>
    <t>Intentionally non-functional but capable of restoration.</t>
  </si>
  <si>
    <t>For example, equipment has been removed but the structure may remain.</t>
  </si>
  <si>
    <t>FunCode_dismantled</t>
  </si>
  <si>
    <t>disused</t>
  </si>
  <si>
    <t>Disused</t>
  </si>
  <si>
    <t>Use has ceased, but the facility still exists intact.</t>
  </si>
  <si>
    <t>FunCode_disused</t>
  </si>
  <si>
    <t>fullyFunctional</t>
  </si>
  <si>
    <t>Fully Functional</t>
  </si>
  <si>
    <t>Capable of full function.</t>
  </si>
  <si>
    <t>FunCode_fullyFunctional</t>
  </si>
  <si>
    <t>partiallyDestroyed</t>
  </si>
  <si>
    <t>Partially Destroyed</t>
  </si>
  <si>
    <t>Some equipment and/or structures destroyed, resulting in specific loss(es) of function.</t>
  </si>
  <si>
    <t>FunCode_partiallyDestroyed</t>
  </si>
  <si>
    <t>partiallyFunctional</t>
  </si>
  <si>
    <t>Partially Functional</t>
  </si>
  <si>
    <t>Under construction but not yet fully functional.</t>
  </si>
  <si>
    <t>FunCode_partiallyFunctional</t>
  </si>
  <si>
    <t>planned</t>
  </si>
  <si>
    <t>Planned</t>
  </si>
  <si>
    <t>Detailed planning has been completed but construction has not been initiated.</t>
  </si>
  <si>
    <t>FunCode_planned</t>
  </si>
  <si>
    <t>proposed</t>
  </si>
  <si>
    <t>Proposed</t>
  </si>
  <si>
    <t>Construction has been proposed, but detailed planning has not yet occurred.</t>
  </si>
  <si>
    <t>FunCode_proposed</t>
  </si>
  <si>
    <t>Deteriorated to the point of becoming non-operational and no longer restorable (equipment and structure is no longer salvageable).</t>
  </si>
  <si>
    <t>FunCode_ruined</t>
  </si>
  <si>
    <t>salvaged</t>
  </si>
  <si>
    <t>Salvaged</t>
  </si>
  <si>
    <t>Operations have ceased due to wreck, fire, loss, or general destruction, however equipment and/or structure has been salvaged.</t>
  </si>
  <si>
    <t>FunCode_salvaged</t>
  </si>
  <si>
    <t>Being built but not yet capable of function.</t>
  </si>
  <si>
    <t>FunCode_underConstruction</t>
  </si>
  <si>
    <t>A conflict caused by insufficient economic structures and supply.</t>
  </si>
  <si>
    <t>CfuCode_economic</t>
  </si>
  <si>
    <t>A conflict caused by the rejection of individuals of different descent or a different cultural group.</t>
  </si>
  <si>
    <t>CfuCode_ethnic</t>
  </si>
  <si>
    <t>political</t>
  </si>
  <si>
    <t>Political</t>
  </si>
  <si>
    <t>A conflict caused by different or contrary political actions (domestic policy or foreign policy).</t>
  </si>
  <si>
    <t>CfuCode_political</t>
  </si>
  <si>
    <t>religious</t>
  </si>
  <si>
    <t>Religious</t>
  </si>
  <si>
    <t>A conflict caused by rejection/persecution of other religious affiliation.</t>
  </si>
  <si>
    <t>CfuCode_religious</t>
  </si>
  <si>
    <t>resources</t>
  </si>
  <si>
    <t>Resources</t>
  </si>
  <si>
    <t>A conflict caused by disputes about natural resources (for example: minerals and water).</t>
  </si>
  <si>
    <t>CfuCode_resources</t>
  </si>
  <si>
    <t>social</t>
  </si>
  <si>
    <t>Social</t>
  </si>
  <si>
    <t>A conflict caused by insufficient or missing social structures.</t>
  </si>
  <si>
    <t>CfuCode_social</t>
  </si>
  <si>
    <t>territorial</t>
  </si>
  <si>
    <t>Territorial</t>
  </si>
  <si>
    <t>A conflict caused by the land reclamation by different parties.</t>
  </si>
  <si>
    <t>CfuCode_territorial</t>
  </si>
  <si>
    <t>breedingGround</t>
  </si>
  <si>
    <t>Breeding Ground</t>
  </si>
  <si>
    <t>The boundary of an area of land where a species (for example: birds, seals or turtles) habitually breeds.</t>
  </si>
  <si>
    <t>Commonly treated as a species management area however the level of protection (for example: restriction on access and/or use) may vary.</t>
  </si>
  <si>
    <t>CmbCode_breedingGround</t>
  </si>
  <si>
    <t>habitatSpeciesManagement</t>
  </si>
  <si>
    <t>Habitat and Species Management Area</t>
  </si>
  <si>
    <t>The boundary of an area of land or sea subject to active intervention for management purposes so as to ensure the maintenance of habitats and/or to meet the requirements of specific species.</t>
  </si>
  <si>
    <t>As determined by IUCN Category IV.</t>
  </si>
  <si>
    <t>CmbCode_habitatSpeciesManagement</t>
  </si>
  <si>
    <t>managedForestProtected</t>
  </si>
  <si>
    <t>Managed Forest Protected Area</t>
  </si>
  <si>
    <t>The boundary of an area containing predominantly unmodified forest, managed to ensure long term protection and maintenance of biological diversity, while providing at the same time a sustainable flow of natural products and services to meet community needs.</t>
  </si>
  <si>
    <t>A subset of IUCN Category VI.</t>
  </si>
  <si>
    <t>CmbCode_managedForestProtected</t>
  </si>
  <si>
    <t>managedResourceProtected</t>
  </si>
  <si>
    <t>Managed Resource Protected Area</t>
  </si>
  <si>
    <t>The boundary of an area containing predominantly unmodified natural systems, managed to ensure long term pprotection and maintenance of biological diversity, while providing at the same time a sustainable flow of natural products and services to meet community needs.</t>
  </si>
  <si>
    <t>As determined by IUCN Category VI.</t>
  </si>
  <si>
    <t>CmbCode_managedResourceProtected</t>
  </si>
  <si>
    <t>nationalPark</t>
  </si>
  <si>
    <t>National Park</t>
  </si>
  <si>
    <t>The boundary of a natural area of land and/or sea, designated to: protect the ecological integrity of one or more ecosystems for present and future generations; exclude exploitation or occupation inimical to the purposes of designation of the area; and provide a foundation for spiritual, scientific, educational, recreational, and visitor opportunities, all of which must be environmentally and culturally compatible.</t>
  </si>
  <si>
    <t>As determined by IUCN Category II.</t>
  </si>
  <si>
    <t>CmbCode_nationalPark</t>
  </si>
  <si>
    <t>naturalMonument</t>
  </si>
  <si>
    <t>Natural Monument</t>
  </si>
  <si>
    <t>The boundary of an area containing one, or more, specific natural or natural/cultural feature which is of outstanding or unique value because of its inherent rarity, representative or aesthetic qualities or cultural significance.</t>
  </si>
  <si>
    <t>As determined by IUCN Category III.</t>
  </si>
  <si>
    <t>CmbCode_naturalMonument</t>
  </si>
  <si>
    <t>protectedLandSeascape</t>
  </si>
  <si>
    <t>Protected Landscape or Seascape</t>
  </si>
  <si>
    <t>The boundary of an area of land, with coast and sea as appropriate, where the interaction of people and nature over time has produced an area of distinct character with significant aesthetic, ecological, or cultural value, and often with high biological diversity.</t>
  </si>
  <si>
    <t>Safeguarding the integrity of this traditional interaction is vital to the protection, maintenance, and evolution of such an area. As determined by IUCN Category V.</t>
  </si>
  <si>
    <t>CmbCode_protectedLandSeascape</t>
  </si>
  <si>
    <t>strictNatureReserve</t>
  </si>
  <si>
    <t>Strict Nature Reserve</t>
  </si>
  <si>
    <t>The boundary of an area of land or sea possessing some outstanding or representative ecosystems, geological or physiological features and/or species, available primarily for scientific research or environmental monitoring.</t>
  </si>
  <si>
    <t>As determined by IUCN Category Ia.</t>
  </si>
  <si>
    <t>CmbCode_strictNatureReserve</t>
  </si>
  <si>
    <t>wildernessArea</t>
  </si>
  <si>
    <t>Wilderness Area</t>
  </si>
  <si>
    <t>The boundary of a large area of unmodified or slightly modified land, and/or sea, retaining its natural character and influence, without permanent or significant habitation, which is protected and managed so as to preserve its natural condition.</t>
  </si>
  <si>
    <t>As determined by IUCN Category Ib.</t>
  </si>
  <si>
    <t>CmbCode_wildernessArea</t>
  </si>
  <si>
    <t>An area of land where a species (for example: birds, seals or turtles) habitually breeds.</t>
  </si>
  <si>
    <t>Rookery</t>
  </si>
  <si>
    <t>CamCode_breedingGround</t>
  </si>
  <si>
    <t>Habitat and/or Species Management Area</t>
  </si>
  <si>
    <t>An area of land or sea subject to active intervention for management purposes so as to ensure the maintenance of habitats and/or to meet the requirements of specific species.</t>
  </si>
  <si>
    <t>CamCode_habitatSpeciesManagement</t>
  </si>
  <si>
    <t>habitatManagement</t>
  </si>
  <si>
    <t>Habitat Management Area</t>
  </si>
  <si>
    <t>An area of land or sea subject to active intervention for management purposes so as to ensure the maintenance of habitats.</t>
  </si>
  <si>
    <t>A subset of IUCN Category IV.</t>
  </si>
  <si>
    <t>CamCode_habitatManagement</t>
  </si>
  <si>
    <t>An area containing predominantly unmodified forest, managed to ensure long term protection and maintenance of biological diversity, while providing at the same time a sustainable flow of natural products and services to meet community needs.</t>
  </si>
  <si>
    <t>CamCode_managedForestProtected</t>
  </si>
  <si>
    <t>An area containing predominantly unmodified natural systems, managed to ensure long term protection and maintenance of biological diversity, while providing at the same time a sustainable flow of natural products and services to meet community needs.</t>
  </si>
  <si>
    <t>CamCode_managedResourceProtected</t>
  </si>
  <si>
    <t>A natural area of land and/or sea, designated to: protect the ecological integrity of one or more ecosystems for present and future generations; exclude exploitation or occupation inimical to the purposes of designation of the area; and provide a foundation for spiritual, scientific, educational, recreational, and visitor opportunities, all of which must be environmentally and culturally compatible.</t>
  </si>
  <si>
    <t>CamCode_nationalPark</t>
  </si>
  <si>
    <t>An area containing one, or more, specific natural or natural/cultural feature which is of outstanding or unique value because of its inherent rarity, representative or aesthetic qualities or cultural significance.</t>
  </si>
  <si>
    <t>CamCode_naturalMonument</t>
  </si>
  <si>
    <t>An area of land, with coast and sea as appropriate, where the interaction of people and nature over time has produced an area of distinct character with significant aesthetic, ecological, or cultural value, and often with high biological diversity.</t>
  </si>
  <si>
    <t>CamCode_protectedLandSeascape</t>
  </si>
  <si>
    <t>speciesManagement</t>
  </si>
  <si>
    <t>Species Management Area</t>
  </si>
  <si>
    <t>An area of land or sea subject to active intervention for management purposes to meet the requirements of specific species.</t>
  </si>
  <si>
    <t>CamCode_speciesManagement</t>
  </si>
  <si>
    <t>An area of land or sea possessing some outstanding or representative ecosystems, geological or physiological features and/or species, available primarily for scientific research or environmental monitoring.</t>
  </si>
  <si>
    <t>CamCode_strictNatureReserve</t>
  </si>
  <si>
    <t>A large area of unmodified or slightly modified land, and/or sea, retaining its natural character and influence, without permanent or significant habitation, which is protected and managed so as to preserve its natural condition.</t>
  </si>
  <si>
    <t>CamCode_wildernessArea</t>
  </si>
  <si>
    <t>notConspicuous</t>
  </si>
  <si>
    <t>Not Conspicuous</t>
  </si>
  <si>
    <t>Not conspicuous either visually or by radar.</t>
  </si>
  <si>
    <t>CoaCode_notConspicuous</t>
  </si>
  <si>
    <t>radar</t>
  </si>
  <si>
    <t>Radar</t>
  </si>
  <si>
    <t>Conspicuous by radar.</t>
  </si>
  <si>
    <t>Conspicuousness visually unspecified.</t>
  </si>
  <si>
    <t>CoaCode_radar</t>
  </si>
  <si>
    <t>Conspicuous visually.</t>
  </si>
  <si>
    <t>Conspicuousness by radar unspecified.</t>
  </si>
  <si>
    <t>CoaCode_visual</t>
  </si>
  <si>
    <t>visualRadar</t>
  </si>
  <si>
    <t>Visual and Radar</t>
  </si>
  <si>
    <t>Conspicuous visually and by radar.</t>
  </si>
  <si>
    <t>CoaCode_visualRadar</t>
  </si>
  <si>
    <t>CogCode_notConspicuous</t>
  </si>
  <si>
    <t>CogCode_radar</t>
  </si>
  <si>
    <t>CogCode_visual</t>
  </si>
  <si>
    <t>CogCode_visualRadar</t>
  </si>
  <si>
    <t>Not conspicuous either visually, by radar, or by sonar.</t>
  </si>
  <si>
    <t>CocCode_notConspicuous</t>
  </si>
  <si>
    <t>Conspicuousness visually and by sonar unspecified.</t>
  </si>
  <si>
    <t>CocCode_radar</t>
  </si>
  <si>
    <t>radarSonar</t>
  </si>
  <si>
    <t>Radar and Sonar</t>
  </si>
  <si>
    <t>Conspicuous by radar and by sonar.</t>
  </si>
  <si>
    <t>CocCode_radarSonar</t>
  </si>
  <si>
    <t>sonar</t>
  </si>
  <si>
    <t>Sonar</t>
  </si>
  <si>
    <t>Conspicuous by sonar.</t>
  </si>
  <si>
    <t>Conspicuousness visually and by radar unspecified.</t>
  </si>
  <si>
    <t>CocCode_sonar</t>
  </si>
  <si>
    <t>Conspicuousness by radar and by sonar unspecified.</t>
  </si>
  <si>
    <t>CocCode_visual</t>
  </si>
  <si>
    <t>Conspicuousness by sonar unspecified.</t>
  </si>
  <si>
    <t>CocCode_visualRadar</t>
  </si>
  <si>
    <t>visualSonar</t>
  </si>
  <si>
    <t>Visual and Sonar</t>
  </si>
  <si>
    <t>Conspicuous visually and by sonar.</t>
  </si>
  <si>
    <t>CocCode_visualSonar</t>
  </si>
  <si>
    <t>visualRadarSonar</t>
  </si>
  <si>
    <t>Visual, Radar, and Sonar</t>
  </si>
  <si>
    <t>Conspicuous visually, by radar, and by sonar.</t>
  </si>
  <si>
    <t>CocCode_visualRadarSonar</t>
  </si>
  <si>
    <t>aircraft</t>
  </si>
  <si>
    <t>Aircraft</t>
  </si>
  <si>
    <t>A machine that can be flown in the air; now specific an aeroplane or helicopter; such machines collectively.</t>
  </si>
  <si>
    <t>ClpCode_aircraft</t>
  </si>
  <si>
    <t>vessel</t>
  </si>
  <si>
    <t>Vessel</t>
  </si>
  <si>
    <t>A ship or boat, now usually one of larger size; a craft.</t>
  </si>
  <si>
    <t>ClpCode_vessel</t>
  </si>
  <si>
    <t>Detonated by direct physical contact.</t>
  </si>
  <si>
    <t>MicCode_direct</t>
  </si>
  <si>
    <t>rod</t>
  </si>
  <si>
    <t>Rod</t>
  </si>
  <si>
    <t>A contact mine fitted with rods which, when touched by a steel vessel, sets up galvanic action to fire the mine.</t>
  </si>
  <si>
    <t>Antenna</t>
  </si>
  <si>
    <t>MicCode_rod</t>
  </si>
  <si>
    <t>snagline</t>
  </si>
  <si>
    <t>Snagline</t>
  </si>
  <si>
    <t>A contact mine with a buoyant line attached to one of the horns or switches which may be caught up and pulled by the hull and/or propellers of a vessel.</t>
  </si>
  <si>
    <t>MicCode_snagline</t>
  </si>
  <si>
    <t>identifiedExplosiveMine</t>
  </si>
  <si>
    <t>Identified Explosive Mine</t>
  </si>
  <si>
    <t>The object has been positively identified as an explosive mine.</t>
  </si>
  <si>
    <t>SbsCode_identifiedExplosiveMine</t>
  </si>
  <si>
    <t>mineLikeContact</t>
  </si>
  <si>
    <t>Mine-like Contact (MILCO)</t>
  </si>
  <si>
    <t>The object has been classified as a mine-like contact.</t>
  </si>
  <si>
    <t>SbsCode_mineLikeContact</t>
  </si>
  <si>
    <t>mineLikeEcho</t>
  </si>
  <si>
    <t>Mine-like Echo (MILEC)</t>
  </si>
  <si>
    <t>Mine-like echoes have been detected within the sonar clutter.</t>
  </si>
  <si>
    <t>SbsCode_mineLikeEcho</t>
  </si>
  <si>
    <t>nonMineLikeContact</t>
  </si>
  <si>
    <t>Non Mine-Like Contact (NON-MILCO)</t>
  </si>
  <si>
    <t>The object has been classified as not being a mine-like contact.</t>
  </si>
  <si>
    <t>SbsCode_nonMineLikeContact</t>
  </si>
  <si>
    <t>nonMineMineLikeBotObject</t>
  </si>
  <si>
    <t>Non-Mine, Mine-Like Bottom Object (NOMBO)</t>
  </si>
  <si>
    <t>The object has been positively identified as a non-mine mine-like bottom object.</t>
  </si>
  <si>
    <t>SbsCode_nonMineMineLikeBotObject</t>
  </si>
  <si>
    <t>unexplodedOrdnance</t>
  </si>
  <si>
    <t>Unexploded Ordnance (UXO)</t>
  </si>
  <si>
    <t>The object has been positively identified as unexploded ordnance.</t>
  </si>
  <si>
    <t>SbsCode_unexplodedOrdnance</t>
  </si>
  <si>
    <t>dredging</t>
  </si>
  <si>
    <t>Dredging</t>
  </si>
  <si>
    <t>Contaminants or pollutants released by the activity of dredging or hazards related to the activity of dredging itself.</t>
  </si>
  <si>
    <t>CsoCode_dredging</t>
  </si>
  <si>
    <t>factories</t>
  </si>
  <si>
    <t>Factories</t>
  </si>
  <si>
    <t>Locations (for example: buildings) where goods are manufactured.</t>
  </si>
  <si>
    <t>Industrial pollutants may be in the form of liquids, gases, and/or solids.</t>
  </si>
  <si>
    <t>CsoCode_factories</t>
  </si>
  <si>
    <t>farmRunOff</t>
  </si>
  <si>
    <t>Farm Run-off</t>
  </si>
  <si>
    <t>The release of pollutants (for example: nitrogen, phosphorus, sediment, and fecal matter) into waterways from farming and related agricultural activities.</t>
  </si>
  <si>
    <t>CsoCode_farmRunOff</t>
  </si>
  <si>
    <t>All aspects of military operations involving the employment of lethal and incapacitating munitions and/or agents.</t>
  </si>
  <si>
    <t>CsoCode_militaryOperations</t>
  </si>
  <si>
    <t>naturallyOccurring</t>
  </si>
  <si>
    <t>Naturally Occurring</t>
  </si>
  <si>
    <t>Naturally occurring pollution (for example: forest fires and volcanic eruptions) that cause significant deterioration in environmental quality.</t>
  </si>
  <si>
    <t>CsoCode_naturallyOccurring</t>
  </si>
  <si>
    <t>sewers</t>
  </si>
  <si>
    <t>Sewers</t>
  </si>
  <si>
    <t>Artificial channels or conduits, usually covered and buried, for carrying off and discharging waste, storm water, and/or refuse from buildings and built-up areas.</t>
  </si>
  <si>
    <t>CsoCode_sewers</t>
  </si>
  <si>
    <t>A deposit of dredged material.</t>
  </si>
  <si>
    <t>CsoCode_spoil</t>
  </si>
  <si>
    <t>wrecks</t>
  </si>
  <si>
    <t>Wrecks</t>
  </si>
  <si>
    <t>The ruined remains of a stranded or sunken vessel that has been rendered useless but continues to leak fluids (for example: fuel oil).</t>
  </si>
  <si>
    <t>CsoCode_wrecks</t>
  </si>
  <si>
    <t>formerIndustrialLocation</t>
  </si>
  <si>
    <t>Former Industrial Location</t>
  </si>
  <si>
    <t>Pollution of the soil and soil water caused by harmful substances or their residuals resulting from former production processes endangering organisms and ecosystems.</t>
  </si>
  <si>
    <t>KelCode_formerIndustrialLocation</t>
  </si>
  <si>
    <t>formerMilitaryFacility</t>
  </si>
  <si>
    <t>Former Military Facility</t>
  </si>
  <si>
    <t>Pollution of the soil and soil water caused by harmful substances or their residuals resulting from former use as military facilities endangering organisms and ecosystems.</t>
  </si>
  <si>
    <t>KelCode_formerMilitaryFacility</t>
  </si>
  <si>
    <t>formerWasteDisposalInst</t>
  </si>
  <si>
    <t>Former Waste Disposal Installation</t>
  </si>
  <si>
    <t>Pollution of the soil and soil water caused by harmful substances or their residuals resulting from former use as waste material processing facilities endangering organisms and ecosystems.</t>
  </si>
  <si>
    <t>KelCode_formerWasteDisposalInst</t>
  </si>
  <si>
    <t>formerWasteMaterialSite</t>
  </si>
  <si>
    <t>Former Waste Material Site</t>
  </si>
  <si>
    <t>Pollution of the soil and soil water caused by harmful substances or their residuals resulting from waste deposits endangering organisms and ecosystems.</t>
  </si>
  <si>
    <t>KelCode_formerWasteMaterialSite</t>
  </si>
  <si>
    <t>illegalWasteDump</t>
  </si>
  <si>
    <t>Illegal Waste Dump</t>
  </si>
  <si>
    <t>Pollution of the soil and soil water caused by harmful substances or their residuals resulting from illicit waste material deposits endangering organisms and ecosystems.</t>
  </si>
  <si>
    <t>KelCode_illegalWasteDump</t>
  </si>
  <si>
    <t>presumed</t>
  </si>
  <si>
    <t>Presumed</t>
  </si>
  <si>
    <t>Presumed to be polluted based on indirect evidence.</t>
  </si>
  <si>
    <t>EelCode_presumed</t>
  </si>
  <si>
    <t>proven</t>
  </si>
  <si>
    <t>Proven</t>
  </si>
  <si>
    <t>Proven to be polluted based on direct measurements.</t>
  </si>
  <si>
    <t>EelCode_proven</t>
  </si>
  <si>
    <t>eq</t>
  </si>
  <si>
    <t>EQ</t>
  </si>
  <si>
    <t>The predominant feature height is equal to the contour interval.</t>
  </si>
  <si>
    <t>GliCode_eq</t>
  </si>
  <si>
    <t>gt</t>
  </si>
  <si>
    <t>GT</t>
  </si>
  <si>
    <t>The predominant feature height is greater than the contour interval.</t>
  </si>
  <si>
    <t>GliCode_gt</t>
  </si>
  <si>
    <t>gte</t>
  </si>
  <si>
    <t>GTE</t>
  </si>
  <si>
    <t>The predominant feature height is greater than or equal to the contour interval.</t>
  </si>
  <si>
    <t>GliCode_gte</t>
  </si>
  <si>
    <t>lt</t>
  </si>
  <si>
    <t>LT</t>
  </si>
  <si>
    <t>The predominant feature height is less than the contour interval.</t>
  </si>
  <si>
    <t>GliCode_lt</t>
  </si>
  <si>
    <t>lte</t>
  </si>
  <si>
    <t>LTE</t>
  </si>
  <si>
    <t>The predominant feature height is less than or equal to the contour interval.</t>
  </si>
  <si>
    <t>GliCode_lte</t>
  </si>
  <si>
    <t>civilian</t>
  </si>
  <si>
    <t>Civilian</t>
  </si>
  <si>
    <t>An administrative unit not associated with an armed force.</t>
  </si>
  <si>
    <t>CaaCode_civilian</t>
  </si>
  <si>
    <t>communal</t>
  </si>
  <si>
    <t>Communal</t>
  </si>
  <si>
    <t>The smallest administrative district of several European countries.</t>
  </si>
  <si>
    <t>For example, a French territorial division.</t>
  </si>
  <si>
    <t>CaaCode_communal</t>
  </si>
  <si>
    <t>ecclesiastical</t>
  </si>
  <si>
    <t>Ecclesiastical</t>
  </si>
  <si>
    <t>Belonging to or under the administration of a religious authority.</t>
  </si>
  <si>
    <t>For example, the Catholic Church as an institution.</t>
  </si>
  <si>
    <t>CaaCode_ecclesiastical</t>
  </si>
  <si>
    <t>europeanUnion</t>
  </si>
  <si>
    <t>European Union</t>
  </si>
  <si>
    <t>Administered by the European Union (EU).</t>
  </si>
  <si>
    <t>CaaCode_europeanUnion</t>
  </si>
  <si>
    <t>insular</t>
  </si>
  <si>
    <t>Insular</t>
  </si>
  <si>
    <t>An administrative division encompassing one or more islands.</t>
  </si>
  <si>
    <t>CaaCode_insular</t>
  </si>
  <si>
    <t>A joint administrative unit that is agreed on by many nations.</t>
  </si>
  <si>
    <t>Usually of limited scope of responsibility and authority. For example, the United Nations.</t>
  </si>
  <si>
    <t>CaaCode_international</t>
  </si>
  <si>
    <t>interstate</t>
  </si>
  <si>
    <t>Interstate</t>
  </si>
  <si>
    <t>A joint administrative body that is agreed on by many principal sub-national bodies.</t>
  </si>
  <si>
    <t>Usually of limited scope of responsibility and authority. For example, an interstate commerce commission.</t>
  </si>
  <si>
    <t>CaaCode_interstate</t>
  </si>
  <si>
    <t>jointMilitaryCivilian</t>
  </si>
  <si>
    <t>Joint Military and Civilian</t>
  </si>
  <si>
    <t>An administrative body composed of both military and civil authorities.</t>
  </si>
  <si>
    <t>Often created during times of civil unrest or war and intended to be of a temporary nature.</t>
  </si>
  <si>
    <t>CaaCode_jointMilitaryCivilian</t>
  </si>
  <si>
    <t>An armed force constituted under the laws of a State.</t>
  </si>
  <si>
    <t>CaaCode_military</t>
  </si>
  <si>
    <t>militaryDistrict</t>
  </si>
  <si>
    <t>Military District</t>
  </si>
  <si>
    <t>A principal administrative unit of an armed force based on territorial responsibility.</t>
  </si>
  <si>
    <t>Distinct from the operational command structure of the armed force.</t>
  </si>
  <si>
    <t>CaaCode_militaryDistrict</t>
  </si>
  <si>
    <t>May be specified as a 'city' by charter (historically, contained a cathedral).</t>
  </si>
  <si>
    <t>CaaCode_municipal</t>
  </si>
  <si>
    <t>Administered by an independent political State.</t>
  </si>
  <si>
    <t>Federal</t>
  </si>
  <si>
    <t>CaaCode_national</t>
  </si>
  <si>
    <t>nato</t>
  </si>
  <si>
    <t>NATO</t>
  </si>
  <si>
    <t>Administered by the North Atlantic Treaty Organisation (NATO), an international defense alliance between the United States, Great Britain, and others formed in 1949 as a response to the spread of communism.</t>
  </si>
  <si>
    <t>CaaCode_nato</t>
  </si>
  <si>
    <t>Administered by an individual or corporation, rather than a State or a public body.</t>
  </si>
  <si>
    <t>CaaCode_private</t>
  </si>
  <si>
    <t>province</t>
  </si>
  <si>
    <t>Province</t>
  </si>
  <si>
    <t>A principal administrative division of certain countries or States.</t>
  </si>
  <si>
    <t>Historically, a principal division of a kingdom or empire, especially one that is historically and/or linguistically distinct.</t>
  </si>
  <si>
    <t>CaaCode_province</t>
  </si>
  <si>
    <t>public</t>
  </si>
  <si>
    <t>Public</t>
  </si>
  <si>
    <t>Administered on behalf all members of a community, rather than restricted to an individual or corporation.</t>
  </si>
  <si>
    <t>CaaCode_public</t>
  </si>
  <si>
    <t>regional</t>
  </si>
  <si>
    <t>Regional</t>
  </si>
  <si>
    <t>A joint administrative body that is agreed on by many, relatively small (for example: municipal), sub-national bodies.</t>
  </si>
  <si>
    <t>Usually of limited scope of responsibility and authority. For example, a port authority.</t>
  </si>
  <si>
    <t>CaaCode_regional</t>
  </si>
  <si>
    <t>state</t>
  </si>
  <si>
    <t>State</t>
  </si>
  <si>
    <t>A sub-national administrative division of a federal republic (for example: the United States of America).</t>
  </si>
  <si>
    <t>CaaCode_state</t>
  </si>
  <si>
    <t>statutoryCorporation</t>
  </si>
  <si>
    <t>Statutory Corporation</t>
  </si>
  <si>
    <t>Belonging to or under the administration of a corporation created by statute.</t>
  </si>
  <si>
    <t>Their precise nature varies by jurisdiction thus they might be ordinary corporations owned by a government with or without other shareholders, or they might be a body without shareholders which is controlled by national or sub-national government to the (in some cases minimal) extent provided for in the creating legislation.</t>
  </si>
  <si>
    <t>CaaCode_statutoryCorporation</t>
  </si>
  <si>
    <t>subNational</t>
  </si>
  <si>
    <t>Sub-national</t>
  </si>
  <si>
    <t>A principal administrative division of a nation.</t>
  </si>
  <si>
    <t>For example, a (US) state, (UK) county, (CA) province, (FR) region, (FR) department, (CH) canton, or (DE) land.</t>
  </si>
  <si>
    <t>CaaCode_subNational</t>
  </si>
  <si>
    <t>tribal</t>
  </si>
  <si>
    <t>Tribal</t>
  </si>
  <si>
    <t>An administrative division based on the tribal unit.</t>
  </si>
  <si>
    <t>In the United States, exercises powers of sovereignty.</t>
  </si>
  <si>
    <t>CaaCode_tribal</t>
  </si>
  <si>
    <t>unitedNations</t>
  </si>
  <si>
    <t>United Nations</t>
  </si>
  <si>
    <t>Administered by the United Nations, an international organization comprising most of the nations of the world, formed in 1945, to promote peace, security, and economic development.</t>
  </si>
  <si>
    <t>CaaCode_unitedNations</t>
  </si>
  <si>
    <t>apron</t>
  </si>
  <si>
    <t>Constructed from a series of individual apron plates linked together by hinges on its underside, creating a looped carrying surface where materials can be placed.</t>
  </si>
  <si>
    <t>It operates like the tracks of a battle tank. An apron conveyor is easily maintained and its length can be adjusted by changing the number of apron plates in the loop.</t>
  </si>
  <si>
    <t>CvtCode_apron</t>
  </si>
  <si>
    <t>belt</t>
  </si>
  <si>
    <t>Belt</t>
  </si>
  <si>
    <t>Two or more pulleys with a continuous loop of material - the conveyor belt - that rotates about them.</t>
  </si>
  <si>
    <t>One or both of the pulleys are powered, moving the belt and the materials on the belt forward.</t>
  </si>
  <si>
    <t>CvtCode_belt</t>
  </si>
  <si>
    <t>bucket</t>
  </si>
  <si>
    <t>Bucket</t>
  </si>
  <si>
    <t>A system to transport materials from one processing stage to another that usually, but not always, involving a change in elevation between stages.</t>
  </si>
  <si>
    <t>The buckets can be attached to a belt, an apron, or a set of parallel chains. Construction of a bucket conveyor system is very flexible allowing for horizontal, vertical, and/or angled movement of materials.</t>
  </si>
  <si>
    <t>CvtCode_bucket</t>
  </si>
  <si>
    <t>flight</t>
  </si>
  <si>
    <t>Flight</t>
  </si>
  <si>
    <t>Uses a series of scraper plates (flights) carried by one or two strands of chain, to push materials along in walled troughs.</t>
  </si>
  <si>
    <t>Generally used in industrial processing to move materials like coal or gravel, or in agriculture to move grains. The material being moved can be discharged at the end of the system, or at intermediate points through gates.</t>
  </si>
  <si>
    <t>CvtCode_flight</t>
  </si>
  <si>
    <t>notVisible</t>
  </si>
  <si>
    <t>Not Visible</t>
  </si>
  <si>
    <t>The type of conveyor system cannot be determined because it is covered and/or otherwise obscured.</t>
  </si>
  <si>
    <t>CvtCode_notVisible</t>
  </si>
  <si>
    <t>rollers</t>
  </si>
  <si>
    <t>Rollers</t>
  </si>
  <si>
    <t>A series of rollers situated between a set of parallel frames providing a low-friction surface on which to transport bulky materials.</t>
  </si>
  <si>
    <t>Roller conveyor systems are usually gravity- or power-driven. They are often found in settings where packaged materials need to be quickly moved from one stage to the next (for example, moving luggage in an airport terminal from check-in to loading).</t>
  </si>
  <si>
    <t>CvtCode_rollers</t>
  </si>
  <si>
    <t>screwAuger</t>
  </si>
  <si>
    <t>Screw Auger</t>
  </si>
  <si>
    <t>A mechanism that uses a rotating helical screw blade, usually within a tube, to move liquid or granular materials.</t>
  </si>
  <si>
    <t>Used often in manufacturing processes, but the most common usage is in an agricultural setting to move grains between transport vehicles and storage bins/silos. The screw conveyor system is based on the principles of the Archimedes' Screw. The rotating blade is sometimes simply called an auger.</t>
  </si>
  <si>
    <t>CvtCode_screwAuger</t>
  </si>
  <si>
    <t>correctionalInstitute</t>
  </si>
  <si>
    <t>Correctional Institute</t>
  </si>
  <si>
    <t>A building within which persons convicted or accused of crimes are confined.</t>
  </si>
  <si>
    <t>CfcCode_correctionalInstitute</t>
  </si>
  <si>
    <t>detentionFacility</t>
  </si>
  <si>
    <t>Detention Facility</t>
  </si>
  <si>
    <t>A facility, building, or structure used to confine those accused of offences (for example: military, political, or immigration) against the State.</t>
  </si>
  <si>
    <t>CfcCode_detentionFacility</t>
  </si>
  <si>
    <t>internmentCamp</t>
  </si>
  <si>
    <t>Internment Camp</t>
  </si>
  <si>
    <t>A large facility created for detaining political opponents, enemy aliens, specific ethnic or religious groups, civilians of a critical war-zone, or other groups of people, usually during a war.</t>
  </si>
  <si>
    <t>The term is used for facilities whose inmates are selected according to some specific criteria, rather than individuals who are incarcerated after due process of law fairly applied by a judiciary.</t>
  </si>
  <si>
    <t>CfcCode_internmentCamp</t>
  </si>
  <si>
    <t>jail</t>
  </si>
  <si>
    <t>Jail</t>
  </si>
  <si>
    <t>A location where the criminally accused are initially taken to be processed and await trial and where short (usually less than one year) sentences for criminal misconduct may be served.</t>
  </si>
  <si>
    <t>Typically smaller than a prison and serving a local administrative region.</t>
  </si>
  <si>
    <t>CfcCode_jail</t>
  </si>
  <si>
    <t>prison</t>
  </si>
  <si>
    <t>Prison</t>
  </si>
  <si>
    <t>A location where long (usually more than one year) sentences for criminal misconduct may be served.</t>
  </si>
  <si>
    <t>Typically larger than a jail and serving a larger administrative region.</t>
  </si>
  <si>
    <t>CfcCode_prison</t>
  </si>
  <si>
    <t>reformatory</t>
  </si>
  <si>
    <t>Reformatory</t>
  </si>
  <si>
    <t>A building used for the discipline, reformation, and training of young and/or first offenders.</t>
  </si>
  <si>
    <t>CfcCode_reformatory</t>
  </si>
  <si>
    <t>(Aeronautical Information Exchange Model (AIXM): 'HDG')</t>
  </si>
  <si>
    <t>heading</t>
  </si>
  <si>
    <t>Heading</t>
  </si>
  <si>
    <t>The horizontal direction of the aircraft as indicated by the aircraft's heading indicator.</t>
  </si>
  <si>
    <t>CouCode_heading</t>
  </si>
  <si>
    <t>(Aeronautical Information Exchange Model (AIXM): 'MBRG')</t>
  </si>
  <si>
    <t>CouCode_magneticBearing</t>
  </si>
  <si>
    <t>(Aeronautical Information Exchange Model (AIXM): 'MT')</t>
  </si>
  <si>
    <t>The projection on the earth's surface of the path of an aircraft, the direction of which path at any point is usually expressed in degrees from Magnetic North.</t>
  </si>
  <si>
    <t>CouCode_magneticTrack</t>
  </si>
  <si>
    <t>(Aeronautical Information Exchange Model (AIXM): 'TBRG')</t>
  </si>
  <si>
    <t>The horizontal direction of an object or point measured clockwise from True North through 360 arc degrees.</t>
  </si>
  <si>
    <t>CouCode_trueBearing</t>
  </si>
  <si>
    <t>(Aeronautical Information Exchange Model (AIXM): 'TT')</t>
  </si>
  <si>
    <t>The projection on the earth's surface of the path of an aircraft, the direction of which path at any point is usually expressed in degrees from True North.</t>
  </si>
  <si>
    <t>CouCode_trueTrack</t>
  </si>
  <si>
    <t>CouCode_vorRadial</t>
  </si>
  <si>
    <t>complete</t>
  </si>
  <si>
    <t>Complete</t>
  </si>
  <si>
    <t>The structure is completely covered.</t>
  </si>
  <si>
    <t>CctCode_complete</t>
  </si>
  <si>
    <t>moveable</t>
  </si>
  <si>
    <t>The structure is covered by a moveable surface that may be opened and closed.</t>
  </si>
  <si>
    <t>Typically used on stadiums where weather control is desired.</t>
  </si>
  <si>
    <t>CctCode_moveable</t>
  </si>
  <si>
    <t>No cover exists over the structure.</t>
  </si>
  <si>
    <t>It is completely open to the sun and weather.</t>
  </si>
  <si>
    <t>Uncovered</t>
  </si>
  <si>
    <t>CctCode_open</t>
  </si>
  <si>
    <t>partial</t>
  </si>
  <si>
    <t>Partial</t>
  </si>
  <si>
    <t>A portion of the structure is covered, but a significant portion remains uncovered.</t>
  </si>
  <si>
    <t>CctCode_partial</t>
  </si>
  <si>
    <t>Non-mobile, power-operated, with lifting tackle and a pivoted boom that allows movement of loads horizontally as well as vertically.</t>
  </si>
  <si>
    <t>CrmCode_fixed</t>
  </si>
  <si>
    <t>Having a barge or scow for an undercarriage.</t>
  </si>
  <si>
    <t>Used, for example, for waterworks and waterfront work.</t>
  </si>
  <si>
    <t>CrmCode_floating</t>
  </si>
  <si>
    <t>mobile</t>
  </si>
  <si>
    <t>Mobile</t>
  </si>
  <si>
    <t>Capable of moving throughout an area (for example: adjacent to the face of a wharf).</t>
  </si>
  <si>
    <t>May be mounted on either solid rubber wheels or tracks (continuous articulated bands passing around two or more wheels).</t>
  </si>
  <si>
    <t>CrmCode_mobile</t>
  </si>
  <si>
    <t>travelling</t>
  </si>
  <si>
    <t>Travelling</t>
  </si>
  <si>
    <t>Capable of moving along a fixed path (for example: parallel to the face of a wharf).</t>
  </si>
  <si>
    <t>May travel along rails, tracks, or reinforced channels.</t>
  </si>
  <si>
    <t>Traveling</t>
  </si>
  <si>
    <t>CrmCode_travelling</t>
  </si>
  <si>
    <t>bridgeCrane</t>
  </si>
  <si>
    <t>Bridge Crane</t>
  </si>
  <si>
    <t>Permanently installed crane that is mounted between two overhead tracks with the main structure member forming a bridge between them.</t>
  </si>
  <si>
    <t>Gantry Crane</t>
  </si>
  <si>
    <t>CraCode_bridgeCrane</t>
  </si>
  <si>
    <t>containerCrane</t>
  </si>
  <si>
    <t>Container Crane</t>
  </si>
  <si>
    <t>High-speed, shore-based, and used in the lift-on/lift-off operation of specially constructed containers.</t>
  </si>
  <si>
    <t>CraCode_containerCrane</t>
  </si>
  <si>
    <t>rotatingCrane</t>
  </si>
  <si>
    <t>Rotating Crane</t>
  </si>
  <si>
    <t>Having a boom mounted on a fixed or movable structure that moves in a complete circle to handle heavy materials.</t>
  </si>
  <si>
    <t>CraCode_rotatingCrane</t>
  </si>
  <si>
    <t>shearLegs</t>
  </si>
  <si>
    <t>Shear-Legs</t>
  </si>
  <si>
    <t>CraCode_shearLegs</t>
  </si>
  <si>
    <t>towerCrane</t>
  </si>
  <si>
    <t>Tower Crane</t>
  </si>
  <si>
    <t>A crane in which a boom, swinging jib, or other structural member is mounted on a vertical mast or tower.</t>
  </si>
  <si>
    <t>CraCode_towerCrane</t>
  </si>
  <si>
    <t>bomb</t>
  </si>
  <si>
    <t>Bomb</t>
  </si>
  <si>
    <t>Created by the explosive force originating from both the impact and the subsequent explosion of a bomb, missile or similar man-made object.</t>
  </si>
  <si>
    <t>CrtCode_bomb</t>
  </si>
  <si>
    <t>caldera</t>
  </si>
  <si>
    <t>Caldera</t>
  </si>
  <si>
    <t>Created by a volcanic explosion or the collapse of a volcanic cone.</t>
  </si>
  <si>
    <t>CrtCode_caldera</t>
  </si>
  <si>
    <t>collapse</t>
  </si>
  <si>
    <t>Collapse</t>
  </si>
  <si>
    <t>A crater originating from the collapse of either a man-made (mine) or natural (cavern) subterranean void.</t>
  </si>
  <si>
    <t>CrtCode_collapse</t>
  </si>
  <si>
    <t>impact</t>
  </si>
  <si>
    <t>Impact</t>
  </si>
  <si>
    <t>Created by the explosive force originating from the impact of a meteorite or similar body with the surface of the Earth.</t>
  </si>
  <si>
    <t>CrtCode_impact</t>
  </si>
  <si>
    <t>volcanicEruption</t>
  </si>
  <si>
    <t>Volcanic Eruption</t>
  </si>
  <si>
    <t>A usually funnel-shaped crater originating from eruptive volcanic activity, whereby lava or ashes have been thrown out.</t>
  </si>
  <si>
    <t>CrtCode_volcanicEruption</t>
  </si>
  <si>
    <t>handToHandInjuries</t>
  </si>
  <si>
    <t>Hand-to-hand injuries</t>
  </si>
  <si>
    <t>Injuries resulting from hand-to-hand combat (for example: contusions, abrasions, or minor lacerations).</t>
  </si>
  <si>
    <t>CinCode_handToHandInjuries</t>
  </si>
  <si>
    <t>shot</t>
  </si>
  <si>
    <t>Shot</t>
  </si>
  <si>
    <t>Piercing(s) by projectiles from firearms (for example: a pistol, a gun, or an automatic weapon).</t>
  </si>
  <si>
    <t>CinCode_shot</t>
  </si>
  <si>
    <t>stabbed</t>
  </si>
  <si>
    <t>Stabbed</t>
  </si>
  <si>
    <t>Piercing(s) from pointed weapons (for example: knives or swords).</t>
  </si>
  <si>
    <t>CinCode_stabbed</t>
  </si>
  <si>
    <t>unharmed</t>
  </si>
  <si>
    <t>Unharmed</t>
  </si>
  <si>
    <t>Did not sustain any injuries.</t>
  </si>
  <si>
    <t>CinCode_unharmed</t>
  </si>
  <si>
    <t>alfalfa</t>
  </si>
  <si>
    <t>Alfalfa</t>
  </si>
  <si>
    <t>A leguminous plant, Medicago sativa, cultivated for fodder, which bears blue to violet flowers and trifoliate leaves.</t>
  </si>
  <si>
    <t>CspCode_alfalfa</t>
  </si>
  <si>
    <t>almond</t>
  </si>
  <si>
    <t>Almond</t>
  </si>
  <si>
    <t>The tree Prunus dulcis, allied to the plum and cherry, bearing stone-fruit consisting of kernels, oval with pointed ends.</t>
  </si>
  <si>
    <t>There are two almond varieties, the sweet and the bitter.</t>
  </si>
  <si>
    <t>CspCode_almond</t>
  </si>
  <si>
    <t>aloe</t>
  </si>
  <si>
    <t>Aloe</t>
  </si>
  <si>
    <t>A plant of the genus Aloe of the lily family, which includes succulent herbs, shrubs, and trees, bearing erect spikes of flowers and yielding bitter sap.</t>
  </si>
  <si>
    <t>CspCode_aloe</t>
  </si>
  <si>
    <t>apple</t>
  </si>
  <si>
    <t>Apple</t>
  </si>
  <si>
    <t>A tree of the rose family, Malus domestica, bearing a round firm fruit.</t>
  </si>
  <si>
    <t>It is cultivated in innumerable varieties in the temperate zones.</t>
  </si>
  <si>
    <t>CspCode_apple</t>
  </si>
  <si>
    <t>apricot</t>
  </si>
  <si>
    <t>Apricot</t>
  </si>
  <si>
    <t>The tree Prunus armeniaca, of the rose family, cultivated for its juicy stone-fruit.</t>
  </si>
  <si>
    <t>It grows in the warmer temperate regions and is originally native to China.</t>
  </si>
  <si>
    <t>CspCode_apricot</t>
  </si>
  <si>
    <t>artichoke</t>
  </si>
  <si>
    <t>Artichoke</t>
  </si>
  <si>
    <t>A plant of the composite family, Cynara scolymus, resembling a thistle and whose flower-head is edible.</t>
  </si>
  <si>
    <t>It is native to the Mediterranean region.</t>
  </si>
  <si>
    <t>CspCode_artichoke</t>
  </si>
  <si>
    <t>asparagus</t>
  </si>
  <si>
    <t>Asparagus</t>
  </si>
  <si>
    <t>A plant of the genus Asparagus, of the lily family, specifically Asparagus officinalis.</t>
  </si>
  <si>
    <t>The young shoots of this plant are eaten as a delicacy.</t>
  </si>
  <si>
    <t>CspCode_asparagus</t>
  </si>
  <si>
    <t>avocado</t>
  </si>
  <si>
    <t>Avocado</t>
  </si>
  <si>
    <t>The tree Persea americana, of the laurel family, bearing a rough-skinned pear-shaped edible fruit.</t>
  </si>
  <si>
    <t>It is native to Central America and the West Indies.</t>
  </si>
  <si>
    <t>CspCode_avocado</t>
  </si>
  <si>
    <t>balsa</t>
  </si>
  <si>
    <t>Balsa</t>
  </si>
  <si>
    <t>A tropical American tree, Ochroma pyramidale having a strong and very light wood.</t>
  </si>
  <si>
    <t>Its wood is used, for example, in rafts and floats.</t>
  </si>
  <si>
    <t>CspCode_balsa</t>
  </si>
  <si>
    <t>bamboo</t>
  </si>
  <si>
    <t>Bamboo</t>
  </si>
  <si>
    <t>Any of numerous, mainly tropical, giant grasses belonging to the genus Bambusa and various related genera.</t>
  </si>
  <si>
    <t>The mature canes are used for construction and furniture.</t>
  </si>
  <si>
    <t>CspCode_bamboo</t>
  </si>
  <si>
    <t>banana</t>
  </si>
  <si>
    <t>Banana</t>
  </si>
  <si>
    <t>A treelike herbaceous plant that has a stem of overlapping leaf sheaths and bears clusters of edible finger-shaped pulpy fruits that are yellow-skinned when ripe.</t>
  </si>
  <si>
    <t>CspCode_banana</t>
  </si>
  <si>
    <t>barley</t>
  </si>
  <si>
    <t>Barley</t>
  </si>
  <si>
    <t>A hardy awned cereal of the genus Hordeum.</t>
  </si>
  <si>
    <t>The grain is used as food and in making malt liquors and spirits.</t>
  </si>
  <si>
    <t>CspCode_barley</t>
  </si>
  <si>
    <t>bean</t>
  </si>
  <si>
    <t>Bean</t>
  </si>
  <si>
    <t>Any of numerous plants bearing a smooth kidney-shaped edible seed that is borne in long pods.</t>
  </si>
  <si>
    <t>For example, the Vicia faba and the Phaseolus vulgaris.</t>
  </si>
  <si>
    <t>CspCode_bean</t>
  </si>
  <si>
    <t>bellPepper</t>
  </si>
  <si>
    <t>Bell Pepper</t>
  </si>
  <si>
    <t>A variety of the tropical genus Capsicum, of the nightshade family, bearing large bell-shaped fruits.</t>
  </si>
  <si>
    <t>CspCode_bellPepper</t>
  </si>
  <si>
    <t>berry</t>
  </si>
  <si>
    <t>Berry</t>
  </si>
  <si>
    <t>Any of several plants raised as crops and bearing small globular or ovate juicy fruits not having a stone.</t>
  </si>
  <si>
    <t>For example, strawberries, raspberries, and blackcurrants.</t>
  </si>
  <si>
    <t>CspCode_berry</t>
  </si>
  <si>
    <t>betelNut</t>
  </si>
  <si>
    <t>Betel-nut</t>
  </si>
  <si>
    <t>A tropical Asian palm of the genus Areca, especially Areca catechu, that yields astringent seeds.</t>
  </si>
  <si>
    <t>Parings of the seeds are often chewed with leaves of a climbing evergreen shrub, Piper betle, of the pepper family, and a little lime.</t>
  </si>
  <si>
    <t>CspCode_betelNut</t>
  </si>
  <si>
    <t>breadfruit</t>
  </si>
  <si>
    <t>Breadfruit</t>
  </si>
  <si>
    <t>Any of various tropical fruits with edible breadlike pulp.</t>
  </si>
  <si>
    <t>For example, that of the tree Artocarpus altilis of the Pacific islands.</t>
  </si>
  <si>
    <t>CspCode_breadfruit</t>
  </si>
  <si>
    <t>broccoli</t>
  </si>
  <si>
    <t>Broccoli</t>
  </si>
  <si>
    <t>A hardy variety of cauliflower producing many small heads.</t>
  </si>
  <si>
    <t>CspCode_broccoli</t>
  </si>
  <si>
    <t>brusselsSprout</t>
  </si>
  <si>
    <t>Brussels Sprout</t>
  </si>
  <si>
    <t>A variety of cabbage producing many small cabbage-like buds.</t>
  </si>
  <si>
    <t>Individual buds are eaten as a vegetable.</t>
  </si>
  <si>
    <t>CspCode_brusselsSprout</t>
  </si>
  <si>
    <t>cabbage</t>
  </si>
  <si>
    <t>Cabbage</t>
  </si>
  <si>
    <t>A cultivated variety of the cruciferous plant Brassica oleracea whose leaves form a compact round head or heart.</t>
  </si>
  <si>
    <t>It is used as a green culinary vegetable.</t>
  </si>
  <si>
    <t>CspCode_cabbage</t>
  </si>
  <si>
    <t>cacao</t>
  </si>
  <si>
    <t>Cacao</t>
  </si>
  <si>
    <t>The tree Theobroma cacao, from whose seed cocoa and chocolate are made.</t>
  </si>
  <si>
    <t>It is native to tropical America.</t>
  </si>
  <si>
    <t>CspCode_cacao</t>
  </si>
  <si>
    <t>cannabis</t>
  </si>
  <si>
    <t>Cannabis</t>
  </si>
  <si>
    <t>A tall erect herb, Cannabis sativa or common hemp, of the family Moraceae having long dentate leaves on long petioles and cultivated for its fibre, intoxicating properties, and/or the oil obtained from its seeds.</t>
  </si>
  <si>
    <t>It is common in central Asia and other warm regions with different regional varieties (for example: Cannabis indica or Indian hemp).</t>
  </si>
  <si>
    <t>CspCode_cannabis</t>
  </si>
  <si>
    <t>canola</t>
  </si>
  <si>
    <t>Canola</t>
  </si>
  <si>
    <t>Any of several varieties of oil-seed rape developed in Canada.</t>
  </si>
  <si>
    <t>Cultivated for the vegetable oil, canola oil, thereby obtained.</t>
  </si>
  <si>
    <t>CspCode_canola</t>
  </si>
  <si>
    <t>cantaloup</t>
  </si>
  <si>
    <t>Cantaloup</t>
  </si>
  <si>
    <t>A small round ribbed variety of melon, with orange flesh.</t>
  </si>
  <si>
    <t>CspCode_cantaloup</t>
  </si>
  <si>
    <t>cardamom</t>
  </si>
  <si>
    <t>Cardamom</t>
  </si>
  <si>
    <t>Any of several Indo-Malayan plants, especially Elettaria cardamomum, whose seed capsules are used as a spice.</t>
  </si>
  <si>
    <t>CspCode_cardamom</t>
  </si>
  <si>
    <t>carob</t>
  </si>
  <si>
    <t>Carob</t>
  </si>
  <si>
    <t>An evergreen leguminous tree, Ceratonia siliqua, native to the Mediterranean region bearing edible horn-shaped fleshy seed-pods.</t>
  </si>
  <si>
    <t>CspCode_carob</t>
  </si>
  <si>
    <t>carrot</t>
  </si>
  <si>
    <t>Carrot</t>
  </si>
  <si>
    <t>An umbelliferous plant, Daucus carota, having a large tapering root which in cultivated forms is orange-coloured and edible.</t>
  </si>
  <si>
    <t>Its roots are eaten as a vegetable.</t>
  </si>
  <si>
    <t>CspCode_carrot</t>
  </si>
  <si>
    <t>cashew</t>
  </si>
  <si>
    <t>Cashew</t>
  </si>
  <si>
    <t>A large tree, Anacardium occidentale, native to tropical America and cultivated for its edible kidney-shaped nuts.</t>
  </si>
  <si>
    <t>CspCode_cashew</t>
  </si>
  <si>
    <t>cassava</t>
  </si>
  <si>
    <t>Cassava</t>
  </si>
  <si>
    <t>A plant of the spurge family, Manihot esculenta (also called manioc), much grown in the tropics for its edible tuberous roots.</t>
  </si>
  <si>
    <t>It has two groups of cultivars, those containing high amounts of cyanide in their untreated roots (termed: bitter cassava) and those with low amounts of cyanide (termed: sweet cassava).</t>
  </si>
  <si>
    <t>Manioc</t>
  </si>
  <si>
    <t>CspCode_cassava</t>
  </si>
  <si>
    <t>cauliflower</t>
  </si>
  <si>
    <t>Cauliflower</t>
  </si>
  <si>
    <t>A cultivated variety of cabbage with a large, dense, white flower-head.</t>
  </si>
  <si>
    <t>The flower-heads are eaten as a vegetable.</t>
  </si>
  <si>
    <t>CspCode_cauliflower</t>
  </si>
  <si>
    <t>celery</t>
  </si>
  <si>
    <t>Celery</t>
  </si>
  <si>
    <t>An umbelliferous plant, Apium graveolens, grown for its crisp blanched leaf-stalks.</t>
  </si>
  <si>
    <t>The leaf-stalks are eaten raw in salads or cooked as a vegetable.</t>
  </si>
  <si>
    <t>CspCode_celery</t>
  </si>
  <si>
    <t>cereal</t>
  </si>
  <si>
    <t>Cereal</t>
  </si>
  <si>
    <t>Any of the plants of the grass family Graminae that are cultivated for their edible seeds.</t>
  </si>
  <si>
    <t>Grain</t>
  </si>
  <si>
    <t>CspCode_cereal</t>
  </si>
  <si>
    <t>chestnut</t>
  </si>
  <si>
    <t>Chestnut</t>
  </si>
  <si>
    <t>A tree of the genus Castanea, of the beech family.</t>
  </si>
  <si>
    <t>Especially that of Castanea sativa (also Spanish chestnut, sweet chestnut). Also (with specifying word), any of various similar trees.</t>
  </si>
  <si>
    <t>CspCode_chestnut</t>
  </si>
  <si>
    <t>chinchona</t>
  </si>
  <si>
    <t>Chinchona</t>
  </si>
  <si>
    <t>An evergreen tree or shrub of the South American genus Cinchona, of the madder family, with fragrant flowers.</t>
  </si>
  <si>
    <t>Its dried bark is a source of quinine and other medicinal alkaloids.</t>
  </si>
  <si>
    <t>CspCode_chinchona</t>
  </si>
  <si>
    <t>cinnamon</t>
  </si>
  <si>
    <t>Cinnamon</t>
  </si>
  <si>
    <t>A southern Indian tree, Cinnamomum zeylanicum, whose powdered aromatic inner bark is used as a spice.</t>
  </si>
  <si>
    <t>CspCode_cinnamon</t>
  </si>
  <si>
    <t>citrus</t>
  </si>
  <si>
    <t>Citrus</t>
  </si>
  <si>
    <t>A fruit-bearing tree of the genus Citrus.</t>
  </si>
  <si>
    <t>Includes, for example, the lemon, citron, lime, orange, and grapefruit.</t>
  </si>
  <si>
    <t>CspCode_citrus</t>
  </si>
  <si>
    <t>clove</t>
  </si>
  <si>
    <t>Clove</t>
  </si>
  <si>
    <t>The tropical myrtle, Syzygium aromaticum, whose dried flower-buds are used as a pungent aromatic spice.</t>
  </si>
  <si>
    <t>CspCode_clove</t>
  </si>
  <si>
    <t>clover</t>
  </si>
  <si>
    <t>Clover</t>
  </si>
  <si>
    <t>Any of various leguminous plants constituting the genus Trifolium, with flowers in crowded heads and trifoliate leaves.</t>
  </si>
  <si>
    <t>Grown as fodder.</t>
  </si>
  <si>
    <t>CspCode_clover</t>
  </si>
  <si>
    <t>coca</t>
  </si>
  <si>
    <t>Coca</t>
  </si>
  <si>
    <t>The South American shrub, Erythroxylum coca, whose dried leaves are chewed as a stimulant.</t>
  </si>
  <si>
    <t>CspCode_coca</t>
  </si>
  <si>
    <t>coconut</t>
  </si>
  <si>
    <t>Coconut</t>
  </si>
  <si>
    <t>A tropical palm tree, Cocos nucifera, that bears a large ovate brown hard-shelled seed having an edible white lining enclosing a white liquid.</t>
  </si>
  <si>
    <t>CspCode_coconut</t>
  </si>
  <si>
    <t>coffee</t>
  </si>
  <si>
    <t>Coffee</t>
  </si>
  <si>
    <t>Any of certain members of the paleotropical genus Coffea (especially Coffea arabica), of the madder family, which bear white flowers succeeded by red berries each containing two seeds.</t>
  </si>
  <si>
    <t>The drink, coffee, is made by infusion from the seeds roasted and ground or (in the East) pounded.</t>
  </si>
  <si>
    <t>CspCode_coffee</t>
  </si>
  <si>
    <t>copra</t>
  </si>
  <si>
    <t>Copra</t>
  </si>
  <si>
    <t>Dried kernals of the tropical palm tree, Cocos nucifera, from which oil is obtained.</t>
  </si>
  <si>
    <t>CspCode_copra</t>
  </si>
  <si>
    <t>corkOak</t>
  </si>
  <si>
    <t>Cork-Oak</t>
  </si>
  <si>
    <t>An evergreen oak, Quercus suber, which is native to the Mediterranean and has the distinctive property of producing more cork after some is removed.</t>
  </si>
  <si>
    <t>Cork</t>
  </si>
  <si>
    <t>CspCode_corkOak</t>
  </si>
  <si>
    <t>cotton</t>
  </si>
  <si>
    <t>Cotton</t>
  </si>
  <si>
    <t>A plant of the genus Gossypium, of the mallow family, that is cultivated for cotton, a soft white fibrous substance that used for making thread and cloth.</t>
  </si>
  <si>
    <t>CspCode_cotton</t>
  </si>
  <si>
    <t>cowpea</t>
  </si>
  <si>
    <t>Cowpea</t>
  </si>
  <si>
    <t>A leguminous plant, Vigna unguiculata, grown both as fodder and for its seed, eaten as pulse.</t>
  </si>
  <si>
    <t>CspCode_cowpea</t>
  </si>
  <si>
    <t>cranberry</t>
  </si>
  <si>
    <t>Cranberry</t>
  </si>
  <si>
    <t>A member of the heath family, any of several Eurasian or American dwarf hardy shrubs of the genus Vaccinium, bearing acid bright red fruit.</t>
  </si>
  <si>
    <t>Especially Vaccinium oxycoccos, and the larger American Vaccinium macrocarpon.</t>
  </si>
  <si>
    <t>CspCode_cranberry</t>
  </si>
  <si>
    <t>cucumber</t>
  </si>
  <si>
    <t>Cucumber</t>
  </si>
  <si>
    <t>A trailing vine of the gourd family, Cucumis sativus native to southern Asia, with a long fleshy edible fruit.</t>
  </si>
  <si>
    <t>CspCode_cucumber</t>
  </si>
  <si>
    <t>date</t>
  </si>
  <si>
    <t>Date</t>
  </si>
  <si>
    <t>The fruit of the date-palm, an oblong one-seeded drupe with sweet pulp, growing in clusters.</t>
  </si>
  <si>
    <t>The date-palm is a tree of the genus Phoenix; especially Phoenix dactylifera, source of most commercially-grown dates, native to northern Africa and western Asia.</t>
  </si>
  <si>
    <t>CspCode_date</t>
  </si>
  <si>
    <t>dryCrop</t>
  </si>
  <si>
    <t>Dry Crop</t>
  </si>
  <si>
    <t>A crop that is grown in moist or dry conditions and is are generally free of other vegetation (except near fences or hedgerows).</t>
  </si>
  <si>
    <t>For example, grains, tubers, legumes, and vegetables.</t>
  </si>
  <si>
    <t>CspCode_dryCrop</t>
  </si>
  <si>
    <t>eggplant</t>
  </si>
  <si>
    <t>Eggplant</t>
  </si>
  <si>
    <t>The eggplant, Solanum melongena, whose fleshy elongated egg-shaped fruit is typically dark purple.</t>
  </si>
  <si>
    <t>The fruit is eaten as a vegetable.</t>
  </si>
  <si>
    <t>CspCode_eggplant</t>
  </si>
  <si>
    <t>endive</t>
  </si>
  <si>
    <t>Endive</t>
  </si>
  <si>
    <t>A blue-flowered plant of the composite family, Cichorium endivia, grown as a salad (chiefly in a form with curled much-dissected leaves) or as a vegetable (in a form with wavy undivided leaves).</t>
  </si>
  <si>
    <t>CspCode_endive</t>
  </si>
  <si>
    <t>fibreCrop</t>
  </si>
  <si>
    <t>Fibre Crop</t>
  </si>
  <si>
    <t>A crop grown for its fibre content.</t>
  </si>
  <si>
    <t>For example, cotton and sisal.</t>
  </si>
  <si>
    <t>CspCode_fibreCrop</t>
  </si>
  <si>
    <t>flax</t>
  </si>
  <si>
    <t>Flax</t>
  </si>
  <si>
    <t>A blue-flowered plant, Linum usitatissimum (family Linaceae) cultivated for its seed (linseed), and for textile fibre made from its stalks.</t>
  </si>
  <si>
    <t>CspCode_flax</t>
  </si>
  <si>
    <t>flowers</t>
  </si>
  <si>
    <t>Flowers</t>
  </si>
  <si>
    <t>Blossoms (and usually their stalks) often separated from the growing plant and used in groups for decoration or as a mark of honour or respect.</t>
  </si>
  <si>
    <t>CspCode_flowers</t>
  </si>
  <si>
    <t>forageCrop</t>
  </si>
  <si>
    <t>Forage Crop</t>
  </si>
  <si>
    <t>Any of various crops grown for animal feed (for example: alfalfa, clover, and hay).</t>
  </si>
  <si>
    <t>CspCode_forageCrop</t>
  </si>
  <si>
    <t>fruitTree</t>
  </si>
  <si>
    <t>Fruit Tree</t>
  </si>
  <si>
    <t>A tree, shrub, or other plant, producing edible fruits consisting of a seed and its envelope, especially when sweet, juicy, and pulpy.</t>
  </si>
  <si>
    <t>For example, apples, pears, and peaches.</t>
  </si>
  <si>
    <t>CspCode_fruitTree</t>
  </si>
  <si>
    <t>garlic</t>
  </si>
  <si>
    <t>Garlic</t>
  </si>
  <si>
    <t>A bulbous plant of the lily family, Allium sativum, grown as a herb.</t>
  </si>
  <si>
    <t>The strong-smelling pungent-tasting bulb of this plant (divisible into cloves or smaller bulbs) is much used as a flavouring.</t>
  </si>
  <si>
    <t>CspCode_garlic</t>
  </si>
  <si>
    <t>ginger</t>
  </si>
  <si>
    <t>Ginger</t>
  </si>
  <si>
    <t xml:space="preserve"> The monocotyledonous plant, Zingiber officinale (family Zingiberaceae), that yields a hot spicy edible rhizome.</t>
  </si>
  <si>
    <t>It is native to Southeast Asia and used in cookery and medicine as well as candied as a sweet or preserved in syrup.</t>
  </si>
  <si>
    <t>CspCode_ginger</t>
  </si>
  <si>
    <t>grape</t>
  </si>
  <si>
    <t>Grape</t>
  </si>
  <si>
    <t>A climbing plant of the genus Vitis (family Vitaceae), on which small oval berries, usually green, purple, or black, grow in clusters.</t>
  </si>
  <si>
    <t>The berries are eaten fresh or dried as fruit or used for making wine.</t>
  </si>
  <si>
    <t>CspCode_grape</t>
  </si>
  <si>
    <t>grapefruit</t>
  </si>
  <si>
    <t>Grapefruit</t>
  </si>
  <si>
    <t>The tree, Citrus paradisi, that bears a large round yellow-skinned citrus fruit having juicy acid pulp.</t>
  </si>
  <si>
    <t>The tree is a hybrid or mutation of the shaddock, Citrus maxima, of West Indian origin.</t>
  </si>
  <si>
    <t>CspCode_grapefruit</t>
  </si>
  <si>
    <t>greenPepper</t>
  </si>
  <si>
    <t>Green Pepper</t>
  </si>
  <si>
    <t>Any of certain varieties of the plant Capsicum annuum, bearing a bell-shaped, smooth-skinned, mildly pungent fruit eaten in salads or as a vegetable.</t>
  </si>
  <si>
    <t>While green when unripe, when ripe they are usually yellow, orange, or red.</t>
  </si>
  <si>
    <t>Sweet Pepper</t>
  </si>
  <si>
    <t>CspCode_greenPepper</t>
  </si>
  <si>
    <t>greenVegetable</t>
  </si>
  <si>
    <t>Green Vegetable</t>
  </si>
  <si>
    <t>Any cultivated (usually herbaceous) plant of which any part, especially the leaves or root, is prepared for the table.</t>
  </si>
  <si>
    <t>CspCode_greenVegetable</t>
  </si>
  <si>
    <t>gumArabic</t>
  </si>
  <si>
    <t>Gum Arabic</t>
  </si>
  <si>
    <t>Any of several acacias, especially Acacia senegal, that exudes a water-soluble gum.</t>
  </si>
  <si>
    <t>CspCode_gumArabic</t>
  </si>
  <si>
    <t>hardwood</t>
  </si>
  <si>
    <t>Hardwood</t>
  </si>
  <si>
    <t>Any of numerous non-coniferous tree species (for example: oak) whose wood is noted for its hardness.</t>
  </si>
  <si>
    <t>CspCode_hardwood</t>
  </si>
  <si>
    <t>hazelnut</t>
  </si>
  <si>
    <t>Hazelnut</t>
  </si>
  <si>
    <t>Any of various deciduous shrubs and low trees constituting the genus Corylus, of the birch family, bearing edible nuts enclosed in leafy involucres.</t>
  </si>
  <si>
    <t>Especially the European hazel, Corylus avellana, and its North American counterpart, Corylus americana.</t>
  </si>
  <si>
    <t>CspCode_hazelnut</t>
  </si>
  <si>
    <t>honeydewMelon</t>
  </si>
  <si>
    <t>Honeydew Melon</t>
  </si>
  <si>
    <t>A cultivated variety of the melon, Cucumis melo, with smooth ivory or pale yellow skin and sweet green flesh.</t>
  </si>
  <si>
    <t>CspCode_honeydewMelon</t>
  </si>
  <si>
    <t>hop</t>
  </si>
  <si>
    <t>Hop</t>
  </si>
  <si>
    <t>A twining dioecious plant, Humulus lupulus, of the hemp family, with rough lobed leaves and small green flowers, the female becoming enlarged and conelike in seed.</t>
  </si>
  <si>
    <t>Found in damp bushy places and much cultivated as a source of hops, the ripened conelike spikes of the female plant, used to give a bitter flavour to malt liquors, and as a tonic and soporific.</t>
  </si>
  <si>
    <t>CspCode_hop</t>
  </si>
  <si>
    <t>jute</t>
  </si>
  <si>
    <t>Jute</t>
  </si>
  <si>
    <t>A fibre obtained from the phloem of the plants Corchorus capsularis and Corchorus olitorius, of the linden family.</t>
  </si>
  <si>
    <t>It is grown chirfly ins Bangladesh and West Bengal, and is used in the manufacture of coarse sacking, canvas, twine, and rope.</t>
  </si>
  <si>
    <t>CspCode_jute</t>
  </si>
  <si>
    <t>kentiaPalm</t>
  </si>
  <si>
    <t>Kentia Palm</t>
  </si>
  <si>
    <t>Any of various pinnate-leaved palms of the former genus Kentia, especially Howeia forsterana and Howeia belmoreana.</t>
  </si>
  <si>
    <t>They are native to Australia and some Pacific islands and frequently grown as house-plants.</t>
  </si>
  <si>
    <t>CspCode_kentiaPalm</t>
  </si>
  <si>
    <t>khat</t>
  </si>
  <si>
    <t>Khat</t>
  </si>
  <si>
    <t>A shrub, Catha edulis, of the spindle tree family, cultivated in Arabia for its leaves.</t>
  </si>
  <si>
    <t>The leaves are chewed or infused as a stimulant and a narcotic drug may be prepared from them.</t>
  </si>
  <si>
    <t>CspCode_khat</t>
  </si>
  <si>
    <t>kiwi</t>
  </si>
  <si>
    <t>Kiwi</t>
  </si>
  <si>
    <t>The eastern Asian climbing plant, Actinidia chinensis (family Actinidiaceae), that bear an oval fruit with brown skin, green flesh, and black seeds.</t>
  </si>
  <si>
    <t>It is cultivated in New Zealand and elsewhere.</t>
  </si>
  <si>
    <t>CspCode_kiwi</t>
  </si>
  <si>
    <t>lavender</t>
  </si>
  <si>
    <t>Lavender</t>
  </si>
  <si>
    <t>Any of various small labiate shrubs constituting the genus Lavandula, with spikes of purple flowers and narrow oblong or lanceolate leaves, native to the Mediterranean region; specifically any of those grown in gardens or cultivated for perfume, especially Lavandula angustifolia, Lavandula latifolia, and their hybrid.</t>
  </si>
  <si>
    <t>CspCode_lavender</t>
  </si>
  <si>
    <t>lemon</t>
  </si>
  <si>
    <t>Lemon</t>
  </si>
  <si>
    <t>The tree, Citrus limon, bearing an ovate pale yellow acid fruit.</t>
  </si>
  <si>
    <t>The fruit is much used for making drinks and as a flavouring.</t>
  </si>
  <si>
    <t>CspCode_lemon</t>
  </si>
  <si>
    <t>lentil</t>
  </si>
  <si>
    <t>Lentil</t>
  </si>
  <si>
    <t>A leguminous plant, Lens culinaris, bearing small rounded seeds.</t>
  </si>
  <si>
    <t>It is cultivated for food in Mediterranean countries and used in, for example, soups and stews.</t>
  </si>
  <si>
    <t>CspCode_lentil</t>
  </si>
  <si>
    <t>lettuce</t>
  </si>
  <si>
    <t>Lettuce</t>
  </si>
  <si>
    <t>Any plant of the genus Lactuca of the composite family, especially the cultivated species Lactuca sativa, whose leaves are much used as a salad.</t>
  </si>
  <si>
    <t>CspCode_lettuce</t>
  </si>
  <si>
    <t>lime</t>
  </si>
  <si>
    <t>Lime</t>
  </si>
  <si>
    <t>The small spiny tree, Citrus aurantiifolia (family Rutaceae), of tropical regions that bears a globular citrus fruit that is smaller and greener than the lemon and has a more acid taste.</t>
  </si>
  <si>
    <t>CspCode_lime</t>
  </si>
  <si>
    <t>macadamia</t>
  </si>
  <si>
    <t>Macadamia</t>
  </si>
  <si>
    <t>Any of various Australian evergreen trees of the genus Macadamia (family Proteaceae), especially Macadamia integrifolia and Macadamia tetraphylla, that yield edible nuts.</t>
  </si>
  <si>
    <t>CspCode_macadamia</t>
  </si>
  <si>
    <t>mace</t>
  </si>
  <si>
    <t>Mace</t>
  </si>
  <si>
    <t>A spice consisting of the dried fleshy aril surrounding the seed (nutmeg) of the fruit of the nutmeg tree.</t>
  </si>
  <si>
    <t>CspCode_mace</t>
  </si>
  <si>
    <t>maize</t>
  </si>
  <si>
    <t>Maize</t>
  </si>
  <si>
    <t>A cereal grass of Central American origin, Zea mays, having a terminal male inflorescence and axillary female ears, the grains being embedded in a wooden core (the cob).</t>
  </si>
  <si>
    <t>Indian Corn, Corn</t>
  </si>
  <si>
    <t>CspCode_maize</t>
  </si>
  <si>
    <t>mango</t>
  </si>
  <si>
    <t>Mango</t>
  </si>
  <si>
    <t>An Indian and Myanmar (Burmese) tree, Mangifera indica (family Anacardiaceae), bearing a sweet orange-fleshed fruit.</t>
  </si>
  <si>
    <t>The fruit is eaten as dessert or used in its unripe state to make chutney or jam.</t>
  </si>
  <si>
    <t>CspCode_mango</t>
  </si>
  <si>
    <t>maple</t>
  </si>
  <si>
    <t>Maple</t>
  </si>
  <si>
    <t>A Eurasian tree, Acer campestre (family Aceraceae), with fruit in the form of two winged samaras joined together and palmately lobed leaves (more fully common maple, hedge maple).</t>
  </si>
  <si>
    <t>Also (with specifying word), any of numerous similar trees of this or other genera.</t>
  </si>
  <si>
    <t>CspCode_maple</t>
  </si>
  <si>
    <t>melon</t>
  </si>
  <si>
    <t>Melon</t>
  </si>
  <si>
    <t>The plant, Cucumis melo, bearing a gourd-like fruit with sweet green or yellowish-pink flesh.</t>
  </si>
  <si>
    <t>CspCode_melon</t>
  </si>
  <si>
    <t>millet</t>
  </si>
  <si>
    <t>Millet</t>
  </si>
  <si>
    <t>A cereal grass, Panicum miliaceum, widely grown in warm countries, with small spikelets arranged in a loose panicle.</t>
  </si>
  <si>
    <t>Also (with specifying word), any of various other drought-resistant usually small-seeded cereal grasses grown especially in warm countries of the world.</t>
  </si>
  <si>
    <t>CspCode_millet</t>
  </si>
  <si>
    <t>mint</t>
  </si>
  <si>
    <t>Mint</t>
  </si>
  <si>
    <t>Any of various aromatic often moisture-loving labiate plants of the genus Mentha, that bear lilac flowers.</t>
  </si>
  <si>
    <t>For example, spearmint (Mentha spicata) and peppermint.</t>
  </si>
  <si>
    <t>CspCode_mint</t>
  </si>
  <si>
    <t>mulberry</t>
  </si>
  <si>
    <t>Mulberry</t>
  </si>
  <si>
    <t>Any of various trees of the genus Morus (family Moraceae), especially Morus nigra, grown for its purple, succulent berry-like multiple fruit, and Morus alba, which has white insipid fruit and whose leaves are used to feed silkworms.</t>
  </si>
  <si>
    <t>CspCode_mulberry</t>
  </si>
  <si>
    <t>mustard</t>
  </si>
  <si>
    <t>Mustard</t>
  </si>
  <si>
    <t>Any of the cruciferous plants (for example: Sinapis alba (white mustard), Brassica nigra (black mustard), and Brassica juncea (brown mustard), whose crushed seeds are used as a pungent condiment.</t>
  </si>
  <si>
    <t>CspCode_mustard</t>
  </si>
  <si>
    <t>narcoticsPlants</t>
  </si>
  <si>
    <t>Narcotics Plants</t>
  </si>
  <si>
    <t>Any plant that is used to produce narcotics.</t>
  </si>
  <si>
    <t>Narcotics are a drugs that produce numbness or stupor; often taken for pleasure or to reduce pain; extensive use can lead to addiction. For example: opium or cocaine.</t>
  </si>
  <si>
    <t>CspCode_narcoticsPlants</t>
  </si>
  <si>
    <t>nectarine</t>
  </si>
  <si>
    <t>Nectarine</t>
  </si>
  <si>
    <t>A variety of the peach tree bearing a fruit resembling a peach but having a thinner downless skin and a firmer pulp.</t>
  </si>
  <si>
    <t>CspCode_nectarine</t>
  </si>
  <si>
    <t>nut</t>
  </si>
  <si>
    <t>Nut</t>
  </si>
  <si>
    <t>Any of various species bearing edible or oil-yielding, usually woody or hard-shelled, fruit or seed kernals.</t>
  </si>
  <si>
    <t>CspCode_nut</t>
  </si>
  <si>
    <t>nutmeg</t>
  </si>
  <si>
    <t>Nutmeg</t>
  </si>
  <si>
    <t>The Myristica fragrans (family Myristicaceae), an evergreen tree of the Moluccas, bearing a fruit whose kernal contains a hard spherical aromatic seed.</t>
  </si>
  <si>
    <t>The kernel is grated or ground and used as a spice in cooking.</t>
  </si>
  <si>
    <t>CspCode_nutmeg</t>
  </si>
  <si>
    <t>oat</t>
  </si>
  <si>
    <t>Oat</t>
  </si>
  <si>
    <t>A hardy cereal plant of the genus Avena, usually Avena sativa.</t>
  </si>
  <si>
    <t>Used as food for people (for example: in porridge) and animals, especially horses.</t>
  </si>
  <si>
    <t>CspCode_oat</t>
  </si>
  <si>
    <t>oilCrop</t>
  </si>
  <si>
    <t>Oil Crop</t>
  </si>
  <si>
    <t>A crop grown for its oil content.</t>
  </si>
  <si>
    <t>For example, oil palms, rape, and sunflower.</t>
  </si>
  <si>
    <t>CspCode_oilCrop</t>
  </si>
  <si>
    <t>oilPalm</t>
  </si>
  <si>
    <t>Oil Palm</t>
  </si>
  <si>
    <t>A West African palm tree, Elaeis guineensis, that bears fruit whose pericarp and seed-kernels are a valuable source of oil.</t>
  </si>
  <si>
    <t>CspCode_oilPalm</t>
  </si>
  <si>
    <t>oilseed</t>
  </si>
  <si>
    <t>Oilseed</t>
  </si>
  <si>
    <t>Any of various seeds (for example: sesame, cottonseed, and castor bean) that are cultivated as a source of oil.</t>
  </si>
  <si>
    <t>CspCode_oilseed</t>
  </si>
  <si>
    <t>olive</t>
  </si>
  <si>
    <t>Olive</t>
  </si>
  <si>
    <t>An evergreen tree, Olea europaea (family Oleaceae), with narrow leaves hoary on the underside and small whitish flowers.</t>
  </si>
  <si>
    <t>Long cultivated in the Mediterranean region for its fruit and the oil obtained from this. May also be used to describe any of various wild trees or shrubs of the genus Olea; (with specifying word) any of various trees and shrubs allied to the common olive, or resembling it in appearance or in providing oil.</t>
  </si>
  <si>
    <t>CspCode_olive</t>
  </si>
  <si>
    <t>onion</t>
  </si>
  <si>
    <t>Onion</t>
  </si>
  <si>
    <t>A plant, Allium cepa, of the lily family, cultivated for its edible bulb.</t>
  </si>
  <si>
    <t>The bulb has a strong pungent flavour and smell and consists of fleshy concentric leaf-bases. It is eaten raw, cooked, or pickled.</t>
  </si>
  <si>
    <t>CspCode_onion</t>
  </si>
  <si>
    <t>opiumPoppy</t>
  </si>
  <si>
    <t>Opium Poppy</t>
  </si>
  <si>
    <t>The plant, Papaver somniferum, a glaucous poppy with chiefly white or lilac flowers.</t>
  </si>
  <si>
    <t>It yelds opium, a reddish-brown strong-scented addictive drug prepared from the thickened dried juice of the unripe capsules.</t>
  </si>
  <si>
    <t>CspCode_opiumPoppy</t>
  </si>
  <si>
    <t>orange</t>
  </si>
  <si>
    <t>Orange</t>
  </si>
  <si>
    <t>The tree, Citrus sinensis, bearing any of several large round citrus fruits with segmented juicy pulp enclosed in a tough reddish-yellow rind.</t>
  </si>
  <si>
    <t>A common dessert fruit.</t>
  </si>
  <si>
    <t>CspCode_orange</t>
  </si>
  <si>
    <t>orchid</t>
  </si>
  <si>
    <t>Orchid</t>
  </si>
  <si>
    <t>Any of numerous (frequently epiphytic) monocotyledonous plants of the family Orchidaceae, characterized by having one perianth segment (the labellum) differentiated from the rest and by commonly having only one anther, united with the style in a central body (the column), and often having brilliantly coloured or bizarrely shaped flowers.</t>
  </si>
  <si>
    <t>CspCode_orchid</t>
  </si>
  <si>
    <t>ornamentalCrop</t>
  </si>
  <si>
    <t>Ornamental Crop</t>
  </si>
  <si>
    <t>A crop grown purely for its aesthetic attractions (for example: beautification, screening, accent, or color), rather than for food or any other economic use.</t>
  </si>
  <si>
    <t>For example, flowering trees or shrubs to be transplanted for landscaping around buildings.</t>
  </si>
  <si>
    <t>CspCode_ornamentalCrop</t>
  </si>
  <si>
    <t>palm</t>
  </si>
  <si>
    <t>Palm</t>
  </si>
  <si>
    <t>Any tree or shrub of the large, chiefly tropical, monocotyledonous family Palmae, typically having an unbranched stem with a crown of very large leaves either palmate or pinnate in shape.</t>
  </si>
  <si>
    <t>Also (with specifying word), any of various palmlike plants of other families, such as cycads.</t>
  </si>
  <si>
    <t>CspCode_palm</t>
  </si>
  <si>
    <t>palmetto</t>
  </si>
  <si>
    <t>Palmetto</t>
  </si>
  <si>
    <t>Any of various usually small and sometimes stemless fan palms, for example, the dwarf fan palm of the Mediterranean (Chamaerops humilis), the Sabal palmetto, and Serenoa repens of the south-eastern United States.</t>
  </si>
  <si>
    <t>Palmetto wood is used for pilings, leaf strips are used in weaving, and the leaves may be used for thatch. In some species (for example: the Sabal palmetto) the fan-shaped leaves are edible when young.</t>
  </si>
  <si>
    <t>CspCode_palmetto</t>
  </si>
  <si>
    <t>palmKernel</t>
  </si>
  <si>
    <t>Palm-kernel</t>
  </si>
  <si>
    <t>The endosperm of the fruit of the oil palm, Elaeis guineensis, whose mesocarp may be used as food or for the extraction of oil.</t>
  </si>
  <si>
    <t>Palm-kernel oil (palm oil) is used in the manufacture of margarine and soap.</t>
  </si>
  <si>
    <t>CspCode_palmKernel</t>
  </si>
  <si>
    <t>papaya</t>
  </si>
  <si>
    <t>Papaya</t>
  </si>
  <si>
    <t>A tropical American tree, Carica papaya (family Caricaceae), with palmate leaves on an unbranched stem and bearing a melon-shaped fruit having pinkish or orange flesh enclosing a mass of dark grey seeds.</t>
  </si>
  <si>
    <t>Pawpaw</t>
  </si>
  <si>
    <t>CspCode_papaya</t>
  </si>
  <si>
    <t>passionFruit</t>
  </si>
  <si>
    <t>Passion-fruit</t>
  </si>
  <si>
    <t>Any of several species of passion-flower, especially that of the Brazilian Passiflora edulis, bearing an edible egg-shaped berry with purple wrinkled skin and sweet yellow pulp surrounding small black seeds.</t>
  </si>
  <si>
    <t>CspCode_passionFruit</t>
  </si>
  <si>
    <t>pea</t>
  </si>
  <si>
    <t>Pea</t>
  </si>
  <si>
    <t>The hardy annual leguminous climbing plant, Pisum sativum, which bears papilionaceous flowers with round seeds in elongated pods.</t>
  </si>
  <si>
    <t>Eaten as a vegetable when green or as a pulse when dried.</t>
  </si>
  <si>
    <t>CspCode_pea</t>
  </si>
  <si>
    <t>peach</t>
  </si>
  <si>
    <t>Peach</t>
  </si>
  <si>
    <t>A tree bearing a sweet juicy stone-fruit usually having a downy yellow and red-tinged skin.</t>
  </si>
  <si>
    <t>CspCode_peach</t>
  </si>
  <si>
    <t>peanut</t>
  </si>
  <si>
    <t>Peanut</t>
  </si>
  <si>
    <t>A South American leguminous plant, Arachis hypogaea, widely grown in the tropics, bearing underground pods which contain nutlike seeds valuable as a food and a source of oil (also called groundnut).</t>
  </si>
  <si>
    <t>Also, any of several legumes with similar seeds, especially (more fully hog peanut) Amphicarpaea bracteata of North America.</t>
  </si>
  <si>
    <t>CspCode_peanut</t>
  </si>
  <si>
    <t>pear</t>
  </si>
  <si>
    <t>Pear</t>
  </si>
  <si>
    <t>The tree of the rose family, Pyrus communis, bearing a large usually yellowish or brownish-green fruit, broadest at the base and tapering towards the stalk.</t>
  </si>
  <si>
    <t>CspCode_pear</t>
  </si>
  <si>
    <t>pecan</t>
  </si>
  <si>
    <t>Pecan</t>
  </si>
  <si>
    <t>The tree Carya illinoinensis, a very tall hickory of the southern United States, bearing pinkish-brown smooth nut having a rich-flavoured oily kernel resembling a walnut.</t>
  </si>
  <si>
    <t>CspCode_pecan</t>
  </si>
  <si>
    <t>pepper</t>
  </si>
  <si>
    <t>Pepper</t>
  </si>
  <si>
    <t>Piper nigrum (family Piperaceae), a climbing shrub having alternate stalked entire leaves, flowers in pendulous spikes, and small berries which turn red when ripe.</t>
  </si>
  <si>
    <t>Indigenous to southern India and Sri Lanka and the chief plant yielding pepper.</t>
  </si>
  <si>
    <t>CspCode_pepper</t>
  </si>
  <si>
    <t>pineapple</t>
  </si>
  <si>
    <t>Pineapple</t>
  </si>
  <si>
    <t>The tropical American bromeliad, Ananas comosus, bearing a large juicy edible collective fruit developed from a conical spike of flowers and having yellow flesh surrounded by a tough segmented skin and topped with a tuft of stiff leaves.</t>
  </si>
  <si>
    <t>CspCode_pineapple</t>
  </si>
  <si>
    <t>pistachio</t>
  </si>
  <si>
    <t>Pistachio</t>
  </si>
  <si>
    <t>The tree Pistacia vera (family Anacardiaceae) bearing a nutlike drupe with an edible greenish kernel.</t>
  </si>
  <si>
    <t>It is a native of western Asia much cultivated in southern Europe.</t>
  </si>
  <si>
    <t>CspCode_pistachio</t>
  </si>
  <si>
    <t>plantain</t>
  </si>
  <si>
    <t>Plantain</t>
  </si>
  <si>
    <t>A plant, especially Musa paradisiaca, producing a banana-like fruit with a high starch content.</t>
  </si>
  <si>
    <t>The fruit is picked when not yet ripe and cooked as a vegetable in tropical countries.</t>
  </si>
  <si>
    <t>CspCode_plantain</t>
  </si>
  <si>
    <t>plum</t>
  </si>
  <si>
    <t>Plum</t>
  </si>
  <si>
    <t>The tree Prunus domestica, of the rose family and allied to the blackthorn, bearing an edible roundish fleshy fruit, usually purple, red, or yellow when ripe, with a sweet pulp and a flattish pointed stone.</t>
  </si>
  <si>
    <t>The fruit when dried is referred to as a prune.</t>
  </si>
  <si>
    <t>CspCode_plum</t>
  </si>
  <si>
    <t>potato</t>
  </si>
  <si>
    <t>Potato</t>
  </si>
  <si>
    <t>A plant of the nightshade family of South American origin, Solanum tuberosum, widely cultivated for its starchy tubers.</t>
  </si>
  <si>
    <t>CspCode_potato</t>
  </si>
  <si>
    <t>pulse</t>
  </si>
  <si>
    <t>Pulse</t>
  </si>
  <si>
    <t>Leguminous plants yielding edible seeds.</t>
  </si>
  <si>
    <t>For example, peas, beans, and lentils.</t>
  </si>
  <si>
    <t>Pulses</t>
  </si>
  <si>
    <t>CspCode_pulse</t>
  </si>
  <si>
    <t>rape</t>
  </si>
  <si>
    <t>Rape</t>
  </si>
  <si>
    <t>A yellow-flowered plant, Brassica napus, allied to the turnip.</t>
  </si>
  <si>
    <t>A variety of this plant, Brassica napus subspecies rapifera, is grown as a vegetable, while another variety, Brassica napus subspecies oleifera, is grown as green feed for livestock and for its seed which yields an edible oil.</t>
  </si>
  <si>
    <t>CspCode_rape</t>
  </si>
  <si>
    <t>rice</t>
  </si>
  <si>
    <t>Rice</t>
  </si>
  <si>
    <t>The grain of the grass Oryza sativa, a major world cereal.</t>
  </si>
  <si>
    <t>Grown in shallow irrigated or flooded fields known as rice paddies, rice-fields, or paddy-fields.</t>
  </si>
  <si>
    <t>CspCode_rice</t>
  </si>
  <si>
    <t>roses</t>
  </si>
  <si>
    <t>Roses</t>
  </si>
  <si>
    <t>Any plant of the genus Rosa (family Rosaceae), which comprises pinnate-leaved, usually prickly, frequently climbing shrubs bearing large usually pink, white, yellow, or crimson flowers and includes many species, varieties, and hybrids grown for ornament.</t>
  </si>
  <si>
    <t>CspCode_roses</t>
  </si>
  <si>
    <t>rubber</t>
  </si>
  <si>
    <t>Rubber</t>
  </si>
  <si>
    <t>Any of various plants, especially Hevea brasiliensis, whose coagulated latex which in its natural state is thermoplastic and tacky and after vulcanization tough and elastic.</t>
  </si>
  <si>
    <t>CspCode_rubber</t>
  </si>
  <si>
    <t>rye</t>
  </si>
  <si>
    <t>Rye</t>
  </si>
  <si>
    <t>An awned cereal grass, Secale cereale, resembling barley, grown especially in colder parts of Eurasia.</t>
  </si>
  <si>
    <t>The grain of this cereal is used to make coarse bread, beer, and/or spirits.</t>
  </si>
  <si>
    <t>CspCode_rye</t>
  </si>
  <si>
    <t>safflower</t>
  </si>
  <si>
    <t>Safflower</t>
  </si>
  <si>
    <t>A plant of the composite family, Carthamus tinctorius, with orange-yellow thistle-like flower-heads.</t>
  </si>
  <si>
    <t>It is cultivated in Egypt and Asia for the dye obtained from its florets and for the oil from its seeds, used especially in cooking.</t>
  </si>
  <si>
    <t>CspCode_safflower</t>
  </si>
  <si>
    <t>saffronCrocus</t>
  </si>
  <si>
    <t>Saffron Crocus</t>
  </si>
  <si>
    <t>A species of crocus in the family Iridaceae whose flower has three stigmas, which are the distal ends of the plant's carpels.</t>
  </si>
  <si>
    <t>Together with its style, the stalk connecting the stigmas to the rest of the plant, these components are often dried and used in cooking as a seasoning and coloring agent. Saffron is a spice derived from the dried stigma of the flower.</t>
  </si>
  <si>
    <t>CspCode_saffronCrocus</t>
  </si>
  <si>
    <t>sesame</t>
  </si>
  <si>
    <t>Sesame</t>
  </si>
  <si>
    <t>An African plant, Sesamum orientale (family Pedaliaceae), widely grown in the tropics, producing seeds used as food and yielding an edible oil.</t>
  </si>
  <si>
    <t>CspCode_sesame</t>
  </si>
  <si>
    <t>sheaNut</t>
  </si>
  <si>
    <t>Shea Nut</t>
  </si>
  <si>
    <t>A nut-bearing tree of tropical Africa, Vitellaria paradoxa (family Sapotaceae).</t>
  </si>
  <si>
    <t>CspCode_sheaNut</t>
  </si>
  <si>
    <t>sisal</t>
  </si>
  <si>
    <t>Sisal</t>
  </si>
  <si>
    <t>Any of several Mexican agaves, especially Agave sisalana, raised for the extraction of fibre from its leaves.</t>
  </si>
  <si>
    <t>The fibre is used, for example, for cordage and matting.</t>
  </si>
  <si>
    <t>CspCode_sisal</t>
  </si>
  <si>
    <t>sorghum</t>
  </si>
  <si>
    <t>Sorghum</t>
  </si>
  <si>
    <t>A cereal grass, Sorghum bicolor, similar to maize and extensively grown in Africa, southern India, and elsewhere (different strains being known as durra, Guinea corn, Indian millet, Kaffir corn, and milo).</t>
  </si>
  <si>
    <t>A variety of this grass, Sorghum bicolor variety saccharatum, with a sweet juicy pith, is grown as fodder or for syrup manufacture.</t>
  </si>
  <si>
    <t>CspCode_sorghum</t>
  </si>
  <si>
    <t>soyaBean</t>
  </si>
  <si>
    <t>Soya Bean</t>
  </si>
  <si>
    <t>A leguminous plant, Glycine max, grown as a vegetable or for its protein-rich seeds which yield an edible oil and when ground a flour.</t>
  </si>
  <si>
    <t>Soybean</t>
  </si>
  <si>
    <t>CspCode_soyaBean</t>
  </si>
  <si>
    <t>spices</t>
  </si>
  <si>
    <t>Spices</t>
  </si>
  <si>
    <t>Any of various plants yielding strongly flavoured or aromatic vegetable substances.</t>
  </si>
  <si>
    <t>They are used especially to flavour or scent food, or as medicines.</t>
  </si>
  <si>
    <t>CspCode_spices</t>
  </si>
  <si>
    <t>spinach</t>
  </si>
  <si>
    <t>Spinach</t>
  </si>
  <si>
    <t>A plant of the goosefoot family, Spinacia oleracea, cultivated for its edible dark green succulent leaves.</t>
  </si>
  <si>
    <t>The leaves are used as a vegetable.</t>
  </si>
  <si>
    <t>CspCode_spinach</t>
  </si>
  <si>
    <t>sprouts</t>
  </si>
  <si>
    <t>Sprouts</t>
  </si>
  <si>
    <t>Young tender shoots or side-growth of various plants (for example: a brassica, a bean, or alfalfa), eaten as a vegetable.</t>
  </si>
  <si>
    <t>CspCode_sprouts</t>
  </si>
  <si>
    <t>squash</t>
  </si>
  <si>
    <t>Squash</t>
  </si>
  <si>
    <t>The fruit of any of several kinds of gourd, cooked and eaten as a vegetable.</t>
  </si>
  <si>
    <t>For example, Cucurbita pepo variety melopepo, eaten before the seeds and rinds have hardened (summer squash), and both Cucurbita maxima and Cucurbita moschata, stored and eaten when mature (winter squash).</t>
  </si>
  <si>
    <t>CspCode_squash</t>
  </si>
  <si>
    <t>strawberry</t>
  </si>
  <si>
    <t>Strawberry</t>
  </si>
  <si>
    <t>Any of the plants constituting the genus Fragaria, of the rose family, which are characterized by having trifoliate leaves in a basal rosette, five-petalled white flowers, long trailing runners, and an edible fruit consisting of enlarged pulpy usually scarlet receptacle studded with small yellow achenes.</t>
  </si>
  <si>
    <t>CspCode_strawberry</t>
  </si>
  <si>
    <t>sugarBeet</t>
  </si>
  <si>
    <t>Sugar Beet</t>
  </si>
  <si>
    <t>A cultivar of the beet, Beta vulgaris, grown for the high sugar content of its root.</t>
  </si>
  <si>
    <t>CspCode_sugarBeet</t>
  </si>
  <si>
    <t>sugarCane</t>
  </si>
  <si>
    <t>Sugar Cane</t>
  </si>
  <si>
    <t>A grass, Saccharum officinarum, resembling bamboo, extensively cultivated in the tropics for the sugar extracted from its stems.</t>
  </si>
  <si>
    <t>CspCode_sugarCane</t>
  </si>
  <si>
    <t>sugarCrop</t>
  </si>
  <si>
    <t>Sugar Crop</t>
  </si>
  <si>
    <t>A crop grown for its sugar content.</t>
  </si>
  <si>
    <t>For example, sugar cane (a grass, Saccharum officinarum, resembling bamboo, extensively cultivated in the tropics for the sugar extracted from its stems) and sugar beet (a cultivar of the beet, Beta vulgaris, grown for the high sugar content of its root).</t>
  </si>
  <si>
    <t>CspCode_sugarCrop</t>
  </si>
  <si>
    <t>sunflower</t>
  </si>
  <si>
    <t>Sunflower</t>
  </si>
  <si>
    <t>Any of several plants constituting the genus Helianthus, of the composite family, having conspicuous yellow-rayed flower-heads and commonly cultivated (for example: Helianthus annus) for its oily seeds.</t>
  </si>
  <si>
    <t>CspCode_sunflower</t>
  </si>
  <si>
    <t>sweetPotato</t>
  </si>
  <si>
    <t>Sweet Potato</t>
  </si>
  <si>
    <t>A plant of the bindweed family, Ipomoea batatas, cultivated in tropical and subtropical regions for its sweetish edible tubers.</t>
  </si>
  <si>
    <t>The root is usually eaten boiled and mashed.</t>
  </si>
  <si>
    <t>CspCode_sweetPotato</t>
  </si>
  <si>
    <t>tangerine</t>
  </si>
  <si>
    <t>Tangerine</t>
  </si>
  <si>
    <t>The tree Citrus reticulata, bearing a mandarin orange, especially one with a deep reddish-orange peel.</t>
  </si>
  <si>
    <t>CspCode_tangerine</t>
  </si>
  <si>
    <t>taro</t>
  </si>
  <si>
    <t>Taro</t>
  </si>
  <si>
    <t>A food-plant, Colocasia esculenta, of the arum family, cultivated in many varieties in the tropics for its starchy tubers or its succulent leaves.</t>
  </si>
  <si>
    <t>CspCode_taro</t>
  </si>
  <si>
    <t>tea</t>
  </si>
  <si>
    <t>Tea</t>
  </si>
  <si>
    <t>Camellia sinensis (family Theaceae), a shrub or tree with white flowers and oval evergreen leaves, long cultivated in China and now also in Japan, India, Kenya, and elsewhere.</t>
  </si>
  <si>
    <t>A drink, tea, is made by infusing its dried leaves in hot (boiling) water.</t>
  </si>
  <si>
    <t>CspCode_tea</t>
  </si>
  <si>
    <t>timber</t>
  </si>
  <si>
    <t>Timber</t>
  </si>
  <si>
    <t>Trees suitable for conversion into industrial and/or commercial forest products (for example: timbers and/or lumber for construction, cabinetry, or paper production).</t>
  </si>
  <si>
    <t>CspCode_timber</t>
  </si>
  <si>
    <t>tobacco</t>
  </si>
  <si>
    <t>Tobacco</t>
  </si>
  <si>
    <t>Either of the plants (of tropical American origin) Nicotiana tabacum, of the nightshade family, and the allied Nicotiana rustica (more fully green tobacco, wild tobacco).</t>
  </si>
  <si>
    <t>A preparation of the dried leaves of these plants is smoked (for example: in pipes, cigarettes, and cigars) for its pleasantly relaxing effects, taken as snuff, or chewed. Also (with specifying word), any of various plants whose dried leaves are smoked in a similar way.</t>
  </si>
  <si>
    <t>CspCode_tobacco</t>
  </si>
  <si>
    <t>tomato</t>
  </si>
  <si>
    <t>Tomato</t>
  </si>
  <si>
    <t>A plant of the nightshade family, Lycopersicon esculentum, bearing a glossy, usually bright red and spherical, pulpy fruit.</t>
  </si>
  <si>
    <t>It is a native of the Andes and its fruit is often cooked as a vegetable or eaten in salads.</t>
  </si>
  <si>
    <t>CspCode_tomato</t>
  </si>
  <si>
    <t>tuber</t>
  </si>
  <si>
    <t>Tuber</t>
  </si>
  <si>
    <t>A much thickened underground part of a stem or rhizome (for example: in the potato), which serves as a food reserve and bears buds from which new plants arise.</t>
  </si>
  <si>
    <t>CspCode_tuber</t>
  </si>
  <si>
    <t>turnip</t>
  </si>
  <si>
    <t>Turnip</t>
  </si>
  <si>
    <t>The yellow-flowered cruciferous plant, Brassica rapa, having a globular root (the swollen hypocotyl) that is usually white.</t>
  </si>
  <si>
    <t>Long cultivated as a vegetable and as cattle-feed.</t>
  </si>
  <si>
    <t>CspCode_turnip</t>
  </si>
  <si>
    <t>vanilla</t>
  </si>
  <si>
    <t>Vanilla</t>
  </si>
  <si>
    <t>Any of various tropical climbing epiphytic orchids constituting the genus Vanilla, especially Vanilla fragrans which native to Central America.</t>
  </si>
  <si>
    <t>The dried pods yield a fragrant substance used to flavour chocolate, ice-cream, and other foods as well as in perfumery.</t>
  </si>
  <si>
    <t>CspCode_vanilla</t>
  </si>
  <si>
    <t>vegetableCrop</t>
  </si>
  <si>
    <t>Vegetable Crop</t>
  </si>
  <si>
    <t>Any cultivated (usually herbaceous) plant of which any part, especially the leaves or root, is eaten in savoury dishes, frequently with meat or fish.</t>
  </si>
  <si>
    <t>CspCode_vegetableCrop</t>
  </si>
  <si>
    <t>walnut</t>
  </si>
  <si>
    <t>Walnut</t>
  </si>
  <si>
    <t>Any tree of the genus Juglans (family Juglandaceae), members of which have drooping catkins and aromatic pinnate leaves.</t>
  </si>
  <si>
    <t>Especially the Eurasian Juglans regia and (more fully black walnut) the North American Juglans nigra. The green fleshy fruit contains an edible kernel in separate halves.</t>
  </si>
  <si>
    <t>CspCode_walnut</t>
  </si>
  <si>
    <t>watermelon</t>
  </si>
  <si>
    <t>Watermelon</t>
  </si>
  <si>
    <t>The gourd Citrullus lanatus, whose fruit has a green rind and sweet, very juicy flesh.</t>
  </si>
  <si>
    <t>The plant is native to Africa and widely grown in warmer parts of the world.</t>
  </si>
  <si>
    <t>CspCode_watermelon</t>
  </si>
  <si>
    <t>wheat</t>
  </si>
  <si>
    <t>Wheat</t>
  </si>
  <si>
    <t>Any of various cereal grasses of the genus Triticum, with spikelets in dense distichous spikes.</t>
  </si>
  <si>
    <t>For example, Triticum aestivum (also known as bread wheat), widely grown in temperate climates, the source of the best bread flours, and Triticum durum (also known as durum wheat), the flour from which is used to make pasta.</t>
  </si>
  <si>
    <t>CspCode_wheat</t>
  </si>
  <si>
    <t>yam</t>
  </si>
  <si>
    <t>Yam</t>
  </si>
  <si>
    <t>Any of various chiefly tropical vines constituting the genus Dioscorea (family Dioscoreaceae), that are grown for their edible starchy tubers.</t>
  </si>
  <si>
    <t>For example, (in Southeast Asia) Dioscorea alata and (in West Africa) Dioscorea x cayenensis (yellow yam).</t>
  </si>
  <si>
    <t>CspCode_yam</t>
  </si>
  <si>
    <t>Shaped like an arch, consisting of a curved top on two vertical sidewalls.</t>
  </si>
  <si>
    <t>TcsCode_arch</t>
  </si>
  <si>
    <t>box</t>
  </si>
  <si>
    <t>Box</t>
  </si>
  <si>
    <t>Shaped like a box, consisting of a flat top on two vertical sidewalls.</t>
  </si>
  <si>
    <t>Frame</t>
  </si>
  <si>
    <t>TcsCode_box</t>
  </si>
  <si>
    <t>circular</t>
  </si>
  <si>
    <t>Circular</t>
  </si>
  <si>
    <t>Shaped like a circle.</t>
  </si>
  <si>
    <t>TcsCode_circular</t>
  </si>
  <si>
    <t>semicircular</t>
  </si>
  <si>
    <t>Semicircular</t>
  </si>
  <si>
    <t>Shaped like a portion of a circle, consisting of a curved top extending smoothly to the base (for example: a floor or the ground).</t>
  </si>
  <si>
    <t>TcsCode_semicircular</t>
  </si>
  <si>
    <t>Shaped like a circle, a perfectly round plane figure whose circumference is everywhere equidistant from its centre.</t>
  </si>
  <si>
    <t>Round</t>
  </si>
  <si>
    <t>CssCode_circular</t>
  </si>
  <si>
    <t>elliptical</t>
  </si>
  <si>
    <t>Elliptical</t>
  </si>
  <si>
    <t>Shaped like an ellipse, a symmetrical closed curve traced by a point moving in a plane so that the sum of its distances from two other points is constant.</t>
  </si>
  <si>
    <t>Oval</t>
  </si>
  <si>
    <t>CssCode_elliptical</t>
  </si>
  <si>
    <t>hexagonal</t>
  </si>
  <si>
    <t>Hexagonal</t>
  </si>
  <si>
    <t>Shaped like a hexagon, a polygon with six edges and six vertices.</t>
  </si>
  <si>
    <t>CssCode_hexagonal</t>
  </si>
  <si>
    <t>Not of regular or symmetrical shape.</t>
  </si>
  <si>
    <t>CssCode_irregular</t>
  </si>
  <si>
    <t>octagonal</t>
  </si>
  <si>
    <t>Octagonal</t>
  </si>
  <si>
    <t>Shaped like a octagon, a polygon with eight sides and eight vertices.</t>
  </si>
  <si>
    <t>CssCode_octagonal</t>
  </si>
  <si>
    <t>pentagonal</t>
  </si>
  <si>
    <t>Pentagonal</t>
  </si>
  <si>
    <t>Shaped like a pentagon, a polygon with five sides and five vertices.</t>
  </si>
  <si>
    <t>CssCode_pentagonal</t>
  </si>
  <si>
    <t>rectangular</t>
  </si>
  <si>
    <t>Rectangular</t>
  </si>
  <si>
    <t>Shaped like a rectangle, a plane figure having four straight sides and four right angles.</t>
  </si>
  <si>
    <t>CssCode_rectangular</t>
  </si>
  <si>
    <t>Shaped like a half-circle, a plane figure consisting of half of the circumference of a circle plus a line connecting the two ends of that circumference.</t>
  </si>
  <si>
    <t>A circle is a perfectly round plane figure whose circumference is everywhere equidistant from its centre. A line passing through the centre from circumference to circumference is termed its 'diameter'.</t>
  </si>
  <si>
    <t>CssCode_semicircular</t>
  </si>
  <si>
    <t>square</t>
  </si>
  <si>
    <t>Square</t>
  </si>
  <si>
    <t>Shaped like a square, a plane figure with four right angles and four equal straight sides.</t>
  </si>
  <si>
    <t>CssCode_square</t>
  </si>
  <si>
    <t>triangular</t>
  </si>
  <si>
    <t>Triangular</t>
  </si>
  <si>
    <t>Shaped like a triangle, a plane figure with three straight sides.</t>
  </si>
  <si>
    <t>CssCode_triangular</t>
  </si>
  <si>
    <t>economicSystem</t>
  </si>
  <si>
    <t>Economic System</t>
  </si>
  <si>
    <t>A human population whose members identify with each other by the methods used in securing the necessaries of life.</t>
  </si>
  <si>
    <t>CulCode_economicSystem</t>
  </si>
  <si>
    <t>ethnicGroup</t>
  </si>
  <si>
    <t>Ethnic Group</t>
  </si>
  <si>
    <t>A human population whose members identify with each other, usually on the basis of having a common cultural heritage (for example: as distinguished by customs, language, religious practices, or common history) or a presumed common genealogy or ancestry.</t>
  </si>
  <si>
    <t>Kinship-based ethnic groups are sometimes referred to as 'tribes' whereas those more closely associated with the evolution of the State are referred to as 'nations'.</t>
  </si>
  <si>
    <t>CulCode_ethnicGroup</t>
  </si>
  <si>
    <t>A human population united by a common language, spoken and/or written.</t>
  </si>
  <si>
    <t>Languages may be divided into dialects, language varieties used by people in a particular geographic locality.</t>
  </si>
  <si>
    <t>CulCode_language</t>
  </si>
  <si>
    <t>nationalIdentity</t>
  </si>
  <si>
    <t>National Identity</t>
  </si>
  <si>
    <t>An ethical and philosophical doctrine in which all humans are divided into groups termed 'nations' in which members are distinguished by a common identity, the status of belonging to a particular nation by birth or naturalization, and almost always by a common origin, in the sense of ancestry, parentage or descent.</t>
  </si>
  <si>
    <t>CulCode_nationalIdentity</t>
  </si>
  <si>
    <t>politics</t>
  </si>
  <si>
    <t>Politics</t>
  </si>
  <si>
    <t>A human population united by common political interests.</t>
  </si>
  <si>
    <t>CulCode_politics</t>
  </si>
  <si>
    <t>A human population united by a common group of beliefs or disbelief in a divine or superhuman power or powers to be obeyed and worshiped as the creator(s) and ruler(s) of the universe, and the moral codes, practices, values, institutions and rituals associated with such beliefs.</t>
  </si>
  <si>
    <t>CulCode_religion</t>
  </si>
  <si>
    <t>territory</t>
  </si>
  <si>
    <t>Territory</t>
  </si>
  <si>
    <t>A human population united by a common tie to a territory.</t>
  </si>
  <si>
    <t>CulCode_territory</t>
  </si>
  <si>
    <t>farming</t>
  </si>
  <si>
    <t>Farming</t>
  </si>
  <si>
    <t>The cultivation of plants for subsistence and/or sale.</t>
  </si>
  <si>
    <t>EtuCode_farming</t>
  </si>
  <si>
    <t>The capture of fish for subsistence and/or sale.</t>
  </si>
  <si>
    <t>EtuCode_fishing</t>
  </si>
  <si>
    <t>handicraft</t>
  </si>
  <si>
    <t>Handicraft</t>
  </si>
  <si>
    <t>Small-scale manufacturing of goods and corresponding services.</t>
  </si>
  <si>
    <t>EtuCode_handicraft</t>
  </si>
  <si>
    <t>huntingGathering</t>
  </si>
  <si>
    <t>Hunting and Gathering</t>
  </si>
  <si>
    <t>Collective term for securing the necessaries of life from nature.</t>
  </si>
  <si>
    <t>EtuCode_huntingGathering</t>
  </si>
  <si>
    <t>industrialProduction</t>
  </si>
  <si>
    <t>Industrial Production</t>
  </si>
  <si>
    <t>Large-scale production of goods by the utilization of technical equipment.</t>
  </si>
  <si>
    <t>EtuCode_industrialProduction</t>
  </si>
  <si>
    <t>nomadicAnimalHusbandry</t>
  </si>
  <si>
    <t>Nomadic Animal Husbandry</t>
  </si>
  <si>
    <t>Commercial livestock breeding, raising, and use in multiple locations.</t>
  </si>
  <si>
    <t>Normally subject to season-driven migrations to maintain sufficient availability of forage and water. Can be differentiated as: full nomadism, semi-nomadism, transhumance and partial nomadism.</t>
  </si>
  <si>
    <t>EtuCode_nomadicAnimalHusbandry</t>
  </si>
  <si>
    <t>nonNomadAnimalHusbandry</t>
  </si>
  <si>
    <t>Non-nomadic Animal Husbandry</t>
  </si>
  <si>
    <t>Commercial livestock breeding, raising, and use in a fixed location.</t>
  </si>
  <si>
    <t>EtuCode_nonNomadAnimalHusbandry</t>
  </si>
  <si>
    <t>services</t>
  </si>
  <si>
    <t>Services</t>
  </si>
  <si>
    <t>Collective term for the totality of non-industrial business (for example: trade, traffic, telecommunication, and medicine).</t>
  </si>
  <si>
    <t>EtuCode_services</t>
  </si>
  <si>
    <t>transhumance</t>
  </si>
  <si>
    <t>Transhumance</t>
  </si>
  <si>
    <t>The seasonal transfer of grazing animals to different pastures, often over long distances.</t>
  </si>
  <si>
    <t>Special form of spatial mobility of stock breeding groups in mountainous (sub) alpine regions. Annual migration of households and herds between winter pastures and summer pastures at higher elevations, partially with fixed abodes at both places.</t>
  </si>
  <si>
    <t>EtuCode_transhumance</t>
  </si>
  <si>
    <t>auditorium</t>
  </si>
  <si>
    <t>Auditorium</t>
  </si>
  <si>
    <t>A large building for public meetings and/or performances.</t>
  </si>
  <si>
    <t>CefCode_auditorium</t>
  </si>
  <si>
    <t>castle</t>
  </si>
  <si>
    <t>A large fortified building with thick walls, usually dominating the surrounding region.</t>
  </si>
  <si>
    <t>CefCode_castle</t>
  </si>
  <si>
    <t>communityCentre</t>
  </si>
  <si>
    <t>Community Centre</t>
  </si>
  <si>
    <t>A building used for recreational exercise and minor sports competitions, which typically serves a small town, community, or local region.</t>
  </si>
  <si>
    <t>CefCode_communityCentre</t>
  </si>
  <si>
    <t>indoorSwimmingPool</t>
  </si>
  <si>
    <t>Indoor Swimming Pool</t>
  </si>
  <si>
    <t>A swimming pool inside a buidling with attached facilities (for example: changing rooms).</t>
  </si>
  <si>
    <t>CefCode_indoorSwimmingPool</t>
  </si>
  <si>
    <t>library</t>
  </si>
  <si>
    <t>Library</t>
  </si>
  <si>
    <t>A building, or part of building, in which literary and artistic materials (for example: books, periodicals, newspapers, pamphlets, prints, records, and/or tapes) are kept for reading, reference, and/or lending.</t>
  </si>
  <si>
    <t>CefCode_library</t>
  </si>
  <si>
    <t>lyceum</t>
  </si>
  <si>
    <t>Lyceum</t>
  </si>
  <si>
    <t>A hall in which public lectures, concerts, and similar programs are presented.</t>
  </si>
  <si>
    <t>CefCode_lyceum</t>
  </si>
  <si>
    <t>museum</t>
  </si>
  <si>
    <t>Museum</t>
  </si>
  <si>
    <t>A building devoted to the acquisition, conservation, study, exhibition, and educational interpretation of objects having scientific, historical, or artistic value.</t>
  </si>
  <si>
    <t>CefCode_museum</t>
  </si>
  <si>
    <t>openAirMuseum</t>
  </si>
  <si>
    <t>Open-air Museum</t>
  </si>
  <si>
    <t>A distinctive type of museum exhibiting its collections out-of-doors.</t>
  </si>
  <si>
    <t>Skansen, Living Farm Museum, Living Museum, Folk Museum</t>
  </si>
  <si>
    <t>CefCode_openAirMuseum</t>
  </si>
  <si>
    <t>openAirTheatre</t>
  </si>
  <si>
    <t>Open-air Theatre</t>
  </si>
  <si>
    <t>A place for artistic entertainment purposes that is established outdoors.</t>
  </si>
  <si>
    <t>CefCode_openAirTheatre</t>
  </si>
  <si>
    <t>operaHouse</t>
  </si>
  <si>
    <t>Opera House</t>
  </si>
  <si>
    <t>A building that houses a theatre designed chiefly for the performance of operas.</t>
  </si>
  <si>
    <t>CefCode_operaHouse</t>
  </si>
  <si>
    <t>sportsCentre</t>
  </si>
  <si>
    <t>Sports Centre</t>
  </si>
  <si>
    <t>An site consisting of buildings, associated facilities, roads, and supporting terrain that is used for performing and observing sporting events.</t>
  </si>
  <si>
    <t>Sportsplex</t>
  </si>
  <si>
    <t>CefCode_sportsCentre</t>
  </si>
  <si>
    <t>sportsHall</t>
  </si>
  <si>
    <t>Sports Hall</t>
  </si>
  <si>
    <t>An indoor sport facility.</t>
  </si>
  <si>
    <t>CefCode_sportsHall</t>
  </si>
  <si>
    <t>theater</t>
  </si>
  <si>
    <t>Theater</t>
  </si>
  <si>
    <t>A building, a room or outdoor structure used for the presentation of plays, films, or other dramatic performances.</t>
  </si>
  <si>
    <t>CefCode_theater</t>
  </si>
  <si>
    <t>vivarium</t>
  </si>
  <si>
    <t>Vivarium</t>
  </si>
  <si>
    <t>An enclosure or structure adapted or prepared for keeping animals under conditions approximating to the natural conditions, for observation or study; especially an aquarium or a terrarium.</t>
  </si>
  <si>
    <t>CefCode_vivarium</t>
  </si>
  <si>
    <t>modernStateForm</t>
  </si>
  <si>
    <t>Modern State Form</t>
  </si>
  <si>
    <t>The existence of a central authority with the monopoly on the legitimate use of force within an existing territory.</t>
  </si>
  <si>
    <t>Modern states define themselves through desacralisation, depersonalisation, and increasing bureaucratisation of authority and power. A typical feature is the formal strengthening of the rights and obligations of the individual, irrespective of his/her integration into local, religious, family-related and other loyalties and networks that were often of importance under the law in the pre-modern state.</t>
  </si>
  <si>
    <t>EtvCode_modernStateForm</t>
  </si>
  <si>
    <t>nonHierarchicalSociety</t>
  </si>
  <si>
    <t>Non-hierarchical Society</t>
  </si>
  <si>
    <t>Non-hierarchical or akephali societies are organised in an egalitarian way; authority is not wielded by specific persons or institutions, and possession is limited in time and shared out between families, hordes, lineage groups, and other forms of cooperation.</t>
  </si>
  <si>
    <t>In concrete situations, individuals may take on leadership functions that are not tied to sanctioning forms (for example: monopoly on the use of force, duties and taxes).</t>
  </si>
  <si>
    <t>EtvCode_nonHierarchicalSociety</t>
  </si>
  <si>
    <t>rankSociety</t>
  </si>
  <si>
    <t>Rank Society</t>
  </si>
  <si>
    <t>The social status depends on prestige and power positions; wealth is not a decisive factor.</t>
  </si>
  <si>
    <t>EtvCode_rankSociety</t>
  </si>
  <si>
    <t>stratifiedSociety</t>
  </si>
  <si>
    <t>Stratified Society</t>
  </si>
  <si>
    <t>Social stratification related to the hierarchical ranking of different social groups within a society or nation.</t>
  </si>
  <si>
    <t>The underlying reasons for social inequity are not based on age, sex, family, and lineage, but on the different opportunities to get access to the socially relevant goods and objectives, for example: prestige, status, power, possessions, wealth, and education. Castes and classes are examples of stratified societies.</t>
  </si>
  <si>
    <t>EtvCode_stratifiedSociety</t>
  </si>
  <si>
    <t>boxWithLoad</t>
  </si>
  <si>
    <t>Box with Load</t>
  </si>
  <si>
    <t>Box-shaped in which the live traffic load is essentially directly applied to the culvert, there being no soil back-fill.</t>
  </si>
  <si>
    <t>May be either precast or cast-in-place. There may be a thin overlying soil burden.</t>
  </si>
  <si>
    <t>CtcCode_boxWithLoad</t>
  </si>
  <si>
    <t>boxWithSoil</t>
  </si>
  <si>
    <t>Box with Soil</t>
  </si>
  <si>
    <t>Box-shaped in which a significant dead load of soil overlies the culvert and generally dominates the total loading.</t>
  </si>
  <si>
    <t>CtcCode_boxWithSoil</t>
  </si>
  <si>
    <t>regularWithSoil</t>
  </si>
  <si>
    <t>Regular with Soil</t>
  </si>
  <si>
    <t>Arch-shaped in which a significant dead load of soil overlies the culvert and dominates the total loading.</t>
  </si>
  <si>
    <t>The actual cross-section may be circular, arch, or elliptical.</t>
  </si>
  <si>
    <t>CtcCode_regularWithSoil</t>
  </si>
  <si>
    <t>ebbStream</t>
  </si>
  <si>
    <t>Ebb Stream</t>
  </si>
  <si>
    <t>The horizontal movement of water associated with falling tide.</t>
  </si>
  <si>
    <t>Ebb streams generally set seaward, or in the opposite direction to the tide progression.</t>
  </si>
  <si>
    <t>Ebb Current, Ebb, Outgoing Stream</t>
  </si>
  <si>
    <t>CurCode_ebbStream</t>
  </si>
  <si>
    <t>floodStream</t>
  </si>
  <si>
    <t>Flood Stream</t>
  </si>
  <si>
    <t>The horizontal movement of water associated with the rising tide.</t>
  </si>
  <si>
    <t>Flood streams generally set towards the shore, or in the direction of the tide progression.</t>
  </si>
  <si>
    <t>Ingoing Stream, Flood, Flood Current</t>
  </si>
  <si>
    <t>CurCode_floodStream</t>
  </si>
  <si>
    <t>longshore</t>
  </si>
  <si>
    <t>Longshore</t>
  </si>
  <si>
    <t>A current paralleling the shore largely within the surf zone.</t>
  </si>
  <si>
    <t>It is caused by the excess water brought to the zone by the small net mass transport of wind waves. Longshore currents feed into rip currents.</t>
  </si>
  <si>
    <t>CurCode_longshore</t>
  </si>
  <si>
    <t>oceanCurrent</t>
  </si>
  <si>
    <t>Ocean Current</t>
  </si>
  <si>
    <t>A movement of ocean water characterized by regularity, either of a cyclic nature or as a continuous stream flowing along a definable path.</t>
  </si>
  <si>
    <t>Generally, the combination of tidal stream and current, the whole water movement in an oceanic context.</t>
  </si>
  <si>
    <t>Sea Current</t>
  </si>
  <si>
    <t>CurCode_oceanCurrent</t>
  </si>
  <si>
    <t>rip</t>
  </si>
  <si>
    <t>Rip</t>
  </si>
  <si>
    <t>The return flow of water piled up on the shore by incoming waves and wind.</t>
  </si>
  <si>
    <t>Longshore currents feed into rip currents.</t>
  </si>
  <si>
    <t>CurCode_rip</t>
  </si>
  <si>
    <t>riverFlow</t>
  </si>
  <si>
    <t>River Flow</t>
  </si>
  <si>
    <t>The flow of water from a river or its estuary to the sea.</t>
  </si>
  <si>
    <t>In general, water movement in the general direction of drainage in the non-tidal portion of rivers.</t>
  </si>
  <si>
    <t>CurCode_riverFlow</t>
  </si>
  <si>
    <t>tidalFlow</t>
  </si>
  <si>
    <t>Tidal Flow</t>
  </si>
  <si>
    <t>The horizontal movement of water associated with the tide.</t>
  </si>
  <si>
    <t>CurCode_tidalFlow</t>
  </si>
  <si>
    <t>underwaterRiverFlow</t>
  </si>
  <si>
    <t>Underwater River Flow</t>
  </si>
  <si>
    <t>The flow of water along a river bed on the ocean floor.</t>
  </si>
  <si>
    <t>CurCode_underwaterRiverFlow</t>
  </si>
  <si>
    <t>slope</t>
  </si>
  <si>
    <t>Slope</t>
  </si>
  <si>
    <t>Slopes away from vertical towards the reservoir.</t>
  </si>
  <si>
    <t>Typically results from earthen construction.</t>
  </si>
  <si>
    <t>DftCode_slope</t>
  </si>
  <si>
    <t>Vertical.</t>
  </si>
  <si>
    <t>Typically used in concrete construction.</t>
  </si>
  <si>
    <t>DftCode_vertical</t>
  </si>
  <si>
    <t>floodControl</t>
  </si>
  <si>
    <t>Flood Control</t>
  </si>
  <si>
    <t>A dam whose reservoir is regulated to accomplish flood control.</t>
  </si>
  <si>
    <t>It may also provide a source of water for irrigation and/or hydroelectric power. For example, the Grand Coulee Dam.</t>
  </si>
  <si>
    <t>DwtCode_floodControl</t>
  </si>
  <si>
    <t>hydroPowerGeneration</t>
  </si>
  <si>
    <t>Hydroelectric Power Generation</t>
  </si>
  <si>
    <t>A dam which is intended to produce electrical power from the potential energy of dammed water driving a water turbine and generator.</t>
  </si>
  <si>
    <t>To boost the power generation capabilities of a dam, the water may be run through a large pipe called a penstock before the turbine. A variant on this simple model uses pumped storage hydroelectricity to produce electricity to match periods of high and low water.</t>
  </si>
  <si>
    <t>DwtCode_hydroPowerGeneration</t>
  </si>
  <si>
    <t>A dam on a watercourse that is not bypassed by locks.</t>
  </si>
  <si>
    <t>Portage is required for boats to bypass the dam. It may serve, for example, as a source of water for a canal or mill.</t>
  </si>
  <si>
    <t>DwtCode_minor</t>
  </si>
  <si>
    <t>navigation</t>
  </si>
  <si>
    <t>Navigation</t>
  </si>
  <si>
    <t>A large dam that ensures that a waterway is navigable by ensuring sufficient upriver channel depth and that is bypassed by one or more locks.</t>
  </si>
  <si>
    <t>Typically more than 15 metres tall, navigation dams normally permit water flow by means of spillways or gates with roller and tainter gates being the most commonly installed. Most navigation pools in the United States are maintained at a constant minimum water depth of 3 metres (9 feet). The installation of navigation dams permit river vessels to use a series of locks to 'step' up or down a river from one water level to another.</t>
  </si>
  <si>
    <t>DwtCode_navigation</t>
  </si>
  <si>
    <t>weir</t>
  </si>
  <si>
    <t>A small overflow-type dam commonly used to raise the upstream water level of a river or stream.</t>
  </si>
  <si>
    <t>Typically less than 15 metres tall, water flows over the top of a weir although some weirs have sluice gates which release water at a level below the top of the weir. The crest of an overflow spillway on a large dam is often called a weir. Weirs have traditionally been used to create mill ponds or to provide adequate water supply to maintain levels in an adjacent canal. Weirs may be associated with locks to permit the passage of boats around the weir.</t>
  </si>
  <si>
    <t>DwtCode_weir</t>
  </si>
  <si>
    <t>collected</t>
  </si>
  <si>
    <t>Collected</t>
  </si>
  <si>
    <t>Collected by approved methods.</t>
  </si>
  <si>
    <t>CacCode_collected</t>
  </si>
  <si>
    <t>derived</t>
  </si>
  <si>
    <t>Derived</t>
  </si>
  <si>
    <t>Derived (from other authoritative data) by approved methods.</t>
  </si>
  <si>
    <t>CacCode_derived</t>
  </si>
  <si>
    <t>foundationData</t>
  </si>
  <si>
    <t>Foundation Data</t>
  </si>
  <si>
    <t>Comprises a portion of the recognized foundation dataset, meeting the associated data quality requirements.</t>
  </si>
  <si>
    <t>CacCode_foundationData</t>
  </si>
  <si>
    <t>measured</t>
  </si>
  <si>
    <t>Measured</t>
  </si>
  <si>
    <t>Based on direct measurement.</t>
  </si>
  <si>
    <t>CacCode_measured</t>
  </si>
  <si>
    <t>rawData</t>
  </si>
  <si>
    <t>Raw Data</t>
  </si>
  <si>
    <t>Collected but not yet processed to meet data quality requirements.</t>
  </si>
  <si>
    <t>CacCode_rawData</t>
  </si>
  <si>
    <t>statistical</t>
  </si>
  <si>
    <t>Statistical</t>
  </si>
  <si>
    <t>Derived (from other authoritative data) by statistical methods.</t>
  </si>
  <si>
    <t>CacCode_statistical</t>
  </si>
  <si>
    <t>cage</t>
  </si>
  <si>
    <t>Cage</t>
  </si>
  <si>
    <t>A wire framework cube displayed in lieu of a panel.</t>
  </si>
  <si>
    <t>DksCode_cage</t>
  </si>
  <si>
    <t>DksCode_circular</t>
  </si>
  <si>
    <t>Shaped like a vertically elongated rhombus.</t>
  </si>
  <si>
    <t>DksCode_diamond</t>
  </si>
  <si>
    <t>rectangle</t>
  </si>
  <si>
    <t>Rectangle</t>
  </si>
  <si>
    <t>A rectangle-shaped panel.</t>
  </si>
  <si>
    <t>DksCode_rectangle</t>
  </si>
  <si>
    <t>A square-shaped panel.</t>
  </si>
  <si>
    <t>DksCode_square</t>
  </si>
  <si>
    <t>trapezoidal</t>
  </si>
  <si>
    <t>Trapezoidal</t>
  </si>
  <si>
    <t>Shaped like a quadrilateral with two sides parallel.</t>
  </si>
  <si>
    <t>DksCode_trapezoidal</t>
  </si>
  <si>
    <t>triangle</t>
  </si>
  <si>
    <t>Triangle</t>
  </si>
  <si>
    <t>A triangle-shaped panel.</t>
  </si>
  <si>
    <t>DksCode_triangle</t>
  </si>
  <si>
    <t>coveredLt20Metres</t>
  </si>
  <si>
    <t>Covered &lt; 20 metres</t>
  </si>
  <si>
    <t>Accurate depth of hazard is unknown, but assumed to be less than 20 metres without uncovering.</t>
  </si>
  <si>
    <t>EodCode_coveredLt20Metres</t>
  </si>
  <si>
    <t>coveredGte20ButLt30Metres</t>
  </si>
  <si>
    <t>Covered &gt;= 20 metres but &lt; 30 metres</t>
  </si>
  <si>
    <t>Accurate depth of hazard is unknown, but assumed to be greater than or equal to 20 metres but less than 30 metres.</t>
  </si>
  <si>
    <t>EodCode_coveredGte20ButLt30Metres</t>
  </si>
  <si>
    <t>coveredGte30Metres</t>
  </si>
  <si>
    <t>Covered &gt;= 30 metres</t>
  </si>
  <si>
    <t>Accurate depth of hazard is unknown, but assumed to be greater than or equal to 30 metres.</t>
  </si>
  <si>
    <t>EodCode_coveredGte30Metres</t>
  </si>
  <si>
    <t>Having a surface cover of gravel and pebbles.</t>
  </si>
  <si>
    <t>Serir, Reg</t>
  </si>
  <si>
    <t>De1Code_gravel</t>
  </si>
  <si>
    <t>A cold desert without any vegetation where animals hardly can survive.</t>
  </si>
  <si>
    <t>Usually found in the Arctic and Antarctic regions. As a rule without human settlements.</t>
  </si>
  <si>
    <t>Hamada</t>
  </si>
  <si>
    <t>De1Code_ice</t>
  </si>
  <si>
    <t>rock</t>
  </si>
  <si>
    <t>Rock</t>
  </si>
  <si>
    <t>Having a rocky surface and with small cover of debris.</t>
  </si>
  <si>
    <t>For example: Sahara Hamada.</t>
  </si>
  <si>
    <t>De1Code_rock</t>
  </si>
  <si>
    <t>salt</t>
  </si>
  <si>
    <t>Salt</t>
  </si>
  <si>
    <t>A heat desert with salt lakes, salt pans and saline soils characterized by alkali flats.</t>
  </si>
  <si>
    <t>Salt remains as evaporated crust.</t>
  </si>
  <si>
    <t>Alkali Desert</t>
  </si>
  <si>
    <t>De1Code_salt</t>
  </si>
  <si>
    <t>Having sand as its predominant soil texture, flat-spread or dunes.</t>
  </si>
  <si>
    <t>De1Code_sand</t>
  </si>
  <si>
    <t>Having a surface cover of sharp-cornered debris.</t>
  </si>
  <si>
    <t>De1Code_stone</t>
  </si>
  <si>
    <t>core</t>
  </si>
  <si>
    <t>Core</t>
  </si>
  <si>
    <t>The central region of a desert, subject to a complete lack of vegetation and extreme drought.</t>
  </si>
  <si>
    <t>Central Desert</t>
  </si>
  <si>
    <t>De2Code_core</t>
  </si>
  <si>
    <t>marginal</t>
  </si>
  <si>
    <t>Marginal</t>
  </si>
  <si>
    <t>The area surrounding the central region of a desert, often as the link to savannah or steppe with increasing drought.</t>
  </si>
  <si>
    <t>De2Code_marginal</t>
  </si>
  <si>
    <t>(Aeronautical Information Exchange Model (AIXM): 'ADHP')</t>
  </si>
  <si>
    <t>aerodromeHeliport</t>
  </si>
  <si>
    <t>Aerodrome or Heliport</t>
  </si>
  <si>
    <t>Used for a point that does not have a worldwide unique name, but is now given one in the context of an aerodrome/heliport.</t>
  </si>
  <si>
    <t>DptCode_aerodromeHeliport</t>
  </si>
  <si>
    <t>(Aeronautical Information Exchange Model (AIXM): 'COORD')</t>
  </si>
  <si>
    <t>coordinateBased</t>
  </si>
  <si>
    <t>Coordinate-based</t>
  </si>
  <si>
    <t>Used for points not having a proper designator, but which are published by their geographical coordinates.</t>
  </si>
  <si>
    <t>DptCode_coordinateBased</t>
  </si>
  <si>
    <t>(Aeronautical Information Exchange Model (AIXM): 'ICAO')</t>
  </si>
  <si>
    <t>icao</t>
  </si>
  <si>
    <t>ICAO</t>
  </si>
  <si>
    <t xml:space="preserve"> A coded identifier fulfilling the ICAO requirements for 5-letter name code designators.</t>
  </si>
  <si>
    <t>DptCode_icao</t>
  </si>
  <si>
    <t>The horizontal direction (bearing) of an object or point as determined from the viewpoint of an observer located near the Earth's surface, measured clockwise from magnetic north up to, but not including, 360 arc degrees.</t>
  </si>
  <si>
    <t>DrbCode_magneticBearing</t>
  </si>
  <si>
    <t>magneticHeading</t>
  </si>
  <si>
    <t>Magnetic Heading</t>
  </si>
  <si>
    <t>The horizontal direction of the path of an observer moving with respect to the Earth's surface, measured clockwise from magnetic north up to, but not including, 360 arc degrees.</t>
  </si>
  <si>
    <t>DrbCode_magneticHeading</t>
  </si>
  <si>
    <t>The horizontal path of an observer moving with respect to the Earth's surface, the direction of which path at any point is measured clockwise from magnetic north, as published by the appropriate authority.</t>
  </si>
  <si>
    <t>DrbCode_magneticTrack</t>
  </si>
  <si>
    <t>The horizontal direction (bearing) of an object or point as determined from the viewpoint of an observer located near the Earth's surface, measured clockwise from geographic (true) north up to, but not including, 360 arc degrees.</t>
  </si>
  <si>
    <t>DrbCode_trueBearing</t>
  </si>
  <si>
    <t>trueHeading</t>
  </si>
  <si>
    <t>True Heading</t>
  </si>
  <si>
    <t>The horizontal direction of the path of an observer moving with respect to the Earth's surface, measured clockwise from geographic (true) north up to, but not including, 360 arc degrees.</t>
  </si>
  <si>
    <t>DrbCode_trueHeading</t>
  </si>
  <si>
    <t>vorOrTacanRadial</t>
  </si>
  <si>
    <t>VOR or TACAN Radial</t>
  </si>
  <si>
    <t>The horizontal direction (bearing) extending from a VHF Omnidirectional Radio (VOR) or Tactical Air Navigation Aid (TACAN) navigation facility, measured clockwise from magnetic north.</t>
  </si>
  <si>
    <t>DrbCode_vorOrTacanRadial</t>
  </si>
  <si>
    <t>bothClosed</t>
  </si>
  <si>
    <t>Both Closed</t>
  </si>
  <si>
    <t>Traffic is not allowed in any direction.</t>
  </si>
  <si>
    <t>T03Code_bothClosed</t>
  </si>
  <si>
    <t>bothOpen</t>
  </si>
  <si>
    <t>Both Open</t>
  </si>
  <si>
    <t>Traffic is allowed in both directions.</t>
  </si>
  <si>
    <t>T03Code_bothOpen</t>
  </si>
  <si>
    <t>openOppositeDirection</t>
  </si>
  <si>
    <t>Open in Opposite Direction</t>
  </si>
  <si>
    <t>Traffic is only allowed in the opposite direction of the feature.</t>
  </si>
  <si>
    <t>T03Code_openOppositeDirection</t>
  </si>
  <si>
    <t>openSurveyingDirection</t>
  </si>
  <si>
    <t>Open in Surveying Direction</t>
  </si>
  <si>
    <t>Traffic is only allowed in the direction of the feature.</t>
  </si>
  <si>
    <t>T03Code_openSurveyingDirection</t>
  </si>
  <si>
    <t>Visually significant or reflective from two sides.</t>
  </si>
  <si>
    <t>For example, a metal fence.</t>
  </si>
  <si>
    <t>DirCode_bidirectional</t>
  </si>
  <si>
    <t>leftUnidirectional</t>
  </si>
  <si>
    <t>Left Unidirectional</t>
  </si>
  <si>
    <t>Visually significant or reflective from the left side only.</t>
  </si>
  <si>
    <t>The left side is determined by following the linear component from the westmost node (southmost if the feature follows a meridian of longitude).</t>
  </si>
  <si>
    <t>DirCode_leftUnidirectional</t>
  </si>
  <si>
    <t>omnidirectional</t>
  </si>
  <si>
    <t>Omnidirectional</t>
  </si>
  <si>
    <t>Visually significant or reflective from any direction.</t>
  </si>
  <si>
    <t>For example, a metal tower.</t>
  </si>
  <si>
    <t>DirCode_omnidirectional</t>
  </si>
  <si>
    <t>rightUnidirectional</t>
  </si>
  <si>
    <t>Right Unidirectional</t>
  </si>
  <si>
    <t>Visually significant or reflective from the right side only.</t>
  </si>
  <si>
    <t>The right side is determined by following the linear component from the westmost node (southmost if the feature follows a meridian of longitude).</t>
  </si>
  <si>
    <t>DirCode_rightUnidirectional</t>
  </si>
  <si>
    <t>unidirectional</t>
  </si>
  <si>
    <t>Unidirectional</t>
  </si>
  <si>
    <t>Visually significant or reflective from one side only.</t>
  </si>
  <si>
    <t>For example, a cliff.</t>
  </si>
  <si>
    <t>DirCode_unidirectional</t>
  </si>
  <si>
    <t>endemic</t>
  </si>
  <si>
    <t>Endemic</t>
  </si>
  <si>
    <t>Remaining in the close surroundings of the place of outbreak.</t>
  </si>
  <si>
    <t>Si1Code_endemic</t>
  </si>
  <si>
    <t>epidemic</t>
  </si>
  <si>
    <t>Epidemic</t>
  </si>
  <si>
    <t>Extending far from the surroundings of the place of outbreak.</t>
  </si>
  <si>
    <t>Si1Code_epidemic</t>
  </si>
  <si>
    <t>pandemic</t>
  </si>
  <si>
    <t>Pandemic</t>
  </si>
  <si>
    <t>Widely epidemic, affecting an entire country or the entire world.</t>
  </si>
  <si>
    <t>Si1Code_pandemic</t>
  </si>
  <si>
    <t>armadillo</t>
  </si>
  <si>
    <t>Armadillo</t>
  </si>
  <si>
    <t>Any of a number of burrowing edentate mammals native to South and Central America, which have bodies encased in bony plates and are able to roll themselves into a ball when threatened.</t>
  </si>
  <si>
    <t>DibCode_armadillo</t>
  </si>
  <si>
    <t>bat</t>
  </si>
  <si>
    <t>Bat</t>
  </si>
  <si>
    <t>A member of the order Chiroptera of mainly nocturnal flying mammals which have forelimbs modified to support membranous wings extending to the tail.</t>
  </si>
  <si>
    <t>DibCode_bat</t>
  </si>
  <si>
    <t>bird</t>
  </si>
  <si>
    <t>Bird</t>
  </si>
  <si>
    <t>A feathered, warm-blooded, amniote animal of the vertebrate class Aves, characterized by modification of the forelimbs as wings for flight, oviparous reproduction, and care for the young.</t>
  </si>
  <si>
    <t>DibCode_bird</t>
  </si>
  <si>
    <t>Domesticated animal, especially oxen and cows.</t>
  </si>
  <si>
    <t>DibCode_cattle</t>
  </si>
  <si>
    <t>DibCode_dog</t>
  </si>
  <si>
    <t>DibCode_goat</t>
  </si>
  <si>
    <t>hedgehog</t>
  </si>
  <si>
    <t>Hedgehog</t>
  </si>
  <si>
    <t>Any of various spiny nocturnal insectivorous mammals of the family Erinaceidae (especially the western European Erinaceus europaeus), noted for the ability to roll up into a ball when alarmed.</t>
  </si>
  <si>
    <t>DibCode_hedgehog</t>
  </si>
  <si>
    <t>herbivoreLivestock</t>
  </si>
  <si>
    <t>Herbivore Livestock</t>
  </si>
  <si>
    <t>An animal, especially a mammal, that feeds naturally on plants and is kept or dealt in for use or profit.</t>
  </si>
  <si>
    <t>DibCode_herbivoreLivestock</t>
  </si>
  <si>
    <t>DibCode_horse</t>
  </si>
  <si>
    <t>human</t>
  </si>
  <si>
    <t>Human</t>
  </si>
  <si>
    <t>Of, pertaining to, or characteristic of humankind or people; belonging to humankind; of or belonging to the species.</t>
  </si>
  <si>
    <t>DibCode_human</t>
  </si>
  <si>
    <t>monkey</t>
  </si>
  <si>
    <t>Monkey</t>
  </si>
  <si>
    <t>Any of numerous primates of a group including the families Cebidae (including capuchins and howler monkeys), Callitricidae (including marmosets and tamarins), and Cercopithecidae (including baboons, macaques, and colobuses), especially any of the long-tailed kinds.</t>
  </si>
  <si>
    <t>DibCode_monkey</t>
  </si>
  <si>
    <t>opossum</t>
  </si>
  <si>
    <t>Opossum</t>
  </si>
  <si>
    <t>Any of various small or medium-sized marsupial mammals, mostly arboreal, of the mainly neotropical family Didelphidae, which have an opposable thumb on the hind foot and a usually prehensile and hairless tail; especially (more fully Virginian opossum) the common North American species, Didelphis virginiana, which is the size of a cat.</t>
  </si>
  <si>
    <t>DibCode_opossum</t>
  </si>
  <si>
    <t>DibCode_pig</t>
  </si>
  <si>
    <t>DibCode_poultry</t>
  </si>
  <si>
    <t>rabbit</t>
  </si>
  <si>
    <t>Rabbit</t>
  </si>
  <si>
    <t>Any of various gregarious burrowing plant-eating mammals of the family Leporidae (order Lagomorpha), with long ears (but not as long as a hare's) and a short stumpy tail.</t>
  </si>
  <si>
    <t>DibCode_rabbit</t>
  </si>
  <si>
    <t>rodent</t>
  </si>
  <si>
    <t>Rodent</t>
  </si>
  <si>
    <t>Order of mammals also known as rodents, characterised by two continuously growing incisors in the upper and lower jaws which must be kept short by gnawing.</t>
  </si>
  <si>
    <t>DibCode_rodent</t>
  </si>
  <si>
    <t>DibCode_sheep</t>
  </si>
  <si>
    <t>DibCode_soil</t>
  </si>
  <si>
    <t>squirrel</t>
  </si>
  <si>
    <t>Squirrel</t>
  </si>
  <si>
    <t>Any of various slender agile seed-eating arboreal rodents having a long bushy tail and furry coat, chiefly of the genus Sciurus and related genera, noted for hoarding nuts for food in winter.</t>
  </si>
  <si>
    <t>DibCode_squirrel</t>
  </si>
  <si>
    <t>bloodBodilyFluids</t>
  </si>
  <si>
    <t>Blood and/or Bodily Fluids</t>
  </si>
  <si>
    <t>All kinds of fluids that occure naturally in the body of humans.</t>
  </si>
  <si>
    <t>Examples of diseases transmitted: Hepatitis B and C, Human Immunodeficiency Virus (HIV), Marburg Virus, Ebola.</t>
  </si>
  <si>
    <t>DicCode_bloodBodilyFluids</t>
  </si>
  <si>
    <t>contaminatedDustAirborne</t>
  </si>
  <si>
    <t>Contaminated Dust and/or Airborne</t>
  </si>
  <si>
    <t>General for minute solid particles with diameters less than 20 thou (500 micrometers).</t>
  </si>
  <si>
    <t>Examples of diseases transmitted: Tuberculosis, Q-Fever.</t>
  </si>
  <si>
    <t>DicCode_contaminatedDustAirborne</t>
  </si>
  <si>
    <t>crawlingInsectsTicks</t>
  </si>
  <si>
    <t>Crawling Insects and/or Ticks</t>
  </si>
  <si>
    <t>Many crawling insects and ticks of the families Reduviidae, Pulicidae and Ixodidae.</t>
  </si>
  <si>
    <t>Examples of diseases transmitted: Plague, Chagas Disease, Tick-borne Encephalitis, Lyme Disease, Relapsing Fever, Crim-Congo-Haemorrhagic Fever.</t>
  </si>
  <si>
    <t>DicCode_crawlingInsectsTicks</t>
  </si>
  <si>
    <t>flyingInsects</t>
  </si>
  <si>
    <t>Flying Insects</t>
  </si>
  <si>
    <t>Many flying insects in the families Culicidae, Tabanidae, Glossinidae, Psychodidae.</t>
  </si>
  <si>
    <t>Examples of diseases transmitted: Malaria, St. Louis empcephalitis, Dengue fever, Yellow Fever and West Nile virus, Sleeping Sickness, Leishmaniasis, Rift Valley Fever.</t>
  </si>
  <si>
    <t>DicCode_flyingInsects</t>
  </si>
  <si>
    <t>mammals</t>
  </si>
  <si>
    <t>Mammals</t>
  </si>
  <si>
    <t>A class of vertebrate animals whose name is derived from their distinctive feature, mammary glands, with which they feed their young; they are also characterized by the possession of sweat glands, hair, three middle ear bones used in hearing, and a neocortex region in the brain.</t>
  </si>
  <si>
    <t>Examples of diseases transmitted: Rabies, Q-Fever.</t>
  </si>
  <si>
    <t>DicCode_mammals</t>
  </si>
  <si>
    <t>manAerosol</t>
  </si>
  <si>
    <t>Man (Aerosol)</t>
  </si>
  <si>
    <t>A suspension of fine solid particles exhalated or coughed by humans.</t>
  </si>
  <si>
    <t>Examples of diseases transmitted: Measles, Influenza, Pneumonic plague, Mumps, Rubella, Tuberculosis, Meningococcal disease.</t>
  </si>
  <si>
    <t>DicCode_manAerosol</t>
  </si>
  <si>
    <t>rodents</t>
  </si>
  <si>
    <t>Rodents</t>
  </si>
  <si>
    <t>Examples of diseases transmitted: Hanta Virus, Leptospirosis, Lassa Fever.</t>
  </si>
  <si>
    <t>DicCode_rodents</t>
  </si>
  <si>
    <t>waterFood</t>
  </si>
  <si>
    <t>Water and/or Food</t>
  </si>
  <si>
    <t>All kinds of eatables or drinks.</t>
  </si>
  <si>
    <t>Examples of diseases transmitted: Vast numbers of pathogens including Brucellosis, Hepatitis A, Cholera, some Helminths, Norovirus, Amoebiasis, Lambliasis and many more.</t>
  </si>
  <si>
    <t>DicCode_waterFood</t>
  </si>
  <si>
    <t>The channel of '100X' is assigned for the Distance Measuring Equipment (DME) by the responsible authority.</t>
  </si>
  <si>
    <t>DtcCode_chan100X</t>
  </si>
  <si>
    <t>The channel of '100Y' is assigned for the Distance Measuring Equipment (DME) by the responsible authority.</t>
  </si>
  <si>
    <t>DtcCode_chan100Y</t>
  </si>
  <si>
    <t>The channel of '100Z' is assigned for the Distance Measuring Equipment (DME) by the responsible authority.</t>
  </si>
  <si>
    <t>DtcCode_chan100Z</t>
  </si>
  <si>
    <t>The channel of '101X' is assigned for the Distance Measuring Equipment (DME) by the responsible authority.</t>
  </si>
  <si>
    <t>DtcCode_chan101X</t>
  </si>
  <si>
    <t>The channel of '101Y' is assigned for the Distance Measuring Equipment (DME) by the responsible authority.</t>
  </si>
  <si>
    <t>DtcCode_chan101Y</t>
  </si>
  <si>
    <t>The channel of '101Z' is assigned for the Distance Measuring Equipment (DME) by the responsible authority.</t>
  </si>
  <si>
    <t>DtcCode_chan101Z</t>
  </si>
  <si>
    <t>The channel of '102X' is assigned for the Distance Measuring Equipment (DME) by the responsible authority.</t>
  </si>
  <si>
    <t>DtcCode_chan102X</t>
  </si>
  <si>
    <t>The channel of '102Y' is assigned for the Distance Measuring Equipment (DME) by the responsible authority.</t>
  </si>
  <si>
    <t>DtcCode_chan102Y</t>
  </si>
  <si>
    <t>The channel of '102Z' is assigned for the Distance Measuring Equipment (DME) by the responsible authority.</t>
  </si>
  <si>
    <t>DtcCode_chan102Z</t>
  </si>
  <si>
    <t>The channel of '103X' is assigned for the Distance Measuring Equipment (DME) by the responsible authority.</t>
  </si>
  <si>
    <t>DtcCode_chan103X</t>
  </si>
  <si>
    <t>The channel of '103Y' is assigned for the Distance Measuring Equipment (DME) by the responsible authority.</t>
  </si>
  <si>
    <t>DtcCode_chan103Y</t>
  </si>
  <si>
    <t>The channel of '103Z' is assigned for the Distance Measuring Equipment (DME) by the responsible authority.</t>
  </si>
  <si>
    <t>DtcCode_chan103Z</t>
  </si>
  <si>
    <t>The channel of '104X' is assigned for the Distance Measuring Equipment (DME) by the responsible authority.</t>
  </si>
  <si>
    <t>DtcCode_chan104X</t>
  </si>
  <si>
    <t>The channel of '104Y' is assigned for the Distance Measuring Equipment (DME) by the responsible authority.</t>
  </si>
  <si>
    <t>DtcCode_chan104Y</t>
  </si>
  <si>
    <t>The channel of '104Z' is assigned for the Distance Measuring Equipment (DME) by the responsible authority.</t>
  </si>
  <si>
    <t>DtcCode_chan104Z</t>
  </si>
  <si>
    <t>The channel of '105X' is assigned for the Distance Measuring Equipment (DME) by the responsible authority.</t>
  </si>
  <si>
    <t>DtcCode_chan105X</t>
  </si>
  <si>
    <t>The channel of '105Y' is assigned for the Distance Measuring Equipment (DME) by the responsible authority.</t>
  </si>
  <si>
    <t>DtcCode_chan105Y</t>
  </si>
  <si>
    <t>The channel of '105Z' is assigned for the Distance Measuring Equipment (DME) by the responsible authority.</t>
  </si>
  <si>
    <t>DtcCode_chan105Z</t>
  </si>
  <si>
    <t>The channel of '106X' is assigned for the Distance Measuring Equipment (DME) by the responsible authority.</t>
  </si>
  <si>
    <t>DtcCode_chan106X</t>
  </si>
  <si>
    <t>The channel of '106Y' is assigned for the Distance Measuring Equipment (DME) by the responsible authority.</t>
  </si>
  <si>
    <t>DtcCode_chan106Y</t>
  </si>
  <si>
    <t>The channel of '106Z' is assigned for the Distance Measuring Equipment (DME) by the responsible authority.</t>
  </si>
  <si>
    <t>DtcCode_chan106Z</t>
  </si>
  <si>
    <t>The channel of '107X' is assigned for the Distance Measuring Equipment (DME) by the responsible authority.</t>
  </si>
  <si>
    <t>DtcCode_chan107X</t>
  </si>
  <si>
    <t>The channel of '107Y' is assigned for the Distance Measuring Equipment (DME) by the responsible authority.</t>
  </si>
  <si>
    <t>DtcCode_chan107Y</t>
  </si>
  <si>
    <t>The channel of '107Z' is assigned for the Distance Measuring Equipment (DME) by the responsible authority.</t>
  </si>
  <si>
    <t>DtcCode_chan107Z</t>
  </si>
  <si>
    <t>The channel of '108X' is assigned for the Distance Measuring Equipment (DME) by the responsible authority.</t>
  </si>
  <si>
    <t>DtcCode_chan108X</t>
  </si>
  <si>
    <t>The channel of '108Y' is assigned for the Distance Measuring Equipment (DME) by the responsible authority.</t>
  </si>
  <si>
    <t>DtcCode_chan108Y</t>
  </si>
  <si>
    <t>The channel of '108Z' is assigned for the Distance Measuring Equipment (DME) by the responsible authority.</t>
  </si>
  <si>
    <t>DtcCode_chan108Z</t>
  </si>
  <si>
    <t>The channel of '109X' is assigned for the Distance Measuring Equipment (DME) by the responsible authority.</t>
  </si>
  <si>
    <t>DtcCode_chan109X</t>
  </si>
  <si>
    <t>The channel of '109Y' is assigned for the Distance Measuring Equipment (DME) by the responsible authority.</t>
  </si>
  <si>
    <t>DtcCode_chan109Y</t>
  </si>
  <si>
    <t>The channel of '109Z' is assigned for the Distance Measuring Equipment (DME) by the responsible authority.</t>
  </si>
  <si>
    <t>DtcCode_chan109Z</t>
  </si>
  <si>
    <t>The channel of '10X' is assigned for the Distance Measuring Equipment (DME) by the responsible authority.</t>
  </si>
  <si>
    <t>DtcCode_chan010X</t>
  </si>
  <si>
    <t>The channel of '10Y' is assigned for the Distance Measuring Equipment (DME) by the responsible authority.</t>
  </si>
  <si>
    <t>DtcCode_chan010Y</t>
  </si>
  <si>
    <t>The channel of '110X' is assigned for the Distance Measuring Equipment (DME) by the responsible authority.</t>
  </si>
  <si>
    <t>DtcCode_chan110X</t>
  </si>
  <si>
    <t>The channel of '110Y' is assigned for the Distance Measuring Equipment (DME) by the responsible authority.</t>
  </si>
  <si>
    <t>DtcCode_chan110Y</t>
  </si>
  <si>
    <t>The channel of '110Z' is assigned for the Distance Measuring Equipment (DME) by the responsible authority.</t>
  </si>
  <si>
    <t>DtcCode_chan110Z</t>
  </si>
  <si>
    <t>The channel of '111X' is assigned for the Distance Measuring Equipment (DME) by the responsible authority.</t>
  </si>
  <si>
    <t>DtcCode_chan111X</t>
  </si>
  <si>
    <t>The channel of '111Y' is assigned for the Distance Measuring Equipment (DME) by the responsible authority.</t>
  </si>
  <si>
    <t>DtcCode_chan111Y</t>
  </si>
  <si>
    <t>The channel of '111Z' is assigned for the Distance Measuring Equipment (DME) by the responsible authority.</t>
  </si>
  <si>
    <t>DtcCode_chan111Z</t>
  </si>
  <si>
    <t>The channel of '112X' is assigned for the Distance Measuring Equipment (DME) by the responsible authority.</t>
  </si>
  <si>
    <t>DtcCode_chan112X</t>
  </si>
  <si>
    <t>The channel of '112Y' is assigned for the Distance Measuring Equipment (DME) by the responsible authority.</t>
  </si>
  <si>
    <t>DtcCode_chan112Y</t>
  </si>
  <si>
    <t>The channel of '112Z' is assigned for the Distance Measuring Equipment (DME) by the responsible authority.</t>
  </si>
  <si>
    <t>DtcCode_chan112Z</t>
  </si>
  <si>
    <t>The channel of '113X' is assigned for the Distance Measuring Equipment (DME) by the responsible authority.</t>
  </si>
  <si>
    <t>DtcCode_chan113X</t>
  </si>
  <si>
    <t>The channel of '113Y' is assigned for the Distance Measuring Equipment (DME) by the responsible authority.</t>
  </si>
  <si>
    <t>DtcCode_chan113Y</t>
  </si>
  <si>
    <t>The channel of '113Z' is assigned for the Distance Measuring Equipment (DME) by the responsible authority.</t>
  </si>
  <si>
    <t>DtcCode_chan113Z</t>
  </si>
  <si>
    <t>The channel of '114X' is assigned for the Distance Measuring Equipment (DME) by the responsible authority.</t>
  </si>
  <si>
    <t>DtcCode_chan114X</t>
  </si>
  <si>
    <t>The channel of '114Y' is assigned for the Distance Measuring Equipment (DME) by the responsible authority.</t>
  </si>
  <si>
    <t>DtcCode_chan114Y</t>
  </si>
  <si>
    <t>The channel of '114Z' is assigned for the Distance Measuring Equipment (DME) by the responsible authority.</t>
  </si>
  <si>
    <t>DtcCode_chan114Z</t>
  </si>
  <si>
    <t>The channel of '115X' is assigned for the Distance Measuring Equipment (DME) by the responsible authority.</t>
  </si>
  <si>
    <t>DtcCode_chan115X</t>
  </si>
  <si>
    <t>The channel of '115Y' is assigned for the Distance Measuring Equipment (DME) by the responsible authority.</t>
  </si>
  <si>
    <t>DtcCode_chan115Y</t>
  </si>
  <si>
    <t>The channel of '115Z' is assigned for the Distance Measuring Equipment (DME) by the responsible authority.</t>
  </si>
  <si>
    <t>DtcCode_chan115Z</t>
  </si>
  <si>
    <t>The channel of '116X' is assigned for the Distance Measuring Equipment (DME) by the responsible authority.</t>
  </si>
  <si>
    <t>DtcCode_chan116X</t>
  </si>
  <si>
    <t>The channel of '116Y' is assigned for the Distance Measuring Equipment (DME) by the responsible authority.</t>
  </si>
  <si>
    <t>DtcCode_chan116Y</t>
  </si>
  <si>
    <t>The channel of '116Z' is assigned for the Distance Measuring Equipment (DME) by the responsible authority.</t>
  </si>
  <si>
    <t>DtcCode_chan116Z</t>
  </si>
  <si>
    <t>The channel of '117X' is assigned for the Distance Measuring Equipment (DME) by the responsible authority.</t>
  </si>
  <si>
    <t>DtcCode_chan117X</t>
  </si>
  <si>
    <t>The channel of '117Y' is assigned for the Distance Measuring Equipment (DME) by the responsible authority.</t>
  </si>
  <si>
    <t>DtcCode_chan117Y</t>
  </si>
  <si>
    <t>The channel of '117Z' is assigned for the Distance Measuring Equipment (DME) by the responsible authority.</t>
  </si>
  <si>
    <t>DtcCode_chan117Z</t>
  </si>
  <si>
    <t>The channel of '118X' is assigned for the Distance Measuring Equipment (DME) by the responsible authority.</t>
  </si>
  <si>
    <t>DtcCode_chan118X</t>
  </si>
  <si>
    <t>The channel of '118Y' is assigned for the Distance Measuring Equipment (DME) by the responsible authority.</t>
  </si>
  <si>
    <t>DtcCode_chan118Y</t>
  </si>
  <si>
    <t>The channel of '118Z' is assigned for the Distance Measuring Equipment (DME) by the responsible authority.</t>
  </si>
  <si>
    <t>DtcCode_chan118Z</t>
  </si>
  <si>
    <t>The channel of '119X' is assigned for the Distance Measuring Equipment (DME) by the responsible authority.</t>
  </si>
  <si>
    <t>DtcCode_chan119X</t>
  </si>
  <si>
    <t>The channel of '119Y' is assigned for the Distance Measuring Equipment (DME) by the responsible authority.</t>
  </si>
  <si>
    <t>DtcCode_chan119Y</t>
  </si>
  <si>
    <t>The channel of '119Z' is assigned for the Distance Measuring Equipment (DME) by the responsible authority.</t>
  </si>
  <si>
    <t>DtcCode_chan119Z</t>
  </si>
  <si>
    <t>The channel of '11X' is assigned for the Distance Measuring Equipment (DME) by the responsible authority.</t>
  </si>
  <si>
    <t>DtcCode_chan011X</t>
  </si>
  <si>
    <t>The channel of '11Y' is assigned for the Distance Measuring Equipment (DME) by the responsible authority.</t>
  </si>
  <si>
    <t>DtcCode_chan011Y</t>
  </si>
  <si>
    <t>The channel of '120X' is assigned for the Distance Measuring Equipment (DME) by the responsible authority.</t>
  </si>
  <si>
    <t>DtcCode_chan120X</t>
  </si>
  <si>
    <t>The channel of '120Y' is assigned for the Distance Measuring Equipment (DME) by the responsible authority.</t>
  </si>
  <si>
    <t>DtcCode_chan120Y</t>
  </si>
  <si>
    <t>The channel of '121X' is assigned for the Distance Measuring Equipment (DME) by the responsible authority.</t>
  </si>
  <si>
    <t>DtcCode_chan121X</t>
  </si>
  <si>
    <t>The channel of '121Y' is assigned for the Distance Measuring Equipment (DME) by the responsible authority.</t>
  </si>
  <si>
    <t>DtcCode_chan121Y</t>
  </si>
  <si>
    <t>The channel of '122X' is assigned for the Distance Measuring Equipment (DME) by the responsible authority.</t>
  </si>
  <si>
    <t>DtcCode_chan122X</t>
  </si>
  <si>
    <t>The channel of '122Y' is assigned for the Distance Measuring Equipment (DME) by the responsible authority.</t>
  </si>
  <si>
    <t>DtcCode_chan122Y</t>
  </si>
  <si>
    <t>The channel of '123X' is assigned for the Distance Measuring Equipment (DME) by the responsible authority.</t>
  </si>
  <si>
    <t>DtcCode_chan123X</t>
  </si>
  <si>
    <t>The channel of '123Y' is assigned for the Distance Measuring Equipment (DME) by the responsible authority.</t>
  </si>
  <si>
    <t>DtcCode_chan123Y</t>
  </si>
  <si>
    <t>The channel of '124X' is assigned for the Distance Measuring Equipment (DME) by the responsible authority.</t>
  </si>
  <si>
    <t>DtcCode_chan124X</t>
  </si>
  <si>
    <t>The channel of '124Y' is assigned for the Distance Measuring Equipment (DME) by the responsible authority.</t>
  </si>
  <si>
    <t>DtcCode_chan124Y</t>
  </si>
  <si>
    <t>The channel of '125X' is assigned for the Distance Measuring Equipment (DME) by the responsible authority.</t>
  </si>
  <si>
    <t>DtcCode_chan125X</t>
  </si>
  <si>
    <t>The channel of '125Y' is assigned for the Distance Measuring Equipment (DME) by the responsible authority.</t>
  </si>
  <si>
    <t>DtcCode_chan125Y</t>
  </si>
  <si>
    <t>The channel of '126X' is assigned for the Distance Measuring Equipment (DME) by the responsible authority.</t>
  </si>
  <si>
    <t>DtcCode_chan126X</t>
  </si>
  <si>
    <t>The channel of '126Y' is assigned for the Distance Measuring Equipment (DME) by the responsible authority.</t>
  </si>
  <si>
    <t>DtcCode_chan126Y</t>
  </si>
  <si>
    <t>The channel of '12X' is assigned for the Distance Measuring Equipment (DME) by the responsible authority.</t>
  </si>
  <si>
    <t>DtcCode_chan012X</t>
  </si>
  <si>
    <t>The channel of '12Y' is assigned for the Distance Measuring Equipment (DME) by the responsible authority.</t>
  </si>
  <si>
    <t>DtcCode_chan012Y</t>
  </si>
  <si>
    <t>The channel of '13X' is assigned for the Distance Measuring Equipment (DME) by the responsible authority.</t>
  </si>
  <si>
    <t>DtcCode_chan013X</t>
  </si>
  <si>
    <t>The channel of '13Y' is assigned for the Distance Measuring Equipment (DME) by the responsible authority.</t>
  </si>
  <si>
    <t>DtcCode_chan013Y</t>
  </si>
  <si>
    <t>The channel of '14X' is assigned for the Distance Measuring Equipment (DME) by the responsible authority.</t>
  </si>
  <si>
    <t>DtcCode_chan014X</t>
  </si>
  <si>
    <t>The channel of '14Y' is assigned for the Distance Measuring Equipment (DME) by the responsible authority.</t>
  </si>
  <si>
    <t>DtcCode_chan014Y</t>
  </si>
  <si>
    <t>The channel of '15X' is assigned for the Distance Measuring Equipment (DME) by the responsible authority.</t>
  </si>
  <si>
    <t>DtcCode_chan015X</t>
  </si>
  <si>
    <t>The channel of '15Y' is assigned for the Distance Measuring Equipment (DME) by the responsible authority.</t>
  </si>
  <si>
    <t>DtcCode_chan015Y</t>
  </si>
  <si>
    <t>The channel of '16X' is assigned for the Distance Measuring Equipment (DME) by the responsible authority.</t>
  </si>
  <si>
    <t>DtcCode_chan016X</t>
  </si>
  <si>
    <t>The channel of '16Y' is assigned for the Distance Measuring Equipment (DME) by the responsible authority.</t>
  </si>
  <si>
    <t>DtcCode_chan016Y</t>
  </si>
  <si>
    <t>The channel of '17X' is assigned for the Distance Measuring Equipment (DME) by the responsible authority.</t>
  </si>
  <si>
    <t>DtcCode_chan017X</t>
  </si>
  <si>
    <t>The channel of '17Y' is assigned for the Distance Measuring Equipment (DME) by the responsible authority.</t>
  </si>
  <si>
    <t>DtcCode_chan017Y</t>
  </si>
  <si>
    <t>The channel of '17Z' is assigned for the Distance Measuring Equipment (DME) by the responsible authority.</t>
  </si>
  <si>
    <t>DtcCode_chan017Z</t>
  </si>
  <si>
    <t>The channel of '18W' is assigned for the Distance Measuring Equipment (DME) by the responsible authority.</t>
  </si>
  <si>
    <t>DtcCode_chan018W</t>
  </si>
  <si>
    <t>The channel of '18X' is assigned for the Distance Measuring Equipment (DME) by the responsible authority.</t>
  </si>
  <si>
    <t>DtcCode_chan018X</t>
  </si>
  <si>
    <t>The channel of '18Y' is assigned for the Distance Measuring Equipment (DME) by the responsible authority.</t>
  </si>
  <si>
    <t>DtcCode_chan018Y</t>
  </si>
  <si>
    <t>The channel of '18Z' is assigned for the Distance Measuring Equipment (DME) by the responsible authority.</t>
  </si>
  <si>
    <t>DtcCode_chan018Z</t>
  </si>
  <si>
    <t>The channel of '19X' is assigned for the Distance Measuring Equipment (DME) by the responsible authority.</t>
  </si>
  <si>
    <t>DtcCode_chan019X</t>
  </si>
  <si>
    <t>The channel of '19Y' is assigned for the Distance Measuring Equipment (DME) by the responsible authority.</t>
  </si>
  <si>
    <t>DtcCode_chan019Y</t>
  </si>
  <si>
    <t>The channel of '19Z' is assigned for the Distance Measuring Equipment (DME) by the responsible authority.</t>
  </si>
  <si>
    <t>DtcCode_chan019Z</t>
  </si>
  <si>
    <t>The channel of '1X' is assigned for the Distance Measuring Equipment (DME) by the responsible authority.</t>
  </si>
  <si>
    <t>DtcCode_chan001X</t>
  </si>
  <si>
    <t>The channel of '1Y' is assigned for the Distance Measuring Equipment (DME) by the responsible authority.</t>
  </si>
  <si>
    <t>DtcCode_chan001Y</t>
  </si>
  <si>
    <t>The channel of '20W' is assigned for the Distance Measuring Equipment (DME) by the responsible authority.</t>
  </si>
  <si>
    <t>DtcCode_chan020W</t>
  </si>
  <si>
    <t>The channel of '20X' is assigned for the Distance Measuring Equipment (DME) by the responsible authority.</t>
  </si>
  <si>
    <t>DtcCode_chan020X</t>
  </si>
  <si>
    <t>The channel of '20Y' is assigned for the Distance Measuring Equipment (DME) by the responsible authority.</t>
  </si>
  <si>
    <t>DtcCode_chan020Y</t>
  </si>
  <si>
    <t>The channel of '20Z' is assigned for the Distance Measuring Equipment (DME) by the responsible authority.</t>
  </si>
  <si>
    <t>DtcCode_chan020Z</t>
  </si>
  <si>
    <t>The channel of '21X' is assigned for the Distance Measuring Equipment (DME) by the responsible authority.</t>
  </si>
  <si>
    <t>DtcCode_chan021X</t>
  </si>
  <si>
    <t>The channel of '21Y' is assigned for the Distance Measuring Equipment (DME) by the responsible authority.</t>
  </si>
  <si>
    <t>DtcCode_chan021Y</t>
  </si>
  <si>
    <t>The channel of '21Z' is assigned for the Distance Measuring Equipment (DME) by the responsible authority.</t>
  </si>
  <si>
    <t>DtcCode_chan021Z</t>
  </si>
  <si>
    <t>The channel of '22W' is assigned for the Distance Measuring Equipment (DME) by the responsible authority.</t>
  </si>
  <si>
    <t>DtcCode_chan022W</t>
  </si>
  <si>
    <t>The channel of '22X' is assigned for the Distance Measuring Equipment (DME) by the responsible authority.</t>
  </si>
  <si>
    <t>DtcCode_chan022X</t>
  </si>
  <si>
    <t>The channel of '22Y' is assigned for the Distance Measuring Equipment (DME) by the responsible authority.</t>
  </si>
  <si>
    <t>DtcCode_chan022Y</t>
  </si>
  <si>
    <t>The channel of '22Z' is assigned for the Distance Measuring Equipment (DME) by the responsible authority.</t>
  </si>
  <si>
    <t>DtcCode_chan022Z</t>
  </si>
  <si>
    <t>The channel of '23X' is assigned for the Distance Measuring Equipment (DME) by the responsible authority.</t>
  </si>
  <si>
    <t>DtcCode_chan023X</t>
  </si>
  <si>
    <t>The channel of '23Y' is assigned for the Distance Measuring Equipment (DME) by the responsible authority.</t>
  </si>
  <si>
    <t>DtcCode_chan023Y</t>
  </si>
  <si>
    <t>The channel of '23Z' is assigned for the Distance Measuring Equipment (DME) by the responsible authority.</t>
  </si>
  <si>
    <t>DtcCode_chan023Z</t>
  </si>
  <si>
    <t>The channel of '24W' is assigned for the Distance Measuring Equipment (DME) by the responsible authority.</t>
  </si>
  <si>
    <t>DtcCode_chan024W</t>
  </si>
  <si>
    <t>The channel of '24X' is assigned for the Distance Measuring Equipment (DME) by the responsible authority.</t>
  </si>
  <si>
    <t>DtcCode_chan024X</t>
  </si>
  <si>
    <t>The channel of '24Y' is assigned for the Distance Measuring Equipment (DME) by the responsible authority.</t>
  </si>
  <si>
    <t>DtcCode_chan024Y</t>
  </si>
  <si>
    <t>The channel of '24Z' is assigned for the Distance Measuring Equipment (DME) by the responsible authority.</t>
  </si>
  <si>
    <t>DtcCode_chan024Z</t>
  </si>
  <si>
    <t>The channel of '25X' is assigned for the Distance Measuring Equipment (DME) by the responsible authority.</t>
  </si>
  <si>
    <t>DtcCode_chan025X</t>
  </si>
  <si>
    <t>The channel of '25Y' is assigned for the Distance Measuring Equipment (DME) by the responsible authority.</t>
  </si>
  <si>
    <t>DtcCode_chan025Y</t>
  </si>
  <si>
    <t>The channel of '25Z' is assigned for the Distance Measuring Equipment (DME) by the responsible authority.</t>
  </si>
  <si>
    <t>DtcCode_chan025Z</t>
  </si>
  <si>
    <t>The channel of '26W' is assigned for the Distance Measuring Equipment (DME) by the responsible authority.</t>
  </si>
  <si>
    <t>DtcCode_chan026W</t>
  </si>
  <si>
    <t>The channel of '26X' is assigned for the Distance Measuring Equipment (DME) by the responsible authority.</t>
  </si>
  <si>
    <t>DtcCode_chan026X</t>
  </si>
  <si>
    <t>The channel of '26Y' is assigned for the Distance Measuring Equipment (DME) by the responsible authority.</t>
  </si>
  <si>
    <t>DtcCode_chan026Y</t>
  </si>
  <si>
    <t>The channel of '26Z' is assigned for the Distance Measuring Equipment (DME) by the responsible authority.</t>
  </si>
  <si>
    <t>DtcCode_chan026Z</t>
  </si>
  <si>
    <t>The channel of '27X' is assigned for the Distance Measuring Equipment (DME) by the responsible authority.</t>
  </si>
  <si>
    <t>DtcCode_chan027X</t>
  </si>
  <si>
    <t>The channel of '27Y' is assigned for the Distance Measuring Equipment (DME) by the responsible authority.</t>
  </si>
  <si>
    <t>DtcCode_chan027Y</t>
  </si>
  <si>
    <t>The channel of '27Z' is assigned for the Distance Measuring Equipment (DME) by the responsible authority.</t>
  </si>
  <si>
    <t>DtcCode_chan027Z</t>
  </si>
  <si>
    <t>The channel of '28W' is assigned for the Distance Measuring Equipment (DME) by the responsible authority.</t>
  </si>
  <si>
    <t>DtcCode_chan028W</t>
  </si>
  <si>
    <t>The channel of '28X' is assigned for the Distance Measuring Equipment (DME) by the responsible authority.</t>
  </si>
  <si>
    <t>DtcCode_chan028X</t>
  </si>
  <si>
    <t>The channel of '28Y' is assigned for the Distance Measuring Equipment (DME) by the responsible authority.</t>
  </si>
  <si>
    <t>DtcCode_chan028Y</t>
  </si>
  <si>
    <t>The channel of '28Z' is assigned for the Distance Measuring Equipment (DME) by the responsible authority.</t>
  </si>
  <si>
    <t>DtcCode_chan028Z</t>
  </si>
  <si>
    <t>The channel of '29X' is assigned for the Distance Measuring Equipment (DME) by the responsible authority.</t>
  </si>
  <si>
    <t>DtcCode_chan029X</t>
  </si>
  <si>
    <t>The channel of '29Y' is assigned for the Distance Measuring Equipment (DME) by the responsible authority.</t>
  </si>
  <si>
    <t>DtcCode_chan029Y</t>
  </si>
  <si>
    <t>The channel of '29Z' is assigned for the Distance Measuring Equipment (DME) by the responsible authority.</t>
  </si>
  <si>
    <t>DtcCode_chan029Z</t>
  </si>
  <si>
    <t>The channel of '2X' is assigned for the Distance Measuring Equipment (DME) by the responsible authority.</t>
  </si>
  <si>
    <t>DtcCode_chan002X</t>
  </si>
  <si>
    <t>The channel of '2Y' is assigned for the Distance Measuring Equipment (DME) by the responsible authority.</t>
  </si>
  <si>
    <t>DtcCode_chan002Y</t>
  </si>
  <si>
    <t>The channel of '30W' is assigned for the Distance Measuring Equipment (DME) by the responsible authority.</t>
  </si>
  <si>
    <t>DtcCode_chan030W</t>
  </si>
  <si>
    <t>The channel of '30X' is assigned for the Distance Measuring Equipment (DME) by the responsible authority.</t>
  </si>
  <si>
    <t>DtcCode_chan030X</t>
  </si>
  <si>
    <t>The channel of '30Y' is assigned for the Distance Measuring Equipment (DME) by the responsible authority.</t>
  </si>
  <si>
    <t>DtcCode_chan030Y</t>
  </si>
  <si>
    <t>The channel of '30Z' is assigned for the Distance Measuring Equipment (DME) by the responsible authority.</t>
  </si>
  <si>
    <t>DtcCode_chan030Z</t>
  </si>
  <si>
    <t>The channel of '31X' is assigned for the Distance Measuring Equipment (DME) by the responsible authority.</t>
  </si>
  <si>
    <t>DtcCode_chan031X</t>
  </si>
  <si>
    <t>The channel of '31Y' is assigned for the Distance Measuring Equipment (DME) by the responsible authority.</t>
  </si>
  <si>
    <t>DtcCode_chan031Y</t>
  </si>
  <si>
    <t>The channel of '31Z' is assigned for the Distance Measuring Equipment (DME) by the responsible authority.</t>
  </si>
  <si>
    <t>DtcCode_chan031Z</t>
  </si>
  <si>
    <t>The channel of '32W' is assigned for the Distance Measuring Equipment (DME) by the responsible authority.</t>
  </si>
  <si>
    <t>DtcCode_chan032W</t>
  </si>
  <si>
    <t>The channel of '32X' is assigned for the Distance Measuring Equipment (DME) by the responsible authority.</t>
  </si>
  <si>
    <t>DtcCode_chan032X</t>
  </si>
  <si>
    <t>The channel of '32Y' is assigned for the Distance Measuring Equipment (DME) by the responsible authority.</t>
  </si>
  <si>
    <t>DtcCode_chan032Y</t>
  </si>
  <si>
    <t>The channel of '32Z' is assigned for the Distance Measuring Equipment (DME) by the responsible authority.</t>
  </si>
  <si>
    <t>DtcCode_chan032Z</t>
  </si>
  <si>
    <t>The channel of '33X' is assigned for the Distance Measuring Equipment (DME) by the responsible authority.</t>
  </si>
  <si>
    <t>DtcCode_chan033X</t>
  </si>
  <si>
    <t>The channel of '33Y' is assigned for the Distance Measuring Equipment (DME) by the responsible authority.</t>
  </si>
  <si>
    <t>DtcCode_chan033Y</t>
  </si>
  <si>
    <t>The channel of '33Z' is assigned for the Distance Measuring Equipment (DME) by the responsible authority.</t>
  </si>
  <si>
    <t>DtcCode_chan033Z</t>
  </si>
  <si>
    <t>The channel of '34W' is assigned for the Distance Measuring Equipment (DME) by the responsible authority.</t>
  </si>
  <si>
    <t>DtcCode_chan034W</t>
  </si>
  <si>
    <t>The channel of '34X' is assigned for the Distance Measuring Equipment (DME) by the responsible authority.</t>
  </si>
  <si>
    <t>DtcCode_chan034X</t>
  </si>
  <si>
    <t>The channel of '34Y' is assigned for the Distance Measuring Equipment (DME) by the responsible authority.</t>
  </si>
  <si>
    <t>DtcCode_chan034Y</t>
  </si>
  <si>
    <t>The channel of '34Z' is assigned for the Distance Measuring Equipment (DME) by the responsible authority.</t>
  </si>
  <si>
    <t>DtcCode_chan034Z</t>
  </si>
  <si>
    <t>The channel of '35X' is assigned for the Distance Measuring Equipment (DME) by the responsible authority.</t>
  </si>
  <si>
    <t>DtcCode_chan035X</t>
  </si>
  <si>
    <t>The channel of '35Y' is assigned for the Distance Measuring Equipment (DME) by the responsible authority.</t>
  </si>
  <si>
    <t>DtcCode_chan035Y</t>
  </si>
  <si>
    <t>The channel of '35Z' is assigned for the Distance Measuring Equipment (DME) by the responsible authority.</t>
  </si>
  <si>
    <t>DtcCode_chan035Z</t>
  </si>
  <si>
    <t>The channel of '36W' is assigned for the Distance Measuring Equipment (DME) by the responsible authority.</t>
  </si>
  <si>
    <t>DtcCode_chan036W</t>
  </si>
  <si>
    <t>The channel of '36X' is assigned for the Distance Measuring Equipment (DME) by the responsible authority.</t>
  </si>
  <si>
    <t>DtcCode_chan036X</t>
  </si>
  <si>
    <t>The channel of '36Y' is assigned for the Distance Measuring Equipment (DME) by the responsible authority.</t>
  </si>
  <si>
    <t>DtcCode_chan036Y</t>
  </si>
  <si>
    <t>The channel of '36Z' is assigned for the Distance Measuring Equipment (DME) by the responsible authority.</t>
  </si>
  <si>
    <t>DtcCode_chan036Z</t>
  </si>
  <si>
    <t>The channel of '37X' is assigned for the Distance Measuring Equipment (DME) by the responsible authority.</t>
  </si>
  <si>
    <t>DtcCode_chan037X</t>
  </si>
  <si>
    <t>The channel of '37Y' is assigned for the Distance Measuring Equipment (DME) by the responsible authority.</t>
  </si>
  <si>
    <t>DtcCode_chan037Y</t>
  </si>
  <si>
    <t>The channel of '37Z' is assigned for the Distance Measuring Equipment (DME) by the responsible authority.</t>
  </si>
  <si>
    <t>DtcCode_chan037Z</t>
  </si>
  <si>
    <t>The channel of '38W' is assigned for the Distance Measuring Equipment (DME) by the responsible authority.</t>
  </si>
  <si>
    <t>DtcCode_chan038W</t>
  </si>
  <si>
    <t>The channel of '38X' is assigned for the Distance Measuring Equipment (DME) by the responsible authority.</t>
  </si>
  <si>
    <t>DtcCode_chan038X</t>
  </si>
  <si>
    <t>The channel of '38Y' is assigned for the Distance Measuring Equipment (DME) by the responsible authority.</t>
  </si>
  <si>
    <t>DtcCode_chan038Y</t>
  </si>
  <si>
    <t>The channel of '38Z' is assigned for the Distance Measuring Equipment (DME) by the responsible authority.</t>
  </si>
  <si>
    <t>DtcCode_chan038Z</t>
  </si>
  <si>
    <t>The channel of '39X' is assigned for the Distance Measuring Equipment (DME) by the responsible authority.</t>
  </si>
  <si>
    <t>DtcCode_chan039X</t>
  </si>
  <si>
    <t>The channel of '39Y' is assigned for the Distance Measuring Equipment (DME) by the responsible authority.</t>
  </si>
  <si>
    <t>DtcCode_chan039Y</t>
  </si>
  <si>
    <t>The channel of '39Z' is assigned for the Distance Measuring Equipment (DME) by the responsible authority.</t>
  </si>
  <si>
    <t>DtcCode_chan039Z</t>
  </si>
  <si>
    <t>The channel of '3X' is assigned for the Distance Measuring Equipment (DME) by the responsible authority.</t>
  </si>
  <si>
    <t>DtcCode_chan003X</t>
  </si>
  <si>
    <t>The channel of '3Y' is assigned for the Distance Measuring Equipment (DME) by the responsible authority.</t>
  </si>
  <si>
    <t>DtcCode_chan003Y</t>
  </si>
  <si>
    <t>The channel of '40W' is assigned for the Distance Measuring Equipment (DME) by the responsible authority.</t>
  </si>
  <si>
    <t>DtcCode_chan040W</t>
  </si>
  <si>
    <t>The channel of '40X' is assigned for the Distance Measuring Equipment (DME) by the responsible authority.</t>
  </si>
  <si>
    <t>DtcCode_chan040X</t>
  </si>
  <si>
    <t>The channel of '40Y' is assigned for the Distance Measuring Equipment (DME) by the responsible authority.</t>
  </si>
  <si>
    <t>DtcCode_chan040Y</t>
  </si>
  <si>
    <t>The channel of '40Z' is assigned for the Distance Measuring Equipment (DME) by the responsible authority.</t>
  </si>
  <si>
    <t>DtcCode_chan040Z</t>
  </si>
  <si>
    <t>The channel of '41X' is assigned for the Distance Measuring Equipment (DME) by the responsible authority.</t>
  </si>
  <si>
    <t>DtcCode_chan041X</t>
  </si>
  <si>
    <t>The channel of '41Y' is assigned for the Distance Measuring Equipment (DME) by the responsible authority.</t>
  </si>
  <si>
    <t>DtcCode_chan041Y</t>
  </si>
  <si>
    <t>The channel of '41Z' is assigned for the Distance Measuring Equipment (DME) by the responsible authority.</t>
  </si>
  <si>
    <t>DtcCode_chan041Z</t>
  </si>
  <si>
    <t>The channel of '42W' is assigned for the Distance Measuring Equipment (DME) by the responsible authority.</t>
  </si>
  <si>
    <t>DtcCode_chan042W</t>
  </si>
  <si>
    <t>The channel of '42X' is assigned for the Distance Measuring Equipment (DME) by the responsible authority.</t>
  </si>
  <si>
    <t>DtcCode_chan042X</t>
  </si>
  <si>
    <t>The channel of '42Y' is assigned for the Distance Measuring Equipment (DME) by the responsible authority.</t>
  </si>
  <si>
    <t>DtcCode_chan042Y</t>
  </si>
  <si>
    <t>The channel of '42Z' is assigned for the Distance Measuring Equipment (DME) by the responsible authority.</t>
  </si>
  <si>
    <t>DtcCode_chan042Z</t>
  </si>
  <si>
    <t>The channel of '43X' is assigned for the Distance Measuring Equipment (DME) by the responsible authority.</t>
  </si>
  <si>
    <t>DtcCode_chan043X</t>
  </si>
  <si>
    <t>The channel of '43Y' is assigned for the Distance Measuring Equipment (DME) by the responsible authority.</t>
  </si>
  <si>
    <t>DtcCode_chan043Y</t>
  </si>
  <si>
    <t>The channel of '43Z' is assigned for the Distance Measuring Equipment (DME) by the responsible authority.</t>
  </si>
  <si>
    <t>DtcCode_chan043Z</t>
  </si>
  <si>
    <t>The channel of '44W' is assigned for the Distance Measuring Equipment (DME) by the responsible authority.</t>
  </si>
  <si>
    <t>DtcCode_chan044W</t>
  </si>
  <si>
    <t>The channel of '44X' is assigned for the Distance Measuring Equipment (DME) by the responsible authority.</t>
  </si>
  <si>
    <t>DtcCode_chan044X</t>
  </si>
  <si>
    <t>The channel of '44Y' is assigned for the Distance Measuring Equipment (DME) by the responsible authority.</t>
  </si>
  <si>
    <t>DtcCode_chan044Y</t>
  </si>
  <si>
    <t>The channel of '44Z' is assigned for the Distance Measuring Equipment (DME) by the responsible authority.</t>
  </si>
  <si>
    <t>DtcCode_chan044Z</t>
  </si>
  <si>
    <t>The channel of '45X' is assigned for the Distance Measuring Equipment (DME) by the responsible authority.</t>
  </si>
  <si>
    <t>DtcCode_chan045X</t>
  </si>
  <si>
    <t>The channel of '45Y' is assigned for the Distance Measuring Equipment (DME) by the responsible authority.</t>
  </si>
  <si>
    <t>DtcCode_chan045Y</t>
  </si>
  <si>
    <t>The channel of '45Z' is assigned for the Distance Measuring Equipment (DME) by the responsible authority.</t>
  </si>
  <si>
    <t>DtcCode_chan045Z</t>
  </si>
  <si>
    <t>The channel of '46W' is assigned for the Distance Measuring Equipment (DME) by the responsible authority.</t>
  </si>
  <si>
    <t>DtcCode_chan046W</t>
  </si>
  <si>
    <t>The channel of '46X' is assigned for the Distance Measuring Equipment (DME) by the responsible authority.</t>
  </si>
  <si>
    <t>DtcCode_chan046X</t>
  </si>
  <si>
    <t>The channel of '46Y' is assigned for the Distance Measuring Equipment (DME) by the responsible authority.</t>
  </si>
  <si>
    <t>DtcCode_chan046Y</t>
  </si>
  <si>
    <t>The channel of '46Z' is assigned for the Distance Measuring Equipment (DME) by the responsible authority.</t>
  </si>
  <si>
    <t>DtcCode_chan046Z</t>
  </si>
  <si>
    <t>The channel of '47X' is assigned for the Distance Measuring Equipment (DME) by the responsible authority.</t>
  </si>
  <si>
    <t>DtcCode_chan047X</t>
  </si>
  <si>
    <t>The channel of '47Y' is assigned for the Distance Measuring Equipment (DME) by the responsible authority.</t>
  </si>
  <si>
    <t>DtcCode_chan047Y</t>
  </si>
  <si>
    <t>The channel of '47Z' is assigned for the Distance Measuring Equipment (DME) by the responsible authority.</t>
  </si>
  <si>
    <t>DtcCode_chan047Z</t>
  </si>
  <si>
    <t>The channel of '48W' is assigned for the Distance Measuring Equipment (DME) by the responsible authority.</t>
  </si>
  <si>
    <t>DtcCode_chan048W</t>
  </si>
  <si>
    <t>The channel of '48X' is assigned for the Distance Measuring Equipment (DME) by the responsible authority.</t>
  </si>
  <si>
    <t>DtcCode_chan048X</t>
  </si>
  <si>
    <t>The channel of '48Y' is assigned for the Distance Measuring Equipment (DME) by the responsible authority.</t>
  </si>
  <si>
    <t>DtcCode_chan048Y</t>
  </si>
  <si>
    <t>The channel of '48Z' is assigned for the Distance Measuring Equipment (DME) by the responsible authority.</t>
  </si>
  <si>
    <t>DtcCode_chan048Z</t>
  </si>
  <si>
    <t>The channel of '49X' is assigned for the Distance Measuring Equipment (DME) by the responsible authority.</t>
  </si>
  <si>
    <t>DtcCode_chan049X</t>
  </si>
  <si>
    <t>The channel of '49Y' is assigned for the Distance Measuring Equipment (DME) by the responsible authority.</t>
  </si>
  <si>
    <t>DtcCode_chan049Y</t>
  </si>
  <si>
    <t>The channel of '49Z' is assigned for the Distance Measuring Equipment (DME) by the responsible authority.</t>
  </si>
  <si>
    <t>DtcCode_chan049Z</t>
  </si>
  <si>
    <t>The channel of '4X' is assigned for the Distance Measuring Equipment (DME) by the responsible authority.</t>
  </si>
  <si>
    <t>DtcCode_chan004X</t>
  </si>
  <si>
    <t>The channel of '4Y' is assigned for the Distance Measuring Equipment (DME) by the responsible authority.</t>
  </si>
  <si>
    <t>DtcCode_chan004Y</t>
  </si>
  <si>
    <t>The channel of '50W' is assigned for the Distance Measuring Equipment (DME) by the responsible authority.</t>
  </si>
  <si>
    <t>DtcCode_chan050W</t>
  </si>
  <si>
    <t>The channel of '50X' is assigned for the Distance Measuring Equipment (DME) by the responsible authority.</t>
  </si>
  <si>
    <t>DtcCode_chan050X</t>
  </si>
  <si>
    <t>The channel of '50Y' is assigned for the Distance Measuring Equipment (DME) by the responsible authority.</t>
  </si>
  <si>
    <t>DtcCode_chan050Y</t>
  </si>
  <si>
    <t>The channel of '50Z' is assigned for the Distance Measuring Equipment (DME) by the responsible authority.</t>
  </si>
  <si>
    <t>DtcCode_chan050Z</t>
  </si>
  <si>
    <t>The channel of '51X' is assigned for the Distance Measuring Equipment (DME) by the responsible authority.</t>
  </si>
  <si>
    <t>DtcCode_chan051X</t>
  </si>
  <si>
    <t>The channel of '51Y' is assigned for the Distance Measuring Equipment (DME) by the responsible authority.</t>
  </si>
  <si>
    <t>DtcCode_chan051Y</t>
  </si>
  <si>
    <t>The channel of '51Z' is assigned for the Distance Measuring Equipment (DME) by the responsible authority.</t>
  </si>
  <si>
    <t>DtcCode_chan051Z</t>
  </si>
  <si>
    <t>The channel of '52W' is assigned for the Distance Measuring Equipment (DME) by the responsible authority.</t>
  </si>
  <si>
    <t>DtcCode_chan052W</t>
  </si>
  <si>
    <t>The channel of '52X' is assigned for the Distance Measuring Equipment (DME) by the responsible authority.</t>
  </si>
  <si>
    <t>DtcCode_chan052X</t>
  </si>
  <si>
    <t>The channel of '52Y' is assigned for the Distance Measuring Equipment (DME) by the responsible authority.</t>
  </si>
  <si>
    <t>DtcCode_chan052Y</t>
  </si>
  <si>
    <t>The channel of '52Z' is assigned for the Distance Measuring Equipment (DME) by the responsible authority.</t>
  </si>
  <si>
    <t>DtcCode_chan052Z</t>
  </si>
  <si>
    <t>The channel of '53X' is assigned for the Distance Measuring Equipment (DME) by the responsible authority.</t>
  </si>
  <si>
    <t>DtcCode_chan053X</t>
  </si>
  <si>
    <t>The channel of '53Y' is assigned for the Distance Measuring Equipment (DME) by the responsible authority.</t>
  </si>
  <si>
    <t>DtcCode_chan053Y</t>
  </si>
  <si>
    <t>The channel of '53Z' is assigned for the Distance Measuring Equipment (DME) by the responsible authority.</t>
  </si>
  <si>
    <t>DtcCode_chan053Z</t>
  </si>
  <si>
    <t>The channel of '54W' is assigned for the Distance Measuring Equipment (DME) by the responsible authority.</t>
  </si>
  <si>
    <t>DtcCode_chan054W</t>
  </si>
  <si>
    <t>The channel of '54X' is assigned for the Distance Measuring Equipment (DME) by the responsible authority.</t>
  </si>
  <si>
    <t>DtcCode_chan054X</t>
  </si>
  <si>
    <t>The channel of '54Y' is assigned for the Distance Measuring Equipment (DME) by the responsible authority.</t>
  </si>
  <si>
    <t>DtcCode_chan054Y</t>
  </si>
  <si>
    <t>The channel of '54Z' is assigned for the Distance Measuring Equipment (DME) by the responsible authority.</t>
  </si>
  <si>
    <t>DtcCode_chan054Z</t>
  </si>
  <si>
    <t>The channel of '55X' is assigned for the Distance Measuring Equipment (DME) by the responsible authority.</t>
  </si>
  <si>
    <t>DtcCode_chan055X</t>
  </si>
  <si>
    <t>The channel of '55Y' is assigned for the Distance Measuring Equipment (DME) by the responsible authority.</t>
  </si>
  <si>
    <t>DtcCode_chan055Y</t>
  </si>
  <si>
    <t>The channel of '55Z' is assigned for the Distance Measuring Equipment (DME) by the responsible authority.</t>
  </si>
  <si>
    <t>DtcCode_chan055Z</t>
  </si>
  <si>
    <t>The channel of '56W' is assigned for the Distance Measuring Equipment (DME) by the responsible authority.</t>
  </si>
  <si>
    <t>DtcCode_chan056W</t>
  </si>
  <si>
    <t>The channel of '56X' is assigned for the Distance Measuring Equipment (DME) by the responsible authority.</t>
  </si>
  <si>
    <t>DtcCode_chan056X</t>
  </si>
  <si>
    <t>The channel of '56Y' is assigned for the Distance Measuring Equipment (DME) by the responsible authority.</t>
  </si>
  <si>
    <t>DtcCode_chan056Y</t>
  </si>
  <si>
    <t>The channel of '56Z' is assigned for the Distance Measuring Equipment (DME) by the responsible authority.</t>
  </si>
  <si>
    <t>DtcCode_chan056Z</t>
  </si>
  <si>
    <t>The channel of '57X' is assigned for the Distance Measuring Equipment (DME) by the responsible authority.</t>
  </si>
  <si>
    <t>DtcCode_chan057X</t>
  </si>
  <si>
    <t>The channel of '57Y' is assigned for the Distance Measuring Equipment (DME) by the responsible authority.</t>
  </si>
  <si>
    <t>DtcCode_chan057Y</t>
  </si>
  <si>
    <t>The channel of '58X' is assigned for the Distance Measuring Equipment (DME) by the responsible authority.</t>
  </si>
  <si>
    <t>DtcCode_chan058X</t>
  </si>
  <si>
    <t>The channel of '58Y' is assigned for the Distance Measuring Equipment (DME) by the responsible authority.</t>
  </si>
  <si>
    <t>DtcCode_chan058Y</t>
  </si>
  <si>
    <t>The channel of '59X' is assigned for the Distance Measuring Equipment (DME) by the responsible authority.</t>
  </si>
  <si>
    <t>DtcCode_chan059X</t>
  </si>
  <si>
    <t>The channel of '59Y' is assigned for the Distance Measuring Equipment (DME) by the responsible authority.</t>
  </si>
  <si>
    <t>DtcCode_chan059Y</t>
  </si>
  <si>
    <t>The channel of '5X' is assigned for the Distance Measuring Equipment (DME) by the responsible authority.</t>
  </si>
  <si>
    <t>DtcCode_chan005X</t>
  </si>
  <si>
    <t>The channel of '5Y' is assigned for the Distance Measuring Equipment (DME) by the responsible authority.</t>
  </si>
  <si>
    <t>DtcCode_chan005Y</t>
  </si>
  <si>
    <t>The channel of '60X' is assigned for the Distance Measuring Equipment (DME) by the responsible authority.</t>
  </si>
  <si>
    <t>DtcCode_chan060X</t>
  </si>
  <si>
    <t>The channel of '60Y' is assigned for the Distance Measuring Equipment (DME) by the responsible authority.</t>
  </si>
  <si>
    <t>DtcCode_chan060Y</t>
  </si>
  <si>
    <t>The channel of '61X' is assigned for the Distance Measuring Equipment (DME) by the responsible authority.</t>
  </si>
  <si>
    <t>DtcCode_chan061X</t>
  </si>
  <si>
    <t>The channel of '61Y' is assigned for the Distance Measuring Equipment (DME) by the responsible authority.</t>
  </si>
  <si>
    <t>DtcCode_chan061Y</t>
  </si>
  <si>
    <t>The channel of '62X' is assigned for the Distance Measuring Equipment (DME) by the responsible authority.</t>
  </si>
  <si>
    <t>DtcCode_chan062X</t>
  </si>
  <si>
    <t>The channel of '62Y' is assigned for the Distance Measuring Equipment (DME) by the responsible authority.</t>
  </si>
  <si>
    <t>DtcCode_chan062Y</t>
  </si>
  <si>
    <t>The channel of '63X' is assigned for the Distance Measuring Equipment (DME) by the responsible authority.</t>
  </si>
  <si>
    <t>DtcCode_chan063X</t>
  </si>
  <si>
    <t>The channel of '63Y' is assigned for the Distance Measuring Equipment (DME) by the responsible authority.</t>
  </si>
  <si>
    <t>DtcCode_chan063Y</t>
  </si>
  <si>
    <t>The channel of '64X' is assigned for the Distance Measuring Equipment (DME) by the responsible authority.</t>
  </si>
  <si>
    <t>DtcCode_chan064X</t>
  </si>
  <si>
    <t>The channel of '64Y' is assigned for the Distance Measuring Equipment (DME) by the responsible authority.</t>
  </si>
  <si>
    <t>DtcCode_chan064Y</t>
  </si>
  <si>
    <t>The channel of '65X' is assigned for the Distance Measuring Equipment (DME) by the responsible authority.</t>
  </si>
  <si>
    <t>DtcCode_chan065X</t>
  </si>
  <si>
    <t>The channel of '65Y' is assigned for the Distance Measuring Equipment (DME) by the responsible authority.</t>
  </si>
  <si>
    <t>DtcCode_chan065Y</t>
  </si>
  <si>
    <t>The channel of '66X' is assigned for the Distance Measuring Equipment (DME) by the responsible authority.</t>
  </si>
  <si>
    <t>DtcCode_chan066X</t>
  </si>
  <si>
    <t>The channel of '66Y' is assigned for the Distance Measuring Equipment (DME) by the responsible authority.</t>
  </si>
  <si>
    <t>DtcCode_chan066Y</t>
  </si>
  <si>
    <t>The channel of '67X' is assigned for the Distance Measuring Equipment (DME) by the responsible authority.</t>
  </si>
  <si>
    <t>DtcCode_chan067X</t>
  </si>
  <si>
    <t>The channel of '67Y' is assigned for the Distance Measuring Equipment (DME) by the responsible authority.</t>
  </si>
  <si>
    <t>DtcCode_chan067Y</t>
  </si>
  <si>
    <t>The channel of '68X' is assigned for the Distance Measuring Equipment (DME) by the responsible authority.</t>
  </si>
  <si>
    <t>DtcCode_chan068X</t>
  </si>
  <si>
    <t>The channel of '68Y' is assigned for the Distance Measuring Equipment (DME) by the responsible authority.</t>
  </si>
  <si>
    <t>DtcCode_chan068Y</t>
  </si>
  <si>
    <t>The channel of '69X' is assigned for the Distance Measuring Equipment (DME) by the responsible authority.</t>
  </si>
  <si>
    <t>DtcCode_chan069X</t>
  </si>
  <si>
    <t>The channel of '69Y' is assigned for the Distance Measuring Equipment (DME) by the responsible authority.</t>
  </si>
  <si>
    <t>DtcCode_chan069Y</t>
  </si>
  <si>
    <t>The channel of '6X' is assigned for the Distance Measuring Equipment (DME) by the responsible authority.</t>
  </si>
  <si>
    <t>DtcCode_chan006X</t>
  </si>
  <si>
    <t>The channel of '6Y' is assigned for the Distance Measuring Equipment (DME) by the responsible authority.</t>
  </si>
  <si>
    <t>DtcCode_chan006Y</t>
  </si>
  <si>
    <t>The channel of '70X' is assigned for the Distance Measuring Equipment (DME) by the responsible authority.</t>
  </si>
  <si>
    <t>DtcCode_chan070X</t>
  </si>
  <si>
    <t>The channel of '70Y' is assigned for the Distance Measuring Equipment (DME) by the responsible authority.</t>
  </si>
  <si>
    <t>DtcCode_chan070Y</t>
  </si>
  <si>
    <t>The channel of '71X' is assigned for the Distance Measuring Equipment (DME) by the responsible authority.</t>
  </si>
  <si>
    <t>DtcCode_chan071X</t>
  </si>
  <si>
    <t>The channel of '71Y' is assigned for the Distance Measuring Equipment (DME) by the responsible authority.</t>
  </si>
  <si>
    <t>DtcCode_chan071Y</t>
  </si>
  <si>
    <t>The channel of '72X' is assigned for the Distance Measuring Equipment (DME) by the responsible authority.</t>
  </si>
  <si>
    <t>DtcCode_chan072X</t>
  </si>
  <si>
    <t>The channel of '72Y' is assigned for the Distance Measuring Equipment (DME) by the responsible authority.</t>
  </si>
  <si>
    <t>DtcCode_chan072Y</t>
  </si>
  <si>
    <t>The channel of '73X' is assigned for the Distance Measuring Equipment (DME) by the responsible authority.</t>
  </si>
  <si>
    <t>DtcCode_chan073X</t>
  </si>
  <si>
    <t>The channel of '73Y' is assigned for the Distance Measuring Equipment (DME) by the responsible authority.</t>
  </si>
  <si>
    <t>DtcCode_chan073Y</t>
  </si>
  <si>
    <t>The channel of '74X' is assigned for the Distance Measuring Equipment (DME) by the responsible authority.</t>
  </si>
  <si>
    <t>DtcCode_chan074X</t>
  </si>
  <si>
    <t>The channel of '74Y' is assigned for the Distance Measuring Equipment (DME) by the responsible authority.</t>
  </si>
  <si>
    <t>DtcCode_chan074Y</t>
  </si>
  <si>
    <t>The channel of '75X' is assigned for the Distance Measuring Equipment (DME) by the responsible authority.</t>
  </si>
  <si>
    <t>DtcCode_chan075X</t>
  </si>
  <si>
    <t>The channel of '75Y' is assigned for the Distance Measuring Equipment (DME) by the responsible authority.</t>
  </si>
  <si>
    <t>DtcCode_chan075Y</t>
  </si>
  <si>
    <t>The channel of '76X' is assigned for the Distance Measuring Equipment (DME) by the responsible authority.</t>
  </si>
  <si>
    <t>DtcCode_chan076X</t>
  </si>
  <si>
    <t>The channel of '76Y' is assigned for the Distance Measuring Equipment (DME) by the responsible authority.</t>
  </si>
  <si>
    <t>DtcCode_chan076Y</t>
  </si>
  <si>
    <t>The channel of '77X' is assigned for the Distance Measuring Equipment (DME) by the responsible authority.</t>
  </si>
  <si>
    <t>DtcCode_chan077X</t>
  </si>
  <si>
    <t>The channel of '77Y' is assigned for the Distance Measuring Equipment (DME) by the responsible authority.</t>
  </si>
  <si>
    <t>DtcCode_chan077Y</t>
  </si>
  <si>
    <t>The channel of '78X' is assigned for the Distance Measuring Equipment (DME) by the responsible authority.</t>
  </si>
  <si>
    <t>DtcCode_chan078X</t>
  </si>
  <si>
    <t>The channel of '78Y' is assigned for the Distance Measuring Equipment (DME) by the responsible authority.</t>
  </si>
  <si>
    <t>DtcCode_chan078Y</t>
  </si>
  <si>
    <t>The channel of '79X' is assigned for the Distance Measuring Equipment (DME) by the responsible authority.</t>
  </si>
  <si>
    <t>DtcCode_chan079X</t>
  </si>
  <si>
    <t>The channel of '79Y' is assigned for the Distance Measuring Equipment (DME) by the responsible authority.</t>
  </si>
  <si>
    <t>DtcCode_chan079Y</t>
  </si>
  <si>
    <t>The channel of '7X' is assigned for the Distance Measuring Equipment (DME) by the responsible authority.</t>
  </si>
  <si>
    <t>DtcCode_chan007X</t>
  </si>
  <si>
    <t>The channel of '7Y' is assigned for the Distance Measuring Equipment (DME) by the responsible authority.</t>
  </si>
  <si>
    <t>DtcCode_chan007Y</t>
  </si>
  <si>
    <t>The channel of '80X' is assigned for the Distance Measuring Equipment (DME) by the responsible authority.</t>
  </si>
  <si>
    <t>DtcCode_chan080X</t>
  </si>
  <si>
    <t>The channel of '80Y' is assigned for the Distance Measuring Equipment (DME) by the responsible authority.</t>
  </si>
  <si>
    <t>DtcCode_chan080Y</t>
  </si>
  <si>
    <t>The channel of '80Z' is assigned for the Distance Measuring Equipment (DME) by the responsible authority.</t>
  </si>
  <si>
    <t>DtcCode_chan080Z</t>
  </si>
  <si>
    <t>The channel of '81X' is assigned for the Distance Measuring Equipment (DME) by the responsible authority.</t>
  </si>
  <si>
    <t>DtcCode_chan081X</t>
  </si>
  <si>
    <t>The channel of '81Y' is assigned for the Distance Measuring Equipment (DME) by the responsible authority.</t>
  </si>
  <si>
    <t>DtcCode_chan081Y</t>
  </si>
  <si>
    <t>The channel of '81Z' is assigned for the Distance Measuring Equipment (DME) by the responsible authority.</t>
  </si>
  <si>
    <t>DtcCode_chan081Z</t>
  </si>
  <si>
    <t>The channel of '82X' is assigned for the Distance Measuring Equipment (DME) by the responsible authority.</t>
  </si>
  <si>
    <t>DtcCode_chan082X</t>
  </si>
  <si>
    <t>The channel of '82Y' is assigned for the Distance Measuring Equipment (DME) by the responsible authority.</t>
  </si>
  <si>
    <t>DtcCode_chan082Y</t>
  </si>
  <si>
    <t>The channel of '82Z' is assigned for the Distance Measuring Equipment (DME) by the responsible authority.</t>
  </si>
  <si>
    <t>DtcCode_chan082Z</t>
  </si>
  <si>
    <t>The channel of '83X' is assigned for the Distance Measuring Equipment (DME) by the responsible authority.</t>
  </si>
  <si>
    <t>DtcCode_chan083X</t>
  </si>
  <si>
    <t>The channel of '83Y' is assigned for the Distance Measuring Equipment (DME) by the responsible authority.</t>
  </si>
  <si>
    <t>DtcCode_chan083Y</t>
  </si>
  <si>
    <t>The channel of '83Z' is assigned for the Distance Measuring Equipment (DME) by the responsible authority.</t>
  </si>
  <si>
    <t>DtcCode_chan083Z</t>
  </si>
  <si>
    <t>The channel of '84X' is assigned for the Distance Measuring Equipment (DME) by the responsible authority.</t>
  </si>
  <si>
    <t>DtcCode_chan084X</t>
  </si>
  <si>
    <t>The channel of '84Y' is assigned for the Distance Measuring Equipment (DME) by the responsible authority.</t>
  </si>
  <si>
    <t>DtcCode_chan084Y</t>
  </si>
  <si>
    <t>The channel of '84Z' is assigned for the Distance Measuring Equipment (DME) by the responsible authority.</t>
  </si>
  <si>
    <t>DtcCode_chan084Z</t>
  </si>
  <si>
    <t>The channel of '85X' is assigned for the Distance Measuring Equipment (DME) by the responsible authority.</t>
  </si>
  <si>
    <t>DtcCode_chan085X</t>
  </si>
  <si>
    <t>The channel of '85Y' is assigned for the Distance Measuring Equipment (DME) by the responsible authority.</t>
  </si>
  <si>
    <t>DtcCode_chan085Y</t>
  </si>
  <si>
    <t>The channel of '85Z' is assigned for the Distance Measuring Equipment (DME) by the responsible authority.</t>
  </si>
  <si>
    <t>DtcCode_chan085Z</t>
  </si>
  <si>
    <t>The channel of '86X' is assigned for the Distance Measuring Equipment (DME) by the responsible authority.</t>
  </si>
  <si>
    <t>DtcCode_chan086X</t>
  </si>
  <si>
    <t>The channel of '86Y' is assigned for the Distance Measuring Equipment (DME) by the responsible authority.</t>
  </si>
  <si>
    <t>DtcCode_chan086Y</t>
  </si>
  <si>
    <t>The channel of '86Z' is assigned for the Distance Measuring Equipment (DME) by the responsible authority.</t>
  </si>
  <si>
    <t>DtcCode_chan086Z</t>
  </si>
  <si>
    <t>The channel of '87X' is assigned for the Distance Measuring Equipment (DME) by the responsible authority.</t>
  </si>
  <si>
    <t>DtcCode_chan087X</t>
  </si>
  <si>
    <t>The channel of '87Y' is assigned for the Distance Measuring Equipment (DME) by the responsible authority.</t>
  </si>
  <si>
    <t>DtcCode_chan087Y</t>
  </si>
  <si>
    <t>The channel of '87Z' is assigned for the Distance Measuring Equipment (DME) by the responsible authority.</t>
  </si>
  <si>
    <t>DtcCode_chan087Z</t>
  </si>
  <si>
    <t>The channel of '88X' is assigned for the Distance Measuring Equipment (DME) by the responsible authority.</t>
  </si>
  <si>
    <t>DtcCode_chan088X</t>
  </si>
  <si>
    <t>The channel of '88Y' is assigned for the Distance Measuring Equipment (DME) by the responsible authority.</t>
  </si>
  <si>
    <t>DtcCode_chan088Y</t>
  </si>
  <si>
    <t>The channel of '88Z' is assigned for the Distance Measuring Equipment (DME) by the responsible authority.</t>
  </si>
  <si>
    <t>DtcCode_chan088Z</t>
  </si>
  <si>
    <t>The channel of '89X' is assigned for the Distance Measuring Equipment (DME) by the responsible authority.</t>
  </si>
  <si>
    <t>DtcCode_chan089X</t>
  </si>
  <si>
    <t>The channel of '89Y' is assigned for the Distance Measuring Equipment (DME) by the responsible authority.</t>
  </si>
  <si>
    <t>DtcCode_chan089Y</t>
  </si>
  <si>
    <t>The channel of '89Z' is assigned for the Distance Measuring Equipment (DME) by the responsible authority.</t>
  </si>
  <si>
    <t>DtcCode_chan089Z</t>
  </si>
  <si>
    <t>The channel of '8X' is assigned for the Distance Measuring Equipment (DME) by the responsible authority.</t>
  </si>
  <si>
    <t>DtcCode_chan008X</t>
  </si>
  <si>
    <t>The channel of '8Y' is assigned for the Distance Measuring Equipment (DME) by the responsible authority.</t>
  </si>
  <si>
    <t>DtcCode_chan008Y</t>
  </si>
  <si>
    <t>The channel of '90X' is assigned for the Distance Measuring Equipment (DME) by the responsible authority.</t>
  </si>
  <si>
    <t>DtcCode_chan090X</t>
  </si>
  <si>
    <t>The channel of '90Y' is assigned for the Distance Measuring Equipment (DME) by the responsible authority.</t>
  </si>
  <si>
    <t>DtcCode_chan090Y</t>
  </si>
  <si>
    <t>The channel of '90Z' is assigned for the Distance Measuring Equipment (DME) by the responsible authority.</t>
  </si>
  <si>
    <t>DtcCode_chan090Z</t>
  </si>
  <si>
    <t>The channel of '91X' is assigned for the Distance Measuring Equipment (DME) by the responsible authority.</t>
  </si>
  <si>
    <t>DtcCode_chan091X</t>
  </si>
  <si>
    <t>The channel of '91Y' is assigned for the Distance Measuring Equipment (DME) by the responsible authority.</t>
  </si>
  <si>
    <t>DtcCode_chan091Y</t>
  </si>
  <si>
    <t>The channel of '91Z' is assigned for the Distance Measuring Equipment (DME) by the responsible authority.</t>
  </si>
  <si>
    <t>DtcCode_chan091Z</t>
  </si>
  <si>
    <t>The channel of '92X' is assigned for the Distance Measuring Equipment (DME) by the responsible authority.</t>
  </si>
  <si>
    <t>DtcCode_chan092X</t>
  </si>
  <si>
    <t>The channel of '92Y' is assigned for the Distance Measuring Equipment (DME) by the responsible authority.</t>
  </si>
  <si>
    <t>DtcCode_chan092Y</t>
  </si>
  <si>
    <t>The channel of '92Z' is assigned for the Distance Measuring Equipment (DME) by the responsible authority.</t>
  </si>
  <si>
    <t>DtcCode_chan092Z</t>
  </si>
  <si>
    <t>The channel of '93X' is assigned for the Distance Measuring Equipment (DME) by the responsible authority.</t>
  </si>
  <si>
    <t>DtcCode_chan093X</t>
  </si>
  <si>
    <t>The channel of '93Y' is assigned for the Distance Measuring Equipment (DME) by the responsible authority.</t>
  </si>
  <si>
    <t>DtcCode_chan093Y</t>
  </si>
  <si>
    <t>The channel of '93Z' is assigned for the Distance Measuring Equipment (DME) by the responsible authority.</t>
  </si>
  <si>
    <t>DtcCode_chan093Z</t>
  </si>
  <si>
    <t>The channel of '94X' is assigned for the Distance Measuring Equipment (DME) by the responsible authority.</t>
  </si>
  <si>
    <t>DtcCode_chan094X</t>
  </si>
  <si>
    <t>The channel of '94Y' is assigned for the Distance Measuring Equipment (DME) by the responsible authority.</t>
  </si>
  <si>
    <t>DtcCode_chan094Y</t>
  </si>
  <si>
    <t>The channel of '94Z' is assigned for the Distance Measuring Equipment (DME) by the responsible authority.</t>
  </si>
  <si>
    <t>DtcCode_chan094Z</t>
  </si>
  <si>
    <t>The channel of '95X' is assigned for the Distance Measuring Equipment (DME) by the responsible authority.</t>
  </si>
  <si>
    <t>DtcCode_chan095X</t>
  </si>
  <si>
    <t>The channel of '95Y' is assigned for the Distance Measuring Equipment (DME) by the responsible authority.</t>
  </si>
  <si>
    <t>DtcCode_chan095Y</t>
  </si>
  <si>
    <t>The channel of '95Z' is assigned for the Distance Measuring Equipment (DME) by the responsible authority.</t>
  </si>
  <si>
    <t>DtcCode_chan095Z</t>
  </si>
  <si>
    <t>The channel of '96X' is assigned for the Distance Measuring Equipment (DME) by the responsible authority.</t>
  </si>
  <si>
    <t>DtcCode_chan096X</t>
  </si>
  <si>
    <t>The channel of '96Y' is assigned for the Distance Measuring Equipment (DME) by the responsible authority.</t>
  </si>
  <si>
    <t>DtcCode_chan096Y</t>
  </si>
  <si>
    <t>The channel of '96Z' is assigned for the Distance Measuring Equipment (DME) by the responsible authority.</t>
  </si>
  <si>
    <t>DtcCode_chan096Z</t>
  </si>
  <si>
    <t>The channel of '97X' is assigned for the Distance Measuring Equipment (DME) by the responsible authority.</t>
  </si>
  <si>
    <t>DtcCode_chan097X</t>
  </si>
  <si>
    <t>The channel of '97Y' is assigned for the Distance Measuring Equipment (DME) by the responsible authority.</t>
  </si>
  <si>
    <t>DtcCode_chan097Y</t>
  </si>
  <si>
    <t>The channel of '97Z' is assigned for the Distance Measuring Equipment (DME) by the responsible authority.</t>
  </si>
  <si>
    <t>DtcCode_chan097Z</t>
  </si>
  <si>
    <t>The channel of '98X' is assigned for the Distance Measuring Equipment (DME) by the responsible authority.</t>
  </si>
  <si>
    <t>DtcCode_chan098X</t>
  </si>
  <si>
    <t>The channel of '98Y' is assigned for the Distance Measuring Equipment (DME) by the responsible authority.</t>
  </si>
  <si>
    <t>DtcCode_chan098Y</t>
  </si>
  <si>
    <t>The channel of '98Z' is assigned for the Distance Measuring Equipment (DME) by the responsible authority.</t>
  </si>
  <si>
    <t>DtcCode_chan098Z</t>
  </si>
  <si>
    <t>The channel of '99X' is assigned for the Distance Measuring Equipment (DME) by the responsible authority.</t>
  </si>
  <si>
    <t>DtcCode_chan099X</t>
  </si>
  <si>
    <t>The channel of '99Y' is assigned for the Distance Measuring Equipment (DME) by the responsible authority.</t>
  </si>
  <si>
    <t>DtcCode_chan099Y</t>
  </si>
  <si>
    <t>The channel of '99Z' is assigned for the Distance Measuring Equipment (DME) by the responsible authority.</t>
  </si>
  <si>
    <t>DtcCode_chan099Z</t>
  </si>
  <si>
    <t>The channel of '9X' is assigned for the Distance Measuring Equipment (DME) by the responsible authority.</t>
  </si>
  <si>
    <t>DtcCode_chan009X</t>
  </si>
  <si>
    <t>The channel of '9Y' is assigned for the Distance Measuring Equipment (DME) by the responsible authority.</t>
  </si>
  <si>
    <t>DtcCode_chan009Y</t>
  </si>
  <si>
    <t>dmeN</t>
  </si>
  <si>
    <t>DME/N</t>
  </si>
  <si>
    <t>A DME with narrow spectrum characteristics.</t>
  </si>
  <si>
    <t>DmxCode_dmeN</t>
  </si>
  <si>
    <t>dmeP</t>
  </si>
  <si>
    <t>DME/P</t>
  </si>
  <si>
    <t>A DME with improved accuracy compared to the DME/N.</t>
  </si>
  <si>
    <t>DmxCode_dmeP</t>
  </si>
  <si>
    <t>dmeW</t>
  </si>
  <si>
    <t>DME/W</t>
  </si>
  <si>
    <t>A DME with wide spectrum characteristics.</t>
  </si>
  <si>
    <t>DmxCode_dmeW</t>
  </si>
  <si>
    <t>drainage</t>
  </si>
  <si>
    <t>Drainage</t>
  </si>
  <si>
    <t>Serves to drain the land.</t>
  </si>
  <si>
    <t>DitCode_drainage</t>
  </si>
  <si>
    <t>irrigation</t>
  </si>
  <si>
    <t>Irrigation</t>
  </si>
  <si>
    <t>Serves to distribute irrigation water.</t>
  </si>
  <si>
    <t>DitCode_irrigation</t>
  </si>
  <si>
    <t>Serves to carry sewage, typically not by original intent.</t>
  </si>
  <si>
    <t>DitCode_sewage</t>
  </si>
  <si>
    <t>commercial</t>
  </si>
  <si>
    <t>Commercial</t>
  </si>
  <si>
    <t>Diving taking place for financial gain.</t>
  </si>
  <si>
    <t>DacCode_commercial</t>
  </si>
  <si>
    <t>sports</t>
  </si>
  <si>
    <t>Sports</t>
  </si>
  <si>
    <t>Diving for recreational purposes.</t>
  </si>
  <si>
    <t>DacCode_sports</t>
  </si>
  <si>
    <t>Practical instruction in diving techniques.</t>
  </si>
  <si>
    <t>DacCode_training</t>
  </si>
  <si>
    <t>A dock fitted with a gate or caisson into which vessels can be floated and the water pumped out to expose the bottom of the vessel.</t>
  </si>
  <si>
    <t>DtyCode_dryDock</t>
  </si>
  <si>
    <t>ungated</t>
  </si>
  <si>
    <t>Ungated</t>
  </si>
  <si>
    <t>A dock that is open and whose water level is subject to variation (for example: as a result of tidal variation or storm surge).</t>
  </si>
  <si>
    <t>DtyCode_ungated</t>
  </si>
  <si>
    <t>wetDock</t>
  </si>
  <si>
    <t>Wet Dock</t>
  </si>
  <si>
    <t>A dock in which water can be maintained at any level by closing a gate when the water is at the desired level.</t>
  </si>
  <si>
    <t>DtyCode_wetDock</t>
  </si>
  <si>
    <t>concreteSteelPlating</t>
  </si>
  <si>
    <t>Concrete with Steel Plating</t>
  </si>
  <si>
    <t>A door comprised of a concrete core covered on one or both sides with steel plating.</t>
  </si>
  <si>
    <t>DstCode_concreteSteelPlating</t>
  </si>
  <si>
    <t>filledSteelShell</t>
  </si>
  <si>
    <t>Filled Steel Shell</t>
  </si>
  <si>
    <t>A door comprised of a steel shell and a filler material.</t>
  </si>
  <si>
    <t>For example: a steel shell with a honey-combed (hexagonal-mesh) filler material.</t>
  </si>
  <si>
    <t>DstCode_filledSteelShell</t>
  </si>
  <si>
    <t>hollowSteelShell</t>
  </si>
  <si>
    <t>Hollow Steel Shell</t>
  </si>
  <si>
    <t>A door comprised of a steel shell without filler material.</t>
  </si>
  <si>
    <t>DstCode_hollowSteelShell</t>
  </si>
  <si>
    <t>solidSteel</t>
  </si>
  <si>
    <t>Solid Steel</t>
  </si>
  <si>
    <t>A door consisting of a heavy steel plate.</t>
  </si>
  <si>
    <t>DstCode_solidSteel</t>
  </si>
  <si>
    <t>cutterhead</t>
  </si>
  <si>
    <t>Cutterhead</t>
  </si>
  <si>
    <t>A hydraulic dredge that is is equipped with a cutter with teeth that continuously churns up the material while sediment and water is suctioned up a long tube and pumped directly to a disposal site.</t>
  </si>
  <si>
    <t>Advantages of cutterhead pipeline dredges include their ability to excavate most materials, to pump directly to a disposal site, to dredge almost continuously, and to dredge some types of rock without blasting.</t>
  </si>
  <si>
    <t>DrtCode_cutterhead</t>
  </si>
  <si>
    <t>dipper</t>
  </si>
  <si>
    <t>Dipper</t>
  </si>
  <si>
    <t>A mechanical dredging-boat with a single bucket at the end of an arm; the material excavated is placed in scows or hopper barges that are towed to the disposal area.</t>
  </si>
  <si>
    <t>The dipper dredge is basically a barge-mounted power shovel. It is equipped with a power-driven ladder structure and operated from a barge-type hull. A bucket is firmly attached to the ladder structure and is forcibly thrust into the material to be removed. To increase digging power, the dredge barge is moored on powered spuds that transfer the weight of the forward section of the dredge to the bottom. Dipper dredges normally have a bucket capacity of 8 to 12 cubic yard and a working depth of up to 50 feet. There is a great variability in production rates, but 30 to 60 cycles per hour is routinely achieved.</t>
  </si>
  <si>
    <t>DrtCode_dipper</t>
  </si>
  <si>
    <t>dragLine</t>
  </si>
  <si>
    <t>Drag-line</t>
  </si>
  <si>
    <t>A mechanical dredge consisting of a scoop that swings on a chain from a movable jib; the scoop is cast into the material to be excavated and dragged back to the jib where it is lifted and dumped; the material excavated is placed in scows or hopper barges that are towed to the disposal area.</t>
  </si>
  <si>
    <t>The crane may mounted on a flat-bottomed barge, on fixed-shore installations, or on a crawler mount. Different types of buckets (for example: the clamshell, orangepeel, and dragline types) can fulfill various types of dredging requirements and can be quickly changed to suit the operational requirements. The vessel can be positioned and moved within a limited area using only anchors; however, in most cases anchors and spuds are used to position and move bucket dredges. Bucket dredges range in capacity from 1 to 12 cubic yard. Twenty to thirty cycles per hour is typical, but large variations exist in production rates because of the variability in depths and materials being excavated. The effective working depth is limited to about 100 feet.</t>
  </si>
  <si>
    <t>DrtCode_dragLine</t>
  </si>
  <si>
    <t>A dredge located on a floating structure.</t>
  </si>
  <si>
    <t>Includes, for example, the dipper and hopper types.</t>
  </si>
  <si>
    <t>DrtCode_floating</t>
  </si>
  <si>
    <t>hopper</t>
  </si>
  <si>
    <t>A hydraulic dredge that is self-propelled, stores dredged material onboard, transports it to the disposal area, and then dumps it.</t>
  </si>
  <si>
    <t>Hopper dredges are limited to work in deep waters, and they cannot dredge continuously. Direct pumpout is a common method of removing dredged material from hopper dredges. The dredge moors to a structure, buoy, or multiple buoy berth. Hoses connected to a pipeline extending to shore are attached to the hopper dredge discharge manifold. The dredge mixes the dredged material with water to form a slurry and pumps the slurry from its discharge manifold through the hoses and pipeline to a designated discharge location.</t>
  </si>
  <si>
    <t>DrtCode_hopper</t>
  </si>
  <si>
    <t>The process of making a circular hole with a drill by rotation, cutting the rock and bringing it to the surface in the form of a cylindrical core.</t>
  </si>
  <si>
    <t>WfcCode_core</t>
  </si>
  <si>
    <t>percussion</t>
  </si>
  <si>
    <t>Percussion</t>
  </si>
  <si>
    <t>The process of making a circular hole with a drill by percussion.</t>
  </si>
  <si>
    <t>WfcCode_percussion</t>
  </si>
  <si>
    <t>chemicalWaste</t>
  </si>
  <si>
    <t>Chemical Waste</t>
  </si>
  <si>
    <t>An area at sea where chemical waste is dumped.</t>
  </si>
  <si>
    <t>Chemical Field</t>
  </si>
  <si>
    <t>DpgCode_chemicalWaste</t>
  </si>
  <si>
    <t>explosives</t>
  </si>
  <si>
    <t>Explosives</t>
  </si>
  <si>
    <t>An area where deliberate disposal of explosives from vessels, aircraft, platforms and/or other man-made structures takes place.</t>
  </si>
  <si>
    <t>DpgCode_explosives</t>
  </si>
  <si>
    <t>hazardousMaterial</t>
  </si>
  <si>
    <t>Hazardous Material</t>
  </si>
  <si>
    <t>An area at sea where deliberate disposal of hazardous materials from vessels, aircraft, platforms and/or other man-made structures takes place.</t>
  </si>
  <si>
    <t>DpgCode_hazardousMaterial</t>
  </si>
  <si>
    <t>nuclearWaste</t>
  </si>
  <si>
    <t>Nuclear Waste</t>
  </si>
  <si>
    <t>An area at sea where nuclear waste is dumped.</t>
  </si>
  <si>
    <t>DpgCode_nuclearWaste</t>
  </si>
  <si>
    <t>An area at sea where dredged material is deposited.</t>
  </si>
  <si>
    <t>Spoil Area</t>
  </si>
  <si>
    <t>DpgCode_spoil</t>
  </si>
  <si>
    <t>vessels</t>
  </si>
  <si>
    <t>Vessels</t>
  </si>
  <si>
    <t>An area at sea where disused vessels are scuttled.</t>
  </si>
  <si>
    <t>DpgCode_vessels</t>
  </si>
  <si>
    <t>apartment</t>
  </si>
  <si>
    <t>Apartment</t>
  </si>
  <si>
    <t>A suite of rooms forming one residence in a building containing a number of these.</t>
  </si>
  <si>
    <t>DdcCode_apartment</t>
  </si>
  <si>
    <t>caravan</t>
  </si>
  <si>
    <t>Caravan</t>
  </si>
  <si>
    <t>A trailer that is used as a dwelling, has no permanent foundation, and is designed to be easily moved.</t>
  </si>
  <si>
    <t>DdcCode_caravan</t>
  </si>
  <si>
    <t>dormitory</t>
  </si>
  <si>
    <t>Dormitory</t>
  </si>
  <si>
    <t>A building used to house civilian personnel that is typically large, unadorned, and intended for relatively temporary occupancy.</t>
  </si>
  <si>
    <t>DdcCode_dormitory</t>
  </si>
  <si>
    <t>dwellingCommerceBuilding</t>
  </si>
  <si>
    <t>Dwelling and Commercial Building</t>
  </si>
  <si>
    <t>A building used for residential as well as for commercial purposes.</t>
  </si>
  <si>
    <t>DdcCode_dwellingCommerceBuilding</t>
  </si>
  <si>
    <t>emergencyShelter</t>
  </si>
  <si>
    <t>Emergency Shelter</t>
  </si>
  <si>
    <t>A facility for temporary accommodation of homeless people subject to disasters, war, persecution, or for other reasons.</t>
  </si>
  <si>
    <t>DdcCode_emergencyShelter</t>
  </si>
  <si>
    <t>DdcCode_farmhouse</t>
  </si>
  <si>
    <t>house</t>
  </si>
  <si>
    <t>House</t>
  </si>
  <si>
    <t>A self-contained unit having a ground floor and one or more upper storeys serving for human habitation.</t>
  </si>
  <si>
    <t>DdcCode_house</t>
  </si>
  <si>
    <t>hut</t>
  </si>
  <si>
    <t>A small, simple, or crude house or shelter.</t>
  </si>
  <si>
    <t>DdcCode_hut</t>
  </si>
  <si>
    <t>hutWithBeds</t>
  </si>
  <si>
    <t>Hut (with beds)</t>
  </si>
  <si>
    <t>A rude building at remote places (for example: mountains or forests) for shelter and accommodation.</t>
  </si>
  <si>
    <t>DdcCode_hutWithBeds</t>
  </si>
  <si>
    <t>multiUnit</t>
  </si>
  <si>
    <t>Multi-unit</t>
  </si>
  <si>
    <t>A building used as a dwelling by multiple groups of occupants.</t>
  </si>
  <si>
    <t>DdcCode_multiUnit</t>
  </si>
  <si>
    <t>residentialHotel</t>
  </si>
  <si>
    <t>Residential Hotel</t>
  </si>
  <si>
    <t>An establishment, especially of a comfortable or luxurious kind, where paying visitors are provided with accommodation, meals, and/or other services.</t>
  </si>
  <si>
    <t>Residential Motel</t>
  </si>
  <si>
    <t>DdcCode_residentialHotel</t>
  </si>
  <si>
    <t>seniorCitizensHome</t>
  </si>
  <si>
    <t>Senior Citizen's Home</t>
  </si>
  <si>
    <t>A residential building housing a group of elderly persons.</t>
  </si>
  <si>
    <t>DdcCode_seniorCitizensHome</t>
  </si>
  <si>
    <t>vacationCottage</t>
  </si>
  <si>
    <t>Vacation Cottage</t>
  </si>
  <si>
    <t>A private summer and/or weekend holiday residence.</t>
  </si>
  <si>
    <t>DdcCode_vacationCottage</t>
  </si>
  <si>
    <t>youthHostel</t>
  </si>
  <si>
    <t>Youth Hostel</t>
  </si>
  <si>
    <t>A facility providing cheap accommodation for (originally young) people.</t>
  </si>
  <si>
    <t>DdcCode_youthHostel</t>
  </si>
  <si>
    <t>avalanche</t>
  </si>
  <si>
    <t>Avalanche</t>
  </si>
  <si>
    <t>A large mass of snow, ice, soil, or rock, or mixtures of these materials, falling, sliding, or flowing very rapidly under the force of gravity.</t>
  </si>
  <si>
    <t>Es1Code_avalanche</t>
  </si>
  <si>
    <t>damBreak</t>
  </si>
  <si>
    <t>Dam Break</t>
  </si>
  <si>
    <t>The rupture of a dam leading to the sudden release of a typically large volume of water.</t>
  </si>
  <si>
    <t>Es1Code_damBreak</t>
  </si>
  <si>
    <t>fire</t>
  </si>
  <si>
    <t>Fire</t>
  </si>
  <si>
    <t>Combustion of flammable materials (for example: structures, trees, or brush).</t>
  </si>
  <si>
    <t>Es1Code_fire</t>
  </si>
  <si>
    <t>flood</t>
  </si>
  <si>
    <t>Flood</t>
  </si>
  <si>
    <t>A flowing over the banks of a stream or a river.</t>
  </si>
  <si>
    <t>Overflow, Inundation</t>
  </si>
  <si>
    <t>Es1Code_flood</t>
  </si>
  <si>
    <t>landslide</t>
  </si>
  <si>
    <t>Landslide</t>
  </si>
  <si>
    <t>Any of a wide variety of mass-movement landforms and processes involving the downslope transport of soil and rock material as a whole.</t>
  </si>
  <si>
    <t>Es1Code_landslide</t>
  </si>
  <si>
    <t>mudFlow</t>
  </si>
  <si>
    <t>Mud Flow</t>
  </si>
  <si>
    <t>Mass movement of predominantly fine-grained material possesing a high degree of fluidity during movement.</t>
  </si>
  <si>
    <t>Es1Code_mudFlow</t>
  </si>
  <si>
    <t>rockFall</t>
  </si>
  <si>
    <t>Rock Fall</t>
  </si>
  <si>
    <t>A mass of fallen rocks.</t>
  </si>
  <si>
    <t>Es1Code_rockFall</t>
  </si>
  <si>
    <t>tsunami</t>
  </si>
  <si>
    <t>Tsunami</t>
  </si>
  <si>
    <t>Gravitational seawave produced by a submarine earthquake.</t>
  </si>
  <si>
    <t>Es1Code_tsunami</t>
  </si>
  <si>
    <t>The computed value is the body-wave magnitude.</t>
  </si>
  <si>
    <t>A body-wave is a seismic wave that travels into and through the Earth's inner layers. Its magnitude is quantified using a base-10 logarithmic scale based on the ratio of the amplitude of ground motion to its period, corrected by a factor that is a function of the distance from the point of measurement to the earthquake epicenter and the focal depth of the earthquake. The U.S. Geological Survey computes body-wave values based on a seismic-wave period greater than or equal to 0.1 and less than or equal to 3.0 seconds, and whose distance is greater than or equal to 5 geocentric arc degrees. May be designated as 'mb'.</t>
  </si>
  <si>
    <t>EmtCode_bodyWaveMagnitude</t>
  </si>
  <si>
    <t>durationMagnitude</t>
  </si>
  <si>
    <t>Duration Magnitude</t>
  </si>
  <si>
    <t>The estimated value is the duration magnitude.</t>
  </si>
  <si>
    <t>The estimated magnitude is derived from the duration or coda length of earthquake vibrations. The duration magnitude formulas vary for different geographic regions and for different seismographic instruments. Duration or coda length magnitude scales are normally adjusted to agree with local magnitude, or local or regional magnitude, estimates. May be designated as 'MD' or 'CL'.</t>
  </si>
  <si>
    <t>EmtCode_durationMagnitude</t>
  </si>
  <si>
    <t>energyMagnitude</t>
  </si>
  <si>
    <t>Energy Magnitude</t>
  </si>
  <si>
    <t>The computed value is the energy magnitude.</t>
  </si>
  <si>
    <t>The magnitude is computed from the radiated energy using the method described in Choy and Boatwright (1995). The energy radiated by an earthquake is estimated from the energy spectral density of the broadband P waves (Boatwright and Choy, 1986). The energy magnitude can complement moment magnitudes in describing the size of an earthquake. The energy magnitude, being derived from velocity power spectra, is a measure of the amount of damage that could be caused. The moment magnitude, being derived from low-frequency asymptote of displacement spectra, is more physically related to the final static displacement of an earthquake. May be designated as 'Me'.</t>
  </si>
  <si>
    <t>EmtCode_energyMagnitude</t>
  </si>
  <si>
    <t>feltAreaMagnitude</t>
  </si>
  <si>
    <t>Felt Area Magnitude</t>
  </si>
  <si>
    <t>The estimated value is the felt area magnitude.</t>
  </si>
  <si>
    <t>The estimated magnitude is based on isoseismal maps or defined areas using intensity-attenuation relationships, and is compatible with an estimated body-wave magnitude. The felt area magnitude is commonly computed from the felt area for earthquakes which occurred before seismic instruments were in general use. May be designated as 'FA' or 'MI'.</t>
  </si>
  <si>
    <t>EmtCode_feltAreaMagnitude</t>
  </si>
  <si>
    <t>localMagnitude</t>
  </si>
  <si>
    <t>Local Magnitude</t>
  </si>
  <si>
    <t>The computed value is the local magnitude.</t>
  </si>
  <si>
    <t>Generally referred to as the true 'Richter magnitude' (originally defined for California), it is a base-10 logarithmic scale obtained by calculating the logarithm of the combined horizontal amplitude of the largest displacement from zero on a Wood-Anderson torsion seismometer output. The U.S. Geological Survey (USGS) computes local magnitude values for distances less than 600 kilometres from the epicenter with focal depths less than 70 kilometres; local magnitudes are computed by the USGS in the western part of the United States as well as world-wide, often using different calibrating functions. May be designated as 'ML'.</t>
  </si>
  <si>
    <t>Richter Magnitude</t>
  </si>
  <si>
    <t>EmtCode_localMagnitude</t>
  </si>
  <si>
    <t>localRegionalMagnitude</t>
  </si>
  <si>
    <t>Local or Regional Magnitude</t>
  </si>
  <si>
    <t>The computed value is the local or regional magnitude.</t>
  </si>
  <si>
    <t>The magnitude is the body-wave magnitude computed from the vertical component 1-second short-period surface seismic waves. The U.S. Geological Survey (USGS) computes local or regional magnitude values for the area of North America east of the Rocky Mountains; these are also computed by the USGS in other parts of the world, using different calibrating functions. May be designated as 'Mn' or 'mbLg'.</t>
  </si>
  <si>
    <t>EmtCode_localRegionalMagnitude</t>
  </si>
  <si>
    <t>momentMagnitude</t>
  </si>
  <si>
    <t>Moment Magnitude</t>
  </si>
  <si>
    <t>The computed value is the moment magnitude.</t>
  </si>
  <si>
    <t>The moment magnitude is computed from a long-period body- and mantle-wave moment tensor inversion method; it is also related to the product of the area of the earthquake fault, multiplied by the average fault slip over that area and by the shear modulus of the fault rocks. The moment magnitude value is approximately the same as the surface-wave magnitude value. May be designated as 'MW' or 'Mw'.</t>
  </si>
  <si>
    <t>EmtCode_momentMagnitude</t>
  </si>
  <si>
    <t>The computed value is the surface-wave magnitude.</t>
  </si>
  <si>
    <t>A surface-wave is a seismic wave that is constrained to follow the natural wave guide of the Earth's uppermost layers. Its magnitude is quantified using a base-10 logarithmic scale based on the ratio of the amplitude of ground motion to its period, corrected by a factor that is a function of the distance from the point of measurement to the earthquake epicenter. The U.S. Geological Survey (USGS) computes surface wave magnitudes for earthquakes that are located at distances between 20 and 160 geocentric arc degrees from the recording station, have a seismic-wave period between 18 and 22 seconds, and whose depth is less than 50 kilometres (generally surface-wave magnitudes are not computed by the USGS for depths greater than 50 kilometres). May be designated as 'Ms'.</t>
  </si>
  <si>
    <t>EmtCode_surfaceWaveMagnitude</t>
  </si>
  <si>
    <t>horizontalDisplacement</t>
  </si>
  <si>
    <t>Horizontal Displacement</t>
  </si>
  <si>
    <t>Lateral component of relative displacement between two blocks resulting in ground rupture, fracture or fissure.</t>
  </si>
  <si>
    <t>Ed1Code_horizontalDisplacement</t>
  </si>
  <si>
    <t>soilCompaction</t>
  </si>
  <si>
    <t>Soil Compaction</t>
  </si>
  <si>
    <t>Reduction in bulk volume or thickness of, or the pore space within, a body of fine-grained sediments by squeezing out the interstitial water in response to an earthquake.</t>
  </si>
  <si>
    <t>Soil Settlement</t>
  </si>
  <si>
    <t>Ed1Code_soilCompaction</t>
  </si>
  <si>
    <t>soilLiquefaction</t>
  </si>
  <si>
    <t>Soil Liquefaction</t>
  </si>
  <si>
    <t>Loss of strength of loosely-packed, waterlogged sediments in response to strong shaking.</t>
  </si>
  <si>
    <t>A cause for major damage during earthquakes.</t>
  </si>
  <si>
    <t>Ed1Code_soilLiquefaction</t>
  </si>
  <si>
    <t>verticalDisplacement</t>
  </si>
  <si>
    <t>Vertical Displacement</t>
  </si>
  <si>
    <t>Vertical component of relative displacement between two blocks.</t>
  </si>
  <si>
    <t>Ed1Code_verticalDisplacement</t>
  </si>
  <si>
    <t>agricultural</t>
  </si>
  <si>
    <t>Agricultural</t>
  </si>
  <si>
    <t>Reserved for agricultural reclamation and/or development.</t>
  </si>
  <si>
    <t>ErbCode_agricultural</t>
  </si>
  <si>
    <t>hunting</t>
  </si>
  <si>
    <t>Hunting</t>
  </si>
  <si>
    <t>Reserved primarily for hunting.</t>
  </si>
  <si>
    <t>ErbCode_hunting</t>
  </si>
  <si>
    <t>palmTree</t>
  </si>
  <si>
    <t>Palm Tree</t>
  </si>
  <si>
    <t>Reserved for the controlled use of palm trees.</t>
  </si>
  <si>
    <t>ErbCode_palmTree</t>
  </si>
  <si>
    <t>afrotropic</t>
  </si>
  <si>
    <t>Afrotropic</t>
  </si>
  <si>
    <t>Southerly Africa including Sub-Saharan Africa.</t>
  </si>
  <si>
    <t>EcoCode_afrotropic</t>
  </si>
  <si>
    <t>antarctic</t>
  </si>
  <si>
    <t>Antarctic</t>
  </si>
  <si>
    <t>Antarctic area</t>
  </si>
  <si>
    <t>EcoCode_antarctic</t>
  </si>
  <si>
    <t>australasia</t>
  </si>
  <si>
    <t>Australasia</t>
  </si>
  <si>
    <t>Australia, New Guinea and neighbouring islands</t>
  </si>
  <si>
    <t>EcoCode_australasia</t>
  </si>
  <si>
    <t>indoMalayan</t>
  </si>
  <si>
    <t>Indo-Malayan</t>
  </si>
  <si>
    <t>South Asian subcontinent and Southeast Asia</t>
  </si>
  <si>
    <t>EcoCode_indoMalayan</t>
  </si>
  <si>
    <t>nearctic</t>
  </si>
  <si>
    <t>Nearctic</t>
  </si>
  <si>
    <t>North America including Greenland</t>
  </si>
  <si>
    <t>EcoCode_nearctic</t>
  </si>
  <si>
    <t>neotropic</t>
  </si>
  <si>
    <t>Neotropic</t>
  </si>
  <si>
    <t>South America and the Caribbean</t>
  </si>
  <si>
    <t>EcoCode_neotropic</t>
  </si>
  <si>
    <t>oceania</t>
  </si>
  <si>
    <t>Oceania</t>
  </si>
  <si>
    <t>Pacific islands including Polynesia, Fiji and Micronesia</t>
  </si>
  <si>
    <t>EcoCode_oceania</t>
  </si>
  <si>
    <t>palearctic</t>
  </si>
  <si>
    <t>Palearctic</t>
  </si>
  <si>
    <t>Eurasia and North Africa</t>
  </si>
  <si>
    <t>EcoCode_palearctic</t>
  </si>
  <si>
    <t>academy</t>
  </si>
  <si>
    <t>Academy</t>
  </si>
  <si>
    <t>A school that teaches a particular subject or trains people for a particular job.</t>
  </si>
  <si>
    <t>Also used for a secondary or college-preparatory school, especially a private one.</t>
  </si>
  <si>
    <t>EbtCode_academy</t>
  </si>
  <si>
    <t>college</t>
  </si>
  <si>
    <t>College</t>
  </si>
  <si>
    <t>A self-governing constituent body of a university offering living quarters and instruction but not granting degrees; or a preparatory or high school; or an independent institution of higher learning offering a course of general studies leading to a bachelor's degree; or a part of a university offering a specialized set of courses; or an institution offering instruction usually in a professional, vocational, and/or technical field.</t>
  </si>
  <si>
    <t>EbtCode_college</t>
  </si>
  <si>
    <t>collegiate</t>
  </si>
  <si>
    <t>Collegiate</t>
  </si>
  <si>
    <t>A building that is part of an institution offering special instruction in professional and/or technical subjects, which may also include facilities for research and the award of advanced degrees.</t>
  </si>
  <si>
    <t>University, College</t>
  </si>
  <si>
    <t>EbtCode_collegiate</t>
  </si>
  <si>
    <t>educationalCentre</t>
  </si>
  <si>
    <t>Educational Centre</t>
  </si>
  <si>
    <t>An establishment for teaching and learning.</t>
  </si>
  <si>
    <t>EbtCode_educationalCentre</t>
  </si>
  <si>
    <t>school</t>
  </si>
  <si>
    <t>School</t>
  </si>
  <si>
    <t>A building that is used for instruction.</t>
  </si>
  <si>
    <t>EbtCode_school</t>
  </si>
  <si>
    <t>seminary</t>
  </si>
  <si>
    <t>Seminary</t>
  </si>
  <si>
    <t>A school, especially a theological school, for the training of priests, ministers, or rabbis.</t>
  </si>
  <si>
    <t>EbtCode_seminary</t>
  </si>
  <si>
    <t>university</t>
  </si>
  <si>
    <t>University</t>
  </si>
  <si>
    <t>An institution for higher learning with teaching and research facilities constituting a graduate school and professional schools that award master's degrees and doctorates and an undergraduate division that awards bachelor's degrees.</t>
  </si>
  <si>
    <t>EbtCode_university</t>
  </si>
  <si>
    <t>accurate</t>
  </si>
  <si>
    <t>Accurate</t>
  </si>
  <si>
    <t>Meets specified accuracy requirements.</t>
  </si>
  <si>
    <t>ElaCode_accurate</t>
  </si>
  <si>
    <t>approximate</t>
  </si>
  <si>
    <t>Approximate</t>
  </si>
  <si>
    <t>Fails to meet specified accuracy requirements but is deemed sufficiently accurate for some uses.</t>
  </si>
  <si>
    <t>ElaCode_approximate</t>
  </si>
  <si>
    <t>inlandWater</t>
  </si>
  <si>
    <t>The surface of an inland area permanently covered by water, but not significantly affected by tides.</t>
  </si>
  <si>
    <t>For example, a lake, a pond, or a reservoir.</t>
  </si>
  <si>
    <t>EscCode_inlandWater</t>
  </si>
  <si>
    <t>land</t>
  </si>
  <si>
    <t>Land</t>
  </si>
  <si>
    <t>The ground surface of an area not usually covered by water, snow, and/or ice.</t>
  </si>
  <si>
    <t>May be bare or sustain a cover of vegetation.</t>
  </si>
  <si>
    <t>EscCode_land</t>
  </si>
  <si>
    <t>snowIceField</t>
  </si>
  <si>
    <t>The surface of an area permanently covered by snow and/or ice.</t>
  </si>
  <si>
    <t>May cover land (for example: a glacier or polar ice) and/or water (for example: an ice shelf).</t>
  </si>
  <si>
    <t>EscCode_snowIceField</t>
  </si>
  <si>
    <t>tidalWater</t>
  </si>
  <si>
    <t>The surface of an area of water whose level changes periodically due to tidal action.</t>
  </si>
  <si>
    <t>For example, a sea or an ocean.</t>
  </si>
  <si>
    <t>EscCode_tidalWater</t>
  </si>
  <si>
    <t>vegetation</t>
  </si>
  <si>
    <t>Vegetation</t>
  </si>
  <si>
    <t>The upper surface of a vegetated area.</t>
  </si>
  <si>
    <t>The surface generally approximates the top of the vegetation canopy, for example the tops of trees, shrubs, or grasses.</t>
  </si>
  <si>
    <t>EscCode_vegetation</t>
  </si>
  <si>
    <t>The surface of an area permanently covered by water.</t>
  </si>
  <si>
    <t>For example, a lake or an ocean.</t>
  </si>
  <si>
    <t>EscCode_water</t>
  </si>
  <si>
    <t>causewaySupport</t>
  </si>
  <si>
    <t>Causeway Support</t>
  </si>
  <si>
    <t>An embankment providing a route across wet and/or intertidal terrain.</t>
  </si>
  <si>
    <t>Usually supports a road.</t>
  </si>
  <si>
    <t>FicCode_causewaySupport</t>
  </si>
  <si>
    <t>divider</t>
  </si>
  <si>
    <t>Divider</t>
  </si>
  <si>
    <t>An artificial embankment subdividing a waterbody (for example: a pond, a lake, and/or a rice paddy).</t>
  </si>
  <si>
    <t>FicCode_divider</t>
  </si>
  <si>
    <t>dyke</t>
  </si>
  <si>
    <t>An artificial embankment to contain or hold back water.</t>
  </si>
  <si>
    <t>FicCode_dyke</t>
  </si>
  <si>
    <t>fill</t>
  </si>
  <si>
    <t>A raised section of terrain intended to level a sloped area.</t>
  </si>
  <si>
    <t>For example, to support a portion of a roadbed on the side of a mountain. Also used to describe an embankment to fill or traverse a gully or hollow.</t>
  </si>
  <si>
    <t>FicCode_fill</t>
  </si>
  <si>
    <t>levee</t>
  </si>
  <si>
    <t>Levee</t>
  </si>
  <si>
    <t>A natural low embankment bordering a distributary or meandering stream that may subsequently be built up artificially to control floods.</t>
  </si>
  <si>
    <t>FicCode_levee</t>
  </si>
  <si>
    <t>mound</t>
  </si>
  <si>
    <t>Mound</t>
  </si>
  <si>
    <t>A raised long mound of earth or other material.</t>
  </si>
  <si>
    <t>Raised above the surrounding terrain on both sides.</t>
  </si>
  <si>
    <t>FicCode_mound</t>
  </si>
  <si>
    <t>atmosphere</t>
  </si>
  <si>
    <t>Atmosphere</t>
  </si>
  <si>
    <t>The gaseous envelope surrounding the Earth.</t>
  </si>
  <si>
    <t>ApoCode_atmosphere</t>
  </si>
  <si>
    <t>fauna</t>
  </si>
  <si>
    <t>Fauna</t>
  </si>
  <si>
    <t>Any animal organism, wild or domesticated, including humans.</t>
  </si>
  <si>
    <t>ApoCode_fauna</t>
  </si>
  <si>
    <t>flora</t>
  </si>
  <si>
    <t>Flora</t>
  </si>
  <si>
    <t>Any vegetable organism, naturally grown or cultivated.</t>
  </si>
  <si>
    <t>ApoCode_flora</t>
  </si>
  <si>
    <t>groundWater</t>
  </si>
  <si>
    <t>Ground Water</t>
  </si>
  <si>
    <t>The water accumulated in the underground and filling cavities in the Earth's crust.</t>
  </si>
  <si>
    <t>ApoCode_groundWater</t>
  </si>
  <si>
    <t>The ground, especially the top stratus of the Earth's crust whence plants derive their mineral food.</t>
  </si>
  <si>
    <t>ApoCode_soil</t>
  </si>
  <si>
    <t>The water on the Earth's surface.</t>
  </si>
  <si>
    <t>ApoCode_water</t>
  </si>
  <si>
    <t>anthraciteCoal</t>
  </si>
  <si>
    <t>Anthracite Coal</t>
  </si>
  <si>
    <t>Hard, black coal that has a semimetallic luster and semiconchoidal fracture.</t>
  </si>
  <si>
    <t>Anthracite is a coal of the highest metamorphic rank (high-rank coal), with more than 90 percent by weight of carbon.</t>
  </si>
  <si>
    <t>Hard Coal</t>
  </si>
  <si>
    <t>ErmCode_anthraciteCoal</t>
  </si>
  <si>
    <t>Brown to black, solid or semisolid, bituminous substance made almost entirely of carbon and hydrogen.</t>
  </si>
  <si>
    <t>Natural asphalt is formed in oil-bearing rocks by the evaporation of volatiles.</t>
  </si>
  <si>
    <t>ErmCode_asphalt</t>
  </si>
  <si>
    <t>bituminousCoal</t>
  </si>
  <si>
    <t>Bituminous Coal</t>
  </si>
  <si>
    <t>Dark-brown to black coal whose metamorphic rank lies between subbituminous coal and anthracite.</t>
  </si>
  <si>
    <t>Medium-rank coal.</t>
  </si>
  <si>
    <t>ErmCode_bituminousCoal</t>
  </si>
  <si>
    <t>brownCoal</t>
  </si>
  <si>
    <t>Brown Coal</t>
  </si>
  <si>
    <t>Brown to brownish black, low metamorphic rank coal (includes lignite and subbituminous coal).</t>
  </si>
  <si>
    <t>Intermediate metamorphic rank between peat and bituminous coal.</t>
  </si>
  <si>
    <t>ErmCode_brownCoal</t>
  </si>
  <si>
    <t>naturalGas</t>
  </si>
  <si>
    <t>Natural Gas</t>
  </si>
  <si>
    <t>Naturally occuring gaseous hydrocarbons.</t>
  </si>
  <si>
    <t>ErmCode_naturalGas</t>
  </si>
  <si>
    <t>oilSandstone</t>
  </si>
  <si>
    <t>Oil Sandstone</t>
  </si>
  <si>
    <t>Sandstone or unconsolidated sand containing petroleum or impregnated with hydrocarbons.</t>
  </si>
  <si>
    <t>ErmCode_oilSandstone</t>
  </si>
  <si>
    <t>oilShale</t>
  </si>
  <si>
    <t>Oil Shale</t>
  </si>
  <si>
    <t>Dark grey or black shale that contain organic substances that yield liquid hydrocarbons on distillation, but that do not contain free petroleum.</t>
  </si>
  <si>
    <t>Bituminous Shale</t>
  </si>
  <si>
    <t>ErmCode_oilShale</t>
  </si>
  <si>
    <t>petroleum</t>
  </si>
  <si>
    <t>Petroleum</t>
  </si>
  <si>
    <t>Naturally occuring complex liquid hydrocarbons.</t>
  </si>
  <si>
    <t>Petroleum that emerges from a well is defined as crude oil.</t>
  </si>
  <si>
    <t>Crude Oil</t>
  </si>
  <si>
    <t>ErmCode_petroleum</t>
  </si>
  <si>
    <t>tarSandstone</t>
  </si>
  <si>
    <t>Tar Sandstone</t>
  </si>
  <si>
    <t>Oil reservoir in a sandstone or unconsolidated sand where the volatiles have escaped and the rock has become impregnated with hydrocarbon residue.</t>
  </si>
  <si>
    <t>ErmCode_tarSandstone</t>
  </si>
  <si>
    <t>jetEngineDismounted</t>
  </si>
  <si>
    <t>Jet Engine Dismounted</t>
  </si>
  <si>
    <t>An all-weather facility used for the performance testing of a dismounted jet engine that includes an augmenter tube and an overall enclosure designed to minimize noise exposure by test personnel and others in the vicinity.</t>
  </si>
  <si>
    <t>The facility acts as a large fluid-driven pump. Engine exhaust gases, leaving the nozzle as a high-velocity, high-temperature, relatively small diameter jet, are directed into the augmenter tube. An expanding shear layer develops around the jet, pulling along a layer of cool ambient air. Momentum and energy are transferred to this augmentation air, decreasing the velocity and temperature of the jet. The overall structure generally consists of an intake stack, a test enclosure, the blast augmenter tube and an exhaust ramp and/or stack.</t>
  </si>
  <si>
    <t>EtyCode_jetEngineDismounted</t>
  </si>
  <si>
    <t>jetEngineMounted</t>
  </si>
  <si>
    <t>Jet Engine Mounted</t>
  </si>
  <si>
    <t>An all-weather noise-abatement facility for conducting ground run-up testing of installed jet engines and/or making final adjustments and tuning the engines after overhauls.</t>
  </si>
  <si>
    <t>It consists of a tall hangar with sound-proof walls that may contain either the entire aircraft (in the case of wing-mounted engines) or just the tail section (in the case of tail-mounted engines). Prominently placed are multiple stacks (chimneys) for air inlet and exhaust; there may be additional horizontal tube-exhausts along the rear wall. The exhaust stacks and/or tubes contain sound-silencers and they are linked to augmenter tubes placed behind the jet engine(s) being tested in order to gather all exhausts.</t>
  </si>
  <si>
    <t>EtyCode_jetEngineMounted</t>
  </si>
  <si>
    <t>rocketEngineHorizontal</t>
  </si>
  <si>
    <t>Rocket Engine Horizontal</t>
  </si>
  <si>
    <t>A structure, usually open-air, for testing the performance of a horizontally mounted rocket engine.</t>
  </si>
  <si>
    <t>The structure is sufficient to mount the engine (for example: a solid-fuel booster) and safely direct the exhaust. There may be a concrete pan to provide a degree of protection to the local surface. In the case of a liquid-fueled engine there may be associated small tanks containing fuel and oxidizer. In some cases the entire structure may consist of a shed with a side that is either permanently or temporarily opened during testing.</t>
  </si>
  <si>
    <t>EtyCode_rocketEngineHorizontal</t>
  </si>
  <si>
    <t>rocketEngineUpright</t>
  </si>
  <si>
    <t>Rocket Engine Upright</t>
  </si>
  <si>
    <t>An open-air structure for testing the performance of an upright (vertically mounted) rocket engine that includes a blast deflector and/or cooling mechanisms (for example: water sprays) to handle the substantial amount of high-temperature exhaust gases produced during operation.</t>
  </si>
  <si>
    <t>The structure is usually associated with substantial liquid fuel (for example: liquid hydrogen or kerosene) and oxidant (for example: liquid oxygen) tanks and associated pipes. It is typically located distant from centers of population due to the intense sound produced during test firing.</t>
  </si>
  <si>
    <t>EtyCode_rocketEngineUpright</t>
  </si>
  <si>
    <t>battery</t>
  </si>
  <si>
    <t>Battery</t>
  </si>
  <si>
    <t>A site serving as an emplacement for one or more pieces of artillery.</t>
  </si>
  <si>
    <t>EetCode_battery</t>
  </si>
  <si>
    <t>militaryParapet</t>
  </si>
  <si>
    <t>Military Parapet</t>
  </si>
  <si>
    <t>A wall-like barrier at the edge or along the top of a earthen structure built for defensive purposes and normally pierced to provide protected sites for the discharge of defensive projectiles.</t>
  </si>
  <si>
    <t>EetCode_militaryParapet</t>
  </si>
  <si>
    <t>militaryTrench</t>
  </si>
  <si>
    <t>For example: to be used as a line of firing positions for hand-held weapons or as a means of personnel movement that provides cover and concealment.</t>
  </si>
  <si>
    <t>EetCode_militaryTrench</t>
  </si>
  <si>
    <t>rampart</t>
  </si>
  <si>
    <t>Rampart</t>
  </si>
  <si>
    <t>A defensive wall consisting of a low earthen embankment topped by a parapet or palisade.</t>
  </si>
  <si>
    <t>EetCode_rampart</t>
  </si>
  <si>
    <t>redoubt</t>
  </si>
  <si>
    <t>Redoubt</t>
  </si>
  <si>
    <t>An enclosed, usually square or polygonal, outwork or fieldwork with little or no flanking defences.</t>
  </si>
  <si>
    <t>It is located outside of a larger defensive installation (for example: a fort) and is used to protect soldiers located outside of the main line of defence.</t>
  </si>
  <si>
    <t>EetCode_redoubt</t>
  </si>
  <si>
    <t>lightDamage_EF0</t>
  </si>
  <si>
    <t>EF0 - Light Damage</t>
  </si>
  <si>
    <t>Estimated three-second gust (peak momentary) wind speed of 65-85 statute miles per hour.</t>
  </si>
  <si>
    <t>Individual damage indicators and their corresponding degree of damage (with photographs) in this gust wind speed range are specified in 'A Recommendation for an ENHANCED FUJITA SCALE (EF-Scale)', Wind Science and Engineering Center, Texas Tech University, June 2004.</t>
  </si>
  <si>
    <t>FteCode_lightDamage_EF0</t>
  </si>
  <si>
    <t>moderateDamage_EF1</t>
  </si>
  <si>
    <t>EF1 - Moderate Damage</t>
  </si>
  <si>
    <t>Estimated three-second gust (peak momentary) wind speed of 86-110 statute miles per hour.</t>
  </si>
  <si>
    <t>FteCode_moderateDamage_EF1</t>
  </si>
  <si>
    <t>considerableDamage_EF2</t>
  </si>
  <si>
    <t>EF2 - Considerable Damage</t>
  </si>
  <si>
    <t>Estimated three-second gust (peak momentary) wind speed of 111-135 statute miles per hour.</t>
  </si>
  <si>
    <t>FteCode_considerableDamage_EF2</t>
  </si>
  <si>
    <t>severeDamage_EF3</t>
  </si>
  <si>
    <t>EF3 - Severe Damage</t>
  </si>
  <si>
    <t>Estimated three-second gust (peak momentary) wind speed of 136-165 statute miles per hour.</t>
  </si>
  <si>
    <t>FteCode_severeDamage_EF3</t>
  </si>
  <si>
    <t>devastatingDamage_EF4</t>
  </si>
  <si>
    <t>EF4 - Devastating Damage</t>
  </si>
  <si>
    <t>Estimated three-second gust (peak momentary) wind speed of 166-200 statute miles per hour.</t>
  </si>
  <si>
    <t>FteCode_devastatingDamage_EF4</t>
  </si>
  <si>
    <t>incredibleDamage_EF5</t>
  </si>
  <si>
    <t>EF5 - Incredible Damage</t>
  </si>
  <si>
    <t>Estimated three-second gust (peak momentary) wind speed exceeding 200 statute miles per hour.</t>
  </si>
  <si>
    <t>FteCode_incredibleDamage_EF5</t>
  </si>
  <si>
    <t>gidiFeatureIdentifier</t>
  </si>
  <si>
    <t>GIDI Feature Identifier</t>
  </si>
  <si>
    <t>The unique textual identifier of a feature instance as assigned by the NGA Geospatial Intelligence Database Integration (GIDI) process.</t>
  </si>
  <si>
    <t>EitCode_gidiFeatureIdentifier</t>
  </si>
  <si>
    <t>marginNumber</t>
  </si>
  <si>
    <t>Margin Number</t>
  </si>
  <si>
    <t>A numeric identifier used to relate a feature instance to additional information about that feature instance that may be presented along the margin (outside the neat line) of a map or chart sheet on which that feature instance is portrayed.</t>
  </si>
  <si>
    <t>The scope of uniqueness may only be within the map or chart sheet. An integer value usually starting with '1' and increasing until all relevant portrayed feature instances on the map or chart sheet have been uniquely identified.</t>
  </si>
  <si>
    <t>EitCode_marginNumber</t>
  </si>
  <si>
    <t>EitCode_namedFeatureIdentifier</t>
  </si>
  <si>
    <t>A numeric identifier of a feature instance.</t>
  </si>
  <si>
    <t>EitCode_numericFeatureIdentifier</t>
  </si>
  <si>
    <t>EitCode_uniqueEntityIdentifier</t>
  </si>
  <si>
    <t>verticalObstIdentifier</t>
  </si>
  <si>
    <t>EitCode_verticalObstIdentifier</t>
  </si>
  <si>
    <t>curtainVerticalLift</t>
  </si>
  <si>
    <t>Curtain Vertical Lift</t>
  </si>
  <si>
    <t>A set of horizontal panels that are linked (for example: hinged) together, hang from the top of the opening, and which ascend and descend from an overhead track.</t>
  </si>
  <si>
    <t>The track is normally located on the inward side of the opening.</t>
  </si>
  <si>
    <t>EcmCode_curtainVerticalLift</t>
  </si>
  <si>
    <t>hinged</t>
  </si>
  <si>
    <t>Hinged</t>
  </si>
  <si>
    <t>Hinged and swings open and closed either horizontally or vertically in one direction but not in the other (for example: outwards only).</t>
  </si>
  <si>
    <t>EcmCode_hinged</t>
  </si>
  <si>
    <t>sliding</t>
  </si>
  <si>
    <t>Sliding</t>
  </si>
  <si>
    <t>Slides open and closed on rollers, tracks, or rails running parallel to the opening.</t>
  </si>
  <si>
    <t>EcmCode_sliding</t>
  </si>
  <si>
    <t>swing</t>
  </si>
  <si>
    <t>Swing</t>
  </si>
  <si>
    <t>Double hinged and swings open and closed in either the inwards or outwards direction.</t>
  </si>
  <si>
    <t>EcmCode_swing</t>
  </si>
  <si>
    <t>aditMouth</t>
  </si>
  <si>
    <t>Adit Mouth</t>
  </si>
  <si>
    <t>The opening of a mine tunnel onto the terrain surface.</t>
  </si>
  <si>
    <t>The entry is generally located on the slope of a hill and the tunnel passes into the mine either horizontally or with a moderate slope such that the removal of minerals (for example: coal) may be facilitated by the construction of a small-gauge railway, roadway or conveyer into the mine.</t>
  </si>
  <si>
    <t>EecCode_aditMouth</t>
  </si>
  <si>
    <t>bunkerEntrance</t>
  </si>
  <si>
    <t>Bunker Entrance</t>
  </si>
  <si>
    <t>An opening of reinforced shelter onto the terrain surface.</t>
  </si>
  <si>
    <t>The reinforcement may be accomplished by either underground burial (including mining) or by covering and/or surrounding with earth and/or other materials.</t>
  </si>
  <si>
    <t>EecCode_bunkerEntrance</t>
  </si>
  <si>
    <t>caveMouth</t>
  </si>
  <si>
    <t>An opening of a cave into a larger space (for example: onto the terrain surface).</t>
  </si>
  <si>
    <t>A cave may consist of an interconnected series of subterranean chambers and often opens to the Earth's surface (either vertically or horizontally).</t>
  </si>
  <si>
    <t>EecCode_caveMouth</t>
  </si>
  <si>
    <t>cellarEntrance</t>
  </si>
  <si>
    <t>Cellar Entrance</t>
  </si>
  <si>
    <t>An opening of an underground room or vault onto the terrain surface.</t>
  </si>
  <si>
    <t>A cellar is usually located under a building or similar structure.</t>
  </si>
  <si>
    <t>EecCode_cellarEntrance</t>
  </si>
  <si>
    <t>designatedEmergencyExit</t>
  </si>
  <si>
    <t>Designated Emergency Exit</t>
  </si>
  <si>
    <t>Designated as an emergency exit in a structure (for example a tunnel).</t>
  </si>
  <si>
    <t>EecCode_designatedEmergencyExit</t>
  </si>
  <si>
    <t>doorway</t>
  </si>
  <si>
    <t>Doorway</t>
  </si>
  <si>
    <t>The opening or passage which a door serves to close or open.</t>
  </si>
  <si>
    <t>The opening may, for example, be to an enclosed space or through a wall.</t>
  </si>
  <si>
    <t>EecCode_doorway</t>
  </si>
  <si>
    <t>interTubeAccess</t>
  </si>
  <si>
    <t>Inter-tube Access</t>
  </si>
  <si>
    <t>A connection between tunnel tubes.</t>
  </si>
  <si>
    <t>EecCode_interTubeAccess</t>
  </si>
  <si>
    <t>mineShaftOpening</t>
  </si>
  <si>
    <t>Mine Shaft Opening</t>
  </si>
  <si>
    <t>The opening of a mine shaft onto the terrain surface.</t>
  </si>
  <si>
    <t>On the surface above the mine shaft stands a superstructure (termed a 'pit-head' or 'pit-head frame'), which historically contained a winding engine and in modern times contains an electric hoist controller. This raises and lowers a cage within the shaft.</t>
  </si>
  <si>
    <t>EecCode_mineShaftOpening</t>
  </si>
  <si>
    <t>tunnelMouth</t>
  </si>
  <si>
    <t>An opening of a tunnel into a larger space (for example: onto the terrain surface).</t>
  </si>
  <si>
    <t>EecCode_tunnelMouth</t>
  </si>
  <si>
    <t>undergroundRailwayAccess</t>
  </si>
  <si>
    <t>Underground Railway Access</t>
  </si>
  <si>
    <t>An access to an underground railway facility (for example: a metro station).</t>
  </si>
  <si>
    <t>EecCode_undergroundRailwayAccess</t>
  </si>
  <si>
    <t>acidRain</t>
  </si>
  <si>
    <t>Acid Rain</t>
  </si>
  <si>
    <t>Deterioration of a forest by air pollution.</t>
  </si>
  <si>
    <t>Kd1Code_acidRain</t>
  </si>
  <si>
    <t>burningOil</t>
  </si>
  <si>
    <t>Burning Oil</t>
  </si>
  <si>
    <t>Environmental damage caused by burning oil-drilling facilities (predominantly air pollution).</t>
  </si>
  <si>
    <t>Kd1Code_burningOil</t>
  </si>
  <si>
    <t>deforestation</t>
  </si>
  <si>
    <t>Deforestation</t>
  </si>
  <si>
    <t>An intensive harmful disruption of the natural balance causing by deforestation.</t>
  </si>
  <si>
    <t>Kd1Code_deforestation</t>
  </si>
  <si>
    <t>erosion</t>
  </si>
  <si>
    <t>Erosion</t>
  </si>
  <si>
    <t>The natural removal of solids (sediment, soil, rock and other particles) in the natural environment.</t>
  </si>
  <si>
    <t>It usually occurs by the transport of wind, water and/or ice by down-slope creep of soil and other material under the force of gravity.</t>
  </si>
  <si>
    <t>Kd1Code_erosion</t>
  </si>
  <si>
    <t>forestFire</t>
  </si>
  <si>
    <t>Forest Fire</t>
  </si>
  <si>
    <t>Predominantly treeless forest area resulting from fire.</t>
  </si>
  <si>
    <t>Kd1Code_forestFire</t>
  </si>
  <si>
    <t>heavyMetalContamination</t>
  </si>
  <si>
    <t>Heavy Metal Contamination</t>
  </si>
  <si>
    <t>Environment changes caused by mostly illegal disposal (land or sea) of substances polluted by heavy metals.</t>
  </si>
  <si>
    <t>Kd1Code_heavyMetalContamination</t>
  </si>
  <si>
    <t>landMine</t>
  </si>
  <si>
    <t>Land Mine</t>
  </si>
  <si>
    <t>Uncleared mine fields (for example: antipersonnel mine, antitank mine) within an area.</t>
  </si>
  <si>
    <t>Kd1Code_landMine</t>
  </si>
  <si>
    <t>A general term covering a wide variety of mass-movement landforms and processes involving the downslope transport, under gravitational influence, of soil and rock material en masse.</t>
  </si>
  <si>
    <t>Kd1Code_landslide</t>
  </si>
  <si>
    <t>maximumCredibleAccident</t>
  </si>
  <si>
    <t>Maximum Credible Accident (MCA)</t>
  </si>
  <si>
    <t>Transgression of the limiting values for radiation protection regulations in case of breakdowns in a nuclear power plant.</t>
  </si>
  <si>
    <t>Kd1Code_maximumCredibleAccident</t>
  </si>
  <si>
    <t>Radioactive or radioactive-contaminated substances (especially gaseous or liquid) that can not be reprocessed and which have a lasting influence on the environment (also radioactive fall-out).</t>
  </si>
  <si>
    <t>Kd1Code_nuclearWaste</t>
  </si>
  <si>
    <t>oilSpill</t>
  </si>
  <si>
    <t>Oil Spill</t>
  </si>
  <si>
    <t>Environmental damage of marine and/or terrestrial ecosystems caused by oil tanker accidents.</t>
  </si>
  <si>
    <t>Kd1Code_oilSpill</t>
  </si>
  <si>
    <t>ozoneHole</t>
  </si>
  <si>
    <t>Ozone Hole</t>
  </si>
  <si>
    <t>Area of low ozone concentration in the stratosphere.</t>
  </si>
  <si>
    <t>Kd1Code_ozoneHole</t>
  </si>
  <si>
    <t>stormDamage</t>
  </si>
  <si>
    <t>Storm Damage</t>
  </si>
  <si>
    <t>Environmental damage caused by storm or wind.</t>
  </si>
  <si>
    <t>Kd1Code_stormDamage</t>
  </si>
  <si>
    <t>Unexploded Ordnance</t>
  </si>
  <si>
    <t>Unexploded ammunition within an area.</t>
  </si>
  <si>
    <t>Blind Shells</t>
  </si>
  <si>
    <t>Kd1Code_unexplodedOrdnance</t>
  </si>
  <si>
    <t>wasteWater</t>
  </si>
  <si>
    <t>Waste Water</t>
  </si>
  <si>
    <t>Discharge of untreated waste water in high quantities causing environmental pollution.</t>
  </si>
  <si>
    <t>Kd1Code_wasteWater</t>
  </si>
  <si>
    <t>waterBodyExtinction</t>
  </si>
  <si>
    <t>Water Body Extinction</t>
  </si>
  <si>
    <t>Pollution of water bodies caused by toxic substances and deoxygenation.</t>
  </si>
  <si>
    <t>Kd1Code_waterBodyExtinction</t>
  </si>
  <si>
    <t>anthrax</t>
  </si>
  <si>
    <t>Anthrax</t>
  </si>
  <si>
    <t>The splenic fever of sheep and cattle; malignant disease in man communicated by animals suffering from this.</t>
  </si>
  <si>
    <t>Ke1Code_anthrax</t>
  </si>
  <si>
    <t>avianInfluenza</t>
  </si>
  <si>
    <t>Avian Influenza</t>
  </si>
  <si>
    <t>A disease caused by virus, communicated by the excrements of infected birds.</t>
  </si>
  <si>
    <t>Bird Flu</t>
  </si>
  <si>
    <t>Ke1Code_avianInfluenza</t>
  </si>
  <si>
    <t>bilharzia</t>
  </si>
  <si>
    <t>Bilharzia</t>
  </si>
  <si>
    <t>A disease of the liver, caused by trematoda, living in warm lakes, which enter through the skin.</t>
  </si>
  <si>
    <t>Ke1Code_bilharzia</t>
  </si>
  <si>
    <t>bubonicPlague</t>
  </si>
  <si>
    <t>Bubonic Plague</t>
  </si>
  <si>
    <t>An intensely infectious disease caused by the bacterium Yersinia pestis and communicated by rodent fleas.</t>
  </si>
  <si>
    <t>Ke1Code_bubonicPlague</t>
  </si>
  <si>
    <t>chagas</t>
  </si>
  <si>
    <t>Chagas</t>
  </si>
  <si>
    <t>An infectious disease caused by Trypanosoma cruzi, affecting the nervous system, the heart and the intestine caused by pathogenic excrements of reduviids.</t>
  </si>
  <si>
    <t>Ke1Code_chagas</t>
  </si>
  <si>
    <t>cholera</t>
  </si>
  <si>
    <t>Cholera</t>
  </si>
  <si>
    <t>A disease characterized by violent vomiting and purging, tending to run a rapidly fatal course.</t>
  </si>
  <si>
    <t>Ke1Code_cholera</t>
  </si>
  <si>
    <t>diphteria</t>
  </si>
  <si>
    <t>Diphteria</t>
  </si>
  <si>
    <t>An infectious disease characterized by acute inflammation and the formation of a false membrane, chiefly on the pharynx, nostrils, tonsils, and palate.</t>
  </si>
  <si>
    <t>Ke1Code_diphteria</t>
  </si>
  <si>
    <t>dysentery</t>
  </si>
  <si>
    <t>Dysentery</t>
  </si>
  <si>
    <t>An infectious tropical febrile disease seated in the large intestines, accompanied by mucous and bloody evacuations.</t>
  </si>
  <si>
    <t>Ke1Code_dysentery</t>
  </si>
  <si>
    <t>ebolaHemorrhagicFever</t>
  </si>
  <si>
    <t>Ebola Hemorrhagic Fever</t>
  </si>
  <si>
    <t>A haemorrhagic fever caused by the ebola virus and with a high mortality probability.</t>
  </si>
  <si>
    <t>Ke1Code_ebolaHemorrhagicFever</t>
  </si>
  <si>
    <t>epizooticDisease</t>
  </si>
  <si>
    <t>Epizootic Disease</t>
  </si>
  <si>
    <t>A parasitic epidemic disease among animals of unspecified etiology.</t>
  </si>
  <si>
    <t>If widespread, termed 'panzootic'.</t>
  </si>
  <si>
    <t>Ke1Code_epizooticDisease</t>
  </si>
  <si>
    <t>hemorrhagicFever</t>
  </si>
  <si>
    <t>Hemorrhagic Fever</t>
  </si>
  <si>
    <t>An infectious fever disease, attended with haemorrhages usually caused by virus.</t>
  </si>
  <si>
    <t>Ke1Code_hemorrhagicFever</t>
  </si>
  <si>
    <t>humanImmunodeficiencyVirus</t>
  </si>
  <si>
    <t>Human Immunodeficiency Virus (HIV)</t>
  </si>
  <si>
    <t>A virus disease injuring or destroying cells of the immune system, usually with a fatal result.</t>
  </si>
  <si>
    <t>Ke1Code_humanImmunodeficiencyVirus</t>
  </si>
  <si>
    <t>lassaFever</t>
  </si>
  <si>
    <t>Lassa Fever</t>
  </si>
  <si>
    <t>A disease belonging to the group of haemorrhagic fevers causing internal haemorrhage.</t>
  </si>
  <si>
    <t>Ke1Code_lassaFever</t>
  </si>
  <si>
    <t>leprosy</t>
  </si>
  <si>
    <t>Leprosy</t>
  </si>
  <si>
    <t>A chronic disease, usually characterized by shining tubercles of various size, thickening of the skin, loss of feeling and necrosis of parts.</t>
  </si>
  <si>
    <t>Ke1Code_leprosy</t>
  </si>
  <si>
    <t>malaria</t>
  </si>
  <si>
    <t>Malaria</t>
  </si>
  <si>
    <t>A fever due to a parasite communicated by the bite of mosquitoes.</t>
  </si>
  <si>
    <t>Ke1Code_malaria</t>
  </si>
  <si>
    <t>naganaPest</t>
  </si>
  <si>
    <t>Nagana Pest</t>
  </si>
  <si>
    <t>A livestock epidemic caused by Trypanosoma brucei, occurring in Africa and communicated by the Tsetse-fly.</t>
  </si>
  <si>
    <t>Ke1Code_naganaPest</t>
  </si>
  <si>
    <t>ornithose</t>
  </si>
  <si>
    <t>Ornithose</t>
  </si>
  <si>
    <t>An acute infectious disease, communicated by birds.</t>
  </si>
  <si>
    <t>Ke1Code_ornithose</t>
  </si>
  <si>
    <t>paratyphoidFever</t>
  </si>
  <si>
    <t>Paratyphoid Fever</t>
  </si>
  <si>
    <t>A modified form of typhoid fever usually caused by polluted food or drinking water.</t>
  </si>
  <si>
    <t>The clinical picture is similar to typhoid.</t>
  </si>
  <si>
    <t>Ke1Code_paratyphoidFever</t>
  </si>
  <si>
    <t>poliomyelitis</t>
  </si>
  <si>
    <t>Poliomyelitis</t>
  </si>
  <si>
    <t>An inflammation of the grey matter of the spinal cord caused by the polio virus, resulting in asceptic meningitis and/or paralytic disease.</t>
  </si>
  <si>
    <t>Infantile Paralysis</t>
  </si>
  <si>
    <t>Ke1Code_poliomyelitis</t>
  </si>
  <si>
    <t>psittacosis</t>
  </si>
  <si>
    <t>Psittacosis</t>
  </si>
  <si>
    <t>A disease of parrots communicable to man, with a high mortality.</t>
  </si>
  <si>
    <t>Ke1Code_psittacosis</t>
  </si>
  <si>
    <t>relapsingFever</t>
  </si>
  <si>
    <t>Relapsing Fever</t>
  </si>
  <si>
    <t>An infectious fever caused by bacteria in the genus Borrelia that is characterized by frequent relapses.</t>
  </si>
  <si>
    <t>Ke1Code_relapsingFever</t>
  </si>
  <si>
    <t>severeAcuteRespiratorySyn</t>
  </si>
  <si>
    <t>Severe Acute Respiratory Syndrome (SARS)</t>
  </si>
  <si>
    <t>A disease of the lungs caused by virus, communicated by animals or their meat.</t>
  </si>
  <si>
    <t>Ke1Code_severeAcuteRespiratorySyn</t>
  </si>
  <si>
    <t>smallpox</t>
  </si>
  <si>
    <t>Smallpox</t>
  </si>
  <si>
    <t>A contagious feverish disease, characterized by eruptions on the skin.</t>
  </si>
  <si>
    <t>Ke1Code_smallpox</t>
  </si>
  <si>
    <t>trypanosomiasis</t>
  </si>
  <si>
    <t>Trypanosomiasis</t>
  </si>
  <si>
    <t>A disease of humans caused by Trypanosoma brucei and characterized by fever, mental and physical lethargy, almost always fatal.</t>
  </si>
  <si>
    <t>Endemic in tropical Africa and caused by parasite communicated by the Tsetse-fly.</t>
  </si>
  <si>
    <t>Sleeping Sickness</t>
  </si>
  <si>
    <t>Ke1Code_trypanosomiasis</t>
  </si>
  <si>
    <t>typhoidFever</t>
  </si>
  <si>
    <t>Typhoid Fever</t>
  </si>
  <si>
    <t>An infectious fever characterized by an eruption of red spots on the chest and abdomen, severe intestinal irritations, inflammation, and diarrhea.</t>
  </si>
  <si>
    <t>Ke1Code_typhoidFever</t>
  </si>
  <si>
    <t>yellowFever</t>
  </si>
  <si>
    <t>Yellow Fever</t>
  </si>
  <si>
    <t>A malignant tropical fever caused by the bite of mosquitoes, attended with jaundice and black vomit.</t>
  </si>
  <si>
    <t>Ke1Code_yellowFever</t>
  </si>
  <si>
    <t>scale1m</t>
  </si>
  <si>
    <t>1:1,000,000</t>
  </si>
  <si>
    <t>A map scale of 1:1,000,000.</t>
  </si>
  <si>
    <t>EqcCode_scale1m</t>
  </si>
  <si>
    <t>scale100k</t>
  </si>
  <si>
    <t>1:100,000</t>
  </si>
  <si>
    <t>A map scale of 1:100,000.</t>
  </si>
  <si>
    <t>EqcCode_scale100k</t>
  </si>
  <si>
    <t>scale12r5k</t>
  </si>
  <si>
    <t>1:12,500</t>
  </si>
  <si>
    <t>A map scale of 1:12,500.</t>
  </si>
  <si>
    <t>EqcCode_scale12r5k</t>
  </si>
  <si>
    <t>scale2m</t>
  </si>
  <si>
    <t>1:2,000,000</t>
  </si>
  <si>
    <t>A map scale of 1:2,000,000.</t>
  </si>
  <si>
    <t>EqcCode_scale2m</t>
  </si>
  <si>
    <t>scale25k</t>
  </si>
  <si>
    <t>1:25,000</t>
  </si>
  <si>
    <t>A map scale of 1:25,000.</t>
  </si>
  <si>
    <t>EqcCode_scale25k</t>
  </si>
  <si>
    <t>scale250k</t>
  </si>
  <si>
    <t>1:250,000</t>
  </si>
  <si>
    <t>A map scale of 1:250,000.</t>
  </si>
  <si>
    <t>EqcCode_scale250k</t>
  </si>
  <si>
    <t>scale5k</t>
  </si>
  <si>
    <t>1:5,000</t>
  </si>
  <si>
    <t>A map scale of 1:5,000.</t>
  </si>
  <si>
    <t>EqcCode_scale5k</t>
  </si>
  <si>
    <t>scale5m</t>
  </si>
  <si>
    <t>1:5,000,000</t>
  </si>
  <si>
    <t>A map scale of 1:5,000,000.</t>
  </si>
  <si>
    <t>EqcCode_scale5m</t>
  </si>
  <si>
    <t>scale50k</t>
  </si>
  <si>
    <t>1:50,000</t>
  </si>
  <si>
    <t>A map scale of 1:50,000.</t>
  </si>
  <si>
    <t>EqcCode_scale50k</t>
  </si>
  <si>
    <t>scale500k</t>
  </si>
  <si>
    <t>1:500,000</t>
  </si>
  <si>
    <t>A map scale of 1:500,000.</t>
  </si>
  <si>
    <t>EqcCode_scale500k</t>
  </si>
  <si>
    <t>clan</t>
  </si>
  <si>
    <t>Clan</t>
  </si>
  <si>
    <t>An ethnic group composed of one or several lineages having an evident solidarity, descending from a common ancestor but without a clearly defined parentage (genealogy).</t>
  </si>
  <si>
    <t>EtcCode_clan</t>
  </si>
  <si>
    <t>combinedGroup</t>
  </si>
  <si>
    <t>Combined Group</t>
  </si>
  <si>
    <t>Ethnic groups that may meaningfully be combined on the basis of common cultural elements.</t>
  </si>
  <si>
    <t>EtcCode_combinedGroup</t>
  </si>
  <si>
    <t>lineage</t>
  </si>
  <si>
    <t>Lineage</t>
  </si>
  <si>
    <t>Patri- or matrilinear kinfolk descending from a common ancestor in a precise definable genealogy and accepted as an autonomous entity by the society.</t>
  </si>
  <si>
    <t>EtcCode_lineage</t>
  </si>
  <si>
    <t>people</t>
  </si>
  <si>
    <t>People</t>
  </si>
  <si>
    <t>An ethnic group combined by descent and culture but not nationally organized.</t>
  </si>
  <si>
    <t>Characteristics of this ethnic group vary from an ethnic-biological to a political-cultural identity.</t>
  </si>
  <si>
    <t>EtcCode_people</t>
  </si>
  <si>
    <t>subclan</t>
  </si>
  <si>
    <t>Subclan</t>
  </si>
  <si>
    <t>A subunit of a clan.</t>
  </si>
  <si>
    <t>EtcCode_subclan</t>
  </si>
  <si>
    <t>subtribe</t>
  </si>
  <si>
    <t>Subtribe</t>
  </si>
  <si>
    <t>Ethnic groups of different size defined by linguistic and cultural characteristics, but assignable to a tribe.</t>
  </si>
  <si>
    <t>A subunit of a tribe.</t>
  </si>
  <si>
    <t>EtcCode_subtribe</t>
  </si>
  <si>
    <t>tribalAssociation</t>
  </si>
  <si>
    <t>Tribal Association</t>
  </si>
  <si>
    <t>Temporary or permanent integration of several tribes.</t>
  </si>
  <si>
    <t>May be for military or religious purposes.</t>
  </si>
  <si>
    <t>EtcCode_tribalAssociation</t>
  </si>
  <si>
    <t>tribe</t>
  </si>
  <si>
    <t>Tribe</t>
  </si>
  <si>
    <t>A tribe is a subunit of a people and combines ethnic groups of minor size.</t>
  </si>
  <si>
    <t>EtcCode_tribe</t>
  </si>
  <si>
    <t>unspecifiedGroup</t>
  </si>
  <si>
    <t>Unspecified Group</t>
  </si>
  <si>
    <t>An ethnic group known by name but not definitely assignable to a hierarchy because of lack of information.</t>
  </si>
  <si>
    <t>EtcCode_unspecifiedGroup</t>
  </si>
  <si>
    <t>coastalStorm</t>
  </si>
  <si>
    <t>Coastal Storm</t>
  </si>
  <si>
    <t>The feature is a portion of a route designated for use during emergency evacuation in advance of an approaching cyclonic storm that is predicted to make imminent landfall.</t>
  </si>
  <si>
    <t>For example, along the United States Gulf Coast, hurricane evacuation routes lead north for up to hundreds of miles to the safest major city; along the Atlantic Coast, routes lead west. Hurricane evacuation routes may be marked with distinctive blue signs that indicate the correct direction of use. During mass evacuations, all lanes of such routes may be used to flow north or west (as appropriate), a procedure known as contraflow (in the lanes that normally flow in the other direction).</t>
  </si>
  <si>
    <t>Hurricane, Tropical Cyclone, Typhoon</t>
  </si>
  <si>
    <t>EruCode_coastalStorm</t>
  </si>
  <si>
    <t>The feature is a portion of a route designated for use during emergency evacuation either during a structure fire or in advance of an approaching wildland fire.</t>
  </si>
  <si>
    <t>In the case of structural fires such routes use stairwells for descent to ground level and typically terminate at a well-known location where efforts can be made to determine whether all potential occupants have safely exited the structure. Routes used to escape approaching wildland fires will vary based on topography, weather and fire-front conditions; in general they lead away from forested areas.</t>
  </si>
  <si>
    <t>EruCode_fire</t>
  </si>
  <si>
    <t>The feature is a portion of a route designated for use during emergency evacuation in anticipation of flooding.</t>
  </si>
  <si>
    <t>Such routes lead to higher ground, often to temporary public facilities where evacuees may be housed until floodwaters recede.</t>
  </si>
  <si>
    <t>EruCode_flood</t>
  </si>
  <si>
    <t>nuclear</t>
  </si>
  <si>
    <t>Nuclear</t>
  </si>
  <si>
    <t>The feature is a portion of a route designated for use during emergency evacuation in the event of an accident at a nuclear facility likely to result in release of radionuclides into the environment.</t>
  </si>
  <si>
    <t>In addition to leading away from the site of the nuclear facility, such routes often take into consideration the prevailing winds and attempt to avoid the potential downwind plume resulting from an atmospheric radionuclide release.</t>
  </si>
  <si>
    <t>EruCode_nuclear</t>
  </si>
  <si>
    <t>aerialPhotography</t>
  </si>
  <si>
    <t>Aerial Photography</t>
  </si>
  <si>
    <t>CdpCode_aerialPhotography</t>
  </si>
  <si>
    <t>airInformation</t>
  </si>
  <si>
    <t>Air Information</t>
  </si>
  <si>
    <t>CdpCode_airInformation</t>
  </si>
  <si>
    <t>CdpCode_approximate</t>
  </si>
  <si>
    <t>compilation</t>
  </si>
  <si>
    <t>Compilation</t>
  </si>
  <si>
    <t>CdpCode_compilation</t>
  </si>
  <si>
    <t>copyright</t>
  </si>
  <si>
    <t>Copyright</t>
  </si>
  <si>
    <t>CdpCode_copyright</t>
  </si>
  <si>
    <t>creation</t>
  </si>
  <si>
    <t>Creation</t>
  </si>
  <si>
    <t>The digital representation of the feature was created.</t>
  </si>
  <si>
    <t>CdpCode_creation</t>
  </si>
  <si>
    <t>cycleDate</t>
  </si>
  <si>
    <t>Cycle Date</t>
  </si>
  <si>
    <t>CdpCode_cycleDate</t>
  </si>
  <si>
    <t>dateInterpretable</t>
  </si>
  <si>
    <t>Date Interpretable</t>
  </si>
  <si>
    <t>CdpCode_dateInterpretable</t>
  </si>
  <si>
    <t>dateMagneticInformation</t>
  </si>
  <si>
    <t>Date of Magnetic Information</t>
  </si>
  <si>
    <t>CdpCode_dateMagneticInformation</t>
  </si>
  <si>
    <t>digitizing</t>
  </si>
  <si>
    <t>Digitizing</t>
  </si>
  <si>
    <t>CdpCode_digitizing</t>
  </si>
  <si>
    <t>distributionDispatching</t>
  </si>
  <si>
    <t>Distribution/Dispatching</t>
  </si>
  <si>
    <t>CdpCode_distributionDispatching</t>
  </si>
  <si>
    <t>downgrading</t>
  </si>
  <si>
    <t>Downgrading</t>
  </si>
  <si>
    <t>CdpCode_downgrading</t>
  </si>
  <si>
    <t>draftingScribingDrawing</t>
  </si>
  <si>
    <t>Drafting/Scribing/Drawing</t>
  </si>
  <si>
    <t>CdpCode_draftingScribingDrawing</t>
  </si>
  <si>
    <t>earliestDateSource</t>
  </si>
  <si>
    <t>Earliest Date of Source</t>
  </si>
  <si>
    <t>CdpCode_earliestDateSource</t>
  </si>
  <si>
    <t>edition</t>
  </si>
  <si>
    <t>Edition</t>
  </si>
  <si>
    <t>CdpCode_edition</t>
  </si>
  <si>
    <t>fieldClassification</t>
  </si>
  <si>
    <t>Field Classification</t>
  </si>
  <si>
    <t>CdpCode_fieldClassification</t>
  </si>
  <si>
    <t>fieldExamination</t>
  </si>
  <si>
    <t>Field Examination</t>
  </si>
  <si>
    <t>CdpCode_fieldExamination</t>
  </si>
  <si>
    <t>informationAsOf</t>
  </si>
  <si>
    <t>Information as of ---</t>
  </si>
  <si>
    <t>CdpCode_informationAsOf</t>
  </si>
  <si>
    <t>intelligence</t>
  </si>
  <si>
    <t>Intelligence</t>
  </si>
  <si>
    <t>CdpCode_intelligence</t>
  </si>
  <si>
    <t>latestDateSource</t>
  </si>
  <si>
    <t>Latest Date of Source</t>
  </si>
  <si>
    <t>CdpCode_latestDateSource</t>
  </si>
  <si>
    <t>mapEdit</t>
  </si>
  <si>
    <t>Map Edit</t>
  </si>
  <si>
    <t>CdpCode_mapEdit</t>
  </si>
  <si>
    <t>noticetoMariners</t>
  </si>
  <si>
    <t>Notice to Mariners</t>
  </si>
  <si>
    <t>CdpCode_noticetoMariners</t>
  </si>
  <si>
    <t>perishableInfoDate</t>
  </si>
  <si>
    <t>Perishable Information Date</t>
  </si>
  <si>
    <t>CdpCode_perishableInfoDate</t>
  </si>
  <si>
    <t>printPublication</t>
  </si>
  <si>
    <t>Print/Publication</t>
  </si>
  <si>
    <t>CdpCode_printPublication</t>
  </si>
  <si>
    <t>processing</t>
  </si>
  <si>
    <t>Processing</t>
  </si>
  <si>
    <t>CdpCode_processing</t>
  </si>
  <si>
    <t>receipt</t>
  </si>
  <si>
    <t>Receipt</t>
  </si>
  <si>
    <t>The report was received that indicated the existence of the feature.</t>
  </si>
  <si>
    <t>CdpCode_receipt</t>
  </si>
  <si>
    <t>revision</t>
  </si>
  <si>
    <t>Revision</t>
  </si>
  <si>
    <t>The digital representation of the feature was revised.</t>
  </si>
  <si>
    <t>CdpCode_revision</t>
  </si>
  <si>
    <t>significantDate</t>
  </si>
  <si>
    <t>Significant Date</t>
  </si>
  <si>
    <t>CdpCode_significantDate</t>
  </si>
  <si>
    <t>source</t>
  </si>
  <si>
    <t>The source was created that was used to define the digital representation of the feature.</t>
  </si>
  <si>
    <t>CdpCode_source</t>
  </si>
  <si>
    <t>specifications</t>
  </si>
  <si>
    <t>Specifications</t>
  </si>
  <si>
    <t>CdpCode_specifications</t>
  </si>
  <si>
    <t>CdpCode_survey</t>
  </si>
  <si>
    <t>A feature whose existence has been confirmed by a trusted source.</t>
  </si>
  <si>
    <t>CoeCode_definite</t>
  </si>
  <si>
    <t>doubtful</t>
  </si>
  <si>
    <t>Doubtful</t>
  </si>
  <si>
    <t>A feature whose existence has been reported and was not able to be confirmed, but which is assumed to be present for reasons of safety.</t>
  </si>
  <si>
    <t>CoeCode_doubtful</t>
  </si>
  <si>
    <t>reported</t>
  </si>
  <si>
    <t>Reported</t>
  </si>
  <si>
    <t>A feature whose existence has been reported but not confirmed.</t>
  </si>
  <si>
    <t>CoeCode_reported</t>
  </si>
  <si>
    <t>Vehicles and infantry can cross any part of the back of the beach without restriction or hindrance.</t>
  </si>
  <si>
    <t>ExuCode_excellent</t>
  </si>
  <si>
    <t>Exits are becoming fewer and smaller, usually accepting only one vehicle at a time.</t>
  </si>
  <si>
    <t>Infantry may be restricted to some extent by dense undergrowth, swamp, and/or cliffs along part of the back of the beach.</t>
  </si>
  <si>
    <t>ExuCode_fair</t>
  </si>
  <si>
    <t>A number of vehicles can drive easily from the beach at the same time through a number of exits.</t>
  </si>
  <si>
    <t>Infantry can leave the beach and move inland without difficulty along much of the beach.</t>
  </si>
  <si>
    <t>ExuCode_good</t>
  </si>
  <si>
    <t>Exits for vehicles and infantry are severely restricted in number and quality.</t>
  </si>
  <si>
    <t>ExuCode_poor</t>
  </si>
  <si>
    <t>areaStripMine</t>
  </si>
  <si>
    <t>Area Strip-mine</t>
  </si>
  <si>
    <t>The surface material is removed in successive parallel strips to expose the mineral, the spoil from each new strip being placed in the previously excavated one.</t>
  </si>
  <si>
    <t>They are used in generally flat terrain and are commenced with a trench or 'box cut' made through the overburden to expose a portion of the mineral seam. This trench is extended, in a series of cuts 30 to 60 metres wide, to the limits of the property in the strike direction. After mineral removal, a second cut is made parallel to the first one, and the overburden material from this cut is placed in the void of the first cut. The process is repeated in successive parallel cuts until the stripping ratio indicates that continued surface mining is uneconomical.</t>
  </si>
  <si>
    <t>MznCode_areaStripMine</t>
  </si>
  <si>
    <t>belowSurface</t>
  </si>
  <si>
    <t>Below Surface</t>
  </si>
  <si>
    <t>A mine reached by shafts bored from the surface.</t>
  </si>
  <si>
    <t>The shafts may be at any slope, including both vertical and horizontal.</t>
  </si>
  <si>
    <t>MznCode_belowSurface</t>
  </si>
  <si>
    <t>borrowPit</t>
  </si>
  <si>
    <t>Borrow-pit</t>
  </si>
  <si>
    <t>An excavation of soil for the sole purpose of fill material such as road and/or dam construction or for backfill material.</t>
  </si>
  <si>
    <t>MznCode_borrowPit</t>
  </si>
  <si>
    <t>contourStripMine</t>
  </si>
  <si>
    <t>Contour Strip-mine</t>
  </si>
  <si>
    <t>The surface material is removed in a strip along the side of a hill to expose the mineral.</t>
  </si>
  <si>
    <t>They are used where a mineral seam outcrops in rolling or hilly terrain. The method consists of removing the overburden above the mineral seam and then, starting at the outcrop and proceeding along the hillside, creating a bench around the hill. In the past, the blasted overburden spoil was simply shoved down the hill; currently, soil is either carried down the mountain to fill a chosen valley in horizontal layers or is replaced on the working bench itself in places where the mineral has been removed. If the break-even stripping ratio remains favourable, further cuts into the hillside will be made. Otherwise, if there are sufficient reserves under the knob of the hill, the mineral may be recovered by underground mining or by augering.</t>
  </si>
  <si>
    <t>MznCode_contourStripMine</t>
  </si>
  <si>
    <t>opencast</t>
  </si>
  <si>
    <t>Opencast</t>
  </si>
  <si>
    <t>A method of mining by removing surface layers and working from above, rather than from shafts.</t>
  </si>
  <si>
    <t>Open Pit</t>
  </si>
  <si>
    <t>MznCode_opencast</t>
  </si>
  <si>
    <t>peatery</t>
  </si>
  <si>
    <t>Peatery</t>
  </si>
  <si>
    <t>A place in a bog or fen from which peats are cut.</t>
  </si>
  <si>
    <t>MznCode_peatery</t>
  </si>
  <si>
    <t>placer</t>
  </si>
  <si>
    <t>Placer</t>
  </si>
  <si>
    <t>The mining of minerals from placer or alluvial deposits using water pressure (hydraulic mining) and/or surface excavating equipment.</t>
  </si>
  <si>
    <t>A placer is a deposit of sand, gravel, or earth, often located adjacent to a stream, containing particles of gold or other valuable minerals (for example: platinum, tin, diamond, ruby, and other gems).</t>
  </si>
  <si>
    <t>MznCode_placer</t>
  </si>
  <si>
    <t>A surface mine from which easily accessible deposits are removed without the removal of overburden or the use of shafts.</t>
  </si>
  <si>
    <t>MznCode_prospect</t>
  </si>
  <si>
    <t>quarry</t>
  </si>
  <si>
    <t>An open-air excavation for the extraction of stone intended principally for use in construction.</t>
  </si>
  <si>
    <t>MznCode_quarry</t>
  </si>
  <si>
    <t>tpc</t>
  </si>
  <si>
    <t>1AA-TPC</t>
  </si>
  <si>
    <t>MIL-T-89101: Tactical Pilotage Charts (TPC).</t>
  </si>
  <si>
    <t>EtsCode_tpc</t>
  </si>
  <si>
    <t>onc</t>
  </si>
  <si>
    <t>1AB-ONC</t>
  </si>
  <si>
    <t>MIL-O-89102: Operational Navigation Charts (ONC).</t>
  </si>
  <si>
    <t>EtsCode_onc</t>
  </si>
  <si>
    <t>jogAirGround</t>
  </si>
  <si>
    <t>1AE-JOG-A/G</t>
  </si>
  <si>
    <t>MIL-J-89100: Joint Operations Graphics Series 1501A and 1501 (JOG Air/Ground).</t>
  </si>
  <si>
    <t>EtsCode_jogAirGround</t>
  </si>
  <si>
    <t>dted1</t>
  </si>
  <si>
    <t>1CD-DTED-1</t>
  </si>
  <si>
    <t>MIL-D-89000: Digital Terrain Elevation Data (DTED) Level 1 (1CD).</t>
  </si>
  <si>
    <t>EtsCode_dted1</t>
  </si>
  <si>
    <t>dfad1</t>
  </si>
  <si>
    <t>1CE-DFAD-1</t>
  </si>
  <si>
    <t>PS/ICE/200 (MIL-PRF-89005): Digital Feature Analysis Data (DFAD) Level 1.</t>
  </si>
  <si>
    <t>EtsCode_dfad1</t>
  </si>
  <si>
    <t>dted2</t>
  </si>
  <si>
    <t>1CF-DTED-2</t>
  </si>
  <si>
    <t>MIL-D-89000: Digital Terrain Elevation Data (DTED) Level 2 (1CF).</t>
  </si>
  <si>
    <t>EtsCode_dted2</t>
  </si>
  <si>
    <t>dfad2</t>
  </si>
  <si>
    <t>1CG-DFAD-2</t>
  </si>
  <si>
    <t>PS/ICG/200 (MIL-PRF-89005): Digital Feature Analysis Data (DFAD) Level 1.</t>
  </si>
  <si>
    <t>EtsCode_dfad2</t>
  </si>
  <si>
    <t>hac1</t>
  </si>
  <si>
    <t>2AA/001-HAC-1</t>
  </si>
  <si>
    <t>MIL-H-89201/1: Harbor, approach, and coastal charts at scales 1:25,000 and larger (HAC 1).</t>
  </si>
  <si>
    <t>EtsCode_hac1</t>
  </si>
  <si>
    <t>hac2</t>
  </si>
  <si>
    <t>2AA/002-HAC-2</t>
  </si>
  <si>
    <t>MIL-H-89201/2: Harbor, approach, and coastal charts at scales 1:25,001 to 1:50,000 (HAC 2).</t>
  </si>
  <si>
    <t>EtsCode_hac2</t>
  </si>
  <si>
    <t>hac3</t>
  </si>
  <si>
    <t>2AA/003-HAC-3</t>
  </si>
  <si>
    <t>MIL-H-89201/3: Harbor, approach, and coastal charts at scales 1:50,001 to 1:100,000 (HAC 3).</t>
  </si>
  <si>
    <t>EtsCode_hac3</t>
  </si>
  <si>
    <t>hac4</t>
  </si>
  <si>
    <t>2AA/004-HAC-4</t>
  </si>
  <si>
    <t>MIL-H-89201/4: Harbor, approach, and coastal charts at scales 1:100,001 to 1:250,000 (HAC 4).</t>
  </si>
  <si>
    <t>EtsCode_hac4</t>
  </si>
  <si>
    <t>hac5</t>
  </si>
  <si>
    <t>2AA/005-HAC-5</t>
  </si>
  <si>
    <t>MIL-H-89201/5: Harbor, approach, and coastal charts at scales 1:250,001 to 1:350,000 (HAC 5).</t>
  </si>
  <si>
    <t>EtsCode_hac5</t>
  </si>
  <si>
    <t>hac6</t>
  </si>
  <si>
    <t>2AA/006-HAC-6</t>
  </si>
  <si>
    <t>MIL-H-89201/6: Harbor, approach, and coastal charts at scales 1:350,001 to 1:600,000 (HAC 6).</t>
  </si>
  <si>
    <t>EtsCode_hac6</t>
  </si>
  <si>
    <t>hac7</t>
  </si>
  <si>
    <t>2AA/007-HAC-7</t>
  </si>
  <si>
    <t>MIL-H-89201/7: Harbor, approach, and coastal charts at scales 1:600,001 to 1:750,000 (HAC 7).</t>
  </si>
  <si>
    <t>EtsCode_hac7</t>
  </si>
  <si>
    <t>hac8</t>
  </si>
  <si>
    <t>2AA/008-HAC-8</t>
  </si>
  <si>
    <t>MIL-H-89201/8: Harbor, approach, and coastal charts at scales 1:750,001 to 1:1,000,000 (HAC 8).</t>
  </si>
  <si>
    <t>EtsCode_hac8</t>
  </si>
  <si>
    <t>hac9</t>
  </si>
  <si>
    <t>2AA/009-HAC-9</t>
  </si>
  <si>
    <t>MIL-H-89201/9: Harbor, approach, and coastal charts at scales 1:1,000,000 and smaller (HAC 9).</t>
  </si>
  <si>
    <t>EtsCode_hac9</t>
  </si>
  <si>
    <t>combat</t>
  </si>
  <si>
    <t>2AD-Combat</t>
  </si>
  <si>
    <t>MIL-C-89202A: Combat Charts.</t>
  </si>
  <si>
    <t>EtsCode_combat</t>
  </si>
  <si>
    <t>tlm50</t>
  </si>
  <si>
    <t>3AA-TLM50</t>
  </si>
  <si>
    <t>MIL-T-89301A(1): Topographic Line Map (TLM) 1:50K.</t>
  </si>
  <si>
    <t>EtsCode_tlm50</t>
  </si>
  <si>
    <t>tlm100</t>
  </si>
  <si>
    <t>3AG-TLM100</t>
  </si>
  <si>
    <t>MIL-T-89301A(1): Topographic Line Map (TLM) 1:100K.</t>
  </si>
  <si>
    <t>EtsCode_tlm100</t>
  </si>
  <si>
    <t>vitd</t>
  </si>
  <si>
    <t>3KA-VITD</t>
  </si>
  <si>
    <t>MIL-PRF-89040A(2): Vector Product Interim Terrain Data (VITD).</t>
  </si>
  <si>
    <t>EtsCode_vitd</t>
  </si>
  <si>
    <t>dtop</t>
  </si>
  <si>
    <t>3KC/001-DTOP</t>
  </si>
  <si>
    <t>MIL-PRF-89037A: Digital Topographic Data (DTOP).</t>
  </si>
  <si>
    <t>EtsCode_dtop</t>
  </si>
  <si>
    <t>vmap2</t>
  </si>
  <si>
    <t>3KH-VMap-2</t>
  </si>
  <si>
    <t>MIL-PRF-89032(Draft): Vector Smart Map (VMAP) Level 2.</t>
  </si>
  <si>
    <t>EtsCode_vmap2</t>
  </si>
  <si>
    <t>vmap0</t>
  </si>
  <si>
    <t>3KL-VMap-0</t>
  </si>
  <si>
    <t>MIL-PRF-89039(2): Vector Smart Map (VMAP) Level 0.</t>
  </si>
  <si>
    <t>EtsCode_vmap0</t>
  </si>
  <si>
    <t>vmap1</t>
  </si>
  <si>
    <t>3KM-VMap-1</t>
  </si>
  <si>
    <t>MIL-PRF-89033(1): Vector Smart Map (VMAP) Level 1.</t>
  </si>
  <si>
    <t>EtsCode_vmap1</t>
  </si>
  <si>
    <t>uvmap</t>
  </si>
  <si>
    <t>3KU-UVMap</t>
  </si>
  <si>
    <t>MIL-PRF-89035A: Urban Vector Map (UVMAP).</t>
  </si>
  <si>
    <t>EtsCode_uvmap</t>
  </si>
  <si>
    <t>atc</t>
  </si>
  <si>
    <t>4AA-ATC</t>
  </si>
  <si>
    <t>NGA Air Target Chart (ATC).</t>
  </si>
  <si>
    <t>EtsCode_atc</t>
  </si>
  <si>
    <t>jogRadar</t>
  </si>
  <si>
    <t>4AC-JOG-R</t>
  </si>
  <si>
    <t>NGA Joint Operations Graphic - Radar (JOGR).</t>
  </si>
  <si>
    <t>EtsCode_jogRadar</t>
  </si>
  <si>
    <t>tercomL</t>
  </si>
  <si>
    <t>4GE-TERCOM-L</t>
  </si>
  <si>
    <t>NGA Terrain Contour Matching - Landfall (TERCOM L).</t>
  </si>
  <si>
    <t>EtsCode_tercomL</t>
  </si>
  <si>
    <t>tercomE</t>
  </si>
  <si>
    <t>4GF-TERCOM-E</t>
  </si>
  <si>
    <t>NGA Terrain Contour Matching - Enroute/Midcourse (TERCOM E).</t>
  </si>
  <si>
    <t>EtsCode_tercomE</t>
  </si>
  <si>
    <t>tercomT</t>
  </si>
  <si>
    <t>4GG-TERCOM-T</t>
  </si>
  <si>
    <t>NGA Terrain Contour Matching - Terminal (TERCOM T).</t>
  </si>
  <si>
    <t>EtsCode_tercomT</t>
  </si>
  <si>
    <t>ffd</t>
  </si>
  <si>
    <t>5EE-FFD</t>
  </si>
  <si>
    <t>MIL-PRF-89049(1): Foundation Feature Data.</t>
  </si>
  <si>
    <t>EtsCode_ffd</t>
  </si>
  <si>
    <t>digitalFeg</t>
  </si>
  <si>
    <t>DFEG</t>
  </si>
  <si>
    <t>Digital Feature Extraction Guide (DFEG).</t>
  </si>
  <si>
    <t>EtsCode_digitalFeg</t>
  </si>
  <si>
    <t>dnc</t>
  </si>
  <si>
    <t>DNC</t>
  </si>
  <si>
    <t>MIL-PRF-89023(1): Digital Nautical Chart (DNC).</t>
  </si>
  <si>
    <t>EtsCode_dnc</t>
  </si>
  <si>
    <t>globalTdsEg</t>
  </si>
  <si>
    <t>GTDS-EG</t>
  </si>
  <si>
    <t>Global Topographic Data Store (RTDS) Extraction Guide (EG).</t>
  </si>
  <si>
    <t>EtsCode_globalTdsEg</t>
  </si>
  <si>
    <t>localTdsEg</t>
  </si>
  <si>
    <t>LTDS-EG</t>
  </si>
  <si>
    <t>Local Topographic Data Store (LTDS) Extraction Guide (EG).</t>
  </si>
  <si>
    <t>EtsCode_localTdsEg</t>
  </si>
  <si>
    <t>mgcpTrd1</t>
  </si>
  <si>
    <t>MGCP TRD1</t>
  </si>
  <si>
    <t>Multinational Geospatial Co-Production (MGCP) Technical Reference Documentation (TRD) Version 1.</t>
  </si>
  <si>
    <t>EtsCode_mgcpTrd1</t>
  </si>
  <si>
    <t>mgcpTrd2</t>
  </si>
  <si>
    <t>MGCP TRD2</t>
  </si>
  <si>
    <t>Multinational Geospatial Co-Production (MGCP) Technical Reference Documentation (TRD) Version 2.</t>
  </si>
  <si>
    <t>EtsCode_mgcpTrd2</t>
  </si>
  <si>
    <t>mgcpTrd3</t>
  </si>
  <si>
    <t>MGCP TRD3</t>
  </si>
  <si>
    <t>Multinational Geospatial Co-Production (MGCP) Technical Reference Documentation (TRD) Version 3.</t>
  </si>
  <si>
    <t>EtsCode_mgcpTrd3</t>
  </si>
  <si>
    <t>mgcpTrd4</t>
  </si>
  <si>
    <t>MGCP TRD4</t>
  </si>
  <si>
    <t>Multinational Geospatial Co-Production (MGCP) Technical Reference Documentation (TRD) Version 4.</t>
  </si>
  <si>
    <t>EtsCode_mgcpTrd4</t>
  </si>
  <si>
    <t>msd1</t>
  </si>
  <si>
    <t>MSD1</t>
  </si>
  <si>
    <t>NGA Mission Specific Data, Level 1 Data Content Specification.</t>
  </si>
  <si>
    <t>EtsCode_msd1</t>
  </si>
  <si>
    <t>msd2</t>
  </si>
  <si>
    <t>MSD2</t>
  </si>
  <si>
    <t>NGA Mission Specific Data, Level 2 Data Content Specification.</t>
  </si>
  <si>
    <t>EtsCode_msd2</t>
  </si>
  <si>
    <t>msd3</t>
  </si>
  <si>
    <t>MSD3</t>
  </si>
  <si>
    <t>NGA Mission Specific Data, Level 3 Data Content Specification.</t>
  </si>
  <si>
    <t>EtsCode_msd3</t>
  </si>
  <si>
    <t>msd4</t>
  </si>
  <si>
    <t>MSD4</t>
  </si>
  <si>
    <t>NGA Mission Specific Data, Level 4 Data Content Specification.</t>
  </si>
  <si>
    <t>EtsCode_msd4</t>
  </si>
  <si>
    <t>msd5</t>
  </si>
  <si>
    <t>MSD5</t>
  </si>
  <si>
    <t>NGA Mission Specific Data, Level 5 Data Content Specification.</t>
  </si>
  <si>
    <t>EtsCode_msd5</t>
  </si>
  <si>
    <t>regionalTdsEg</t>
  </si>
  <si>
    <t>RTDS-EG</t>
  </si>
  <si>
    <t>Regional Topographic Data Store (RTDS) Extraction Guide (EG).</t>
  </si>
  <si>
    <t>EtsCode_regionalTdsEg</t>
  </si>
  <si>
    <t>specUrbanTdsEg</t>
  </si>
  <si>
    <t>S-UTDS-EG</t>
  </si>
  <si>
    <t>Specialized-Urban Topographic Data Store (S-UTDS) Extraction Guide (EG).</t>
  </si>
  <si>
    <t>EtsCode_specUrbanTdsEg</t>
  </si>
  <si>
    <t>tod0</t>
  </si>
  <si>
    <t>TOD0</t>
  </si>
  <si>
    <t>MIL-PRF-89049/10: Tactical Ocean Data Level 0 (TOD0).</t>
  </si>
  <si>
    <t>EtsCode_tod0</t>
  </si>
  <si>
    <t>tod1</t>
  </si>
  <si>
    <t>TOD1</t>
  </si>
  <si>
    <t>MIL-PRF-89049/11: Tactical Ocean Data Level 1 (TOD1).</t>
  </si>
  <si>
    <t>EtsCode_tod1</t>
  </si>
  <si>
    <t>tod2</t>
  </si>
  <si>
    <t>TOD2</t>
  </si>
  <si>
    <t>MIL-PRF-89049/12: Tactical Ocean Data Level 2 (TOD2).</t>
  </si>
  <si>
    <t>EtsCode_tod2</t>
  </si>
  <si>
    <t>tod3</t>
  </si>
  <si>
    <t>TOD3</t>
  </si>
  <si>
    <t>MIL-PRF-89049/13(Draft): Tactical Ocean Data Level 3 (TOD3).</t>
  </si>
  <si>
    <t>EtsCode_tod3</t>
  </si>
  <si>
    <t>tod4</t>
  </si>
  <si>
    <t>TOD4</t>
  </si>
  <si>
    <t>MIL-PRF-89049/14: Tactical Ocean Data Level 4 (TOD4).</t>
  </si>
  <si>
    <t>EtsCode_tod4</t>
  </si>
  <si>
    <t>heavy</t>
  </si>
  <si>
    <t>Heavy</t>
  </si>
  <si>
    <t>Characterized by large heavy steel frame buildings and may utilize large cranes for heavy lifting.</t>
  </si>
  <si>
    <t>FtpCode_heavy</t>
  </si>
  <si>
    <t>light</t>
  </si>
  <si>
    <t>Light</t>
  </si>
  <si>
    <t>Characterized by light steel or wood frame buildings and lack of heavy equipment.</t>
  </si>
  <si>
    <t>FtpCode_light</t>
  </si>
  <si>
    <t>Operations have been abandoned and will not be able to be resumed in the future (for example: due to destruction or dismantling of the facility).</t>
  </si>
  <si>
    <t>CosCode_abandoned</t>
  </si>
  <si>
    <t>continuous</t>
  </si>
  <si>
    <t>Continuous</t>
  </si>
  <si>
    <t>Operating without interruption.</t>
  </si>
  <si>
    <t>CosCode_continuous</t>
  </si>
  <si>
    <t>Operations have been abandoned, but may be resumed in the future.</t>
  </si>
  <si>
    <t>Moth-balled</t>
  </si>
  <si>
    <t>CosCode_disused</t>
  </si>
  <si>
    <t>Operations are intended to be continuous but may be interrupted on a scheduled basis.</t>
  </si>
  <si>
    <t>CosCode_intermittent</t>
  </si>
  <si>
    <t>CosCode_irregular</t>
  </si>
  <si>
    <t>nonOperational</t>
  </si>
  <si>
    <t>Non-operational</t>
  </si>
  <si>
    <t>Not in operation due to it being non-functional and operation is not scheduled to be restored.</t>
  </si>
  <si>
    <t>Inactive</t>
  </si>
  <si>
    <t>CosCode_nonOperational</t>
  </si>
  <si>
    <t>notInOperation</t>
  </si>
  <si>
    <t>Not in Operation</t>
  </si>
  <si>
    <t>Fully functional and ready for operation however has not been certified or commissioned for such use.</t>
  </si>
  <si>
    <t>The operational capacity may not be authorized for various reasons, such as newly installed and not yet commissioned or certified, or operational but has been taken out of service for non-technical reasons, awaiting certification or commissioning status.</t>
  </si>
  <si>
    <t>Not Usable</t>
  </si>
  <si>
    <t>CosCode_notInOperation</t>
  </si>
  <si>
    <t>onDemand</t>
  </si>
  <si>
    <t>On Demand</t>
  </si>
  <si>
    <t>Operations are occasional, in response to requests from authorized users.</t>
  </si>
  <si>
    <t>CosCode_onDemand</t>
  </si>
  <si>
    <t>Fully capable of operation.</t>
  </si>
  <si>
    <t>The schedule of operations may be indeterminate or unknown.</t>
  </si>
  <si>
    <t>CosCode_operational</t>
  </si>
  <si>
    <t>partiallyOperational</t>
  </si>
  <si>
    <t>Partially Operational</t>
  </si>
  <si>
    <t>Functional, but operating with only partial capability for some reason.</t>
  </si>
  <si>
    <t>Parts of the man-made structure are not in operation; or, the operation is running below capacity.</t>
  </si>
  <si>
    <t>CosCode_partiallyOperational</t>
  </si>
  <si>
    <t>Future operations are scheduled.</t>
  </si>
  <si>
    <t>CosCode_planned</t>
  </si>
  <si>
    <t>Operations are not intended to be continuous but are intended to occur (or, equivalently, be interrupted) on a scheduled basis.</t>
  </si>
  <si>
    <t>For example, the hours of operation of a business may be governed by a timetable.</t>
  </si>
  <si>
    <t>CosCode_scheduled</t>
  </si>
  <si>
    <t>temporarilyNonOperational</t>
  </si>
  <si>
    <t>Temporarily Non-operational</t>
  </si>
  <si>
    <t>Temporarily not in operation due to it being non-functional and operation is scheduled to be restored.</t>
  </si>
  <si>
    <t>Usually an unscheduled loss of operation.</t>
  </si>
  <si>
    <t>Extinguished</t>
  </si>
  <si>
    <t>CosCode_temporarilyNonOperational</t>
  </si>
  <si>
    <t>temporary</t>
  </si>
  <si>
    <t>Temporary</t>
  </si>
  <si>
    <t>Operational, but intended to be replaced or discontinued.</t>
  </si>
  <si>
    <t>CosCode_temporary</t>
  </si>
  <si>
    <t>acrisols</t>
  </si>
  <si>
    <t>Acrisols</t>
  </si>
  <si>
    <t>Soils with a clay-enriched subsoil. Acrisols have low base status and low-activity clay.</t>
  </si>
  <si>
    <t>Code: 'AC'.</t>
  </si>
  <si>
    <t>FggCode_acrisols</t>
  </si>
  <si>
    <t>albeluvisols</t>
  </si>
  <si>
    <t>Albeluvisols</t>
  </si>
  <si>
    <t>Soils with a clay-enriched subsoil. Albeluvisols are characterized by showing albeluvic tonguing (a bleached horizon penetrating into a clay-rich subsurface horizon).</t>
  </si>
  <si>
    <t>Code: 'AB'.</t>
  </si>
  <si>
    <t>FggCode_albeluvisols</t>
  </si>
  <si>
    <t>alisols</t>
  </si>
  <si>
    <t>Alisols</t>
  </si>
  <si>
    <t>Soils with a clay-enriched subsoil. Alisols have low base status and high-activity clay.</t>
  </si>
  <si>
    <t>Code: 'AL'.</t>
  </si>
  <si>
    <t>FggCode_alisols</t>
  </si>
  <si>
    <t>andosols</t>
  </si>
  <si>
    <t>Andosols</t>
  </si>
  <si>
    <t>Young soils from volcanic deposits. Soil sets by Fe/Al chemistry. Soils developed in volcanic material, mainly volcanic ash, with high glass content. These soils has an intense dark colour and high content in organic matter.</t>
  </si>
  <si>
    <t>Code: 'AN'.</t>
  </si>
  <si>
    <t>FggCode_andosols</t>
  </si>
  <si>
    <t>anthrosols</t>
  </si>
  <si>
    <t>Anthrosols</t>
  </si>
  <si>
    <t>Soils with strong human influence, showing long and intensive agricultural use. Mineral soils conditioned by man (modified through cultivation and addition of material).</t>
  </si>
  <si>
    <t>Code: 'AT'.</t>
  </si>
  <si>
    <t>FggCode_anthrosols</t>
  </si>
  <si>
    <t>arenosols</t>
  </si>
  <si>
    <t>Arenosols</t>
  </si>
  <si>
    <t>Sandy soils. They are relative young soils or soils with little or no profile development. Sandy soils developed in situ after weathering of old, usually quarz-rich soil material or rock, and soils developed in recently deposited sands as occur in deserts.</t>
  </si>
  <si>
    <t>Code: 'AR'.</t>
  </si>
  <si>
    <t>FggCode_arenosols</t>
  </si>
  <si>
    <t>calcisols</t>
  </si>
  <si>
    <t>Calcisols</t>
  </si>
  <si>
    <t>Soils with accumulation of secondary calcium carbonates.</t>
  </si>
  <si>
    <t>Code: 'CL'.</t>
  </si>
  <si>
    <t>FggCode_calcisols</t>
  </si>
  <si>
    <t>cambisols</t>
  </si>
  <si>
    <t>Cambisols</t>
  </si>
  <si>
    <t>Moderately developed soils. Cambisols are relative young soils or soils with little or no profile development.</t>
  </si>
  <si>
    <t>Code: 'CM'.</t>
  </si>
  <si>
    <t>FggCode_cambisols</t>
  </si>
  <si>
    <t>chernozems</t>
  </si>
  <si>
    <t>Chernozems</t>
  </si>
  <si>
    <t>Soils with a humus-rich (dark) topsoil and a calcareous subsoil.</t>
  </si>
  <si>
    <t>Code: 'CH'.</t>
  </si>
  <si>
    <t>FggCode_chernozems</t>
  </si>
  <si>
    <t>cryosols</t>
  </si>
  <si>
    <t>Cryosols</t>
  </si>
  <si>
    <t>Soils with limited rooting due to shallow permafrost.</t>
  </si>
  <si>
    <t>Code: 'CR'.</t>
  </si>
  <si>
    <t>FggCode_cryosols</t>
  </si>
  <si>
    <t>durisols</t>
  </si>
  <si>
    <t>Durisols</t>
  </si>
  <si>
    <t>Soils with accumulation of secondary silica.</t>
  </si>
  <si>
    <t>Code: 'DU'.</t>
  </si>
  <si>
    <t>FggCode_durisols</t>
  </si>
  <si>
    <t>ferralsols</t>
  </si>
  <si>
    <t>Ferralsols</t>
  </si>
  <si>
    <t>Soils in which Fe an Al chemistry plays a major role in their formation. Ferrasols are rich in Kaolinit and sesquioxides and are deep and strongly weathered.</t>
  </si>
  <si>
    <t>Code: 'FR'.</t>
  </si>
  <si>
    <t>FggCode_ferralsols</t>
  </si>
  <si>
    <t>fluvisols</t>
  </si>
  <si>
    <t>Fluvisols</t>
  </si>
  <si>
    <t>Soils influenced by water. Fluvisols are located in floodplains and tidal marshes.</t>
  </si>
  <si>
    <t>Code: 'FL'.</t>
  </si>
  <si>
    <t>FggCode_fluvisols</t>
  </si>
  <si>
    <t>gleysols</t>
  </si>
  <si>
    <t>Gleysols</t>
  </si>
  <si>
    <t>Soils strongly influenced by ground-water.</t>
  </si>
  <si>
    <t>Code: 'GL'.</t>
  </si>
  <si>
    <t>FggCode_gleysols</t>
  </si>
  <si>
    <t>gypsisols</t>
  </si>
  <si>
    <t>Gypsisols</t>
  </si>
  <si>
    <t>Soils with accumulation of secondary gypsum.</t>
  </si>
  <si>
    <t>Code: 'GY'.</t>
  </si>
  <si>
    <t>FggCode_gypsisols</t>
  </si>
  <si>
    <t>histosols</t>
  </si>
  <si>
    <t>Histosols</t>
  </si>
  <si>
    <t>Soils with thick organic layers. Comprise soils formed in organic soil material. They are confined to poorly drained basins, depressions, swamps and marshlands with shallow ground-water. Histosols occur extensively in boreal, artic and subartic regions.</t>
  </si>
  <si>
    <t>Code: 'HS'.</t>
  </si>
  <si>
    <t>FggCode_histosols</t>
  </si>
  <si>
    <t>kastanozems</t>
  </si>
  <si>
    <t>Kastanozems</t>
  </si>
  <si>
    <t>Soils with a humus-rich (dark brown) topsoil and a high base saturation (calcareous or gypsum-rich subsoil).</t>
  </si>
  <si>
    <t>Code: 'KS'.</t>
  </si>
  <si>
    <t>FggCode_kastanozems</t>
  </si>
  <si>
    <t>leptosols</t>
  </si>
  <si>
    <t>Leptosols</t>
  </si>
  <si>
    <t>Soils with limited rooting due to shallow or extremely gravely soils. Leptosols include the Lithosols of the Soil Map of the World (FAO-UNESCO, 1971-1981).</t>
  </si>
  <si>
    <t>Code: 'LP'.</t>
  </si>
  <si>
    <t>FggCode_leptosols</t>
  </si>
  <si>
    <t>lixisols</t>
  </si>
  <si>
    <t>Lixisols</t>
  </si>
  <si>
    <t>Soils with clay-enriched subsoil. Lixisols have high base status and low-activity clay.</t>
  </si>
  <si>
    <t>Code: 'LX'.</t>
  </si>
  <si>
    <t>FggCode_lixisols</t>
  </si>
  <si>
    <t>luvisols</t>
  </si>
  <si>
    <t>Luvisols</t>
  </si>
  <si>
    <t>Soils with clay-enriched subsoil. Luvisols have high base status and high-activity clay.</t>
  </si>
  <si>
    <t>Code: 'LV'.</t>
  </si>
  <si>
    <t>FggCode_luvisols</t>
  </si>
  <si>
    <t>nitisols</t>
  </si>
  <si>
    <t>Nitisols</t>
  </si>
  <si>
    <t>Soils in which Fe an Al chemistry plays a major role in their formation (deep, dark red, brown or yellow). Nitisols are characterized by low-activity clay, phosphorus fixation and are strongly structured (nut-shaped).</t>
  </si>
  <si>
    <t>Code: 'NT'.</t>
  </si>
  <si>
    <t>FggCode_nitisols</t>
  </si>
  <si>
    <t>phaeozems</t>
  </si>
  <si>
    <t>Phaeozems</t>
  </si>
  <si>
    <t>Soils with a humus-rich (dark) topsoil and a high base saturation. They show evidence of removal of carbonates.</t>
  </si>
  <si>
    <t>Code: 'PH'.</t>
  </si>
  <si>
    <t>FggCode_phaeozems</t>
  </si>
  <si>
    <t>planosols</t>
  </si>
  <si>
    <t>Planosols</t>
  </si>
  <si>
    <t>Soils with stagnating water. Planosols shows a abrupt textural discontinuity (increase in clay content).</t>
  </si>
  <si>
    <t>Code: 'PL'.</t>
  </si>
  <si>
    <t>FggCode_planosols</t>
  </si>
  <si>
    <t>plinthosols</t>
  </si>
  <si>
    <t>Plinthosols</t>
  </si>
  <si>
    <t>Soils in which Fe an Al chemistry plays a major role in their formation. Plinthosols shows an accumulation of Fe under hydromorphic conditions.</t>
  </si>
  <si>
    <t>Code: 'PT'.</t>
  </si>
  <si>
    <t>FggCode_plinthosols</t>
  </si>
  <si>
    <t>podzols</t>
  </si>
  <si>
    <t>Podzols</t>
  </si>
  <si>
    <t>Soils in which Fe and Al chemistry plays a major role in their formation. Podzols are acid soils with a subsurface accumulation of iron-aluminum-organic compounds.</t>
  </si>
  <si>
    <t>Code: 'PZ'.</t>
  </si>
  <si>
    <t>FggCode_podzols</t>
  </si>
  <si>
    <t>regosols</t>
  </si>
  <si>
    <t>Regosols</t>
  </si>
  <si>
    <t>Soils with no significant profile development.</t>
  </si>
  <si>
    <t>Code: 'RG'.</t>
  </si>
  <si>
    <t>FggCode_regosols</t>
  </si>
  <si>
    <t>solonchaks</t>
  </si>
  <si>
    <t>Solonchaks</t>
  </si>
  <si>
    <t>Soils with strong salt enrichment upon evaporation.</t>
  </si>
  <si>
    <t>Code: 'SC'.</t>
  </si>
  <si>
    <t>FggCode_solonchaks</t>
  </si>
  <si>
    <t>solonetz</t>
  </si>
  <si>
    <t>Solonetz</t>
  </si>
  <si>
    <t>Soils with subsurface clay accumulation, rich in sodium. Alkaline soils. .</t>
  </si>
  <si>
    <t>Code: 'SN'.</t>
  </si>
  <si>
    <t>FggCode_solonetz</t>
  </si>
  <si>
    <t>stagnosols</t>
  </si>
  <si>
    <t>Stagnosols</t>
  </si>
  <si>
    <t>Soils with stagnating water. Stagnosols shows a structural or moderate textural discontinuity. A common name for this soil is also pseudogley.</t>
  </si>
  <si>
    <t>Code: 'ST'.</t>
  </si>
  <si>
    <t>FggCode_stagnosols</t>
  </si>
  <si>
    <t>technosols</t>
  </si>
  <si>
    <t>Technosols</t>
  </si>
  <si>
    <t>Soils with strong human influence, containing many artefacts.</t>
  </si>
  <si>
    <t>Code: 'TC'.</t>
  </si>
  <si>
    <t>FggCode_technosols</t>
  </si>
  <si>
    <t>umbisols</t>
  </si>
  <si>
    <t>Umbisols</t>
  </si>
  <si>
    <t>Soils with an acidic dark (rich in organic matter) topsoils. Umbisols are relative young soils or soils with little or no profile development. These soils are classified in other systems as Humic Cambisols and Umbric Regosols (FAO).</t>
  </si>
  <si>
    <t>Code: 'UM'.</t>
  </si>
  <si>
    <t>FggCode_umbisols</t>
  </si>
  <si>
    <t>vertisols</t>
  </si>
  <si>
    <t>Vertisols</t>
  </si>
  <si>
    <t>Soils influenced by water, rich in swelling clays. Alternating wet-dry conditions cause cracking and wedge-shape structural elements in the subsurface soil.</t>
  </si>
  <si>
    <t>Code: 'VR'.</t>
  </si>
  <si>
    <t>FggCode_vertisols</t>
  </si>
  <si>
    <t>fallow</t>
  </si>
  <si>
    <t>Fallow</t>
  </si>
  <si>
    <t>Farming in which crops alternating with soil replenishment vegetation types are grown on the same land in successive years or seasons.</t>
  </si>
  <si>
    <t>Soil replenishment and pest and disease abatement are accomplished without recourse to fertilizers and pest control agents.</t>
  </si>
  <si>
    <t>Crop Rotation</t>
  </si>
  <si>
    <t>FmmCode_fallow</t>
  </si>
  <si>
    <t>grazing</t>
  </si>
  <si>
    <t>Grazing</t>
  </si>
  <si>
    <t>Farming to support the feeding of livestock on low grass or vegetation on pastures and ranges.</t>
  </si>
  <si>
    <t>FmmCode_grazing</t>
  </si>
  <si>
    <t>Farming in which the fields are continuously used for cultivation.</t>
  </si>
  <si>
    <t>Continuous cultivation usually depends on the application of fertilizers and pest control agents.</t>
  </si>
  <si>
    <t>FmmCode_permanent</t>
  </si>
  <si>
    <t>slashAndBurn</t>
  </si>
  <si>
    <t>Slash and Burn</t>
  </si>
  <si>
    <t>Farming based on the technique where forested and highly vegetated areas will be cut months before a dry season, typically by hand, and then burned with the resulting ash serving to temporarily fertilize the underlying soil.</t>
  </si>
  <si>
    <t>It is an agricultural method for subsistence farming in third-world areas and typically within grasslands and rainforest. It is also known variously as 'shifting cultivation', 'swidden-fallow agriculture', or 'jhoom cultivation' (in India, Pakistan, other areas of Southern Asia). There is no attempt to fertilize or otherwise replenish the soil. When the soil nutrients are exhausted, the cleared land is abandoned - left fallow to sometimes regenerate by the growth of native species, but more often left exposed to damage and loss through erosion.</t>
  </si>
  <si>
    <t>FmmCode_slashAndBurn</t>
  </si>
  <si>
    <t>intermingledTrees</t>
  </si>
  <si>
    <t>Intermingled Trees</t>
  </si>
  <si>
    <t>The fields include scattered trees and/or are bordered by rows of trees, but there are no areas of woods.</t>
  </si>
  <si>
    <t>FfpCode_intermingledTrees</t>
  </si>
  <si>
    <t>intermingledWoods</t>
  </si>
  <si>
    <t>Intermingled Woods</t>
  </si>
  <si>
    <t>The fields are intermingled with scattered woods and/or rows of trees.</t>
  </si>
  <si>
    <t>FfpCode_intermingledWoods</t>
  </si>
  <si>
    <t>The fields have no regular arrangement and/or pattern.</t>
  </si>
  <si>
    <t>FfpCode_irregular</t>
  </si>
  <si>
    <t>linear</t>
  </si>
  <si>
    <t>Linear</t>
  </si>
  <si>
    <t>The fields are laid out in a linear arrangement.</t>
  </si>
  <si>
    <t>For example, long and narrow with the crop rows aligned along the longer dimension.</t>
  </si>
  <si>
    <t>FfpCode_linear</t>
  </si>
  <si>
    <t>regular</t>
  </si>
  <si>
    <t>Regular</t>
  </si>
  <si>
    <t>The fields are laid out in a specific and uniform arrangement.</t>
  </si>
  <si>
    <t>For example, of roughly equal size and shape as on a draughtboard.</t>
  </si>
  <si>
    <t>FfpCode_regular</t>
  </si>
  <si>
    <t>terraced</t>
  </si>
  <si>
    <t>Terraced</t>
  </si>
  <si>
    <t>The fields are on a slope that has been divided and formed into successive plateaus by long, low ridges of soil extending across the slope.</t>
  </si>
  <si>
    <t>May have associated flat or graded channels to control the runoff of water.</t>
  </si>
  <si>
    <t>FfpCode_terraced</t>
  </si>
  <si>
    <t>treeless</t>
  </si>
  <si>
    <t>Treeless</t>
  </si>
  <si>
    <t>The fields have no trees in and/or among them.</t>
  </si>
  <si>
    <t>FfpCode_treeless</t>
  </si>
  <si>
    <t>trellised</t>
  </si>
  <si>
    <t>Trellised</t>
  </si>
  <si>
    <t>Provided with one or more lattice frameworks of light bars (for example: wooden or metal) used as a support for crops (for example: fruit trees or vines).</t>
  </si>
  <si>
    <t>FfpCode_trellised</t>
  </si>
  <si>
    <t>dispersed</t>
  </si>
  <si>
    <t>Dispersed</t>
  </si>
  <si>
    <t>Consists of multiple components that are spatially dispersed.</t>
  </si>
  <si>
    <t>FcoCode_dispersed</t>
  </si>
  <si>
    <t>dividedDifferent</t>
  </si>
  <si>
    <t>Divided Different</t>
  </si>
  <si>
    <t>Divided into multiple components that have different widths.</t>
  </si>
  <si>
    <t>FcoCode_dividedDifferent</t>
  </si>
  <si>
    <t>dividedSame</t>
  </si>
  <si>
    <t>Divided Same</t>
  </si>
  <si>
    <t>Divided into multiple components that have the same width.</t>
  </si>
  <si>
    <t>For example, a divided highway.</t>
  </si>
  <si>
    <t>FcoCode_dividedSame</t>
  </si>
  <si>
    <t>nonDivided</t>
  </si>
  <si>
    <t>Non-divided</t>
  </si>
  <si>
    <t>Not divided into distinct, spatially separated components.</t>
  </si>
  <si>
    <t>FcoCode_nonDivided</t>
  </si>
  <si>
    <t>accommodation</t>
  </si>
  <si>
    <t>Accommodation</t>
  </si>
  <si>
    <t>The provision of lodging ranging from short-stay (for example: nightly) through long-term primary residences.</t>
  </si>
  <si>
    <t>May include the provision of meals, entertainment and/or recreational facilities. The amount and type of supplementary services provided may vary widely.</t>
  </si>
  <si>
    <t>FfnCode_accommodation</t>
  </si>
  <si>
    <t>accounting</t>
  </si>
  <si>
    <t>Accounting</t>
  </si>
  <si>
    <t>Accounting, bookkeeping, auditing and tax consultancy activities.</t>
  </si>
  <si>
    <t>Includes, for example: recording of commercial transactions from businesses or others, preparation or auditing of financial accounts, examination of accounts and certification of their accuracy, preparation of personal and business income tax returns, and advisory activities and representation (other than legal representation) on behalf of clients before tax authorities.</t>
  </si>
  <si>
    <t>FfnCode_accounting</t>
  </si>
  <si>
    <t>administration</t>
  </si>
  <si>
    <t>Administration</t>
  </si>
  <si>
    <t>The performance of one or more administrative or management functions.</t>
  </si>
  <si>
    <t>FfnCode_administration</t>
  </si>
  <si>
    <t>adultEntertainment</t>
  </si>
  <si>
    <t>Adult Entertainment</t>
  </si>
  <si>
    <t>Activities involved in the provision of sexual services and related forms of adult entertainment (comprising a number of forms of entertainment not considered suitable for children).</t>
  </si>
  <si>
    <t>For example, erotic acting and nude modeling for pornography, striptease dancing and performances in peep shows, waitstaffing in sexually-oriented businesses, live sex shows, professional domination, provision of erotic massage and engagement in phone sex.</t>
  </si>
  <si>
    <t>FfnCode_adultEntertainment</t>
  </si>
  <si>
    <t>advertising</t>
  </si>
  <si>
    <t>Advertising</t>
  </si>
  <si>
    <t>The provision of a full range of advertising services including advice, creative services, production of advertising material, media planning, and the purchase of media placement.</t>
  </si>
  <si>
    <t>Includes, for example, the creation and realization of advertising campaigns (for example: creation and placement of advertising in print media, electronic services, and/or on outdoor displays) and conducting marketing campaigns and other advertising services aimed at attracting and retaining customers (for example: product promotion, point-of-sale marketing, and direct mail advertising).</t>
  </si>
  <si>
    <t>FfnCode_advertising</t>
  </si>
  <si>
    <t>agriculture</t>
  </si>
  <si>
    <t>Agriculture</t>
  </si>
  <si>
    <t>The production of crops and/or animals.</t>
  </si>
  <si>
    <t>FfnCode_agriculture</t>
  </si>
  <si>
    <t>airTrafficControl</t>
  </si>
  <si>
    <t>Air Traffic Control</t>
  </si>
  <si>
    <t>The provision of one or more traffic control services (for example: area control services, approach control services, and aerodrome control services), flight information services, alerting services, and/or air traffic advisory services.</t>
  </si>
  <si>
    <t>FfnCode_airTrafficControl</t>
  </si>
  <si>
    <t>airTransport</t>
  </si>
  <si>
    <t>Air Transport</t>
  </si>
  <si>
    <t>The transport of passengers and/or freight using aircraft, and supporting activities.</t>
  </si>
  <si>
    <t>Included are: transport of passengers and/or freight by air over regular routes and on regular schedules; charter flights for passengers; scenic and sightseeing flights; and non-scheduled transport of freight by air.</t>
  </si>
  <si>
    <t>FfnCode_airTransport</t>
  </si>
  <si>
    <t>aircraftManufac</t>
  </si>
  <si>
    <t>Aircraft Manufacture</t>
  </si>
  <si>
    <t>The manufacture of air (for example: airplaces or helicopters) and spacecraft (for example launch vehicles or satellites) and related equipment.</t>
  </si>
  <si>
    <t>It includes, for example, the manufacture of: airplanes for the transport of goods or passengers, for use by the defence forces, for sport or other purposes; helicopters; gliders and hang-gliders; dirigibles and hot air balloons; parts and accessories of the aircraft of this class (for example: fuselages, wings, doors, control surfaces, landing gear, fuel tanks, nacelles, airscrews, helicopter rotors and propelled rotor blades, motors and engines of a kind typically found on aircraft, or parts of turbojets and turbopropellers for aircraft); and ground flying trainers. It also includes, for example, the manufacture of spacecraft and launch vehicles, satellites, planetary probes, orbital stations, shuttles, and intercontinental ballistic (ICBM) and similar missiles.</t>
  </si>
  <si>
    <t>FfnCode_aircraftManufac</t>
  </si>
  <si>
    <t>The routine maintenance and/or repair of aircraft and their engines.</t>
  </si>
  <si>
    <t>FfnCode_aircraftRepair</t>
  </si>
  <si>
    <t>amusement</t>
  </si>
  <si>
    <t>Amusement</t>
  </si>
  <si>
    <t>A place (for example: a park or a gaming arcade) that is used for organized amusement and/or recreation other than through sporting events or, usually, performances.</t>
  </si>
  <si>
    <t>It may include a variety of attractions (for example: mechanical rides, water rides, electronic games, or theme exhibits) and dining facilities (for example: food and beverage vending or picnic grounds).</t>
  </si>
  <si>
    <t>FfnCode_amusement</t>
  </si>
  <si>
    <t>animalBoarding</t>
  </si>
  <si>
    <t>Animal Boarding</t>
  </si>
  <si>
    <t>A location at which pets (for example: dogs or cats) may be temporarily housed.</t>
  </si>
  <si>
    <t>May also provide other services, for example: breeding, grooming, obedience training or veterinary care.</t>
  </si>
  <si>
    <t>FfnCode_animalBoarding</t>
  </si>
  <si>
    <t>animalFeedManufac</t>
  </si>
  <si>
    <t>Animal Feed Manufacture</t>
  </si>
  <si>
    <t>The manufacture of prepared animal feeds.</t>
  </si>
  <si>
    <t>Includes, for example: prepared feeds for pets (for example: dogs, cats, birds, or fish); prepared feeds for farm animals, including animal feed concentrated and feed supplements; preparation of unmixed (single) feeds for farm animals; and the treatment of slaughter waste to produce animal feeds.</t>
  </si>
  <si>
    <t>FfnCode_animalFeedManufac</t>
  </si>
  <si>
    <t>apparelManufac</t>
  </si>
  <si>
    <t>Apparel Manufacture</t>
  </si>
  <si>
    <t>The tailoring (ready-to-wear or made-to-measure) in all materials (for example: leather, fabric, or knitted and crocheted fabrics) of all items of clothing (for example: outerwear or underwear; for men, women or children; for work, city or casual use) and accessories.</t>
  </si>
  <si>
    <t>The material used may be coated, impregnated or rubberized. Also included are headgear of fur skins.</t>
  </si>
  <si>
    <t>FfnCode_apparelManufac</t>
  </si>
  <si>
    <t>aquaculture</t>
  </si>
  <si>
    <t>Aquaculture</t>
  </si>
  <si>
    <t>The production process involving the culturing or farming (including harvesting) of aquatic organisms (for example: fish, molluscs, crustaceans, plants, crocodiles, alligators or amphibians) using techniques designed to increase the production of the organisms in question beyond the natural capacity of the environment (for example: regular stocking, feeding and protection from predators).</t>
  </si>
  <si>
    <t>Aquafarming</t>
  </si>
  <si>
    <t>FfnCode_aquaculture</t>
  </si>
  <si>
    <t>aquarium</t>
  </si>
  <si>
    <t>Aquarium</t>
  </si>
  <si>
    <t>Activities associated with the management and (often) public display of aquatic plants and animals (usually fish, and sometimes invertebrates, as well as amphibians, marine mammals, and reptiles) that are kept alive for purposes of observation and study in artificial ponds or tanks (usually with transparent sides).</t>
  </si>
  <si>
    <t>FfnCode_aquarium</t>
  </si>
  <si>
    <t>architectureConsulting</t>
  </si>
  <si>
    <t>Architecture Consulting</t>
  </si>
  <si>
    <t>The provision of architectural consulting services (for example: building design and drafting, town and city planning, or landscape architecture).</t>
  </si>
  <si>
    <t>FfnCode_architectureConsulting</t>
  </si>
  <si>
    <t>armory</t>
  </si>
  <si>
    <t>Armory</t>
  </si>
  <si>
    <t>The operation of storage facilities (for example: a depot) for military equipment, especially including weapons and/or ammunition.</t>
  </si>
  <si>
    <t>The facility usually segregates weapons from their ammunition, is carefully guarded, and may be housed within a larger facility (for example: a building).</t>
  </si>
  <si>
    <t>FfnCode_armory</t>
  </si>
  <si>
    <t>A public hall, often of a somewhat austere nature, that is used by members of a community for civic, often educational, purposes.</t>
  </si>
  <si>
    <t>May also be used to host a variety of social and/or cultural events including live performances and motion pictures.</t>
  </si>
  <si>
    <t>FfnCode_auditorium</t>
  </si>
  <si>
    <t>baking</t>
  </si>
  <si>
    <t>Baking</t>
  </si>
  <si>
    <t>The manufacture of fresh, frozen or dry bakery products (for example: bread, pies, crackers or pancakes).</t>
  </si>
  <si>
    <t>Includes, for example, the manufacture of: bread and rolls; fresh pastry, cakes, pies, and tarts; rusks, biscuits and other 'dry' bakery products; preserved pastry goods and cakes; snack products (for example: cookies, crackers, or pretzels), whether sweet or salted; tortillas; and frozen bakery products (for example: pancakes, waffles, or rolls).</t>
  </si>
  <si>
    <t>FfnCode_baking</t>
  </si>
  <si>
    <t>banquetHall</t>
  </si>
  <si>
    <t>Banquet Hall</t>
  </si>
  <si>
    <t>The activity of hosting public and/or private business and social events centered on the consumption of food and drink while siting at tables, in which persons are gathered for some common purpose (for example: a wedding reception or an awards ceremony).</t>
  </si>
  <si>
    <t>Usually held in a building that includes kitchen facilities for on-premises food preparation and open room(s) with many tables.</t>
  </si>
  <si>
    <t>FfnCode_banquetHall</t>
  </si>
  <si>
    <t>The activity of providing alcholic refreshment services to customers, whether they are served while individually seated or together at a counter (a 'bar').</t>
  </si>
  <si>
    <t>It usually has different hours from a restaurant, may have entertainment (for example: live music and/or other 'theater' type activities), and may serve light meals.</t>
  </si>
  <si>
    <t>Pub, Public House</t>
  </si>
  <si>
    <t>FfnCode_bar</t>
  </si>
  <si>
    <t>beautyTreatment</t>
  </si>
  <si>
    <t>Beauty Treatment</t>
  </si>
  <si>
    <t>The enhancement of apparent personal beauty through a variety of hair (for example: washing, trimming and cutting, setting, dyeing, tinting, waving, or straightening), skin (for example: facial massage or the application of make-up) and/or nail care (for example: manicure or pedicure) services.</t>
  </si>
  <si>
    <t>May take place at a 'beauty salon', where beauty products may also be purchased.</t>
  </si>
  <si>
    <t>FfnCode_beautyTreatment</t>
  </si>
  <si>
    <t>botanZooReserveActivities</t>
  </si>
  <si>
    <t>Botanical and/or Zoological Reserve Activities</t>
  </si>
  <si>
    <t>Activities associated with the management and maintenance of botanical and/or zoological reserves, whether specially constructed (for example: a zoological garden) or a naturally occurring (for example: a park or nature reserve).</t>
  </si>
  <si>
    <t>FfnCode_botanZooReserveActivities</t>
  </si>
  <si>
    <t>branchTelephoneExchange</t>
  </si>
  <si>
    <t>Branch Telephone Exchange</t>
  </si>
  <si>
    <t>A local, usually private, telephone switch that provides circuit-switching within an organization (for example: for an office or campus).</t>
  </si>
  <si>
    <t>Evolved from the manual switchboard (operated by a person plugging cables into sockets and termed a 'private manual branch exchange'), internal calls are routed locally, sharing a limited set of outside lines to the main telephone exchange (central office) operated by the telephone company. Outgoing calls are made by dialing 9 (or 0 in some systems) followed by the external number; an outgoing trunk line is automatically selected upon which to complete the call.</t>
  </si>
  <si>
    <t>Private Branch Exchange (PBX)</t>
  </si>
  <si>
    <t>FfnCode_branchTelephoneExchange</t>
  </si>
  <si>
    <t>brewing</t>
  </si>
  <si>
    <t>Brewing</t>
  </si>
  <si>
    <t>The manufacture of malt liquors (for example: beer or ale), malt, and related malt products.</t>
  </si>
  <si>
    <t>Includes, for example, the manufacture of malt liquors (for example: beer, ale, porter or stout) and malt. It also includes the manufacture of low alcohol or non-alcoholic beer.</t>
  </si>
  <si>
    <t>FfnCode_brewing</t>
  </si>
  <si>
    <t>businessManagement</t>
  </si>
  <si>
    <t>Business Management</t>
  </si>
  <si>
    <t>The provision of advice and assistance to businesses and other organizations on management issues.</t>
  </si>
  <si>
    <t>Includes, for example: strategic and organizational planning; financial planning and budgeting; marketing objectives and policies; human resource policies, practices, and planning; production scheduling; and control planning. It also includes the overseeing and managing of other units of the same company or enterprise, that is the activities of head offices.</t>
  </si>
  <si>
    <t>FfnCode_businessManagement</t>
  </si>
  <si>
    <t>callCentre</t>
  </si>
  <si>
    <t>Call Centre</t>
  </si>
  <si>
    <t>A centralized office used for the purpose of receiving (termed an 'inbound call centre') and transmitting (termed an 'outbound call centre') a large volume of requests by telephone.</t>
  </si>
  <si>
    <t>The activities of inbound call centres include: answering calls from clients by using human operators, automatic call distribution, computer telephone integration, interactive voice response systems or similar methods to receive orders, provide product information, deal with customer requests for assistance or address customer complaints. The activities of outbound call centres include: using similar methods to sell or market goods or services to potential customers, undertake market research or public opinion polling and similar activities for clients.</t>
  </si>
  <si>
    <t>FfnCode_callCentre</t>
  </si>
  <si>
    <t>canalTransport</t>
  </si>
  <si>
    <t>Canal Transport</t>
  </si>
  <si>
    <t>The transport of passengers and/or freight on canals involving vessels that are typically specialized for that purpose.</t>
  </si>
  <si>
    <t>FfnCode_canalTransport</t>
  </si>
  <si>
    <t>capitol</t>
  </si>
  <si>
    <t>Capitol</t>
  </si>
  <si>
    <t>A centre housing the executive and/or legislative branches of a government.</t>
  </si>
  <si>
    <t>Statehouse</t>
  </si>
  <si>
    <t>FfnCode_capitol</t>
  </si>
  <si>
    <t>The loading and/or unloading of goods of all types irrespective of the mode of transport used for transportation.</t>
  </si>
  <si>
    <t>Includes, for example: luggage handling at aerodromes; bulk and break-bulk cargo operations at marine terminals; and petroleum transfer between pipelines and vessels.</t>
  </si>
  <si>
    <t>FfnCode_cargoHandling</t>
  </si>
  <si>
    <t>cbrneCivilianSupport</t>
  </si>
  <si>
    <t>CBRNE Civilian Support</t>
  </si>
  <si>
    <t>The provision of military assistance to civilian authorities during incidents involving chemical, biological, radiological, nuclear, and/or explosive hazards.</t>
  </si>
  <si>
    <t>Assistance includes, for example: the identification of chemical, biological, radiological, or nuclear substances; assessment of the incident situation; and advising the civilian incident commander on potential courses of action.</t>
  </si>
  <si>
    <t>FfnCode_cbrneCivilianSupport</t>
  </si>
  <si>
    <t>cementMill</t>
  </si>
  <si>
    <t>Cement Mill</t>
  </si>
  <si>
    <t>The manufacture of cement, lime and/or plaster.</t>
  </si>
  <si>
    <t>Includes, for example, the manufacture of: clinkers and hydraulic cements, including Portland, aluminous cement, slag cement and superphosphate cements; quicklime, slaked lime and hydraulic lime; plasters of calcined gypsum or calcined sulphate; and calcined dolomite.</t>
  </si>
  <si>
    <t>FfnCode_cementMill</t>
  </si>
  <si>
    <t>cementProdManufac</t>
  </si>
  <si>
    <t>Cement Product Manufacture</t>
  </si>
  <si>
    <t>The manufacture of articles of concrete, cement and/or plaster.</t>
  </si>
  <si>
    <t>Includes, for example, the manufacture of: precast concrete, cement or artificial stone articles for use in construction (for example: tiles, flagstones, bricks, boards, sheets, panels, pipes, or posts); prefabricated structural components for building or civil engineering of cement, concrete or artificial stone; plaster articles for use in construction (for example: boards, sheets, or panels); building materials of vegetable substances (for example: wood wool, straw, reeds, or rushes) agglomerated with cement, plaster or other mineral binder; articles of asbestos-cement or cellulose fibre-cement (for example: corrugated sheets, other sheets, panels, tiles, tubes, pipes, reservoirs, troughs, basins, sinks, jars, furniture, or window frames); other articles of concrete, plaster, cement or artificial stone (for example: statuary, furniture, bas- and haut-reliefs, vases, or flowerpots); powdered mortars; and ready-mix and dry-mix concrete and mortars.</t>
  </si>
  <si>
    <t>FfnCode_cementProdManufac</t>
  </si>
  <si>
    <t>centralBanking</t>
  </si>
  <si>
    <t>Central Banking</t>
  </si>
  <si>
    <t>The provision of governmental banking services including supervisory monetary policy for a country or a group of member states (for example: the European Union).</t>
  </si>
  <si>
    <t>The primary responsibility is to maintain the stability of the national currency and money supply, but more active duties include controlling subsidized loan interest rates, and acting as a 'bailout' lender of last resort to the banking sector during times of financial crisis. There may also be supervisory powers to ensure that banks and other financial institutions do not behave recklessly or fraudulently.</t>
  </si>
  <si>
    <t>Monetary Authority, Reserve Bank</t>
  </si>
  <si>
    <t>FfnCode_centralBanking</t>
  </si>
  <si>
    <t>ceramicProdManufac</t>
  </si>
  <si>
    <t>Ceramic Product Manufacture</t>
  </si>
  <si>
    <t>The manufacture of other porcelain and ceramic products (for example: electrical insulators, jars, or laboratory items).</t>
  </si>
  <si>
    <t>Includes, for example, the manufacture of: ceramic tableware and other domestic or toilet articles; statuettes and other ornamental ceramic articles; electrical insulators and insulating fittings of ceramics; ceramic laboratory, chemical and industrial products; ceramic pots, jars and similar articles of a kind used for conveyance or packing of goods; and ceramic furniture.</t>
  </si>
  <si>
    <t>FfnCode_ceramicProdManufac</t>
  </si>
  <si>
    <t>chemicalManufac</t>
  </si>
  <si>
    <t>Chemical Manufacture</t>
  </si>
  <si>
    <t>The transformation of organic and inorganic raw materials by a chemical process and the formation of either basic manufacturing chemicals or products.</t>
  </si>
  <si>
    <t>Basic chemicals (for example: basic chemicals, fertilizer and nitrogen compounds, plastics and synthetic rubber in primary forms) may be distinguished from the production of intermediate and end products produced by further processing of basic chemicals.</t>
  </si>
  <si>
    <t>FfnCode_chemicalManufac</t>
  </si>
  <si>
    <t>chemicalMining</t>
  </si>
  <si>
    <t>Chemical Mining</t>
  </si>
  <si>
    <t>The mining and quarrying of chemicals (for example: potassium salts or native sulphur) or mineral fertilizers (for example: guano).</t>
  </si>
  <si>
    <t>Includes, for example: mining of natural phosphates and natural potassium salts; mining of native sulphur; extraction and preparation of pyrites and pyrrhotite, except roasting; mining of natural barium sulphate and carbonate (barytes and witherite), natural borates, natural magnesium sulphates (kieserite); mining of earth colours, fluorspar and other minerals valued chiefly as a source of chemicals; and guano mining.</t>
  </si>
  <si>
    <t>FfnCode_chemicalMining</t>
  </si>
  <si>
    <t>cinema</t>
  </si>
  <si>
    <t>Cinema</t>
  </si>
  <si>
    <t>A theatre solely for the presentation of motion pictures.</t>
  </si>
  <si>
    <t>Cineplex, Motion Picture Theatre, Movie Theatre</t>
  </si>
  <si>
    <t>FfnCode_cinema</t>
  </si>
  <si>
    <t>civilActivities</t>
  </si>
  <si>
    <t>Civil Activities</t>
  </si>
  <si>
    <t>The performance of one or more non-defence functions of government (for example: executive, legislative or judicial).</t>
  </si>
  <si>
    <t>FfnCode_civilActivities</t>
  </si>
  <si>
    <t>civilIntelligence</t>
  </si>
  <si>
    <t>Civil Intelligence</t>
  </si>
  <si>
    <t>The performance of the integration of relevant law enforcement and intelligence information, analysis of its implications for civil safety and security, and the coordination of security measures in order to reduce threats in local communities.</t>
  </si>
  <si>
    <t>Analysts from the national government may work side-by-side with subnational and local authorities at 'fusion centers' located at regional sites, facilitating the two-way flow of timely, accurate, actionable information on all types of hazards. Such operations provide critical sources of unique law enforcement and threat information, facilitate sharing information across jurisdictions and function, and provide a conduit between individuals on the ground protecting their local communities and appropriate subnational and national agencies.</t>
  </si>
  <si>
    <t>FfnCode_civilIntelligence</t>
  </si>
  <si>
    <t>clayProdManufac</t>
  </si>
  <si>
    <t>Clay Product Manufacture</t>
  </si>
  <si>
    <t>The manufacture of clay building materials (for example: roofing tiles, flooring blocks, or sanitary fixtures).</t>
  </si>
  <si>
    <t>Includes, for example, the manufacture of: non-refractory ceramic hearth or wall tiles; non-refractory ceramic flags and paving; structural non-refractory clay building materials (for example: ceramic bricks, roofing tiles, chimney pots, pipes, or conduits); flooring blocks in baked clay; and ceramic sanitary fixtures.</t>
  </si>
  <si>
    <t>FfnCode_clayProdManufac</t>
  </si>
  <si>
    <t>club</t>
  </si>
  <si>
    <t>Club</t>
  </si>
  <si>
    <t>An association or society of persons of like sympathies, of a common vocation, or otherwise mutually acceptable, meeting periodically (under certain regulations) for social intercourse and cooperation.</t>
  </si>
  <si>
    <t>FfnCode_club</t>
  </si>
  <si>
    <t>cokeManufac</t>
  </si>
  <si>
    <t>Coke Manufacture</t>
  </si>
  <si>
    <t>The manufacture of coke oven products (for example: coke and semi-coke, pitch and pitch coke, coke oven gas, or crude coal and lignite tars).</t>
  </si>
  <si>
    <t>Also includes the related activities of coke ovens operation and coke agglomeration.</t>
  </si>
  <si>
    <t>FfnCode_cokeManufac</t>
  </si>
  <si>
    <t>commerce</t>
  </si>
  <si>
    <t>Commerce</t>
  </si>
  <si>
    <t>Activities involving the exchange of merchandise (for example: wholesale or retail trade) or services (for example: broadcasting, financial, information, insurance, private education, professional or publishing services).</t>
  </si>
  <si>
    <t>FfnCode_commerce</t>
  </si>
  <si>
    <t>communalBath</t>
  </si>
  <si>
    <t>Communal Bath</t>
  </si>
  <si>
    <t>A site providing bathing activities that are participated in, shared, or used in common by members of a group or community.</t>
  </si>
  <si>
    <t>Includes the structure(s) and associated equipment used in the bathing activities. Typically, separate areas are provided at the site for each gender. At some sites, the customers may be required to pay in order to use the facilities. Often a natural, hot-water spring is sought out as the site for a communal bath and advertised as an enhancement to draw more customers.</t>
  </si>
  <si>
    <t>FfnCode_communalBath</t>
  </si>
  <si>
    <t>A meeting place used by members of a community for social, cultural, and/or recreational (for example: exercise or minor sports competition) purposes.</t>
  </si>
  <si>
    <t>FfnCode_communityCentre</t>
  </si>
  <si>
    <t>confectionManufac</t>
  </si>
  <si>
    <t>Confection Manufacture</t>
  </si>
  <si>
    <t>The manufacture of cocoa, chocolate and sugar confectionery (for example: caramels or chewing gum).</t>
  </si>
  <si>
    <t>Includes, for example, the manufacture of: cocoa, cocoa butter, cocoa fat, and cocoa oil; chocolate and chocolate confectionery; sugar confectionery (for example: caramels, cachous, nougats, fondant, or white chocolate); chewing gum; and confectionery lozenges and pastilles. It also includes the preserving in sugar of fruit, nuts, fruit peels and other parts of plants.</t>
  </si>
  <si>
    <t>FfnCode_confectionManufac</t>
  </si>
  <si>
    <t>consul</t>
  </si>
  <si>
    <t>Consul</t>
  </si>
  <si>
    <t>A representative of a sovereign State, posted to a foreign territory, in charge of matters outside inter-governmental diplomacy (for example: related to individual people and/or businesses).</t>
  </si>
  <si>
    <t>The offices of consuls (known as consulates) are more numerous than diplomatic missions, the latter being posted only in a foreign capital, while consular ones are also posted in various cities throughout the country, especially centers of economic activity, or wherever there is a significant population of its citizens (expatriates) in residence. Consulates are subordinate posts of their State's diplomatic mission.</t>
  </si>
  <si>
    <t>FfnCode_consul</t>
  </si>
  <si>
    <t>convenienceStore</t>
  </si>
  <si>
    <t>Convenience Store</t>
  </si>
  <si>
    <t>The limited retail sale of food, beverages, and small personal items (for example: hygiene products, pharmaceuticals, tobacco products).</t>
  </si>
  <si>
    <t>FfnCode_convenienceStore</t>
  </si>
  <si>
    <t>conventionCentre</t>
  </si>
  <si>
    <t>Convention Centre</t>
  </si>
  <si>
    <t>The activity of hosting public and/or private business and social events in which persons are gathered for some common purpose (for example: a trade show).</t>
  </si>
  <si>
    <t>Often held in a building designed for that purpose that consists of one or more large, sometime cavernous, open rooms. Refreshments may be available but facilities for the serving of food are generally not available except through off-premises catering services.</t>
  </si>
  <si>
    <t>FfnCode_conventionCentre</t>
  </si>
  <si>
    <t>cooling</t>
  </si>
  <si>
    <t>Cooling</t>
  </si>
  <si>
    <t>Generation of chilled liquid and/or gas for cooling purposes.</t>
  </si>
  <si>
    <t>FfnCode_cooling</t>
  </si>
  <si>
    <t>courierActivities</t>
  </si>
  <si>
    <t>Courier Activities</t>
  </si>
  <si>
    <t>The commercial pickup, sorting, transport and delivery (domestic or international) of letter-post and (mail-type) parcels and packages by firms not operating under a universal service obligation.</t>
  </si>
  <si>
    <t>One or more modes of transport may be involved and the activity may be carried out with either self-owned (private) transport or via public transport.</t>
  </si>
  <si>
    <t>FfnCode_courierActivities</t>
  </si>
  <si>
    <t>cremation</t>
  </si>
  <si>
    <t>Cremation</t>
  </si>
  <si>
    <t>The burning of corpses as a means of disposal.</t>
  </si>
  <si>
    <t>It may include the processing or the pulverization of bone fragments. The remains may, for example, be scattered (for example: over the ocean), displayed in an urn, or buried.</t>
  </si>
  <si>
    <t>FfnCode_cremation</t>
  </si>
  <si>
    <t>cropBaling</t>
  </si>
  <si>
    <t>Crop Baling</t>
  </si>
  <si>
    <t>The preparation of agricultural products for shipment by baling.</t>
  </si>
  <si>
    <t>FfnCode_cropBaling</t>
  </si>
  <si>
    <t>custodialService</t>
  </si>
  <si>
    <t>Custodial Service</t>
  </si>
  <si>
    <t>The general (non-specialized) cleaning activities of all types of buildings (for example: offices, houses or apartments, factories, stores, or institutions) and other business and professional premises and multi-unit residential buildings.</t>
  </si>
  <si>
    <t>These activities are mostly interior cleaning although they may include the cleaning of associated exterior areas such as windows or passageways.</t>
  </si>
  <si>
    <t>FfnCode_custodialService</t>
  </si>
  <si>
    <t>FfnCode_customsCheckpoint</t>
  </si>
  <si>
    <t>dairying</t>
  </si>
  <si>
    <t>Dairying</t>
  </si>
  <si>
    <t>The manufacture of dairy products (for example: milk, butter, cheese, or ice cream).</t>
  </si>
  <si>
    <t>Includes, for example, the manufacture of: fresh liquid milk (pasteurized, sterilized, homogenized and/or ultra heat treated); milk-based drinks; cream from fresh liquid milk (pasteurized, sterilized, homogenized); dried or concentrated milk whether or not sweetened; milk or cream in solid form; butter; yoghurt; cheese and curd; whey; casein or lactose; and ice cream and other edible ices such as sorbet.</t>
  </si>
  <si>
    <t>FfnCode_dairying</t>
  </si>
  <si>
    <t>dayCare</t>
  </si>
  <si>
    <t>Day Care</t>
  </si>
  <si>
    <t>The supervision and care of young children during the day, by a person other than the parents or legal guardians of the children and often someone outside the child's immediate family, especially while their mothers are at work.</t>
  </si>
  <si>
    <t>Crèche</t>
  </si>
  <si>
    <t>FfnCode_dayCare</t>
  </si>
  <si>
    <t>defenceActivities</t>
  </si>
  <si>
    <t>Defence Activities</t>
  </si>
  <si>
    <t>The administration, supervision and/or operation of military defence affairs and land, sea, air and space defence forces.</t>
  </si>
  <si>
    <t>FfnCode_defenceActivities</t>
  </si>
  <si>
    <t>dependentsHousing</t>
  </si>
  <si>
    <t>Dependents Housing</t>
  </si>
  <si>
    <t>An inexpensive long-term (for example: monthly) accommodation for military service members that are accompanied by their families.</t>
  </si>
  <si>
    <t>It is usually located on a protected military installation and accommodations may also be available for government contractor personnel. Similar considerations may apply to others in government service that are stationed overseas (for example: diplomatic personnel).</t>
  </si>
  <si>
    <t>FfnCode_dependentsHousing</t>
  </si>
  <si>
    <t>diningHall</t>
  </si>
  <si>
    <t>Dining Hall</t>
  </si>
  <si>
    <t>The activity of providing food services in which there is no table service and instead there are food-serving counters or stalls where customers take the food they require as they walk along, place it on a tray, and take the tray to their table.</t>
  </si>
  <si>
    <t>Dining halls are often used in institutional settings (for example: schools, hospitals, museums, residence halls, and military bases). Payment may be either at a flat-rate on entrance (for example: a buffet) or on a per-item basis at check-out (for example: a cafeteria).</t>
  </si>
  <si>
    <t>Cafeteria, Chow Hall, Mess Hall, Dining Facility, Refectory, Galley</t>
  </si>
  <si>
    <t>FfnCode_diningHall</t>
  </si>
  <si>
    <t>diplomacy</t>
  </si>
  <si>
    <t>Diplomacy</t>
  </si>
  <si>
    <t>The art and practice of conducting negotiations between accredited persons representing groups or States.</t>
  </si>
  <si>
    <t>It usually refers to international diplomacy, the conduct of international relations (for example: peace-making, culture, economics, trade or war) through the intercession of professional diplomats. International treaties are usually negotiated by diplomats prior to endorsement by national politicians.</t>
  </si>
  <si>
    <t>FfnCode_diplomacy</t>
  </si>
  <si>
    <t>diplomaticMission</t>
  </si>
  <si>
    <t>Diplomatic Mission</t>
  </si>
  <si>
    <t>A group of people from one State present in another State in order to represent the sending State in the receiving State.</t>
  </si>
  <si>
    <t>It usually denotes a permanent mission, namely the office of a State's diplomatic representatives in the capital city of another State. Under international law, diplomatic missions enjoy an extraterritorial status and thus, although remaining part of the host (receiving) State's territory, they are accorded diplomatic immunity (for example: are exempt from local law) and in almost all respects treated as being part of the territory of the home (sending) State.</t>
  </si>
  <si>
    <t>FfnCode_diplomaticMission</t>
  </si>
  <si>
    <t>An inexpensive long-term (for example: monthly) accommodation with one or more communal sleeping areas and shared bathrooms.</t>
  </si>
  <si>
    <t>Commonly located at educational facilities (for example: a college or university) where students board during the academic season. Two or more students may share a sleeping room, and a cafeteria is usually located in the same building or nearby. May also be used to house military personnel either dormitory style in separate rooms with one to four roommates or in an open-bay style with a dozen or more service members bunking together in a single space.</t>
  </si>
  <si>
    <t xml:space="preserve">Barrack(s) </t>
  </si>
  <si>
    <t>FfnCode_dormitory</t>
  </si>
  <si>
    <t>drilling</t>
  </si>
  <si>
    <t>Drilling</t>
  </si>
  <si>
    <t>The drilling of boreholes in the search for extractable mineral resources (for example: crude petroleum or natural gas) and/or subsequent exploitation of those resources.</t>
  </si>
  <si>
    <t>FfnCode_drilling</t>
  </si>
  <si>
    <t>education</t>
  </si>
  <si>
    <t>Education</t>
  </si>
  <si>
    <t>Education at any level or for any profession, oral or written as well as by radio and television or other means of communication.</t>
  </si>
  <si>
    <t>It includes education by the different institutions in the regular school system at its different levels as well as adult education and literacy programmes.Also included are military schools and academies, as well as prison schools, at their respective levels.</t>
  </si>
  <si>
    <t>FfnCode_education</t>
  </si>
  <si>
    <t>electricalEquipManufac</t>
  </si>
  <si>
    <t>Electrical Equipment Manufacture</t>
  </si>
  <si>
    <t>The manufacture of products that generate, distribute and/or use electrical power.</t>
  </si>
  <si>
    <t>It includes the manufacture of electrical lighting, signalling equipment and electric household appliances. It excludes the manufacture of electronic products.</t>
  </si>
  <si>
    <t>FfnCode_electricalEquipManufac</t>
  </si>
  <si>
    <t>electricalEquipRepair</t>
  </si>
  <si>
    <t>Electrical Equipment Repair</t>
  </si>
  <si>
    <t>The repair and maintenance of electrical equipment (goods that generate, distribute and/or use electrical power) including specialized repair with the aim to restore the electrical equipment to working order.</t>
  </si>
  <si>
    <t>The provision of general or routine maintenance (servicing) on such equipment to ensure they work efficiently and to prevent breakdown and unnecessary repairs is included. Equipment included, for example, are: power, distribution, and specialty transformers; electric motors, generators, and motor generator sets; switchgear and switchboard apparatus; relays and industrial controls; primary and storage batteries; electric lighting equipment; current-carrying wiring devices and non current-carrying wiring devices for wiring electrical circuits.</t>
  </si>
  <si>
    <t>FfnCode_electricalEquipRepair</t>
  </si>
  <si>
    <t>electronicEquipManufac</t>
  </si>
  <si>
    <t>Electronic Equipment Manufacture</t>
  </si>
  <si>
    <t>The manufacture of computers, computer peripherals, communications equipment, and similar electronic products, as well as the manufacture of components for such products.</t>
  </si>
  <si>
    <t>It also includes the manufacture of: consumer electronics; measuring, testing, navigating, and control equipment; irradiation, electromedical and electrotherapeutic equipment; optical instruments and equipment, and the manufacture of magnetic and optical media. Production processes are characterized by the design and use of integrated circuits and the application of highly specialized miniaturization technologies.</t>
  </si>
  <si>
    <t>FfnCode_electronicEquipManufac</t>
  </si>
  <si>
    <t>electronicEquipRepair</t>
  </si>
  <si>
    <t>Electronic Equipment Repair</t>
  </si>
  <si>
    <t>The repair and maintenance of electronic and optical equipment including specialized repair with the aim to restore the electronic and optical equipment to working order.</t>
  </si>
  <si>
    <t>The provision of general or routine maintenance (servicing) on such equipment to ensure they work efficiently and to prevent breakdown and unnecessary repairs is included. Equipment included, for example, are: consumer electronics, measuring, testing, navigating, and control equipment; irradiation, electromedical and electrotherapeutic equipment; and optical instruments and equipment.</t>
  </si>
  <si>
    <t>FfnCode_electronicEquipRepair</t>
  </si>
  <si>
    <t>embassy</t>
  </si>
  <si>
    <t>Embassy</t>
  </si>
  <si>
    <t>A diplomatic mission headed by an ambassador, a diplomatic official accredited to a foreign sovereign or government, or to an international organization, to serve as the official representative of their own State.</t>
  </si>
  <si>
    <t>In common usage an ambassador is the ranking plenipotentiary minister (representing their head of state) stationed in a foreign capital. The host State typically allows the ambassador control of specific territory (also called an embassy). The term 'embassy' may also be applied to the office of the ambassador.</t>
  </si>
  <si>
    <t>High Commission, Legation</t>
  </si>
  <si>
    <t>FfnCode_embassy</t>
  </si>
  <si>
    <t>emergencyOperations</t>
  </si>
  <si>
    <t>Emergency Operations</t>
  </si>
  <si>
    <t>The coordination of information and resources to support incident management actions taken during an emergency period to protect life and property, care for the people affected, and temporarily restore essential community services.</t>
  </si>
  <si>
    <t>Emergency operations may be managed at a temporary facility or may be located in a more central or permanently established facility, perhaps at a higher level of organization within a jurisdiction. Emergency operations may be organized by major functional disciplines (for example: fire, law enforcement, and medical services), by jurisdiction (for example: national, subnational, regional, local), or some combination thereof.</t>
  </si>
  <si>
    <t>FfnCode_emergencyOperations</t>
  </si>
  <si>
    <t>emergencyReliefServices</t>
  </si>
  <si>
    <t>Emergency Relief Services</t>
  </si>
  <si>
    <t>The provision of emergency assistance in the form of food, safe drinking water, sanitation and shelter, as well as registration and inquiry services.</t>
  </si>
  <si>
    <t>For example, many of the activities of the International Red Cross and Red Crescent movement. and their affiliated National organizations.</t>
  </si>
  <si>
    <t>FfnCode_emergencyReliefServices</t>
  </si>
  <si>
    <t>A temporary shelter for people to live when they cannot live in their previous residence (for example: as a result of a natural disaster).</t>
  </si>
  <si>
    <t>An emergency shelter typically specializes in people fleeing a specific type of situation (for example: battered women, victims of domestic violence, or victims of sexual abuse). People staying in emergency shelters generally stay all day, except for work, school, or errands.Temporary emergency shelters are often set up by non-profit organizations like the Red Cross and Red Crescent, or governmental emergency management departments, in response to natural disasters, such as a flood or earthquake. They tend to use tents or other temporary structures, or are in buildings usually used for another purpose, such as a church or school.</t>
  </si>
  <si>
    <t>FfnCode_emergencyShelter</t>
  </si>
  <si>
    <t>emergencyYouthShelter</t>
  </si>
  <si>
    <t>Emergency Youth Shelter</t>
  </si>
  <si>
    <t>The provision of shelter and support to children and youth who have run away from or have been pushed out of their homes, or who are acting out and at risk for abuse pending return to their own families or suitable alternative placement.</t>
  </si>
  <si>
    <t>Such activities usually provide in-house individual, group and family counseling and the full range of other secondary services related to runaways including referral to appropriate resources. They also include support to young people who need help to become independent and live on their own, to take care of their health and/or studies, and to those who have tried living on their own but have yet to make a success of it.</t>
  </si>
  <si>
    <t>FfnCode_emergencyYouthShelter</t>
  </si>
  <si>
    <t>employmentAgency</t>
  </si>
  <si>
    <t>Employment Agency</t>
  </si>
  <si>
    <t>The activities of listing employment vacancies and referring or placing applicants for employment, where the individuals referred or placed are not employees of the employment agencies, supplying workers to clients' businesses for limited periods of time to supplement the working force of the client, and the activities of providing human resources and human resource management services for others on a contract or fee basis.</t>
  </si>
  <si>
    <t>FfnCode_employmentAgency</t>
  </si>
  <si>
    <t>engineeringDesign</t>
  </si>
  <si>
    <t>Engineering Design</t>
  </si>
  <si>
    <t>The provision of engineering design and consulting services (for example: industrial plant design).</t>
  </si>
  <si>
    <t>Includes projects involving, for example: civil engineering; hydraulic engineering; traffic engineering; electrical and electronic engineering; mining engineering; chemical engineering; mechanical, industrial and systems engineering; safety engineering; and water management.</t>
  </si>
  <si>
    <t>FfnCode_engineeringDesign</t>
  </si>
  <si>
    <t>executiveActivities</t>
  </si>
  <si>
    <t>Executive Activities</t>
  </si>
  <si>
    <t>The performance of one or more administrative functions of government (for example: daily administration of the state bureaucracy, deciding how to enforce the law, determining military policy, or overseeing ambassadors and determining foreign policy) at any jurisdictional level.</t>
  </si>
  <si>
    <t>FfnCode_executiveActivities</t>
  </si>
  <si>
    <t>fabricMetalProdManufac</t>
  </si>
  <si>
    <t>Fabricated Metal Product Manufacture</t>
  </si>
  <si>
    <t>The manufacture of fabricated metal products for a variety of uses (for example: household or industrial) and including associated metalworking service activities.</t>
  </si>
  <si>
    <t>Includes, for example, the manufacture of: metal hand tools and general hardware; cans and buckets; nails, bolts and nuts; metal household articles (for example: cutlery); metal fixtures; ships propellers and anchors; and assembled railway track fixtures. It also includes general activities for the treatment of metal (for example: forging or pressing, plating, coating, engraving, boring, polishing, or welding) that are typically carried out on a fee or contract basis.</t>
  </si>
  <si>
    <t>FfnCode_fabricMetalProdManufac</t>
  </si>
  <si>
    <t>fabricMetalProdRepair</t>
  </si>
  <si>
    <t>Fabricated Metal Product Repair</t>
  </si>
  <si>
    <t>The repair and maintenance of fabricated metal products including specialized repair with the aim to restore these metal products to working order.</t>
  </si>
  <si>
    <t>The provision of general or routine maintenance (servicing) on such products to ensure they work efficiently and to prevent breakdown and unnecessary repairs is included. Included, for example, is the: repair of metal tanks, reservoirs and containers; repair and maintenance for pipes and pipelines; mobile welding repair; repair of steel shipping drums; repair and maintenance of steam or other vapour generators; repair and maintenance of auxiliary plant for use with steam generators (for example: condensers, economizers, superheaters, steam collectors or accumulators); repair and maintenance of nuclear reactors, except isotope separators; repair and maintenance of parts for marine or power boilers; platework repair of central heating boilers and radiators; repair and maintenance of fire arms and ordnance (including repair of sporting and recreational guns); and repair and maintenance of materials handling equipment (for example: meal trolleys or shopping carts) for institutions.</t>
  </si>
  <si>
    <t>FfnCode_fabricMetalProdRepair</t>
  </si>
  <si>
    <t>financialMarketAdmin</t>
  </si>
  <si>
    <t>Financial Market Administration</t>
  </si>
  <si>
    <t>The operation and supervision of financial markets other than by public authorities (for example: commodity contracts exchanges, futures commodity contracts exchanges, securities exchanges, stock exchanges, or stock or commodity options exchanges).</t>
  </si>
  <si>
    <t>FfnCode_financialMarketAdmin</t>
  </si>
  <si>
    <t>financialServices</t>
  </si>
  <si>
    <t>Financial Services</t>
  </si>
  <si>
    <t>Activities involving the obtaining, holding, redistribution and/or management of funds and other assets of monetary value, including banking, investment, and insurance, and other than compulsory government-managed social security.</t>
  </si>
  <si>
    <t>For example, monetary intermediation, central banking, and retail banking (including savings banking, postal savings banking and credit unions).</t>
  </si>
  <si>
    <t>FfnCode_financialServices</t>
  </si>
  <si>
    <t>firefighting</t>
  </si>
  <si>
    <t>Firefighting</t>
  </si>
  <si>
    <t>The administration and operation of regular and auxiliary fire brigades in fire prevention and firefighting.</t>
  </si>
  <si>
    <t>May also include assistance in non-fire emergencies (for example: civic disasters, floods, or road accidents).</t>
  </si>
  <si>
    <t>FfnCode_firefighting</t>
  </si>
  <si>
    <t>Hunting, collecting and gathering activities directed at removing or collecting live wild aquatic organisms (predominantly fish, molluscs and crustaceans) including plants from the oceanic, coastal or inland waters for human consumption and other purposes by hand or more usually by various types of fishing gear such as nets, lines and stationary traps.</t>
  </si>
  <si>
    <t>Such activities can be conducted on the intertidal shoreline (for example: collection of molluscs such as mussels and oysters) or shore based netting, or from home-made dugouts or more commonly using commercially made boats in inshore, coastal waters or offshore waters. The aquatic resource being captured is usually common property resource irrespective of whether the harvest from this resource is undertaken with or without exploitation rights. Such activities also include fishing restocked water bodies.</t>
  </si>
  <si>
    <t>Capture Fishery</t>
  </si>
  <si>
    <t>FfnCode_fishing</t>
  </si>
  <si>
    <t>fitnessCentre</t>
  </si>
  <si>
    <t>Fitness Centre</t>
  </si>
  <si>
    <t>A place that is used for organized exercise to maintain physical fitness.</t>
  </si>
  <si>
    <t>It may include general exercise equipment (for example: lifting weights or a treadmill) and/or more specialized exercise facilities (for example: a swimming pool or a volleyball court) as well as support facilities (for example: showers and a locker room).</t>
  </si>
  <si>
    <t>FfnCode_fitnessCentre</t>
  </si>
  <si>
    <t>foodProcessing</t>
  </si>
  <si>
    <t>Food Processing</t>
  </si>
  <si>
    <t>The processing and preserving of foodstuffs (meat, seafood, fruit and vegetables).</t>
  </si>
  <si>
    <t>FfnCode_foodProcessing</t>
  </si>
  <si>
    <t>foodProductManufac</t>
  </si>
  <si>
    <t>Food Product Manufacture</t>
  </si>
  <si>
    <t>The processing of the products of agriculture, forestry and fishing into food for humans or animals, including the production of various intermediate products and byproducts that are not directly food products.</t>
  </si>
  <si>
    <t>Food products may be of greater or lesser value (for example: hides from slaughtering, or oilcake from oil production).</t>
  </si>
  <si>
    <t>FfnCode_foodProductManufac</t>
  </si>
  <si>
    <t>footwearManufac</t>
  </si>
  <si>
    <t>Footwear Manufacturing</t>
  </si>
  <si>
    <t>The manufacture of footwear for all purposes, of any material, by any process, including moulding.</t>
  </si>
  <si>
    <t>Also includes the manufacture of leather parts of footwear (for example: manufacture of uppers and parts of uppers, outer and inner soles, or heels) as well as the manufacture of gaiters, leggings and similar articles.</t>
  </si>
  <si>
    <t>FfnCode_footwearManufac</t>
  </si>
  <si>
    <t>forestWarden</t>
  </si>
  <si>
    <t>Forest Warden</t>
  </si>
  <si>
    <t>Manages and protects (for example: against fire) an area of forest and/or other natural region.</t>
  </si>
  <si>
    <t>Forest Ranger</t>
  </si>
  <si>
    <t>FfnCode_forestWarden</t>
  </si>
  <si>
    <t>forestryLogging</t>
  </si>
  <si>
    <t>Forestry and/or Logging</t>
  </si>
  <si>
    <t>The production of roundwood for the forest-based manufacturing industries as well as the extraction and gathering of wild growing non-wood forest products.</t>
  </si>
  <si>
    <t>Besides the production of timber, forestry activities result in products that undergo little processing, such as firewood, charcoal, wood chips and roundwood used in an unprocessed form (for example: as mine pit-props or for pulpwood). These activities can be carried out in natural or planted forests.</t>
  </si>
  <si>
    <t>FfnCode_forestryLogging</t>
  </si>
  <si>
    <t>foundry</t>
  </si>
  <si>
    <t>Foundry</t>
  </si>
  <si>
    <t>The manufacture of semi-finished products and various metal castings by a process of introducing molten metal into a mold, allowed it to solidify in the shape inside the mold, and then removing the mold.</t>
  </si>
  <si>
    <t>FfnCode_foundry</t>
  </si>
  <si>
    <t>fruitVegProcessing</t>
  </si>
  <si>
    <t>Fruit and/or Vegetable Processing</t>
  </si>
  <si>
    <t>The processing and preserving of fruit (for example: apples or oranges) and vegetables (for example: beans, maize, or potatos).</t>
  </si>
  <si>
    <t>Includes, for example: manufacture of food consisting chiefly of fruit or vegetables (except ready-made dishes in frozen or canned form); preserving of fruit, nuts or vegetables (for example: by freezing, drying, immersing in oil or in vinegar, or canning); manufacture of fruit or vegetable food products or juices; manufacture of jams, marmalades and table jellies; processing and preserving of potatos (for example: prepared frozen potatos, dehydrated mashed potatos, potato snacks, potato crisps, or potato flour and meal); roasting of nuts; and the manufacture of nut foods and pastes. It also includes, for example, the related activities of: production of concentrates from fresh fruits and vegetables; industrial peeling of potatoes; and the manufacture of perishable prepared foods of fruit and vegetables (for example: salads, peeled or cut vegetables, or tofu).</t>
  </si>
  <si>
    <t>FfnCode_fruitVegProcessing</t>
  </si>
  <si>
    <t>fundManagement</t>
  </si>
  <si>
    <t>Fund Management</t>
  </si>
  <si>
    <t>Financial portfolio and fund management activities on a fee or contract basis (for example: management of mutual funds, pension funds, or other investment funds).</t>
  </si>
  <si>
    <t>FfnCode_fundManagement</t>
  </si>
  <si>
    <t>funeralServices</t>
  </si>
  <si>
    <t>Funeral Services</t>
  </si>
  <si>
    <t>The preparation and disposal (for example: through burial or cremation) of corpses (for example: human or animal) and related activities.</t>
  </si>
  <si>
    <t>Typically includes: preparing the dead for burial or cremation (for example: embalming and morticians' services); providing burial or cremation services; rental of equipped space in funeral parlours; rental or sale of graves; and maintenance of graves and mausoleums.</t>
  </si>
  <si>
    <t>FfnCode_funeralServices</t>
  </si>
  <si>
    <t>furnitureManufac</t>
  </si>
  <si>
    <t>Furniture Manufacture</t>
  </si>
  <si>
    <t>The manufacture of furniture (for example: chairs, tables or desks) and related products (for example: mattresses or restaurant carts) of any material except stone, concrete and ceramic.</t>
  </si>
  <si>
    <t>The processes used in the manufacture of furniture are standard methods of forming materials and assembling components, including cutting, moulding and laminating. The design of the article, for both aesthetic and functional qualities, is an important aspect of the production process. Some of the processes used in furniture manufacturing are similar to processes that are used in other segments of manufacturing.</t>
  </si>
  <si>
    <t>FfnCode_furnitureManufac</t>
  </si>
  <si>
    <t>gambling</t>
  </si>
  <si>
    <t>Gambling</t>
  </si>
  <si>
    <t>The operation of facilities in which money (or something of material value) is wagered on something with an uncertain outcome in the hope of winning additional money or material goods (for example: through a lottery, off-track betting or a casino game).</t>
  </si>
  <si>
    <t>May take place in a variety of venues, for example, at a casino, in a bingo hall, or through a video gaming terminal.</t>
  </si>
  <si>
    <t>FfnCode_gambling</t>
  </si>
  <si>
    <t>gameToyManufac</t>
  </si>
  <si>
    <t>Game and/or Toy Manufacture</t>
  </si>
  <si>
    <t>The manufacture of dolls (including action figures) and their accessories (for example: doll parts or doll clothes), toys (for example: animals or musical instruments), games (including electronic), hobby kits, reduced-size models, puzzles, and plastic children's vehicles.</t>
  </si>
  <si>
    <t>FfnCode_gameToyManufac</t>
  </si>
  <si>
    <t>gasOilSeparation</t>
  </si>
  <si>
    <t>Gas Oil Separation</t>
  </si>
  <si>
    <t>The separation of natural gas from crude oil through the extraction of condensates or the draining and separation of liquid hydrocarbon fractions.</t>
  </si>
  <si>
    <t>FfnCode_gasOilSeparation</t>
  </si>
  <si>
    <t>generalRepair</t>
  </si>
  <si>
    <t>General Repair</t>
  </si>
  <si>
    <t>The repair and maintenance of machinery and/or equipment including the specialized repair of goods produced in the manufacturing sector with the aim to restore machinery, equipment and other products to working order.</t>
  </si>
  <si>
    <t>Includes the provision of general or routine maintenance (servicing) on such products to ensure they work efficiently and to prevent breakdown and unnecessary repairs. Also included is the specialized installation of machinery, however, the installation of equipment that forms an integral part of buildings or similar structures, such as installation of electrical wiring, installation of escalators or installation of air-conditioning systems, is classified as construction.</t>
  </si>
  <si>
    <t>FfnCode_generalRepair</t>
  </si>
  <si>
    <t>glassProdManufac</t>
  </si>
  <si>
    <t>Glass Product Manufacture</t>
  </si>
  <si>
    <t>The manufacture of glass in all its forms, made by any process, and products composed of glass.</t>
  </si>
  <si>
    <t>Includes, for example, the manufacture of: flat glass, including wired, coloured or tinted flat glass; toughened or laminated flat glass; glass in rods or tubes; glass paving blocks; glass mirrors; multiple-walled insulating units of glass; bottles and other containers of glass or crystal; drinking glasses and other domestic glass or crystal articles; glass fibres, including glass wool and non-woven products thereof; laboratory, hygienic or pharmaceutical glassware; clock or watch glasses, optical glass and optical elements not optically worked; glassware used in imitation jewellery; glass insulators and glass insulating fittings; glass envelopes for lamps; and glass figurines.</t>
  </si>
  <si>
    <t>FfnCode_glassProdManufac</t>
  </si>
  <si>
    <t>government</t>
  </si>
  <si>
    <t>Government</t>
  </si>
  <si>
    <t>The performance of one or more functions of government (for example: executive, legislative, judicial, or defence) at all jurisdictional levels.</t>
  </si>
  <si>
    <t>FfnCode_government</t>
  </si>
  <si>
    <t>grainMilling</t>
  </si>
  <si>
    <t>Grain Milling</t>
  </si>
  <si>
    <t>The manufacture of grain mill products (for example: meal, polished rice, flour mix or cereal breakfast foods).</t>
  </si>
  <si>
    <t>Includes, for example: grain milling (the production of flour, groats, meal or pellets of wheat, rye, oats, maize or other cereal grains); rice milling (the production of husked, milled, polished, glazed, parboiled or converted rice, or rice flour); vegetable milling (production of flour or meal of dried leguminous vegetables, of roots or tubers, or of edible nuts); manufacture of flour mixes and prepared blended flour and dough for bread, cakes, biscuits or pancakes; and the manufacture of cereal breakfast foods.</t>
  </si>
  <si>
    <t>FfnCode_grainMilling</t>
  </si>
  <si>
    <t>The regular consumption of part of one organism (for example: grass) by another organism (for example: livestock) without killing it.</t>
  </si>
  <si>
    <t>Animal grazing areas are usually dominated by grasses (for example: prairies, savannas and steppes), and common grazing herbivores include: antelope, bison, buffalo, cattle, elephants, goats, horses, rabbits, and sheep.</t>
  </si>
  <si>
    <t>FfnCode_grazing</t>
  </si>
  <si>
    <t>grocery</t>
  </si>
  <si>
    <t>Grocery</t>
  </si>
  <si>
    <t>The retail sale of a wide variety of goods including food and alcohol (where permitted), medicine, clothes, and other household products that are consumed regularly.</t>
  </si>
  <si>
    <t>FfnCode_grocery</t>
  </si>
  <si>
    <t>growingOfCrops</t>
  </si>
  <si>
    <t>Growing of Crops</t>
  </si>
  <si>
    <t>The growing of all crops (for example: wheat, rice or tomatoes), except aquatic crops.</t>
  </si>
  <si>
    <t>Includes the growing of both non-perennial crops (plants that do not last for more than two growing seasons; for example: cereals, vegetables, or tobacco) and perennial crops, (plants that lasts for more than two growing seasons, either dying back after each season or growing continuously; for example: grapes, citrus fruits, or nuts).</t>
  </si>
  <si>
    <t>FfnCode_growingOfCrops</t>
  </si>
  <si>
    <t>guard</t>
  </si>
  <si>
    <t>Guard</t>
  </si>
  <si>
    <t>The provision of guard and patrol services.</t>
  </si>
  <si>
    <t>May include temporary securing of prisoners.</t>
  </si>
  <si>
    <t>FfnCode_guard</t>
  </si>
  <si>
    <t>guestHouse</t>
  </si>
  <si>
    <t>Guest-house</t>
  </si>
  <si>
    <t>A private home that takes in short-term (for example: nightly or weekly) guests, often with meals (for example: breakfast) included in the price of lodging.</t>
  </si>
  <si>
    <t>May have shared or separate bathrooms. Can range from modest homes with one spare room to elaborately restored historic houses with luxury prices.</t>
  </si>
  <si>
    <t>Bed and Breakfast, Boarding House</t>
  </si>
  <si>
    <t>FfnCode_guestHouse</t>
  </si>
  <si>
    <t>harbourControl</t>
  </si>
  <si>
    <t>Harbour Control</t>
  </si>
  <si>
    <t>Serves as the authority responsible for the mooring and berthing of vessels, collecting harbour fees, and related harbour administration functions.</t>
  </si>
  <si>
    <t>FfnCode_harbourControl</t>
  </si>
  <si>
    <t>headOffice</t>
  </si>
  <si>
    <t>Head Office</t>
  </si>
  <si>
    <t>The overseeing and managing of other units of a company or enterprise, undertaking the strategic or organizational planning and decision making role of the company or enterprise.</t>
  </si>
  <si>
    <t>Units in this class exercise operational control and manage the day-to-day operations of their related units. Includes, for example: head offices, centralized administrative offices, corporate offices, district and regional offices, and subsidiary management offices.</t>
  </si>
  <si>
    <t>FfnCode_headOffice</t>
  </si>
  <si>
    <t>headquarters</t>
  </si>
  <si>
    <t>Headquarters</t>
  </si>
  <si>
    <t>Devoted to overseeing the performance of one or more administrative or management functions.</t>
  </si>
  <si>
    <t>FfnCode_headquarters</t>
  </si>
  <si>
    <t>heating</t>
  </si>
  <si>
    <t>Heating</t>
  </si>
  <si>
    <t>Generation of heated liquid and/or gas for heating purposes.</t>
  </si>
  <si>
    <t>FfnCode_heating</t>
  </si>
  <si>
    <t>higherEducation</t>
  </si>
  <si>
    <t>Higher Education</t>
  </si>
  <si>
    <t>The provision of academic courses and granting of degrees at baccalaureate or graduate levels.</t>
  </si>
  <si>
    <t>The requirement for admission is at least a high school diploma or equivalent general academic training.Instruction may be provided in diverse settings, such as educational institutions, the workplace, or the home, and through correspondence, television, Internet, or other means.</t>
  </si>
  <si>
    <t>FfnCode_higherEducation</t>
  </si>
  <si>
    <t>hobbyLeisureActivities</t>
  </si>
  <si>
    <t>Hobbies and/or Leisure Activities</t>
  </si>
  <si>
    <t>Activities that are avocations, hobbies, or leisure-time pursuits, existing apart from or in addition to one's regular occupation.</t>
  </si>
  <si>
    <t>Pursued merely for the amusement or interest that they afford, they occupy one's leisure (freedom from occupations).</t>
  </si>
  <si>
    <t>FfnCode_hobbyLeisureActivities</t>
  </si>
  <si>
    <t>homelessShelter</t>
  </si>
  <si>
    <t>Homeless Shelter</t>
  </si>
  <si>
    <t>An emergency shelter for people to stay temporarily when they otherwise would have to sleep on the street.</t>
  </si>
  <si>
    <t>A homeless shelter is usually open to anyone, regardless of why they don't have a more typical residence available, although they typically expect people to stay elsewhere during the day, returning only to sleep.Other services may be provided (for example: a soup kitchen, job seeking skills training, job training, job placement, support groups, or chemical abuse treatment).</t>
  </si>
  <si>
    <t>FfnCode_homelessShelter</t>
  </si>
  <si>
    <t>hostel</t>
  </si>
  <si>
    <t>Hostel</t>
  </si>
  <si>
    <t>An inexpensive short-term (for example: nightly or weekly) accommodation, typically in dormitory style with multiple guests sleeping in the same room and sharing a bathroom.</t>
  </si>
  <si>
    <t>Usually used by younger travelers, particularly encouraging outdoor activities and cultural exchange.</t>
  </si>
  <si>
    <t>FfnCode_hostel</t>
  </si>
  <si>
    <t>An establishment that provides lodging, usually on a short-term (for example: nightly) basis, with separate sleeping rooms with private bathrooms.</t>
  </si>
  <si>
    <t>Additional guest services are often provided (for example: a restaurant, a swimming pool or child care) and the sleeping rooms may be expanded to a suite of rooms including separate cooking, entertainment, and sleeping areas. Some hotels have conference services and encourage groups to hold conventions and meetings at their location.</t>
  </si>
  <si>
    <t>FfnCode_hotel</t>
  </si>
  <si>
    <t>humanHealthActivities</t>
  </si>
  <si>
    <t>Human Health Activities</t>
  </si>
  <si>
    <t>The activities of human health institutions (for example: short- or long-term hospitals; general or specialty medical, surgical, psychiatric and substance abuse hospitals; sanatoria; preventoria; medical nursing homes; asylums; mental hospital institutions; rehabilitation centres; or leprosaria) which engage in providing diagnostic and medical treatment with any of a wide variety of medical conditions.</t>
  </si>
  <si>
    <t>The facilities may include accommodation or be limited to the provision of out-patient care.These activities also include medical consultation and treatment in the field of general and specialized medicine by general practitioners and medical specialists and surgeons, dental practice activities of a general or specialized nature and orthodontic activities, and activities for human health not performed by hospitals or by practicing medical doctors but by paramedical practitioners legally recognized to treat patients.</t>
  </si>
  <si>
    <t>FfnCode_humanHealthActivities</t>
  </si>
  <si>
    <t>humanTissueRepository</t>
  </si>
  <si>
    <t>Human Tissue Repository</t>
  </si>
  <si>
    <t>The collection, storage, and preparation for use, of human tissue (for example: blood components, bone marrow, corneas, heart values, ova, sperm) destined for future therapeutic use (for example: transfusion or transplantation).</t>
  </si>
  <si>
    <t>Tissues may be collected from either live donors or cadavers. A tissue bank may be a separate free-standing facility (for example: many blood banks) or part of a larger laboratory in a hospital.</t>
  </si>
  <si>
    <t>FfnCode_humanTissueRepository</t>
  </si>
  <si>
    <t>Pursuing animals to capture or kill them for food, blood sport, or trade in their products.</t>
  </si>
  <si>
    <t>Includes, for example: hunting and trapping on a commercial basis; taking of animals (dead or alive) for food, fur, skin, or for use in research, in zoos or as pets; production of fur skins, reptile or bird skins from hunting or trapping activities; and land-based catching of sea mammals such as walrus and seal.</t>
  </si>
  <si>
    <t>FfnCode_hunting</t>
  </si>
  <si>
    <t>iceManufacture</t>
  </si>
  <si>
    <t>Ice Manufacture</t>
  </si>
  <si>
    <t>The manufacture of water ice (for example: block ice (including sculptured ice), and packaged crushed, cubed, and shaved ice) and dry ice (frozen carbon dioxide).</t>
  </si>
  <si>
    <t>Ice manufacturers are often also involved in its wholesale distribution.</t>
  </si>
  <si>
    <t>FfnCode_iceManufacture</t>
  </si>
  <si>
    <t>immigrationControl</t>
  </si>
  <si>
    <t>Immigration Control</t>
  </si>
  <si>
    <t>The regulation of the movement of people between States.</t>
  </si>
  <si>
    <t>Accomplished at a physical checkpoint located at an international boundary or port.</t>
  </si>
  <si>
    <t>FfnCode_immigrationControl</t>
  </si>
  <si>
    <t>imprisonment</t>
  </si>
  <si>
    <t>Imprisonment</t>
  </si>
  <si>
    <t>To keep prisoners in a place of confinement.</t>
  </si>
  <si>
    <t>May occur for either civil or criminal misconduct, and may be used to temporarily detain suspects awaiting trial.</t>
  </si>
  <si>
    <t>Incarceration, Criminal Correction, Jailing</t>
  </si>
  <si>
    <t>FfnCode_imprisonment</t>
  </si>
  <si>
    <t>inlandWatersTransport</t>
  </si>
  <si>
    <t>Inland Waters Transport</t>
  </si>
  <si>
    <t>The transport of passengers and/or freight on inland waters involving vessels that are not suitable for sea transport.</t>
  </si>
  <si>
    <t>Inland waters include, for example: rivers, canals, and lakes, as well as inside harbours and ports.</t>
  </si>
  <si>
    <t>FfnCode_inlandWatersTransport</t>
  </si>
  <si>
    <t>inPatientCare</t>
  </si>
  <si>
    <t>In-patient Care</t>
  </si>
  <si>
    <t>Provides medical or surgical treatment for the ill or wounded on an in-patient basis (for example: at a hospital).</t>
  </si>
  <si>
    <t>The patient stays one or more nights at the facility.In the case of non-surgical treatment a skilled nursing facility may be employed.</t>
  </si>
  <si>
    <t>FfnCode_inPatientCare</t>
  </si>
  <si>
    <t>inspectionStation</t>
  </si>
  <si>
    <t>Inspection Station</t>
  </si>
  <si>
    <t>Serves as an official site at which vehicles, goods, and/or people are checked and/or measured against established standards.</t>
  </si>
  <si>
    <t>Includes the building(s) and associated equipment used in the inspection process. The site may show evidence of permanently emplaced equipment used to weigh motor vehicles (for example: scales or weighing platforms).</t>
  </si>
  <si>
    <t>FfnCode_inspectionStation</t>
  </si>
  <si>
    <t>institution</t>
  </si>
  <si>
    <t>Institution</t>
  </si>
  <si>
    <t>Houses or supports the activities of a permanent organizational body created for a social purpose (for example: charity) and/or to serve the general social welfare (for example: accommodation, health care or education).</t>
  </si>
  <si>
    <t>FfnCode_institution</t>
  </si>
  <si>
    <t>insurance</t>
  </si>
  <si>
    <t>Insurance</t>
  </si>
  <si>
    <t>Engaged in a form of risk management primarily used to hedge against the risk of potential financial loss.</t>
  </si>
  <si>
    <t>Insurance is defined as the equitable transfer of the risk of a potential loss, from one entity to another, in exchange for a premium and duty of care. There are many types of insurance, for example: casualty, disability, health, liability, life, motor vehicle, property, and workers' compensation.</t>
  </si>
  <si>
    <t>FfnCode_insurance</t>
  </si>
  <si>
    <t>intermediateCare</t>
  </si>
  <si>
    <t>Intermediate Care</t>
  </si>
  <si>
    <t>Provides in-patient medical treatment for individuals who are disabled, elderly, or nonacutely ill, usually providing less intensive care than that offered at a hospital or skilled nursing facility.</t>
  </si>
  <si>
    <t>FfnCode_intermediateCare</t>
  </si>
  <si>
    <t>islamicPrayerHall</t>
  </si>
  <si>
    <t>Islamic Prayer Hall</t>
  </si>
  <si>
    <t>An open space, usually roofed as a hall, that is intended for use in public Muslim worship.</t>
  </si>
  <si>
    <t>It has been prepared for the purposes of performing the five obligatory prayers of Islam ('salat') and includes a niche denoting the direction of Mecca (the 'mihrab'), to the right of which is usually located a stepped pulpit (the 'minbar').</t>
  </si>
  <si>
    <t>Hussania</t>
  </si>
  <si>
    <t>FfnCode_islamicPrayerHall</t>
  </si>
  <si>
    <t>jewelleryManufac</t>
  </si>
  <si>
    <t>Jewellery Manufacture</t>
  </si>
  <si>
    <t>The manufacture of jewellery (for example: rings, bracelets, or necklaces) and costume or imitation jewellery articles.</t>
  </si>
  <si>
    <t>Includes, for example: production of worked pearls; the production of precious and semi-precious stones in the worked state, including the working of industrial quality stones and synthetic or reconstructed precious or semi-precious stones; working of diamonds; manufacture of jewellery of precious metal (solid or clad) and/or precious or semi-precious stones; manufacture of goldsmiths' articles of precious metals or of base metals clad with precious metals (for example: dinnerware, flatware, hollowware, toilet articles, office or desk articles, or articles for religious use); manufacture of technical or laboratory articles of precious metal (for example: crucibles, spatulas, or electroplating anodes); manufacture of precious metal watch bands, wristbands, watch straps and cigarette cases; and manufacture of coins, including coins for use as legal tender, whether or not of precious metal. It also includes, for example: engraving of personal precious and non-precious metal products; manufacture of costume or imitation jewellery (for example: rings, bracelets, necklaces, and similar articles of jewellery made from base metals plated with precious metals); jewellery containing imitation stones (for example: imitation gem stones or imitation diamonds); and manufacture of non-precious metal watch bands.</t>
  </si>
  <si>
    <t>FfnCode_jewelleryManufac</t>
  </si>
  <si>
    <t>judicialActivities</t>
  </si>
  <si>
    <t>Judicial Activities</t>
  </si>
  <si>
    <t>The administration and operation of administrative, civil and criminal law courts, military tribunals and the judicial system, including legal representation and advice on behalf of the government or when provided by the government in cash or services.</t>
  </si>
  <si>
    <t>May also include the rendering of judgments and interpretations of the law, and the arbitration of civil actions.</t>
  </si>
  <si>
    <t>FfnCode_judicialActivities</t>
  </si>
  <si>
    <t>juvenileCorrections</t>
  </si>
  <si>
    <t>Juvenile Corrections</t>
  </si>
  <si>
    <t>The discipline, reformation, and training of young offenders.</t>
  </si>
  <si>
    <t>May involve minimizing the use of penal care (for example: a prison specializing in youthful offenders) and maximizing of the use of less-restrictive settings which allow the youths to remain either in their own homes or in 'halfway houses' offering structured custodial care, usually while attending a special school during the daytime.</t>
  </si>
  <si>
    <t>FfnCode_juvenileCorrections</t>
  </si>
  <si>
    <t>landscapingService</t>
  </si>
  <si>
    <t>Landscaping Service</t>
  </si>
  <si>
    <t>The planting, care and maintenance of parks and gardens (for example: for private and public buildings, municipal grounds, or highways), green areas (for example: indoor gardens, sports grounds, play grounds or other recreational parks), stationary and flowing water (for example: basins, ponds, swimming pools, or watercourses), and plants placed for protection against noise, wind, erosion, visibility and/or dazzling.</t>
  </si>
  <si>
    <t>Includes, for example, leaf and litter removal, trimming, fertilizing, and replacement of dead plants.</t>
  </si>
  <si>
    <t>FfnCode_landscapingService</t>
  </si>
  <si>
    <t>laundry</t>
  </si>
  <si>
    <t>Laundry</t>
  </si>
  <si>
    <t>The laundering, dry-cleaning and/or pressing, of all kinds of clothing (including fur) and textiles.</t>
  </si>
  <si>
    <t>May be provided by mechanical equipment, by hand or by self-service coin-operated machines, whether for the general public or for industrial or commercial clients (for example: provision of linens or work uniforms). The dirty laundry may be collected, and the clean laundry delivered, to the client on a scheduled basis.</t>
  </si>
  <si>
    <t>FfnCode_laundry</t>
  </si>
  <si>
    <t>lawEnforcement</t>
  </si>
  <si>
    <t>Law Enforcement</t>
  </si>
  <si>
    <t>The administration and operation of regular and auxiliary police forces involved in the prevention, investigation, apprehension, or detention of individuals suspected or convicted of offenses against the criminal laws.</t>
  </si>
  <si>
    <t>May include auxiliary duties (for example: traffic regulation, alien registration, or maintenance of arrest records).</t>
  </si>
  <si>
    <t>FfnCode_lawEnforcement</t>
  </si>
  <si>
    <t>leatherProdManufac</t>
  </si>
  <si>
    <t>Leather Product Manufacture</t>
  </si>
  <si>
    <t>The manufacture of articles made of fur skins.</t>
  </si>
  <si>
    <t>Includes, for example: fur wearing apparel and clothing accessories; assemblies of fur skins (for example: 'dropped' fur skins, plates, mats, or strips; and diverse articles of fur skins (for example: rugs, unstuffed pouffes, and industrial polishing cloths).</t>
  </si>
  <si>
    <t>FfnCode_leatherProdManufac</t>
  </si>
  <si>
    <t>legalActivities</t>
  </si>
  <si>
    <t>Legal Activities</t>
  </si>
  <si>
    <t>The legal representation of one party's interest against another party, whether or not before courts or other judicial bodies by, or under supervision of, persons who are members of the bar (for example: advice and representation in civil cases or criminal actions).</t>
  </si>
  <si>
    <t>Also includes, for example: advice and representation in connection with labour disputes, general counselling and advising, preparation of legal documents (for example: articles of incorporation, partnership agreements, patents and copyrights, or the preparation of deeds, wills and trusts), and other activities of notaries public, civil law notaries, bailiffs, arbitrators, examiners and referees.</t>
  </si>
  <si>
    <t>FfnCode_legalActivities</t>
  </si>
  <si>
    <t>legislativeActivities</t>
  </si>
  <si>
    <t>Legislative Activities</t>
  </si>
  <si>
    <t>The performance of one or more legislative functions of government (for example: enactment of laws, raising or lowering taxes, or adopting a budget) at any jurisdictional level.</t>
  </si>
  <si>
    <t>FfnCode_legislativeActivities</t>
  </si>
  <si>
    <t>leprosyCare</t>
  </si>
  <si>
    <t>Leprosy Care</t>
  </si>
  <si>
    <t>Provides medical treatment to people suffering from leprosy (Hansen's disease).</t>
  </si>
  <si>
    <t>Historically, quarantine from the rest of the population in the form of a leper colony (for example: on an island or a remote site) or hospital (for example: a leprosarium) was common.</t>
  </si>
  <si>
    <t>FfnCode_leprosyCare</t>
  </si>
  <si>
    <t>The documentation and information activities of libraries and archives of all kinds (for example: reading, listening and viewing rooms; organization and cataloguing of collections; lending and storage of books, maps, periodicals, films, records, tapes and/or works of art; or retrieval activities in order to comply with information requests).</t>
  </si>
  <si>
    <t>The library or archive may provide service to the general public or to a special clientele (for example: students or scientists).</t>
  </si>
  <si>
    <t>FfnCode_library</t>
  </si>
  <si>
    <t>localGovernment</t>
  </si>
  <si>
    <t>Local Government</t>
  </si>
  <si>
    <t>The performance of one or more functions of government (for example: executive, legislative, or judicial) at a local jurisdictional level (for example: municipal, town, or city).</t>
  </si>
  <si>
    <t>It is often the case that all of the local governmental functions are co-located (for example: in a town hall).</t>
  </si>
  <si>
    <t>FfnCode_localGovernment</t>
  </si>
  <si>
    <t>machineryManufac</t>
  </si>
  <si>
    <t>Machinery Manufacture</t>
  </si>
  <si>
    <t>The manufacture of machinery and equipment that act independently on materials either mechanically or thermally or perform operations on materials (for example: handling, spraying, weighing or packing), including their mechanical components that produce and apply force, and any specially manufactured primary parts.</t>
  </si>
  <si>
    <t>The machinery may be either general-purpose (machinery that is used in a wide range of industries) or special-purpose machinery (machinery for exclusive use within an industry or a small cluster of industries). General-purpose machinery includes, for example: engines and turbines; fluid power equipment; other pumps, compressors, taps and valves; bearings, gears, gearing and driving elements; ovens, furnaces and furnace burners; lifting and handling equipment; office machinery and equipment (except computers and peripheral equipment); and power-driven hand tools. Special-purpose machinery includes, for example: agricultural and forestry machinery; metal-forming machinery and machine tools; machinery for metallurgy; machinery for mining, quarrying and construction; machinery for food, beverage and tobacco processing; and machinery for textile, apparel and leather production.</t>
  </si>
  <si>
    <t>FfnCode_machineryManufac</t>
  </si>
  <si>
    <t>machineryRepair</t>
  </si>
  <si>
    <t>Machinery Repair</t>
  </si>
  <si>
    <t>The repair and maintenance of industrial machinery and equipment including specialized repair with the aim to restore the industrial machinery and equipment to working order.</t>
  </si>
  <si>
    <t>The provision of general or routine maintenance (servicing) on such machinery and equipment to ensure they work efficiently and to prevent breakdown and unnecessary repairs is included. Included, for example, is the: sharpening or installing commercial and industrial machinery blades and saws; the provision of welding (for example: automotive or general) repair services; and the repair of agricultural and other heavy and industrial machinery and equipment (for example: forklifts and other materials handling equipment, machine tools, commercial refrigeration equipment, construction equipment, or mining machinery).</t>
  </si>
  <si>
    <t>FfnCode_machineryRepair</t>
  </si>
  <si>
    <t>Switching equipment to which subscriber home and business lines are connected (the connection is termed a 'local loop') that can either circuit-switch subscriber lines locally or to long-distance carrier 'trunk lines'.</t>
  </si>
  <si>
    <t>Generally located in a secure, self-contained telecommunications equipment building that houses servers, storage systems, switching equipment, emergency power systems, and related devices that are used to run telephone systems.</t>
  </si>
  <si>
    <t>Central Office, Switch, Telephone Exchange</t>
  </si>
  <si>
    <t>FfnCode_mainTelephoneExchange</t>
  </si>
  <si>
    <t>manufacturing</t>
  </si>
  <si>
    <t>Manufacturing</t>
  </si>
  <si>
    <t>The physical or chemical transformation of materials, substances, or components into new products.</t>
  </si>
  <si>
    <t>FfnCode_manufacturing</t>
  </si>
  <si>
    <t>maritimeDefense</t>
  </si>
  <si>
    <t>Maritime Defense</t>
  </si>
  <si>
    <t>The protection of the public, the environment, and national economic and security interests in maritime regions including international waters and national coasts, ports, and inland waterways.</t>
  </si>
  <si>
    <t>Activities include: maritime safety (prevention of deaths, injuries, and property damage associated with maritime transportation, fishing, and recreational boating); maritime security (protection of national maritime borders from intrusions, including the flow of illegal drugs, aliens, and contraband through maritime routes, preventing illegal fishing, and suppressing violations of national law in the maritime arena); maritime mobility (facilitation of maritime commerce and the elimination of interruptions and impediments to the efficient and economical movement of goods and people, while maximizing recreational access to and enjoyment of the water); and protection of natural resources (prevention of environmental damage and the degradation of natural resources associated with maritime transportation, fishing, and recreational boating).</t>
  </si>
  <si>
    <t>FfnCode_maritimeDefense</t>
  </si>
  <si>
    <t>maritimePilotage</t>
  </si>
  <si>
    <t>Maritime Pilotage</t>
  </si>
  <si>
    <t>The services of a maritime pilot may be obtained.</t>
  </si>
  <si>
    <t>A pilot is a qualified person having local knowledge of navigation hazards and is authorised to guide vessels in and out of a port or channel.</t>
  </si>
  <si>
    <t>FfnCode_maritimePilotage</t>
  </si>
  <si>
    <t>The retail sale of any kind of new or second hand good (for example: household items, provisions, or livestock) in a usually movable stall located either along a public road or at a fixed marketplace.</t>
  </si>
  <si>
    <t>A fixed marketplace accommodates many stalls, and may be either an open site designated for temporary use (for example: on 'market day') or a permanent structure with a roof and/or complete enclosure to protect against inclement weather.</t>
  </si>
  <si>
    <t>FfnCode_market</t>
  </si>
  <si>
    <t>materialsRecovery</t>
  </si>
  <si>
    <t>Materials Recovery</t>
  </si>
  <si>
    <t>The processing of metallic and non-metallic waste, scrap and other articles into secondary raw material.</t>
  </si>
  <si>
    <t>Materials may be recovered from waste streams by either separating and sorting recoverable materials from non-hazardous waste streams (for example: garbage) or by separating and sorting commingled recoverable materials (for example: paper, plastics, glass, or metals) into distinct categories.</t>
  </si>
  <si>
    <t>FfnCode_materialsRecovery</t>
  </si>
  <si>
    <t>meatProcessing</t>
  </si>
  <si>
    <t>Meat Processing</t>
  </si>
  <si>
    <t>The processing and preserving of meat (for example: carcasses, smoked cuts, or sausages) and meat by-products (for example: fats, feathers, or hides).</t>
  </si>
  <si>
    <t>Includes, for example: operation of slaughterhouses engaged in killing, dressing or packing meat (for example: beef, pork, poultry, lamb, rabbit, mutton, or camel); production of fresh, chilled or frozen meat, in carcasses, cuts or individual portions; production of dried, salted or smoked meat; and the production of meat products (for example: sausages, salami, puddings, 'andouillettes', saveloys, bolognas, pates, rillettes, and boiled ham). It also includes, for example, the related activities of: slaughtering and processing of whales on land or on specialized vessels; production of hides and skins originating from slaughterhouses, including fellmongery; rendering of lard and other edible fats of animal origin; processing of animal offal; production of pulled wool; and the production of feathers and down.</t>
  </si>
  <si>
    <t>FfnCode_meatProcessing</t>
  </si>
  <si>
    <t>medDentalEquipManufac</t>
  </si>
  <si>
    <t>Medical and/or Dental Equipment Manufacture</t>
  </si>
  <si>
    <t>The manufacture of medical and/or dental laboratory apparatus and furniture, surgical and medical instruments, surgical appliances and supplies, dental equipment and supplies, orthodontic goods, dentures, and orthodontic appliances.</t>
  </si>
  <si>
    <t>Includes, for example, the manufacture of: surgical drapes; dental fillings and cements; dental laboratory furnaces, ultrasonic cleaning machinery, sterilizers, distilling apparatus, laboratory centrifuges, or medical, surgical, dental or veterinary furniture (for example: operating tables, examination tables, hospital beds with mechanical fittings, or dentists' chairs); bone plates and screws, syringes, needles, catheters, and cannulae; dental instruments (including dentists' chairs incorporating dental equipment); artificial teeth and bridges made in dental labs; orthopedic and prosthetic devices; glass eyes; medical thermometers; and ophthalmic goods, eyeglasses, sunglasses, lenses ground to prescription, contact lenses, and safety goggles.</t>
  </si>
  <si>
    <t>FfnCode_medDentalEquipManufac</t>
  </si>
  <si>
    <t>medicinalProdManufac</t>
  </si>
  <si>
    <t>Medicinal Product Manufacture</t>
  </si>
  <si>
    <t>The manufacture of basic pharmaceutical products and pharmaceutical preparations, including both medicinal chemical and botanical products.</t>
  </si>
  <si>
    <t>Includes, for example, the manufacture of: medicinal active substances to be used for their pharmacological properties in the manufacture of medicaments (for example: antibiotics, basic vitamins, or salicylic and O-acetylsalicylic acids); medicaments (for example: antisera and other blood fractions, vaccines, or diverse medicaments, including homeopathic preparations); chemical contraceptive products for external use and hormonal contraceptive medicaments; medical diagnostic preparations, including pregnancy tests; radioactive in-vivo diagnostic substances; and biotech pharmaceuticals. It also also includes: manufacture of chemically pure sugars; processing of blood; processing of glands and manufacture of extracts of glands; manufacture of medical impregnated materials (for example: wadding, gauze, bandages, dressings, or surgical sutures); and the preparation of botanical products (grinding, grading, milling) for pharmaceutical use.</t>
  </si>
  <si>
    <t>FfnCode_medicinalProdManufac</t>
  </si>
  <si>
    <t>meetingPlace</t>
  </si>
  <si>
    <t>Meeting Place</t>
  </si>
  <si>
    <t>The function of a site where a group of people with similar interests or backgrounds gather.</t>
  </si>
  <si>
    <t>Meeting places may be at residences, museums, restaurants, parks or a variety of other sites. Clandestine or covert activities may occur at meeting places.</t>
  </si>
  <si>
    <t>FfnCode_meetingPlace</t>
  </si>
  <si>
    <t>metalOreMining</t>
  </si>
  <si>
    <t>Metal Ore Mining</t>
  </si>
  <si>
    <t>The mining of metallic minerals (for example: iron, uranium, aluminum, copper, or nickel ore).</t>
  </si>
  <si>
    <t>Different methods may be employed (for example: underground or open-cast extraction or seabed mining) and ore dressing and beneficiating operations may be required (for example: crushing, grinding, washing, drying, sintering, calcining or leaching ore, gravity separation or flotation operations).</t>
  </si>
  <si>
    <t>FfnCode_metalOreMining</t>
  </si>
  <si>
    <t>metalRefining</t>
  </si>
  <si>
    <t>Metal Refining</t>
  </si>
  <si>
    <t>The manufacture of basic precious (for example: gold, silver, or platinum) and other non-ferrous metals (for example: copper, chrome, manganese, or nickel).</t>
  </si>
  <si>
    <t>Includes, for example, the production of: basic precious metals, metal alloys, and metal semi-products; silver or gold or platinum and platinum group metals rolled onto other metals; aluminium (and its alloys) from alumina or electrolytic refining of aluminium waste and scrap; lead, zinc and tin (and their alloys) from ores or from electrolytic refining of lead, zinc and tin waste and scrap; copper (and its alloys) from ores or from electrolytic refining of copper waste and scrap; chrome, manganese, nickel (and their alloys) from ores or oxides or from electrolytic and aluminothermic refining of chrome, manganese, nickel waste and scrap; mattes of nickel; and uranium metal from pitchblende or other ores. It also includes semi-manufacturing processes, for example: metal wire, metal extrusions, metal foils and metal foil laminates.</t>
  </si>
  <si>
    <t>FfnCode_metalRefining</t>
  </si>
  <si>
    <t>migrantLabour</t>
  </si>
  <si>
    <t>Migrant Labour</t>
  </si>
  <si>
    <t>Labour provided by economic migrants that is generally unskilled and is used, for example, to harvest crops.</t>
  </si>
  <si>
    <t>The migrants generally move their residence throughout the year, following the seasonal demands for agricultural labour as different crops become ready for harvest. They may be either legally or illegally present in the host country.</t>
  </si>
  <si>
    <t>Foreign Worker</t>
  </si>
  <si>
    <t>FfnCode_migrantLabour</t>
  </si>
  <si>
    <t>militaryRecruitment</t>
  </si>
  <si>
    <t>Military Recruitment</t>
  </si>
  <si>
    <t>The recruitment of individuals into voluntary military service.</t>
  </si>
  <si>
    <t>May be restricted to specific facilities termed a 'recruitment centre' or 'recruiting station'.</t>
  </si>
  <si>
    <t>FfnCode_militaryRecruitment</t>
  </si>
  <si>
    <t>militaryReserveActivities</t>
  </si>
  <si>
    <t>Military Reserve Activities</t>
  </si>
  <si>
    <t>The administration and training of military reserve personnel.</t>
  </si>
  <si>
    <t>May be restricted to specific facilities that have been specially prepared for mustering on a part time basis, use and interim storage of unit level weapons, and/or equipment. Such facilities may also serve as a military reserve headquarters.</t>
  </si>
  <si>
    <t>FfnCode_militaryReserveActivities</t>
  </si>
  <si>
    <t>militaryVehicleManufac</t>
  </si>
  <si>
    <t>Military Vehicle Manufacture</t>
  </si>
  <si>
    <t>The manufacture of military fighting vehicles (for example: armoured tanks, armoured amphibious vehicles or armoured personnel carriers).</t>
  </si>
  <si>
    <t>FfnCode_militaryVehicleManufac</t>
  </si>
  <si>
    <t>mineralMining</t>
  </si>
  <si>
    <t>Mineral Mining</t>
  </si>
  <si>
    <t>The mining and quarrying of various materials (for example: abrasive materials, asbestos, siliceous fossil meals, natural graphite, steatite (talc), and feldspar) and minerals (for example: gemstones, quartz, or mica) other than those used in construction (for example: sand or stone), the manufacture of materials (for example: clay or gypsum), or the manufacture of chemicals (for example: potassium salts or native sulphur) or mineral fertilizer (for example: guano), or solid mineral fuels (for example: coal, petroleum).</t>
  </si>
  <si>
    <t>FfnCode_mineralMining</t>
  </si>
  <si>
    <t>miningQuarrying</t>
  </si>
  <si>
    <t>Mining and Quarrying</t>
  </si>
  <si>
    <t>The extraction of minerals occurring naturally as solids (coal and ores), liquids (petroleum) or gases (natural gas).</t>
  </si>
  <si>
    <t>Extraction can be achieved by different methods (for example: underground or surface mining, well operation, or seabed mining). Includes supplementary activities aimed at preparing the crude materials for marketing (for example: crushing, grinding, cleaning, drying, sorting, concentrating ores, liquefaction of natural gas and agglomeration of solid fuels. These operations are often accomplished at or near the location where the resource is extracted.</t>
  </si>
  <si>
    <t>FfnCode_miningQuarrying</t>
  </si>
  <si>
    <t>mixedFarming</t>
  </si>
  <si>
    <t>Mixed Farming</t>
  </si>
  <si>
    <t>The combined production of crops and animals without a specialized production of either crops or animals.</t>
  </si>
  <si>
    <t>The size of the overall farming operation is not a determining factor. If either production of crops or animals exceeds 66 per cent or more of the overall economic value of the activity, the combined activity should not be included here, but allocated to crop or animal farming.</t>
  </si>
  <si>
    <t>FfnCode_mixedFarming</t>
  </si>
  <si>
    <t>mobilePhoneService</t>
  </si>
  <si>
    <t>Mobile Phone Service</t>
  </si>
  <si>
    <t>Supports voice transmission and reception using wireless radio wave transmission technology, communicating via a cellular network of base stations (cell sites), which is in turn linked to the conventional telephone network.</t>
  </si>
  <si>
    <t>In addition to the standard voice function of a telephone, a mobile phone can support many additional services such as SMS for text messaging, packet switching for access to the Internet, and MMS for sending and receiving photos and video.</t>
  </si>
  <si>
    <t>FfnCode_mobilePhoneService</t>
  </si>
  <si>
    <t>The securing of a vessel (for example: a ship or a barge) or other floating object to a fixed object or the sea bottom.</t>
  </si>
  <si>
    <t>FfnCode_mooring</t>
  </si>
  <si>
    <t>mortuaryServices</t>
  </si>
  <si>
    <t>Mortuary Services</t>
  </si>
  <si>
    <t>The examination (as necessary) and preparation of corpses for funeral rites (for example: washing, dressing or casketing) and for subsequent disposal.</t>
  </si>
  <si>
    <t>A cold chamber may be used to keep the deceased as long as is necessary for identification purposes, or prior to post-mortem examination, or while awaiting burial.</t>
  </si>
  <si>
    <t>FfnCode_mortuaryServices</t>
  </si>
  <si>
    <t>motel</t>
  </si>
  <si>
    <t>Motel</t>
  </si>
  <si>
    <t>A roadside hotel catering primarily for motorists, offering a place to sleep and motor vehicle parking.</t>
  </si>
  <si>
    <t>Modern motels offer most of the features of hotels (for example: a restaurant).</t>
  </si>
  <si>
    <t>FfnCode_motel</t>
  </si>
  <si>
    <t>motorVehicleManufac</t>
  </si>
  <si>
    <t>Motor Vehicle Manufacture</t>
  </si>
  <si>
    <t>The manufacture of motor vehicles (for example: passenger cars, commercial vehicles, buses, or fire engines).</t>
  </si>
  <si>
    <t>FfnCode_motorVehicleManufac</t>
  </si>
  <si>
    <t>motorVehicleParking</t>
  </si>
  <si>
    <t>Motor Vehicle Parking</t>
  </si>
  <si>
    <t>Provides parking for motor vehicles.</t>
  </si>
  <si>
    <t>May be covered (for example: a parking garage) or uncovered (for example: a parking lot), and the overall allowed motor vehicle dimensions may be limited.</t>
  </si>
  <si>
    <t>FfnCode_motorVehicleParking</t>
  </si>
  <si>
    <t>motorVehicleRental</t>
  </si>
  <si>
    <t>Motor Vehicle Rental</t>
  </si>
  <si>
    <t>The renting and operational leasing of motor vehicles (for example: passenger cars (without drivers), trucks, utility trailers, or recreational vehicles).</t>
  </si>
  <si>
    <t>FfnCode_motorVehicleRental</t>
  </si>
  <si>
    <t>motorVehicleRepair</t>
  </si>
  <si>
    <t>Motor Vehicle Repair</t>
  </si>
  <si>
    <t>The routine maintenance and/or repair of motor vehicles (for example: buses, cars or trucks).</t>
  </si>
  <si>
    <t>FfnCode_motorVehicleRepair</t>
  </si>
  <si>
    <t>munitionsManufac</t>
  </si>
  <si>
    <t>Munitions Manufacture</t>
  </si>
  <si>
    <t>The manufacture of weapons and/or ammunition.</t>
  </si>
  <si>
    <t>Includes, for example, the manufacture of: heavy weapons (for example: artillery, mobile guns, rocket launchers, torpedo tubes, or heavy machine guns); small arms (for example: revolvers, shotguns, or light machine guns); air or gas guns and pistols; explosive devices (for example: bombs, mines or torpedoes); and war ammunition. It also includes the manufacture of hunting, sporting or protective firearms and ammunition.</t>
  </si>
  <si>
    <t>FfnCode_munitionsManufac</t>
  </si>
  <si>
    <t>A permanent institution in the service of society and of its development, open to the public, which acquires, conserves, researches, communicates and exhibits, for purposes of study, education, enjoyment, the tangible and intangible evidence of people and their environment.</t>
  </si>
  <si>
    <t>FfnCode_museum</t>
  </si>
  <si>
    <t>musicalInstManufac</t>
  </si>
  <si>
    <t>Musical Instrument Manufacture</t>
  </si>
  <si>
    <t>The manufacture of devices that have been constructed with the specific purpose of making music.</t>
  </si>
  <si>
    <t>Includes, for example, the manufacture of: stringed instruments; keyboard stringed instruments, including automatic pianos; keyboard pipe organs, including harmoniums and similar keyboard instruments with free metal reeds; accordions and similar instruments, including mouth organs; wind instruments; percussion musical instruments; musical instruments, the sound of which is produced electronically; musical boxes, fairground organs, and calliopes; instrument parts and accessories (for example: metronomes, tuning forks, pitch pipes, cards, or discs and rolls for automatic mechanical instruments); and whistles, call horns and other mouth-blown sound signalling instruments.</t>
  </si>
  <si>
    <t>FfnCode_musicalInstManufac</t>
  </si>
  <si>
    <t>nationalGovernment</t>
  </si>
  <si>
    <t>National Government</t>
  </si>
  <si>
    <t>The performance of one or more functions of government (for example: executive, legislative, or judicial) at a national jurisdictional level.</t>
  </si>
  <si>
    <t>FfnCode_nationalGovernment</t>
  </si>
  <si>
    <t>Supports directing the movement of vehicles (for example: ships or airplanes) from one point to another safely and efficiently.</t>
  </si>
  <si>
    <t>Includes, for example: course planning, position determination, hazard avoidance, and environmental condition (for example: weather) reporting.</t>
  </si>
  <si>
    <t>FfnCode_navigation</t>
  </si>
  <si>
    <t>nightClub</t>
  </si>
  <si>
    <t>Night Club</t>
  </si>
  <si>
    <t>An entertainment venue (for example: live performance or dancing), that does its primary business after dark, usually providing food and drink.</t>
  </si>
  <si>
    <t>Dance Club, Disco, Discothèque</t>
  </si>
  <si>
    <t>FfnCode_nightClub</t>
  </si>
  <si>
    <t>nonSpecializedStore</t>
  </si>
  <si>
    <t>Non-specialized Store</t>
  </si>
  <si>
    <t>The retail sale of a variety of product lines in the same unit.</t>
  </si>
  <si>
    <t>For example, a supermarket and a department store.</t>
  </si>
  <si>
    <t>FfnCode_nonSpecializedStore</t>
  </si>
  <si>
    <t>nuclearResearchCentre</t>
  </si>
  <si>
    <t>Nuclear Research Centre</t>
  </si>
  <si>
    <t>An establishment supporting nuclear (atomic) experimentation or research.</t>
  </si>
  <si>
    <t>May support scholarly investigation or inquiry, but generally intended to ultimately result in commercial and/or military products.</t>
  </si>
  <si>
    <t>Atomic Centre, Nuclear Research Facility</t>
  </si>
  <si>
    <t>FfnCode_nuclearResearchCentre</t>
  </si>
  <si>
    <t>observationStation</t>
  </si>
  <si>
    <t>Observation Station</t>
  </si>
  <si>
    <t>A structure designed and equipped for making observations of astronomical, meteorological, or other natural phenomena.</t>
  </si>
  <si>
    <t>FfnCode_observationStation</t>
  </si>
  <si>
    <t>officeAdministration</t>
  </si>
  <si>
    <t>Office Administration</t>
  </si>
  <si>
    <t>The provision of a range of day to day office administrative services, such as financial planning, billing and record keeping, personnel and physical distribution and logistics for others on a contract or fee basis.</t>
  </si>
  <si>
    <t>Includes other support activities that are ongoing routine business support functions that businesses and organizations traditionally do for themselves (for example: transcription, document editing or proofreading, photocopying, or digital printing or prepress services).</t>
  </si>
  <si>
    <t>FfnCode_officeAdministration</t>
  </si>
  <si>
    <t>oilMill</t>
  </si>
  <si>
    <t>Oil-mill</t>
  </si>
  <si>
    <t>The manufacture of crude and refined oils (for example: olive oil, soya-bean oil, or palm oil) and fats (for example: margarine) from vegetable or animal materials.</t>
  </si>
  <si>
    <t>Includes, for example: manufacture of crude or refined vegetable oils (for example: olive oil, soya-bean oil, palm oil, sunflower-seed oil, cotton-seed oil, rape, colza or mustard oil, or linseed oil); manufacture of non-defatted flour or meal of oilseeds, oil nuts or oil kernels; processing of vegetable oils (for example: blowing, boiling, dehydration, or hydrogenation); manufacture of margarine, melanges and similar spreads; and the manufacture of compound cooking fats. It also includes, for example, the related activities of: manufacture of non-edible animal oils and fats; extraction of fish and marine mammal oils; and the production of cotton linters, oilcakes and other residual products of oil production.</t>
  </si>
  <si>
    <t>FfnCode_oilMill</t>
  </si>
  <si>
    <t>A theatre designed specifically for the presentation of musical drama (for example: opera), although other performing arts may be presented (for example: ballet).</t>
  </si>
  <si>
    <t>It is often a prominent local landmark and may be architecturally distinct.</t>
  </si>
  <si>
    <t>FfnCode_operaHouse</t>
  </si>
  <si>
    <t>oreDressing</t>
  </si>
  <si>
    <t>Ore Dressing</t>
  </si>
  <si>
    <t>The preparation or concentration of ore by treatment or cleaning to concentrate its valuable constituents (minerals) into products (concentrate) of smaller bulk, and simultaneously to collect the worthless material (termed 'gangue') into discardable waste (termed 'tailing').</t>
  </si>
  <si>
    <t>The fundamental operations of ore-dressing processes are the breaking apart of the associated constituents of the ore by mechanical means (termed 'severance') and the separation of the severed components (termed 'beneficiation') into concentrate and tailing, using mechanical or physical methods which do not result in substantial chemical changes.</t>
  </si>
  <si>
    <t>FfnCode_oreDressing</t>
  </si>
  <si>
    <t>outPatientCare</t>
  </si>
  <si>
    <t>Out-patient Care</t>
  </si>
  <si>
    <t>Provides medical or surgical treatment for the ill or wounded on an out-patient basis (for example: at a clinic).</t>
  </si>
  <si>
    <t>The patient returns home following treatment without an overnight stay at the facility.May be provided in an individual physicians' office or in a clinic setting.</t>
  </si>
  <si>
    <t>FfnCode_outPatientCare</t>
  </si>
  <si>
    <t>palace</t>
  </si>
  <si>
    <t>Palace</t>
  </si>
  <si>
    <t>An executive centre for administration (usually of a State) that also houses, or has previously housed, a royal residence.</t>
  </si>
  <si>
    <t>May alternatively serve as the residence of a high dignitary in a religious establishment or government (for example: a president).</t>
  </si>
  <si>
    <t>FfnCode_palace</t>
  </si>
  <si>
    <t>paperMill</t>
  </si>
  <si>
    <t>Paper-mill</t>
  </si>
  <si>
    <t>The manufacture of pulp, paper, and paperboard (for example: non-corrugated cardboard).</t>
  </si>
  <si>
    <t>Includes, for example: manufacture of bleached, semi-bleached or unbleached paper pulp by mechanical, chemical (dissolving or nondissolving) or semi-chemical processes; manufacture of cotton-linters pulp; removal of ink and manufacture of pulp from waste paper; and the manufacture of paper and paperboard intended for further industrial processing. It also includes the further processing of paper and paperboard (for example: coating, covering and impregnation of paper and paperboard; manufacture of creped or crinkled paper; and manufacture of laminates and foils, if laminated with paper or paperboard) and the manufacture of: handmade paper; newsprint and other printing or writing paper; cellulose wadding and webs of cellulose fibres; and carbon paper or stencil paper in rolls or large sheets.</t>
  </si>
  <si>
    <t>FfnCode_paperMill</t>
  </si>
  <si>
    <t>pastaManufac</t>
  </si>
  <si>
    <t>Pasta Manufacture</t>
  </si>
  <si>
    <t>The manufacture of farinaceous products (for example: macaroni, noodles, or couscous).</t>
  </si>
  <si>
    <t>Includes, for example, the manufacture of: pastas such as macaroni and noodles, whether or not cooked or stuffed; couscous; and canned or frozen pasta products.</t>
  </si>
  <si>
    <t>FfnCode_pastaManufac</t>
  </si>
  <si>
    <t>peatExtraction</t>
  </si>
  <si>
    <t>Peat Extraction</t>
  </si>
  <si>
    <t>The digging and/or agglomeration of peat.</t>
  </si>
  <si>
    <t>FfnCode_peatExtraction</t>
  </si>
  <si>
    <t>pedestrianTransport</t>
  </si>
  <si>
    <t>Pedestrian Transport</t>
  </si>
  <si>
    <t>The transport of individuals on foot, and supporting activities.</t>
  </si>
  <si>
    <t>Includes, for example, the use of human-powered vehicles (for example: tricycles) or human-sized but self-powered vehicles (for example: a motorized wheelchair or Segway personal transportation device).</t>
  </si>
  <si>
    <t>FfnCode_pedestrianTransport</t>
  </si>
  <si>
    <t>petrolSale</t>
  </si>
  <si>
    <t>Petrol Sale</t>
  </si>
  <si>
    <t>The retail sale of fuel for motor vehicles.</t>
  </si>
  <si>
    <t>May also include retail sale of lubricating and/or cooling products for motor vehicles.</t>
  </si>
  <si>
    <t>FfnCode_petrolSale</t>
  </si>
  <si>
    <t>petroleumGasExtract</t>
  </si>
  <si>
    <t>Petroleum and/or Gas Extraction</t>
  </si>
  <si>
    <t>The production of crude petroleum, the mining and extraction of oil from oil shale and oil sands and the production of natural gas and recovery of hydrocarbon liquids.</t>
  </si>
  <si>
    <t>Includes the activities of operating and/or developing oil and gas field properties, for example: drilling, completing and equipping wells; operating separators, emulsion breakers, desilting equipment and field gathering lines for crude petroleum; and all other activities in the preparation of oil and gas up to the point of shipment from the producing property. Also includes the production of oil, the mining and extraction of oil from oil shale and oil sands and the production of gas and hydrocarbon liquids, through gasification, liquefaction and pyrolysis of coal at the mine site.</t>
  </si>
  <si>
    <t>FfnCode_petroleumGasExtract</t>
  </si>
  <si>
    <t>petroleumRefining</t>
  </si>
  <si>
    <t>Petroleum Refining</t>
  </si>
  <si>
    <t>The manufacture of liquid or gaseous fuels or other products from crude petroleum, bituminous minerals or their fractionation products.</t>
  </si>
  <si>
    <t>Petroleum refining involves one or more of the following activities: fractionation, straight distillation of crude oil, and cracking. Includes, for example: production of motor fuel (for example: gasoline or kerosene; production of fuel (for example: light, medium and heavy fuel oil; or refinery gases such as ethane, propane and butane); manufacture of oil-based lubricating oils or greases, including from waste oil; manufacture of products for the petrochemical industry and for the manufacture of road coverings; manufacture of various commercial products (for example: white spirit, vaseline, paraffin wax, or petroleum jelly; manufacture of hard-coal and lignite fuel briquettes; manufacture of petroleum briquettes; and the blending of alcohol-based biofuels (for example: gasohol or E85).</t>
  </si>
  <si>
    <t>FfnCode_petroleumRefining</t>
  </si>
  <si>
    <t>petShop</t>
  </si>
  <si>
    <t>Pet-shop</t>
  </si>
  <si>
    <t>Activities associated with the retail sales of animals to be kept as pets (for example: cats and dogs) and/or their supplies (for example: food and exercise equipment).</t>
  </si>
  <si>
    <t>Often requires cages, grooming equipment, and other non-typical retail equipment and spaces.</t>
  </si>
  <si>
    <t>Pet Store</t>
  </si>
  <si>
    <t>FfnCode_petShop</t>
  </si>
  <si>
    <t>Activities associated with the preparation and retail dispensing of medicines.</t>
  </si>
  <si>
    <t>Chemist, Dispensary, Drug-store</t>
  </si>
  <si>
    <t>FfnCode_pharmacy</t>
  </si>
  <si>
    <t>photography</t>
  </si>
  <si>
    <t>Photography</t>
  </si>
  <si>
    <t>Photographic activities including commercial (for example: advertising) and consumer (for example: portrait or wedding) photograph production, fine art photography, editorial photography, and photojournalism.</t>
  </si>
  <si>
    <t>FfnCode_photography</t>
  </si>
  <si>
    <t>pilotStation</t>
  </si>
  <si>
    <t>Pilot Station</t>
  </si>
  <si>
    <t>A position (for example: at sea or ashore) where maritime pilots are stationed and ready to board a vessel for pilotage.</t>
  </si>
  <si>
    <t>FfnCode_pilotStation</t>
  </si>
  <si>
    <t>pipelineTransport</t>
  </si>
  <si>
    <t>Pipeline Transport</t>
  </si>
  <si>
    <t>The transport of gases, liquids, water, slurry and other commodities via pipelines, and supporting activities.</t>
  </si>
  <si>
    <t>FfnCode_pipelineTransport</t>
  </si>
  <si>
    <t>placeOfWorship</t>
  </si>
  <si>
    <t>Place of Worship</t>
  </si>
  <si>
    <t>A place where religious worship is performed.</t>
  </si>
  <si>
    <t>Usually a building or similar structure is designed for this purpose.</t>
  </si>
  <si>
    <t>FfnCode_placeOfWorship</t>
  </si>
  <si>
    <t>plasticProdManufac</t>
  </si>
  <si>
    <t>Plastic Product Manufacture</t>
  </si>
  <si>
    <t>The processing of new or spent (recycled) plastics resins into intermediate or final products, using such processes as compression molding, extrusion molding, injection molding, blow molding, and casting.</t>
  </si>
  <si>
    <t>For most of these, the production process is such that a wide variety of products can be made. Includes, for example, the manufacture of: semi-manufactures of plastic products (for example: plastic plates, sheets, blocks, film, foil, or strip (whether self-adhesive or not); finished plastic products (for example: plastic tubes, pipes and hoses, or hose and pipe fittings); plastic articles for the packing of goods (for example: plastic bags, sacks, containers, boxes, cases, carboys, or bottles); builders' plastics ware (for example: plastic doors, windows, frames, shutters, blinds, skirting boards; tanks, reservoirs; plastic floor, wall or ceiling coverings in rolls or in the form of tiles; plastic sanitary ware like plastic baths, shower-baths, washbasins, lavatory pans, and flushing cisterns); plastic tableware, kitchenware and toilet articles; cellophane film or sheet; resilient floor coverings (for example: vinyl or linoleum); artificial stone; and diverse other plastic products (for example: plastic headgear, insulating fittings, parts of lighting fittings, office or school supplies, articles of apparel (if only sealed together, not sewn), fittings for furniture, statuettes, transmission and conveyer belts, self-adhesive tapes of plastic, wall paper, shoe lasts, cigar and cigarette holders, combs, hair curlers, or plastic novelties).</t>
  </si>
  <si>
    <t>FfnCode_plasticProdManufac</t>
  </si>
  <si>
    <t>pollingStation</t>
  </si>
  <si>
    <t>Polling Station</t>
  </si>
  <si>
    <t>The function of serving as a place where voters cast their ballots in an election.</t>
  </si>
  <si>
    <t>Polling stations are often located at sites used for other purposes, such as schools or local government offices. Typically, equipment used to collect ballots or cast votes is set up temporarily at the site.</t>
  </si>
  <si>
    <t>FfnCode_pollingStation</t>
  </si>
  <si>
    <t>portControl</t>
  </si>
  <si>
    <t>Port Control</t>
  </si>
  <si>
    <t>Coordinates arrangements for logistic support and port services to vessels and otherwise supports the control of port operations.</t>
  </si>
  <si>
    <t>FfnCode_portControl</t>
  </si>
  <si>
    <t>postalActivities</t>
  </si>
  <si>
    <t>Postal Activities</t>
  </si>
  <si>
    <t>Provides for the collection, processing and distribution of letters, packages and other mail.</t>
  </si>
  <si>
    <t>Often a government-furnished service, with commercial packaging and mailing services handled elsewhere.</t>
  </si>
  <si>
    <t>FfnCode_postalActivities</t>
  </si>
  <si>
    <t>powerGeneration</t>
  </si>
  <si>
    <t>Power Generation</t>
  </si>
  <si>
    <t>On-site generation of heat and/or electricity.</t>
  </si>
  <si>
    <t>FfnCode_powerGeneration</t>
  </si>
  <si>
    <t>preciousMetalMerchant</t>
  </si>
  <si>
    <t>Precious Metal Merchant</t>
  </si>
  <si>
    <t>The retail sale of precious metals (for example: gold, silver and platinum), usually in the form of coins or small amounts of bullion.</t>
  </si>
  <si>
    <t>Many be accompanied by wholesale business-to-business (industrial, commercial, institutional or professional users) activities or resale to other wholesalers.</t>
  </si>
  <si>
    <t>FfnCode_preciousMetalMerchant</t>
  </si>
  <si>
    <t>preparedMealManufac</t>
  </si>
  <si>
    <t>Prepared Meal Manufacture</t>
  </si>
  <si>
    <t>The manufacture of ready-made (for example: prepared, seasoned and cooked) meals and dishes, in frozen or canned form.</t>
  </si>
  <si>
    <t>These dishes are usually packaged and labeled for re-sale. They include, for example: fresh or frozen meat or poultry dishes; canned stews and vacuum-prepared meals; other prepared meals (for example: 'TV dinners'); frozen fish dishes, including fish and chips; prepared dishes of vegetables; and frozen pizza.</t>
  </si>
  <si>
    <t>FfnCode_preparedMealManufac</t>
  </si>
  <si>
    <t>primaryEducation</t>
  </si>
  <si>
    <t>Primary Education</t>
  </si>
  <si>
    <t>The provision of academic courses and associated course work that give students a sound basic education in reading, writing and mathematics and an elementary understanding of other subjects such as history, geography, natural science, social science, art and music.</t>
  </si>
  <si>
    <t>Such education is generally provided for children, however the provision of literacy programmes within or outside the school system, which are similar in content to programmes in primary education but are intended for those considered too old to enter elementary schools, is also included.Also included is the provision of programmes at a similar level, suited to children with special needs education.Education can be provided in classrooms or through radio, television broadcast, Internet or correspondence.</t>
  </si>
  <si>
    <t>FfnCode_primaryEducation</t>
  </si>
  <si>
    <t>printPublishing</t>
  </si>
  <si>
    <t>Print Publishing</t>
  </si>
  <si>
    <t>The activities of publishing newspapers, including advertising newspapers as well as periodicals and other journals.</t>
  </si>
  <si>
    <t>The information is usually published in print form, but may also (or alternatively) be published in electronic form, including on the Internet.</t>
  </si>
  <si>
    <t>FfnCode_printPublishing</t>
  </si>
  <si>
    <t>printing</t>
  </si>
  <si>
    <t>Printing</t>
  </si>
  <si>
    <t>An industrial process for reproducing copies of texts and images, typically with ink on paper using a printing press.</t>
  </si>
  <si>
    <t>Includes, for example, the printing of newspapers, magazines and other periodicals, books and brochures, music and music manuscripts, maps, atlases, posters, advertising catalogues, prospectuses and other printed advertising, postage stamps, taxation stamps, documents of title, cheques and other security papers, diaries, calendars, business forms and other commercial printed matter, personal stationery and other printed matter by a variety of methods (for example: letterpress, offset, photogravure, flexographic and other printing presse, duplication machine, computer printer, or embosser). The surfaces to be printed may include textiles, plastic, glass, metal, wood and ceramics.</t>
  </si>
  <si>
    <t>FfnCode_printing</t>
  </si>
  <si>
    <t>propaneSale</t>
  </si>
  <si>
    <t>Propane Sale</t>
  </si>
  <si>
    <t>The retail sale of liquefied propane fuel in pressurized hand-carry tanks.</t>
  </si>
  <si>
    <t>Propane is used as fuel for outdoor cooking in barbecues and portable stoves; the standard steel container holds 18 litre (4.73 U.S. gallon) and is often termed a 'barbecue tank'. Due to its low boiling point, it vaporizes as soon as it is released from its pressurized container.</t>
  </si>
  <si>
    <t>FfnCode_propaneSale</t>
  </si>
  <si>
    <t>psychiatricInPatientCare</t>
  </si>
  <si>
    <t>Psychiatric In-patient Care</t>
  </si>
  <si>
    <t>Provides psychiatric medical treatment for the ill on an in-patient basis.</t>
  </si>
  <si>
    <t>The patient generally stays many weeks or months at the facility.</t>
  </si>
  <si>
    <t>FfnCode_psychiatricInPatientCare</t>
  </si>
  <si>
    <t>publicHealthActivities</t>
  </si>
  <si>
    <t>Public Health Activities</t>
  </si>
  <si>
    <t>The organized effort(s) of society to protect and improve the health and well-being of the population through: health monitoring, assessment and surveillance; health promotion; reducing inequalities in health status; prevention of disease, injury, disorder, disability and premature death; and protection from environmental hazards to health.</t>
  </si>
  <si>
    <t>Accomplished through the organized efforts and informed choices of society, organizations (public and private), communities and individuals. Public health activities include epidemiology, biostatistics and health services, as well as environmental, social, behavioral, and occupational health.</t>
  </si>
  <si>
    <t>FfnCode_publicHealthActivities</t>
  </si>
  <si>
    <t>publicRecords</t>
  </si>
  <si>
    <t>Public Records</t>
  </si>
  <si>
    <t>The activity of keeping records that the general public has a right to examine on file in a public office.</t>
  </si>
  <si>
    <t>Public records may be maintained and held in many different physical forms including, for example, textual correspondence, completed paper documents, bound record books, photographs, film, sound recordings, map drawings, Compact Disc (CD) or Digital Versatile Disc (DVD), or other forms of machine-readable materials.</t>
  </si>
  <si>
    <t>FfnCode_publicRecords</t>
  </si>
  <si>
    <t>pumping</t>
  </si>
  <si>
    <t>Pumping</t>
  </si>
  <si>
    <t>The operation of pump stations associated with pipeline transport.</t>
  </si>
  <si>
    <t>FfnCode_pumping</t>
  </si>
  <si>
    <t>quarrying</t>
  </si>
  <si>
    <t>Quarrying</t>
  </si>
  <si>
    <t>The extraction from a mine or quarry or dredging from alluvial deposits of products used in construction (for example: sand or stone) or the manufacture of materials (for example: clay or gypsum).</t>
  </si>
  <si>
    <t>Processes used in the extraction of construction products include: quarrying, rough trimming and sawing of monumental and building stone such as marble, granite, or sandstone; quarrying, crushing and breaking of limestone; extraction and dredging of industrial sand, sand for construction and gravel; breaking and crushing of stone and gravel; and the quarrying of sand. Products used in the manufacture of materials include: gypsum and anhydrite; chalk and uncalcined dolomite; and clays, refractory clays and kaolin.</t>
  </si>
  <si>
    <t>FfnCode_quarrying</t>
  </si>
  <si>
    <t>radioBroadcasting</t>
  </si>
  <si>
    <t>Radio Broadcasting</t>
  </si>
  <si>
    <t>The activities of broadcasting audio signals through radio broadcasting studios and facilities for the transmission of aural programming to the public, to affiliates or to subscribers.</t>
  </si>
  <si>
    <t>May include the preparation of content (for example: in a news studio), radio broadcasting activities over the Internet (Internet radio stations), and/or data broadcasting integrated with radio broadcasting.</t>
  </si>
  <si>
    <t>FfnCode_radioBroadcasting</t>
  </si>
  <si>
    <t>railwayPassengerTransport</t>
  </si>
  <si>
    <t>Railway Passenger Transport</t>
  </si>
  <si>
    <t>The transport by rail of large groups of passengers.</t>
  </si>
  <si>
    <t>May involve either mainline networks, spread over an extensive geographic area, or operate over a short distance on a local rail line.</t>
  </si>
  <si>
    <t>FfnCode_railwayPassengerTransport</t>
  </si>
  <si>
    <t>railwayTransport</t>
  </si>
  <si>
    <t>Railway Transport</t>
  </si>
  <si>
    <t>The transport by rail of passengers and/or freight using railway rolling stock, and supporting activities.</t>
  </si>
  <si>
    <t>FfnCode_railwayTransport</t>
  </si>
  <si>
    <t>railwayVehicleManufac</t>
  </si>
  <si>
    <t>Railway Vehicle Manufacture</t>
  </si>
  <si>
    <t>The manufacture of railway locomotives, rolling stock and related equipment.</t>
  </si>
  <si>
    <t>Includes, for example, the manufacture of: electric, diesel, steam and other rail locomotives; self-propelled railway or tramway coaches, vans and trucks, maintenance or service vehicles; railway or tramway rolling stock, not self-propelled (for example: passenger coaches, goods vans, tank wagons, self-discharging vans and wagons, workshop vans, crane vans, or tenders); specialized parts of railway or tramway locomotives or of rolling stock (for example: bogies, axles and wheels, brakes and parts of brakes; hooks and coupling devices, buffers and buffer parts; shock absorbers; wagon and locomotive frames; bodies; or corridor connections). It also includes, for example, the manufacture of: mechanical and electromechanical signalling, safety and traffic control equipment for railways, tramways, inland waterways, roads, parking facilities, or airfields; and mining locomotives and mining rail cars.</t>
  </si>
  <si>
    <t>FfnCode_railwayVehicleManufac</t>
  </si>
  <si>
    <t>railwayVehicleRepair</t>
  </si>
  <si>
    <t>Railway Vehicle Repair</t>
  </si>
  <si>
    <t>The routine maintenance and/or repair of railway vehicles (for example: locomotives or railway wagons).</t>
  </si>
  <si>
    <t>FfnCode_railwayVehicleRepair</t>
  </si>
  <si>
    <t>raisingOfAnimals</t>
  </si>
  <si>
    <t>Raising of Animals</t>
  </si>
  <si>
    <t>The raising and breeding of all animals (for example: cattle, sheep, or pigs), except aquatic animals.</t>
  </si>
  <si>
    <t>FfnCode_raisingOfAnimals</t>
  </si>
  <si>
    <t>realEstateActivities</t>
  </si>
  <si>
    <t>Real Estate Activities</t>
  </si>
  <si>
    <t>Acting as lessors, agents and/or brokers in land along with anything permanently affixed to the land (for example: buildings).</t>
  </si>
  <si>
    <t>For example, selling or buying real estate, renting real estate, or providing other real estate services such as appraising real estate or acting as real estate escrow agents.</t>
  </si>
  <si>
    <t>FfnCode_realEstateActivities</t>
  </si>
  <si>
    <t>recreation</t>
  </si>
  <si>
    <t>Recreation</t>
  </si>
  <si>
    <t>The provision of recreational (for example: boating, camping, fishing, or dancing), amusement (for example: amusement or theme parks) and sports activities (for example: individual or team sports).</t>
  </si>
  <si>
    <t>Dramatic arts, music and other arts and entertainment (for example: theatrical presentations, concerts and opera or dance productions and other stage productions) are excluded.</t>
  </si>
  <si>
    <t>FfnCode_recreation</t>
  </si>
  <si>
    <t>refractoryProdManufac</t>
  </si>
  <si>
    <t>Refractory Product Manufacture</t>
  </si>
  <si>
    <t>The manufacture of refractory products used to resist heat (for example: used to line the inside walls of a furnace).</t>
  </si>
  <si>
    <t>Includes, for example, the manufacture of refractory mortars and concretes, as well as refractory ceramic goods (for example: heat-insulating ceramic goods of siliceous fossil meals; refractory bricks, blocks and tiles; and retorts, crucibles, muffles, nozzles, tubes, and pipes. it also includes the manufacture of refractory articles containing magnesite, dolomite or chromite.</t>
  </si>
  <si>
    <t>FfnCode_refractoryProdManufac</t>
  </si>
  <si>
    <t>refugeeShelter</t>
  </si>
  <si>
    <t>Refugee Shelter</t>
  </si>
  <si>
    <t>A temporary shelter for people to live whose claim for protection has been recognised as satisfying the criteria laid down in the 1951 United Nations Convention on Refugees.</t>
  </si>
  <si>
    <t>Often established by governments or non-governmental organizations (such as the International Committee of the Red Cross) as temporary camps, and thus often termed a 'refugee camp'. Refugee camps are generally set up in an impromptu fashion (for example: using tents), and only designed to meet basic human needs for a short time; when civil war or other problems prevent the return of refugees, or children essentially grow up in the camps, a humanitarian crisis can result.</t>
  </si>
  <si>
    <t>FfnCode_refugeeShelter</t>
  </si>
  <si>
    <t>religiousActivities</t>
  </si>
  <si>
    <t>Religious Activities</t>
  </si>
  <si>
    <t>Activities of religious organizations or individuals providing services either directly to worshippers (for example: in churches, mosques, temples, synagogues or other places of worship) or through the preparation of individuals for such service.</t>
  </si>
  <si>
    <t>Includes religious communities (for example: a convent or a monastery), religious retreats, and religious funeral service activities.</t>
  </si>
  <si>
    <t>FfnCode_religiousActivities</t>
  </si>
  <si>
    <t>rescueParamedical</t>
  </si>
  <si>
    <t>Rescue and Paramedical Services</t>
  </si>
  <si>
    <t>The administration and operation of specially trained rescue and paramedical personnel qualified to extract individuals from life-threatening situations and to administer emergency medical treatment.</t>
  </si>
  <si>
    <t>FfnCode_rescueParamedical</t>
  </si>
  <si>
    <t>residence</t>
  </si>
  <si>
    <t>Residence</t>
  </si>
  <si>
    <t>The provision of accommodation in the form of a long-term primary residence.</t>
  </si>
  <si>
    <t>Includes, for example: apartments, condominiums, houses (either attached or detached), and manufactured houses. May be rented or owner-occupied and each generally serves as the residence of a single (perhaps extended) family.</t>
  </si>
  <si>
    <t>FfnCode_residence</t>
  </si>
  <si>
    <t>residentialCare</t>
  </si>
  <si>
    <t>Residential Care</t>
  </si>
  <si>
    <t>The long-term provision of both accommodation and meals combined with either nursing, supervisory or other types of care as required by the residents.</t>
  </si>
  <si>
    <t>The care provided is a mix of health and social services with the health services being largely some level of nursing services.Residential care falls between the nursing care delivered in skilled or intermediate care facilities and the assistance provided through social services.</t>
  </si>
  <si>
    <t>FfnCode_residentialCare</t>
  </si>
  <si>
    <t>resortHotel</t>
  </si>
  <si>
    <t>Resort</t>
  </si>
  <si>
    <t>A specialized hotel, usually fashionable, where people go for vacation, health (for example: a spa), and/or participation sports activities (for example: skiing).</t>
  </si>
  <si>
    <t>A resort attempts to provide for most of a vacationer's wants within a self-contained complex providing hotel accomodation, restaurants, bars, recreation and sport facilities, entertainment venues, and shops.</t>
  </si>
  <si>
    <t>Lodge, Resort</t>
  </si>
  <si>
    <t>FfnCode_resortHotel</t>
  </si>
  <si>
    <t>The activity of providing food services to customers, whether they are served while seated or serve themselves from a display of items.</t>
  </si>
  <si>
    <t>The prepared meals are usually eaten on the premises, however they may be taken out to be eaten elsewhere. In some cases the meals may be ordered in advance and delivered to the customer location.</t>
  </si>
  <si>
    <t>FfnCode_restaurant</t>
  </si>
  <si>
    <t>restroom</t>
  </si>
  <si>
    <t>Restroom</t>
  </si>
  <si>
    <t>A location for practicing good hygiene in order to ensure personal cleanliness and promotion of health.</t>
  </si>
  <si>
    <t>Hygienic practices include washing of the hands and/or face, elimination of bodily wastes, and adjustment of personal appearance (for example: the use of a mirror to configure hair or apply make-up).</t>
  </si>
  <si>
    <t>Lavatory</t>
  </si>
  <si>
    <t>FfnCode_restroom</t>
  </si>
  <si>
    <t>retailBanking</t>
  </si>
  <si>
    <t>Retail Banking</t>
  </si>
  <si>
    <t>The receiving of deposits and/or close substitutes for deposits and extending of credit or lending funds.</t>
  </si>
  <si>
    <t>Credit Union, Savings Bank</t>
  </si>
  <si>
    <t>FfnCode_retailBanking</t>
  </si>
  <si>
    <t>retailService</t>
  </si>
  <si>
    <t>Retail Service</t>
  </si>
  <si>
    <t>Activities associated with the provision of retail services of unspecified nature.</t>
  </si>
  <si>
    <t>For example, laundry, media reproduction, clothing rental, and beauty treatment.</t>
  </si>
  <si>
    <t>FfnCode_retailService</t>
  </si>
  <si>
    <t>retailTelecom</t>
  </si>
  <si>
    <t>Retail Telecommunications</t>
  </si>
  <si>
    <t>The retail transmission and receipt of voice, data, text, sound and/or video by electronic means.</t>
  </si>
  <si>
    <t>For example, telephone and Internet access service.</t>
  </si>
  <si>
    <t>FfnCode_retailTelecom</t>
  </si>
  <si>
    <t>roadFreightTransport</t>
  </si>
  <si>
    <t>Road Freight Transport</t>
  </si>
  <si>
    <t>The transport by road of freight using motor vehicles (for example: trucks) specialized for that purpose.</t>
  </si>
  <si>
    <t>FfnCode_roadFreightTransport</t>
  </si>
  <si>
    <t>roadPassengerTransport</t>
  </si>
  <si>
    <t>Road Passenger Transport</t>
  </si>
  <si>
    <t>The transport by road of large groups of passengers using motor vehicles (for example: buses) specialized for that purpose.</t>
  </si>
  <si>
    <t>FfnCode_roadPassengerTransport</t>
  </si>
  <si>
    <t>roadTransport</t>
  </si>
  <si>
    <t>Road Transport</t>
  </si>
  <si>
    <t>The transport by road of passengers and/or freight using motor vehicles, and supporting activities.</t>
  </si>
  <si>
    <t>Included are: transport by private vehicles; taxi operations; scheduled bus services; charters, excursions and other occasional coach services; and commercial truck haulage (for example: retail products, bulk liquids, refrigerated produce, or waste).</t>
  </si>
  <si>
    <t>FfnCode_roadTransport</t>
  </si>
  <si>
    <t>rubberProdManufac</t>
  </si>
  <si>
    <t>Rubber Product Manufacture</t>
  </si>
  <si>
    <t>The manufacture of products of natural or synthetic rubber, unvulcanized, vulcanized or hardened.</t>
  </si>
  <si>
    <t>Includes, for example, the manufacture of: rubber tyres or tubes; rubber plates, sheets, strip, rods, or profile shapes; tubes, pipes and hoses; conveyor or transmission belts or belting; hygienic articles (for example: sheath contraceptives, teats, or hot water bottles); articles of apparel (if only sealed together, not sewn); rubber thread and rope; rubberized yarn and fabrics; rubber rings, fittings and seals; rubber roller coverings; inflatable rubber mattresses and balloons.; rubber brushes; hard rubber pipe stems; and hard rubber combs, hair pins, hair rollers, and similar items. It also includes the manufacture of: rubber repair materials; textile fabric impregnated, coated, covered or laminated with rubber, where rubber is the chief constituent; rubber waterbed mattresses; rubber bathing caps and aprons; and rubber wet suits and diving suits.</t>
  </si>
  <si>
    <t>FfnCode_rubberProdManufac</t>
  </si>
  <si>
    <t>salesYard</t>
  </si>
  <si>
    <t>Sales Yard</t>
  </si>
  <si>
    <t>The retail sale of sand, gravel, stone, brick, lumber and/or other similar bulk building materials.</t>
  </si>
  <si>
    <t>Because of the nature of the merchandise most is stored outside, possibly covered by a roof, thus the term 'yard'.</t>
  </si>
  <si>
    <t>FfnCode_salesYard</t>
  </si>
  <si>
    <t>saltExtraction</t>
  </si>
  <si>
    <t>Salt Extraction</t>
  </si>
  <si>
    <t>The extraction of salt from underground (for example: by mining or by dissolving and pumping) or by evaporation of sea water or other saline waters.</t>
  </si>
  <si>
    <t>Includes crushing, purification and refining of salt by the producer.</t>
  </si>
  <si>
    <t>FfnCode_saltExtraction</t>
  </si>
  <si>
    <t>satelliteGroundControl</t>
  </si>
  <si>
    <t>Satellite Ground Control</t>
  </si>
  <si>
    <t>The activities of command and control, tracking, and maintenance (for example: subsystem analysis, system planning and scheduling, orbit determination and maintenance, and data routing and control) of an artificial satellite in orbit from ground-based facilities.</t>
  </si>
  <si>
    <t>The ground control facility may also directly or indirectly support the overall satellite mission (for example: data and communication relay, or sophisticated data collection and processing).</t>
  </si>
  <si>
    <t>FfnCode_satelliteGroundControl</t>
  </si>
  <si>
    <t>satelliteTelecom</t>
  </si>
  <si>
    <t>Satellite Telecommunications</t>
  </si>
  <si>
    <t>The activities of operating, maintaining and/or providing access to facilities for the transmission of voice, data, text, sound, and video using a satellite telecommunications infrastructure.</t>
  </si>
  <si>
    <t>Includes, for example, the delivery of visual, aural or textual programming received from cable networks, local television stations, or radio networks to consumers via direct-to-home satellite systems as well as the provision of Internet access by the operator of the satellite infrastructure.</t>
  </si>
  <si>
    <t>FfnCode_satelliteTelecom</t>
  </si>
  <si>
    <t>sawmilling</t>
  </si>
  <si>
    <t>Sawmilling</t>
  </si>
  <si>
    <t>The sawmilling and planing of wood and related processes (for example: drying or preservative treatment) and products (for example: railway sleepers or flooring).</t>
  </si>
  <si>
    <t>Includes, for example: sawing, planing and machining of wood; slicing, peeling or chipping logs; manufacture of wooden railway sleepers; manufacture of unassembled wooden flooring; and manufacture of wood wool, wood flour, chips, and particles. It also includes the processes of drying of wood and impregnation or chemical treatment of wood with preservatives or other materials.</t>
  </si>
  <si>
    <t>FfnCode_sawmilling</t>
  </si>
  <si>
    <t>scientificResearchDevel</t>
  </si>
  <si>
    <t>Scientific Research and Development</t>
  </si>
  <si>
    <t>Future-oriented, longer-term activities in science or technology, using similar techniques to scientific research without pre-determined outcomes and with broad forecasts of commercial yield.</t>
  </si>
  <si>
    <t>Includes three types of research and development: 1) basic research: experimental or theoretical work undertaken primarily to acquire new knowledge of the underlying foundations of phenomena and observable facts, without particular application or use in view, 2) applied research: original investigation undertaken in order to acquire new knowledge, directed primarily towards a specific practical aim or objective and 3) experimental development: systematic work, drawing on existing knowledge gained from research and/or practical experience, directed to producing new materials, products and devices, to installing new processes, systems and services, and to improving substantially those already produced or installed.</t>
  </si>
  <si>
    <t>FfnCode_scientificResearchDevel</t>
  </si>
  <si>
    <t>seafoodProcessing</t>
  </si>
  <si>
    <t>Seafood Processing</t>
  </si>
  <si>
    <t>The processing and preserving of fish (for example: herring or salmon), crustaceans (for example: lobster or shrimp) and molluscs (for example: clams or oysters).</t>
  </si>
  <si>
    <t>Includes, for example: preparation and preservation (for example: by freezing, deep-freezing, drying, smoking, salting, immersing in brine, or canning); production of fish, crustacean and mollusc products (for example: cooked fish, fish fillets, roes, caviar, or caviar substitutes); production of fishmeal for human consumption or animal feed; and the production of meals and solubles from fish and other aquatic animals unfit for human consumption. It also includes, for example, the related activities of: activities of vessels engaged only in the processing and preserving of fish, and the processing of seaweed.</t>
  </si>
  <si>
    <t>FfnCode_seafoodProcessing</t>
  </si>
  <si>
    <t>secondaryEducation</t>
  </si>
  <si>
    <t>Secondary Education</t>
  </si>
  <si>
    <t>The provision of the type of education that lays the foundation for lifelong learning and human development and is capable of furthering education opportunities.</t>
  </si>
  <si>
    <t>Often corresponds to the period of compulsory school attendance.Such schools provide programmes that are usually on a more subject-oriented pattern using more specialized teachers, and more often employ several teachers conducting classes in their field of specialization.Education can be provided in classrooms or through radio, television broadcast, Internet or correspondence.</t>
  </si>
  <si>
    <t>FfnCode_secondaryEducation</t>
  </si>
  <si>
    <t>securityBrokerage</t>
  </si>
  <si>
    <t>Security Brokerage</t>
  </si>
  <si>
    <t>The operation of security and commodity brokerages dealing in financial markets on behalf of others (for example: stock broking) and related activities.</t>
  </si>
  <si>
    <t>FfnCode_securityBrokerage</t>
  </si>
  <si>
    <t>securityEnforcement</t>
  </si>
  <si>
    <t>Security Enforcement</t>
  </si>
  <si>
    <t>The administration and operation of security forces of limited jurisdiction (for example: airport police, campus police, hospital police or park police) who are employed by organizations to protect their facilities, properties, personnel, users, visitors and operations from harm.</t>
  </si>
  <si>
    <t>The forces may be certified by legal authorities to exercise limited police type powers (for example: crime prevention, arrest, law enforcement and investigation).</t>
  </si>
  <si>
    <t>FfnCode_securityEnforcement</t>
  </si>
  <si>
    <t>sewerage</t>
  </si>
  <si>
    <t>Sewerage</t>
  </si>
  <si>
    <t>The activities of operating sewer systems, sewer treatment facilities and /or collection and transport of human or industrial wastewater.</t>
  </si>
  <si>
    <t>Includes: collection and transport of wastewater from one or several users, as well as rain water by means of sewerage networks, collectors, tanks and other means of transport (for example: sewage vehicles); emptying and cleaning of cesspools and septic tanks, sinks and pits from sewage; servicing of chemical toilets; treatment of wastewater (including human and industrial wastewater) by means of physical, chemical and biological processes (for example: dilution, screening, filtering, sedimentation); and maintenance and cleaning of sewers and drains, including sewer rodding.</t>
  </si>
  <si>
    <t>FfnCode_sewerage</t>
  </si>
  <si>
    <t>sewerageScreening</t>
  </si>
  <si>
    <t>Sewerage Screening</t>
  </si>
  <si>
    <t>Pre-treatment of waste water by means screening and/or filtering non-soluble solids and trash before being treated by physical, chemical and/or biological processes.</t>
  </si>
  <si>
    <t>FfnCode_sewerageScreening</t>
  </si>
  <si>
    <t>shipConstruction</t>
  </si>
  <si>
    <t>Ship Construction</t>
  </si>
  <si>
    <t>The construction of ships, boats and other floating structures for transportation and other commercial purposes, as well as for sports and recreational purposes.</t>
  </si>
  <si>
    <t>FfnCode_shipConstruction</t>
  </si>
  <si>
    <t>The routine maintenance and repair of ships and/or pleasure boats.</t>
  </si>
  <si>
    <t>FfnCode_shipRepair</t>
  </si>
  <si>
    <t>shootingRange</t>
  </si>
  <si>
    <t>Shooting Range</t>
  </si>
  <si>
    <t>A specialized facility designed for firearms practice and competition.</t>
  </si>
  <si>
    <t>Indoor ranges are usually designed for stationary target practice while outdoor ranges may be designed for stationary target practice and additionally may support moving target practice (for example: skeet or trap shooting with clay targets).Pistols, rifles, airguns, semi-automatic, and/or fully-automatic weapons may be allowed.</t>
  </si>
  <si>
    <t xml:space="preserve">Firing Range, Shooting Gallery, Target Range </t>
  </si>
  <si>
    <t>FfnCode_shootingRange</t>
  </si>
  <si>
    <t>signalling</t>
  </si>
  <si>
    <t>Signalling</t>
  </si>
  <si>
    <t>The use of signals for controlling a transportation system.</t>
  </si>
  <si>
    <t>For example, station displays to advise passengers of vehicle arrival and/or departure times, railway signals to control use of track segments, and road signage to advise motorists of hazards, detours, and/or road closures.</t>
  </si>
  <si>
    <t>FfnCode_signalling</t>
  </si>
  <si>
    <t>silviculture</t>
  </si>
  <si>
    <t>Silviculture</t>
  </si>
  <si>
    <t>Controlling the establishment, growth, composition, health, and quality of forests to meet diverse needs and values of landowners and society on a sustainable basis.</t>
  </si>
  <si>
    <t>Includes, for example: growing of standing timber (for example: planting, replanting, transplanting, thinning and conserving of forests and timber tracts); growing of coppice, pulpwood and fire wood; and operation of forest tree nurseries. These activities can be carried out in natural or planted forests.</t>
  </si>
  <si>
    <t>FfnCode_silviculture</t>
  </si>
  <si>
    <t>socialWork</t>
  </si>
  <si>
    <t>Social Work</t>
  </si>
  <si>
    <t>Social, counselling, welfare, refugee, referral and similar services which are delivered to individuals and families in their homes or elsewhere and carried out by government offices or by private organizations, disaster relief organizations and national or local self-help organizations and by specialists providing counselling services.</t>
  </si>
  <si>
    <t>Includes, for example: welfare and guidance activities for children and adolescents; adoption activities; household budget counselling; marriage and family guidance; credit and debt counselling; vocational rehabilitation and habilitation activities for unemployed persons; eligibility determination in connection with welfare aid, rent supplements or food stamps; day facilities for the homeless and other socially weak groups; and charitable activities like fund-raising or other supporting activities aimed at social work.</t>
  </si>
  <si>
    <t>FfnCode_socialWork</t>
  </si>
  <si>
    <t>softDrinkManufac</t>
  </si>
  <si>
    <t>Soft Drink Manufacture</t>
  </si>
  <si>
    <t>The manufacture of soft drinks and the production of natural mineral waters and other bottled waters.</t>
  </si>
  <si>
    <t>Includes the manufacture of various non-alcoholic beverages (excepting non-alcoholic beer and wine) and non-alcoholic flavoured and/or sweetened waters; for example: lemonade, orangeade, cola, fruit drinks, or tonic waters.</t>
  </si>
  <si>
    <t>FfnCode_softDrinkManufac</t>
  </si>
  <si>
    <t>solidMineralFuelMining</t>
  </si>
  <si>
    <t>Solid Mineral Fuel Mining</t>
  </si>
  <si>
    <t>The extraction of solid mineral fuels (for example: coal or lignite) includes underground or open-cast mining and includes operations (for example: grading, cleaning, compressing and other steps necessary for transportation) leading to a marketable product.</t>
  </si>
  <si>
    <t>FfnCode_solidMineralFuelMining</t>
  </si>
  <si>
    <t>specializedStore</t>
  </si>
  <si>
    <t>Specialized Store</t>
  </si>
  <si>
    <t>The retail sale of a single product line, or a few closely related product lines, in the same unit.</t>
  </si>
  <si>
    <t>For example, a clothing store, sporting goods store, cellular telephone store or a packaging and shipping store.</t>
  </si>
  <si>
    <t>FfnCode_specializedStore</t>
  </si>
  <si>
    <t>spiritDistillery</t>
  </si>
  <si>
    <t>Spirit Distillery</t>
  </si>
  <si>
    <t>The distilling, rectifying and blending of spirits (for example: brandy, gin or whiskey) for human consumption.</t>
  </si>
  <si>
    <t>Includes, for example: manufacture of distilled, potable, alcoholic beverages (for example: whisky, brandy, gin, liqueurs, or 'mixed drinks'); blending of distilled spirits; and the production of neutral spirits.</t>
  </si>
  <si>
    <t>FfnCode_spiritDistillery</t>
  </si>
  <si>
    <t>A place that is used principally for performing and observing sporting events, but also may include training fields and related fitness facilities.</t>
  </si>
  <si>
    <t>Usually organized around a central stadium that may be located indoors (and then often termed an 'arena').</t>
  </si>
  <si>
    <t>Sports Complex, Sportsplex</t>
  </si>
  <si>
    <t>FfnCode_sportsCentre</t>
  </si>
  <si>
    <t>sportsGoodsManufac</t>
  </si>
  <si>
    <t>Sports Goods Manufacture</t>
  </si>
  <si>
    <t>This class includes the manufacture of articles and equipment for sports, outdoor and indoor games (except apparel and footwear).</t>
  </si>
  <si>
    <t>It includes, for example, the manufacture of: hard, soft and inflatable balls; rackets, bats and clubs; skis, bindings and poles; ski-boots; sailboards and surfboards; requisites for sport fishing, including landing nets; requisites for hunting, mountain climbing, and similar outdoor sports; leather sports gloves and sports headgear; ice skates and roller skates; bows and crossbows; and gymnasium, fitness centre or athletic equipment.</t>
  </si>
  <si>
    <t>FfnCode_sportsGoodsManufac</t>
  </si>
  <si>
    <t>station</t>
  </si>
  <si>
    <t>Station</t>
  </si>
  <si>
    <t>Activities associated with disembarking or taking on passengers or freight along a transportation route (for example: railway, pipeline, road, water or air).</t>
  </si>
  <si>
    <t>FfnCode_station</t>
  </si>
  <si>
    <t>steelMill</t>
  </si>
  <si>
    <t>Steel Mill</t>
  </si>
  <si>
    <t>The manufacture of basic iron and steel, including direct reduction of iron ore, production of pig iron in molten or solid form, conversion of pig iron into steel, manufacture of ferroalloys and manufacture of steel products (for example: railway track materials, seamless or welded steel tube, or tube fittings with flanges).</t>
  </si>
  <si>
    <t>The iron and steel produced is shipped in basic shapes such as plate, sheet, strip, bars, rods or wire.</t>
  </si>
  <si>
    <t>FfnCode_steelMill</t>
  </si>
  <si>
    <t>stoneProdManufac</t>
  </si>
  <si>
    <t>Stone Product Manufacture</t>
  </si>
  <si>
    <t>The cutting, shaping and finishing of stone articles for final use (for example: building facings, monuments, headstones, curbs, or road surfaces).</t>
  </si>
  <si>
    <t>Also includes the manufacture of stone furniture.</t>
  </si>
  <si>
    <t>FfnCode_stoneProdManufac</t>
  </si>
  <si>
    <t>Activities associated with disembarking or taking on passengers or freight at an intermediate point along a transportation route (for example: railway, pipeline, road, water or air).</t>
  </si>
  <si>
    <t>Usually having minimal (for example: a sign or shelter) or no associated facilities.</t>
  </si>
  <si>
    <t>FfnCode_stop</t>
  </si>
  <si>
    <t>structMetalProdManufac</t>
  </si>
  <si>
    <t>Structural Metal Product Manufacture</t>
  </si>
  <si>
    <t>The manufacture of structural metal products (for example: metal frameworks or parts for construction), metal container-type objects (for example: reservoirs, tanks, central heating boilers) and/or steam generators.</t>
  </si>
  <si>
    <t>Includes, for example, the manufacture of: metal frameworks or skeletons for construction and parts thereof (for example: towers, masts, trusses, or bridges); industrial frameworks in metal (for example: frameworks for blast furnaces or lifting and handling equipment); prefabricated buildings mainly of metal (for example: site huts or modular exhibition elements; metal doors, windows and their frames, shutters and gates; metal room partitions for floor attachment; reservoirs, tanks and similar containers of metal, of types normally installed as fixtures for storage or manufacturing use; metal containers for compressed or liquefied gas; central heating boilers and radiators; steam or other vapour generators; auxiliary plant for use with steam generators (for example: condensers, economizers, superheaters, steam collectors or accumulators); nuclear reactors, except isotope separators; and parts for marine or power boilers.</t>
  </si>
  <si>
    <t>FfnCode_structMetalProdManufac</t>
  </si>
  <si>
    <t>subnationalGovernment</t>
  </si>
  <si>
    <t>Subnational Government</t>
  </si>
  <si>
    <t>The performance of one or more functions of government (for example: executive, legislative, or judicial) at a subnational jurisdictional level.</t>
  </si>
  <si>
    <t>Subnational governments manage the principal administrative divisions of a nation. Common principal administrative subdivisions include, for example, a (US) state, (UK) county, (CA) province, (FR) departement, (CH) canton, or (GE) laender.</t>
  </si>
  <si>
    <t>FfnCode_subnationalGovernment</t>
  </si>
  <si>
    <t>sugarManufac</t>
  </si>
  <si>
    <t>Sugar Manufacture</t>
  </si>
  <si>
    <t>The manufacture of sugar in various forms (for example: granulated or syrup).</t>
  </si>
  <si>
    <t>Includes, for example: manufacture or refining of sugar (sucrose) and sugar substitutes from the juice of cane, beet, maple and palm; manufacture of sugar syrups and molasses; and the production of maple syrup and maple sugar.</t>
  </si>
  <si>
    <t>FfnCode_sugarManufac</t>
  </si>
  <si>
    <t>sugarMilling</t>
  </si>
  <si>
    <t>Sugar Milling</t>
  </si>
  <si>
    <t>The manufacture of raw sugar from sugar cane.</t>
  </si>
  <si>
    <t>The sugar cane stalks are washed, then chopped and shredded, then repeatedly mixed with water and crushed between rollers; the collected juices contain 10 to 15 percent sucrose. The remaining fibrous solids and termed 'bagasse' and are often burnt for fuel. Filtering, pH adjustment, clarification, evaporation and crystallization result in raw sugar that is yellow to brown in color.</t>
  </si>
  <si>
    <t>FfnCode_sugarMilling</t>
  </si>
  <si>
    <t>sugarRefining</t>
  </si>
  <si>
    <t>Sugar Refining</t>
  </si>
  <si>
    <t>The manufacture of refined sugar from raw sugar.</t>
  </si>
  <si>
    <t>The raw sugar is mixed with heavy syrup, centrifuged, separated, dissolved, treated, filtered, concentrated to supersaturation and then repeatedly crystallized under vacuum to produce white refined sugar. To produce granulated sugar in which the individual sugar grains do not clump together, the refined sugar must be completely dried. This is accomplished first by drying the sugar in a hot rotary dryer, and then by conditioning the sugar by blowing cool air through it for several days.</t>
  </si>
  <si>
    <t>FfnCode_sugarRefining</t>
  </si>
  <si>
    <t>surveying</t>
  </si>
  <si>
    <t>Surveying</t>
  </si>
  <si>
    <t>The provision of geophysical, geologic, seismic and geodetic surveying and mapping services.</t>
  </si>
  <si>
    <t>Includes, for example: land and boundary surveying, hydrologic surveying, subsurface surveying, and cartographic and spatial information activities.</t>
  </si>
  <si>
    <t>FfnCode_surveying</t>
  </si>
  <si>
    <t>telecommunications</t>
  </si>
  <si>
    <t>Telecommunications</t>
  </si>
  <si>
    <t>The transmission and receipt of voice, data, text, sound and/or video by electronic means.</t>
  </si>
  <si>
    <t>For example, telegraphy, television broadcasting, satellite radio, digital mobile phone service, and the Internet.</t>
  </si>
  <si>
    <t>FfnCode_telecommunications</t>
  </si>
  <si>
    <t>televisionBroadcasting</t>
  </si>
  <si>
    <t>Television Broadcasting</t>
  </si>
  <si>
    <t>The activities of television channels broadcasting images, together with sound and/or data, through television broadcasting studios and transmission of programming over the public airwaves.</t>
  </si>
  <si>
    <t>May include the preparation of content (for example: in a news studio). The schedule of programming may be self produced or acquired from others, and visual programming may be transmitted to affiliated broadcast television stations, which in turn broadcast the programs to the public on a predetermined schedule over cable or the internet.</t>
  </si>
  <si>
    <t>FfnCode_televisionBroadcasting</t>
  </si>
  <si>
    <t>terminal</t>
  </si>
  <si>
    <t>Terminal</t>
  </si>
  <si>
    <t>Serving to terminate one or more transportation routes (for example: railway, pipeline, road, water or air) and including facilities for disembarking and/or taking on passengers or freight.</t>
  </si>
  <si>
    <t>Usually has extensive associated facilities for vehicle parking, ticket sales, freight expediting, and/or freight storage (for example: warehouses or storage tanks). Often intermodal, supporting the transfer of passengers or freight from one transportation modality to another (for example: from motor vehicle to air vehicle, or from pipeline to tanker vessel).</t>
  </si>
  <si>
    <t>FfnCode_terminal</t>
  </si>
  <si>
    <t>textileManufac</t>
  </si>
  <si>
    <t>Textile Manufacture</t>
  </si>
  <si>
    <t>The preparation and spinning of textile fibres as well as textile weaving, finishing of textiles, and the manufacture of made-up textile articles (for example: household linen, blankets, rugs, or cordage) except wearing apparel.</t>
  </si>
  <si>
    <t>FfnCode_textileManufac</t>
  </si>
  <si>
    <t>theatre</t>
  </si>
  <si>
    <t>Theatre</t>
  </si>
  <si>
    <t>A place (for example: a building, a structure, or an outdoor setting) for live theatrical presentations, concerts, opera or dance productions and/or other stage productions.</t>
  </si>
  <si>
    <t>May also be used to host other cultural events (for example: lectures or the presentation of motion pictures).</t>
  </si>
  <si>
    <t>FfnCode_theatre</t>
  </si>
  <si>
    <t>tobaccoProdManufac</t>
  </si>
  <si>
    <t>Tobacco Product Manufacture</t>
  </si>
  <si>
    <t>The processing of an agricultural product, tobacco, into a form suitable for final consumption.</t>
  </si>
  <si>
    <t>Includes, for example, the manufacture of tobacco products and products of tobacco substitutes (for example: cigarettes, cigarette tobacco, cigars, pipe tobacco, chewing tobacco, or snuff) as well as the manufacture of 'homogenized' or 'reconstituted' tobacco. It also inclused the process of stemming and redrying of tobacco.</t>
  </si>
  <si>
    <t>FfnCode_tobaccoProdManufac</t>
  </si>
  <si>
    <t>transferHub</t>
  </si>
  <si>
    <t>Transfer Hub</t>
  </si>
  <si>
    <t>Allows for the transfer of passengers and/or freight between two or more transportation routes (for example: railway, pipeline, road, water or air) of the same type.</t>
  </si>
  <si>
    <t>There are no facilities for disembarking and/or taking on passengers or freight; all transport passes continuously through the hub and on to the destination. The transfer may be controlled, for example by: signs, signals, gates, and/or valves. For example, a road interchange, a railway switching point between railway lines, a pipeline junction, and a basin at the junction of waterways.</t>
  </si>
  <si>
    <t>FfnCode_transferHub</t>
  </si>
  <si>
    <t>transport</t>
  </si>
  <si>
    <t>Transport</t>
  </si>
  <si>
    <t>The provision of passenger and/or freight transport by railway, pipeline, road, water or air and associated activities (for example: terminal and parking facilities, cargo handling, or storage).</t>
  </si>
  <si>
    <t>FfnCode_transport</t>
  </si>
  <si>
    <t>transportSystemMaint</t>
  </si>
  <si>
    <t>Transport System Maintenance</t>
  </si>
  <si>
    <t>The routine maintenance and/or repair of transport systems (for example: railways, pipelines, or roads) and their associated stations and/or terminals (for example: ferry docks or runways).</t>
  </si>
  <si>
    <t>FfnCode_transportSystemMaint</t>
  </si>
  <si>
    <t>travelAgency</t>
  </si>
  <si>
    <t>Travel Agency</t>
  </si>
  <si>
    <t>The activities of agencies, primarily engaged in selling travel, tour, transportation and accommodation services on a wholesale or retail basis to the general public and commercial clients.</t>
  </si>
  <si>
    <t>FfnCode_travelAgency</t>
  </si>
  <si>
    <t>urgentMedicalCare</t>
  </si>
  <si>
    <t>Urgent Medical Care</t>
  </si>
  <si>
    <t>The provision of ambulatory medical care outside of a hospital emergency department on a walk-in basis without a scheduled appointment.</t>
  </si>
  <si>
    <t>Urgent medical care activities treat many problems that can be seen in a primary care physician's office, but include some services that are generally not available in primary care physician offices, for example, X-Ray facilities allow for treatment of minor fractures and foreign bodies, and minor trauma rooms allow for repair of minor and moderate-severity lacerations.</t>
  </si>
  <si>
    <t>FfnCode_urgentMedicalCare</t>
  </si>
  <si>
    <t>utilities</t>
  </si>
  <si>
    <t>Utilities</t>
  </si>
  <si>
    <t>The activities of either providing electric power, natural gas, or temperature-controlled (for example: chilled, hot or steam) or purified water, or collecting, treating, and disposing of sewage through a permanent infrastructure (network) of lines, mains and pipes, or waste treatment and disposal or materials recovery.</t>
  </si>
  <si>
    <t>This infrastructure is generally operated on a communal basis for both domestic and industrial needs.</t>
  </si>
  <si>
    <t>FfnCode_utilities</t>
  </si>
  <si>
    <t>A private weekend and/or summer season holiday residence.</t>
  </si>
  <si>
    <t>May be attached, or detached, from adjacent residences. They are generally located in or near areas of scenic beauty (for example: lakes, rivers, oceans, or wilderness areas) and are often utilized for outdoor recreational activities (for example: fishing, hiking, or sailing).</t>
  </si>
  <si>
    <t>Holiday Home</t>
  </si>
  <si>
    <t>FfnCode_vacationCottage</t>
  </si>
  <si>
    <t>veterinary</t>
  </si>
  <si>
    <t>Veterinary</t>
  </si>
  <si>
    <t>The provision of animal health care and control activities for farm animals or pet animals.</t>
  </si>
  <si>
    <t>FfnCode_veterinary</t>
  </si>
  <si>
    <t>vocationalEducation</t>
  </si>
  <si>
    <t>Vocational Education</t>
  </si>
  <si>
    <t>The provision of courses and course work that prepares students for jobs that are based in manual or practical activities, traditionally non-academic and related to a specific trade, occupation or vocation in which the learner participates.</t>
  </si>
  <si>
    <t>It is sometimes referred to as technical education, as the learner directly develops expertise in a particular group of techniques or technology.</t>
  </si>
  <si>
    <t>FfnCode_vocationalEducation</t>
  </si>
  <si>
    <t>warehousingStorage</t>
  </si>
  <si>
    <t>Warehousing and Storage</t>
  </si>
  <si>
    <t>The operation of storage and/or warehouse facilities for all kind of goods (for example: grain silos, general merchandise warehouses, refrigerated warehouses, or storage tanks).</t>
  </si>
  <si>
    <t>FfnCode_warehousingStorage</t>
  </si>
  <si>
    <t>wasteTreatmentDisposal</t>
  </si>
  <si>
    <t>Waste Treatment and Disposal</t>
  </si>
  <si>
    <t>The disposal, and treatment prior to disposal, of various forms of waste other than sewerage.</t>
  </si>
  <si>
    <t>Partial or complete dismantling and separation of hazardous components may take place before separate disposal. Waste treatment methods include: burial or ploughing-under, chemical treatment, combustion, composting, dumping on land or in water, encapsulation, and incineration.</t>
  </si>
  <si>
    <t>FfnCode_wasteTreatmentDisposal</t>
  </si>
  <si>
    <t>waterCollection</t>
  </si>
  <si>
    <t>Water Collection</t>
  </si>
  <si>
    <t>The collection of water for domestic and industrial needs.</t>
  </si>
  <si>
    <t>Includes the collection of water from rivers, lakes, reservoirs, wells and/or directly as rain water (for example: using cisterns) as well as its movement to point(s) of treatment.</t>
  </si>
  <si>
    <t>FfnCode_waterCollection</t>
  </si>
  <si>
    <t>The distribution of water for domestic and industrial needs.</t>
  </si>
  <si>
    <t>Includes the distribution of water through mains (but not including long-distance transport of water via pipelines), by trucks or other means, and the operation of irrigation canals (but not including the operation of irrigation equipment for agricultural purposes).</t>
  </si>
  <si>
    <t>FfnCode_waterDistribution</t>
  </si>
  <si>
    <t>waterPark</t>
  </si>
  <si>
    <t>Water Park</t>
  </si>
  <si>
    <t>A place for amusement or recreation that includes water as a predominant and essential part of the recreational foundation.</t>
  </si>
  <si>
    <t>Includes, but not limited to, the structure(s) and associated equipment such as water rides, water attractions, and pools, that are used in water-based amusement activities.</t>
  </si>
  <si>
    <t>FfnCode_waterPark</t>
  </si>
  <si>
    <t>waterTransport</t>
  </si>
  <si>
    <t>Water Transport</t>
  </si>
  <si>
    <t>The transport of passengers and/or freight using water vehicles (for example: ships or hovercraft), and supporting activities.</t>
  </si>
  <si>
    <t>Included are: the operation of towing or pushing boats; excursion, cruise or sightseeing boats; ferries; and water taxis.</t>
  </si>
  <si>
    <t>FfnCode_waterTransport</t>
  </si>
  <si>
    <t>waterTreatment</t>
  </si>
  <si>
    <t>Water Treatment</t>
  </si>
  <si>
    <t>The treatment of water for domestic and industrial needs.</t>
  </si>
  <si>
    <t>Includes the purification of water for water supply purposes, the treatment of water for industrial and other purposes, and the desalting of sea or ground water to produce water as the principal product of interest.</t>
  </si>
  <si>
    <t>FfnCode_waterTreatment</t>
  </si>
  <si>
    <t>weatherStation</t>
  </si>
  <si>
    <t>Weather Station</t>
  </si>
  <si>
    <t>An observation station where meteorological data are gathered, recorded, and released.</t>
  </si>
  <si>
    <t>FfnCode_weatherStation</t>
  </si>
  <si>
    <t>wholesaleMerchant</t>
  </si>
  <si>
    <t>Wholesale Merchant</t>
  </si>
  <si>
    <t>Activities associated with the bulk purchase of goods from suppliers and subsequent sale in smaller lots to clients (for example: retail merchants), generally operating from a warehouse where the goods are temporarily stored before distribution.</t>
  </si>
  <si>
    <t>They take title to the goods they sell and while usually shipping from their own inventory they may alternatively arrange for the shipment of goods directly from the supplier to the client. In addition to the sale of goods, they may provide, or arrange for the provision of, logistics, marketing and support services, such as packaging and labelling, inventory management, shipping, handling of warranty claims, in-store or co-op promotions, and product training.</t>
  </si>
  <si>
    <t>Wholesale Distributor</t>
  </si>
  <si>
    <t>FfnCode_wholesaleMerchant</t>
  </si>
  <si>
    <t>windTunnel</t>
  </si>
  <si>
    <t>Wind Tunnel</t>
  </si>
  <si>
    <t>A tunnel-like apparatus for producing an air-stream of known velocity past models (for example: of aircraft and/or buildings) in the study of wind flow or wind effects on the full-size object.</t>
  </si>
  <si>
    <t>FfnCode_windTunnel</t>
  </si>
  <si>
    <t>winery</t>
  </si>
  <si>
    <t>Winery</t>
  </si>
  <si>
    <t>The manufacture of wine and related fermented products.</t>
  </si>
  <si>
    <t>Includes, for example, the manufacture of: wine; sparkling wine; wine from concentrated grape must; fermented but not distilled alcoholic beverages (for example: sake, cider, perry, mead, other fruit wines and mixed beverages containing alcohol); vermouth and similer flavoured wines. It also includes the blending of wine and the manufacture of low or non-alcoholic wine.</t>
  </si>
  <si>
    <t>FfnCode_winery</t>
  </si>
  <si>
    <t>wiredRepeater</t>
  </si>
  <si>
    <t>Wired Repeater</t>
  </si>
  <si>
    <t>Receives a weak or low-level wired (for example: copper wire or fibre optic) telecommunication signal and retransmits it at a higher level or higher power, so that the signal can cover longer distances without degradation.</t>
  </si>
  <si>
    <t>Repeaters (termed 'boosters') are often used in trans-continental and trans-oceanic cables, because the attenuation (signal loss) over such distances would be completely unacceptable without them. Digital Subscriber Line (DSL) repeaters are installed every 3 kilometres (approximately 10,000 feet) or so along telephone trunk lines to allow the digital data transmission signals to travel longer distances to remote customers.</t>
  </si>
  <si>
    <t>FfnCode_wiredRepeater</t>
  </si>
  <si>
    <t>wiredTelecom</t>
  </si>
  <si>
    <t>Wired Telecommunications</t>
  </si>
  <si>
    <t>The activities of operating, maintaining and/or providing access to facilities for the transmission of voice, data, text, sound, and video using a wired (for example: copper wire or fibre optic) telecommunications infrastructure.</t>
  </si>
  <si>
    <t>The transmission facilities that carry out these activities may be based on a single technology or a combination of technologies. Includes, for example: switching and transmission facilities to provide point-to-point communications via landlines, microwave, or a combination of landlines and satellite linkups; cable distribution systems (for example: for distribution of data and television signals); furnishing telegraph and other non-vocal communications; and the provision of Internet access by the operator of the wired infrastructure.</t>
  </si>
  <si>
    <t>FfnCode_wiredTelecom</t>
  </si>
  <si>
    <t>wirelessRepeater</t>
  </si>
  <si>
    <t>Wireless Repeater</t>
  </si>
  <si>
    <t>A combination of a receiver and a transmitter that receives a weak or low-level telecommunication signal and retransmits it at a higher level or higher power, so that the signal can cover longer distances without degradation.</t>
  </si>
  <si>
    <t>Wireless repeaters are used extensively (for example: in dispatching, amateur radio, and emergency services communications) to relay radio signals across a wider area. With most emergency dispatching systems (for example: police, fire brigade, ambulance, taxicab, tow truck, and other services), the repeater is synonymous with the base station, which performs both functions. A duplex repeater uses two radio frequencies; an 'Input' frequency, which it monitors for signals, and an 'Output' frequency, on which it retransmits the received signals at a higher power or higher altitude. Full-duplex repeators are commonly used in radio and television broadcasting in mountainous regions (termed 'broadcast translator' or 'broadcast repeator').</t>
  </si>
  <si>
    <t>FfnCode_wirelessRepeater</t>
  </si>
  <si>
    <t>wirelessTelecom</t>
  </si>
  <si>
    <t>Wireless Telecommunications</t>
  </si>
  <si>
    <t>The activities of operating, maintaining and/or providing access to facilities for the transmission of voice, data, text, sound, and video using a wireless telecommunications infrastructure.</t>
  </si>
  <si>
    <t>These facilities provide omnidirectional transmission via airwaves and they may be based on a single technology or a combination of technologies. Includes, for example, operating paging as well as cellular and other wireless telecommunications networks as well as the provision of Internet access by the operator of the wireless infrastructure.</t>
  </si>
  <si>
    <t>FfnCode_wirelessTelecom</t>
  </si>
  <si>
    <t>woodConstructProdManufac</t>
  </si>
  <si>
    <t>Wooden Construction Product Manufacture</t>
  </si>
  <si>
    <t>The manufacture of wooden goods intended to be used primarily in the construction industry.</t>
  </si>
  <si>
    <t>Includes, for example, the manufacture of: beams, rafters, roof struts; glue-laminated and metal connected, prefabricated wooden roof trusses; doors, windows, shutters and their frames, whether or not containing metal fittings (for example: hinges or locks); stairs and railings; wooden beadings and mouldings, shingles and shakes; and parquet floor blocks or strips assembled into panels. It also includes, for example, the related activities of: manufacture of prefabricated buildings, or elements thereof, predominantly of wood; manufacture of mobile homes; and the manufacture of wood partitions (except free standing).</t>
  </si>
  <si>
    <t>FfnCode_woodConstructProdManufac</t>
  </si>
  <si>
    <t>A club ostensibly for the owners and/or sailors of yachts but more generally serving as a social club for boating enthusiasts.</t>
  </si>
  <si>
    <t>Yacht-clubs may encompass any type of boating activity (for example: racing) and are often associated with a particular marina or port.</t>
  </si>
  <si>
    <t>FfnCode_yachtClub</t>
  </si>
  <si>
    <t>The usual vertical axis of the feature is perpendicular to the vertical.</t>
  </si>
  <si>
    <t>FvoCode_horizontal</t>
  </si>
  <si>
    <t>inverted</t>
  </si>
  <si>
    <t>Inverted</t>
  </si>
  <si>
    <t>The feature is upside down.</t>
  </si>
  <si>
    <t>FvoCode_inverted</t>
  </si>
  <si>
    <t>leaning</t>
  </si>
  <si>
    <t>Leaning</t>
  </si>
  <si>
    <t>The feature is standing but its usual vertical axis is not aligned with the vertical.</t>
  </si>
  <si>
    <t>FvoCode_leaning</t>
  </si>
  <si>
    <t>onside</t>
  </si>
  <si>
    <t>On side</t>
  </si>
  <si>
    <t>The feature is lying on its side.</t>
  </si>
  <si>
    <t>FvoCode_onside</t>
  </si>
  <si>
    <t>upright</t>
  </si>
  <si>
    <t>Upright</t>
  </si>
  <si>
    <t>The feature is standing upright, its normal orientation.</t>
  </si>
  <si>
    <t>Its usual vertical axis is aligned with the vertical.</t>
  </si>
  <si>
    <t>FvoCode_upright</t>
  </si>
  <si>
    <t>animalContainment</t>
  </si>
  <si>
    <t>Animal Containment</t>
  </si>
  <si>
    <t>A fence designed to keep animals either contained inside of or excluded from an area.</t>
  </si>
  <si>
    <t>It must be of sufficient strength and size (including mesh size) to prevent the passage of the species to be restricted. An example of containment is a livestock fence; an example of exclusion is a rabbit or deer fence.</t>
  </si>
  <si>
    <t>FefCode_animalContainment</t>
  </si>
  <si>
    <t>erosionControl</t>
  </si>
  <si>
    <t>Erosion-control</t>
  </si>
  <si>
    <t>Low fencing designed to restrict water erosion.</t>
  </si>
  <si>
    <t>It is emplaced so as to surround a region where the soil has been disturbed (for example: a construction site) and is generally temporary in nature. It is typically less than 1 metre in height, supported by spaced stakes, and often constructed from a fabric that allows the slow passage of water.</t>
  </si>
  <si>
    <t>FefCode_erosionControl</t>
  </si>
  <si>
    <t>exclusion</t>
  </si>
  <si>
    <t>Exclusion</t>
  </si>
  <si>
    <t>A fence designed to prohibit people from entering an area.</t>
  </si>
  <si>
    <t>Often temporary, it may be primarily a visual marker (for example: a well-marked ribbon or tape suspended from spaced poles or a row of traffic cones) or it may provide a more significant physical barrier (for example: a line of 'saw horse' barricades or temporary chain-link panels) to crossing into the prohibited area.</t>
  </si>
  <si>
    <t>Crowd-control</t>
  </si>
  <si>
    <t>FefCode_exclusion</t>
  </si>
  <si>
    <t>A fence designed to securely preclude entry into an area.</t>
  </si>
  <si>
    <t>The physical barrier may be accomplished solely by the passive strength of the fence (for example: a chain-link mesh) and/or by specific deterrent features (for example: barbed wire or electrification).</t>
  </si>
  <si>
    <t>FefCode_security</t>
  </si>
  <si>
    <t>wind</t>
  </si>
  <si>
    <t>Wind</t>
  </si>
  <si>
    <t>Fencing emplaced so as to prevent wind-induced drifting of loose terrain surface material (for example: snow or sand).</t>
  </si>
  <si>
    <t>Typically 1 to 3 metres in height and often constructed from spaced vertical slats. Sand fences are generally permanent in nature, intended to promote dune formation, and often placed along the margins of beaches and/or adjacent to roads and walkways. Snow fences may only be emplaced seasonally and are generally located adjacent to roads and walkways.</t>
  </si>
  <si>
    <t>Snow, Sand</t>
  </si>
  <si>
    <t>FefCode_wind</t>
  </si>
  <si>
    <t>Barbed wire is also used as an obstruction in war.</t>
  </si>
  <si>
    <t>FtiCode_barbedWire</t>
  </si>
  <si>
    <t>FtiCode_chainLink</t>
  </si>
  <si>
    <t>FtiCode_electricWire</t>
  </si>
  <si>
    <t>geotextile</t>
  </si>
  <si>
    <t>Geotextile</t>
  </si>
  <si>
    <t>Constructed of synthetic fibers manufactured in a woven or loose nonwoven manner to form a blanket-like material.</t>
  </si>
  <si>
    <t>Typically made from polypropylene or polyester, geotextile fabrics come in three basic forms: woven (looks like mail bag sacking), needle punched (looks like felt), or heat bonded (looks like ironed felt). Most commonly used as a soil reinforcement agent and as a filter medium.</t>
  </si>
  <si>
    <t>FtiCode_geotextile</t>
  </si>
  <si>
    <t>Constructed of stones, usually quarried, shaped, and mortared.</t>
  </si>
  <si>
    <t>FtiCode_masonry</t>
  </si>
  <si>
    <t>Constructed of metal, usually in the form of bars or tubes, in a variety of styles depending on the locale and intended use.</t>
  </si>
  <si>
    <t>FtiCode_metal</t>
  </si>
  <si>
    <t>netting</t>
  </si>
  <si>
    <t>Netting</t>
  </si>
  <si>
    <t>Constructed of a woven, knit, or knotted material of open texture with evenly spaced holes (openings).</t>
  </si>
  <si>
    <t>Modern fence netting is typically made of material derived from synthetic polymers.</t>
  </si>
  <si>
    <t>FtiCode_netting</t>
  </si>
  <si>
    <t>Constructed of loose stones, generally those gathered from an adjacent field.</t>
  </si>
  <si>
    <t>Typically used to separate adjoining fields, often those of separate farms.</t>
  </si>
  <si>
    <t>FtiCode_rock</t>
  </si>
  <si>
    <t>Constructed of wood in a variety of styles depending on the locale and intended use.</t>
  </si>
  <si>
    <t>FtiCode_wood</t>
  </si>
  <si>
    <t>A ferry that follows a fixed route guided by a cable.</t>
  </si>
  <si>
    <t>FerCode_cable</t>
  </si>
  <si>
    <t>freeMoving</t>
  </si>
  <si>
    <t>Free-moving</t>
  </si>
  <si>
    <t>A ferry that may have routes that vary with weather, tide and traffic.</t>
  </si>
  <si>
    <t>FerCode_freeMoving</t>
  </si>
  <si>
    <t>A winter-time ferry that crosses a lead.</t>
  </si>
  <si>
    <t>FerCode_ice</t>
  </si>
  <si>
    <t>circling</t>
  </si>
  <si>
    <t>Circling</t>
  </si>
  <si>
    <t>An extension of an instrument approach procedure which provides for visual circling of the aerodrome prior to landing.</t>
  </si>
  <si>
    <t>FapCode_circling</t>
  </si>
  <si>
    <t>sidestep</t>
  </si>
  <si>
    <t>Sidestep</t>
  </si>
  <si>
    <t>A visual alignment manoeuvre required by a pilot executing an approach to one runway and cleared to land on a parallel runway.</t>
  </si>
  <si>
    <t>FapCode_sidestep</t>
  </si>
  <si>
    <t>straightIn</t>
  </si>
  <si>
    <t>Straight In</t>
  </si>
  <si>
    <t>A descent in an approved procedure where the navigation facility alignment is normally on the runway centerline, and glide slope (GS) information is provided.</t>
  </si>
  <si>
    <t>Final approach path is straight in to a landing surface (S 9R).</t>
  </si>
  <si>
    <t>FapCode_straightIn</t>
  </si>
  <si>
    <t>driftNet</t>
  </si>
  <si>
    <t>Drift-net</t>
  </si>
  <si>
    <t>A large net kept upright by weights at the bottom and floats at the top and allowed to drift with the tide.</t>
  </si>
  <si>
    <t>FfcCode_driftNet</t>
  </si>
  <si>
    <t>A structure (usually portable) for catching fish.</t>
  </si>
  <si>
    <t>FfcCode_fishTrap</t>
  </si>
  <si>
    <t>fishWeir</t>
  </si>
  <si>
    <t>A fence of stakes or stones set in a river or along the shore to trap fish.</t>
  </si>
  <si>
    <t>FfcCode_fishWeir</t>
  </si>
  <si>
    <t>fishingStake</t>
  </si>
  <si>
    <t>Fishing Stake</t>
  </si>
  <si>
    <t>A pole or stake placed in shallow water to outline a fishing ground or to catch fish.</t>
  </si>
  <si>
    <t>FfcCode_fishingStake</t>
  </si>
  <si>
    <t>longLine</t>
  </si>
  <si>
    <t>Long-line</t>
  </si>
  <si>
    <t>A long fishing line with many hooks attached.</t>
  </si>
  <si>
    <t>Long Line</t>
  </si>
  <si>
    <t>FfcCode_longLine</t>
  </si>
  <si>
    <t>pelagicNet</t>
  </si>
  <si>
    <t>Pelagic Net</t>
  </si>
  <si>
    <t>A fishing deployed near the surface or middle depths of the open sea or ocean, as distinguished from its depths.</t>
  </si>
  <si>
    <t>Deployed in a part of the sea away from the littoral and benthic regions.</t>
  </si>
  <si>
    <t>FfcCode_pelagicNet</t>
  </si>
  <si>
    <t>scallopDredging</t>
  </si>
  <si>
    <t>Scallop Dredging</t>
  </si>
  <si>
    <t>Scallop fishing using an apparatus for collecting and bringing up objects or material from the bed of a river by dragging or scooping.</t>
  </si>
  <si>
    <t>FfcCode_scallopDredging</t>
  </si>
  <si>
    <t>trawlNet</t>
  </si>
  <si>
    <t>Trawl-net</t>
  </si>
  <si>
    <t>A large fishing net, especially a conical one with a wide mouth, dragged along the bottom of the sea or a river by a boat.</t>
  </si>
  <si>
    <t>FfcCode_trawlNet</t>
  </si>
  <si>
    <t>tunnyNet</t>
  </si>
  <si>
    <t>Tunny Net</t>
  </si>
  <si>
    <t>A net built at sea for catching tunny.</t>
  </si>
  <si>
    <t>Tuna Net</t>
  </si>
  <si>
    <t>FfcCode_tunnyNet</t>
  </si>
  <si>
    <t>(Aeronautical Information Exchange Model (AIXM): 'IV')</t>
  </si>
  <si>
    <t>instrumentVisualFlightRules</t>
  </si>
  <si>
    <t>Instrument and Visual Flight Rules</t>
  </si>
  <si>
    <t>Instrument and visual flight rules.</t>
  </si>
  <si>
    <t>AfrCode_instrumentVisualFlightRules</t>
  </si>
  <si>
    <t>(Aeronautical Information Exchange Model (AIXM): 'I')</t>
  </si>
  <si>
    <t>A set of rules governing the conduct of flight under instrument meteorological conditions.</t>
  </si>
  <si>
    <t>AfrCode_instrumentFlightRules</t>
  </si>
  <si>
    <t>(Aeronautical Information Exchange Model (AIXM): 'V')</t>
  </si>
  <si>
    <t>An aircraft conducting flight in accordance with Visual Flight Rules.</t>
  </si>
  <si>
    <t>AfrCode_visualFlightRules</t>
  </si>
  <si>
    <t>containment</t>
  </si>
  <si>
    <t>Containment</t>
  </si>
  <si>
    <t>A floating barrier for blocking a waterway (for example: a narrow harbor entrance or a river).</t>
  </si>
  <si>
    <t>FbtCode_containment</t>
  </si>
  <si>
    <t>dredge</t>
  </si>
  <si>
    <t>Dredge</t>
  </si>
  <si>
    <t>A floating barrier designed to collect and/or contain dredging debris.</t>
  </si>
  <si>
    <t>FbtCode_dredge</t>
  </si>
  <si>
    <t>log</t>
  </si>
  <si>
    <t>Log</t>
  </si>
  <si>
    <t>A floating barrier designed to collect, contain, and transport floating logs timbered from nearby forests.</t>
  </si>
  <si>
    <t>FbtCode_log</t>
  </si>
  <si>
    <t>protection</t>
  </si>
  <si>
    <t>Protection</t>
  </si>
  <si>
    <t>A floating barrier placed in the water to provide security or a highly visible line of demarcation.</t>
  </si>
  <si>
    <t>Commonly used for waterfront security around high value assets or installations or to provide a positive boat barrier between the general public and hazardous or restricted areas (for example: dams and waterfalls).</t>
  </si>
  <si>
    <t>FbtCode_protection</t>
  </si>
  <si>
    <t>dykeGate</t>
  </si>
  <si>
    <t>Dyke Gate</t>
  </si>
  <si>
    <t>An opening gate in a dyke.</t>
  </si>
  <si>
    <t>FcsCode_dykeGate</t>
  </si>
  <si>
    <t>emergencyGate</t>
  </si>
  <si>
    <t>Emergency Gate</t>
  </si>
  <si>
    <t>A gate used only in a state of emergency (for example: to control or cause flooding).</t>
  </si>
  <si>
    <t>FcsCode_emergencyGate</t>
  </si>
  <si>
    <t>fixedBarrage</t>
  </si>
  <si>
    <t>Fixed Barrage</t>
  </si>
  <si>
    <t>A small fixed obstruction that is primarily located across intermittent watercourses in order to prevent, reduce or slow down the flooding of an area.</t>
  </si>
  <si>
    <t>Fixed barrages are often grouped together to form a series of obstructions down a watercourse. Materials used to construct fixed barrages are found locally.</t>
  </si>
  <si>
    <t>FcsCode_fixedBarrage</t>
  </si>
  <si>
    <t>floodGate</t>
  </si>
  <si>
    <t>Flood Gate</t>
  </si>
  <si>
    <t>An adjustable gate used to control floodwater.</t>
  </si>
  <si>
    <t>FcsCode_floodGate</t>
  </si>
  <si>
    <t>movableBarrage</t>
  </si>
  <si>
    <t>Movable Barrage</t>
  </si>
  <si>
    <t>A large movable barricade within a watercourse.</t>
  </si>
  <si>
    <t>Often constructed as a set, the movable barricades are connected to fixed structures within the watercourse or at the banks. These barriers are normally left open to allow for the passage of vessels and the movement of water and are closed during times of floods or storm surges. For example, the Thames Barrier.</t>
  </si>
  <si>
    <t>FcsCode_movableBarrage</t>
  </si>
  <si>
    <t>automatic</t>
  </si>
  <si>
    <t>Automatic</t>
  </si>
  <si>
    <t>Signal generation is initiated by a self-regulating mechanism (for example: a timer or light sensor) and is self-powered.</t>
  </si>
  <si>
    <t>GenCode_automatic</t>
  </si>
  <si>
    <t>manual</t>
  </si>
  <si>
    <t>Manual</t>
  </si>
  <si>
    <t>The signal is generated by a manually operated mechanism (for example: a hand-cranked siren).</t>
  </si>
  <si>
    <t>GenCode_manual</t>
  </si>
  <si>
    <t>wave</t>
  </si>
  <si>
    <t>Wave</t>
  </si>
  <si>
    <t>The signal is generated by the motion of the sea surface (for example: a bell in a buoy).</t>
  </si>
  <si>
    <t>It is therefore not present during periods of relative calm.</t>
  </si>
  <si>
    <t>GenCode_wave</t>
  </si>
  <si>
    <t>The signal is generated by the motion of air (for example: a wind-driven whistle).</t>
  </si>
  <si>
    <t>GenCode_wind</t>
  </si>
  <si>
    <t>bell</t>
  </si>
  <si>
    <t>Bell</t>
  </si>
  <si>
    <t>Generates a ringing sound with a short range.</t>
  </si>
  <si>
    <t>The apparatus may be operated automatically, by hand or by wave action.</t>
  </si>
  <si>
    <t>SstCode_bell</t>
  </si>
  <si>
    <t>diaphone</t>
  </si>
  <si>
    <t>Diaphone</t>
  </si>
  <si>
    <t>Generates a powerful low-pitched multi-toned sound, which often concludes with a brief sound of suddenly lowered pitch termed the 'grunt'.</t>
  </si>
  <si>
    <t>The apparatus is typically powered by compressed air.</t>
  </si>
  <si>
    <t>SstCode_diaphone</t>
  </si>
  <si>
    <t>explosive</t>
  </si>
  <si>
    <t>Explosive</t>
  </si>
  <si>
    <t>Generates a sound produced by the periodic (for example: every few minutes) firing of an explosive charge.</t>
  </si>
  <si>
    <t>SstCode_explosive</t>
  </si>
  <si>
    <t>gong</t>
  </si>
  <si>
    <t>Gong</t>
  </si>
  <si>
    <t>Generates a sound produced by vibration of a disc when struck.</t>
  </si>
  <si>
    <t>SstCode_gong</t>
  </si>
  <si>
    <t>horn</t>
  </si>
  <si>
    <t>Horn</t>
  </si>
  <si>
    <t>Generates a sound produced by the vibration of a diaphragm.</t>
  </si>
  <si>
    <t>Includes nautophones, reeds and tyfons. The apparatus may be powered by compressed air or electricity. There are a variety of horn types, differing greatly in their sound and power.</t>
  </si>
  <si>
    <t>SstCode_horn</t>
  </si>
  <si>
    <t>nautophone</t>
  </si>
  <si>
    <t>Nautophone</t>
  </si>
  <si>
    <t>Generates a sound using a horn having a diaphragm oscillated by electricity.</t>
  </si>
  <si>
    <t>SstCode_nautophone</t>
  </si>
  <si>
    <t>none</t>
  </si>
  <si>
    <t>None</t>
  </si>
  <si>
    <t>No signal is produced.</t>
  </si>
  <si>
    <t>SstCode_none</t>
  </si>
  <si>
    <t>radio</t>
  </si>
  <si>
    <t>Radio</t>
  </si>
  <si>
    <t>Generates a radio signal.</t>
  </si>
  <si>
    <t>SstCode_radio</t>
  </si>
  <si>
    <t>reed</t>
  </si>
  <si>
    <t>Reed</t>
  </si>
  <si>
    <t>Generates a weak, high pitched sound produced by vibrating a narrow reed-shaped diaphragm.</t>
  </si>
  <si>
    <t>SstCode_reed</t>
  </si>
  <si>
    <t>siren</t>
  </si>
  <si>
    <t>Siren</t>
  </si>
  <si>
    <t>Generates a loud prolonged or ululating sound.</t>
  </si>
  <si>
    <t>The apparatus is usually based on revolving a perforated disc over a jet of compressed air or steam. There are a variety of siren types, differing greatly in their sound and power.</t>
  </si>
  <si>
    <t>SstCode_siren</t>
  </si>
  <si>
    <t>submarineBell</t>
  </si>
  <si>
    <t>Submarine Bell</t>
  </si>
  <si>
    <t>A bell whose signal is transmitted through water.</t>
  </si>
  <si>
    <t>SstCode_submarineBell</t>
  </si>
  <si>
    <t>tyfon</t>
  </si>
  <si>
    <t>Tyfon</t>
  </si>
  <si>
    <t>Generates a sound using a horn having a diaphragm oscillated by compressed air or steam.</t>
  </si>
  <si>
    <t>SstCode_tyfon</t>
  </si>
  <si>
    <t>whistle</t>
  </si>
  <si>
    <t>Whistle</t>
  </si>
  <si>
    <t>Generates a shrill tone made by a jet of air passing through an orifice.</t>
  </si>
  <si>
    <t>The apparatus may be operated automatically, by hand, or by air being forced up a tube by waves acting on a buoy.</t>
  </si>
  <si>
    <t>SstCode_whistle</t>
  </si>
  <si>
    <t>coniferous</t>
  </si>
  <si>
    <t>Coniferous</t>
  </si>
  <si>
    <t>Vegetation type of the temperately cool latitutes, nearly exclusively of coniferous trees.</t>
  </si>
  <si>
    <t>The widest extension of coniferous forests is found in the boreal climates.</t>
  </si>
  <si>
    <t>TreCode_coniferous</t>
  </si>
  <si>
    <t>deciduous</t>
  </si>
  <si>
    <t>Deciduous</t>
  </si>
  <si>
    <t>Sheds its leaves each year at the end of the period of growth.</t>
  </si>
  <si>
    <t>TreCode_deciduous</t>
  </si>
  <si>
    <t>evergreen</t>
  </si>
  <si>
    <t>Evergreen</t>
  </si>
  <si>
    <t>Having green foliage all the year round.</t>
  </si>
  <si>
    <t>TreCode_evergreen</t>
  </si>
  <si>
    <t>evergreenDeciduous</t>
  </si>
  <si>
    <t>Evergreen Deciduous</t>
  </si>
  <si>
    <t>Vegetation type of predominantly heat-loving deciduous trees like olive, laurel, holly oak, cork oak, not being subject to seasonally losing their foliage.</t>
  </si>
  <si>
    <t>TreCode_evergreenDeciduous</t>
  </si>
  <si>
    <t>mixed</t>
  </si>
  <si>
    <t>Mixed</t>
  </si>
  <si>
    <t>A mix of both deciduous and evergreen foliage.</t>
  </si>
  <si>
    <t>TreCode_mixed</t>
  </si>
  <si>
    <t>afforestation</t>
  </si>
  <si>
    <t>Afforestation</t>
  </si>
  <si>
    <t>A new planted forest intended for predominantly economic use.</t>
  </si>
  <si>
    <t>FrcCode_afforestation</t>
  </si>
  <si>
    <t>clearing</t>
  </si>
  <si>
    <t>Clearing</t>
  </si>
  <si>
    <t>A treeless zone within a forest area.</t>
  </si>
  <si>
    <t>FrcCode_clearing</t>
  </si>
  <si>
    <t>forestTreeNursery</t>
  </si>
  <si>
    <t>Forest-tree Nursery</t>
  </si>
  <si>
    <t>A forest area with tree seeds and/or newly planted trees under careful protection and management.</t>
  </si>
  <si>
    <t>FrcCode_forestTreeNursery</t>
  </si>
  <si>
    <t>naturalRegeneration</t>
  </si>
  <si>
    <t>Natural Regeneration</t>
  </si>
  <si>
    <t>New growing timber stocks after natural sowing.</t>
  </si>
  <si>
    <t>FrcCode_naturalRegeneration</t>
  </si>
  <si>
    <t>secondaryForest</t>
  </si>
  <si>
    <t>Secondary Forest</t>
  </si>
  <si>
    <t>A natural reafforested wood (usually after forest fires) but less rich in species than a virgin forest.</t>
  </si>
  <si>
    <t>FrcCode_secondaryForest</t>
  </si>
  <si>
    <t>virginForest</t>
  </si>
  <si>
    <t>Virgin Forest</t>
  </si>
  <si>
    <t>A forest left in its original state without any human impact (for example: silvicultural use or maintenance).</t>
  </si>
  <si>
    <t>Primeval Forest</t>
  </si>
  <si>
    <t>FrcCode_virginForest</t>
  </si>
  <si>
    <t>windfall</t>
  </si>
  <si>
    <t>Windfall</t>
  </si>
  <si>
    <t>A forest area destroyed by wind and storm.</t>
  </si>
  <si>
    <t>It has not been cleared by humans.</t>
  </si>
  <si>
    <t>FrcCode_windfall</t>
  </si>
  <si>
    <t>burialGround</t>
  </si>
  <si>
    <t>Burial Ground</t>
  </si>
  <si>
    <t>A forest area used as burial place for the deceased.</t>
  </si>
  <si>
    <t>FofCode_burialGround</t>
  </si>
  <si>
    <t>A regularly cultivated forest specifically managed to meet one or more economic objectives.</t>
  </si>
  <si>
    <t>FofCode_commercial</t>
  </si>
  <si>
    <t>ornamentalGrove</t>
  </si>
  <si>
    <t>Ornamental Grove</t>
  </si>
  <si>
    <t>A small wood planted for landscape architectural reasons.</t>
  </si>
  <si>
    <t>FofCode_ornamentalGrove</t>
  </si>
  <si>
    <t>preserve</t>
  </si>
  <si>
    <t>Preserve</t>
  </si>
  <si>
    <t>A protected forest area that develops under natural conditions without human influence.</t>
  </si>
  <si>
    <t>FofCode_preserve</t>
  </si>
  <si>
    <t>A shelter wood that may not be cleared and only may be cultivated to a limited degree.</t>
  </si>
  <si>
    <t>It predominantly serves as avalanche and flood protection.</t>
  </si>
  <si>
    <t>FofCode_protection</t>
  </si>
  <si>
    <t>A forest area that serves as recreation zone.</t>
  </si>
  <si>
    <t>FofCode_recreation</t>
  </si>
  <si>
    <t>cloudForest</t>
  </si>
  <si>
    <t>Cloud Forest</t>
  </si>
  <si>
    <t>Tropical montane rain forest wreathed in clouds between 1000 and 3000 metres elevation, all year round dominated by fog, rain and/or dew.</t>
  </si>
  <si>
    <t>FtyCode_cloudForest</t>
  </si>
  <si>
    <t>floodplainForest</t>
  </si>
  <si>
    <t>Floodplain Forest</t>
  </si>
  <si>
    <t>A forest in the inundation area of a large river that is differentiated in softwood forest close to the river and hard wood flood plain forest on the upper banks.</t>
  </si>
  <si>
    <t>FtyCode_floodplainForest</t>
  </si>
  <si>
    <t>forestTundra</t>
  </si>
  <si>
    <t>Forest Tundra</t>
  </si>
  <si>
    <t>A forest area characterized by open woods on the threshold to the dense forest of the taiga.</t>
  </si>
  <si>
    <t>FtyCode_forestTundra</t>
  </si>
  <si>
    <t>galleryForest</t>
  </si>
  <si>
    <t>Gallery Forest</t>
  </si>
  <si>
    <t>A forest strip as vegetation formation in the wet-dry tropics along the valleys with or without running waters.</t>
  </si>
  <si>
    <t>FtyCode_galleryForest</t>
  </si>
  <si>
    <t>mangroveForest</t>
  </si>
  <si>
    <t>Mangrove Forest</t>
  </si>
  <si>
    <t>Tropical coastal wood subject to the tides with stilt roots.</t>
  </si>
  <si>
    <t>Mostly at calm bays or river mouths on muddy ground.</t>
  </si>
  <si>
    <t>FtyCode_mangroveForest</t>
  </si>
  <si>
    <t>montaneForest</t>
  </si>
  <si>
    <t>Montane Forest</t>
  </si>
  <si>
    <t>A forest in the montane belt of the high mountains or type of forest in mountainous countries.</t>
  </si>
  <si>
    <t>FtyCode_montaneForest</t>
  </si>
  <si>
    <t>moorForest</t>
  </si>
  <si>
    <t>Moor Forest</t>
  </si>
  <si>
    <t>A forest growing on dewatered bog areas as well as in temporarily drying swamp areas.</t>
  </si>
  <si>
    <t>For example, the Florida Everglades.</t>
  </si>
  <si>
    <t>FtyCode_moorForest</t>
  </si>
  <si>
    <t>swampForest</t>
  </si>
  <si>
    <t>Swamp Forest</t>
  </si>
  <si>
    <t>A forest developing on flat moor land, all year round under the influence of groundwater.</t>
  </si>
  <si>
    <t>FtyCode_swampForest</t>
  </si>
  <si>
    <t>alpineConiferous</t>
  </si>
  <si>
    <t>Alpine Coniferous</t>
  </si>
  <si>
    <t>Type of forest of the high mountainous regions below the timberline.</t>
  </si>
  <si>
    <t>FocCode_alpineConiferous</t>
  </si>
  <si>
    <t>evergreenLaurelHardwood</t>
  </si>
  <si>
    <t>Evergreen Laurel and Hardwood</t>
  </si>
  <si>
    <t>Type of forest of the temperate subtropical zones.</t>
  </si>
  <si>
    <t>Sklerea</t>
  </si>
  <si>
    <t>FocCode_evergreenLaurelHardwood</t>
  </si>
  <si>
    <t>northernBorealConiferous</t>
  </si>
  <si>
    <t>Northern Boreal Coniferous</t>
  </si>
  <si>
    <t>Wide circumpolar zone of coniferous forests in the northern hemisphere south of the tundra.</t>
  </si>
  <si>
    <t>FocCode_northernBorealConiferous</t>
  </si>
  <si>
    <t>raingreenDecidMonsoon</t>
  </si>
  <si>
    <t>Raingreen Deciduous and Monsoon</t>
  </si>
  <si>
    <t>Type of forest whose existence depends on rainfall.</t>
  </si>
  <si>
    <t>FocCode_raingreenDecidMonsoon</t>
  </si>
  <si>
    <t>savannah</t>
  </si>
  <si>
    <t>Savannah</t>
  </si>
  <si>
    <t>Rain green forest of the wet-dry tropics with distinctive drought seasons.</t>
  </si>
  <si>
    <t>FocCode_savannah</t>
  </si>
  <si>
    <t>summergreenDeciduous</t>
  </si>
  <si>
    <t>Summergreen Deciduous</t>
  </si>
  <si>
    <t>Type of forest of the temperate climates.</t>
  </si>
  <si>
    <t>Silvea</t>
  </si>
  <si>
    <t>FocCode_summergreenDeciduous</t>
  </si>
  <si>
    <t>Tropical Rain</t>
  </si>
  <si>
    <t>Most luxuriant vegetation form of the Earth and vegetation type of the rainy tropics.</t>
  </si>
  <si>
    <t>Hyläa</t>
  </si>
  <si>
    <t>FocCode_tropicalRain</t>
  </si>
  <si>
    <t>bark</t>
  </si>
  <si>
    <t>Bark</t>
  </si>
  <si>
    <t>Removal of the bark of trees for industrial purposes (for example: in tanning).</t>
  </si>
  <si>
    <t>FouCode_bark</t>
  </si>
  <si>
    <t>charcoalWorks</t>
  </si>
  <si>
    <t>Charcoal Works</t>
  </si>
  <si>
    <t>Processing of wood for the production of charcoal for heating purposes.</t>
  </si>
  <si>
    <t>FouCode_charcoalWorks</t>
  </si>
  <si>
    <t>cork</t>
  </si>
  <si>
    <t>Removal of the bark of cork trees.</t>
  </si>
  <si>
    <t>FouCode_cork</t>
  </si>
  <si>
    <t>fireClearing</t>
  </si>
  <si>
    <t>Fire-clearing</t>
  </si>
  <si>
    <t>Clearing by cutting down the trees and burning the trunks for agricultural use of the ground.</t>
  </si>
  <si>
    <t>FouCode_fireClearing</t>
  </si>
  <si>
    <t>firewoodSupply</t>
  </si>
  <si>
    <t>Firewood Supply</t>
  </si>
  <si>
    <t>The removal of wood for heating purposes (either industrial and/or private use).</t>
  </si>
  <si>
    <t>FouCode_firewoodSupply</t>
  </si>
  <si>
    <t>Use of the game population for nourishment; diminishing of game overpopulation.</t>
  </si>
  <si>
    <t>FouCode_hunting</t>
  </si>
  <si>
    <t>industrialUse</t>
  </si>
  <si>
    <t>Industrial Use</t>
  </si>
  <si>
    <t>Removal of wood for industrial finishing (for example: in furniture or packages) or for paper-production.</t>
  </si>
  <si>
    <t>FouCode_industrialUse</t>
  </si>
  <si>
    <t>resin</t>
  </si>
  <si>
    <t>Resin</t>
  </si>
  <si>
    <t>Tapping trees for resin for commercial use (for example: resinoids).</t>
  </si>
  <si>
    <t>FouCode_resin</t>
  </si>
  <si>
    <t>Removal of natural saps from rubber-trees for industrial purposes.</t>
  </si>
  <si>
    <t>FouCode_rubber</t>
  </si>
  <si>
    <t>trees</t>
  </si>
  <si>
    <t>Trees</t>
  </si>
  <si>
    <t>The removal of trees for new plantings (for example: recultivation, reafforestation, park and garden layouts) or for seasonal use (for example: Christmas and festive occasions).</t>
  </si>
  <si>
    <t>FouCode_trees</t>
  </si>
  <si>
    <t>woodlandFruits</t>
  </si>
  <si>
    <t>Woodland Fruits</t>
  </si>
  <si>
    <t>The harvesting of woodland fruits (for example: berries or mushrooms) for commercial and/or private use.</t>
  </si>
  <si>
    <t>FouCode_woodlandFruits</t>
  </si>
  <si>
    <t>woodlandPasture</t>
  </si>
  <si>
    <t>Woodland Pasture</t>
  </si>
  <si>
    <t>Use of forest areas for pasture.</t>
  </si>
  <si>
    <t>FouCode_woodlandPasture</t>
  </si>
  <si>
    <t>A type of forestry based on trees with ages of 50-100 years and thus high crowns.</t>
  </si>
  <si>
    <t>Preferred for its over all efficiency.</t>
  </si>
  <si>
    <t>FceCode_high</t>
  </si>
  <si>
    <t>Containing few mature trees and generally of low crown level and low utilization efficiency.</t>
  </si>
  <si>
    <t>Principally used for extraction of firewood, brushwood and bark. Mostly no conifers.</t>
  </si>
  <si>
    <t>FceCode_low</t>
  </si>
  <si>
    <t>middle</t>
  </si>
  <si>
    <t>Middle</t>
  </si>
  <si>
    <t>Varying composition of crown level heights, intermediate in utilization efficiency between high forest and low forest.</t>
  </si>
  <si>
    <t>Principally used for extraction of firewood and construction timber.</t>
  </si>
  <si>
    <t>FceCode_middle</t>
  </si>
  <si>
    <t>absoluteMonarchy</t>
  </si>
  <si>
    <t>Absolute Monarchy</t>
  </si>
  <si>
    <t>Government in which the supreme power is vested in a monarch.</t>
  </si>
  <si>
    <t>EttCode_absoluteMonarchy</t>
  </si>
  <si>
    <t>anarchy</t>
  </si>
  <si>
    <t>Anarchy</t>
  </si>
  <si>
    <t>Absence of government or leadership.</t>
  </si>
  <si>
    <t>EttCode_anarchy</t>
  </si>
  <si>
    <t>androcracy</t>
  </si>
  <si>
    <t>Androcracy</t>
  </si>
  <si>
    <t>Rule by male leadership.</t>
  </si>
  <si>
    <t>EttCode_androcracy</t>
  </si>
  <si>
    <t>aristocracy</t>
  </si>
  <si>
    <t>Aristocracy</t>
  </si>
  <si>
    <t>Rule by the nobles or by the best citizens.</t>
  </si>
  <si>
    <t>EttCode_aristocracy</t>
  </si>
  <si>
    <t>autocracy</t>
  </si>
  <si>
    <t>Autocracy</t>
  </si>
  <si>
    <t>Absolute government by a single person or by a group.</t>
  </si>
  <si>
    <t>EttCode_autocracy</t>
  </si>
  <si>
    <t>constitutionalMonarchy</t>
  </si>
  <si>
    <t>Constitutional Monarchy</t>
  </si>
  <si>
    <t>Government in which the monarch is submitted to a constitution.</t>
  </si>
  <si>
    <t>EttCode_constitutionalMonarchy</t>
  </si>
  <si>
    <t>democracy</t>
  </si>
  <si>
    <t>Democracy</t>
  </si>
  <si>
    <t>The form of government in which the sovereign power is in the hands of the people.</t>
  </si>
  <si>
    <t>EttCode_democracy</t>
  </si>
  <si>
    <t>dictatorship</t>
  </si>
  <si>
    <t>Dictatorship</t>
  </si>
  <si>
    <t>Government by a single person or by a political party or by another group invested with supreme authority often created in time of emergency.</t>
  </si>
  <si>
    <t>EttCode_dictatorship</t>
  </si>
  <si>
    <t>gerontocracy</t>
  </si>
  <si>
    <t>Gerontocracy</t>
  </si>
  <si>
    <t>Rule by the senior members of society as a council of eldest.</t>
  </si>
  <si>
    <t>EttCode_gerontocracy</t>
  </si>
  <si>
    <t>gynarchy</t>
  </si>
  <si>
    <t>Gynarchy</t>
  </si>
  <si>
    <t>Rule by female leadership.</t>
  </si>
  <si>
    <t>EttCode_gynarchy</t>
  </si>
  <si>
    <t>matriarchate</t>
  </si>
  <si>
    <t>Matriarchate</t>
  </si>
  <si>
    <t>Rule by the mother as head of the cultural group as determined by the female line of descent.</t>
  </si>
  <si>
    <t>EttCode_matriarchate</t>
  </si>
  <si>
    <t>militocracy</t>
  </si>
  <si>
    <t>Militocracy</t>
  </si>
  <si>
    <t>Rule by military leaders with supreme authority.</t>
  </si>
  <si>
    <t>EttCode_militocracy</t>
  </si>
  <si>
    <t>parliamentaryMonarchy</t>
  </si>
  <si>
    <t>Parliamentary Monarchy</t>
  </si>
  <si>
    <t>Government in which the monarch is the head of the executive only.</t>
  </si>
  <si>
    <t>EttCode_parliamentaryMonarchy</t>
  </si>
  <si>
    <t>patriarchate</t>
  </si>
  <si>
    <t>Patriarchate</t>
  </si>
  <si>
    <t>Rule by the father as head of the cultural group as determined by the male line of descent.</t>
  </si>
  <si>
    <t>EttCode_patriarchate</t>
  </si>
  <si>
    <t>theocracy</t>
  </si>
  <si>
    <t>Theocracy</t>
  </si>
  <si>
    <t>Rule by a person chosen by a god or a government of the priests.</t>
  </si>
  <si>
    <t>EttCode_theocracy</t>
  </si>
  <si>
    <t>blockhouse</t>
  </si>
  <si>
    <t>Blockhouse</t>
  </si>
  <si>
    <t>A detached fortified defensive building with loopholes.</t>
  </si>
  <si>
    <t>It is usually constructed of timber or concrete.</t>
  </si>
  <si>
    <t>FzrCode_blockhouse</t>
  </si>
  <si>
    <t>casement</t>
  </si>
  <si>
    <t>Casement</t>
  </si>
  <si>
    <t>A large reinforced concrete and steel emplacement from which guns are fired.</t>
  </si>
  <si>
    <t>Casements are normally installed as part of coastal defences or fixed defensive lines.</t>
  </si>
  <si>
    <t>FzrCode_casement</t>
  </si>
  <si>
    <t>keep</t>
  </si>
  <si>
    <t>Keep</t>
  </si>
  <si>
    <t>The strongest, innermost part or central tower of a medieval castle.</t>
  </si>
  <si>
    <t>FzrCode_keep</t>
  </si>
  <si>
    <t>martelloTower</t>
  </si>
  <si>
    <t>Martello Tower</t>
  </si>
  <si>
    <t>A small circular fort with very thick walls, especially any of those erected in Britain as a coastal defence during the Napoleonic Wars.</t>
  </si>
  <si>
    <t>It usually includes a gun platform, ammunition magazine, and accommodations for a garrison.</t>
  </si>
  <si>
    <t>FzrCode_martelloTower</t>
  </si>
  <si>
    <t>nonSpecificFortified</t>
  </si>
  <si>
    <t>Non-specific Fortified</t>
  </si>
  <si>
    <t>A building of no specific structural type that has been reinforced to provide for improved defense from armed attack.</t>
  </si>
  <si>
    <t>For example, the U.S. Pentagon following the attack of 11 September, 2001.</t>
  </si>
  <si>
    <t>FzrCode_nonSpecificFortified</t>
  </si>
  <si>
    <t>pillbox</t>
  </si>
  <si>
    <t>Pillbox</t>
  </si>
  <si>
    <t>A small low fortified emplacement for machine guns and anti-tank weapons.</t>
  </si>
  <si>
    <t>Pillboxes are usually made of concrete or steel and are typically found along trench lines and at critical points within defensive lines.</t>
  </si>
  <si>
    <t>FzrCode_pillbox</t>
  </si>
  <si>
    <t>iceField</t>
  </si>
  <si>
    <t>Ice-field</t>
  </si>
  <si>
    <t>An extensive flat expanse of ice, especially located in the polar regions.</t>
  </si>
  <si>
    <t>SicCode_iceField</t>
  </si>
  <si>
    <t>snowfield</t>
  </si>
  <si>
    <t>Snowfield</t>
  </si>
  <si>
    <t>An expanse of packed snow, usually resulting from multiple snowfalls.</t>
  </si>
  <si>
    <t>SicCode_snowfield</t>
  </si>
  <si>
    <t>availableButUnknown</t>
  </si>
  <si>
    <t>Available but Unknown</t>
  </si>
  <si>
    <t>Fuel dispensing is known to be available, but the specific method is unknown.</t>
  </si>
  <si>
    <t>FdmCode_availableButUnknown</t>
  </si>
  <si>
    <t>hydrant</t>
  </si>
  <si>
    <t>Hydrant</t>
  </si>
  <si>
    <t>Accessed through a fixed network of hydrants.</t>
  </si>
  <si>
    <t>Typically supplied from a central tank storage area.</t>
  </si>
  <si>
    <t>Type H</t>
  </si>
  <si>
    <t>FdmCode_hydrant</t>
  </si>
  <si>
    <t>Delivered by manual laborers using relatively small storage containers (for example: barrels, drums, and cans).</t>
  </si>
  <si>
    <t>Often transferred using hand-operated pumps.</t>
  </si>
  <si>
    <t>Type M</t>
  </si>
  <si>
    <t>FdmCode_manual</t>
  </si>
  <si>
    <t>tankerTruck</t>
  </si>
  <si>
    <t>Tanker Truck</t>
  </si>
  <si>
    <t>Delivered by tanker trucks.</t>
  </si>
  <si>
    <t>Type C</t>
  </si>
  <si>
    <t>FdmCode_tankerTruck</t>
  </si>
  <si>
    <t>aboveBuriedTank</t>
  </si>
  <si>
    <t>Above and/or Buried Tank</t>
  </si>
  <si>
    <t>A mixture of aboveground and buried storage tanks.</t>
  </si>
  <si>
    <t>B01Code_aboveBuriedTank</t>
  </si>
  <si>
    <t>aboveSemiBuriedTank</t>
  </si>
  <si>
    <t>Above and/or Semi-buried Tank</t>
  </si>
  <si>
    <t>A mixture of aboveground and semi-buried storage tanks.</t>
  </si>
  <si>
    <t>Type G</t>
  </si>
  <si>
    <t>B01Code_aboveSemiBuriedTank</t>
  </si>
  <si>
    <t>abovegroundTank</t>
  </si>
  <si>
    <t>Aboveground Tank</t>
  </si>
  <si>
    <t>One or more aboveground storage tanks.</t>
  </si>
  <si>
    <t>B01Code_abovegroundTank</t>
  </si>
  <si>
    <t>buriedSemiBuriedTank</t>
  </si>
  <si>
    <t>Buried and/or Semi-buried Tank</t>
  </si>
  <si>
    <t>A mixture of buried and semi-buried storage tanks.</t>
  </si>
  <si>
    <t>Type F</t>
  </si>
  <si>
    <t>B01Code_buriedSemiBuriedTank</t>
  </si>
  <si>
    <t>buriedTank</t>
  </si>
  <si>
    <t>Buried Tank</t>
  </si>
  <si>
    <t>One or more buried storage tanks.</t>
  </si>
  <si>
    <t>Type K</t>
  </si>
  <si>
    <t>B01Code_buriedTank</t>
  </si>
  <si>
    <t>A collection of barrels, drums, and/or cans.</t>
  </si>
  <si>
    <t>Generally of relatively small individual capacity (for example: 55 US gallons).</t>
  </si>
  <si>
    <t>B01Code_container</t>
  </si>
  <si>
    <t>railwayTankWagon</t>
  </si>
  <si>
    <t>Railway Tank Wagon</t>
  </si>
  <si>
    <t>One or more railway tank wagons.</t>
  </si>
  <si>
    <t>They are typically stored on a railway siding.</t>
  </si>
  <si>
    <t>Type D</t>
  </si>
  <si>
    <t>B01Code_railwayTankWagon</t>
  </si>
  <si>
    <t>semiBuriedTank</t>
  </si>
  <si>
    <t>Semi-buried Tank</t>
  </si>
  <si>
    <t>One or more semi-buried storage tanks.</t>
  </si>
  <si>
    <t>For example, partially banked by soil.</t>
  </si>
  <si>
    <t>Type B</t>
  </si>
  <si>
    <t>B01Code_semiBuriedTank</t>
  </si>
  <si>
    <t>tankMix</t>
  </si>
  <si>
    <t>Tank Mix</t>
  </si>
  <si>
    <t>A mixture of storage tanks that are either buried, semi-buried, or aboveground.</t>
  </si>
  <si>
    <t>Type J</t>
  </si>
  <si>
    <t>B01Code_tankMix</t>
  </si>
  <si>
    <t>One or more tanker trucks.</t>
  </si>
  <si>
    <t>Type P</t>
  </si>
  <si>
    <t>B01Code_tankerTruck</t>
  </si>
  <si>
    <t>lightDamage_F0</t>
  </si>
  <si>
    <t>F0 - Light Damage</t>
  </si>
  <si>
    <t>Some damage to chimneys; breaks twigs and branches off trees; pushes over shallow-rooted trees; damages signboards; some windows broken.</t>
  </si>
  <si>
    <t>Estimated maximum wind speed of 40-72 statute miles per hour, but remain below hurricane force.</t>
  </si>
  <si>
    <t>FtsCode_lightDamage_F0</t>
  </si>
  <si>
    <t>moderateDamage_F1</t>
  </si>
  <si>
    <t>F1 - Moderate Damage</t>
  </si>
  <si>
    <t>Peels surfaces off roofs; mobile homes pushed off foundations or overturned; outbuildings demolished; moving autos pushed off the roads; trees snapped or broken.</t>
  </si>
  <si>
    <t>Estimated maximum wind speed of 73-112 statute miles per hour.</t>
  </si>
  <si>
    <t>FtsCode_moderateDamage_F1</t>
  </si>
  <si>
    <t>considerableDamage_F2</t>
  </si>
  <si>
    <t>F2 - Considerable Damage</t>
  </si>
  <si>
    <t>Roofs torn off frame houses; mobile homes demolished; frame houses with weak foundations lifted and moved; boxcars pushed over; large trees snapped or uprooted; light-object missiles generated.</t>
  </si>
  <si>
    <t>Estimated maximum wind speed of 113-157 statute miles per hour.</t>
  </si>
  <si>
    <t>FtsCode_considerableDamage_F2</t>
  </si>
  <si>
    <t>severeDamage_F3</t>
  </si>
  <si>
    <t>F3 - Severe Damage</t>
  </si>
  <si>
    <t>Roofs and some walls torn off well-constructed houses; trains overturned; most trees in forests uprooted; heavy cars lifted off the ground and thrown; weak pavement blown off roads.</t>
  </si>
  <si>
    <t>Estimated maximum wind speed of 158-206 statute miles per hour.</t>
  </si>
  <si>
    <t>FtsCode_severeDamage_F3</t>
  </si>
  <si>
    <t>devastatingDamage_F4</t>
  </si>
  <si>
    <t>F4 - Devastating Damage</t>
  </si>
  <si>
    <t>Well-constructed homes leveled; structures with weak foundations blown off some distance; cars thrown and disintegrated; large missiles generated; trees in forest uprooted and carried some distance away.</t>
  </si>
  <si>
    <t>Estimated maximum wind speed of 207-260 statute miles per hour.</t>
  </si>
  <si>
    <t>FtsCode_devastatingDamage_F4</t>
  </si>
  <si>
    <t>incredibleDamage_F5</t>
  </si>
  <si>
    <t>F5 - Incredible Damage</t>
  </si>
  <si>
    <t>Strong frame houses lifted off foundations and carried considerable distance to disintegrate; automobile-sized missiles fly through the air in excess of 100 metres (300 feet); trees debarked; incredible phenomena will occur.</t>
  </si>
  <si>
    <t>Estimated maximum wind speed of 261-318 statute miles per hour.</t>
  </si>
  <si>
    <t>FtsCode_incredibleDamage_F5</t>
  </si>
  <si>
    <t>Of or pertaining to the science or practice of cultivating the soil and rearing animals.</t>
  </si>
  <si>
    <t>FucCode_agricultural</t>
  </si>
  <si>
    <t>bulkStorage</t>
  </si>
  <si>
    <t>Bulk Storage</t>
  </si>
  <si>
    <t>Of, pertaining to, or suitable for bulk storage (for example: a fuel dump).</t>
  </si>
  <si>
    <t>FucCode_bulkStorage</t>
  </si>
  <si>
    <t>Of or pertaining to the exchange of merchandise or services, especially on a large scale.</t>
  </si>
  <si>
    <t>FucCode_commercial</t>
  </si>
  <si>
    <t>correctional</t>
  </si>
  <si>
    <t>Correctional</t>
  </si>
  <si>
    <t>Of or pertaining to the incarceration of prisoners serving terms of punishment detention, awaiting trial or other judiciary proceedings or awaiting further processing by authorities (for example: illegal immigrants awaiting deportation).</t>
  </si>
  <si>
    <t>FucCode_correctional</t>
  </si>
  <si>
    <t>cultural</t>
  </si>
  <si>
    <t>Cultural</t>
  </si>
  <si>
    <t>Of or pertaining to the cultivation or development (for example: improvement by education and training) of the mind, tastes, and/or manners.</t>
  </si>
  <si>
    <t>FucCode_cultural</t>
  </si>
  <si>
    <t>educational</t>
  </si>
  <si>
    <t>Educational</t>
  </si>
  <si>
    <t>Of or pertaining to the systematic instruction, schooling, or training of children and young people, or, by extension, instruction obtained in adult life.</t>
  </si>
  <si>
    <t>FucCode_educational</t>
  </si>
  <si>
    <t>engineerResources</t>
  </si>
  <si>
    <t>Engineer Resources</t>
  </si>
  <si>
    <t>Of or pertaining to the provision of materials for construction and engineering.</t>
  </si>
  <si>
    <t>FucCode_engineerResources</t>
  </si>
  <si>
    <t>forestPreserve</t>
  </si>
  <si>
    <t>Forest Preserve</t>
  </si>
  <si>
    <t>A forest that is protected from logging and other human activities detrimental to the environment.</t>
  </si>
  <si>
    <t>FucCode_forestPreserve</t>
  </si>
  <si>
    <t>Of or pertaining to conduct of the policy, actions, and/or affairs of a State or other governing authority.</t>
  </si>
  <si>
    <t>FucCode_government</t>
  </si>
  <si>
    <t>industrial</t>
  </si>
  <si>
    <t>Industrial</t>
  </si>
  <si>
    <t>Of or pertaining to manufacturing and/or production.</t>
  </si>
  <si>
    <t>FucCode_industrial</t>
  </si>
  <si>
    <t>institutional</t>
  </si>
  <si>
    <t>Institutional</t>
  </si>
  <si>
    <t>Of or pertaining to a society or organization for the promotion of a purpose, especially a charitable or social one.</t>
  </si>
  <si>
    <t>FucCode_institutional</t>
  </si>
  <si>
    <t>Maritime</t>
  </si>
  <si>
    <t>Connected with the sea in relation to navigation and/or commerce.</t>
  </si>
  <si>
    <t>FucCode_maritime</t>
  </si>
  <si>
    <t>medical</t>
  </si>
  <si>
    <t>Medical</t>
  </si>
  <si>
    <t>Of or pertaining to the science or practice of medicine.</t>
  </si>
  <si>
    <t>FucCode_medical</t>
  </si>
  <si>
    <t>Of or pertaining to use by an armed force.</t>
  </si>
  <si>
    <t>FucCode_military</t>
  </si>
  <si>
    <t>nonCommercial</t>
  </si>
  <si>
    <t>Non-commercial</t>
  </si>
  <si>
    <t>Not of or pertaining to the exchange of merchandise or services, especially on a large scale.</t>
  </si>
  <si>
    <t>FucCode_nonCommercial</t>
  </si>
  <si>
    <t>officesArea</t>
  </si>
  <si>
    <t>Offices Area</t>
  </si>
  <si>
    <t>FucCode_officesArea</t>
  </si>
  <si>
    <t>An area, usually on a military installation, where entrance or presence of unauthorized personnel is prohibited, typically due to the presence of unexploded munitions, mines, or sensitive environmental habitats.</t>
  </si>
  <si>
    <t>FucCode_prohibitedArea</t>
  </si>
  <si>
    <t>publicService</t>
  </si>
  <si>
    <t>Public Service</t>
  </si>
  <si>
    <t>Of or pertaining to the provision of services to the general population.</t>
  </si>
  <si>
    <t>FucCode_publicService</t>
  </si>
  <si>
    <t>recreational</t>
  </si>
  <si>
    <t>Recreational</t>
  </si>
  <si>
    <t>Of or pertaining to the refreshment and/or comfort produced by something affecting the senses or body.</t>
  </si>
  <si>
    <t>FucCode_recreational</t>
  </si>
  <si>
    <t>refugee</t>
  </si>
  <si>
    <t>Refugee</t>
  </si>
  <si>
    <t>Of or pertaining to displaced persons.</t>
  </si>
  <si>
    <t>Especially those in a foreign country. For example, those displaced by war, religious persecution, political troubles, or natural disaster.</t>
  </si>
  <si>
    <t>FucCode_refugee</t>
  </si>
  <si>
    <t>Of or pertaining to supporting the conduct of religious services, providing a place of worship, and/or the training of individuals for religious service.</t>
  </si>
  <si>
    <t>FucCode_religious</t>
  </si>
  <si>
    <t>An area, that is intended to be used for research and/or scientific purposes.</t>
  </si>
  <si>
    <t>FucCode_research</t>
  </si>
  <si>
    <t>reserve</t>
  </si>
  <si>
    <t>Reserve</t>
  </si>
  <si>
    <t>An area set apart by a governmental body, institution, or individual for a special purpose.</t>
  </si>
  <si>
    <t>Reservation</t>
  </si>
  <si>
    <t>FucCode_reserve</t>
  </si>
  <si>
    <t>residential</t>
  </si>
  <si>
    <t>Residential</t>
  </si>
  <si>
    <t>Suitable for or characterized by residences, especially by private houses.</t>
  </si>
  <si>
    <t>FucCode_residential</t>
  </si>
  <si>
    <t>Of or pertaining to security and crowd control.</t>
  </si>
  <si>
    <t>FucCode_security</t>
  </si>
  <si>
    <t>transportation</t>
  </si>
  <si>
    <t>Transportation</t>
  </si>
  <si>
    <t>Of or pertaining to the conveyance of people and/or goods from one place to another.</t>
  </si>
  <si>
    <t>FucCode_transportation</t>
  </si>
  <si>
    <t>urbanMultiFunctional</t>
  </si>
  <si>
    <t>Urbanized Multi-functional</t>
  </si>
  <si>
    <t>Of or pertaining to concentrations of buildings and/or other structures that may have a variety of uses.</t>
  </si>
  <si>
    <t>FucCode_urbanMultiFunctional</t>
  </si>
  <si>
    <t>utility</t>
  </si>
  <si>
    <t>Utility</t>
  </si>
  <si>
    <t>Of or pertaining to the provision of public utilities (for example: electric power or water).</t>
  </si>
  <si>
    <t>FucCode_utility</t>
  </si>
  <si>
    <t>wildlifeSanctuary</t>
  </si>
  <si>
    <t>Wildlife Sanctuary</t>
  </si>
  <si>
    <t>A designated conservation area in which the wildlife is protected (for example: from hunting and/or collecting).</t>
  </si>
  <si>
    <t>For example, wildlife areas, migratory bird sanctuaries, conservation areas and marine protected areas.</t>
  </si>
  <si>
    <t>FucCode_wildlifeSanctuary</t>
  </si>
  <si>
    <t>borderCrossing</t>
  </si>
  <si>
    <t>Crossing a road and preventing passage until approved by a border guard.</t>
  </si>
  <si>
    <t>GtcCode_borderCrossing</t>
  </si>
  <si>
    <t>Controls access to a level crossing.</t>
  </si>
  <si>
    <t>For example, at the intersection of a road and a railway where physical blockage of road traffic is desirable when a train is passing.</t>
  </si>
  <si>
    <t>GtcCode_crossing</t>
  </si>
  <si>
    <t>entrance</t>
  </si>
  <si>
    <t>Entrance</t>
  </si>
  <si>
    <t>Crossing a road and preventing passage into a facility.</t>
  </si>
  <si>
    <t>May be manned by a guard or an automatic control device.</t>
  </si>
  <si>
    <t>GtcCode_entrance</t>
  </si>
  <si>
    <t>Crossing a road and preventing passage until a toll is paid.</t>
  </si>
  <si>
    <t>GtcCode_tollGate</t>
  </si>
  <si>
    <t>amber</t>
  </si>
  <si>
    <t>Amber</t>
  </si>
  <si>
    <t>A yellowish to brownish fossil resin.</t>
  </si>
  <si>
    <t>DpsCode_amber</t>
  </si>
  <si>
    <t>A colorless, naturally occuring crystalline form of carbon used as gem or for industrial purposes.</t>
  </si>
  <si>
    <t>It is the hardest substance known.</t>
  </si>
  <si>
    <t>DpsCode_diamond</t>
  </si>
  <si>
    <t>emerald</t>
  </si>
  <si>
    <t>Emerald</t>
  </si>
  <si>
    <t>A brillant green variety of beryl.</t>
  </si>
  <si>
    <t>DpsCode_emerald</t>
  </si>
  <si>
    <t>garnet</t>
  </si>
  <si>
    <t>Garnet</t>
  </si>
  <si>
    <t>A semiprecious stone with a variety of colours, dark red being the most common.</t>
  </si>
  <si>
    <t>DpsCode_garnet</t>
  </si>
  <si>
    <t>lazurite</t>
  </si>
  <si>
    <t>Lazurite</t>
  </si>
  <si>
    <t>A intense blue, greenish-blue or violet-blue feldspathoid mineral.</t>
  </si>
  <si>
    <t>It is the principal constituent of lapis lazuli.</t>
  </si>
  <si>
    <t>DpsCode_lazurite</t>
  </si>
  <si>
    <t>opal</t>
  </si>
  <si>
    <t>Opal</t>
  </si>
  <si>
    <t>A mineral that occurs in nearly all colours, is transparent or nearly opaque.</t>
  </si>
  <si>
    <t>The transparent colored varieties exhibing opalescence are valued as gemstones.</t>
  </si>
  <si>
    <t>DpsCode_opal</t>
  </si>
  <si>
    <t>ruby</t>
  </si>
  <si>
    <t>Ruby</t>
  </si>
  <si>
    <t>A red variety of corundum.</t>
  </si>
  <si>
    <t>DpsCode_ruby</t>
  </si>
  <si>
    <t>sapphire</t>
  </si>
  <si>
    <t>Sapphire</t>
  </si>
  <si>
    <t>A fine blue transparent variety of corundum.</t>
  </si>
  <si>
    <t>DpsCode_sapphire</t>
  </si>
  <si>
    <t>topaz</t>
  </si>
  <si>
    <t>Topaz</t>
  </si>
  <si>
    <t>A white or lightly colored (yellow, blue, pink) mineral.</t>
  </si>
  <si>
    <t>Transparent topaz is used as a gemstone.</t>
  </si>
  <si>
    <t>DpsCode_topaz</t>
  </si>
  <si>
    <t>adindan</t>
  </si>
  <si>
    <t>Adindan</t>
  </si>
  <si>
    <t>The geodetic datum known as 'Adindan' and intended to be used in the geographic region of Burkina Faso, Cameroon, Ethiopia, Mali, Senegal, and Sudan.</t>
  </si>
  <si>
    <t>See U.S. DoD World Geodetic System 1984 - Its Definition and Relationships with Local Geodetic Systems, 3rd edition, Amendment 1.</t>
  </si>
  <si>
    <t>HzdCode_adindan</t>
  </si>
  <si>
    <t>adindanBurkinaFaso</t>
  </si>
  <si>
    <t>Adindan (Burkina Faso)</t>
  </si>
  <si>
    <t>The geodetic datum known as 'Adindan' and intended to be used only in the geographic region of Burkina Faso.</t>
  </si>
  <si>
    <t>HzdCode_adindanBurkinaFaso</t>
  </si>
  <si>
    <t>adindanCameroon</t>
  </si>
  <si>
    <t>Adindan (Cameroon)</t>
  </si>
  <si>
    <t>The geodetic datum known as 'Adindan' and intended to be used only in the geographic region of Cameroon.</t>
  </si>
  <si>
    <t>HzdCode_adindanCameroon</t>
  </si>
  <si>
    <t>adindanEthiopia</t>
  </si>
  <si>
    <t>Adindan (Ethiopia)</t>
  </si>
  <si>
    <t>The geodetic datum known as 'Adindan' and intended to be used only in the geographic region of Ethiopia.</t>
  </si>
  <si>
    <t>HzdCode_adindanEthiopia</t>
  </si>
  <si>
    <t>adindanMali</t>
  </si>
  <si>
    <t>Adindan (Mali)</t>
  </si>
  <si>
    <t>The geodetic datum known as 'Adindan' and intended to be used only in the geographic region of Mali.</t>
  </si>
  <si>
    <t>HzdCode_adindanMali</t>
  </si>
  <si>
    <t>adindanMeanValue</t>
  </si>
  <si>
    <t>Adindan (mean value)</t>
  </si>
  <si>
    <t>The geodetic datum known as 'Adindan' and intended as a mean solution for the geographic region of Ethiopia and Sudan.</t>
  </si>
  <si>
    <t>HzdCode_adindanMeanValue</t>
  </si>
  <si>
    <t>adindanSenegal</t>
  </si>
  <si>
    <t>Adindan (Senegal)</t>
  </si>
  <si>
    <t>The geodetic datum known as 'Adindan' and intended to be used only in the geographic region of Senegal.</t>
  </si>
  <si>
    <t>HzdCode_adindanSenegal</t>
  </si>
  <si>
    <t>adindanSudan</t>
  </si>
  <si>
    <t>Adindan (Sudan)</t>
  </si>
  <si>
    <t>The geodetic datum known as 'Adindan' and intended to be used only in the geographic region of Sudan.</t>
  </si>
  <si>
    <t>HzdCode_adindanSudan</t>
  </si>
  <si>
    <t>afgooyeSomalia</t>
  </si>
  <si>
    <t>Afgooye (Somalia)</t>
  </si>
  <si>
    <t>The geodetic datum known as 'Afgooye' and intended to be used only in the geographic region of Somalia.</t>
  </si>
  <si>
    <t>HzdCode_afgooyeSomalia</t>
  </si>
  <si>
    <t>ainElAbd1970</t>
  </si>
  <si>
    <t>Ain el Abd 1970</t>
  </si>
  <si>
    <t>The geodetic datum known as 'Ain el Abd 1970' and intended to be used in the geographic region of Bahrain and Saudi Arabia.</t>
  </si>
  <si>
    <t>HzdCode_ainElAbd1970</t>
  </si>
  <si>
    <t>ainElAbd1970BahrainIsland</t>
  </si>
  <si>
    <t>Ain el Abd 1970 (Bahrain Island)</t>
  </si>
  <si>
    <t>The geodetic datum known as 'Ain el Abd 1970' and intended to be used only in the geographic region of Bahrain Island.</t>
  </si>
  <si>
    <t>HzdCode_ainElAbd1970BahrainIsland</t>
  </si>
  <si>
    <t>ainElAbd1970SaudiArabia</t>
  </si>
  <si>
    <t>Ain el Abd 1970 (Saudi Arabia)</t>
  </si>
  <si>
    <t>The geodetic datum known as 'Ain el Abd 1970' and intended to be used only in the geographic region of Saudi Arabia.</t>
  </si>
  <si>
    <t>HzdCode_ainElAbd1970SaudiArabia</t>
  </si>
  <si>
    <t>americanSamoaDatum1962</t>
  </si>
  <si>
    <t>American Samoa Datum 1962</t>
  </si>
  <si>
    <t>The geodetic datum known as 'American Samoa Datum 1962' and intended to be used in the geographic region of the American Samoa Islands.</t>
  </si>
  <si>
    <t>HzdCode_americanSamoaDatum1962</t>
  </si>
  <si>
    <t>amersfoort1885dash1903</t>
  </si>
  <si>
    <t>Amersfoort 1885/1903 (Netherlands)</t>
  </si>
  <si>
    <t>The geodetic datum known as 'Amersfoort 1885/1903' and intended to be used only in the geographic region of Netherlands.</t>
  </si>
  <si>
    <t>HzdCode_amersfoort1885dash1903</t>
  </si>
  <si>
    <t>anna1Astro1965CocosIslands</t>
  </si>
  <si>
    <t>Anna 1 Astro 1965 (Cocos Islands)</t>
  </si>
  <si>
    <t>The geodetic datum known as 'Anna 1 Astro 1965' and intended to be used only in the geographic region of Cocos Islands.</t>
  </si>
  <si>
    <t>HzdCode_anna1Astro1965CocosIslands</t>
  </si>
  <si>
    <t>antiguaIslandAstro1943</t>
  </si>
  <si>
    <t>Antigua Island Astro 1943</t>
  </si>
  <si>
    <t>The geodetic datum known as 'Antigua Island Astro 1943' and intended to be used only in the geographic region of Antigua and the Leeward Islands.</t>
  </si>
  <si>
    <t>HzdCode_antiguaIslandAstro1943</t>
  </si>
  <si>
    <t>approximateLuzonDatum</t>
  </si>
  <si>
    <t>Approximate Luzon Datum (Philippines)</t>
  </si>
  <si>
    <t>The geodetic datum known as 'Approximate Luzon Datum' and intended to be used only in the geographic region of Philippines.</t>
  </si>
  <si>
    <t>HzdCode_approximateLuzonDatum</t>
  </si>
  <si>
    <t>arc1935Africa</t>
  </si>
  <si>
    <t>Arc 1935 (Africa)</t>
  </si>
  <si>
    <t>The geodetic datum known as 'Arc 1935' and intended to be used only in the geographic region of Africa.</t>
  </si>
  <si>
    <t>HzdCode_arc1935Africa</t>
  </si>
  <si>
    <t>arc1950</t>
  </si>
  <si>
    <t>Arc 1950</t>
  </si>
  <si>
    <t>The geodetic datum known as 'Arc 1950' and intended to be used in the geographic region of Botswana, Lesotho, Malawi, Swaziland, Zaire, Zambia, and Zimbabwe.</t>
  </si>
  <si>
    <t>HzdCode_arc1950</t>
  </si>
  <si>
    <t>arc1950Botswana</t>
  </si>
  <si>
    <t>Arc 1950 (Botswana)</t>
  </si>
  <si>
    <t>The geodetic datum known as 'Arc 1950' and intended to be used only in the geographic region of Botswana.</t>
  </si>
  <si>
    <t>HzdCode_arc1950Botswana</t>
  </si>
  <si>
    <t>arc1950Burundi</t>
  </si>
  <si>
    <t>Arc 1950 (Burundi)</t>
  </si>
  <si>
    <t>The geodetic datum known as 'Arc 1950' and intended to be used only in the geographic region of Burundi.</t>
  </si>
  <si>
    <t>HzdCode_arc1950Burundi</t>
  </si>
  <si>
    <t>arc1950Lesotho</t>
  </si>
  <si>
    <t>Arc 1950 (Lesotho)</t>
  </si>
  <si>
    <t>The geodetic datum known as 'Arc 1950' and intended to be used only in the geographic region of Lesotho.</t>
  </si>
  <si>
    <t>HzdCode_arc1950Lesotho</t>
  </si>
  <si>
    <t>arc1950Malawi</t>
  </si>
  <si>
    <t>Arc 1950 (Malawi)</t>
  </si>
  <si>
    <t>The geodetic datum known as 'Arc 1950' and intended to be used only in the geographic region of Malawi.</t>
  </si>
  <si>
    <t>HzdCode_arc1950Malawi</t>
  </si>
  <si>
    <t>arc1950MeanValue</t>
  </si>
  <si>
    <t>Arc 1950 (mean value)</t>
  </si>
  <si>
    <t>The geodetic datum known as 'Arc 1950' and intended as a mean solution for the geographic region of Botswana, Lesotho, Malawi, Swaziland, Zaire, Zambia and Zimbabwe.</t>
  </si>
  <si>
    <t>HzdCode_arc1950MeanValue</t>
  </si>
  <si>
    <t>arc1950Swaziland</t>
  </si>
  <si>
    <t>Arc 1950 (Swaziland)</t>
  </si>
  <si>
    <t>The geodetic datum known as 'Arc 1950' and intended to be used only in the geographic region of Swaziland.</t>
  </si>
  <si>
    <t>HzdCode_arc1950Swaziland</t>
  </si>
  <si>
    <t>arc1950Zaire</t>
  </si>
  <si>
    <t>Arc 1950 (Zaire)</t>
  </si>
  <si>
    <t>The geodetic datum known as 'Arc 1950' and intended to be used only in the geographic region of Zaire.</t>
  </si>
  <si>
    <t>HzdCode_arc1950Zaire</t>
  </si>
  <si>
    <t>arc1950Zambia</t>
  </si>
  <si>
    <t>Arc 1950 (Zambia)</t>
  </si>
  <si>
    <t>The geodetic datum known as 'Arc 1950' and intended to be used only in the geographic region of Zambia.</t>
  </si>
  <si>
    <t>HzdCode_arc1950Zambia</t>
  </si>
  <si>
    <t>arc1950Zimbabwe</t>
  </si>
  <si>
    <t>Arc 1950 (Zimbabwe)</t>
  </si>
  <si>
    <t>The geodetic datum known as 'Arc 1950' and intended to be used only in the geographic region of Zimbabwe.</t>
  </si>
  <si>
    <t>HzdCode_arc1950Zimbabwe</t>
  </si>
  <si>
    <t>arc1960</t>
  </si>
  <si>
    <t>Arc 1960</t>
  </si>
  <si>
    <t>The geodetic datum known as 'Arc 1960' and intended to be used in the geographic region of Kenya and Tanzania.</t>
  </si>
  <si>
    <t>HzdCode_arc1960</t>
  </si>
  <si>
    <t>arc1960Kenya</t>
  </si>
  <si>
    <t>Arc 1960 (Kenya)</t>
  </si>
  <si>
    <t>The geodetic datum known as 'Arc 1960' and intended to be used only in the geographic region of Kenya.</t>
  </si>
  <si>
    <t>HzdCode_arc1960Kenya</t>
  </si>
  <si>
    <t>arc1960MeanValue</t>
  </si>
  <si>
    <t>Arc 1960 (mean value)</t>
  </si>
  <si>
    <t>The geodetic datum known as 'Arc 1960' and intended as a mean solution for the geographic region of Kenya and Tanzania.</t>
  </si>
  <si>
    <t>HzdCode_arc1960MeanValue</t>
  </si>
  <si>
    <t>arc1960Tanzania</t>
  </si>
  <si>
    <t>Arc 1960 (Tanzania)</t>
  </si>
  <si>
    <t>The geodetic datum known as 'Arc 1960' and intended to be used only in the geographic region of Tanzania.</t>
  </si>
  <si>
    <t>HzdCode_arc1960Tanzania</t>
  </si>
  <si>
    <t>ascensionIsland1958</t>
  </si>
  <si>
    <t>Ascension Island 1958 (Ascension Island)</t>
  </si>
  <si>
    <t>The geodetic datum known as 'Ascension Island 1958' and intended to be used only in the geographic region of Ascension Island.</t>
  </si>
  <si>
    <t>HzdCode_ascensionIsland1958</t>
  </si>
  <si>
    <t>astroBeaconEIwoJimaIsland</t>
  </si>
  <si>
    <t>Astro Beacon 'E' (Iwo Jima Island)</t>
  </si>
  <si>
    <t>The geodetic datum known as 'Astro Beacon 'E'' and intended to be used only in the geographic region of Iwo Jima Island.</t>
  </si>
  <si>
    <t>HzdCode_astroBeaconEIwoJimaIsland</t>
  </si>
  <si>
    <t>astroDos71dash4StHelena</t>
  </si>
  <si>
    <t>Astro DOS 71/4 (St. Helena Island)</t>
  </si>
  <si>
    <t>The geodetic datum known as 'Astro DOS 71/4' and intended to be used only in the geographic region of St. Helena Island.</t>
  </si>
  <si>
    <t>HzdCode_astroDos71dash4StHelena</t>
  </si>
  <si>
    <t>astroStation1952MarcusIs</t>
  </si>
  <si>
    <t>Astro Station 1952 (Marcus Island)</t>
  </si>
  <si>
    <t>The geodetic datum known as 'Astro Station 1952' and intended to be used only in the geographic region of Marcus Island.</t>
  </si>
  <si>
    <t>HzdCode_astroStation1952MarcusIs</t>
  </si>
  <si>
    <t>astroTernIsland1961Hawaii</t>
  </si>
  <si>
    <t>Astro Tern Island 1961 (Tern Island, Hawaii)</t>
  </si>
  <si>
    <t>The geodetic datum known as 'Astro Tern Island 1961' and intended to be used only in the geographic region of Tern Island and Hawaii.</t>
  </si>
  <si>
    <t>HzdCode_astroTernIsland1961Hawaii</t>
  </si>
  <si>
    <t>australianGeodetic1966</t>
  </si>
  <si>
    <t>Australian Geod. 1966 (Australia and Tasmania Island)</t>
  </si>
  <si>
    <t>The geodetic datum known as 'Australian Geod. 1966' and intended to be used only in the geographic region of Australia and Tasmania Island.</t>
  </si>
  <si>
    <t>HzdCode_australianGeodetic1966</t>
  </si>
  <si>
    <t>australianGeodetic1984</t>
  </si>
  <si>
    <t>Australian Geod. 1984 (Australia and Tasmania Island)</t>
  </si>
  <si>
    <t>The geodetic datum known as 'Australian Geod. 1984' and intended to be used only in the geographic region of Australia and Tasmania Island.</t>
  </si>
  <si>
    <t>HzdCode_australianGeodetic1984</t>
  </si>
  <si>
    <t>averageTerrestrialSys1977</t>
  </si>
  <si>
    <t>Average Terrestrial System 1977, New Brunswick</t>
  </si>
  <si>
    <t>The geodetic datum known as 'Average Terrestrial System 1977' and intended to be used only in the geographic region of New Brunswick, Nova Scotia, and Prince Edward Island.</t>
  </si>
  <si>
    <t>See DIGEST 2.1, Part 3, Table 6-2, code ATX.</t>
  </si>
  <si>
    <t>HzdCode_averageTerrestrialSys1977</t>
  </si>
  <si>
    <t>ayabelleLighthouseDjibouti</t>
  </si>
  <si>
    <t>Ayabelle Lighthouse (Djibouti)</t>
  </si>
  <si>
    <t>The geodetic datum known as 'Ayabelle Lighthouse' and intended to be used only in the geographic region of Djibouti.</t>
  </si>
  <si>
    <t>HzdCode_ayabelleLighthouseDjibouti</t>
  </si>
  <si>
    <t>bekaaBaseSouthEndLebanon</t>
  </si>
  <si>
    <t>Bekaa Base South End (Lebanon)</t>
  </si>
  <si>
    <t>The geodetic datum known as 'Bekaa Base South End' and intended to be used only in the geographic region of Lebanon.</t>
  </si>
  <si>
    <t>HzdCode_bekaaBaseSouthEndLebanon</t>
  </si>
  <si>
    <t>belgium1950SystemLommelSig</t>
  </si>
  <si>
    <t>Belgium 1950 System (Lommel Signal, Belgium)</t>
  </si>
  <si>
    <t>The geodetic datum known as 'Belgium 1950 System' and intended to be used only in the geographic region of Lommel Signal, Belgium.</t>
  </si>
  <si>
    <t>See DIGEST 2.1, Part 3, Table 6-2, code ODU 'Belgium 1972'.</t>
  </si>
  <si>
    <t>HzdCode_belgium1950SystemLommelSig</t>
  </si>
  <si>
    <t>belgium1972Observatoire</t>
  </si>
  <si>
    <t>Belgium 1972 (Observatoire d'Uccle)</t>
  </si>
  <si>
    <t>The geodetic datum known as 'Belgium 1972' and intended to be used only in the geographic region of the Observatoire d'Uccle.</t>
  </si>
  <si>
    <t>HzdCode_belgium1972Observatoire</t>
  </si>
  <si>
    <t>bellevueIgnEfateErromango</t>
  </si>
  <si>
    <t>Bellevue (IGN) (Efate and Erromango Islands)</t>
  </si>
  <si>
    <t>The geodetic datum known as 'Bellevue IGN' and intended to be used only in the geographic region of the Efate and Erromango Islands.</t>
  </si>
  <si>
    <t>HzdCode_bellevueIgnEfateErromango</t>
  </si>
  <si>
    <t>bermuda1957BermudaIslands</t>
  </si>
  <si>
    <t>Bermuda 1957 (Bermuda Islands)</t>
  </si>
  <si>
    <t>The geodetic datum known as 'Bermuda 1957' and intended to be used only in the geographic region of the Bermuda Islands.</t>
  </si>
  <si>
    <t>HzdCode_bermuda1957BermudaIslands</t>
  </si>
  <si>
    <t>bern1898Switzerland</t>
  </si>
  <si>
    <t>Bern 1898 (Switzerland)</t>
  </si>
  <si>
    <t>The geodetic datum known as 'Bern 1898' and intended to be used only in the geographic region of Switzerland.</t>
  </si>
  <si>
    <t>HzdCode_bern1898Switzerland</t>
  </si>
  <si>
    <t>bern1898ZeroMeridian</t>
  </si>
  <si>
    <t>Bern 1898 (Switzerland) with Zero Meridian Bern</t>
  </si>
  <si>
    <t>The geodetic datum known as 'Bern 1898' whose zero meridian is set at Bern and is intended to be used only in the geographic region of Switzerland.</t>
  </si>
  <si>
    <t>HzdCode_bern1898ZeroMeridian</t>
  </si>
  <si>
    <t>bissauGuineaBissau</t>
  </si>
  <si>
    <t>Bissau (Guinea-Bissau)</t>
  </si>
  <si>
    <t>The geodetic datum known as 'Bissau' and intended to be used only in the geographic region of Guinea-Bissau.</t>
  </si>
  <si>
    <t>HzdCode_bissauGuineaBissau</t>
  </si>
  <si>
    <t>bjz54A954BeijingCoord</t>
  </si>
  <si>
    <t>BJZ54 (A954 Beijing Coordinates) (China)</t>
  </si>
  <si>
    <t>The geodetic datum known as 'BJZ54' or 'A954 Beijing Coordinates' and intended to be used only in the geographic region of China.</t>
  </si>
  <si>
    <t>HzdCode_bjz54A954BeijingCoord</t>
  </si>
  <si>
    <t>bogotaObservatoryColombia</t>
  </si>
  <si>
    <t>Bogota Observatory (Colombia)</t>
  </si>
  <si>
    <t>The geodetic datum known as 'Bogota Observatory' and intended to be used only in the geographic region of Colombia.</t>
  </si>
  <si>
    <t>HzdCode_bogotaObservatoryColombia</t>
  </si>
  <si>
    <t>bogotaObsZeroMeridian</t>
  </si>
  <si>
    <t>Bogota Observatory (Colombia) with Zero Meridian Bogota</t>
  </si>
  <si>
    <t>The geodetic datum known as 'Bogota Observatory' whose zero meridian is set at Bogota and is intended to be used only in the geographic region of Colombia.</t>
  </si>
  <si>
    <t>HzdCode_bogotaObsZeroMeridian</t>
  </si>
  <si>
    <t>bukitRimpahIndonesia</t>
  </si>
  <si>
    <t>Bukit Rimpah (Bangka &amp; Belitung Islands, Indonesia)</t>
  </si>
  <si>
    <t>The geodetic datum known as 'Bukit Rimpah' and intended to be used only in the geographic region of Bangka &amp; Belitung Islands, Indonesia.</t>
  </si>
  <si>
    <t>HzdCode_bukitRimpahIndonesia</t>
  </si>
  <si>
    <t>camacupaBaseSwEndAngola</t>
  </si>
  <si>
    <t>Camacupa Base SW End (Campo De Aviacao, Angola)</t>
  </si>
  <si>
    <t>The geodetic datum known as 'Camacupa Base SW End' and intended to be used only in the geographic region of Campo De Aviacao, Angola.</t>
  </si>
  <si>
    <t>HzdCode_camacupaBaseSwEndAngola</t>
  </si>
  <si>
    <t>campAreaAstroAntarctica</t>
  </si>
  <si>
    <t>Camp Area Astro (Camp McMurdo Area, Antarctica)</t>
  </si>
  <si>
    <t>The geodetic datum known as 'Camp Area Astro' and intended to be used only in the geographic region of Camp McMurdo Area, Antarctica.</t>
  </si>
  <si>
    <t>HzdCode_campAreaAstroAntarctica</t>
  </si>
  <si>
    <t>campoInchauspeArgentina</t>
  </si>
  <si>
    <t>Campo Inchauspe (Argentina)</t>
  </si>
  <si>
    <t>The geodetic datum known as 'Campo Inchauspe' and intended to be used only in the geographic region of Argentina.</t>
  </si>
  <si>
    <t>HzdCode_campoInchauspeArgentina</t>
  </si>
  <si>
    <t>cantonAstro1966PhoenixIs</t>
  </si>
  <si>
    <t>Canton Astro 1966 (Phoenix Islands)</t>
  </si>
  <si>
    <t>The geodetic datum known as 'Canton Astro 1966' and intended to be used only in the geographic region of Phoenix Islands.</t>
  </si>
  <si>
    <t>HzdCode_cantonAstro1966PhoenixIs</t>
  </si>
  <si>
    <t>capeSouthAfrica</t>
  </si>
  <si>
    <t>Cape (South Africa)</t>
  </si>
  <si>
    <t>The geodetic datum known as 'Cape' and intended to be used only in the geographic region of South Africa.</t>
  </si>
  <si>
    <t>HzdCode_capeSouthAfrica</t>
  </si>
  <si>
    <t>capeCanaveralMeanValue</t>
  </si>
  <si>
    <t>Cape Canaveral (mean value)</t>
  </si>
  <si>
    <t>The geodetic datum known as 'Cape Canaveral' and intended as a mean solution for the geographic region of Florida and the Bahama Islands.</t>
  </si>
  <si>
    <t>HzdCode_capeCanaveralMeanValue</t>
  </si>
  <si>
    <t>carthageTunisia</t>
  </si>
  <si>
    <t>Carthage (Tunisia)</t>
  </si>
  <si>
    <t>The geodetic datum known as 'Carthage' and intended to be used only in the geographic region of Tunisia.</t>
  </si>
  <si>
    <t>HzdCode_carthageTunisia</t>
  </si>
  <si>
    <t>chatham1971NewZealand</t>
  </si>
  <si>
    <t>Chatham 1971 (Chatham Island, New Zealand)</t>
  </si>
  <si>
    <t>The geodetic datum known as 'Chatham 1971' and intended to be used only in the geographic region of Chatham Island, New Zealand.</t>
  </si>
  <si>
    <t>HzdCode_chatham1971NewZealand</t>
  </si>
  <si>
    <t>chuaAstroParaguay</t>
  </si>
  <si>
    <t>Chua Astro (Paraguay)</t>
  </si>
  <si>
    <t>The geodetic datum known as 'Chua Astro' and intended to be used only in the geographic region of Paraguay.</t>
  </si>
  <si>
    <t>HzdCode_chuaAstroParaguay</t>
  </si>
  <si>
    <t>compensationGeoQuebec1977</t>
  </si>
  <si>
    <t>Compensation Géodétique du Québec 1977</t>
  </si>
  <si>
    <t>The geodetic datum known as 'Compensation Géodétique du Québec 1977' and whose geographic region of intended use is not specified.</t>
  </si>
  <si>
    <t>See DIGEST 2.1, Part 3, Table 6-2, code CGX.</t>
  </si>
  <si>
    <t>HzdCode_compensationGeoQuebec1977</t>
  </si>
  <si>
    <t>conakryPyramidGuinea</t>
  </si>
  <si>
    <t>Conakry Pyramid of the Service Geographique (Guinea)</t>
  </si>
  <si>
    <t>The geodetic datum known as 'Conakry Pyramid of the Service Geographique' and intended to be used only in the geographic region of Guinea.</t>
  </si>
  <si>
    <t>HzdCode_conakryPyramidGuinea</t>
  </si>
  <si>
    <t>estonia1937</t>
  </si>
  <si>
    <t>Co-ordinate System 1937 of Estonia</t>
  </si>
  <si>
    <t>The geodetic datum known as 'Co-ordinate System 1937 of Estonia' and intended to be used only in the geographic region of Estonia.</t>
  </si>
  <si>
    <t>HzdCode_estonia1937</t>
  </si>
  <si>
    <t>corregoAlegreBrazil</t>
  </si>
  <si>
    <t>Corrego Alegre (Brazil)</t>
  </si>
  <si>
    <t>The geodetic datum known as 'Corrego Alegre' and intended to be used only in the geographic region of Brazil.</t>
  </si>
  <si>
    <t>HzdCode_corregoAlegreBrazil</t>
  </si>
  <si>
    <t>dabolaGuinea</t>
  </si>
  <si>
    <t>Dabola (Guinea)</t>
  </si>
  <si>
    <t>The geodetic datum known as 'Dabola' and intended to be used only in the geographic region of Guinea.</t>
  </si>
  <si>
    <t>HzdCode_dabolaGuinea</t>
  </si>
  <si>
    <t>dcs3LighthouseLesserAnt</t>
  </si>
  <si>
    <t>DCS-3 Lighthouse, Saint Lucia, Lesser Antilles</t>
  </si>
  <si>
    <t>The geodetic datum known as 'DCS-3 Lighthouse, Saint Lucia, Lesser Antilles' and whose geographic region of intended use is not specified.</t>
  </si>
  <si>
    <t>See DIGEST 2.1, Part 3, Table 6-2, code DCS.</t>
  </si>
  <si>
    <t>HzdCode_dcs3LighthouseLesserAnt</t>
  </si>
  <si>
    <t>deceptionIslAntarctica</t>
  </si>
  <si>
    <t>Deception Island, Antarctica</t>
  </si>
  <si>
    <t>The geodetic datum known as 'Deception Island' or 'Deception 1993' and intended to be used only in the geographic region of Deception Island, Antarctica.</t>
  </si>
  <si>
    <t>HzdCode_deceptionIslAntarctica</t>
  </si>
  <si>
    <t>djakartaBataviaIndonesia</t>
  </si>
  <si>
    <t>Djakarta (Batavia) (Sumatra Island, Indonesia)</t>
  </si>
  <si>
    <t>The geodetic datum known as 'Djakarta (Batavia)' and intended to be used only in the geographic region of Sumatra Island, Indonesia.</t>
  </si>
  <si>
    <t>HzdCode_djakartaBataviaIndonesia</t>
  </si>
  <si>
    <t>djakartaBataviaZeroMerid</t>
  </si>
  <si>
    <t>Djakarta (Batavia) (Sumatra Island, Indonesia) with Zero Meridian Djakarta</t>
  </si>
  <si>
    <t>The geodetic datum known as 'Djakarta (Batavia)' whose zero meridian is set at Djakarta and is intended to be used only in the geographic region of Sumatra Island, Indonesia.</t>
  </si>
  <si>
    <t>HzdCode_djakartaBataviaZeroMerid</t>
  </si>
  <si>
    <t>dominicaAstroM12LesserAnt</t>
  </si>
  <si>
    <t>Dominica Astro M-12, Dominica, Lesser Antilles</t>
  </si>
  <si>
    <t>The geodetic datum known as 'Dominica Astro M-12, Dominica, Lesser Antilles' and whose geographic region of intended use is not specified.</t>
  </si>
  <si>
    <t>See DIGEST 2.1, Part 3, Table 6-2, code DOM.</t>
  </si>
  <si>
    <t>HzdCode_dominicaAstroM12LesserAnt</t>
  </si>
  <si>
    <t>dos1968GizoNewGeorgiaIs</t>
  </si>
  <si>
    <t>DOS 1968 (Gizo Island, New Georgia Islands)</t>
  </si>
  <si>
    <t>The geodetic datum known as 'DOS 1968' and intended to be used only in the geographic region of Gizo Island and the New Georgia Islands.</t>
  </si>
  <si>
    <t>HzdCode_dos1968GizoNewGeorgiaIs</t>
  </si>
  <si>
    <t>easterIsland1967EasterIs</t>
  </si>
  <si>
    <t>Easter Island 1967 (Easter Island)</t>
  </si>
  <si>
    <t>The geodetic datum known as 'Easter Island 1967' and intended to be used only in the geographic region of Easter Island.</t>
  </si>
  <si>
    <t>HzdCode_easterIsland1967EasterIs</t>
  </si>
  <si>
    <t>european1950</t>
  </si>
  <si>
    <t>European 1950</t>
  </si>
  <si>
    <t>The geodetic datum known as 'European 1950' and whose geographic region of intended use is not specified.</t>
  </si>
  <si>
    <t>See DIGEST 2.1, Part 3, Table 6-2, code EUR.</t>
  </si>
  <si>
    <t>HzdCode_european1950</t>
  </si>
  <si>
    <t>european1950BritishIsles</t>
  </si>
  <si>
    <t>European 1950 (British Isles)</t>
  </si>
  <si>
    <t>The geodetic datum known as 'European 1950' and intended to be used only in the geographic region of the British Isles to specifically encompass England, the Channel Islands, Ireland, Northern Ireland, Scotland, the Shetland Islands, and Wales.</t>
  </si>
  <si>
    <t>HzdCode_european1950BritishIsles</t>
  </si>
  <si>
    <t>european1950Cyprus</t>
  </si>
  <si>
    <t>European 1950 (Cyprus)</t>
  </si>
  <si>
    <t>The geodetic datum known as 'European 1950' and intended to be used only in the geographic region of Cyprus.</t>
  </si>
  <si>
    <t>HzdCode_european1950Cyprus</t>
  </si>
  <si>
    <t>european1950Egypt</t>
  </si>
  <si>
    <t>European 1950 (Egypt)</t>
  </si>
  <si>
    <t>The geodetic datum known as 'European 1950' and intended to be used only in the geographic region of Egypt.</t>
  </si>
  <si>
    <t>HzdCode_european1950Egypt</t>
  </si>
  <si>
    <t>european1950England</t>
  </si>
  <si>
    <t>European 1950 (England, Channel Islands, Scotland, and Shetland Islands)</t>
  </si>
  <si>
    <t>The geodetic datum known as 'European 1950' and intended to be used only in the geographic region of England, Channel Islands, Scotland, and Shetland Islands.</t>
  </si>
  <si>
    <t>HzdCode_european1950England</t>
  </si>
  <si>
    <t>european1950Greece</t>
  </si>
  <si>
    <t>European 1950 (Greece)</t>
  </si>
  <si>
    <t>The geodetic datum known as 'European 1950' and intended to be used only in the geographic region of Greece.</t>
  </si>
  <si>
    <t>HzdCode_european1950Greece</t>
  </si>
  <si>
    <t>european1950Iran</t>
  </si>
  <si>
    <t>European 1950 (Iran)</t>
  </si>
  <si>
    <t>The geodetic datum known as 'European 1950' and intended to be used only in the geographic region of Iran.</t>
  </si>
  <si>
    <t>HzdCode_european1950Iran</t>
  </si>
  <si>
    <t>european1950IraqSyria</t>
  </si>
  <si>
    <t>European 1950 (Iraq, Israel, Jordan, Kuwait, Lebanon, Saudi Arabia, and Syria)</t>
  </si>
  <si>
    <t>The geodetic datum known as 'European 1950' and intended to be used only in the geographic region of Iraq, Israel, Jordan, Kuwait, Lebanon, Saudi Arabia, and Syria.</t>
  </si>
  <si>
    <t>HzdCode_european1950IraqSyria</t>
  </si>
  <si>
    <t>european1950Malta</t>
  </si>
  <si>
    <t>European 1950 (Malta)</t>
  </si>
  <si>
    <t>The geodetic datum known as 'European 1950' and intended to be used only in the geographic region of Malta.</t>
  </si>
  <si>
    <t>HzdCode_european1950Malta</t>
  </si>
  <si>
    <t>european1950MeanValue</t>
  </si>
  <si>
    <t>European 1950 (mean value)</t>
  </si>
  <si>
    <t>The geodetic datum known as 'European 1950' and intended as a mean solution for the geographic region of Austria, Belgium, Denmark, Finland, France, Federal Republic of Germany, Gibraltar, Greece, Italy, Luxembourg, Netherlands, Norway, Portugal, Spain, Sweden, and Switzerland.</t>
  </si>
  <si>
    <t>HzdCode_european1950MeanValue</t>
  </si>
  <si>
    <t>european1950NorwayFinland</t>
  </si>
  <si>
    <t>European 1950 (Norway and Finland)</t>
  </si>
  <si>
    <t>The geodetic datum known as 'European 1950' and intended to be used only in the geographic region of Norway and Finland.</t>
  </si>
  <si>
    <t>HzdCode_european1950NorwayFinland</t>
  </si>
  <si>
    <t>european1950PortugalSpain</t>
  </si>
  <si>
    <t>European 1950 (Portugal and Spain)</t>
  </si>
  <si>
    <t>The geodetic datum known as 'European 1950' and intended to be used only in the geographic region of Portugal and Spain.</t>
  </si>
  <si>
    <t>HzdCode_european1950PortugalSpain</t>
  </si>
  <si>
    <t>european1950Sardinia</t>
  </si>
  <si>
    <t>European 1950 (Sardinia)</t>
  </si>
  <si>
    <t>The geodetic datum known as 'European 1950' and intended to be used only in the geographic region of Sardinia.</t>
  </si>
  <si>
    <t>HzdCode_european1950Sardinia</t>
  </si>
  <si>
    <t>european1950Sicily</t>
  </si>
  <si>
    <t>European 1950 (Sicily)</t>
  </si>
  <si>
    <t>The geodetic datum known as 'European 1950' and intended to be used only in the geographic region of Sicily.</t>
  </si>
  <si>
    <t>HzdCode_european1950Sicily</t>
  </si>
  <si>
    <t>european1950Tunisia</t>
  </si>
  <si>
    <t>European 1950 (Tunisia)</t>
  </si>
  <si>
    <t>The geodetic datum known as 'European 1950' and intended to be used only in the geographic region of Tunisia.</t>
  </si>
  <si>
    <t>HzdCode_european1950Tunisia</t>
  </si>
  <si>
    <t>european1950WesternEurope</t>
  </si>
  <si>
    <t>European 1950 (Western Europe)</t>
  </si>
  <si>
    <t>The geodetic datum known as 'European 1950' and intended as a mean solution for a geographic region of Western Europe encompassing Austria, Denmark, France, Federal Republic of Germany, Netherlands, and Switzerland.</t>
  </si>
  <si>
    <t>HzdCode_european1950WesternEurope</t>
  </si>
  <si>
    <t>european1979MeanValue</t>
  </si>
  <si>
    <t>European 1979 (mean value)</t>
  </si>
  <si>
    <t>The geodetic datum known as 'European 1979' and intended as a mean solution for the geographic region of Austria, Finland, Netherlands, Norway, Spain, Sweden, and Switzerland.</t>
  </si>
  <si>
    <t>HzdCode_european1979MeanValue</t>
  </si>
  <si>
    <t>etrs1989</t>
  </si>
  <si>
    <t>European Terrestrial Reference System 1989 (ETRS89)</t>
  </si>
  <si>
    <t>The geodetic datum known as 'European Terrestrial Reference System 1989' and intended to be used only in the geographic region of ETRS89.</t>
  </si>
  <si>
    <t>HzdCode_etrs1989</t>
  </si>
  <si>
    <t>fortThomas1955LeewardIs</t>
  </si>
  <si>
    <t>Fort Thomas 1955 (Nevis, St Kitts, Leeward Islands)</t>
  </si>
  <si>
    <t>The geodetic datum known as 'Fort Thomas 1955' and intended to be used only in the geographic region of Nevis, St Kitts, and the Leeward Islands.</t>
  </si>
  <si>
    <t>HzdCode_fortThomas1955LeewardIs</t>
  </si>
  <si>
    <t>gan1970AdduAtoll</t>
  </si>
  <si>
    <t>Gan 1970 (Addu Atoll, Republic of Maldives)</t>
  </si>
  <si>
    <t>The geodetic datum known as 'Gan 1970' and intended to be used only in the geographic region of Addu Atoll, Republic of Maldives.</t>
  </si>
  <si>
    <t>HzdCode_gan1970AdduAtoll</t>
  </si>
  <si>
    <t>gandajikaBaseZaire</t>
  </si>
  <si>
    <t>Gandajika Base (Zaire)</t>
  </si>
  <si>
    <t>The geodetic datum known as 'Gandajika Base' and intended to be used only in the geographic region of Zaire.</t>
  </si>
  <si>
    <t>HzdCode_gandajikaBaseZaire</t>
  </si>
  <si>
    <t>gdz80China</t>
  </si>
  <si>
    <t>GDZ80 (China)</t>
  </si>
  <si>
    <t>The geodetic datum known as 'GDZ80' and intended to be used only in the geographic region of China.</t>
  </si>
  <si>
    <t>HzdCode_gdz80China</t>
  </si>
  <si>
    <t>geocentricDatumOfAustralia</t>
  </si>
  <si>
    <t>Geocentric Datum of Australia (GDA)</t>
  </si>
  <si>
    <t>The geodetic datum known as 'Geocentric Datum of Australia' or 'GDA' and intended to be used only in the geographic region of Australia.</t>
  </si>
  <si>
    <t>HzdCode_geocentricDatumOfAustralia</t>
  </si>
  <si>
    <t>geodeticDatum1949Zealand</t>
  </si>
  <si>
    <t>Geodetic Datum 1949 (New Zealand)</t>
  </si>
  <si>
    <t>The geodetic datum known as 'Geodetic Datum 1949' and intended to be used only in the geographic region of New Zealand.</t>
  </si>
  <si>
    <t>HzdCode_geodeticDatum1949Zealand</t>
  </si>
  <si>
    <t>graciosaBaseSWFaialAzores</t>
  </si>
  <si>
    <t>Graciosa Base SW (Faial, Graciosa, Pico, Sao Jorge, and Terceira Island, Azores)</t>
  </si>
  <si>
    <t>The geodetic datum known as 'Graciosa Base SW' and intended to be used only in the geographic region of Faial, Graciosa, Pico, Sao Jorge, and Terceira Island, Azores.</t>
  </si>
  <si>
    <t>HzdCode_graciosaBaseSWFaialAzores</t>
  </si>
  <si>
    <t>greekDatumGreece</t>
  </si>
  <si>
    <t>Greek Datum, Greece</t>
  </si>
  <si>
    <t>The geodetic datum known as 'Greek Datum, Greece' and whose geographic region of intended use is not specified.</t>
  </si>
  <si>
    <t>See DIGEST 2.1, Part 3, Table 6-2, code GRK.</t>
  </si>
  <si>
    <t>HzdCode_greekDatumGreece</t>
  </si>
  <si>
    <t>greekGeodeticRefSystem1987</t>
  </si>
  <si>
    <t>Greek Geodetic Reference System 1987 (GGRS 87)</t>
  </si>
  <si>
    <t>The geodetic datum known as 'Greek Geodetic Reference System 1987' or 'GGRS 87' and whose geographic region of intended use is not specified.</t>
  </si>
  <si>
    <t>See DIGEST 2.1, Part 3, Table 6-2, code GRX.</t>
  </si>
  <si>
    <t>HzdCode_greekGeodeticRefSystem1987</t>
  </si>
  <si>
    <t>guam1963</t>
  </si>
  <si>
    <t>Guam 1963</t>
  </si>
  <si>
    <t>The geodetic datum known as 'Guam 1963' and intended to be used only in the geographic region of Guam.</t>
  </si>
  <si>
    <t>HzdCode_guam1963</t>
  </si>
  <si>
    <t>gunongSegaraKalimantanIs</t>
  </si>
  <si>
    <t>Gunong Segara (Kalimantan Island, Indonesia)</t>
  </si>
  <si>
    <t>The geodetic datum known as 'Gunong Segara' and intended to be used only in the geographic region of Kalimantan Island, Indonesia.</t>
  </si>
  <si>
    <t>HzdCode_gunongSegaraKalimantanIs</t>
  </si>
  <si>
    <t>gunongSerindung</t>
  </si>
  <si>
    <t>Gunong Serindung</t>
  </si>
  <si>
    <t>The geodetic datum known as 'Gunong Serindung' and whose geographic region of intended use is not specified.</t>
  </si>
  <si>
    <t>See DIGEST 2.1, Part 3, Table 6-2, code GSF.</t>
  </si>
  <si>
    <t>HzdCode_gunongSerindung</t>
  </si>
  <si>
    <t>gux1AstroGuadacanalIs</t>
  </si>
  <si>
    <t>GUX 1 Astro (Guadacanal Island)</t>
  </si>
  <si>
    <t>The geodetic datum known as 'GUX 1 Astro' and intended to be used only in the geographic region of Guadacanal Island.</t>
  </si>
  <si>
    <t>HzdCode_gux1AstroGuadacanalIs</t>
  </si>
  <si>
    <t>guyanaCSG67</t>
  </si>
  <si>
    <t>Guyana CSG67</t>
  </si>
  <si>
    <t>The geodetic datum known as 'Guyana CSG76' and whose geographic region of intended use is not specified.</t>
  </si>
  <si>
    <t>See DIGEST 2.1, Part 3, Table 6-2, code CSG.</t>
  </si>
  <si>
    <t>HzdCode_guyanaCSG67</t>
  </si>
  <si>
    <t>heratNorthAfganistan</t>
  </si>
  <si>
    <t>Herat North (Afganistan)</t>
  </si>
  <si>
    <t>The geodetic datum known as 'Herat North' and intended to be used only in the geographic region of Afganistan.</t>
  </si>
  <si>
    <t>HzdCode_heratNorthAfganistan</t>
  </si>
  <si>
    <t>hermannskogel</t>
  </si>
  <si>
    <t>Hermannskogel</t>
  </si>
  <si>
    <t>The geodetic datum known as 'Hermannskogel' and intended to be used only in the geographic region of Yugoslavia (prior to 1990), Slovenia, Croatia, Bosnia and Herzegovina, and Serbia.</t>
  </si>
  <si>
    <t>HzdCode_hermannskogel</t>
  </si>
  <si>
    <t>hjorsey1955Iceland</t>
  </si>
  <si>
    <t>Hjörsey 1955 (Iceland)</t>
  </si>
  <si>
    <t>The geodetic datum known as 'Hjörsey 1955' and intended to be used only in the geographic region of Iceland.</t>
  </si>
  <si>
    <t>HzdCode_hjorsey1955Iceland</t>
  </si>
  <si>
    <t>hongKong1929</t>
  </si>
  <si>
    <t>Hong Kong 1929</t>
  </si>
  <si>
    <t>The geodetic datum known as 'Hong Kong 1929' and whose geographic region of intended use is not specified.</t>
  </si>
  <si>
    <t>See DIGEST 2.1, Part 3, Table 6-2, code HKO.</t>
  </si>
  <si>
    <t>HzdCode_hongKong1929</t>
  </si>
  <si>
    <t>hongKong1963HongKong</t>
  </si>
  <si>
    <t>Hong Kong 1963 (Hong Kong)</t>
  </si>
  <si>
    <t>The geodetic datum known as 'Hong Kong 1963' and intended to be used only in the geographic region of Hong Kong.</t>
  </si>
  <si>
    <t>HzdCode_hongKong1963HongKong</t>
  </si>
  <si>
    <t>hungarian1972</t>
  </si>
  <si>
    <t>Hungarian 1972</t>
  </si>
  <si>
    <t>The geodetic datum known as 'Hungarian 1972' and whose geographic region of intended use is not specified.</t>
  </si>
  <si>
    <t>See DIGEST 2.1, Part 3, Table 6-2, code HUY.</t>
  </si>
  <si>
    <t>HzdCode_hungarian1972</t>
  </si>
  <si>
    <t>huTzuShan</t>
  </si>
  <si>
    <t>Hu-Tzu-Shan</t>
  </si>
  <si>
    <t>The geodetic datum known as 'Hu-Tzu-Shan' and intended to be used only in the geographic region of Taiwan.</t>
  </si>
  <si>
    <t>HzdCode_huTzuShan</t>
  </si>
  <si>
    <t>indian</t>
  </si>
  <si>
    <t>Indian</t>
  </si>
  <si>
    <t>The geodetic datum known as 'Indian' and whose geographic region of intended use is not specified.</t>
  </si>
  <si>
    <t>See DIGEST 2.1, Part 3, Table 6-2, code IND.</t>
  </si>
  <si>
    <t>HzdCode_indian</t>
  </si>
  <si>
    <t>indian1954</t>
  </si>
  <si>
    <t>Indian (1954)</t>
  </si>
  <si>
    <t>The geodetic datum known as 'Indian (1954)' and intended to be used only in the geographic region of Thailand.</t>
  </si>
  <si>
    <t>HzdCode_indian1954</t>
  </si>
  <si>
    <t>indianBangladesh</t>
  </si>
  <si>
    <t>Indian (Bangladesh)</t>
  </si>
  <si>
    <t>The geodetic datum known as 'Indian' and intended to be used only in the geographic region of Bangladesh.</t>
  </si>
  <si>
    <t>HzdCode_indianBangladesh</t>
  </si>
  <si>
    <t>indianIndiaNepal</t>
  </si>
  <si>
    <t>Indian (India and Nepal)</t>
  </si>
  <si>
    <t>The geodetic datum known as 'Indian' and intended to be used only in the geographic region of India and Nepal.</t>
  </si>
  <si>
    <t>HzdCode_indianIndiaNepal</t>
  </si>
  <si>
    <t>indianPakistan</t>
  </si>
  <si>
    <t>Indian (Pakistan)</t>
  </si>
  <si>
    <t>The geodetic datum known as 'Indian' and intended to be used only in the geographic region of Pakistan.</t>
  </si>
  <si>
    <t>HzdCode_indianPakistan</t>
  </si>
  <si>
    <t>indianThailandVietnam</t>
  </si>
  <si>
    <t>Indian (Thailand and Vietnam)</t>
  </si>
  <si>
    <t>The geodetic datum known as 'Indian' and intended to be used only in the geographic region of Thailand and Vietnam.</t>
  </si>
  <si>
    <t>HzdCode_indianThailandVietnam</t>
  </si>
  <si>
    <t>indian1954Thailand</t>
  </si>
  <si>
    <t>Indian 1954 (Thailand)</t>
  </si>
  <si>
    <t>The geodetic datum known as 'Indian 1954' and intended to be used only in the geographic region of Thailand.</t>
  </si>
  <si>
    <t>HzdCode_indian1954Thailand</t>
  </si>
  <si>
    <t>indian1960</t>
  </si>
  <si>
    <t>Indian 1960</t>
  </si>
  <si>
    <t>The geodetic datum known as 'Indian 1960' and whose geographic region of intended use is not specified.</t>
  </si>
  <si>
    <t>See DIGEST 2.1, Part 3, Table 6-2, code ING.</t>
  </si>
  <si>
    <t>HzdCode_indian1960</t>
  </si>
  <si>
    <t>indian1960ConSonIsland</t>
  </si>
  <si>
    <t>Indian 1960 (Con Son Island (Vietnam))</t>
  </si>
  <si>
    <t>The geodetic datum known as 'Indian 1960 (Con Son Island)' and intended to be used only in the geographic region of Con Son Island (Vietnam).</t>
  </si>
  <si>
    <t>HzdCode_indian1960ConSonIsland</t>
  </si>
  <si>
    <t>indian1960Vietnam</t>
  </si>
  <si>
    <t>Indian 1960 (Vietnam: near 16°N)</t>
  </si>
  <si>
    <t>The geodetic datum known as 'Indian 1960' and intended to be used only in the geographic region of Vietnam near 16°N.</t>
  </si>
  <si>
    <t>HzdCode_indian1960Vietnam</t>
  </si>
  <si>
    <t>indian1975</t>
  </si>
  <si>
    <t>Indian 1975</t>
  </si>
  <si>
    <t>The geodetic datum known as 'Indian 1975' and whose geographic region of intended use is not specified.</t>
  </si>
  <si>
    <t>See DIGEST 2.1, Part 3, Table 6-2, code INH.</t>
  </si>
  <si>
    <t>HzdCode_indian1975</t>
  </si>
  <si>
    <t>indian1975Thailand</t>
  </si>
  <si>
    <t>Indian 1975 (Thailand)</t>
  </si>
  <si>
    <t>The geodetic datum known as 'Indian 1975' and intended to be used only in the geographic region of Thailand.</t>
  </si>
  <si>
    <t>HzdCode_indian1975Thailand</t>
  </si>
  <si>
    <t>indian1975ThailandCycle1</t>
  </si>
  <si>
    <t>Indian 1975 (Thailand) - Cycle 1</t>
  </si>
  <si>
    <t>The geodetic datum known as 'Indian 1975 - Cycle 1' and intended to be used only in the geographic region of Thailand.</t>
  </si>
  <si>
    <t>HzdCode_indian1975ThailandCycle1</t>
  </si>
  <si>
    <t>indonesian1974</t>
  </si>
  <si>
    <t>Indonesian 1974</t>
  </si>
  <si>
    <t>The geodetic datum known as 'Indonesian 1974' and intended to be used only in the geographic region of Indonesia.</t>
  </si>
  <si>
    <t>HzdCode_indonesian1974</t>
  </si>
  <si>
    <t>ireland1965IrelandNorthern</t>
  </si>
  <si>
    <t>Ireland 1965 (Ireland and Northern Ireland)</t>
  </si>
  <si>
    <t>The geodetic datum known as 'Ireland 1965' and intended to be used only in the geographic region of Ireland and Northern Ireland.</t>
  </si>
  <si>
    <t>HzdCode_ireland1965IrelandNorthern</t>
  </si>
  <si>
    <t>ists061Astro1968GeorgiaIs</t>
  </si>
  <si>
    <t>ISTS 061 Astro 1968 (South Georgia Islands)</t>
  </si>
  <si>
    <t>The geodetic datum known as 'ISTS 061 Astro 1968' and intended to be used only in the geographic region of the South Georgia Islands.</t>
  </si>
  <si>
    <t>HzdCode_ists061Astro1968GeorgiaIs</t>
  </si>
  <si>
    <t>ists073Astro1969DiegoGar</t>
  </si>
  <si>
    <t>ISTS 073 Astro 1969 (Diego Garcia)</t>
  </si>
  <si>
    <t>The geodetic datum known as 'ISTS 073 Astro 1969' and intended to be used only in the geographic region of Diego Garcia.</t>
  </si>
  <si>
    <t>HzdCode_ists073Astro1969DiegoGar</t>
  </si>
  <si>
    <t>johnstonIsland1961</t>
  </si>
  <si>
    <t>Johnston Island 1961 (Johnston Island)</t>
  </si>
  <si>
    <t>The geodetic datum known as 'Johnston Island 1961' and intended to be used only in the geographic region of Johnston Island.</t>
  </si>
  <si>
    <t>HzdCode_johnstonIsland1961</t>
  </si>
  <si>
    <t>kalianpurIndia</t>
  </si>
  <si>
    <t>Kalianpur (India)</t>
  </si>
  <si>
    <t>The geodetic datum known as 'Kalianpur' and intended to be used only in the geographic region of India.</t>
  </si>
  <si>
    <t>HzdCode_kalianpurIndia</t>
  </si>
  <si>
    <t>kandawalaSriLanka</t>
  </si>
  <si>
    <t>Kandawala (Sri Lanka)</t>
  </si>
  <si>
    <t>The geodetic datum known as 'Kandawala' and intended to be used only in the geographic region of Sri Lanka.</t>
  </si>
  <si>
    <t>HzdCode_kandawalaSriLanka</t>
  </si>
  <si>
    <t>kcs2SierraLeone</t>
  </si>
  <si>
    <t>KCS 2, Sierra Leone</t>
  </si>
  <si>
    <t>The geodetic datum known as 'KCS 2, Sierra Leone' and whose geographic region of intended use is not specified.</t>
  </si>
  <si>
    <t>See DIGEST 2.1, Part 3, Table 6-2, code KCS.</t>
  </si>
  <si>
    <t>HzdCode_kcs2SierraLeone</t>
  </si>
  <si>
    <t>kerguelenIsland1949</t>
  </si>
  <si>
    <t>Kerguelen Island 1949 (Kerguelen Island)</t>
  </si>
  <si>
    <t>The geodetic datum known as 'Kerguelen Island 1949' and intended to be used only in the geographic region of Kerguelen Island.</t>
  </si>
  <si>
    <t>HzdCode_kerguelenIsland1949</t>
  </si>
  <si>
    <t>kertau1948RevisedMalaysia</t>
  </si>
  <si>
    <t>Kertau 1948 (or Revised Kertau) (West Malaysia and Singapore)</t>
  </si>
  <si>
    <t>The geodetic datum known as 'Kertau 1948' or 'Revised Kertau' and intended to be used only in the geographic region of West Malaysia and Singapore.</t>
  </si>
  <si>
    <t>HzdCode_kertau1948RevisedMalaysia</t>
  </si>
  <si>
    <t>kkjFinland</t>
  </si>
  <si>
    <t>KKJ (or Kartastokoordinaattijarjestelma), Finland</t>
  </si>
  <si>
    <t>The geodetic datum known as 'KKJ' or 'Kartastokoordinaattijarjestelma' and intended to be used only in the geographic region of Finland.</t>
  </si>
  <si>
    <t>HzdCode_kkjFinland</t>
  </si>
  <si>
    <t>koreanGeodeticSystem1995</t>
  </si>
  <si>
    <t>Korean Geodetic System 1995 (South Korea)</t>
  </si>
  <si>
    <t>The geodetic datum known as 'Korean Geodetic System 1995' and intended to be used only in the geographic region of South Korea.</t>
  </si>
  <si>
    <t>HzdCode_koreanGeodeticSystem1995</t>
  </si>
  <si>
    <t>kusaieAstro1951</t>
  </si>
  <si>
    <t>Kusaie Astro 1951</t>
  </si>
  <si>
    <t>The geodetic datum known as 'Kusaie Astro 1951' and intended to be used only in the geographic region of the Caroline Islands (Federated States of Micronesia).</t>
  </si>
  <si>
    <t>HzdCode_kusaieAstro1951</t>
  </si>
  <si>
    <t>kuwaitOilCompanyK28</t>
  </si>
  <si>
    <t>Kuwait Oil Company (K28)</t>
  </si>
  <si>
    <t>The geodetic datum known as 'Kuwait Oil Company (K28)' and whose geographic region of intended use is not specified.</t>
  </si>
  <si>
    <t>See DIGEST 2.1, Part 3, Table 6-2, code KUW.</t>
  </si>
  <si>
    <t>HzdCode_kuwaitOilCompanyK28</t>
  </si>
  <si>
    <t>lc5Astro1961CaymanBracIs</t>
  </si>
  <si>
    <t>L.C. 5 Astro 1961 (Cayman Brac Island)</t>
  </si>
  <si>
    <t>The geodetic datum known as 'L.C. 5 Astro 1961' and intended to be used only in the geographic region of Cayman Brac Island.</t>
  </si>
  <si>
    <t>HzdCode_lc5Astro1961CaymanBracIs</t>
  </si>
  <si>
    <t>leigonGhana</t>
  </si>
  <si>
    <t>Leigon (Ghana)</t>
  </si>
  <si>
    <t>The geodetic datum known as 'Leigon' and intended to be used only in the geographic region of Ghana.</t>
  </si>
  <si>
    <t>HzdCode_leigonGhana</t>
  </si>
  <si>
    <t>liberia1964Liberia</t>
  </si>
  <si>
    <t>Liberia 1964 (Liberia)</t>
  </si>
  <si>
    <t>The geodetic datum known as 'Liberia 1964' and intended to be used only in the geographic region of Liberia.</t>
  </si>
  <si>
    <t>HzdCode_liberia1964Liberia</t>
  </si>
  <si>
    <t>lisbonCastelodiSaoJorge</t>
  </si>
  <si>
    <t>Lisbon (Castelo di São Jorge), Portugal</t>
  </si>
  <si>
    <t>The geodetic datum known as 'Lisbon (Castelo di São Jorge)' and intended to be used only in the geographic region of Portugal.</t>
  </si>
  <si>
    <t>HzdCode_lisbonCastelodiSaoJorge</t>
  </si>
  <si>
    <t>localAstro</t>
  </si>
  <si>
    <t>Local Astro</t>
  </si>
  <si>
    <t>A local geodetic datum established through astronomic observations.</t>
  </si>
  <si>
    <t>HzdCode_localAstro</t>
  </si>
  <si>
    <t>lomaQuintanaVenezuela</t>
  </si>
  <si>
    <t>Loma Quintana (Venezuela)</t>
  </si>
  <si>
    <t>The geodetic datum known as 'Loma Quintana' and intended to be used only in the geographic region of Venezuela.</t>
  </si>
  <si>
    <t>HzdCode_lomaQuintanaVenezuela</t>
  </si>
  <si>
    <t>luzon</t>
  </si>
  <si>
    <t>Luzon</t>
  </si>
  <si>
    <t>The geodetic datum known as 'Luzon' and whose geographic region of intended use is not specified.</t>
  </si>
  <si>
    <t>See DIGEST 2.1, Part 3, Table 6-2, code LUZ.</t>
  </si>
  <si>
    <t>HzdCode_luzon</t>
  </si>
  <si>
    <t>luzonMindanaoIsland</t>
  </si>
  <si>
    <t>Luzon (Mindanao Island)</t>
  </si>
  <si>
    <t>The geodetic datum known as 'Luzon' and intended to be used only in the geographic region of Mindanao Island.</t>
  </si>
  <si>
    <t>HzdCode_luzonMindanaoIsland</t>
  </si>
  <si>
    <t>luzonPhilipinesNotMindanao</t>
  </si>
  <si>
    <t>Luzon (Philipines except Mindanao Island)</t>
  </si>
  <si>
    <t>The geodetic datum known as 'Luzon' and intended to be used only in the geographic region of the Philipines, excepting Mindanao Island.</t>
  </si>
  <si>
    <t>HzdCode_luzonPhilipinesNotMindanao</t>
  </si>
  <si>
    <t>mahe1971MaheIsland</t>
  </si>
  <si>
    <t>Mahe 1971 (Mahe Island)</t>
  </si>
  <si>
    <t>The geodetic datum known as 'Mahe 1971' and intended to be used only in the geographic region of Mahe Island.</t>
  </si>
  <si>
    <t>HzdCode_mahe1971MaheIsland</t>
  </si>
  <si>
    <t>manokwariWestIrian</t>
  </si>
  <si>
    <t>Manokwari (West Irian)</t>
  </si>
  <si>
    <t>The geodetic datum known as 'Manokwari' and intended to be used only in the geographic region of West Irian.</t>
  </si>
  <si>
    <t>HzdCode_manokwariWestIrian</t>
  </si>
  <si>
    <t>marcoAstroSalvageIslands</t>
  </si>
  <si>
    <t>Marco Astro (Salvage Islands)</t>
  </si>
  <si>
    <t>The geodetic datum known as 'Marco Astro' and intended to be used only in the geographic region of Salvage Islands.</t>
  </si>
  <si>
    <t>HzdCode_marcoAstroSalvageIslands</t>
  </si>
  <si>
    <t>martiniqueFortDesaix</t>
  </si>
  <si>
    <t>Martinique Fort-Desaix</t>
  </si>
  <si>
    <t>The geodetic datum known as 'Martinique Fort-Desaix' and whose geographic region of intended use is not specified.</t>
  </si>
  <si>
    <t>See DIGEST 2.1, Part 3, Table 6-2, code MAR.</t>
  </si>
  <si>
    <t>HzdCode_martiniqueFortDesaix</t>
  </si>
  <si>
    <t>massawEritreaEthiopia</t>
  </si>
  <si>
    <t>Massawa (Eritrea, Ethiopia)</t>
  </si>
  <si>
    <t>The geodetic datum known as 'Massawa' and intended to be used only in the geographic region of Eritrea, Ethiopia.</t>
  </si>
  <si>
    <t>HzdCode_massawEritreaEthiopia</t>
  </si>
  <si>
    <t>mayotteCombani</t>
  </si>
  <si>
    <t>Mayotte Combani</t>
  </si>
  <si>
    <t>The geodetic datum known as 'Mayotte Combani' and whose geographic region of intended use is not specified.</t>
  </si>
  <si>
    <t>See DIGEST 2.1, Part 3, Table 6-2, code MCX.</t>
  </si>
  <si>
    <t>HzdCode_mayotteCombani</t>
  </si>
  <si>
    <t>merchichMorocco</t>
  </si>
  <si>
    <t>Merchich (Morocco)</t>
  </si>
  <si>
    <t>The geodetic datum known as 'Merchich' and intended to be used only in the geographic region of Morocco.</t>
  </si>
  <si>
    <t>HzdCode_merchichMorocco</t>
  </si>
  <si>
    <t>midwayAstro1961MidwayIs</t>
  </si>
  <si>
    <t>Midway Astro 1961 (Midway Island)</t>
  </si>
  <si>
    <t>The geodetic datum known as 'Midway Astro 1961' and intended to be used only in the geographic region of Midway Island.</t>
  </si>
  <si>
    <t>HzdCode_midwayAstro1961MidwayIs</t>
  </si>
  <si>
    <t>minna</t>
  </si>
  <si>
    <t>Minna</t>
  </si>
  <si>
    <t>The geodetic datum known as 'Minna' and whose geographic region of intended use is not specified.</t>
  </si>
  <si>
    <t>See DIGEST 2.1, Part 3, Table 6-2, code MIN.</t>
  </si>
  <si>
    <t>HzdCode_minna</t>
  </si>
  <si>
    <t>minnaCameroon</t>
  </si>
  <si>
    <t>Minna (Cameroon)</t>
  </si>
  <si>
    <t>The geodetic datum known as 'Minna' and intended to be used only in the geographic region of Cameroon.</t>
  </si>
  <si>
    <t>HzdCode_minnaCameroon</t>
  </si>
  <si>
    <t>minnaNigeria</t>
  </si>
  <si>
    <t>Minna (Nigeria)</t>
  </si>
  <si>
    <t>The geodetic datum known as 'Minna' and intended to be used only in the geographic region of Nigeria.</t>
  </si>
  <si>
    <t>HzdCode_minnaNigeria</t>
  </si>
  <si>
    <t>modifiedBJZ54China</t>
  </si>
  <si>
    <t>Modified BJZ54 (China)</t>
  </si>
  <si>
    <t>The geodetic datum known as 'Modified BJZ54' and intended to be used only in the geographic region of China.</t>
  </si>
  <si>
    <t>HzdCode_modifiedBJZ54China</t>
  </si>
  <si>
    <t>montjongLowe</t>
  </si>
  <si>
    <t>Montjong Lowe</t>
  </si>
  <si>
    <t>The geodetic datum known as 'Montjong Lowe' and whose geographic region of intended use is not specified.</t>
  </si>
  <si>
    <t>See DIGEST 2.1, Part 3, Table 6-2, code MOL.</t>
  </si>
  <si>
    <t>HzdCode_montjongLowe</t>
  </si>
  <si>
    <t>montserratIslandAstro1958</t>
  </si>
  <si>
    <t>Montserrat Island Astro 1958</t>
  </si>
  <si>
    <t>The geodetic datum known as 'Montserrat Island Astro 1958' and intended to be used only in the geographic region of Montserrat and Leeward Islands.</t>
  </si>
  <si>
    <t>HzdCode_montserratIslandAstro1958</t>
  </si>
  <si>
    <t>mountDillonTobago</t>
  </si>
  <si>
    <t>Mount Dillon, Tobago</t>
  </si>
  <si>
    <t>The geodetic datum known as 'Mount Dillon, Tobago' and whose geographic region of intended use is not specified.</t>
  </si>
  <si>
    <t>See DIGEST 2.1, Part 3, Table 6-2, code MDT.</t>
  </si>
  <si>
    <t>HzdCode_mountDillonTobago</t>
  </si>
  <si>
    <t>mPoralokoGabon</t>
  </si>
  <si>
    <t>M'Poraloko (Gabon)</t>
  </si>
  <si>
    <t>The geodetic datum known as 'M'Poraloko' and intended to be used only in the geographic region of Gabon.</t>
  </si>
  <si>
    <t>HzdCode_mPoralokoGabon</t>
  </si>
  <si>
    <t>nahrwan</t>
  </si>
  <si>
    <t>Nahrwan</t>
  </si>
  <si>
    <t>The geodetic datum known as 'Nahrwan' and whose geographic region of intended use is not specified.</t>
  </si>
  <si>
    <t>See DIGEST 2.1, Part 3, Table 6-2, code NAH.</t>
  </si>
  <si>
    <t>HzdCode_nahrwan</t>
  </si>
  <si>
    <t>nahrwanMasirahIslandOman</t>
  </si>
  <si>
    <t>Nahrwan (Masirah Island, Oman)</t>
  </si>
  <si>
    <t>The geodetic datum known as 'Nahrwan' and intended to be used only in the geographic region of Masirah Island, Oman.</t>
  </si>
  <si>
    <t>HzdCode_nahrwanMasirahIslandOman</t>
  </si>
  <si>
    <t>nahrwanSaudiArabia</t>
  </si>
  <si>
    <t>Nahrwan (Saudi Arabia)</t>
  </si>
  <si>
    <t>The geodetic datum known as 'Nahrwan' and intended to be used only in the geographic region of Saudi Arabia.</t>
  </si>
  <si>
    <t>HzdCode_nahrwanSaudiArabia</t>
  </si>
  <si>
    <t>nahrwanUnitedArabEmirates</t>
  </si>
  <si>
    <t>Nahrwan (United Arab Emirates)</t>
  </si>
  <si>
    <t>The geodetic datum known as 'Nahrwan' and intended to be used only in the geographic region of the United Arab Emirates.</t>
  </si>
  <si>
    <t>HzdCode_nahrwanUnitedArabEmirates</t>
  </si>
  <si>
    <t>naparimaBwiTrinidadTobago</t>
  </si>
  <si>
    <t>Naparima (BWI, Trinidad and Tobago)</t>
  </si>
  <si>
    <t>The geodetic datum known as 'Naparima' and intended to be used only in the geographic region of the British West Indies, Trinidad and Tobago.</t>
  </si>
  <si>
    <t>HzdCode_naparimaBwiTrinidadTobago</t>
  </si>
  <si>
    <t>newFrenchZeroMeridianParis</t>
  </si>
  <si>
    <t>New French or Nouvelle Triangulation Française (NTF) with Zero Meridian Paris</t>
  </si>
  <si>
    <t>The geodetic datum known as 'New French' or 'Nouvelle Triangulation Française' whose zero meridian is set at Paris and is intended to be used only in the geographic region of continental France, Corsica and other surrounding islands.</t>
  </si>
  <si>
    <t>See DIGEST 2.1, Part 3, Table 6-2, code NFR1.</t>
  </si>
  <si>
    <t>HzdCode_newFrenchZeroMeridianParis</t>
  </si>
  <si>
    <t>northAm1927</t>
  </si>
  <si>
    <t>North American 1927</t>
  </si>
  <si>
    <t>The geodetic datum known as 'North American 1927' and whose geographic region of intended use is not specified.</t>
  </si>
  <si>
    <t>See DIGEST 2.1, Part 3, Table 6-2, code NAS.</t>
  </si>
  <si>
    <t>HzdCode_northAm1927</t>
  </si>
  <si>
    <t>northAm1927Alaska</t>
  </si>
  <si>
    <t>North American 1927 (Alaska)</t>
  </si>
  <si>
    <t>The geodetic datum known as 'North American 1927' and intended to be used only in the geographic region of Alaska.</t>
  </si>
  <si>
    <t>HzdCode_northAm1927Alaska</t>
  </si>
  <si>
    <t>northAm1927Alberta</t>
  </si>
  <si>
    <t>North American 1927 (Alberta and British Columbia)</t>
  </si>
  <si>
    <t>The geodetic datum known as 'North American 1927' and intended to be used only in the geographic region of Alberta and British Columbia.</t>
  </si>
  <si>
    <t>HzdCode_northAm1927Alberta</t>
  </si>
  <si>
    <t>northAm1927AleutianE</t>
  </si>
  <si>
    <t>North American 1927 (Aleutian Islands East of 180° W)</t>
  </si>
  <si>
    <t>The geodetic datum known as 'North American 1927' and intended to be used only in the geographic region of the Aleutian Islands East of 180° W.</t>
  </si>
  <si>
    <t>HzdCode_northAm1927AleutianE</t>
  </si>
  <si>
    <t>northAm1927AleutianW</t>
  </si>
  <si>
    <t>North American 1927 (Aleutian Islands West of 180° W)</t>
  </si>
  <si>
    <t>The geodetic datum known as 'North American 1927' and intended to be used only in the geographic region of the Aleutian Islands West of 180° W.</t>
  </si>
  <si>
    <t>HzdCode_northAm1927AleutianW</t>
  </si>
  <si>
    <t>northAm1927Bahamas</t>
  </si>
  <si>
    <t>North American 1927 (Bahamas, except San Salvador Island)</t>
  </si>
  <si>
    <t>The geodetic datum known as 'North American 1927' and intended to be used only in the geographic region of the Bahamas, except San Salvador Island.</t>
  </si>
  <si>
    <t>HzdCode_northAm1927Bahamas</t>
  </si>
  <si>
    <t>northAm1927CanadMean</t>
  </si>
  <si>
    <t>North American 1927 (Canada mean)</t>
  </si>
  <si>
    <t>The geodetic datum known as 'North American 1927' and intended as a mean solution for the geographic region of Canada.</t>
  </si>
  <si>
    <t>HzdCode_northAm1927CanadMean</t>
  </si>
  <si>
    <t>northAm1927CanalZone</t>
  </si>
  <si>
    <t>North American 1927 (Canal Zone)</t>
  </si>
  <si>
    <t>The geodetic datum known as 'North American 1927' and intended to be used only in the geographic region of Canal Zone.</t>
  </si>
  <si>
    <t>HzdCode_northAm1927CanalZone</t>
  </si>
  <si>
    <t>northAm1927Caribbean</t>
  </si>
  <si>
    <t>North American 1927 (Caribbean)</t>
  </si>
  <si>
    <t>The geodetic datum known as 'North American 1927' and intended as a mean solution for the geographic region of the Caribbean (Barbados, Caicos Islands, Cuba, Dominican Republic, Grand Cayman, Jamaica, Leeward Islands, and Turks Islands).</t>
  </si>
  <si>
    <t>HzdCode_northAm1927Caribbean</t>
  </si>
  <si>
    <t>northAm1927CentAmer</t>
  </si>
  <si>
    <t>North American 1927 (Central America)</t>
  </si>
  <si>
    <t>The geodetic datum known as 'North American 1927' and intended as a mean solution for the geographic region of Central America (Belize, Costa Rica, El Salvador, Guatemala, Honduras, and Nicaragua).</t>
  </si>
  <si>
    <t>HzdCode_northAm1927CentAmer</t>
  </si>
  <si>
    <t>northAm1927ConusMean</t>
  </si>
  <si>
    <t>North American 1927 (CONUS mean)</t>
  </si>
  <si>
    <t>The geodetic datum known as 'North American 1927 'and intended as a mean solution for the geographic region of the continental United States.</t>
  </si>
  <si>
    <t>HzdCode_northAm1927ConusMean</t>
  </si>
  <si>
    <t>northAm1927Cuba</t>
  </si>
  <si>
    <t>North American 1927 (Cuba)</t>
  </si>
  <si>
    <t>The geodetic datum known as 'North American 1927' and intended to be used only in the geographic region of Cuba.</t>
  </si>
  <si>
    <t>HzdCode_northAm1927Cuba</t>
  </si>
  <si>
    <t>northAm1927EasternUs</t>
  </si>
  <si>
    <t>North American 1927 (Eastern US)</t>
  </si>
  <si>
    <t>The geodetic datum known as 'North American 1927' and intended to be used only in the geographic region of the Eastern United States.</t>
  </si>
  <si>
    <t>HzdCode_northAm1927EasternUs</t>
  </si>
  <si>
    <t>northAm1927HayesPen</t>
  </si>
  <si>
    <t>North American 1927 (Hayes Peninsula, Greenland)</t>
  </si>
  <si>
    <t>The geodetic datum known as 'North American 1927' and intended to be used only in the geographic region of the Hayes Peninsula, Greenland.</t>
  </si>
  <si>
    <t>HzdCode_northAm1927HayesPen</t>
  </si>
  <si>
    <t>northAm1927Manitoba</t>
  </si>
  <si>
    <t>North American 1927 (Manitoba and Ontario)</t>
  </si>
  <si>
    <t>The geodetic datum known as 'North American 1927' and intended to be used only in the geographic region of Manitoba and Ontario.</t>
  </si>
  <si>
    <t>HzdCode_northAm1927Manitoba</t>
  </si>
  <si>
    <t>northAm1927Mexico</t>
  </si>
  <si>
    <t>North American 1927 (Mexico)</t>
  </si>
  <si>
    <t>The geodetic datum known as 'North American 1927' and intended to be used only in the geographic region of Mexico.</t>
  </si>
  <si>
    <t>HzdCode_northAm1927Mexico</t>
  </si>
  <si>
    <t>northAm1927Newfound</t>
  </si>
  <si>
    <t>North American 1927 (Newfoundland, New Brunswick, Nova Scotia and Quebec)</t>
  </si>
  <si>
    <t>The geodetic datum known as 'North American 1927' and intended to be used only in the geographic region of Newfoundland, New Brunswick, Nova Scotia and Quebec.</t>
  </si>
  <si>
    <t>HzdCode_northAm1927Newfound</t>
  </si>
  <si>
    <t>northAm1927NwTerSaskat</t>
  </si>
  <si>
    <t>North American 1927 (Northwest Territories and Saskatchewan)</t>
  </si>
  <si>
    <t>The geodetic datum known as 'North American 1927' and intended to be used only in the geographic region of the Northwest Territories and Saskatchewan.</t>
  </si>
  <si>
    <t>HzdCode_northAm1927NwTerSaskat</t>
  </si>
  <si>
    <t>northAm1927Salvador</t>
  </si>
  <si>
    <t>North American 1927 (San Salvador Island)</t>
  </si>
  <si>
    <t>The geodetic datum known as 'North American 1927' and intended to be used only in the geographic region of San Salvador Island.</t>
  </si>
  <si>
    <t>HzdCode_northAm1927Salvador</t>
  </si>
  <si>
    <t>northAm1927WesternUs</t>
  </si>
  <si>
    <t>North American 1927 (Western US)</t>
  </si>
  <si>
    <t>The geodetic datum known as 'North American 1927' and intended to be used only in the geographic region of the Western United States.</t>
  </si>
  <si>
    <t>HzdCode_northAm1927WesternUs</t>
  </si>
  <si>
    <t>northAm1927Yukon</t>
  </si>
  <si>
    <t>North American 1927 (Yukon)</t>
  </si>
  <si>
    <t>The geodetic datum known as 'North American 1927' and intended to be used only in the geographic region of Yukon.</t>
  </si>
  <si>
    <t>HzdCode_northAm1927Yukon</t>
  </si>
  <si>
    <t>northAm1983</t>
  </si>
  <si>
    <t>North American 1983</t>
  </si>
  <si>
    <t>The geodetic datum known as 'North American 1983' and whose geographic region of intended use is not specified.</t>
  </si>
  <si>
    <t>See DIGEST 2.1, Part 3, Table 6-2, code NAR.</t>
  </si>
  <si>
    <t>HzdCode_northAm1983</t>
  </si>
  <si>
    <t>northAm1983AlaskaExAleut</t>
  </si>
  <si>
    <t>North American 1983 (Alaska, excluding Aleutian Islands)</t>
  </si>
  <si>
    <t>The geodetic datum known as 'North American 1983' and intended to be used only in the geographic region of Alaska, excluding Aleutian Islands.</t>
  </si>
  <si>
    <t>HzdCode_northAm1983AlaskaExAleut</t>
  </si>
  <si>
    <t>northAm1983Aleutian</t>
  </si>
  <si>
    <t>North American 1983 (Aleutian Islands)</t>
  </si>
  <si>
    <t>The geodetic datum known as 'North American 1983' and intended to be used only in the geographic region of Aleutian Islands.</t>
  </si>
  <si>
    <t>HzdCode_northAm1983Aleutian</t>
  </si>
  <si>
    <t>northAm1983Canada</t>
  </si>
  <si>
    <t>North American 1983 (Canada)</t>
  </si>
  <si>
    <t>The geodetic datum known as 'North American 1983' and intended to be used only in the geographic region of Canada.</t>
  </si>
  <si>
    <t>HzdCode_northAm1983Canada</t>
  </si>
  <si>
    <t>northAm1983Conus</t>
  </si>
  <si>
    <t>North American 1983 (CONUS)</t>
  </si>
  <si>
    <t>The geodetic datum known as 'North American 1983' and intended to be used only in the geographic region of the continental United States.</t>
  </si>
  <si>
    <t>HzdCode_northAm1983Conus</t>
  </si>
  <si>
    <t>northAm1983Hawaii</t>
  </si>
  <si>
    <t>North American 1983 (Hawaii)</t>
  </si>
  <si>
    <t>The geodetic datum known as 'North American 1983' and intended to be used only in the geographic region of Hawaii.</t>
  </si>
  <si>
    <t>HzdCode_northAm1983Hawaii</t>
  </si>
  <si>
    <t>northAm1983Mexico</t>
  </si>
  <si>
    <t>North American 1983 (Mexico and Central America))</t>
  </si>
  <si>
    <t>The geodetic datum known as 'North American 1983' and intended to be used only in the geographic region of Mexico and Central America..</t>
  </si>
  <si>
    <t>HzdCode_northAm1983Mexico</t>
  </si>
  <si>
    <t>northSahara1959</t>
  </si>
  <si>
    <t>North Sahara 1959</t>
  </si>
  <si>
    <t>The geodetic datum known as 'North Sahara 1959' and intended to be used only in the geographic region of Algeria.</t>
  </si>
  <si>
    <t>HzdCode_northSahara1959</t>
  </si>
  <si>
    <t>observMeteorologico1939</t>
  </si>
  <si>
    <t>Observatorio Meteorologico 1939 (Corvo and Flores Islands, Azores)</t>
  </si>
  <si>
    <t>The geodetic datum known as 'Observatorio Meteorologico 1939' and intended to be used only in the geographic region of the Corvo and Flores Islands, Azores.</t>
  </si>
  <si>
    <t>HzdCode_observMeteorologico1939</t>
  </si>
  <si>
    <t>ocotopequeGuatemala</t>
  </si>
  <si>
    <t>Ocotopeque, Guatemala</t>
  </si>
  <si>
    <t>The geodetic datum known as 'Ocotopeque, Guatemala' and whose geographic region of intended use is not specified.</t>
  </si>
  <si>
    <t>See DIGEST 2.1, Part 3, Table 6-2, code OCO.</t>
  </si>
  <si>
    <t>HzdCode_ocotopequeGuatemala</t>
  </si>
  <si>
    <t>oldEgyptian</t>
  </si>
  <si>
    <t>Old Egyptian (Egypt)</t>
  </si>
  <si>
    <t>The geodetic datum known as 'Old Egyptian' and intended to be used only in the geographic region of Egypt.</t>
  </si>
  <si>
    <t>HzdCode_oldEgyptian</t>
  </si>
  <si>
    <t>oldHawaiian</t>
  </si>
  <si>
    <t>Old Hawaiian</t>
  </si>
  <si>
    <t>The geodetic datum known as 'Old Hawaiian' and whose geographic region of intended use is not specified.</t>
  </si>
  <si>
    <t>See DIGEST 2.1, Part 3, Table 6-2, code OHA.</t>
  </si>
  <si>
    <t>HzdCode_oldHawaiian</t>
  </si>
  <si>
    <t>oldHawaiianHawaiiIsland</t>
  </si>
  <si>
    <t>Old Hawaiian (Hawaii)</t>
  </si>
  <si>
    <t>The geodetic datum known as 'Old Hawaiian' and intended to be used only in the geographic region of Hawaii.</t>
  </si>
  <si>
    <t>HzdCode_oldHawaiianHawaiiIsland</t>
  </si>
  <si>
    <t>oldHawaiianKauaiIsland</t>
  </si>
  <si>
    <t>Old Hawaiian (Kauai)</t>
  </si>
  <si>
    <t>The geodetic datum known as 'Old Hawaiian' and intended to be used only in the geographic region of Kauai.</t>
  </si>
  <si>
    <t>HzdCode_oldHawaiianKauaiIsland</t>
  </si>
  <si>
    <t>oldHawaiianMauiIsland</t>
  </si>
  <si>
    <t>Old Hawaiian (Maui)</t>
  </si>
  <si>
    <t>The geodetic datum known as 'Old Hawaiian' and intended to be used only in the geographic region of Maui.</t>
  </si>
  <si>
    <t>HzdCode_oldHawaiianMauiIsland</t>
  </si>
  <si>
    <t>oldHawaiianMeanValue</t>
  </si>
  <si>
    <t>Old Hawaiian (mean value)</t>
  </si>
  <si>
    <t>The geodetic datum known as 'Old Hawaiian' and intended as a mean solution for the geographic region of the Hawaii Islands.</t>
  </si>
  <si>
    <t>HzdCode_oldHawaiianMeanValue</t>
  </si>
  <si>
    <t>oldHawaiianOahuIsland</t>
  </si>
  <si>
    <t>Old Hawaiian (Oahu)</t>
  </si>
  <si>
    <t>The geodetic datum known as 'Old Hawaiian' and intended to be used only in the geographic region of Oahu.</t>
  </si>
  <si>
    <t>HzdCode_oldHawaiianOahuIsland</t>
  </si>
  <si>
    <t>oman</t>
  </si>
  <si>
    <t>Oman (Oman)</t>
  </si>
  <si>
    <t>The geodetic datum known as 'Oman' and intended to be used only in the geographic region of Oman.</t>
  </si>
  <si>
    <t>HzdCode_oman</t>
  </si>
  <si>
    <t>ordnanceSurvGB1936England</t>
  </si>
  <si>
    <t>Ordnance Survey G.B. 1936 (England)</t>
  </si>
  <si>
    <t>The geodetic datum known as 'Ordnance Survey G.B. 1936' and intended to be used only in the geographic region of England.</t>
  </si>
  <si>
    <t>HzdCode_ordnanceSurvGB1936England</t>
  </si>
  <si>
    <t>ordnanceSurvGB1936ScotWale</t>
  </si>
  <si>
    <t>Ordnance Survey G.B. 1936 (England, Isle of Man, and Wales)</t>
  </si>
  <si>
    <t>The geodetic datum known as 'Ordnance Survey G.B. 1936' and intended to be used only in the geographic region of England, the Isle of Man, and Wales.</t>
  </si>
  <si>
    <t>HzdCode_ordnanceSurvGB1936ScotWale</t>
  </si>
  <si>
    <t>ordnanceSurvGB1936MeanVal</t>
  </si>
  <si>
    <t>Ordnance Survey G.B. 1936 (mean value)</t>
  </si>
  <si>
    <t>The geodetic datum known as 'Ordnance Survey G.B. 1936' and intended as a mean solution for the geographic region of England, the Isle of Man, Scotland, Shetland, and Wales.</t>
  </si>
  <si>
    <t>HzdCode_ordnanceSurvGB1936MeanVal</t>
  </si>
  <si>
    <t>ordnanceSurvGB1936ScotShet</t>
  </si>
  <si>
    <t>Ordnance Survey G.B. 1936 (Scotland and Shetland Islands)</t>
  </si>
  <si>
    <t>The geodetic datum known as 'Ordnance Survey G.B. 1936' and intended to be used only in the geographic region of Scotland and the Shetland Islands.</t>
  </si>
  <si>
    <t>HzdCode_ordnanceSurvGB1936ScotShet</t>
  </si>
  <si>
    <t>ordnanceSurvGB1936Wales</t>
  </si>
  <si>
    <t>Ordnance Survey G.B. 1936 (Wales)</t>
  </si>
  <si>
    <t>The geodetic datum known as 'Ordnance Survey G.B. 1936' and intended to be used only in the geographic region of Wales.</t>
  </si>
  <si>
    <t>HzdCode_ordnanceSurvGB1936Wales</t>
  </si>
  <si>
    <t>ordnanceSurvGB1936</t>
  </si>
  <si>
    <t>Ordnance Survey of Great Britain 1936</t>
  </si>
  <si>
    <t>The geodetic datum known as 'Ordnance Survey of Great Britain 1936' and whose geographic region of intended use is not specified.</t>
  </si>
  <si>
    <t>See DIGEST 2.1, Part 3, Table 6-2, code OGB.</t>
  </si>
  <si>
    <t>HzdCode_ordnanceSurvGB1936</t>
  </si>
  <si>
    <t>osloObservatoryOld</t>
  </si>
  <si>
    <t>Oslo Observatory (Old), Norway</t>
  </si>
  <si>
    <t>The geodetic datum known as 'Oslo Observatory (Old)' and intended to be used only in the geographic region of Norway.</t>
  </si>
  <si>
    <t>HzdCode_osloObservatoryOld</t>
  </si>
  <si>
    <t>otherKnownDatum</t>
  </si>
  <si>
    <t>Other Known Datum</t>
  </si>
  <si>
    <t>The geodetic datum is known but not specified.</t>
  </si>
  <si>
    <t>HzdCode_otherKnownDatum</t>
  </si>
  <si>
    <t>padangBaseWestEnd</t>
  </si>
  <si>
    <t>Padang Base West End (Sumatra, Indonesia)</t>
  </si>
  <si>
    <t>The geodetic datum known as 'Padang Base West End' and intended to be used only in the geographic region of Sumatra, Indonesia.</t>
  </si>
  <si>
    <t>HzdCode_padangBaseWestEnd</t>
  </si>
  <si>
    <t>padangBaseWestEndZeroMerid</t>
  </si>
  <si>
    <t>Padang Base West End (Sumatra, Indonesia) with Zero Meridian Djakarta</t>
  </si>
  <si>
    <t>The geodetic datum known as 'Padang Base West End' whose zero meridian is set at Djakarta and is intended to be used only in the geographic region of Sumatra, Indonesia.</t>
  </si>
  <si>
    <t>HzdCode_padangBaseWestEndZeroMerid</t>
  </si>
  <si>
    <t>palestine1928</t>
  </si>
  <si>
    <t>Palestine 1928 (Israel, Jordan)</t>
  </si>
  <si>
    <t>The geodetic datum known as 'Palestine 1928' and intended to be used only in the geographic region of Israel and Jordan.</t>
  </si>
  <si>
    <t>HzdCode_palestine1928</t>
  </si>
  <si>
    <t>picoDeLasNievesCanaryIs</t>
  </si>
  <si>
    <t>Pico de las Nieves (Canary Islands)</t>
  </si>
  <si>
    <t>The geodetic datum known as 'Pico de las Nieves' and intended to be used only in the geographic region of Canary Islands.</t>
  </si>
  <si>
    <t>HzdCode_picoDeLasNievesCanaryIs</t>
  </si>
  <si>
    <t>pitcairnAstro1967</t>
  </si>
  <si>
    <t>Pitcairn Astro 1967 (Pitcairn Island)</t>
  </si>
  <si>
    <t>The geodetic datum known as 'Pitcairn Astro 1967' and intended to be used only in the geographic region of Pitcairn Island.</t>
  </si>
  <si>
    <t>HzdCode_pitcairnAstro1967</t>
  </si>
  <si>
    <t>point58MeanSolution</t>
  </si>
  <si>
    <t>Point 58 Mean Solution (Burkina Faso and Niger)</t>
  </si>
  <si>
    <t>The geodetic datum known as 'Point 58 Mean Solution' and intended to be used only in the geographic region of Burkina Faso and Niger.</t>
  </si>
  <si>
    <t>HzdCode_point58MeanSolution</t>
  </si>
  <si>
    <t>pointeNoire1948</t>
  </si>
  <si>
    <t>Pointe Noire 1948</t>
  </si>
  <si>
    <t>The geodetic datum known as 'Pointe Noire 1948' and intended to be used only in the geographic region of Congo.</t>
  </si>
  <si>
    <t>HzdCode_pointeNoire1948</t>
  </si>
  <si>
    <t>potsdamHelmertturmGermany</t>
  </si>
  <si>
    <t>Potsdam or Helmertturm (Germany)</t>
  </si>
  <si>
    <t>The geodetic datum known as 'Potsdam' or 'Helmertturm' and intended to be used only in the geographic region of Germany.</t>
  </si>
  <si>
    <t>HzdCode_potsdamHelmertturmGermany</t>
  </si>
  <si>
    <t>provSouthAm1956Bolivia</t>
  </si>
  <si>
    <t>Prov. S. American 1956 (Bolivia)</t>
  </si>
  <si>
    <t>The geodetic datum known as 'Prov. S. American 1956' and intended to be used only in the geographic region of Bolivia.</t>
  </si>
  <si>
    <t>HzdCode_provSouthAm1956Bolivia</t>
  </si>
  <si>
    <t>provSouthAm1956Columbia</t>
  </si>
  <si>
    <t>Prov. S. American 1956 (Columbia)</t>
  </si>
  <si>
    <t>The geodetic datum known as 'Prov. S. American 1956' and intended to be used only in the geographic region of Columbia.</t>
  </si>
  <si>
    <t>HzdCode_provSouthAm1956Columbia</t>
  </si>
  <si>
    <t>provSouthAm1956Ecuador</t>
  </si>
  <si>
    <t>Prov. S. American 1956 (Ecuador)</t>
  </si>
  <si>
    <t>The geodetic datum known as 'Prov. S. American 1956' and intended to be used only in the geographic region of Ecuador.</t>
  </si>
  <si>
    <t>HzdCode_provSouthAm1956Ecuador</t>
  </si>
  <si>
    <t>provSouthAm1956Guyana</t>
  </si>
  <si>
    <t>Prov. S. American 1956 (Guyana)</t>
  </si>
  <si>
    <t>The geodetic datum known as 'Prov. S. American 1956' and intended to be used only in the geographic region of Guyana.</t>
  </si>
  <si>
    <t>HzdCode_provSouthAm1956Guyana</t>
  </si>
  <si>
    <t>provSouthAm1956MeanValue</t>
  </si>
  <si>
    <t>Prov. S. American 1956 (mean value)</t>
  </si>
  <si>
    <t>The geodetic datum known as 'Prov. S. American 1956' and intended as a mean solution for the geographic region of Bolivia, Chile, Colombia, Ecuador, Guyana, Peru, and Venezuela.</t>
  </si>
  <si>
    <t>HzdCode_provSouthAm1956MeanValue</t>
  </si>
  <si>
    <t>provSouthAm1956NChile</t>
  </si>
  <si>
    <t>Prov. S. American 1956 (Northern Chile near 19°S)</t>
  </si>
  <si>
    <t>The geodetic datum known as 'Prov. S. American 1956' and intended to be used only in the geographic region of Northern Chile near 19°S.</t>
  </si>
  <si>
    <t>HzdCode_provSouthAm1956NChile</t>
  </si>
  <si>
    <t>provSouthAm1956Peru</t>
  </si>
  <si>
    <t>Prov. S. American 1956 (Peru)</t>
  </si>
  <si>
    <t>The geodetic datum known as 'Prov. S. American 1956' and intended to be used only in the geographic region of Peru.</t>
  </si>
  <si>
    <t>HzdCode_provSouthAm1956Peru</t>
  </si>
  <si>
    <t>provSouthAm1956SChile</t>
  </si>
  <si>
    <t>Prov. S. American 1956 (Southern Chile near 43°S)</t>
  </si>
  <si>
    <t>The geodetic datum known as 'Prov. S. American 1956' and intended to be used only in the geographic region of Southern Chile near 43°S.</t>
  </si>
  <si>
    <t>HzdCode_provSouthAm1956SChile</t>
  </si>
  <si>
    <t>provSouthAm1956Venezuela</t>
  </si>
  <si>
    <t>Prov. S. American 1956 (Venezuela)</t>
  </si>
  <si>
    <t>The geodetic datum known as 'Prov. S. American 1956' and intended to be used only in the geographic region of Venezuela.</t>
  </si>
  <si>
    <t>HzdCode_provSouthAm1956Venezuela</t>
  </si>
  <si>
    <t>provSouthAm1956</t>
  </si>
  <si>
    <t>Provisional South American 1956</t>
  </si>
  <si>
    <t>The geodetic datum known as 'Provisional South American 1956' and whose geographic region of intended use is not specified.</t>
  </si>
  <si>
    <t>See DIGEST 2.1, Part 3, Table 6-2, code PRP.</t>
  </si>
  <si>
    <t>HzdCode_provSouthAm1956</t>
  </si>
  <si>
    <t>provSouthChilean1963</t>
  </si>
  <si>
    <t>Provisional South Chilean 1963 (or Hito XVIII 1963) (S. Chile, 53° S)</t>
  </si>
  <si>
    <t>The geodetic datum known as 'Provisional South Chilean 1963' or 'Hito XVIII 1963' and intended to be used only in the geographic region of Chile south of 53° S.</t>
  </si>
  <si>
    <t>HzdCode_provSouthChilean1963</t>
  </si>
  <si>
    <t>puertoRicoVirginIslands</t>
  </si>
  <si>
    <t>Puerto Rico (Puerto Rico and Virgin Islands)</t>
  </si>
  <si>
    <t>The geodetic datum known as 'Puerto Rico' and intended to be used only in the geographic region of Puerto Rico and the Virgin Islands.</t>
  </si>
  <si>
    <t>HzdCode_puertoRicoVirginIslands</t>
  </si>
  <si>
    <t>pulkovo1942Albania</t>
  </si>
  <si>
    <t>Pulkovo 1942 (Albania)</t>
  </si>
  <si>
    <t>The geodetic datum known as 'Pulkovo 1942' and intended to be used only in the geographic region of Albania.</t>
  </si>
  <si>
    <t>HzdCode_pulkovo1942Albania</t>
  </si>
  <si>
    <t>pulkovo1942Czechoslovakia</t>
  </si>
  <si>
    <t>Pulkovo 1942 (Czechoslovakia)</t>
  </si>
  <si>
    <t>The geodetic datum known as 'Pulkovo 1942' and intended to be used only in the geographic region of Czechoslovakia (prior to 1 January 1993).</t>
  </si>
  <si>
    <t>HzdCode_pulkovo1942Czechoslovakia</t>
  </si>
  <si>
    <t>pulkovo1942Hungary</t>
  </si>
  <si>
    <t>Pulkovo 1942 (Hungary)</t>
  </si>
  <si>
    <t>The geodetic datum known as 'Pulkovo 1942' and intended to be used only in the geographic region of Hungary.</t>
  </si>
  <si>
    <t>HzdCode_pulkovo1942Hungary</t>
  </si>
  <si>
    <t>pulkovo1942Kazakhstan</t>
  </si>
  <si>
    <t>Pulkovo 1942 (Kazakhstan)</t>
  </si>
  <si>
    <t>The geodetic datum known as 'Pulkovo 1942' and intended to be used only in the geographic region of Kazakhstan.</t>
  </si>
  <si>
    <t>HzdCode_pulkovo1942Kazakhstan</t>
  </si>
  <si>
    <t>pulkovo1942Latvia</t>
  </si>
  <si>
    <t>Pulkovo 1942 (Latvia)</t>
  </si>
  <si>
    <t>The geodetic datum known as 'Pulkovo 1942' and intended to be used only in the geographic region of Latvia.</t>
  </si>
  <si>
    <t>HzdCode_pulkovo1942Latvia</t>
  </si>
  <si>
    <t>pulkovo1942Poland</t>
  </si>
  <si>
    <t>Pulkovo 1942 (Poland)</t>
  </si>
  <si>
    <t>The geodetic datum known as 'Pulkovo 1942' and intended to be used only in the geographic region of Poland.</t>
  </si>
  <si>
    <t>HzdCode_pulkovo1942Poland</t>
  </si>
  <si>
    <t>pulkovo1942Romania</t>
  </si>
  <si>
    <t>Pulkovo 1942 (Romania)</t>
  </si>
  <si>
    <t>The geodetic datum known as 'Pulkovo 1942' and intended to be used only in the geographic region of Romania.</t>
  </si>
  <si>
    <t>HzdCode_pulkovo1942Romania</t>
  </si>
  <si>
    <t>pulkovo1942Russia</t>
  </si>
  <si>
    <t>Pulkovo 1942 (Russia)</t>
  </si>
  <si>
    <t>The geodetic datum known as 'Pulkovo 1942' and intended to be used only in the geographic region of Russia.</t>
  </si>
  <si>
    <t>HzdCode_pulkovo1942Russia</t>
  </si>
  <si>
    <t>qatarNationalQatar</t>
  </si>
  <si>
    <t>Qatar National (Qatar)</t>
  </si>
  <si>
    <t>The geodetic datum known as 'Qatar National' and intended to be used only in the geographic region of Qatar.</t>
  </si>
  <si>
    <t>HzdCode_qatarNationalQatar</t>
  </si>
  <si>
    <t>qornoqSouthGreenland</t>
  </si>
  <si>
    <t>Qornoq (South Greenland)</t>
  </si>
  <si>
    <t>The geodetic datum known as 'Qornoq' and intended to be used only in the geographic region of South Greenland.</t>
  </si>
  <si>
    <t>HzdCode_qornoqSouthGreenland</t>
  </si>
  <si>
    <t>rauenbergBerlinGermany</t>
  </si>
  <si>
    <t>Rauenberg (Berlin, Germany)</t>
  </si>
  <si>
    <t>The geodetic datum known as 'Rauenberg' and intended to be used only in the geographic region of Berlin, Germany.</t>
  </si>
  <si>
    <t>HzdCode_rauenbergBerlinGermany</t>
  </si>
  <si>
    <t>reconTriangulationMorocco</t>
  </si>
  <si>
    <t>Reconnaissance Triangulation, Morocco</t>
  </si>
  <si>
    <t>The geodetic datum known as 'Reconnaissance Triangulation, Morocco' and whose geographic region of intended use is not specified.</t>
  </si>
  <si>
    <t>See DIGEST 2.1, Part 3, Table 6-2, code REC.</t>
  </si>
  <si>
    <t>HzdCode_reconTriangulationMorocco</t>
  </si>
  <si>
    <t>reunion1947</t>
  </si>
  <si>
    <t>Reunion 1947</t>
  </si>
  <si>
    <t>The geodetic datum known as 'Reunion 1947' and intended to be used only in the geographic region of the Mascarene Islands.</t>
  </si>
  <si>
    <t>HzdCode_reunion1947</t>
  </si>
  <si>
    <t>revisedNahrwan</t>
  </si>
  <si>
    <t>Revised Nahrwan</t>
  </si>
  <si>
    <t>The geodetic datum known as 'Revised Nahrwan' and whose geographic region of intended use is not specified.</t>
  </si>
  <si>
    <t>See DIGEST 2.1, Part 3, Table 6-2, code NAX.</t>
  </si>
  <si>
    <t>HzdCode_revisedNahrwan</t>
  </si>
  <si>
    <t>rome1940</t>
  </si>
  <si>
    <t>Rome 1940 (or Monte Mario 1940), Italy</t>
  </si>
  <si>
    <t>The geodetic datum known as 'Rome 1940' or 'Monte Mario 1940' and intended to be used only in the geographic region of Italy.</t>
  </si>
  <si>
    <t>HzdCode_rome1940</t>
  </si>
  <si>
    <t>rome1940ZeroMeridianRome</t>
  </si>
  <si>
    <t>Rome 1940 (or Monte Mario 1940), Italy, with Zero Meridian Rome</t>
  </si>
  <si>
    <t>The geodetic datum known as 'Rome 1940' or 'Monte Mario 1940' whose zero meridian is set at Rome and is intended to be used only in the geographic region of Italy.</t>
  </si>
  <si>
    <t>HzdCode_rome1940ZeroMeridianRome</t>
  </si>
  <si>
    <t>rt90StockholmSweden</t>
  </si>
  <si>
    <t>RT90, Stockholm, Sweden</t>
  </si>
  <si>
    <t>The geodetic datum known as 'RT90, Stockholm, Sweden' and whose geographic region of intended use is not specified.</t>
  </si>
  <si>
    <t>See DIGEST 2.1, Part 3, Table 6-2, code RTS.</t>
  </si>
  <si>
    <t>HzdCode_rt90StockholmSweden</t>
  </si>
  <si>
    <t>s42Pulkovo</t>
  </si>
  <si>
    <t>S-42 (Pulkovo 1942)</t>
  </si>
  <si>
    <t>The geodetic datum known as 'S-42' or 'Pulkovo 1942' and intended to be used only in the geographic region of Russia.</t>
  </si>
  <si>
    <t>HzdCode_s42Pulkovo</t>
  </si>
  <si>
    <t>sainteAnneI1984Guadeloupe</t>
  </si>
  <si>
    <t>Sainte Anne I 1984 (Guadeloupe)</t>
  </si>
  <si>
    <t>The geodetic datum known as 'Sainte Anne I 1984' and intended to be used only in the geographic region of Guadeloupe.</t>
  </si>
  <si>
    <t>HzdCode_sainteAnneI1984Guadeloupe</t>
  </si>
  <si>
    <t>santoDos1965EspiritoSanto</t>
  </si>
  <si>
    <t>Santo (DOS) 1965 (Espirito Santo Island)</t>
  </si>
  <si>
    <t>The geodetic datum known as 'Santo DOS. 1965' and intended to be used only in the geographic region of Espirito Santo Island.</t>
  </si>
  <si>
    <t>HzdCode_santoDos1965EspiritoSanto</t>
  </si>
  <si>
    <t>saoBrazSaoMiguelAzores</t>
  </si>
  <si>
    <t>Sao Braz (Sao Miguel, Santa Maria Islands, Azores)</t>
  </si>
  <si>
    <t>The geodetic datum known as 'Sao Braz' and intended to be used only in the geographic region of Sao Miguel, the Santa Maria Islands, and the Azores.</t>
  </si>
  <si>
    <t>HzdCode_saoBrazSaoMiguelAzores</t>
  </si>
  <si>
    <t>sapperHill1943EastFalkland</t>
  </si>
  <si>
    <t>Sapper Hill 1943 (East Falkland Islands)</t>
  </si>
  <si>
    <t>The geodetic datum known as 'Sapper Hill 1943' and intended to be used only in the geographic region of the East Falkland Islands.</t>
  </si>
  <si>
    <t>HzdCode_sapperHill1943EastFalkland</t>
  </si>
  <si>
    <t>schwarzeckNamibia</t>
  </si>
  <si>
    <t>Schwarzeck (Namibia)</t>
  </si>
  <si>
    <t>The geodetic datum known as 'Schwarzeck' and intended to be used only in the geographic region of Namibia.</t>
  </si>
  <si>
    <t>HzdCode_schwarzeckNamibia</t>
  </si>
  <si>
    <t>seBasePortoSanto</t>
  </si>
  <si>
    <t>SE Base (Porto Santo) (Porto Santo &amp; Madeira Islands)</t>
  </si>
  <si>
    <t>The geodetic datum known as 'SE Base Porto Santo' and intended to be used only in the geographic region of Porto Santo and the Madeira Islands.</t>
  </si>
  <si>
    <t>HzdCode_seBasePortoSanto</t>
  </si>
  <si>
    <t>selvagemGrande1938Salvage</t>
  </si>
  <si>
    <t>Selvagem Grande 1938 (Salvage Islands)</t>
  </si>
  <si>
    <t>The geodetic datum known as 'Selvagem Grande 1938' and intended to be used only in the geographic region of the Salvage Islands.</t>
  </si>
  <si>
    <t>HzdCode_selvagemGrande1938Salvage</t>
  </si>
  <si>
    <t>sierraLeone1960</t>
  </si>
  <si>
    <t>Sierra Leone 1960</t>
  </si>
  <si>
    <t>The geodetic datum known as 'Sierra Leone 1960' and intended to be used only in the geographic region of Sierra Leone.</t>
  </si>
  <si>
    <t>HzdCode_sierraLeone1960</t>
  </si>
  <si>
    <t>sJtsk</t>
  </si>
  <si>
    <t>S-JTSK</t>
  </si>
  <si>
    <t>The geodetic datum known as 'S-JTSK' and intended to be used in the geographic region of the Czech Republic and Slovakia.</t>
  </si>
  <si>
    <t>See U.S. DoD World Geodetic System 1984 - Its Definition and Relationships with Local Geodetic Systems, 3rd edition, Amendment 1. The S-JTSK geodetic datum is used in the geographic region of the Czech Republic and Slovakia by their civilian government offices.</t>
  </si>
  <si>
    <t>HzdCode_sJtsk</t>
  </si>
  <si>
    <t>southAfricanSouthAfrica</t>
  </si>
  <si>
    <t>South African (South Africa)</t>
  </si>
  <si>
    <t>The geodetic datum known as 'South African' and intended to be used only in the geographic region of South Africa.</t>
  </si>
  <si>
    <t>HzdCode_southAfricanSouthAfrica</t>
  </si>
  <si>
    <t>southAmerican1969</t>
  </si>
  <si>
    <t>South American 1969</t>
  </si>
  <si>
    <t>The geodetic datum known as 'South American 1969' and whose geographic region of intended use is not specified.</t>
  </si>
  <si>
    <t>See DIGEST 2.1, Part 3, Table 6-2, code SAN.</t>
  </si>
  <si>
    <t>HzdCode_southAmerican1969</t>
  </si>
  <si>
    <t>southAmerican1969Argentina</t>
  </si>
  <si>
    <t>South American 1969 (Argentina)</t>
  </si>
  <si>
    <t>The geodetic datum known as 'South American 1969' and intended to be used only in the geographic region of Argentina.</t>
  </si>
  <si>
    <t>HzdCode_southAmerican1969Argentina</t>
  </si>
  <si>
    <t>southAmerican1969BaltraIs</t>
  </si>
  <si>
    <t>South American 1969 (Baltra, Galapagos Islands)</t>
  </si>
  <si>
    <t>The geodetic datum known as 'South American 1969' and intended to be used only in the geographic region of Baltra and the Galapagos Islands.</t>
  </si>
  <si>
    <t>HzdCode_southAmerican1969BaltraIs</t>
  </si>
  <si>
    <t>southAmerican1969Bolivia</t>
  </si>
  <si>
    <t>South American 1969 (Bolivia)</t>
  </si>
  <si>
    <t>The geodetic datum known as 'South American 1969' and intended to be used only in the geographic region of Bolivia.</t>
  </si>
  <si>
    <t>HzdCode_southAmerican1969Bolivia</t>
  </si>
  <si>
    <t>southAmerican1969Brazil</t>
  </si>
  <si>
    <t>South American 1969 (Brazil)</t>
  </si>
  <si>
    <t>The geodetic datum known as 'South American 1969' and intended to be used only in the geographic region of Brazil.</t>
  </si>
  <si>
    <t>HzdCode_southAmerican1969Brazil</t>
  </si>
  <si>
    <t>southAmerican1969Chile</t>
  </si>
  <si>
    <t>South American 1969 (Chile)</t>
  </si>
  <si>
    <t>The geodetic datum known as 'South American 1969' and intended to be used only in the geographic region of Chile.</t>
  </si>
  <si>
    <t>HzdCode_southAmerican1969Chile</t>
  </si>
  <si>
    <t>southAmerican1969Columbia</t>
  </si>
  <si>
    <t>South American 1969 (Columbia)</t>
  </si>
  <si>
    <t>The geodetic datum known as 'South American 1969' and intended to be used only in the geographic region of Columbia.</t>
  </si>
  <si>
    <t>HzdCode_southAmerican1969Columbia</t>
  </si>
  <si>
    <t>southAmerican1969Ecuador</t>
  </si>
  <si>
    <t>South American 1969 (Ecuador)</t>
  </si>
  <si>
    <t>The geodetic datum known as 'South American 1969' and intended to be used only in the geographic region of Ecuador.</t>
  </si>
  <si>
    <t>HzdCode_southAmerican1969Ecuador</t>
  </si>
  <si>
    <t>southAmerican1969Guyana</t>
  </si>
  <si>
    <t>South American 1969 (Guyana)</t>
  </si>
  <si>
    <t>The geodetic datum known as 'South American 1969' and intended to be used only in the geographic region of Guyana.</t>
  </si>
  <si>
    <t>HzdCode_southAmerican1969Guyana</t>
  </si>
  <si>
    <t>southAmerican1969MeanValue</t>
  </si>
  <si>
    <t>South American 1969 (mean value)</t>
  </si>
  <si>
    <t>The geodetic datum known as 'South American 1969' and intended as a mean solution for the geographic region of Argentina, Bolivia, Brazil, Chile, Columbia, Ecuador, Guyana, Paraguay, Peru, Trinidad and Tobago, and Venezuela.</t>
  </si>
  <si>
    <t>HzdCode_southAmerican1969MeanValue</t>
  </si>
  <si>
    <t>southAmerican1969Paraguay</t>
  </si>
  <si>
    <t>South American 1969 (Paraguay)</t>
  </si>
  <si>
    <t>The geodetic datum known as 'South American 1969' and intended to be used only in the geographic region of Paraguay.</t>
  </si>
  <si>
    <t>HzdCode_southAmerican1969Paraguay</t>
  </si>
  <si>
    <t>southAmerican1969Peru</t>
  </si>
  <si>
    <t>South American 1969 (Peru)</t>
  </si>
  <si>
    <t>The geodetic datum known as 'South American 1969' and intended to be used only in the geographic region of Peru.</t>
  </si>
  <si>
    <t>HzdCode_southAmerican1969Peru</t>
  </si>
  <si>
    <t>southAmerican1969Trinidad</t>
  </si>
  <si>
    <t>South American 1969 (Trinidad and Tobago)</t>
  </si>
  <si>
    <t>The geodetic datum known as 'South American 1969' and intended to be used only in the geographic region of Trinidad and Tobago.</t>
  </si>
  <si>
    <t>HzdCode_southAmerican1969Trinidad</t>
  </si>
  <si>
    <t>southAmerican1969Venezuela</t>
  </si>
  <si>
    <t>South American 1969 (Venezuela)</t>
  </si>
  <si>
    <t>The geodetic datum known as 'South American 1969' and intended to be used only in the geographic region of Venezuela.</t>
  </si>
  <si>
    <t>HzdCode_southAmerican1969Venezuela</t>
  </si>
  <si>
    <t>sirgas</t>
  </si>
  <si>
    <t>South American Geocentric Reference System (SIRGAS)</t>
  </si>
  <si>
    <t>The geodetic datum known as 'South American Geocentric Reference System' and intended to be used only in the geographic region of South America.</t>
  </si>
  <si>
    <t>HzdCode_sirgas</t>
  </si>
  <si>
    <t>southAsiaSingapore</t>
  </si>
  <si>
    <t>South Asia (Southeast Asia, Singapore)</t>
  </si>
  <si>
    <t>The geodetic datum known as 'South Asia' and intended to be used only in the geographic region of Southeast Asia and Singapore.</t>
  </si>
  <si>
    <t>HzdCode_southAsiaSingapore</t>
  </si>
  <si>
    <t>sovietGeodeticSystem1985</t>
  </si>
  <si>
    <t>Soviet Geodetic System 1985</t>
  </si>
  <si>
    <t>The geodetic datum known as 'Soviet Geodetic System 1985' and intended to be used only in the geographic region of the former Soviet Union.</t>
  </si>
  <si>
    <t>HzdCode_sovietGeodeticSystem1985</t>
  </si>
  <si>
    <t>sovietGeodeticSystem1990</t>
  </si>
  <si>
    <t>Soviet Geodetic System 1990</t>
  </si>
  <si>
    <t>The geodetic datum known as 'Soviet Geodetic System 1990' and intended to be used only in the geographic region of the former Soviet Union.</t>
  </si>
  <si>
    <t>HzdCode_sovietGeodeticSystem1990</t>
  </si>
  <si>
    <t>stPierreetMiquelon1950</t>
  </si>
  <si>
    <t>St. Pierre et Miquelon 1950</t>
  </si>
  <si>
    <t>The geodetic datum known as 'St. Pierre et Miquelon 1950' and whose geographic region of intended use is not specified.</t>
  </si>
  <si>
    <t>See DIGEST 2.1, Part 3, Table 6-2, code SPX.</t>
  </si>
  <si>
    <t>HzdCode_stPierreetMiquelon1950</t>
  </si>
  <si>
    <t>stockholm1938Sweden</t>
  </si>
  <si>
    <t>Stockholm 1938 (Sweden)</t>
  </si>
  <si>
    <t>The geodetic datum known as 'Stockholm 1938' and intended to be used only in the geographic region of Sweden.</t>
  </si>
  <si>
    <t>HzdCode_stockholm1938Sweden</t>
  </si>
  <si>
    <t>sydneyObservatoryNewSouth</t>
  </si>
  <si>
    <t>Sydney Observatory, New South Wales, Australia</t>
  </si>
  <si>
    <t>The geodetic datum known as 'Sydney Observatory, New South Wales, Australia' and whose geographic region of intended use is not specified.</t>
  </si>
  <si>
    <t>See DIGEST 2.1, Part 3, Table 6-2, code SYO.</t>
  </si>
  <si>
    <t>HzdCode_sydneyObservatoryNewSouth</t>
  </si>
  <si>
    <t>tananariveObservatory1925</t>
  </si>
  <si>
    <t>Tananarive Observatory 1925</t>
  </si>
  <si>
    <t>The geodetic datum known as 'Tananarive Observatory 1925' and intended to be used only in the geographic region of Madagascar.</t>
  </si>
  <si>
    <t>HzdCode_tananariveObservatory1925</t>
  </si>
  <si>
    <t>tananariveObs1925ZerMerPar</t>
  </si>
  <si>
    <t>Tananarive Observatory 1925, with Zero Meridian Paris</t>
  </si>
  <si>
    <t>The geodetic datum known as 'Tananarive Observatory 1925' whose zero meridian is set at Paris and is intended to be used only in the geographic region of Madagascar.</t>
  </si>
  <si>
    <t>HzdCode_tananariveObs1925ZerMerPar</t>
  </si>
  <si>
    <t>timbalai1948BruneiMalaysia</t>
  </si>
  <si>
    <t>Timbalai 1948 (Brunei and East Malaysia - Sarawak and Sabah)</t>
  </si>
  <si>
    <t>The geodetic datum known as 'Timbalai 1948' and intended to be used only in the geographic region of Brunei and East Malaysia (Sarawak and Sabah).</t>
  </si>
  <si>
    <t>HzdCode_timbalai1948BruneiMalaysia</t>
  </si>
  <si>
    <t>timbalai1968</t>
  </si>
  <si>
    <t>Timbalai 1968</t>
  </si>
  <si>
    <t>The geodetic datum known as 'Timbalai 1968' and whose geographic region of intended use is not specified.</t>
  </si>
  <si>
    <t>See DIGEST 2.1, Part 3, Table 6-2, code TIN.</t>
  </si>
  <si>
    <t>HzdCode_timbalai1968</t>
  </si>
  <si>
    <t>tokyo</t>
  </si>
  <si>
    <t>Tokyo</t>
  </si>
  <si>
    <t>The geodetic datum known as 'Tokyo' and whose geographic region of intended use is not specified.</t>
  </si>
  <si>
    <t>See DIGEST 2.1, Part 3, Table 6-2, code TOY.</t>
  </si>
  <si>
    <t>HzdCode_tokyo</t>
  </si>
  <si>
    <t>tokyoJapan</t>
  </si>
  <si>
    <t>Tokyo (Japan)</t>
  </si>
  <si>
    <t>The geodetic datum known as 'Tokyo' and intended to be used only in the geographic region of Japan.</t>
  </si>
  <si>
    <t>HzdCode_tokyoJapan</t>
  </si>
  <si>
    <t>tokyoKorea</t>
  </si>
  <si>
    <t>Tokyo (Korea)</t>
  </si>
  <si>
    <t>The geodetic datum known as 'Tokyo' and intended to be used only in the geographic region of Korea.</t>
  </si>
  <si>
    <t>HzdCode_tokyoKorea</t>
  </si>
  <si>
    <t>tokyoKoreaCycle1</t>
  </si>
  <si>
    <t>Tokyo (Korea) - Cycle 1</t>
  </si>
  <si>
    <t>The geodetic datum known as 'Tokyo - Cycle 1' and intended to be used only in the geographic region of Korea.</t>
  </si>
  <si>
    <t>HzdCode_tokyoKoreaCycle1</t>
  </si>
  <si>
    <t>tokyoMeanValue</t>
  </si>
  <si>
    <t>Tokyo (mean value)</t>
  </si>
  <si>
    <t>The geodetic datum known as 'Tokyo' and intended as a mean solution for the geographic region of Japan, Korea, and Okinawa.</t>
  </si>
  <si>
    <t>HzdCode_tokyoMeanValue</t>
  </si>
  <si>
    <t>tokyoOkinawa</t>
  </si>
  <si>
    <t>Tokyo (Okinawa)</t>
  </si>
  <si>
    <t>The geodetic datum known as 'Tokyo' and intended to be used only in the geographic region of Okinawa.</t>
  </si>
  <si>
    <t>HzdCode_tokyoOkinawa</t>
  </si>
  <si>
    <t>trinidad1903</t>
  </si>
  <si>
    <t>Trinidad 1903</t>
  </si>
  <si>
    <t>The geodetic datum known as 'Trinidad 1903' and whose geographic region of intended use is not specified.</t>
  </si>
  <si>
    <t>See DIGEST 2.1, Part 3, Table 6-2, code TRI.</t>
  </si>
  <si>
    <t>HzdCode_trinidad1903</t>
  </si>
  <si>
    <t>tristanAstro1968Cunha</t>
  </si>
  <si>
    <t>Tristan Astro 1968 (Tristan da Cunha)</t>
  </si>
  <si>
    <t>The geodetic datum known as 'Tristan Astro 1968' and intended to be used only in the geographic region of Tristan da Cunha.</t>
  </si>
  <si>
    <t>HzdCode_tristanAstro1968Cunha</t>
  </si>
  <si>
    <t>undeterminedorUnknown</t>
  </si>
  <si>
    <t>Undetermined or Unknown</t>
  </si>
  <si>
    <t>The geodetic datum is either undetermined or unknown.</t>
  </si>
  <si>
    <t>HzdCode_undeterminedorUnknown</t>
  </si>
  <si>
    <t>vitiLevu1916FijiIslands</t>
  </si>
  <si>
    <t>Viti Levu 1916 (Viti Levu Island, Fiji Islands)</t>
  </si>
  <si>
    <t>The geodetic datum known as 'Viti Levu 1916' and intended to be used only in the geographic region of Viti Levu Island, Fiji Islands.</t>
  </si>
  <si>
    <t>HzdCode_vitiLevu1916FijiIslands</t>
  </si>
  <si>
    <t>voirol1875</t>
  </si>
  <si>
    <t>Voirol 1875</t>
  </si>
  <si>
    <t>The geodetic datum known as 'Voirol 1875' and intended to be used only in the geographic region of Algeria.</t>
  </si>
  <si>
    <t>HzdCode_voirol1875</t>
  </si>
  <si>
    <t>voirol1875ZeroMeridParis</t>
  </si>
  <si>
    <t>Voirol 1875 with Zero Meridian Paris</t>
  </si>
  <si>
    <t>The geodetic datum known as 'Voirol 1875' whose zero meridian is set at Paris and is intended to be used only in the geographic region of Algeria.</t>
  </si>
  <si>
    <t>HzdCode_voirol1875ZeroMeridParis</t>
  </si>
  <si>
    <t>voirol1960Algeria</t>
  </si>
  <si>
    <t>Voirol 1960, Algeria</t>
  </si>
  <si>
    <t>The geodetic datum known as 'Voirol 1960' and intended to be used only in the geographic region of Algeria.</t>
  </si>
  <si>
    <t>HzdCode_voirol1960Algeria</t>
  </si>
  <si>
    <t>voirol1960ZeroMeridParis</t>
  </si>
  <si>
    <t>Voirol 1960, Algeria, with Zero Meridian Paris</t>
  </si>
  <si>
    <t>The geodetic datum known as 'Voirol 1960' whose zero meridian is set at Paris and is intended to be used only in the geographic region of Algeria.</t>
  </si>
  <si>
    <t>HzdCode_voirol1960ZeroMeridParis</t>
  </si>
  <si>
    <t>wakeIslandAstro1952</t>
  </si>
  <si>
    <t>Wake Island Astro 1952</t>
  </si>
  <si>
    <t>The geodetic datum known as 'Wake Island 1952' which is based on astronomic observations and is intended to be used only in the geographic region of the Wake Atoll.</t>
  </si>
  <si>
    <t>HzdCode_wakeIslandAstro1952</t>
  </si>
  <si>
    <t>wakeEniwetok1960MarshallIs</t>
  </si>
  <si>
    <t>Wake-Eniwetok 1960 (Marshall Islands)</t>
  </si>
  <si>
    <t>The geodetic datum known as 'Wake-Eniwetok 1960' and intended to be used only in the geographic region of the Marshall Islands.</t>
  </si>
  <si>
    <t>HzdCode_wakeEniwetok1960MarshallIs</t>
  </si>
  <si>
    <t>worldGeodeticSystem1960</t>
  </si>
  <si>
    <t>World Geodetic System 1960</t>
  </si>
  <si>
    <t>The geodetic datum known as 'World Geodetic System 1960' and intended to be used globally.</t>
  </si>
  <si>
    <t>HzdCode_worldGeodeticSystem1960</t>
  </si>
  <si>
    <t>worldGeodeticSystem1966</t>
  </si>
  <si>
    <t>World Geodetic System 1966</t>
  </si>
  <si>
    <t>The geodetic datum known as 'World Geodetic System 1966' and intended to be used globally.</t>
  </si>
  <si>
    <t>HzdCode_worldGeodeticSystem1966</t>
  </si>
  <si>
    <t>worldGeodeticSystem1972</t>
  </si>
  <si>
    <t>World Geodetic System 1972</t>
  </si>
  <si>
    <t>The geodetic datum known as 'World Geodetic System 1972' and intended to be used globally.</t>
  </si>
  <si>
    <t>HzdCode_worldGeodeticSystem1972</t>
  </si>
  <si>
    <t>worldGeodeticSystem1984</t>
  </si>
  <si>
    <t>World Geodetic System 1984</t>
  </si>
  <si>
    <t>The geodetic datum known as 'World Geodetic System 1984' and intended to be used globally.</t>
  </si>
  <si>
    <t>HzdCode_worldGeodeticSystem1984</t>
  </si>
  <si>
    <t>yacareUruguay</t>
  </si>
  <si>
    <t>Yacare (Uruguay)</t>
  </si>
  <si>
    <t>The geodetic datum known as 'Yacare' and intended to be used only in the geographic region of Uruguay.</t>
  </si>
  <si>
    <t>HzdCode_yacareUruguay</t>
  </si>
  <si>
    <t>zanderijSurinam</t>
  </si>
  <si>
    <t>Zanderij (Surinam)</t>
  </si>
  <si>
    <t>The geodetic datum known as 'Zanderij' and intended to be used only in the geographic region of Surinam.</t>
  </si>
  <si>
    <t>HzdCode_zanderijSurinam</t>
  </si>
  <si>
    <t>conventional</t>
  </si>
  <si>
    <t>Conventional</t>
  </si>
  <si>
    <t>An English name that is in widespread usage for a feature that is located in a region where English is not the official language.</t>
  </si>
  <si>
    <t>GntCode_conventional</t>
  </si>
  <si>
    <t>historicalOriginal</t>
  </si>
  <si>
    <t>Historical Original</t>
  </si>
  <si>
    <t>A historical name for a feature that remains in the original (non-Latin/Roman) script.</t>
  </si>
  <si>
    <t>GntCode_historicalOriginal</t>
  </si>
  <si>
    <t>historicalTransliterated</t>
  </si>
  <si>
    <t>Historical Transliterated</t>
  </si>
  <si>
    <t>A historical name for a feature that has been transliterated to the Latin/Roman script as necessary.</t>
  </si>
  <si>
    <t>GntCode_historicalTransliterated</t>
  </si>
  <si>
    <t>nativeOriginal</t>
  </si>
  <si>
    <t>Native Original</t>
  </si>
  <si>
    <t>The official local name for a feature that remains in the original (non-Latin/Roman) script and is approved by the U.S. Board on Geographic Names (BGN).</t>
  </si>
  <si>
    <t>GntCode_nativeOriginal</t>
  </si>
  <si>
    <t>nativeTransliterated</t>
  </si>
  <si>
    <t>Native Transliterated</t>
  </si>
  <si>
    <t>The official local name for a feature that has been transliterated to the Latin/Roman script as necessary and is approved by the U.S. Board on Geographic Names (BGN).</t>
  </si>
  <si>
    <t>GntCode_nativeTransliterated</t>
  </si>
  <si>
    <t>provisional</t>
  </si>
  <si>
    <t>Provisional</t>
  </si>
  <si>
    <t>A provisional name for a feature that has been transliterated to the Latin/Roman script as necessary.</t>
  </si>
  <si>
    <t>GntCode_provisional</t>
  </si>
  <si>
    <t>unverifiedOriginal</t>
  </si>
  <si>
    <t>Unverified Original</t>
  </si>
  <si>
    <t>A local name for a feature that remains in the original (non-Latin/Roman) script, where a native source for the name was either unavailable or nonexistant and a non-native source for the name was used instead and the resulting name could not be verified from a recent local official source.</t>
  </si>
  <si>
    <t>An unverified name is usually indicated in a gazetteer using the dagger symbol.</t>
  </si>
  <si>
    <t>GntCode_unverifiedOriginal</t>
  </si>
  <si>
    <t>unverifiedTransliterated</t>
  </si>
  <si>
    <t>Unverified Transliterated</t>
  </si>
  <si>
    <t>A local name for a feature that has been transliterated to the Latin/Roman script as necessary, where a native source for the name was either unavailable or nonexistant and a non-native source for the name was used instead and the resulting name could not be verified from a recent local official source.</t>
  </si>
  <si>
    <t>GntCode_unverifiedTransliterated</t>
  </si>
  <si>
    <t>variantOriginal</t>
  </si>
  <si>
    <t>Variant Original</t>
  </si>
  <si>
    <t>A variant or alternate name for a feature that remains in the original (non-Latin/Roman) script.</t>
  </si>
  <si>
    <t>For example, a former name, a name in local usage, alternate name spellings found in various sources, or a derived short name.</t>
  </si>
  <si>
    <t>GntCode_variantOriginal</t>
  </si>
  <si>
    <t>variantTransliterated</t>
  </si>
  <si>
    <t>Variant Transliterated</t>
  </si>
  <si>
    <t>A variant or alternate name for a feature that has been transliterated to the Latin/Roman script as necessary.</t>
  </si>
  <si>
    <t>GntCode_variantTransliterated</t>
  </si>
  <si>
    <t>africa</t>
  </si>
  <si>
    <t>Africa</t>
  </si>
  <si>
    <t>A continent whose general limits are on the north the Mediterranean Sea, on the east the Indian Ocean, and on the west the South Atlantic Ocean.</t>
  </si>
  <si>
    <t>GeoCode_africa</t>
  </si>
  <si>
    <t>antarctica</t>
  </si>
  <si>
    <t>Antarctica</t>
  </si>
  <si>
    <t>A continent located around the South Pole and bordered by the South Atlantic and South Pacific Oceans.</t>
  </si>
  <si>
    <t>GeoCode_antarctica</t>
  </si>
  <si>
    <t>arctic</t>
  </si>
  <si>
    <t>Arctic</t>
  </si>
  <si>
    <t>A region centred at the North Pole that generally encompasses those portions of North America, northern Europe, and northern Asia located northwards of the 66 degrees 33 minutes north parallel.</t>
  </si>
  <si>
    <t>GeoCode_arctic</t>
  </si>
  <si>
    <t>arcticOcean</t>
  </si>
  <si>
    <t>Arctic Ocean</t>
  </si>
  <si>
    <t>An ocean situated round the North Pole, its southern limit generally following the northern coasts of North America, Greenland, and Eurasia.</t>
  </si>
  <si>
    <t>GeoCode_arcticOcean</t>
  </si>
  <si>
    <t>asia</t>
  </si>
  <si>
    <t>Asia</t>
  </si>
  <si>
    <t>A continent whose general limits are on the north the Arctic Ocean, on the east the North Pacific Ocean, on the south the Indian Ocean, and on the west the Ural Mountains.</t>
  </si>
  <si>
    <t>GeoCode_asia</t>
  </si>
  <si>
    <t>atlanticOcean</t>
  </si>
  <si>
    <t>Atlantic Ocean</t>
  </si>
  <si>
    <t>An ocean whose general limits are the eastern coasts of North and South America, the southern coast of Greenland, the western coasts of Europe and Africa, and on the south the parallel of 60 degrees south.</t>
  </si>
  <si>
    <t>GeoCode_atlanticOcean</t>
  </si>
  <si>
    <t>australia</t>
  </si>
  <si>
    <t>Australia</t>
  </si>
  <si>
    <t>A continent whose general limits are on the northeast the South Pacific Ocean, on the south the Antarctic Ocean, and on the northwest the Indian Ocean.</t>
  </si>
  <si>
    <t>GeoCode_australia</t>
  </si>
  <si>
    <t>europe</t>
  </si>
  <si>
    <t>Europe</t>
  </si>
  <si>
    <t>A continent whose general limits are on the north the Arctic Ocean, on the east the Ural Mountains, on the south the Mediterranean Sea, and on the west the North Atlantic Ocean.</t>
  </si>
  <si>
    <t>GeoCode_europe</t>
  </si>
  <si>
    <t>indianOcean</t>
  </si>
  <si>
    <t>Indian Ocean</t>
  </si>
  <si>
    <t>An ocean whose general limits are the eastern coast of Africa, the southern coast of Asia, the western coast of Australia, and on the south the parallel of 60 degrees south.</t>
  </si>
  <si>
    <t>GeoCode_indianOcean</t>
  </si>
  <si>
    <t>mediterraneanSea</t>
  </si>
  <si>
    <t>Mediterranean Sea</t>
  </si>
  <si>
    <t>A sea whose general limits are the coasts of southern Europe, western Asia and north Africa, opening only, on the west, to the North Atlantic Ocean through the Strait of Gibraltar.</t>
  </si>
  <si>
    <t>GeoCode_mediterraneanSea</t>
  </si>
  <si>
    <t>northAmerica</t>
  </si>
  <si>
    <t>North America</t>
  </si>
  <si>
    <t>A continent whose general limits are on the north the Arctic Ocean, on the east the North Atlantic Ocean, and on the west the North Pacific Ocean.</t>
  </si>
  <si>
    <t>GeoCode_northAmerica</t>
  </si>
  <si>
    <t>northAtlanticOcean</t>
  </si>
  <si>
    <t>North Atlantic Ocean</t>
  </si>
  <si>
    <t>An ocean whose general limits are the eastern coasts of South America and North America, the southern coast of Greenland, the western coasts of Europe.</t>
  </si>
  <si>
    <t>GeoCode_northAtlanticOcean</t>
  </si>
  <si>
    <t>northPacificOcean</t>
  </si>
  <si>
    <t>North Pacific Ocean</t>
  </si>
  <si>
    <t>An ocean whose general limits are the eastern coast of Asia, the western coast of North America, and the Equator.</t>
  </si>
  <si>
    <t>GeoCode_northPacificOcean</t>
  </si>
  <si>
    <t>A large group of islands in the South Pacific Ocean including Melanesia, Micronesia and Polynesia.</t>
  </si>
  <si>
    <t>May sometimes be used to include Australasia and the Malay Archipelago.</t>
  </si>
  <si>
    <t>GeoCode_oceania</t>
  </si>
  <si>
    <t>pacificOcean</t>
  </si>
  <si>
    <t>Pacific Ocean</t>
  </si>
  <si>
    <t>An ocean whose general limits are the eastern coasts of Asia, Australia, Irian Jaya and Papua New Guinea, the western coasts of North and South America, and on the south the parallel of 60 degrees south.</t>
  </si>
  <si>
    <t>GeoCode_pacificOcean</t>
  </si>
  <si>
    <t>southAmerica</t>
  </si>
  <si>
    <t>South America</t>
  </si>
  <si>
    <t>A continent whose general limits are on the east the South Atlantic Ocean, and on the west the South Pacific Ocean.</t>
  </si>
  <si>
    <t>GeoCode_southAmerica</t>
  </si>
  <si>
    <t>southAtlanticOcean</t>
  </si>
  <si>
    <t>South Atlantic Ocean</t>
  </si>
  <si>
    <t>An ocean whose general limits are the eastern coast of South America, the Equator, the western coast of Africa, and on the south the parallel of 60 degrees south.</t>
  </si>
  <si>
    <t>GeoCode_southAtlanticOcean</t>
  </si>
  <si>
    <t>southChinaSea</t>
  </si>
  <si>
    <t>South China Sea</t>
  </si>
  <si>
    <t>An ocean-like region including the Eastern Archipelagic Seas whose general limits are the eastern boundary of the Indian Ocean, the south-eastern coast of Asia, and the western boundary of the Pacific Ocean.</t>
  </si>
  <si>
    <t>GeoCode_southChinaSea</t>
  </si>
  <si>
    <t>southPacificOcean</t>
  </si>
  <si>
    <t>South Pacific Ocean</t>
  </si>
  <si>
    <t>An ocean whose general limits are the eastern coasts of Australia, Irian Jaya and Papua New Guinea, the Equator, the western coast of South America, and on the south the parallel of 60 degrees south.</t>
  </si>
  <si>
    <t>GeoCode_southPacificOcean</t>
  </si>
  <si>
    <t>southernOcean</t>
  </si>
  <si>
    <t>Southern Ocean</t>
  </si>
  <si>
    <t>An ocean whose general limits are on the north the parallel of 60 degrees south and on the south the coast of Antarctica, including the Antarctic Peninsula.</t>
  </si>
  <si>
    <t>GeoCode_southernOcean</t>
  </si>
  <si>
    <t>Movement without interruption.</t>
  </si>
  <si>
    <t>GmaCode_continuous</t>
  </si>
  <si>
    <t>discontinuous</t>
  </si>
  <si>
    <t>Discontinuous</t>
  </si>
  <si>
    <t>Movement with interruption.</t>
  </si>
  <si>
    <t>GmaCode_discontinuous</t>
  </si>
  <si>
    <t>fast</t>
  </si>
  <si>
    <t>Fast</t>
  </si>
  <si>
    <t>Mass movement which occurs in minutes and seconds.</t>
  </si>
  <si>
    <t>May be measured in metres per second. For example: rockfall, slumps and slides.</t>
  </si>
  <si>
    <t>GmaCode_fast</t>
  </si>
  <si>
    <t>slow</t>
  </si>
  <si>
    <t>Slow</t>
  </si>
  <si>
    <t>Mass movement which occurs during a longer period of time.</t>
  </si>
  <si>
    <t>May be measured in metres per annum. For example: solifluction.</t>
  </si>
  <si>
    <t>GmaCode_slow</t>
  </si>
  <si>
    <t>fluidizedSediments</t>
  </si>
  <si>
    <t>Fluidized Sediments</t>
  </si>
  <si>
    <t>A suspension of particles in turbulent gas, liquid, or a mixture of both, that behaves much like a fluid, as gas and/or liquid is forced upward through the bed and supports the solid particles.</t>
  </si>
  <si>
    <t>A fluidized bed will flow down an incline.</t>
  </si>
  <si>
    <t>GmmCode_fluidizedSediments</t>
  </si>
  <si>
    <t>glacierSurge</t>
  </si>
  <si>
    <t>Glacier Surge</t>
  </si>
  <si>
    <t>The period of very rapid flow of a surging glacier; also, the displacement or advance of ice resulting resulting from the rapid flow.</t>
  </si>
  <si>
    <t>GmmCode_glacierSurge</t>
  </si>
  <si>
    <t>lahar</t>
  </si>
  <si>
    <t>Lahar</t>
  </si>
  <si>
    <t>A mudflow composed chiefly of volcanoclasitc materials on the flank of a volcano.</t>
  </si>
  <si>
    <t>Lahar or volcanic mudflows occur on the slopes of some subaerial volcanoes. Cold lahars are mostly produced by heavy rain falling on unconsolidated ash. Hot lahars are formed when a pyroclastic flow enters a river.</t>
  </si>
  <si>
    <t>GmmCode_lahar</t>
  </si>
  <si>
    <t>GmmCode_landslide</t>
  </si>
  <si>
    <t>liquefaction</t>
  </si>
  <si>
    <t>Liquefaction</t>
  </si>
  <si>
    <t>Temporary loss of soil strength due to shaking of the ground by an earthquake.</t>
  </si>
  <si>
    <t>It occurs in cohesionless soil. The temporary transformation from a solid to a liquid state is the result of increased pore pressure and reduced effective stress due to ground shaking.</t>
  </si>
  <si>
    <t>GmmCode_liquefaction</t>
  </si>
  <si>
    <t>A general term for a mass-movement landform and a process characterized by a flowing mass of predominantly fine-grained earth material posessing a high degree of fluidity during movement.</t>
  </si>
  <si>
    <t>GmmCode_mudFlow</t>
  </si>
  <si>
    <t>rockAvalanche</t>
  </si>
  <si>
    <t>Rock Avalanche</t>
  </si>
  <si>
    <t>The very rapid downslope flowage of rock fragments may become further brocken or pulverized.</t>
  </si>
  <si>
    <t>GmmCode_rockAvalanche</t>
  </si>
  <si>
    <t>The relatively free falling or precipitous movement of a newly detached segment of bedrock of any size from a cliff or other very steep slope.</t>
  </si>
  <si>
    <t>GmmCode_rockFall</t>
  </si>
  <si>
    <t>snowAvalanche</t>
  </si>
  <si>
    <t>Snow Avalanche</t>
  </si>
  <si>
    <t>A avalanche consisting of relatively pure snow, although considerable earth and rock material may also be carried downward.</t>
  </si>
  <si>
    <t>GmmCode_snowAvalanche</t>
  </si>
  <si>
    <t>terrainRupture</t>
  </si>
  <si>
    <t>Terrain Rupture</t>
  </si>
  <si>
    <t>Collapse of rock overlying an opening along a rupture.</t>
  </si>
  <si>
    <t>GmmCode_terrainRupture</t>
  </si>
  <si>
    <t>anticlinalAxis</t>
  </si>
  <si>
    <t>Anticlinal Axis</t>
  </si>
  <si>
    <t>The axis of an anticline.</t>
  </si>
  <si>
    <t>Anticline: a fold, generally convex upward, whose core contains the stratigraphically older rocks.</t>
  </si>
  <si>
    <t>GsgCode_anticlinalAxis</t>
  </si>
  <si>
    <t>dipAngle</t>
  </si>
  <si>
    <t>Dip Angle</t>
  </si>
  <si>
    <t>The angle that a structural surface (for example bedding or fault plane) makes with the horizontal, measured perpendicular to the strike of the structure and in the vertical plane (0 arc degrees).</t>
  </si>
  <si>
    <t>GsgCode_dipAngle</t>
  </si>
  <si>
    <t>dipDirection</t>
  </si>
  <si>
    <t>Dip Direction</t>
  </si>
  <si>
    <t>The direction of a maximum downhill slope of a planar feature.</t>
  </si>
  <si>
    <t>GsgCode_dipDirection</t>
  </si>
  <si>
    <t>foldAxis</t>
  </si>
  <si>
    <t>Fold Axis</t>
  </si>
  <si>
    <t>The axis of an fold.</t>
  </si>
  <si>
    <t>Fold: a curve or bend of a planar structure.</t>
  </si>
  <si>
    <t>GsgCode_foldAxis</t>
  </si>
  <si>
    <t>strike</t>
  </si>
  <si>
    <t>Strike</t>
  </si>
  <si>
    <t>The direction taken by a structural surface (for example bedding or fault plane) as it intersects the horizontal (= strike line).</t>
  </si>
  <si>
    <t>The strike is measured as an angle in a clockwise direction from true north (0 arc degrees).</t>
  </si>
  <si>
    <t>GsgCode_strike</t>
  </si>
  <si>
    <t>synclinalAxis</t>
  </si>
  <si>
    <t>Synclinal Axis</t>
  </si>
  <si>
    <t>The axis of an syncline.</t>
  </si>
  <si>
    <t>Syncline: a fold, generally concave upward, whose core contains the stratigraphically younger rocks.</t>
  </si>
  <si>
    <t>GsgCode_synclinalAxis</t>
  </si>
  <si>
    <t>abrasion</t>
  </si>
  <si>
    <t>Abrasion</t>
  </si>
  <si>
    <t>The mechanical erosion of rock surfaces by friction and impact, in wich the solid rock particles transported by wind, ice, waves, running water, or gravity are the tools of abrasion.</t>
  </si>
  <si>
    <t>GhpCode_abrasion</t>
  </si>
  <si>
    <t>A large mass of snow, ice, soil, or rock, or mixtures of these materials, falling, sliding, or flowing very rapidly under under the force of gravity.</t>
  </si>
  <si>
    <t>GhpCode_avalanche</t>
  </si>
  <si>
    <t>circularSubsidence</t>
  </si>
  <si>
    <t>Circular Subsidence</t>
  </si>
  <si>
    <t>The process forming a ring fracture structure, caused by the lowering a more or less cilindrical block into a magma chamber.</t>
  </si>
  <si>
    <t>Cauldron Subsidence</t>
  </si>
  <si>
    <t>GhpCode_circularSubsidence</t>
  </si>
  <si>
    <t>coastalErosion</t>
  </si>
  <si>
    <t>Coastal Erosion</t>
  </si>
  <si>
    <t>The mechanical destruction of the coastline and the removal of material by waves and currents.</t>
  </si>
  <si>
    <t>GhpCode_coastalErosion</t>
  </si>
  <si>
    <t>cryoturbation</t>
  </si>
  <si>
    <t>Cryoturbation</t>
  </si>
  <si>
    <t>Collective term for all frost-based movements in the soil.</t>
  </si>
  <si>
    <t>GhpCode_cryoturbation</t>
  </si>
  <si>
    <t>deflation</t>
  </si>
  <si>
    <t>Deflation</t>
  </si>
  <si>
    <t>The removal of material from a land surface by aeolian (wind) processes.</t>
  </si>
  <si>
    <t>GhpCode_deflation</t>
  </si>
  <si>
    <t>drainageChannel</t>
  </si>
  <si>
    <t>Drainage Channel</t>
  </si>
  <si>
    <t>The process of surface discharge of water from an area by streamflow.</t>
  </si>
  <si>
    <t>GhpCode_drainageChannel</t>
  </si>
  <si>
    <t>karstification</t>
  </si>
  <si>
    <t>Karstification</t>
  </si>
  <si>
    <t>The formation of karst features by the solutional, and sometimes mechhanical, action of waterin a region of limestone, gypsum or other bedrock.</t>
  </si>
  <si>
    <t>GhpCode_karstification</t>
  </si>
  <si>
    <t>massFlow</t>
  </si>
  <si>
    <t>Mass Flow</t>
  </si>
  <si>
    <t>Gravitative transfer of material down a slope.</t>
  </si>
  <si>
    <t>It includes rockfalls, slumps an slides, debris-flows and turbidity-flows.</t>
  </si>
  <si>
    <t>GhpCode_massFlow</t>
  </si>
  <si>
    <t>solifluction</t>
  </si>
  <si>
    <t>Solifluction</t>
  </si>
  <si>
    <t>The slow viscous downslope flow of watterlogged soil and other unsorted and saturated surficial material (0.5 - 5 cm/yr).</t>
  </si>
  <si>
    <t>The slow soil movement occur primarly in periglacial areas.</t>
  </si>
  <si>
    <t>Soil Flow</t>
  </si>
  <si>
    <t>GhpCode_solifluction</t>
  </si>
  <si>
    <t>suffosion</t>
  </si>
  <si>
    <t>Suffosion</t>
  </si>
  <si>
    <t>A process of erosion occurring in the upper surface of limestone burried by alluvium or glacial deposits, whereby percolating waters creates voids in the limestone surface into which fine material from the overlying drift is washed.</t>
  </si>
  <si>
    <t>GhpCode_suffosion</t>
  </si>
  <si>
    <t>washout</t>
  </si>
  <si>
    <t>Washout</t>
  </si>
  <si>
    <t>The removal of surface materials by concentrated surface flow of water from flash floods, often causing extensive scouring and bank caving.</t>
  </si>
  <si>
    <t>GhpCode_washout</t>
  </si>
  <si>
    <t>abruptSlopeChange</t>
  </si>
  <si>
    <t>Abrupt Slope Change</t>
  </si>
  <si>
    <t>The edge between adjoining slopes of terrain where the slope changes both abruptly and significantly.</t>
  </si>
  <si>
    <t>GztCode_abruptSlopeChange</t>
  </si>
  <si>
    <t>centerlineDrain</t>
  </si>
  <si>
    <t>Centerline Drain</t>
  </si>
  <si>
    <t>The edge between adjoining slopes of terrain towards which water flows from opposite directions and along which water drains.</t>
  </si>
  <si>
    <t>GztCode_centerlineDrain</t>
  </si>
  <si>
    <t>cliffBottom</t>
  </si>
  <si>
    <t>Cliff Bottom</t>
  </si>
  <si>
    <t>The lower edge of a cliff or steep slope separating two comparatively level or more gently sloping surfaces.</t>
  </si>
  <si>
    <t>GztCode_cliffBottom</t>
  </si>
  <si>
    <t>cliffTop</t>
  </si>
  <si>
    <t>Cliff Top</t>
  </si>
  <si>
    <t>The upper edge of a cliff or steep slope separating two comparatively level or more gently sloping surfaces.</t>
  </si>
  <si>
    <t>GztCode_cliffTop</t>
  </si>
  <si>
    <t>faultlineBottom</t>
  </si>
  <si>
    <t>Fault-line Bottom</t>
  </si>
  <si>
    <t>The lower edge of a vertical (dip-slip) fault.</t>
  </si>
  <si>
    <t>GztCode_faultlineBottom</t>
  </si>
  <si>
    <t>faultlineTop</t>
  </si>
  <si>
    <t>Fault-line Top</t>
  </si>
  <si>
    <t>The upper edge of a vertical (dip-slip) fault.</t>
  </si>
  <si>
    <t>GztCode_faultlineTop</t>
  </si>
  <si>
    <t>peak</t>
  </si>
  <si>
    <t>Peak</t>
  </si>
  <si>
    <t>The location of maximum elevation of a terrain area, away from which water tends to flow in all directions.</t>
  </si>
  <si>
    <t>GztCode_peak</t>
  </si>
  <si>
    <t>pit</t>
  </si>
  <si>
    <t>Pit</t>
  </si>
  <si>
    <t>The location of minimum elevation of a terrain area, towards which water flows from all directions.</t>
  </si>
  <si>
    <t>GztCode_pit</t>
  </si>
  <si>
    <t>The edge between adjoining slopes of terrain from which water begins to flow in opposite directions.</t>
  </si>
  <si>
    <t>GztCode_ridgeline</t>
  </si>
  <si>
    <t>valleyLine</t>
  </si>
  <si>
    <t>The edge between adjoining slopes of terrain towards which water flows from opposite directions.</t>
  </si>
  <si>
    <t>GztCode_valleyLine</t>
  </si>
  <si>
    <t>electromagnetic</t>
  </si>
  <si>
    <t>Electromagnetic</t>
  </si>
  <si>
    <t>Deviation in ground electromagnetic field, induced from distant transmitters.</t>
  </si>
  <si>
    <t>For example: Very Low Frequency (VLF) and Horizontal loop method (HLEM) anomalies. Anomalies are used for tracking steep fracture zones or electrically leading zones.</t>
  </si>
  <si>
    <t>Va5Code_electromagnetic</t>
  </si>
  <si>
    <t>gammaRay</t>
  </si>
  <si>
    <t>Gamma-ray</t>
  </si>
  <si>
    <t>Deviation in the abundance of gamma rays with different specific energy values, caused by deviations in contents of the radioactive elements K, U and Th in the rock.</t>
  </si>
  <si>
    <t>Va5Code_gammaRay</t>
  </si>
  <si>
    <t>gravity</t>
  </si>
  <si>
    <t>Gravity</t>
  </si>
  <si>
    <t>A difference between the observed (measured) gravity values and those calculated from the assumed Earth's model.</t>
  </si>
  <si>
    <t>The gravity anomalies are related to the differences in the subsurface mass distribution and are considered to be representing the variations.</t>
  </si>
  <si>
    <t>Va5Code_gravity</t>
  </si>
  <si>
    <t>magnetic</t>
  </si>
  <si>
    <t>Magnetic</t>
  </si>
  <si>
    <t>A magnetic field remaining after allowance for some particular model (for example: the International Geomagnetic Reference Field).</t>
  </si>
  <si>
    <t>Strong magnetic anomalies are caused by magnetic geological features.</t>
  </si>
  <si>
    <t>Va5Code_magnetic</t>
  </si>
  <si>
    <t>resistivity</t>
  </si>
  <si>
    <t>Resistivity</t>
  </si>
  <si>
    <t>Deviations in an electric ground potential field created by a locally transmitted electric current.</t>
  </si>
  <si>
    <t>The resistivity depends on rock type or type of sediment.</t>
  </si>
  <si>
    <t>Va5Code_resistivity</t>
  </si>
  <si>
    <t>seismic</t>
  </si>
  <si>
    <t>Seismic</t>
  </si>
  <si>
    <t>Deviations in the movement of the ground.</t>
  </si>
  <si>
    <t>Va5Code_seismic</t>
  </si>
  <si>
    <t>adminSubdivision</t>
  </si>
  <si>
    <t>Administrative Subdivision</t>
  </si>
  <si>
    <t>A territory governed by a subordinate administrative division in a State or other political entity.</t>
  </si>
  <si>
    <t>GecCode_adminSubdivision</t>
  </si>
  <si>
    <t>areaOfNoSovereignty</t>
  </si>
  <si>
    <t>Area of No Sovereignty</t>
  </si>
  <si>
    <t>A territory that is not subject to a State.</t>
  </si>
  <si>
    <t>For example, Antarctica.</t>
  </si>
  <si>
    <t>GecCode_areaOfNoSovereignty</t>
  </si>
  <si>
    <t>bufferZone</t>
  </si>
  <si>
    <t>Buffer Zone</t>
  </si>
  <si>
    <t>A delimited area separating two political entities or territories, within which certain activities are limited or prohibited.</t>
  </si>
  <si>
    <t>For example, military presence is minimal or absent. Currently limited in US State Department application to No Man's Land and the Gibraltar-Spain Neutral Zone.</t>
  </si>
  <si>
    <t>GecCode_bufferZone</t>
  </si>
  <si>
    <t>demilitarizedZone</t>
  </si>
  <si>
    <t>Demilitarized Zone (DMZ)</t>
  </si>
  <si>
    <t>A strip of territory in a border area where military activity is precluded.</t>
  </si>
  <si>
    <t>One of the lines in a DMZ generally serves as a line of separation (for example: armistice control, withdrawal or cease-fire line). For example, two two-kilometre-wide DMZs have existed on either side of the Military Demarcation Line between North and South Korea since the signing of the Armistice in July 1953.</t>
  </si>
  <si>
    <t>GecCode_demilitarizedZone</t>
  </si>
  <si>
    <t>dependentPoliticalEntity</t>
  </si>
  <si>
    <t>Dependent Political Entity</t>
  </si>
  <si>
    <t>A State that is constitutionally dependent on an independent State.</t>
  </si>
  <si>
    <t>For example New Caledonia, an overseas territory of France since 1956.</t>
  </si>
  <si>
    <t>GecCode_dependentPoliticalEntity</t>
  </si>
  <si>
    <t>economicRegion</t>
  </si>
  <si>
    <t>Economic Region</t>
  </si>
  <si>
    <t>A supranational region established, usually by treaty, principally to achieve a common basis for economic activity.</t>
  </si>
  <si>
    <t>For example, the European Union (EU) and the North American Free Trade Agreement (NAFTA).</t>
  </si>
  <si>
    <t>GecCode_economicRegion</t>
  </si>
  <si>
    <t>freelyAssociatedState</t>
  </si>
  <si>
    <t>Freely Associated State</t>
  </si>
  <si>
    <t>A self-governing State characterized by the traits of an independent political entity, that has entered into an association with another independent political entity for the conduct of certain affairs of state (for example: defence or foreign policy).</t>
  </si>
  <si>
    <t>GecCode_freelyAssociatedState</t>
  </si>
  <si>
    <t>independentPoliEntity</t>
  </si>
  <si>
    <t>Independent Political Entity</t>
  </si>
  <si>
    <t>A territory constituting an independent State.</t>
  </si>
  <si>
    <t>In particular, a people politically organized into a sovereign State with a definite territory recognized as independent by the United States.</t>
  </si>
  <si>
    <t>GecCode_independentPoliEntity</t>
  </si>
  <si>
    <t>leasedArea</t>
  </si>
  <si>
    <t>Leased Area</t>
  </si>
  <si>
    <t>A territory leased by one State from another.</t>
  </si>
  <si>
    <t>For example, leased by the United Kingdom from the People's Republic of China to form part of Hong Kong.</t>
  </si>
  <si>
    <t>GecCode_leasedArea</t>
  </si>
  <si>
    <t>politicalEntity</t>
  </si>
  <si>
    <t>Political Entity</t>
  </si>
  <si>
    <t>A State characterized by amorphous or nonexistent political organization, undetermined sovereignty, or indefinite territory.</t>
  </si>
  <si>
    <t>In particular, not recognized as an independent State by the United States.</t>
  </si>
  <si>
    <t>GecCode_politicalEntity</t>
  </si>
  <si>
    <t>semiIndependPolitEntity</t>
  </si>
  <si>
    <t>Semi-independent Political Entity</t>
  </si>
  <si>
    <t>A State, within an independent State, characterized by a significantly high degree of political and constitutional autonomy in most affairs of state.</t>
  </si>
  <si>
    <t>For example, the Hong Kong Special Administrative Region as of 1 July 1997 and the Macau Special Administrative Region as of 20 December 1999.</t>
  </si>
  <si>
    <t>GecCode_semiIndependPolitEntity</t>
  </si>
  <si>
    <t>An area of land whose political status will be determined by future negotiation.</t>
  </si>
  <si>
    <t>Territory may include any geographical area under the jurisdiction of a sovereign and does not necessarily have a political division status. Currently limited in US State Department application to the Gaza Strip and the West Bank.</t>
  </si>
  <si>
    <t>GecCode_territory</t>
  </si>
  <si>
    <t>zoneOfOccupation</t>
  </si>
  <si>
    <t>Zone of Occupation</t>
  </si>
  <si>
    <t>A newly conquered territory under the control of an armed force.</t>
  </si>
  <si>
    <t>GecCode_zoneOfOccupation</t>
  </si>
  <si>
    <t>armisticeLine</t>
  </si>
  <si>
    <t>A form of military disengagement line established by opposing groups as a result of an armistice (a temporary peace agreement).</t>
  </si>
  <si>
    <t>For example, the Armistice Line established in 1949 in the Middle East.</t>
  </si>
  <si>
    <t>LspCode_armisticeLine</t>
  </si>
  <si>
    <t>ceaseFireLine</t>
  </si>
  <si>
    <t>Cease Fire Line</t>
  </si>
  <si>
    <t>A line established where active hostilities have been suspended, but where an armistice line has not yet been agreed.</t>
  </si>
  <si>
    <t>LspCode_ceaseFireLine</t>
  </si>
  <si>
    <t>claimLine</t>
  </si>
  <si>
    <t>A limit of an area unilaterally claimed by one State or political entity without consent or negotiation with the adjacent State or political entity.</t>
  </si>
  <si>
    <t>LspCode_claimLine</t>
  </si>
  <si>
    <t>conventionLine</t>
  </si>
  <si>
    <t>LspCode_conventionLine</t>
  </si>
  <si>
    <t>demarcationLine</t>
  </si>
  <si>
    <t>Demarcation Line</t>
  </si>
  <si>
    <t>A form of military disengagement line established by opposing groups as a result of the cessation of hostilities.</t>
  </si>
  <si>
    <t>For example, the Military Demarcation Line established in 1953 between North and South Korea.</t>
  </si>
  <si>
    <t>LspCode_demarcationLine</t>
  </si>
  <si>
    <t>genericAdminBoundary</t>
  </si>
  <si>
    <t>Generic Administrative Boundary</t>
  </si>
  <si>
    <t>A boundary separating subordinate administrative divisions (for example: a state, county, township, province, district, territory, and oblast) in a State or other geopolitical entity.</t>
  </si>
  <si>
    <t>States are generally divided into first-, second- and lower-order administrative divisions. With only minor exceptions (Egypt-Sudan, Kenya-Sudan), administrative boundaries are contiguous with international boundaries. In rarer instances, administrative boundaries serve in lieu of international boundaries (Ethiopia-Somalia and the former Oman-UAE boundaries).</t>
  </si>
  <si>
    <t>LspCode_genericAdminBoundary</t>
  </si>
  <si>
    <t>genericIntBoundary</t>
  </si>
  <si>
    <t>Generic International Boundary</t>
  </si>
  <si>
    <t>A boundary separating geopolitical entities that is not classified as a more specific geopolitical line type.</t>
  </si>
  <si>
    <t>LspCode_genericIntBoundary</t>
  </si>
  <si>
    <t>intercolonialLine</t>
  </si>
  <si>
    <t>Intercolonial Line</t>
  </si>
  <si>
    <t>A line of demarcation established by colonial powers between their adjacent colonies.</t>
  </si>
  <si>
    <t>For example, the line established by treaty in Paris on 10th of February, 1763, that put an end to the American intercolonial wars. By its provisions, France gave to England all her possessions in America 'east of the Mississippi, from its source to the river Iberville, and through Lakes Maurepas and Pontchartrain to the Gulf of Mexico'. Spain, which had also been involved in war with England, ceded East and West Florida to that country in exchange for Havanna, while France gave to Spain Louisiana.</t>
  </si>
  <si>
    <t>LspCode_intercolonialLine</t>
  </si>
  <si>
    <t>interentityLine</t>
  </si>
  <si>
    <t>Interentity Line</t>
  </si>
  <si>
    <t>The line of separation drawn in Bosnia and Herzegovina separating the ethnic Serb populations from other Bosnians.</t>
  </si>
  <si>
    <t>A United Nations patrol zone bounds it on both sides.</t>
  </si>
  <si>
    <t>LspCode_interentityLine</t>
  </si>
  <si>
    <t>lineOfAdjacency</t>
  </si>
  <si>
    <t>Line of Adjacency</t>
  </si>
  <si>
    <t>A line of separation under the specific arrangement concluded in 2000 between Guatemala and Belize.</t>
  </si>
  <si>
    <t>Guatemala, which has claims to large portions of Belize and disputes the international boundary, agreed to an alternate line, surveyed separately but tangent with the international boundary, that would permit Belize to extradite squatters residing along the boundary back to Guatemala.</t>
  </si>
  <si>
    <t>LspCode_lineOfAdjacency</t>
  </si>
  <si>
    <t>lineOfControl</t>
  </si>
  <si>
    <t>Line of Control</t>
  </si>
  <si>
    <t>A line of separation between military forces that has been agreed by both forces but not necessarily accompanied by a cessation of hostilities.</t>
  </si>
  <si>
    <t>For example, between India and Pakistan in Kashmir established as a result of the Simla talks in 1972 that clearly delimited the 1949 Cease Fire Line with minor modifications.</t>
  </si>
  <si>
    <t>LspCode_lineOfControl</t>
  </si>
  <si>
    <t>lineOfConvenience</t>
  </si>
  <si>
    <t>Line of Convenience</t>
  </si>
  <si>
    <t>A line created when political or military powers cannot quickly or easily agree to an alternate line of separation between contending parties.</t>
  </si>
  <si>
    <t>For example, the 38th parallel was created as a line of convenience between communist and democratic forces on the Korean peninsula in 1945.</t>
  </si>
  <si>
    <t>LspCode_lineOfConvenience</t>
  </si>
  <si>
    <t>lineOfWithdrawal</t>
  </si>
  <si>
    <t>Line of Withdrawal</t>
  </si>
  <si>
    <t>A line of separation to which military forces have withdrawn.</t>
  </si>
  <si>
    <t>Withdrawal Line</t>
  </si>
  <si>
    <t>LspCode_lineOfWithdrawal</t>
  </si>
  <si>
    <t>militaryDisengagementLine</t>
  </si>
  <si>
    <t>Military Disengagement Line</t>
  </si>
  <si>
    <t>A line of separation recognizing the disengagement of military forces.</t>
  </si>
  <si>
    <t>For example, an Armistice Line and a Demarcation Line.</t>
  </si>
  <si>
    <t>Military Agreement Line</t>
  </si>
  <si>
    <t>LspCode_militaryDisengagementLine</t>
  </si>
  <si>
    <t>provisionalAdminLine</t>
  </si>
  <si>
    <t>Provisional Administrative Line</t>
  </si>
  <si>
    <t>A line of separation separating subordinate administrative divisions where two States or other political entities have agreed to a non-prejudicial de facto boundary while pending final de jure settlement.</t>
  </si>
  <si>
    <t>For example, between Somalia and Ethiopia.</t>
  </si>
  <si>
    <t>LspCode_provisionalAdminLine</t>
  </si>
  <si>
    <t>treatyLine</t>
  </si>
  <si>
    <t>Treaty Line</t>
  </si>
  <si>
    <t>A line of separation that is not a formal international boundary because one or both parties may not accept the line as official.</t>
  </si>
  <si>
    <t>Usually established by a specific treaty.</t>
  </si>
  <si>
    <t>LspCode_treatyLine</t>
  </si>
  <si>
    <t>unclosClaimBoundary</t>
  </si>
  <si>
    <t>UNCLOS Claim Boundary</t>
  </si>
  <si>
    <t>An UNCLOS boundary that divides overlapping maritime limits beyond the territorial sea in exclusive economic zones and on continental shelves.</t>
  </si>
  <si>
    <t>Under UNCLOS (United Nations Convention On The Law Of The Seas) States have the right to regulate economic activity but cannot restrict freedom of navigation within a claim boundary, which are considered high seas.</t>
  </si>
  <si>
    <t>LspCode_unclosClaimBoundary</t>
  </si>
  <si>
    <t>fissure</t>
  </si>
  <si>
    <t>Fissure</t>
  </si>
  <si>
    <t>A heated opening, usually long and narrow, made by cracking, splitting, and/or separation of the terrain surface.</t>
  </si>
  <si>
    <t>Typically located on the slopes of a volcano and appearing as an elongated fracture occasionally emitting wisps of heated vapour.</t>
  </si>
  <si>
    <t>GotCode_fissure</t>
  </si>
  <si>
    <t>fumarole</t>
  </si>
  <si>
    <t>Fumarole</t>
  </si>
  <si>
    <t>A vent or opening through which issue steam, hydrogen sulfide, and/or other gases.</t>
  </si>
  <si>
    <t>Typically located in or near a volcano.</t>
  </si>
  <si>
    <t>Vent</t>
  </si>
  <si>
    <t>GotCode_fumarole</t>
  </si>
  <si>
    <t>geyser</t>
  </si>
  <si>
    <t>Geyser</t>
  </si>
  <si>
    <t>A hot spring that intermittently spouts steam and water.</t>
  </si>
  <si>
    <t>Usually located in a volcanic area.</t>
  </si>
  <si>
    <t>GotCode_geyser</t>
  </si>
  <si>
    <t>hotSpring</t>
  </si>
  <si>
    <t>Hot Spring</t>
  </si>
  <si>
    <t>A spring of naturally hot water.</t>
  </si>
  <si>
    <t>GotCode_hotSpring</t>
  </si>
  <si>
    <t>sulphurSpring</t>
  </si>
  <si>
    <t>Sulphur Spring</t>
  </si>
  <si>
    <t>A spring whose water contains sulphur or sulphurous gases.</t>
  </si>
  <si>
    <t>GotCode_sulphurSpring</t>
  </si>
  <si>
    <t>globalOrbitNavSatelliteSys</t>
  </si>
  <si>
    <t>Global Orbiting Navigation Satellite System (GLONASS)</t>
  </si>
  <si>
    <t>A navigation system based on the transmission of signals from satellites provided and maintained by the Russian Federation.</t>
  </si>
  <si>
    <t>CngCode_globalOrbitNavSatelliteSys</t>
  </si>
  <si>
    <t>A navigation system based on the transmission of signals from satellites provided and maintained by the United States.</t>
  </si>
  <si>
    <t>CngCode_globalPositioningSystem</t>
  </si>
  <si>
    <t>Associated with the act and/or process of administration or management.</t>
  </si>
  <si>
    <t>GfcCode_administration</t>
  </si>
  <si>
    <t>ambassadorialResidence</t>
  </si>
  <si>
    <t>Ambassadorial Residence</t>
  </si>
  <si>
    <t>Associated with the dwelling of a diplomatic official of the highest rank appointed and accredited as representative in residence by one government or sovereign to another.</t>
  </si>
  <si>
    <t>GfcCode_ambassadorialResidence</t>
  </si>
  <si>
    <t>chancery</t>
  </si>
  <si>
    <t>Chancery</t>
  </si>
  <si>
    <t>Associated with an office for public records.</t>
  </si>
  <si>
    <t>GfcCode_chancery</t>
  </si>
  <si>
    <t>consulate</t>
  </si>
  <si>
    <t>Consulate</t>
  </si>
  <si>
    <t>Associated with the residence and/or official premises of an official appointed by a government to reside in a foreign country, represent its commercial interests, and assist its citizens there.</t>
  </si>
  <si>
    <t>GfcCode_consulate</t>
  </si>
  <si>
    <t>courthouse</t>
  </si>
  <si>
    <t>Courthouse</t>
  </si>
  <si>
    <t>Associated with the main offices of a county government.</t>
  </si>
  <si>
    <t>County Hall, Court-house</t>
  </si>
  <si>
    <t>GfcCode_courthouse</t>
  </si>
  <si>
    <t>customs</t>
  </si>
  <si>
    <t>Customs</t>
  </si>
  <si>
    <t>Associated with a government checkpoint where customs duties are collected and shipments or vehicles are cleared for entering or leaving a country.</t>
  </si>
  <si>
    <t>GfcCode_customs</t>
  </si>
  <si>
    <t>diplomatic</t>
  </si>
  <si>
    <t>Diplomatic</t>
  </si>
  <si>
    <t>Associated with the housing and/or supporting of the activities of an ambassador.</t>
  </si>
  <si>
    <t>GfcCode_diplomatic</t>
  </si>
  <si>
    <t>Associated with the office of an ambassador and/or the ambassador's staff.</t>
  </si>
  <si>
    <t>GfcCode_embassy</t>
  </si>
  <si>
    <t>executiveResidence</t>
  </si>
  <si>
    <t>Executive Residence</t>
  </si>
  <si>
    <t>Associated with the official residence of a head of state or government.</t>
  </si>
  <si>
    <t>GfcCode_executiveResidence</t>
  </si>
  <si>
    <t>Associated with the act or process of administration of public policy in a political unit.</t>
  </si>
  <si>
    <t>GfcCode_government</t>
  </si>
  <si>
    <t>governmentAdministration</t>
  </si>
  <si>
    <t>Government Administration</t>
  </si>
  <si>
    <t>Associated with the the management or control of an organization serving as a body or agent of a government.</t>
  </si>
  <si>
    <t>GfcCode_governmentAdministration</t>
  </si>
  <si>
    <t>legation</t>
  </si>
  <si>
    <t>Legation</t>
  </si>
  <si>
    <t>Associated with a diplomatic mission in a foreign country that ranks below an embassy.</t>
  </si>
  <si>
    <t>GfcCode_legation</t>
  </si>
  <si>
    <t>legislative</t>
  </si>
  <si>
    <t>Legislative</t>
  </si>
  <si>
    <t>Associated with the meetings of a national or sub-national legislature.</t>
  </si>
  <si>
    <t>GfcCode_legislative</t>
  </si>
  <si>
    <t>municipalHall</t>
  </si>
  <si>
    <t>Municipal Hall</t>
  </si>
  <si>
    <t>Associated with the offices of the public officials of a local political unit (for example: a town or a city).</t>
  </si>
  <si>
    <t>Town Hall, City Hall</t>
  </si>
  <si>
    <t>GfcCode_municipalHall</t>
  </si>
  <si>
    <t>royalResidence</t>
  </si>
  <si>
    <t>Royal Residence</t>
  </si>
  <si>
    <t>Associated with the houses, or previously housed, the official residence of a royal personage or high dignitary in a religious establishment or government.</t>
  </si>
  <si>
    <t>GfcCode_royalResidence</t>
  </si>
  <si>
    <t>manySides</t>
  </si>
  <si>
    <t>Many Sides</t>
  </si>
  <si>
    <t>More than two sides are exposed by a cut and/or fill.</t>
  </si>
  <si>
    <t>CetCode_manySides</t>
  </si>
  <si>
    <t>noSides</t>
  </si>
  <si>
    <t>No Sides</t>
  </si>
  <si>
    <t>No cuts or fills exist.</t>
  </si>
  <si>
    <t>CetCode_noSides</t>
  </si>
  <si>
    <t>oneSide</t>
  </si>
  <si>
    <t>One Side</t>
  </si>
  <si>
    <t>Only one side is exposed by a cut or fill.</t>
  </si>
  <si>
    <t>CetCode_oneSide</t>
  </si>
  <si>
    <t>twoSides</t>
  </si>
  <si>
    <t>Two Sides</t>
  </si>
  <si>
    <t>Two sides are exposed by a cut and/or fill.</t>
  </si>
  <si>
    <t>CetCode_twoSides</t>
  </si>
  <si>
    <t>brushwood</t>
  </si>
  <si>
    <t>Brushwood</t>
  </si>
  <si>
    <t>Lignified plants at ground level.</t>
  </si>
  <si>
    <t>GvgCode_brushwood</t>
  </si>
  <si>
    <t>Predominantly by grasses characterized ground vegetation.</t>
  </si>
  <si>
    <t>GvgCode_grass</t>
  </si>
  <si>
    <t>herbaceousLayer</t>
  </si>
  <si>
    <t>Herbaceous Layer</t>
  </si>
  <si>
    <t>Non-lignified plants at ground level.</t>
  </si>
  <si>
    <t>GvgCode_herbaceousLayer</t>
  </si>
  <si>
    <t>moss</t>
  </si>
  <si>
    <t>Moss</t>
  </si>
  <si>
    <t>Ground cover of small, rootless, evergreen plants belonging to the section moss (Bryophyta).</t>
  </si>
  <si>
    <t>GvgCode_moss</t>
  </si>
  <si>
    <t>aquitard</t>
  </si>
  <si>
    <t>Aquitard</t>
  </si>
  <si>
    <t>A layer of low permeability that can store ground water and also transmits it slowly from one aquifer to another.</t>
  </si>
  <si>
    <t>AqaCode_aquitard</t>
  </si>
  <si>
    <t>fractureIntergranularFlow</t>
  </si>
  <si>
    <t>Fracture and Intergranular Flow</t>
  </si>
  <si>
    <t>Ground-water flow occurs through both pores and fractures in a rock formation.</t>
  </si>
  <si>
    <t>Intergranular Flow</t>
  </si>
  <si>
    <t>AqaCode_fractureIntergranularFlow</t>
  </si>
  <si>
    <t>fractureFlow</t>
  </si>
  <si>
    <t>Fracture Flow</t>
  </si>
  <si>
    <t>All ground-water flow is through fractures, along bedding planes, joints or fault lines.</t>
  </si>
  <si>
    <t>AqaCode_fractureFlow</t>
  </si>
  <si>
    <t>karstFlow</t>
  </si>
  <si>
    <t>Karst Flow</t>
  </si>
  <si>
    <t>Ground-water flow occurs through interconnected cavities in primarily limestone or dolomitic bedrock.</t>
  </si>
  <si>
    <t>AqaCode_karstFlow</t>
  </si>
  <si>
    <t>poreFlow</t>
  </si>
  <si>
    <t>Pore Flow</t>
  </si>
  <si>
    <t>Ground-water flow is through the interconnected pore spaces between particles.</t>
  </si>
  <si>
    <t>AqaCode_poreFlow</t>
  </si>
  <si>
    <t>blocksOfFlats</t>
  </si>
  <si>
    <t>Blocks of Flats</t>
  </si>
  <si>
    <t>Long buildings of one or more floors with several flats on each floor.</t>
  </si>
  <si>
    <t>PthCode_blocksOfFlats</t>
  </si>
  <si>
    <t>caravans</t>
  </si>
  <si>
    <t>Caravans</t>
  </si>
  <si>
    <t>Mobile homes, often appearing as villages in the countryside.</t>
  </si>
  <si>
    <t>Trailers</t>
  </si>
  <si>
    <t>PthCode_caravans</t>
  </si>
  <si>
    <t>caveDwellings</t>
  </si>
  <si>
    <t>Cave Dwellings</t>
  </si>
  <si>
    <t>A cave for residential use.</t>
  </si>
  <si>
    <t>PthCode_caveDwellings</t>
  </si>
  <si>
    <t>houseboats</t>
  </si>
  <si>
    <t>Houseboats</t>
  </si>
  <si>
    <t>Boat that has been designed or modified to be used primarily as a human dwelling.</t>
  </si>
  <si>
    <t>A boat or a boat-like building fitted for residential use, for anchorage, and/or for leisurely cruising.</t>
  </si>
  <si>
    <t>PthCode_houseboats</t>
  </si>
  <si>
    <t>huts</t>
  </si>
  <si>
    <t>Huts</t>
  </si>
  <si>
    <t>A small rude house, a mean dwelling, esp. one built of logs.</t>
  </si>
  <si>
    <t>PthCode_huts</t>
  </si>
  <si>
    <t>otherResidentialBuildings</t>
  </si>
  <si>
    <t>Other Residential Buildings</t>
  </si>
  <si>
    <t>Any other building for residential use.</t>
  </si>
  <si>
    <t>For example, ancient windmills etc.</t>
  </si>
  <si>
    <t>PthCode_otherResidentialBuildings</t>
  </si>
  <si>
    <t>rowHouses</t>
  </si>
  <si>
    <t>Row Houses</t>
  </si>
  <si>
    <t>A series of houses built against each other in a straight line.</t>
  </si>
  <si>
    <t>PthCode_rowHouses</t>
  </si>
  <si>
    <t>shanties</t>
  </si>
  <si>
    <t>Shanties</t>
  </si>
  <si>
    <t>A rude cabin or shanty, esp. built of waste material.</t>
  </si>
  <si>
    <t>Collectively may be referred to as a shanty town.</t>
  </si>
  <si>
    <t>PthCode_shanties</t>
  </si>
  <si>
    <t>singleFamilyDwellings</t>
  </si>
  <si>
    <t>Single-family Dwellings</t>
  </si>
  <si>
    <t>A stand alone, smaller house serving as residence for usually one family.</t>
  </si>
  <si>
    <t>PthCode_singleFamilyDwellings</t>
  </si>
  <si>
    <t>skyscrapers</t>
  </si>
  <si>
    <t>Skyscrapers</t>
  </si>
  <si>
    <t>Very high buildings for residential use.</t>
  </si>
  <si>
    <t>High-rise Building</t>
  </si>
  <si>
    <t>PthCode_skyscrapers</t>
  </si>
  <si>
    <t>stiltHouses</t>
  </si>
  <si>
    <t>Stilt Houses</t>
  </si>
  <si>
    <t>A building constructed on timbers driven into the ground, esp. underwater.</t>
  </si>
  <si>
    <t>Pile Hut, Lake Dwelling</t>
  </si>
  <si>
    <t>PthCode_stiltHouses</t>
  </si>
  <si>
    <t>tents</t>
  </si>
  <si>
    <t>Tents</t>
  </si>
  <si>
    <t>A portable shelter consisting of canvas or other flexible material stretched over and supported on poles.</t>
  </si>
  <si>
    <t>PthCode_tents</t>
  </si>
  <si>
    <t>undergroundDwellings</t>
  </si>
  <si>
    <t>Underground Dwellings</t>
  </si>
  <si>
    <t>A natural or artificial hole in the ground for residential use.</t>
  </si>
  <si>
    <t>PthCode_undergroundDwellings</t>
  </si>
  <si>
    <t>villas</t>
  </si>
  <si>
    <t>Villas</t>
  </si>
  <si>
    <t>A country house or estate, esp. when large or luxurious, a detached suburban house.</t>
  </si>
  <si>
    <t>PthCode_villas</t>
  </si>
  <si>
    <t>doubleBay</t>
  </si>
  <si>
    <t>D - Double Bay</t>
  </si>
  <si>
    <t>Double bay</t>
  </si>
  <si>
    <t>HtpCode_doubleBay</t>
  </si>
  <si>
    <t>G - Underground</t>
  </si>
  <si>
    <t>HtpCode_underground</t>
  </si>
  <si>
    <t>multiBay</t>
  </si>
  <si>
    <t>M - Multi-bay</t>
  </si>
  <si>
    <t>Multi-bay</t>
  </si>
  <si>
    <t>HtpCode_multiBay</t>
  </si>
  <si>
    <t>N - Nose In</t>
  </si>
  <si>
    <t>Nose in</t>
  </si>
  <si>
    <t>HtpCode_noseIn</t>
  </si>
  <si>
    <t>openEnd</t>
  </si>
  <si>
    <t>O - Open End</t>
  </si>
  <si>
    <t>Open end</t>
  </si>
  <si>
    <t>HtpCode_openEnd</t>
  </si>
  <si>
    <t>singleBay</t>
  </si>
  <si>
    <t>S - Single Bay</t>
  </si>
  <si>
    <t>Single bay</t>
  </si>
  <si>
    <t>HtpCode_singleBay</t>
  </si>
  <si>
    <t>shapedLikeT</t>
  </si>
  <si>
    <t>T - T-Shaped</t>
  </si>
  <si>
    <t>T-Shaped</t>
  </si>
  <si>
    <t>HtpCode_shapedLikeT</t>
  </si>
  <si>
    <t>bulkTerminal</t>
  </si>
  <si>
    <t>Bulk Terminal</t>
  </si>
  <si>
    <t>A terminal for the handling of bulk materials (for example: iron ore or coal).</t>
  </si>
  <si>
    <t>FhcCode_bulkTerminal</t>
  </si>
  <si>
    <t>containerTerminal</t>
  </si>
  <si>
    <t>Container Terminal</t>
  </si>
  <si>
    <t>A terminal for container ships.</t>
  </si>
  <si>
    <t>FhcCode_containerTerminal</t>
  </si>
  <si>
    <t>ferryTerminal</t>
  </si>
  <si>
    <t>Ferry Terminal</t>
  </si>
  <si>
    <t>A terminal for passenger and vehicle ferries.</t>
  </si>
  <si>
    <t>FhcCode_ferryTerminal</t>
  </si>
  <si>
    <t>fishingHarbour</t>
  </si>
  <si>
    <t>A harbour that is primarily used by fishing boats.</t>
  </si>
  <si>
    <t>FhcCode_fishingHarbour</t>
  </si>
  <si>
    <t>marina</t>
  </si>
  <si>
    <t>Marina</t>
  </si>
  <si>
    <t>A harbour with facilities for small boats and yachts.</t>
  </si>
  <si>
    <t>Yacht Harbour, Yacht Marina</t>
  </si>
  <si>
    <t>FhcCode_marina</t>
  </si>
  <si>
    <t>navalBase</t>
  </si>
  <si>
    <t>Naval Base</t>
  </si>
  <si>
    <t>A centre of operations for naval vessels.</t>
  </si>
  <si>
    <t>FhcCode_navalBase</t>
  </si>
  <si>
    <t>passengerTerminal</t>
  </si>
  <si>
    <t>Passenger Terminal</t>
  </si>
  <si>
    <t>A terminal for the loading and unloading of passengers.</t>
  </si>
  <si>
    <t>FhcCode_passengerTerminal</t>
  </si>
  <si>
    <t>roRoTerminal</t>
  </si>
  <si>
    <t>Ro-Ro Terminal</t>
  </si>
  <si>
    <t>A terminal for roll-on roll-off ferries.</t>
  </si>
  <si>
    <t>Roll-on Roll-off Terminal</t>
  </si>
  <si>
    <t>FhcCode_roRoTerminal</t>
  </si>
  <si>
    <t>shipyard</t>
  </si>
  <si>
    <t>A place where ships are built or repaired.</t>
  </si>
  <si>
    <t>FhcCode_shipyard</t>
  </si>
  <si>
    <t>tankerTerminal</t>
  </si>
  <si>
    <t>Tanker Terminal</t>
  </si>
  <si>
    <t>A terminal for the bulk handling of liquid cargoes.</t>
  </si>
  <si>
    <t>FhcCode_tankerTerminal</t>
  </si>
  <si>
    <t>timberYard</t>
  </si>
  <si>
    <t>Timber-yard</t>
  </si>
  <si>
    <t>An open yard or place where timber is stacked and/or stored.</t>
  </si>
  <si>
    <t>FhcCode_timberYard</t>
  </si>
  <si>
    <t>bombShelter</t>
  </si>
  <si>
    <t>Bomb Shelter</t>
  </si>
  <si>
    <t>A specially designed or designated emergency shelter which is meant for short-term occupancy and intended to protect occupants from overhead bomb blasts.</t>
  </si>
  <si>
    <t>Bomb shelters protect from shock waves and overpressure (pressure difference, relative to normal pressure).</t>
  </si>
  <si>
    <t>HstCode_bombShelter</t>
  </si>
  <si>
    <t>falloutShelter</t>
  </si>
  <si>
    <t>Fallout Shelter</t>
  </si>
  <si>
    <t>A specially designed or designated emergency shelter which is meant for short-term occupancy and intended to protect occupants from radioactive debris and fallout resulting from a nuclear explosion.</t>
  </si>
  <si>
    <t>Fallout shelters are typically stocked with supplies to allow occupants to remain in the shelter until radioactivity has decayed to a safer level.</t>
  </si>
  <si>
    <t>HstCode_falloutShelter</t>
  </si>
  <si>
    <t>stormShelter</t>
  </si>
  <si>
    <t>Storm Shelter</t>
  </si>
  <si>
    <t>A specially designed or designated emergency shelter which is meant for short-term occupancy and intended to protect the occupants from violent severe weather.</t>
  </si>
  <si>
    <t>HstCode_stormShelter</t>
  </si>
  <si>
    <t>amphibian</t>
  </si>
  <si>
    <t>Amphibian</t>
  </si>
  <si>
    <t>Any of a class (Amphibia) of cold-blooded and scaleless vertebrates, including frogs, toads, newts, and salamanders, that usually begin life in the water as tadpoles with gills, and later develop lungs.</t>
  </si>
  <si>
    <t>Amphibians (for example: frogs and toads) that are hazardous for their poisons.</t>
  </si>
  <si>
    <t>If1Code_amphibian</t>
  </si>
  <si>
    <t>anemones</t>
  </si>
  <si>
    <t>Anemone</t>
  </si>
  <si>
    <t>An anthozoan belonging to the order Actiniaria, having a radiating array of tentacles around the mouth.</t>
  </si>
  <si>
    <t>If1Code_anemones</t>
  </si>
  <si>
    <t>arachnid</t>
  </si>
  <si>
    <t>Arachnid</t>
  </si>
  <si>
    <t>An arachnid of the order Araneida, having a narrow-waisted body and eight jointed legs, and typically feeding on the fluids of insect prey caught by hunting or in webs and immobilized with poison.</t>
  </si>
  <si>
    <t>Arachnids that predominantly are hazardous for their poisons.</t>
  </si>
  <si>
    <t>If1Code_arachnid</t>
  </si>
  <si>
    <t>Any of a large and varied group of cold-blooded aquatic vertebrates possessing gills and fins, that are hazardous for their attacks.</t>
  </si>
  <si>
    <t>For example, sharks.</t>
  </si>
  <si>
    <t>If1Code_fish</t>
  </si>
  <si>
    <t>insect</t>
  </si>
  <si>
    <t>Insect</t>
  </si>
  <si>
    <t>A member of the class Insecta of small arthropods which have the body divided into head, thorax, and abdomen, the thorax bearing three pairs of legs and usually one or two pairs of wings.</t>
  </si>
  <si>
    <t>Insects that predominantly are hazardous for their ability to communicate diseases through bite or stab wounds.</t>
  </si>
  <si>
    <t>If1Code_insect</t>
  </si>
  <si>
    <t>jellyFish</t>
  </si>
  <si>
    <t>Jelly Fish</t>
  </si>
  <si>
    <t>Any marine coelenterate invertebrate of medusoid form, having a dome-shaped gelatinous body with hanging tentacles; especially a member of the class Scyphozoa in which this form is dominant.</t>
  </si>
  <si>
    <t>If1Code_jellyFish</t>
  </si>
  <si>
    <t>landSnakes</t>
  </si>
  <si>
    <t>Land Snake</t>
  </si>
  <si>
    <t>Any of numerous reptiles constituting the suborder Ophidia, living on land, characterized by elongated cylindrical limbless bodies, tapering tails, and smooth scaly skins, and including many kinds whose bite is venomous.</t>
  </si>
  <si>
    <t>If1Code_landSnakes</t>
  </si>
  <si>
    <t>mammal</t>
  </si>
  <si>
    <t>Mammal</t>
  </si>
  <si>
    <t>A furred, warm-blooded, amniote animal of the vertebrate class Mammalia, members of which are characterized by the possession of mammary glands in the female (from which the young are fed) and a four-chambered heart, being typically viviparous.</t>
  </si>
  <si>
    <t>Animals that are hazardous as carnivores (for example: lions) or for their attacks (for example: big game such as elephants and rhinoceros).</t>
  </si>
  <si>
    <t>If1Code_mammal</t>
  </si>
  <si>
    <t>parasite</t>
  </si>
  <si>
    <t>Parasite</t>
  </si>
  <si>
    <t>An animal or plant which lives in or on another and draws its nutriment directly from it, harming it in the process.</t>
  </si>
  <si>
    <t>Organisms that externally or internally become hazardous to their host from which they exist (for example: worms, lice, and protozoa).</t>
  </si>
  <si>
    <t>If1Code_parasite</t>
  </si>
  <si>
    <t>reptile</t>
  </si>
  <si>
    <t>Reptile</t>
  </si>
  <si>
    <t>An amniote animal of the vertebrate class Reptilia, characterized (in living forms) by scaly impermeable skin, poikilothermy, and oviparous (or ovoviviparous) reproduction.</t>
  </si>
  <si>
    <t>Reptiles (for example: snakes, saurians, and crocodiles) that are hazardous for their poison or by biting and/or scratching wounds.</t>
  </si>
  <si>
    <t>If1Code_reptile</t>
  </si>
  <si>
    <t>seaSnakes</t>
  </si>
  <si>
    <t>Sea Snake</t>
  </si>
  <si>
    <t>Any of numerous reptiles constituting the suborder Ophidia, living in water, characterized by elongated cylindrical limbless bodies, tapering tails, and smooth scaly skins, and including many kinds whose bite is venomous.</t>
  </si>
  <si>
    <t>If1Code_seaSnakes</t>
  </si>
  <si>
    <t>seaUrchins</t>
  </si>
  <si>
    <t>Sea Urchin</t>
  </si>
  <si>
    <t>An echinoderm of the class Echinoidea having a rigid rounded or heart-shaped test and numerous mobile spines.</t>
  </si>
  <si>
    <t>If1Code_seaUrchins</t>
  </si>
  <si>
    <t>sharks</t>
  </si>
  <si>
    <t>Shark</t>
  </si>
  <si>
    <t>A member of a large superorder of marine cartilaginous fishes (selachians) typically having a long streamlined body, many pointed teeth, five to seven gill slits, rough scaly skin, and frequently a prominent dorsal fin; especially a large voracious fish of this kind.</t>
  </si>
  <si>
    <t>If1Code_sharks</t>
  </si>
  <si>
    <t>venomousFish</t>
  </si>
  <si>
    <t>Venomous Fish</t>
  </si>
  <si>
    <t>Any of a large and varied group of cold-blooded aquatic vertebrates possessing gills and fins, secreting poisonous fluids.</t>
  </si>
  <si>
    <t>If1Code_venomousFish</t>
  </si>
  <si>
    <t>poisonousMushroom</t>
  </si>
  <si>
    <t>Poisonous Mushroom</t>
  </si>
  <si>
    <t>Mushrooms containing toxic substances that may harm humans and/or animals.</t>
  </si>
  <si>
    <t>HfsCode_poisonousMushroom</t>
  </si>
  <si>
    <t>poisonousPlant</t>
  </si>
  <si>
    <t>Poisonous Plant</t>
  </si>
  <si>
    <t>Plants containing toxic substances that may harm humans and/or animals.</t>
  </si>
  <si>
    <t>HfsCode_poisonousPlant</t>
  </si>
  <si>
    <t>allParts</t>
  </si>
  <si>
    <t>All Parts</t>
  </si>
  <si>
    <t>The entire plant.</t>
  </si>
  <si>
    <t>DfpCode_allParts</t>
  </si>
  <si>
    <t>The exterior covering of a tree or a scrubby plant.</t>
  </si>
  <si>
    <t>DfpCode_bark</t>
  </si>
  <si>
    <t>blossom</t>
  </si>
  <si>
    <t>Blossom</t>
  </si>
  <si>
    <t>The flower of a plant.</t>
  </si>
  <si>
    <t>DfpCode_blossom</t>
  </si>
  <si>
    <t>bulb</t>
  </si>
  <si>
    <t>Bulb</t>
  </si>
  <si>
    <t>A subterranean bud sending off roots below and leaves above (as in the onion or lily).</t>
  </si>
  <si>
    <t>DfpCode_bulb</t>
  </si>
  <si>
    <t>cone</t>
  </si>
  <si>
    <t>Cone</t>
  </si>
  <si>
    <t>A strobilus , dry multiple fruit, such as that of the pines.</t>
  </si>
  <si>
    <t>DfpCode_cone</t>
  </si>
  <si>
    <t>fruit</t>
  </si>
  <si>
    <t>Fruit</t>
  </si>
  <si>
    <t>The edible succulent product of a plant within which the seeds are enclosed.</t>
  </si>
  <si>
    <t>Includes nuts and berries.</t>
  </si>
  <si>
    <t>DfpCode_fruit</t>
  </si>
  <si>
    <t>leafNeedle</t>
  </si>
  <si>
    <t>Leaf or Needle</t>
  </si>
  <si>
    <t>Expanded organs of plants that aid in photosynthesis, transpiration, and absorption of carbon dioxide from of the atmosphere.</t>
  </si>
  <si>
    <t>DfpCode_leafNeedle</t>
  </si>
  <si>
    <t>pollen</t>
  </si>
  <si>
    <t>Pollen</t>
  </si>
  <si>
    <t>The fertilizing powder discharged from the anthers of flowers or blossoms.</t>
  </si>
  <si>
    <t>DfpCode_pollen</t>
  </si>
  <si>
    <t>root</t>
  </si>
  <si>
    <t>Root</t>
  </si>
  <si>
    <t>The leafless part of a plant often descending into the ground , supporting stability and serving for nourishment.</t>
  </si>
  <si>
    <t>Tubers</t>
  </si>
  <si>
    <t>DfpCode_root</t>
  </si>
  <si>
    <t>sap</t>
  </si>
  <si>
    <t>Sap</t>
  </si>
  <si>
    <t>The watery juice or circulating fluid of living plants.</t>
  </si>
  <si>
    <t>DfpCode_sap</t>
  </si>
  <si>
    <t>seed</t>
  </si>
  <si>
    <t>Seed</t>
  </si>
  <si>
    <t>The nature fertilized ovule of a flowering plant.</t>
  </si>
  <si>
    <t>DfpCode_seed</t>
  </si>
  <si>
    <t>The fibrous substance of a tree or scrubby plant between the bark and the pith.</t>
  </si>
  <si>
    <t>DfpCode_wood</t>
  </si>
  <si>
    <t>poisonous</t>
  </si>
  <si>
    <t>Poisonous</t>
  </si>
  <si>
    <t>Contact or consumption leads to serious poisoning.</t>
  </si>
  <si>
    <t>DfdCode_poisonous</t>
  </si>
  <si>
    <t>stronglyPoisonous</t>
  </si>
  <si>
    <t>Strongly Poisonous</t>
  </si>
  <si>
    <t>Simple contact or consumption of very small quantities leads to dangerous or lethal poisoning (for example: defective vision or circulatory disturbance up to apnea and cardiac arrest).</t>
  </si>
  <si>
    <t>DfdCode_stronglyPoisonous</t>
  </si>
  <si>
    <t>weaklyPoisonous</t>
  </si>
  <si>
    <t>Weakly Poisonous</t>
  </si>
  <si>
    <t>Contact or consumption leads to minor adverse effects on health (for example: skin irritations or vomiting).</t>
  </si>
  <si>
    <t>DfdCode_weaklyPoisonous</t>
  </si>
  <si>
    <t>(Aeronautical Information Exchange Model (AIXM): '1')</t>
  </si>
  <si>
    <t>helicopterClass1</t>
  </si>
  <si>
    <t>Helicopter Class 1</t>
  </si>
  <si>
    <t>A helicopter with performance such that, in case of engine failure, it is able to land on the rejected take-off area or safely continue the flight to an appropriate landing area.</t>
  </si>
  <si>
    <t>HpcCode_helicopterClass1</t>
  </si>
  <si>
    <t>(Aeronautical Information Exchange Model (AIXM): '2')</t>
  </si>
  <si>
    <t>helicopterClass2</t>
  </si>
  <si>
    <t>Helicopter Class 2</t>
  </si>
  <si>
    <t>A helicopter with performance such that, in case of engine failure, it is able to safely continue the flight, except when the failure occurs prior to a defined point after take-off or after a defined point before landing, in which cases a forced landing may be required.</t>
  </si>
  <si>
    <t>HpcCode_helicopterClass2</t>
  </si>
  <si>
    <t>(Aeronautical Information Exchange Model (AIXM): '3')</t>
  </si>
  <si>
    <t>helicopterClass3</t>
  </si>
  <si>
    <t>Helicopter Class 3</t>
  </si>
  <si>
    <t>A helicopter with performance such that, in case of engine failure at any point in the flight profile, a forced landing must be performed.</t>
  </si>
  <si>
    <t>HpcCode_helicopterClass3</t>
  </si>
  <si>
    <t>An aerodrome or a defined place on a structure intended to be used wholly or in part for the arrival, departure, and/or surface movement of helicopters.</t>
  </si>
  <si>
    <t>HafCode_heliport</t>
  </si>
  <si>
    <t>hospital</t>
  </si>
  <si>
    <t>Hospital</t>
  </si>
  <si>
    <t>An institution or establishment providing inpatient medical or surgical treatment for the ill or wounded.</t>
  </si>
  <si>
    <t>HafCode_hospital</t>
  </si>
  <si>
    <t>landAerodrome</t>
  </si>
  <si>
    <t>HafCode_landAerodrome</t>
  </si>
  <si>
    <t>militaryInstallation</t>
  </si>
  <si>
    <t>An installation for military purposes.</t>
  </si>
  <si>
    <t>HafCode_militaryInstallation</t>
  </si>
  <si>
    <t>mobileOffshoreDrillUnit</t>
  </si>
  <si>
    <t>HafCode_mobileOffshoreDrillUnit</t>
  </si>
  <si>
    <t>nonHospitalBuilding</t>
  </si>
  <si>
    <t>Non-hospital Building</t>
  </si>
  <si>
    <t>A building or facility other than a hospital.</t>
  </si>
  <si>
    <t>HafCode_nonHospitalBuilding</t>
  </si>
  <si>
    <t>offshoreConstruction</t>
  </si>
  <si>
    <t>HafCode_offshoreConstruction</t>
  </si>
  <si>
    <t>rig</t>
  </si>
  <si>
    <t>HafCode_rig</t>
  </si>
  <si>
    <t>singlePointMooring</t>
  </si>
  <si>
    <t>HafCode_singlePointMooring</t>
  </si>
  <si>
    <t>waterAerodrome</t>
  </si>
  <si>
    <t>An installation supporting aircraft capable of taking off and landing on water.</t>
  </si>
  <si>
    <t>HafCode_waterAerodrome</t>
  </si>
  <si>
    <t>ancient</t>
  </si>
  <si>
    <t>Ancient</t>
  </si>
  <si>
    <t>Belonging to, and dating from, times long past.</t>
  </si>
  <si>
    <t>Generally of many hundreds, if not thousands, of years of age.</t>
  </si>
  <si>
    <t>HssCode_ancient</t>
  </si>
  <si>
    <t>battlefield</t>
  </si>
  <si>
    <t>Battlefield</t>
  </si>
  <si>
    <t>The site of a land battle of historic importance.</t>
  </si>
  <si>
    <t>HssCode_battlefield</t>
  </si>
  <si>
    <t>Designated as historic by a recognized authority.</t>
  </si>
  <si>
    <t>Generally of only a few hundred years of age or less.</t>
  </si>
  <si>
    <t>HssCode_historic</t>
  </si>
  <si>
    <t>A site that has significance because of its association with an historic military event or activity other than a specific battle and its associated battlefield.</t>
  </si>
  <si>
    <t>For example, the (US) WWII Memorial, the (US) Vietnam Memorial, the (US) Marine Corps Memorial, Trafalger Square, the Arc d'Triomphe, and historical military facilities such as Hadrian's Wall, the Great Wall of China, and (US) Ft. McHenry.</t>
  </si>
  <si>
    <t>HssCode_military</t>
  </si>
  <si>
    <t>A site that has significance because of its general importance to a nation.</t>
  </si>
  <si>
    <t>For example, the Statue of Liberty, the St. Louis Arch, the Brandenburg Gate, and Westminster Abbey.</t>
  </si>
  <si>
    <t>HssCode_national</t>
  </si>
  <si>
    <t>notSignificant</t>
  </si>
  <si>
    <t>Not Significant</t>
  </si>
  <si>
    <t>Not ancient or otherwise of historic significance.</t>
  </si>
  <si>
    <t>HssCode_notSignificant</t>
  </si>
  <si>
    <t>A site that has significance because of its association with an historic political event or activity.</t>
  </si>
  <si>
    <t>For example, Lenin's Tomb, the Watergate Hotel, and Fords Theater.</t>
  </si>
  <si>
    <t>HssCode_political</t>
  </si>
  <si>
    <t>A site that has significance because of its association with a religious event or activity.</t>
  </si>
  <si>
    <t>For example, the Western Wall, the Jordan River, and Lourdes.</t>
  </si>
  <si>
    <t>HssCode_religious</t>
  </si>
  <si>
    <t>(Aeronautical Information Exchange Model (AIXM): 'ENR')</t>
  </si>
  <si>
    <t>enRoute</t>
  </si>
  <si>
    <t>En-route</t>
  </si>
  <si>
    <t>En-route phase of flight.</t>
  </si>
  <si>
    <t>HpyCode_enRoute</t>
  </si>
  <si>
    <t>(Aeronautical Information Exchange Model (AIXM): 'TER')</t>
  </si>
  <si>
    <t>terminalArea</t>
  </si>
  <si>
    <t>Terminal Area</t>
  </si>
  <si>
    <t>Departure, Arrival, and Approach phases of flight.</t>
  </si>
  <si>
    <t>HpyCode_terminalArea</t>
  </si>
  <si>
    <t>Exactly Defined</t>
  </si>
  <si>
    <t>AccCode_accurate</t>
  </si>
  <si>
    <t>Poorly Defined</t>
  </si>
  <si>
    <t>AccCode_approximate</t>
  </si>
  <si>
    <t>Fails to meet specified accuracy requirements and is probably not sufficiently accurate for most uses.</t>
  </si>
  <si>
    <t>AccCode_doubtful</t>
  </si>
  <si>
    <t>precise</t>
  </si>
  <si>
    <t>Precise</t>
  </si>
  <si>
    <t>Exceeds specified accuracy requirements.</t>
  </si>
  <si>
    <t>AccCode_precise</t>
  </si>
  <si>
    <t>abduction</t>
  </si>
  <si>
    <t>Abduction</t>
  </si>
  <si>
    <t>The act of illegally carrying off or leading away a person.</t>
  </si>
  <si>
    <t>Generally with the purpose of coercion.</t>
  </si>
  <si>
    <t>IdtCode_abduction</t>
  </si>
  <si>
    <t>ambush</t>
  </si>
  <si>
    <t>Ambush</t>
  </si>
  <si>
    <t>A surprise attack from concealment.</t>
  </si>
  <si>
    <t>IdtCode_ambush</t>
  </si>
  <si>
    <t>armedRobbery</t>
  </si>
  <si>
    <t>Armed Robbery</t>
  </si>
  <si>
    <t>An armed attack against a property or individual for financial gain.</t>
  </si>
  <si>
    <t>IdtCode_armedRobbery</t>
  </si>
  <si>
    <t>blockade</t>
  </si>
  <si>
    <t>Blockade</t>
  </si>
  <si>
    <t>An act of intent to block the passage of vehicles and/or people.</t>
  </si>
  <si>
    <t>Generally done by any available movable materials (for example: cars or building materials) causing an obstruction for transportation network or buildings.</t>
  </si>
  <si>
    <t>IdtCode_blockade</t>
  </si>
  <si>
    <t>cbrnAttack</t>
  </si>
  <si>
    <t>CBRN Attack</t>
  </si>
  <si>
    <t>Chemical, Biological, Radiological, or Nuclear (CBRN) attack.</t>
  </si>
  <si>
    <t>IdtCode_cbrnAttack</t>
  </si>
  <si>
    <t>directFire</t>
  </si>
  <si>
    <t>Direct Fire</t>
  </si>
  <si>
    <t>Direct enemy fire with hand guns (for example pistols and/or rifles) or anti-tank weapons (RPG).</t>
  </si>
  <si>
    <t>IdtCode_directFire</t>
  </si>
  <si>
    <t>hijacking</t>
  </si>
  <si>
    <t>Hijacking</t>
  </si>
  <si>
    <t>The act of seizing control of a means of transport by force.</t>
  </si>
  <si>
    <t>IdtCode_hijacking</t>
  </si>
  <si>
    <t>hostageTaking</t>
  </si>
  <si>
    <t>Hostage Taking</t>
  </si>
  <si>
    <t>The act of holding people in a place against their will.</t>
  </si>
  <si>
    <t>Always with the purpose of coercion gain on negociation.</t>
  </si>
  <si>
    <t>IdtCode_hostageTaking</t>
  </si>
  <si>
    <t>improvisedExplosiveDevice</t>
  </si>
  <si>
    <t>Improvised Explosive Device (IED)</t>
  </si>
  <si>
    <t>The explosion of an Improvised Explosive Device (IED).</t>
  </si>
  <si>
    <t>A bomb constructed and deployed in ways other than in conventional military action. It may be partially comprised of conventional military explosives, such as an artillery round, attached to a detonating mechanism.</t>
  </si>
  <si>
    <t>IdtCode_improvisedExplosiveDevice</t>
  </si>
  <si>
    <t>indirectFire</t>
  </si>
  <si>
    <t>Indirect Fire</t>
  </si>
  <si>
    <t>Indirect enemy fire usually by artillery, mortar and/or missiles.</t>
  </si>
  <si>
    <t>IdtCode_indirectFire</t>
  </si>
  <si>
    <t>landmine</t>
  </si>
  <si>
    <t>Landmine</t>
  </si>
  <si>
    <t>The explosion of land mines.</t>
  </si>
  <si>
    <t>IdtCode_landmine</t>
  </si>
  <si>
    <t>protest</t>
  </si>
  <si>
    <t>Protest</t>
  </si>
  <si>
    <t>A planned public gathering with the aim of objecting to a specific issue or promoting a set of opinions or beliefs.</t>
  </si>
  <si>
    <t>IdtCode_protest</t>
  </si>
  <si>
    <t>ramraiding</t>
  </si>
  <si>
    <t>Ramraiding</t>
  </si>
  <si>
    <t>The use of a vehicle to cause damage.</t>
  </si>
  <si>
    <t>Usually with the aim of gaining access.</t>
  </si>
  <si>
    <t>IdtCode_ramraiding</t>
  </si>
  <si>
    <t>riot</t>
  </si>
  <si>
    <t>Riot</t>
  </si>
  <si>
    <t>A violent public disorder.</t>
  </si>
  <si>
    <t>Usually involving a large crowd.</t>
  </si>
  <si>
    <t>IdtCode_riot</t>
  </si>
  <si>
    <t>sniper</t>
  </si>
  <si>
    <t>Sniper</t>
  </si>
  <si>
    <t>An attack from a concealed shooter.</t>
  </si>
  <si>
    <t>IdtCode_sniper</t>
  </si>
  <si>
    <t>suicideBomber</t>
  </si>
  <si>
    <t>Suicide Bomber</t>
  </si>
  <si>
    <t>An individual intent on taking their own life while causing maximal collateral damage.</t>
  </si>
  <si>
    <t>IdtCode_suicideBomber</t>
  </si>
  <si>
    <t>terroristAttack</t>
  </si>
  <si>
    <t>Terrorist Attack</t>
  </si>
  <si>
    <t>A violent attack on the public with the goal of coercing the community or government.</t>
  </si>
  <si>
    <t>IdtCode_terroristAttack</t>
  </si>
  <si>
    <t>tribalConflicts</t>
  </si>
  <si>
    <t>Tribal Conflicts</t>
  </si>
  <si>
    <t>A violent conflict between local groups.</t>
  </si>
  <si>
    <t>Usually an autonomous ethnic group defined by linguistic and cultural characteristics.</t>
  </si>
  <si>
    <t>IdtCode_tribalConflicts</t>
  </si>
  <si>
    <t>uXO</t>
  </si>
  <si>
    <t>Unexploded Devices (UXO)</t>
  </si>
  <si>
    <t>Location where unexploded devices (for example grenades, bombs and/or ammunition) except mines were found.</t>
  </si>
  <si>
    <t>IdtCode_uXO</t>
  </si>
  <si>
    <t>utilityDisruption</t>
  </si>
  <si>
    <t>Utility Disruption</t>
  </si>
  <si>
    <t>The act of sabotaging the network of utility.</t>
  </si>
  <si>
    <t>Includes jamming electronic communication.</t>
  </si>
  <si>
    <t>IdtCode_utilityDisruption</t>
  </si>
  <si>
    <t>vandalism</t>
  </si>
  <si>
    <t>Vandalism</t>
  </si>
  <si>
    <t>Wilful or malicious destruction or damage to goods or property.</t>
  </si>
  <si>
    <t>IdtCode_vandalism</t>
  </si>
  <si>
    <t>waterContamination</t>
  </si>
  <si>
    <t>Water Contamination</t>
  </si>
  <si>
    <t>The act of poisoning the water distribution network.</t>
  </si>
  <si>
    <t>IdtCode_waterContamination</t>
  </si>
  <si>
    <t>cathedral</t>
  </si>
  <si>
    <t>Cathedral</t>
  </si>
  <si>
    <t>A large, imposing building functioning as a place of worship.</t>
  </si>
  <si>
    <t>HwtCode_cathedral</t>
  </si>
  <si>
    <t>chapel</t>
  </si>
  <si>
    <t>Chapel</t>
  </si>
  <si>
    <t>A Christian place of worship, usually smaller than a church, and especially one that is attached to a larger building (for example: a private house and/or an institution).</t>
  </si>
  <si>
    <t>HwtCode_chapel</t>
  </si>
  <si>
    <t>church</t>
  </si>
  <si>
    <t>Church</t>
  </si>
  <si>
    <t>A building functioning as a place of worship for public, especially Christian, worship.</t>
  </si>
  <si>
    <t>HwtCode_church</t>
  </si>
  <si>
    <t>marabout</t>
  </si>
  <si>
    <t>Marabout</t>
  </si>
  <si>
    <t>A shrine marking the burial place of an Islamic holy man.</t>
  </si>
  <si>
    <t>HwtCode_marabout</t>
  </si>
  <si>
    <t>A tall tower or turret connected with a mosque and surrounded by one or more projecting balconies from which a muezzin calls at hours of prayer.</t>
  </si>
  <si>
    <t>HwtCode_minaret</t>
  </si>
  <si>
    <t>mosque</t>
  </si>
  <si>
    <t>Mosque</t>
  </si>
  <si>
    <t>An Islamic place of worship.</t>
  </si>
  <si>
    <t>Masjid</t>
  </si>
  <si>
    <t>HwtCode_mosque</t>
  </si>
  <si>
    <t>pagoda</t>
  </si>
  <si>
    <t>Pagoda</t>
  </si>
  <si>
    <t>A Hindu or Buddhist temple or sacred building, usually in the form of a many-tiered tower with stories of diminishing size, each with an ornamented projecting roof.</t>
  </si>
  <si>
    <t>HwtCode_pagoda</t>
  </si>
  <si>
    <t>religiousCommunity</t>
  </si>
  <si>
    <t>Religious Community</t>
  </si>
  <si>
    <t>A set of dwellings, buildings, and/or other structures that houses a community under religious vows.</t>
  </si>
  <si>
    <t>For example, a monastery or a convent.</t>
  </si>
  <si>
    <t>HwtCode_religiousCommunity</t>
  </si>
  <si>
    <t>shrine</t>
  </si>
  <si>
    <t>Shrine</t>
  </si>
  <si>
    <t>A place of worship or devotion to a saint or deity.</t>
  </si>
  <si>
    <t>HwtCode_shrine</t>
  </si>
  <si>
    <t>stupa</t>
  </si>
  <si>
    <t>Stupa</t>
  </si>
  <si>
    <t>A round, usually dome-shaped, Buddhist shrine topped with a cupola.</t>
  </si>
  <si>
    <t>HwtCode_stupa</t>
  </si>
  <si>
    <t>synagogue</t>
  </si>
  <si>
    <t>Synagogue</t>
  </si>
  <si>
    <t>A place for Jewish worship and religious instruction.</t>
  </si>
  <si>
    <t>HwtCode_synagogue</t>
  </si>
  <si>
    <t>tabernacle</t>
  </si>
  <si>
    <t>Tabernacle</t>
  </si>
  <si>
    <t>A church that has been specially designated by religious authority.</t>
  </si>
  <si>
    <t>HwtCode_tabernacle</t>
  </si>
  <si>
    <t>temple</t>
  </si>
  <si>
    <t>Temple</t>
  </si>
  <si>
    <t>A building regarded primarily as the dwelling-place, or devoted to the worship, of a god or gods.</t>
  </si>
  <si>
    <t>HwtCode_temple</t>
  </si>
  <si>
    <t>A permanently moored floating structure (for example: an old ship) that is used for accommodation.</t>
  </si>
  <si>
    <t>For example, as a hotel or for temporary housing.</t>
  </si>
  <si>
    <t>HlkCode_accommodation</t>
  </si>
  <si>
    <t>casino</t>
  </si>
  <si>
    <t>Casino</t>
  </si>
  <si>
    <t>A permanently moored floating structure (for example: a specially constructed barge) that is used for gambling, often including other amenities.</t>
  </si>
  <si>
    <t>HlkCode_casino</t>
  </si>
  <si>
    <t>derelict</t>
  </si>
  <si>
    <t>Derelict</t>
  </si>
  <si>
    <t>A ship that has been abandoned at sea.</t>
  </si>
  <si>
    <t>It may be large enough to constitute a menace to navigation.</t>
  </si>
  <si>
    <t>HlkCode_derelict</t>
  </si>
  <si>
    <t>floatingBreakwater</t>
  </si>
  <si>
    <t>Floating Breakwater</t>
  </si>
  <si>
    <t>A permanently moored floating structure, often constructed from old ships, used as a breakwater.</t>
  </si>
  <si>
    <t>HlkCode_floatingBreakwater</t>
  </si>
  <si>
    <t>floatingRestaurant</t>
  </si>
  <si>
    <t>Floating Restaurant</t>
  </si>
  <si>
    <t>A permanently moored floating structure (for example: an old ship) that is used as a restaurant.</t>
  </si>
  <si>
    <t>HlkCode_floatingRestaurant</t>
  </si>
  <si>
    <t>historicShip</t>
  </si>
  <si>
    <t>Historic Ship</t>
  </si>
  <si>
    <t>A ship of historical interest permanently moored as a tourist attraction.</t>
  </si>
  <si>
    <t>HlkCode_historicShip</t>
  </si>
  <si>
    <t>A permanently moored floating structure (for example: an old ship) that is used as an institution or establishment providing inpatient medical or surgical treatment for the ill or wounded.</t>
  </si>
  <si>
    <t>HlkCode_hospital</t>
  </si>
  <si>
    <t>A permanently moored floating structure that is used as an establishment, especially of a comfortable or luxurious kind, where paying visitors are provided with accommodation, meals, and/or other services.</t>
  </si>
  <si>
    <t>HlkCode_hotel</t>
  </si>
  <si>
    <t>A permanently moored floating structure (for example: an old ship) that is used as a museum.</t>
  </si>
  <si>
    <t>HlkCode_museum</t>
  </si>
  <si>
    <t>storage</t>
  </si>
  <si>
    <t>Storage</t>
  </si>
  <si>
    <t>A permanently moored floating structure (for example: an old ship) that is used for the storage of products and/or supplies.</t>
  </si>
  <si>
    <t>HlkCode_storage</t>
  </si>
  <si>
    <t>temporaryHousing</t>
  </si>
  <si>
    <t>Temporary Housing</t>
  </si>
  <si>
    <t>A permanently moored floating structure (for example: an old ship) that is used for relatively temporary occupancy.</t>
  </si>
  <si>
    <t>For example, to house military personnel.</t>
  </si>
  <si>
    <t>HlkCode_temporaryHousing</t>
  </si>
  <si>
    <t>developing</t>
  </si>
  <si>
    <t>Developing</t>
  </si>
  <si>
    <t>HDI less than 0.8 and greater than or equal to 0.5, indicating a relatively low level industrialization, and with insufficient ecological structure.</t>
  </si>
  <si>
    <t>DneCode_developing</t>
  </si>
  <si>
    <t>highDevelopment</t>
  </si>
  <si>
    <t>High Development</t>
  </si>
  <si>
    <t>HDI greater than or equal to 0.8, indicating a highly industrialized country with a relatively high per capita income.</t>
  </si>
  <si>
    <t>DneCode_highDevelopment</t>
  </si>
  <si>
    <t>highestDevelopment</t>
  </si>
  <si>
    <t>Highest Development</t>
  </si>
  <si>
    <t>HDI greater than or equal to 0.8, indicating a highly industrialized country, but with a very high per capita income.</t>
  </si>
  <si>
    <t>DneCode_highestDevelopment</t>
  </si>
  <si>
    <t>lowDevelopment</t>
  </si>
  <si>
    <t>Low Development</t>
  </si>
  <si>
    <t>HDI less than 0.5, indicating a developing country with no significant industrialization, and with wide spread poverty below the subsistence level.</t>
  </si>
  <si>
    <t>DneCode_lowDevelopment</t>
  </si>
  <si>
    <t>rapidDevelopment</t>
  </si>
  <si>
    <t>Rapid Development</t>
  </si>
  <si>
    <t>HDI roughly equal to 0.8, indicating a developing industrialized country, but with only a medium per capita income.</t>
  </si>
  <si>
    <t>DneCode_rapidDevelopment</t>
  </si>
  <si>
    <t>Superficial damage to the skin, generally not penetrating deeper than the epidermis.</t>
  </si>
  <si>
    <t>HhaCode_abrasion</t>
  </si>
  <si>
    <t>biological</t>
  </si>
  <si>
    <t>Biological</t>
  </si>
  <si>
    <t>Marine life that pose hazards to man by direct contact (for example: jellyfish and sponges), injection (for example: stingrays and scorpionfish), by indirect contact with toxins produced by microorganisms (for example: pfiesteria and prorocentrum) or by predatorial animals (for example: sharks and barracudas).</t>
  </si>
  <si>
    <t>Waste and foreign species discharged in ballast water from ships (when purging procedures are not followed) are also considered a biological hazard.</t>
  </si>
  <si>
    <t>HhaCode_biological</t>
  </si>
  <si>
    <t>drowning</t>
  </si>
  <si>
    <t>Drowning</t>
  </si>
  <si>
    <t>Death caused by the filling of the lungs by a liquid causing the interruption of the body's exchange of oxygen from the air leading to asphyxia.</t>
  </si>
  <si>
    <t>HhaCode_drowning</t>
  </si>
  <si>
    <t>entanglement</t>
  </si>
  <si>
    <t>Entanglement</t>
  </si>
  <si>
    <t>The situation of being physically unable to exit a site due to snagging and/or by being hampered by clothing or equipment.</t>
  </si>
  <si>
    <t>HhaCode_entanglement</t>
  </si>
  <si>
    <t>puncture</t>
  </si>
  <si>
    <t>Puncture</t>
  </si>
  <si>
    <t>Surfaces and/or protrusions are present that would puncture a person and/or their equipment under normal contact.</t>
  </si>
  <si>
    <t>HhaCode_puncture</t>
  </si>
  <si>
    <t>slipping</t>
  </si>
  <si>
    <t>Slipping</t>
  </si>
  <si>
    <t>The area is susceptible to slick conditions and tripping hazards.</t>
  </si>
  <si>
    <t>For example, where algae is growing on a rock and a slip hazard exists.</t>
  </si>
  <si>
    <t>HhaCode_slipping</t>
  </si>
  <si>
    <t>americanRedCross</t>
  </si>
  <si>
    <t>American Red Cross</t>
  </si>
  <si>
    <t>A territorial region where humanitarian relief is provided under the administrative control of the American Red Cross.</t>
  </si>
  <si>
    <t>The American Red Cross is a volunteer-led humanitarian organization providing relief to victims of disaster and helping people prevent, prepare for, and respond to emergencies. It operates by Congressional Charter in accordance with the treaties of Geneva, August 22, 1864, July 27, 1929, and August 12, 1949, establishing the Fundamental Principles of the International Red Cross Movement.</t>
  </si>
  <si>
    <t>HraCode_americanRedCross</t>
  </si>
  <si>
    <t>highestHighWater</t>
  </si>
  <si>
    <t>Highest High Water</t>
  </si>
  <si>
    <t>The highest water level observed at a location.</t>
  </si>
  <si>
    <t>HbrCode_highestHighWater</t>
  </si>
  <si>
    <t>indianSpringHighWater</t>
  </si>
  <si>
    <t>Indian Spring High Water</t>
  </si>
  <si>
    <t>A tidal surface datum approximating the level of the mean of the higher high water at spring tides.</t>
  </si>
  <si>
    <t>HbrCode_indianSpringHighWater</t>
  </si>
  <si>
    <t>meanHighWater</t>
  </si>
  <si>
    <t>Mean High Water</t>
  </si>
  <si>
    <t>The average height of all high waters at a location over a 19-year period.</t>
  </si>
  <si>
    <t>HbrCode_meanHighWater</t>
  </si>
  <si>
    <t>meanHighWaterSprings</t>
  </si>
  <si>
    <t>Mean High Water Springs</t>
  </si>
  <si>
    <t>The average height of the high waters of spring tides.</t>
  </si>
  <si>
    <t>HbrCode_meanHighWaterSprings</t>
  </si>
  <si>
    <t>meanHigherHighWater</t>
  </si>
  <si>
    <t>Mean Higher High Water</t>
  </si>
  <si>
    <t>The average height of higher high waters at a location over a 19-year period.</t>
  </si>
  <si>
    <t>HbrCode_meanHigherHighWater</t>
  </si>
  <si>
    <t>meanHigherHighWaterSprings</t>
  </si>
  <si>
    <t>Mean Higher High Water Springs</t>
  </si>
  <si>
    <t>The average height of higher high water at spring tides at a location.</t>
  </si>
  <si>
    <t>HbrCode_meanHigherHighWaterSprings</t>
  </si>
  <si>
    <t>meanSeaLevel</t>
  </si>
  <si>
    <t>Mean Sea Level</t>
  </si>
  <si>
    <t>The average height of the sea at a tide station measured from a fixed predetermined reference level.</t>
  </si>
  <si>
    <t>HbrCode_meanSeaLevel</t>
  </si>
  <si>
    <t>ialaRegionA</t>
  </si>
  <si>
    <t>IALA Region A</t>
  </si>
  <si>
    <t>Conforms to the International Association of Marine Aids to Navigation and Lighthouse Authorities (IALA) A system.</t>
  </si>
  <si>
    <t>NscCode_ialaRegionA</t>
  </si>
  <si>
    <t>ialaRegionB</t>
  </si>
  <si>
    <t>IALA Region B</t>
  </si>
  <si>
    <t>Conforms to the International Association of Marine Aids to Navigation and Lighthouse Authorities (IALA) B system.</t>
  </si>
  <si>
    <t>NscCode_ialaRegionB</t>
  </si>
  <si>
    <t>noSystem</t>
  </si>
  <si>
    <t>No System</t>
  </si>
  <si>
    <t>Navigational aids do not conform to any defined system.</t>
  </si>
  <si>
    <t>NscCode_noSystem</t>
  </si>
  <si>
    <t>signi</t>
  </si>
  <si>
    <t>SIGNI</t>
  </si>
  <si>
    <t>Conforms to the UN Economic Commission for Europe Signs and Signals on Inland Waterways (SIGNI) system.</t>
  </si>
  <si>
    <t>UN ECE TRANS/SC.3/108 as amended by resolution No. 29 (TRANS/SC.3/108/Add.1).</t>
  </si>
  <si>
    <t>NscCode_signi</t>
  </si>
  <si>
    <t>usIntracoastalWaterway</t>
  </si>
  <si>
    <t>US Intracoastal Waterway</t>
  </si>
  <si>
    <t>Conforms to the US Intracoastal Waterway system (ICW), which runs from Manasquan Inlet in New Jersey to the Florida Keys, then north along the west coast of Florida and west along the Gulf coast to Brownsville, Texas at the Mexican border.</t>
  </si>
  <si>
    <t>NscCode_usIntracoastalWaterway</t>
  </si>
  <si>
    <t>usUniformState</t>
  </si>
  <si>
    <t>US Uniform State</t>
  </si>
  <si>
    <t>Conforms to the US Uniform State Waterway Marking System (USWMS), which covers inland boating.</t>
  </si>
  <si>
    <t>NscCode_usUniformState</t>
  </si>
  <si>
    <t>usWesternRivers</t>
  </si>
  <si>
    <t>US Western Rivers</t>
  </si>
  <si>
    <t>Conforms to the US Western Rivers system, which includes the Mississippi river and its tributaries.</t>
  </si>
  <si>
    <t>NscCode_usWesternRivers</t>
  </si>
  <si>
    <t>dry</t>
  </si>
  <si>
    <t>Dry</t>
  </si>
  <si>
    <t>Filled and/or flowing infrequently, generally only during and/or immediately after heavy precipitation.</t>
  </si>
  <si>
    <t>The waterbody is often vegetated (for example: with shrubs); such a streambed in the Southwestern United States is termed a 'derramadero'.</t>
  </si>
  <si>
    <t>HypCode_dry</t>
  </si>
  <si>
    <t>ephemeral</t>
  </si>
  <si>
    <t>Ephemeral</t>
  </si>
  <si>
    <t>Filled and/or flowing during and immediately after precipitation.</t>
  </si>
  <si>
    <t>HypCode_ephemeral</t>
  </si>
  <si>
    <t>Filled and/or flowing for part of the year.</t>
  </si>
  <si>
    <t>HypCode_intermittent</t>
  </si>
  <si>
    <t>perennial</t>
  </si>
  <si>
    <t>Perennial</t>
  </si>
  <si>
    <t>Filled and/or flowing continuously throughout the year as its bed lies below the water table.</t>
  </si>
  <si>
    <t>HypCode_perennial</t>
  </si>
  <si>
    <t>hyperbolicAboveBottom</t>
  </si>
  <si>
    <t>Hyperbolic above Bottom</t>
  </si>
  <si>
    <t>Regular overlapping hyperbolae with varying vertex elevations above the sea floor.</t>
  </si>
  <si>
    <t>RetCode_hyperbolicAboveBottom</t>
  </si>
  <si>
    <t>hyperbolicAtBottom</t>
  </si>
  <si>
    <t>Hyperbolic at Bottom</t>
  </si>
  <si>
    <t>Regular hyperbolae with vertices tangent to the sea floor.</t>
  </si>
  <si>
    <t>RetCode_hyperbolicAtBottom</t>
  </si>
  <si>
    <t>hyperbolicBelowBottom</t>
  </si>
  <si>
    <t>Hyperbolic below Bottom</t>
  </si>
  <si>
    <t>Regular hyperbolae with vertices tangent to the sub-bottom of the sea floor.</t>
  </si>
  <si>
    <t>RetCode_hyperbolicBelowBottom</t>
  </si>
  <si>
    <t>approxAuxiliaryContour</t>
  </si>
  <si>
    <t>Approximate Auxiliary Contour</t>
  </si>
  <si>
    <t>A contour line substituted for a normal auxiliary contour line whenever there is a question as to its reliability (for example: due to glacial ice or cloud cover).</t>
  </si>
  <si>
    <t>It is typically depicted as a broken line while maintaining auxiliary contour line weight.</t>
  </si>
  <si>
    <t>Indefinite Auxiliary Contour, Approximate Supplementary Contour, Indefinite Supplementary Contour</t>
  </si>
  <si>
    <t>HqcCode_approxAuxiliaryContour</t>
  </si>
  <si>
    <t>approxDepAuxiliaryContour</t>
  </si>
  <si>
    <t>Approximate Depression Auxiliary Contour</t>
  </si>
  <si>
    <t>A closed contour line substituted for a normal depression auxiliary contour line whenever there is a question as to its reliability (for example: due to glacial ice or cloud cover).</t>
  </si>
  <si>
    <t>It is typically depicted as a broken line while maintaining depression auxiliary contour line weight and associated perpendicular ticks.</t>
  </si>
  <si>
    <t>Indefinite Depression Auxiliary Contour, Approximate Depression Supplementary Contour, Indefinite Depression Supplementary Contour</t>
  </si>
  <si>
    <t>HqcCode_approxDepAuxiliaryContour</t>
  </si>
  <si>
    <t>approxDepIndexContour</t>
  </si>
  <si>
    <t>Approximate Depression Index Contour</t>
  </si>
  <si>
    <t>A closed contour line substituted for a normal depression index contour line whenever there is a question as to its reliability (for example: due to glacial ice or cloud cover).</t>
  </si>
  <si>
    <t>It is typically depicted as a broken line while maintaining depression index contour line weight and associated perpendicular ticks.</t>
  </si>
  <si>
    <t>Indefinite Depression Index Contour</t>
  </si>
  <si>
    <t>HqcCode_approxDepIndexContour</t>
  </si>
  <si>
    <t>approxDepIntermedContour</t>
  </si>
  <si>
    <t>Approximate Depression Intermediate Contour</t>
  </si>
  <si>
    <t>It is typically depicted as a broken line while maintaining depression intermediate contour line weight and associated perpendicular ticks.</t>
  </si>
  <si>
    <t>Indefinite Depression Intermediate Contour</t>
  </si>
  <si>
    <t>HqcCode_approxDepIntermedContour</t>
  </si>
  <si>
    <t>approxIndexContour</t>
  </si>
  <si>
    <t>Approximate Index Contour</t>
  </si>
  <si>
    <t>A contour line substituted for a normal index contour line whenever there is a question as to its reliability (for example: due to glacial ice or cloud cover).</t>
  </si>
  <si>
    <t>It is typically depicted as a broken line while maintaining index contour line weight.</t>
  </si>
  <si>
    <t>Indefinite Index Contour</t>
  </si>
  <si>
    <t>HqcCode_approxIndexContour</t>
  </si>
  <si>
    <t>approxIntermediateContour</t>
  </si>
  <si>
    <t>Approximate Intermediate Contour</t>
  </si>
  <si>
    <t>A contour line substituted for a normal intermediate contour line whenever there is a question as to its reliability (for example: due to glacial ice or cloud cover).</t>
  </si>
  <si>
    <t>It is typically depicted as a broken line while maintaining intermediate contour line weight.</t>
  </si>
  <si>
    <t>Indefinite Intermediate Contour</t>
  </si>
  <si>
    <t>HqcCode_approxIntermediateContour</t>
  </si>
  <si>
    <t>auxiliaryCarryingContour</t>
  </si>
  <si>
    <t>Auxiliary Carrying Contour</t>
  </si>
  <si>
    <t>A single contour line representing two or more auxiliary contour lines with different elevation values.</t>
  </si>
  <si>
    <t>A carrying contour is used to portray a terrain area of steep (near vertical) slope (for example: a cliff).</t>
  </si>
  <si>
    <t>Auxiliary Coincident Contour, Supplementary Coincident Contour, Supplementary Carrying Contour</t>
  </si>
  <si>
    <t>HqcCode_auxiliaryCarryingContour</t>
  </si>
  <si>
    <t>auxiliaryContour</t>
  </si>
  <si>
    <t>Auxiliary Contour</t>
  </si>
  <si>
    <t>A contour line that is used to portray important relief characteristics that would not otherwise be shown by index and intermediate contour lines.</t>
  </si>
  <si>
    <t>It is used in areas of extremely low relief (for example: in flat areas such as the North American Prairies) to assist the proper depiction of the slope of the land. An auxilary contour line is typically depicted as a screened line so that it is distinguishable from index and intermediate contour lines and not unduly prominent.</t>
  </si>
  <si>
    <t>Supplementary Contour</t>
  </si>
  <si>
    <t>HqcCode_auxiliaryContour</t>
  </si>
  <si>
    <t>connectorLine</t>
  </si>
  <si>
    <t>Connector Line</t>
  </si>
  <si>
    <t>An arbitrary connecting line in a network of contour lines that is used to define regions of 'no data' or irreconcilable source data.</t>
  </si>
  <si>
    <t>Its creation establishes a region of elevations as a single polygon within the contour line network.</t>
  </si>
  <si>
    <t>HqcCode_connectorLine</t>
  </si>
  <si>
    <t>depressionAuxiliaryContour</t>
  </si>
  <si>
    <t>Depression Auxiliary Contour</t>
  </si>
  <si>
    <t>A closed auxiliary contour line delimiting an area of lower elevation than the surrounding terrain (a terrain depression) out of which there is no surface drainage and is used to portray important relief characteristics that would not otherwise be shown by depression index and depression intermediate contour lines.</t>
  </si>
  <si>
    <t>It is used in terrain depressions of extremely low relief to assist the proper depiction of the slope of the land. It is typically depicted with perpendicular ticks on the descending side of the depression auxiliary contour line and as a screened line so that it is distinguishable from depression index and depression intermediate contour lines and not unduly prominent.</t>
  </si>
  <si>
    <t>Depression Supplementary Contour</t>
  </si>
  <si>
    <t>HqcCode_depressionAuxiliaryContour</t>
  </si>
  <si>
    <t>depressionIndexContour</t>
  </si>
  <si>
    <t>Depression Index Contour</t>
  </si>
  <si>
    <t>A closed index contour line delimiting an area of lower elevation than the surrounding terrain (a terrain depression) out of which there is no surface drainage.</t>
  </si>
  <si>
    <t>It is typically depicted with perpendicular ticks on the descending side of the depression index contour line, while maintaining index contour line weight.</t>
  </si>
  <si>
    <t>HqcCode_depressionIndexContour</t>
  </si>
  <si>
    <t>depressionIntermedContour</t>
  </si>
  <si>
    <t>Depression Intermediate Contour</t>
  </si>
  <si>
    <t>A closed intermediate contour line delimiting an area of lower elevation than the surrounding terrain (a terrain depression) out of which there is no surface drainage.</t>
  </si>
  <si>
    <t>It is typically depicted with perpendicular ticks on the descending side of the depression intermediate contour line, while maintaining intermediate contour line weight.</t>
  </si>
  <si>
    <t>HqcCode_depressionIntermedContour</t>
  </si>
  <si>
    <t>formLine</t>
  </si>
  <si>
    <t>Form Line</t>
  </si>
  <si>
    <t>A line depicting the estimated configuration of elevations between contour lines.</t>
  </si>
  <si>
    <t>HqcCode_formLine</t>
  </si>
  <si>
    <t>halfAuxiliaryContour</t>
  </si>
  <si>
    <t>Half Auxiliary Contour</t>
  </si>
  <si>
    <t>An auxiliary contour line with one half the contour interval between intermediate contour lines.</t>
  </si>
  <si>
    <t>For example, a 20 metre intermediate contour interval and a 10 metre auxiliary contour interval.</t>
  </si>
  <si>
    <t>Half Supplementary Contour</t>
  </si>
  <si>
    <t>HqcCode_halfAuxiliaryContour</t>
  </si>
  <si>
    <t>indexCarryingContour</t>
  </si>
  <si>
    <t>Index Carrying Contour</t>
  </si>
  <si>
    <t>A single contour line representing an index contour line and one or more other index or intermediate contour lines with different elevation values.</t>
  </si>
  <si>
    <t>Index Coincident Contour</t>
  </si>
  <si>
    <t>HqcCode_indexCarryingContour</t>
  </si>
  <si>
    <t>indexContour</t>
  </si>
  <si>
    <t>Index Contour</t>
  </si>
  <si>
    <t>An accentuated subset of the contour lines, typically every fourth or fifth contour line depending on the contour interval, as an aid in identifying contour lines of different elevations.</t>
  </si>
  <si>
    <t>It is typically depicted by increased line weight. With few exceptions, index contour lines are continuous throughout a map even though the contour lines may coalesce (to carrying contour lines) because of steep slopes.</t>
  </si>
  <si>
    <t>HqcCode_indexContour</t>
  </si>
  <si>
    <t>intermedCarryingContour</t>
  </si>
  <si>
    <t>Intermediate Carrying Contour</t>
  </si>
  <si>
    <t>A single contour line representing an intermediate contour line and one or more other intermediate or auxiliary contour lines with different elevation values.</t>
  </si>
  <si>
    <t>Intermediate Coincident Contour</t>
  </si>
  <si>
    <t>HqcCode_intermedCarryingContour</t>
  </si>
  <si>
    <t>intermediateContour</t>
  </si>
  <si>
    <t>Intermediate Contour</t>
  </si>
  <si>
    <t>One of the three or four contour lines between adjacent index contour lines.</t>
  </si>
  <si>
    <t>It is typically depicted with about half the line weight of an index contour line. An intermediate contour line is normally continuous throughout a map, but may be dropped or joined with another contour line where the slope is steep and where there is insufficient space to show all of the intermediate contour lines.</t>
  </si>
  <si>
    <t>HqcCode_intermediateContour</t>
  </si>
  <si>
    <t>moundIndexContour</t>
  </si>
  <si>
    <t>Mound Index Contour</t>
  </si>
  <si>
    <t>A closed index contour line delimiting a localized area of higher elevation than the surrounding terrain (a terrain mound) into which there is no surface drainage.</t>
  </si>
  <si>
    <t>It is typically depicted with perpendicular ticks on the descending side of the mound index contour line, while maintaining index contour line weight.</t>
  </si>
  <si>
    <t>HqcCode_moundIndexContour</t>
  </si>
  <si>
    <t>moundIntermediateContour</t>
  </si>
  <si>
    <t>Mound Intermediate Contour</t>
  </si>
  <si>
    <t>A closed intermediate contour line delimiting a localized area of higher elevation than the surrounding terrain (a terrain mound) into which there is no surface drainage.</t>
  </si>
  <si>
    <t>It is typically depicted with perpendicular ticks on the descending side of the mound intermediate contour line, while maintaining intermediate contour line weight.</t>
  </si>
  <si>
    <t>HqcCode_moundIntermediateContour</t>
  </si>
  <si>
    <t>quarterAuxiliaryContour</t>
  </si>
  <si>
    <t>Quarter Auxiliary Contour</t>
  </si>
  <si>
    <t>An auxiliary contour line with one quarter the interval between intermediate contour lines.</t>
  </si>
  <si>
    <t>For example, a 20 metre intermediate contour interval and a 5 metre auxiliary contour interval.</t>
  </si>
  <si>
    <t>Quarter Supplementary Contour</t>
  </si>
  <si>
    <t>HqcCode_quarterAuxiliaryContour</t>
  </si>
  <si>
    <t>transitionLine</t>
  </si>
  <si>
    <t>Transition Line</t>
  </si>
  <si>
    <t>A line that is neither a contour line nor a form line nor is intended as a connector line.</t>
  </si>
  <si>
    <t>May be used to support generalized depiction of hyposography but does not necessarily follow points of equal elevation.</t>
  </si>
  <si>
    <t>Erroneous Contour</t>
  </si>
  <si>
    <t>HqcCode_transitionLine</t>
  </si>
  <si>
    <t>(Aeronautical Information Exchange Model (AIXM): 'AF')</t>
  </si>
  <si>
    <t>arcToFix</t>
  </si>
  <si>
    <t>Constant Distance Measuring Equipment (DME) arc to a fix.</t>
  </si>
  <si>
    <t>IktCode_arcToFix</t>
  </si>
  <si>
    <t>(Aeronautical Information Exchange Model (AIXM): 'CA')</t>
  </si>
  <si>
    <t>courseToAltitude</t>
  </si>
  <si>
    <t>Course to an altitude.</t>
  </si>
  <si>
    <t>IktCode_courseToAltitude</t>
  </si>
  <si>
    <t>(Aeronautical Information Exchange Model (AIXM): 'CD')</t>
  </si>
  <si>
    <t>courseToDmeDistance</t>
  </si>
  <si>
    <t>CD</t>
  </si>
  <si>
    <t>Course to a Distance Measuring Equipment (DME) distance.</t>
  </si>
  <si>
    <t>IktCode_courseToDmeDistance</t>
  </si>
  <si>
    <t>(Aeronautical Information Exchange Model (AIXM): 'CF')</t>
  </si>
  <si>
    <t>courseToFix</t>
  </si>
  <si>
    <t>Course to a fix.</t>
  </si>
  <si>
    <t>IktCode_courseToFix</t>
  </si>
  <si>
    <t>(Aeronautical Information Exchange Model (AIXM): 'CI')</t>
  </si>
  <si>
    <t>courseToLegFollowed</t>
  </si>
  <si>
    <t>Course to next leg followed by course oriented leg.</t>
  </si>
  <si>
    <t>IktCode_courseToLegFollowed</t>
  </si>
  <si>
    <t>(Aeronautical Information Exchange Model (AIXM): 'CR')</t>
  </si>
  <si>
    <t>courseToRadialTermination</t>
  </si>
  <si>
    <t>Course to a radial termination.</t>
  </si>
  <si>
    <t>IktCode_courseToRadialTermination</t>
  </si>
  <si>
    <t>(Aeronautical Information Exchange Model (AIXM): 'DF')</t>
  </si>
  <si>
    <t>directToFix</t>
  </si>
  <si>
    <t>Computed track direct to a fix.</t>
  </si>
  <si>
    <t>IktCode_directToFix</t>
  </si>
  <si>
    <t>(Aeronautical Information Exchange Model (AIXM): 'FA')</t>
  </si>
  <si>
    <t>fixToAltitude</t>
  </si>
  <si>
    <t>FA</t>
  </si>
  <si>
    <t>Course from a fix to an altitude.</t>
  </si>
  <si>
    <t>IktCode_fixToAltitude</t>
  </si>
  <si>
    <t>(Aeronautical Information Exchange Model (AIXM): 'FC')</t>
  </si>
  <si>
    <t>fixToDistance</t>
  </si>
  <si>
    <t>FC</t>
  </si>
  <si>
    <t>Course from a fix to a distance.</t>
  </si>
  <si>
    <t>IktCode_fixToDistance</t>
  </si>
  <si>
    <t>(Aeronautical Information Exchange Model (AIXM): 'FD')</t>
  </si>
  <si>
    <t>fixToDmeDistance</t>
  </si>
  <si>
    <t>FD</t>
  </si>
  <si>
    <t>Course from a fix to a Distance Measuring Equipment (DME) distance.</t>
  </si>
  <si>
    <t>IktCode_fixToDmeDistance</t>
  </si>
  <si>
    <t>(Aeronautical Information Exchange Model (AIXM): 'FM')</t>
  </si>
  <si>
    <t>fixToManualTermination</t>
  </si>
  <si>
    <t>FM</t>
  </si>
  <si>
    <t>Course from a fix to a manual termination.</t>
  </si>
  <si>
    <t>IktCode_fixToManualTermination</t>
  </si>
  <si>
    <t>(Aeronautical Information Exchange Model (AIXM): 'FT')</t>
  </si>
  <si>
    <t>fixDuringSpecifiedTime</t>
  </si>
  <si>
    <t>FT</t>
  </si>
  <si>
    <t>Course from a fix during a specified time.</t>
  </si>
  <si>
    <t>IktCode_fixDuringSpecifiedTime</t>
  </si>
  <si>
    <t>(Aeronautical Information Exchange Model (AIXM): 'HA')</t>
  </si>
  <si>
    <t>holdAfterAltitude</t>
  </si>
  <si>
    <t>HA</t>
  </si>
  <si>
    <t>Hold pattern terminating at fix after reaching an altitude.</t>
  </si>
  <si>
    <t>IktCode_holdAfterAltitude</t>
  </si>
  <si>
    <t>(Aeronautical Information Exchange Model (AIXM): 'HF')</t>
  </si>
  <si>
    <t>holdAtFix</t>
  </si>
  <si>
    <t>Hold pattern terminating at a fix after one circuit.</t>
  </si>
  <si>
    <t>IktCode_holdAtFix</t>
  </si>
  <si>
    <t>(Aeronautical Information Exchange Model (AIXM): 'HM')</t>
  </si>
  <si>
    <t>holdTerminatingManually</t>
  </si>
  <si>
    <t>HM</t>
  </si>
  <si>
    <t>Holding pattern terminating manually.</t>
  </si>
  <si>
    <t>IktCode_holdTerminatingManually</t>
  </si>
  <si>
    <t>(Aeronautical Information Exchange Model (AIXM): 'IF')</t>
  </si>
  <si>
    <t>initialFix</t>
  </si>
  <si>
    <t>IF</t>
  </si>
  <si>
    <t>Initial fix.</t>
  </si>
  <si>
    <t>IktCode_initialFix</t>
  </si>
  <si>
    <t>(Aeronautical Information Exchange Model (AIXM): 'PI')</t>
  </si>
  <si>
    <t>procedureCourseToFix</t>
  </si>
  <si>
    <t>PI</t>
  </si>
  <si>
    <t>Procedure turn followed by a course to a fix (CF).</t>
  </si>
  <si>
    <t>IktCode_procedureCourseToFix</t>
  </si>
  <si>
    <t>(Aeronautical Information Exchange Model (AIXM): 'PT')</t>
  </si>
  <si>
    <t>procedureTurn</t>
  </si>
  <si>
    <t>PT</t>
  </si>
  <si>
    <t>Timed outbound leg to a procedure turn.</t>
  </si>
  <si>
    <t>IktCode_procedureTurn</t>
  </si>
  <si>
    <t>(Aeronautical Information Exchange Model (AIXM): 'RF')</t>
  </si>
  <si>
    <t>radiusToFix</t>
  </si>
  <si>
    <t>RF</t>
  </si>
  <si>
    <t>Constant radius to a fix.</t>
  </si>
  <si>
    <t>IktCode_radiusToFix</t>
  </si>
  <si>
    <t>(Aeronautical Information Exchange Model (AIXM): 'TF')</t>
  </si>
  <si>
    <t>trackBetweenTwoFixes</t>
  </si>
  <si>
    <t>TF</t>
  </si>
  <si>
    <t>Track between two fixes.</t>
  </si>
  <si>
    <t>IktCode_trackBetweenTwoFixes</t>
  </si>
  <si>
    <t>(Aeronautical Information Exchange Model (AIXM): 'VA')</t>
  </si>
  <si>
    <t>vectorToAltitude</t>
  </si>
  <si>
    <t>VA</t>
  </si>
  <si>
    <t>Heading to an altitude (position unspecified).</t>
  </si>
  <si>
    <t>IktCode_vectorToAltitude</t>
  </si>
  <si>
    <t>(Aeronautical Information Exchange Model (AIXM): 'VD')</t>
  </si>
  <si>
    <t>vectorToDmeDistance</t>
  </si>
  <si>
    <t>VD</t>
  </si>
  <si>
    <t>Heading to a Distance Measuring Equipment (DME) distance.</t>
  </si>
  <si>
    <t>IktCode_vectorToDmeDistance</t>
  </si>
  <si>
    <t>(Aeronautical Information Exchange Model (AIXM): 'VI')</t>
  </si>
  <si>
    <t>vectorToNextLeg</t>
  </si>
  <si>
    <t>VI</t>
  </si>
  <si>
    <t>Heading to next leg.</t>
  </si>
  <si>
    <t>IktCode_vectorToNextLeg</t>
  </si>
  <si>
    <t>(Aeronautical Information Exchange Model (AIXM): 'VM')</t>
  </si>
  <si>
    <t>vectorToManualTermination</t>
  </si>
  <si>
    <t>VM</t>
  </si>
  <si>
    <t>Heading to a manual termination.</t>
  </si>
  <si>
    <t>IktCode_vectorToManualTermination</t>
  </si>
  <si>
    <t>(Aeronautical Information Exchange Model (AIXM): 'VR')</t>
  </si>
  <si>
    <t>vectorToRadialTermination</t>
  </si>
  <si>
    <t>VR</t>
  </si>
  <si>
    <t>Heading to a radial termination.</t>
  </si>
  <si>
    <t>IktCode_vectorToRadialTermination</t>
  </si>
  <si>
    <t>incidentReported</t>
  </si>
  <si>
    <t>Incident Reported</t>
  </si>
  <si>
    <t>The incident has happened and is being/has been reported.</t>
  </si>
  <si>
    <t>IdsCode_incidentReported</t>
  </si>
  <si>
    <t>ongoingIncident</t>
  </si>
  <si>
    <t>Ongoing Incident</t>
  </si>
  <si>
    <t>The incident is still evolving or being dealt with.</t>
  </si>
  <si>
    <t>IdsCode_ongoingIncident</t>
  </si>
  <si>
    <t>ongoingThreat</t>
  </si>
  <si>
    <t>Ongoing Threat</t>
  </si>
  <si>
    <t>The incident has happened and a further threat still exists.</t>
  </si>
  <si>
    <t>IdsCode_ongoingThreat</t>
  </si>
  <si>
    <t>predicted</t>
  </si>
  <si>
    <t>Predicted</t>
  </si>
  <si>
    <t>A potential risk has been predicted by analysis.</t>
  </si>
  <si>
    <t>IdsCode_predicted</t>
  </si>
  <si>
    <t>resolved</t>
  </si>
  <si>
    <t>Resolved</t>
  </si>
  <si>
    <t>The incident has been dealt with or the potential risk no longer exists.</t>
  </si>
  <si>
    <t>IdsCode_resolved</t>
  </si>
  <si>
    <t>riskAssessed</t>
  </si>
  <si>
    <t>Risk Assessed</t>
  </si>
  <si>
    <t>A location has been formally evaluated as a potential target.</t>
  </si>
  <si>
    <t>IdsCode_riskAssessed</t>
  </si>
  <si>
    <t>thwarted</t>
  </si>
  <si>
    <t>Thwarted</t>
  </si>
  <si>
    <t>The incident has been prevented.</t>
  </si>
  <si>
    <t>IdsCode_thwarted</t>
  </si>
  <si>
    <t>warningIssued</t>
  </si>
  <si>
    <t>Warning Issued</t>
  </si>
  <si>
    <t>There is an advanced notification of a potential incident.</t>
  </si>
  <si>
    <t>Can be unofficial information.</t>
  </si>
  <si>
    <t>IdsCode_warningIssued</t>
  </si>
  <si>
    <t>asbestos</t>
  </si>
  <si>
    <t>Asbestos</t>
  </si>
  <si>
    <t>Any of several grayish minerals, as amphiboles (esp. actinolite) or serpentines (especially chrysotile), that separate into long, threadlike fibers that do not burn or conduct heat or electricity and are often resistant to chemicals.</t>
  </si>
  <si>
    <t>ImiCode_asbestos</t>
  </si>
  <si>
    <t>barite</t>
  </si>
  <si>
    <t>Barite</t>
  </si>
  <si>
    <t>A soft, heavy, orthorhombic mineral, barium sulphate, BaSO4, that is the chief ore of barium.</t>
  </si>
  <si>
    <t>It is used in used, for example, in making paint and drilling mud.</t>
  </si>
  <si>
    <t>ImiCode_barite</t>
  </si>
  <si>
    <t>bauxite</t>
  </si>
  <si>
    <t>Bauxite</t>
  </si>
  <si>
    <t>A soft, claylike sedimentary rock, mainly hydrous aluminum hydroxide, that is the chief ore of aluminum.</t>
  </si>
  <si>
    <t>ImiCode_bauxite</t>
  </si>
  <si>
    <t>bentonite</t>
  </si>
  <si>
    <t>Bentonite</t>
  </si>
  <si>
    <t>A porous clay consisting mainly of the mineral montmorillonite, which swells greatly when it absorbs water.</t>
  </si>
  <si>
    <t>ImiCode_bentonite</t>
  </si>
  <si>
    <t>beryl</t>
  </si>
  <si>
    <t>Beryl</t>
  </si>
  <si>
    <t>A very hard, lustrous, hexagonal mineral, Be3Al2Si6O18, that is an ore of beryllium; beryllium aluminum silicate: emerald and aquamarine are two gem varieties of beryl.</t>
  </si>
  <si>
    <t>ImiCode_beryl</t>
  </si>
  <si>
    <t>corundum</t>
  </si>
  <si>
    <t>Corundum</t>
  </si>
  <si>
    <t>A very hard mineral, aluminum oxide, Al2O3.</t>
  </si>
  <si>
    <t>A dark, coarse variety ( emery) is used for grinding and polishing; clear, transparent varieties ( ruby, sapphire) are used as gems:.</t>
  </si>
  <si>
    <t>ImiCode_corundum</t>
  </si>
  <si>
    <t>A usually colorless, crystalline mineral consisting of pure carbon, with nearly perfect cleavage and the greatest hardness of any substance.</t>
  </si>
  <si>
    <t>Unflawed, transparent stones are cut into gems of great brilliance, and less perfect forms are used for cutting tools, abrasives, etc.</t>
  </si>
  <si>
    <t>ImiCode_diamond</t>
  </si>
  <si>
    <t>feldspar</t>
  </si>
  <si>
    <t>Feldspar</t>
  </si>
  <si>
    <t>Any of several light-colored, hard, glassy, monoclinic or triclinic minerals made up of aluminum silicates with sodium, potassium, or calcium, found in all types of rock.</t>
  </si>
  <si>
    <t>ImiCode_feldspar</t>
  </si>
  <si>
    <t>fluorite</t>
  </si>
  <si>
    <t>Fluorite</t>
  </si>
  <si>
    <t>A crystalline mineral, CaF2, with perfect cleavage, used as a flux, in glassmaking, and as the principal source of fluorine; calcium fluoride.</t>
  </si>
  <si>
    <t>Is the principal ore for fluorine.</t>
  </si>
  <si>
    <t>ImiCode_fluorite</t>
  </si>
  <si>
    <t>graphite</t>
  </si>
  <si>
    <t>Graphite</t>
  </si>
  <si>
    <t>A very soft, black, hexagonal mineral of pure carbon, formed in thin plates and found in metamorphic rocks: used in making electrodes, paints, and the lead of pencils.</t>
  </si>
  <si>
    <t>ImiCode_graphite</t>
  </si>
  <si>
    <t>kaolinite</t>
  </si>
  <si>
    <t>Kaolinite</t>
  </si>
  <si>
    <t>A colorless or white, soft mineral, hydrous aluminum silicate, Al2Si2O5 (OH) 4, that is the main constituent of kaolin.</t>
  </si>
  <si>
    <t>ImiCode_kaolinite</t>
  </si>
  <si>
    <t>magnesite</t>
  </si>
  <si>
    <t>Magnesite</t>
  </si>
  <si>
    <t>A light-colored, semihard mineral, magnesium carbonate, MgCO3, used widely in industry as a source of magnesium and carbon dioxide.</t>
  </si>
  <si>
    <t>ImiCode_magnesite</t>
  </si>
  <si>
    <t>mica</t>
  </si>
  <si>
    <t>Mica</t>
  </si>
  <si>
    <t>Any of a group of minerals that are complex silicates that crystallize in thin, somewhat flexible, translucent or colored, easily separated layers, including muscovite, biotite, and lepidolite: mica is resistant to heat and electricity.</t>
  </si>
  <si>
    <t>ImiCode_mica</t>
  </si>
  <si>
    <t>monazite</t>
  </si>
  <si>
    <t>Monazite</t>
  </si>
  <si>
    <t>A yellow or brownish-red native phosphate of the rare-earth elements, a major source of thorium, cerium, lanthanum, and neodymium.</t>
  </si>
  <si>
    <t>ImiCode_monazite</t>
  </si>
  <si>
    <t>phosphate</t>
  </si>
  <si>
    <t>Phosphate</t>
  </si>
  <si>
    <t>Any rock, esp. phosphorite, containing large amounts of phosphates, used as a raw material for making fertilizers and phosphorous chemicals.</t>
  </si>
  <si>
    <t>ImiCode_phosphate</t>
  </si>
  <si>
    <t>quartz</t>
  </si>
  <si>
    <t>Quartz</t>
  </si>
  <si>
    <t>Any of various crystallized forms of silica that are transparent, translucent, or colored, used in many ways, esp. as a gem or in making glass, lenses, or quartz crystals:.</t>
  </si>
  <si>
    <t>ImiCode_quartz</t>
  </si>
  <si>
    <t>Sulphur</t>
  </si>
  <si>
    <t>A pale-yellow, nonmetallic chemical element found in crystalline or amorphous form.</t>
  </si>
  <si>
    <t>It burns with a blue flame and a stifling odor and is used in vulcanizing rubber and in making matches, paper, gunpowder, insecticides, sulphuric acid, etc.</t>
  </si>
  <si>
    <t>ImiCode_sulphur</t>
  </si>
  <si>
    <t>talc</t>
  </si>
  <si>
    <t>Talc</t>
  </si>
  <si>
    <t>A soft, light-colored, monoclinic mineral, Mg3Si4O10 (OH) 2, with a greasy feel, used to make talcum powder and lubricants.</t>
  </si>
  <si>
    <t>ImiCode_talc</t>
  </si>
  <si>
    <t>vermiculite</t>
  </si>
  <si>
    <t>Vermiculite</t>
  </si>
  <si>
    <t>Any of a number of very soft, monoclinic, hydrous silicate minerals resulting usually from alterations of mica and occurring in tiny, leafy scales that expand greatly when heated: used for insulation and water adsorption.</t>
  </si>
  <si>
    <t>ImiCode_vermiculite</t>
  </si>
  <si>
    <t>wollastonite</t>
  </si>
  <si>
    <t>Wollastonite</t>
  </si>
  <si>
    <t>A white to gray, hard, light-colored, triclinic mineral, CaSiO3, used in making ceramic tile and wallboard; calcium silicate down into acicular crystals.</t>
  </si>
  <si>
    <t>ImiCode_wollastonite</t>
  </si>
  <si>
    <t>zeolite</t>
  </si>
  <si>
    <t>Zeolite</t>
  </si>
  <si>
    <t>A group of white and colorless hydrous aluminosilicates used for softening water.</t>
  </si>
  <si>
    <t>ImiCode_zeolite</t>
  </si>
  <si>
    <t>zircon</t>
  </si>
  <si>
    <t>Zircon</t>
  </si>
  <si>
    <t>A light-colored, very hard mineral, zirconium silicate, ZrSiO4, which is a primary ore of zirconium and is also used as a gem when transparent.</t>
  </si>
  <si>
    <t>ImiCode_zircon</t>
  </si>
  <si>
    <t>acoustic</t>
  </si>
  <si>
    <t>Acoustic</t>
  </si>
  <si>
    <t>Senses the presence of acoustic disturbances (for example: propeller noise, machinery noise, and/or or hull vibrations).</t>
  </si>
  <si>
    <t>Attribute: 'Mine Acoustic Sensitivity' may be used to characterize the acoustic sensitivity.</t>
  </si>
  <si>
    <t>MiiCode_acoustic</t>
  </si>
  <si>
    <t>combined</t>
  </si>
  <si>
    <t>Combined</t>
  </si>
  <si>
    <t>A combination of pressure, magnetic, and/or acoustic methods are used to compensate for the disadvantages of one method with the advantages of another.</t>
  </si>
  <si>
    <t>MiiCode_combined</t>
  </si>
  <si>
    <t>Senses changes in the local magnetic field of the Earth and/or the presence of a source of magnetic flux.</t>
  </si>
  <si>
    <t>Attribute: 'Mine Magnetic Sensitivity' may be used to characterize the magnetic sensitivity.</t>
  </si>
  <si>
    <t>MiiCode_magnetic</t>
  </si>
  <si>
    <t>Pressure-measuring mechanisms are used to detect variations in ocean pressure caused by the 'pressure signature' of a moving vessel.</t>
  </si>
  <si>
    <t>Hydrostatic</t>
  </si>
  <si>
    <t>MiiCode_pressure</t>
  </si>
  <si>
    <t>A region containing 20 percent of the area but with 80 percent of the inhabitants.</t>
  </si>
  <si>
    <t>SleCode_dense</t>
  </si>
  <si>
    <t>A region containing 80 percent of the area but with only 20 percent of the inhabitants.</t>
  </si>
  <si>
    <t>SleCode_sparse</t>
  </si>
  <si>
    <t>veryDense</t>
  </si>
  <si>
    <t>Very Dense</t>
  </si>
  <si>
    <t>A region containing 5 percent of the area but with 40 percent of the inhabitants.</t>
  </si>
  <si>
    <t>SleCode_veryDense</t>
  </si>
  <si>
    <t>verySparse</t>
  </si>
  <si>
    <t>Very Sparse</t>
  </si>
  <si>
    <t>A region containing 60 percent of the area but with only 10 percent of the inhabitants.</t>
  </si>
  <si>
    <t>SleCode_verySparse</t>
  </si>
  <si>
    <t>Serves for the production process involving the culturing or farming (including harvesting) of aquatic organisms (for example: fish, molluscs, crustaceans, plants, crocodiles, alligators or amphibians) using techniques designed to increase the production.</t>
  </si>
  <si>
    <t>FwbCode_aquaculture</t>
  </si>
  <si>
    <t>Serves as a barrier.</t>
  </si>
  <si>
    <t>For example, a moat.</t>
  </si>
  <si>
    <t>FwbCode_barrier</t>
  </si>
  <si>
    <t>For example, a ditch.</t>
  </si>
  <si>
    <t>FwbCode_drainage</t>
  </si>
  <si>
    <t>energyGeneration</t>
  </si>
  <si>
    <t>Energy Generation</t>
  </si>
  <si>
    <t>Serves to collect, store or supply water for energy production.</t>
  </si>
  <si>
    <t>For example, a reservoir used by a hydroelectric power plant.</t>
  </si>
  <si>
    <t>FwbCode_energyGeneration</t>
  </si>
  <si>
    <t>filtration</t>
  </si>
  <si>
    <t>Filtration</t>
  </si>
  <si>
    <t>Serves for the treatment of water that consists of a bed of material (for example: sand) where water is filtered.</t>
  </si>
  <si>
    <t>FwbCode_filtration</t>
  </si>
  <si>
    <t>fireFighting</t>
  </si>
  <si>
    <t>Fire Fighting</t>
  </si>
  <si>
    <t>Serves to collect, store or supply water for firefighting.</t>
  </si>
  <si>
    <t>For example, a fire water pond.</t>
  </si>
  <si>
    <t>FwbCode_fireFighting</t>
  </si>
  <si>
    <t>floodProtection</t>
  </si>
  <si>
    <t>Flood Protection</t>
  </si>
  <si>
    <t>Serves to prevent the flooding of land areas.</t>
  </si>
  <si>
    <t>For example, a flood detention basin or a spill-way.</t>
  </si>
  <si>
    <t>FwbCode_floodProtection</t>
  </si>
  <si>
    <t>Serves for manufacturing and/or production.</t>
  </si>
  <si>
    <t>FwbCode_industrial</t>
  </si>
  <si>
    <t>For example, a ditch or a canal.</t>
  </si>
  <si>
    <t>FwbCode_irrigation</t>
  </si>
  <si>
    <t>lockBasin</t>
  </si>
  <si>
    <t>Serves as the reservoir in a lock, bounded by lock walls and lock gates.</t>
  </si>
  <si>
    <t>FwbCode_lockBasin</t>
  </si>
  <si>
    <t>saltEvaporation</t>
  </si>
  <si>
    <t>Salt Evaporation</t>
  </si>
  <si>
    <t>Used for the natural evaporation of water for the collection of salt.</t>
  </si>
  <si>
    <t>FwbCode_saltEvaporation</t>
  </si>
  <si>
    <t>swimming</t>
  </si>
  <si>
    <t>Swimming</t>
  </si>
  <si>
    <t>Serves as a water body in which people may swim.</t>
  </si>
  <si>
    <t>FwbCode_swimming</t>
  </si>
  <si>
    <t>waterSupply</t>
  </si>
  <si>
    <t>Water Supply</t>
  </si>
  <si>
    <t>Serves to collect, store or supply drinking water.</t>
  </si>
  <si>
    <t>For example, a reservoir.</t>
  </si>
  <si>
    <t>FwbCode_waterSupply</t>
  </si>
  <si>
    <t>aqueduct</t>
  </si>
  <si>
    <t>IwtCode_aqueduct</t>
  </si>
  <si>
    <t>basin</t>
  </si>
  <si>
    <t>Basin</t>
  </si>
  <si>
    <t>A type of inland water constructed with a continuous man-made shoreline around its entire perimeter.</t>
  </si>
  <si>
    <t>It is usually surrounded by embankments. Basins are typically used to store water for irrigation, watering livestock, and less commonly for human consumption.</t>
  </si>
  <si>
    <t>IwtCode_basin</t>
  </si>
  <si>
    <t>canal</t>
  </si>
  <si>
    <t>IwtCode_canal</t>
  </si>
  <si>
    <t>ditch</t>
  </si>
  <si>
    <t>IwtCode_ditch</t>
  </si>
  <si>
    <t>lake</t>
  </si>
  <si>
    <t>Usually larger than or equal to 15,625 square metres in extent.</t>
  </si>
  <si>
    <t>IwtCode_lake</t>
  </si>
  <si>
    <t>landlockedSea</t>
  </si>
  <si>
    <t>Landlocked Sea</t>
  </si>
  <si>
    <t>A large expanse of saline water that is entirely surrounded by land and lacks a natural outlet.</t>
  </si>
  <si>
    <t>It may be intermittently connected with an ocean. Examples include the Aral, Caspian, Dead and Salton Seas, the Sea of Galilee, and the Great Salt Lake.</t>
  </si>
  <si>
    <t>IwtCode_landlockedSea</t>
  </si>
  <si>
    <t>pond</t>
  </si>
  <si>
    <t>A small body of generally still water entirely surrounded by land.</t>
  </si>
  <si>
    <t>Its bed is either hollowed out of the soil or formed by embanking and damming up a natural hollow (for example: by a beaver dam). Usually smaller than 15,625 square metres in extent.</t>
  </si>
  <si>
    <t>IwtCode_pond</t>
  </si>
  <si>
    <t>reservoir</t>
  </si>
  <si>
    <t>A substantial body of water impounded by a dam in which water is collected and stored for use.</t>
  </si>
  <si>
    <t>Used for flood control and/or as a source of water for irrigation, industrial processes, and/or human consumption.</t>
  </si>
  <si>
    <t>IwtCode_reservoir</t>
  </si>
  <si>
    <t>river</t>
  </si>
  <si>
    <t>IwtCode_river</t>
  </si>
  <si>
    <t>undifferentiatedWaterBody</t>
  </si>
  <si>
    <t>Undifferentiated Water Body</t>
  </si>
  <si>
    <t>A body of water entirely surrounded by land which is undifferentiated as to whether it is a lake, pond, or reservoir.</t>
  </si>
  <si>
    <t>Its bed is either hollowed out of the soil or formed by embanking and damming up a natural hollow, gorge, or river valley and may be of any size.</t>
  </si>
  <si>
    <t>IwtCode_undifferentiatedWaterBody</t>
  </si>
  <si>
    <t>waterRace</t>
  </si>
  <si>
    <t>IwtCode_waterRace</t>
  </si>
  <si>
    <t>waterHole</t>
  </si>
  <si>
    <t>IwtCode_waterHole</t>
  </si>
  <si>
    <t>catenaryAnchorLegMooring</t>
  </si>
  <si>
    <t>Catenary Anchor Leg Mooring (CALM)</t>
  </si>
  <si>
    <t>Incorporates a large buoy which remains on the surface at all times and is moored by 4 or more anchors.</t>
  </si>
  <si>
    <t>Mooring hawsers and cargo hoses lead from a turntable on top of the buoy, so that the buoy does not turn as the ship swings to wind and stream.</t>
  </si>
  <si>
    <t>IbcCode_catenaryAnchorLegMooring</t>
  </si>
  <si>
    <t>singleBuoyMooring</t>
  </si>
  <si>
    <t>Single Buoy Mooring (SBM)</t>
  </si>
  <si>
    <t>A mooring structure used by tankers to load and unload in port approaches or in offshore oil and gas fields.</t>
  </si>
  <si>
    <t>The size of the structure can vary between a large mooring buoy and a manned floating structure.</t>
  </si>
  <si>
    <t>IbcCode_singleBuoyMooring</t>
  </si>
  <si>
    <t>(Aeronautical Information Exchange Model (AIXM): 'FAF')</t>
  </si>
  <si>
    <t>finalApproachFix</t>
  </si>
  <si>
    <t>Final Approach Fix</t>
  </si>
  <si>
    <t>That fix or point of an instrument approach procedure where the final approach segment commences.</t>
  </si>
  <si>
    <t>IfrCode_finalApproachFix</t>
  </si>
  <si>
    <t>(Aeronautical Information Exchange Model (AIXM): 'IAF')</t>
  </si>
  <si>
    <t>initialApproachFix</t>
  </si>
  <si>
    <t>Initial Approach Fix</t>
  </si>
  <si>
    <t>The fix or point that identifies the beginning of the instrument approach procedure.</t>
  </si>
  <si>
    <t>IfrCode_initialApproachFix</t>
  </si>
  <si>
    <t>intermediateApproachFix</t>
  </si>
  <si>
    <t>Intermediate Approach Fix</t>
  </si>
  <si>
    <t>The fix or point that identifies the beginning of the intermediate approach segment of an instrument approach procedure.</t>
  </si>
  <si>
    <t>IfrCode_intermediateApproachFix</t>
  </si>
  <si>
    <t>(Aeronautical Information Exchange Model (AIXM): 'MAPT')</t>
  </si>
  <si>
    <t>missedApproachPoint</t>
  </si>
  <si>
    <t>Missed Approach Point</t>
  </si>
  <si>
    <t>The point on the final approach course that signifies the termination of the final approach and the commencement of the missed approach segment.</t>
  </si>
  <si>
    <t>IfrCode_missedApproachPoint</t>
  </si>
  <si>
    <t>catIOps</t>
  </si>
  <si>
    <t>Category I Operations (CAT I)</t>
  </si>
  <si>
    <t>A facility which provides guidance information from the coverage limit of the ILS to the point at which the localizer course line intersects the ILS glide path at a height of 60 metres (200 feet) above the horizontal plane containing the threshold, and with either a visibility not less than 800 metres or a runway visual range not less than 550 metres.</t>
  </si>
  <si>
    <t>ILS or MLS are the facilities that provide guidance information.</t>
  </si>
  <si>
    <t>IlcCode_catIOps</t>
  </si>
  <si>
    <t>(Aeronautical Information Exchange Model (AIXM): 'II')</t>
  </si>
  <si>
    <t>catIIOps</t>
  </si>
  <si>
    <t>Category II Operations (CAT II)</t>
  </si>
  <si>
    <t>A facility which provides guidance information from the coverage limit of the ILS to the point at which the localizer course line intersects the ILS glide path at a height of 60 metres (200 feet) but not lower than 30 metres (100 feet) above the horizontal plane containing the threshold and a runway visual range not less than 350 metres.</t>
  </si>
  <si>
    <t>IlcCode_catIIOps</t>
  </si>
  <si>
    <t>(Aeronautical Information Exchange Model (AIXM): 'III')</t>
  </si>
  <si>
    <t>catIIIOps</t>
  </si>
  <si>
    <t>Category III operations (CAT III)</t>
  </si>
  <si>
    <t>An ILS which, with the aid of ancillary equipment where necessary, provides guidance information from the coverage limit of the facility to, and along, the surface of the runway.</t>
  </si>
  <si>
    <t>IlcCode_catIIIOps</t>
  </si>
  <si>
    <t>(Aeronautical Information Exchange Model (AIXM): 'IIIA')</t>
  </si>
  <si>
    <t>catIIIaOps</t>
  </si>
  <si>
    <t>Category IIIa Operations (CAT IIIa)</t>
  </si>
  <si>
    <t>This operation requires a decision height lower than 30 metres (100 feet), or no decision height; and runway visual range not less than 200 metres. ILS or MLS are the facilities that provide guidance information.</t>
  </si>
  <si>
    <t>IlcCode_catIIIaOps</t>
  </si>
  <si>
    <t>(Aeronautical Information Exchange Model (AIXM): 'IIIB')</t>
  </si>
  <si>
    <t>catIIIbOps</t>
  </si>
  <si>
    <t>Category IIIb Operations (CAT IIIb)</t>
  </si>
  <si>
    <t>This operation requires a decision height lower than 15 metres (50 feet), or no decision height; and a runway visual range less than 200 metres but not less than 50 metres. ILS or MLS are the facilities that provide guidance information.</t>
  </si>
  <si>
    <t>IlcCode_catIIIbOps</t>
  </si>
  <si>
    <t>(Aeronautical Information Exchange Model (AIXM): 'IIIC')</t>
  </si>
  <si>
    <t>catIIIcOps</t>
  </si>
  <si>
    <t>Category IIIc Operations (CAT IIIc)</t>
  </si>
  <si>
    <t>This operation requires no decision height; and runway visual range less than 200 metres. ILS or MLS are the facilities that provide guidance information.</t>
  </si>
  <si>
    <t>IlcCode_catIIIcOps</t>
  </si>
  <si>
    <t>mlsCatIOps</t>
  </si>
  <si>
    <t>MLS Category I Operations (CAT I)</t>
  </si>
  <si>
    <t>A Microwave Landing System(MLS) which provides guidance information for an approach to a height above touchdown of not less than 60 metres (200 feet) and a runway visual range of not less than 550 metres (1,800 feet).</t>
  </si>
  <si>
    <t>IlcCode_mlsCatIOps</t>
  </si>
  <si>
    <t>(Aeronautical Information Exchange Model (AIXM): 'ADF')</t>
  </si>
  <si>
    <t>automaticDirectionFinder</t>
  </si>
  <si>
    <t>Automatic Direction Finder (ADF)</t>
  </si>
  <si>
    <t>ADF required.</t>
  </si>
  <si>
    <t>IaeCode_automaticDirectionFinder</t>
  </si>
  <si>
    <t>(Aeronautical Information Exchange Model (AIXM): 'ADFILS')</t>
  </si>
  <si>
    <t>adfForIlsApproach</t>
  </si>
  <si>
    <t>Automatic Direction Finder (ADF) for ILS Approach</t>
  </si>
  <si>
    <t>ADF required for ILS approach.</t>
  </si>
  <si>
    <t>IaeCode_adfForIlsApproach</t>
  </si>
  <si>
    <t>(Aeronautical Information Exchange Model (AIXM): 'ADFMA')</t>
  </si>
  <si>
    <t>adfForMissedApproach</t>
  </si>
  <si>
    <t>Automatic Direction Finder (ADF) for Missed Approach</t>
  </si>
  <si>
    <t>ADF required for missed approach.</t>
  </si>
  <si>
    <t>IaeCode_adfForMissedApproach</t>
  </si>
  <si>
    <t>DME required.</t>
  </si>
  <si>
    <t>IaeCode_distanceMeasuringEquipment</t>
  </si>
  <si>
    <t>(Aeronautical Information Exchange Model (AIXM): 'DUALADF')</t>
  </si>
  <si>
    <t>dualAutoDirectionFinder</t>
  </si>
  <si>
    <t>Dual Automatic Direction Finder (ADF)</t>
  </si>
  <si>
    <t>Dual ADF required.</t>
  </si>
  <si>
    <t>IaeCode_dualAutoDirectionFinder</t>
  </si>
  <si>
    <t>(Aeronautical Information Exchange Model (AIXM): 'DUALADF_DME')</t>
  </si>
  <si>
    <t>dualAdfAndDme</t>
  </si>
  <si>
    <t>Dual Automatic Direction Finder (ADF) and Distance Measuring Equipment (DME)</t>
  </si>
  <si>
    <t>DME and dual ADF required for LOC approach.</t>
  </si>
  <si>
    <t>IaeCode_dualAdfAndDme</t>
  </si>
  <si>
    <t>(Aeronautical Information Exchange Model (AIXM): 'DUALVHF')</t>
  </si>
  <si>
    <t>dualVeryHighFreqRadios</t>
  </si>
  <si>
    <t>Dual Very High Frequency (VHF) Radios</t>
  </si>
  <si>
    <t>Dual VHF communication required.</t>
  </si>
  <si>
    <t>IaeCode_dualVeryHighFreqRadios</t>
  </si>
  <si>
    <t>(Aeronautical Information Exchange Model (AIXM): 'DUALVORDME')</t>
  </si>
  <si>
    <t>dualVorOrVorWithDme</t>
  </si>
  <si>
    <t>Dual VHF Omnidirectional Radio (VOR) Beacon with Distance Measuring Equipment (VORDME)</t>
  </si>
  <si>
    <t>Dual VOR or VOR/DME required.</t>
  </si>
  <si>
    <t>IaeCode_dualVorOrVorWithDme</t>
  </si>
  <si>
    <t>(Aeronautical Information Exchange Model (AIXM): 'GPSRNP3')</t>
  </si>
  <si>
    <t>globalPosSysOrRnp3Equip</t>
  </si>
  <si>
    <t>Global Position System (GPS) or Reduced Navigation Performance (RNP3) Equipment</t>
  </si>
  <si>
    <t>GPS or RNP-0.3 required.</t>
  </si>
  <si>
    <t>IaeCode_globalPosSysOrRnp3Equip</t>
  </si>
  <si>
    <t>(Aeronautical Information Exchange Model (AIXM): 'RADAR')</t>
  </si>
  <si>
    <t>Radar required.</t>
  </si>
  <si>
    <t>IaeCode_radar</t>
  </si>
  <si>
    <t>(Aeronautical Information Exchange Model (AIXM): 'RADARDME')</t>
  </si>
  <si>
    <t>radarOrDistMeasuringEquip</t>
  </si>
  <si>
    <t>Radar or Distance Measuring Equipment (DME)</t>
  </si>
  <si>
    <t>Radar or DME required.</t>
  </si>
  <si>
    <t>IaeCode_radarOrDistMeasuringEquip</t>
  </si>
  <si>
    <t>(Aeronautical Information Exchange Model (AIXM): 'RADAR_RNAV')</t>
  </si>
  <si>
    <t>radarOrRnav</t>
  </si>
  <si>
    <t>Radar or RNAV</t>
  </si>
  <si>
    <t>Radar or RNAV required.</t>
  </si>
  <si>
    <t>IaeCode_radarOrRnav</t>
  </si>
  <si>
    <t>(Aeronautical Information Exchange Model (AIXM): 'SPECIAL')</t>
  </si>
  <si>
    <t>Special aircraft and aircrew certification required.</t>
  </si>
  <si>
    <t>IaeCode_special</t>
  </si>
  <si>
    <t>(Aeronautical Information Exchange Model (AIXM): 'VORLOC')</t>
  </si>
  <si>
    <t>vorBeaconAndIlsLocalizer</t>
  </si>
  <si>
    <t>VHF Omnidirectional Radio (VOR) Beacon and ILS Localizer (VORLOC)</t>
  </si>
  <si>
    <t>VOR and localizer required.</t>
  </si>
  <si>
    <t>IaeCode_vorBeaconAndIlsLocalizer</t>
  </si>
  <si>
    <t>cargoTransport</t>
  </si>
  <si>
    <t>Cargo Transport</t>
  </si>
  <si>
    <t>Used to transport cargo (for example: automobiles or equipment), including bulk industrial materials (for example: cement, coal, or chemicals).</t>
  </si>
  <si>
    <t>IruCode_cargoTransport</t>
  </si>
  <si>
    <t>evacuation</t>
  </si>
  <si>
    <t>Evacuation</t>
  </si>
  <si>
    <t>A route designated for evacuation operations.</t>
  </si>
  <si>
    <t>For example: evacuation routes which have been planned in case of natural disaster.</t>
  </si>
  <si>
    <t>IruCode_evacuation</t>
  </si>
  <si>
    <t>Use of a route to access installations for servicing equipment.</t>
  </si>
  <si>
    <t>For example: a route dedicated to access a wind farm.</t>
  </si>
  <si>
    <t>IruCode_maintenance</t>
  </si>
  <si>
    <t>militaryDeployment</t>
  </si>
  <si>
    <t>Military Deployment</t>
  </si>
  <si>
    <t>Use of a route for the movement of military forces and materiel to and within operational areas.</t>
  </si>
  <si>
    <t>For example: transportation of equipment into theatre.</t>
  </si>
  <si>
    <t>IruCode_militaryDeployment</t>
  </si>
  <si>
    <t>monitoring</t>
  </si>
  <si>
    <t>Monitoring</t>
  </si>
  <si>
    <t>Use of a route in pursuit of monitoring an area.</t>
  </si>
  <si>
    <t>For example: a guard route.</t>
  </si>
  <si>
    <t>IruCode_monitoring</t>
  </si>
  <si>
    <t>passengerTransport</t>
  </si>
  <si>
    <t>Passenger Transport</t>
  </si>
  <si>
    <t>Carrying passengers along a transportation route.</t>
  </si>
  <si>
    <t>Includes public and private transport.</t>
  </si>
  <si>
    <t>IruCode_passengerTransport</t>
  </si>
  <si>
    <t>pilgrimage</t>
  </si>
  <si>
    <t>Pilgrimage</t>
  </si>
  <si>
    <t>A journey made to a sacred place as an act of religious devotion.</t>
  </si>
  <si>
    <t>For example, the holy pilgrimage to Mecca.</t>
  </si>
  <si>
    <t>IruCode_pilgrimage</t>
  </si>
  <si>
    <t>Movement as an activity or pastime pursued, habitually, for the pleasure or interest it gives.</t>
  </si>
  <si>
    <t>IruCode_recreation</t>
  </si>
  <si>
    <t>rescue</t>
  </si>
  <si>
    <t>Rescue</t>
  </si>
  <si>
    <t>A route designated for rescue operations.</t>
  </si>
  <si>
    <t>The route may be reserved for emergency services.</t>
  </si>
  <si>
    <t>IruCode_rescue</t>
  </si>
  <si>
    <t>crisis</t>
  </si>
  <si>
    <t>Crisis</t>
  </si>
  <si>
    <t>A momentous juncture in, for example, politics, commerce, or domestic affairs.</t>
  </si>
  <si>
    <t>IztCode_crisis</t>
  </si>
  <si>
    <t>tension</t>
  </si>
  <si>
    <t>Tension</t>
  </si>
  <si>
    <t>The state of imminent evolution of a non-violent (non-warlike) confrontation into violent confrontation (war).</t>
  </si>
  <si>
    <t>IztCode_tension</t>
  </si>
  <si>
    <t>war</t>
  </si>
  <si>
    <t>War</t>
  </si>
  <si>
    <t>An organised armed and violent conflict for different reasons settled between two or more States.</t>
  </si>
  <si>
    <t>IztCode_war</t>
  </si>
  <si>
    <t>africanUnion</t>
  </si>
  <si>
    <t>African Union (AU)</t>
  </si>
  <si>
    <t>An organization consisting of fifty-three African states established in 2001 and formed as a successor to the amalgamated African Economic Community (AEC) and the Organisation of African Unity (OAU).</t>
  </si>
  <si>
    <t>DamCode_africanUnion</t>
  </si>
  <si>
    <t>acpGroupStates</t>
  </si>
  <si>
    <t>African, Caribbean and Pacific (ACP) Group of States</t>
  </si>
  <si>
    <t>The African, Caribbean and Pacific Group of States (ACP) is composed of signatories to the Georgetown Agreement (1975) or the Partnership Agreement between the ACP and the European Union, officially termed the 'ACP-EC Partnership Agreement'.</t>
  </si>
  <si>
    <t>DamCode_acpGroupStates</t>
  </si>
  <si>
    <t>assocSouthEastAsiaNation</t>
  </si>
  <si>
    <t>Association of South East Asian Nations (ASEAN)</t>
  </si>
  <si>
    <t>A geo-political and economic organization of 10 countries located in Southeast Asia, that was formed on August 8, 1967 by Indonesia, Malaysia, the Philippines, Singapore, and Thailand.</t>
  </si>
  <si>
    <t>DamCode_assocSouthEastAsiaNation</t>
  </si>
  <si>
    <t>commonwealthOfNations</t>
  </si>
  <si>
    <t>Commonwealth of Nations</t>
  </si>
  <si>
    <t>A loose confederation of nations that were formerly members of the British Empire (with one exception: Mozambique, which was a Portuguese possession).</t>
  </si>
  <si>
    <t>DamCode_commonwealthOfNations</t>
  </si>
  <si>
    <t>europeanCouncil</t>
  </si>
  <si>
    <t>European Council</t>
  </si>
  <si>
    <t>A meeting of the heads of State or government of the European Union, and the President of the European Commission.</t>
  </si>
  <si>
    <t>DamCode_europeanCouncil</t>
  </si>
  <si>
    <t>European Union (EU)</t>
  </si>
  <si>
    <t>A supranational and intergovernmental union of 27 nation-states in Europe that was established in 1992 by the Treaty on European Union (The Maastricht Treaty), and it is the de facto successor to the six-member European Economic Community.</t>
  </si>
  <si>
    <t>DamCode_europeanUnion</t>
  </si>
  <si>
    <t>euAssociatedCountry</t>
  </si>
  <si>
    <t>European Union Associated Country</t>
  </si>
  <si>
    <t>A Country that is not yet member of the European Union (EU) but has been imposed standards with regard to higher economical stability and political consolidation in order to ensure convergence to the EU.</t>
  </si>
  <si>
    <t>DamCode_euAssociatedCountry</t>
  </si>
  <si>
    <t>euPartnerCoopAgreement</t>
  </si>
  <si>
    <t>European Union Partnership and Cooperation Agreement (PCA)</t>
  </si>
  <si>
    <t>A legal Partnership and Cooperation Agreement (PCA) framework, based on the respect of democratic principles and human rights, setting out the political, economic and trade relationship between the European Union (EU) and its partner countries.</t>
  </si>
  <si>
    <t>Each PCA is a ten-year bilateral treaty signed and ratified by the EU and the individual state.</t>
  </si>
  <si>
    <t>DamCode_euPartnerCoopAgreement</t>
  </si>
  <si>
    <t>leagueArabStates</t>
  </si>
  <si>
    <t>League of Arab States (LAS)</t>
  </si>
  <si>
    <t>An association of 22 arab states (since 1945) for political, cultural, social economical and defence purposes.</t>
  </si>
  <si>
    <t>DamCode_leagueArabStates</t>
  </si>
  <si>
    <t>natoPartnershipForPeace</t>
  </si>
  <si>
    <t>NATO Partnership for Peace (PfP)</t>
  </si>
  <si>
    <t>A programme of practical bilateral cooperation between individual Partner countries and NATO that allows partner countries to establish an individual relationship with NATO, choosing their own priorities for cooperation.</t>
  </si>
  <si>
    <t>DamCode_natoPartnershipForPeace</t>
  </si>
  <si>
    <t>natoMemberNoForceInteg</t>
  </si>
  <si>
    <t>NATO-member without Force Integration</t>
  </si>
  <si>
    <t>A member of NATO not participating through direct force integration.</t>
  </si>
  <si>
    <t>DamCode_natoMemberNoForceInteg</t>
  </si>
  <si>
    <t>northAmFreeTradeAgreement</t>
  </si>
  <si>
    <t>North American Free Trade Agreement (NAFTA)</t>
  </si>
  <si>
    <t>An economic treaty between Canada, the United States, and Mexico to lower tariffs and create a free trade environment.</t>
  </si>
  <si>
    <t>The North American Free Trade Agreement (NAFTA) was ratified by its member nations in 1994.</t>
  </si>
  <si>
    <t>DamCode_northAmFreeTradeAgreement</t>
  </si>
  <si>
    <t>northAtlanticTreatyOrg</t>
  </si>
  <si>
    <t>North Atlantic Treaty Organisation (NATO)</t>
  </si>
  <si>
    <t>A military alliance established by the signing of the North Atlantic Treaty on 4 April 1949 based on a system of collective defence whereby its member states agree to mutual defense in response to an attack by any external party.</t>
  </si>
  <si>
    <t>DamCode_northAtlanticTreatyOrg</t>
  </si>
  <si>
    <t>orgEcoCoOpDevelopment</t>
  </si>
  <si>
    <t>Organisation for Economic Co-operation and Development (OECD)</t>
  </si>
  <si>
    <t>A group of 30 member countries sharing a commitment to democratic government and the market economy.</t>
  </si>
  <si>
    <t>DamCode_orgEcoCoOpDevelopment</t>
  </si>
  <si>
    <t>orgAmericanStates</t>
  </si>
  <si>
    <t>Organisation of American States (OAS)</t>
  </si>
  <si>
    <t>An association of countries in the western hemisphere that was created in 1948 to promote military and economic and social and cultural cooperation.</t>
  </si>
  <si>
    <t>DamCode_orgAmericanStates</t>
  </si>
  <si>
    <t>orgPetroExportCountries</t>
  </si>
  <si>
    <t>Organisation of the Petroleum Exporting Countries (OPEC)</t>
  </si>
  <si>
    <t>An organization of countries formed in 1961 to agree on a common policy for the production and sale of petroleum.</t>
  </si>
  <si>
    <t>DamCode_orgPetroExportCountries</t>
  </si>
  <si>
    <t>United Nations (U.N.)</t>
  </si>
  <si>
    <t>An international organization whose stated aims are to facilitate co-operation in international law, international security, economic development, social progress and human rights issues.</t>
  </si>
  <si>
    <t>DamCode_unitedNations</t>
  </si>
  <si>
    <t>unSecurityCouncilPermMem</t>
  </si>
  <si>
    <t>United Nations Security Council (UNSC) Permanent Member</t>
  </si>
  <si>
    <t>A permanent member of the organ of the United Nations (U.N.) charged with maintaining peace and security among nations.</t>
  </si>
  <si>
    <t>DamCode_unSecurityCouncilPermMem</t>
  </si>
  <si>
    <t>worldTradeOrganisation</t>
  </si>
  <si>
    <t>World Trade Organisation (WTO)</t>
  </si>
  <si>
    <t>An international organization designed to supervise and liberalize international trade.</t>
  </si>
  <si>
    <t>DamCode_worldTradeOrganisation</t>
  </si>
  <si>
    <t>groundMarking</t>
  </si>
  <si>
    <t>Ground Marking</t>
  </si>
  <si>
    <t>Markings on the route surface prior to arrival at the intersection are used to control intersection passage.</t>
  </si>
  <si>
    <t>The markings may, for example, indicate either yielding to other traffic before entering or stopping before entering and then following the 'rules of the road' to determine order of precedence for passage through the intersection.</t>
  </si>
  <si>
    <t>CscCode_groundMarking</t>
  </si>
  <si>
    <t>noControl</t>
  </si>
  <si>
    <t>No Control</t>
  </si>
  <si>
    <t>The intersection is not controlled.</t>
  </si>
  <si>
    <t>Vehicle drivers must negotiate the intersection without guidance.</t>
  </si>
  <si>
    <t>CscCode_noControl</t>
  </si>
  <si>
    <t>prioritySign</t>
  </si>
  <si>
    <t>Priority Sign</t>
  </si>
  <si>
    <t>Signs placed along a route indicating that cars approaching from crossroads must yield before entering an intersection with the priority route.</t>
  </si>
  <si>
    <t>CscCode_prioritySign</t>
  </si>
  <si>
    <t>signalDevice</t>
  </si>
  <si>
    <t>Signal Device</t>
  </si>
  <si>
    <t>Active signs, barriers, and/or lights at the intersection are used to control passage through the intersection.</t>
  </si>
  <si>
    <t>The signal devices (for example: stop lights) may be operated on a fixed schedule or may be sensitive to traffic conditions.</t>
  </si>
  <si>
    <t>CscCode_signalDevice</t>
  </si>
  <si>
    <t>stopSign</t>
  </si>
  <si>
    <t>Stop Sign</t>
  </si>
  <si>
    <t>Signs adjacent to, or prior to arrival at, the intersection are used to control traffic by requiring that all vehicles stop before entering.</t>
  </si>
  <si>
    <t>Once stopped, vehicle drivers are expected to follow 'rules of the road' to determine order of precedence for passage through the intersection. The signs are usually fixed and generally unlighted.</t>
  </si>
  <si>
    <t>CscCode_stopSign</t>
  </si>
  <si>
    <t>yieldSign</t>
  </si>
  <si>
    <t>Yield Sign</t>
  </si>
  <si>
    <t>Signs adjacent to, or prior to arrival at, the intersection are used to control traffic by requiring that all vehicles yield to crossing traffic.</t>
  </si>
  <si>
    <t>The signs are usually fixed and generally unlighted.</t>
  </si>
  <si>
    <t>CscCode_yieldSign</t>
  </si>
  <si>
    <t>closedInterval</t>
  </si>
  <si>
    <t>Closed Interval</t>
  </si>
  <si>
    <t>The bounded interval [minimimValue, maximumValue].</t>
  </si>
  <si>
    <t>IncCode_closedInterval</t>
  </si>
  <si>
    <t>gteSemiInterval</t>
  </si>
  <si>
    <t>Greater-than or Equal Semi-interval</t>
  </si>
  <si>
    <t>The unbounded interval [minimumValue, +infinity).</t>
  </si>
  <si>
    <t>The value supplied for the upper endpoint, if any, is not meaningful.</t>
  </si>
  <si>
    <t>IncCode_gteSemiInterval</t>
  </si>
  <si>
    <t>gtSemiInterval</t>
  </si>
  <si>
    <t>Greater-than Semi-interval</t>
  </si>
  <si>
    <t>The left half-open unbounded interval (minimumValue, +infinity).</t>
  </si>
  <si>
    <t>IncCode_gtSemiInterval</t>
  </si>
  <si>
    <t>gtToLteInterval</t>
  </si>
  <si>
    <t>Greater-than to Less-than-or-equal Interval</t>
  </si>
  <si>
    <t>The left half-open bounded interval (minimimValue, maximumValue].</t>
  </si>
  <si>
    <t>IncCode_gtToLteInterval</t>
  </si>
  <si>
    <t>gteToLtInterval</t>
  </si>
  <si>
    <t>Greater-than-or-equal to Less-than Interval</t>
  </si>
  <si>
    <t>The right half-open bounded interval [minimimValue, maximumValue).</t>
  </si>
  <si>
    <t>IncCode_gteToLtInterval</t>
  </si>
  <si>
    <t>lteSemiInterval</t>
  </si>
  <si>
    <t>Less-than or Equal Semi-interval</t>
  </si>
  <si>
    <t>The unbounded interval (-infinity, maximumValue].</t>
  </si>
  <si>
    <t>The value supplied for the lower endpoint, if any, is not meaningful.</t>
  </si>
  <si>
    <t>IncCode_lteSemiInterval</t>
  </si>
  <si>
    <t>ltSemiInterval</t>
  </si>
  <si>
    <t>Less-than Semi-interval</t>
  </si>
  <si>
    <t>The right half-open unbounded interval (-infinity, maximumValue).</t>
  </si>
  <si>
    <t>IncCode_ltSemiInterval</t>
  </si>
  <si>
    <t>openInterval</t>
  </si>
  <si>
    <t>Open Interval</t>
  </si>
  <si>
    <t>The bounded open interval (minimumValue, maximumValue).</t>
  </si>
  <si>
    <t>IncCode_openInterval</t>
  </si>
  <si>
    <t>singleValue</t>
  </si>
  <si>
    <t>Single Value</t>
  </si>
  <si>
    <t>A single value.</t>
  </si>
  <si>
    <t>Usually the same value is provided for both interval endpoints.</t>
  </si>
  <si>
    <t>IncCode_singleValue</t>
  </si>
  <si>
    <t>A tract that may be flooded by either the regulation of the level of water or by the planned release of water impounded by a dam.</t>
  </si>
  <si>
    <t>InuCode_controlled</t>
  </si>
  <si>
    <t>A tract that may be covered by naturally occurring flood water, excluding tidal waters.</t>
  </si>
  <si>
    <t>InuCode_natural</t>
  </si>
  <si>
    <t>centerPivot</t>
  </si>
  <si>
    <t>Center Pivot</t>
  </si>
  <si>
    <t>A form of overhead irrigation consisting of several segments of pipe (usually galvanized steel or aluminum) joined together and supported by trusses, mounted on wheeled towers with sprinklers positioned along its length, the system moving in a circular pattern and fed with water from the pivot point at the center of the arc.</t>
  </si>
  <si>
    <t>Most center pivot systems now have drops hanging from a u-shaped pipe called a gooseneck attached at the top of the pipe with sprinkler heads that are positioned a few feet (at most) above the crop, thus limiting evaporative losses. Drops can also be used with drag hoses or bubblers that deposit the water directly on the ground between crops. The crops are planted in a circle to conform to the center pivot.</t>
  </si>
  <si>
    <t>IrgCode_centerPivot</t>
  </si>
  <si>
    <t>drip</t>
  </si>
  <si>
    <t>Drip</t>
  </si>
  <si>
    <t>Water is applied slowly to the roots of plants, by depositing the water either on the soil surface or directly to the root zone, typically through the use of 'emitters' (which emit the water in a slow stream) or 'micro-sprinklers' (which spray water in a small area).</t>
  </si>
  <si>
    <t>This type of system can be the most water-efficient method of irrigation, if managed properly, since evaporation and runoff are minimized. Drip irrigation is often combined with plastic mulch, further reducing evaporation. Drip irrigation can also be accomplished using porous clay vessels sunk into the soil and occasionally filled from a hose or bucket.</t>
  </si>
  <si>
    <t>Trickle</t>
  </si>
  <si>
    <t>IrgCode_drip</t>
  </si>
  <si>
    <t>furrow</t>
  </si>
  <si>
    <t>Furrow</t>
  </si>
  <si>
    <t>Plants are grown in raised beds or listed rows (in the case of row crops) with water distributed throughout the field via ditches or pipes, and between the beds or rows using furrows.</t>
  </si>
  <si>
    <t>Where ditches are used, manually controlled siphon tubes may be used move water from the main ditch to the furrow. When pipes are used, water flow can be controlled by turning it on or off at the local source or by using automatic or manually controlled gates to transfer it from one set of ditches to another. Unless the field is small or very level, parts of it may suffer from water-logging while other parts may be too dry. Depending on heat, wind, and soil permeability, much water may be lost before it can benefit the plants.</t>
  </si>
  <si>
    <t>IrgCode_furrow</t>
  </si>
  <si>
    <t>lateralMove</t>
  </si>
  <si>
    <t>Lateral Move</t>
  </si>
  <si>
    <t>A form of overhead irrigation in which a series of pipes, each with a wheel of about 1.5 metre diameter permanently affixed to its midpoint and sprinklers along its length, are coupled together at one edge of a field with water supplied (for example: by using a large hose) at one end of the series. After sufficient water has been applied the assembly is rotated either by hand or with a purpose-built mechanism, so that the sprinklers move approximately 10 metres across the field, following which the water supply is reconnected. The process is repeated until the opposite edge of the field is reached.</t>
  </si>
  <si>
    <t>This system is less expensive to install than a center pivot, but much more labor intensive to operate, and it is limited in the amount of water it can carry. They are most often used for small or oddly-shaped fields, such as those found in hilly or mountainous regions, or in regions where labor is inexpensive.</t>
  </si>
  <si>
    <t>Side Roll, Wheel Line</t>
  </si>
  <si>
    <t>IrgCode_lateralMove</t>
  </si>
  <si>
    <t>linearMove</t>
  </si>
  <si>
    <t>Linear Move</t>
  </si>
  <si>
    <t>A form of overhead irrigation similar to center pivot irrigation in which the equipment is configured to move in a straight line, where the water is pulled from a central ditch.</t>
  </si>
  <si>
    <t>IrgCode_linearMove</t>
  </si>
  <si>
    <t>overhead</t>
  </si>
  <si>
    <t>Overhead</t>
  </si>
  <si>
    <t>Water is piped to one or more central locations within the field and distributed by overhead high-pressure sprinklers or guns or by lower-pressure sprays.</t>
  </si>
  <si>
    <t>A system utilizing sprinklers, sprays, or guns mounted overhead on permanently installed risers is often referred to as a 'solid-set' irrigation system. Manually assembled systems of piping that are broken down to permit tillage and harvesting are sometimes called 'hand set' or 'hand move pipe'. Some sprinklers can also be hidden below ground level, if aesthetics is a concern, and pop up in response to increased water pressure. Sprinklers that spray in a fixed pattern are generally called sprays or spray heads. Higher pressure sprinklers that rotate are called rotors and are driven by a ball drive, gear drive, or impact mechanism. Rotors can be designed to rotate in a full or partial circle. Guns are similar to rotors, except that they generally operate at very high pressures. One drawback of overhead irrigation is that much water can be lost because of high winds or evaporation, and irrigating the entire field uniformly can be difficult or tedious if the system is not properly designed. Water remaining on plants' leaves may promote fungal and other diseases.</t>
  </si>
  <si>
    <t>Sprinkler</t>
  </si>
  <si>
    <t>IrgCode_overhead</t>
  </si>
  <si>
    <t>subirrigation</t>
  </si>
  <si>
    <t>Subirrigation</t>
  </si>
  <si>
    <t>Water is delivered from below, absorbed upwards, and the excess collected for recycling.</t>
  </si>
  <si>
    <t>Typically, a solution of water and nutrients floods a container or flows through a trough for a short period of time, 10-20 minutes, and is then pumped back into a holding tank for reuse. It is similar in principle and action to subsurface drip irrigation, and results in mater and nutrient conservation. It is, for example, used in commercial greenhouse production, usually for potted plants.</t>
  </si>
  <si>
    <t>IrgCode_subirrigation</t>
  </si>
  <si>
    <t>terrace</t>
  </si>
  <si>
    <t>Terrace</t>
  </si>
  <si>
    <t>Large steps are cut into hillsides, supported by stone or concrete walls, and as water flows down the hillside it is channelled to each plot, most often by ditches.</t>
  </si>
  <si>
    <t>Terracing is usually very labor-intensive, since fields are small and access to them may be steep and narrow making it difficult to mechanize the work. In addition, the walls need constant maintenance, especially in rainy climates. However, terracing does allow steep mountainsides to be used to grow plants (although it may be more cost-effective to use them only for animal pasturage).</t>
  </si>
  <si>
    <t>IrgCode_terrace</t>
  </si>
  <si>
    <t>jasu_20_KVA</t>
  </si>
  <si>
    <t>20 KVA</t>
  </si>
  <si>
    <t>20 kva, 115-200v AC, 55.5 amp, 3 phase, 4 wire, 400 Hz.</t>
  </si>
  <si>
    <t>JatCode_jasu_20_KVA</t>
  </si>
  <si>
    <t>jasu_59B2_1B</t>
  </si>
  <si>
    <t>59B2-1B</t>
  </si>
  <si>
    <t>28v, 7.5 kw, 280 amp.</t>
  </si>
  <si>
    <t>JatCode_jasu_59B2_1B</t>
  </si>
  <si>
    <t>jasu_90G_20P</t>
  </si>
  <si>
    <t>90G-20P</t>
  </si>
  <si>
    <t>AC 115/200v 3 phase 400 Hz 90 kva.</t>
  </si>
  <si>
    <t>JatCode_jasu_90G_20P</t>
  </si>
  <si>
    <t>a_M32A_86</t>
  </si>
  <si>
    <t>A/M32A-86</t>
  </si>
  <si>
    <t>AC: 115/200v, 3 phase, 90 kva, 0.8 pf, 4 wire DC: 28v, 1500 amp, 72 kw (with TR pack).</t>
  </si>
  <si>
    <t>JatCode_a_M32A_86</t>
  </si>
  <si>
    <t>a_M47A_4</t>
  </si>
  <si>
    <t>A/M47A-4</t>
  </si>
  <si>
    <t>AIR: 195 lb/min @ 75 +/- 5 psia or 120-127 lb/min @ 45 +/- psia. AC: 115/208v, 15 kw, 0.75 pf. DC: 28V, 100 amp.</t>
  </si>
  <si>
    <t>JatCode_a_M47A_4</t>
  </si>
  <si>
    <t>40psi/1.5 lb per sec (Palouste, LPAS Mk 2A).</t>
  </si>
  <si>
    <t>JatCode_a1</t>
  </si>
  <si>
    <t>a2</t>
  </si>
  <si>
    <t>A2</t>
  </si>
  <si>
    <t>38 psi/2 lb per sec (LPAS Mk 10).</t>
  </si>
  <si>
    <t>JatCode_a2</t>
  </si>
  <si>
    <t>a3</t>
  </si>
  <si>
    <t>A3</t>
  </si>
  <si>
    <t>38.5 psi/2 lb per sec (LPAS Mk 11, LPAS Mk 4).</t>
  </si>
  <si>
    <t>JatCode_a3</t>
  </si>
  <si>
    <t>a_3AE</t>
  </si>
  <si>
    <t>A-3AE</t>
  </si>
  <si>
    <t>DC 24/28, 5v22/40kw.</t>
  </si>
  <si>
    <t>JatCode_a_3AE</t>
  </si>
  <si>
    <t>a4</t>
  </si>
  <si>
    <t>A4</t>
  </si>
  <si>
    <t>40 psi/2 lb/sec (LPAS Mk12, Mk12L, Mk12A, Mk1, Mk2B).</t>
  </si>
  <si>
    <t>JatCode_a4</t>
  </si>
  <si>
    <t>a5</t>
  </si>
  <si>
    <t>A5</t>
  </si>
  <si>
    <t>40-1200 psi (HP/LPAS 8 cylinder).</t>
  </si>
  <si>
    <t>JatCode_a5</t>
  </si>
  <si>
    <t>a6</t>
  </si>
  <si>
    <t>A6</t>
  </si>
  <si>
    <t>38.5 psi/2 lb/sec (LPOAS Mk 17).</t>
  </si>
  <si>
    <t>JatCode_a6</t>
  </si>
  <si>
    <t>ac_35</t>
  </si>
  <si>
    <t>AC-35</t>
  </si>
  <si>
    <t>Atlas Copco 35 psi/120 lb/min.</t>
  </si>
  <si>
    <t>JatCode_ac_35</t>
  </si>
  <si>
    <t>ace_37A</t>
  </si>
  <si>
    <t>ACE-37A</t>
  </si>
  <si>
    <t>3600 psi, 18000 cu in capacity.</t>
  </si>
  <si>
    <t>JatCode_ace_37A</t>
  </si>
  <si>
    <t>aeg_30_KVA</t>
  </si>
  <si>
    <t>AEG 30 KVA</t>
  </si>
  <si>
    <t>25-30 kA 72 A 115/200 v 3 phase current, 400hz 28, 5v 600/1200A DC.</t>
  </si>
  <si>
    <t>JatCode_aeg_30_KVA</t>
  </si>
  <si>
    <t>af_M32A_10</t>
  </si>
  <si>
    <t>AF/M32A-10</t>
  </si>
  <si>
    <t>AC: 115/208v, 400 cycle, 3 phase, 20 kva, 0.75 pf, 4 wire DC: 28v, 500 amp, 15 kw.</t>
  </si>
  <si>
    <t>JatCode_af_M32A_10</t>
  </si>
  <si>
    <t>af_M32M_10</t>
  </si>
  <si>
    <t>AF/M32M-10</t>
  </si>
  <si>
    <t>28v, 15kw 500 amp 115/200v 15kw 400 Hz 3 phase 20 kva at .75 PF 4 Wire.</t>
  </si>
  <si>
    <t>JatCode_af_M32M_10</t>
  </si>
  <si>
    <t>agpu</t>
  </si>
  <si>
    <t>AGPU</t>
  </si>
  <si>
    <t>AC: 115/200v, 400 cycle, 3 phase, 30 kw gen DC: 28v, 700 amp AIR: 60 lb/min @ 40 psig @ sea level.</t>
  </si>
  <si>
    <t>JatCode_agpu</t>
  </si>
  <si>
    <t>am32_95</t>
  </si>
  <si>
    <t>AM32-95</t>
  </si>
  <si>
    <t>150 +/- 5 lb/min (2055 +/- 68 cfm) @ 51 +/- 2 psia.</t>
  </si>
  <si>
    <t>JatCode_am32_95</t>
  </si>
  <si>
    <t>am32A_108</t>
  </si>
  <si>
    <t>AM32A-108</t>
  </si>
  <si>
    <t>DC: 750 amp constant, 1000 amp intermittent, 28v; AC: 90 kva, 115/200v, 3 phase, 400Hz.</t>
  </si>
  <si>
    <t>JatCode_am32A_108</t>
  </si>
  <si>
    <t>am32A_60</t>
  </si>
  <si>
    <t>AM32A-60</t>
  </si>
  <si>
    <t>AIR: 120 +/- 4 lb/min (1644 +/- 55 cfm) @ 49 +/- 2 psia AC: 120/208v, 400 cycle, 3 phase, 75 kva, 0.75 pf, 4 wire, 120v, 1 phase, 25 kva DC: 28v, 500 amp, 15 kw.</t>
  </si>
  <si>
    <t>JatCode_am32A_60</t>
  </si>
  <si>
    <t>am32A_60A</t>
  </si>
  <si>
    <t>AM32A-60A</t>
  </si>
  <si>
    <t>AIR: 150 +/- 5 lb/min (2055 +/- 68 cfm @ 51 +/- 2 psia AC: 120/208v, 400 cycle, 3 phase, 75 kva, 0.75 pf, 4 wire DC: 28v, 200 amp, 5.6 kw.</t>
  </si>
  <si>
    <t>JatCode_am32A_60A</t>
  </si>
  <si>
    <t>am32A_60B</t>
  </si>
  <si>
    <t>AM32A-60B</t>
  </si>
  <si>
    <t>AIR: 130 lb/min, 50 psia AC: 120/208v, 400 cycle, 3 phase, 75 kva, 0.75 pf, 4 wire DC: 28v, 200 amp, 5.6 kw.</t>
  </si>
  <si>
    <t>JatCode_am32A_60B</t>
  </si>
  <si>
    <t>am32A_95</t>
  </si>
  <si>
    <t>AM32A-95</t>
  </si>
  <si>
    <t>150 +/- 5 lb/min @ 49 +/- 2 psia (35 +/- psig).</t>
  </si>
  <si>
    <t>JatCode_am32A_95</t>
  </si>
  <si>
    <t>b10_or_B10A_or_B10B</t>
  </si>
  <si>
    <t>B10 or B10A or B10B</t>
  </si>
  <si>
    <t>28v, 7.5kw, 3kw, 110v: 115/200v, 40 kva at .75 PF, 400 Hz 3 phase 4 wire.</t>
  </si>
  <si>
    <t>JatCode_b10_or_B10A_or_B10B</t>
  </si>
  <si>
    <t>bc_3500</t>
  </si>
  <si>
    <t>BC-3500</t>
  </si>
  <si>
    <t>Technical data unknown.</t>
  </si>
  <si>
    <t>JatCode_bc_3500</t>
  </si>
  <si>
    <t>c_Cartridge</t>
  </si>
  <si>
    <t>C Cartridge</t>
  </si>
  <si>
    <t>Series 9 and 10.</t>
  </si>
  <si>
    <t>JatCode_c_Cartridge</t>
  </si>
  <si>
    <t>c1</t>
  </si>
  <si>
    <t>C1</t>
  </si>
  <si>
    <t>10 kva, 120/240v AC, 87 amp single phase, 400 Hz.</t>
  </si>
  <si>
    <t>JatCode_c1</t>
  </si>
  <si>
    <t>c1_Cartridge</t>
  </si>
  <si>
    <t>C1 Cartridge</t>
  </si>
  <si>
    <t>Percussion Nr 1, Mk 1.</t>
  </si>
  <si>
    <t>JatCode_c1_Cartridge</t>
  </si>
  <si>
    <t>c2_Cartridge</t>
  </si>
  <si>
    <t>C2 Cartridge</t>
  </si>
  <si>
    <t>Initiating 1 PN, Nr 2, Mk 2.</t>
  </si>
  <si>
    <t>JatCode_c2_Cartridge</t>
  </si>
  <si>
    <t>c_21</t>
  </si>
  <si>
    <t>C-21</t>
  </si>
  <si>
    <t>28v 11kw 2 Wire: 115/200v 8kw 2 Wire 380-900 Hz.</t>
  </si>
  <si>
    <t>JatCode_c_21</t>
  </si>
  <si>
    <t>c_21_B</t>
  </si>
  <si>
    <t>C-21-B</t>
  </si>
  <si>
    <t>11kw 28v DC: 8 kva 380/980 Hz 115v 1 phase AC.</t>
  </si>
  <si>
    <t>JatCode_c_21_B</t>
  </si>
  <si>
    <t>c_22</t>
  </si>
  <si>
    <t>C-22</t>
  </si>
  <si>
    <t>28v 22kw 800-1200 amp: 115/200v 8kw 70 amp 2 wire 380-900 Hz.</t>
  </si>
  <si>
    <t>JatCode_c_22</t>
  </si>
  <si>
    <t>c_22A</t>
  </si>
  <si>
    <t>C-22A</t>
  </si>
  <si>
    <t>JatCode_c_22A</t>
  </si>
  <si>
    <t>c_22B</t>
  </si>
  <si>
    <t>C-22B</t>
  </si>
  <si>
    <t>JatCode_c_22B</t>
  </si>
  <si>
    <t>c_26B</t>
  </si>
  <si>
    <t>C-26B</t>
  </si>
  <si>
    <t>AC: 115/208v, 380-800 cycles, 1 phase, 15 kva, 131 amp, 2 wire DC: 28v, 1500 amp, 45 kw.</t>
  </si>
  <si>
    <t>JatCode_c_26B</t>
  </si>
  <si>
    <t>c_26_B_or_C_26_C</t>
  </si>
  <si>
    <t>C-26-B or C-26-C</t>
  </si>
  <si>
    <t>28v 45kw: Split Bus: 115-200v 15kw 380-800 Hz 1 phase 2 wire.</t>
  </si>
  <si>
    <t>JatCode_c_26_B_or_C_26_C</t>
  </si>
  <si>
    <t>c_26B_1</t>
  </si>
  <si>
    <t>C-26B(1)</t>
  </si>
  <si>
    <t>28v 45kw 115-200v 15kw 380-800 Hz 1 phase 2 wire.</t>
  </si>
  <si>
    <t>JatCode_c_26B_1</t>
  </si>
  <si>
    <t>c_26_M</t>
  </si>
  <si>
    <t>C-26-M</t>
  </si>
  <si>
    <t>DC 28v 1000 amp.</t>
  </si>
  <si>
    <t>JatCode_c_26_M</t>
  </si>
  <si>
    <t>c3</t>
  </si>
  <si>
    <t>C3</t>
  </si>
  <si>
    <t>28/30v DC, 800/1000 amp, 24/30kw.</t>
  </si>
  <si>
    <t>JatCode_c3</t>
  </si>
  <si>
    <t>c3_Cartridge</t>
  </si>
  <si>
    <t>C3 Cartridge</t>
  </si>
  <si>
    <t>Initiating 1 PN, Nr 2, Mk 3.</t>
  </si>
  <si>
    <t>JatCode_c3_Cartridge</t>
  </si>
  <si>
    <t>c4_Cartridge</t>
  </si>
  <si>
    <t>C4 Cartridge</t>
  </si>
  <si>
    <t>Electric Nr 5, Mk 2.</t>
  </si>
  <si>
    <t>JatCode_c4_Cartridge</t>
  </si>
  <si>
    <t>c5_Cartridge</t>
  </si>
  <si>
    <t>C5 Cartridge</t>
  </si>
  <si>
    <t>Electric Nr 9, Mk 2.</t>
  </si>
  <si>
    <t>JatCode_c5_Cartridge</t>
  </si>
  <si>
    <t>c6_Cartridge</t>
  </si>
  <si>
    <t>C6 Cartridge</t>
  </si>
  <si>
    <t>Electric Nr 10, Mk 3.</t>
  </si>
  <si>
    <t>JatCode_c6_Cartridge</t>
  </si>
  <si>
    <t>c7_Cartridge</t>
  </si>
  <si>
    <t>C7 Cartridge</t>
  </si>
  <si>
    <t>Electric Nr 14, Mk 2.</t>
  </si>
  <si>
    <t>JatCode_c7_Cartridge</t>
  </si>
  <si>
    <t>ca1</t>
  </si>
  <si>
    <t>CA1</t>
  </si>
  <si>
    <t>MA1A 36-45 psig, 82-90 lb/min.</t>
  </si>
  <si>
    <t>JatCode_ca1</t>
  </si>
  <si>
    <t>ca2</t>
  </si>
  <si>
    <t>CA2</t>
  </si>
  <si>
    <t>ASA 45.5 psig, 116.4 lb/min.</t>
  </si>
  <si>
    <t>JatCode_ca2</t>
  </si>
  <si>
    <t>ca3</t>
  </si>
  <si>
    <t>CA3</t>
  </si>
  <si>
    <t>MC11 4000 psig, 15 cu ft/min.</t>
  </si>
  <si>
    <t>JatCode_ca3</t>
  </si>
  <si>
    <t>ce1</t>
  </si>
  <si>
    <t>CE1</t>
  </si>
  <si>
    <t>AC 115/200v, 37.5 kva, 400 Hz, 3 phase.</t>
  </si>
  <si>
    <t>JatCode_ce1</t>
  </si>
  <si>
    <t>ce10</t>
  </si>
  <si>
    <t>CE10</t>
  </si>
  <si>
    <t>AC 115/200v, 20 kva, 400 Hz, 3 phase.</t>
  </si>
  <si>
    <t>JatCode_ce10</t>
  </si>
  <si>
    <t>ce11</t>
  </si>
  <si>
    <t>CE11</t>
  </si>
  <si>
    <t>AC 120/208v, 8.8 kva, 400 Hz, 3 phase.</t>
  </si>
  <si>
    <t>JatCode_ce11</t>
  </si>
  <si>
    <t>ce12</t>
  </si>
  <si>
    <t>CE12</t>
  </si>
  <si>
    <t>AC 115/200v, 140 kva, 400 Hz, 3 phase.</t>
  </si>
  <si>
    <t>JatCode_ce12</t>
  </si>
  <si>
    <t>ce13</t>
  </si>
  <si>
    <t>CE13</t>
  </si>
  <si>
    <t>AC 115/200v, 60 kva, 400 Hz, 3 phase.</t>
  </si>
  <si>
    <t>JatCode_ce13</t>
  </si>
  <si>
    <t>ce14</t>
  </si>
  <si>
    <t>CE14</t>
  </si>
  <si>
    <t>AC/DC 115/200v, 140 kva, 400 Hz, 3 phase, 28vDC, 1500 amp.</t>
  </si>
  <si>
    <t>JatCode_ce14</t>
  </si>
  <si>
    <t>ce15</t>
  </si>
  <si>
    <t>CE15</t>
  </si>
  <si>
    <t>DC 22-35v, 500 amp continuous 1100 amp intermittent.</t>
  </si>
  <si>
    <t>JatCode_ce15</t>
  </si>
  <si>
    <t>ce16</t>
  </si>
  <si>
    <t>CE16</t>
  </si>
  <si>
    <t>DC 22-35v, 500 amp continuous 1100 amp intermittent soft start.</t>
  </si>
  <si>
    <t>JatCode_ce16</t>
  </si>
  <si>
    <t>ce2</t>
  </si>
  <si>
    <t>CE2</t>
  </si>
  <si>
    <t>AC 120/208v, 10kw, 400 Hz, 3 phase.</t>
  </si>
  <si>
    <t>JatCode_ce2</t>
  </si>
  <si>
    <t>ce3</t>
  </si>
  <si>
    <t>CE3</t>
  </si>
  <si>
    <t>AC 120/208v, 15kw, 400 Hz, 3 phase.</t>
  </si>
  <si>
    <t>JatCode_ce3</t>
  </si>
  <si>
    <t>ce4</t>
  </si>
  <si>
    <t>CE4</t>
  </si>
  <si>
    <t>AC 120/208v, 18 kva, 400 Hz, 3 phase.</t>
  </si>
  <si>
    <t>JatCode_ce4</t>
  </si>
  <si>
    <t>ce5</t>
  </si>
  <si>
    <t>CE5</t>
  </si>
  <si>
    <t>AC 120/208v, 10 kva, 400 Hz, 3 phase.</t>
  </si>
  <si>
    <t>JatCode_ce5</t>
  </si>
  <si>
    <t>ce6</t>
  </si>
  <si>
    <t>CE6</t>
  </si>
  <si>
    <t>AC 120/208v, 15 kva, 400 Hz, 3 phase.</t>
  </si>
  <si>
    <t>JatCode_ce6</t>
  </si>
  <si>
    <t>ce7</t>
  </si>
  <si>
    <t>CE7</t>
  </si>
  <si>
    <t>AC 115v, 5 kva, 400 Hz, 1 phase.</t>
  </si>
  <si>
    <t>JatCode_ce7</t>
  </si>
  <si>
    <t>ce8</t>
  </si>
  <si>
    <t>CE8</t>
  </si>
  <si>
    <t>AC 115/200v, 40 kva, 400 Hz, 3 phase.</t>
  </si>
  <si>
    <t>JatCode_ce8</t>
  </si>
  <si>
    <t>ce9</t>
  </si>
  <si>
    <t>CE9</t>
  </si>
  <si>
    <t>AC 120/208v, 37.5 kva, 400 Hz, 3 phase.</t>
  </si>
  <si>
    <t>JatCode_ce9</t>
  </si>
  <si>
    <t>cea1</t>
  </si>
  <si>
    <t>CEA1</t>
  </si>
  <si>
    <t>AC 120/208v, 60 kva, 400 Hz, 3 phase DC 28v, 75 amp AIR 112.5 lb/min, 47 psig.</t>
  </si>
  <si>
    <t>JatCode_cea1</t>
  </si>
  <si>
    <t>cea2</t>
  </si>
  <si>
    <t>CEA2</t>
  </si>
  <si>
    <t>AC 120/208v, 75 kva, 400 Hz, 3 phase AIR 116.4 lb/min, 47 psig.</t>
  </si>
  <si>
    <t>JatCode_cea2</t>
  </si>
  <si>
    <t>cm_Cartridge</t>
  </si>
  <si>
    <t>CM Cartridge</t>
  </si>
  <si>
    <t>Type MXU/4/A/A.</t>
  </si>
  <si>
    <t>JatCode_cm_Cartridge</t>
  </si>
  <si>
    <t>dsa_150</t>
  </si>
  <si>
    <t>DSA 150</t>
  </si>
  <si>
    <t>28v DC 25 amp, 115/208v AC 15 kva 400 Hz 3 phase 4 wire.</t>
  </si>
  <si>
    <t>JatCode_dsa_150</t>
  </si>
  <si>
    <t>dsa_300</t>
  </si>
  <si>
    <t>DSA 300</t>
  </si>
  <si>
    <t>28v DC 35 amp 115/200v 30 kva 400 Hz 3 phase 4 wire.</t>
  </si>
  <si>
    <t>JatCode_dsa_300</t>
  </si>
  <si>
    <t>dsa_560</t>
  </si>
  <si>
    <t>DSA 560</t>
  </si>
  <si>
    <t>16kw 28v DC 800 amp 115/200v AC 400 Hz 3 phase 4 wire.</t>
  </si>
  <si>
    <t>JatCode_dsa_560</t>
  </si>
  <si>
    <t>e1</t>
  </si>
  <si>
    <t>E1</t>
  </si>
  <si>
    <t>DC 24v, 200-600 amp.</t>
  </si>
  <si>
    <t>JatCode_e1</t>
  </si>
  <si>
    <t>e1_PacAustNewZea</t>
  </si>
  <si>
    <t>E1 (Pacific, Australia, New Zealand)</t>
  </si>
  <si>
    <t>28v DC Battery Cart.</t>
  </si>
  <si>
    <t>JatCode_e1_PacAustNewZea</t>
  </si>
  <si>
    <t>e10</t>
  </si>
  <si>
    <t>E10</t>
  </si>
  <si>
    <t>DC/AC 28v/200v 10kw/15 kva.</t>
  </si>
  <si>
    <t>JatCode_e10</t>
  </si>
  <si>
    <t>e10_PacAustNewZea</t>
  </si>
  <si>
    <t>E10 (Pacific, Australia, New Zealand)</t>
  </si>
  <si>
    <t>28v DC 14kw, 120/208v AC 45 kva.</t>
  </si>
  <si>
    <t>JatCode_e10_PacAustNewZea</t>
  </si>
  <si>
    <t>e11</t>
  </si>
  <si>
    <t>E11</t>
  </si>
  <si>
    <t>DC/AC 28v/200v 6kw/25 kva.</t>
  </si>
  <si>
    <t>JatCode_e11</t>
  </si>
  <si>
    <t>e11_PacAustNewZea</t>
  </si>
  <si>
    <t>E11 (Pacific, Australia, New Zealand)</t>
  </si>
  <si>
    <t>28v DC 15kw, 120/208v AC 15 kva.</t>
  </si>
  <si>
    <t>JatCode_e11_PacAustNewZea</t>
  </si>
  <si>
    <t>e12</t>
  </si>
  <si>
    <t>E12</t>
  </si>
  <si>
    <t>DC/AC 28v/200v 10kw/60 kva.</t>
  </si>
  <si>
    <t>JatCode_e12</t>
  </si>
  <si>
    <t>e12_PacAustNewZea</t>
  </si>
  <si>
    <t>E12 (Pacific, Australia, New Zealand)</t>
  </si>
  <si>
    <t>28v DC 15kw, 120/208v AC 75 kva.</t>
  </si>
  <si>
    <t>JatCode_e12_PacAustNewZea</t>
  </si>
  <si>
    <t>e13</t>
  </si>
  <si>
    <t>E13</t>
  </si>
  <si>
    <t>AC 115v/10 kva 2400 Hz.</t>
  </si>
  <si>
    <t>JatCode_e13</t>
  </si>
  <si>
    <t>e13_PacAustNewZea</t>
  </si>
  <si>
    <t>E13 (Pacific, Australia, New Zealand)</t>
  </si>
  <si>
    <t>28v DC 15kw, 120/208v AC 90 kva.</t>
  </si>
  <si>
    <t>JatCode_e13_PacAustNewZea</t>
  </si>
  <si>
    <t>e14</t>
  </si>
  <si>
    <t>E14</t>
  </si>
  <si>
    <t>AC 200v/30 kva.</t>
  </si>
  <si>
    <t>JatCode_e14</t>
  </si>
  <si>
    <t>e14_PacAustNewZea</t>
  </si>
  <si>
    <t>E14 (Pacific, Australia, New Zealand)</t>
  </si>
  <si>
    <t>28v DC 22.5kw, 120/208v AC 30 kva.</t>
  </si>
  <si>
    <t>JatCode_e14_PacAustNewZea</t>
  </si>
  <si>
    <t>e15_PacAustNewZea</t>
  </si>
  <si>
    <t>E15 (Pacific, Australia, New Zealand)</t>
  </si>
  <si>
    <t>28v DC 25kw, 120/208v AC 30 kva.</t>
  </si>
  <si>
    <t>JatCode_e15_PacAustNewZea</t>
  </si>
  <si>
    <t>e16_PacAustNewZea</t>
  </si>
  <si>
    <t>E16 (Pacific, Australia, New Zealand)</t>
  </si>
  <si>
    <t>28v DC 45kw, 120/208v AC 60 kva.</t>
  </si>
  <si>
    <t>JatCode_e16_PacAustNewZea</t>
  </si>
  <si>
    <t>e2</t>
  </si>
  <si>
    <t>E2</t>
  </si>
  <si>
    <t>DC 28v/9kw.</t>
  </si>
  <si>
    <t>JatCode_e2</t>
  </si>
  <si>
    <t>e2_PacAustNewZea</t>
  </si>
  <si>
    <t>E2 (Pacific, Australia, New Zealand)</t>
  </si>
  <si>
    <t>28v DC, 2.2kw.</t>
  </si>
  <si>
    <t>JatCode_e2_PacAustNewZea</t>
  </si>
  <si>
    <t>e3</t>
  </si>
  <si>
    <t>E3</t>
  </si>
  <si>
    <t>DC 28v/10kw.</t>
  </si>
  <si>
    <t>JatCode_e3</t>
  </si>
  <si>
    <t>e3_PacAustNewZea</t>
  </si>
  <si>
    <t>E3 (Pacific, Australia, New Zealand)</t>
  </si>
  <si>
    <t>28v DC, 7.5kw.</t>
  </si>
  <si>
    <t>JatCode_e3_PacAustNewZea</t>
  </si>
  <si>
    <t>e4</t>
  </si>
  <si>
    <t>E4</t>
  </si>
  <si>
    <t>DC 28v/20kw.</t>
  </si>
  <si>
    <t>JatCode_e4</t>
  </si>
  <si>
    <t>e4_PacAustNewZea</t>
  </si>
  <si>
    <t>E4 (Pacific, Australia, New Zealand)</t>
  </si>
  <si>
    <t>28v DC, 10kw.</t>
  </si>
  <si>
    <t>JatCode_e4_PacAustNewZea</t>
  </si>
  <si>
    <t>e5</t>
  </si>
  <si>
    <t>E5</t>
  </si>
  <si>
    <t>DC 28v/35kw.</t>
  </si>
  <si>
    <t>JatCode_e5</t>
  </si>
  <si>
    <t>e5_PacAustNewZea</t>
  </si>
  <si>
    <t>E5 (Pacific, Australia, New Zealand)</t>
  </si>
  <si>
    <t>28v DC, 15kw.</t>
  </si>
  <si>
    <t>JatCode_e5_PacAustNewZea</t>
  </si>
  <si>
    <t>e6</t>
  </si>
  <si>
    <t>E6</t>
  </si>
  <si>
    <t>DC 28v/112v 10/40kw.</t>
  </si>
  <si>
    <t>JatCode_e6</t>
  </si>
  <si>
    <t>e6_PacAustNewZea</t>
  </si>
  <si>
    <t>E6 (Pacific, Australia, New Zealand)</t>
  </si>
  <si>
    <t>Rectifier starting 28v DC 6kw/30kw Peak.</t>
  </si>
  <si>
    <t>JatCode_e6_PacAustNewZea</t>
  </si>
  <si>
    <t>e7</t>
  </si>
  <si>
    <t>E7</t>
  </si>
  <si>
    <t>DC 28v/112v 12/50kw.</t>
  </si>
  <si>
    <t>JatCode_e7</t>
  </si>
  <si>
    <t>e7_PacAustNewZea</t>
  </si>
  <si>
    <t>E7 (Pacific, Australia, New Zealand)</t>
  </si>
  <si>
    <t>Underground Power, 28v DC 15kw, 120/208 VAC 50 kva.</t>
  </si>
  <si>
    <t>JatCode_e7_PacAustNewZea</t>
  </si>
  <si>
    <t>e8</t>
  </si>
  <si>
    <t>E8</t>
  </si>
  <si>
    <t>DC 28v/112v 6/44kw.</t>
  </si>
  <si>
    <t>JatCode_e8</t>
  </si>
  <si>
    <t>e8_PacAustNewZea</t>
  </si>
  <si>
    <t>E8 (Pacific, Australia, New Zealand)</t>
  </si>
  <si>
    <t>28v DC 10kw, 120/208v AC 60 kva.</t>
  </si>
  <si>
    <t>JatCode_e8_PacAustNewZea</t>
  </si>
  <si>
    <t>e9</t>
  </si>
  <si>
    <t>E9</t>
  </si>
  <si>
    <t>DC 24v.</t>
  </si>
  <si>
    <t>JatCode_e9</t>
  </si>
  <si>
    <t>e9_PacAustNewZea</t>
  </si>
  <si>
    <t>E9 (Pacific, Australia, New Zealand)</t>
  </si>
  <si>
    <t>JatCode_e9_PacAustNewZea</t>
  </si>
  <si>
    <t>ea1_PacAustNewZea</t>
  </si>
  <si>
    <t>EA1 (Pacific, Australia, New Zealand)</t>
  </si>
  <si>
    <t>7.8kw, 28v, 280 amp.</t>
  </si>
  <si>
    <t>JatCode_ea1_PacAustNewZea</t>
  </si>
  <si>
    <t>ea3_or_EA3A_PacAustNewZea</t>
  </si>
  <si>
    <t>EA3, EA3A (Pacific, Australia, New Zealand)</t>
  </si>
  <si>
    <t>22kw, 28v, 800-1200 amp.</t>
  </si>
  <si>
    <t>JatCode_ea3_or_EA3A_PacAustNewZea</t>
  </si>
  <si>
    <t>ea7_PacAustNewZea</t>
  </si>
  <si>
    <t>EA7 (Pacific, Australia, New Zealand)</t>
  </si>
  <si>
    <t>28v 1050 amp DC.</t>
  </si>
  <si>
    <t>JatCode_ea7_PacAustNewZea</t>
  </si>
  <si>
    <t>ecu_9M_PacAustNewZea</t>
  </si>
  <si>
    <t>ECU-9M (Pacific, Australia, New Zealand)</t>
  </si>
  <si>
    <t>28v 1000 amp: 220v, 130 amp, 440v 64 amp.</t>
  </si>
  <si>
    <t>JatCode_ecu_9M_PacAustNewZea</t>
  </si>
  <si>
    <t>ernst</t>
  </si>
  <si>
    <t>ERNST</t>
  </si>
  <si>
    <t>20 kva - 45 kva 115/280v, 400 Hz, 10 kw 28v DC.</t>
  </si>
  <si>
    <t>JatCode_ernst</t>
  </si>
  <si>
    <t>essex809</t>
  </si>
  <si>
    <t>Essex 809</t>
  </si>
  <si>
    <t>AC: 120/208v, 400 cycle, 3 phase, 90 kva DC: 28.5v, 1050 amp continuous, 2250 amp peak 270v, 259 amp.</t>
  </si>
  <si>
    <t>JatCode_essex809</t>
  </si>
  <si>
    <t>f1_Cartridge</t>
  </si>
  <si>
    <t>F1 Cartridge</t>
  </si>
  <si>
    <t>AVPIN Fluid.</t>
  </si>
  <si>
    <t>JatCode_f1_Cartridge</t>
  </si>
  <si>
    <t>f_52372</t>
  </si>
  <si>
    <t>F-52372</t>
  </si>
  <si>
    <t>182 lb/min 52.8 psia.</t>
  </si>
  <si>
    <t>JatCode_f_52372</t>
  </si>
  <si>
    <t>g_10</t>
  </si>
  <si>
    <t>G-10</t>
  </si>
  <si>
    <t>10kw 28v DC Mk 4.</t>
  </si>
  <si>
    <t>JatCode_g_10</t>
  </si>
  <si>
    <t>g_38_PacAustNewZea</t>
  </si>
  <si>
    <t>G-38 (Pacific, Australia, New Zealand)</t>
  </si>
  <si>
    <t>38kw 24/28/32v DC 800/1000/1200 amp.</t>
  </si>
  <si>
    <t>JatCode_g_38_PacAustNewZea</t>
  </si>
  <si>
    <t>g_40</t>
  </si>
  <si>
    <t>G-40</t>
  </si>
  <si>
    <t>40kw DC 1425 amp 28v.</t>
  </si>
  <si>
    <t>JatCode_g_40</t>
  </si>
  <si>
    <t>g_6_PacAustNewZea</t>
  </si>
  <si>
    <t>G-6 (Pacific, Australia, New Zealand)</t>
  </si>
  <si>
    <t>6kw 28v DC Mk 3.</t>
  </si>
  <si>
    <t>JatCode_g_6_PacAustNewZea</t>
  </si>
  <si>
    <t>g_91_Cartridge</t>
  </si>
  <si>
    <t>G-91 Cartridge</t>
  </si>
  <si>
    <t>Cartridge (Shotgun).</t>
  </si>
  <si>
    <t>JatCode_g_91_Cartridge</t>
  </si>
  <si>
    <t>gpe_160</t>
  </si>
  <si>
    <t>GPE-160</t>
  </si>
  <si>
    <t>60 kva AC 120/20v, 3 phase 400 Hz AIR 112 lb/min @ 47 psi may have 28v max 1000 amp DC.</t>
  </si>
  <si>
    <t>JatCode_gpe_160</t>
  </si>
  <si>
    <t>gsu_160</t>
  </si>
  <si>
    <t>GSU-160</t>
  </si>
  <si>
    <t>47 lb sq in, 112 lb/min.</t>
  </si>
  <si>
    <t>JatCode_gsu_160</t>
  </si>
  <si>
    <t>gtc_85_GTE_85</t>
  </si>
  <si>
    <t>GTC-85/GTE-85</t>
  </si>
  <si>
    <t>120 lbs/min @ 45 psi.</t>
  </si>
  <si>
    <t>JatCode_gtc_85_GTE_85</t>
  </si>
  <si>
    <t>houchin_265_3488249</t>
  </si>
  <si>
    <t>Houchin 265/3488249</t>
  </si>
  <si>
    <t>75kVA 115/200 V 3 phase current 400hz 20v 800/2000A DC.</t>
  </si>
  <si>
    <t>JatCode_houchin_265_3488249</t>
  </si>
  <si>
    <t>jas</t>
  </si>
  <si>
    <t>JAS</t>
  </si>
  <si>
    <t>Turbo Compressor, 35 psi/124 lb/min.</t>
  </si>
  <si>
    <t>JatCode_jas</t>
  </si>
  <si>
    <t>jeas</t>
  </si>
  <si>
    <t>JEAS</t>
  </si>
  <si>
    <t>2100 psia 99 lb/min.</t>
  </si>
  <si>
    <t>JatCode_jeas</t>
  </si>
  <si>
    <t>km1</t>
  </si>
  <si>
    <t>KM1</t>
  </si>
  <si>
    <t>30 kva, 115/200v AC 87 amp, 3 phase 4 wire, 400 Hz; 182 Air HP, 121 lb/min, 48 psi.</t>
  </si>
  <si>
    <t>JatCode_km1</t>
  </si>
  <si>
    <t>km2</t>
  </si>
  <si>
    <t>KM2</t>
  </si>
  <si>
    <t>JatCode_km2</t>
  </si>
  <si>
    <t>km3</t>
  </si>
  <si>
    <t>KM3</t>
  </si>
  <si>
    <t>JatCode_km3</t>
  </si>
  <si>
    <t>km4</t>
  </si>
  <si>
    <t>KM4</t>
  </si>
  <si>
    <t>15 kva, 115/200v AC 54.2 amp, 3 phase 4 wire, 117 lb/min, 48 psi.</t>
  </si>
  <si>
    <t>JatCode_km4</t>
  </si>
  <si>
    <t>iass</t>
  </si>
  <si>
    <t>LASS</t>
  </si>
  <si>
    <t>150 +/- 5 lb/min @ 49 +/- 2 psia.</t>
  </si>
  <si>
    <t>JatCode_iass</t>
  </si>
  <si>
    <t>m32A_13</t>
  </si>
  <si>
    <t>M32A-13</t>
  </si>
  <si>
    <t>28v, 150v 300/140v 22 kva 115/200v 400 Hz 3 phase.</t>
  </si>
  <si>
    <t>JatCode_m32A_13</t>
  </si>
  <si>
    <t>ma_1</t>
  </si>
  <si>
    <t>MA-1</t>
  </si>
  <si>
    <t>150 Air HP, 115 lb/min 50 psia.</t>
  </si>
  <si>
    <t>JatCode_ma_1</t>
  </si>
  <si>
    <t>ma_1A</t>
  </si>
  <si>
    <t>MA-1A</t>
  </si>
  <si>
    <t>82 lb/min (1123 cfm) at 130 degrees air inlet temp, 45 psia (min) air outlet press.</t>
  </si>
  <si>
    <t>JatCode_ma_1A</t>
  </si>
  <si>
    <t>ma_1MPSU</t>
  </si>
  <si>
    <t>MA-1MPSU</t>
  </si>
  <si>
    <t>28v 500-1000 amp Split Bus 115/200v 25 kw 3 phase 400 Hz 4 Wire, 30 kva 3500 psi 45 psia 1150 Air HP 117 lb/min 13 CFM.</t>
  </si>
  <si>
    <t>JatCode_ma_1MPSU</t>
  </si>
  <si>
    <t>ma_2</t>
  </si>
  <si>
    <t>MA-2</t>
  </si>
  <si>
    <t>250 Air HP, 150 lb/min 75 psia.</t>
  </si>
  <si>
    <t>JatCode_ma_2</t>
  </si>
  <si>
    <t>ma_2MPSU</t>
  </si>
  <si>
    <t>MA-2MPSU</t>
  </si>
  <si>
    <t>30 kva AC 115/200v 3 phase 400 Hz AIR 110 lb/min @ 25 psi and 28v 500/1000 amp DC.</t>
  </si>
  <si>
    <t>JatCode_ma_2MPSU</t>
  </si>
  <si>
    <t>ma_3MPSU</t>
  </si>
  <si>
    <t>MA-3MPSU</t>
  </si>
  <si>
    <t>AIR: 150 lb/min, 13.5 cfm, 60 psia AC: 115/208v, 400 cycle, 3 phase, 60 kva DC: 28v, 1000 amp, 30 kw.</t>
  </si>
  <si>
    <t>JatCode_ma_3MPSU</t>
  </si>
  <si>
    <t>mb_1</t>
  </si>
  <si>
    <t>MB-1</t>
  </si>
  <si>
    <t>500 cu in cap, 3500 psig, 15 cfm.</t>
  </si>
  <si>
    <t>JatCode_mb_1</t>
  </si>
  <si>
    <t>mb_9</t>
  </si>
  <si>
    <t>MB-9</t>
  </si>
  <si>
    <t>4.01 cu ft cap (6930 cu in cap), 5 cfm.</t>
  </si>
  <si>
    <t>JatCode_mb_9</t>
  </si>
  <si>
    <t>mc_1</t>
  </si>
  <si>
    <t>MC-1</t>
  </si>
  <si>
    <t>15 cfm, 3500 psia.</t>
  </si>
  <si>
    <t>JatCode_mc_1</t>
  </si>
  <si>
    <t>mc_1_Modified</t>
  </si>
  <si>
    <t>MC-1 (Modified)</t>
  </si>
  <si>
    <t>5,000 cu in cap, 3500 psia, 15 cfm.</t>
  </si>
  <si>
    <t>JatCode_mc_1_Modified</t>
  </si>
  <si>
    <t>mc_11</t>
  </si>
  <si>
    <t>MC-11</t>
  </si>
  <si>
    <t>8,000 cu in cap, 4000 psig, 15 cfm.</t>
  </si>
  <si>
    <t>JatCode_mc_11</t>
  </si>
  <si>
    <t>mc_1A</t>
  </si>
  <si>
    <t>MC-1A</t>
  </si>
  <si>
    <t>AC: 115/208v, 400 cycle, 3 phase, 37.5 kva, 0.8 pf, 108 amp, 4 wire DC: 28v, 500 amp, 14 kw.</t>
  </si>
  <si>
    <t>JatCode_mc_1A</t>
  </si>
  <si>
    <t>mc_1A_1</t>
  </si>
  <si>
    <t>MC-1A(1)</t>
  </si>
  <si>
    <t>JatCode_mc_1A_1</t>
  </si>
  <si>
    <t>mc_2A</t>
  </si>
  <si>
    <t>MC-2A</t>
  </si>
  <si>
    <t>15 cfm, 200 psia.</t>
  </si>
  <si>
    <t>JatCode_mc_2A</t>
  </si>
  <si>
    <t>mc_8A_A1</t>
  </si>
  <si>
    <t>MC-8A/A1</t>
  </si>
  <si>
    <t>DC: 500 amp constant, 750 amp intermittent, 28v; AC: 60 kva @ .8 pf, 115/200v, 3 phase, 400 Hz.</t>
  </si>
  <si>
    <t>JatCode_mc_8A_A1</t>
  </si>
  <si>
    <t>md_1</t>
  </si>
  <si>
    <t>MD-1</t>
  </si>
  <si>
    <t>AC: 120/208v, 400 cycle, 3 phase, 6.25 kva, 0.8 pf.</t>
  </si>
  <si>
    <t>JatCode_md_1</t>
  </si>
  <si>
    <t>md_2</t>
  </si>
  <si>
    <t>MD-2</t>
  </si>
  <si>
    <t>AC: 120/208v, 400 cycle, 3 phase, 10 kva, 0.8 pf.</t>
  </si>
  <si>
    <t>JatCode_md_2</t>
  </si>
  <si>
    <t>md_3</t>
  </si>
  <si>
    <t>MD-3</t>
  </si>
  <si>
    <t>AC: 115/208v, 400 cycle, 3 phase, 60 kva, 0.75 pf, 4 wire DC: 28v, 1500 amp, 45 kw, split bus.</t>
  </si>
  <si>
    <t>JatCode_md_3</t>
  </si>
  <si>
    <t>md_3A</t>
  </si>
  <si>
    <t>MD-3A</t>
  </si>
  <si>
    <t>JatCode_md_3A</t>
  </si>
  <si>
    <t>md_3B</t>
  </si>
  <si>
    <t>MD-3B</t>
  </si>
  <si>
    <t>AC: 115/208v, 400 cycle, 3 phase, 60 kva, 4 wire DC: 28v, 500 amp.</t>
  </si>
  <si>
    <t>JatCode_md_3B</t>
  </si>
  <si>
    <t>md_3M</t>
  </si>
  <si>
    <t>MD-3M</t>
  </si>
  <si>
    <t>AC: 115/208v, 400 cycle, 3 phase, 60 kva, 0.75 pf, 4 wire DC: 28v, 500 amp, 15 kw.</t>
  </si>
  <si>
    <t>JatCode_md_3M</t>
  </si>
  <si>
    <t>md_4</t>
  </si>
  <si>
    <t>MD-4</t>
  </si>
  <si>
    <t>AC: 120/208v, 400 cycle, 3 phase, 62.5 kva, 0.8 pf, 175 amp, 'WYE' neutral ground, 4 wire, 120v, 400 cycle, 3 phase, 62.5 kva, 0.8 pf, 303 amp, 'DELTA' 3 wire, 120v, 400 cycle, 1 phase, 62.5 kva, 0.8 pf, 520 amp, 2 wire.</t>
  </si>
  <si>
    <t>JatCode_md_4</t>
  </si>
  <si>
    <t>mep_116A</t>
  </si>
  <si>
    <t>MEP-116A</t>
  </si>
  <si>
    <t>AC: 115/208v and 240/446v, 400 cycle, 3 phase, 100 kw, 0.8 pf.</t>
  </si>
  <si>
    <t>JatCode_mep_116A</t>
  </si>
  <si>
    <t>mj_1</t>
  </si>
  <si>
    <t>MJ-1</t>
  </si>
  <si>
    <t>3000-5000 psi, 30 GPM Flow, 110 HP.</t>
  </si>
  <si>
    <t>JatCode_mj_1</t>
  </si>
  <si>
    <t>mmg_1_1A</t>
  </si>
  <si>
    <t>MMG-1/1A</t>
  </si>
  <si>
    <t>DC: 500 amp constant, 1000 amp intermittent, 28v; AC: 60 kva @ .8 pf, 115/200v, 3 phase 400 Hz; Input (AC): 220/400v, 3-phase, 60 Hz.</t>
  </si>
  <si>
    <t>JatCode_mmg_1_1A</t>
  </si>
  <si>
    <t>mmg_2</t>
  </si>
  <si>
    <t>MMG-2</t>
  </si>
  <si>
    <t>DC: 500 amp constant, 28v, AC: 30 kva @ .8 pf, 115/200v, 3 phase, 400 Hz; Input (AC): 220/400v, 3 phase, 60 Hz.</t>
  </si>
  <si>
    <t>JatCode_mmg_2</t>
  </si>
  <si>
    <t>msu_200NAV_A_UA47A_5</t>
  </si>
  <si>
    <t>MSU-200NAV/A/UA47A-5</t>
  </si>
  <si>
    <t>204 lb/min @ 56 psia.</t>
  </si>
  <si>
    <t>JatCode_msu_200NAV_A_UA47A_5</t>
  </si>
  <si>
    <t>mxu_129A_Cartridge</t>
  </si>
  <si>
    <t>MXU-129A Cartridge</t>
  </si>
  <si>
    <t>USAF.</t>
  </si>
  <si>
    <t>JatCode_mxu_129A_Cartridge</t>
  </si>
  <si>
    <t>mxu_4A_Cartridge</t>
  </si>
  <si>
    <t>MXU-4A Cartridge</t>
  </si>
  <si>
    <t>JatCode_mxu_4A_Cartridge</t>
  </si>
  <si>
    <t>nc_10A_A1_B_C</t>
  </si>
  <si>
    <t>NC-10A/A1/B/C</t>
  </si>
  <si>
    <t>DC: 750 amp constant, 1000 amp intermittent, 28v; AC: 90 kva, 115/200v, 3 phase, 400 Hz.</t>
  </si>
  <si>
    <t>JatCode_nc_10A_A1_B_C</t>
  </si>
  <si>
    <t>ncpp_105_RCPT</t>
  </si>
  <si>
    <t>NCPP-105/RCPT</t>
  </si>
  <si>
    <t>180 lbs/min @ 75 psi or 120 lbs/min @ 45 psi. 700 amp, 28v DC. 120/208v, 400 Hz AC, 30 kva.</t>
  </si>
  <si>
    <t>JatCode_ncpp_105_RCPT</t>
  </si>
  <si>
    <t>pe_75_PacAustNewZea</t>
  </si>
  <si>
    <t>PE-75 (Pacific, Australia, New Zealand)</t>
  </si>
  <si>
    <t>AC 120v 22 amp.</t>
  </si>
  <si>
    <t>JatCode_pe_75_PacAustNewZea</t>
  </si>
  <si>
    <t>rst_180</t>
  </si>
  <si>
    <t>RST-180</t>
  </si>
  <si>
    <t>75 kva AC 115/200v 400 Hz AIR 145-155 lb/min @ 47-51 psi.</t>
  </si>
  <si>
    <t>JatCode_rst_180</t>
  </si>
  <si>
    <t>sgnsc</t>
  </si>
  <si>
    <t>SGNSC</t>
  </si>
  <si>
    <t>42 cfm, 200 psig max.</t>
  </si>
  <si>
    <t>JatCode_sgnsc</t>
  </si>
  <si>
    <t>st_22_28_PacAustNewZea</t>
  </si>
  <si>
    <t>ST-22/28 (Pacific, Australia, New Zealand)</t>
  </si>
  <si>
    <t>22kw 28v DC.</t>
  </si>
  <si>
    <t>JatCode_st_22_28_PacAustNewZea</t>
  </si>
  <si>
    <t>st_38_PacAustNewZea</t>
  </si>
  <si>
    <t>ST-38 (Pacific, Australia, New Zealand)</t>
  </si>
  <si>
    <t>38kw 22/28/33v DC 800/1000/1200 amp.</t>
  </si>
  <si>
    <t>JatCode_st_38_PacAustNewZea</t>
  </si>
  <si>
    <t>st_45_PacAustNewZea</t>
  </si>
  <si>
    <t>ST-45 (Pacific, Australia, New Zealand)</t>
  </si>
  <si>
    <t>45kw 28v DC 60 kva 400 Hz 115/200v 3 phase AC.</t>
  </si>
  <si>
    <t>JatCode_st_45_PacAustNewZea</t>
  </si>
  <si>
    <t>st_56_PacAustNewZea</t>
  </si>
  <si>
    <t>ST-56 (Pacific, Australia, New Zealand)</t>
  </si>
  <si>
    <t>56kw 28v DC 700-1500 amp.</t>
  </si>
  <si>
    <t>JatCode_st_56_PacAustNewZea</t>
  </si>
  <si>
    <t>st_60_PacAustNewZea</t>
  </si>
  <si>
    <t>ST-60 (Pacific, Australia, New Zealand)</t>
  </si>
  <si>
    <t>45kw 28v DC 60 kva 400 plus/minus 1 Hz 115/200v 1 or 3 phase AC.</t>
  </si>
  <si>
    <t>JatCode_st_60_PacAustNewZea</t>
  </si>
  <si>
    <t>str_30_PacAustNewZea</t>
  </si>
  <si>
    <t>STR-30 (Pacific, Australia, New Zealand)</t>
  </si>
  <si>
    <t>STRUVER 30 kva 115v AC 400 Hz 3 phase.</t>
  </si>
  <si>
    <t>JatCode_str_30_PacAustNewZea</t>
  </si>
  <si>
    <t>str_45_PacAustNewZea</t>
  </si>
  <si>
    <t>STR-45 (Pacific, Australia, New Zealand)</t>
  </si>
  <si>
    <t>STRUVER 45 kva 115v AC 400 Hz 3 phase.</t>
  </si>
  <si>
    <t>JatCode_str_45_PacAustNewZea</t>
  </si>
  <si>
    <t>tasu</t>
  </si>
  <si>
    <t>TASU</t>
  </si>
  <si>
    <t>Turbine Air Starting Unit.</t>
  </si>
  <si>
    <t>JatCode_tasu</t>
  </si>
  <si>
    <t>tc1_PacAustNewZea</t>
  </si>
  <si>
    <t>TC1 (Pacific, Australia, New Zealand)</t>
  </si>
  <si>
    <t>30v DC, 800 amp, 24kw.</t>
  </si>
  <si>
    <t>JatCode_tc1_PacAustNewZea</t>
  </si>
  <si>
    <t>tc_50</t>
  </si>
  <si>
    <t>TC-50</t>
  </si>
  <si>
    <t>Turbo Compressor.</t>
  </si>
  <si>
    <t>JatCode_tc_50</t>
  </si>
  <si>
    <t>u1000_PacAustNewZea</t>
  </si>
  <si>
    <t>U1000 (Pacific, Australia, New Zealand)</t>
  </si>
  <si>
    <t>DC 600 1200 amp 28v.</t>
  </si>
  <si>
    <t>JatCode_u1000_PacAustNewZea</t>
  </si>
  <si>
    <t>u1003_PacAustNewZea</t>
  </si>
  <si>
    <t>U1003 (Pacific, Australia, New Zealand)</t>
  </si>
  <si>
    <t>JatCode_u1003_PacAustNewZea</t>
  </si>
  <si>
    <t>wellsAirStart</t>
  </si>
  <si>
    <t>Wells Air Start</t>
  </si>
  <si>
    <t>180 lbs/min @ 75 psi or 120 lbs/min @ 45 psi; simultaneous multiple system start capability.</t>
  </si>
  <si>
    <t>JatCode_wellsAirStart</t>
  </si>
  <si>
    <t>antiAircraft</t>
  </si>
  <si>
    <t>Anti-aircraft</t>
  </si>
  <si>
    <t>A mine designed to act against aircrafts (for example: helicopters).</t>
  </si>
  <si>
    <t>It may be activated by the downward air pressure from an active helicopter rotor.</t>
  </si>
  <si>
    <t>LmtCode_antiAircraft</t>
  </si>
  <si>
    <t>antiBoat</t>
  </si>
  <si>
    <t>Anti-boat</t>
  </si>
  <si>
    <t>A mine designed to work in inland waterbodies (for example: rivers) against boats and ships.</t>
  </si>
  <si>
    <t>These mines are no naval mines and floating down a stream, etc.</t>
  </si>
  <si>
    <t>LmtCode_antiBoat</t>
  </si>
  <si>
    <t>antiPersonnel</t>
  </si>
  <si>
    <t>Anti-personnel</t>
  </si>
  <si>
    <t>Designed to kill or incapacitate dismounted soldiers, and on occasion civilians.</t>
  </si>
  <si>
    <t>LmtCode_antiPersonnel</t>
  </si>
  <si>
    <t>antiTank</t>
  </si>
  <si>
    <t>Anti-tank</t>
  </si>
  <si>
    <t>Designed to immobilize or destroy battle tanks and their occupants.</t>
  </si>
  <si>
    <t>LmtCode_antiTank</t>
  </si>
  <si>
    <t>antiTankSmart</t>
  </si>
  <si>
    <t>Anti-tank Smart</t>
  </si>
  <si>
    <t>A 'smart' anti-tank mine designed to produce a mobility or catastrophic kill by a top or side attack when a target vehicle activates the fuse with acoustic or seismic signals.</t>
  </si>
  <si>
    <t>When activated, an infrared-sensored, explosive-formed penetrating or a shaped-charge rocket warhead sublet is launched and the warhead acquires the target.</t>
  </si>
  <si>
    <t>LmtCode_antiTankSmart</t>
  </si>
  <si>
    <t>decoy</t>
  </si>
  <si>
    <t>Decoy</t>
  </si>
  <si>
    <t>A mine designed to act as a phony or decoy.</t>
  </si>
  <si>
    <t>Employed to entice or deceive the enemy.</t>
  </si>
  <si>
    <t>LmtCode_decoy</t>
  </si>
  <si>
    <t>dualAntiTankAntiPersonnel</t>
  </si>
  <si>
    <t>Dual Anti-tank and Anti-personnel</t>
  </si>
  <si>
    <t>Designed to immobilize or destroy battle tanks and/or dismounted soldiers, and on occasion civilians.</t>
  </si>
  <si>
    <t>LmtCode_dualAntiTankAntiPersonnel</t>
  </si>
  <si>
    <t>practice</t>
  </si>
  <si>
    <t>Practice</t>
  </si>
  <si>
    <t>A disarmed mine that is used for practice purposes.</t>
  </si>
  <si>
    <t>LmtCode_practice</t>
  </si>
  <si>
    <t>wideArea</t>
  </si>
  <si>
    <t>Wide Area</t>
  </si>
  <si>
    <t>Dispersed by field artillery and using ground sensors (for example: seismic, acoustic, and/or magnetic) to activate itself against moving targets within a designated range.</t>
  </si>
  <si>
    <t>LmtCode_wideArea</t>
  </si>
  <si>
    <t>agricultureExpansion</t>
  </si>
  <si>
    <t>Agriculture Expansion</t>
  </si>
  <si>
    <t>The land reclamation predominantly for its future use for agricultural purposes.</t>
  </si>
  <si>
    <t>PrlCode_agricultureExpansion</t>
  </si>
  <si>
    <t>residentialAreaExpansion</t>
  </si>
  <si>
    <t>Residential Area Expansion</t>
  </si>
  <si>
    <t>The land reclamation predominantly for its future use for residential purposes.</t>
  </si>
  <si>
    <t>PrlCode_residentialAreaExpansion</t>
  </si>
  <si>
    <t>transportExpansion</t>
  </si>
  <si>
    <t>Transport Expansion</t>
  </si>
  <si>
    <t>The land reclamation predominantly for its future use for transport facilities.</t>
  </si>
  <si>
    <t>PrlCode_transportExpansion</t>
  </si>
  <si>
    <t>archipelago</t>
  </si>
  <si>
    <t>Archipelago</t>
  </si>
  <si>
    <t>Any sea or water studded with islands.</t>
  </si>
  <si>
    <t>AtpCode_archipelago</t>
  </si>
  <si>
    <t>badlands</t>
  </si>
  <si>
    <t>Badlands</t>
  </si>
  <si>
    <t>An area characterized by a maze of very closely spaced, deep, narrow, steep-sided erosional ravines, and sharp crests and pinnacles.</t>
  </si>
  <si>
    <t>AtpCode_badlands</t>
  </si>
  <si>
    <t>bogArea</t>
  </si>
  <si>
    <t>Bog area</t>
  </si>
  <si>
    <t>AtpCode_bogArea</t>
  </si>
  <si>
    <t>coast</t>
  </si>
  <si>
    <t>Coast</t>
  </si>
  <si>
    <t>A zone of variable width straddling the shoreline.</t>
  </si>
  <si>
    <t>For example, Barbary Coast or Costa del Sol.</t>
  </si>
  <si>
    <t>AtpCode_coast</t>
  </si>
  <si>
    <t>depression</t>
  </si>
  <si>
    <t>A hollow place on the earth's surface.</t>
  </si>
  <si>
    <t>AtpCode_depression</t>
  </si>
  <si>
    <t>desert</t>
  </si>
  <si>
    <t>AtpCode_desert</t>
  </si>
  <si>
    <t>duneArea</t>
  </si>
  <si>
    <t>Dune Area</t>
  </si>
  <si>
    <t>A region of wind-shaped ridges of sand, situated at sea coasts or in deserts.</t>
  </si>
  <si>
    <t>AtpCode_duneArea</t>
  </si>
  <si>
    <t>glacierArea</t>
  </si>
  <si>
    <t>Glacier Area</t>
  </si>
  <si>
    <t>A region covered by masses of ice that often descend slowly to lower regions; the polar ice-sheet regions.</t>
  </si>
  <si>
    <t>AtpCode_glacierArea</t>
  </si>
  <si>
    <t>headland</t>
  </si>
  <si>
    <t>Headland</t>
  </si>
  <si>
    <t>A high projection of land extending into a large body of water beyond the line of the coast.</t>
  </si>
  <si>
    <t>AtpCode_headland</t>
  </si>
  <si>
    <t>heathland</t>
  </si>
  <si>
    <t>An open space of country, especially covered with shrubs and coarse herbage often of the genus Erica.</t>
  </si>
  <si>
    <t>AtpCode_heathland</t>
  </si>
  <si>
    <t>highMountains</t>
  </si>
  <si>
    <t>High Mountains</t>
  </si>
  <si>
    <t>Complex name for a large mountainous area of extreme height and with a steep relief above 1501 metres in height.</t>
  </si>
  <si>
    <t>AtpCode_highMountains</t>
  </si>
  <si>
    <t>highlandPlain</t>
  </si>
  <si>
    <t>Highland Plain</t>
  </si>
  <si>
    <t>A flat upland region or table land, a plateau.</t>
  </si>
  <si>
    <t>Plateau</t>
  </si>
  <si>
    <t>AtpCode_highlandPlain</t>
  </si>
  <si>
    <t>hillCountry</t>
  </si>
  <si>
    <t>Hill Country</t>
  </si>
  <si>
    <t>An area composed of small mountains with even rounded forms up to 300 metres in height.</t>
  </si>
  <si>
    <t>AtpCode_hillCountry</t>
  </si>
  <si>
    <t>An area of irregular carbonate rocks in which erosion has produced fissures, sinkholes, underground streams, and caverns.</t>
  </si>
  <si>
    <t>AtpCode_karst</t>
  </si>
  <si>
    <t>lakeDistrict</t>
  </si>
  <si>
    <t>Lake District</t>
  </si>
  <si>
    <t>A region occupied by numerous lakes.</t>
  </si>
  <si>
    <t xml:space="preserve">Lake Area </t>
  </si>
  <si>
    <t>AtpCode_lakeDistrict</t>
  </si>
  <si>
    <t>lowlandPlain</t>
  </si>
  <si>
    <t>Lowland Plain</t>
  </si>
  <si>
    <t>A flat region on or close to sea level.</t>
  </si>
  <si>
    <t>AtpCode_lowlandPlain</t>
  </si>
  <si>
    <t>marshland</t>
  </si>
  <si>
    <t>Marshland</t>
  </si>
  <si>
    <t>A tract of low land covered partially or wholly with water, situated in coastal areas.</t>
  </si>
  <si>
    <t>AtpCode_marshland</t>
  </si>
  <si>
    <t>moderatelyHighMountains</t>
  </si>
  <si>
    <t>Moderately-high Mountains</t>
  </si>
  <si>
    <t>Complex name for a larger mountainous area of less height and steepness compared to high mountains with a height from 301 to1500 metres.</t>
  </si>
  <si>
    <t>AtpCode_moderatelyHighMountains</t>
  </si>
  <si>
    <t>mountain</t>
  </si>
  <si>
    <t>A natural elevation of the earth's surface rising high above the surrounding land.</t>
  </si>
  <si>
    <t>AtpCode_mountain</t>
  </si>
  <si>
    <t>mountains</t>
  </si>
  <si>
    <t>Mountains</t>
  </si>
  <si>
    <t>A range or series of natural elevations of the Earth's crust.</t>
  </si>
  <si>
    <t>AtpCode_mountains</t>
  </si>
  <si>
    <t>pan</t>
  </si>
  <si>
    <t>Pan</t>
  </si>
  <si>
    <t>A near-level shallow, natural depression or basin, usually containing an intermittent lake, pond, or pool.</t>
  </si>
  <si>
    <t>AtpCode_pan</t>
  </si>
  <si>
    <t>A pointed elevation atop a mountain, ridge, or other hypsographic feature.</t>
  </si>
  <si>
    <t>AtpCode_peak</t>
  </si>
  <si>
    <t>peninsula</t>
  </si>
  <si>
    <t>Peninsula</t>
  </si>
  <si>
    <t>An elongated area of land projecting into a body of water and nearly surrounded by water.</t>
  </si>
  <si>
    <t>AtpCode_peninsula</t>
  </si>
  <si>
    <t>pinnacles</t>
  </si>
  <si>
    <t>Pinnacles</t>
  </si>
  <si>
    <t>Single rocks with pointed tops, rising isolated or as a series.</t>
  </si>
  <si>
    <t>Rock Needles</t>
  </si>
  <si>
    <t>AtpCode_pinnacles</t>
  </si>
  <si>
    <t>plain</t>
  </si>
  <si>
    <t>Plain</t>
  </si>
  <si>
    <t>An extensive area of comparatively level to gently undulating land, lacking surface irregularities, and usually adjacent to a higher area.</t>
  </si>
  <si>
    <t>AtpCode_plain</t>
  </si>
  <si>
    <t>plateau</t>
  </si>
  <si>
    <t>An elevated plain with steep slopes on one or more sides and often with incised streams.</t>
  </si>
  <si>
    <t>AtpCode_plateau</t>
  </si>
  <si>
    <t>ravine</t>
  </si>
  <si>
    <t>Ravine</t>
  </si>
  <si>
    <t>A long, deep hollow caused by a torrent, a gorge, a narrow gully or a cleft.</t>
  </si>
  <si>
    <t>Canyon</t>
  </si>
  <si>
    <t>AtpCode_ravine</t>
  </si>
  <si>
    <t>ridge</t>
  </si>
  <si>
    <t>Ridge</t>
  </si>
  <si>
    <t>A long narrow elevation with steep sides and a more or less continuous crest.</t>
  </si>
  <si>
    <t>AtpCode_ridge</t>
  </si>
  <si>
    <t>sabkha</t>
  </si>
  <si>
    <t>AtpCode_sabkha</t>
  </si>
  <si>
    <t>steppe</t>
  </si>
  <si>
    <t>AtpCode_steppe</t>
  </si>
  <si>
    <t>tidalFlatArea</t>
  </si>
  <si>
    <t>Tidal Flat Area</t>
  </si>
  <si>
    <t>A costal region where the level of water rises or falls with the tides.</t>
  </si>
  <si>
    <t>AtpCode_tidalFlatArea</t>
  </si>
  <si>
    <t>upland</t>
  </si>
  <si>
    <t>Upland</t>
  </si>
  <si>
    <t>An extensive interior region of high land with low to moderate surface relief.</t>
  </si>
  <si>
    <t>AtpCode_upland</t>
  </si>
  <si>
    <t>valley</t>
  </si>
  <si>
    <t>Valley</t>
  </si>
  <si>
    <t>A depression in the earth's surface bounded by hills or mountains, usually with a stream flowing through it.</t>
  </si>
  <si>
    <t>AtpCode_valley</t>
  </si>
  <si>
    <t>volcanicField</t>
  </si>
  <si>
    <t>Volcanic Field</t>
  </si>
  <si>
    <t>Localised area of the earth's crust that is prone to localized volcanic activity.</t>
  </si>
  <si>
    <t>A volcanic field usually contain 10 to 100 volcanoes, such as cinder cones and are usually in clusters. Lava flows may also occur. They may occur as a monogenetic volcanic field or a polygenetic volcanic field.</t>
  </si>
  <si>
    <t>AtpCode_volcanicField</t>
  </si>
  <si>
    <t>watercourseDelta</t>
  </si>
  <si>
    <t>Watercourse Delta</t>
  </si>
  <si>
    <t>A tract of alluvial land, often more or less triangular in shape, enclosed or traversed by the diverging mouths of a watercourse and generally extending into a larger waterbody (for example: a lake or a sea).</t>
  </si>
  <si>
    <t>AtpCode_watercourseDelta</t>
  </si>
  <si>
    <t>watercourseMouthArea</t>
  </si>
  <si>
    <t>Watercourse Mouth Area</t>
  </si>
  <si>
    <t>The outfall region of a running water into a large water body or river.</t>
  </si>
  <si>
    <t>AtpCode_watercourseMouthArea</t>
  </si>
  <si>
    <t>wetland</t>
  </si>
  <si>
    <t>An area characterized by permanent soil-moisture.</t>
  </si>
  <si>
    <t>For example, a bog, a swamp, a marsh, or a flood land.</t>
  </si>
  <si>
    <t>AtpCode_wetland</t>
  </si>
  <si>
    <t>woodland</t>
  </si>
  <si>
    <t>Woodland</t>
  </si>
  <si>
    <t>A wooded country; a land covered with forests.</t>
  </si>
  <si>
    <t>AtpCode_woodland</t>
  </si>
  <si>
    <t>highIncidence</t>
  </si>
  <si>
    <t>High Incidence</t>
  </si>
  <si>
    <t>The historical record documents a high frequency of landslide occurrence, with more than 15 percent of the identified area involved in such events.</t>
  </si>
  <si>
    <t>The estimated susceptibility to the occurrence of landslides is less than or equal to the historical incidence.</t>
  </si>
  <si>
    <t>LhcCode_highIncidence</t>
  </si>
  <si>
    <t>highRisk</t>
  </si>
  <si>
    <t>High Risk</t>
  </si>
  <si>
    <t>There exists a high estimated susceptibility to the occurrence of landslides and the historical record documents a moderate frequency of landslide occurrence, with at least 1.5 percent and up to 15 percent of the identified area involved.</t>
  </si>
  <si>
    <t>Susceptibility to the occurrence of a landslide is the probable degree of response of the areal rocks and soils to natural or artificial cutting or loading of slopes or to anomalously high precipitation. High susceptibility is present when more than 15 percent of the identified area may be involved.</t>
  </si>
  <si>
    <t>LhcCode_highRisk</t>
  </si>
  <si>
    <t>lowIncidence</t>
  </si>
  <si>
    <t>Low Incidence</t>
  </si>
  <si>
    <t>The historical record documents a low frequency of landslide occurrence, with less than 1.5 percent of the identified area involved in such events.</t>
  </si>
  <si>
    <t>LhcCode_lowIncidence</t>
  </si>
  <si>
    <t>lowRisk</t>
  </si>
  <si>
    <t>Low Risk</t>
  </si>
  <si>
    <t>There exists a moderate estimated susceptibility to the occurrence of landslides and the historical record documents a low frequency of landslide occurrence, with less than 1.5 percent of the identified area involved.</t>
  </si>
  <si>
    <t>Susceptibility to the occurrence of a landslide is the probable degree of response of the areal rocks and soils to natural or artificial cutting or loading of slopes or to anomalously high precipitation. Moderate susceptibility is present when at least 1.5 percent and up to 15 percent of the identified area may be involved.</t>
  </si>
  <si>
    <t>LhcCode_lowRisk</t>
  </si>
  <si>
    <t>moderateIncidence</t>
  </si>
  <si>
    <t>Moderate Incidence</t>
  </si>
  <si>
    <t>The historical record documents a moderate frequency of landslide occurrence, with at least 1.5 percent and up to 15 percent of the identified area involved in such events.</t>
  </si>
  <si>
    <t>LhcCode_moderateIncidence</t>
  </si>
  <si>
    <t>moderateRisk</t>
  </si>
  <si>
    <t>Moderate Risk</t>
  </si>
  <si>
    <t>There exists a high estimated susceptibility to the occurrence of landslides and the historical record documents a low frequency of landslide occurrence, with less than 1.5 percent of the identified area involved.</t>
  </si>
  <si>
    <t>LhcCode_moderateRisk</t>
  </si>
  <si>
    <t>dialect</t>
  </si>
  <si>
    <t>Dialect</t>
  </si>
  <si>
    <t>The regional version of a language.</t>
  </si>
  <si>
    <t>A subordinate language such as Southern Pashto as a dialect of Pashto.</t>
  </si>
  <si>
    <t>LclCode_dialect</t>
  </si>
  <si>
    <t>family</t>
  </si>
  <si>
    <t>Family of Languages</t>
  </si>
  <si>
    <t>Highest level that allows the systematic combination of languages in accordance with identical order-related features.</t>
  </si>
  <si>
    <t>For example, the Indo-European languages.</t>
  </si>
  <si>
    <t>LclCode_family</t>
  </si>
  <si>
    <t>group</t>
  </si>
  <si>
    <t>Group of Languages</t>
  </si>
  <si>
    <t>Level below the family of languages.</t>
  </si>
  <si>
    <t>For example, the Iranian languages.</t>
  </si>
  <si>
    <t>LclCode_group</t>
  </si>
  <si>
    <t>Communication between people by articulating words or other sensual perceptible signs, mostly laid down by a grammar for a specified area.</t>
  </si>
  <si>
    <t>For example, Pashto as a language used in Afghanistan.</t>
  </si>
  <si>
    <t>LclCode_language</t>
  </si>
  <si>
    <t>afrikaans</t>
  </si>
  <si>
    <t>Afrikaans</t>
  </si>
  <si>
    <t>A modified form of the Dutch language used in South Africa.</t>
  </si>
  <si>
    <t>LngCode_afrikaans</t>
  </si>
  <si>
    <t>albanian</t>
  </si>
  <si>
    <t>Albanian</t>
  </si>
  <si>
    <t>The language of Albania, constituting a separate branch of the Indo-European family.</t>
  </si>
  <si>
    <t>LngCode_albanian</t>
  </si>
  <si>
    <t>amharic</t>
  </si>
  <si>
    <t>Amharic</t>
  </si>
  <si>
    <t>The Semitic language of Amhara, the principal language of modern Ethiopia.</t>
  </si>
  <si>
    <t>LngCode_amharic</t>
  </si>
  <si>
    <t>arabic</t>
  </si>
  <si>
    <t>Arabic</t>
  </si>
  <si>
    <t>The Semitic language originally of the Arabs, now spoken in much of the Middle East and North Africa.</t>
  </si>
  <si>
    <t>LngCode_arabic</t>
  </si>
  <si>
    <t>bislama</t>
  </si>
  <si>
    <t>Bislama</t>
  </si>
  <si>
    <t>An English-based pidgin used as a lingua franca in Fiji and especially in Vanuatu (formerly New Hebrides).</t>
  </si>
  <si>
    <t>LngCode_bislama</t>
  </si>
  <si>
    <t>bulgarian</t>
  </si>
  <si>
    <t>Bulgarian</t>
  </si>
  <si>
    <t>The Slavonic language of Bulgaria.</t>
  </si>
  <si>
    <t>LngCode_bulgarian</t>
  </si>
  <si>
    <t>burmese</t>
  </si>
  <si>
    <t>Burmese</t>
  </si>
  <si>
    <t>The Sino-Tibetan language of the Burmese people.</t>
  </si>
  <si>
    <t>LngCode_burmese</t>
  </si>
  <si>
    <t>catalan</t>
  </si>
  <si>
    <t>Catalan</t>
  </si>
  <si>
    <t>The Romance language of Catalonia.</t>
  </si>
  <si>
    <t>LngCode_catalan</t>
  </si>
  <si>
    <t>chinese</t>
  </si>
  <si>
    <t>Chinese</t>
  </si>
  <si>
    <t>The Chinese language, a member of the Sino-Tibetan group, a tonal language with no inflections, declensions, or conjugations and having many dialects.</t>
  </si>
  <si>
    <t>LngCode_chinese</t>
  </si>
  <si>
    <t>czech</t>
  </si>
  <si>
    <t>Czech</t>
  </si>
  <si>
    <t>The Slavonic language of Bohemia.</t>
  </si>
  <si>
    <t>LngCode_czech</t>
  </si>
  <si>
    <t>danish</t>
  </si>
  <si>
    <t>Danish</t>
  </si>
  <si>
    <t>The North Germanic language of Denmark.</t>
  </si>
  <si>
    <t>LngCode_danish</t>
  </si>
  <si>
    <t>dutch</t>
  </si>
  <si>
    <t>Dutch</t>
  </si>
  <si>
    <t>The language of the Netherlands (spoken also in what is now North Belgium).</t>
  </si>
  <si>
    <t>LngCode_dutch</t>
  </si>
  <si>
    <t>english</t>
  </si>
  <si>
    <t>English</t>
  </si>
  <si>
    <t>The language used in Britain, Ireland, Australia, New Zealand, the US, Canada, and many other countries.</t>
  </si>
  <si>
    <t>Originally the language spoken by the Germanic invaders of Britain in the 5th century AD.</t>
  </si>
  <si>
    <t>LngCode_english</t>
  </si>
  <si>
    <t>estonian</t>
  </si>
  <si>
    <t>Estonian</t>
  </si>
  <si>
    <t>The Finno-Ugric language of Estonia.</t>
  </si>
  <si>
    <t>LngCode_estonian</t>
  </si>
  <si>
    <t>faroese</t>
  </si>
  <si>
    <t>Faroese</t>
  </si>
  <si>
    <t>The Norse language of the Faeroes.</t>
  </si>
  <si>
    <t>LngCode_faroese</t>
  </si>
  <si>
    <t>finnish</t>
  </si>
  <si>
    <t>Finnish</t>
  </si>
  <si>
    <t>The Finno-Ugric language of the Finns.</t>
  </si>
  <si>
    <t>LngCode_finnish</t>
  </si>
  <si>
    <t>flemish</t>
  </si>
  <si>
    <t>Flemish</t>
  </si>
  <si>
    <t>The West Germanic language of Flanders, comprising a group of Dutch dialects, now one of the two official languages of Belgium.</t>
  </si>
  <si>
    <t>LngCode_flemish</t>
  </si>
  <si>
    <t>french</t>
  </si>
  <si>
    <t>French</t>
  </si>
  <si>
    <t>The Romance language of France, spoken as a native language also in neighbouring countries (for example: Belgium where it is one of the two official languages) and in parts of Canada, and the official language of a number of African countries.</t>
  </si>
  <si>
    <t>LngCode_french</t>
  </si>
  <si>
    <t>german</t>
  </si>
  <si>
    <t>German</t>
  </si>
  <si>
    <t>The principal language of Germany, spoken also in Austria and Switzerland and belonging to the West Germanic division.</t>
  </si>
  <si>
    <t>LngCode_german</t>
  </si>
  <si>
    <t>greek</t>
  </si>
  <si>
    <t>Greek</t>
  </si>
  <si>
    <t>The language of Greece or the Greeks, a member of the Hellenic branch of the Indo-European language family.</t>
  </si>
  <si>
    <t>LngCode_greek</t>
  </si>
  <si>
    <t>greenlandic</t>
  </si>
  <si>
    <t>Greenlandic</t>
  </si>
  <si>
    <t>The language of Greenland, a dialect of Inupiaq.</t>
  </si>
  <si>
    <t>LngCode_greenlandic</t>
  </si>
  <si>
    <t>hebrew</t>
  </si>
  <si>
    <t>Hebrew</t>
  </si>
  <si>
    <t>A modern form of the Semitic language spoken by the Hebrews and the official language of the State of Israel.</t>
  </si>
  <si>
    <t>LngCode_hebrew</t>
  </si>
  <si>
    <t>hungarian</t>
  </si>
  <si>
    <t>Hungarian</t>
  </si>
  <si>
    <t>The Finno-Ugric language spoken by inhabitants of Hungary, and now its official language.</t>
  </si>
  <si>
    <t>LngCode_hungarian</t>
  </si>
  <si>
    <t>icelandic</t>
  </si>
  <si>
    <t>Icelandic</t>
  </si>
  <si>
    <t>The Germanic language of Iceland.</t>
  </si>
  <si>
    <t>LngCode_icelandic</t>
  </si>
  <si>
    <t>indonesian</t>
  </si>
  <si>
    <t>Indonesian</t>
  </si>
  <si>
    <t>The western branch of the Austronesian language family and the national language of the republic of Indonesia.</t>
  </si>
  <si>
    <t>LngCode_indonesian</t>
  </si>
  <si>
    <t>irish</t>
  </si>
  <si>
    <t>Irish</t>
  </si>
  <si>
    <t>The form of Gaelic used in Ireland.</t>
  </si>
  <si>
    <t>LngCode_irish</t>
  </si>
  <si>
    <t>italian</t>
  </si>
  <si>
    <t>Italian</t>
  </si>
  <si>
    <t>The Romance language of Italy.</t>
  </si>
  <si>
    <t>LngCode_italian</t>
  </si>
  <si>
    <t>japanese</t>
  </si>
  <si>
    <t>Japanese</t>
  </si>
  <si>
    <t>The language used in Japan.</t>
  </si>
  <si>
    <t>LngCode_japanese</t>
  </si>
  <si>
    <t>khmer</t>
  </si>
  <si>
    <t>Khmer</t>
  </si>
  <si>
    <t>The largely monosyllabic language spoken in Cambodia, belonging to the Mon-Khmer group of the Austro-Asiatic family.</t>
  </si>
  <si>
    <t>Cambodian</t>
  </si>
  <si>
    <t>LngCode_khmer</t>
  </si>
  <si>
    <t>kinyarwanda</t>
  </si>
  <si>
    <t>Kinyarwanda</t>
  </si>
  <si>
    <t>The chief spoken language in Rwanda.</t>
  </si>
  <si>
    <t>It is also spoken in the east of Democratic Republic of Congo and in the south of Uganda.</t>
  </si>
  <si>
    <t>LngCode_kinyarwanda</t>
  </si>
  <si>
    <t>kirundi</t>
  </si>
  <si>
    <t>Kirundi</t>
  </si>
  <si>
    <t>A Bantu language spoken in Burundi and adjacent parts of Tanzania, Democratic Republic of Congo and Uganda.</t>
  </si>
  <si>
    <t>LngCode_kirundi</t>
  </si>
  <si>
    <t>korean</t>
  </si>
  <si>
    <t>Korean</t>
  </si>
  <si>
    <t>The agglutinative language of Korea, of uncertain affinity.</t>
  </si>
  <si>
    <t>LngCode_korean</t>
  </si>
  <si>
    <t>lao</t>
  </si>
  <si>
    <t>Lao</t>
  </si>
  <si>
    <t>The Shan language of the Tai people of Laos and northeastern Thailand.</t>
  </si>
  <si>
    <t>LngCode_lao</t>
  </si>
  <si>
    <t>latvian</t>
  </si>
  <si>
    <t>Latvian</t>
  </si>
  <si>
    <t>The Baltic language of Latvia.</t>
  </si>
  <si>
    <t>LngCode_latvian</t>
  </si>
  <si>
    <t>lithuanian</t>
  </si>
  <si>
    <t>Lithuanian</t>
  </si>
  <si>
    <t>The language of Lithuania, belonging to the Baltic language group.</t>
  </si>
  <si>
    <t>LngCode_lithuanian</t>
  </si>
  <si>
    <t>malagasy</t>
  </si>
  <si>
    <t>Malagasy</t>
  </si>
  <si>
    <t>The Austronesian language of Madagascar.</t>
  </si>
  <si>
    <t>LngCode_malagasy</t>
  </si>
  <si>
    <t>malay</t>
  </si>
  <si>
    <t>Malay</t>
  </si>
  <si>
    <t>The Austronesian language of the Malays of Malaysia and the official language of the Federation of Malaysia.</t>
  </si>
  <si>
    <t>LngCode_malay</t>
  </si>
  <si>
    <t>maltese</t>
  </si>
  <si>
    <t>Maltese</t>
  </si>
  <si>
    <t>The Semitic language of Malta, much influenced by Italian.</t>
  </si>
  <si>
    <t>LngCode_maltese</t>
  </si>
  <si>
    <t>mongolian</t>
  </si>
  <si>
    <t>Mongolian</t>
  </si>
  <si>
    <t>The language of Mongolia, usually considered a member of the Altaic family (though its affiliations are now in doubt).</t>
  </si>
  <si>
    <t>LngCode_mongolian</t>
  </si>
  <si>
    <t>nauruan</t>
  </si>
  <si>
    <t>Nauruan</t>
  </si>
  <si>
    <t>An Austronesian language spoken in Nauru.</t>
  </si>
  <si>
    <t>LngCode_nauruan</t>
  </si>
  <si>
    <t>norwegian</t>
  </si>
  <si>
    <t>Norwegian</t>
  </si>
  <si>
    <t>The North Germanic language of Norway.</t>
  </si>
  <si>
    <t>LngCode_norwegian</t>
  </si>
  <si>
    <t>persian</t>
  </si>
  <si>
    <t>Persian</t>
  </si>
  <si>
    <t>The language of Persia, a member of the Iranian group of languages.</t>
  </si>
  <si>
    <t>LngCode_persian</t>
  </si>
  <si>
    <t>polish</t>
  </si>
  <si>
    <t>Polish</t>
  </si>
  <si>
    <t>The Slavonic language spoken in Poland.</t>
  </si>
  <si>
    <t>LngCode_polish</t>
  </si>
  <si>
    <t>portuguese</t>
  </si>
  <si>
    <t>Portuguese</t>
  </si>
  <si>
    <t>The Romance language of Portugal and its territories, and of Brazil.</t>
  </si>
  <si>
    <t>It is related to but clearly distinct from Spanish.</t>
  </si>
  <si>
    <t>LngCode_portuguese</t>
  </si>
  <si>
    <t>romanian</t>
  </si>
  <si>
    <t>Romanian</t>
  </si>
  <si>
    <t>The Romance language of Romania.</t>
  </si>
  <si>
    <t>LngCode_romanian</t>
  </si>
  <si>
    <t>russian</t>
  </si>
  <si>
    <t>Russian</t>
  </si>
  <si>
    <t>The Slavonic language of Russia.</t>
  </si>
  <si>
    <t>The official language of the former Union of Soviet Socialist Republics (USSR).</t>
  </si>
  <si>
    <t>LngCode_russian</t>
  </si>
  <si>
    <t>samoan</t>
  </si>
  <si>
    <t>Samoan</t>
  </si>
  <si>
    <t>The language of Samoa.</t>
  </si>
  <si>
    <t>LngCode_samoan</t>
  </si>
  <si>
    <t>serboCroat</t>
  </si>
  <si>
    <t>Serbo-Croat</t>
  </si>
  <si>
    <t>A Southern Slavonic language spoken in Serbia, Croatia, and other Balkan States and having two main forms, Serbian and Croatian.</t>
  </si>
  <si>
    <t>Serbo-Croatian</t>
  </si>
  <si>
    <t>LngCode_serboCroat</t>
  </si>
  <si>
    <t>slovak</t>
  </si>
  <si>
    <t>Slovak</t>
  </si>
  <si>
    <t>The language spoken in Slovakia.</t>
  </si>
  <si>
    <t>LngCode_slovak</t>
  </si>
  <si>
    <t>somali</t>
  </si>
  <si>
    <t>Somali</t>
  </si>
  <si>
    <t>The Cushitic language of a chiefly Muslim Hamitic people living in the Horn of Africa, especially in the Republic of Somalia.</t>
  </si>
  <si>
    <t>LngCode_somali</t>
  </si>
  <si>
    <t>spanish</t>
  </si>
  <si>
    <t>Spanish</t>
  </si>
  <si>
    <t>A Romance language with many Arabic words.</t>
  </si>
  <si>
    <t>The principal language of Spain and of most of Central and South America.</t>
  </si>
  <si>
    <t>LngCode_spanish</t>
  </si>
  <si>
    <t>swahili</t>
  </si>
  <si>
    <t>Swahili</t>
  </si>
  <si>
    <t>An agglutinative Bantu language widely spoken in East Africa and adjacent islands.</t>
  </si>
  <si>
    <t>LngCode_swahili</t>
  </si>
  <si>
    <t>swedish</t>
  </si>
  <si>
    <t>Swedish</t>
  </si>
  <si>
    <t>The North Germanic language of Sweden.</t>
  </si>
  <si>
    <t>LngCode_swedish</t>
  </si>
  <si>
    <t>tagalog</t>
  </si>
  <si>
    <t>Tagalog</t>
  </si>
  <si>
    <t>The Austronesian language of a people living in the region of Manila and southern Luzon in the Philippines, and an official language of the Republic of the Philippines.</t>
  </si>
  <si>
    <t>Philipino</t>
  </si>
  <si>
    <t>LngCode_tagalog</t>
  </si>
  <si>
    <t>turkish</t>
  </si>
  <si>
    <t>Turkish</t>
  </si>
  <si>
    <t>The western Turkic language which is the official language of Turkey.</t>
  </si>
  <si>
    <t>LngCode_turkish</t>
  </si>
  <si>
    <t>vietnamese</t>
  </si>
  <si>
    <t>Vietnamese</t>
  </si>
  <si>
    <t>The language of the Vietnamese people, perhaps belonging to the Mon-Khmer family.</t>
  </si>
  <si>
    <t>LngCode_vietnamese</t>
  </si>
  <si>
    <t>AclCode_accurate</t>
  </si>
  <si>
    <t>AclCode_approximate</t>
  </si>
  <si>
    <t>buildingRubble</t>
  </si>
  <si>
    <t>Building Rubble</t>
  </si>
  <si>
    <t>Made up of the debris (for example: waste fragments of masonry) of decayed or demolished buildings and/or other structures.</t>
  </si>
  <si>
    <t>ShlCode_buildingRubble</t>
  </si>
  <si>
    <t>erosionRubble</t>
  </si>
  <si>
    <t>Erosion Rubble</t>
  </si>
  <si>
    <t>Made up of material weathered or eroded from a rocky coast, usually collected at the base of a cliff.</t>
  </si>
  <si>
    <t>Associated with landslides and coastal erosion. There will be an irregular jagged line produced by the rubble and coastal water interface.</t>
  </si>
  <si>
    <t>ShlCode_erosionRubble</t>
  </si>
  <si>
    <t>Covered by one of several genera of tropical trees (for example: mangrove or nipa) or shrubs that produce many prop roots and grow along low-lying banks into shallow water.</t>
  </si>
  <si>
    <t>ShlCode_mangrove</t>
  </si>
  <si>
    <t>Made up of spongy land saturated with water.</t>
  </si>
  <si>
    <t>It may have a shallow covering of water, usually with a considerable amount of vegetation appearing above the surface.</t>
  </si>
  <si>
    <t>ShlCode_marshy</t>
  </si>
  <si>
    <t>sandy</t>
  </si>
  <si>
    <t>Sandy</t>
  </si>
  <si>
    <t>Made up of sand, loose material consisting of small but easily distinguishable, separate grains, between 0.0625 and 2.000 millimetres in diameter.</t>
  </si>
  <si>
    <t>ShlCode_sandy</t>
  </si>
  <si>
    <t>shingly</t>
  </si>
  <si>
    <t>Shingly</t>
  </si>
  <si>
    <t>Made up of rounded, often flat waterworn rock fragments larger than approximately 16 millimetres in diameter.</t>
  </si>
  <si>
    <t>ShlCode_shingly</t>
  </si>
  <si>
    <t>stony</t>
  </si>
  <si>
    <t>Stony</t>
  </si>
  <si>
    <t>Made up of rock and rock fragments ranging in size from pebbles and gravel to boulders or large rock masses.</t>
  </si>
  <si>
    <t>ShlCode_stony</t>
  </si>
  <si>
    <t>illegal</t>
  </si>
  <si>
    <t>Illegal</t>
  </si>
  <si>
    <t>Not legally stated or illicit existence of an object.</t>
  </si>
  <si>
    <t>LgaCode_illegal</t>
  </si>
  <si>
    <t>legal</t>
  </si>
  <si>
    <t>Legal</t>
  </si>
  <si>
    <t>Legally stated and licit existence of an object.</t>
  </si>
  <si>
    <t>LgaCode_legal</t>
  </si>
  <si>
    <t>tolerated</t>
  </si>
  <si>
    <t>Tolerated</t>
  </si>
  <si>
    <t>Not legally stated but officially allowed existence of an object.</t>
  </si>
  <si>
    <t>LgaCode_tolerated</t>
  </si>
  <si>
    <t>High intensity lights.</t>
  </si>
  <si>
    <t>Where a high-intensity lighting system is provided in the aerodrome approach or movement surface environment, a suitable intensity control shall be incorporated to allow for adjustment of the light intensity to meet the prevailing conditions.</t>
  </si>
  <si>
    <t>LisCode_high</t>
  </si>
  <si>
    <t>Low intensity lights.</t>
  </si>
  <si>
    <t>LisCode_low</t>
  </si>
  <si>
    <t>medium</t>
  </si>
  <si>
    <t>Medium</t>
  </si>
  <si>
    <t>Medium intensity lights.</t>
  </si>
  <si>
    <t>LisCode_medium</t>
  </si>
  <si>
    <t>The light system intensity is fixed to one intensity level.</t>
  </si>
  <si>
    <t>LivCode_fixed</t>
  </si>
  <si>
    <t>Variable</t>
  </si>
  <si>
    <t>The light system intensity is variable between two or three different values of intensity.</t>
  </si>
  <si>
    <t>The intensity should be variable in order from high to medium to low, or medium to low.</t>
  </si>
  <si>
    <t>LivCode_variable</t>
  </si>
  <si>
    <t>faint</t>
  </si>
  <si>
    <t>Faint</t>
  </si>
  <si>
    <t>The apparent intensity of a light is decreased.</t>
  </si>
  <si>
    <t>This may occur in the case of partial obstructions.</t>
  </si>
  <si>
    <t>VisCode_faint</t>
  </si>
  <si>
    <t>highIntensity</t>
  </si>
  <si>
    <t>High Intensity</t>
  </si>
  <si>
    <t>A non-marine light with a higher power than marine lights and visible from well off shore.</t>
  </si>
  <si>
    <t>Aero Light</t>
  </si>
  <si>
    <t>VisCode_highIntensity</t>
  </si>
  <si>
    <t>intensified</t>
  </si>
  <si>
    <t>Intensified</t>
  </si>
  <si>
    <t>A light in a sector is intensified (it has longer range than in other sectors).</t>
  </si>
  <si>
    <t>VisCode_intensified</t>
  </si>
  <si>
    <t>lowIntensity</t>
  </si>
  <si>
    <t>Low Intensity</t>
  </si>
  <si>
    <t>A non-marine light with lower power than marine lights.</t>
  </si>
  <si>
    <t>VisCode_lowIntensity</t>
  </si>
  <si>
    <t>obscured</t>
  </si>
  <si>
    <t>Obscured</t>
  </si>
  <si>
    <t>An arc of a light sector (designated by its limiting bearings) in which the light is not visible from seaward.</t>
  </si>
  <si>
    <t>VisCode_obscured</t>
  </si>
  <si>
    <t>partiallyObscured</t>
  </si>
  <si>
    <t>Partially Obscured</t>
  </si>
  <si>
    <t>Parts of a light sector are obscured.</t>
  </si>
  <si>
    <t>VisCode_partiallyObscured</t>
  </si>
  <si>
    <t>unintensified</t>
  </si>
  <si>
    <t>Unintensified</t>
  </si>
  <si>
    <t>A light in a sector is unintensified (it has shorter range than in other sectors).</t>
  </si>
  <si>
    <t>VisCode_unintensified</t>
  </si>
  <si>
    <t>visDeliberatelyRestricted</t>
  </si>
  <si>
    <t>Visibility Deliberately Restricted</t>
  </si>
  <si>
    <t>A light sector is deliberately reduced in intensity (for example: to reduce its effect on a built-up area).</t>
  </si>
  <si>
    <t>VisCode_visDeliberatelyRestricted</t>
  </si>
  <si>
    <t>doubleArrangement</t>
  </si>
  <si>
    <t>Double Arrangement</t>
  </si>
  <si>
    <t>Two linear features on the same support structure.</t>
  </si>
  <si>
    <t>RtaCode_doubleArrangement</t>
  </si>
  <si>
    <t>multipleArrangements</t>
  </si>
  <si>
    <t>Multiple Arrangements</t>
  </si>
  <si>
    <t>Three or more linear features on the same support structure.</t>
  </si>
  <si>
    <t>RtaCode_multipleArrangements</t>
  </si>
  <si>
    <t>singleArrangement</t>
  </si>
  <si>
    <t>Single Arrangement</t>
  </si>
  <si>
    <t>One linear feature.</t>
  </si>
  <si>
    <t>RtaCode_singleArrangement</t>
  </si>
  <si>
    <t>convergent</t>
  </si>
  <si>
    <t>Convergent</t>
  </si>
  <si>
    <t>The two plates are moving toward each other.</t>
  </si>
  <si>
    <t>ImlCode_convergent</t>
  </si>
  <si>
    <t>divergent</t>
  </si>
  <si>
    <t>Divergent</t>
  </si>
  <si>
    <t>The two plates are moving away from each other.</t>
  </si>
  <si>
    <t>ImlCode_divergent</t>
  </si>
  <si>
    <t>obduction</t>
  </si>
  <si>
    <t>Obduction</t>
  </si>
  <si>
    <t>An oceanic lithospheric plate is overriding or overthrusting onto the leading edge of a continental lithospheric plate.</t>
  </si>
  <si>
    <t>ImlCode_obduction</t>
  </si>
  <si>
    <t>subduction</t>
  </si>
  <si>
    <t>Subduction</t>
  </si>
  <si>
    <t>The lithospheric plate is descending beneath another.</t>
  </si>
  <si>
    <t>ImlCode_subduction</t>
  </si>
  <si>
    <t>transform</t>
  </si>
  <si>
    <t>Transform</t>
  </si>
  <si>
    <t>The two plates are sliding or grinding past each other.</t>
  </si>
  <si>
    <t>ImlCode_transform</t>
  </si>
  <si>
    <t>aegeanSeaPlate</t>
  </si>
  <si>
    <t>Aegean Sea Plate</t>
  </si>
  <si>
    <t>A small tectonic plate located in the eastern Mediterranian Sea under southern Greece and far western Turkey.</t>
  </si>
  <si>
    <t>The Aegean Sea Plate is sandwiched between the African Plate to the south and the Eurasian Plate to the north. Its southern edge is a subduction zone south of Crete and the northern edge is a divergent boundary responsible for the formation of the Gulf of Corinth.</t>
  </si>
  <si>
    <t>Hellenic Plate</t>
  </si>
  <si>
    <t>NapCode_aegeanSeaPlate</t>
  </si>
  <si>
    <t>africanPlate</t>
  </si>
  <si>
    <t>African Plate</t>
  </si>
  <si>
    <t>A tectonic plate covering the continent of Africa and extending westward to the Mid-Atlantic Ridge.</t>
  </si>
  <si>
    <t>NapCode_africanPlate</t>
  </si>
  <si>
    <t>anatolianPlate</t>
  </si>
  <si>
    <t>Anatolian Plate</t>
  </si>
  <si>
    <t>A continental tectonic plate consisting primarily of the country of Turkey.</t>
  </si>
  <si>
    <t>The easterly side of the Anatolian Plate is a boundary with the Arabian Plate, the East Anatolian Fault, a left lateral transform fault. The westerly side is a boundary with the Aegean Sea Plate. The southerly and southwesterly sides join with the African Plate.</t>
  </si>
  <si>
    <t>NapCode_anatolianPlate</t>
  </si>
  <si>
    <t>antarcticPlate</t>
  </si>
  <si>
    <t>Antarctic Plate</t>
  </si>
  <si>
    <t>A tectonic plate covering the continent of Antarctica and extending outward under the surrounding oceans.</t>
  </si>
  <si>
    <t>The Antarctic plate is roughly 16.9 million square kilometers in extent. It is the fifth biggest plate in the world.</t>
  </si>
  <si>
    <t>NapCode_antarcticPlate</t>
  </si>
  <si>
    <t>apulianPlate</t>
  </si>
  <si>
    <t>Apulian Plate</t>
  </si>
  <si>
    <t>A small tectonic plate consisting the eastern part of Italy and the Adriatic Sea.</t>
  </si>
  <si>
    <t>The Apulian Plate carries primarily continental crust that broke away from the African Plate.</t>
  </si>
  <si>
    <t>NapCode_apulianPlate</t>
  </si>
  <si>
    <t>arabianPlate</t>
  </si>
  <si>
    <t>Arabian Plate</t>
  </si>
  <si>
    <t>A largely continental tectonic plate covering the Arabian peninsula and extending northward to Turkey.</t>
  </si>
  <si>
    <t>NapCode_arabianPlate</t>
  </si>
  <si>
    <t>australianPlate</t>
  </si>
  <si>
    <t>Australian Plate</t>
  </si>
  <si>
    <t>A major tectonic plate that includes the continent of Australia and the surrounding ocean.</t>
  </si>
  <si>
    <t>The Australian Plate is roughly 47 million square kilometers in extent. It is bordered northerly by the Eurasian and the Indian Plate, easterly by the Pacific Plate, southerly by the Antarctican Plate and westerly by the Somali Plate.</t>
  </si>
  <si>
    <t>NapCode_australianPlate</t>
  </si>
  <si>
    <t>bismarckPlate</t>
  </si>
  <si>
    <t>Bismarck Plate</t>
  </si>
  <si>
    <t>A small tectonic plate bordered northerly by the Pacific Plate and southerly by the Australian Plate.</t>
  </si>
  <si>
    <t>The Bismarck Plate is roughly 0.3 million square kilometers in extent. . It contains the Bismarck Sea.</t>
  </si>
  <si>
    <t>NapCode_bismarckPlate</t>
  </si>
  <si>
    <t>caribbeanPlate</t>
  </si>
  <si>
    <t>Caribbean Plate</t>
  </si>
  <si>
    <t>A mostly oceanic tectonic plate underlying Central America and the Caribbean Sea off the north coast of South America.</t>
  </si>
  <si>
    <t>The Caribbean plate is roughly 3.2 million square kilometers in extent.</t>
  </si>
  <si>
    <t>NapCode_caribbeanPlate</t>
  </si>
  <si>
    <t>cocosPlate</t>
  </si>
  <si>
    <t>Cocos Plate</t>
  </si>
  <si>
    <t>An oceanic tectonic plate beneath the Pacific Ocean off the west coast of Central America.</t>
  </si>
  <si>
    <t>NapCode_cocosPlate</t>
  </si>
  <si>
    <t>eurasianPlate</t>
  </si>
  <si>
    <t>Eurasian Plate</t>
  </si>
  <si>
    <t>A tectonic plate covering Eurasia (a landmass consisting of the continents Europe and Asia) except that it does not cover the Indian subcontinent, the Arabian subcontinent, and the area east of the Verkhoyansk Range in East Siberia.</t>
  </si>
  <si>
    <t>It is the third largest tectonic plate.</t>
  </si>
  <si>
    <t>NapCode_eurasianPlate</t>
  </si>
  <si>
    <t>fijiPlate</t>
  </si>
  <si>
    <t>Fiji Plate</t>
  </si>
  <si>
    <t>A small tectonic plate containing the Fiji Islands and the surrounding Ocean.</t>
  </si>
  <si>
    <t>The Fiji Plate is roughly 1.1 million square kilometers in extent. It is bordered northerly by the Pacific Plate and southerly by the Australian Plate. It is southwesterly from the Bismarck Plate.</t>
  </si>
  <si>
    <t>NapCode_fijiPlate</t>
  </si>
  <si>
    <t>gordaPlate</t>
  </si>
  <si>
    <t>Gorda Plate</t>
  </si>
  <si>
    <t>A tectonic plate located beneath the Pacific Ocean off the coast of northern California.</t>
  </si>
  <si>
    <t>The Gorda Plate is roughly 0.07 million square kilometers in extent.</t>
  </si>
  <si>
    <t>NapCode_gordaPlate</t>
  </si>
  <si>
    <t>indianPlate</t>
  </si>
  <si>
    <t>Indian Plate</t>
  </si>
  <si>
    <t>A tectonic plate including the sub-continent of India and a portion of the basin under the Indian Sea.</t>
  </si>
  <si>
    <t>The Indian Plate is roughly 11.9 million square kilometers in extent. It was originally a part from the ancient continent of Gondwanaland from which it split off. The Indian Plate is bordered northerly by the Eurasian Plate and southerly by the Australian Plate. Easterly it is bordered by the Somali Sub-Plate and the Arabian Plate.</t>
  </si>
  <si>
    <t>NapCode_indianPlate</t>
  </si>
  <si>
    <t>iranianPlate</t>
  </si>
  <si>
    <t>Iranian Plate</t>
  </si>
  <si>
    <t>A tectonic plate underlying Iran, parts of Iraq and Pakistan.</t>
  </si>
  <si>
    <t>The Iranian Plate is squashed between the Arabian Plate to the south and the Eurasian Plate to the north.</t>
  </si>
  <si>
    <t>NapCode_iranianPlate</t>
  </si>
  <si>
    <t>juanDeFucaPlate</t>
  </si>
  <si>
    <t>Juan de Fuca Plate</t>
  </si>
  <si>
    <t>A tectonic plate arising from the Juan de Fuca Ridge, and subducting under the northerly portion of the western side of the North American Plate.</t>
  </si>
  <si>
    <t>NapCode_juanDeFucaPlate</t>
  </si>
  <si>
    <t>nazcaPlate</t>
  </si>
  <si>
    <t>Nazca Plate</t>
  </si>
  <si>
    <t>An oceanic tectonic plate in the eastern Pacific Ocean basin off the west coast of South America.</t>
  </si>
  <si>
    <t>NapCode_nazcaPlate</t>
  </si>
  <si>
    <t>northAmericanPlate</t>
  </si>
  <si>
    <t>North American Plate</t>
  </si>
  <si>
    <t>A tectonic plate covering most of North America, extending eastward to the Mid-Atlantic Ridge and westward to the Cherskiy Range in East Siberia.</t>
  </si>
  <si>
    <t>NapCode_northAmericanPlate</t>
  </si>
  <si>
    <t>pacificPlate</t>
  </si>
  <si>
    <t>Pacific Plate</t>
  </si>
  <si>
    <t>An oceanic tectonic plate beneath the Pacific Ocean.</t>
  </si>
  <si>
    <t>NapCode_pacificPlate</t>
  </si>
  <si>
    <t>phillippinePlate</t>
  </si>
  <si>
    <t>Phillippine Plate</t>
  </si>
  <si>
    <t>An oceanic tectonic plate beneath the Pacific Ocean to the east of the Philippines.</t>
  </si>
  <si>
    <t>NapCode_phillippinePlate</t>
  </si>
  <si>
    <t>scotiaPlate</t>
  </si>
  <si>
    <t>Scotia Plate</t>
  </si>
  <si>
    <t>An oceanic tectonic plate bordering the South American Plate on the north and the Antarctic Plate on the south and west.</t>
  </si>
  <si>
    <t>The Scotia Plate is roughly 1.6 million square kilometers in extent.</t>
  </si>
  <si>
    <t>NapCode_scotiaPlate</t>
  </si>
  <si>
    <t>solomonSeaPlate</t>
  </si>
  <si>
    <t>Solomon Sea Plate</t>
  </si>
  <si>
    <t>A minor tectonic plate to the northwest of the Solomon Islands in the south Pacific Ocean.</t>
  </si>
  <si>
    <t>The Solomon Sea Plate is roughly 0.25 million square kilometers in extent.</t>
  </si>
  <si>
    <t>NapCode_solomonSeaPlate</t>
  </si>
  <si>
    <t>somaliSubPlate</t>
  </si>
  <si>
    <t>Somali Sub-plate</t>
  </si>
  <si>
    <t>A tectonic plate that is currently forming and is a part of the African Plate that is moving eastward from the East African Rift Zone.</t>
  </si>
  <si>
    <t>Somali Plate, Somalian Plate</t>
  </si>
  <si>
    <t>NapCode_somaliSubPlate</t>
  </si>
  <si>
    <t>southAmericanPlate</t>
  </si>
  <si>
    <t>South American Plate</t>
  </si>
  <si>
    <t>A tectonic plate covering the continent of South America and extending eastward to the Mid-Atlantic Ridge.</t>
  </si>
  <si>
    <t>NapCode_southAmericanPlate</t>
  </si>
  <si>
    <t>Continental</t>
  </si>
  <si>
    <t>A tectonic plate consisting primarilly of continental crust, primarily silicon and aluminum, and normally with a thickness on the order of 50 km.</t>
  </si>
  <si>
    <t>LptCode_continental</t>
  </si>
  <si>
    <t>oceanic</t>
  </si>
  <si>
    <t>Oceanic</t>
  </si>
  <si>
    <t>A tectonic plate consisting primarily of oceanic crust, primarily silicon and magnesium, and normally with a thickness on the order of 5 km.</t>
  </si>
  <si>
    <t>LptCode_oceanic</t>
  </si>
  <si>
    <t>construction</t>
  </si>
  <si>
    <t>Construction</t>
  </si>
  <si>
    <t>The Load Classification Number (LCN) has been calculated from original airfield construction data.</t>
  </si>
  <si>
    <t>LcvCode_construction</t>
  </si>
  <si>
    <t>The Load Classification Number (LCN) has been estimated based on the LCN values of known runways that are similar in length and surface.</t>
  </si>
  <si>
    <t>LcvCode_estimated</t>
  </si>
  <si>
    <t>operations</t>
  </si>
  <si>
    <t>Operations</t>
  </si>
  <si>
    <t>The Load Classification Number (LCN) has been derived by either historical or current operational data regarding the use of the aerodrome pavement.</t>
  </si>
  <si>
    <t>LcvCode_operations</t>
  </si>
  <si>
    <t>The Load Classification Number (LCN) has been reported by an appropriate authority regarding the aerodrome.</t>
  </si>
  <si>
    <t>LcvCode_reported</t>
  </si>
  <si>
    <t>test</t>
  </si>
  <si>
    <t>Test</t>
  </si>
  <si>
    <t>The Load Classification Number (LCN) has been calculated from data obtained during pavement stress testing.</t>
  </si>
  <si>
    <t>LcvCode_test</t>
  </si>
  <si>
    <t>Asphalt over Concrete</t>
  </si>
  <si>
    <t>Surfaced with a layer of asphalt over a concrete base.</t>
  </si>
  <si>
    <t>The asphalt protects the base from salt exposure by forming a sacrificial layer that may be relatively easily repaired and/or replaced.</t>
  </si>
  <si>
    <t>RstCode_asphaltOverConcrete</t>
  </si>
  <si>
    <t>asphaltic</t>
  </si>
  <si>
    <t>Asphaltic</t>
  </si>
  <si>
    <t>Composed various mixtures of sand, gravel, crushed rock, and/or recycled paving bound together by asphalt, a black or brownish-black, solid or viscous, bituminous pitch that may be of natural origin but is most commonly produced from petroleum.</t>
  </si>
  <si>
    <t>Depending on the formulation, known variously as 'asphaltic concrete', 'tar macadam', 'bitumen-bound macadam' or simply 'asphalt'. In some situations the pavement perimeter (edges and/or ends) may consist of solely of concrete (for example: around a runway) in order to improve resistance to cracking and breakage under load.</t>
  </si>
  <si>
    <t>RstCode_asphaltic</t>
  </si>
  <si>
    <t>bituminous</t>
  </si>
  <si>
    <t>Bituminous</t>
  </si>
  <si>
    <t>Bituminous, tar or asphalt mixed in place, oiled.</t>
  </si>
  <si>
    <t>RstCode_bituminous</t>
  </si>
  <si>
    <t>Bricks laid on a firm subgrade, with or without mortar.</t>
  </si>
  <si>
    <t>RstCode_brick</t>
  </si>
  <si>
    <t>cinder</t>
  </si>
  <si>
    <t>Cinder</t>
  </si>
  <si>
    <t>Composed of cinders, a stony material composed of waste matter or dross separated from metals during smelting or refining.</t>
  </si>
  <si>
    <t>RstCode_cinder</t>
  </si>
  <si>
    <t>Surfaced with clay, over a firm subgrade, that has hardened over a period of time.</t>
  </si>
  <si>
    <t>RstCode_clay</t>
  </si>
  <si>
    <t>cobbleStone</t>
  </si>
  <si>
    <t>Cobble-stone</t>
  </si>
  <si>
    <t>Cobbles laid on a firm subgrade, with or without mortar.</t>
  </si>
  <si>
    <t>Traditionally, cobbles are smooth stones taken from riverbeads and cobbled (roughly assembled) together with mortar. In more recent pavements the cobbles consist of manufactured rectangular paving stones that may or may not have curved tops.</t>
  </si>
  <si>
    <t>RstCode_cobbleStone</t>
  </si>
  <si>
    <t>compositeHard</t>
  </si>
  <si>
    <t>Composite Hard</t>
  </si>
  <si>
    <t>50 percent or more of the surface is permanent.</t>
  </si>
  <si>
    <t>RstCode_compositeHard</t>
  </si>
  <si>
    <t>compositeSoft</t>
  </si>
  <si>
    <t>Composite Soft</t>
  </si>
  <si>
    <t>Less than 50 percent of the surface is permanent.</t>
  </si>
  <si>
    <t>RstCode_compositeSoft</t>
  </si>
  <si>
    <t>RstCode_concrete</t>
  </si>
  <si>
    <t>Composed of crushed coral.</t>
  </si>
  <si>
    <t>Sometimes with an intermixture of sand and/or clay.</t>
  </si>
  <si>
    <t>RstCode_coral</t>
  </si>
  <si>
    <t>corduroy</t>
  </si>
  <si>
    <t>Corduroy</t>
  </si>
  <si>
    <t>A surface made of logs laid together transversely.</t>
  </si>
  <si>
    <t>RstCode_corduroy</t>
  </si>
  <si>
    <t>gradedEarth</t>
  </si>
  <si>
    <t>Graded Earth</t>
  </si>
  <si>
    <t>Graded or rolled earth, grass on graded earth.</t>
  </si>
  <si>
    <t>RstCode_gradedEarth</t>
  </si>
  <si>
    <t>grassSodSoft</t>
  </si>
  <si>
    <t>Grass/Sod (Soft)</t>
  </si>
  <si>
    <t>RstCode_grassSodSoft</t>
  </si>
  <si>
    <t>Composed of small water-worn or pounded stones.</t>
  </si>
  <si>
    <t>RstCode_gravel</t>
  </si>
  <si>
    <t>hardPaved</t>
  </si>
  <si>
    <t>Hard/Paved</t>
  </si>
  <si>
    <t>RstCode_hardPaved</t>
  </si>
  <si>
    <t>Frozen water, a brittle transparent crystalline solid.</t>
  </si>
  <si>
    <t>RstCode_ice</t>
  </si>
  <si>
    <t>Surfaced with laterite, a clayey (usually red) soil that hardens on exposure to the air.</t>
  </si>
  <si>
    <t>Laterite is characterized by a high proportion of sesquioxides, especially of aluminium and iron, and a low proportion of bases and silica. It is formed by chemical weathering in tropical and subtropical regions. Also loosely any of various other reddish or iron-rich surface materials in the tropics and sub-tropics.</t>
  </si>
  <si>
    <t>RstCode_laterite</t>
  </si>
  <si>
    <t>looseLight</t>
  </si>
  <si>
    <t>Loose/Light</t>
  </si>
  <si>
    <t>RstCode_looseLight</t>
  </si>
  <si>
    <t>looseUnpaved</t>
  </si>
  <si>
    <t>Loose/Unpaved</t>
  </si>
  <si>
    <t>RstCode_looseUnpaved</t>
  </si>
  <si>
    <t>Crushed rock, water bound.</t>
  </si>
  <si>
    <t>RstCode_macadam</t>
  </si>
  <si>
    <t>Plastic or other coated fibre material.</t>
  </si>
  <si>
    <t>RstCode_membrane</t>
  </si>
  <si>
    <t>mix</t>
  </si>
  <si>
    <t>Mix</t>
  </si>
  <si>
    <t>Mixed in place using a non-bituminous binders such as Portland cement.</t>
  </si>
  <si>
    <t>RstCode_mix</t>
  </si>
  <si>
    <t>pem</t>
  </si>
  <si>
    <t>PEM</t>
  </si>
  <si>
    <t>Part concrete, part asphalt or part bitumen-bound macadam.</t>
  </si>
  <si>
    <t>RstCode_pem</t>
  </si>
  <si>
    <t>A permanent, hard surface whose type is unknown.</t>
  </si>
  <si>
    <t>RstCode_permanent</t>
  </si>
  <si>
    <t>Pierced steel sheets, nominally 15 inches by 10 feet in size, that have been clipped together edgewise to form a continuous mat.</t>
  </si>
  <si>
    <t>Marston Mat</t>
  </si>
  <si>
    <t>RstCode_piercedSteelPlanking</t>
  </si>
  <si>
    <t>Sand that has been graded, rolled, and/or oiled.</t>
  </si>
  <si>
    <t>RstCode_sand</t>
  </si>
  <si>
    <t>shell</t>
  </si>
  <si>
    <t>Shell</t>
  </si>
  <si>
    <t>Composed of crushed shell.</t>
  </si>
  <si>
    <t>RstCode_shell</t>
  </si>
  <si>
    <t>Packed snow, usually resulting from multiple snowfalls.</t>
  </si>
  <si>
    <t>RstCode_snow</t>
  </si>
  <si>
    <t>A temporary, soft surface whose type is unknown.</t>
  </si>
  <si>
    <t>RstCode_temporary</t>
  </si>
  <si>
    <t>ungradedEarth</t>
  </si>
  <si>
    <t>Ungraded Earth</t>
  </si>
  <si>
    <t>Grass or earth, not graded or rolled.</t>
  </si>
  <si>
    <t>RstCode_ungradedEarth</t>
  </si>
  <si>
    <t>unimproved</t>
  </si>
  <si>
    <t>Unimproved</t>
  </si>
  <si>
    <t>The surface has not been prepared for load-bearing.</t>
  </si>
  <si>
    <t>RstCode_unimproved</t>
  </si>
  <si>
    <t>woodPlank</t>
  </si>
  <si>
    <t>Wood Plank</t>
  </si>
  <si>
    <t>Surfaced by wooden planks laid or fastened together transversely.</t>
  </si>
  <si>
    <t>RstCode_woodPlank</t>
  </si>
  <si>
    <t>atShoreline</t>
  </si>
  <si>
    <t>At Shoreline</t>
  </si>
  <si>
    <t>Straddles the land water boundary.</t>
  </si>
  <si>
    <t>The object may be wet or dry at various times.</t>
  </si>
  <si>
    <t>SrlCode_atShoreline</t>
  </si>
  <si>
    <t>inland</t>
  </si>
  <si>
    <t>Inland</t>
  </si>
  <si>
    <t>Located inland of the land water boundary.</t>
  </si>
  <si>
    <t>The object is always dry.</t>
  </si>
  <si>
    <t>SrlCode_inland</t>
  </si>
  <si>
    <t>offshore</t>
  </si>
  <si>
    <t>Located offshore.</t>
  </si>
  <si>
    <t>The object is always wet.</t>
  </si>
  <si>
    <t>SrlCode_offshore</t>
  </si>
  <si>
    <t>catI</t>
  </si>
  <si>
    <t>Category I</t>
  </si>
  <si>
    <t>Supports Instrument Landing System (ILS) CAT I low visibility operations.</t>
  </si>
  <si>
    <t>LvhCode_catI</t>
  </si>
  <si>
    <t>catII_III</t>
  </si>
  <si>
    <t>Category II/III</t>
  </si>
  <si>
    <t>Supports Instrument Landing System (ILS) CATII/III low visibility operations.</t>
  </si>
  <si>
    <t>LvhCode_catII_III</t>
  </si>
  <si>
    <t>No low visibility operations are supported.</t>
  </si>
  <si>
    <t>LvhCode_none</t>
  </si>
  <si>
    <t>The object has a moderate magnetic anomaly detector reading.</t>
  </si>
  <si>
    <t>MadCode_moderate</t>
  </si>
  <si>
    <t>nil</t>
  </si>
  <si>
    <t>Nil</t>
  </si>
  <si>
    <t>The object has no magnetic anomaly detector reading.</t>
  </si>
  <si>
    <t>MadCode_nil</t>
  </si>
  <si>
    <t>slight</t>
  </si>
  <si>
    <t>Slight</t>
  </si>
  <si>
    <t>The object has a slight magnetic anomaly detector reading.</t>
  </si>
  <si>
    <t>MadCode_slight</t>
  </si>
  <si>
    <t>strong</t>
  </si>
  <si>
    <t>Strong</t>
  </si>
  <si>
    <t>The object has a strong magnetic anomaly detector reading.</t>
  </si>
  <si>
    <t>MadCode_strong</t>
  </si>
  <si>
    <t>aeration</t>
  </si>
  <si>
    <t>Aeration</t>
  </si>
  <si>
    <t>A structure for aerating water by either passing air through water or passing water through air.</t>
  </si>
  <si>
    <t>IcfCode_aeration</t>
  </si>
  <si>
    <t>aerospaceIndustry</t>
  </si>
  <si>
    <t>Aerospace Industry</t>
  </si>
  <si>
    <t>IcfCode_aerospaceIndustry</t>
  </si>
  <si>
    <t>automotivePlant</t>
  </si>
  <si>
    <t>Automotive Plant</t>
  </si>
  <si>
    <t>A facility for the manufacturing of motor vehicles.</t>
  </si>
  <si>
    <t>Automobile Plant</t>
  </si>
  <si>
    <t>IcfCode_automotivePlant</t>
  </si>
  <si>
    <t>A building, or part of a building, in which wooden objects are manufactured.</t>
  </si>
  <si>
    <t>IcfCode_carpentry</t>
  </si>
  <si>
    <t>IcfCode_cementProdManufac</t>
  </si>
  <si>
    <t>A facility for the generation of chilled liquid and/or gas for cooling purposes.</t>
  </si>
  <si>
    <t>IcfCode_cooling</t>
  </si>
  <si>
    <t>desalinationPlant</t>
  </si>
  <si>
    <t>Desalination Plant</t>
  </si>
  <si>
    <t>An operational area with buildings and/or facilities for the desalination and purification of seawater.</t>
  </si>
  <si>
    <t>IcfCode_desalinationPlant</t>
  </si>
  <si>
    <t>fertilizerFactory</t>
  </si>
  <si>
    <t>Fertilizer Factory</t>
  </si>
  <si>
    <t>Involved in the process of producing or processing substances, often artifically prepared, containing nitrogen, phosphorus, and/or potassium that are added to soil in order to fertilize it.</t>
  </si>
  <si>
    <t>IcfCode_fertilizerFactory</t>
  </si>
  <si>
    <t>IcfCode_foundry</t>
  </si>
  <si>
    <t>glassWorks</t>
  </si>
  <si>
    <t>Glass Works</t>
  </si>
  <si>
    <t>IcfCode_glassWorks</t>
  </si>
  <si>
    <t>kiln</t>
  </si>
  <si>
    <t>Kiln</t>
  </si>
  <si>
    <t>An oven for hardening, burning, or drying materials (for example: grain, meal, and/or clay), especially a brick-lined oven used to bake or fire ceramics.</t>
  </si>
  <si>
    <t>May also be used for calcining lime.</t>
  </si>
  <si>
    <t>IcfCode_kiln</t>
  </si>
  <si>
    <t>manufacture</t>
  </si>
  <si>
    <t>Manufacture</t>
  </si>
  <si>
    <t>A structure that is used for the purpose of manufacturing components, which may be assembled on-site or elsewhere, to make a completed product.</t>
  </si>
  <si>
    <t>Factory, Fabrication</t>
  </si>
  <si>
    <t>IcfCode_manufacture</t>
  </si>
  <si>
    <t>nuclearEnrichPlant</t>
  </si>
  <si>
    <t>Nuclear Enrichment Plant</t>
  </si>
  <si>
    <t>Handling the isotope separation that is the process of concentrating specific isotopes of a chemical element by removing other isotopes (for example: separating natural uranium into enriched uranium and depleted uranium, or the separation of plutonium from spent nuclear fuel).</t>
  </si>
  <si>
    <t>This process is crucial in the manufacture of uranium fuel for nuclear power stations, and is also required for the creation of nuclear weapons.</t>
  </si>
  <si>
    <t>IcfCode_nuclearEnrichPlant</t>
  </si>
  <si>
    <t>A building that houses equipment in which seeds and/or fruits are crushed or pressed to extract oil.</t>
  </si>
  <si>
    <t>IcfCode_oilMill</t>
  </si>
  <si>
    <t>A relatively small building that is separate from but is located near a main building and whose industrial use has not been determined.</t>
  </si>
  <si>
    <t>IcfCode_outbuilding</t>
  </si>
  <si>
    <t>A facility for processing natural fibres (for example: wood) into flexible sheets or rolls of paper by deposit from an aqueous suspension.</t>
  </si>
  <si>
    <t>Pulp Mill</t>
  </si>
  <si>
    <t>IcfCode_paperMill</t>
  </si>
  <si>
    <t>IcfCode_petrochemicalRefinery</t>
  </si>
  <si>
    <t>petroleumFacility</t>
  </si>
  <si>
    <t>Petroleum Facility</t>
  </si>
  <si>
    <t>A building involved in the production or distribution of petroleum, oil and/or natural gas.</t>
  </si>
  <si>
    <t>IcfCode_petroleumFacility</t>
  </si>
  <si>
    <t>A building that is used for the changing or refining of a particular materials.</t>
  </si>
  <si>
    <t>Processing Plant, Treatment Plant</t>
  </si>
  <si>
    <t>IcfCode_processing</t>
  </si>
  <si>
    <t>pumpRoom</t>
  </si>
  <si>
    <t>Pump Room</t>
  </si>
  <si>
    <t>A room or building housing pumps for raising, compressing, and/or transferring fluids.</t>
  </si>
  <si>
    <t>Pump House</t>
  </si>
  <si>
    <t>IcfCode_pumpRoom</t>
  </si>
  <si>
    <t>repair</t>
  </si>
  <si>
    <t>Repair</t>
  </si>
  <si>
    <t>A building, or part of a building, in which broken and/or damaged goods (for example: equipment) are restored to sound condition.</t>
  </si>
  <si>
    <t>IcfCode_repair</t>
  </si>
  <si>
    <t>sawmill</t>
  </si>
  <si>
    <t>Sawmill</t>
  </si>
  <si>
    <t>A factory in which wood is sawn into lumber (for example: planks or boards) by machinery.</t>
  </si>
  <si>
    <t>IcfCode_sawmill</t>
  </si>
  <si>
    <t>IcfCode_shipyard</t>
  </si>
  <si>
    <t>A facility for the production of fabricated structural steel products (for example: girders and/or plates).</t>
  </si>
  <si>
    <t>May be specifically restricted to a factory where steel is rolled into sheets.</t>
  </si>
  <si>
    <t>IcfCode_steelMill</t>
  </si>
  <si>
    <t>A building, or part of a building, used for the storage of manufactured goods (for example: large appliances, furniture, test equipment, and machinery).</t>
  </si>
  <si>
    <t>IcfCode_warehouse</t>
  </si>
  <si>
    <t>waterDrivenGristMill</t>
  </si>
  <si>
    <t>Water Driven Grist-mill</t>
  </si>
  <si>
    <t>A structure equipped with water-driven equipment for grinding grain into flour or meal.</t>
  </si>
  <si>
    <t>IcfCode_waterDrivenGristMill</t>
  </si>
  <si>
    <t>waterworks</t>
  </si>
  <si>
    <t>Waterworks</t>
  </si>
  <si>
    <t>An establishment for storing, purifying, and to supply an area or town.</t>
  </si>
  <si>
    <t>IcfCode_waterworks</t>
  </si>
  <si>
    <t>IcfCode_windTunnel</t>
  </si>
  <si>
    <t>feeding</t>
  </si>
  <si>
    <t>Feeding</t>
  </si>
  <si>
    <t>The locality where a given species feeds or where food is abundant and available.</t>
  </si>
  <si>
    <t>MbgCode_feeding</t>
  </si>
  <si>
    <t>general</t>
  </si>
  <si>
    <t>General</t>
  </si>
  <si>
    <t>The geographical range of localities inhabited by a species or other group.</t>
  </si>
  <si>
    <t>The range may be continuous or discontinuous (with gaps).</t>
  </si>
  <si>
    <t>MbgCode_general</t>
  </si>
  <si>
    <t>spawning</t>
  </si>
  <si>
    <t>Spawning</t>
  </si>
  <si>
    <t>The locality where a given species spawns.</t>
  </si>
  <si>
    <t>MbgCode_spawning</t>
  </si>
  <si>
    <t>wintering</t>
  </si>
  <si>
    <t>Wintering</t>
  </si>
  <si>
    <t>The locality to which a given species migrates during the winter, being located away from feeding and spawning areas.</t>
  </si>
  <si>
    <t>MbgCode_wintering</t>
  </si>
  <si>
    <t>fencing</t>
  </si>
  <si>
    <t>Fencing</t>
  </si>
  <si>
    <t>A barrier enclosing an area, typically consisting of posts connected by wire and/or wood.</t>
  </si>
  <si>
    <t>MfeCode_fencing</t>
  </si>
  <si>
    <t>fishingStakes</t>
  </si>
  <si>
    <t>MfeCode_fishingStakes</t>
  </si>
  <si>
    <t>nets</t>
  </si>
  <si>
    <t>Nets</t>
  </si>
  <si>
    <t>An open-meshed material of twine or cord for catching fish.</t>
  </si>
  <si>
    <t>MfeCode_nets</t>
  </si>
  <si>
    <t>A straight line that marks the boundary between a safe and a dangerous area or that passes clear of a navigational danger.</t>
  </si>
  <si>
    <t>Sectors of lighthouse lights are usually bounded by clearing lines.</t>
  </si>
  <si>
    <t>NlcCode_clearingLine</t>
  </si>
  <si>
    <t>A line passing through one or more clearly defined objects, along the path of which a vessel can approach safely up to a certain distance off.</t>
  </si>
  <si>
    <t>NlcCode_leadingLine</t>
  </si>
  <si>
    <t>transitLine</t>
  </si>
  <si>
    <t>Transit Line</t>
  </si>
  <si>
    <t>A line passing through one or more fixed marks.</t>
  </si>
  <si>
    <t>NlcCode_transitLine</t>
  </si>
  <si>
    <t>emergencyRadio</t>
  </si>
  <si>
    <t>Emergency Radio</t>
  </si>
  <si>
    <t>A radio station is reserved for emergency situations.</t>
  </si>
  <si>
    <t>May also be a public telephone.</t>
  </si>
  <si>
    <t>RscCode_emergencyRadio</t>
  </si>
  <si>
    <t>firstAidEquipment</t>
  </si>
  <si>
    <t>First Aid Equipment</t>
  </si>
  <si>
    <t>Medical first aid equipment is available.</t>
  </si>
  <si>
    <t>RscCode_firstAidEquipment</t>
  </si>
  <si>
    <t>intertidalRefuge</t>
  </si>
  <si>
    <t>Intertidal Refuge</t>
  </si>
  <si>
    <t>A shelter providing protection from danger in areas exposed to extreme and sudden tides or tidal streams.</t>
  </si>
  <si>
    <t>RscCode_intertidalRefuge</t>
  </si>
  <si>
    <t>lifeboat</t>
  </si>
  <si>
    <t>Lifeboat</t>
  </si>
  <si>
    <t>Equipment for saving life at sea is maintained, including a lifeboat.</t>
  </si>
  <si>
    <t>The type of lifeboat may vary from fast, long distance boats to inflatable inshore boats.</t>
  </si>
  <si>
    <t>RscCode_lifeboat</t>
  </si>
  <si>
    <t>lifeboatAndRocket</t>
  </si>
  <si>
    <t>Lifeboat and Rocket</t>
  </si>
  <si>
    <t>Equipment for saving life at sea is maintained, including both a lifeboat and a rocket.</t>
  </si>
  <si>
    <t>RscCode_lifeboatAndRocket</t>
  </si>
  <si>
    <t>mooredLifeboat</t>
  </si>
  <si>
    <t>Moored Lifeboat</t>
  </si>
  <si>
    <t>A lifeboat is moored ready for use.</t>
  </si>
  <si>
    <t>RscCode_mooredLifeboat</t>
  </si>
  <si>
    <t>rocket</t>
  </si>
  <si>
    <t>Rocket</t>
  </si>
  <si>
    <t>Equipment for saving life at sea is maintained, including a rocket.</t>
  </si>
  <si>
    <t>The rocket may be used for signalling and/or for life-saving purposes.</t>
  </si>
  <si>
    <t>RscCode_rocket</t>
  </si>
  <si>
    <t>shipwreckRefuge</t>
  </si>
  <si>
    <t>Shipwreck Refuge</t>
  </si>
  <si>
    <t>A shelter providing protection from danger and/or distress at sea for shipwrecked mariners.</t>
  </si>
  <si>
    <t>RscCode_shipwreckRefuge</t>
  </si>
  <si>
    <t>demersal</t>
  </si>
  <si>
    <t>Demersal</t>
  </si>
  <si>
    <t>The species lives in close relation with the bottom and depending on it.</t>
  </si>
  <si>
    <t>For example: cods, groupers and lobsters are demersal species. The term 'demersal fish' usually refers to the living mode of the adult.</t>
  </si>
  <si>
    <t>MhaCode_demersal</t>
  </si>
  <si>
    <t>pelagic</t>
  </si>
  <si>
    <t>Pelagic</t>
  </si>
  <si>
    <t>The species spends most of its life swimming in the water column with little contact with, or dependency on, the bottom.</t>
  </si>
  <si>
    <t>Usually refers to the adult stage of the species.</t>
  </si>
  <si>
    <t>MhaCode_pelagic</t>
  </si>
  <si>
    <t>Warns of the presence of a cable.</t>
  </si>
  <si>
    <t>SawCode_cable</t>
  </si>
  <si>
    <t>danger</t>
  </si>
  <si>
    <t>Danger</t>
  </si>
  <si>
    <t>Warns of the presence of a danger to navigation.</t>
  </si>
  <si>
    <t>SawCode_danger</t>
  </si>
  <si>
    <t>distress</t>
  </si>
  <si>
    <t>Distress</t>
  </si>
  <si>
    <t>Receives or transmits distress signals.</t>
  </si>
  <si>
    <t>SawCode_distress</t>
  </si>
  <si>
    <t>A signal or message warning of diving activity.</t>
  </si>
  <si>
    <t>SawCode_diving</t>
  </si>
  <si>
    <t>Conveys information about ice conditions.</t>
  </si>
  <si>
    <t>SawCode_ice</t>
  </si>
  <si>
    <t>maritimeObstruction</t>
  </si>
  <si>
    <t>Maritime Obstruction</t>
  </si>
  <si>
    <t>Warns of the presence of a maritime obstruction.</t>
  </si>
  <si>
    <t>SawCode_maritimeObstruction</t>
  </si>
  <si>
    <t>militaryPractice</t>
  </si>
  <si>
    <t>Military Practice</t>
  </si>
  <si>
    <t>Warns of activity in a military practice area.</t>
  </si>
  <si>
    <t>SawCode_militaryPractice</t>
  </si>
  <si>
    <t>storm</t>
  </si>
  <si>
    <t>Storm</t>
  </si>
  <si>
    <t>Conveys information about storm conditions.</t>
  </si>
  <si>
    <t>SawCode_storm</t>
  </si>
  <si>
    <t>tidalStream</t>
  </si>
  <si>
    <t>Tidal Stream</t>
  </si>
  <si>
    <t>Conveys information on condition of tidal currents in the area in question.</t>
  </si>
  <si>
    <t>SawCode_tidalStream</t>
  </si>
  <si>
    <t>tide</t>
  </si>
  <si>
    <t>Tide</t>
  </si>
  <si>
    <t>Conveys information on tidal conditions in the area in question.</t>
  </si>
  <si>
    <t>SawCode_tide</t>
  </si>
  <si>
    <t>tideGauge</t>
  </si>
  <si>
    <t>Tide Gauge</t>
  </si>
  <si>
    <t>Conveys information on measured tidal heights in the area in question.</t>
  </si>
  <si>
    <t>SawCode_tideGauge</t>
  </si>
  <si>
    <t>tideScale</t>
  </si>
  <si>
    <t>Tide Scale</t>
  </si>
  <si>
    <t>Conveys information on condition of tidal heights above the chart or local datum in the area in question.</t>
  </si>
  <si>
    <t>SawCode_tideScale</t>
  </si>
  <si>
    <t>An accurate signal marking a specified time or time interval.</t>
  </si>
  <si>
    <t>Such signals are usually sent from an observatory by radio or telegraph, but visual signals are used at some ports. It is used primarily for determining errors of timepieces.</t>
  </si>
  <si>
    <t>SawCode_time</t>
  </si>
  <si>
    <t>waterLevelGauge</t>
  </si>
  <si>
    <t>Water Level Gauge</t>
  </si>
  <si>
    <t>Conveys information on measured (non-tidal) water levels in the area in question.</t>
  </si>
  <si>
    <t>SawCode_waterLevelGauge</t>
  </si>
  <si>
    <t>weather</t>
  </si>
  <si>
    <t>Weather</t>
  </si>
  <si>
    <t>Displays a visual signal to indicate a weather forecast.</t>
  </si>
  <si>
    <t>SawCode_weather</t>
  </si>
  <si>
    <t>attack</t>
  </si>
  <si>
    <t>Attack</t>
  </si>
  <si>
    <t>Attack with weapons without boarding.</t>
  </si>
  <si>
    <t>No aggressor has entered the vehicle.</t>
  </si>
  <si>
    <t>AgrCode_attack</t>
  </si>
  <si>
    <t>pirateBoarding</t>
  </si>
  <si>
    <t>Pirate Boarding</t>
  </si>
  <si>
    <t>Unauthorized individuals boarded or attempted to board a vessel with intent to steal either goods and/or the vessel, or abduct crew and/or passengers.</t>
  </si>
  <si>
    <t>AgrCode_pirateBoarding</t>
  </si>
  <si>
    <t>suspiciousApproach</t>
  </si>
  <si>
    <t>Suspicious Approach</t>
  </si>
  <si>
    <t>An unexpected and/or unwarrented inspection of a vessel and/or its operations.</t>
  </si>
  <si>
    <t>AgrCode_suspiciousApproach</t>
  </si>
  <si>
    <t>Attack conveyed by flying vehicle(s).</t>
  </si>
  <si>
    <t>AgtCode_aircraft</t>
  </si>
  <si>
    <t>fishingBoat</t>
  </si>
  <si>
    <t>Fishing Boat</t>
  </si>
  <si>
    <t>Conveyed by fishing boat(s).</t>
  </si>
  <si>
    <t>AgtCode_fishingBoat</t>
  </si>
  <si>
    <t>inflatableSmallCraft</t>
  </si>
  <si>
    <t>Inflatable Small Craft</t>
  </si>
  <si>
    <t>Conveyed by small inflatable watercraft.</t>
  </si>
  <si>
    <t>AgtCode_inflatableSmallCraft</t>
  </si>
  <si>
    <t>militaryTransport</t>
  </si>
  <si>
    <t>Military Transport</t>
  </si>
  <si>
    <t>Conveyed by military vessel(s).</t>
  </si>
  <si>
    <t>AgtCode_militaryTransport</t>
  </si>
  <si>
    <t>onFoot</t>
  </si>
  <si>
    <t>On Foot</t>
  </si>
  <si>
    <t>Approached on foot from a pier.</t>
  </si>
  <si>
    <t>AgtCode_onFoot</t>
  </si>
  <si>
    <t>speedboat</t>
  </si>
  <si>
    <t>Speedboat</t>
  </si>
  <si>
    <t>Conveyed by speedboat(s).</t>
  </si>
  <si>
    <t>AgtCode_speedboat</t>
  </si>
  <si>
    <t>Approached by swimming.</t>
  </si>
  <si>
    <t>AgtCode_swim</t>
  </si>
  <si>
    <t>yacht</t>
  </si>
  <si>
    <t>Yacht</t>
  </si>
  <si>
    <t>Conveyed by yacht(s).</t>
  </si>
  <si>
    <t>AgtCode_yacht</t>
  </si>
  <si>
    <t>birdSanctuary</t>
  </si>
  <si>
    <t>Bird Sanctuary</t>
  </si>
  <si>
    <t>An area where birds are bred and protected.</t>
  </si>
  <si>
    <t>MrrCode_birdSanctuary</t>
  </si>
  <si>
    <t>A designated area of water where a vessel may adjust its compass by a process of 'swinging ship'.</t>
  </si>
  <si>
    <t>Normally accompanied by a 'swinging buoy' that is used to place the vessel on various headings and then comparing magnetic compass readings with the corresponding magnetic directions, to determine deviation. The results are used to adjust the vessel compass to compensate.</t>
  </si>
  <si>
    <t>MrrCode_compassAdjustment</t>
  </si>
  <si>
    <t>conserveManageZone</t>
  </si>
  <si>
    <t>Conservation and Management Zone</t>
  </si>
  <si>
    <t>An agreed protection zone that has been established to ensure the conservation of fish stocks and establish maritime jurisdiction.</t>
  </si>
  <si>
    <t>MrrCode_conserveManageZone</t>
  </si>
  <si>
    <t>contiguousZone</t>
  </si>
  <si>
    <t>Contiguous Zone</t>
  </si>
  <si>
    <t>A zone contiguous to a coastal state's territorial sea, which may not extend beyond 24 nautical miles from the baselines from which the breadth of the territorial sea is measured.</t>
  </si>
  <si>
    <t>The coastal state may exercise certain control in this zone subject to the provisions of International Law.</t>
  </si>
  <si>
    <t>MrrCode_contiguousZone</t>
  </si>
  <si>
    <t>continentalShelfArea</t>
  </si>
  <si>
    <t>Continental Shelf Area</t>
  </si>
  <si>
    <t>An area extending to the limit of the continental shelf or continental margin determined in accordance with the provisions of the United Nations Convention on the Law of the Sea (UNCLOS).</t>
  </si>
  <si>
    <t>MrrCode_continentalShelfArea</t>
  </si>
  <si>
    <t>An area, usually about two cables diameter, within which ship's magnetic fields may be measured; sensing instruments and cables are installed on the sea bed in the range and there are cables leading from the range to a control position ashore.</t>
  </si>
  <si>
    <t>MrrCode_degaussingRange</t>
  </si>
  <si>
    <t>dredgingArea</t>
  </si>
  <si>
    <t>Dredging Area</t>
  </si>
  <si>
    <t>An area where dredging is taking place.</t>
  </si>
  <si>
    <t>MrrCode_dredgingArea</t>
  </si>
  <si>
    <t>ecologicalReserve</t>
  </si>
  <si>
    <t>Ecological Reserve</t>
  </si>
  <si>
    <t>An area managed so as to preserve the relation of plants and living creatures to each other and to their surroundings.</t>
  </si>
  <si>
    <t>MrrCode_ecologicalReserve</t>
  </si>
  <si>
    <t>exclusiveEconomicZone</t>
  </si>
  <si>
    <t>Exclusive Economic Zone</t>
  </si>
  <si>
    <t>An area, not exceeding 200 nautical miles from the baselines from which the breadth of the territorial sea is measured, subject to a specific legal regime established in the United Nations Convention on the Law of the Sea (UNCLOS).</t>
  </si>
  <si>
    <t>MrrCode_exclusiveEconomicZone</t>
  </si>
  <si>
    <t>extendContinentShelfArea</t>
  </si>
  <si>
    <t>Extended Continental Shelf Area</t>
  </si>
  <si>
    <t>An area extending to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</si>
  <si>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MrrCode_extendContinentShelfArea</t>
  </si>
  <si>
    <t>The main travelled part of a waterway.</t>
  </si>
  <si>
    <t>MrrCode_fairway</t>
  </si>
  <si>
    <t>fishSanctuary</t>
  </si>
  <si>
    <t>Fish Sanctuary</t>
  </si>
  <si>
    <t>An area where fish are protected.</t>
  </si>
  <si>
    <t>Fish Protection Area</t>
  </si>
  <si>
    <t>MrrCode_fishSanctuary</t>
  </si>
  <si>
    <t>fisheryZone</t>
  </si>
  <si>
    <t>Fishery Zone</t>
  </si>
  <si>
    <t>An offshore zone in which exclusive fishing rights and management are held by a coastal nation.</t>
  </si>
  <si>
    <t>MrrCode_fisheryZone</t>
  </si>
  <si>
    <t>fishingGround</t>
  </si>
  <si>
    <t>Fishing Ground</t>
  </si>
  <si>
    <t>A water area in which fishing frequently occurs.</t>
  </si>
  <si>
    <t>MrrCode_fishingGround</t>
  </si>
  <si>
    <t>foreignFishingRightsZone</t>
  </si>
  <si>
    <t>Foreign Fishing Rights Zone</t>
  </si>
  <si>
    <t>An offshore zone within the Fishery Limits of a coastal nation within which fishing rights have been granted to foreign fishermen.</t>
  </si>
  <si>
    <t>MrrCode_foreignFishingRightsZone</t>
  </si>
  <si>
    <t>formerMineDangerArea</t>
  </si>
  <si>
    <t>Former Mine Danger Area</t>
  </si>
  <si>
    <t>An area, now clear, that was previously laid and maintained with explosive mines.</t>
  </si>
  <si>
    <t>The mining may have been for either defence or practice purposes.</t>
  </si>
  <si>
    <t>MrrCode_formerMineDangerArea</t>
  </si>
  <si>
    <t>gamePreserve</t>
  </si>
  <si>
    <t>Game Preserve</t>
  </si>
  <si>
    <t>An area where wild animals or birds hunted for sport or food are kept undisturbed for private use.</t>
  </si>
  <si>
    <t>MrrCode_gamePreserve</t>
  </si>
  <si>
    <t>historicWreckArea</t>
  </si>
  <si>
    <t>Historic Wreck Area</t>
  </si>
  <si>
    <t>An area around certain wrecks of historical importance to protect the wrecks from unauthorized interference by diving, salvage or deposition (including anchoring).</t>
  </si>
  <si>
    <t>MrrCode_historicWreckArea</t>
  </si>
  <si>
    <t>incinerationArea</t>
  </si>
  <si>
    <t>Incineration Area</t>
  </si>
  <si>
    <t>An offshore area officially designated as suitable for the burning of chemical waste by specially equipped ships.</t>
  </si>
  <si>
    <t>MrrCode_incinerationArea</t>
  </si>
  <si>
    <t>internalWaters</t>
  </si>
  <si>
    <t>Internal Waters</t>
  </si>
  <si>
    <t>Waters on the landward side of the baseline of the territorial sea and including landlocked waters within the State.</t>
  </si>
  <si>
    <t>MrrCode_internalWaters</t>
  </si>
  <si>
    <t>icesFisheryZone</t>
  </si>
  <si>
    <t>International Council for the Seas (ICES) Fishery Zone</t>
  </si>
  <si>
    <t>An offshore management zone defined by the International Council for the Exploration of the Seas (ICES) and used for the purpose of fishery statistics and regulations in the north-east Atlantic.</t>
  </si>
  <si>
    <t>MrrCode_icesFisheryZone</t>
  </si>
  <si>
    <t>jointEconomicDevelopZone</t>
  </si>
  <si>
    <t>Joint Economic Development Zone</t>
  </si>
  <si>
    <t>An area that has been mutually agreed between two or more coastal States for the joint exploitation of resources of the sea and seabed.</t>
  </si>
  <si>
    <t>A Joint Economic Development Zone generally straddles the 'national' waters of the coastal States, consequently the maritime boundary between the recognised 'national' waters of the States is separate from the boundary of the Zone itself.</t>
  </si>
  <si>
    <t>MrrCode_jointEconomicDevelopZone</t>
  </si>
  <si>
    <t>marineNatureReserve</t>
  </si>
  <si>
    <t>Marine Nature Reserve</t>
  </si>
  <si>
    <t>An officially designated area in which there may be restrictions on entry, fishing, anchoring, and/or other activities in order to protect the marine environment.</t>
  </si>
  <si>
    <t>Marine Sanctuary</t>
  </si>
  <si>
    <t>MrrCode_marineNatureReserve</t>
  </si>
  <si>
    <t>maritimeMassGrave</t>
  </si>
  <si>
    <t>Maritime Mass Grave</t>
  </si>
  <si>
    <t>A location where a significant number of persons have perished as a direct result of a vessel or structure sinking and their remains cannot be recovered, the wreck and immediate area may be declared as a Mass Grave or more specifically, a War Grave.</t>
  </si>
  <si>
    <t>Such sites are protected from disturbance by International Law.</t>
  </si>
  <si>
    <t>MrrCode_maritimeMassGrave</t>
  </si>
  <si>
    <t>marpolReportingArea</t>
  </si>
  <si>
    <t>Maritime Pollution (MARPOL) Reporting Area</t>
  </si>
  <si>
    <t>An area within which maritime pollution is reported according to an established matrix of locations.</t>
  </si>
  <si>
    <t>MrrCode_marpolReportingArea</t>
  </si>
  <si>
    <t>mineDangerArea</t>
  </si>
  <si>
    <t>Mine Danger Area</t>
  </si>
  <si>
    <t>An area that may have been laid and maintained with explosive mines.</t>
  </si>
  <si>
    <t>MrrCode_mineDangerArea</t>
  </si>
  <si>
    <t>naturalGasField</t>
  </si>
  <si>
    <t>Natural Gas Field</t>
  </si>
  <si>
    <t>An area in which natural gas occurs in quantities worthy of exploitation.</t>
  </si>
  <si>
    <t>May contain offshore and/or underwater constructions.</t>
  </si>
  <si>
    <t>MrrCode_naturalGasField</t>
  </si>
  <si>
    <t>natureReserve</t>
  </si>
  <si>
    <t>Nature Reserve</t>
  </si>
  <si>
    <t>An area managed so as to preserve its flora, fauna, and/or physical features.</t>
  </si>
  <si>
    <t>It may include both land and sea areas.</t>
  </si>
  <si>
    <t>MrrCode_natureReserve</t>
  </si>
  <si>
    <t>noWakeArea</t>
  </si>
  <si>
    <t>No Wake Area</t>
  </si>
  <si>
    <t>An area in which a vessels' speed must be reduced in order to reduce the size of the wake it produces.</t>
  </si>
  <si>
    <t>MrrCode_noWakeArea</t>
  </si>
  <si>
    <t>petroleumField</t>
  </si>
  <si>
    <t>Petroleum Field</t>
  </si>
  <si>
    <t>An area in which petroleum occurs in quantities worthy of exploitation.</t>
  </si>
  <si>
    <t>MrrCode_petroleumField</t>
  </si>
  <si>
    <t>reclamationArea</t>
  </si>
  <si>
    <t>Reclamation Area</t>
  </si>
  <si>
    <t>An area of the sea that is being reclaimed as land, usually by the dumping of earth and other material.</t>
  </si>
  <si>
    <t>MrrCode_reclamationArea</t>
  </si>
  <si>
    <t>researchArea</t>
  </si>
  <si>
    <t>Research Area</t>
  </si>
  <si>
    <t>An area where marine research takes place.</t>
  </si>
  <si>
    <t>MrrCode_researchArea</t>
  </si>
  <si>
    <t>sealSanctuary</t>
  </si>
  <si>
    <t>Seal Sanctuary</t>
  </si>
  <si>
    <t>An area where seals are protected.</t>
  </si>
  <si>
    <t>MrrCode_sealSanctuary</t>
  </si>
  <si>
    <t>strandingDangerArea</t>
  </si>
  <si>
    <t>Stranding Danger Area</t>
  </si>
  <si>
    <t>An area in which there is danger of serious grounding of a vessel so that it is not soon refloated.</t>
  </si>
  <si>
    <t>MrrCode_strandingDangerArea</t>
  </si>
  <si>
    <t>swimmingArea</t>
  </si>
  <si>
    <t>Swimming Area</t>
  </si>
  <si>
    <t>An area in which people may swim and therefore vessel movement may be restricted.</t>
  </si>
  <si>
    <t>MrrCode_swimmingArea</t>
  </si>
  <si>
    <t>swingingArea</t>
  </si>
  <si>
    <t>Swinging Area</t>
  </si>
  <si>
    <t>An area where vessels turn.</t>
  </si>
  <si>
    <t>Turning Area, Swinging Circle</t>
  </si>
  <si>
    <t>MrrCode_swingingArea</t>
  </si>
  <si>
    <t>territorialSeaArea</t>
  </si>
  <si>
    <t>Territorial Sea Area</t>
  </si>
  <si>
    <t>A belt of water of a defined breadth but not exceeding 12 nautical miles measured seaward from the territorial sea baseline.</t>
  </si>
  <si>
    <t>MrrCode_territorialSeaArea</t>
  </si>
  <si>
    <t>trafficServicesLimit</t>
  </si>
  <si>
    <t>Traffic Services Limit</t>
  </si>
  <si>
    <t>The boundary of an area in which vessel traffic services are provided by a relevant authority that are primarily designed to improve safety and efficiency of traffic flow and the protection of the environment.</t>
  </si>
  <si>
    <t>Vessel traffic services may range from simple information messages, to extensive organization of the traffic involving national or regional schemes.</t>
  </si>
  <si>
    <t>MrrCode_trafficServicesLimit</t>
  </si>
  <si>
    <t>unilateralFishingZone</t>
  </si>
  <si>
    <t>Unilateral Fishing Zone</t>
  </si>
  <si>
    <t>An offshore zone within which fishing rights have been asserted unilaterally.</t>
  </si>
  <si>
    <t>MrrCode_unilateralFishingZone</t>
  </si>
  <si>
    <t>unrestrictedArea</t>
  </si>
  <si>
    <t>Unrestricted Area</t>
  </si>
  <si>
    <t>An area known to be free of maritime restrictions.</t>
  </si>
  <si>
    <t>MrrCode_unrestrictedArea</t>
  </si>
  <si>
    <t>waitingArea</t>
  </si>
  <si>
    <t>Waiting Area</t>
  </si>
  <si>
    <t>An area reserved for vessels waiting to enter a harbour.</t>
  </si>
  <si>
    <t>MrrCode_waitingArea</t>
  </si>
  <si>
    <t>waterSkiingArea</t>
  </si>
  <si>
    <t>Water Skiing Area</t>
  </si>
  <si>
    <t>An area within which people may water ski and therefore vessel movement may be restricted.</t>
  </si>
  <si>
    <t>MrrCode_waterSkiingArea</t>
  </si>
  <si>
    <t>cargoTransshipment</t>
  </si>
  <si>
    <t>Cargo Transshipment</t>
  </si>
  <si>
    <t>An area designated for transfer of cargo from one vessel to another to reduce the draught of the larger vessel.</t>
  </si>
  <si>
    <t>Lightering</t>
  </si>
  <si>
    <t>McyCode_cargoTransshipment</t>
  </si>
  <si>
    <t>A straight line on a chart that either marks the boundary between a safe and a dangerous area, or that passes clear of a navigational danger.</t>
  </si>
  <si>
    <t>McyCode_clearingLine</t>
  </si>
  <si>
    <t>colregsDemarcationLine</t>
  </si>
  <si>
    <t>COLREGS Demarcation Line</t>
  </si>
  <si>
    <t>A demarcation line established in accordance with the International Regulations for Avoiding Collisions at Sea (COLREGS).</t>
  </si>
  <si>
    <t>McyCode_colregsDemarcationLine</t>
  </si>
  <si>
    <t>harbourArea</t>
  </si>
  <si>
    <t>Harbour Area</t>
  </si>
  <si>
    <t>The area over which a harbour authority has jurisdiction.</t>
  </si>
  <si>
    <t>McyCode_harbourArea</t>
  </si>
  <si>
    <t>iceAdvisory</t>
  </si>
  <si>
    <t>Ice Advisory</t>
  </si>
  <si>
    <t>An area that contains ice conditions hazardous to navigation of which the mariner must be aware.</t>
  </si>
  <si>
    <t>McyCode_iceAdvisory</t>
  </si>
  <si>
    <t>intakeArea</t>
  </si>
  <si>
    <t>Intake Area</t>
  </si>
  <si>
    <t>An area where water is taken into a channel or pipe from a river or other body of water.</t>
  </si>
  <si>
    <t>McyCode_intakeArea</t>
  </si>
  <si>
    <t>oceanCurrentMargin</t>
  </si>
  <si>
    <t>Ocean Current Margin</t>
  </si>
  <si>
    <t>The edge of an ocean current along which it contacts another current or stationary surrounding waters.</t>
  </si>
  <si>
    <t>Often marked by an abrupt change in colour, water temperature and density, and by breakers and other surface phenomena. For example, the West Wall and the North Wall of the Gulf Stream.</t>
  </si>
  <si>
    <t>McyCode_oceanCurrentMargin</t>
  </si>
  <si>
    <t>outfallArea</t>
  </si>
  <si>
    <t>Outfall Area</t>
  </si>
  <si>
    <t>An area in which reclaimed water or treated effluent (for example: from a sewage treatment plant or refinery) is discharged to a receiving water body, often via a diffuser.</t>
  </si>
  <si>
    <t>McyCode_outfallArea</t>
  </si>
  <si>
    <t>pollutionZone</t>
  </si>
  <si>
    <t>Pollution Zone</t>
  </si>
  <si>
    <t>A sensitive area specially regulated to prevent discharge of pollutants from vessels.</t>
  </si>
  <si>
    <t>McyCode_pollutionZone</t>
  </si>
  <si>
    <t>submarineCable</t>
  </si>
  <si>
    <t>Submarine Cable</t>
  </si>
  <si>
    <t>An area containing one or more submarine cables.</t>
  </si>
  <si>
    <t>McyCode_submarineCable</t>
  </si>
  <si>
    <t>submarinePipeline</t>
  </si>
  <si>
    <t>Submarine Pipeline</t>
  </si>
  <si>
    <t>An area containing one or more submarine pipelines.</t>
  </si>
  <si>
    <t>McyCode_submarinePipeline</t>
  </si>
  <si>
    <t>submarineSewer</t>
  </si>
  <si>
    <t>Submarine Sewer</t>
  </si>
  <si>
    <t>An area containing one or more submarine sewers.</t>
  </si>
  <si>
    <t>McyCode_submarineSewer</t>
  </si>
  <si>
    <t>An area in which military munitions that have been: primed, fuzed, armed or otherwise prepared for action; have then been fired, placed, dropped, launched or projected; and remain unexploded by design or malfunction.</t>
  </si>
  <si>
    <t>Includes: High-explosive warheads, rocket motors, practice munitions with spotting charges, torpedoes, artillery and mortar ammunition, grenades, incendiary munitions, electroexplosive devices, and propellant-actuated devices.</t>
  </si>
  <si>
    <t>McyCode_unexplodedOrdnance</t>
  </si>
  <si>
    <t>worksInProgressArea</t>
  </si>
  <si>
    <t>Works in Progress Area</t>
  </si>
  <si>
    <t>An area in which work is in progress that may affect navigation.</t>
  </si>
  <si>
    <t>For example, changing the bottom depth (for example: dredging, laying pipeline, tunnel construction), the shape of the coast (for example: land reclamation), and/or the appearance of the horizon for a vessel (for example: construction of structures).</t>
  </si>
  <si>
    <t>McyCode_worksInProgressArea</t>
  </si>
  <si>
    <t>contiguousZoneLimit</t>
  </si>
  <si>
    <t>Contiguous Zone Limit</t>
  </si>
  <si>
    <t>The limit of a zone contiguous to a coastal state's territorial sea, which may not extend beyond 24 nautical miles from the baselines from which the breadth of the territorial sea is measured.</t>
  </si>
  <si>
    <t>MglCode_contiguousZoneLimit</t>
  </si>
  <si>
    <t>continentalShelfLimit</t>
  </si>
  <si>
    <t>Continental Shelf Limit</t>
  </si>
  <si>
    <t>The limit of the continental shelf or continental margin determined in accordance with the provisions of the United Nations Convention on the Law of the Sea (UNCLOS).</t>
  </si>
  <si>
    <t>MglCode_continentalShelfLimit</t>
  </si>
  <si>
    <t>customsBoundary</t>
  </si>
  <si>
    <t>Customs Boundary</t>
  </si>
  <si>
    <t>The boundary of an area within which national custom regulations are in force.</t>
  </si>
  <si>
    <t>MglCode_customsBoundary</t>
  </si>
  <si>
    <t>exclusiveEcoZoneLimit</t>
  </si>
  <si>
    <t>Exclusive Economic Zone Limit</t>
  </si>
  <si>
    <t>The limit of the exclusive economic zone, which is an area, not exceeding 200 nautical miles from the baselines from which the breadth of the territorial sea is measured, subject to a specific legal regime established in the Nations Convention on the Law of the Sea (UNCLOS).</t>
  </si>
  <si>
    <t>MglCode_exclusiveEcoZoneLimit</t>
  </si>
  <si>
    <t>extendContinentShelfLimit</t>
  </si>
  <si>
    <t>Extended Continental Shelf Limit</t>
  </si>
  <si>
    <t>The limit defined by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</si>
  <si>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MglCode_extendContinentShelfLimit</t>
  </si>
  <si>
    <t>internationalBoundary</t>
  </si>
  <si>
    <t>International Boundary</t>
  </si>
  <si>
    <t>The boundary at sea between two coastal States as established by International Law.</t>
  </si>
  <si>
    <t>MglCode_internationalBoundary</t>
  </si>
  <si>
    <t>territorialSeaBaseline</t>
  </si>
  <si>
    <t>Territorial Sea Baseline</t>
  </si>
  <si>
    <t>The line from which the outer limits of the territorial sea and certain other outer limits are measured.</t>
  </si>
  <si>
    <t>Territorial Waters Baseline</t>
  </si>
  <si>
    <t>MglCode_territorialSeaBaseline</t>
  </si>
  <si>
    <t>territorialWatersLimitSov</t>
  </si>
  <si>
    <t>Territorial Waters Limit of Sovereignty</t>
  </si>
  <si>
    <t>The limit of a belt of water of a defined breadth but not exceeding 12 nautical miles measured seaward from the territorial sea baseline.</t>
  </si>
  <si>
    <t>MglCode_territorialWatersLimitSov</t>
  </si>
  <si>
    <t>threeNauticalMileLimit</t>
  </si>
  <si>
    <t>Three Nautical Mile Limit</t>
  </si>
  <si>
    <t>The limit of a belt of water of a 3 nautical mile breadth measured seaward from the territorial sea baseline.</t>
  </si>
  <si>
    <t>MglCode_threeNauticalMileLimit</t>
  </si>
  <si>
    <t>aeroLight</t>
  </si>
  <si>
    <t>A light established for aeronautical navigation and may be of higher power than marine lights and visible from well offshore.</t>
  </si>
  <si>
    <t>LfcCode_aeroLight</t>
  </si>
  <si>
    <t>airObstructionLight</t>
  </si>
  <si>
    <t>Air Obstruction Light</t>
  </si>
  <si>
    <t>A light marking an obstacle which constitutes a danger to air navigation.</t>
  </si>
  <si>
    <t>LfcCode_airObstructionLight</t>
  </si>
  <si>
    <t>bearingLight</t>
  </si>
  <si>
    <t>Bearing Light</t>
  </si>
  <si>
    <t>A light which enables its approximate bearing to be obtained without the use of a compass.</t>
  </si>
  <si>
    <t>LfcCode_bearingLight</t>
  </si>
  <si>
    <t>directionalFunction</t>
  </si>
  <si>
    <t>Directional Function</t>
  </si>
  <si>
    <t>A light illuminating a sector of very narrow angle and intended to mark a direction to follow.</t>
  </si>
  <si>
    <t>LfcCode_directionalFunction</t>
  </si>
  <si>
    <t>emergencyLight</t>
  </si>
  <si>
    <t>Emergency Light</t>
  </si>
  <si>
    <t>A light available as a backup to a main light which will be illuminated should the main light fail.</t>
  </si>
  <si>
    <t>LfcCode_emergencyLight</t>
  </si>
  <si>
    <t>floodLight</t>
  </si>
  <si>
    <t>Flood Light</t>
  </si>
  <si>
    <t>A broad beam light used to illuminate a structure or area.</t>
  </si>
  <si>
    <t>LfcCode_floodLight</t>
  </si>
  <si>
    <t>fogDetectorLight</t>
  </si>
  <si>
    <t>Fog Detector Light</t>
  </si>
  <si>
    <t>A light used to automatically determine conditions of visibility which warrant the turning on or off of a sound signal.</t>
  </si>
  <si>
    <t>LfcCode_fogDetectorLight</t>
  </si>
  <si>
    <t>front</t>
  </si>
  <si>
    <t>Front</t>
  </si>
  <si>
    <t>In a leading lights, the light is in the front position on the lead as viewed from seaward.</t>
  </si>
  <si>
    <t>LfcCode_front</t>
  </si>
  <si>
    <t>horizontallyDisposed</t>
  </si>
  <si>
    <t>Horizontally Disposed</t>
  </si>
  <si>
    <t>A group of lights of identical character and almost identical position, that are disposed horizontally.</t>
  </si>
  <si>
    <t>LfcCode_horizontallyDisposed</t>
  </si>
  <si>
    <t>leadingLight</t>
  </si>
  <si>
    <t>Leading Light</t>
  </si>
  <si>
    <t>A light associated with other lights so as to form a leading line to be followed.</t>
  </si>
  <si>
    <t>LfcCode_leadingLight</t>
  </si>
  <si>
    <t>lower</t>
  </si>
  <si>
    <t>Lower</t>
  </si>
  <si>
    <t>In a leading lights, the light is in the lower position on the lead as viewed from seaward.</t>
  </si>
  <si>
    <t>LfcCode_lower</t>
  </si>
  <si>
    <t>moireEffectLight</t>
  </si>
  <si>
    <t>Moire Effect Light</t>
  </si>
  <si>
    <t>A sodium directional light giving a yellow background to a screen on which a vertical black line will be seen by an observer on the centre-line.</t>
  </si>
  <si>
    <t>A short-range (up to 2 kilometres) light.</t>
  </si>
  <si>
    <t>LfcCode_moireEffectLight</t>
  </si>
  <si>
    <t>rear</t>
  </si>
  <si>
    <t>Rear</t>
  </si>
  <si>
    <t>In a leading lights, the light is in the rear position on the lead as viewed from seaward.</t>
  </si>
  <si>
    <t>LfcCode_rear</t>
  </si>
  <si>
    <t>sectoredLight</t>
  </si>
  <si>
    <t>Sectored Light</t>
  </si>
  <si>
    <t>A light presenting different appearances (in particular, different colours) over various parts of the horizon of interest to maritime navigation.</t>
  </si>
  <si>
    <t>LfcCode_sectoredLight</t>
  </si>
  <si>
    <t>spotlight</t>
  </si>
  <si>
    <t>Spotlight</t>
  </si>
  <si>
    <t>A powerful light focused so as to illuminate a small area.</t>
  </si>
  <si>
    <t>LfcCode_spotlight</t>
  </si>
  <si>
    <t>stripLight</t>
  </si>
  <si>
    <t>Strip Light</t>
  </si>
  <si>
    <t>A light whose source has a linear form generally horizontal, which can reach a length of several metres.</t>
  </si>
  <si>
    <t>LfcCode_stripLight</t>
  </si>
  <si>
    <t>subsidiaryLight</t>
  </si>
  <si>
    <t>Subsidiary Light</t>
  </si>
  <si>
    <t>A light placed on or near the support of a main light and having a special use in navigation.</t>
  </si>
  <si>
    <t>LfcCode_subsidiaryLight</t>
  </si>
  <si>
    <t>upper</t>
  </si>
  <si>
    <t>Upper</t>
  </si>
  <si>
    <t>In a leading lights, the light is in the upper position on the lead as viewed from seaward.</t>
  </si>
  <si>
    <t>LfcCode_upper</t>
  </si>
  <si>
    <t>verticallyDisposed</t>
  </si>
  <si>
    <t>Vertically Disposed</t>
  </si>
  <si>
    <t>A group of lights of identical character and almost identical position, that are disposed vertically.</t>
  </si>
  <si>
    <t>LfcCode_verticallyDisposed</t>
  </si>
  <si>
    <t>articulatedBeacon</t>
  </si>
  <si>
    <t>Articulated Beacon</t>
  </si>
  <si>
    <t>A beacon fixed to a vertical pipe structure that oscillates around a universal coupling connected to a sinker.</t>
  </si>
  <si>
    <t>The beacon is kept upright by the buoyancy of a submerged floating chamber and is primarily designed to mark narrow channels with greater precision than conventional buoys.</t>
  </si>
  <si>
    <t>MnbCode_articulatedBeacon</t>
  </si>
  <si>
    <t>beaconTower</t>
  </si>
  <si>
    <t>Beacon Tower</t>
  </si>
  <si>
    <t>A solid structure of the order of 10 metres in height used as a navigational aid.</t>
  </si>
  <si>
    <t>MnbCode_beaconTower</t>
  </si>
  <si>
    <t>cairn</t>
  </si>
  <si>
    <t>A mound of stones, usually conical or pyramidal, raised as a landmark or to designate a point of importance in surveying.</t>
  </si>
  <si>
    <t>MnbCode_cairn</t>
  </si>
  <si>
    <t>latticeBeacon</t>
  </si>
  <si>
    <t>Lattice Beacon</t>
  </si>
  <si>
    <t>A structure consisting of strips of metal or wood crossed or interlaced to form a structure to serve as an aid to navigation or as a support for an aid to navigation.</t>
  </si>
  <si>
    <t>MnbCode_latticeBeacon</t>
  </si>
  <si>
    <t>pileBeacon</t>
  </si>
  <si>
    <t>Pile Beacon</t>
  </si>
  <si>
    <t>A long pile (for example: a heavy timber or section of steel, wood, or concrete) forced into the earth that may serve as an aid to navigation or as a support for an aid to navigation.</t>
  </si>
  <si>
    <t>A topmark may or may not be present.</t>
  </si>
  <si>
    <t>MnbCode_pileBeacon</t>
  </si>
  <si>
    <t>withy</t>
  </si>
  <si>
    <t>Withy</t>
  </si>
  <si>
    <t>A tree without roots stuck or spoiled into the bottom of the sea to serve as a navigational aid.</t>
  </si>
  <si>
    <t>MnbCode_withy</t>
  </si>
  <si>
    <t>A beacon indicating an aeronautical anchorage (for example: for seaplanes).</t>
  </si>
  <si>
    <t>BetCode_aeronauticalAnchorage</t>
  </si>
  <si>
    <t>A beacon indicating an anchorage.</t>
  </si>
  <si>
    <t>BetCode_anchorage</t>
  </si>
  <si>
    <t>anchoringProhib</t>
  </si>
  <si>
    <t>A beacon indicating an area where anchoring is prohibited.</t>
  </si>
  <si>
    <t>BetCode_anchoringProhib</t>
  </si>
  <si>
    <t>Articulated Light, Buoyant Beacon, Pivoted Beacon</t>
  </si>
  <si>
    <t>BetCode_articulatedBeacon</t>
  </si>
  <si>
    <t>articulatedDaybeacon</t>
  </si>
  <si>
    <t>Articulated Daybeacon</t>
  </si>
  <si>
    <t>An articulated beacon consisting of an unlighted panel of adequate viewing area to be seen at the required distance and having a distinctive shape, colour and/or number that serve to facilitate its recognition against a daylight viewing background.</t>
  </si>
  <si>
    <t>The beacon is fixed to a vertical pipe structure that oscillates around a universal coupling connected to a sinker and is kept upright by the buoyancy of a submerged floating chamber. It is primarily designed to mark narrow channels with greater precision than conventional buoys.</t>
  </si>
  <si>
    <t>Articulated Daymark Board</t>
  </si>
  <si>
    <t>BetCode_articulatedDaybeacon</t>
  </si>
  <si>
    <t>A beacon indicating the existence or the extent of an artificial reef.</t>
  </si>
  <si>
    <t>BetCode_artificialReef</t>
  </si>
  <si>
    <t>A beacon of relevance to barges.</t>
  </si>
  <si>
    <t>BetCode_barge</t>
  </si>
  <si>
    <t>BetCode_beaconTower</t>
  </si>
  <si>
    <t>A beacon indicating that berthing is allowed.</t>
  </si>
  <si>
    <t>BetCode_berthingPermitted</t>
  </si>
  <si>
    <t>berthingProhib</t>
  </si>
  <si>
    <t>A beacon indicating that berthing is prohibited.</t>
  </si>
  <si>
    <t>BetCode_berthingProhib</t>
  </si>
  <si>
    <t>buoyantBeacon</t>
  </si>
  <si>
    <t>Buoyant Beacon</t>
  </si>
  <si>
    <t>A tall spar-like beacon fitted with a permanently submerged buoyancy chamber, the lower end of the body is secured to seabed sinker either by a flexible joint or by a cable under tension.</t>
  </si>
  <si>
    <t>BetCode_buoyantBeacon</t>
  </si>
  <si>
    <t>A beacon indicating the position of submarine cables or the point at which they run on to the land.</t>
  </si>
  <si>
    <t>BetCode_cable</t>
  </si>
  <si>
    <t>BetCode_cairn</t>
  </si>
  <si>
    <t>A beacon used to indicate that the best navigable water is to be found in one particular of the quadrants that are bounded by the four bearings NW, NE, SE and SW taken from the position of the mark.</t>
  </si>
  <si>
    <t>BetCode_cardinal</t>
  </si>
  <si>
    <t>A beacon indicating the gradient of the slope of a dredge channel edge.</t>
  </si>
  <si>
    <t>BetCode_channelEdgeGradient</t>
  </si>
  <si>
    <t>channelSeparation</t>
  </si>
  <si>
    <t>Channel Separation</t>
  </si>
  <si>
    <t>A beacon indicating the point at which a channel divides separately into two channels.</t>
  </si>
  <si>
    <t>Channel Separation Mark</t>
  </si>
  <si>
    <t>BetCode_channelSeparation</t>
  </si>
  <si>
    <t>A beacon indicating a clearing line.</t>
  </si>
  <si>
    <t>BetCode_clearingLine</t>
  </si>
  <si>
    <t>A beacon indicating the location at which a restriction or requirement exists.</t>
  </si>
  <si>
    <t>BetCode_control</t>
  </si>
  <si>
    <t>A beacon equipped with an unlighted daymark identified by its colour, shape, and number depending on the purpose of the beacon.</t>
  </si>
  <si>
    <t>BetCode_daybeacon</t>
  </si>
  <si>
    <t>A beacon indicating a degaussing range.</t>
  </si>
  <si>
    <t>BetCode_degaussingRange</t>
  </si>
  <si>
    <t>A beacon indicating that diving may take place or be taking place in the vicinity.</t>
  </si>
  <si>
    <t>BetCode_diving</t>
  </si>
  <si>
    <t>A beacon used to indicate that the best navigable water is to be found in the quadrant bounded by the two bearings NE and SE taken from the position of the beacon.</t>
  </si>
  <si>
    <t>BetCode_eastCardinal</t>
  </si>
  <si>
    <t>A beacon indicating that entry is prohibited.</t>
  </si>
  <si>
    <t>BetCode_entryProhibited</t>
  </si>
  <si>
    <t>A beacon indicating that a ferry route crosses the ship route.</t>
  </si>
  <si>
    <t>BetCode_ferryCrossing</t>
  </si>
  <si>
    <t>A beacon indicating a firing danger area.</t>
  </si>
  <si>
    <t>BetCode_firingDangerArea</t>
  </si>
  <si>
    <t>floatingRadiobeacon</t>
  </si>
  <si>
    <t>Floating Radiobeacon</t>
  </si>
  <si>
    <t>BetCode_floatingRadiobeacon</t>
  </si>
  <si>
    <t>A beacon indicating a foul ground.</t>
  </si>
  <si>
    <t>BetCode_foulGround</t>
  </si>
  <si>
    <t>A beacon indicating that special caution must be exercised in the vicinity of the beacon.</t>
  </si>
  <si>
    <t>BetCode_generalWarning</t>
  </si>
  <si>
    <t>gps</t>
  </si>
  <si>
    <t>A beacon indicating a location at which a GPS position has been accurately determined.</t>
  </si>
  <si>
    <t>BetCode_gps</t>
  </si>
  <si>
    <t>A beacon indicating an area where helicopters may land.</t>
  </si>
  <si>
    <t>BetCode_heliport</t>
  </si>
  <si>
    <t>A beacon on a buoy used for loading tankers with gas or oil.</t>
  </si>
  <si>
    <t>BetCode_installation</t>
  </si>
  <si>
    <t>insubstantialNavMark</t>
  </si>
  <si>
    <t>BetCode_insubstantialNavMark</t>
  </si>
  <si>
    <t>A beacon used to indicate a lateral limit of navigable water.</t>
  </si>
  <si>
    <t>BetCode_lateral</t>
  </si>
  <si>
    <t>BetCode_latticeBeacon</t>
  </si>
  <si>
    <t>A beacon identifying a leading line for vessels when they are in transit.</t>
  </si>
  <si>
    <t>BetCode_leadingLine</t>
  </si>
  <si>
    <t>A beacon indicating the existence of a fish, mussel, oyster or pearl farm and/or culture.</t>
  </si>
  <si>
    <t>BetCode_marineFarm</t>
  </si>
  <si>
    <t>A beacon indicating the position of a ship which is used as a target during military exercises.</t>
  </si>
  <si>
    <t>BetCode_markerShip</t>
  </si>
  <si>
    <t>maximumVesselsDraught</t>
  </si>
  <si>
    <t>Maximum Vessel's Draught</t>
  </si>
  <si>
    <t>A beacon indicating the maximum draft of vessels permitted.</t>
  </si>
  <si>
    <t>BetCode_maximumVesselsDraught</t>
  </si>
  <si>
    <t>A beacon forming part of a transit indicating one end of a measured distance.</t>
  </si>
  <si>
    <t>BetCode_measuredDistance</t>
  </si>
  <si>
    <t>A beacon indicating a mooring or moorings.</t>
  </si>
  <si>
    <t>BetCode_mooring</t>
  </si>
  <si>
    <t>A beacon used to indicate that the best navigable water is to be found in the quadrant bounded by the two bearings NW and NE taken from the position of the beacon.</t>
  </si>
  <si>
    <t>BetCode_northCardinal</t>
  </si>
  <si>
    <t>A beacon providing information to the mariner.</t>
  </si>
  <si>
    <t>BetCode_notice</t>
  </si>
  <si>
    <t>oceanDataAcqSystemBuoy</t>
  </si>
  <si>
    <t>A beacon associated with a large (up to 6 metres in diameter) buoy carrying oceanographic and meteorological sensors together with an on-board data recording system.</t>
  </si>
  <si>
    <t>When anchored by means of an elastic mooring an accelerometer mounted within the buoy registers the rate at which the buoy is rising or falling as it follows the pattern of waves; by integrating against time, the acceleration signal can be converted to vertical displacement.</t>
  </si>
  <si>
    <t>BetCode_oceanDataAcqSystemBuoy</t>
  </si>
  <si>
    <t>A beacon indicating the position of an outfall or the point at which it leaves the land.</t>
  </si>
  <si>
    <t>BetCode_outfall</t>
  </si>
  <si>
    <t>A beacon indicating an overhead power cable.</t>
  </si>
  <si>
    <t>BetCode_overheadPowerCable</t>
  </si>
  <si>
    <t>overtakingProhib</t>
  </si>
  <si>
    <t>A beacon indicating that overtaking is prohibited.</t>
  </si>
  <si>
    <t>BetCode_overtakingProhib</t>
  </si>
  <si>
    <t>BetCode_pileBeacon</t>
  </si>
  <si>
    <t>A beacon indicating the position of submarine pipelines or the point at which they run on to the land.</t>
  </si>
  <si>
    <t>BetCode_pipeline</t>
  </si>
  <si>
    <t>A beacon identifying the port hand edge of a channel, according to the locally administered direction of beaconage in the IALA lateral system.</t>
  </si>
  <si>
    <t>BetCode_portHandEdge</t>
  </si>
  <si>
    <t>A beacon indicating that the preferred channel in a lateral system of beaconage is to port.</t>
  </si>
  <si>
    <t>BetCode_preferredChannelPort</t>
  </si>
  <si>
    <t>A beacon indicating that the preferred channel in a lateral system of beaconage is to starboard.</t>
  </si>
  <si>
    <t>BetCode_preferredChannelStarboard</t>
  </si>
  <si>
    <t>A privately maintained beacon.</t>
  </si>
  <si>
    <t>BetCode_private</t>
  </si>
  <si>
    <t>radarTransponder</t>
  </si>
  <si>
    <t>Radar Transponder</t>
  </si>
  <si>
    <t>A transponder beacon transmitting a coded signal on radar frequency, permitting an interrogating craft to determine the bearing and range of the transponder.</t>
  </si>
  <si>
    <t>RACON</t>
  </si>
  <si>
    <t>BetCode_radarTransponder</t>
  </si>
  <si>
    <t>A beacon used to record data for scientific purposes.</t>
  </si>
  <si>
    <t>BetCode_recording</t>
  </si>
  <si>
    <t>A beacon indicating a recreation zone.</t>
  </si>
  <si>
    <t>BetCode_recreationZone</t>
  </si>
  <si>
    <t>rectangleDaybeacon</t>
  </si>
  <si>
    <t>Rectangle Daybeacon</t>
  </si>
  <si>
    <t>A beacon consisting of an unlighted rectangle-shaped panel of adequate viewing area to be seen at the required distance and having a distinctive colour and/or number that serve to facilitate its recognition against a daylight viewing background.</t>
  </si>
  <si>
    <t>Rectangle Daymark Board</t>
  </si>
  <si>
    <t>BetCode_rectangleDaybeacon</t>
  </si>
  <si>
    <t>A beacon indicating that vessels must not generate excessive wake.</t>
  </si>
  <si>
    <t>BetCode_reducedWake</t>
  </si>
  <si>
    <t>A beacon providing or indicating a place of safety.</t>
  </si>
  <si>
    <t>BetCode_refuge</t>
  </si>
  <si>
    <t>restrictedHorizClear</t>
  </si>
  <si>
    <t>A beacon indicating the minimum horizontal space available for passage.</t>
  </si>
  <si>
    <t>BetCode_restrictedHorizClear</t>
  </si>
  <si>
    <t>restrictedVerClear</t>
  </si>
  <si>
    <t>A beacon indicating the minimum vertical space available for passage.</t>
  </si>
  <si>
    <t>BetCode_restrictedVerClear</t>
  </si>
  <si>
    <t>A beacon indicating an area where seaplanes land.</t>
  </si>
  <si>
    <t>BetCode_seaplaneLanding</t>
  </si>
  <si>
    <t>A beacon indicating that a ship should sound its siren or horn.</t>
  </si>
  <si>
    <t>BetCode_soundShipsSiren</t>
  </si>
  <si>
    <t>A beacon used to indicate that the best navigable water is to be found in the quadrant bounded by the two bearings SE and SW taken from the position of the beacon.</t>
  </si>
  <si>
    <t>BetCode_southCardinal</t>
  </si>
  <si>
    <t>A beacon primarily used to indicate an area or feature referred to in nautical documents (for example: chart, Sailing Directions or Notices to Mariners) rather than to assist navigation.</t>
  </si>
  <si>
    <t>BetCode_special</t>
  </si>
  <si>
    <t>A beacon indicating that a speed limit applies.</t>
  </si>
  <si>
    <t>BetCode_speedLimit</t>
  </si>
  <si>
    <t>A beacon indicating the limit of a spoil ground.</t>
  </si>
  <si>
    <t>BetCode_spoilGround</t>
  </si>
  <si>
    <t>squareDaybeacon</t>
  </si>
  <si>
    <t>Square Daybeacon</t>
  </si>
  <si>
    <t>A beacon consisting of an unlighted square-shaped panel of adequate viewing area to be seen at the required distance and having a distinctive colour and/or number that serve to facilitate its recognition against a daylight viewing background.</t>
  </si>
  <si>
    <t>Square Daymark Board</t>
  </si>
  <si>
    <t>BetCode_squareDaybeacon</t>
  </si>
  <si>
    <t>A beacon identifying the starboard hand edge of a channel, according to the locally administered direction of beaconage in the IALA lateral system.</t>
  </si>
  <si>
    <t>BetCode_starboardHandEdge</t>
  </si>
  <si>
    <t>A beacon indicating the place where the bow of a ship must stop when traffic lights show red.</t>
  </si>
  <si>
    <t>BetCode_stop</t>
  </si>
  <si>
    <t>A beacon warning of strong currents.</t>
  </si>
  <si>
    <t>BetCode_strongCurrentWarning</t>
  </si>
  <si>
    <t>A beacon indicating an area in which people may swim and therefore vessel movement may be restricted.</t>
  </si>
  <si>
    <t>BetCode_swim</t>
  </si>
  <si>
    <t>A beacon distinctively marked to aid in its identification (for example: as a weapons target, or for identification on a photograph).</t>
  </si>
  <si>
    <t>BetCode_target</t>
  </si>
  <si>
    <t>A beacon indicating the presence of a telephone.</t>
  </si>
  <si>
    <t>BetCode_telephone</t>
  </si>
  <si>
    <t>triangleDaybeacon</t>
  </si>
  <si>
    <t>Triangle Daybeacon</t>
  </si>
  <si>
    <t>A beacon consisting of an unlighted triangle-shaped panel of adequate viewing area to be seen at the required distance and having a distinctive colour and/or number that serve to facilitate its recognition against a daylight viewing background.</t>
  </si>
  <si>
    <t>Triangle Daymark Board</t>
  </si>
  <si>
    <t>BetCode_triangleDaybeacon</t>
  </si>
  <si>
    <t>A beacon indicating a traffic separation scheme.</t>
  </si>
  <si>
    <t>BetCode_tss</t>
  </si>
  <si>
    <t>twoWayTrafficProhib</t>
  </si>
  <si>
    <t>Two-way Traffic Prohibited</t>
  </si>
  <si>
    <t>A beacon indicating a one way route.</t>
  </si>
  <si>
    <t>BetCode_twoWayTrafficProhib</t>
  </si>
  <si>
    <t>A beacon indicating a borehole that produces or is capable of producing oil or natural gas.</t>
  </si>
  <si>
    <t>BetCode_wellhead</t>
  </si>
  <si>
    <t>A beacon used to indicate that the best navigable water is to be found in the quadrant bounded by the two bearings NW and SW taken from the position of the beacon.</t>
  </si>
  <si>
    <t>BetCode_westCardinal</t>
  </si>
  <si>
    <t>BetCode_withy</t>
  </si>
  <si>
    <t>A beacon indicating that work (generally construction) is in progress.</t>
  </si>
  <si>
    <t>BetCode_workInProgress</t>
  </si>
  <si>
    <t>A beacon installed for use by yachtsmen.</t>
  </si>
  <si>
    <t>BetCode_yachting</t>
  </si>
  <si>
    <t>directionalLight</t>
  </si>
  <si>
    <t>Directional Light</t>
  </si>
  <si>
    <t>A directional light is associated with a leading line or a clearing line.</t>
  </si>
  <si>
    <t>LafCode_directionalLight</t>
  </si>
  <si>
    <t>directionalRadiobeacon</t>
  </si>
  <si>
    <t>Directional Radiobeacon</t>
  </si>
  <si>
    <t>A directional radiobeacon is associated with a leading line or a clearing line.</t>
  </si>
  <si>
    <t>LafCode_directionalRadiobeacon</t>
  </si>
  <si>
    <t>leadingRadioTranspondBeac</t>
  </si>
  <si>
    <t>Leading Radio Transponder Beacon</t>
  </si>
  <si>
    <t>A leading radio transponder beacon (RACON) is associated with a leading line or a clearing line.</t>
  </si>
  <si>
    <t>LafCode_leadingRadioTranspondBeac</t>
  </si>
  <si>
    <t>measuredDistanceMarkers</t>
  </si>
  <si>
    <t>Measured Distance Markers</t>
  </si>
  <si>
    <t>Multiple measured distance markers are associated with a leading line or a clearing line.</t>
  </si>
  <si>
    <t>LafCode_measuredDistanceMarkers</t>
  </si>
  <si>
    <t>A Moire effect light is associated with a leading line or a clearing line.</t>
  </si>
  <si>
    <t>A Moire effect light is a sodium directional light giving a yellow background to a screen on which a vertical black line will be seen by an observer on the centre-line.</t>
  </si>
  <si>
    <t>LafCode_moireEffectLight</t>
  </si>
  <si>
    <t>oneOtherThanDirectionLight</t>
  </si>
  <si>
    <t>One other than Directional Light</t>
  </si>
  <si>
    <t>One feature other than a directional light is associated with a leading line or a clearing line.</t>
  </si>
  <si>
    <t>LafCode_oneOtherThanDirectionLight</t>
  </si>
  <si>
    <t>twoBeaconsOrMore</t>
  </si>
  <si>
    <t>Two Beacons or more</t>
  </si>
  <si>
    <t>Two or more beacons are associated with a leading line or a clearing line.</t>
  </si>
  <si>
    <t>LafCode_twoBeaconsOrMore</t>
  </si>
  <si>
    <t>twoLightsOrMore</t>
  </si>
  <si>
    <t>Two Lights or more</t>
  </si>
  <si>
    <t>Two or more lights are associated with a leading line or a clearing line.</t>
  </si>
  <si>
    <t>LafCode_twoLightsOrMore</t>
  </si>
  <si>
    <t>twoNotTwoLightsOrBeacons</t>
  </si>
  <si>
    <t>Two other than Two Lights or Beacons</t>
  </si>
  <si>
    <t>Two or more features, other than two lights or two beacons, are associated with a leading line or a clearing line.</t>
  </si>
  <si>
    <t>LafCode_twoNotTwoLightsOrBeacons</t>
  </si>
  <si>
    <t>An area within which anchoring is not permitted.</t>
  </si>
  <si>
    <t>MnrCode_anchoringProhibited</t>
  </si>
  <si>
    <t>anchoringRestricted</t>
  </si>
  <si>
    <t>Anchoring Restricted</t>
  </si>
  <si>
    <t>A specified area designated by appropriate authority, within which anchoring is restricted in accordance with certain specified conditions.</t>
  </si>
  <si>
    <t>MnrCode_anchoringRestricted</t>
  </si>
  <si>
    <t>artifactRemovalProhib</t>
  </si>
  <si>
    <t>Artifact Removal Prohibited</t>
  </si>
  <si>
    <t>An area within which the removal of historical artifacts is prohibited.</t>
  </si>
  <si>
    <t>MnrCode_artifactRemovalProhib</t>
  </si>
  <si>
    <t>avoidanceArea</t>
  </si>
  <si>
    <t>Avoidance Area</t>
  </si>
  <si>
    <t>An area designated by the IMO to be avoided, defined as a routeing measure.</t>
  </si>
  <si>
    <t>MnrCode_avoidanceArea</t>
  </si>
  <si>
    <t>cargoTranshipmentProhib</t>
  </si>
  <si>
    <t>Cargo Transshipment Prohibited</t>
  </si>
  <si>
    <t>An area within which cargo transshipment (lightering) is prohibited.</t>
  </si>
  <si>
    <t>MnrCode_cargoTranshipmentProhib</t>
  </si>
  <si>
    <t>constructionProhibited</t>
  </si>
  <si>
    <t>Construction Prohibited</t>
  </si>
  <si>
    <t>An area within which the erection of permanent or temporary fixed structures or artificial islands is prohibited.</t>
  </si>
  <si>
    <t>MnrCode_constructionProhibited</t>
  </si>
  <si>
    <t>dischargingProhibited</t>
  </si>
  <si>
    <t>Discharging Prohibited</t>
  </si>
  <si>
    <t>An area within which discharging or dumping is prohibited.</t>
  </si>
  <si>
    <t>MnrCode_dischargingProhibited</t>
  </si>
  <si>
    <t>dischargingRestricted</t>
  </si>
  <si>
    <t>Discharging Restricted</t>
  </si>
  <si>
    <t>A specified area designated by an appropriate authority, within which discharging or dumping is restricted in accordance with specified conditions.</t>
  </si>
  <si>
    <t>MnrCode_dischargingRestricted</t>
  </si>
  <si>
    <t>divingProhibited</t>
  </si>
  <si>
    <t>Diving Prohibited</t>
  </si>
  <si>
    <t>An area within which diving is not permitted.</t>
  </si>
  <si>
    <t>MnrCode_divingProhibited</t>
  </si>
  <si>
    <t>divingRestricted</t>
  </si>
  <si>
    <t>Diving Restricted</t>
  </si>
  <si>
    <t>A specified area designated by appropriate authority, within which diving is restricted in accordance with certain specified conditions.</t>
  </si>
  <si>
    <t>MnrCode_divingRestricted</t>
  </si>
  <si>
    <t>draggingProhibited</t>
  </si>
  <si>
    <t>Dragging Prohibited</t>
  </si>
  <si>
    <t>An area within which the dragging of anything along the bottom (for example: bottom trawling) is prohibited.</t>
  </si>
  <si>
    <t>MnrCode_draggingProhibited</t>
  </si>
  <si>
    <t>dredgingProhibited</t>
  </si>
  <si>
    <t>Dredging Prohibited</t>
  </si>
  <si>
    <t>An area within which dredging is not permitted.</t>
  </si>
  <si>
    <t>MnrCode_dredgingProhibited</t>
  </si>
  <si>
    <t>dredgingRestricted</t>
  </si>
  <si>
    <t>Dredging Restricted</t>
  </si>
  <si>
    <t>A specified area designated by appropriate authority, within which dredging is restricted in accordance with certain specified conditions.</t>
  </si>
  <si>
    <t>MnrCode_dredgingRestricted</t>
  </si>
  <si>
    <t>drillingProhibited</t>
  </si>
  <si>
    <t>Drilling Prohibited</t>
  </si>
  <si>
    <t>An area within which excavating a hole on the sea-bottom with a drill is prohibited.</t>
  </si>
  <si>
    <t>MnrCode_drillingProhibited</t>
  </si>
  <si>
    <t>drillingRestricted</t>
  </si>
  <si>
    <t>Drilling Restricted</t>
  </si>
  <si>
    <t>A specified area designated by an appropriate authority, within which excavating a hole on the sea-bottom with a drill is restricted in accordance with certain specified conditions.</t>
  </si>
  <si>
    <t>MnrCode_drillingRestricted</t>
  </si>
  <si>
    <t>An area within which navigation and/or anchoring is prohibited.</t>
  </si>
  <si>
    <t>MnrCode_entryProhibited</t>
  </si>
  <si>
    <t>entryRestricted</t>
  </si>
  <si>
    <t>Entry Restricted</t>
  </si>
  <si>
    <t>A specified area designated by appropriate authority, within which navigation is restricted in accordance with certain specified conditions.</t>
  </si>
  <si>
    <t>MnrCode_entryRestricted</t>
  </si>
  <si>
    <t>exploreDevelopProhibited</t>
  </si>
  <si>
    <t>Exploration and/or Development Prohibited</t>
  </si>
  <si>
    <t>An area within which industrial and/or mineral exploration and/or development are prohibited.</t>
  </si>
  <si>
    <t>MnrCode_exploreDevelopProhibited</t>
  </si>
  <si>
    <t>exploreDevelopRestricted</t>
  </si>
  <si>
    <t>Exploration and/or Development Restricted</t>
  </si>
  <si>
    <t>A specified area designated by an appropriate authority, within which industrial and/or mineral exploration and/or development is restricted in accordance with certain specified conditions.</t>
  </si>
  <si>
    <t>MnrCode_exploreDevelopRestricted</t>
  </si>
  <si>
    <t>fishingProhibited</t>
  </si>
  <si>
    <t>Fishing Prohibited</t>
  </si>
  <si>
    <t>An area within which fishing is not permitted.</t>
  </si>
  <si>
    <t>MnrCode_fishingProhibited</t>
  </si>
  <si>
    <t>fishingRestricted</t>
  </si>
  <si>
    <t>Fishing Restricted</t>
  </si>
  <si>
    <t>A specified area designated by appropriate authority, within which fishing is restricted in accordance with certain specified conditions.</t>
  </si>
  <si>
    <t>MnrCode_fishingRestricted</t>
  </si>
  <si>
    <t>landingProhibited</t>
  </si>
  <si>
    <t>Landing Prohibited</t>
  </si>
  <si>
    <t>An area within which landing is prohibited.</t>
  </si>
  <si>
    <t>MnrCode_landingProhibited</t>
  </si>
  <si>
    <t>limitedSpeedArea</t>
  </si>
  <si>
    <t>Limited Speed Area</t>
  </si>
  <si>
    <t>An area within which speed is restricted (a speed limit applies).</t>
  </si>
  <si>
    <t>MnrCode_limitedSpeedArea</t>
  </si>
  <si>
    <t>navigationalAidSafetyZone</t>
  </si>
  <si>
    <t>Navigational Aid Safety Zone</t>
  </si>
  <si>
    <t>An area around a navigational aid within which navigation and/or anchoring is prohibited.</t>
  </si>
  <si>
    <t>MnrCode_navigationalAidSafetyZone</t>
  </si>
  <si>
    <t>offshoreSafetyZone</t>
  </si>
  <si>
    <t>Offshore Safety Zone</t>
  </si>
  <si>
    <t>The area around an offshore installation within which vessels are prohibited from entering without permission; special regulations protect installations within a safety zone and vessels of all nationalities are required to respect the zone.</t>
  </si>
  <si>
    <t>MnrCode_offshoreSafetyZone</t>
  </si>
  <si>
    <t>reducedWakeArea</t>
  </si>
  <si>
    <t>Reduced Wake Area</t>
  </si>
  <si>
    <t>An area where vessels must not generate excessive wake.</t>
  </si>
  <si>
    <t>Mariners must adjust the speed of their vessels to reduce the wave or wash which may cause erosion or disturb moored vessels.</t>
  </si>
  <si>
    <t>MnrCode_reducedWakeArea</t>
  </si>
  <si>
    <t>shippingProhibited</t>
  </si>
  <si>
    <t>Shipping Prohibited</t>
  </si>
  <si>
    <t>An area within where ships are prohibited to navigate and/or anchor.</t>
  </si>
  <si>
    <t>Usually no restriction is imposed for smaller vessels.</t>
  </si>
  <si>
    <t>MnrCode_shippingProhibited</t>
  </si>
  <si>
    <t>stoppingProhibited</t>
  </si>
  <si>
    <t>Stopping Prohibited</t>
  </si>
  <si>
    <t>An area within which a vessel is prohibited from stopping.</t>
  </si>
  <si>
    <t>MnrCode_stoppingProhibited</t>
  </si>
  <si>
    <t>trawlingProhibited</t>
  </si>
  <si>
    <t>Trawling Prohibited</t>
  </si>
  <si>
    <t>An area within which trawling is not permitted.</t>
  </si>
  <si>
    <t>MnrCode_trawlingProhibited</t>
  </si>
  <si>
    <t>trawlingRestricted</t>
  </si>
  <si>
    <t>Trawling Restricted</t>
  </si>
  <si>
    <t>A specified area designated by appropriate authority, within which trawling is restricted in accordance with certain specified conditions.</t>
  </si>
  <si>
    <t>MnrCode_trawlingRestricted</t>
  </si>
  <si>
    <t>automatedIdentSystem</t>
  </si>
  <si>
    <t>Automated Identification System (AIS)</t>
  </si>
  <si>
    <t>A system used by ships and vessel traffic systems (VTS) principally for identification of vessels at sea and providing a means for ships to exchange ID, position, course, speed and other ship data with all other nearby ships and VTS stations.</t>
  </si>
  <si>
    <t>It may be shore-based, either marking the location of an aid to navigation (normally reporting every three minutes and serving in a manner similar to a RACON) or it may provide text messages, time synchronization, meteorological or hydrological information, navigation information, and/or the position of other vessels (normally reporting every ten seconds).</t>
  </si>
  <si>
    <t>MrtCode_automatedIdentSystem</t>
  </si>
  <si>
    <t>circularRadiobeacon</t>
  </si>
  <si>
    <t>Circular Radiobeacon</t>
  </si>
  <si>
    <t>A radio station which need not necessarily be manned, the emissions of which, radiated around the horizon, enable its bearing to be determined by means of the radio direction finder of a ship.</t>
  </si>
  <si>
    <t>MrtCode_circularRadiobeacon</t>
  </si>
  <si>
    <t>A special type of radiobeacon station the emissions of which are intended to provide a definite track for guidance.</t>
  </si>
  <si>
    <t>MrtCode_directionalRadiobeacon</t>
  </si>
  <si>
    <t>loranC</t>
  </si>
  <si>
    <t>Long Range Air Navigation System (LORAN) C</t>
  </si>
  <si>
    <t>A shore-based radio navigation system using low frequency radio transmitters that may be used by ships or aircraft to determine their position based on the time interval between radio signals received from three or more stations.</t>
  </si>
  <si>
    <t>It operates in the low frequency 90 to 110 kHz band. LORAN use is in deep decline, with GPS being the primary replacement. The Russian counterpart of LORAN is known as 'CHAYKA'.</t>
  </si>
  <si>
    <t>MrtCode_loranC</t>
  </si>
  <si>
    <t>qtgStation</t>
  </si>
  <si>
    <t>QTG Station</t>
  </si>
  <si>
    <t>A coastal radio station that is prepared to provide QTG service (to transmit upon request from a vessel a radio signal, the bearing of which can be taken by that vessel).</t>
  </si>
  <si>
    <t>The international system of Q-signals defined a series of three-character abbreviations wherein 'QTG' indicated a request for a '1 minute call signal for radio compass bearings'.</t>
  </si>
  <si>
    <t>MrtCode_qtgStation</t>
  </si>
  <si>
    <t>radarMarker</t>
  </si>
  <si>
    <t>Radar Marker (RAMARK)</t>
  </si>
  <si>
    <t>A wide-band beacon that transmits either continuously or periodically on the radar bands and is used to mark maritime navigational hazards.</t>
  </si>
  <si>
    <t>The transmission forms a line of Morse characters on a plan position indicator (PPI) radar display that radiates from the centre of the display to its edge. Periodic transmissions every few seconds are often used so that important radar targets behind the RAMARK beacon are not masked by the Morse characters. RAMARK beacons are less commonly used than RACON beacons which give the location as well as the bearing of the hazard and clutter the radar display less.</t>
  </si>
  <si>
    <t>MrtCode_radarMarker</t>
  </si>
  <si>
    <t>radarResponderBeacon</t>
  </si>
  <si>
    <t>Radar Responder Beacon (RACON)</t>
  </si>
  <si>
    <t>A type of radar transponder commonly used to mark maritime navigational hazards.</t>
  </si>
  <si>
    <t>When a RACON receives a radar pulse, it responds with a signal on the same frequency that leaves an image on the plan position indicator (PPI) radar display that radiates from the centre of the display to its edge. This takes the form of a short line of dots and dashes forming a Morse character radiating away from the location of the beacon, the length of the line usually corresponding to the equivalent of a few nautical miles on the display.</t>
  </si>
  <si>
    <t>MrtCode_radarResponderBeacon</t>
  </si>
  <si>
    <t>radioDirectFindStation</t>
  </si>
  <si>
    <t>Radio Direction Finding Station</t>
  </si>
  <si>
    <t>A radio station intended to determine only the direction of other stations by means of transmission from the latter.</t>
  </si>
  <si>
    <t>MrtCode_radioDirectFindStation</t>
  </si>
  <si>
    <t>rotatingPatRadiobeacon</t>
  </si>
  <si>
    <t>Rotating Pattern Radiobeacon</t>
  </si>
  <si>
    <t>A special type of radiobeacon station emitting a beam of waves to which a uniform turning movement is given, the bearing of the station being determined by means of an ordinary listening receiver and a stop watch.</t>
  </si>
  <si>
    <t>Also referred to as a rotating loop radiobeacon.</t>
  </si>
  <si>
    <t>MrtCode_rotatingPatRadiobeacon</t>
  </si>
  <si>
    <t>bridgeSignalStation</t>
  </si>
  <si>
    <t>Bridge Signal Station</t>
  </si>
  <si>
    <t>A signal station for the control of vessels wishing to pass under a bridge.</t>
  </si>
  <si>
    <t>StaCode_bridgeSignalStation</t>
  </si>
  <si>
    <t>coastGuardStation</t>
  </si>
  <si>
    <t>Coast Guard Station</t>
  </si>
  <si>
    <t>Watch keeping stations at which a watch is kept either continuously, or at certain times only.</t>
  </si>
  <si>
    <t>StaCode_coastGuardStation</t>
  </si>
  <si>
    <t>fireboatStation</t>
  </si>
  <si>
    <t>Fireboat Station</t>
  </si>
  <si>
    <t>The office or place where martime firefighting services may be obtained.</t>
  </si>
  <si>
    <t>StaCode_fireboatStation</t>
  </si>
  <si>
    <t>fogSignal</t>
  </si>
  <si>
    <t>StaCode_fogSignal</t>
  </si>
  <si>
    <t>iceSignalStation</t>
  </si>
  <si>
    <t>Ice Signal Station</t>
  </si>
  <si>
    <t>Communicates a signal or message conveying information about ice conditions.</t>
  </si>
  <si>
    <t>StaCode_iceSignalStation</t>
  </si>
  <si>
    <t>internatPortSigStation</t>
  </si>
  <si>
    <t>International Port Signals Station</t>
  </si>
  <si>
    <t>A signal station displaying International Port Traffic signals.</t>
  </si>
  <si>
    <t>StaCode_internatPortSigStation</t>
  </si>
  <si>
    <t>lockSignalStation</t>
  </si>
  <si>
    <t>Lock Signal Station</t>
  </si>
  <si>
    <t>A signal station for the control of vessels entering or leaving a lock.</t>
  </si>
  <si>
    <t>StaCode_lockSignalStation</t>
  </si>
  <si>
    <t>militaryPracticeSigStation</t>
  </si>
  <si>
    <t>Military Practice Signal Station</t>
  </si>
  <si>
    <t>Communicates a signal or message warning of activity in a military practice area.</t>
  </si>
  <si>
    <t>StaCode_militaryPracticeSigStation</t>
  </si>
  <si>
    <t>pilotLookoutStation</t>
  </si>
  <si>
    <t>Pilot Lookout Station</t>
  </si>
  <si>
    <t>A distinctive structure on shore from which personnel keep watch upon events at sea or along the coast.</t>
  </si>
  <si>
    <t>StaCode_pilotLookoutStation</t>
  </si>
  <si>
    <t>The office or headquarters where the services of a pilot may be obtained.</t>
  </si>
  <si>
    <t>StaCode_pilotStation</t>
  </si>
  <si>
    <t>portControlStation</t>
  </si>
  <si>
    <t>Port Control Station</t>
  </si>
  <si>
    <t>A signal station for the control of vessels within a port.</t>
  </si>
  <si>
    <t>StaCode_portControlStation</t>
  </si>
  <si>
    <t>radarSurveillanceStation</t>
  </si>
  <si>
    <t>Radar Surveillance Station</t>
  </si>
  <si>
    <t>A radar station established for traffic surveillance.</t>
  </si>
  <si>
    <t>StaCode_radarSurveillanceStation</t>
  </si>
  <si>
    <t>rescueStation</t>
  </si>
  <si>
    <t>Rescue Station</t>
  </si>
  <si>
    <t>A place at which life saving equipment is held.</t>
  </si>
  <si>
    <t>StaCode_rescueStation</t>
  </si>
  <si>
    <t>signalMast</t>
  </si>
  <si>
    <t>Signal Mast</t>
  </si>
  <si>
    <t>A mast from which pennants are flown (for example: from its cross yard and gaff) to signal messages to nearby vessels (for example: in a harbour).</t>
  </si>
  <si>
    <t>For example, used to signal regularly updated meteorological data.</t>
  </si>
  <si>
    <t>StaCode_signalMast</t>
  </si>
  <si>
    <t>signalStation</t>
  </si>
  <si>
    <t>Signal Station</t>
  </si>
  <si>
    <t>Signals of an unspecified nature are made to ships at sea.</t>
  </si>
  <si>
    <t>StaCode_signalStation</t>
  </si>
  <si>
    <t>stormSignalStation</t>
  </si>
  <si>
    <t>Storm Signal Station</t>
  </si>
  <si>
    <t>Communicates a signal or message conveying information about storm conditions.</t>
  </si>
  <si>
    <t>StaCode_stormSignalStation</t>
  </si>
  <si>
    <t>tidalStreamStation</t>
  </si>
  <si>
    <t>Tidal Stream Station</t>
  </si>
  <si>
    <t>Communicates a signal or message conveying information on condition of tidal currents in the area.</t>
  </si>
  <si>
    <t>StaCode_tidalStreamStation</t>
  </si>
  <si>
    <t>tideStation</t>
  </si>
  <si>
    <t>Tide Station</t>
  </si>
  <si>
    <t>Communicates a signal or message conveying information on tidal conditions in the area.</t>
  </si>
  <si>
    <t>StaCode_tideStation</t>
  </si>
  <si>
    <t>timeBallStation</t>
  </si>
  <si>
    <t>Time Ball Station</t>
  </si>
  <si>
    <t>Communicates a visual time signal in form of the position and/or movement of a ball.</t>
  </si>
  <si>
    <t>StaCode_timeBallStation</t>
  </si>
  <si>
    <t>timeSignalStation</t>
  </si>
  <si>
    <t>Time Signal Station</t>
  </si>
  <si>
    <t>Communicates an accurate signal marking a specified time or time interval.</t>
  </si>
  <si>
    <t>Used primarily for determining errors of timepieces.</t>
  </si>
  <si>
    <t>StaCode_timeSignalStation</t>
  </si>
  <si>
    <t>trafficSignalStation</t>
  </si>
  <si>
    <t>Traffic Signal Station</t>
  </si>
  <si>
    <t>A signal station displaying traffic signals.</t>
  </si>
  <si>
    <t>StaCode_trafficSignalStation</t>
  </si>
  <si>
    <t>unmannedOceanoStation</t>
  </si>
  <si>
    <t>Unmanned Oceanographic Station</t>
  </si>
  <si>
    <t>An unmanned station that is equipped for observation and study of oceanographic phenomena.</t>
  </si>
  <si>
    <t>StaCode_unmannedOceanoStation</t>
  </si>
  <si>
    <t>warningSignalStation</t>
  </si>
  <si>
    <t>Warning Signal Station</t>
  </si>
  <si>
    <t>Warning signals are made to ships at sea.</t>
  </si>
  <si>
    <t>StaCode_warningSignalStation</t>
  </si>
  <si>
    <t>StaCode_waterPoliceStation</t>
  </si>
  <si>
    <t>weatherSignalStation</t>
  </si>
  <si>
    <t>Weather Signal Station</t>
  </si>
  <si>
    <t>StaCode_weatherSignalStation</t>
  </si>
  <si>
    <t>fuel</t>
  </si>
  <si>
    <t>Fuel</t>
  </si>
  <si>
    <t>Fuel, either from the vessel stores or from the cargo.</t>
  </si>
  <si>
    <t>Includes all materials required for power generation, for example diesel fuel, gasoline, and lubricating oil.</t>
  </si>
  <si>
    <t>StiCode_fuel</t>
  </si>
  <si>
    <t>generalCargo</t>
  </si>
  <si>
    <t>General Cargo</t>
  </si>
  <si>
    <t>Cargo of unspecified nature.</t>
  </si>
  <si>
    <t>StiCode_generalCargo</t>
  </si>
  <si>
    <t>potentialHazardCargo</t>
  </si>
  <si>
    <t>Potentially Hazardous Cargo</t>
  </si>
  <si>
    <t>Cargo that could be utilized in a dangerous manner (for example: toxic chemicals).</t>
  </si>
  <si>
    <t>StiCode_potentialHazardCargo</t>
  </si>
  <si>
    <t>radioEquipment</t>
  </si>
  <si>
    <t>Radio Equipment</t>
  </si>
  <si>
    <t>Radio communication equipment.</t>
  </si>
  <si>
    <t>StiCode_radioEquipment</t>
  </si>
  <si>
    <t>safetyEquipment</t>
  </si>
  <si>
    <t>Safety Equipment</t>
  </si>
  <si>
    <t>Safety equipment.</t>
  </si>
  <si>
    <t>StiCode_safetyEquipment</t>
  </si>
  <si>
    <t>significantMoney</t>
  </si>
  <si>
    <t>Significant Money</t>
  </si>
  <si>
    <t>Money in amounts exceeding that normally carried on a vessel.</t>
  </si>
  <si>
    <t>StiCode_significantMoney</t>
  </si>
  <si>
    <t>spareParts</t>
  </si>
  <si>
    <t>Spare Parts</t>
  </si>
  <si>
    <t>Spare parts carried to maintain the vessel.</t>
  </si>
  <si>
    <t>StiCode_spareParts</t>
  </si>
  <si>
    <t>vesselStores</t>
  </si>
  <si>
    <t>Vessel Stores</t>
  </si>
  <si>
    <t>The food, medical supplies, spare parts and other provisions carried for the day-to-day running of a vessel.</t>
  </si>
  <si>
    <t>StiCode_vesselStores</t>
  </si>
  <si>
    <t>weapons</t>
  </si>
  <si>
    <t>Weapons</t>
  </si>
  <si>
    <t>Weapons of unspecified nature.</t>
  </si>
  <si>
    <t>StiCode_weapons</t>
  </si>
  <si>
    <t>basedOnFixedMarks</t>
  </si>
  <si>
    <t>Based on Fixed Marks</t>
  </si>
  <si>
    <t>A straight route (known as a recommended track, range or leading line), which comprises at least two structures (usually beacons or daymarks) and/or natural features, which may carry lights and/or top-marks.</t>
  </si>
  <si>
    <t>The structures/features are positioned so that when observed to be in line, a vessel can follow a known bearing with safety.</t>
  </si>
  <si>
    <t>MttCode_basedOnFixedMarks</t>
  </si>
  <si>
    <t>mandatoryDirection</t>
  </si>
  <si>
    <t>Mandatory Direction</t>
  </si>
  <si>
    <t>MttCode_mandatoryDirection</t>
  </si>
  <si>
    <t>maximumAuthorizedDraft</t>
  </si>
  <si>
    <t>Maximum Authorized Draft</t>
  </si>
  <si>
    <t>MttCode_maximumAuthorizedDraft</t>
  </si>
  <si>
    <t>notBasedOnFixedMarks</t>
  </si>
  <si>
    <t>Not Based on Fixed Marks</t>
  </si>
  <si>
    <t>A route (known as a recommended track or preferred route) that is not based on a series of structures and/or natural features in line.</t>
  </si>
  <si>
    <t>MttCode_notBasedOnFixedMarks</t>
  </si>
  <si>
    <t>recommendedDirection</t>
  </si>
  <si>
    <t>Recommended Direction</t>
  </si>
  <si>
    <t>MttCode_recommendedDirection</t>
  </si>
  <si>
    <t>The outer limit of a traffic lane part or a roundabout.</t>
  </si>
  <si>
    <t>TspCode_boundary</t>
  </si>
  <si>
    <t>A defined area where traffic lanes cross.</t>
  </si>
  <si>
    <t>TspCode_crossing</t>
  </si>
  <si>
    <t>inboundLane</t>
  </si>
  <si>
    <t>Inbound Lane</t>
  </si>
  <si>
    <t>An area within defined limits in which one-way traffic flow is established in the inbound direction.</t>
  </si>
  <si>
    <t>The inbound direction is determined to be the direction of the flood tide, or where no tides are experienced the direction into a harbour or river. To avoid confusion use traffic separation scheme lane part.</t>
  </si>
  <si>
    <t>TspCode_inboundLane</t>
  </si>
  <si>
    <t>inshoreTrafficZone</t>
  </si>
  <si>
    <t>TspCode_inshoreTrafficZone</t>
  </si>
  <si>
    <t>lanePart</t>
  </si>
  <si>
    <t>Lane Part</t>
  </si>
  <si>
    <t>An area within defined limits in which one-way traffic flow is established and the direction of flow of traffic is uniform.</t>
  </si>
  <si>
    <t>TspCode_lanePart</t>
  </si>
  <si>
    <t>line</t>
  </si>
  <si>
    <t>Line</t>
  </si>
  <si>
    <t>A line separating traffic lanes in which ships are travelling in opposite or nearly opposite directions; or separating traffic lanes designated for particular classes of ships proceeding in the same direction.</t>
  </si>
  <si>
    <t>TspCode_line</t>
  </si>
  <si>
    <t>outboundLane</t>
  </si>
  <si>
    <t>Outbound Lane</t>
  </si>
  <si>
    <t>An area within defined limits in which one-way traffic flow is established in the outbound direction.</t>
  </si>
  <si>
    <t>The outbound direction is determined to be the direction of the ebb tide, or where no tides are experienced the direction from a harbour or river. To avoid confusion use traffic separation scheme lane part.</t>
  </si>
  <si>
    <t>TspCode_outboundLane</t>
  </si>
  <si>
    <t>point</t>
  </si>
  <si>
    <t>Point</t>
  </si>
  <si>
    <t>A point used to delineate the center of a roundabout or specific traffic separation scheme instructions.</t>
  </si>
  <si>
    <t>TspCode_point</t>
  </si>
  <si>
    <t>precautionaryArea</t>
  </si>
  <si>
    <t>Precautionary Area</t>
  </si>
  <si>
    <t>A routeing measure comprising an area within defined limits where ships must navigate with particular caution and within which the direction of traffic flow may be recommended.</t>
  </si>
  <si>
    <t>Often associated with the termination of a Traffic Separation Scheme (TSS).</t>
  </si>
  <si>
    <t>TspCode_precautionaryArea</t>
  </si>
  <si>
    <t>roundabout</t>
  </si>
  <si>
    <t>Roundabout</t>
  </si>
  <si>
    <t>An area within defined limits in which traffic moves in a counter-clockwise direction around a specified point or zone.</t>
  </si>
  <si>
    <t>TspCode_roundabout</t>
  </si>
  <si>
    <t>separationZone</t>
  </si>
  <si>
    <t>Separation Zone</t>
  </si>
  <si>
    <t>A zone separating the lanes in which ships are proceeding in opposite or nearly opposite directions; or separating traffic lanes designated for particular classes of ships proceeding in the same direction.</t>
  </si>
  <si>
    <t>TspCode_separationZone</t>
  </si>
  <si>
    <t>boneShapedFanMarker</t>
  </si>
  <si>
    <t>Bone-shaped Fan Marker</t>
  </si>
  <si>
    <t>The 'bone' shape refers to the radio signal emanating from the station, which protrudes an emission in the shape of a 1 nautical mile diameter tube from the surface to 300 metres (1000 feet) above ground level, and an emission in a sphere shape, beginning</t>
  </si>
  <si>
    <t>MclCode_boneShapedFanMarker</t>
  </si>
  <si>
    <t>fanMarker</t>
  </si>
  <si>
    <t>Fan Marker</t>
  </si>
  <si>
    <t>A type of marker radio beacon, the emissions of which radiate in a vertical fan-shaped pattern for general use.</t>
  </si>
  <si>
    <t>MclCode_fanMarker</t>
  </si>
  <si>
    <t>(Aeronautical Information Exchange Model (AIXM): 'LFM')</t>
  </si>
  <si>
    <t>lowPoweredFanMarker</t>
  </si>
  <si>
    <t>Low Powered Fan Marker</t>
  </si>
  <si>
    <t>A type of marker radio beacon, the emissions of which radiate in a vertical fan-shaped pattern at a lower power than the fan marker, for low altitude use.</t>
  </si>
  <si>
    <t>A low power radio marker beacon is normally used as an ILS radio marker beacon.</t>
  </si>
  <si>
    <t>MclCode_lowPoweredFanMarker</t>
  </si>
  <si>
    <t>(Aeronautical Information Exchange Model (AIXM): 'Z')</t>
  </si>
  <si>
    <t>zMarker</t>
  </si>
  <si>
    <t>Z Marker</t>
  </si>
  <si>
    <t>A type of marker radio beacon, the emissions of which radiate in a vertical cone-shaped pattern.</t>
  </si>
  <si>
    <t>MclCode_zMarker</t>
  </si>
  <si>
    <t>backcourse</t>
  </si>
  <si>
    <t>Backcourse</t>
  </si>
  <si>
    <t>A marker beacon used in conjunction with the backcourse of a localizer.</t>
  </si>
  <si>
    <t>Identification signals of marker beacons used in conjunction with the back course of a localizer shall be clearly distinguishable from the inner, middle and outer marker beacon identifications.</t>
  </si>
  <si>
    <t>MbtCode_backcourse</t>
  </si>
  <si>
    <t>inner</t>
  </si>
  <si>
    <t>Inner</t>
  </si>
  <si>
    <t>A marker beacon used with an ILS (CAT II) precision approach located between the middle marker and the end of the ILS runway.</t>
  </si>
  <si>
    <t>The signal is keyed at six dots per second on a 3000 Hz modulation frequency. The signal can be received both aurally and visually by compatible airborne equipment that it is at the designated decision height (DH), normally 100 feet above the touchdown zone elevation, on the ILS CAT II approach. It also marks progress during a CAT III approach.</t>
  </si>
  <si>
    <t>MbtCode_inner</t>
  </si>
  <si>
    <t>(Aeronautical Information Exchange Model (AIXM): 'M')</t>
  </si>
  <si>
    <t>A marker beacon that defines a point along the glideslope of an ILS normally located at or near the decision height of an ILS Category I approach.</t>
  </si>
  <si>
    <t>The signal is keyed to transmit alternate dots and dashes at the rate of 95 dot/dash combinations per minute on a 1300 Hz modulation frequency. The signal can be received aurally and visually by compatible airborne equipment. The middle marker should be located 1 050 metres (3 500 feet) plus or minus 150 metres (500 feet), from the landing threshold at the approach end of the runway and at not more than 75 metres (250 feet) from the extended centre line of the runway.</t>
  </si>
  <si>
    <t>MbtCode_middle</t>
  </si>
  <si>
    <t>(Aeronautical Information Exchange Model (AIXM): 'O')</t>
  </si>
  <si>
    <t>outer</t>
  </si>
  <si>
    <t>Outer</t>
  </si>
  <si>
    <t>A marker beacon at or near the glideslope intercept altitude of an ILS approach.</t>
  </si>
  <si>
    <t>The signal is keyed to transmit two dashes per second on a 400 Hz modulation frequency. The signal can be received aurally and visually by compatible airborne equipment. The Outer Marker is normally located four to seven miles from the runway threshold on the extended centerline of the runway.</t>
  </si>
  <si>
    <t>MbtCode_outer</t>
  </si>
  <si>
    <t>shallowBasinMarsh</t>
  </si>
  <si>
    <t>Shallow Basin Marsh</t>
  </si>
  <si>
    <t>A marsh occurring in a uniformly shallow marsh depression or swale, having a gradual gradient from the edge to the deepest portion.</t>
  </si>
  <si>
    <t>Water levels fluctuate rapidly and the marsh edge may be poorly defined.</t>
  </si>
  <si>
    <t>MtyCode_shallowBasinMarsh</t>
  </si>
  <si>
    <t>shoreMarsh</t>
  </si>
  <si>
    <t>Shore Marsh</t>
  </si>
  <si>
    <t>A marsh occupying the contact zone between high and low water marks bordering semipermanent or permanent lakes.</t>
  </si>
  <si>
    <t>The marsh, usually found along protected shorelines, behind barrier beaches in lagoons, on islands, or in embayments, is subject to flooding by a rise in lake levels, wind waves, or surface runoff.</t>
  </si>
  <si>
    <t>MtyCode_shoreMarsh</t>
  </si>
  <si>
    <t>streamMarsh</t>
  </si>
  <si>
    <t>Stream Marsh</t>
  </si>
  <si>
    <t>A marsh occupying shorelines, bars, stream beds, or islands in continuously flowing watercourses.</t>
  </si>
  <si>
    <t>The marsh is subject to prolonged annual flooding and is commonly covered by thick layers of sediments.</t>
  </si>
  <si>
    <t>MtyCode_streamMarsh</t>
  </si>
  <si>
    <t>flagMast</t>
  </si>
  <si>
    <t>Flag Mast</t>
  </si>
  <si>
    <t>MtcCode_flagMast</t>
  </si>
  <si>
    <t>lightSupportStructure</t>
  </si>
  <si>
    <t>MtcCode_lightSupportStructure</t>
  </si>
  <si>
    <t>lightningMast</t>
  </si>
  <si>
    <t>Lightning Mast</t>
  </si>
  <si>
    <t>A metal strip or rod, usually made of copper or aluminum, installed to protect the structure or surrounding area from damage due to lightning strikes.</t>
  </si>
  <si>
    <t>MtcCode_lightningMast</t>
  </si>
  <si>
    <t>mooringMast</t>
  </si>
  <si>
    <t>MtcCode_mooringMast</t>
  </si>
  <si>
    <t>bulkFuel</t>
  </si>
  <si>
    <t>Bulk Fuel</t>
  </si>
  <si>
    <t>Equipment for handling bulk (unpackaged) fuel (for example: steam coal, coke, liquid propane gas (LPG) and compressed natural gas (CNG)).</t>
  </si>
  <si>
    <t>Includes equipment for handling, conveying, weighing, and storing free-flowing fuels.</t>
  </si>
  <si>
    <t>MhfCode_bulkFuel</t>
  </si>
  <si>
    <t>bulkGrain</t>
  </si>
  <si>
    <t>Bulk Grain</t>
  </si>
  <si>
    <t>Equipment for handling bulk (unpackaged) cereal grains (for example: wheat) and derivatives.</t>
  </si>
  <si>
    <t>Includes pneumatic, mechanical and electrical equipment for handling, conveying, cleaning, weighing, and storing free-flowing and non-free-flowing cereal grains and derivatives.</t>
  </si>
  <si>
    <t>MhfCode_bulkGrain</t>
  </si>
  <si>
    <t>bulkLiquid</t>
  </si>
  <si>
    <t>Bulk Liquid</t>
  </si>
  <si>
    <t>Equipment for handling bulk liquids (for example: chemicals, petrochemicals, petroleum products and vegetable oils).</t>
  </si>
  <si>
    <t>Includes hydraulic, mechanical and electrical equipment for pumping, metering, filtering, weighing, and storing free-flowing liquids.</t>
  </si>
  <si>
    <t>MhfCode_bulkLiquid</t>
  </si>
  <si>
    <t>bulkOre</t>
  </si>
  <si>
    <t>Bulk Ore</t>
  </si>
  <si>
    <t>Equipment for handling bulk (unpackaged) ore (for example: bauxite and iron).</t>
  </si>
  <si>
    <t>Includes mechanical and electrical equipment for handling, conveying, weighing, and storing free-flowing ores.</t>
  </si>
  <si>
    <t>MhfCode_bulkOre</t>
  </si>
  <si>
    <t>civilianLabour</t>
  </si>
  <si>
    <t>Civilian Labour</t>
  </si>
  <si>
    <t>A skilled civilian workforce is available to support material handling operations.</t>
  </si>
  <si>
    <t>Used to load and/or unload, for example, breakbulk cargo (not carried in containers and not shipped as liquid or dry bulk).</t>
  </si>
  <si>
    <t>MhfCode_civilianLabour</t>
  </si>
  <si>
    <t>containerHandling</t>
  </si>
  <si>
    <t>Container Handling</t>
  </si>
  <si>
    <t>Ship-to-shore and onshore container handling equipment.</t>
  </si>
  <si>
    <t>The most widely used type of container is the general purpose (dry cargo) container having a nominal length and height of 20' x 8.5', 40' x 8.5', and 40' x 9.5' ('high cube').</t>
  </si>
  <si>
    <t>MhfCode_containerHandling</t>
  </si>
  <si>
    <t>cranes</t>
  </si>
  <si>
    <t>Cranes</t>
  </si>
  <si>
    <t>One or more cranes for ship-to-shore cargo transfer.</t>
  </si>
  <si>
    <t>MhfCode_cranes</t>
  </si>
  <si>
    <t>dockLevelling</t>
  </si>
  <si>
    <t>Dock Levelling</t>
  </si>
  <si>
    <t>Equipment to align the local dock level with the deck and/or loading areas of vessels.</t>
  </si>
  <si>
    <t>Includes facilities to adjust the local dock level and/or adjustable ramps supporting vehicle and/or rail access.</t>
  </si>
  <si>
    <t>MhfCode_dockLevelling</t>
  </si>
  <si>
    <t>forkLiftTrucks</t>
  </si>
  <si>
    <t>Fork-lift Trucks</t>
  </si>
  <si>
    <t>Vehicles with a pronged device for lifting and carrying heavy items.</t>
  </si>
  <si>
    <t>MhfCode_forkLiftTrucks</t>
  </si>
  <si>
    <t>No specific material handing facilities are available.</t>
  </si>
  <si>
    <t>All transport loading and/or unloading is accomplished using manual labor.</t>
  </si>
  <si>
    <t>MhfCode_noneAvailable</t>
  </si>
  <si>
    <t>railTransferEquipment</t>
  </si>
  <si>
    <t>Rail Transfer Equipment</t>
  </si>
  <si>
    <t>Equipment for loading and unloading rail wagons.</t>
  </si>
  <si>
    <t>Includes equipment for handling bulk, breakbulk, containerized and/or roll-on roll-on commodities.</t>
  </si>
  <si>
    <t>MhfCode_railTransferEquipment</t>
  </si>
  <si>
    <t>road</t>
  </si>
  <si>
    <t>Access to roads suitable for the vehicular transport of materials, equipment, and other cargos.</t>
  </si>
  <si>
    <t>MhfCode_road</t>
  </si>
  <si>
    <t>rollOnRollOff</t>
  </si>
  <si>
    <t>Roll-on Roll-off</t>
  </si>
  <si>
    <t>Facilities for handling cargo that rolls on wheels (for example: vehicles and trailers) and is driven onto the transport (for example: vessel deck or hold, and rail wagon) and later driven off.</t>
  </si>
  <si>
    <t>MhfCode_rollOnRollOff</t>
  </si>
  <si>
    <t>straddleCarrier</t>
  </si>
  <si>
    <t>Straddle Carrier</t>
  </si>
  <si>
    <t>A wheeled vehicle designed to straddle, lift and carry containers or vessels within its own framework.</t>
  </si>
  <si>
    <t>It is used for moving, and sometimes stacking, shipping containers and vessels.</t>
  </si>
  <si>
    <t>MhfCode_straddleCarrier</t>
  </si>
  <si>
    <t>syncrolift</t>
  </si>
  <si>
    <t>Syncrolift</t>
  </si>
  <si>
    <t>A platform powered by synchronous electric motors used to lift vessels (larger than boats) in and out of the water.</t>
  </si>
  <si>
    <t>MhfCode_syncrolift</t>
  </si>
  <si>
    <t>tractors</t>
  </si>
  <si>
    <t>Tractors</t>
  </si>
  <si>
    <t>Tractors and related equipment capable of handling semi-trailers, terminal containers and roll trailers.</t>
  </si>
  <si>
    <t>MhfCode_tractors</t>
  </si>
  <si>
    <t>accidentEmergency</t>
  </si>
  <si>
    <t>Accident and Emergency</t>
  </si>
  <si>
    <t>A medical facility specialising in acute care of patients who present without prior appointment, either by their own means or by ambulance.</t>
  </si>
  <si>
    <t>This facility is usually found in a hospital or other primary care centre, and would usually be found in a deployed Medical Treatment Facility (ref. AJP-4.10(A)).</t>
  </si>
  <si>
    <t>MelCode_accidentEmergency</t>
  </si>
  <si>
    <t>anaesthetics</t>
  </si>
  <si>
    <t>Anaesthetics</t>
  </si>
  <si>
    <t>A specialisation concerning life support and pain relief normally associated with surgical capability.</t>
  </si>
  <si>
    <t>Anaesthetics is normally found at all hospitals and Medical Treatment Facilities (ref. AJP-4.10(A)) with a surgical capability.</t>
  </si>
  <si>
    <t>MelCode_anaesthetics</t>
  </si>
  <si>
    <t>bloodBank</t>
  </si>
  <si>
    <t>Blood Bank</t>
  </si>
  <si>
    <t>A cache or bank of blood or blood components, gathered as a result of blood donation, stored and preserved for later use in blood transfusion.</t>
  </si>
  <si>
    <t>It is typically a division of a hospital laboratory where the storage of blood products occurs and where proper testing is performed to reduce the risk of transfusion related events. A blood bank is an essential element of support to military operations.</t>
  </si>
  <si>
    <t>MelCode_bloodBank</t>
  </si>
  <si>
    <t>burnsUnit</t>
  </si>
  <si>
    <t>Burns Unit</t>
  </si>
  <si>
    <t>A specialised department normally found in larger regional hospitals for the care of burns victims, usually capable of providing lengthy and specialised care.</t>
  </si>
  <si>
    <t>In a military context victims would be most likely to receive stabilising care and be quickly sent back to their home nation by strategic aeromedical evacuation (STRATEVAC).</t>
  </si>
  <si>
    <t>MelCode_burnsUnit</t>
  </si>
  <si>
    <t>cardiolog</t>
  </si>
  <si>
    <t>Cardiology</t>
  </si>
  <si>
    <t>A medical specialisation dealing with the treatment and care of patients with a condition relating to the heart.</t>
  </si>
  <si>
    <t>Usually found in general hospitals, but unlikely to be found on deployed military operations in most circumstances.</t>
  </si>
  <si>
    <t>MelCode_cardiolog</t>
  </si>
  <si>
    <t>clinicalServices</t>
  </si>
  <si>
    <t>Clinical Services</t>
  </si>
  <si>
    <t>Those services which support the medical and surgical care of patients within any medical facility.</t>
  </si>
  <si>
    <t>For example this may include medical stores, or a medical laboratory. Clinical services are normally found at all hospitals and Medical Treatment Facilities (ref. AJP-4.10(A)) with a surgical capability.</t>
  </si>
  <si>
    <t>MelCode_clinicalServices</t>
  </si>
  <si>
    <t>criticalCare</t>
  </si>
  <si>
    <t>Critical Care</t>
  </si>
  <si>
    <t>A medical specialisation concerned with the diagnosis and management of life threatening conditions requiring sophisticated organ support and persistent monitoring.</t>
  </si>
  <si>
    <t>Critical care is normally found in general hospitals or in a Role 2 Light Manoeuvre and above (ref. AJP-4.10(A)) Medical Treatment Facility.</t>
  </si>
  <si>
    <t>MelCode_criticalCare</t>
  </si>
  <si>
    <t>diagnosticImaging</t>
  </si>
  <si>
    <t>Diagnostic Imaging</t>
  </si>
  <si>
    <t>The technique and process used to create images of the human body, or parts of the body, and their function in order to reveal, diagnose or examine disease, or to study anatomy and physiology.</t>
  </si>
  <si>
    <t>For example this may include radiography and other forms of medical imaging such as MRI and CAT scanners. Diagnostic imaging is usually found at all hospitals with a surgical capability and would be found to some degree in all deployed Medical Treatment Facilities (ref. AJP-4.10(A)).</t>
  </si>
  <si>
    <t>MelCode_diagnosticImaging</t>
  </si>
  <si>
    <t>dietetics</t>
  </si>
  <si>
    <t>Dietetics</t>
  </si>
  <si>
    <t>The interpretation and communication of the science of nutrition to enable people to make informed and practical choices about food and lifestyle, in both health and disease.</t>
  </si>
  <si>
    <t>Dietetics departments are normally found in general hosptials or provided by visiting professionals to the general population.</t>
  </si>
  <si>
    <t>MelCode_dietetics</t>
  </si>
  <si>
    <t>earNoseThroat</t>
  </si>
  <si>
    <t>Ear, Nose and Throat</t>
  </si>
  <si>
    <t>The medical practice and surgery that specialises in the diagnosis and treatment of ear, nose, throat, head and neck disorders.</t>
  </si>
  <si>
    <t>Also known as ENT or otolaryngology. Normally found in all hospitals and Medical Treatment Facilities (ref. AJP-4.10(A)) with a surgical capability.</t>
  </si>
  <si>
    <t>MelCode_earNoseThroat</t>
  </si>
  <si>
    <t>generalPractice</t>
  </si>
  <si>
    <t>General Practice</t>
  </si>
  <si>
    <t>The medical practice of treating acute and chronic illness and providing preventive care and health education for all ages and sexes.</t>
  </si>
  <si>
    <t>This includes the particular skill of treating patients with multiple health issues and comorbidities. General practice is normally found at various kinds of medical facilities and would be widely available to the populace. It is also widely deployed on military operations.</t>
  </si>
  <si>
    <t>MelCode_generalPractice</t>
  </si>
  <si>
    <t>generalSurgery</t>
  </si>
  <si>
    <t>General Surgery</t>
  </si>
  <si>
    <t>General surgery is practiced by a surgeon widely experienced in all forms of surgery, and may normally be found at all hospitals, with widespread use by the military.</t>
  </si>
  <si>
    <t>MelCode_generalSurgery</t>
  </si>
  <si>
    <t>gynaecology</t>
  </si>
  <si>
    <t>Gynaecology</t>
  </si>
  <si>
    <t>A specialised department, normally found at all hospitals, dealing with the health of the female reproductive system (uterus, vagina and ovaries).</t>
  </si>
  <si>
    <t>MelCode_gynaecology</t>
  </si>
  <si>
    <t>haematology</t>
  </si>
  <si>
    <t>Haematology</t>
  </si>
  <si>
    <t>The branch of internal medicine, physiology, pathology, clinical laboratory work and pediatrics concerned with the study of blood, the blood-forming organs and blood diseases.</t>
  </si>
  <si>
    <t>It includes the study of etiology, diagnosis, treatment, prognosis and prevention of blood diseases. Normally found in general hospitals.</t>
  </si>
  <si>
    <t>MelCode_haematology</t>
  </si>
  <si>
    <t>maternity</t>
  </si>
  <si>
    <t>Maternity</t>
  </si>
  <si>
    <t>A specialised department normally found in general hositals or specialist maternity hospitals dealing with pre- and postnatal care.</t>
  </si>
  <si>
    <t>MelCode_maternity</t>
  </si>
  <si>
    <t>neurology</t>
  </si>
  <si>
    <t>Neurology</t>
  </si>
  <si>
    <t>A medical speciality dealing with disorders of the nervous system, including diagnosis and treatment of all categories of disease involving the central, peripheral and autonomic nervous systems, including their coverings, blood vessels and all effector tissue, such as muscle.</t>
  </si>
  <si>
    <t>It may be found in many general hospitals and is also being increasingly recognised as an important element in the medical order of battle for deployed operations.</t>
  </si>
  <si>
    <t>MelCode_neurology</t>
  </si>
  <si>
    <t>oncology</t>
  </si>
  <si>
    <t>Oncology</t>
  </si>
  <si>
    <t>The branch of medicine that deals with tumours (cancer).</t>
  </si>
  <si>
    <t>This includes diagnosis, therapy, follow-up of cancer patients after treatment, palliative care and screening. Normally found in larger hospitals.</t>
  </si>
  <si>
    <t>MelCode_oncology</t>
  </si>
  <si>
    <t>ophthalmology</t>
  </si>
  <si>
    <t>Opthalmology</t>
  </si>
  <si>
    <t>The branch of medicine dealing with the anatomy, physiology and diseases of the eye and eye-related conditions.</t>
  </si>
  <si>
    <t>Normally found in general hospitals.</t>
  </si>
  <si>
    <t>MelCode_ophthalmology</t>
  </si>
  <si>
    <t>orthopaedics</t>
  </si>
  <si>
    <t>Orthopaedics</t>
  </si>
  <si>
    <t>The branch of surgery concerned with conditions involving the musculoskeletal system.</t>
  </si>
  <si>
    <t>Orthopaedic surgeons use both surgical and nonsurgical means to treat musculoskeletal trauma, tumours and congenital disorders. Normally found in all hospitals with surgical capability. Orthopaedics is of significant interest to military medical forces given their responsibility for force health protection.</t>
  </si>
  <si>
    <t>MelCode_orthopaedics</t>
  </si>
  <si>
    <t>paediatrics</t>
  </si>
  <si>
    <t>Paediatrics</t>
  </si>
  <si>
    <t>The branch of medicine dealing with all forms of conditions, diseases and treatment effecting young children.</t>
  </si>
  <si>
    <t>Normally found in general hospitals. Paediatrics is a specialisation not normally found within NATO medical forces.</t>
  </si>
  <si>
    <t>MelCode_paediatrics</t>
  </si>
  <si>
    <t>Pharmacy includes the funtions of compounding and dispensing medications, as well as clinical services, reviewing medication for safety and efficacy and providing drug information.</t>
  </si>
  <si>
    <t>Normally widely available to the population and not limited to medical facilities. In a military context pharmacy is also normally responsible for many apsects of medical logistics.</t>
  </si>
  <si>
    <t>MelCode_pharmacy</t>
  </si>
  <si>
    <t>physiotherapy</t>
  </si>
  <si>
    <t>Physiotherapy</t>
  </si>
  <si>
    <t>Physiotherapy is concerned with identifying and maximising quality of life and movement potential through promotion, prevention, diagnosis, treatment, intervention and/or rehabilitation.</t>
  </si>
  <si>
    <t>Normally widespread in both primary and secondary care. Physiotherapy is of significant military interest for maintaining fighting fitness in a force.</t>
  </si>
  <si>
    <t>MelCode_physiotherapy</t>
  </si>
  <si>
    <t>preventiveMedicine</t>
  </si>
  <si>
    <t>Preventive Medicine</t>
  </si>
  <si>
    <t>A specialisation concerned with preventing diseases and conditions that may arise as a result of environmental threats to health caused by such elements as temperature, humidity, animal and insect threats.</t>
  </si>
  <si>
    <t>Widely deployed on military operations and throughout the health care system of developed nations. It is of critical importance to force health protection and reduction of Disease and Non-Battle Injuries (DNBI).</t>
  </si>
  <si>
    <t>MelCode_preventiveMedicine</t>
  </si>
  <si>
    <t>psychiatry</t>
  </si>
  <si>
    <t>Psychiatry</t>
  </si>
  <si>
    <t>A medical specialisation concerned with the diagnosis, care and treatment resulting from disorders effecting mental stability.</t>
  </si>
  <si>
    <t>Normally found in general hospitals, and included within the medical order of battle for operations. Psychiatric screening is an increasingly important element of aftercare provided to troops returning from operations.</t>
  </si>
  <si>
    <t>MelCode_psychiatry</t>
  </si>
  <si>
    <t>sexualHealth</t>
  </si>
  <si>
    <t>Sexual Health</t>
  </si>
  <si>
    <t>That element relating to the prevention of, identification, care and treatment of disease and conditions relating to sexual activity.</t>
  </si>
  <si>
    <t>Normally found in general hospitals and at specialised clinics.</t>
  </si>
  <si>
    <t>MelCode_sexualHealth</t>
  </si>
  <si>
    <t>urology</t>
  </si>
  <si>
    <t>Urology</t>
  </si>
  <si>
    <t>A medical specialisation concerned with the care and treatment of all disease and conditions relating to the genitourinary system.</t>
  </si>
  <si>
    <t>MelCode_urology</t>
  </si>
  <si>
    <t>aeronauticalSON</t>
  </si>
  <si>
    <t>Aeronautical SON</t>
  </si>
  <si>
    <t>The memorandum records information specifically related to aeronautical Safety of Navigation (SON).</t>
  </si>
  <si>
    <t>For example, provides additional information concerning routes, aerodrome approach procedures, or NAVAIDS.</t>
  </si>
  <si>
    <t>MetCode_aeronauticalSON</t>
  </si>
  <si>
    <t>The memorandum records information that is generally applicable.</t>
  </si>
  <si>
    <t>MetCode_general</t>
  </si>
  <si>
    <t>geographicNaming</t>
  </si>
  <si>
    <t>Geographic Naming</t>
  </si>
  <si>
    <t>The memorandum records information specifically related to geographic naming.</t>
  </si>
  <si>
    <t>For example, provides additional information concerning the scope of application and/or use of one or more geographic name(s).</t>
  </si>
  <si>
    <t>MetCode_geographicNaming</t>
  </si>
  <si>
    <t>landSON</t>
  </si>
  <si>
    <t>Land SON</t>
  </si>
  <si>
    <t>The memorandum records information specifically related to land Safety of Navigation (SON).</t>
  </si>
  <si>
    <t>For example, provides additional information concerning favorable routes, road construction, or signage.</t>
  </si>
  <si>
    <t>MetCode_landSON</t>
  </si>
  <si>
    <t>maritimeSON</t>
  </si>
  <si>
    <t>Maritime SON</t>
  </si>
  <si>
    <t>The memorandum records information specifically related to maritime Safety of Navigation (SON).</t>
  </si>
  <si>
    <t>For example, provides additional information concerning obstructions, hazards, or NAVAIDS.</t>
  </si>
  <si>
    <t>MetCode_maritimeSON</t>
  </si>
  <si>
    <t>antimonyOre</t>
  </si>
  <si>
    <t>Antimony Ore</t>
  </si>
  <si>
    <t>Material from which antimony of economic value can be extracted.</t>
  </si>
  <si>
    <t>Antimony minerals of economic value: the most important source of antimony is stibnite (antimony sulfide).</t>
  </si>
  <si>
    <t>MeoCode_antimonyOre</t>
  </si>
  <si>
    <t>berylliumOre</t>
  </si>
  <si>
    <t>Beryllium Ore</t>
  </si>
  <si>
    <t>Material from which beryllium of economic value can be extracted.</t>
  </si>
  <si>
    <t>Beryllium minerals of economic value: Bertrandite (beryllium aluminium silicate), Beryl (beryllium aluminium silicate).</t>
  </si>
  <si>
    <t>MeoCode_berylliumOre</t>
  </si>
  <si>
    <t>bismuthOre</t>
  </si>
  <si>
    <t>Bismuth Ore</t>
  </si>
  <si>
    <t>Material from which bismuth of economic value can be extracted.</t>
  </si>
  <si>
    <t>Bismuth minerals of economic value: The most important ores of bismuth are bismuthinite (bismuth sulfide) and bismite (bismuth oxide).</t>
  </si>
  <si>
    <t>MeoCode_bismuthOre</t>
  </si>
  <si>
    <t>caesiumOre</t>
  </si>
  <si>
    <t>Caesium Ore</t>
  </si>
  <si>
    <t>Material from which caesium of economic value can be extracted.</t>
  </si>
  <si>
    <t>Caesium minerals of economic value: lepidolite, pollucite (hydrated silicate of aluminium and caesium).</t>
  </si>
  <si>
    <t>MeoCode_caesiumOre</t>
  </si>
  <si>
    <t>chromeOre</t>
  </si>
  <si>
    <t>Chrome Ore</t>
  </si>
  <si>
    <t>Material from which chrome of economic value can be extracted.</t>
  </si>
  <si>
    <t>Chrome minerals of economic value: chromite (iron magnesium chromium oxide).</t>
  </si>
  <si>
    <t>MeoCode_chromeOre</t>
  </si>
  <si>
    <t>cobaltOre</t>
  </si>
  <si>
    <t>Cobalt Ore</t>
  </si>
  <si>
    <t>Material from which cobalt of economic value can be extracted.</t>
  </si>
  <si>
    <t>Cobalt minerals of economic value: The main ores of cobalt are cobaltite (cobalt, iron, arsenic sulfide), erythrite (hydrated cobalt arsenate), glaucodot (cobalt iron arsenic sulfide), and skutterudite (cobalt arsenide).</t>
  </si>
  <si>
    <t>MeoCode_cobaltOre</t>
  </si>
  <si>
    <t>coltanOre</t>
  </si>
  <si>
    <t>Coltan Ore</t>
  </si>
  <si>
    <t>A dull black metallic ore from which the elements niobium (formerly "columbium") and tantalum are extracted.</t>
  </si>
  <si>
    <t>Coltan is the industrial name for columbite-tantalite.</t>
  </si>
  <si>
    <t>MeoCode_coltanOre</t>
  </si>
  <si>
    <t>copperOre</t>
  </si>
  <si>
    <t>Copper Ore</t>
  </si>
  <si>
    <t>Material from which copper of economic value can be extracted.</t>
  </si>
  <si>
    <t>Copper minerals of economic value: the most common source of copper ore is the mineral chalcopyrite (copper iron sulfide).</t>
  </si>
  <si>
    <t>MeoCode_copperOre</t>
  </si>
  <si>
    <t>ironOre</t>
  </si>
  <si>
    <t>Iron Ore</t>
  </si>
  <si>
    <t>Material from which iron of economic value can be extracted.</t>
  </si>
  <si>
    <t>Iron minerals of economic value: iron oxides hematite and magnetite.</t>
  </si>
  <si>
    <t>MeoCode_ironOre</t>
  </si>
  <si>
    <t>leadOre</t>
  </si>
  <si>
    <t>Lead Ore</t>
  </si>
  <si>
    <t>Material from which lead of economic value can be extracted.</t>
  </si>
  <si>
    <t>Lead minerals of economic value: The main lead mineral is galena (lead sulfide).</t>
  </si>
  <si>
    <t>MeoCode_leadOre</t>
  </si>
  <si>
    <t>lithiumOre</t>
  </si>
  <si>
    <t>Lithium Ore</t>
  </si>
  <si>
    <t>Material from which lithium of economic value can be extracted.</t>
  </si>
  <si>
    <t>Lithium minerals of economic value: Some lithium is recovered from the mineral spodumene (lithium aluminium inosilicate) and as secondary product from lepidolite (hydrated silicate of aluminium and caesium). Most lithium is recovered from brine, or water.</t>
  </si>
  <si>
    <t>MeoCode_lithiumOre</t>
  </si>
  <si>
    <t>manganeseOre</t>
  </si>
  <si>
    <t>Manganese Ore</t>
  </si>
  <si>
    <t>Material from which manganese of economic value can be extracted.</t>
  </si>
  <si>
    <t>Manganese minerals of economic value: the principal ore mineral is pyrolusite (manganese dioxide). Manganese is also obtained from manganese nodules, that are rock concretions on the sea bottom formed of concentric layers of iron and manganese hydroxides.</t>
  </si>
  <si>
    <t>MeoCode_manganeseOre</t>
  </si>
  <si>
    <t>mercuryOre</t>
  </si>
  <si>
    <t>Mercury Ore</t>
  </si>
  <si>
    <t>Material from which mercury of economic value can be extracted.</t>
  </si>
  <si>
    <t>Mercury minerals of economic value: cinnabar (mercury sulfide) is the most common ore.</t>
  </si>
  <si>
    <t>MeoCode_mercuryOre</t>
  </si>
  <si>
    <t>molybdenumOre</t>
  </si>
  <si>
    <t>Molybdenum Ore</t>
  </si>
  <si>
    <t>Material from which molybdenum of economic value can be extracted.</t>
  </si>
  <si>
    <t>Molybdenum minerals of economic value: the main commercial source of molybdenum is molybdenite (molybdenum disulfide).</t>
  </si>
  <si>
    <t>MeoCode_molybdenumOre</t>
  </si>
  <si>
    <t>nickelOre</t>
  </si>
  <si>
    <t>Nickel Ore</t>
  </si>
  <si>
    <t>Material from which nickel of economic value can be extracted.</t>
  </si>
  <si>
    <t>Nickel minerals of economic value: limonite (hydrated iron oxide-hydroxide), garnierite (hydrous nickel silicate) and pentlandite (iron-nickel sulfide).</t>
  </si>
  <si>
    <t>MeoCode_nickelOre</t>
  </si>
  <si>
    <t>niobiumOre</t>
  </si>
  <si>
    <t>Niobium Ore</t>
  </si>
  <si>
    <t>Material from which niobium of economic value can be extracted.</t>
  </si>
  <si>
    <t>Niobium minerals of economic value: The main primary source of niobium is niobit (iron manganese niobium tantalum oxide). Coltan is the colloquial African name for columbite-tantalite, a metallic ore used to produce the elements niobium and tantalum.</t>
  </si>
  <si>
    <t>MeoCode_niobiumOre</t>
  </si>
  <si>
    <t>tantalumOre</t>
  </si>
  <si>
    <t>Tantalum Ore</t>
  </si>
  <si>
    <t>Material from which tantalum of economic value can be extracted.</t>
  </si>
  <si>
    <t>Tantalum minerals of economic value: The main primary source of tantalum is tantalite (iron manganese tantalum niobium oxide). Coltan is the colloquial African name for columbite-tantalite, a metallic ore used to produce the elements niobium and tantalum.</t>
  </si>
  <si>
    <t>MeoCode_tantalumOre</t>
  </si>
  <si>
    <t>tinOre</t>
  </si>
  <si>
    <t>Tin Ore</t>
  </si>
  <si>
    <t>Material from which tin of economic value can be extracted.</t>
  </si>
  <si>
    <t>Tin minerals of economic value: The only mineral of commercial importance as a source of tin is cassiterite (tin dioxide).</t>
  </si>
  <si>
    <t>MeoCode_tinOre</t>
  </si>
  <si>
    <t>titaniumOre</t>
  </si>
  <si>
    <t>Titanium Ore</t>
  </si>
  <si>
    <t>Material from which titanium of economic value can be extracted.</t>
  </si>
  <si>
    <t>Titanium minerals of economic value: rutile (titanium dioxide) and ilmenite (iron titanium oxide).</t>
  </si>
  <si>
    <t>MeoCode_titaniumOre</t>
  </si>
  <si>
    <t>tungstenOre</t>
  </si>
  <si>
    <t>Tungsten Ore</t>
  </si>
  <si>
    <t>Material from which tungsten of economic value can be extracted.</t>
  </si>
  <si>
    <t>Tungsten minerals of economic value: wolframite (iron-manganese tungstate) and scheelite (calcium tungstate).</t>
  </si>
  <si>
    <t>MeoCode_tungstenOre</t>
  </si>
  <si>
    <t>uraniumOre</t>
  </si>
  <si>
    <t>Uranium Ore</t>
  </si>
  <si>
    <t>Material from which uranium of economic value can be extracted.</t>
  </si>
  <si>
    <t>The major primary ore mineral is uraninite (uranium oxide), though a range of other uranium minerals is found in particular deposits.</t>
  </si>
  <si>
    <t>MeoCode_uraniumOre</t>
  </si>
  <si>
    <t>vanadiumOre</t>
  </si>
  <si>
    <t>Vanadium Ore</t>
  </si>
  <si>
    <t>Material from which vanadium of economic value can be extracted.</t>
  </si>
  <si>
    <t>Vanadium minerals of economic value: There is no single mineral ore from which vanadium is recovered. Vanadium is found as a trace element in a number of different rock materials and is a by-product of other mining operations.</t>
  </si>
  <si>
    <t>MeoCode_vanadiumOre</t>
  </si>
  <si>
    <t>zincOre</t>
  </si>
  <si>
    <t>Zinc Ore</t>
  </si>
  <si>
    <t>Material from which zinc of economic value can be extracted.</t>
  </si>
  <si>
    <t>Zinc minerals of economic value: sphalerite (zinc sulfide), smithsonite (zinc carbonate), hemimorphite (zinc silicate), and franklinite (a zinc spinel).</t>
  </si>
  <si>
    <t>MeoCode_zincOre</t>
  </si>
  <si>
    <t>(Aeronautical Information Exchange Model (AIXM): '500')</t>
  </si>
  <si>
    <t>chan500</t>
  </si>
  <si>
    <t>Channel 500</t>
  </si>
  <si>
    <t>The channel of '500' is assigned for the Microwave Landing System (MLS) by the responsible authority.</t>
  </si>
  <si>
    <t>CmlCode_chan500</t>
  </si>
  <si>
    <t>(Aeronautical Information Exchange Model (AIXM): '501')</t>
  </si>
  <si>
    <t>chan501</t>
  </si>
  <si>
    <t>Channel 501</t>
  </si>
  <si>
    <t>The channel of '501' is assigned for the Microwave Landing System (MLS) by the responsible authority.</t>
  </si>
  <si>
    <t>CmlCode_chan501</t>
  </si>
  <si>
    <t>(Aeronautical Information Exchange Model (AIXM): '502')</t>
  </si>
  <si>
    <t>chan502</t>
  </si>
  <si>
    <t>Channel 502</t>
  </si>
  <si>
    <t>The channel of '502' is assigned for the Microwave Landing System (MLS) by the responsible authority.</t>
  </si>
  <si>
    <t>CmlCode_chan502</t>
  </si>
  <si>
    <t>(Aeronautical Information Exchange Model (AIXM): '503')</t>
  </si>
  <si>
    <t>chan503</t>
  </si>
  <si>
    <t>Channel 503</t>
  </si>
  <si>
    <t>The channel of '503' is assigned for the Microwave Landing System (MLS) by the responsible authority.</t>
  </si>
  <si>
    <t>CmlCode_chan503</t>
  </si>
  <si>
    <t>(Aeronautical Information Exchange Model (AIXM): '504')</t>
  </si>
  <si>
    <t>chan504</t>
  </si>
  <si>
    <t>Channel 504</t>
  </si>
  <si>
    <t>The channel of '504' is assigned for the Microwave Landing System (MLS) by the responsible authority.</t>
  </si>
  <si>
    <t>CmlCode_chan504</t>
  </si>
  <si>
    <t>(Aeronautical Information Exchange Model (AIXM): '505')</t>
  </si>
  <si>
    <t>chan505</t>
  </si>
  <si>
    <t>Channel 505</t>
  </si>
  <si>
    <t>The channel of '505' is assigned for the Microwave Landing System (MLS) by the responsible authority.</t>
  </si>
  <si>
    <t>CmlCode_chan505</t>
  </si>
  <si>
    <t>(Aeronautical Information Exchange Model (AIXM): '506')</t>
  </si>
  <si>
    <t>chan506</t>
  </si>
  <si>
    <t>Channel 506</t>
  </si>
  <si>
    <t>The channel of '506' is assigned for the Microwave Landing System (MLS) by the responsible authority.</t>
  </si>
  <si>
    <t>CmlCode_chan506</t>
  </si>
  <si>
    <t>(Aeronautical Information Exchange Model (AIXM): '507')</t>
  </si>
  <si>
    <t>chan507</t>
  </si>
  <si>
    <t>Channel 507</t>
  </si>
  <si>
    <t>The channel of '507' is assigned for the Microwave Landing System (MLS) by the responsible authority.</t>
  </si>
  <si>
    <t>CmlCode_chan507</t>
  </si>
  <si>
    <t>(Aeronautical Information Exchange Model (AIXM): '508')</t>
  </si>
  <si>
    <t>chan508</t>
  </si>
  <si>
    <t>Channel 508</t>
  </si>
  <si>
    <t>The channel of '508' is assigned for the Microwave Landing System (MLS) by the responsible authority.</t>
  </si>
  <si>
    <t>CmlCode_chan508</t>
  </si>
  <si>
    <t>(Aeronautical Information Exchange Model (AIXM): '509')</t>
  </si>
  <si>
    <t>chan509</t>
  </si>
  <si>
    <t>Channel 509</t>
  </si>
  <si>
    <t>The channel of '509' is assigned for the Microwave Landing System (MLS) by the responsible authority.</t>
  </si>
  <si>
    <t>CmlCode_chan509</t>
  </si>
  <si>
    <t>(Aeronautical Information Exchange Model (AIXM): '510')</t>
  </si>
  <si>
    <t>chan510</t>
  </si>
  <si>
    <t>Channel 510</t>
  </si>
  <si>
    <t>The channel of '510' is assigned for the Microwave Landing System (MLS) by the responsible authority.</t>
  </si>
  <si>
    <t>CmlCode_chan510</t>
  </si>
  <si>
    <t>(Aeronautical Information Exchange Model (AIXM): '511')</t>
  </si>
  <si>
    <t>chan511</t>
  </si>
  <si>
    <t>Channel 511</t>
  </si>
  <si>
    <t>The channel of '511' is assigned for the Microwave Landing System (MLS) by the responsible authority.</t>
  </si>
  <si>
    <t>CmlCode_chan511</t>
  </si>
  <si>
    <t>(Aeronautical Information Exchange Model (AIXM): '512')</t>
  </si>
  <si>
    <t>chan512</t>
  </si>
  <si>
    <t>Channel 512</t>
  </si>
  <si>
    <t>The channel of '512' is assigned for the Microwave Landing System (MLS) by the responsible authority.</t>
  </si>
  <si>
    <t>CmlCode_chan512</t>
  </si>
  <si>
    <t>(Aeronautical Information Exchange Model (AIXM): '513')</t>
  </si>
  <si>
    <t>chan513</t>
  </si>
  <si>
    <t>Channel 513</t>
  </si>
  <si>
    <t>The channel of '513' is assigned for the Microwave Landing System (MLS) by the responsible authority.</t>
  </si>
  <si>
    <t>CmlCode_chan513</t>
  </si>
  <si>
    <t>(Aeronautical Information Exchange Model (AIXM): '514')</t>
  </si>
  <si>
    <t>chan514</t>
  </si>
  <si>
    <t>Channel 514</t>
  </si>
  <si>
    <t>The channel of '514' is assigned for the Microwave Landing System (MLS) by the responsible authority.</t>
  </si>
  <si>
    <t>CmlCode_chan514</t>
  </si>
  <si>
    <t>(Aeronautical Information Exchange Model (AIXM): '515')</t>
  </si>
  <si>
    <t>chan515</t>
  </si>
  <si>
    <t>Channel 515</t>
  </si>
  <si>
    <t>The channel of '515' is assigned for the Microwave Landing System (MLS) by the responsible authority.</t>
  </si>
  <si>
    <t>CmlCode_chan515</t>
  </si>
  <si>
    <t>(Aeronautical Information Exchange Model (AIXM): '516')</t>
  </si>
  <si>
    <t>chan516</t>
  </si>
  <si>
    <t>Channel 516</t>
  </si>
  <si>
    <t>The channel of '516' is assigned for the Microwave Landing System (MLS) by the responsible authority.</t>
  </si>
  <si>
    <t>CmlCode_chan516</t>
  </si>
  <si>
    <t>(Aeronautical Information Exchange Model (AIXM): '517')</t>
  </si>
  <si>
    <t>chan517</t>
  </si>
  <si>
    <t>Channel 517</t>
  </si>
  <si>
    <t>The channel of '517' is assigned for the Microwave Landing System (MLS) by the responsible authority.</t>
  </si>
  <si>
    <t>CmlCode_chan517</t>
  </si>
  <si>
    <t>(Aeronautical Information Exchange Model (AIXM): '518')</t>
  </si>
  <si>
    <t>chan518</t>
  </si>
  <si>
    <t>Channel 518</t>
  </si>
  <si>
    <t>The channel of '518' is assigned for the Microwave Landing System (MLS) by the responsible authority.</t>
  </si>
  <si>
    <t>CmlCode_chan518</t>
  </si>
  <si>
    <t>(Aeronautical Information Exchange Model (AIXM): '519')</t>
  </si>
  <si>
    <t>chan519</t>
  </si>
  <si>
    <t>Channel 519</t>
  </si>
  <si>
    <t>The channel of '519' is assigned for the Microwave Landing System (MLS) by the responsible authority.</t>
  </si>
  <si>
    <t>CmlCode_chan519</t>
  </si>
  <si>
    <t>(Aeronautical Information Exchange Model (AIXM): '520')</t>
  </si>
  <si>
    <t>chan520</t>
  </si>
  <si>
    <t>Channel 520</t>
  </si>
  <si>
    <t>The channel of '520' is assigned for the Microwave Landing System (MLS) by the responsible authority.</t>
  </si>
  <si>
    <t>CmlCode_chan520</t>
  </si>
  <si>
    <t>(Aeronautical Information Exchange Model (AIXM): '521')</t>
  </si>
  <si>
    <t>chan521</t>
  </si>
  <si>
    <t>Channel 521</t>
  </si>
  <si>
    <t>The channel of '521' is assigned for the Microwave Landing System (MLS) by the responsible authority.</t>
  </si>
  <si>
    <t>CmlCode_chan521</t>
  </si>
  <si>
    <t>(Aeronautical Information Exchange Model (AIXM): '522')</t>
  </si>
  <si>
    <t>chan522</t>
  </si>
  <si>
    <t>Channel 522</t>
  </si>
  <si>
    <t>The channel of '522' is assigned for the Microwave Landing System (MLS) by the responsible authority.</t>
  </si>
  <si>
    <t>CmlCode_chan522</t>
  </si>
  <si>
    <t>(Aeronautical Information Exchange Model (AIXM): '523')</t>
  </si>
  <si>
    <t>chan523</t>
  </si>
  <si>
    <t>Channel 523</t>
  </si>
  <si>
    <t>The channel of '523' is assigned for the Microwave Landing System (MLS) by the responsible authority.</t>
  </si>
  <si>
    <t>CmlCode_chan523</t>
  </si>
  <si>
    <t>(Aeronautical Information Exchange Model (AIXM): '524')</t>
  </si>
  <si>
    <t>chan524</t>
  </si>
  <si>
    <t>Channel 524</t>
  </si>
  <si>
    <t>The channel of '524' is assigned for the Microwave Landing System (MLS) by the responsible authority.</t>
  </si>
  <si>
    <t>CmlCode_chan524</t>
  </si>
  <si>
    <t>(Aeronautical Information Exchange Model (AIXM): '525')</t>
  </si>
  <si>
    <t>chan525</t>
  </si>
  <si>
    <t>Channel 525</t>
  </si>
  <si>
    <t>The channel of '525' is assigned for the Microwave Landing System (MLS) by the responsible authority.</t>
  </si>
  <si>
    <t>CmlCode_chan525</t>
  </si>
  <si>
    <t>(Aeronautical Information Exchange Model (AIXM): '526')</t>
  </si>
  <si>
    <t>chan526</t>
  </si>
  <si>
    <t>Channel 526</t>
  </si>
  <si>
    <t>The channel of '526' is assigned for the Microwave Landing System (MLS) by the responsible authority.</t>
  </si>
  <si>
    <t>CmlCode_chan526</t>
  </si>
  <si>
    <t>(Aeronautical Information Exchange Model (AIXM): '527')</t>
  </si>
  <si>
    <t>chan527</t>
  </si>
  <si>
    <t>Channel 527</t>
  </si>
  <si>
    <t>The channel of '527' is assigned for the Microwave Landing System (MLS) by the responsible authority.</t>
  </si>
  <si>
    <t>CmlCode_chan527</t>
  </si>
  <si>
    <t>(Aeronautical Information Exchange Model (AIXM): '528')</t>
  </si>
  <si>
    <t>chan528</t>
  </si>
  <si>
    <t>Channel 528</t>
  </si>
  <si>
    <t>The channel of '528' is assigned for the Microwave Landing System (MLS) by the responsible authority.</t>
  </si>
  <si>
    <t>CmlCode_chan528</t>
  </si>
  <si>
    <t>(Aeronautical Information Exchange Model (AIXM): '529')</t>
  </si>
  <si>
    <t>chan529</t>
  </si>
  <si>
    <t>Channel 529</t>
  </si>
  <si>
    <t>The channel of '529' is assigned for the Microwave Landing System (MLS) by the responsible authority.</t>
  </si>
  <si>
    <t>CmlCode_chan529</t>
  </si>
  <si>
    <t>(Aeronautical Information Exchange Model (AIXM): '530')</t>
  </si>
  <si>
    <t>chan530</t>
  </si>
  <si>
    <t>Channel 530</t>
  </si>
  <si>
    <t>The channel of '530' is assigned for the Microwave Landing System (MLS) by the responsible authority.</t>
  </si>
  <si>
    <t>CmlCode_chan530</t>
  </si>
  <si>
    <t>(Aeronautical Information Exchange Model (AIXM): '531')</t>
  </si>
  <si>
    <t>chan531</t>
  </si>
  <si>
    <t>Channel 531</t>
  </si>
  <si>
    <t>The channel of '531' is assigned for the Microwave Landing System (MLS) by the responsible authority.</t>
  </si>
  <si>
    <t>CmlCode_chan531</t>
  </si>
  <si>
    <t>(Aeronautical Information Exchange Model (AIXM): '532')</t>
  </si>
  <si>
    <t>chan532</t>
  </si>
  <si>
    <t>Channel 532</t>
  </si>
  <si>
    <t>The channel of '532' is assigned for the Microwave Landing System (MLS) by the responsible authority.</t>
  </si>
  <si>
    <t>CmlCode_chan532</t>
  </si>
  <si>
    <t>(Aeronautical Information Exchange Model (AIXM): '533')</t>
  </si>
  <si>
    <t>chan533</t>
  </si>
  <si>
    <t>Channel 533</t>
  </si>
  <si>
    <t>The channel of '533' is assigned for the Microwave Landing System (MLS) by the responsible authority.</t>
  </si>
  <si>
    <t>CmlCode_chan533</t>
  </si>
  <si>
    <t>(Aeronautical Information Exchange Model (AIXM): '534')</t>
  </si>
  <si>
    <t>chan534</t>
  </si>
  <si>
    <t>Channel 534</t>
  </si>
  <si>
    <t>The channel of '534' is assigned for the Microwave Landing System (MLS) by the responsible authority.</t>
  </si>
  <si>
    <t>CmlCode_chan534</t>
  </si>
  <si>
    <t>(Aeronautical Information Exchange Model (AIXM): '535')</t>
  </si>
  <si>
    <t>chan535</t>
  </si>
  <si>
    <t>Channel 535</t>
  </si>
  <si>
    <t>The channel of '535' is assigned for the Microwave Landing System (MLS) by the responsible authority.</t>
  </si>
  <si>
    <t>CmlCode_chan535</t>
  </si>
  <si>
    <t>(Aeronautical Information Exchange Model (AIXM): '536')</t>
  </si>
  <si>
    <t>chan536</t>
  </si>
  <si>
    <t>Channel 536</t>
  </si>
  <si>
    <t>The channel of '536' is assigned for the Microwave Landing System (MLS) by the responsible authority.</t>
  </si>
  <si>
    <t>CmlCode_chan536</t>
  </si>
  <si>
    <t>(Aeronautical Information Exchange Model (AIXM): '537')</t>
  </si>
  <si>
    <t>chan537</t>
  </si>
  <si>
    <t>Channel 537</t>
  </si>
  <si>
    <t>The channel of '537' is assigned for the Microwave Landing System (MLS) by the responsible authority.</t>
  </si>
  <si>
    <t>CmlCode_chan537</t>
  </si>
  <si>
    <t>(Aeronautical Information Exchange Model (AIXM): '538')</t>
  </si>
  <si>
    <t>chan538</t>
  </si>
  <si>
    <t>Channel 538</t>
  </si>
  <si>
    <t>The channel of '538' is assigned for the Microwave Landing System (MLS) by the responsible authority.</t>
  </si>
  <si>
    <t>CmlCode_chan538</t>
  </si>
  <si>
    <t>(Aeronautical Information Exchange Model (AIXM): '539')</t>
  </si>
  <si>
    <t>chan539</t>
  </si>
  <si>
    <t>Channel 539</t>
  </si>
  <si>
    <t>The channel of '539' is assigned for the Microwave Landing System (MLS) by the responsible authority.</t>
  </si>
  <si>
    <t>CmlCode_chan539</t>
  </si>
  <si>
    <t>(Aeronautical Information Exchange Model (AIXM): '540')</t>
  </si>
  <si>
    <t>chan540</t>
  </si>
  <si>
    <t>Channel 540</t>
  </si>
  <si>
    <t>The channel of '540' is assigned for the Microwave Landing System (MLS) by the responsible authority.</t>
  </si>
  <si>
    <t>CmlCode_chan540</t>
  </si>
  <si>
    <t>(Aeronautical Information Exchange Model (AIXM): '541')</t>
  </si>
  <si>
    <t>chan541</t>
  </si>
  <si>
    <t>Channel 541</t>
  </si>
  <si>
    <t>The channel of '541' is assigned for the Microwave Landing System (MLS) by the responsible authority.</t>
  </si>
  <si>
    <t>CmlCode_chan541</t>
  </si>
  <si>
    <t>(Aeronautical Information Exchange Model (AIXM): '542')</t>
  </si>
  <si>
    <t>chan542</t>
  </si>
  <si>
    <t>Channel 542</t>
  </si>
  <si>
    <t>The channel of '542' is assigned for the Microwave Landing System (MLS) by the responsible authority.</t>
  </si>
  <si>
    <t>CmlCode_chan542</t>
  </si>
  <si>
    <t>(Aeronautical Information Exchange Model (AIXM): '543')</t>
  </si>
  <si>
    <t>chan543</t>
  </si>
  <si>
    <t>Channel 543</t>
  </si>
  <si>
    <t>The channel of '543' is assigned for the Microwave Landing System (MLS) by the responsible authority.</t>
  </si>
  <si>
    <t>CmlCode_chan543</t>
  </si>
  <si>
    <t>(Aeronautical Information Exchange Model (AIXM): '544')</t>
  </si>
  <si>
    <t>chan544</t>
  </si>
  <si>
    <t>Channel 544</t>
  </si>
  <si>
    <t>The channel of '544' is assigned for the Microwave Landing System (MLS) by the responsible authority.</t>
  </si>
  <si>
    <t>CmlCode_chan544</t>
  </si>
  <si>
    <t>(Aeronautical Information Exchange Model (AIXM): '545')</t>
  </si>
  <si>
    <t>chan545</t>
  </si>
  <si>
    <t>Channel 545</t>
  </si>
  <si>
    <t>The channel of '545' is assigned for the Microwave Landing System (MLS) by the responsible authority.</t>
  </si>
  <si>
    <t>CmlCode_chan545</t>
  </si>
  <si>
    <t>(Aeronautical Information Exchange Model (AIXM): '546')</t>
  </si>
  <si>
    <t>chan546</t>
  </si>
  <si>
    <t>Channel 546</t>
  </si>
  <si>
    <t>The channel of '546' is assigned for the Microwave Landing System (MLS) by the responsible authority.</t>
  </si>
  <si>
    <t>CmlCode_chan546</t>
  </si>
  <si>
    <t>(Aeronautical Information Exchange Model (AIXM): '547')</t>
  </si>
  <si>
    <t>chan547</t>
  </si>
  <si>
    <t>Channel 547</t>
  </si>
  <si>
    <t>The channel of '547' is assigned for the Microwave Landing System (MLS) by the responsible authority.</t>
  </si>
  <si>
    <t>CmlCode_chan547</t>
  </si>
  <si>
    <t>(Aeronautical Information Exchange Model (AIXM): '548')</t>
  </si>
  <si>
    <t>chan548</t>
  </si>
  <si>
    <t>Channel 548</t>
  </si>
  <si>
    <t>The channel of '548' is assigned for the Microwave Landing System (MLS) by the responsible authority.</t>
  </si>
  <si>
    <t>CmlCode_chan548</t>
  </si>
  <si>
    <t>(Aeronautical Information Exchange Model (AIXM): '549')</t>
  </si>
  <si>
    <t>chan549</t>
  </si>
  <si>
    <t>Channel 549</t>
  </si>
  <si>
    <t>The channel of '549' is assigned for the Microwave Landing System (MLS) by the responsible authority.</t>
  </si>
  <si>
    <t>CmlCode_chan549</t>
  </si>
  <si>
    <t>(Aeronautical Information Exchange Model (AIXM): '550')</t>
  </si>
  <si>
    <t>chan550</t>
  </si>
  <si>
    <t>Channel 550</t>
  </si>
  <si>
    <t>The channel of '550' is assigned for the Microwave Landing System (MLS) by the responsible authority.</t>
  </si>
  <si>
    <t>CmlCode_chan550</t>
  </si>
  <si>
    <t>(Aeronautical Information Exchange Model (AIXM): '551')</t>
  </si>
  <si>
    <t>chan551</t>
  </si>
  <si>
    <t>Channel 551</t>
  </si>
  <si>
    <t>The channel of '551' is assigned for the Microwave Landing System (MLS) by the responsible authority.</t>
  </si>
  <si>
    <t>CmlCode_chan551</t>
  </si>
  <si>
    <t>(Aeronautical Information Exchange Model (AIXM): '552')</t>
  </si>
  <si>
    <t>chan552</t>
  </si>
  <si>
    <t>Channel 552</t>
  </si>
  <si>
    <t>The channel of '552' is assigned for the Microwave Landing System (MLS) by the responsible authority.</t>
  </si>
  <si>
    <t>CmlCode_chan552</t>
  </si>
  <si>
    <t>(Aeronautical Information Exchange Model (AIXM): '553')</t>
  </si>
  <si>
    <t>chan553</t>
  </si>
  <si>
    <t>Channel 553</t>
  </si>
  <si>
    <t>The channel of '553' is assigned for the Microwave Landing System (MLS) by the responsible authority.</t>
  </si>
  <si>
    <t>CmlCode_chan553</t>
  </si>
  <si>
    <t>(Aeronautical Information Exchange Model (AIXM): '554')</t>
  </si>
  <si>
    <t>chan554</t>
  </si>
  <si>
    <t>Channel 554</t>
  </si>
  <si>
    <t>The channel of '554' is assigned for the Microwave Landing System (MLS) by the responsible authority.</t>
  </si>
  <si>
    <t>CmlCode_chan554</t>
  </si>
  <si>
    <t>(Aeronautical Information Exchange Model (AIXM): '555')</t>
  </si>
  <si>
    <t>chan555</t>
  </si>
  <si>
    <t>Channel 555</t>
  </si>
  <si>
    <t>The channel of '555' is assigned for the Microwave Landing System (MLS) by the responsible authority.</t>
  </si>
  <si>
    <t>CmlCode_chan555</t>
  </si>
  <si>
    <t>(Aeronautical Information Exchange Model (AIXM): '556')</t>
  </si>
  <si>
    <t>chan556</t>
  </si>
  <si>
    <t>Channel 556</t>
  </si>
  <si>
    <t>The channel of '556' is assigned for the Microwave Landing System (MLS) by the responsible authority.</t>
  </si>
  <si>
    <t>CmlCode_chan556</t>
  </si>
  <si>
    <t>(Aeronautical Information Exchange Model (AIXM): '557')</t>
  </si>
  <si>
    <t>chan557</t>
  </si>
  <si>
    <t>Channel 557</t>
  </si>
  <si>
    <t>The channel of '557' is assigned for the Microwave Landing System (MLS) by the responsible authority.</t>
  </si>
  <si>
    <t>CmlCode_chan557</t>
  </si>
  <si>
    <t>(Aeronautical Information Exchange Model (AIXM): '558')</t>
  </si>
  <si>
    <t>chan558</t>
  </si>
  <si>
    <t>Channel 558</t>
  </si>
  <si>
    <t>The channel of '558' is assigned for the Microwave Landing System (MLS) by the responsible authority.</t>
  </si>
  <si>
    <t>CmlCode_chan558</t>
  </si>
  <si>
    <t>(Aeronautical Information Exchange Model (AIXM): '559')</t>
  </si>
  <si>
    <t>chan559</t>
  </si>
  <si>
    <t>Channel 559</t>
  </si>
  <si>
    <t>The channel of '559' is assigned for the Microwave Landing System (MLS) by the responsible authority.</t>
  </si>
  <si>
    <t>CmlCode_chan559</t>
  </si>
  <si>
    <t>(Aeronautical Information Exchange Model (AIXM): '560')</t>
  </si>
  <si>
    <t>chan560</t>
  </si>
  <si>
    <t>Channel 560</t>
  </si>
  <si>
    <t>The channel of '560' is assigned for the Microwave Landing System (MLS) by the responsible authority.</t>
  </si>
  <si>
    <t>CmlCode_chan560</t>
  </si>
  <si>
    <t>(Aeronautical Information Exchange Model (AIXM): '561')</t>
  </si>
  <si>
    <t>chan561</t>
  </si>
  <si>
    <t>Channel 561</t>
  </si>
  <si>
    <t>The channel of '561' is assigned for the Microwave Landing System (MLS) by the responsible authority.</t>
  </si>
  <si>
    <t>CmlCode_chan561</t>
  </si>
  <si>
    <t>(Aeronautical Information Exchange Model (AIXM): '562')</t>
  </si>
  <si>
    <t>chan562</t>
  </si>
  <si>
    <t>Channel 562</t>
  </si>
  <si>
    <t>The channel of '562' is assigned for the Microwave Landing System (MLS) by the responsible authority.</t>
  </si>
  <si>
    <t>CmlCode_chan562</t>
  </si>
  <si>
    <t>(Aeronautical Information Exchange Model (AIXM): '563')</t>
  </si>
  <si>
    <t>chan563</t>
  </si>
  <si>
    <t>Channel 563</t>
  </si>
  <si>
    <t>The channel of '563' is assigned for the Microwave Landing System (MLS) by the responsible authority.</t>
  </si>
  <si>
    <t>CmlCode_chan563</t>
  </si>
  <si>
    <t>(Aeronautical Information Exchange Model (AIXM): '564')</t>
  </si>
  <si>
    <t>chan564</t>
  </si>
  <si>
    <t>Channel 564</t>
  </si>
  <si>
    <t>The channel of '564' is assigned for the Microwave Landing System (MLS) by the responsible authority.</t>
  </si>
  <si>
    <t>CmlCode_chan564</t>
  </si>
  <si>
    <t>(Aeronautical Information Exchange Model (AIXM): '565')</t>
  </si>
  <si>
    <t>chan565</t>
  </si>
  <si>
    <t>Channel 565</t>
  </si>
  <si>
    <t>The channel of '565' is assigned for the Microwave Landing System (MLS) by the responsible authority.</t>
  </si>
  <si>
    <t>CmlCode_chan565</t>
  </si>
  <si>
    <t>(Aeronautical Information Exchange Model (AIXM): '566')</t>
  </si>
  <si>
    <t>chan566</t>
  </si>
  <si>
    <t>Channel 566</t>
  </si>
  <si>
    <t>The channel of '566' is assigned for the Microwave Landing System (MLS) by the responsible authority.</t>
  </si>
  <si>
    <t>CmlCode_chan566</t>
  </si>
  <si>
    <t>(Aeronautical Information Exchange Model (AIXM): '567')</t>
  </si>
  <si>
    <t>chan567</t>
  </si>
  <si>
    <t>Channel 567</t>
  </si>
  <si>
    <t>The channel of '567' is assigned for the Microwave Landing System (MLS) by the responsible authority.</t>
  </si>
  <si>
    <t>CmlCode_chan567</t>
  </si>
  <si>
    <t>(Aeronautical Information Exchange Model (AIXM): '568')</t>
  </si>
  <si>
    <t>chan568</t>
  </si>
  <si>
    <t>Channel 568</t>
  </si>
  <si>
    <t>The channel of '568' is assigned for the Microwave Landing System (MLS) by the responsible authority.</t>
  </si>
  <si>
    <t>CmlCode_chan568</t>
  </si>
  <si>
    <t>(Aeronautical Information Exchange Model (AIXM): '569')</t>
  </si>
  <si>
    <t>chan569</t>
  </si>
  <si>
    <t>Channel 569</t>
  </si>
  <si>
    <t>The channel of '569' is assigned for the Microwave Landing System (MLS) by the responsible authority.</t>
  </si>
  <si>
    <t>CmlCode_chan569</t>
  </si>
  <si>
    <t>(Aeronautical Information Exchange Model (AIXM): '570')</t>
  </si>
  <si>
    <t>chan570</t>
  </si>
  <si>
    <t>Channel 570</t>
  </si>
  <si>
    <t>The channel of '570' is assigned for the Microwave Landing System (MLS) by the responsible authority.</t>
  </si>
  <si>
    <t>CmlCode_chan570</t>
  </si>
  <si>
    <t>(Aeronautical Information Exchange Model (AIXM): '571')</t>
  </si>
  <si>
    <t>chan571</t>
  </si>
  <si>
    <t>Channel 571</t>
  </si>
  <si>
    <t>The channel of '571' is assigned for the Microwave Landing System (MLS) by the responsible authority.</t>
  </si>
  <si>
    <t>CmlCode_chan571</t>
  </si>
  <si>
    <t>(Aeronautical Information Exchange Model (AIXM): '572')</t>
  </si>
  <si>
    <t>chan572</t>
  </si>
  <si>
    <t>Channel 572</t>
  </si>
  <si>
    <t>The channel of '572' is assigned for the Microwave Landing System (MLS) by the responsible authority.</t>
  </si>
  <si>
    <t>CmlCode_chan572</t>
  </si>
  <si>
    <t>(Aeronautical Information Exchange Model (AIXM): '573')</t>
  </si>
  <si>
    <t>chan573</t>
  </si>
  <si>
    <t>Channel 573</t>
  </si>
  <si>
    <t>The channel of '573' is assigned for the Microwave Landing System (MLS) by the responsible authority.</t>
  </si>
  <si>
    <t>CmlCode_chan573</t>
  </si>
  <si>
    <t>(Aeronautical Information Exchange Model (AIXM): '574')</t>
  </si>
  <si>
    <t>chan574</t>
  </si>
  <si>
    <t>Channel 574</t>
  </si>
  <si>
    <t>The channel of '574' is assigned for the Microwave Landing System (MLS) by the responsible authority.</t>
  </si>
  <si>
    <t>CmlCode_chan574</t>
  </si>
  <si>
    <t>(Aeronautical Information Exchange Model (AIXM): '575')</t>
  </si>
  <si>
    <t>chan575</t>
  </si>
  <si>
    <t>Channel 575</t>
  </si>
  <si>
    <t>The channel of '575' is assigned for the Microwave Landing System (MLS) by the responsible authority.</t>
  </si>
  <si>
    <t>CmlCode_chan575</t>
  </si>
  <si>
    <t>(Aeronautical Information Exchange Model (AIXM): '576')</t>
  </si>
  <si>
    <t>chan576</t>
  </si>
  <si>
    <t>Channel 576</t>
  </si>
  <si>
    <t>The channel of '576' is assigned for the Microwave Landing System (MLS) by the responsible authority.</t>
  </si>
  <si>
    <t>CmlCode_chan576</t>
  </si>
  <si>
    <t>(Aeronautical Information Exchange Model (AIXM): '577')</t>
  </si>
  <si>
    <t>chan577</t>
  </si>
  <si>
    <t>Channel 577</t>
  </si>
  <si>
    <t>The channel of '577' is assigned for the Microwave Landing System (MLS) by the responsible authority.</t>
  </si>
  <si>
    <t>CmlCode_chan577</t>
  </si>
  <si>
    <t>(Aeronautical Information Exchange Model (AIXM): '578')</t>
  </si>
  <si>
    <t>chan578</t>
  </si>
  <si>
    <t>Channel 578</t>
  </si>
  <si>
    <t>The channel of '578' is assigned for the Microwave Landing System (MLS) by the responsible authority.</t>
  </si>
  <si>
    <t>CmlCode_chan578</t>
  </si>
  <si>
    <t>(Aeronautical Information Exchange Model (AIXM): '579')</t>
  </si>
  <si>
    <t>chan579</t>
  </si>
  <si>
    <t>Channel 579</t>
  </si>
  <si>
    <t>The channel of '579' is assigned for the Microwave Landing System (MLS) by the responsible authority.</t>
  </si>
  <si>
    <t>CmlCode_chan579</t>
  </si>
  <si>
    <t>(Aeronautical Information Exchange Model (AIXM): '580')</t>
  </si>
  <si>
    <t>chan580</t>
  </si>
  <si>
    <t>Channel 580</t>
  </si>
  <si>
    <t>The channel of '580' is assigned for the Microwave Landing System (MLS) by the responsible authority.</t>
  </si>
  <si>
    <t>CmlCode_chan580</t>
  </si>
  <si>
    <t>(Aeronautical Information Exchange Model (AIXM): '581')</t>
  </si>
  <si>
    <t>chan581</t>
  </si>
  <si>
    <t>Channel 581</t>
  </si>
  <si>
    <t>The channel of '581' is assigned for the Microwave Landing System (MLS) by the responsible authority.</t>
  </si>
  <si>
    <t>CmlCode_chan581</t>
  </si>
  <si>
    <t>(Aeronautical Information Exchange Model (AIXM): '582')</t>
  </si>
  <si>
    <t>chan582</t>
  </si>
  <si>
    <t>Channel 582</t>
  </si>
  <si>
    <t>The channel of '582' is assigned for the Microwave Landing System (MLS) by the responsible authority.</t>
  </si>
  <si>
    <t>CmlCode_chan582</t>
  </si>
  <si>
    <t>(Aeronautical Information Exchange Model (AIXM): '583')</t>
  </si>
  <si>
    <t>chan583</t>
  </si>
  <si>
    <t>Channel 583</t>
  </si>
  <si>
    <t>The channel of '583' is assigned for the Microwave Landing System (MLS) by the responsible authority.</t>
  </si>
  <si>
    <t>CmlCode_chan583</t>
  </si>
  <si>
    <t>(Aeronautical Information Exchange Model (AIXM): '584')</t>
  </si>
  <si>
    <t>chan584</t>
  </si>
  <si>
    <t>Channel 584</t>
  </si>
  <si>
    <t>The channel of '584' is assigned for the Microwave Landing System (MLS) by the responsible authority.</t>
  </si>
  <si>
    <t>CmlCode_chan584</t>
  </si>
  <si>
    <t>(Aeronautical Information Exchange Model (AIXM): '585')</t>
  </si>
  <si>
    <t>chan585</t>
  </si>
  <si>
    <t>Channel 585</t>
  </si>
  <si>
    <t>The channel of '585' is assigned for the Microwave Landing System (MLS) by the responsible authority.</t>
  </si>
  <si>
    <t>CmlCode_chan585</t>
  </si>
  <si>
    <t>(Aeronautical Information Exchange Model (AIXM): '586')</t>
  </si>
  <si>
    <t>chan586</t>
  </si>
  <si>
    <t>Channel 586</t>
  </si>
  <si>
    <t>The channel of '586' is assigned for the Microwave Landing System (MLS) by the responsible authority.</t>
  </si>
  <si>
    <t>CmlCode_chan586</t>
  </si>
  <si>
    <t>(Aeronautical Information Exchange Model (AIXM): '587')</t>
  </si>
  <si>
    <t>chan587</t>
  </si>
  <si>
    <t>Channel 587</t>
  </si>
  <si>
    <t>The channel of '587' is assigned for the Microwave Landing System (MLS) by the responsible authority.</t>
  </si>
  <si>
    <t>CmlCode_chan587</t>
  </si>
  <si>
    <t>(Aeronautical Information Exchange Model (AIXM): '588')</t>
  </si>
  <si>
    <t>chan588</t>
  </si>
  <si>
    <t>Channel 588</t>
  </si>
  <si>
    <t>The channel of '588' is assigned for the Microwave Landing System (MLS) by the responsible authority.</t>
  </si>
  <si>
    <t>CmlCode_chan588</t>
  </si>
  <si>
    <t>(Aeronautical Information Exchange Model (AIXM): '589')</t>
  </si>
  <si>
    <t>chan589</t>
  </si>
  <si>
    <t>Channel 589</t>
  </si>
  <si>
    <t>The channel of '589' is assigned for the Microwave Landing System (MLS) by the responsible authority.</t>
  </si>
  <si>
    <t>CmlCode_chan589</t>
  </si>
  <si>
    <t>(Aeronautical Information Exchange Model (AIXM): '590')</t>
  </si>
  <si>
    <t>chan590</t>
  </si>
  <si>
    <t>Channel 590</t>
  </si>
  <si>
    <t>The channel of '590' is assigned for the Microwave Landing System (MLS) by the responsible authority.</t>
  </si>
  <si>
    <t>CmlCode_chan590</t>
  </si>
  <si>
    <t>(Aeronautical Information Exchange Model (AIXM): '591')</t>
  </si>
  <si>
    <t>chan591</t>
  </si>
  <si>
    <t>Channel 591</t>
  </si>
  <si>
    <t>The channel of '591' is assigned for the Microwave Landing System (MLS) by the responsible authority.</t>
  </si>
  <si>
    <t>CmlCode_chan591</t>
  </si>
  <si>
    <t>(Aeronautical Information Exchange Model (AIXM): '592')</t>
  </si>
  <si>
    <t>chan592</t>
  </si>
  <si>
    <t>Channel 592</t>
  </si>
  <si>
    <t>The channel of '592' is assigned for the Microwave Landing System (MLS) by the responsible authority.</t>
  </si>
  <si>
    <t>CmlCode_chan592</t>
  </si>
  <si>
    <t>(Aeronautical Information Exchange Model (AIXM): '593')</t>
  </si>
  <si>
    <t>chan593</t>
  </si>
  <si>
    <t>Channel 593</t>
  </si>
  <si>
    <t>The channel of '593' is assigned for the Microwave Landing System (MLS) by the responsible authority.</t>
  </si>
  <si>
    <t>CmlCode_chan593</t>
  </si>
  <si>
    <t>(Aeronautical Information Exchange Model (AIXM): '594')</t>
  </si>
  <si>
    <t>chan594</t>
  </si>
  <si>
    <t>Channel 594</t>
  </si>
  <si>
    <t>The channel of '594' is assigned for the Microwave Landing System (MLS) by the responsible authority.</t>
  </si>
  <si>
    <t>CmlCode_chan594</t>
  </si>
  <si>
    <t>(Aeronautical Information Exchange Model (AIXM): '595')</t>
  </si>
  <si>
    <t>chan595</t>
  </si>
  <si>
    <t>Channel 595</t>
  </si>
  <si>
    <t>The channel of '595' is assigned for the Microwave Landing System (MLS) by the responsible authority.</t>
  </si>
  <si>
    <t>CmlCode_chan595</t>
  </si>
  <si>
    <t>(Aeronautical Information Exchange Model (AIXM): '596')</t>
  </si>
  <si>
    <t>chan596</t>
  </si>
  <si>
    <t>Channel 596</t>
  </si>
  <si>
    <t>The channel of '596' is assigned for the Microwave Landing System (MLS) by the responsible authority.</t>
  </si>
  <si>
    <t>CmlCode_chan596</t>
  </si>
  <si>
    <t>(Aeronautical Information Exchange Model (AIXM): '597')</t>
  </si>
  <si>
    <t>chan597</t>
  </si>
  <si>
    <t>Channel 597</t>
  </si>
  <si>
    <t>The channel of '597' is assigned for the Microwave Landing System (MLS) by the responsible authority.</t>
  </si>
  <si>
    <t>CmlCode_chan597</t>
  </si>
  <si>
    <t>(Aeronautical Information Exchange Model (AIXM): '598')</t>
  </si>
  <si>
    <t>chan598</t>
  </si>
  <si>
    <t>Channel 598</t>
  </si>
  <si>
    <t>The channel of '598' is assigned for the Microwave Landing System (MLS) by the responsible authority.</t>
  </si>
  <si>
    <t>CmlCode_chan598</t>
  </si>
  <si>
    <t>(Aeronautical Information Exchange Model (AIXM): '599')</t>
  </si>
  <si>
    <t>chan599</t>
  </si>
  <si>
    <t>Channel 599</t>
  </si>
  <si>
    <t>The channel of '599' is assigned for the Microwave Landing System (MLS) by the responsible authority.</t>
  </si>
  <si>
    <t>CmlCode_chan599</t>
  </si>
  <si>
    <t>(Aeronautical Information Exchange Model (AIXM): '600')</t>
  </si>
  <si>
    <t>chan600</t>
  </si>
  <si>
    <t>Channel 600</t>
  </si>
  <si>
    <t>The channel of '600' is assigned for the Microwave Landing System (MLS) by the responsible authority.</t>
  </si>
  <si>
    <t>CmlCode_chan600</t>
  </si>
  <si>
    <t>(Aeronautical Information Exchange Model (AIXM): '601')</t>
  </si>
  <si>
    <t>chan601</t>
  </si>
  <si>
    <t>Channel 601</t>
  </si>
  <si>
    <t>The channel of '601' is assigned for the Microwave Landing System (MLS) by the responsible authority.</t>
  </si>
  <si>
    <t>CmlCode_chan601</t>
  </si>
  <si>
    <t>(Aeronautical Information Exchange Model (AIXM): '602')</t>
  </si>
  <si>
    <t>chan602</t>
  </si>
  <si>
    <t>Channel 602</t>
  </si>
  <si>
    <t>The channel of '602' is assigned for the Microwave Landing System (MLS) by the responsible authority.</t>
  </si>
  <si>
    <t>CmlCode_chan602</t>
  </si>
  <si>
    <t>(Aeronautical Information Exchange Model (AIXM): '603')</t>
  </si>
  <si>
    <t>chan603</t>
  </si>
  <si>
    <t>Channel 603</t>
  </si>
  <si>
    <t>The channel of '603' is assigned for the Microwave Landing System (MLS) by the responsible authority.</t>
  </si>
  <si>
    <t>CmlCode_chan603</t>
  </si>
  <si>
    <t>(Aeronautical Information Exchange Model (AIXM): '604')</t>
  </si>
  <si>
    <t>chan604</t>
  </si>
  <si>
    <t>Channel 604</t>
  </si>
  <si>
    <t>The channel of '604' is assigned for the Microwave Landing System (MLS) by the responsible authority.</t>
  </si>
  <si>
    <t>CmlCode_chan604</t>
  </si>
  <si>
    <t>(Aeronautical Information Exchange Model (AIXM): '605')</t>
  </si>
  <si>
    <t>chan605</t>
  </si>
  <si>
    <t>Channel 605</t>
  </si>
  <si>
    <t>The channel of '605' is assigned for the Microwave Landing System (MLS) by the responsible authority.</t>
  </si>
  <si>
    <t>CmlCode_chan605</t>
  </si>
  <si>
    <t>(Aeronautical Information Exchange Model (AIXM): '606')</t>
  </si>
  <si>
    <t>chan606</t>
  </si>
  <si>
    <t>Channel 606</t>
  </si>
  <si>
    <t>The channel of '606' is assigned for the Microwave Landing System (MLS) by the responsible authority.</t>
  </si>
  <si>
    <t>CmlCode_chan606</t>
  </si>
  <si>
    <t>(Aeronautical Information Exchange Model (AIXM): '607')</t>
  </si>
  <si>
    <t>chan607</t>
  </si>
  <si>
    <t>Channel 607</t>
  </si>
  <si>
    <t>The channel of '607' is assigned for the Microwave Landing System (MLS) by the responsible authority.</t>
  </si>
  <si>
    <t>CmlCode_chan607</t>
  </si>
  <si>
    <t>(Aeronautical Information Exchange Model (AIXM): '608')</t>
  </si>
  <si>
    <t>chan608</t>
  </si>
  <si>
    <t>Channel 608</t>
  </si>
  <si>
    <t>The channel of '608' is assigned for the Microwave Landing System (MLS) by the responsible authority.</t>
  </si>
  <si>
    <t>CmlCode_chan608</t>
  </si>
  <si>
    <t>(Aeronautical Information Exchange Model (AIXM): '609')</t>
  </si>
  <si>
    <t>chan609</t>
  </si>
  <si>
    <t>Channel 609</t>
  </si>
  <si>
    <t>The channel of '609' is assigned for the Microwave Landing System (MLS) by the responsible authority.</t>
  </si>
  <si>
    <t>CmlCode_chan609</t>
  </si>
  <si>
    <t>(Aeronautical Information Exchange Model (AIXM): '610')</t>
  </si>
  <si>
    <t>chan610</t>
  </si>
  <si>
    <t>Channel 610</t>
  </si>
  <si>
    <t>The channel of '610' is assigned for the Microwave Landing System (MLS) by the responsible authority.</t>
  </si>
  <si>
    <t>CmlCode_chan610</t>
  </si>
  <si>
    <t>(Aeronautical Information Exchange Model (AIXM): '611')</t>
  </si>
  <si>
    <t>chan611</t>
  </si>
  <si>
    <t>Channel 611</t>
  </si>
  <si>
    <t>The channel of '611' is assigned for the Microwave Landing System (MLS) by the responsible authority.</t>
  </si>
  <si>
    <t>CmlCode_chan611</t>
  </si>
  <si>
    <t>(Aeronautical Information Exchange Model (AIXM): '612')</t>
  </si>
  <si>
    <t>chan612</t>
  </si>
  <si>
    <t>Channel 612</t>
  </si>
  <si>
    <t>The channel of '612' is assigned for the Microwave Landing System (MLS) by the responsible authority.</t>
  </si>
  <si>
    <t>CmlCode_chan612</t>
  </si>
  <si>
    <t>(Aeronautical Information Exchange Model (AIXM): '613')</t>
  </si>
  <si>
    <t>chan613</t>
  </si>
  <si>
    <t>Channel 613</t>
  </si>
  <si>
    <t>The channel of '613' is assigned for the Microwave Landing System (MLS) by the responsible authority.</t>
  </si>
  <si>
    <t>CmlCode_chan613</t>
  </si>
  <si>
    <t>(Aeronautical Information Exchange Model (AIXM): '614')</t>
  </si>
  <si>
    <t>chan614</t>
  </si>
  <si>
    <t>Channel 614</t>
  </si>
  <si>
    <t>The channel of '614' is assigned for the Microwave Landing System (MLS) by the responsible authority.</t>
  </si>
  <si>
    <t>CmlCode_chan614</t>
  </si>
  <si>
    <t>(Aeronautical Information Exchange Model (AIXM): '615')</t>
  </si>
  <si>
    <t>chan615</t>
  </si>
  <si>
    <t>Channel 615</t>
  </si>
  <si>
    <t>The channel of '615' is assigned for the Microwave Landing System (MLS) by the responsible authority.</t>
  </si>
  <si>
    <t>CmlCode_chan615</t>
  </si>
  <si>
    <t>(Aeronautical Information Exchange Model (AIXM): '616')</t>
  </si>
  <si>
    <t>chan616</t>
  </si>
  <si>
    <t>Channel 616</t>
  </si>
  <si>
    <t>The channel of '616' is assigned for the Microwave Landing System (MLS) by the responsible authority.</t>
  </si>
  <si>
    <t>CmlCode_chan616</t>
  </si>
  <si>
    <t>(Aeronautical Information Exchange Model (AIXM): '617')</t>
  </si>
  <si>
    <t>chan617</t>
  </si>
  <si>
    <t>Channel 617</t>
  </si>
  <si>
    <t>The channel of '617' is assigned for the Microwave Landing System (MLS) by the responsible authority.</t>
  </si>
  <si>
    <t>CmlCode_chan617</t>
  </si>
  <si>
    <t>(Aeronautical Information Exchange Model (AIXM): '618')</t>
  </si>
  <si>
    <t>chan618</t>
  </si>
  <si>
    <t>Channel 618</t>
  </si>
  <si>
    <t>The channel of '618' is assigned for the Microwave Landing System (MLS) by the responsible authority.</t>
  </si>
  <si>
    <t>CmlCode_chan618</t>
  </si>
  <si>
    <t>(Aeronautical Information Exchange Model (AIXM): '619')</t>
  </si>
  <si>
    <t>chan619</t>
  </si>
  <si>
    <t>Channel 619</t>
  </si>
  <si>
    <t>The channel of '619' is assigned for the Microwave Landing System (MLS) by the responsible authority.</t>
  </si>
  <si>
    <t>CmlCode_chan619</t>
  </si>
  <si>
    <t>(Aeronautical Information Exchange Model (AIXM): '620')</t>
  </si>
  <si>
    <t>chan620</t>
  </si>
  <si>
    <t>Channel 620</t>
  </si>
  <si>
    <t>The channel of '620' is assigned for the Microwave Landing System (MLS) by the responsible authority.</t>
  </si>
  <si>
    <t>CmlCode_chan620</t>
  </si>
  <si>
    <t>(Aeronautical Information Exchange Model (AIXM): '621')</t>
  </si>
  <si>
    <t>chan621</t>
  </si>
  <si>
    <t>Channel 621</t>
  </si>
  <si>
    <t>The channel of '621' is assigned for the Microwave Landing System (MLS) by the responsible authority.</t>
  </si>
  <si>
    <t>CmlCode_chan621</t>
  </si>
  <si>
    <t>(Aeronautical Information Exchange Model (AIXM): '622')</t>
  </si>
  <si>
    <t>chan622</t>
  </si>
  <si>
    <t>Channel 622</t>
  </si>
  <si>
    <t>The channel of '622' is assigned for the Microwave Landing System (MLS) by the responsible authority.</t>
  </si>
  <si>
    <t>CmlCode_chan622</t>
  </si>
  <si>
    <t>(Aeronautical Information Exchange Model (AIXM): '623')</t>
  </si>
  <si>
    <t>chan623</t>
  </si>
  <si>
    <t>Channel 623</t>
  </si>
  <si>
    <t>The channel of '623' is assigned for the Microwave Landing System (MLS) by the responsible authority.</t>
  </si>
  <si>
    <t>CmlCode_chan623</t>
  </si>
  <si>
    <t>(Aeronautical Information Exchange Model (AIXM): '624')</t>
  </si>
  <si>
    <t>chan624</t>
  </si>
  <si>
    <t>Channel 624</t>
  </si>
  <si>
    <t>The channel of '624' is assigned for the Microwave Landing System (MLS) by the responsible authority.</t>
  </si>
  <si>
    <t>CmlCode_chan624</t>
  </si>
  <si>
    <t>(Aeronautical Information Exchange Model (AIXM): '625')</t>
  </si>
  <si>
    <t>chan625</t>
  </si>
  <si>
    <t>Channel 625</t>
  </si>
  <si>
    <t>The channel of '625' is assigned for the Microwave Landing System (MLS) by the responsible authority.</t>
  </si>
  <si>
    <t>CmlCode_chan625</t>
  </si>
  <si>
    <t>(Aeronautical Information Exchange Model (AIXM): '626')</t>
  </si>
  <si>
    <t>chan626</t>
  </si>
  <si>
    <t>Channel 626</t>
  </si>
  <si>
    <t>The channel of '626' is assigned for the Microwave Landing System (MLS) by the responsible authority.</t>
  </si>
  <si>
    <t>CmlCode_chan626</t>
  </si>
  <si>
    <t>(Aeronautical Information Exchange Model (AIXM): '627')</t>
  </si>
  <si>
    <t>chan627</t>
  </si>
  <si>
    <t>Channel 627</t>
  </si>
  <si>
    <t>The channel of '627' is assigned for the Microwave Landing System (MLS) by the responsible authority.</t>
  </si>
  <si>
    <t>CmlCode_chan627</t>
  </si>
  <si>
    <t>(Aeronautical Information Exchange Model (AIXM): '628')</t>
  </si>
  <si>
    <t>chan628</t>
  </si>
  <si>
    <t>Channel 628</t>
  </si>
  <si>
    <t>The channel of '628' is assigned for the Microwave Landing System (MLS) by the responsible authority.</t>
  </si>
  <si>
    <t>CmlCode_chan628</t>
  </si>
  <si>
    <t>(Aeronautical Information Exchange Model (AIXM): '629')</t>
  </si>
  <si>
    <t>chan629</t>
  </si>
  <si>
    <t>Channel 629</t>
  </si>
  <si>
    <t>The channel of '629' is assigned for the Microwave Landing System (MLS) by the responsible authority.</t>
  </si>
  <si>
    <t>CmlCode_chan629</t>
  </si>
  <si>
    <t>(Aeronautical Information Exchange Model (AIXM): '630')</t>
  </si>
  <si>
    <t>chan630</t>
  </si>
  <si>
    <t>Channel 630</t>
  </si>
  <si>
    <t>The channel of '630' is assigned for the Microwave Landing System (MLS) by the responsible authority.</t>
  </si>
  <si>
    <t>CmlCode_chan630</t>
  </si>
  <si>
    <t>(Aeronautical Information Exchange Model (AIXM): '631')</t>
  </si>
  <si>
    <t>chan631</t>
  </si>
  <si>
    <t>Channel 631</t>
  </si>
  <si>
    <t>The channel of '631' is assigned for the Microwave Landing System (MLS) by the responsible authority.</t>
  </si>
  <si>
    <t>CmlCode_chan631</t>
  </si>
  <si>
    <t>(Aeronautical Information Exchange Model (AIXM): '632')</t>
  </si>
  <si>
    <t>chan632</t>
  </si>
  <si>
    <t>Channel 632</t>
  </si>
  <si>
    <t>The channel of '632' is assigned for the Microwave Landing System (MLS) by the responsible authority.</t>
  </si>
  <si>
    <t>CmlCode_chan632</t>
  </si>
  <si>
    <t>(Aeronautical Information Exchange Model (AIXM): '633')</t>
  </si>
  <si>
    <t>chan633</t>
  </si>
  <si>
    <t>Channel 633</t>
  </si>
  <si>
    <t>The channel of '633' is assigned for the Microwave Landing System (MLS) by the responsible authority.</t>
  </si>
  <si>
    <t>CmlCode_chan633</t>
  </si>
  <si>
    <t>(Aeronautical Information Exchange Model (AIXM): '634')</t>
  </si>
  <si>
    <t>chan634</t>
  </si>
  <si>
    <t>Channel 634</t>
  </si>
  <si>
    <t>The channel of '634' is assigned for the Microwave Landing System (MLS) by the responsible authority.</t>
  </si>
  <si>
    <t>CmlCode_chan634</t>
  </si>
  <si>
    <t>(Aeronautical Information Exchange Model (AIXM): '635')</t>
  </si>
  <si>
    <t>chan635</t>
  </si>
  <si>
    <t>Channel 635</t>
  </si>
  <si>
    <t>The channel of '635' is assigned for the Microwave Landing System (MLS) by the responsible authority.</t>
  </si>
  <si>
    <t>CmlCode_chan635</t>
  </si>
  <si>
    <t>(Aeronautical Information Exchange Model (AIXM): '636')</t>
  </si>
  <si>
    <t>chan636</t>
  </si>
  <si>
    <t>Channel 636</t>
  </si>
  <si>
    <t>The channel of '636' is assigned for the Microwave Landing System (MLS) by the responsible authority.</t>
  </si>
  <si>
    <t>CmlCode_chan636</t>
  </si>
  <si>
    <t>(Aeronautical Information Exchange Model (AIXM): '637')</t>
  </si>
  <si>
    <t>chan637</t>
  </si>
  <si>
    <t>Channel 637</t>
  </si>
  <si>
    <t>The channel of '637' is assigned for the Microwave Landing System (MLS) by the responsible authority.</t>
  </si>
  <si>
    <t>CmlCode_chan637</t>
  </si>
  <si>
    <t>(Aeronautical Information Exchange Model (AIXM): '638')</t>
  </si>
  <si>
    <t>chan638</t>
  </si>
  <si>
    <t>Channel 638</t>
  </si>
  <si>
    <t>The channel of '638' is assigned for the Microwave Landing System (MLS) by the responsible authority.</t>
  </si>
  <si>
    <t>CmlCode_chan638</t>
  </si>
  <si>
    <t>(Aeronautical Information Exchange Model (AIXM): '639')</t>
  </si>
  <si>
    <t>chan639</t>
  </si>
  <si>
    <t>Channel 639</t>
  </si>
  <si>
    <t>The channel of '639' is assigned for the Microwave Landing System (MLS) by the responsible authority.</t>
  </si>
  <si>
    <t>CmlCode_chan639</t>
  </si>
  <si>
    <t>(Aeronautical Information Exchange Model (AIXM): '640')</t>
  </si>
  <si>
    <t>chan640</t>
  </si>
  <si>
    <t>Channel 640</t>
  </si>
  <si>
    <t>The channel of '640' is assigned for the Microwave Landing System (MLS) by the responsible authority.</t>
  </si>
  <si>
    <t>CmlCode_chan640</t>
  </si>
  <si>
    <t>(Aeronautical Information Exchange Model (AIXM): '641')</t>
  </si>
  <si>
    <t>chan641</t>
  </si>
  <si>
    <t>Channel 641</t>
  </si>
  <si>
    <t>The channel of '641' is assigned for the Microwave Landing System (MLS) by the responsible authority.</t>
  </si>
  <si>
    <t>CmlCode_chan641</t>
  </si>
  <si>
    <t>(Aeronautical Information Exchange Model (AIXM): '642')</t>
  </si>
  <si>
    <t>chan642</t>
  </si>
  <si>
    <t>Channel 642</t>
  </si>
  <si>
    <t>The channel of '642' is assigned for the Microwave Landing System (MLS) by the responsible authority.</t>
  </si>
  <si>
    <t>CmlCode_chan642</t>
  </si>
  <si>
    <t>(Aeronautical Information Exchange Model (AIXM): '643')</t>
  </si>
  <si>
    <t>chan643</t>
  </si>
  <si>
    <t>Channel 643</t>
  </si>
  <si>
    <t>The channel of '643' is assigned for the Microwave Landing System (MLS) by the responsible authority.</t>
  </si>
  <si>
    <t>CmlCode_chan643</t>
  </si>
  <si>
    <t>(Aeronautical Information Exchange Model (AIXM): '644')</t>
  </si>
  <si>
    <t>chan644</t>
  </si>
  <si>
    <t>Channel 644</t>
  </si>
  <si>
    <t>The channel of '644' is assigned for the Microwave Landing System (MLS) by the responsible authority.</t>
  </si>
  <si>
    <t>CmlCode_chan644</t>
  </si>
  <si>
    <t>(Aeronautical Information Exchange Model (AIXM): '645')</t>
  </si>
  <si>
    <t>chan645</t>
  </si>
  <si>
    <t>Channel 645</t>
  </si>
  <si>
    <t>The channel of '645' is assigned for the Microwave Landing System (MLS) by the responsible authority.</t>
  </si>
  <si>
    <t>CmlCode_chan645</t>
  </si>
  <si>
    <t>(Aeronautical Information Exchange Model (AIXM): '646')</t>
  </si>
  <si>
    <t>chan646</t>
  </si>
  <si>
    <t>Channel 646</t>
  </si>
  <si>
    <t>The channel of '646' is assigned for the Microwave Landing System (MLS) by the responsible authority.</t>
  </si>
  <si>
    <t>CmlCode_chan646</t>
  </si>
  <si>
    <t>(Aeronautical Information Exchange Model (AIXM): '647')</t>
  </si>
  <si>
    <t>chan647</t>
  </si>
  <si>
    <t>Channel 647</t>
  </si>
  <si>
    <t>The channel of '647' is assigned for the Microwave Landing System (MLS) by the responsible authority.</t>
  </si>
  <si>
    <t>CmlCode_chan647</t>
  </si>
  <si>
    <t>(Aeronautical Information Exchange Model (AIXM): '648')</t>
  </si>
  <si>
    <t>chan648</t>
  </si>
  <si>
    <t>Channel 648</t>
  </si>
  <si>
    <t>The channel of '648' is assigned for the Microwave Landing System (MLS) by the responsible authority.</t>
  </si>
  <si>
    <t>CmlCode_chan648</t>
  </si>
  <si>
    <t>(Aeronautical Information Exchange Model (AIXM): '649')</t>
  </si>
  <si>
    <t>chan649</t>
  </si>
  <si>
    <t>Channel 649</t>
  </si>
  <si>
    <t>The channel of '649' is assigned for the Microwave Landing System (MLS) by the responsible authority.</t>
  </si>
  <si>
    <t>CmlCode_chan649</t>
  </si>
  <si>
    <t>(Aeronautical Information Exchange Model (AIXM): '650')</t>
  </si>
  <si>
    <t>chan650</t>
  </si>
  <si>
    <t>Channel 650</t>
  </si>
  <si>
    <t>The channel of '650' is assigned for the Microwave Landing System (MLS) by the responsible authority.</t>
  </si>
  <si>
    <t>CmlCode_chan650</t>
  </si>
  <si>
    <t>(Aeronautical Information Exchange Model (AIXM): '651')</t>
  </si>
  <si>
    <t>chan651</t>
  </si>
  <si>
    <t>Channel 651</t>
  </si>
  <si>
    <t>The channel of '651' is assigned for the Microwave Landing System (MLS) by the responsible authority.</t>
  </si>
  <si>
    <t>CmlCode_chan651</t>
  </si>
  <si>
    <t>(Aeronautical Information Exchange Model (AIXM): '652')</t>
  </si>
  <si>
    <t>chan652</t>
  </si>
  <si>
    <t>Channel 652</t>
  </si>
  <si>
    <t>The channel of '652' is assigned for the Microwave Landing System (MLS) by the responsible authority.</t>
  </si>
  <si>
    <t>CmlCode_chan652</t>
  </si>
  <si>
    <t>(Aeronautical Information Exchange Model (AIXM): '653')</t>
  </si>
  <si>
    <t>chan653</t>
  </si>
  <si>
    <t>Channel 653</t>
  </si>
  <si>
    <t>The channel of '653' is assigned for the Microwave Landing System (MLS) by the responsible authority.</t>
  </si>
  <si>
    <t>CmlCode_chan653</t>
  </si>
  <si>
    <t>(Aeronautical Information Exchange Model (AIXM): '654')</t>
  </si>
  <si>
    <t>chan654</t>
  </si>
  <si>
    <t>Channel 654</t>
  </si>
  <si>
    <t>The channel of '654' is assigned for the Microwave Landing System (MLS) by the responsible authority.</t>
  </si>
  <si>
    <t>CmlCode_chan654</t>
  </si>
  <si>
    <t>(Aeronautical Information Exchange Model (AIXM): '655')</t>
  </si>
  <si>
    <t>chan655</t>
  </si>
  <si>
    <t>Channel 655</t>
  </si>
  <si>
    <t>The channel of '655' is assigned for the Microwave Landing System (MLS) by the responsible authority.</t>
  </si>
  <si>
    <t>CmlCode_chan655</t>
  </si>
  <si>
    <t>(Aeronautical Information Exchange Model (AIXM): '656')</t>
  </si>
  <si>
    <t>chan656</t>
  </si>
  <si>
    <t>Channel 656</t>
  </si>
  <si>
    <t>The channel of '656' is assigned for the Microwave Landing System (MLS) by the responsible authority.</t>
  </si>
  <si>
    <t>CmlCode_chan656</t>
  </si>
  <si>
    <t>(Aeronautical Information Exchange Model (AIXM): '657')</t>
  </si>
  <si>
    <t>chan657</t>
  </si>
  <si>
    <t>Channel 657</t>
  </si>
  <si>
    <t>The channel of '657' is assigned for the Microwave Landing System (MLS) by the responsible authority.</t>
  </si>
  <si>
    <t>CmlCode_chan657</t>
  </si>
  <si>
    <t>(Aeronautical Information Exchange Model (AIXM): '658')</t>
  </si>
  <si>
    <t>chan658</t>
  </si>
  <si>
    <t>Channel 658</t>
  </si>
  <si>
    <t>The channel of '658' is assigned for the Microwave Landing System (MLS) by the responsible authority.</t>
  </si>
  <si>
    <t>CmlCode_chan658</t>
  </si>
  <si>
    <t>(Aeronautical Information Exchange Model (AIXM): '659')</t>
  </si>
  <si>
    <t>chan659</t>
  </si>
  <si>
    <t>Channel 659</t>
  </si>
  <si>
    <t>The channel of '659' is assigned for the Microwave Landing System (MLS) by the responsible authority.</t>
  </si>
  <si>
    <t>CmlCode_chan659</t>
  </si>
  <si>
    <t>(Aeronautical Information Exchange Model (AIXM): '660')</t>
  </si>
  <si>
    <t>chan660</t>
  </si>
  <si>
    <t>Channel 660</t>
  </si>
  <si>
    <t>The channel of '660' is assigned for the Microwave Landing System (MLS) by the responsible authority.</t>
  </si>
  <si>
    <t>CmlCode_chan660</t>
  </si>
  <si>
    <t>(Aeronautical Information Exchange Model (AIXM): '661')</t>
  </si>
  <si>
    <t>chan661</t>
  </si>
  <si>
    <t>Channel 661</t>
  </si>
  <si>
    <t>The channel of '661' is assigned for the Microwave Landing System (MLS) by the responsible authority.</t>
  </si>
  <si>
    <t>CmlCode_chan661</t>
  </si>
  <si>
    <t>(Aeronautical Information Exchange Model (AIXM): '662')</t>
  </si>
  <si>
    <t>chan662</t>
  </si>
  <si>
    <t>Channel 662</t>
  </si>
  <si>
    <t>The channel of '662' is assigned for the Microwave Landing System (MLS) by the responsible authority.</t>
  </si>
  <si>
    <t>CmlCode_chan662</t>
  </si>
  <si>
    <t>(Aeronautical Information Exchange Model (AIXM): '663')</t>
  </si>
  <si>
    <t>chan663</t>
  </si>
  <si>
    <t>Channel 663</t>
  </si>
  <si>
    <t>The channel of '663' is assigned for the Microwave Landing System (MLS) by the responsible authority.</t>
  </si>
  <si>
    <t>CmlCode_chan663</t>
  </si>
  <si>
    <t>(Aeronautical Information Exchange Model (AIXM): '664')</t>
  </si>
  <si>
    <t>chan664</t>
  </si>
  <si>
    <t>Channel 664</t>
  </si>
  <si>
    <t>The channel of '664' is assigned for the Microwave Landing System (MLS) by the responsible authority.</t>
  </si>
  <si>
    <t>CmlCode_chan664</t>
  </si>
  <si>
    <t>(Aeronautical Information Exchange Model (AIXM): '665')</t>
  </si>
  <si>
    <t>chan665</t>
  </si>
  <si>
    <t>Channel 665</t>
  </si>
  <si>
    <t>The channel of '665' is assigned for the Microwave Landing System (MLS) by the responsible authority.</t>
  </si>
  <si>
    <t>CmlCode_chan665</t>
  </si>
  <si>
    <t>(Aeronautical Information Exchange Model (AIXM): '666')</t>
  </si>
  <si>
    <t>chan666</t>
  </si>
  <si>
    <t>Channel 666</t>
  </si>
  <si>
    <t>The channel of '666' is assigned for the Microwave Landing System (MLS) by the responsible authority.</t>
  </si>
  <si>
    <t>CmlCode_chan666</t>
  </si>
  <si>
    <t>(Aeronautical Information Exchange Model (AIXM): '667')</t>
  </si>
  <si>
    <t>chan667</t>
  </si>
  <si>
    <t>Channel 667</t>
  </si>
  <si>
    <t>The channel of '667' is assigned for the Microwave Landing System (MLS) by the responsible authority.</t>
  </si>
  <si>
    <t>CmlCode_chan667</t>
  </si>
  <si>
    <t>(Aeronautical Information Exchange Model (AIXM): '668')</t>
  </si>
  <si>
    <t>chan668</t>
  </si>
  <si>
    <t>Channel 668</t>
  </si>
  <si>
    <t>The channel of '668' is assigned for the Microwave Landing System (MLS) by the responsible authority.</t>
  </si>
  <si>
    <t>CmlCode_chan668</t>
  </si>
  <si>
    <t>(Aeronautical Information Exchange Model (AIXM): '669')</t>
  </si>
  <si>
    <t>chan669</t>
  </si>
  <si>
    <t>Channel 669</t>
  </si>
  <si>
    <t>The channel of '669' is assigned for the Microwave Landing System (MLS) by the responsible authority.</t>
  </si>
  <si>
    <t>CmlCode_chan669</t>
  </si>
  <si>
    <t>(Aeronautical Information Exchange Model (AIXM): '670')</t>
  </si>
  <si>
    <t>chan670</t>
  </si>
  <si>
    <t>Channel 670</t>
  </si>
  <si>
    <t>The channel of '670' is assigned for the Microwave Landing System (MLS) by the responsible authority.</t>
  </si>
  <si>
    <t>CmlCode_chan670</t>
  </si>
  <si>
    <t>(Aeronautical Information Exchange Model (AIXM): '671')</t>
  </si>
  <si>
    <t>chan671</t>
  </si>
  <si>
    <t>Channel 671</t>
  </si>
  <si>
    <t>The channel of '671' is assigned for the Microwave Landing System (MLS) by the responsible authority.</t>
  </si>
  <si>
    <t>CmlCode_chan671</t>
  </si>
  <si>
    <t>(Aeronautical Information Exchange Model (AIXM): '672')</t>
  </si>
  <si>
    <t>chan672</t>
  </si>
  <si>
    <t>Channel 672</t>
  </si>
  <si>
    <t>The channel of '672' is assigned for the Microwave Landing System (MLS) by the responsible authority.</t>
  </si>
  <si>
    <t>CmlCode_chan672</t>
  </si>
  <si>
    <t>(Aeronautical Information Exchange Model (AIXM): '673')</t>
  </si>
  <si>
    <t>chan673</t>
  </si>
  <si>
    <t>Channel 673</t>
  </si>
  <si>
    <t>The channel of '673' is assigned for the Microwave Landing System (MLS) by the responsible authority.</t>
  </si>
  <si>
    <t>CmlCode_chan673</t>
  </si>
  <si>
    <t>(Aeronautical Information Exchange Model (AIXM): '674')</t>
  </si>
  <si>
    <t>chan674</t>
  </si>
  <si>
    <t>Channel 674</t>
  </si>
  <si>
    <t>The channel of '674' is assigned for the Microwave Landing System (MLS) by the responsible authority.</t>
  </si>
  <si>
    <t>CmlCode_chan674</t>
  </si>
  <si>
    <t>(Aeronautical Information Exchange Model (AIXM): '675')</t>
  </si>
  <si>
    <t>chan675</t>
  </si>
  <si>
    <t>Channel 675</t>
  </si>
  <si>
    <t>The channel of '675' is assigned for the Microwave Landing System (MLS) by the responsible authority.</t>
  </si>
  <si>
    <t>CmlCode_chan675</t>
  </si>
  <si>
    <t>(Aeronautical Information Exchange Model (AIXM): '676')</t>
  </si>
  <si>
    <t>chan676</t>
  </si>
  <si>
    <t>Channel 676</t>
  </si>
  <si>
    <t>The channel of '676' is assigned for the Microwave Landing System (MLS) by the responsible authority.</t>
  </si>
  <si>
    <t>CmlCode_chan676</t>
  </si>
  <si>
    <t>(Aeronautical Information Exchange Model (AIXM): '677')</t>
  </si>
  <si>
    <t>chan677</t>
  </si>
  <si>
    <t>Channel 677</t>
  </si>
  <si>
    <t>The channel of '677' is assigned for the Microwave Landing System (MLS) by the responsible authority.</t>
  </si>
  <si>
    <t>CmlCode_chan677</t>
  </si>
  <si>
    <t>(Aeronautical Information Exchange Model (AIXM): '678')</t>
  </si>
  <si>
    <t>chan678</t>
  </si>
  <si>
    <t>Channel 678</t>
  </si>
  <si>
    <t>The channel of '678' is assigned for the Microwave Landing System (MLS) by the responsible authority.</t>
  </si>
  <si>
    <t>CmlCode_chan678</t>
  </si>
  <si>
    <t>(Aeronautical Information Exchange Model (AIXM): '679')</t>
  </si>
  <si>
    <t>chan679</t>
  </si>
  <si>
    <t>Channel 679</t>
  </si>
  <si>
    <t>The channel of '679' is assigned for the Microwave Landing System (MLS) by the responsible authority.</t>
  </si>
  <si>
    <t>CmlCode_chan679</t>
  </si>
  <si>
    <t>(Aeronautical Information Exchange Model (AIXM): '680')</t>
  </si>
  <si>
    <t>chan680</t>
  </si>
  <si>
    <t>Channel 680</t>
  </si>
  <si>
    <t>The channel of '680' is assigned for the Microwave Landing System (MLS) by the responsible authority.</t>
  </si>
  <si>
    <t>CmlCode_chan680</t>
  </si>
  <si>
    <t>(Aeronautical Information Exchange Model (AIXM): '681')</t>
  </si>
  <si>
    <t>chan681</t>
  </si>
  <si>
    <t>Channel 681</t>
  </si>
  <si>
    <t>The channel of '681' is assigned for the Microwave Landing System (MLS) by the responsible authority.</t>
  </si>
  <si>
    <t>CmlCode_chan681</t>
  </si>
  <si>
    <t>(Aeronautical Information Exchange Model (AIXM): '682')</t>
  </si>
  <si>
    <t>chan682</t>
  </si>
  <si>
    <t>Channel 682</t>
  </si>
  <si>
    <t>The channel of '682' is assigned for the Microwave Landing System (MLS) by the responsible authority.</t>
  </si>
  <si>
    <t>CmlCode_chan682</t>
  </si>
  <si>
    <t>(Aeronautical Information Exchange Model (AIXM): '683')</t>
  </si>
  <si>
    <t>chan683</t>
  </si>
  <si>
    <t>Channel 683</t>
  </si>
  <si>
    <t>The channel of '683' is assigned for the Microwave Landing System (MLS) by the responsible authority.</t>
  </si>
  <si>
    <t>CmlCode_chan683</t>
  </si>
  <si>
    <t>(Aeronautical Information Exchange Model (AIXM): '684')</t>
  </si>
  <si>
    <t>chan684</t>
  </si>
  <si>
    <t>Channel 684</t>
  </si>
  <si>
    <t>The channel of '684' is assigned for the Microwave Landing System (MLS) by the responsible authority.</t>
  </si>
  <si>
    <t>CmlCode_chan684</t>
  </si>
  <si>
    <t>(Aeronautical Information Exchange Model (AIXM): '685')</t>
  </si>
  <si>
    <t>chan685</t>
  </si>
  <si>
    <t>Channel 685</t>
  </si>
  <si>
    <t>The channel of '685' is assigned for the Microwave Landing System (MLS) by the responsible authority.</t>
  </si>
  <si>
    <t>CmlCode_chan685</t>
  </si>
  <si>
    <t>(Aeronautical Information Exchange Model (AIXM): '686')</t>
  </si>
  <si>
    <t>chan686</t>
  </si>
  <si>
    <t>Channel 686</t>
  </si>
  <si>
    <t>The channel of '686' is assigned for the Microwave Landing System (MLS) by the responsible authority.</t>
  </si>
  <si>
    <t>CmlCode_chan686</t>
  </si>
  <si>
    <t>(Aeronautical Information Exchange Model (AIXM): '687')</t>
  </si>
  <si>
    <t>chan687</t>
  </si>
  <si>
    <t>Channel 687</t>
  </si>
  <si>
    <t>The channel of '687' is assigned for the Microwave Landing System (MLS) by the responsible authority.</t>
  </si>
  <si>
    <t>CmlCode_chan687</t>
  </si>
  <si>
    <t>(Aeronautical Information Exchange Model (AIXM): '688')</t>
  </si>
  <si>
    <t>chan688</t>
  </si>
  <si>
    <t>Channel 688</t>
  </si>
  <si>
    <t>The channel of '688' is assigned for the Microwave Landing System (MLS) by the responsible authority.</t>
  </si>
  <si>
    <t>CmlCode_chan688</t>
  </si>
  <si>
    <t>(Aeronautical Information Exchange Model (AIXM): '689')</t>
  </si>
  <si>
    <t>chan689</t>
  </si>
  <si>
    <t>Channel 689</t>
  </si>
  <si>
    <t>The channel of '689' is assigned for the Microwave Landing System (MLS) by the responsible authority.</t>
  </si>
  <si>
    <t>CmlCode_chan689</t>
  </si>
  <si>
    <t>(Aeronautical Information Exchange Model (AIXM): '690')</t>
  </si>
  <si>
    <t>chan690</t>
  </si>
  <si>
    <t>Channel 690</t>
  </si>
  <si>
    <t>The channel of '690' is assigned for the Microwave Landing System (MLS) by the responsible authority.</t>
  </si>
  <si>
    <t>CmlCode_chan690</t>
  </si>
  <si>
    <t>(Aeronautical Information Exchange Model (AIXM): '691')</t>
  </si>
  <si>
    <t>chan691</t>
  </si>
  <si>
    <t>Channel 691</t>
  </si>
  <si>
    <t>The channel of '691' is assigned for the Microwave Landing System (MLS) by the responsible authority.</t>
  </si>
  <si>
    <t>CmlCode_chan691</t>
  </si>
  <si>
    <t>(Aeronautical Information Exchange Model (AIXM): '692')</t>
  </si>
  <si>
    <t>chan692</t>
  </si>
  <si>
    <t>Channel 692</t>
  </si>
  <si>
    <t>The channel of '692' is assigned for the Microwave Landing System (MLS) by the responsible authority.</t>
  </si>
  <si>
    <t>CmlCode_chan692</t>
  </si>
  <si>
    <t>(Aeronautical Information Exchange Model (AIXM): '693')</t>
  </si>
  <si>
    <t>chan693</t>
  </si>
  <si>
    <t>Channel 693</t>
  </si>
  <si>
    <t>The channel of '693' is assigned for the Microwave Landing System (MLS) by the responsible authority.</t>
  </si>
  <si>
    <t>CmlCode_chan693</t>
  </si>
  <si>
    <t>(Aeronautical Information Exchange Model (AIXM): '694')</t>
  </si>
  <si>
    <t>chan694</t>
  </si>
  <si>
    <t>Channel 694</t>
  </si>
  <si>
    <t>The channel of '694' is assigned for the Microwave Landing System (MLS) by the responsible authority.</t>
  </si>
  <si>
    <t>CmlCode_chan694</t>
  </si>
  <si>
    <t>(Aeronautical Information Exchange Model (AIXM): '695')</t>
  </si>
  <si>
    <t>chan695</t>
  </si>
  <si>
    <t>Channel 695</t>
  </si>
  <si>
    <t>The channel of '695' is assigned for the Microwave Landing System (MLS) by the responsible authority.</t>
  </si>
  <si>
    <t>CmlCode_chan695</t>
  </si>
  <si>
    <t>(Aeronautical Information Exchange Model (AIXM): '696')</t>
  </si>
  <si>
    <t>chan696</t>
  </si>
  <si>
    <t>Channel 696</t>
  </si>
  <si>
    <t>The channel of '696' is assigned for the Microwave Landing System (MLS) by the responsible authority.</t>
  </si>
  <si>
    <t>CmlCode_chan696</t>
  </si>
  <si>
    <t>(Aeronautical Information Exchange Model (AIXM): '697')</t>
  </si>
  <si>
    <t>chan697</t>
  </si>
  <si>
    <t>Channel 697</t>
  </si>
  <si>
    <t>The channel of '697' is assigned for the Microwave Landing System (MLS) by the responsible authority.</t>
  </si>
  <si>
    <t>CmlCode_chan697</t>
  </si>
  <si>
    <t>(Aeronautical Information Exchange Model (AIXM): '698')</t>
  </si>
  <si>
    <t>chan698</t>
  </si>
  <si>
    <t>Channel 698</t>
  </si>
  <si>
    <t>The channel of '698' is assigned for the Microwave Landing System (MLS) by the responsible authority.</t>
  </si>
  <si>
    <t>CmlCode_chan698</t>
  </si>
  <si>
    <t>(Aeronautical Information Exchange Model (AIXM): '699')</t>
  </si>
  <si>
    <t>chan699</t>
  </si>
  <si>
    <t>Channel 699</t>
  </si>
  <si>
    <t>The channel of '699' is assigned for the Microwave Landing System (MLS) by the responsible authority.</t>
  </si>
  <si>
    <t>CmlCode_chan699</t>
  </si>
  <si>
    <t>approach</t>
  </si>
  <si>
    <t>Approach</t>
  </si>
  <si>
    <t>The standard MLS configuration which provides precision lateral navigation guidance for exact alignment of aircraft on approach to a runway.</t>
  </si>
  <si>
    <t>Forward (Normal)</t>
  </si>
  <si>
    <t>MltCode_approach</t>
  </si>
  <si>
    <t>back</t>
  </si>
  <si>
    <t>Back</t>
  </si>
  <si>
    <t>An expansion of the standard MLS configuration which provides lateral guidance for missed approach and departure navigation.</t>
  </si>
  <si>
    <t>MltCode_back</t>
  </si>
  <si>
    <t>A lack of available work or available welfare which permits the securing the material needs.</t>
  </si>
  <si>
    <t>For example. search for work.</t>
  </si>
  <si>
    <t>RfrCode_economic</t>
  </si>
  <si>
    <t>humanitarianDisaster</t>
  </si>
  <si>
    <t>Humanitarian Disaster</t>
  </si>
  <si>
    <t>A misfortune endangering human life.</t>
  </si>
  <si>
    <t>For example: famine or epidemic disease.</t>
  </si>
  <si>
    <t>RfrCode_humanitarianDisaster</t>
  </si>
  <si>
    <t>naturalDisaster</t>
  </si>
  <si>
    <t>Natural Disaster</t>
  </si>
  <si>
    <t>A ruinous impact on the environment.</t>
  </si>
  <si>
    <t>For example: volcanic eruption or earthquake.</t>
  </si>
  <si>
    <t>RfrCode_naturalDisaster</t>
  </si>
  <si>
    <t>persecution</t>
  </si>
  <si>
    <t>Persecution</t>
  </si>
  <si>
    <t>All reasons related to the persecution of a cultural group.</t>
  </si>
  <si>
    <t>For example: racism or discrimination.</t>
  </si>
  <si>
    <t>RfrCode_persecution</t>
  </si>
  <si>
    <t>A lack of perceived peace and freedom.</t>
  </si>
  <si>
    <t>For example: war, armed conflict, or riots.</t>
  </si>
  <si>
    <t>RfrCode_political</t>
  </si>
  <si>
    <t>A lack of the right to the free practice of one's religion.</t>
  </si>
  <si>
    <t>RfrCode_religious</t>
  </si>
  <si>
    <t>Collective term for all types of flying machines.</t>
  </si>
  <si>
    <t>RfmCode_aircraft</t>
  </si>
  <si>
    <t>animalDrawnVehicle</t>
  </si>
  <si>
    <t>Animal-drawn Vehicle</t>
  </si>
  <si>
    <t>Any type of carriage drawn by animals.</t>
  </si>
  <si>
    <t>RfmCode_animalDrawnVehicle</t>
  </si>
  <si>
    <t>bicycle</t>
  </si>
  <si>
    <t>Bicycle</t>
  </si>
  <si>
    <t>A two-wheeled velocipede, with the wheels one behind the other, and usually with a seat for the rider.</t>
  </si>
  <si>
    <t>RfmCode_bicycle</t>
  </si>
  <si>
    <t>bus</t>
  </si>
  <si>
    <t>Bus</t>
  </si>
  <si>
    <t>A motor vehicle providing a means of transport for more than six persons on average.</t>
  </si>
  <si>
    <t>RfmCode_bus</t>
  </si>
  <si>
    <t>car</t>
  </si>
  <si>
    <t>Car</t>
  </si>
  <si>
    <t>A motor vehicle providing a means of transport for less than or equal to six persons on average.</t>
  </si>
  <si>
    <t>RfmCode_car</t>
  </si>
  <si>
    <t>lorry</t>
  </si>
  <si>
    <t>Lorry</t>
  </si>
  <si>
    <t>A motor vehicle used for heavy loads.</t>
  </si>
  <si>
    <t>Truck</t>
  </si>
  <si>
    <t>RfmCode_lorry</t>
  </si>
  <si>
    <t>On foot due to no other means of transport available.</t>
  </si>
  <si>
    <t>RfmCode_onFoot</t>
  </si>
  <si>
    <t>ridingAnimal</t>
  </si>
  <si>
    <t>Riding Animal</t>
  </si>
  <si>
    <t>Any animal upon which people may ride.</t>
  </si>
  <si>
    <t>For example: a horse, a camel, or an ass.</t>
  </si>
  <si>
    <t>RfmCode_ridingAnimal</t>
  </si>
  <si>
    <t>train</t>
  </si>
  <si>
    <t>Train</t>
  </si>
  <si>
    <t>A series of railway carriages drawn by an engine.</t>
  </si>
  <si>
    <t>RfmCode_train</t>
  </si>
  <si>
    <t>watercraft</t>
  </si>
  <si>
    <t>Watercraft</t>
  </si>
  <si>
    <t>Collective term for all types of boats.</t>
  </si>
  <si>
    <t>RfmCode_watercraft</t>
  </si>
  <si>
    <t>41-70 MILEC per square nautical mile.</t>
  </si>
  <si>
    <t>DmlCode_heavy</t>
  </si>
  <si>
    <t>1-20 MILEC per square nautical mile.</t>
  </si>
  <si>
    <t>DmlCode_light</t>
  </si>
  <si>
    <t>21-40 MILEC per square nautical mile.</t>
  </si>
  <si>
    <t>DmlCode_medium</t>
  </si>
  <si>
    <t>veryHeavy</t>
  </si>
  <si>
    <t>Very Heavy</t>
  </si>
  <si>
    <t>71 MILEC per square nautical mile, or more.</t>
  </si>
  <si>
    <t>DmlCode_veryHeavy</t>
  </si>
  <si>
    <t>deployedOperatingBase</t>
  </si>
  <si>
    <t>Deployed Operating Base</t>
  </si>
  <si>
    <t>A deployed operating base (DOB) is a secured forward military position, used for an extended period of time to support temporarily deployed forces, supported by a main operating base (MOB).</t>
  </si>
  <si>
    <t>XafCode_deployedOperatingBase</t>
  </si>
  <si>
    <t>mainOperatingBase</t>
  </si>
  <si>
    <t>Main Operating Base</t>
  </si>
  <si>
    <t xml:space="preserve">A main operating base (MOB) is a permanently manned, well protected base, used to support permanently deployed forces. </t>
  </si>
  <si>
    <t>It has usually robust sea and/or air access.</t>
  </si>
  <si>
    <t>XafCode_mainOperatingBase</t>
  </si>
  <si>
    <t>Disease-causing organisms (pathogens), toxins, or other agents of biological origin (ABO) intended to: incapacitate, injure, or kill humans and animals; to destroy crops; to weaken resistance to attack; and to reduce the will to fight.</t>
  </si>
  <si>
    <t>A biological agent is a microorganism that causes disease in personnel, plants, or animals, or cause the deterioration of material.</t>
  </si>
  <si>
    <t>CcgCode_biological</t>
  </si>
  <si>
    <t>chemical</t>
  </si>
  <si>
    <t>Chemical</t>
  </si>
  <si>
    <t>The deposit, absorption, or adsorption of chemical agents on or by structures, areas, personnel, or objects.</t>
  </si>
  <si>
    <t>A chemical agent is a substance that is intended to kill, seriously injure, or incapacitate through its physiological effects.</t>
  </si>
  <si>
    <t>CcgCode_chemical</t>
  </si>
  <si>
    <t>nuclearRadiological</t>
  </si>
  <si>
    <t>Nuclear and/or Radiological</t>
  </si>
  <si>
    <t>The emission of radiation, either directly from unstable atomic nuclei or as a consequence of a nuclear reaction.</t>
  </si>
  <si>
    <t>Radioactive contamination is typically the result of a loss of control of radioactive materials during the production or use of radioisotopes. This includes nuclear fallout (the distribution of radioactive contamination by a nuclear explosion). Radiological weapons ('dirty bombs') use conventional explosives to scatter powdered radioactive material over the area around the bomb's explosion.</t>
  </si>
  <si>
    <t>CcgCode_nuclearRadiological</t>
  </si>
  <si>
    <t>thermal</t>
  </si>
  <si>
    <t>Thermal</t>
  </si>
  <si>
    <t>The process of contamination by a rapid change in temperature.</t>
  </si>
  <si>
    <t>For example, the dumping of hot water into a normally cooler body of water (or vice versa) or the effect of steam pipes on the temperature of the surrounding environment (for example: frozen soil that thaws).</t>
  </si>
  <si>
    <t>CcgCode_thermal</t>
  </si>
  <si>
    <t>A building or a facility for storing arms and military equipment, especially one serving as headquarters for reserve personnel.</t>
  </si>
  <si>
    <t>MfcCode_armory</t>
  </si>
  <si>
    <t>barracks</t>
  </si>
  <si>
    <t>Barracks</t>
  </si>
  <si>
    <t>A building or a facility used to house military personnel, which is typically large, unadorned, and intended for relatively temporary occupancy.</t>
  </si>
  <si>
    <t>MfcCode_barracks</t>
  </si>
  <si>
    <t>Serves as an emplacement for one or more pieces of field artillery.</t>
  </si>
  <si>
    <t>MfcCode_battery</t>
  </si>
  <si>
    <t>Usually constructed of timber or concrete.</t>
  </si>
  <si>
    <t>MfcCode_blockhouse</t>
  </si>
  <si>
    <t>A large fortified building with thick walls that has been maintained in sufficient repair to serve a military function.</t>
  </si>
  <si>
    <t>Historically, usually dominates the surrounding region.</t>
  </si>
  <si>
    <t>MfcCode_castle</t>
  </si>
  <si>
    <t>Used to house the families of military personnel.</t>
  </si>
  <si>
    <t>MfcCode_dependentsHousing</t>
  </si>
  <si>
    <t>A building or a facility used to house civilians that is typically large, unadorned, and intended for relatively temporary occupancy.</t>
  </si>
  <si>
    <t>MfcCode_dormitory</t>
  </si>
  <si>
    <t>firingRange</t>
  </si>
  <si>
    <t>MfcCode_firingRange</t>
  </si>
  <si>
    <t>fort</t>
  </si>
  <si>
    <t>Fort</t>
  </si>
  <si>
    <t>A building or place fortified for defensive or protective purposes.</t>
  </si>
  <si>
    <t>It is usually surrounded with a ditch, rampart, and parapet, and garrisoned with soldiers.</t>
  </si>
  <si>
    <t>MfcCode_fort</t>
  </si>
  <si>
    <t>guardTower</t>
  </si>
  <si>
    <t>Guard Tower</t>
  </si>
  <si>
    <t>An elevated enclosed building including one or more guardrooms.</t>
  </si>
  <si>
    <t>MfcCode_guardTower</t>
  </si>
  <si>
    <t>Usually includes a gun platform, ammunition magazine, and accommodations for a garrison.</t>
  </si>
  <si>
    <t>MfcCode_martelloTower</t>
  </si>
  <si>
    <t>militaryAdministration</t>
  </si>
  <si>
    <t>Military Administration</t>
  </si>
  <si>
    <t>A building or a facility devoted to the act or process of managing military forces or overseeing the conduct of military operations.</t>
  </si>
  <si>
    <t>MfcCode_militaryAdministration</t>
  </si>
  <si>
    <t>militaryPrison</t>
  </si>
  <si>
    <t>Military Prison</t>
  </si>
  <si>
    <t>A building or a facility where long (usually more than one year) sentences for military misconduct may be served.</t>
  </si>
  <si>
    <t>MfcCode_militaryPrison</t>
  </si>
  <si>
    <t>A relatively small building that is separate from but is located near a main building and whose military use has not been determined.</t>
  </si>
  <si>
    <t>MfcCode_outbuilding</t>
  </si>
  <si>
    <t>A usually square or polygonal outwork or fieldwork, with little or no flanking defences.</t>
  </si>
  <si>
    <t>MfcCode_redoubt</t>
  </si>
  <si>
    <t>An area for training and exercises involving the firing of various weapons.</t>
  </si>
  <si>
    <t>TmzCode_firingRange</t>
  </si>
  <si>
    <t>garrisonFiringRange</t>
  </si>
  <si>
    <t>Garrison Firing Range</t>
  </si>
  <si>
    <t>An area located adjacent to or within a garrison that consists of buildings and/or other facilities which are used for training and exercise in the firing of weapons.</t>
  </si>
  <si>
    <t>TmzCode_garrisonFiringRange</t>
  </si>
  <si>
    <t>garrisonTraining</t>
  </si>
  <si>
    <t>Garrison Training</t>
  </si>
  <si>
    <t>A small area located adjacent to or within a garrison which is used for military training and exercise purposes.</t>
  </si>
  <si>
    <t>TmzCode_garrisonTraining</t>
  </si>
  <si>
    <t>otherRestriction</t>
  </si>
  <si>
    <t>Other Restriction</t>
  </si>
  <si>
    <t>Any other area restricted for military use only.</t>
  </si>
  <si>
    <t>TmzCode_otherRestriction</t>
  </si>
  <si>
    <t>An area used for the storage of military equipment.</t>
  </si>
  <si>
    <t>TmzCode_storageDepot</t>
  </si>
  <si>
    <t>An area for testing of weapons, ammunition and equipment for military purposes.</t>
  </si>
  <si>
    <t>TmzCode_test</t>
  </si>
  <si>
    <t>A large military used area for training and exercise purposes which avoids settlement areas.</t>
  </si>
  <si>
    <t>TmzCode_training</t>
  </si>
  <si>
    <t>nightLowFlying</t>
  </si>
  <si>
    <t>Night Low Flying</t>
  </si>
  <si>
    <t>An air route established for the conduct of military night low altitude training.</t>
  </si>
  <si>
    <t>MruCode_nightLowFlying</t>
  </si>
  <si>
    <t>An air route established for the conduct of military training, within which IFR or VFR flights may operate and that may be established in controlled and/or uncontrolled airspace.</t>
  </si>
  <si>
    <t>MruCode_training</t>
  </si>
  <si>
    <t>(Aeronautical Information Exchange Model (AIXM): 'TRUNK')</t>
  </si>
  <si>
    <t>trunk</t>
  </si>
  <si>
    <t>Trunk</t>
  </si>
  <si>
    <t>An air route established for the strategic movement of military forces.</t>
  </si>
  <si>
    <t>MruCode_trunk</t>
  </si>
  <si>
    <t>airForce</t>
  </si>
  <si>
    <t>Air Force</t>
  </si>
  <si>
    <t>The branch of a country's armed forces which conducts operations primarily by means of aircraft.</t>
  </si>
  <si>
    <t>YsuCode_airForce</t>
  </si>
  <si>
    <t>airNationalGuard</t>
  </si>
  <si>
    <t>Air National Guard</t>
  </si>
  <si>
    <t>A military reserve force which conducts operations primarily by means of aircraft.</t>
  </si>
  <si>
    <t>A military reserve force is a military organization composed of residents of a country who combine a military role or career with a civilian career. They are not normally kept under arms and their main role is to be available to fight when a nation mobilizes for total war or to defend against invasion. Military reserve forces may be employed in non-military settings (for example: disaster relief).</t>
  </si>
  <si>
    <t>YsuCode_airNationalGuard</t>
  </si>
  <si>
    <t>army</t>
  </si>
  <si>
    <t>Army</t>
  </si>
  <si>
    <t>The branch of a country's armed forces which conducts operations on land.</t>
  </si>
  <si>
    <t>YsuCode_army</t>
  </si>
  <si>
    <t>armyNationalGuard</t>
  </si>
  <si>
    <t>Army National Guard</t>
  </si>
  <si>
    <t>A military reserve force equipped to fight on land.</t>
  </si>
  <si>
    <t>A military reserve force is a military organization composed of residents of a country who combine a military role or career with a civilian career. They are not normally kept under arms and their main role is be available to fight when a nation mobilizes for total war or to defend against invasion. Military reserve forces may be employed in non-military settings (for example: disaster relief).</t>
  </si>
  <si>
    <t>YsuCode_armyNationalGuard</t>
  </si>
  <si>
    <t>coastguard</t>
  </si>
  <si>
    <t>Coastguard</t>
  </si>
  <si>
    <t>A naval force employed to guard the coast, and often responsible for the safety, order, and operation of marine traffic in neighbouring waters.</t>
  </si>
  <si>
    <t>YsuCode_coastguard</t>
  </si>
  <si>
    <t>joint</t>
  </si>
  <si>
    <t>Joint</t>
  </si>
  <si>
    <t>An organization in which elements of two or more military departments (for example: a navy and an air force) participate.</t>
  </si>
  <si>
    <t>YsuCode_joint</t>
  </si>
  <si>
    <t>marines</t>
  </si>
  <si>
    <t>Marines</t>
  </si>
  <si>
    <t>A body of soldiers trained to serve at sea, or on shore under specified circumstances.</t>
  </si>
  <si>
    <t>YsuCode_marines</t>
  </si>
  <si>
    <t>navy</t>
  </si>
  <si>
    <t>Navy</t>
  </si>
  <si>
    <t>The branch of a country's armed forces which conducts operations at sea and/or using sea-based capabilities, including both ships and ship-based aircraft.</t>
  </si>
  <si>
    <t>Navy operations are supported by land-based capabilities including ports and maintenance systems typically also belonging to the Navy.</t>
  </si>
  <si>
    <t>YsuCode_navy</t>
  </si>
  <si>
    <t>climbTower</t>
  </si>
  <si>
    <t>Climb Tower</t>
  </si>
  <si>
    <t>A tower to train climbing.</t>
  </si>
  <si>
    <t>XhtCode_climbTower</t>
  </si>
  <si>
    <t>driverTrainingCourse</t>
  </si>
  <si>
    <t>Driver Training Course</t>
  </si>
  <si>
    <t>An area where new drivers are trained to drive a particular type of vehicle.</t>
  </si>
  <si>
    <t>XhtCode_driverTrainingCourse</t>
  </si>
  <si>
    <t>jumpTower</t>
  </si>
  <si>
    <t>Jump Tower</t>
  </si>
  <si>
    <t>A tower for parachute training of individuals by ascending and simulating a parachute landing by jumping from it.</t>
  </si>
  <si>
    <t>XhtCode_jumpTower</t>
  </si>
  <si>
    <t>obstacleCourse</t>
  </si>
  <si>
    <t>Obstacle Course</t>
  </si>
  <si>
    <t xml:space="preserve">A sport ground consisting of a series of challenging physical obstacles that an individual or team must navigate through while usually being timed. </t>
  </si>
  <si>
    <t xml:space="preserve">Obstacle courses can include running, climbing, jumping, crawling and balancing elements with the aim of testing endurance; sometimes a course involves mental tests. </t>
  </si>
  <si>
    <t>XhtCode_obstacleCourse</t>
  </si>
  <si>
    <t>audioRange</t>
  </si>
  <si>
    <t>Audio Range</t>
  </si>
  <si>
    <t>Responds to audio frequency signals.</t>
  </si>
  <si>
    <t>Generally between 15 hertz to 20,000 hertz.</t>
  </si>
  <si>
    <t>MiaCode_audioRange</t>
  </si>
  <si>
    <t>Responds to high frequency signals.</t>
  </si>
  <si>
    <t>Generally above 20,000 hertz.</t>
  </si>
  <si>
    <t>MiaCode_high</t>
  </si>
  <si>
    <t>Responds to low frequency signals.</t>
  </si>
  <si>
    <t>Generally below 15 hertz.</t>
  </si>
  <si>
    <t>MiaCode_low</t>
  </si>
  <si>
    <t>multipleRange</t>
  </si>
  <si>
    <t>Multiple Range</t>
  </si>
  <si>
    <t>Responds to signals within multiple frequency ranges.</t>
  </si>
  <si>
    <t>MiaCode_multipleRange</t>
  </si>
  <si>
    <t>A military force positively identified as friendly.</t>
  </si>
  <si>
    <t>MidCode_friend</t>
  </si>
  <si>
    <t>A military force positively identified as hostile.</t>
  </si>
  <si>
    <t>MidCode_hostile</t>
  </si>
  <si>
    <t>A military force that is not hostile or in any way supportive of only one belligerent force.</t>
  </si>
  <si>
    <t>MidCode_neutral</t>
  </si>
  <si>
    <t>acousticImpedance</t>
  </si>
  <si>
    <t>Acoustic Impedance</t>
  </si>
  <si>
    <t>Avoids acoustic detection through manipulation of acoustic impedance.</t>
  </si>
  <si>
    <t>MshCode_acousticImpedance</t>
  </si>
  <si>
    <t>acousticTransparency</t>
  </si>
  <si>
    <t>Acoustic Transparency</t>
  </si>
  <si>
    <t>Avoids acoustic detection by appearing acoustically transparent.</t>
  </si>
  <si>
    <t>MshCode_acousticTransparency</t>
  </si>
  <si>
    <t>anechoicCoating</t>
  </si>
  <si>
    <t>Anechoic Coating</t>
  </si>
  <si>
    <t>Avoids acoustic detection by employing an anechoic coating.</t>
  </si>
  <si>
    <t>MshCode_anechoicCoating</t>
  </si>
  <si>
    <t>automaticMineBurial</t>
  </si>
  <si>
    <t>Automatic Mine Burial</t>
  </si>
  <si>
    <t>Avoids detection through automatic case burial.</t>
  </si>
  <si>
    <t>MshCode_automaticMineBurial</t>
  </si>
  <si>
    <t>irregularShaping</t>
  </si>
  <si>
    <t>Irregular Shaping</t>
  </si>
  <si>
    <t>Avoids detection by possessing an irregularly-shaped case.</t>
  </si>
  <si>
    <t>MshCode_irregularShaping</t>
  </si>
  <si>
    <t>nonMetallicCase</t>
  </si>
  <si>
    <t>Non-metallic Case</t>
  </si>
  <si>
    <t>Avoids magnetic detection by possessing a non-metallic case.</t>
  </si>
  <si>
    <t>MshCode_nonMetallicCase</t>
  </si>
  <si>
    <t>sonarDecoys</t>
  </si>
  <si>
    <t>Sonar Decoys</t>
  </si>
  <si>
    <t>Avoids detection by possessing and employing sonar decoys.</t>
  </si>
  <si>
    <t>MshCode_sonarDecoys</t>
  </si>
  <si>
    <t>antiRecoverySwitch</t>
  </si>
  <si>
    <t>Anti-recovery Switch</t>
  </si>
  <si>
    <t>A hydrostatic switch included in a mine that is set to fire the mine or to keep it live when it is lifted above its preset depth.</t>
  </si>
  <si>
    <t>Usually used in conjunction with a soluble plug to prevent actuation for a certain period after laying and/or until the mine has reached a certain depth.</t>
  </si>
  <si>
    <t>MsrCode_antiRecoverySwitch</t>
  </si>
  <si>
    <t>antiWatchingDevice</t>
  </si>
  <si>
    <t>Anti-watching Device</t>
  </si>
  <si>
    <t>A device fitted to a moored mine that causes the mine to sink should it for any reason rise and break the surface (watch).</t>
  </si>
  <si>
    <t>Activation of the anti-watching device prevents the position of the mine (or minefield) being disclosed.</t>
  </si>
  <si>
    <t>MsrCode_antiWatchingDevice</t>
  </si>
  <si>
    <t>flooder</t>
  </si>
  <si>
    <t>Flooder</t>
  </si>
  <si>
    <t>A steriliser included in buoyant mines that floods the mine case after a preset time, rendering it inoperative.</t>
  </si>
  <si>
    <t>MsrCode_flooder</t>
  </si>
  <si>
    <t>mooringLeverSafetyCutOut</t>
  </si>
  <si>
    <t>Mooring Lever Safety Cut-out Switch</t>
  </si>
  <si>
    <t>A switch that may be fitted to cut out the mooring lever safety switch, which normally renders a moored mine safe on breaking adrift or being swept.</t>
  </si>
  <si>
    <t>Its purpose is to leave the mine fully armed whilst drifting and hence liable to detonation during recovery or on being washed ashore. The Hague Convention forbids the use of the drifting mine as a weapon, except for very short-term use.</t>
  </si>
  <si>
    <t>MsrCode_mooringLeverSafetyCutOut</t>
  </si>
  <si>
    <t>steriliser</t>
  </si>
  <si>
    <t>Steriliser</t>
  </si>
  <si>
    <t>A device included in a mine to render it inoperative on expiration of a predetermined period after laying.</t>
  </si>
  <si>
    <t>The steriliser may be a device to short-out the mine's batteries, to fire the mine, or to flood the mine case.</t>
  </si>
  <si>
    <t>MsrCode_steriliser</t>
  </si>
  <si>
    <t>strippingPreventEquipment</t>
  </si>
  <si>
    <t>Stripping Prevention Equipment</t>
  </si>
  <si>
    <t>A booby trap included in a mine to fire the main or an auxiliary charge when an attempt is made to open the mechanism chambers.</t>
  </si>
  <si>
    <t>MsrCode_strippingPreventEquipment</t>
  </si>
  <si>
    <t>chainMooring</t>
  </si>
  <si>
    <t>Chain Mooring</t>
  </si>
  <si>
    <t>Resists being swept by possessing a chain mooring.</t>
  </si>
  <si>
    <t>MswCode_chainMooring</t>
  </si>
  <si>
    <t>cutter</t>
  </si>
  <si>
    <t>Cutter</t>
  </si>
  <si>
    <t>Resists being swept by possessing a sweep-wire cutter.</t>
  </si>
  <si>
    <t>MswCode_cutter</t>
  </si>
  <si>
    <t>grapnel</t>
  </si>
  <si>
    <t>Grapnel</t>
  </si>
  <si>
    <t>Grapples the sweep wire when the mooring is cut.</t>
  </si>
  <si>
    <t>MswCode_grapnel</t>
  </si>
  <si>
    <t>sensitiveTubing</t>
  </si>
  <si>
    <t>Sensitive Tubing</t>
  </si>
  <si>
    <t>Designed to actuate the mine on pressure from the sweep wire.</t>
  </si>
  <si>
    <t>Normally fitted to the upper end of the mine mooring.</t>
  </si>
  <si>
    <t>MswCode_sensitiveTubing</t>
  </si>
  <si>
    <t>sprocket</t>
  </si>
  <si>
    <t>Sprocket</t>
  </si>
  <si>
    <t>Allows a sweep wire to pass through the mooring without parting the mine from its sinker.</t>
  </si>
  <si>
    <t>MswCode_sprocket</t>
  </si>
  <si>
    <t>Controlled so that it may be disarmed for safe passage of friendly vessels.</t>
  </si>
  <si>
    <t>For example, connected by electric cable to a shore station. Attribute: 'Mine Control Method' may be used to characterize the control method.</t>
  </si>
  <si>
    <t>MnaCode_controlled</t>
  </si>
  <si>
    <t>selfActuated</t>
  </si>
  <si>
    <t>Self-actuated</t>
  </si>
  <si>
    <t>Directly actuated by the presence of any vessel, whether friendly or enemy.</t>
  </si>
  <si>
    <t>Attribute: 'Mine Self-Actuation Method' may be used to characterize the self-actuation method.</t>
  </si>
  <si>
    <t>Independent, Automatic</t>
  </si>
  <si>
    <t>MnaCode_selfActuated</t>
  </si>
  <si>
    <t>alternatCurrentCommsLink</t>
  </si>
  <si>
    <t>Alternating Current Communications Link</t>
  </si>
  <si>
    <t>MnlCode_alternatCurrentCommsLink</t>
  </si>
  <si>
    <t>explicitCommsLink</t>
  </si>
  <si>
    <t>Explicit Communications Link</t>
  </si>
  <si>
    <t>MnlCode_explicitCommsLink</t>
  </si>
  <si>
    <t>frequencyCommsLink</t>
  </si>
  <si>
    <t>Frequency Communications Link</t>
  </si>
  <si>
    <t>MnlCode_frequencyCommsLink</t>
  </si>
  <si>
    <t>Controlled by signals sent along a cable (for example: electric), usually from a shore station.</t>
  </si>
  <si>
    <t>MncCode_cable</t>
  </si>
  <si>
    <t>cableless</t>
  </si>
  <si>
    <t>Cableless</t>
  </si>
  <si>
    <t>Controlled by signals not requiring a cable for transmission.</t>
  </si>
  <si>
    <t>Attribute: 'Mine Cableless Control Method' may be used to characterize the cableless control method.</t>
  </si>
  <si>
    <t>MncCode_cableless</t>
  </si>
  <si>
    <t>coarse</t>
  </si>
  <si>
    <t>Coarse</t>
  </si>
  <si>
    <t>Requires a relatively large magnitude of influence (as from a vessel, with strong magnetic signature) to actuate.</t>
  </si>
  <si>
    <t>Difficult for Mine Hunters to safely actuate with sweeping gear designed to influence mines.</t>
  </si>
  <si>
    <t>MimCode_coarse</t>
  </si>
  <si>
    <t>magHorizontalComp</t>
  </si>
  <si>
    <t>Magnetic H (Horizontal Component)</t>
  </si>
  <si>
    <t>Responds to the horizontal component of the magnetic field of a ship, submarine, or sweep.</t>
  </si>
  <si>
    <t>MimCode_magHorizontalComp</t>
  </si>
  <si>
    <t>magTotalComp</t>
  </si>
  <si>
    <t>Magnetic T (Total Component)</t>
  </si>
  <si>
    <t>Responds to the total magnetic field of a ship, submarine, or sweep.</t>
  </si>
  <si>
    <t>MimCode_magTotalComp</t>
  </si>
  <si>
    <t>magVerticalComp</t>
  </si>
  <si>
    <t>Magnetic V (Vertical Component)</t>
  </si>
  <si>
    <t>Responds to the vertical component of the magnetic field of a ship, submarine, or sweep.</t>
  </si>
  <si>
    <t>MimCode_magVerticalComp</t>
  </si>
  <si>
    <t>midSensitive</t>
  </si>
  <si>
    <t>Mid-sensitive</t>
  </si>
  <si>
    <t>Requires a relatively moderate magnitude of influence (as from a vessel, with medium strength magnetic signature) to actuate.</t>
  </si>
  <si>
    <t>Moderately difficult for Mine Hunters to safely actuate with sweeping gear designed to influence mines.</t>
  </si>
  <si>
    <t>MimCode_midSensitive</t>
  </si>
  <si>
    <t>sensitive</t>
  </si>
  <si>
    <t>Sensitive</t>
  </si>
  <si>
    <t>Requires a relatively small magnitude of influence (as from a vessel, with weak magnetic signature) to actuate.</t>
  </si>
  <si>
    <t>Relatively easy for Mine Hunters to safely actuate with sweeping gear designed to influence mines.</t>
  </si>
  <si>
    <t>MimCode_sensitive</t>
  </si>
  <si>
    <t>verySensitive</t>
  </si>
  <si>
    <t>Very Sensitive</t>
  </si>
  <si>
    <t>Requires a relatively very small magnitude of influence (as from a degaussed vessel) to actuate.</t>
  </si>
  <si>
    <t>Relatively very easy for Mine Hunters to safely actuate with sweeping gear designed to influence mines. Generally requires a relatively small magnitude of influence (as from a slow, small, quiet and degaussed vessel) to actuate.</t>
  </si>
  <si>
    <t>MimCode_verySensitive</t>
  </si>
  <si>
    <t>Remotely delivered by aircraft.</t>
  </si>
  <si>
    <t>The explosive mines are scattered randomly within a region determined by aircraft movement.</t>
  </si>
  <si>
    <t>MplCode_aircraft</t>
  </si>
  <si>
    <t>artillery</t>
  </si>
  <si>
    <t>Artillery</t>
  </si>
  <si>
    <t>Remotely delivered by field artillery.</t>
  </si>
  <si>
    <t>The explosive mines are scattered randomly within a generally elliptical region determined by artillery bearing.</t>
  </si>
  <si>
    <t>MplCode_artillery</t>
  </si>
  <si>
    <t>custom</t>
  </si>
  <si>
    <t>Custom</t>
  </si>
  <si>
    <t>Emplaced using a method and/or pattern not commonly used.</t>
  </si>
  <si>
    <t>The laydown is, for example, responsive to local terrain constraints and opportunities.</t>
  </si>
  <si>
    <t>MplCode_custom</t>
  </si>
  <si>
    <t>handEmplaced</t>
  </si>
  <si>
    <t>Hand Emplaced</t>
  </si>
  <si>
    <t>Emplaced using a hand-held delivery system.</t>
  </si>
  <si>
    <t>The pattern may be regular or pseudo-random.</t>
  </si>
  <si>
    <t>MplCode_handEmplaced</t>
  </si>
  <si>
    <t>Emplaced by a helicopter.</t>
  </si>
  <si>
    <t>MplCode_helicopter</t>
  </si>
  <si>
    <t>mineLauncher</t>
  </si>
  <si>
    <t>Mine Launcher</t>
  </si>
  <si>
    <t>Emplaced by a mine launcher.</t>
  </si>
  <si>
    <t>MplCode_mineLauncher</t>
  </si>
  <si>
    <t>ship</t>
  </si>
  <si>
    <t>Ship</t>
  </si>
  <si>
    <t>Emplaced by a specialized minelayer ship.</t>
  </si>
  <si>
    <t>MplCode_ship</t>
  </si>
  <si>
    <t>vehicle</t>
  </si>
  <si>
    <t>Vehicle</t>
  </si>
  <si>
    <t>Laid mechanically by vehicle-mounted scattering systems.</t>
  </si>
  <si>
    <t>The explosive mines are generally laid in lines determined by vehicle movement.</t>
  </si>
  <si>
    <t>MplCode_vehicle</t>
  </si>
  <si>
    <t>contact</t>
  </si>
  <si>
    <t>Contact</t>
  </si>
  <si>
    <t>Actuated through physical contact.</t>
  </si>
  <si>
    <t>Attribute: 'Contact Mine Actuation Method' may be used to characterize the contact method.</t>
  </si>
  <si>
    <t>MniCode_contact</t>
  </si>
  <si>
    <t>influence</t>
  </si>
  <si>
    <t>Influence</t>
  </si>
  <si>
    <t>Actuated through proximity sensing based on pressure, magnetic, and/or acoustic sensing.</t>
  </si>
  <si>
    <t>Attribute: 'Influence Mine Actuation Method' may be used to characterize the influence method.</t>
  </si>
  <si>
    <t>MniCode_influence</t>
  </si>
  <si>
    <t>remoteSensing</t>
  </si>
  <si>
    <t>Remote Sensing</t>
  </si>
  <si>
    <t>Actuated through remote sensing (for example: electric fields, cosmic rays, and/or lasers).</t>
  </si>
  <si>
    <t>Attribute: 'Remote Sensing Mine Actuation Method' may be used to characterize the remote sensing method.</t>
  </si>
  <si>
    <t>MniCode_remoteSensing</t>
  </si>
  <si>
    <t>anticountermining</t>
  </si>
  <si>
    <t>Anticountermining</t>
  </si>
  <si>
    <t>A device fitted in an influence explosive mine designed to prevent its actuation by shock (for example: local explosions caused by 'countermining').</t>
  </si>
  <si>
    <t>MsdCode_anticountermining</t>
  </si>
  <si>
    <t>antiHunting</t>
  </si>
  <si>
    <t>Anti-Hunting</t>
  </si>
  <si>
    <t>Any device in a naval mine designed to prevent discovery (for example: using sonar arrays and/or magnetometers).</t>
  </si>
  <si>
    <t>Attribute: 'Mine Anti-Hunting Capability' may be used to characterize the antihunting method.</t>
  </si>
  <si>
    <t>MsdCode_antiHunting</t>
  </si>
  <si>
    <t>antilift</t>
  </si>
  <si>
    <t>Antilift</t>
  </si>
  <si>
    <t>Arranged to detonate the explosive mine to which it is attached, or to detonate another mine nearby, if the mine is disturbed.</t>
  </si>
  <si>
    <t>MsdCode_antilift</t>
  </si>
  <si>
    <t>antiRecovery</t>
  </si>
  <si>
    <t>Anti-Recovery</t>
  </si>
  <si>
    <t>Any device in an explosive mine designed to prevent an enemy discovering details of the working of the mine mechanism.</t>
  </si>
  <si>
    <t>Attribute: 'Mine Anti-Recovery Capability' may be used to characterize the antirecovery method.</t>
  </si>
  <si>
    <t>MsdCode_antiRecovery</t>
  </si>
  <si>
    <t>antiSweepWire</t>
  </si>
  <si>
    <t>Anti-Sweep Wire</t>
  </si>
  <si>
    <t>Any device incorporated in either the mooring of a naval mine or obstructer, or in the mine circuits to make the sweeping of the mine more difficult.</t>
  </si>
  <si>
    <t>Attribute: 'Mine Anti-Sweep Wire Capability' may be used to characterize the anti-sweep wire method.</t>
  </si>
  <si>
    <t>MsdCode_antiSweepWire</t>
  </si>
  <si>
    <t>antiwatching</t>
  </si>
  <si>
    <t>Antiwatching</t>
  </si>
  <si>
    <t>A device fitted in a moored naval mine which causes it to sink should it 'watch' (become visible from the surface), so as to prevent the position of the mine or minefield being disclosed.</t>
  </si>
  <si>
    <t>MsdCode_antiwatching</t>
  </si>
  <si>
    <t>armingDelay</t>
  </si>
  <si>
    <t>Arming Delay</t>
  </si>
  <si>
    <t>A device fitted in an explosive mine to prevent it being actuated for a preset time after laying.</t>
  </si>
  <si>
    <t>MsdCode_armingDelay</t>
  </si>
  <si>
    <t>delayedRising</t>
  </si>
  <si>
    <t>Delayed Rising</t>
  </si>
  <si>
    <t>A sinker that holds a moored naval mine on the bottom for a pre-determined time after laying.</t>
  </si>
  <si>
    <t>Delayed Release Sinker</t>
  </si>
  <si>
    <t>MsdCode_delayedRising</t>
  </si>
  <si>
    <t>A device fitted to a buoyant naval mine which, on operation after a preset time, floods its case and causes it to sink to the bottom.</t>
  </si>
  <si>
    <t>MsdCode_flooder</t>
  </si>
  <si>
    <t>influenceReleaseSinker</t>
  </si>
  <si>
    <t>Influence Release Sinker</t>
  </si>
  <si>
    <t>A sinker that holds a moored or rising naval mine at the bottom and releases it when actuated by a suitable influence from a vessel.</t>
  </si>
  <si>
    <t>MsdCode_influenceReleaseSinker</t>
  </si>
  <si>
    <t>intermittentArming</t>
  </si>
  <si>
    <t>Intermittent Arming</t>
  </si>
  <si>
    <t>A device included in an explosive mine so that it will be armed only at set times.</t>
  </si>
  <si>
    <t>MsdCode_intermittentArming</t>
  </si>
  <si>
    <t>obstructor</t>
  </si>
  <si>
    <t>Obstructor</t>
  </si>
  <si>
    <t>A naval mine-like device laid with the sole object of obstructing or damaging mechanical minesweeping vessels or equipment.</t>
  </si>
  <si>
    <t>MsdCode_obstructor</t>
  </si>
  <si>
    <t>sterilizer</t>
  </si>
  <si>
    <t>Sterilizer</t>
  </si>
  <si>
    <t>A device in an explosive mine that renders it permanently inoperative on expiration of a pre-determined time after laying.</t>
  </si>
  <si>
    <t>MsdCode_sterilizer</t>
  </si>
  <si>
    <t>vesselCount</t>
  </si>
  <si>
    <t>Vessel Count</t>
  </si>
  <si>
    <t>A device in a naval mine that prevents detonation until a preset number of actuations has taken place.</t>
  </si>
  <si>
    <t>MsdCode_vesselCount</t>
  </si>
  <si>
    <t>The perimeter of the minefield is specified.</t>
  </si>
  <si>
    <t>MdcCode_boundary</t>
  </si>
  <si>
    <t>circle</t>
  </si>
  <si>
    <t>Circle</t>
  </si>
  <si>
    <t>An circle enclosing the minefield is specified by a center point and the radius.</t>
  </si>
  <si>
    <t>Typically used together with Attribute: 'Width' (twice the radius).</t>
  </si>
  <si>
    <t>MdcCode_circle</t>
  </si>
  <si>
    <t>enemyEdge</t>
  </si>
  <si>
    <t>Enemy Edge</t>
  </si>
  <si>
    <t>The two endpoints of the minefield along the enemy side are specified.</t>
  </si>
  <si>
    <t>Typically used together with Attribute: 'Width'.</t>
  </si>
  <si>
    <t>MdcCode_enemyEdge</t>
  </si>
  <si>
    <t>friendlyEdge</t>
  </si>
  <si>
    <t>Friendly Edge</t>
  </si>
  <si>
    <t>The two endpoints of the minefield along the friendly side are specified.</t>
  </si>
  <si>
    <t>MdcCode_friendlyEdge</t>
  </si>
  <si>
    <t>smooth</t>
  </si>
  <si>
    <t>A: Smooth</t>
  </si>
  <si>
    <t>Very few craters, gullies, ridges or seaweed patches (5 percent of the area or less), sand ripples 15 centimetres high or less.</t>
  </si>
  <si>
    <t>MhcCode_smooth</t>
  </si>
  <si>
    <t>B: Moderate</t>
  </si>
  <si>
    <t>Large numbers of craters, gullies, ridges or seaweed patches (5 to 15 percent of the area), sand ripples 15 to 30 centimetres high.</t>
  </si>
  <si>
    <t>MhcCode_moderate</t>
  </si>
  <si>
    <t>rough</t>
  </si>
  <si>
    <t>C: Rough</t>
  </si>
  <si>
    <t>Extensive areas (over 15 percent of the whole) of craters, gullies, ridges, or large sand ripples or closely spaced sandwaves.</t>
  </si>
  <si>
    <t>MhcCode_rough</t>
  </si>
  <si>
    <t>veryRough</t>
  </si>
  <si>
    <t>D: Very Rough</t>
  </si>
  <si>
    <t>Very extensive areas (over 50 percent of the whole) of craters, gullies, ridges or seaweed patches.</t>
  </si>
  <si>
    <t>MhcCode_veryRough</t>
  </si>
  <si>
    <t>The action of operating minehunting equipment to investigate detected contacts with the intention of discerning those which have properties (for example: size, shape, shadow, and/or structure) leading to the assumption that they may be mines.</t>
  </si>
  <si>
    <t>MisCode_classified</t>
  </si>
  <si>
    <t>The action of operating minehunting sensors (acoustic, optical or magnetic) to find objects on or in the seabed which distinguish themselves from the general structure of the bottom, or to find objects floating in the water volume.</t>
  </si>
  <si>
    <t>MisCode_detected</t>
  </si>
  <si>
    <t>The result of the operation of divers, underwater vehicles or other systems which permit a positive (specifically by sight or touch) identification of objects as explosive mines (or not).</t>
  </si>
  <si>
    <t>The identification thus results in a decision about the contact being a CERTMINE or a NONMINE.</t>
  </si>
  <si>
    <t>MisCode_identified</t>
  </si>
  <si>
    <t>hypotheticalResource</t>
  </si>
  <si>
    <t>Hypothetical Resource</t>
  </si>
  <si>
    <t>Undiscovered resources that are similar to known mineral bodies and that may be reasonably expected to exist in the same producing district or region under analogous geologic conditions.</t>
  </si>
  <si>
    <t>If exploration confirms their existence and reveals enough information about their quality, grade, and quantity, they will be reclassified as identified resources (Identified Resources).</t>
  </si>
  <si>
    <t>NdeCode_hypotheticalResource</t>
  </si>
  <si>
    <t>indicatedMineralResource</t>
  </si>
  <si>
    <t>Indicated Mineral Resource</t>
  </si>
  <si>
    <t>That part of a mineral resource for which tonnage, densities, shape, physical characteristics, grade and mineral content can be estimated with a reasonable level of confidence.</t>
  </si>
  <si>
    <t>It is based on exploration, sampling and testing information gathered through appropriate techniques from locations such as outcrops, trenches, pits, workings and drill holes. The locations are too widely or inappropriately spaced to confirm geological and/or grade continuity.</t>
  </si>
  <si>
    <t>NdeCode_indicatedMineralResource</t>
  </si>
  <si>
    <t>inferredMineralResource</t>
  </si>
  <si>
    <t>Inferred Mineral Resource</t>
  </si>
  <si>
    <t>That part of a mineral resource for which tonnage, grade and mineral content can be estimated with a low level of confidence.</t>
  </si>
  <si>
    <t>It is inferred from geological evidence and assumed but not verified geological and/or grade continuity. The Inferred category is intended to cover situations where a mineral concentration or occurrence has been identified and limited measurements and sampling completed, but where the data are insufficient to allow the geological and/or grade continuity to be verified.</t>
  </si>
  <si>
    <t>NdeCode_inferredMineralResource</t>
  </si>
  <si>
    <t>measuredMineralResource</t>
  </si>
  <si>
    <t>Measured Mineral Resource</t>
  </si>
  <si>
    <t>That part of a mineral resource for which tonnage, densities, shape, physical characteristics, grade and mineral content can be estimated with a high level of confidence.</t>
  </si>
  <si>
    <t>It is based on detailed and reliable exploration, sampling and testing information gathered through appropriate techniques from locations such as outcrops, trenches, pits, workings and drill holes.</t>
  </si>
  <si>
    <t>NdeCode_measuredMineralResource</t>
  </si>
  <si>
    <t>mineralOccurrence</t>
  </si>
  <si>
    <t>Mineral Occurrence</t>
  </si>
  <si>
    <t>A mineral occurrence that is uneconomic but still an anomalous concentration of material that are considered common ore/industrial minerals elsewhere.</t>
  </si>
  <si>
    <t>Materials that are too low grade or for other reasons are not considered potentially economic, in the same sense as the defined resource, may be recognized and their magnitude estimated, but they are not classified as resources.</t>
  </si>
  <si>
    <t>NdeCode_mineralOccurrence</t>
  </si>
  <si>
    <t>mineralReserve</t>
  </si>
  <si>
    <t>Mineral Reserve</t>
  </si>
  <si>
    <t>The economically mineable part of a Measured and/or Indicated Mineral Resource.</t>
  </si>
  <si>
    <t>Appropriate assessments and studies have been carried out, and include consideration of and modification by realistically assumed mining, metallurgical, economic, marketing, legal, environmental, social and governmental factors.</t>
  </si>
  <si>
    <t>NdeCode_mineralReserve</t>
  </si>
  <si>
    <t>mineralResource</t>
  </si>
  <si>
    <t>Mineral Resource</t>
  </si>
  <si>
    <t>A concentration or occurrence of material (solid, liquid, or gaseous) of economic interest in or on the Earth's crust in such form and quantity and of such grade or quality that it has reasonable prospects for economic extraction.</t>
  </si>
  <si>
    <t>The location, quantity, grade, continuity and other geological characteristics of a Mineral Resource are known (Identified Resource), estimated or interpreted from specific geological evidence, sampling and knowledge.</t>
  </si>
  <si>
    <t>NdeCode_mineralResource</t>
  </si>
  <si>
    <t>probableMineralReserve</t>
  </si>
  <si>
    <t>Probable Mineral Reserve</t>
  </si>
  <si>
    <t>The economically mineable part of an Indicated, and in some circumstances, a Measured Mineral Resource.</t>
  </si>
  <si>
    <t>These assessments demonstrate at the time of reporting that extraction could reasonably be justified. A Probable Mineral Reserve has a lower level of confidence than a Proved Mineral Reserve but is of sufficient quality to serve as the basis for a decision on the development of the deposit.</t>
  </si>
  <si>
    <t>NdeCode_probableMineralReserve</t>
  </si>
  <si>
    <t>provenMineralReserve</t>
  </si>
  <si>
    <t>Proven Mineral Reserve</t>
  </si>
  <si>
    <t>The economically mineable part of a Measured Mineral Resource.</t>
  </si>
  <si>
    <t>These assessments demonstrate at the time of reporting that extraction is justified. A Proven Mineral Reserve represents the highest confidence category of reserve estimate.</t>
  </si>
  <si>
    <t>NdeCode_provenMineralReserve</t>
  </si>
  <si>
    <t>restrictedResource</t>
  </si>
  <si>
    <t>Restricted Resource</t>
  </si>
  <si>
    <t>That part of any resource or reserve category that is restricted from extraction by laws or regulations.</t>
  </si>
  <si>
    <t>For example, restricted reserves meet all the requirements of reserves except that they are restricted from extraction by laws or regulations.</t>
  </si>
  <si>
    <t>NdeCode_restrictedResource</t>
  </si>
  <si>
    <t>speculativeResource</t>
  </si>
  <si>
    <t>Speculative Resource</t>
  </si>
  <si>
    <t>Undiscovered resources that may occur either in known types of deposits in favorable geologic settings where mineral dicoveries have not been made, or in types of deposits as yet unrecognized for their economic potential.</t>
  </si>
  <si>
    <t>If exploration confirms their existence and reveals enough information about their quantity, grade, and quality, they will be reclassified as identified resources (Identified Resources).</t>
  </si>
  <si>
    <t>NdeCode_speculativeResource</t>
  </si>
  <si>
    <t>undiscoveredResource</t>
  </si>
  <si>
    <t>Undiscovered Resource</t>
  </si>
  <si>
    <t>Unspecified body of economic material surmised to exist on the basis of broad (regional) geologic knowledge and theory.</t>
  </si>
  <si>
    <t>The existence of the resource is only postulated, comprising deposits that are separate from identified resources (mineral resources). To reflect varying degrees of geologic certainty, undiscovered resources may be divided into Hypothetical and Speculative.</t>
  </si>
  <si>
    <t>NdeCode_undiscoveredResource</t>
  </si>
  <si>
    <t>mineralWater</t>
  </si>
  <si>
    <t>Mineral Water</t>
  </si>
  <si>
    <t>Used for the production of mineral water, bottled at the source for distributed consumption.</t>
  </si>
  <si>
    <t>MspCode_mineralWater</t>
  </si>
  <si>
    <t>spa</t>
  </si>
  <si>
    <t>Used for medicinal treatment, often through bathing or other external remedies.</t>
  </si>
  <si>
    <t>May additionally be used for on-site water drinking rather than bathing.</t>
  </si>
  <si>
    <t>MspCode_spa</t>
  </si>
  <si>
    <t>fireControlUnit</t>
  </si>
  <si>
    <t>Fire and Control Unit</t>
  </si>
  <si>
    <t>A fire control unit is a number of components working together which is designed to assisst a weapon system in hitting its target.</t>
  </si>
  <si>
    <t>XmeCode_fireControlUnit</t>
  </si>
  <si>
    <t>missileAssemblyArea</t>
  </si>
  <si>
    <t>Missile Assembly Area</t>
  </si>
  <si>
    <t>An area, located near the operational missile launching location and designed for the final assembly and checkout of the missile system.</t>
  </si>
  <si>
    <t>XmeCode_missileAssemblyArea</t>
  </si>
  <si>
    <t>missileTestArea</t>
  </si>
  <si>
    <t>Missile Test Area</t>
  </si>
  <si>
    <t>An area or building specifically used to test missiles or rockets</t>
  </si>
  <si>
    <t>XmeCode_missileTestArea</t>
  </si>
  <si>
    <t>servicingPlatformTower</t>
  </si>
  <si>
    <t>Servicing Platform or Tower</t>
  </si>
  <si>
    <t>Support structure used to prepare launch of medium to large missiles</t>
  </si>
  <si>
    <t>XmeCode_servicingPlatformTower</t>
  </si>
  <si>
    <t>antiBallisticMissile</t>
  </si>
  <si>
    <t>Anti-ballistic Missile (ABM)</t>
  </si>
  <si>
    <t>A defensive missile designed to destroy an incoming enemy missile, typically an intercontinental ballistic missile.</t>
  </si>
  <si>
    <t>For example, the Nike and A-35 missiles.</t>
  </si>
  <si>
    <t>MstCode_antiBallisticMissile</t>
  </si>
  <si>
    <t>intercontBallisticMissile</t>
  </si>
  <si>
    <t>Intercontinental Ballistic Missile (ICBM)</t>
  </si>
  <si>
    <t>A ballistic missile able to be sent from one continent to another, generally with a range capability in excess of 5,500 kilometres.</t>
  </si>
  <si>
    <t>For example, the Atlas, Titian, Minuteman, Peacekeeper, SS-6, SS-7, SS-8, SS-9, SS-11, SS18, and SS-20 missiles.</t>
  </si>
  <si>
    <t>MstCode_intercontBallisticMissile</t>
  </si>
  <si>
    <t>intermedBallisticMissile</t>
  </si>
  <si>
    <t>Intermediate-range Ballistic Missile (IRBM)</t>
  </si>
  <si>
    <t>A ballistic missile with a range of 2,750 to 5,500 kilometres.</t>
  </si>
  <si>
    <t>For example, the Thor, Redstone, Jupiter, Shavit, Taepo Dong 2, Pluton and Hades missiles.</t>
  </si>
  <si>
    <t>MstCode_intermedBallisticMissile</t>
  </si>
  <si>
    <t>medRangeBallisticMissile</t>
  </si>
  <si>
    <t>Medium-range Ballistic Missile (MRBM)</t>
  </si>
  <si>
    <t>A ballistic missile with a range of 130 to 2,750 kilometres.</t>
  </si>
  <si>
    <t>For example, the Soviet SS-1 (R-1, or Scud), SS-2 (R-2), SS-3, SS-4, and SS-5 missiles.</t>
  </si>
  <si>
    <t>MstCode_medRangeBallisticMissile</t>
  </si>
  <si>
    <t>sa1Guild</t>
  </si>
  <si>
    <t>SA-1 Guild</t>
  </si>
  <si>
    <t>A Soviet anti-aircraft surface-to-air missile (SAM) system, the first operational SAM deployed by the Soviet Union.</t>
  </si>
  <si>
    <t>It was used only to defend Moscow. The missile uses a single liquid-fueled rocket motor. Its maximum speed is approximately Mach 2.5. Typical range for the missile is about 30 kilometres with a maximum altitude around 60,000 feet.</t>
  </si>
  <si>
    <t>MstCode_sa1Guild</t>
  </si>
  <si>
    <t>sa10Grumble</t>
  </si>
  <si>
    <t>SA-10 Grumble</t>
  </si>
  <si>
    <t>A Russian surface-to-air missile (SAM) system similar to the US Patriot.</t>
  </si>
  <si>
    <t>It was developed as a PVO long-range system to defend strategic targets against both conventional aircraft and cruise missiles, while the contemporary S-300V (NATO designation SA-12A Gladiator/SA-12B Giant) series was developed as a more mobile system to protect the ground forces from aircraft and short-range ballistic missiles. The S-300 missiles are sealed rounds and require no maintenance over their lifetime. The missile range is 50 to 200 kilometres depending on the model.</t>
  </si>
  <si>
    <t>MstCode_sa10Grumble</t>
  </si>
  <si>
    <t>sa11Gadfly</t>
  </si>
  <si>
    <t>SA-11 Gadfly</t>
  </si>
  <si>
    <t>A Russian medium-range, medium-altitude surface-to-air missile (SAM) system, the successor to the SA-6 'Gainful'.</t>
  </si>
  <si>
    <t>It features improvements in number of missiles carried per TEL, range and altitude performance, missile speed, guidance accuracy and warhead potency. It is designed to engage maneuverable aircraft such as jets, helicopters and cruise missiles. The missile range is 3 to 50 kilometres depending on the model.</t>
  </si>
  <si>
    <t>MstCode_sa11Gadfly</t>
  </si>
  <si>
    <t>sa12GladiatorGiant</t>
  </si>
  <si>
    <t>SA-12 Gladiator/Giant</t>
  </si>
  <si>
    <t>A Russian long-range, high-altitude surface-to-air missile system designed primarily to intercept incoming ballistic missiles (counterpart to the SA-10 'Grumble').</t>
  </si>
  <si>
    <t>The system is very similar to the SA-10 in terms of configuration, but unlike the SA-10 there are two different sizes of missiles. The smaller 9M82 missiles, called SA-12B 'Gladiator' by NATO, are similar in size and range to those of the SA-10 system. However the 9M83 (SA-12A 'Giant') missiles are much larger and only two can be carried on each TELAR, rather than four. These vehicles, in combination with the command vehicle and 'Grill Pan' tracking radar, 'Bill Board A' surveillance radar and 'High Screen' ballistic missile detection radar, scan a specific area of the sky and engage aerial theats including ballistic missiles which are detected transiting it. The 'Gladiator' missiles have a maximum engagement range of around 75 kilometres while the 'Giant' missiles can engage targets out to 100 kilometres and up to altitudes of around 100,000 feet. In both cases the warhead is around 150 kilograms.</t>
  </si>
  <si>
    <t>MstCode_sa12GladiatorGiant</t>
  </si>
  <si>
    <t>sa13Gopher</t>
  </si>
  <si>
    <t>SA-13 Gopher</t>
  </si>
  <si>
    <t>A Russian highly mobile, visually aimed, optical/infra-red guided, low-altitude, short-range surface-to-air missile (SAM) system (successor of the SA-9 'Gaskin').</t>
  </si>
  <si>
    <t>Rather than being mounted on an amphibious but lightly armoured BRDM chassis like the SA-9, the SA-13 is mounted on a slightly better protected and more mobile tracked, modified MT-LB. Four missiles are mounted on the turret in boxes, ready to launch, and eight more are carried inside the vehicle as reloads. Top missile speed is around Mach 2, engagement range is 500 to 5000 metres and engagement altitude is up to 11,500 feet. It can also use the SA-9 'Gaskin', SA-7 'Grail', and SA-14 'Gremlin' missiles.</t>
  </si>
  <si>
    <t>MstCode_sa13Gopher</t>
  </si>
  <si>
    <t>sa14Gremlin</t>
  </si>
  <si>
    <t>SA-14 Gremlin</t>
  </si>
  <si>
    <t>A Russian man-portable air defence missile system (MANPADS) was developed in the Soviet Union as a response to the poor performance of the earlier SA-7 'Grail' system.</t>
  </si>
  <si>
    <t>The missile includes an all-new infra-red homing seeker head. The missile range is about 4,500 metres.</t>
  </si>
  <si>
    <t>MstCode_sa14Gremlin</t>
  </si>
  <si>
    <t>sa15Gauntlet</t>
  </si>
  <si>
    <t>SA-15 Gauntlet</t>
  </si>
  <si>
    <t>A Russian low and medium-altitude, short-range surface-to-air missile (SAM) system designed for engaging aircraft, helicopters, cruise-missiles, precision munitions and remotely-piloted vehicles.</t>
  </si>
  <si>
    <t>It is designed to protect targets from attack at all times and in any weather not only by shooting down attacking aircraft but also destroying any munitions before they reach the target. It is air-portable and equipped with NBC (nuclear, biological and chemical) protection. Each 9K331 vehicle is a completely autonomous TELAR although it can be linked into a greater air-defence system. The radar is a modern, phased-array type and eight missiles are stored vertically, ready to fire. The 9M330 missile is 3.5 metres long with a peak speed speed of around Mach 2.8. Guidance is via radio command and detonation via a radar proximity fuze.</t>
  </si>
  <si>
    <t>MstCode_sa15Gauntlet</t>
  </si>
  <si>
    <t>sa16Gimlet</t>
  </si>
  <si>
    <t>SA-16 Gimlet</t>
  </si>
  <si>
    <t>A Russian man-portable air defence missile system (MANPADS), the successor to the SA-14 'Gremlin' system.</t>
  </si>
  <si>
    <t>Uses infra-red homing.</t>
  </si>
  <si>
    <t>MstCode_sa16Gimlet</t>
  </si>
  <si>
    <t>sa17Grizzly</t>
  </si>
  <si>
    <t>SA-17 Grizzly</t>
  </si>
  <si>
    <t>A Russian medium-range, medium-altitude surface-to-air missile (SAM) system, the successor to the SA-11 'Gadfly'.</t>
  </si>
  <si>
    <t>Possibly the biggest change from the SA-11 'Gadfly' system is the fact that the 9S18M1 'Snow Drift' surveillance radar is mounted on the TELAR, making each launcher more independent and allowing more targets to be tracked in different locations at the same time. Range, altitude and target engagement have improved as well. Range is reported as being up to 50 kilometres, maximum altitude around 82,000 feet and maximum target speed around Mach 4.</t>
  </si>
  <si>
    <t>MstCode_sa17Grizzly</t>
  </si>
  <si>
    <t>sa18Grouse</t>
  </si>
  <si>
    <t>SA-18 Grouse</t>
  </si>
  <si>
    <t>A Russian man-portable air defence missile system (MANPADS), the successor to the SA-16 'Gimlet' system.</t>
  </si>
  <si>
    <t>MstCode_sa18Grouse</t>
  </si>
  <si>
    <t>sa19Grisom</t>
  </si>
  <si>
    <t>SA-19 Grisom</t>
  </si>
  <si>
    <t>A Soviet Integrated Air Defense System carrying six (2S6) or eight (2S6M/2S6M1) 9K111 missiles in two banks of two pairs, each pair being able to be elevated independently.</t>
  </si>
  <si>
    <t>Effective engagement ranges are 2.4 to 8 kilometres and altitudes are up to 11,500 feet. Each missile is 3.2 metres long, weighs 65 kilograms with a warhead of 16 kilograms, flies at around Mach 3.5 and can engage targets flying at up to Mach 1.5.</t>
  </si>
  <si>
    <t>MstCode_sa19Grisom</t>
  </si>
  <si>
    <t>sa2Guideline</t>
  </si>
  <si>
    <t>SA-2 Guideline</t>
  </si>
  <si>
    <t>A Soviet high-altitude surface-to-air guided missile (SAM) system, the most widely deployed and used air defence missile in history.</t>
  </si>
  <si>
    <t>It is a two-stage missile, consisting of a solid-fuel booster and a storable liquid-fuel upper stage burning red fuming nitric acid as the oxidizer, and kerosene as the fuel. Each battalion consists of six semi-fixed trainable single-rail launchers for their missiles about 60 to100 metres apart, deployed in a hexagonal 'flower' pattern around the central radars and guidance systems. Typically another six missiles are stored on tractor-trailers near the center of the site. Typical range for the missile is about 45 kilometres, with a maximum altitude around 60,000 feet.</t>
  </si>
  <si>
    <t>MstCode_sa2Guideline</t>
  </si>
  <si>
    <t>sa3Goa</t>
  </si>
  <si>
    <t>SA-3 Goa</t>
  </si>
  <si>
    <t>A Soviet short-range surface-to-air missile (SAM) system designed to complement the S-25 Berkut (SA-1 'Guild') and V-75 (SA-2 'Guideline').</t>
  </si>
  <si>
    <t>The missiles are typically deployed on originally fixed, but later trailer-mounted, turrets containing two or four but can be carried ready-to-fire on Zil trucks in pairs or on tracked chassis carrying three missiles. It has a shorter effective range and lower engagement altitude than either of its predecessors and also flies slower, but due to its two-stage design it is more effective against more maneuverable targets. It is also able to engage lower flying targets than the previous systems, and being more modern it is much more resistant to ECM than the SA-2. The 5V24 (V-600) missiles reach around Mach 3 to 3.5 in flight, both stages powered by solid fuel rocket motors, and has an effective range of 25 kilometres. The SA-3, like the SA-2, uses radio command guidance.</t>
  </si>
  <si>
    <t>MstCode_sa3Goa</t>
  </si>
  <si>
    <t>sa4Ganef</t>
  </si>
  <si>
    <t>SA-4 Ganef</t>
  </si>
  <si>
    <t>A Soviet long range, medium-to-high altitude surface-to-air missile (SAM) system.</t>
  </si>
  <si>
    <t>The Transporter-Erector-Launcher (TEL) vehicles are tracked (modified AT-Ts) and carry two missiles each on an elevating turntable for up to 360 degree rotation and 70 degree elevation. The missiles are launched with the aid of four solid fuel rocket motors inside boosters attached to the outside of the massive missile. Once they have burned and the missile is aloft, it fires a liquid-fuelled ramjet sustainer engine. It reaches speeds of up to Mach 4 and has an effective range of 50 to 55 kilometres depending upon the version. It carries a 135 kilogram warhead.</t>
  </si>
  <si>
    <t>MstCode_sa4Ganef</t>
  </si>
  <si>
    <t>sa5Gammon</t>
  </si>
  <si>
    <t>SA-5 Gammon</t>
  </si>
  <si>
    <t>A Soviet very long range medium-to-high altitude surface-to-air missile (SAM) system designed to defend large areas from bomber attack or other strategic aircraft (such as the SR-71 'Blackbird').</t>
  </si>
  <si>
    <t>Each battalion has six single-rail missile launchers for the 10.72 metre long missiles as well as a number of radar systems. The missile range is 200 to 400 kilometres depending on the model.</t>
  </si>
  <si>
    <t>MstCode_sa5Gammon</t>
  </si>
  <si>
    <t>sa6Gainful</t>
  </si>
  <si>
    <t>SA-6 Gainful</t>
  </si>
  <si>
    <t>A Soviet mobile surface-to-air missile (SAM) system used in low level air defence system designed to protect ground forces from air attack.</t>
  </si>
  <si>
    <t>Each battery consists of a number of similar tracked vehicles, one of which carries the 1S91 (NATO designation 'Straight Flush') 25 kilowatt G/H-band continuous-wave radar (range 75 kilometres) in addition to an optical sight and is usually accompanied by four triple-missile TELs and four trucks carrying three spare missiles and a crane. The missile range is 3 to 24 kilometres.</t>
  </si>
  <si>
    <t>MstCode_sa6Gainful</t>
  </si>
  <si>
    <t>sa7Grail</t>
  </si>
  <si>
    <t>SA-7 Grail</t>
  </si>
  <si>
    <t>A Soviet man-portable, shoulder-fired, low-altitude surface-to-air missile (SAM) system similar to the US Army REDEYE, with a high explosive warhead and passive infrared homing guidance.</t>
  </si>
  <si>
    <t>The missile range is about thirteen kilometres. The SA-7 is a tail-chase missile system and its effectiveness depends on its ability to lock onto the heat source of low-flying fixed and rotary-wing aircraft.</t>
  </si>
  <si>
    <t>MstCode_sa7Grail</t>
  </si>
  <si>
    <t>sa8Gecko</t>
  </si>
  <si>
    <t>SA-8 Gecko</t>
  </si>
  <si>
    <t>A Soviet short-range, anti-aircraft amphibious-vehicle-mounted mobile surface-to-air missile (SAM) system based on the SA-N-4 and an all-in-one TELAR vehicle which can detect, track and engage aircraft independently or with the aid of regimental surveillance radars.</t>
  </si>
  <si>
    <t>The Gecko carries four SA-8 missiles, and another 8 inside for reload purposes. The missile range is about 13 kilometres with a launch weight of 190 kilograms. The SA-8 missile uses infrared tracking to find its targets.</t>
  </si>
  <si>
    <t>MstCode_sa8Gecko</t>
  </si>
  <si>
    <t>sa9Gaskin</t>
  </si>
  <si>
    <t>SA-9 Gaskin</t>
  </si>
  <si>
    <t>A Soviet short-range, anti-aircraft amphibious-vehicle-mounted mobile surface-to-air missile (SAM) system consisting of the SA-9 launcher atop the BRDM-2A.</t>
  </si>
  <si>
    <t>The Gaskin can carry two missiles boxes on the launch pad and four more inside for reload purposes. Missiles can be launched one at a time, two at a time, or four at a time. The Gaskin does not have radar. The missile range is 5 to 8 kilometres with a launch weight of 30 kilograms.</t>
  </si>
  <si>
    <t>MstCode_sa9Gaskin</t>
  </si>
  <si>
    <t>surfaceToAirMissile</t>
  </si>
  <si>
    <t>Surface-to-air Missile (SAM)</t>
  </si>
  <si>
    <t>A missile designed to be launched from the ground to destroy aircraft.</t>
  </si>
  <si>
    <t>It is a type of anti-aircraft system. For example, the US MIM-series and RIM-series, and the Soviet SA-series missiles.</t>
  </si>
  <si>
    <t>MstCode_surfaceToAirMissile</t>
  </si>
  <si>
    <t>surfaceToSurfaceMissile</t>
  </si>
  <si>
    <t>Surface-to-surface Missile (SSM)</t>
  </si>
  <si>
    <t>A surface-to-surface guided projectile launched from a hand-held, vehicle mounted, trailer mounted or fixed installation or from a ship.</t>
  </si>
  <si>
    <t>Surface-to-surface missiles are usually guided (an unguided surface-to-surface missile is usually referred to as a rocket). They are often powered by a rocket motor or sometimes fired by an explosive charge, since the launching platform is typically stationary or moving slowly. They usually have fins and/or wings for lift and stability, although hyper-velocity or short-ranged missiles may utilise body lift or fly a ballistic trajectory.</t>
  </si>
  <si>
    <t>MstCode_surfaceToSurfaceMissile</t>
  </si>
  <si>
    <t>instrumental_I</t>
  </si>
  <si>
    <t>I - Instrumental</t>
  </si>
  <si>
    <t>Not felt by many people unless in favourable conditions.</t>
  </si>
  <si>
    <t>IemCode_instrumental_I</t>
  </si>
  <si>
    <t>feeble_II</t>
  </si>
  <si>
    <t>II - Feeble</t>
  </si>
  <si>
    <t>Felt only by a few people at best, especially on the upper floors of buildings; delicately suspended objects may swing.</t>
  </si>
  <si>
    <t>IemCode_feeble_II</t>
  </si>
  <si>
    <t>slight_III</t>
  </si>
  <si>
    <t>III - Slight</t>
  </si>
  <si>
    <t>Felt quite noticeably by people indoors, especially on the upper floors of buildings, but many do not recognize it as an earthquake; standing motor cars may rock slightly; vibration similar to the passing of a truck; event duration estimated.</t>
  </si>
  <si>
    <t>IemCode_slight_III</t>
  </si>
  <si>
    <t>moderate_IV</t>
  </si>
  <si>
    <t>IV - Moderate</t>
  </si>
  <si>
    <t>Felt by many to all; trees and bushes shaken slightly; buildings shaken moderately to strongly; walls creak loudly; observer described the shaking as 'strong'.</t>
  </si>
  <si>
    <t>Formerly described as follows: felt indoors by many people, outdoors by few people during the day, at night some awakened; dishes, windows, doors disturbed; dishes and windows rattle alarmingly; walls make cracking sound; sensation like heavy truck striking building; standing motor cars rock noticeably.</t>
  </si>
  <si>
    <t>IemCode_moderate_IV</t>
  </si>
  <si>
    <t>ruinous_IX</t>
  </si>
  <si>
    <t>IX - Ruinous</t>
  </si>
  <si>
    <t>Multiple cases of structural damage to reinforced-concrete buildings and parking structures that would have been built when a seismic code was in effect, with some cases of partial or complete collapse; widespread destruction of wood-frame apartment buildings having large open areas in their first stories; collapse of elevated freeway sections.</t>
  </si>
  <si>
    <t>Formerly described as follows: general panic; damage considerable in specially designed structures; well designed frame structures thrown out of plumb; damage great in substantial buildings, with partial collapse; buildings shifted off foundations.</t>
  </si>
  <si>
    <t>IemCode_ruinous_IX</t>
  </si>
  <si>
    <t>ratherStrong_V</t>
  </si>
  <si>
    <t>V - Rather Strong</t>
  </si>
  <si>
    <t>A few small objects overturned and fallen; a few items thrown from store shelves; hairline cracks in interior walls; a few windows cracked; hanging pictures tilted, out of place, or fallen; trees and bushes shaken moderately to strongly; observer reported difficulty standing or walking; felt moderately by people in moving vehicles.</t>
  </si>
  <si>
    <t>Formerly described as follows: felt outside by most, may not be felt by some outside in non-favourable conditions; dishes and windows may break and large bells will ring; vibrations like large train passing close to house.</t>
  </si>
  <si>
    <t>IemCode_ratherStrong_V</t>
  </si>
  <si>
    <t>strong_VI</t>
  </si>
  <si>
    <t>VI - Strong</t>
  </si>
  <si>
    <t>Some windows broken out; a few instances of fallen plaster or damaged unreinforced masonry (URM) chimneys; large cracks in interior walls; many small objects overturned and fallen; many items thrown from store shelves; many glassware items or dishes broken; light furniture overturned and moderately heavy furniture displaced.</t>
  </si>
  <si>
    <t>Formerly described as follows: felt by all; many frightened and run outdoors, walk unsteadily; windows, dishes, glassware broken; books fall off shelves; some heavy furniture moved or overturned; a few instances of fallen plaster; damage slight.</t>
  </si>
  <si>
    <t>IemCode_strong_VI</t>
  </si>
  <si>
    <t>veryStrong_VII</t>
  </si>
  <si>
    <t>VII - Very Strong</t>
  </si>
  <si>
    <t>Significant damage to unreinforced masonry (URM) buildings, including cracks in bearing walls and out-of-plane movement or fall of upper walls and parapets; many URM chimneys fallen or broken at the roofline; some masonry fences fallen or destroyed; heavy furniture overturned.</t>
  </si>
  <si>
    <t>Formerly described as follows: difficult to stand; furniture broken; damage negligible in building of good design and construction; damage slight to moderate in well-built ordinary structures; considerable damage in poorly built or badly designed structures; some chimneys broken; noticed by people driving motor cars.</t>
  </si>
  <si>
    <t>IemCode_veryStrong_VII</t>
  </si>
  <si>
    <t>destructive_VIII</t>
  </si>
  <si>
    <t>VIII - Destructive</t>
  </si>
  <si>
    <t>Considerable damage to unreinforced masonry buildings, with partial collapse; old wood-frame houses shifted off foundations; damage to wood-frame apartment buildings having open first-stories, with some cases of apartments being destroyed; significant damage to reinforced, lined, masonry chimneys on single-family homes; structural damage to some reinforced-concrete structures that would have been built when a seismic code was in effect; very heavy furniture moved conspicuously or overturned.</t>
  </si>
  <si>
    <t>Formerly described as follows: damage slight in specially designed structures; damage considerable in ordinary substantial buildings with partial collapse; damage great in poorly built structures; fall of chimneys, factory stacks, columns, monuments, walls; heavy furniture moved.</t>
  </si>
  <si>
    <t>IemCode_destructive_VIII</t>
  </si>
  <si>
    <t>disastrous_X</t>
  </si>
  <si>
    <t>X - Disastrous</t>
  </si>
  <si>
    <t>Some well built wooden structures destroyed; most masonry and frame structures destroyed with foundation; railway track rails bent.</t>
  </si>
  <si>
    <t>IemCode_disastrous_X</t>
  </si>
  <si>
    <t>veryDisastrous_XI</t>
  </si>
  <si>
    <t>XI - Very Disastrous</t>
  </si>
  <si>
    <t>Few, if any masonry structures remain standing; bridges destroyed; railway track rails bent greatly.</t>
  </si>
  <si>
    <t>IemCode_veryDisastrous_XI</t>
  </si>
  <si>
    <t>catastrophic_XII</t>
  </si>
  <si>
    <t>XII - Catastrophic</t>
  </si>
  <si>
    <t>Total damage; almost everything is destroyed; lines of sight and level distorted; objects thrown into the air; ground moves in waves or ripples; large amounts of rock may move position.</t>
  </si>
  <si>
    <t>IemCode_catastrophic_XII</t>
  </si>
  <si>
    <t>automated</t>
  </si>
  <si>
    <t>Automated</t>
  </si>
  <si>
    <t>The feature is superintended remotely, and only automated equipment is present on station.</t>
  </si>
  <si>
    <t>MmeCode_automated</t>
  </si>
  <si>
    <t>staffed</t>
  </si>
  <si>
    <t>Staffed</t>
  </si>
  <si>
    <t>The feature is superintended by permanently stationed personnel.</t>
  </si>
  <si>
    <t>MmeCode_staffed</t>
  </si>
  <si>
    <t>commemorative</t>
  </si>
  <si>
    <t>Commemorative</t>
  </si>
  <si>
    <t>An artistic, formed object that was created with the intention to publically commemorate an event, a custom and/or a person.</t>
  </si>
  <si>
    <t>For example, a statue, war memorial, or tomb.</t>
  </si>
  <si>
    <t>MtpCode_commemorative</t>
  </si>
  <si>
    <t>Objects, buildings or their ruins as sources and testimonies of human history and development.</t>
  </si>
  <si>
    <t>For example, historical, religious, industrial, and/or archaeological reasons.</t>
  </si>
  <si>
    <t>MtpCode_cultural</t>
  </si>
  <si>
    <t>Isolated landscape features under nature protection.</t>
  </si>
  <si>
    <t>For example, caves, rock formations, and historical trees.</t>
  </si>
  <si>
    <t>MtpCode_natural</t>
  </si>
  <si>
    <t>bollard</t>
  </si>
  <si>
    <t>A small shaped post, mounted on a wharf or dolphin used to secure ship's lines.</t>
  </si>
  <si>
    <t>MwfCode_bollard</t>
  </si>
  <si>
    <t>chain</t>
  </si>
  <si>
    <t>Chain</t>
  </si>
  <si>
    <t>A connection between two independent objects, in particular between a buoy and pile or between two buoys used as a mooring facility.</t>
  </si>
  <si>
    <t>Cable, Wire</t>
  </si>
  <si>
    <t>MwfCode_chain</t>
  </si>
  <si>
    <t>deviationDolphin</t>
  </si>
  <si>
    <t>Deviation Dolphin</t>
  </si>
  <si>
    <t>A post or group of posts, which a vessel may swing around for compass adjustment.</t>
  </si>
  <si>
    <t>MwfCode_deviationDolphin</t>
  </si>
  <si>
    <t>dolphin</t>
  </si>
  <si>
    <t>A post or group of posts, which may support a deck, used for mooring or warping a vessel.</t>
  </si>
  <si>
    <t>MwfCode_dolphin</t>
  </si>
  <si>
    <t>mooringBuoy</t>
  </si>
  <si>
    <t>Mooring Buoy</t>
  </si>
  <si>
    <t>A buoy secured to the bottom by permanent moorings with means for mooring a vessel by use of its anchor chain or mooring lines.</t>
  </si>
  <si>
    <t>MwfCode_mooringBuoy</t>
  </si>
  <si>
    <t>structuralPile</t>
  </si>
  <si>
    <t>A long heavy pile (for example: a timber or section of steel, wood, or concrete), forced into the seabed to serve as a mooring facility.</t>
  </si>
  <si>
    <t>MwfCode_structuralPile</t>
  </si>
  <si>
    <t>tieUpWall</t>
  </si>
  <si>
    <t>Tie-up Wall</t>
  </si>
  <si>
    <t>A section of wall designated for tying-up vessels awaiting transit.</t>
  </si>
  <si>
    <t>Bollards and mooring devices are available for both large and small ships.</t>
  </si>
  <si>
    <t>MwfCode_tieUpWall</t>
  </si>
  <si>
    <t>warpingBuoy</t>
  </si>
  <si>
    <t>Warping Buoy</t>
  </si>
  <si>
    <t>A buoy so located that lines to it can be used for the movement of vessels.</t>
  </si>
  <si>
    <t>MwfCode_warpingBuoy</t>
  </si>
  <si>
    <t>buoyMooring</t>
  </si>
  <si>
    <t>Buoy Mooring</t>
  </si>
  <si>
    <t>A single point mooring attached to a floating buoy to which a vessel may be attached.</t>
  </si>
  <si>
    <t>MctCode_buoyMooring</t>
  </si>
  <si>
    <t>foreAndAftMooring</t>
  </si>
  <si>
    <t>Fore and Aft Mooring</t>
  </si>
  <si>
    <t>A set of anchors to which boats are attached by both bow and stem lines.</t>
  </si>
  <si>
    <t>MctCode_foreAndAftMooring</t>
  </si>
  <si>
    <t>islandMooring</t>
  </si>
  <si>
    <t>Island Mooring</t>
  </si>
  <si>
    <t>A floating structure secured by an anchor to which one or more boats may be moored.</t>
  </si>
  <si>
    <t>Star Mooring</t>
  </si>
  <si>
    <t>MctCode_islandMooring</t>
  </si>
  <si>
    <t>swingMooring</t>
  </si>
  <si>
    <t>Swing Mooring</t>
  </si>
  <si>
    <t>An anchor to which a vessel is attached to allow alignment with wave, wind or current.</t>
  </si>
  <si>
    <t>MctCode_swingMooring</t>
  </si>
  <si>
    <t>trotMooring</t>
  </si>
  <si>
    <t>Trot Mooring</t>
  </si>
  <si>
    <t>A system for the fore and aft mooring of several boats in rows.</t>
  </si>
  <si>
    <t>MctCode_trotMooring</t>
  </si>
  <si>
    <t>ground</t>
  </si>
  <si>
    <t>Ground</t>
  </si>
  <si>
    <t>An accumulation of till after it has been deposited or released from glacier ice during ablation, to form an extensive area of low relief devoid of transverse linear elements.</t>
  </si>
  <si>
    <t>It appears as an irregularly undulating surface of till, glacial drift, and/or boulder clay.</t>
  </si>
  <si>
    <t>MorCode_ground</t>
  </si>
  <si>
    <t>A low ridgelike moraine carried on, or deposited at or near, the side margin of a mountain glacier.</t>
  </si>
  <si>
    <t>Side Moraine, Valley-side Moraine</t>
  </si>
  <si>
    <t>MorCode_lateral</t>
  </si>
  <si>
    <t>medial</t>
  </si>
  <si>
    <t>Medial</t>
  </si>
  <si>
    <t>The moraine results from the merging of lateral moraines when two glaciers converge.</t>
  </si>
  <si>
    <t>MorCode_medial</t>
  </si>
  <si>
    <t>A ridgelike accumulation that is being produced at the margin of an active glacier.</t>
  </si>
  <si>
    <t>It is deposited at the lower or outer end of a glacier.</t>
  </si>
  <si>
    <t>Frontal Moraine, End Morraine</t>
  </si>
  <si>
    <t>MorCode_terminal</t>
  </si>
  <si>
    <t>arcticLand</t>
  </si>
  <si>
    <t>Arctic Land</t>
  </si>
  <si>
    <t>A tract of land in the Arctic.</t>
  </si>
  <si>
    <t>NltCode_arcticLand</t>
  </si>
  <si>
    <t>A tract of land without homogeneous character or boundaries.</t>
  </si>
  <si>
    <t>NltCode_area</t>
  </si>
  <si>
    <t>locality</t>
  </si>
  <si>
    <t>Locality</t>
  </si>
  <si>
    <t>A minor area or place of unspecified or mixed character and indefinite boundaries.</t>
  </si>
  <si>
    <t>NltCode_locality</t>
  </si>
  <si>
    <t>populatedLocality</t>
  </si>
  <si>
    <t>Populated Locality</t>
  </si>
  <si>
    <t>A minor area or place of unspecified or mixed character and indefinite boundaries that includes a small group of dwellings or other buildings.</t>
  </si>
  <si>
    <t>NltCode_populatedLocality</t>
  </si>
  <si>
    <t>region</t>
  </si>
  <si>
    <t>Region</t>
  </si>
  <si>
    <t>An area distinguished by one or more observable physical or cultural characteristics.</t>
  </si>
  <si>
    <t>NltCode_region</t>
  </si>
  <si>
    <t>civilWar</t>
  </si>
  <si>
    <t>Civil War</t>
  </si>
  <si>
    <t>A war between citizens of the same State or an armed conflict on the territory of a single State between several native groups.</t>
  </si>
  <si>
    <t>NctCode_civilWar</t>
  </si>
  <si>
    <t>NctCode_crisis</t>
  </si>
  <si>
    <t>NctCode_tension</t>
  </si>
  <si>
    <t>locallySignificant</t>
  </si>
  <si>
    <t>Locally Significant</t>
  </si>
  <si>
    <t>Features generally recognized as significant on a local level within the nation.</t>
  </si>
  <si>
    <t>NmiCode_locallySignificant</t>
  </si>
  <si>
    <t>nationallyCritical</t>
  </si>
  <si>
    <t>Nationally Critical</t>
  </si>
  <si>
    <t>Features of unique quality, widely recognized both nationally and internationally to be symbolic of the nation.</t>
  </si>
  <si>
    <t>NmiCode_nationallyCritical</t>
  </si>
  <si>
    <t>nationallySignificant</t>
  </si>
  <si>
    <t>Nationally Significant</t>
  </si>
  <si>
    <t>Features generally recognized nationally to be significant symbols of the nation.</t>
  </si>
  <si>
    <t>NmiCode_nationallySignificant</t>
  </si>
  <si>
    <t>regionallyCritical</t>
  </si>
  <si>
    <t>Regionally Critical</t>
  </si>
  <si>
    <t>Features of unique quality, widely recognized as having significance on a regional level within the nation.</t>
  </si>
  <si>
    <t>NmiCode_regionallyCritical</t>
  </si>
  <si>
    <t>centralizedHabitation</t>
  </si>
  <si>
    <t>Centralized Habitation</t>
  </si>
  <si>
    <t>Dwellings are concentrated around one or more points.</t>
  </si>
  <si>
    <t>NasCode_centralizedHabitation</t>
  </si>
  <si>
    <t>continuousHabitation</t>
  </si>
  <si>
    <t>Continuous Habitation</t>
  </si>
  <si>
    <t>Dwellings are relatively homogeneously distributed.</t>
  </si>
  <si>
    <t>NasCode_continuousHabitation</t>
  </si>
  <si>
    <t>nomadicSettlement</t>
  </si>
  <si>
    <t>Nomadic Settlement</t>
  </si>
  <si>
    <t>Temporarily existing, moveable dwellings of nomads, usually tents.</t>
  </si>
  <si>
    <t>NasCode_nomadicSettlement</t>
  </si>
  <si>
    <t>NdiCode_avalanche</t>
  </si>
  <si>
    <t>blizzard</t>
  </si>
  <si>
    <t>Blizzard</t>
  </si>
  <si>
    <t>A severe storm condition characterized by low temperatures, strong winds, and heavy blowing snow.</t>
  </si>
  <si>
    <t>NdiCode_blizzard</t>
  </si>
  <si>
    <t>cycloneicStorm</t>
  </si>
  <si>
    <t>Cyclonic Storm</t>
  </si>
  <si>
    <t>A storm or atmospheric disturbance involving circular motion of winds.</t>
  </si>
  <si>
    <t>NdiCode_cycloneicStorm</t>
  </si>
  <si>
    <t>damBreakFlooding</t>
  </si>
  <si>
    <t>Dam Break Flooding</t>
  </si>
  <si>
    <t>NdiCode_damBreakFlooding</t>
  </si>
  <si>
    <t>drought</t>
  </si>
  <si>
    <t>Drought</t>
  </si>
  <si>
    <t>An extended period of months or years when a region notes a deficiency in its water supply.</t>
  </si>
  <si>
    <t>NdiCode_drought</t>
  </si>
  <si>
    <t>earthquake</t>
  </si>
  <si>
    <t>Earthquake</t>
  </si>
  <si>
    <t>Surface tremors and following occurrence of fractions and mass movements.</t>
  </si>
  <si>
    <t>NdiCode_earthquake</t>
  </si>
  <si>
    <t>NdiCode_fire</t>
  </si>
  <si>
    <t>hailstorm</t>
  </si>
  <si>
    <t>Hailstorm</t>
  </si>
  <si>
    <t>A storm that produces hailstones that fall to the ground.</t>
  </si>
  <si>
    <t>NdiCode_hailstorm</t>
  </si>
  <si>
    <t>heatWave</t>
  </si>
  <si>
    <t>Heat Wave</t>
  </si>
  <si>
    <t>A prolonged period of excessively hot weather, which may be accompanied by high humidity.</t>
  </si>
  <si>
    <t>NdiCode_heatWave</t>
  </si>
  <si>
    <t>A collision of a large meteorite, asteroid, comet, or other celestial object with the Earth.</t>
  </si>
  <si>
    <t>NdiCode_impact</t>
  </si>
  <si>
    <t>NdiCode_lahar</t>
  </si>
  <si>
    <t>NdiCode_landslide</t>
  </si>
  <si>
    <t>limnicEruption</t>
  </si>
  <si>
    <t>Limnic Eruption</t>
  </si>
  <si>
    <t>A rare type of natural disaster in which carbon dioxide suddenly erupts from deep lake water, suffocating wildlife, livestock and humans.</t>
  </si>
  <si>
    <t>NdiCode_limnicEruption</t>
  </si>
  <si>
    <t>NdiCode_mudFlow</t>
  </si>
  <si>
    <t>pyroclasticFlow</t>
  </si>
  <si>
    <t>Pyroclastic Flow</t>
  </si>
  <si>
    <t>Fast-moving currents of hot gas and rock (collectively known as tephra), which travel away from the volcano at speeds generally as great as 700 km/h.</t>
  </si>
  <si>
    <t>Pyroclastic Density Current</t>
  </si>
  <si>
    <t>NdiCode_pyroclasticFlow</t>
  </si>
  <si>
    <t>riverFlooding</t>
  </si>
  <si>
    <t>River Flooding</t>
  </si>
  <si>
    <t>NdiCode_riverFlooding</t>
  </si>
  <si>
    <t>NdiCode_rockFall</t>
  </si>
  <si>
    <t>A violent disturbance of the atmosphere, taking the form of high winds, often with heavy falls of rain, hail, or snow, thunder and lightning, rough conditions with high foaming waves at sea, and clouds of sand or dust in arid regions.</t>
  </si>
  <si>
    <t>NdiCode_storm</t>
  </si>
  <si>
    <t>stormSurge</t>
  </si>
  <si>
    <t>Storm Surge</t>
  </si>
  <si>
    <t>An offshore rise of water associated with a low pressure weather system, typically a tropical cyclone.</t>
  </si>
  <si>
    <t>NdiCode_stormSurge</t>
  </si>
  <si>
    <t>tornado</t>
  </si>
  <si>
    <t>Tornado</t>
  </si>
  <si>
    <t>A violent, dangerous, rotating column of air which is in contact with both the surface of the earth and a cumulonimbus cloud or, in rare cases, the base of a cumulus cloud.</t>
  </si>
  <si>
    <t>NdiCode_tornado</t>
  </si>
  <si>
    <t>NdiCode_tsunami</t>
  </si>
  <si>
    <t>volcanicAsh</t>
  </si>
  <si>
    <t>Volcanic Ash</t>
  </si>
  <si>
    <t>Ash is created when solid rock shatters and magma separates into minute particles during explosive volcanic activity. The usually violent nature of an eruption involving steam (phreatic eruption or phreatomagmatic eruption) results in the magma and solid</t>
  </si>
  <si>
    <t>NdiCode_volcanicAsh</t>
  </si>
  <si>
    <t>volcanoEruption</t>
  </si>
  <si>
    <t>Volcano Eruption</t>
  </si>
  <si>
    <t>A spell of activity in which a volcano ejects lava, ash, etc.</t>
  </si>
  <si>
    <t>NdiCode_volcanoEruption</t>
  </si>
  <si>
    <t>aridityLine</t>
  </si>
  <si>
    <t>Aridity Line</t>
  </si>
  <si>
    <t>The limit is defined by its rate of precipitation.</t>
  </si>
  <si>
    <t>LmsCode_aridityLine</t>
  </si>
  <si>
    <t>polarBoundary</t>
  </si>
  <si>
    <t>Polar Boundary</t>
  </si>
  <si>
    <t>The limit is defined by its nearness to the pole.</t>
  </si>
  <si>
    <t>LmsCode_polarBoundary</t>
  </si>
  <si>
    <t>upperLimit</t>
  </si>
  <si>
    <t>Upper Limit</t>
  </si>
  <si>
    <t>The limit is defined by its height above mean sea level.</t>
  </si>
  <si>
    <t>LmsCode_upperLimit</t>
  </si>
  <si>
    <t>antarcticConvergence</t>
  </si>
  <si>
    <t>Antarctic Convergence</t>
  </si>
  <si>
    <t>Climatic boundary of the Antarctic (northern boundary of the southern polar sea).</t>
  </si>
  <si>
    <t>NslCode_antarcticConvergence</t>
  </si>
  <si>
    <t>The limit is defined by its rate of precipitation and evapotranspiration.</t>
  </si>
  <si>
    <t>NslCode_aridityLine</t>
  </si>
  <si>
    <t>climateBoundary</t>
  </si>
  <si>
    <t>Climate Boundary</t>
  </si>
  <si>
    <t>Boundary between climate regions, for example, southern alpine versus mediterranean.</t>
  </si>
  <si>
    <t>NslCode_climateBoundary</t>
  </si>
  <si>
    <t>cultivationLimit</t>
  </si>
  <si>
    <t>A boundary or limitation beyond which any cultivation of crops is impossible.</t>
  </si>
  <si>
    <t>NslCode_cultivationLimit</t>
  </si>
  <si>
    <t>intertropicalConvergZone</t>
  </si>
  <si>
    <t>Intertropical Convergence Zone (ITCZ)</t>
  </si>
  <si>
    <t>Boundary of a trough of low pressure in the equator-area where the northeastery trade winds of the northern hemisphere.</t>
  </si>
  <si>
    <t>NslCode_intertropicalConvergZone</t>
  </si>
  <si>
    <t>limitOfDriftIce</t>
  </si>
  <si>
    <t>Limit of Drift Ice</t>
  </si>
  <si>
    <t>Boundary of an area up to which single ice bergs from the continental ice sheet and ice floes find their movement limit towards the equator.</t>
  </si>
  <si>
    <t>NslCode_limitOfDriftIce</t>
  </si>
  <si>
    <t>packIceLimit</t>
  </si>
  <si>
    <t>Pack Ice Limit</t>
  </si>
  <si>
    <t>Boundary of the area in which ocean water is frozen and consists of ice floes put in layers on each other.</t>
  </si>
  <si>
    <t>NslCode_packIceLimit</t>
  </si>
  <si>
    <t>permafrostSoilLimit</t>
  </si>
  <si>
    <t>Permafrost Soil Limit</t>
  </si>
  <si>
    <t>Boundary of the area in which the soil permanently shows temperatures below freezing point.</t>
  </si>
  <si>
    <t>NslCode_permafrostSoilLimit</t>
  </si>
  <si>
    <t>The limit is defined by its maximal nearness to the pole.</t>
  </si>
  <si>
    <t>NslCode_polarBoundary</t>
  </si>
  <si>
    <t>settlementLimit</t>
  </si>
  <si>
    <t>A boundary or limitation beyond which any settlement is either impossible or not useful for climatic or topographic reasons.</t>
  </si>
  <si>
    <t>NslCode_settlementLimit</t>
  </si>
  <si>
    <t>timberLine</t>
  </si>
  <si>
    <t>Timber Line</t>
  </si>
  <si>
    <t>The boundary of a habitat where trees do not form closed stocks.</t>
  </si>
  <si>
    <t>NslCode_timberLine</t>
  </si>
  <si>
    <t>treeLimit</t>
  </si>
  <si>
    <t>Boundary of an area in which no trees exist, beyond the forest line.</t>
  </si>
  <si>
    <t>NslCode_treeLimit</t>
  </si>
  <si>
    <t>weatherLimit</t>
  </si>
  <si>
    <t>Weather Limit</t>
  </si>
  <si>
    <t>Boundary between areas of different weather.</t>
  </si>
  <si>
    <t>NslCode_weatherLimit</t>
  </si>
  <si>
    <t>A vent in or near a volcano, from which hot vapour is emitted.</t>
  </si>
  <si>
    <t>SwtCode_fumarole</t>
  </si>
  <si>
    <t>SwtCode_geyser</t>
  </si>
  <si>
    <t>SwtCode_hotSpring</t>
  </si>
  <si>
    <t>resurgence</t>
  </si>
  <si>
    <t>SwtCode_resurgence</t>
  </si>
  <si>
    <t>spring</t>
  </si>
  <si>
    <t>SwtCode_spring</t>
  </si>
  <si>
    <t>SwtCode_sulphurSpring</t>
  </si>
  <si>
    <t>walledInSpring</t>
  </si>
  <si>
    <t>Walled-in Spring</t>
  </si>
  <si>
    <t>A spring whose outflow has been collected by an enclosure.</t>
  </si>
  <si>
    <t>For example, to increase its volume and/or smooth seasonal fluctuations.</t>
  </si>
  <si>
    <t>SwtCode_walledInSpring</t>
  </si>
  <si>
    <t>SwtCode_waterHole</t>
  </si>
  <si>
    <t>abandNavalTrainMinefield</t>
  </si>
  <si>
    <t>Abandoned Naval Training Minefield</t>
  </si>
  <si>
    <t>An area formerly used to carry out mine warfare drills and/or standard operating procedures (for example: to check sonar) but now abandoned.</t>
  </si>
  <si>
    <t>NfpCode_abandNavalTrainMinefield</t>
  </si>
  <si>
    <t>bombingStrafingTargetsArea</t>
  </si>
  <si>
    <t>Bombing and/or Strafing Targets Area</t>
  </si>
  <si>
    <t>A Naval military exercise area designated specifically for bombardment and/or strafing of targets.</t>
  </si>
  <si>
    <t>NfpCode_bombingStrafingTargetsArea</t>
  </si>
  <si>
    <t>An area in which military bombing and missile exercises are, or may be, carried out and constitute a firing danger.</t>
  </si>
  <si>
    <t>NfpCode_firingDangerArea</t>
  </si>
  <si>
    <t>inwaterTrackingRange</t>
  </si>
  <si>
    <t>Inwater Tracking Range</t>
  </si>
  <si>
    <t>An acoustically enabled weapons range where ships, aircraft (planes and/or helicopters) and/or submarines can target, track, and engage remotely operated targets with torpedoes.</t>
  </si>
  <si>
    <t>NfpCode_inwaterTrackingRange</t>
  </si>
  <si>
    <t>mineLayingPracticeArea</t>
  </si>
  <si>
    <t>Mine Laying Practice Area</t>
  </si>
  <si>
    <t>An area in which military exercises for the laying of naval mines are, or may be, carried out.</t>
  </si>
  <si>
    <t>NfpCode_mineLayingPracticeArea</t>
  </si>
  <si>
    <t>missileFiringPracticeArea</t>
  </si>
  <si>
    <t>Missile Firing and Practice Area</t>
  </si>
  <si>
    <t>A military exercise area designated specifically for the testing, firing and practice of AWW missile engagements.</t>
  </si>
  <si>
    <t>Missile firings could include surface to air, surface to surface and air to air engagements.</t>
  </si>
  <si>
    <t>NfpCode_missileFiringPracticeArea</t>
  </si>
  <si>
    <t>navalImpactArea</t>
  </si>
  <si>
    <t>Naval Impact Area</t>
  </si>
  <si>
    <t>An area allocated for bombardment during the live firing of weapons.</t>
  </si>
  <si>
    <t>NfpCode_navalImpactArea</t>
  </si>
  <si>
    <t>navalTrainingMinefield</t>
  </si>
  <si>
    <t>Naval Training Minefield</t>
  </si>
  <si>
    <t>A Naval training area where re-usable mines designated for exercise and training are deployed and recovered.</t>
  </si>
  <si>
    <t>Such mines are inert-loaded or empty mine cases filled with special devices for training or exercises.</t>
  </si>
  <si>
    <t>NfpCode_navalTrainingMinefield</t>
  </si>
  <si>
    <t>torpedoPracticeArea</t>
  </si>
  <si>
    <t>Torpedo Practice Area</t>
  </si>
  <si>
    <t>An area where military exercises involving torpedoes are, or may be, carried out.</t>
  </si>
  <si>
    <t>NfpCode_torpedoPracticeArea</t>
  </si>
  <si>
    <t>weaponsRange</t>
  </si>
  <si>
    <t>Weapons Range</t>
  </si>
  <si>
    <t>An area where Naval forces conduct weapons tests and/or exercises.</t>
  </si>
  <si>
    <t>NfpCode_weaponsRange</t>
  </si>
  <si>
    <t>antiHovercraft</t>
  </si>
  <si>
    <t>Anti-hovercraft and/or Anti-helicopter</t>
  </si>
  <si>
    <t>Laid for the purpose of, or whose mechanism is specifically designed or adjusted with the object of, sinking or damaging hovercraft or helicopters.</t>
  </si>
  <si>
    <t>The mines' firing system is designed or adjusted to discriminate signatures of helicopters (for example: acoustic signature or rotor noise) and/or hovercraft. The mines are normally designed to cause plume and fragmentation damage.</t>
  </si>
  <si>
    <t>MmtCode_antiHovercraft</t>
  </si>
  <si>
    <t>antiHunter</t>
  </si>
  <si>
    <t>Anti-hunter</t>
  </si>
  <si>
    <t>Laid for the purpose of, or whose mechanism is specifically designed or adjusted with the object of, sinking or damaging minehunter vessels.</t>
  </si>
  <si>
    <t>Actuation is normally caused by the minehunters' sonar beam.</t>
  </si>
  <si>
    <t>Anti-Mine Hunter</t>
  </si>
  <si>
    <t>MmtCode_antiHunter</t>
  </si>
  <si>
    <t>antiMcmVessel</t>
  </si>
  <si>
    <t>Anti-MCM Vessel</t>
  </si>
  <si>
    <t>Laid for the purpose of, or whose mechanism is specifically designed or adjusted with the object of, sinking or damaging Mine Counter-Mine Vessels (MCMV).</t>
  </si>
  <si>
    <t>These mines do not target specific features of the MCMV (for example: Anti-Sweeper Mine or Anti-Hunter Mine); they are anti-surface ship mines laid or adjusted to counter MCMVs. For example: shallow moored mines, snagline mines, highly sensitive magnetic mines, and medium actuation level acoustic mines.</t>
  </si>
  <si>
    <t>MmtCode_antiMcmVessel</t>
  </si>
  <si>
    <t>antiSurfaceEffectVehicle</t>
  </si>
  <si>
    <t>Anti-Surface Effect Vehicle</t>
  </si>
  <si>
    <t>Laid for the purpose of, or whose mechanism is specifically designed or adjusted with the object of, sinking surface effect vehicles in water depth of 3 - 60 metres.</t>
  </si>
  <si>
    <t>MmtCode_antiSurfaceEffectVehicle</t>
  </si>
  <si>
    <t>antiSweeper</t>
  </si>
  <si>
    <t>Anti-sweeper</t>
  </si>
  <si>
    <t>Laid for the purpose of, or whose mechanism is specifically designed or adjusted with the object of, sinking or damaging mine sweeper vessels.</t>
  </si>
  <si>
    <t>For example: moored mines fitted with grapnel devices, medium-actuation-level magnetic mines which a normally energized sweep will detonate within the mine sweepers' damage area, and course acoustic mines actuated when the sweeper is towing an acoustic sweep beam.</t>
  </si>
  <si>
    <t>MmtCode_antiSweeper</t>
  </si>
  <si>
    <t>drill</t>
  </si>
  <si>
    <t>Drill</t>
  </si>
  <si>
    <t>Used to carry out mine warfare drills and/or standard operating procedures (for example: to check sonar).</t>
  </si>
  <si>
    <t>A re-usable mine designed for exercise and training. They use inert-loaded or empty mine cases filled with special devices for training or exercises and recovery.</t>
  </si>
  <si>
    <t>MmtCode_drill</t>
  </si>
  <si>
    <t>exercise</t>
  </si>
  <si>
    <t>Exercise</t>
  </si>
  <si>
    <t>An object constructed to have mine-like characteristics (for example: oil drums welded together) for mine hunting training purposes.</t>
  </si>
  <si>
    <t>A re-usable mine designed for exercise and training. They may be either ground mines or buoyant mines. For example, the VErsatile Mine firing System (VEMS) is an exercise ground mine that senses and records ship traffic, sending a radio signal or releasing a buoy if it calculates that it has sunk a 'target'.</t>
  </si>
  <si>
    <t>MmtCode_exercise</t>
  </si>
  <si>
    <t>exerciseFilled</t>
  </si>
  <si>
    <t>Exercise (filled)</t>
  </si>
  <si>
    <t>An object constructed to have mine-like characteristics (for example: oil drums welded together) and filled with inert material to give enhanced mine-like characteristics for mine hunting training.</t>
  </si>
  <si>
    <t>A re-usable mine designed for exercise and training.</t>
  </si>
  <si>
    <t>MmtCode_exerciseFilled</t>
  </si>
  <si>
    <t>minehuntingSonarDecoy</t>
  </si>
  <si>
    <t>Minehunting Sonar Decoy</t>
  </si>
  <si>
    <t>An object (for example: a decoy or dummy) designed to have the sonar signature attributes of a mine, with the intention of wasting an enemies time and resources.</t>
  </si>
  <si>
    <t>These are either small objects with a large sonar signal, or inert minelike objects.</t>
  </si>
  <si>
    <t>MmtCode_minehuntingSonarDecoy</t>
  </si>
  <si>
    <t>An inert replica mine for mine hunting training purposes.</t>
  </si>
  <si>
    <t>MmtCode_practice</t>
  </si>
  <si>
    <t>antiInvasionMoored</t>
  </si>
  <si>
    <t>Anti-invasion Moored</t>
  </si>
  <si>
    <t>A moored contact mine for use in the Very Shallow Water (VSL).</t>
  </si>
  <si>
    <t>Employed against landing craft.</t>
  </si>
  <si>
    <t>MpcCode_antiInvasionMoored</t>
  </si>
  <si>
    <t>antiSubmarineDeep</t>
  </si>
  <si>
    <t>Anti-submarine Deep</t>
  </si>
  <si>
    <t>A deep moored mine designed to sink submarines, usually influence actuated.</t>
  </si>
  <si>
    <t>Moored contact mines laid at great depth which remain moored near the sinker may also pose a threat to submarines.</t>
  </si>
  <si>
    <t>MpcCode_antiSubmarineDeep</t>
  </si>
  <si>
    <t>bouquet</t>
  </si>
  <si>
    <t>Bouquet</t>
  </si>
  <si>
    <t>A moored mine with a number of buoyant mine cases attached to the same sinker such that when the mooring of one mine case is severed, another mine case rises from the sinker to its preset case depth.</t>
  </si>
  <si>
    <t>Bouquet mines are used to counter mechanical mine sweeping operations.</t>
  </si>
  <si>
    <t>MpcCode_bouquet</t>
  </si>
  <si>
    <t>buoyantRising</t>
  </si>
  <si>
    <t>Buoyant Rising</t>
  </si>
  <si>
    <t>A mine having positive buoyancy which is released from a sinker by target influence.</t>
  </si>
  <si>
    <t>MpcCode_buoyantRising</t>
  </si>
  <si>
    <t>closeTethered</t>
  </si>
  <si>
    <t>Close-tethered</t>
  </si>
  <si>
    <t>A moored mine with a very short scope mooring that keeps the mine case close to the sinker.</t>
  </si>
  <si>
    <t>There are three typical types of short-tethered moored mines: anti-invasion moored contact mines, anti-submarine deep moored mines, and rising mines.</t>
  </si>
  <si>
    <t>Short-tethered Moored Mine</t>
  </si>
  <si>
    <t>MpcCode_closeTethered</t>
  </si>
  <si>
    <t>closeTetheredRising</t>
  </si>
  <si>
    <t>Close-tethered Rising</t>
  </si>
  <si>
    <t>A rising mine with a very short scope mooring that keeps the mine case close to the sinker.</t>
  </si>
  <si>
    <t>MpcCode_closeTetheredRising</t>
  </si>
  <si>
    <t>creeping</t>
  </si>
  <si>
    <t>Creeping</t>
  </si>
  <si>
    <t>A buoyant naval mine held below the water surface by a weight, usually in the form of a chain, which is free to creep along the bottom under the influence of currents.</t>
  </si>
  <si>
    <t>MpcCode_creeping</t>
  </si>
  <si>
    <t>drifting</t>
  </si>
  <si>
    <t>Drifting</t>
  </si>
  <si>
    <t>A buoyant or neutrally buoyant naval mine, free to drift under the influence of waves, wind, currents, or the tide.</t>
  </si>
  <si>
    <t>MpcCode_drifting</t>
  </si>
  <si>
    <t>A mine visible on the surface of the water.</t>
  </si>
  <si>
    <t>It can be either 'watching', 'drifting', or 'free'.</t>
  </si>
  <si>
    <t>MpcCode_floating</t>
  </si>
  <si>
    <t>free</t>
  </si>
  <si>
    <t>Free</t>
  </si>
  <si>
    <t>A mine that moves on its own when it is deployed.</t>
  </si>
  <si>
    <t>For example, submarines deploy free (mobile) mines and they have the form of a torpedo; thus the mine can be deployed deep inside an enemy harbour.</t>
  </si>
  <si>
    <t>MpcCode_free</t>
  </si>
  <si>
    <t>A negatively buoyant mine that rests on, or can become buried in, the sea bed and is held there by its own mass.</t>
  </si>
  <si>
    <t>Its firing mechanism is usually of the influence type (some anti-invasion naval mines used in the Very Shallow Water (VSL) are contact actuated).</t>
  </si>
  <si>
    <t>Bottom Mine</t>
  </si>
  <si>
    <t>MpcCode_ground</t>
  </si>
  <si>
    <t>moored</t>
  </si>
  <si>
    <t>Moored</t>
  </si>
  <si>
    <t>A mine of positive buoyancy held down below the surface by a mooring attached to a sinker on the bottom.</t>
  </si>
  <si>
    <t>Its firing mechanism can be of either contact or influence type. Some 'Deep Moored Mines' use very strong moorings (usually small gauge wire) to permit use in water depth down to 1000 metres.</t>
  </si>
  <si>
    <t>MpcCode_moored</t>
  </si>
  <si>
    <t>oscillating</t>
  </si>
  <si>
    <t>Oscillating</t>
  </si>
  <si>
    <t>A moored mine of positive buoyancy whose position is hydrostatically controlled, maintaining a pre-set depth below the water surface independently of the rise and fall of the tide.</t>
  </si>
  <si>
    <t>MpcCode_oscillating</t>
  </si>
  <si>
    <t>rising</t>
  </si>
  <si>
    <t>Rising</t>
  </si>
  <si>
    <t>A mine that rises from its deployed position, either using its own positive buoyancy or by means of a propulsion system.</t>
  </si>
  <si>
    <t>Most rising mines are short-tethered and can be straight rising, vectored by attached pre-set fins, or homing.</t>
  </si>
  <si>
    <t>MpcCode_rising</t>
  </si>
  <si>
    <t>rocketPropelledRising</t>
  </si>
  <si>
    <t>Rocket Propelled Rising</t>
  </si>
  <si>
    <t>A rising mine that is launched from its deployed position by a propelling charge and continues in motion within a cavitation bubble by virtue of its kinetic energy.</t>
  </si>
  <si>
    <t>MpcCode_rocketPropelledRising</t>
  </si>
  <si>
    <t>watching</t>
  </si>
  <si>
    <t>Watching</t>
  </si>
  <si>
    <t>A moored mine, still connected to its sinker, whose case breaks frequently or permanently the surface of the water.</t>
  </si>
  <si>
    <t>This normally occurs when the scope of the mooring is too long for the prevailing water depth.</t>
  </si>
  <si>
    <t>MpcCode_watching</t>
  </si>
  <si>
    <t>nuisance</t>
  </si>
  <si>
    <t>Nuisance</t>
  </si>
  <si>
    <t>A relatively small number of mines laid randomly over a large area designed to disrupt shipping.</t>
  </si>
  <si>
    <t>MpuCode_nuisance</t>
  </si>
  <si>
    <t>protective</t>
  </si>
  <si>
    <t>Protective</t>
  </si>
  <si>
    <t>Laid in friendly territorial waters to protect ports, harbours, anchorages, coasts, and coastal routes.</t>
  </si>
  <si>
    <t>MpuCode_protective</t>
  </si>
  <si>
    <t>tactical</t>
  </si>
  <si>
    <t>Tactical</t>
  </si>
  <si>
    <t>Laid in response to a perceived or real enemy threat.</t>
  </si>
  <si>
    <t>MpuCode_tactical</t>
  </si>
  <si>
    <t>terror</t>
  </si>
  <si>
    <t>Terror</t>
  </si>
  <si>
    <t>Laid in a busy shipping lane or in an area where maximum destruction will occur.</t>
  </si>
  <si>
    <t>MpuCode_terror</t>
  </si>
  <si>
    <t>acronymAreaPurple</t>
  </si>
  <si>
    <t>Acronym Area - Purple</t>
  </si>
  <si>
    <t>NoaCode_acronymAreaPurple</t>
  </si>
  <si>
    <t>alcantGrid</t>
  </si>
  <si>
    <t>ALCANT Grid</t>
  </si>
  <si>
    <t>NoaCode_alcantGrid</t>
  </si>
  <si>
    <t>areaFoxtrot</t>
  </si>
  <si>
    <t>Area FOXTROT</t>
  </si>
  <si>
    <t>NoaCode_areaFoxtrot</t>
  </si>
  <si>
    <t>aswOperatingArea</t>
  </si>
  <si>
    <t>ASW Operating Area</t>
  </si>
  <si>
    <t>An area where Naval forces conduct Anti-Submarine Warfare (ASW) operations.</t>
  </si>
  <si>
    <t>May include both surface and submerged vessels working in conjunction with aircraft.</t>
  </si>
  <si>
    <t>NoaCode_aswOperatingArea</t>
  </si>
  <si>
    <t>diveTrainingArea</t>
  </si>
  <si>
    <t>Dive Training Area</t>
  </si>
  <si>
    <t>An area in which practical instruction in diving techniques is given and practiced.</t>
  </si>
  <si>
    <t>NoaCode_diveTrainingArea</t>
  </si>
  <si>
    <t>fastPatrolBoatPosition</t>
  </si>
  <si>
    <t>Fast Patrol Boat Position</t>
  </si>
  <si>
    <t>A position where Fast Patrol Boats can moor to an islet or land.</t>
  </si>
  <si>
    <t>NoaCode_fastPatrolBoatPosition</t>
  </si>
  <si>
    <t>foracsVLimit</t>
  </si>
  <si>
    <t>FORACS V Limit</t>
  </si>
  <si>
    <t>The limit of a NATO Fleet Operational Readiness Accuracy Check Site (FORACS) Naval Forces Sensor and Weapons Accuracy Check Site established under Programme V.</t>
  </si>
  <si>
    <t>NoaCode_foracsVLimit</t>
  </si>
  <si>
    <t>jenoaGrid</t>
  </si>
  <si>
    <t>JMC Areas - JENOA Grid - UKHO</t>
  </si>
  <si>
    <t>A Joint Exercise Notification and Operating Area (JENOA) management grid used by the Joint Maritime Operational Training Staff (JMOTS) for the positioning of forces.</t>
  </si>
  <si>
    <t>It provides a framework for operating forces in widely dispersed groups.</t>
  </si>
  <si>
    <t>NoaCode_jenoaGrid</t>
  </si>
  <si>
    <t>lcacArea</t>
  </si>
  <si>
    <t>Landing Craft Air Cushion (LCAC) Area</t>
  </si>
  <si>
    <t>An area where Landing Craft Air Cushion (LCAC) vehicles are used in the conduct of operations.</t>
  </si>
  <si>
    <t>NoaCode_lcacArea</t>
  </si>
  <si>
    <t>majorNavalOperatingArea</t>
  </si>
  <si>
    <t>Major Naval Operating Area</t>
  </si>
  <si>
    <t>A large area where Naval forces conduct operations.</t>
  </si>
  <si>
    <t>NoaCode_majorNavalOperatingArea</t>
  </si>
  <si>
    <t>mineSweptRegion</t>
  </si>
  <si>
    <t>Mine Swept Region</t>
  </si>
  <si>
    <t>A region that has been swept for explosive mines.</t>
  </si>
  <si>
    <t>NoaCode_mineSweptRegion</t>
  </si>
  <si>
    <t>minorNavalOperatingArea</t>
  </si>
  <si>
    <t>Minor Naval Operating Area</t>
  </si>
  <si>
    <t>A small area where Naval forces conduct operations.</t>
  </si>
  <si>
    <t>NoaCode_minorNavalOperatingArea</t>
  </si>
  <si>
    <t>namedOperatingArea</t>
  </si>
  <si>
    <t>Named Operating Area</t>
  </si>
  <si>
    <t>NoaCode_namedOperatingArea</t>
  </si>
  <si>
    <t>navalMinefield</t>
  </si>
  <si>
    <t>Naval Minefield</t>
  </si>
  <si>
    <t>An area laid and maintained with explosive mines for defence or practice purposes.</t>
  </si>
  <si>
    <t>NoaCode_navalMinefield</t>
  </si>
  <si>
    <t>navalNotificationArea</t>
  </si>
  <si>
    <t>Naval Notification Area</t>
  </si>
  <si>
    <t>An area within which notification is required between respective military authorities of future military exercises/activities.</t>
  </si>
  <si>
    <t>NoaCode_navalNotificationArea</t>
  </si>
  <si>
    <t>navalSafeBottomingArea</t>
  </si>
  <si>
    <t>Naval Safe Bottoming Area</t>
  </si>
  <si>
    <t>An area that has been surveyed and reported as safe for submarines to rest on the sea bed.</t>
  </si>
  <si>
    <t>NoaCode_navalSafeBottomingArea</t>
  </si>
  <si>
    <t>navalSeaDefenceArea</t>
  </si>
  <si>
    <t>Naval Sea Defence Area</t>
  </si>
  <si>
    <t>NoaCode_navalSeaDefenceArea</t>
  </si>
  <si>
    <t>navalVesselTesting</t>
  </si>
  <si>
    <t>Naval Vessel Testing</t>
  </si>
  <si>
    <t>A designated area for the testing of Naval shipboard machinery and systems.</t>
  </si>
  <si>
    <t>Often referred to as 'conducting sea trials'.</t>
  </si>
  <si>
    <t>Sea Trial Area, Sea Test Range</t>
  </si>
  <si>
    <t>NoaCode_navalVesselTesting</t>
  </si>
  <si>
    <t>rendezvousLocation</t>
  </si>
  <si>
    <t>Rendezvous Location</t>
  </si>
  <si>
    <t>A specified location that is identified and used as a rendezvous point.</t>
  </si>
  <si>
    <t>NoaCode_rendezvousLocation</t>
  </si>
  <si>
    <t>submarineDangerArea</t>
  </si>
  <si>
    <t>Submarine Danger Area</t>
  </si>
  <si>
    <t>NoaCode_submarineDangerArea</t>
  </si>
  <si>
    <t>submarineExerciseArea</t>
  </si>
  <si>
    <t>Submarine Exercise Area</t>
  </si>
  <si>
    <t>An area where military submarine exercises are, or may be, carried out.</t>
  </si>
  <si>
    <t>NoaCode_submarineExerciseArea</t>
  </si>
  <si>
    <t>submarineOperatingArea</t>
  </si>
  <si>
    <t>Submarine Operating Area</t>
  </si>
  <si>
    <t>An area where military submarines conduct operations.</t>
  </si>
  <si>
    <t>NoaCode_submarineOperatingArea</t>
  </si>
  <si>
    <t>submarineStovepipe</t>
  </si>
  <si>
    <t>Submarine Stovepipe</t>
  </si>
  <si>
    <t>A designated circular water column with a specified radius that is used by submarines for vertical navigation between allocated `Depth Separation' layers within a submarine operating area/zone.</t>
  </si>
  <si>
    <t>NoaCode_submarineStovepipe</t>
  </si>
  <si>
    <t>submarineTransitLaneSub</t>
  </si>
  <si>
    <t>Submarine Transit Lane (Submerged)</t>
  </si>
  <si>
    <t>A designated transit lane below the surface used by submarines to effect safe passage.</t>
  </si>
  <si>
    <t>NoaCode_submarineTransitLaneSub</t>
  </si>
  <si>
    <t>submarineTransitLaneSurf</t>
  </si>
  <si>
    <t>Submarine Transit Lane (Surface)</t>
  </si>
  <si>
    <t>A designated transit lane on the surface used by submarines to effect safe passage.</t>
  </si>
  <si>
    <t>NoaCode_submarineTransitLaneSurf</t>
  </si>
  <si>
    <t>surfaceFreeLane</t>
  </si>
  <si>
    <t>Surface Free Lane</t>
  </si>
  <si>
    <t>An area defined within a naval operations area that restricts surface ship movements within submarine transit lanes.</t>
  </si>
  <si>
    <t>NoaCode_surfaceFreeLane</t>
  </si>
  <si>
    <t>surfaceShipSafetyLane</t>
  </si>
  <si>
    <t>Surface Ship Safety Lane</t>
  </si>
  <si>
    <t>A safe transit corridor for surface vessels through an exercise area.</t>
  </si>
  <si>
    <t>NoaCode_surfaceShipSafetyLane</t>
  </si>
  <si>
    <t>underwaterTelephoneTest</t>
  </si>
  <si>
    <t>Underwater Telephone Station Test Area</t>
  </si>
  <si>
    <t>An area designated for testing UQC (now superseded) and/or WQC underwater acoustic telephone systems.</t>
  </si>
  <si>
    <t>The UQC/WQC operational range is limited due signal degradation caused by reverberation in the form of (frequently severe) multipath intersymbol interference.</t>
  </si>
  <si>
    <t>NoaCode_underwaterTelephoneTest</t>
  </si>
  <si>
    <t>navigable</t>
  </si>
  <si>
    <t>Navigable</t>
  </si>
  <si>
    <t>Affording passage to vessels; capable of being navigated.</t>
  </si>
  <si>
    <t>NvsCode_navigable</t>
  </si>
  <si>
    <t>navigableAndOperational</t>
  </si>
  <si>
    <t>Navigable and Operational</t>
  </si>
  <si>
    <t>Affords passage to vessels and is operating in accordance with stated schedule and/or stated depth and clearance.</t>
  </si>
  <si>
    <t>For example, a channel is maintained at stated depth or a lock is manned on a regular schedule.</t>
  </si>
  <si>
    <t>NvsCode_navigableAndOperational</t>
  </si>
  <si>
    <t>navigableButAbandoned</t>
  </si>
  <si>
    <t>Navigable but Abandoned</t>
  </si>
  <si>
    <t>Affords passage to vessels but operational support has been abandoned.</t>
  </si>
  <si>
    <t>For example, a channel remains navigable but may no longer be maintained at stated depth.</t>
  </si>
  <si>
    <t>NvsCode_navigableButAbandoned</t>
  </si>
  <si>
    <t>navigablePeriodicRestrict</t>
  </si>
  <si>
    <t>Navigable with Periodic Restrictions</t>
  </si>
  <si>
    <t>Affords passage to vessels but periodic restrictions apply.</t>
  </si>
  <si>
    <t>For example, seasonally restricted due to ice or only manned at regular intervals.</t>
  </si>
  <si>
    <t>NvsCode_navigablePeriodicRestrict</t>
  </si>
  <si>
    <t>notNavigable</t>
  </si>
  <si>
    <t>Not Navigable</t>
  </si>
  <si>
    <t>Does not afford passage to vessels; incapable of being navigated.</t>
  </si>
  <si>
    <t>NvsCode_notNavigable</t>
  </si>
  <si>
    <t>alternating</t>
  </si>
  <si>
    <t>Alternating</t>
  </si>
  <si>
    <t>A signal light that shows, in any given direction, two or more colours in a regularly repeated sequence with a regular periodicity.</t>
  </si>
  <si>
    <t>ChaCode_alternating</t>
  </si>
  <si>
    <t>A signal light that shows continuously, in any given direction, with constant luminous intensity and colour.</t>
  </si>
  <si>
    <t>ChaCode_fixed</t>
  </si>
  <si>
    <t>fixedAndFlashing</t>
  </si>
  <si>
    <t>Fixed and Flashing</t>
  </si>
  <si>
    <t>A rhythmic light in which a fixed light is combined with a flashing light of higher luminous intensity.</t>
  </si>
  <si>
    <t>ChaCode_fixedAndFlashing</t>
  </si>
  <si>
    <t>fixedLongFlashing</t>
  </si>
  <si>
    <t>Fixed Long-flashing</t>
  </si>
  <si>
    <t>A fixed long-flashing light, in which a single flash of higher luminous intensity of not less than two seconds duration is regularly repeated.</t>
  </si>
  <si>
    <t>ChaCode_fixedLongFlashing</t>
  </si>
  <si>
    <t>fixedWithAlternatingFlash</t>
  </si>
  <si>
    <t>Fixed with Alternating Flashing</t>
  </si>
  <si>
    <t>A fixed flashing light that is alternating in two or more colours.</t>
  </si>
  <si>
    <t>ChaCode_fixedWithAlternatingFlash</t>
  </si>
  <si>
    <t>flashing</t>
  </si>
  <si>
    <t>Flashing</t>
  </si>
  <si>
    <t>A rhythmic light in which the total duration of light in a period is clearly shorter than the total duration of darkness and all the appearances of light are of equal duration.</t>
  </si>
  <si>
    <t>ChaCode_flashing</t>
  </si>
  <si>
    <t>flashingAlternating</t>
  </si>
  <si>
    <t>Flashing Alternating</t>
  </si>
  <si>
    <t>A flashing light that is alternating in two or more colours.</t>
  </si>
  <si>
    <t>ChaCode_flashingAlternating</t>
  </si>
  <si>
    <t>flashingWithLongFlash</t>
  </si>
  <si>
    <t>Flashing with Long-flash</t>
  </si>
  <si>
    <t>A flashing light in which a regular appearance of a long flash (greater than two seconds duration) is regularly repeated.</t>
  </si>
  <si>
    <t>ChaCode_flashingWithLongFlash</t>
  </si>
  <si>
    <t>groupQuickFlashing</t>
  </si>
  <si>
    <t>Group Quick-flashing</t>
  </si>
  <si>
    <t>A light in which flashes are combined in groups including the same number of quick flashes (repetition rate: 50-79 per minute) and in which groups are repeated at regular intervals.</t>
  </si>
  <si>
    <t>Group Quick</t>
  </si>
  <si>
    <t>ChaCode_groupQuickFlashing</t>
  </si>
  <si>
    <t>groupVeryQuickFlashing</t>
  </si>
  <si>
    <t>Group Very Quick-flashing</t>
  </si>
  <si>
    <t>A light in which very quick flashes are combined in groups including the same number of flashes (repetition rate: 80-159 per minute) and in which groups are repeated at regular intervals.</t>
  </si>
  <si>
    <t>Group Very Quick</t>
  </si>
  <si>
    <t>ChaCode_groupVeryQuickFlashing</t>
  </si>
  <si>
    <t>interruptedQuickFlash</t>
  </si>
  <si>
    <t>Interrupted Quick-flashing</t>
  </si>
  <si>
    <t>A quick light in which the sequence of flashes is interrupted by regularly repeated eclipses of constant and long duration.</t>
  </si>
  <si>
    <t>Interrupted Quick</t>
  </si>
  <si>
    <t>ChaCode_interruptedQuickFlash</t>
  </si>
  <si>
    <t>interruptedUltraQuickFlash</t>
  </si>
  <si>
    <t>Interrupted Ultra Quick-flashing</t>
  </si>
  <si>
    <t>A light in which the ultra quick flashes (160 or more per minute) are interrupted at regular intervals by eclipses of long duration.</t>
  </si>
  <si>
    <t>Interrupted Ultra Quick</t>
  </si>
  <si>
    <t>ChaCode_interruptedUltraQuickFlash</t>
  </si>
  <si>
    <t>interruptedVeryQuickFlash</t>
  </si>
  <si>
    <t>Interrupted Very Quick-flashing</t>
  </si>
  <si>
    <t>A light in which the very rapid alterations of light (repetition rate: 80 to 159 flashes, usually either 100 or 120, flashes per minute) and darkness are interrupted at regular intervals by eclipses of long duration.</t>
  </si>
  <si>
    <t>Interrupted Very Quick</t>
  </si>
  <si>
    <t>ChaCode_interruptedVeryQuickFlash</t>
  </si>
  <si>
    <t>isophase</t>
  </si>
  <si>
    <t>Isophase</t>
  </si>
  <si>
    <t>A light with all durations of light and darkness equal.</t>
  </si>
  <si>
    <t>Equal-interval</t>
  </si>
  <si>
    <t>ChaCode_isophase</t>
  </si>
  <si>
    <t>longFlashing</t>
  </si>
  <si>
    <t>Long-flashing</t>
  </si>
  <si>
    <t>A flashing light in which a single flash of not less than two seconds duration is regularly repeated.</t>
  </si>
  <si>
    <t>Long Flash</t>
  </si>
  <si>
    <t>ChaCode_longFlashing</t>
  </si>
  <si>
    <t>longFlashingAlternating</t>
  </si>
  <si>
    <t>Long-flashing Alternating</t>
  </si>
  <si>
    <t>A long-flashing light that is alternating in two or more colours.</t>
  </si>
  <si>
    <t>ChaCode_longFlashingAlternating</t>
  </si>
  <si>
    <t>morseCode</t>
  </si>
  <si>
    <t>Morse Code</t>
  </si>
  <si>
    <t>A rhythmic light in which appearances of light of two clearly different durations are grouped to represent a character or characters in the Morse code.</t>
  </si>
  <si>
    <t>ChaCode_morseCode</t>
  </si>
  <si>
    <t>occulting</t>
  </si>
  <si>
    <t>Occulting</t>
  </si>
  <si>
    <t>A rhythmic light in which the total duration of light in a period is clearly longer than the total duration of darkness and all the eclipses are of equal duration.</t>
  </si>
  <si>
    <t>ChaCode_occulting</t>
  </si>
  <si>
    <t>occultingAlternating</t>
  </si>
  <si>
    <t>Occulting Alternating</t>
  </si>
  <si>
    <t>An occulting light that is alternating in two or more colours.</t>
  </si>
  <si>
    <t>ChaCode_occultingAlternating</t>
  </si>
  <si>
    <t>occultingFlashing</t>
  </si>
  <si>
    <t>Occulting Flashing</t>
  </si>
  <si>
    <t>An occulting light on which is superimposed a flashing light.</t>
  </si>
  <si>
    <t>ChaCode_occultingFlashing</t>
  </si>
  <si>
    <t>quickFlashing</t>
  </si>
  <si>
    <t>Quick-flashing</t>
  </si>
  <si>
    <t>A light exhibiting without interruption very rapid regular alternations of light and darkness (repetition rate: 50-79 per minute).</t>
  </si>
  <si>
    <t>The repetition rate is not less than 50 flashes per minute but less than 80 flashes per minute.</t>
  </si>
  <si>
    <t>Quick</t>
  </si>
  <si>
    <t>ChaCode_quickFlashing</t>
  </si>
  <si>
    <t>quickFlashingWithLongFlash</t>
  </si>
  <si>
    <t>Quick-flashing with Long-flash</t>
  </si>
  <si>
    <t>A quick-flashing light in which a regular appearance of a long flash (greater than two seconds duration) is regularly repeated.</t>
  </si>
  <si>
    <t>The light shows 50 to 79 flashes per minute.</t>
  </si>
  <si>
    <t>ChaCode_quickFlashingWithLongFlash</t>
  </si>
  <si>
    <t>ultraQuickFlashing</t>
  </si>
  <si>
    <t>Ultra Quick-flashing</t>
  </si>
  <si>
    <t>A light showing 160 or more, usually 240 to 300, flashes per minute.</t>
  </si>
  <si>
    <t>Continuous Ultra Quick, Ultra Quick</t>
  </si>
  <si>
    <t>ChaCode_ultraQuickFlashing</t>
  </si>
  <si>
    <t>ultraQuickFlashLongFlash</t>
  </si>
  <si>
    <t>Ultra Quick-flashing with Long-flash</t>
  </si>
  <si>
    <t>An ultra quick-flashing light in which a regular appearance of a long flash (greater than two seconds duration) is regularly repeated.</t>
  </si>
  <si>
    <t>The light shows 160 or more, usually 240 to 300, flashes per minute.</t>
  </si>
  <si>
    <t>ChaCode_ultraQuickFlashLongFlash</t>
  </si>
  <si>
    <t>veryQuickFlashing</t>
  </si>
  <si>
    <t>Very Quick-flashing</t>
  </si>
  <si>
    <t>A light showing 80 to 159, usually either 100 or 120, flashes per minute.</t>
  </si>
  <si>
    <t>Very Quick, Continuous Very Quick-flashing</t>
  </si>
  <si>
    <t>ChaCode_veryQuickFlashing</t>
  </si>
  <si>
    <t>veryQuickFlashLongFlash</t>
  </si>
  <si>
    <t>Very Quick-flashing with Long-flash</t>
  </si>
  <si>
    <t>A very quick-flashing light in which a regular appearance of a long flash (greater than two seconds duration) is regularly repeated.</t>
  </si>
  <si>
    <t>The light shows 80 to 159, usually either 100 or 120, flashes per minute.</t>
  </si>
  <si>
    <t>ChaCode_veryQuickFlashLongFlash</t>
  </si>
  <si>
    <t>Amber, an IALA colour.</t>
  </si>
  <si>
    <t>NmcCode_amber</t>
  </si>
  <si>
    <t>black</t>
  </si>
  <si>
    <t>Black</t>
  </si>
  <si>
    <t>Black, an IALA colour.</t>
  </si>
  <si>
    <t>NmcCode_black</t>
  </si>
  <si>
    <t>blue</t>
  </si>
  <si>
    <t>Blue</t>
  </si>
  <si>
    <t>Blue, an IALA colour.</t>
  </si>
  <si>
    <t>NmcCode_blue</t>
  </si>
  <si>
    <t>brown</t>
  </si>
  <si>
    <t>Brown</t>
  </si>
  <si>
    <t>Brown, an IALA colour.</t>
  </si>
  <si>
    <t>NmcCode_brown</t>
  </si>
  <si>
    <t>green</t>
  </si>
  <si>
    <t>Green</t>
  </si>
  <si>
    <t>Green, an IALA colour.</t>
  </si>
  <si>
    <t>Used in IALA (when unpatterned) to indicate a lateral mark; the direction depends on the IALA Region.</t>
  </si>
  <si>
    <t>NmcCode_green</t>
  </si>
  <si>
    <t>grey</t>
  </si>
  <si>
    <t>Grey</t>
  </si>
  <si>
    <t>Grey, an IALA colour.</t>
  </si>
  <si>
    <t>NmcCode_grey</t>
  </si>
  <si>
    <t>magenta</t>
  </si>
  <si>
    <t>Magenta</t>
  </si>
  <si>
    <t>Magenta, an IALA colour.</t>
  </si>
  <si>
    <t>NmcCode_magenta</t>
  </si>
  <si>
    <t>Orange, an IALA colour.</t>
  </si>
  <si>
    <t>Commonly used as a border for information marks.</t>
  </si>
  <si>
    <t>NmcCode_orange</t>
  </si>
  <si>
    <t>pink</t>
  </si>
  <si>
    <t>Pink</t>
  </si>
  <si>
    <t>Pink, an IALA colour.</t>
  </si>
  <si>
    <t>NmcCode_pink</t>
  </si>
  <si>
    <t>red</t>
  </si>
  <si>
    <t>Red</t>
  </si>
  <si>
    <t>Red, an IALA colour.</t>
  </si>
  <si>
    <t>NmcCode_red</t>
  </si>
  <si>
    <t>violet</t>
  </si>
  <si>
    <t>Violet</t>
  </si>
  <si>
    <t>Violet, an IALA colour.</t>
  </si>
  <si>
    <t>NmcCode_violet</t>
  </si>
  <si>
    <t>white</t>
  </si>
  <si>
    <t>White</t>
  </si>
  <si>
    <t>White, an IALA colour.</t>
  </si>
  <si>
    <t>NmcCode_white</t>
  </si>
  <si>
    <t>yellow</t>
  </si>
  <si>
    <t>Yellow</t>
  </si>
  <si>
    <t>Yellow, an IALA colour.</t>
  </si>
  <si>
    <t>NmcCode_yellow</t>
  </si>
  <si>
    <t>NchCode_distanceMeasuringEquipment</t>
  </si>
  <si>
    <t>(Aeronautical Information Exchange Model (AIXM): 'GNSS')</t>
  </si>
  <si>
    <t>For example: GLONASS, GPS, WAAS, or EGNOS.</t>
  </si>
  <si>
    <t>NchCode_globalNavSatelliteSystem</t>
  </si>
  <si>
    <t>(Aeronautical Information Exchange Model (AIXM): 'INS')</t>
  </si>
  <si>
    <t>inertialNavSystemInitPoint</t>
  </si>
  <si>
    <t>Inertial Navigation System (INS) Initialization Point</t>
  </si>
  <si>
    <t>An identified location on an aerodrome surface where initialization of an Inertial Navigation System (INS) may take place.</t>
  </si>
  <si>
    <t>NchCode_inertialNavSystemInitPoint</t>
  </si>
  <si>
    <t>Non-directional Beacon (NDB)</t>
  </si>
  <si>
    <t>NchCode_nonDirectionalBeacon</t>
  </si>
  <si>
    <t>tacticalAirNavAidBeacon</t>
  </si>
  <si>
    <t>NchCode_tacticalAirNavAidBeacon</t>
  </si>
  <si>
    <t>vhfOmniRadioBeacon</t>
  </si>
  <si>
    <t>VHF Omnidirectional Radio Range (VOR) Beacon</t>
  </si>
  <si>
    <t>NchCode_vhfOmniRadioBeacon</t>
  </si>
  <si>
    <t>aeronauticalRadio</t>
  </si>
  <si>
    <t>Aeronautical Radio</t>
  </si>
  <si>
    <t>NstCode_aeronauticalRadio</t>
  </si>
  <si>
    <t>aeronauticalRadioRange</t>
  </si>
  <si>
    <t>Aeronautical Radio Range</t>
  </si>
  <si>
    <t>NstCode_aeronauticalRadioRange</t>
  </si>
  <si>
    <t>airRouteSurvRadar</t>
  </si>
  <si>
    <t>NstCode_airRouteSurvRadar</t>
  </si>
  <si>
    <t>Airport Surveillance Radar (ASR) is designed to provide relatively short-range coverage in the general vicinity of an aerodrome and to serve as an expeditious means of handling terminal area traffic through observation of precise aircraft locations on a radarscope.</t>
  </si>
  <si>
    <t>NstCode_airportSurveillanceRadar</t>
  </si>
  <si>
    <t>boneMarker</t>
  </si>
  <si>
    <t>Bone Marker</t>
  </si>
  <si>
    <t>An electronic navigation system transmitting a 75 megahertz bone-shaped radiation pattern.</t>
  </si>
  <si>
    <t>NstCode_boneMarker</t>
  </si>
  <si>
    <t>chaika</t>
  </si>
  <si>
    <t>Chaika (Chayka)</t>
  </si>
  <si>
    <t>NstCode_chaika</t>
  </si>
  <si>
    <t>circularRadioBeacon</t>
  </si>
  <si>
    <t>Circular Radio Beacon</t>
  </si>
  <si>
    <t>NstCode_circularRadioBeacon</t>
  </si>
  <si>
    <t>consolRadioBeacon</t>
  </si>
  <si>
    <t>CONSOL Radio Beacon</t>
  </si>
  <si>
    <t>A type of long-range position fixing radio beacon.</t>
  </si>
  <si>
    <t>NstCode_consolRadioBeacon</t>
  </si>
  <si>
    <t>decca</t>
  </si>
  <si>
    <t>DECCA</t>
  </si>
  <si>
    <t>A high accuracy, short- to medium-range radio NAVAID intended for coastal and landfall navigation.</t>
  </si>
  <si>
    <t>NstCode_decca</t>
  </si>
  <si>
    <t>differentialGps</t>
  </si>
  <si>
    <t>Differential GPS</t>
  </si>
  <si>
    <t>NstCode_differentialGps</t>
  </si>
  <si>
    <t>NstCode_directionalRadiobeacon</t>
  </si>
  <si>
    <t>distanceFinding</t>
  </si>
  <si>
    <t>Distance Finding</t>
  </si>
  <si>
    <t>NstCode_distanceFinding</t>
  </si>
  <si>
    <t>distMeasEquip</t>
  </si>
  <si>
    <t>Ultra High Frequency (UHF) ground equipment used in conjunction with airborne equipment, operating on the interrogation-answer principle where the time required for the round trip of the signal exchange is measured in the airborne Distance Measuring Equipment (DME) unit and translated into DME distance.</t>
  </si>
  <si>
    <t>The DME distance is defined as the line of sight distance (slant range) from the source of a DME signal to the receiving antenna.</t>
  </si>
  <si>
    <t>NstCode_distMeasEquip</t>
  </si>
  <si>
    <t>Fan Marker (FM)</t>
  </si>
  <si>
    <t>A type of marker radiobeacon, the emissions of which radiate in a vertical fan-shaped pattern for general use.</t>
  </si>
  <si>
    <t>NstCode_fanMarker</t>
  </si>
  <si>
    <t>glideSlope</t>
  </si>
  <si>
    <t>Glide Slope</t>
  </si>
  <si>
    <t>A component of an Instrument Landing System (ILS) consisting of an Ultra High Frequency (UHF) transmitter radiating signals and providing a straight line descent path in the vertical plane containing the centreline of the runway served by the ILS, and thereby furnishing descent information down to the lowest authorized decision height or to the surface of a runway, depending on the Facility Performance Category of the ILS.</t>
  </si>
  <si>
    <t>The descent information is that locus of points in the vertical plane containing the runway centreline at which the receiver indicator deflection is zero.</t>
  </si>
  <si>
    <t>NstCode_glideSlope</t>
  </si>
  <si>
    <t>groundControlledApproach</t>
  </si>
  <si>
    <t>Ground Controlled Approach (GCA)</t>
  </si>
  <si>
    <t>NstCode_groundControlledApproach</t>
  </si>
  <si>
    <t>gsm</t>
  </si>
  <si>
    <t>GSM</t>
  </si>
  <si>
    <t>Global System for Mobiles; used as a method of location positioning in conjunction with GPS.</t>
  </si>
  <si>
    <t>NstCode_gsm</t>
  </si>
  <si>
    <t>hifix</t>
  </si>
  <si>
    <t>Hifix</t>
  </si>
  <si>
    <t>NstCode_hifix</t>
  </si>
  <si>
    <t>hyperfix</t>
  </si>
  <si>
    <t>Hyperfix</t>
  </si>
  <si>
    <t>NstCode_hyperfix</t>
  </si>
  <si>
    <t>ilsBackCourse</t>
  </si>
  <si>
    <t>ILS Back Course</t>
  </si>
  <si>
    <t>NstCode_ilsBackCourse</t>
  </si>
  <si>
    <t>innerMarker</t>
  </si>
  <si>
    <t>Inner Marker (IM)</t>
  </si>
  <si>
    <t>A marker beacon used with an Instrument Landing System (ILS) CAT II precision approach located between the middle marker and the end of the ILS runway.</t>
  </si>
  <si>
    <t>NstCode_innerMarker</t>
  </si>
  <si>
    <t>NstCode_instrumentLandingSystem</t>
  </si>
  <si>
    <t>ilsGlideSlopeDistMeasEq</t>
  </si>
  <si>
    <t>Instrument Landing System (ILS) Glide Slope with Distance Measuring Equipment (DME)</t>
  </si>
  <si>
    <t>The colocation of Instrument Landing System (ILS) glide slope equipment with Distance Measuring Equipment (DME).</t>
  </si>
  <si>
    <t>NstCode_ilsGlideSlopeDistMeasEq</t>
  </si>
  <si>
    <t>instLandSysDistMeasEquip</t>
  </si>
  <si>
    <t>Instrument Landing System (ILS) with Distance Measuring Equipment (DME) (ILS/DME)</t>
  </si>
  <si>
    <t>A combination of radio navigation services intended to facilitate aircraft in landing by providing lateral and vertical guidance including indications of distance from the optimum point of landing that is collocated with Distance Measuring Equipment (DME).</t>
  </si>
  <si>
    <t>NstCode_instLandSysDistMeasEquip</t>
  </si>
  <si>
    <t>llzLocalizer</t>
  </si>
  <si>
    <t>LLZ (Localizer)</t>
  </si>
  <si>
    <t>NstCode_llzLocalizer</t>
  </si>
  <si>
    <t>Localizer (LOC)</t>
  </si>
  <si>
    <t>A component of an Instrument Landing System (ILS) consisting of a Very High Frequency (VHF) transmitter, radiating signals in the direction served by the ILS, and providing a straight line azimuth path in the horizontal plane containing the centre line of the runway.</t>
  </si>
  <si>
    <t>NstCode_localizer</t>
  </si>
  <si>
    <t>localizerBackCourseMarker</t>
  </si>
  <si>
    <t>Localizer (LOC) Back Course Marker</t>
  </si>
  <si>
    <t>NstCode_localizerBackCourseMarker</t>
  </si>
  <si>
    <t>localizerDistMeasEquip</t>
  </si>
  <si>
    <t>Localizer (LOC) with Distance Measuring Equipment (DME) (LOC/DME)</t>
  </si>
  <si>
    <t>The colocation of Instrument Landing System Localizer (LOC) equipment with Distance Measuring Equipment (DME).</t>
  </si>
  <si>
    <t>NstCode_localizerDistMeasEquip</t>
  </si>
  <si>
    <t>localizerTypeDirAid</t>
  </si>
  <si>
    <t>Localizer type Direction Aid (LDA)</t>
  </si>
  <si>
    <t>NstCode_localizerTypeDirAid</t>
  </si>
  <si>
    <t>locatorWithoutDmeIm</t>
  </si>
  <si>
    <t>Locator (without DME IM) Beacon (L)</t>
  </si>
  <si>
    <t>NstCode_locatorWithoutDmeIm</t>
  </si>
  <si>
    <t>locatorMiddleMarker</t>
  </si>
  <si>
    <t>Locator Middle Marker (LMM)</t>
  </si>
  <si>
    <t>A Non-Directional Radio Beacon (NDB) used as an Instrument Landing System (ILS) Middle Marker.</t>
  </si>
  <si>
    <t>NstCode_locatorMiddleMarker</t>
  </si>
  <si>
    <t>locatorOuterMarker</t>
  </si>
  <si>
    <t>Locator Outer Marker (LOM)</t>
  </si>
  <si>
    <t>A Non-Directional Radio Beacon (NDB) used as an Instrument Landing System (ILS) Outer Marker.</t>
  </si>
  <si>
    <t>NstCode_locatorOuterMarker</t>
  </si>
  <si>
    <t>loran</t>
  </si>
  <si>
    <t>Long Range Air Navigation System (LORAN)</t>
  </si>
  <si>
    <t>A low frequency electronic position fixing system using pulsed transmissions at 100 kilohertz.</t>
  </si>
  <si>
    <t>NstCode_loran</t>
  </si>
  <si>
    <t>markerRadioBeacon</t>
  </si>
  <si>
    <t>Marker Radio Beacon (MKR)</t>
  </si>
  <si>
    <t>A radio navigation service identifying a particular location in space by means of a 75 MHz transmitter which transmits a directional signal to be received by aircraft flying overhead.</t>
  </si>
  <si>
    <t>NstCode_markerRadioBeacon</t>
  </si>
  <si>
    <t>microwave</t>
  </si>
  <si>
    <t>Microwave</t>
  </si>
  <si>
    <t>NstCode_microwave</t>
  </si>
  <si>
    <t>A precision approach and landing guidance system operating in the microwave spectrum, which provides position information and various ground-to-air data; the position information is provided in a wide coverage sector and is determined by an azimuth angle measurement, an elevation angle measurement and a range (distance) measurement.</t>
  </si>
  <si>
    <t>A precision instrument approach system operating in the microwave spectrum that normally consists of three components: an azimuth station, an elevation station, and precision Distance Measuring Equipment (DME).</t>
  </si>
  <si>
    <t>NstCode_microwaveLandingSystem</t>
  </si>
  <si>
    <t>microwaveLandingSysAzimuth</t>
  </si>
  <si>
    <t>A component of a Microwave Landing System (MLS) consisting of a Super High Frequency (SHF) transmitter radiating signals to provide a lateral position indication to an aircraft approaching the runway.</t>
  </si>
  <si>
    <t>NstCode_microwaveLandingSysAzimuth</t>
  </si>
  <si>
    <t>microwaveLandingSysElev</t>
  </si>
  <si>
    <t>A component of a Microwave Landing System (MLS) consisting of a Super High Frequency (SHF) transmitter radiating signals to provide a vertical position indication as an angular value to an aircraft approaching the runway.</t>
  </si>
  <si>
    <t>NstCode_microwaveLandingSysElev</t>
  </si>
  <si>
    <t>middleMarker</t>
  </si>
  <si>
    <t>Middle Marker (MM)</t>
  </si>
  <si>
    <t>A marker beacon that defines a point along the glide slope of an Instrument Landing System (ILS) normally located at or near the decision height of an ILS Category I approach.</t>
  </si>
  <si>
    <t>The signal is keyed to transmit two dashes per second on a 400 Hz modulation frequency. The signal can be received aurally and visually by compatible airborne equipment. The outer marker is normally located four to seven miles from the runway threshold on the extended centerline of the runway.</t>
  </si>
  <si>
    <t>NstCode_middleMarker</t>
  </si>
  <si>
    <t>nonDirRadioBeacon</t>
  </si>
  <si>
    <t>An L/MF or UHF radio beacon transmitting non-directional (omnidirectional) signals whereby the pilot of an aircraft equipped with direction finding equipment can determine his bearing to or from the radio beacon and 'home' on, or track to or from, the station.</t>
  </si>
  <si>
    <t>NstCode_nonDirRadioBeacon</t>
  </si>
  <si>
    <t>nonDirRadioBeaDistMeasEq</t>
  </si>
  <si>
    <t>Non-Directional Radio Beacon (NDB) with Distance Measuring Equipment (DME) (NDB/DME)</t>
  </si>
  <si>
    <t>A non-directional radio beacon combined with distance measuring equipment.</t>
  </si>
  <si>
    <t>NstCode_nonDirRadioBeaDistMeasEq</t>
  </si>
  <si>
    <t>NstCode_none</t>
  </si>
  <si>
    <t>omega</t>
  </si>
  <si>
    <t>OMEGA</t>
  </si>
  <si>
    <t>A long-range radio navigational aid, which operates within the VLF band.</t>
  </si>
  <si>
    <t>The system comprises eight land-based stations.</t>
  </si>
  <si>
    <t>NstCode_omega</t>
  </si>
  <si>
    <t>outerMarker</t>
  </si>
  <si>
    <t>Outer Marker (OM)</t>
  </si>
  <si>
    <t>The signal is keyed to transmit alternate dots and dashes at the rate of 95 dot/dash combinations per minute on a 1300 Hz modulation frequency. The signal can be received aurally and visually by compatible airborne equipment. The middle marker should be located so as to indicate, in low visibility conditions, the missed approach point, and the point that visual contact with the runway is imminent.</t>
  </si>
  <si>
    <t>NstCode_outerMarker</t>
  </si>
  <si>
    <t>parTouchdownReflector</t>
  </si>
  <si>
    <t>PAR Touchdown Reflector</t>
  </si>
  <si>
    <t>A device normally placed near the threshold of a runway that is used for reflecting radar signals when conducting a Precision Approach Radar (PAR) approach.</t>
  </si>
  <si>
    <t>NstCode_parTouchdownReflector</t>
  </si>
  <si>
    <t>Precision Approach Path Indicator (PAPI)</t>
  </si>
  <si>
    <t>NstCode_papi</t>
  </si>
  <si>
    <t>Radar equipment used to detect and display azimuth, elevation, and range of aircraft on the final approach course to a runway.</t>
  </si>
  <si>
    <t>NstCode_precisionApproachRadar</t>
  </si>
  <si>
    <t>pulsatingVisAppSlopeInd</t>
  </si>
  <si>
    <t>Pulsating Visual Approach Slope Indicator (PVASI)</t>
  </si>
  <si>
    <t>NstCode_pulsatingVisAppSlopeInd</t>
  </si>
  <si>
    <t>QTG Station (R)</t>
  </si>
  <si>
    <t>NstCode_qtgStation</t>
  </si>
  <si>
    <t>A system for detecting the presence of objects at a distance and determining their position or motion by transmitting short radio waves and detecting or measuring the return of these after being reflected by the objects.</t>
  </si>
  <si>
    <t>NstCode_radar</t>
  </si>
  <si>
    <t>radarAntenna</t>
  </si>
  <si>
    <t>Radar Antenna</t>
  </si>
  <si>
    <t>The antenna of a radio detection device that provides information on range, azimuth, and/or elevation of objects.</t>
  </si>
  <si>
    <t>NstCode_radarAntenna</t>
  </si>
  <si>
    <t>The transmission forms a line of Morse characters on a plan position indicator (PPI) radar display that radiates from the centre of the display to its edge. Periodic transmissions every few seconds are often used so that important radar targets behind the RAMARK beacon are not masked by the Morse characters.</t>
  </si>
  <si>
    <t>NstCode_radarMarker</t>
  </si>
  <si>
    <t>radarReflector</t>
  </si>
  <si>
    <t>Radar Reflector</t>
  </si>
  <si>
    <t>NstCode_radarReflector</t>
  </si>
  <si>
    <t>When a RACON receives a radar pulse, it responds with a signal on the same frequency that leaves an image on the plan position indicator (PPI) radar display that radiates from the centre of the display to its edge. This takes the form of a short line of dots and dashes forming a Morse character radiating away from the location of the beacon.</t>
  </si>
  <si>
    <t>NstCode_radarResponderBeacon</t>
  </si>
  <si>
    <t>radarStation</t>
  </si>
  <si>
    <t>NstCode_radarStation</t>
  </si>
  <si>
    <t>Transmitting and/or receiving radio-frequency electromagnetic waves as a means of communication.</t>
  </si>
  <si>
    <t>NstCode_radio</t>
  </si>
  <si>
    <t>radioDirectionFinding</t>
  </si>
  <si>
    <t>Radio Direction Finding</t>
  </si>
  <si>
    <t>A radio receiver equipped with a directional sensing aerial used to take bearings on a radio transmitter.</t>
  </si>
  <si>
    <t>NstCode_radioDirectionFinding</t>
  </si>
  <si>
    <t>radioRange</t>
  </si>
  <si>
    <t>Radio Range (RNG)</t>
  </si>
  <si>
    <t>NstCode_radioRange</t>
  </si>
  <si>
    <t>radioStation</t>
  </si>
  <si>
    <t>Radio Station</t>
  </si>
  <si>
    <t>NstCode_radioStation</t>
  </si>
  <si>
    <t>radioTelephone</t>
  </si>
  <si>
    <t>Radio Telephone</t>
  </si>
  <si>
    <t>A radio apparatus resembling a telephone but operating by means of radio waves transmitted between the instruments.</t>
  </si>
  <si>
    <t>NstCode_radioTelephone</t>
  </si>
  <si>
    <t>NstCode_radiobeacon</t>
  </si>
  <si>
    <t>radioTelegraph</t>
  </si>
  <si>
    <t>Radio-telegraph</t>
  </si>
  <si>
    <t>An instrument for sending radio-telegrams.</t>
  </si>
  <si>
    <t>NstCode_radioTelegraph</t>
  </si>
  <si>
    <t>rotatingBeaconLight</t>
  </si>
  <si>
    <t>Rotating Beacon Light</t>
  </si>
  <si>
    <t>NstCode_rotatingBeaconLight</t>
  </si>
  <si>
    <t>rotatingLoopRadioBeacon</t>
  </si>
  <si>
    <t>Rotating Loop Radio Beacon</t>
  </si>
  <si>
    <t>NstCode_rotatingLoopRadioBeacon</t>
  </si>
  <si>
    <t>simplifiedDirectFacility</t>
  </si>
  <si>
    <t>A directional aid facility providing only lateral guidance (front or back course) for approach from a final approach fix.</t>
  </si>
  <si>
    <t>The Simplified Directional Facility (SDF) antenna may be offset from the runway centerline. Because of this, the angle of convergence between the final approach course and the runway bearing should be determined by reference to the instrument approach procedure chart. This angle is generally not more than 3 degrees. However, it should be noted that inasmuch as the approach course originates at the antenna site, an approach which is continued beyond the runway threshold will lead the aircraft to the SDF offset position rather than along the runway centerline.</t>
  </si>
  <si>
    <t>NstCode_simplifiedDirectFacility</t>
  </si>
  <si>
    <t>syledis</t>
  </si>
  <si>
    <t>Syledis</t>
  </si>
  <si>
    <t>NstCode_syledis</t>
  </si>
  <si>
    <t>teeVisAppSlopeInd</t>
  </si>
  <si>
    <t>T' Visual Approach Slope Indicator (TVASI)</t>
  </si>
  <si>
    <t>NstCode_teeVisAppSlopeInd</t>
  </si>
  <si>
    <t>tacticalAirNavigationAid</t>
  </si>
  <si>
    <t>Tactical Air Navigation Aid (TACAN)</t>
  </si>
  <si>
    <t>A navigation system developed by military and naval forces providing, as far as the navigating pilot is concerned and for suitably equipped aircraft, the same indication as a VOR/DME system. The DME distance is defined as the line of sight distance (slant range) from the source of a DME signal to the receiving antenna.</t>
  </si>
  <si>
    <t>NstCode_tacticalAirNavigationAid</t>
  </si>
  <si>
    <t>television</t>
  </si>
  <si>
    <t>Television (TV)</t>
  </si>
  <si>
    <t>A system for reproducing on a screen visual images transmitted (usually with sound) by radio signals.</t>
  </si>
  <si>
    <t>NstCode_television</t>
  </si>
  <si>
    <t>toran</t>
  </si>
  <si>
    <t>Toran</t>
  </si>
  <si>
    <t>NstCode_toran</t>
  </si>
  <si>
    <t>tricolorPanel</t>
  </si>
  <si>
    <t>Tricolor Panel</t>
  </si>
  <si>
    <t>NstCode_tricolorPanel</t>
  </si>
  <si>
    <t>triColorVisAppSlopeInd</t>
  </si>
  <si>
    <t>Tri-Color Visual Approach Slope Indicator (TRCV)</t>
  </si>
  <si>
    <t>NstCode_triColorVisAppSlopeInd</t>
  </si>
  <si>
    <t>radiobeaconTypeUnknown</t>
  </si>
  <si>
    <t>Unspecified Radio Beacon</t>
  </si>
  <si>
    <t>A radio transmitter which emits a distinctive, or characteristic, signal that may be used for the determination of bearings, courses, or location, where the nature and/or purpose of the signal is unknown.</t>
  </si>
  <si>
    <t>NstCode_radiobeaconTypeUnknown</t>
  </si>
  <si>
    <t>VHF Omnidirectional Radio Beacon (VOR)</t>
  </si>
  <si>
    <t>A radio navigation service which uses phase comparisons of a ground transmitted signal to determine bearing.</t>
  </si>
  <si>
    <t>This term is derived from the words 'very high frequency omnidirectional radio range'.</t>
  </si>
  <si>
    <t>NstCode_vhfOmniRadioBeacon</t>
  </si>
  <si>
    <t>vhfOmniBeacDistMeasEq</t>
  </si>
  <si>
    <t>VHF Omnidirectional Radio Beacon (VOR) with Distance Measuring Equipment (DME) (VOR/DME)</t>
  </si>
  <si>
    <t>The colocation of a VHF Omnidirectional Radio beacon (VOR) with Distance Measuring Equipment (DME).</t>
  </si>
  <si>
    <t>NstCode_vhfOmniBeacDistMeasEq</t>
  </si>
  <si>
    <t>vhfOmniBeacTacAirNav</t>
  </si>
  <si>
    <t>VHF Omnidirectional Radio Beacon (VOR) with Tactical Air Navigation Aid (TACAN) (VORTAC)</t>
  </si>
  <si>
    <t>A facility consisting of two components, a VHF Omnidirectional Radio beacon (VOR) and a Tactical Air Navigation Aid (TACAN), that provides three individual services: VOR azimuth, TACAN azimuth and TACAN distance (Distance Measuring Equipemnt: DME) at one site.</t>
  </si>
  <si>
    <t>Although consisting of more than one component, incorporating more than one operating frequency, and using more than one antenna system, a VORTAC is considered to be a unified navigational aid.</t>
  </si>
  <si>
    <t>NstCode_vhfOmniBeacTacAirNav</t>
  </si>
  <si>
    <t>visualApproachSlopeIndicat</t>
  </si>
  <si>
    <t>Visual Approach Slope Indicator (VASI)</t>
  </si>
  <si>
    <t>NstCode_visualApproachSlopeIndicat</t>
  </si>
  <si>
    <t>vfrTestSignalMaker</t>
  </si>
  <si>
    <t>Visual Flight Rules (VFR) Test Signal Maker</t>
  </si>
  <si>
    <t>NstCode_vfrTestSignalMaker</t>
  </si>
  <si>
    <t>autumn</t>
  </si>
  <si>
    <t>Autumn</t>
  </si>
  <si>
    <t>The third season of the year, coming between summer and winter, reckoned astronomically from the autumnal equinox to the winter solstice.</t>
  </si>
  <si>
    <t>For example, in the northern hemisphere, nominally from September 21 to December 21.</t>
  </si>
  <si>
    <t>StlCode_autumn</t>
  </si>
  <si>
    <t>The first season of the year, coming between winter and summer, reckoned astronomically from the vernal equinox to the summer solstice.</t>
  </si>
  <si>
    <t>For example, in the northern hemisphere, nominally from March 21 to June 21.</t>
  </si>
  <si>
    <t>StlCode_spring</t>
  </si>
  <si>
    <t>summer</t>
  </si>
  <si>
    <t>Summer</t>
  </si>
  <si>
    <t>The second and warmest season of the year, coming between spring and autumn; reckoned astronomically from the summer solstice to the autumnal equinox.</t>
  </si>
  <si>
    <t>For example, in the northern hemisphere, nominally from June 21 to September 21.</t>
  </si>
  <si>
    <t>StlCode_summer</t>
  </si>
  <si>
    <t>winter</t>
  </si>
  <si>
    <t>Winter</t>
  </si>
  <si>
    <t>The fourth and coldest season of the year, coming between autumn and spring; reckoned astronomically from the winter solstice to the vernal equinox.</t>
  </si>
  <si>
    <t>For example, in the northern hemisphere, nominally from December 21 to March 21.</t>
  </si>
  <si>
    <t>StlCode_winter</t>
  </si>
  <si>
    <t>9-14 NOMBO per square nautical mile.</t>
  </si>
  <si>
    <t>DmnCode_heavy</t>
  </si>
  <si>
    <t>1-4 NOMBO per square nautical mile.</t>
  </si>
  <si>
    <t>DmnCode_light</t>
  </si>
  <si>
    <t>5-8 NOMBO per square nautical mile.</t>
  </si>
  <si>
    <t>DmnCode_medium</t>
  </si>
  <si>
    <t>15 NOMBO per square nautical mile, or more.</t>
  </si>
  <si>
    <t>DmnCode_veryHeavy</t>
  </si>
  <si>
    <t>actionReport</t>
  </si>
  <si>
    <t>Action Report</t>
  </si>
  <si>
    <t>Report of a hazard taken from a nation's military action report(s) generated by military authorities after a military engagement.</t>
  </si>
  <si>
    <t>RagCode_actionReport</t>
  </si>
  <si>
    <t>casualtyReport</t>
  </si>
  <si>
    <t>Casualty Report</t>
  </si>
  <si>
    <t>Report of a hazard taken from a nation's reporting of maritime incident(s).</t>
  </si>
  <si>
    <t>Incidents occurring on a nation's navigable waters are reported if they involve vessels of any nationality. Incidents occurring elsewhere are reported by a particular nation when that nation's documented vessel(s) are involved, and when the incident results in damage by or to any non-public vessel or its cargo, and/or when the incident results in an injury to a person which requires professional medical treatment beyond first aid or in the death of a person.</t>
  </si>
  <si>
    <t>RagCode_casualtyReport</t>
  </si>
  <si>
    <t>chart</t>
  </si>
  <si>
    <t>Chart</t>
  </si>
  <si>
    <t>Report of a hazard taken from a nation's nautical charts published by that nation's responsible hydrographic authority.</t>
  </si>
  <si>
    <t>RagCode_chart</t>
  </si>
  <si>
    <t>chartRecords</t>
  </si>
  <si>
    <t>Chart Records</t>
  </si>
  <si>
    <t>Report of a hazard taken from a nation's nautical chart records made available through that nation's responsible hydrographic authority.</t>
  </si>
  <si>
    <t>RagCode_chartRecords</t>
  </si>
  <si>
    <t>coastGuardRecords</t>
  </si>
  <si>
    <t>Coast Guard Records</t>
  </si>
  <si>
    <t>Report of a hazard taken from a nation's coast guard records.</t>
  </si>
  <si>
    <t>RagCode_coastGuardRecords</t>
  </si>
  <si>
    <t>hydroAdmiraltyOffice</t>
  </si>
  <si>
    <t>Hydrographic/Admiralty Office</t>
  </si>
  <si>
    <t>Report of a hazard taken from a nation's hydrographic office(s).</t>
  </si>
  <si>
    <t>RagCode_hydroAdmiraltyOffice</t>
  </si>
  <si>
    <t>madReport</t>
  </si>
  <si>
    <t>MAD Report</t>
  </si>
  <si>
    <t>Report of a hazard taken from a nation's magnetic anomaly detection reports.</t>
  </si>
  <si>
    <t>RagCode_madReport</t>
  </si>
  <si>
    <t>minesweeper</t>
  </si>
  <si>
    <t>Minesweeper</t>
  </si>
  <si>
    <t>Report of a hazard taken from a nation's military minesweeping mission reports.</t>
  </si>
  <si>
    <t>RagCode_minesweeper</t>
  </si>
  <si>
    <t>northSeaFishingCharts</t>
  </si>
  <si>
    <t>North Sea Fishing Charts</t>
  </si>
  <si>
    <t>Report of a hazard taken from a nation's fishing charts.</t>
  </si>
  <si>
    <t>RagCode_northSeaFishingCharts</t>
  </si>
  <si>
    <t>noticeToMariners</t>
  </si>
  <si>
    <t>Report of a hazard taken from a nation's hydrographic office's weekly Notice to Mariners updates to nautical charts and publications.</t>
  </si>
  <si>
    <t>RagCode_noticeToMariners</t>
  </si>
  <si>
    <t>photographReport</t>
  </si>
  <si>
    <t>Photograph Report</t>
  </si>
  <si>
    <t>Report of a hazard taken from photographs taken by divers.</t>
  </si>
  <si>
    <t>RagCode_photographReport</t>
  </si>
  <si>
    <t>positionAccurateFieldCheck</t>
  </si>
  <si>
    <t>Position Accurate Field Check</t>
  </si>
  <si>
    <t>Report of a hazard taken from a nation reports which is then verified by field reporting.</t>
  </si>
  <si>
    <t>RagCode_positionAccurateFieldCheck</t>
  </si>
  <si>
    <t>salvageReport</t>
  </si>
  <si>
    <t>Salvage Report</t>
  </si>
  <si>
    <t>Report of a hazard taken from salvage company reports.</t>
  </si>
  <si>
    <t>RagCode_salvageReport</t>
  </si>
  <si>
    <t>sonarReport</t>
  </si>
  <si>
    <t>Sonar Report</t>
  </si>
  <si>
    <t>Report of a hazard taken from a nation's sonar contact reports, made to verify depth and position of the hazard.</t>
  </si>
  <si>
    <t>RagCode_sonarReport</t>
  </si>
  <si>
    <t>Report of a hazard taken from a hydrographic survey performed to verify the position and depth of a wreck.</t>
  </si>
  <si>
    <t>RagCode_survey</t>
  </si>
  <si>
    <t>survivorReport</t>
  </si>
  <si>
    <t>Survivor Report</t>
  </si>
  <si>
    <t>Report of a hazard taken from direct reporting by survivors of a wreck.</t>
  </si>
  <si>
    <t>RagCode_survivorReport</t>
  </si>
  <si>
    <t>undiffSonarOrMadReport</t>
  </si>
  <si>
    <t>Undifferentiated Sonar or MAD Report</t>
  </si>
  <si>
    <t>Report of a hazard taken from either SONAR or MAD devices, the specific type of device not being specified.</t>
  </si>
  <si>
    <t>RagCode_undiffSonarOrMadReport</t>
  </si>
  <si>
    <t>usCoastGeodOceanSrvReport</t>
  </si>
  <si>
    <t>US Coast &amp; Geodetic Survey/National Ocean Service Report</t>
  </si>
  <si>
    <t>Report of a hazard taken from United States Coastal Authorities.</t>
  </si>
  <si>
    <t>RagCode_usCoastGeodOceanSrvReport</t>
  </si>
  <si>
    <t>usNavalHeadCommandsReport</t>
  </si>
  <si>
    <t>US Naval Headquarters/Commands Report</t>
  </si>
  <si>
    <t>Report of a hazard taken from United States Naval Reports.</t>
  </si>
  <si>
    <t>RagCode_usNavalHeadCommandsReport</t>
  </si>
  <si>
    <t>wreckList</t>
  </si>
  <si>
    <t>Wreck List</t>
  </si>
  <si>
    <t>Report of a hazard taken from a nation's compilation of known wrecks and non-submarine contacts which is commonly referred to as a 'wreck list'.</t>
  </si>
  <si>
    <t>RagCode_wreckList</t>
  </si>
  <si>
    <t>(Aeronautical Information Exchange Model (AIXM): 'GRID')</t>
  </si>
  <si>
    <t>gridNorth</t>
  </si>
  <si>
    <t>Grid North</t>
  </si>
  <si>
    <t>The direction of the north-south lines of the Universal Transverse Mercator (UTM) grid overlaid on topographic maps.</t>
  </si>
  <si>
    <t>The grid system was developed by the United States and NATO.</t>
  </si>
  <si>
    <t>NrtCode_gridNorth</t>
  </si>
  <si>
    <t>magneticNorth</t>
  </si>
  <si>
    <t>Magnetic North</t>
  </si>
  <si>
    <t>The direction indicated by the north seeking pole of a freely suspended magnetic needle, influenced only by the earth's magnetic field.</t>
  </si>
  <si>
    <t>NrtCode_magneticNorth</t>
  </si>
  <si>
    <t>trueNorth</t>
  </si>
  <si>
    <t>True North</t>
  </si>
  <si>
    <t>The direction from a position to the geographic north pole.</t>
  </si>
  <si>
    <t>The north direction of any geographic meridian.</t>
  </si>
  <si>
    <t>NrtCode_trueNorth</t>
  </si>
  <si>
    <t>delta</t>
  </si>
  <si>
    <t>Delta</t>
  </si>
  <si>
    <t>Developed on the fertile sediments of a river delta (for example: the Nile delta).</t>
  </si>
  <si>
    <t>Similar to a river oasis.</t>
  </si>
  <si>
    <t>OtcCode_delta</t>
  </si>
  <si>
    <t>groundwater</t>
  </si>
  <si>
    <t>Receiving its water from groundwater levels close to the surface caught by lifting.</t>
  </si>
  <si>
    <t>OtcCode_groundwater</t>
  </si>
  <si>
    <t>Irrigated by an exotic river.</t>
  </si>
  <si>
    <t>An exotic river is a running water in an arid area with a stream flow because of its origin in an area with rainfall; for example: the Nile.</t>
  </si>
  <si>
    <t>OtcCode_river</t>
  </si>
  <si>
    <t>Receiving its water from places with a natural outflow of groundwater.</t>
  </si>
  <si>
    <t>OtcCode_spring</t>
  </si>
  <si>
    <t>moreThanOne</t>
  </si>
  <si>
    <t>More than One</t>
  </si>
  <si>
    <t>Multiple obstruction lights are present.</t>
  </si>
  <si>
    <t>OlqCode_moreThanOne</t>
  </si>
  <si>
    <t>nonePresent</t>
  </si>
  <si>
    <t>None Present</t>
  </si>
  <si>
    <t>No obstruction lights are present.</t>
  </si>
  <si>
    <t>OlqCode_nonePresent</t>
  </si>
  <si>
    <t>one</t>
  </si>
  <si>
    <t>One</t>
  </si>
  <si>
    <t>A single obstruction light is present.</t>
  </si>
  <si>
    <t>OlqCode_one</t>
  </si>
  <si>
    <t>anomalousMargin</t>
  </si>
  <si>
    <t>Anomalous Margin</t>
  </si>
  <si>
    <t>An atypical area of the continental margin that is characterized by neither terrigenous sediments nor non-basaltic rocks.</t>
  </si>
  <si>
    <t>LpcCode_anomalousMargin</t>
  </si>
  <si>
    <t>continentalRock</t>
  </si>
  <si>
    <t>Continental Rock</t>
  </si>
  <si>
    <t>An area characterized by non-basaltic rocks that are not covered by depositional sediments.</t>
  </si>
  <si>
    <t>Generally located on continental margins.</t>
  </si>
  <si>
    <t>LpcCode_continentalRock</t>
  </si>
  <si>
    <t>hemipelagicSediment</t>
  </si>
  <si>
    <t>Hemipelagic Sediment</t>
  </si>
  <si>
    <t>An area characterized by hemipelagic sediments.</t>
  </si>
  <si>
    <t>Generally located between the continental margins and adjacent deep ocean basins.</t>
  </si>
  <si>
    <t>LpcCode_hemipelagicSediment</t>
  </si>
  <si>
    <t>oceanicBasalt</t>
  </si>
  <si>
    <t>Oceanic Basalt</t>
  </si>
  <si>
    <t>An area characterized by basaltic rocks that are not covered by depositional sediments.</t>
  </si>
  <si>
    <t>Generally located in deep ocean basins.</t>
  </si>
  <si>
    <t>LpcCode_oceanicBasalt</t>
  </si>
  <si>
    <t>pelagicSediment</t>
  </si>
  <si>
    <t>Pelagic Sediment</t>
  </si>
  <si>
    <t>An area characterized by pelagic sediments.</t>
  </si>
  <si>
    <t>LpcCode_pelagicSediment</t>
  </si>
  <si>
    <t>terrigenousSediment</t>
  </si>
  <si>
    <t>Terrigenous Sediment</t>
  </si>
  <si>
    <t>An area characterized by terrigenous sediments.</t>
  </si>
  <si>
    <t>LpcCode_terrigenousSediment</t>
  </si>
  <si>
    <t>turbidite</t>
  </si>
  <si>
    <t>Turbidite</t>
  </si>
  <si>
    <t>An area characterized by turbidites.</t>
  </si>
  <si>
    <t>Generally located on abyssal plains.</t>
  </si>
  <si>
    <t>LpcCode_turbidite</t>
  </si>
  <si>
    <t>cold</t>
  </si>
  <si>
    <t>Cold</t>
  </si>
  <si>
    <t>A cold current rich in oxygen developing in polar or subpolar regions or in the abyssal depths.</t>
  </si>
  <si>
    <t>WtaCode_cold</t>
  </si>
  <si>
    <t>warm</t>
  </si>
  <si>
    <t>Warm</t>
  </si>
  <si>
    <t>A warm current located near the surface developing in temperate or tropical regions.</t>
  </si>
  <si>
    <t>WtaCode_warm</t>
  </si>
  <si>
    <t>inlandSea</t>
  </si>
  <si>
    <t>Inland Sea</t>
  </si>
  <si>
    <t>A sea or ocean body that is to a large extent landlocked.</t>
  </si>
  <si>
    <t>For example, the Mediterranean andBaltic Seas.</t>
  </si>
  <si>
    <t>SotCode_inlandSea</t>
  </si>
  <si>
    <t>marginalSea</t>
  </si>
  <si>
    <t>Marginal Sea</t>
  </si>
  <si>
    <t>A part of a larger sea or ocean body divided from the main body by archipelagos or island chains.</t>
  </si>
  <si>
    <t>For example, the North and Caribbean Seas.</t>
  </si>
  <si>
    <t>SotCode_marginalSea</t>
  </si>
  <si>
    <t>ocean</t>
  </si>
  <si>
    <t>Ocean</t>
  </si>
  <si>
    <t>Large connected waterbody, divided by the continents into different ocean regions.</t>
  </si>
  <si>
    <t>For example, the Atlantic, Pacific, and Indian Oceans.</t>
  </si>
  <si>
    <t>SotCode_ocean</t>
  </si>
  <si>
    <t>debrisLine</t>
  </si>
  <si>
    <t>Debris Line</t>
  </si>
  <si>
    <t>The oceanographic front is indicated by debris in the upper water column.</t>
  </si>
  <si>
    <t>OfiCode_debrisLine</t>
  </si>
  <si>
    <t>discolouredWater</t>
  </si>
  <si>
    <t>The oceanographic front is indicated by different coloured water based on other factors than sediment load.</t>
  </si>
  <si>
    <t>OfiCode_discolouredWater</t>
  </si>
  <si>
    <t>foamLine</t>
  </si>
  <si>
    <t>Foam Line</t>
  </si>
  <si>
    <t>The oceanographic front is indicated by sea foam within the upper water column.</t>
  </si>
  <si>
    <t>OfiCode_foamLine</t>
  </si>
  <si>
    <t>The oceanographic front is indicated by pack ice.</t>
  </si>
  <si>
    <t>OfiCode_ice</t>
  </si>
  <si>
    <t>sedimentPlume</t>
  </si>
  <si>
    <t>Sediment Plume</t>
  </si>
  <si>
    <t>The oceanographic front is indicated by an increased concentration of sediment load within the water column.</t>
  </si>
  <si>
    <t>OfiCode_sedimentPlume</t>
  </si>
  <si>
    <t>density</t>
  </si>
  <si>
    <t>Density</t>
  </si>
  <si>
    <t>The water masses differ in density.</t>
  </si>
  <si>
    <t>OcfCode_density</t>
  </si>
  <si>
    <t>salinity</t>
  </si>
  <si>
    <t>Salinity</t>
  </si>
  <si>
    <t>The water masses differ in salinity.</t>
  </si>
  <si>
    <t>Usually occurring adjacent to freshwater inputs from rivers.</t>
  </si>
  <si>
    <t>OcfCode_salinity</t>
  </si>
  <si>
    <t>The water masses differ in temperature.</t>
  </si>
  <si>
    <t>OcfCode_thermal</t>
  </si>
  <si>
    <t>A barge-based facility that is not self-propelled.</t>
  </si>
  <si>
    <t>May be used to support a rig in relatively placid waters after towing to a site.</t>
  </si>
  <si>
    <t>OcsCode_barge</t>
  </si>
  <si>
    <t>catenaryTurntable</t>
  </si>
  <si>
    <t>Catenary Turntable</t>
  </si>
  <si>
    <t>A specialized buoy that is shaped as a short, wide cylinder on top of which is a rotating turntable to which equipment is affixed (for example: a hose connection) and serves a single point mooring.</t>
  </si>
  <si>
    <t>The mooring system consists of a number of anchor chains (typically six or eight) laid radial from the buoy. An attached vessel is free to 'weather-vane' around the buoy in response to environmental conditions.</t>
  </si>
  <si>
    <t>OcsCode_catenaryTurntable</t>
  </si>
  <si>
    <t>platform</t>
  </si>
  <si>
    <t>Platform</t>
  </si>
  <si>
    <t>A working surface that is raised well above the waves.</t>
  </si>
  <si>
    <t>The 'surface' may consist of multiple levels, shapes, and configurations, often resulting in a complex configuration tailored to the specific operations supported.</t>
  </si>
  <si>
    <t>OcsCode_platform</t>
  </si>
  <si>
    <t>submergedTurret</t>
  </si>
  <si>
    <t>Submerged Turret</t>
  </si>
  <si>
    <t>A large buoy-like device that is pulled into and temporarily secured in a mating cone on the underside of a vessel.</t>
  </si>
  <si>
    <t>Internal to the buoy is a turret with connections to the mooring and riser systems. The outer buoy hull can rotate freely with the vessel around the turret by means of internal turret bearings. The internal swivel (a rotating connector) transfers well streams, water, gas, signals and power from the geo-stationary risers to the piping system (for example: to an onboard process plant) of the freely weather-vaning vessel.</t>
  </si>
  <si>
    <t>OcsCode_submergedTurret</t>
  </si>
  <si>
    <t>terminalBuoy</t>
  </si>
  <si>
    <t>Terminal Buoy</t>
  </si>
  <si>
    <t>A large buoy that serves as both a single point mooring and supports equipment used for the transfer of fluids (for example: liquefied petroleum gas) between a vessel and pipelines leading to facilities ashore or to wells below.</t>
  </si>
  <si>
    <t>It may be as large as 10 metres across, is moored by multiple cables, and supports one or more submarine hose strings (individually termed 'riser') connecting to pipelines on the waterbody bottom. When in use floating hoses connect to the vessel which is free to 'weather-vane' around the buoy in response to environmental conditions.</t>
  </si>
  <si>
    <t>OcsCode_terminalBuoy</t>
  </si>
  <si>
    <t>A vessel-based facility that is self-propelled.</t>
  </si>
  <si>
    <t>Usually capable of producing petroleum and/or natural gas from underwater wells and storing and offloading it into shuttle tankers.</t>
  </si>
  <si>
    <t>OcsCode_vessel</t>
  </si>
  <si>
    <t>artificialIsland</t>
  </si>
  <si>
    <t>Artificial Island</t>
  </si>
  <si>
    <t>A site that has been reclaimed as land.</t>
  </si>
  <si>
    <t>Usually accomplished by the dumping of earth and other material (for example: dredged fill).</t>
  </si>
  <si>
    <t>OssCode_artificialIsland</t>
  </si>
  <si>
    <t>multiColumn</t>
  </si>
  <si>
    <t>Multi-column</t>
  </si>
  <si>
    <t>A structure consisting of multiple (commonly three or four) columns extending downwards into the water.</t>
  </si>
  <si>
    <t>The columns may be affixed to the waterbody floor (termed a 'submersible rig') or may terminate in underwater flotation tanks (termed a 'semi-submersible rig') to provide dynamic stability and be moored in place.</t>
  </si>
  <si>
    <t>OssCode_multiColumn</t>
  </si>
  <si>
    <t>singleColumn</t>
  </si>
  <si>
    <t>Single Column</t>
  </si>
  <si>
    <t>A structure consisting of a single column extending downwards into the water.</t>
  </si>
  <si>
    <t>The column is usually affixed to the waterbody floor.</t>
  </si>
  <si>
    <t>OssCode_singleColumn</t>
  </si>
  <si>
    <t>trussTower</t>
  </si>
  <si>
    <t>Truss Tower</t>
  </si>
  <si>
    <t>A structure based on a series of trusses (diagonal frameworks) assembled in various configurations.</t>
  </si>
  <si>
    <t>For example, a jackup rig. There may be a single wide tower or an array of narrower towers.</t>
  </si>
  <si>
    <t>OssCode_trussTower</t>
  </si>
  <si>
    <t>accommodationPlatform</t>
  </si>
  <si>
    <t>Accommodation Platform</t>
  </si>
  <si>
    <t>A platform used primarily for eating, sleeping and recreation purposes.</t>
  </si>
  <si>
    <t>OpcCode_accommodationPlatform</t>
  </si>
  <si>
    <t>articLoadingPlatform</t>
  </si>
  <si>
    <t>Articulated Loading Platform (ALP)</t>
  </si>
  <si>
    <t>A metal lattice tower, buoyant at one end and attached at the other by a universal joint to a concrete-filled base on the sea bed.</t>
  </si>
  <si>
    <t>The platform may be fitted with a helicopter platform, emergency accommodation and hawser and/or hose retrieval.</t>
  </si>
  <si>
    <t>OpcCode_articLoadingPlatform</t>
  </si>
  <si>
    <t>A man-made structure usually built for the exploration or exploitation of marine resources (for example: marine scientific research or tidal observations).</t>
  </si>
  <si>
    <t>OpcCode_artificialIsland</t>
  </si>
  <si>
    <t>commonCommercialUnload</t>
  </si>
  <si>
    <t>Common Commercial Unloading</t>
  </si>
  <si>
    <t>OpcCode_commonCommercialUnload</t>
  </si>
  <si>
    <t>defence</t>
  </si>
  <si>
    <t>Defence</t>
  </si>
  <si>
    <t>Platform for defence purposes (for example: anti-aircraft defence).</t>
  </si>
  <si>
    <t>OpcCode_defence</t>
  </si>
  <si>
    <t>floatProStoreOffLoadVes</t>
  </si>
  <si>
    <t>Floating Production, Storage and Off-loading (FPSO) Vessel</t>
  </si>
  <si>
    <t>An offshore oil and/or gas facility consisting of a moored tanker/barge by which the product is extracted, stored and exported.</t>
  </si>
  <si>
    <t>OpcCode_floatProStoreOffLoadVes</t>
  </si>
  <si>
    <t>mooringTower</t>
  </si>
  <si>
    <t>Mooring Tower</t>
  </si>
  <si>
    <t>A platform secured to the sea bed and surmounted by a turntable to which ships moor.</t>
  </si>
  <si>
    <t>OpcCode_mooringTower</t>
  </si>
  <si>
    <t>navigationAidSupport</t>
  </si>
  <si>
    <t>Navigation Aid Support</t>
  </si>
  <si>
    <t>Supports a navigation aid (for example: a towered light).</t>
  </si>
  <si>
    <t>May be of significant size (for example: large enough for a helicopter to land). For example, Chesapeake Light.</t>
  </si>
  <si>
    <t>OpcCode_navigationAidSupport</t>
  </si>
  <si>
    <t>observationPlatform</t>
  </si>
  <si>
    <t>Observation Platform</t>
  </si>
  <si>
    <t>A platform from which surroundings or events can be observed, noted or recorded such as for scientific study.</t>
  </si>
  <si>
    <t>Research Platform</t>
  </si>
  <si>
    <t>OpcCode_observationPlatform</t>
  </si>
  <si>
    <t>oilDerrick</t>
  </si>
  <si>
    <t>Oil Derrick</t>
  </si>
  <si>
    <t>A temporary mobile structure, either fixed or floating, used in the exploration stages of oil and gas fields.</t>
  </si>
  <si>
    <t>OpcCode_oilDerrick</t>
  </si>
  <si>
    <t>productionPlatform</t>
  </si>
  <si>
    <t>Production Platform</t>
  </si>
  <si>
    <t>A permanent offshore structure equipped to control the flow of oil or gas or exploit natural resources.</t>
  </si>
  <si>
    <t>OpcCode_productionPlatform</t>
  </si>
  <si>
    <t>singleAnchorLegMooring</t>
  </si>
  <si>
    <t>Single Anchor Leg Mooring (SALM)</t>
  </si>
  <si>
    <t>A rigid frame or tube with a buoyancy device at its upper end, secured at its lower end to a universal joint on a large steel or concrete base resting on the sea bed, and at its upper end to a mooring buoy by a chain or wire.</t>
  </si>
  <si>
    <t>OpcCode_singleAnchorLegMooring</t>
  </si>
  <si>
    <t>OpcCode_singlePointMooring</t>
  </si>
  <si>
    <t>Located in a firm, fixed position through rigid attachment to the waterbody floor.</t>
  </si>
  <si>
    <t>For example, a platform whose legs extend to the sea floor or rests on an artificial island.</t>
  </si>
  <si>
    <t>OpmCode_fixed</t>
  </si>
  <si>
    <t>floatingDynamicPosition</t>
  </si>
  <si>
    <t>Floating and Dynamically Positioned</t>
  </si>
  <si>
    <t>Floating on the water surface and maintained in position dynamically using on-board propulsion.</t>
  </si>
  <si>
    <t>Usually there is a system of waterbody floor beacons that are used to measure horizontal motion and thus signal required changes in thrust in order for the vessel to maintain position with the desired degree of accuracy.</t>
  </si>
  <si>
    <t>OpmCode_floatingDynamicPosition</t>
  </si>
  <si>
    <t>floatingMoored</t>
  </si>
  <si>
    <t>Floating and Moored</t>
  </si>
  <si>
    <t>Floating on the water surface and attached to the waterbody floor with moorings (for example: cables fastened to anchors).</t>
  </si>
  <si>
    <t>The accuracy of position maintenance will depend on wave height and tidal effects.</t>
  </si>
  <si>
    <t>OpmCode_floatingMoored</t>
  </si>
  <si>
    <t>semiBuoyantMoored</t>
  </si>
  <si>
    <t>Semi-buoyant and Moored</t>
  </si>
  <si>
    <t>Semi-buoyant, being capable of rising and falling within the water column, and attached to the waterbody floor with flexible moorings (for example: cables that are adjusted in length as necessary and fastened to anchors).</t>
  </si>
  <si>
    <t>For example, a submerged turret system in which a buoy is flexibly moored to the seabed and is then pulled into and temporarily secured in a mating cone on the underside of a vessel. The accuracy of vessel position maintenance will depend on wave height and tidal effects.</t>
  </si>
  <si>
    <t>OpmCode_semiBuoyantMoored</t>
  </si>
  <si>
    <t>A floating tube-shaped structure supporting a hanging underwater curtain (up to 2 metres long).</t>
  </si>
  <si>
    <t>ObcCode_floating</t>
  </si>
  <si>
    <t>highPressurePipe</t>
  </si>
  <si>
    <t>High Pressure Pipe</t>
  </si>
  <si>
    <t>A perforated underwater pipe from which air is released under high pressure to form a series of bubble columns.</t>
  </si>
  <si>
    <t>ObcCode_highPressurePipe</t>
  </si>
  <si>
    <t>continuouslyOperating</t>
  </si>
  <si>
    <t>Continuously Operating</t>
  </si>
  <si>
    <t>OptCode_continuouslyOperating</t>
  </si>
  <si>
    <t>daytime</t>
  </si>
  <si>
    <t>Daytime</t>
  </si>
  <si>
    <t>Operating between sunrise and sunset only.</t>
  </si>
  <si>
    <t>OptCode_daytime</t>
  </si>
  <si>
    <t>fogConditions</t>
  </si>
  <si>
    <t>Fog Conditions</t>
  </si>
  <si>
    <t>Operations are occasional, in periods of fog or bad weather conditions.</t>
  </si>
  <si>
    <t>OptCode_fogConditions</t>
  </si>
  <si>
    <t>neverOperating</t>
  </si>
  <si>
    <t>Never Operating</t>
  </si>
  <si>
    <t>Always restricted and never operating.</t>
  </si>
  <si>
    <t>OptCode_neverOperating</t>
  </si>
  <si>
    <t>nighttime</t>
  </si>
  <si>
    <t>Night-time</t>
  </si>
  <si>
    <t>Operating between sunset and sunrise only.</t>
  </si>
  <si>
    <t>OptCode_nighttime</t>
  </si>
  <si>
    <t>OptCode_onDemand</t>
  </si>
  <si>
    <t>Operation is restricted in other than a predetermined pattern.</t>
  </si>
  <si>
    <t>OptCode_restricted</t>
  </si>
  <si>
    <t>summerSeason</t>
  </si>
  <si>
    <t>Summer Season</t>
  </si>
  <si>
    <t>Operating during the summer season only.</t>
  </si>
  <si>
    <t>OptCode_summerSeason</t>
  </si>
  <si>
    <t>winterSeason</t>
  </si>
  <si>
    <t>Winter Season</t>
  </si>
  <si>
    <t>Operating during the winter season only.</t>
  </si>
  <si>
    <t>OptCode_winterSeason</t>
  </si>
  <si>
    <t>flooding</t>
  </si>
  <si>
    <t>Flooding</t>
  </si>
  <si>
    <t>Susceptible to, and not operating in, flooding conditions.</t>
  </si>
  <si>
    <t>OrsCode_flooding</t>
  </si>
  <si>
    <t>Susceptible to, and not operating in, the presence of floating ice.</t>
  </si>
  <si>
    <t>OrsCode_ice</t>
  </si>
  <si>
    <t>icing</t>
  </si>
  <si>
    <t>Icing</t>
  </si>
  <si>
    <t>Susceptible to, and not operating in, icy weather conditions.</t>
  </si>
  <si>
    <t>OrsCode_icing</t>
  </si>
  <si>
    <t>noRestriction</t>
  </si>
  <si>
    <t>No Restriction</t>
  </si>
  <si>
    <t>There is no known restriction to operations.</t>
  </si>
  <si>
    <t>Continuous Operation</t>
  </si>
  <si>
    <t>OrsCode_noRestriction</t>
  </si>
  <si>
    <t>rain</t>
  </si>
  <si>
    <t>Rain</t>
  </si>
  <si>
    <t>Susceptible to, and not operating in, rainy weather conditions.</t>
  </si>
  <si>
    <t>OrsCode_rain</t>
  </si>
  <si>
    <t>reducedVisibility</t>
  </si>
  <si>
    <t>Reduced Visibility</t>
  </si>
  <si>
    <t>Susceptible to, and not operating in, reduced visibility (for example: fog) conditions.</t>
  </si>
  <si>
    <t>OrsCode_reducedVisibility</t>
  </si>
  <si>
    <t>Susceptible to, and not operating in, snowy weather conditions.</t>
  </si>
  <si>
    <t>OrsCode_snow</t>
  </si>
  <si>
    <t>specialRestriction</t>
  </si>
  <si>
    <t>Special Restriction</t>
  </si>
  <si>
    <t>Unspecified special restrictions exist that affect operations.</t>
  </si>
  <si>
    <t>See any accompanying text attribute for a description of the nature of the special restrictions.</t>
  </si>
  <si>
    <t>OrsCode_specialRestriction</t>
  </si>
  <si>
    <t>Susceptible to, and not operating in, significant tidal conditions (for example: tidal height or tidal current).</t>
  </si>
  <si>
    <t>OrsCode_tide</t>
  </si>
  <si>
    <t>Susceptible to, and not operating in, adverse lighting (for example: daytime for a lighthouse, night-time for an unlighted runway) conditions.</t>
  </si>
  <si>
    <t>OrsCode_time</t>
  </si>
  <si>
    <t>Susceptible to and not operating in periods of extensive vegetation growth.</t>
  </si>
  <si>
    <t>OrsCode_vegetation</t>
  </si>
  <si>
    <t>Susceptible to, and not operating in, windy weather conditions.</t>
  </si>
  <si>
    <t>OrsCode_wind</t>
  </si>
  <si>
    <t>mainFacility</t>
  </si>
  <si>
    <t>Main Facility</t>
  </si>
  <si>
    <t>The principal facility at a site.</t>
  </si>
  <si>
    <t>OftCode_mainFacility</t>
  </si>
  <si>
    <t>secondaryFacility</t>
  </si>
  <si>
    <t>Secondary Facility</t>
  </si>
  <si>
    <t>A subordinate facility at a site.</t>
  </si>
  <si>
    <t>OftCode_secondaryFacility</t>
  </si>
  <si>
    <t>boobyTraps</t>
  </si>
  <si>
    <t>Booby-trap</t>
  </si>
  <si>
    <t>Reinforced by hidden explosives.</t>
  </si>
  <si>
    <t>OrfCode_boobyTraps</t>
  </si>
  <si>
    <t>Mine</t>
  </si>
  <si>
    <t>Reinforced by landmines</t>
  </si>
  <si>
    <t>OrfCode_mines</t>
  </si>
  <si>
    <t>arcade</t>
  </si>
  <si>
    <t>OocCode_arcade</t>
  </si>
  <si>
    <t>archBridgeSpan</t>
  </si>
  <si>
    <t>Arch Bridge Span</t>
  </si>
  <si>
    <t>A bridge span and adjacent bridge piers that in side view is shaped like an arch, consisting of a curved top on two short vertical sidewalls.</t>
  </si>
  <si>
    <t>The curved top may extend smoothly to the base, eliminating the vertical sidewalls and forming a semicircular profile; in consequence the available overhead clearance may be less than the full inter-pier distance.</t>
  </si>
  <si>
    <t>OocCode_archBridgeSpan</t>
  </si>
  <si>
    <t>bridgeSpan</t>
  </si>
  <si>
    <t>In side view may appear as a box, arch, or semicircular shape; in consequence the available overhead clearance may be less than the full inter-pier distance.</t>
  </si>
  <si>
    <t>OocCode_bridgeSpan</t>
  </si>
  <si>
    <t>bridgeSuperstructure</t>
  </si>
  <si>
    <t>A superstructure of a bridge, above the lowest deck.</t>
  </si>
  <si>
    <t>OocCode_bridgeSuperstructure</t>
  </si>
  <si>
    <t>building</t>
  </si>
  <si>
    <t>Overhung and/or enclosed (covers and extends to both sides) by a building.</t>
  </si>
  <si>
    <t>OocCode_building</t>
  </si>
  <si>
    <t>buildingOverhang</t>
  </si>
  <si>
    <t>OocCode_buildingOverhang</t>
  </si>
  <si>
    <t>A single continuous rope-like bundle consisting of multiple strands of fiber, plastic, metal, and/or glass.</t>
  </si>
  <si>
    <t>OocCode_cable</t>
  </si>
  <si>
    <t>A transportation system consisting of load cables strung between pylons on which carrier units (for example: cars or buckets intended to transport people, material, and/or equipment) are suspended.</t>
  </si>
  <si>
    <t>For example, a ski-lift.</t>
  </si>
  <si>
    <t>OocCode_cableway</t>
  </si>
  <si>
    <t>conveyor</t>
  </si>
  <si>
    <t>A mechanical device for conveying articles or materials during manufacture or processing using an endless moving belt or series of rollers.</t>
  </si>
  <si>
    <t>OocCode_conveyor</t>
  </si>
  <si>
    <t>entranceExit</t>
  </si>
  <si>
    <t>OocCode_entranceExit</t>
  </si>
  <si>
    <t>frameBridgeSpan</t>
  </si>
  <si>
    <t>Frame Bridge Span</t>
  </si>
  <si>
    <t>A bridge span and adjacent bridge piers that in side view is shaped like a box, consisting of a flat understructure on two vertical pier sidewalls.</t>
  </si>
  <si>
    <t>OocCode_frameBridgeSpan</t>
  </si>
  <si>
    <t>gantry</t>
  </si>
  <si>
    <t>OocCode_gantry</t>
  </si>
  <si>
    <t>memorialMonument</t>
  </si>
  <si>
    <t>OocCode_memorialMonument</t>
  </si>
  <si>
    <t>nonBuildingStructure</t>
  </si>
  <si>
    <t>Overhung and/or enclosed (covers and extends to both sides) by a non-building structure.</t>
  </si>
  <si>
    <t>OocCode_nonBuildingStructure</t>
  </si>
  <si>
    <t>overheadWalkway</t>
  </si>
  <si>
    <t>OocCode_overheadWalkway</t>
  </si>
  <si>
    <t>OocCode_parkingGarage</t>
  </si>
  <si>
    <t>OocCode_pipeline</t>
  </si>
  <si>
    <t>pipelineCrossingPoint</t>
  </si>
  <si>
    <t>OocCode_pipelineCrossingPoint</t>
  </si>
  <si>
    <t>An elevated electrical power line operating at high voltage and designed for long distance power transmission.</t>
  </si>
  <si>
    <t>OocCode_powerTransmissionLine</t>
  </si>
  <si>
    <t>railwayPowerLine</t>
  </si>
  <si>
    <t>Railway Power Line</t>
  </si>
  <si>
    <t>An elevated electrical power line from which railway vehicles draw power through a pantograph-like device.</t>
  </si>
  <si>
    <t>OocCode_railwayPowerLine</t>
  </si>
  <si>
    <t>roof</t>
  </si>
  <si>
    <t>Roof</t>
  </si>
  <si>
    <t>An overhead construction intended to provide protection from the weather, especially precipitation.</t>
  </si>
  <si>
    <t>May be internally supported by posts and independent of walls, for example as at a train station or under a Dutch barn.</t>
  </si>
  <si>
    <t>OocCode_roof</t>
  </si>
  <si>
    <t>routeRelatedStructure</t>
  </si>
  <si>
    <t>Route-related Structure</t>
  </si>
  <si>
    <t>Overhung by a variety of route-related signs, lights, and/or their support structures.</t>
  </si>
  <si>
    <t>For example, street lamps, street signs, traffic lights, light support structures, and route markers.</t>
  </si>
  <si>
    <t>OocCode_routeRelatedStructure</t>
  </si>
  <si>
    <t>scaffold</t>
  </si>
  <si>
    <t>Scaffold</t>
  </si>
  <si>
    <t>A temporary raised structure used to support equipment (for example: painting or cleaning devices) while spanning over or around an object (for example: a building).</t>
  </si>
  <si>
    <t>Uses, for example, during the construction and/or external repair of a building or non-building structure.</t>
  </si>
  <si>
    <t>OocCode_scaffold</t>
  </si>
  <si>
    <t>trafficSign</t>
  </si>
  <si>
    <t>Traffic Sign</t>
  </si>
  <si>
    <t>Overhung by a traffic sign.</t>
  </si>
  <si>
    <t>A traffic sign is a roadside sign conveying information (for example: navigation directions or hazard warnings) to drivers of motor vehicles.</t>
  </si>
  <si>
    <t>OocCode_trafficSign</t>
  </si>
  <si>
    <t>transportationBlock</t>
  </si>
  <si>
    <t>OocCode_transportationBlock</t>
  </si>
  <si>
    <t>transRouteProtectStruct</t>
  </si>
  <si>
    <t>OocCode_transRouteProtectStruct</t>
  </si>
  <si>
    <t>OocCode_tunnel</t>
  </si>
  <si>
    <t>banking</t>
  </si>
  <si>
    <t>Banking</t>
  </si>
  <si>
    <t>The availability of financial services.</t>
  </si>
  <si>
    <t>For example: banking and/or currency exchange facilities.</t>
  </si>
  <si>
    <t>PsyCode_banking</t>
  </si>
  <si>
    <t>The availability of customs services.</t>
  </si>
  <si>
    <t>PsyCode_customs</t>
  </si>
  <si>
    <t>The availability of immigration and/or naturalization services.</t>
  </si>
  <si>
    <t>PsyCode_immigration</t>
  </si>
  <si>
    <t>internet</t>
  </si>
  <si>
    <t>Internet</t>
  </si>
  <si>
    <t>The availability of internet services.</t>
  </si>
  <si>
    <t>PsyCode_internet</t>
  </si>
  <si>
    <t>lodging</t>
  </si>
  <si>
    <t>Lodging</t>
  </si>
  <si>
    <t>The availability of overnight accommodations.</t>
  </si>
  <si>
    <t>For example: hotels, motels, inns, and/or military billeting.</t>
  </si>
  <si>
    <t>PsyCode_lodging</t>
  </si>
  <si>
    <t>The availability of medical facilities.</t>
  </si>
  <si>
    <t>PsyCode_medical</t>
  </si>
  <si>
    <t>postal</t>
  </si>
  <si>
    <t>Postal</t>
  </si>
  <si>
    <t>The availability of mail and parcel services.</t>
  </si>
  <si>
    <t>PsyCode_postal</t>
  </si>
  <si>
    <t>The availability of food services and/or eating establishments.</t>
  </si>
  <si>
    <t>PsyCode_restaurant</t>
  </si>
  <si>
    <t>sanitation</t>
  </si>
  <si>
    <t>Sanitation</t>
  </si>
  <si>
    <t>The availability of health and sanitation service.</t>
  </si>
  <si>
    <t>PsyCode_sanitation</t>
  </si>
  <si>
    <t>PsyCode_security</t>
  </si>
  <si>
    <t>The availability of ground transportation services.</t>
  </si>
  <si>
    <t>PsyCode_transport</t>
  </si>
  <si>
    <t>travelerInformation</t>
  </si>
  <si>
    <t>Traveler Information</t>
  </si>
  <si>
    <t>The availability of aerodrome vicinity and/or tourist information services.</t>
  </si>
  <si>
    <t>PsyCode_travelerInformation</t>
  </si>
  <si>
    <t>The availability of animal health services.</t>
  </si>
  <si>
    <t>PsyCode_veterinary</t>
  </si>
  <si>
    <t>flexiblePavement</t>
  </si>
  <si>
    <t>Flexible Pavement</t>
  </si>
  <si>
    <t>The total pavement structure deflects, or flexes, under loading.</t>
  </si>
  <si>
    <t>Pc1Code_flexiblePavement</t>
  </si>
  <si>
    <t>rigidPavement</t>
  </si>
  <si>
    <t>Rigid Pavement</t>
  </si>
  <si>
    <t>The pavement structure deflects very little under loading due to the high modulus of elasticity of the surface course.</t>
  </si>
  <si>
    <t>Pc1Code_rigidPavement</t>
  </si>
  <si>
    <t>(Aeronautical Information Exchange Model (AIXM): 'T')</t>
  </si>
  <si>
    <t>technical</t>
  </si>
  <si>
    <t>Technical</t>
  </si>
  <si>
    <t>Representing a specific study of the pavement characteristics and application of pavement behaviour technology.</t>
  </si>
  <si>
    <t>Pc4Code_technical</t>
  </si>
  <si>
    <t>(Aeronautical Information Exchange Model (AIXM): 'U')</t>
  </si>
  <si>
    <t>usingAircraftExperience</t>
  </si>
  <si>
    <t>Using Aircraft Experience</t>
  </si>
  <si>
    <t>Representing a knowledge of the specific type and mass of aircraft satisfactorily being supported under regular use.</t>
  </si>
  <si>
    <t>Pc4Code_usingAircraftExperience</t>
  </si>
  <si>
    <t>No pressure limit.</t>
  </si>
  <si>
    <t>Pc3Code_high</t>
  </si>
  <si>
    <t>Pressure limited to 1.00 megapascal (MPa) (145 psi).</t>
  </si>
  <si>
    <t>Pc3Code_low</t>
  </si>
  <si>
    <t>(Aeronautical Information Exchange Model (AIXM): 'X')</t>
  </si>
  <si>
    <t>Pressure limited to 1.50 megapascal (MPa) (217 psi).</t>
  </si>
  <si>
    <t>Pc3Code_medium</t>
  </si>
  <si>
    <t>Pressure limited to 0.50 megapascal (MPa) (73 psi).</t>
  </si>
  <si>
    <t>Pc3Code_veryLow</t>
  </si>
  <si>
    <t>highStrengthSubgrade</t>
  </si>
  <si>
    <t>High Strength Subgrade</t>
  </si>
  <si>
    <t>Characterized by K = 150 MN/m3 and representing all K values above 120 MN/m3 for rigid pavements, and by California Bearing Ratio (CBR) = 15 and representing all CBR values above 13 for flexible pavements.</t>
  </si>
  <si>
    <t>Pc2Code_highStrengthSubgrade</t>
  </si>
  <si>
    <t>lowStrengthSubgrade</t>
  </si>
  <si>
    <t>Low Strength Subgrade</t>
  </si>
  <si>
    <t>Characterized by K = 40 MN/m3 and representing a range in K of 25 to 60 MN/m3 for rigid pavements, and by California Bearing Ratio (CBR) = 6 and representing a range in CBR of 4 to 8 for flexible pavements.</t>
  </si>
  <si>
    <t>Pc2Code_lowStrengthSubgrade</t>
  </si>
  <si>
    <t>mediumStrengthSubgrade</t>
  </si>
  <si>
    <t>Medium Strength Subgrade</t>
  </si>
  <si>
    <t>Characterized by K = 80 MN/m3 and representing a range in K of 60 to 120 MN/m3 for rigid pavements, and by California Bearing Ratio (CBR) = 10 and representing a range in CBR of 8 to 13 for flexible pavements.</t>
  </si>
  <si>
    <t>Pc2Code_mediumStrengthSubgrade</t>
  </si>
  <si>
    <t>ultraLowStrengthSubgrade</t>
  </si>
  <si>
    <t>Ultra-low Strength Subgrade</t>
  </si>
  <si>
    <t>Characterized by K = 20 MN/m3 and representing all K values below 25 MN/m3 for rigid pavements, and by California Bearing Ratio (CBR) = 3 and representing all CBR values below 4 for flexible pavements.</t>
  </si>
  <si>
    <t>Pc2Code_ultraLowStrengthSubgrade</t>
  </si>
  <si>
    <t>The man-made structure is being built or undergoing renovation or repair.</t>
  </si>
  <si>
    <t>Incorporates site preparations, building of new construction and the renovation or repair of existing structures.</t>
  </si>
  <si>
    <t>PcfCode_construction</t>
  </si>
  <si>
    <t>The man-made structure is damaged.</t>
  </si>
  <si>
    <t>Damage may be a consequence of accident, military action, or natural disaster. The damaged man-made structure can be repaired.</t>
  </si>
  <si>
    <t>PcfCode_damaged</t>
  </si>
  <si>
    <t>The man-made structure has undergone complete destruction and is in a state of total disrepair.</t>
  </si>
  <si>
    <t>Destruction may be a consequence of military action, natural disaster, planned demolition or a long period of no maintenance. A destroyed man-made structure can only be restored by complete reconstruction.</t>
  </si>
  <si>
    <t>PcfCode_destroyed</t>
  </si>
  <si>
    <t>The man-made structure has undergone a systematic selective removal of components.</t>
  </si>
  <si>
    <t>Low value components and/or equipment may remain. The man-made structure cannot be repaired without a great deal of time and effort.</t>
  </si>
  <si>
    <t>PcfCode_dismantled</t>
  </si>
  <si>
    <t>The man-made structure is complete and intact.</t>
  </si>
  <si>
    <t>The man-made structure may or may not be in operation or use.</t>
  </si>
  <si>
    <t>PcfCode_intact</t>
  </si>
  <si>
    <t>unmaintained</t>
  </si>
  <si>
    <t>Unmaintained</t>
  </si>
  <si>
    <t>The man-made structure is left in place to deteriorate.</t>
  </si>
  <si>
    <t>The man-made structure has been abandoned and no maintenance or repairs are being carried out. While the structure is physically intact, no signs of operation are visible.</t>
  </si>
  <si>
    <t>PcfCode_unmaintained</t>
  </si>
  <si>
    <t>Composed of an airlike fluid that can change its volume indefinitely.</t>
  </si>
  <si>
    <t>Especially used to describe substances that do not become liquid or solid at ordinary temperatures.</t>
  </si>
  <si>
    <t>PstCode_gas</t>
  </si>
  <si>
    <t>liquid</t>
  </si>
  <si>
    <t>Liquid</t>
  </si>
  <si>
    <t>Composed of a substance that flows and takes a shape determined by its container while occupying the same volume (rather than dispersing like a gaseous substance).</t>
  </si>
  <si>
    <t>A gas may be in such a state by reason of low temperature or high pressure.</t>
  </si>
  <si>
    <t>PstCode_liquid</t>
  </si>
  <si>
    <t>solid</t>
  </si>
  <si>
    <t>Solid</t>
  </si>
  <si>
    <t>Composed of a substance of fixed shape and volume.</t>
  </si>
  <si>
    <t>PstCode_solid</t>
  </si>
  <si>
    <t>A number of adjacent piles in a straight line which are connected or bolted together.</t>
  </si>
  <si>
    <t>A linear piling is sometimes termed 'row of piles' which is either a linear arrangement of individual piles, or 'sheet piling' consisting of a series of connecting tall metal sheets interlocked so as to form a barrier.</t>
  </si>
  <si>
    <t>PlcCode_linear</t>
  </si>
  <si>
    <t>post</t>
  </si>
  <si>
    <t>Post</t>
  </si>
  <si>
    <t>A vertical piece of timber, metal or concrete forced into the earth or sea bed.</t>
  </si>
  <si>
    <t>PlcCode_post</t>
  </si>
  <si>
    <t>stake</t>
  </si>
  <si>
    <t>Stake</t>
  </si>
  <si>
    <t>An elongated wood or metal pole embedded in the waterbody bottom to serve as a marker and/or support.</t>
  </si>
  <si>
    <t>PlcCode_stake</t>
  </si>
  <si>
    <t>tripodal</t>
  </si>
  <si>
    <t>Tripodal</t>
  </si>
  <si>
    <t>A single structure comprising 3 or more piles (for example: sections of heavy timber, steel or concrete) held together and forced into the earth or sea bed.</t>
  </si>
  <si>
    <t>PlcCode_tripodal</t>
  </si>
  <si>
    <t>The pilot boards by a helicopter that comes out from the shore.</t>
  </si>
  <si>
    <t>PbpCode_helicopter</t>
  </si>
  <si>
    <t>pilotCruisingVessel</t>
  </si>
  <si>
    <t>Pilot-cruising Vessel</t>
  </si>
  <si>
    <t>The pilot boards from a cruising vessel.</t>
  </si>
  <si>
    <t>PbpCode_pilotCruisingVessel</t>
  </si>
  <si>
    <t>requestedVessel</t>
  </si>
  <si>
    <t>Requested Vessel</t>
  </si>
  <si>
    <t>The pilot boards from a vessel that comes out from the shore on request.</t>
  </si>
  <si>
    <t>PbpCode_requestedVessel</t>
  </si>
  <si>
    <t>bubblerSystem</t>
  </si>
  <si>
    <t>Bubbler System</t>
  </si>
  <si>
    <t>A submerged pipe from which warm water bubbles, preventing the surrounding water from freezing.</t>
  </si>
  <si>
    <t>PltCode_bubblerSystem</t>
  </si>
  <si>
    <t>intakePipe</t>
  </si>
  <si>
    <t>Intake Pipe</t>
  </si>
  <si>
    <t>A pipe taking water from a river or other body of water.</t>
  </si>
  <si>
    <t>PltCode_intakePipe</t>
  </si>
  <si>
    <t>outfallPipe</t>
  </si>
  <si>
    <t>Outfall Pipe</t>
  </si>
  <si>
    <t>A pipe (generally a sewer or drainage pipe) discharging in to the sea or a river.</t>
  </si>
  <si>
    <t>PltCode_outfallPipe</t>
  </si>
  <si>
    <t>pipelineValve</t>
  </si>
  <si>
    <t>Pipeline Valve</t>
  </si>
  <si>
    <t>A device in a pipe that controls the passage of fluid.</t>
  </si>
  <si>
    <t>May be manually actuated and/or act automatically by yielding to pressure in one direction only.</t>
  </si>
  <si>
    <t>PltCode_pipelineValve</t>
  </si>
  <si>
    <t>sewer</t>
  </si>
  <si>
    <t>Sewer</t>
  </si>
  <si>
    <t>A pipe in a sewage system for carrying water or sewage to a disposal area.</t>
  </si>
  <si>
    <t>PltCode_sewer</t>
  </si>
  <si>
    <t>transportPipe</t>
  </si>
  <si>
    <t>Transport Pipe</t>
  </si>
  <si>
    <t>A pipe used for transport (supply) of gas or liquid product.</t>
  </si>
  <si>
    <t>For example, transport of natural gas, oil, or coal slurry.</t>
  </si>
  <si>
    <t>Supply Pipe</t>
  </si>
  <si>
    <t>PltCode_transportPipe</t>
  </si>
  <si>
    <t>Glide Slope (GS)</t>
  </si>
  <si>
    <t>PabCode_glideSlope</t>
  </si>
  <si>
    <t>PabCode_localizer</t>
  </si>
  <si>
    <t>microwaveLandSysAzGuide</t>
  </si>
  <si>
    <t>Microwave Landing System Azimuth Guidance (MLSAZ)</t>
  </si>
  <si>
    <t>PabCode_microwaveLandSysAzGuide</t>
  </si>
  <si>
    <t>microwaveLandSysElevGuide</t>
  </si>
  <si>
    <t>Microwave Landing System Elevation Guidance (MLSEL)</t>
  </si>
  <si>
    <t>PabCode_microwaveLandSysElevGuide</t>
  </si>
  <si>
    <t>offsetLocTypeDirAid</t>
  </si>
  <si>
    <t>Offset Localizer type Directional Aid (LDA)</t>
  </si>
  <si>
    <t>PabCode_offsetLocTypeDirAid</t>
  </si>
  <si>
    <t>offsetSimplifiedDirFac</t>
  </si>
  <si>
    <t>Offset Simplified Directional Facility (SDF)</t>
  </si>
  <si>
    <t>PabCode_offsetSimplifiedDirFac</t>
  </si>
  <si>
    <t>PabCode_parTouchdownReflector</t>
  </si>
  <si>
    <t>PabCode_precisionApproachRadar</t>
  </si>
  <si>
    <t>A pond for the treatment of water that consists of a bed of material (for example: sand) where water is filtered.</t>
  </si>
  <si>
    <t>PopCode_filtration</t>
  </si>
  <si>
    <t>fishPond</t>
  </si>
  <si>
    <t>Fish-pond</t>
  </si>
  <si>
    <t>A pond in which fish (for example: carp) are raised and/or kept.</t>
  </si>
  <si>
    <t>PopCode_fishPond</t>
  </si>
  <si>
    <t>PopCode_reservoir</t>
  </si>
  <si>
    <t>settling</t>
  </si>
  <si>
    <t>Settling</t>
  </si>
  <si>
    <t>PopCode_settling</t>
  </si>
  <si>
    <t>hamlet</t>
  </si>
  <si>
    <t>Hamlet</t>
  </si>
  <si>
    <t>Consisting of from 2 to 20 habitation places.</t>
  </si>
  <si>
    <t>PpsCode_hamlet</t>
  </si>
  <si>
    <t>isolatedPopulatedPlace</t>
  </si>
  <si>
    <t>Isolated Populated Place</t>
  </si>
  <si>
    <t>Consisting of a single habitation place which is more than 150 metres distant from any other habitation place.</t>
  </si>
  <si>
    <t>PpsCode_isolatedPopulatedPlace</t>
  </si>
  <si>
    <t>smallVillage</t>
  </si>
  <si>
    <t>Small Village</t>
  </si>
  <si>
    <t>Consisting of from 21 to 99 habitation places.</t>
  </si>
  <si>
    <t>PpsCode_smallVillage</t>
  </si>
  <si>
    <t>village</t>
  </si>
  <si>
    <t>Village</t>
  </si>
  <si>
    <t>Consisting of from 100 to 400 habitation places.</t>
  </si>
  <si>
    <t>PpsCode_village</t>
  </si>
  <si>
    <t>highOrder</t>
  </si>
  <si>
    <t>High-order</t>
  </si>
  <si>
    <t>A central place of upper level (with highest centrality for its sphere of influence).</t>
  </si>
  <si>
    <t>For example, a capital of country.</t>
  </si>
  <si>
    <t>ClfCode_highOrder</t>
  </si>
  <si>
    <t>lowOrder</t>
  </si>
  <si>
    <t>Low-order</t>
  </si>
  <si>
    <t>A central place of lower level (with low centrality for its small sphere of influence).</t>
  </si>
  <si>
    <t>For example, a small town or market town in rural area.</t>
  </si>
  <si>
    <t>ClfCode_lowOrder</t>
  </si>
  <si>
    <t>midOrder</t>
  </si>
  <si>
    <t>Mid-order</t>
  </si>
  <si>
    <t>A central place of medium level (with medium centrality for its minor sphere of influence).</t>
  </si>
  <si>
    <t>For example, a district town.</t>
  </si>
  <si>
    <t>ClfCode_midOrder</t>
  </si>
  <si>
    <t>acrology</t>
  </si>
  <si>
    <t>Acrology</t>
  </si>
  <si>
    <t>A large complex building of adjacent and/or joined blocks of flats with the dimension of quarter-like division of a town.</t>
  </si>
  <si>
    <t>RusCode_acrology</t>
  </si>
  <si>
    <t>centralSquare</t>
  </si>
  <si>
    <t>Central Square</t>
  </si>
  <si>
    <t>Parcels and streets are predominantly aligned to a central square.</t>
  </si>
  <si>
    <t>For example: a circular village, a green village, a village with a rectilinear square.</t>
  </si>
  <si>
    <t>RusCode_centralSquare</t>
  </si>
  <si>
    <t>chequered</t>
  </si>
  <si>
    <t>Chequered</t>
  </si>
  <si>
    <t>Regular arrangement with rectangular placement of parcels and streets.</t>
  </si>
  <si>
    <t>RusCode_chequered</t>
  </si>
  <si>
    <t>irregularlyNucleated</t>
  </si>
  <si>
    <t>Irregularly Nucleated</t>
  </si>
  <si>
    <t>An irregularly structured arrangement with areas of concentration.</t>
  </si>
  <si>
    <t>RusCode_irregularlyNucleated</t>
  </si>
  <si>
    <t>Isolated houses or sparsely arranged groups of houses.</t>
  </si>
  <si>
    <t>RusCode_isolated</t>
  </si>
  <si>
    <t>multiShaped</t>
  </si>
  <si>
    <t>Multi-shaped</t>
  </si>
  <si>
    <t>Consisting of multiple differing local arrangements of parcels and streets.</t>
  </si>
  <si>
    <t>For example, a historical city surrounded by modern suburbs.</t>
  </si>
  <si>
    <t>RusCode_multiShaped</t>
  </si>
  <si>
    <t>ribbon</t>
  </si>
  <si>
    <t>Ribbon</t>
  </si>
  <si>
    <t>A long linear structure along a road or watercourse.</t>
  </si>
  <si>
    <t>RusCode_ribbon</t>
  </si>
  <si>
    <t>roadNetwork</t>
  </si>
  <si>
    <t>Road Network</t>
  </si>
  <si>
    <t>Arranged subject to the road network.</t>
  </si>
  <si>
    <t>RusCode_roadNetwork</t>
  </si>
  <si>
    <t>street</t>
  </si>
  <si>
    <t>Street</t>
  </si>
  <si>
    <t>Densely arranged on both sides of a road.</t>
  </si>
  <si>
    <t>RusCode_street</t>
  </si>
  <si>
    <t>largeCity</t>
  </si>
  <si>
    <t>Large City</t>
  </si>
  <si>
    <t>A populated place with 3,000,000 to 10,000,000 inhabitants.</t>
  </si>
  <si>
    <t>SliCode_largeCity</t>
  </si>
  <si>
    <t>largeTown</t>
  </si>
  <si>
    <t>Large Town</t>
  </si>
  <si>
    <t>A populated place with 100,000 to 500,000 inhabitants.</t>
  </si>
  <si>
    <t>SliCode_largeTown</t>
  </si>
  <si>
    <t>metropolis</t>
  </si>
  <si>
    <t>Metropolis</t>
  </si>
  <si>
    <t>A populated place with more than 10,000,000 inhabitants.</t>
  </si>
  <si>
    <t>SliCode_metropolis</t>
  </si>
  <si>
    <t>midSizedCity</t>
  </si>
  <si>
    <t>Mid-sized City</t>
  </si>
  <si>
    <t>A populated place with 1,000,000 to 3,000,000 inhabitants.</t>
  </si>
  <si>
    <t>SliCode_midSizedCity</t>
  </si>
  <si>
    <t>midSizedTown</t>
  </si>
  <si>
    <t>Mid-sized Town</t>
  </si>
  <si>
    <t>A populated place with 20,000 to 100,000 inhabitants.</t>
  </si>
  <si>
    <t>SliCode_midSizedTown</t>
  </si>
  <si>
    <t>smallCity</t>
  </si>
  <si>
    <t>Small City</t>
  </si>
  <si>
    <t>A populated place with 500,000 to 1,000,000 inhabitants.</t>
  </si>
  <si>
    <t>SliCode_smallCity</t>
  </si>
  <si>
    <t>smallTown</t>
  </si>
  <si>
    <t>Small Town</t>
  </si>
  <si>
    <t>A populated place with 5,000 to 20,000 inhabitants.</t>
  </si>
  <si>
    <t>SliCode_smallTown</t>
  </si>
  <si>
    <t>administrativeSeat</t>
  </si>
  <si>
    <t>Administrative Seat</t>
  </si>
  <si>
    <t>A city that is the seat of an administrative authority.</t>
  </si>
  <si>
    <t>Administrative authorities may be governmental or non-governmental.</t>
  </si>
  <si>
    <t>PptCode_administrativeSeat</t>
  </si>
  <si>
    <t>allotmentGardenColony</t>
  </si>
  <si>
    <t>Allotment Garden Colony</t>
  </si>
  <si>
    <t>A principally residential settlement consisting of small houses surrounded by gardens.</t>
  </si>
  <si>
    <t>PptCode_allotmentGardenColony</t>
  </si>
  <si>
    <t>capital</t>
  </si>
  <si>
    <t>Capital</t>
  </si>
  <si>
    <t>A city that is the official capital of a nation State, defined by a constitution.</t>
  </si>
  <si>
    <t>A capital need not necessarily be the seat of government at the same time.</t>
  </si>
  <si>
    <t>PptCode_capital</t>
  </si>
  <si>
    <t>city</t>
  </si>
  <si>
    <t>City</t>
  </si>
  <si>
    <t>A major town inhabited by a large permanent community with all essential services.</t>
  </si>
  <si>
    <t>PptCode_city</t>
  </si>
  <si>
    <t>commercialTown</t>
  </si>
  <si>
    <t>Commercial Town</t>
  </si>
  <si>
    <t>A populated place with predominantly commerce (trade and services) facilities, apart from its residential function.</t>
  </si>
  <si>
    <t>PptCode_commercialTown</t>
  </si>
  <si>
    <t>fishingVillage</t>
  </si>
  <si>
    <t>Fishing Village</t>
  </si>
  <si>
    <t>A populated place with predominantly fishermen living there and with the respective facilities.</t>
  </si>
  <si>
    <t>PptCode_fishingVillage</t>
  </si>
  <si>
    <t>fortress</t>
  </si>
  <si>
    <t>Fortress</t>
  </si>
  <si>
    <t>A fortified settlement bearing facilities for defence purposes.</t>
  </si>
  <si>
    <t>PptCode_fortress</t>
  </si>
  <si>
    <t>frontierTown</t>
  </si>
  <si>
    <t>Frontier Town</t>
  </si>
  <si>
    <t>A populated place located at a border to a adjacent state with border-crossing traffic importance.</t>
  </si>
  <si>
    <t>PptCode_frontierTown</t>
  </si>
  <si>
    <t>healthResort</t>
  </si>
  <si>
    <t>Health Resort</t>
  </si>
  <si>
    <t>A principally recreational settlement located at places with mineral springs or for climatic treatment.</t>
  </si>
  <si>
    <t>PptCode_healthResort</t>
  </si>
  <si>
    <t>historicalSite</t>
  </si>
  <si>
    <t>Historical Site</t>
  </si>
  <si>
    <t>PptCode_historicalSite</t>
  </si>
  <si>
    <t>holidayHomes</t>
  </si>
  <si>
    <t>Holiday Homes</t>
  </si>
  <si>
    <t>A settlement consisting of homes for holiday or weekend use, often left to tourists.</t>
  </si>
  <si>
    <t>PptCode_holidayHomes</t>
  </si>
  <si>
    <t>holidayVillage</t>
  </si>
  <si>
    <t>Holiday Village</t>
  </si>
  <si>
    <t>A complex for holiday-makers with cottages, shops, and entertainment, on site.</t>
  </si>
  <si>
    <t>It is often populated on a seasonal basis.</t>
  </si>
  <si>
    <t>PptCode_holidayVillage</t>
  </si>
  <si>
    <t>huntingPost</t>
  </si>
  <si>
    <t>Hunting Post</t>
  </si>
  <si>
    <t>A settlement for residential and working functions for hunters.</t>
  </si>
  <si>
    <t>Hunting Base</t>
  </si>
  <si>
    <t>PptCode_huntingPost</t>
  </si>
  <si>
    <t>industrialTown</t>
  </si>
  <si>
    <t>Industrial Town</t>
  </si>
  <si>
    <t>A populated place with predominantly industrial-facilities, apart from its residential function.</t>
  </si>
  <si>
    <t>PptCode_industrialTown</t>
  </si>
  <si>
    <t>meteorologicalStation</t>
  </si>
  <si>
    <t>Meteorological Station</t>
  </si>
  <si>
    <t>A settlement for residential and working functions for meteorological personal.</t>
  </si>
  <si>
    <t>PptCode_meteorologicalStation</t>
  </si>
  <si>
    <t>militaryFacility</t>
  </si>
  <si>
    <t>Military Facility</t>
  </si>
  <si>
    <t>A settlement for residential and duty functions for soldiers.</t>
  </si>
  <si>
    <t>PptCode_militaryFacility</t>
  </si>
  <si>
    <t>miningSettlement</t>
  </si>
  <si>
    <t>Mining Settlement</t>
  </si>
  <si>
    <t>A populated place with predominantly mine-workers living there and with the respective facilities.</t>
  </si>
  <si>
    <t>PptCode_miningSettlement</t>
  </si>
  <si>
    <t>nativeSettlement</t>
  </si>
  <si>
    <t>Native Settlement</t>
  </si>
  <si>
    <t>A populated place with predominantly rude dwellings used by the aborigines of a region.</t>
  </si>
  <si>
    <t>PptCode_nativeSettlement</t>
  </si>
  <si>
    <t>A populated place predominantly consisting of transportable homes, subject to a seasonal change of location.</t>
  </si>
  <si>
    <t>PptCode_nomadicSettlement</t>
  </si>
  <si>
    <t>placeOfPilgrimage</t>
  </si>
  <si>
    <t>Place of Pilgrimage</t>
  </si>
  <si>
    <t>A populated place with predominantly religious facilities subject to permanent visit by pilgrims.</t>
  </si>
  <si>
    <t>PptCode_placeOfPilgrimage</t>
  </si>
  <si>
    <t>port</t>
  </si>
  <si>
    <t>A populated place with predominantly harbour-facilities, apart from its residential function.</t>
  </si>
  <si>
    <t>PptCode_port</t>
  </si>
  <si>
    <t>refugeeCamp</t>
  </si>
  <si>
    <t>Refugee Camp</t>
  </si>
  <si>
    <t>A settlement with residential use for refugees.</t>
  </si>
  <si>
    <t>PptCode_refugeeCamp</t>
  </si>
  <si>
    <t>religiousFacility</t>
  </si>
  <si>
    <t>A facility devoted to religion; exhibiting the spiritual or practical effects of religion, following the requirements of a religion.</t>
  </si>
  <si>
    <t>PptCode_religiousFacility</t>
  </si>
  <si>
    <t>researchStation</t>
  </si>
  <si>
    <t>Research Station</t>
  </si>
  <si>
    <t>A settlement for residential and working functions for researchers.</t>
  </si>
  <si>
    <t>Research Base</t>
  </si>
  <si>
    <t>PptCode_researchStation</t>
  </si>
  <si>
    <t>residentialArea</t>
  </si>
  <si>
    <t>Residential Area</t>
  </si>
  <si>
    <t>A settlement with a predominant residential function.</t>
  </si>
  <si>
    <t>PptCode_residentialArea</t>
  </si>
  <si>
    <t>seasideResort</t>
  </si>
  <si>
    <t>Seaside Resort</t>
  </si>
  <si>
    <t>A principally recreational settlement located at the sea or on an island.</t>
  </si>
  <si>
    <t>PptCode_seasideResort</t>
  </si>
  <si>
    <t>seatGovernment</t>
  </si>
  <si>
    <t>Seat of Government</t>
  </si>
  <si>
    <t>A city that is the official seat of the government of a nation State.</t>
  </si>
  <si>
    <t>A seat of government need not necessarily be the capital at the same time. For example, Netherlands - Seat of Government: Den Haag, Capital: Amsterdam; Bolivia - Seat of Government: La Paz, Capital: Sucre; Chile - Seat of Government: Valparaiso, Capital: Santiago de Chile; Malaysia - Seat of Government: Putrajaya, Capital: Kuala Lumpur.</t>
  </si>
  <si>
    <t>PptCode_seatGovernment</t>
  </si>
  <si>
    <t>shantyTown</t>
  </si>
  <si>
    <t>PptCode_shantyTown</t>
  </si>
  <si>
    <t>tentEncampment</t>
  </si>
  <si>
    <t>Tent Encampment</t>
  </si>
  <si>
    <t>The temporary quarters of nomads, travellers, and/or troops, consisting of portable tent shelters.</t>
  </si>
  <si>
    <t>PptCode_tentEncampment</t>
  </si>
  <si>
    <t>touristPlace</t>
  </si>
  <si>
    <t>Tourist Place</t>
  </si>
  <si>
    <t>A populated place with predominantly tourist facilities or of sightseeing importance.</t>
  </si>
  <si>
    <t>PptCode_touristPlace</t>
  </si>
  <si>
    <t>town</t>
  </si>
  <si>
    <t>Town</t>
  </si>
  <si>
    <t>An inhabited place larger and more regularly built and with more complete and independent local government than a village but not created a city.</t>
  </si>
  <si>
    <t>PptCode_town</t>
  </si>
  <si>
    <t>tradingEstate</t>
  </si>
  <si>
    <t>Trading Estate</t>
  </si>
  <si>
    <t>A settlement with a predominant working-place function.</t>
  </si>
  <si>
    <t>Industrial Estate</t>
  </si>
  <si>
    <t>PptCode_tradingEstate</t>
  </si>
  <si>
    <t>tradingStation</t>
  </si>
  <si>
    <t>Trading Station</t>
  </si>
  <si>
    <t>A settlement for residential and working functions for trading.</t>
  </si>
  <si>
    <t>Trading Post, Trading Base</t>
  </si>
  <si>
    <t>PptCode_tradingStation</t>
  </si>
  <si>
    <t>traditionalSettlement</t>
  </si>
  <si>
    <t>PptCode_traditionalSettlement</t>
  </si>
  <si>
    <t>trafficSettlement</t>
  </si>
  <si>
    <t>Traffic Settlement</t>
  </si>
  <si>
    <t>A populated place with predominantly facilities according to traffic affairs.</t>
  </si>
  <si>
    <t>PptCode_trafficSettlement</t>
  </si>
  <si>
    <t>urbanArea</t>
  </si>
  <si>
    <t>Urban Area</t>
  </si>
  <si>
    <t>An area predominantly occupied by man-made structures used for residential, recreational, commercial, and/or industrial purposes.</t>
  </si>
  <si>
    <t>PptCode_urbanArea</t>
  </si>
  <si>
    <t>A self-contained group of houses and associated buildings, usually in a country area.</t>
  </si>
  <si>
    <t>PptCode_village</t>
  </si>
  <si>
    <t>whalerStation</t>
  </si>
  <si>
    <t>Whaler Station</t>
  </si>
  <si>
    <t>A settlement for residential and working functions for whalers.</t>
  </si>
  <si>
    <t>Whaler Post, Whaler Base</t>
  </si>
  <si>
    <t>PptCode_whalerStation</t>
  </si>
  <si>
    <t>from101To200</t>
  </si>
  <si>
    <t>101-200</t>
  </si>
  <si>
    <t>From 101 to 200 people per square kilometre.</t>
  </si>
  <si>
    <t>PpdCode_from101To200</t>
  </si>
  <si>
    <t>from1to10</t>
  </si>
  <si>
    <t>1-10</t>
  </si>
  <si>
    <t>From 1 to 10 people per square kilometre.</t>
  </si>
  <si>
    <t>PpdCode_from1to10</t>
  </si>
  <si>
    <t>from11To25</t>
  </si>
  <si>
    <t>11-25</t>
  </si>
  <si>
    <t>From 11 to 25 people per square kilometre.</t>
  </si>
  <si>
    <t>PpdCode_from11To25</t>
  </si>
  <si>
    <t>from201To500</t>
  </si>
  <si>
    <t>201-500</t>
  </si>
  <si>
    <t>From 201 to500 people per square kilometre.</t>
  </si>
  <si>
    <t>PpdCode_from201To500</t>
  </si>
  <si>
    <t>from26To50</t>
  </si>
  <si>
    <t>26-50</t>
  </si>
  <si>
    <t>From 26 to 50 people per square kilometre.</t>
  </si>
  <si>
    <t>PpdCode_from26To50</t>
  </si>
  <si>
    <t>from501To1000</t>
  </si>
  <si>
    <t>501-1000</t>
  </si>
  <si>
    <t>From 501 to 1000 people per square kilometre.</t>
  </si>
  <si>
    <t>PpdCode_from501To1000</t>
  </si>
  <si>
    <t>from51To100</t>
  </si>
  <si>
    <t>51-100</t>
  </si>
  <si>
    <t>From 51 to 100 people per square kilometre.</t>
  </si>
  <si>
    <t>PpdCode_from51To100</t>
  </si>
  <si>
    <t>greaterThan1000</t>
  </si>
  <si>
    <t>Greater than 1000</t>
  </si>
  <si>
    <t>Greater than 1000 people per square kilometre.</t>
  </si>
  <si>
    <t>PpdCode_greaterThan1000</t>
  </si>
  <si>
    <t>lessThan1</t>
  </si>
  <si>
    <t>Less than 1</t>
  </si>
  <si>
    <t>Less than 1 person per square kilometre.</t>
  </si>
  <si>
    <t>PpdCode_lessThan1</t>
  </si>
  <si>
    <t>automaticWeapon</t>
  </si>
  <si>
    <t>Automatic Weapon</t>
  </si>
  <si>
    <t>A firearm capable of continuous loading, firing, and ejecting until the ammunition is exhausted or the trigger is released.</t>
  </si>
  <si>
    <t>AgwCode_automaticWeapon</t>
  </si>
  <si>
    <t>explosiveVest</t>
  </si>
  <si>
    <t>Explosive Vest</t>
  </si>
  <si>
    <t>An article of clothing worn around the torso that includes explosive device(s).</t>
  </si>
  <si>
    <t>AgwCode_explosiveVest</t>
  </si>
  <si>
    <t>Any chemical compound, mixture, and/or device used as a primary or common purpose to create an explosion releasing instaneous gas and/or heat.</t>
  </si>
  <si>
    <t>AgwCode_explosives</t>
  </si>
  <si>
    <t>grenade</t>
  </si>
  <si>
    <t>Grenade</t>
  </si>
  <si>
    <t>A small bomb or explosive missile that is detonated by a fuse and thrown by hand.</t>
  </si>
  <si>
    <t>It may also be propelled from a rifle or launcher.</t>
  </si>
  <si>
    <t>AgwCode_grenade</t>
  </si>
  <si>
    <t>gun</t>
  </si>
  <si>
    <t>Gun</t>
  </si>
  <si>
    <t>A portable firearm larger than a pistol.</t>
  </si>
  <si>
    <t>AgwCode_gun</t>
  </si>
  <si>
    <t>knife</t>
  </si>
  <si>
    <t>Knife</t>
  </si>
  <si>
    <t>A sharp-edged blade affixed to a handle.</t>
  </si>
  <si>
    <t>AgwCode_knife</t>
  </si>
  <si>
    <t>pistol</t>
  </si>
  <si>
    <t>Pistol</t>
  </si>
  <si>
    <t>A small firearm held in one hand.</t>
  </si>
  <si>
    <t>AgwCode_pistol</t>
  </si>
  <si>
    <t>rocketPropelledGrenade</t>
  </si>
  <si>
    <t>Rocket Propelled Grenade</t>
  </si>
  <si>
    <t>A man-portable, shoulder-launched weapon capable of firing an explosive device (for example: a grenade).</t>
  </si>
  <si>
    <t>AgwCode_rocketPropelledGrenade</t>
  </si>
  <si>
    <t>sword</t>
  </si>
  <si>
    <t>Sword</t>
  </si>
  <si>
    <t>A weapon for cutting and thrusting, larger than a knife and having a hilt with a straight or curved blade.</t>
  </si>
  <si>
    <t>AgwCode_sword</t>
  </si>
  <si>
    <t>The position is considered to be less than third-order accuracy, but is generally considered to be within 30.5 metres of its correct geographic location.</t>
  </si>
  <si>
    <t>Also may apply to an object whose position does not remain fixed.</t>
  </si>
  <si>
    <t>QuaCode_approximate</t>
  </si>
  <si>
    <t>calculated</t>
  </si>
  <si>
    <t>Calculated</t>
  </si>
  <si>
    <t>The position was computed from data.</t>
  </si>
  <si>
    <t>QuaCode_calculated</t>
  </si>
  <si>
    <t>confirmedReport</t>
  </si>
  <si>
    <t>Confirmed Report</t>
  </si>
  <si>
    <t>The position has been reported and confirmed by some means other than a formal survey (for example: an independent report).</t>
  </si>
  <si>
    <t>Reported (Not Surveyed)</t>
  </si>
  <si>
    <t>QuaCode_confirmedReport</t>
  </si>
  <si>
    <t>The position has been reported but is considered to be doubtful.</t>
  </si>
  <si>
    <t>QuaCode_doubtful</t>
  </si>
  <si>
    <t>The most probable position was determined from incomplete data or data of questionable accuracy.</t>
  </si>
  <si>
    <t>QuaCode_estimated</t>
  </si>
  <si>
    <t>preciselyKnown</t>
  </si>
  <si>
    <t>Precisely Known</t>
  </si>
  <si>
    <t>The position is of a known value (for example: the position of an anchor berth or other defined object).</t>
  </si>
  <si>
    <t>QuaCode_preciselyKnown</t>
  </si>
  <si>
    <t>unconfirmedReport</t>
  </si>
  <si>
    <t>Unconfirmed Report</t>
  </si>
  <si>
    <t>The position has been reported but has not been confirmed.</t>
  </si>
  <si>
    <t>Reported (Not Confirmed)</t>
  </si>
  <si>
    <t>QuaCode_unconfirmedReport</t>
  </si>
  <si>
    <t>The position was obtained from questionable or unreliable data.</t>
  </si>
  <si>
    <t>QuaCode_unreliable</t>
  </si>
  <si>
    <t>geothermal</t>
  </si>
  <si>
    <t>Geothermal</t>
  </si>
  <si>
    <t>Uses geothermal power from the interior heat of the Earth.</t>
  </si>
  <si>
    <t>PosCode_geothermal</t>
  </si>
  <si>
    <t>hydroElectric</t>
  </si>
  <si>
    <t>Hydro-electric</t>
  </si>
  <si>
    <t xml:space="preserve">Uses the change in gravitational potential of falling water. </t>
  </si>
  <si>
    <t>The water may be impounded (for example: by a dam) or collected from a naturally-occurring elevated location (for example: Niagara Falls).</t>
  </si>
  <si>
    <t>PosCode_hydroElectric</t>
  </si>
  <si>
    <t>Powered by the energy of nuclear reaction.</t>
  </si>
  <si>
    <t>PosCode_nuclear</t>
  </si>
  <si>
    <t>Generates energy by combustion of hydrocarbons.</t>
  </si>
  <si>
    <t>The heat energy may be generated by either internal or external combustion processes.</t>
  </si>
  <si>
    <t>PosCode_thermal</t>
  </si>
  <si>
    <t>Generates electricity from the tide.</t>
  </si>
  <si>
    <t>PosCode_tidal</t>
  </si>
  <si>
    <t>PpcCode_geothermal</t>
  </si>
  <si>
    <t>Uses the change in gravitational potential of falling water.</t>
  </si>
  <si>
    <t>PpcCode_hydroElectric</t>
  </si>
  <si>
    <t>PpcCode_nuclear</t>
  </si>
  <si>
    <t>solar</t>
  </si>
  <si>
    <t>Solar</t>
  </si>
  <si>
    <t>Powered by radiation from the sun.</t>
  </si>
  <si>
    <t>PpcCode_solar</t>
  </si>
  <si>
    <t>PpcCode_thermal</t>
  </si>
  <si>
    <t>PpcCode_tidal</t>
  </si>
  <si>
    <t>Generates electricity from the wind.</t>
  </si>
  <si>
    <t>PpcCode_wind</t>
  </si>
  <si>
    <t>Gold</t>
  </si>
  <si>
    <t>Material from which gold of economic value can be extracted.</t>
  </si>
  <si>
    <t>Gold is found in native form.</t>
  </si>
  <si>
    <t>NomCode_gold</t>
  </si>
  <si>
    <t>platinumMetals</t>
  </si>
  <si>
    <t>Platinum Metals</t>
  </si>
  <si>
    <t>Material from which platinum group metals (PGM) of economic value can be extracted.</t>
  </si>
  <si>
    <t>Sources for platinum: sperrylite (platinum arsenide); sources for iridium and osmium: iridiosmium (natural occuring alloy of iridium and osmium); sources for ruthenium and rhodium: in ores mixed with other metals such as silver, palladium, platinum, gold.</t>
  </si>
  <si>
    <t>NomCode_platinumMetals</t>
  </si>
  <si>
    <t>Silver</t>
  </si>
  <si>
    <t>Material from which silver of economic value can be extracted.</t>
  </si>
  <si>
    <t>Silver is either found in native form, or is found combined with sulphur, arsenic, antimony, or chlorine in various ores such as argentite (silver sulfide) and cerargyrite (silver chloride).</t>
  </si>
  <si>
    <t>NomCode_silver</t>
  </si>
  <si>
    <t>anhydrite</t>
  </si>
  <si>
    <t>Anhydrite</t>
  </si>
  <si>
    <t>A chemical sedimentary rock consisting of anhydrous calcium sulphate.</t>
  </si>
  <si>
    <t>Anhydrite is deposited through evaporation from seawater or dehydration of gypsum.</t>
  </si>
  <si>
    <t>SarCode_anhydrite</t>
  </si>
  <si>
    <t>boronSalt</t>
  </si>
  <si>
    <t>Boron Salt</t>
  </si>
  <si>
    <t>A chemical sedimentary rock consisting of sodium borate.</t>
  </si>
  <si>
    <t>Boron salts are deposited through evaporation in saline lakes.</t>
  </si>
  <si>
    <t>Borax</t>
  </si>
  <si>
    <t>SarCode_boronSalt</t>
  </si>
  <si>
    <t>gypsum</t>
  </si>
  <si>
    <t>Gypsum</t>
  </si>
  <si>
    <t>A chemical sedimentary rock consisting of aquated calcium sulphate.</t>
  </si>
  <si>
    <t>Gypsum is deposited through evaporation from seawater.</t>
  </si>
  <si>
    <t>SarCode_gypsum</t>
  </si>
  <si>
    <t>potassiumSalt</t>
  </si>
  <si>
    <t>Potassium salt</t>
  </si>
  <si>
    <t>A chemical sedimentary rock consisting of different potassium minerals (for example: sylvite and carnalite).</t>
  </si>
  <si>
    <t>Potassium salts are deposited through evaporation from seawater.</t>
  </si>
  <si>
    <t>SarCode_potassiumSalt</t>
  </si>
  <si>
    <t>sodiumSalt</t>
  </si>
  <si>
    <t>Sodium Salt</t>
  </si>
  <si>
    <t>A chemical sedimentary rock consisting of different sodium sulphate minerals (for example: thenardite and mirabilite).</t>
  </si>
  <si>
    <t>Sodium salts are deposited through evaporation in saline lakes.</t>
  </si>
  <si>
    <t>Halite</t>
  </si>
  <si>
    <t>SarCode_sodiumSalt</t>
  </si>
  <si>
    <t>Zone of coniferous forests south of the tundra with a small amount of deciduous trees.</t>
  </si>
  <si>
    <t>VgzCode_borealConiferousForest</t>
  </si>
  <si>
    <t>coldDesert</t>
  </si>
  <si>
    <t>Cold Desert</t>
  </si>
  <si>
    <t>Zone polewards from the tundra zone, characterized by nearly total lack of vegetation. (Arctical and antarctical).</t>
  </si>
  <si>
    <t>VgzCode_coldDesert</t>
  </si>
  <si>
    <t>deciduousMixedForest</t>
  </si>
  <si>
    <t>Deciduous and Mixed Forest</t>
  </si>
  <si>
    <t>Zone with mixed stocks of deciduous and coniferous trees, brushwood and herbaceous layers located in temperately cool climates.</t>
  </si>
  <si>
    <t>VgzCode_deciduousMixedForest</t>
  </si>
  <si>
    <t>desertSteppe</t>
  </si>
  <si>
    <t>Desert Steppe</t>
  </si>
  <si>
    <t>Zone lacking in vegetation (aridity) covered at least by 25 percent of plants.</t>
  </si>
  <si>
    <t>Semi-desert</t>
  </si>
  <si>
    <t>VgzCode_desertSteppe</t>
  </si>
  <si>
    <t>dryDesert</t>
  </si>
  <si>
    <t>Dry Desert</t>
  </si>
  <si>
    <t>Zone free of or lacking in vegetation, subject to high aridity.</t>
  </si>
  <si>
    <t>VgzCode_dryDesert</t>
  </si>
  <si>
    <t>dryForest</t>
  </si>
  <si>
    <t>Dry Forest</t>
  </si>
  <si>
    <t>Zone of leave-sheding vegetation with tree-like woody plants within the tropics and subtropics.</t>
  </si>
  <si>
    <t>VgzCode_dryForest</t>
  </si>
  <si>
    <t>drySavanna</t>
  </si>
  <si>
    <t>Dry Savanna</t>
  </si>
  <si>
    <t>Zone of predominantly shrub and grass vegetation, having few if any trees.</t>
  </si>
  <si>
    <t>VgzCode_drySavanna</t>
  </si>
  <si>
    <t>evergreenRainForest</t>
  </si>
  <si>
    <t>Evergreen Rain Forest</t>
  </si>
  <si>
    <t>Zone with high density and variety of vegetation, characterized by heavy and regular precipitation as well as high temperatures.</t>
  </si>
  <si>
    <t>VgzCode_evergreenRainForest</t>
  </si>
  <si>
    <t>highMountainVeg</t>
  </si>
  <si>
    <t>High Mountain Vegetation</t>
  </si>
  <si>
    <t>Zone free of trees (located above the timberline) and predominately covered with grasses and shrubs.</t>
  </si>
  <si>
    <t>VgzCode_highMountainVeg</t>
  </si>
  <si>
    <t>Zone of tropical coastal woodlands on tidal flats.</t>
  </si>
  <si>
    <t>VgzCode_mangrove</t>
  </si>
  <si>
    <t>moistSavanna</t>
  </si>
  <si>
    <t>Moist Savanna</t>
  </si>
  <si>
    <t>Zone with grasslands sometimes woodlands within the wet-dry tropics or subtropics.</t>
  </si>
  <si>
    <t>VgzCode_moistSavanna</t>
  </si>
  <si>
    <t>monsoonForest</t>
  </si>
  <si>
    <t>Monsoon Forest</t>
  </si>
  <si>
    <t>Zone with semi-evergreen or rain-green forests.</t>
  </si>
  <si>
    <t>Moist Forest, Mountain Forest</t>
  </si>
  <si>
    <t>VgzCode_monsoonForest</t>
  </si>
  <si>
    <t>montaneConiferousForest</t>
  </si>
  <si>
    <t>Montane Coniferous Forest</t>
  </si>
  <si>
    <t>Zone above 1000 metres; characterized by coniferous forests.</t>
  </si>
  <si>
    <t>VgzCode_montaneConiferousForest</t>
  </si>
  <si>
    <t>Zone free of or lacking in trees, predominantly with grass-covered plains.</t>
  </si>
  <si>
    <t>VgzCode_steppe</t>
  </si>
  <si>
    <t>subtropicalScleroVeg</t>
  </si>
  <si>
    <t>Subtropical Sclerophyllus Vegetation</t>
  </si>
  <si>
    <t>Zone of mostly evergreen vegetation, strongly characterized by winter rain.</t>
  </si>
  <si>
    <t>VgzCode_subtropicalScleroVeg</t>
  </si>
  <si>
    <t>thornSavanna</t>
  </si>
  <si>
    <t>Thorn Savanna</t>
  </si>
  <si>
    <t>Zone of the wet-dry tropics, predominantly with thorny shrubs and grass.</t>
  </si>
  <si>
    <t>VgzCode_thornSavanna</t>
  </si>
  <si>
    <t>tropicalRainForest</t>
  </si>
  <si>
    <t>Tropical Rain Forest</t>
  </si>
  <si>
    <t>Zone of the most luxuriant varity and density of vegetation within the tropics, characterized by heavy and regular precipitation and high temperatures, including partially Secondary Forests.</t>
  </si>
  <si>
    <t>VgzCode_tropicalRainForest</t>
  </si>
  <si>
    <t>Zone of low vegetation, free of or lacking in trees, within the polar or subpolar regions, including both forest tundra and mountain tundra.</t>
  </si>
  <si>
    <t>VgzCode_tundra</t>
  </si>
  <si>
    <t>chemicalWarfareAgents</t>
  </si>
  <si>
    <t>Chemical Warfare Agents</t>
  </si>
  <si>
    <t>Neural, skin and/or lung damaging influences by the residue of chemical agents.</t>
  </si>
  <si>
    <t>Rd1Code_chemicalWarfareAgents</t>
  </si>
  <si>
    <t>fertilizers</t>
  </si>
  <si>
    <t>Fertilizers</t>
  </si>
  <si>
    <t>Environmental destructive influences by over use of chemical and/or biological fertilizers.</t>
  </si>
  <si>
    <t>Rd1Code_fertilizers</t>
  </si>
  <si>
    <t>radioactiveMaterials</t>
  </si>
  <si>
    <t>Radioactive Materials</t>
  </si>
  <si>
    <t>Environmental contamination by the residue of radioactive materials.</t>
  </si>
  <si>
    <t>Rd1Code_radioactiveMaterials</t>
  </si>
  <si>
    <t>toxins</t>
  </si>
  <si>
    <t>Toxins</t>
  </si>
  <si>
    <t>Environmental contamination by the residue of toxic substances and/or biological agents.</t>
  </si>
  <si>
    <t>Rd1Code_toxins</t>
  </si>
  <si>
    <t>bareCleared</t>
  </si>
  <si>
    <t>Bare</t>
  </si>
  <si>
    <t>Without the natural or usual covering.</t>
  </si>
  <si>
    <t>For example, not covered by sediments.</t>
  </si>
  <si>
    <t>Cleared</t>
  </si>
  <si>
    <t>PscCode_bareCleared</t>
  </si>
  <si>
    <t>broken</t>
  </si>
  <si>
    <t>Broken</t>
  </si>
  <si>
    <t>The material is fractured or in pieces, presenting a mix of irregular shapes and sizes.</t>
  </si>
  <si>
    <t>For example, broken shell.</t>
  </si>
  <si>
    <t>PscCode_broken</t>
  </si>
  <si>
    <t>calcareous</t>
  </si>
  <si>
    <t>Calcareous</t>
  </si>
  <si>
    <t>Composed of or containing calcium or calcium carbonate.</t>
  </si>
  <si>
    <t>For example, marl or chalk deposits.</t>
  </si>
  <si>
    <t>PscCode_calcareous</t>
  </si>
  <si>
    <t>Falls within the largest size continuum for a particular nature of surface term.</t>
  </si>
  <si>
    <t>For example, coarse gravel.</t>
  </si>
  <si>
    <t>PscCode_coarse</t>
  </si>
  <si>
    <t>decayed</t>
  </si>
  <si>
    <t>Decayed</t>
  </si>
  <si>
    <t>Partially deteriorated (for example: as a result of chemical, thermal or biological action) but short of complete destruction.</t>
  </si>
  <si>
    <t>For example, decayed vegetation.</t>
  </si>
  <si>
    <t>PscCode_decayed</t>
  </si>
  <si>
    <t>fineMinuteParticles</t>
  </si>
  <si>
    <t>Fine</t>
  </si>
  <si>
    <t>Falls within the smallest size continuum for a particular nature of surface term.</t>
  </si>
  <si>
    <t>For example, fine sand.</t>
  </si>
  <si>
    <t>PscCode_fineMinuteParticles</t>
  </si>
  <si>
    <t>flinty</t>
  </si>
  <si>
    <t>Flinty</t>
  </si>
  <si>
    <t>Composed of or covered with sharp-edged rock fragments.</t>
  </si>
  <si>
    <t>PscCode_flinty</t>
  </si>
  <si>
    <t>glacial</t>
  </si>
  <si>
    <t>Glacial</t>
  </si>
  <si>
    <t>Rocky materials consisting of a range of sizes that have been carried by the advancing edge of a glacier and left following its retreat.</t>
  </si>
  <si>
    <t>PscCode_glacial</t>
  </si>
  <si>
    <t>gritty</t>
  </si>
  <si>
    <t>Gritty</t>
  </si>
  <si>
    <t>Composed of or covered with sharp gravel-sized particles.</t>
  </si>
  <si>
    <t>For example, gritty mud.</t>
  </si>
  <si>
    <t>PscCode_gritty</t>
  </si>
  <si>
    <t>Broken or pounded into small fragments.</t>
  </si>
  <si>
    <t>For example, as a result of wave action along a shore.</t>
  </si>
  <si>
    <t>PscCode_ground</t>
  </si>
  <si>
    <t>hard</t>
  </si>
  <si>
    <t>Hard</t>
  </si>
  <si>
    <t>Firm, referring to an area of the sea floor not covered by unconsolidated sediment.</t>
  </si>
  <si>
    <t>PscCode_hard</t>
  </si>
  <si>
    <t>Not consistent or uniform in composition and/or colour.</t>
  </si>
  <si>
    <t>Uneven</t>
  </si>
  <si>
    <t>PscCode_irregular</t>
  </si>
  <si>
    <t>large</t>
  </si>
  <si>
    <t>Large</t>
  </si>
  <si>
    <t>Being of greater than average size.</t>
  </si>
  <si>
    <t>For example, large boulders.</t>
  </si>
  <si>
    <t>PscCode_large</t>
  </si>
  <si>
    <t>Falls within the moderate size continuum for a particular nature of surface term.</t>
  </si>
  <si>
    <t>PscCode_medium</t>
  </si>
  <si>
    <t>mobileBottom</t>
  </si>
  <si>
    <t>Mobile Bottom</t>
  </si>
  <si>
    <t>Composed of materials regularly redistributed by environmental factors (for example: waves and currents) resulting in routine changes in characteristics.</t>
  </si>
  <si>
    <t>PscCode_mobileBottom</t>
  </si>
  <si>
    <t>rocky</t>
  </si>
  <si>
    <t>Rocky</t>
  </si>
  <si>
    <t>Abounding in rocks.</t>
  </si>
  <si>
    <t>The rocks may be lying free on a swept surface or partially embedded in sediments.</t>
  </si>
  <si>
    <t>PscCode_rocky</t>
  </si>
  <si>
    <t>rotten</t>
  </si>
  <si>
    <t>Rotten</t>
  </si>
  <si>
    <t>Being in a state of putrefaction as a result of the decomposition of included organic material.</t>
  </si>
  <si>
    <t>PscCode_rotten</t>
  </si>
  <si>
    <t>small</t>
  </si>
  <si>
    <t>Small</t>
  </si>
  <si>
    <t>Being below the average in size.</t>
  </si>
  <si>
    <t>For example, small rocks.</t>
  </si>
  <si>
    <t>PscCode_small</t>
  </si>
  <si>
    <t>soft</t>
  </si>
  <si>
    <t>Soft</t>
  </si>
  <si>
    <t>Soft, referring to an area of the sea floor covered by unconsolidated sediment.</t>
  </si>
  <si>
    <t>PscCode_soft</t>
  </si>
  <si>
    <t>speckled</t>
  </si>
  <si>
    <t>Speckled</t>
  </si>
  <si>
    <t>Flecked with small spots of contrasting colour.</t>
  </si>
  <si>
    <t>PscCode_speckled</t>
  </si>
  <si>
    <t>sticky</t>
  </si>
  <si>
    <t>Sticky</t>
  </si>
  <si>
    <t>Having an adhesive or glue like character resulting in adhesion to objects (for example: an anchor).</t>
  </si>
  <si>
    <t>For example, sticky mud.</t>
  </si>
  <si>
    <t>PscCode_sticky</t>
  </si>
  <si>
    <t>stiff</t>
  </si>
  <si>
    <t>Stiff</t>
  </si>
  <si>
    <t>Not pliant, being thick, viscous, and resistant to flow.</t>
  </si>
  <si>
    <t>For example, stiff mud.</t>
  </si>
  <si>
    <t>PscCode_stiff</t>
  </si>
  <si>
    <t>streaky</t>
  </si>
  <si>
    <t>Streaky</t>
  </si>
  <si>
    <t>Marked or variegated with stripes or linear discolorations.</t>
  </si>
  <si>
    <t>PscCode_streaky</t>
  </si>
  <si>
    <t>tenacious</t>
  </si>
  <si>
    <t>Tenacious</t>
  </si>
  <si>
    <t>Marked with linear discolourations.</t>
  </si>
  <si>
    <t>For example, as a result of layered deposits of different materials or the effect of differential scouring.</t>
  </si>
  <si>
    <t>PscCode_tenacious</t>
  </si>
  <si>
    <t>varied</t>
  </si>
  <si>
    <t>Varied</t>
  </si>
  <si>
    <t>Widely different in composition, shape, size and/or consistency within a relatively small region.</t>
  </si>
  <si>
    <t>PscCode_varied</t>
  </si>
  <si>
    <t>volcanic</t>
  </si>
  <si>
    <t>Volcanic</t>
  </si>
  <si>
    <t>Composed of or containing material ejected from a volcano.</t>
  </si>
  <si>
    <t>PscCode_volcanic</t>
  </si>
  <si>
    <t>A national variation of standard procedure design criteria.</t>
  </si>
  <si>
    <t>PdcCode_national</t>
  </si>
  <si>
    <t>A NATO variation of standard procedure design criteria.</t>
  </si>
  <si>
    <t>PdcCode_nato</t>
  </si>
  <si>
    <t>pansOps</t>
  </si>
  <si>
    <t>PANS-OPS</t>
  </si>
  <si>
    <t>ICAO standard flight procedure design criteria.</t>
  </si>
  <si>
    <t>PdcCode_pansOps</t>
  </si>
  <si>
    <t>terps</t>
  </si>
  <si>
    <t>TERPS</t>
  </si>
  <si>
    <t>United States standard flight procedure design criteria.</t>
  </si>
  <si>
    <t>PdcCode_terps</t>
  </si>
  <si>
    <t>The established minimum weather condition requirements are only to be used if the aerodrome is serving as an alternate to the original destination of the aircraft.</t>
  </si>
  <si>
    <t>PmtCode_alternate</t>
  </si>
  <si>
    <t>The established minimum weather condition requirements are designated as compulsory when using the terminal instrument procedure.</t>
  </si>
  <si>
    <t>PmtCode_primary</t>
  </si>
  <si>
    <t>A machine that can be flown in the air.</t>
  </si>
  <si>
    <t>For example, an aeroplane or a helicopter.</t>
  </si>
  <si>
    <t>PpoCode_aircraft</t>
  </si>
  <si>
    <t>algae</t>
  </si>
  <si>
    <t>Any macroscopic marine alga that grow in long narrow ribbons.</t>
  </si>
  <si>
    <t>PpoCode_algae</t>
  </si>
  <si>
    <t>Aluminum</t>
  </si>
  <si>
    <t>A light silvery ductile and malleable metal, not readily tarnished by air, which is a chemical element, atomic number 13. (Symbol Al.)</t>
  </si>
  <si>
    <t>PpoCode_aluminum</t>
  </si>
  <si>
    <t>ammunition</t>
  </si>
  <si>
    <t>Ammunition</t>
  </si>
  <si>
    <t>Military stores or supplies consisting of projectiles (for example: bullets, shells, and/or grenades) and propellants.</t>
  </si>
  <si>
    <t>PpoCode_ammunition</t>
  </si>
  <si>
    <t>PpoCode_animalFeed</t>
  </si>
  <si>
    <t>Black or brownish-black, solid or viscous, bituminous pitch, of natural occurrence or produced from petroleum.</t>
  </si>
  <si>
    <t>PpoCode_asphalt</t>
  </si>
  <si>
    <t>The hollow stem of numerous, mainly tropical, giant grasses belonging to the genus Bambusa and various related genera.</t>
  </si>
  <si>
    <t>Used as a stick or as a material in manufacture.</t>
  </si>
  <si>
    <t>PpoCode_bamboo</t>
  </si>
  <si>
    <t>The edible finger-shaped pulpy fruit of any of various tropical and subtropical plants of the genus Musa (family Musaceae), borne in clusters and yellow-skinned when ripe.</t>
  </si>
  <si>
    <t>PpoCode_banana</t>
  </si>
  <si>
    <t>Basalt in the form of blocks, slabs, and other shapes for use in construction (for example: building or paving).</t>
  </si>
  <si>
    <t>A dark, fine-grained, igneous rock, often displaying columnar structure and usually composed largely of plagioclase with pyroxene and olivine.</t>
  </si>
  <si>
    <t>PpoCode_basalt</t>
  </si>
  <si>
    <t>An earthy rock consisting of hydrated alumina with variable proportions of iron oxides and other impurities.</t>
  </si>
  <si>
    <t>The major commercial source of aluminium.</t>
  </si>
  <si>
    <t>PpoCode_bauxite</t>
  </si>
  <si>
    <t>biochemical</t>
  </si>
  <si>
    <t>Biochemical</t>
  </si>
  <si>
    <t>A compound produced by chemical reactions in living organisms.</t>
  </si>
  <si>
    <t>May also be synthesized using non-biologic processes.</t>
  </si>
  <si>
    <t>PpoCode_biochemical</t>
  </si>
  <si>
    <t>For U.S. Energy Information Administration reporting, it is a fuel composed of mono-alkyl esters of long chain fatty acids derived from vegetable oils or animal fats, designated B100, and meeting the requirements of American Society for Testing and Materials (ASTM) D 6751. It can serve as a substitute for petroleum-derived diesel or distillate fuel.</t>
  </si>
  <si>
    <t>PpoCode_biodiesel</t>
  </si>
  <si>
    <t>bivalveMollusc</t>
  </si>
  <si>
    <t>Bivalve Mollusc</t>
  </si>
  <si>
    <t>A member of the class Bivalvia, having a shell of two parts hinged together by a ligament.</t>
  </si>
  <si>
    <t>For example, clams, scallops, oysters, and mussels.</t>
  </si>
  <si>
    <t>PpoCode_bivalveMollusc</t>
  </si>
  <si>
    <t>breccia</t>
  </si>
  <si>
    <t>Breccia</t>
  </si>
  <si>
    <t>Breccia in the form of blocks, slabs, and other shapes for use in construction (for example: building or paving).</t>
  </si>
  <si>
    <t>A sedimentary rock consisting of angular, coarse-grained fragments cemented together by a fine-grained matrix (for example: by lime).</t>
  </si>
  <si>
    <t>PpoCode_breccia</t>
  </si>
  <si>
    <t>Clay kneaded, moulded, and baked or sun-dried, used as a building material.</t>
  </si>
  <si>
    <t>PpoCode_brick</t>
  </si>
  <si>
    <t>brine</t>
  </si>
  <si>
    <t>Brine</t>
  </si>
  <si>
    <t>Water saturated or strongly impregnated with salt, especially sodium chloride.</t>
  </si>
  <si>
    <t>May be used as a feedstock in petrochemical refineries and in oil and gas well drilling and workover operations.</t>
  </si>
  <si>
    <t>PpoCode_brine</t>
  </si>
  <si>
    <t>Containing calcium carbonate and/or other, usually insoluble, calcium salt.</t>
  </si>
  <si>
    <t>PpoCode_calcareous</t>
  </si>
  <si>
    <t>cement</t>
  </si>
  <si>
    <t>Cement</t>
  </si>
  <si>
    <t>A powdered substance, usually consisting of a strong mortar of calcined lime and clay, mixed with water and applied as a paste which hardens into a stony consistency.</t>
  </si>
  <si>
    <t>Used for binding together stones and/or bricks and for forming structures (for example: floors and/or walls).</t>
  </si>
  <si>
    <t>PpoCode_cement</t>
  </si>
  <si>
    <t>chalk</t>
  </si>
  <si>
    <t>Chalk</t>
  </si>
  <si>
    <t>White soft earthy limestone consisting almost wholly of calcite and derived chiefly from microscopic salt water fossil shells and fragments.</t>
  </si>
  <si>
    <t>PpoCode_chalk</t>
  </si>
  <si>
    <t>charcoal</t>
  </si>
  <si>
    <t>Charcoal</t>
  </si>
  <si>
    <t>The blackish residue consisting of impure carbon obtained by removing water and other volatile constituents of organic materials, usually produced by heating wood in the absence of oxygen.</t>
  </si>
  <si>
    <t>Its primary use is as a fuel, which burns hotter and cleaner than wood.</t>
  </si>
  <si>
    <t>PpoCode_charcoal</t>
  </si>
  <si>
    <t>A distinct substance obtained by or used in a chemical process.</t>
  </si>
  <si>
    <t>PpoCode_chemical</t>
  </si>
  <si>
    <t>Chromium</t>
  </si>
  <si>
    <t>A hard white lustrous metal which is a chemical element of the transition series, atomic number 24. (Symbol Cr.)</t>
  </si>
  <si>
    <t>It is much used in alloys and corrosion-resistant coatings.</t>
  </si>
  <si>
    <t>PpoCode_chromium</t>
  </si>
  <si>
    <t>A stiff tenacious fine-grained earth consisting mainly of hydrated aluminosilicates, which become more plastic when water is added and can be moulded and dried.</t>
  </si>
  <si>
    <t>Used to make bricks and/or pottery.</t>
  </si>
  <si>
    <t>PpoCode_clay</t>
  </si>
  <si>
    <t>clothing</t>
  </si>
  <si>
    <t>Clothing</t>
  </si>
  <si>
    <t>Coverings designed to be worn on a person's body, usually for functional purposes (for example: protection from the environment).</t>
  </si>
  <si>
    <t>Most commonly created from cloth fabrics, leather and/or fur. Clothing often has important social (for example: uniforms) and cultural (for example: differences between male and female) functions, with styles varying widely. Clothing may be either mass-manufactured in standard sizes ('ready-to-wear') or individually sized (tailored or 'made-to-measure'). Clothing worn on the feet (for example: boot, sandal, shoe) is generically termed 'footwear'. Clothing worn on the head (for example: hat, helmet, turban) is generically termed 'headgear'.</t>
  </si>
  <si>
    <t>PpoCode_clothing</t>
  </si>
  <si>
    <t>PpoCode_coal</t>
  </si>
  <si>
    <t>coalbedMethane</t>
  </si>
  <si>
    <t>Coalbed Methane</t>
  </si>
  <si>
    <t>A form of natural gas extracted from coal beds, consisting almost entirely of methane, with little heavier hydrocarbons such as propane or butane, and no natural gas condensate.</t>
  </si>
  <si>
    <t>It often contains up to a few percent carbon dioxide, but essentially no hydrogen sulfide. In underground coal mining it presents a serious safety risk (of explosion).</t>
  </si>
  <si>
    <t>Coal Seam Gas</t>
  </si>
  <si>
    <t>PpoCode_coalbedMethane</t>
  </si>
  <si>
    <t>cobbles</t>
  </si>
  <si>
    <t>Cobbles</t>
  </si>
  <si>
    <t>Water-worn rounded stones, especially of the size used for paving.</t>
  </si>
  <si>
    <t>Cobble-stones</t>
  </si>
  <si>
    <t>PpoCode_cobbles</t>
  </si>
  <si>
    <t>The seeds obtained from any of certain members of the paleotropical genus Coffea (especially Coffea arabica), of the madder family, that bear white flowers succeeded by red berries each containing two seeds.</t>
  </si>
  <si>
    <t>May be either raw or roasted (and ground).</t>
  </si>
  <si>
    <t>PpoCode_coffee</t>
  </si>
  <si>
    <t>coke</t>
  </si>
  <si>
    <t>Coke</t>
  </si>
  <si>
    <t>Coal deprived by dry distillation of its volatile constituents.</t>
  </si>
  <si>
    <t>PpoCode_coke</t>
  </si>
  <si>
    <t>PpoCode_concrete</t>
  </si>
  <si>
    <t>A coarse-grained sedimentary rock composed of rounded fragments embedded in a matrix of a cementing material such as silica.</t>
  </si>
  <si>
    <t>PpoCode_conglomerate</t>
  </si>
  <si>
    <t>consumerGoods</t>
  </si>
  <si>
    <t>Consumer Goods</t>
  </si>
  <si>
    <t>Goods that are used or bought for use primarily for personal, family, and/or household purposes.</t>
  </si>
  <si>
    <t>These goods include, for example, food, clothing, automobiles, television sets, and appliances.</t>
  </si>
  <si>
    <t>PpoCode_consumerGoods</t>
  </si>
  <si>
    <t>Copper</t>
  </si>
  <si>
    <t>A malleable and ductile reddish metal which is a chemical element of the transition series, atomic number 29. (Symbol Cu.)</t>
  </si>
  <si>
    <t>Used especially for electrical conductors and as the base of alloys.</t>
  </si>
  <si>
    <t>PpoCode_copper</t>
  </si>
  <si>
    <t>PpoCode_coral</t>
  </si>
  <si>
    <t>The soft white fibrous substance which surrounds the seeds of various plants of the tropical and subtropical genus Gossypium.</t>
  </si>
  <si>
    <t>Used for making thread and cloth.</t>
  </si>
  <si>
    <t>PpoCode_cotton</t>
  </si>
  <si>
    <t>crustacean</t>
  </si>
  <si>
    <t>Crustacean</t>
  </si>
  <si>
    <t>Any member of the large class Crustacea of mainly aquatic, hard-shelled arthropods.</t>
  </si>
  <si>
    <t>For example, crab, lobster, and shrimp.</t>
  </si>
  <si>
    <t>PpoCode_crustacean</t>
  </si>
  <si>
    <t>cultivatedShellfish</t>
  </si>
  <si>
    <t>Cultivated Shellfish</t>
  </si>
  <si>
    <t>Any farmed aquatic invertebrate animal whose outer covering is a shell, usually a mollusc (for example: an oyster) or a crustacean (for example: a crab, a prawn, or a shrimp).</t>
  </si>
  <si>
    <t>PpoCode_cultivatedShellfish</t>
  </si>
  <si>
    <t>culturedPearl</t>
  </si>
  <si>
    <t>Cultured Pearl</t>
  </si>
  <si>
    <t>Pearl formed by an oyster after the insertion of a suitable foreign body.</t>
  </si>
  <si>
    <t>PpoCode_culturedPearl</t>
  </si>
  <si>
    <t>desalinatedWater</t>
  </si>
  <si>
    <t>Desalinated Water</t>
  </si>
  <si>
    <t>Water from which the salt has been removed (especially seawater).</t>
  </si>
  <si>
    <t>PpoCode_desalinatedWater</t>
  </si>
  <si>
    <t>A usually colourless or lightly tinted precious stone of great brilliance, hardness, and value, occurring chiefly in alluvial deposits.</t>
  </si>
  <si>
    <t>The hardest naturally occurring substance, commonly used for cutting and abrading.</t>
  </si>
  <si>
    <t>PpoCode_diamond</t>
  </si>
  <si>
    <t>diatomaceousEarth</t>
  </si>
  <si>
    <t>Diatomaceous Earth</t>
  </si>
  <si>
    <t>A soft, friable, porous material consisting of fossilized microscopic unicellular alga that have rigid siliceous cell walls.</t>
  </si>
  <si>
    <t>Used for filters and insulation.</t>
  </si>
  <si>
    <t>PpoCode_diatomaceousEarth</t>
  </si>
  <si>
    <t>PpoCode_dieselOil</t>
  </si>
  <si>
    <t>PpoCode_distilledWater</t>
  </si>
  <si>
    <t>dolerite</t>
  </si>
  <si>
    <t>Dolerite</t>
  </si>
  <si>
    <t>Dolerite in the form of blocks, slabs, and other shapes for use in construction (for example: building or paving).</t>
  </si>
  <si>
    <t>An igneous rock chemically the same as basalt and gabbro but medium-grained with a usually ophitic texture. Usually dark coloured and fine or medium textured. Occurs in minor intrusions such as sills and dykes.</t>
  </si>
  <si>
    <t>PpoCode_dolerite</t>
  </si>
  <si>
    <t>Dolomite in the form of blocks, slabs, and other shapes for use in construction (for example: building or paving).</t>
  </si>
  <si>
    <t>A sedimentary rock composed chiefly of a hexagonal carbonate of calcium, magnesium, and usually iron that occurs as translucent crystals of various colours, alone or with calcite.</t>
  </si>
  <si>
    <t>PpoCode_dolomite</t>
  </si>
  <si>
    <t>electricPower</t>
  </si>
  <si>
    <t>Electric Power</t>
  </si>
  <si>
    <t>Power in the form of an electric current.</t>
  </si>
  <si>
    <t>Also, the product of electromotive force (voltage) and electric current.</t>
  </si>
  <si>
    <t>PpoCode_electricPower</t>
  </si>
  <si>
    <t>electricalEquipment</t>
  </si>
  <si>
    <t>Electrical Equipment</t>
  </si>
  <si>
    <t>Devices whose primary function is to transmit, control, or convert electricity into another form of energy (for example: kinetic, thermal, or radiant).</t>
  </si>
  <si>
    <t>Includes, for example: motors, transformers, switchgear, industrial equipment (for example: drill presses, lathes, milling machines, and assembly line machinery), domestic electrical appliances (for example: ovens, freezers, toasters, stoves, washing machines, and clothes dryers), and lighting equipment.</t>
  </si>
  <si>
    <t>PpoCode_electricalEquipment</t>
  </si>
  <si>
    <t>electronicEquipment</t>
  </si>
  <si>
    <t>Electronic Equipment</t>
  </si>
  <si>
    <t>Devices that operate according to the principles or methods of electronics (for example: incorporating transistors or electron tubes).</t>
  </si>
  <si>
    <t>Includes, for example: computers, hand-held calculators, audio communication devices (for example: telephones and cell phones), entertainment devices (for example: televisions, radio receivers, compact disc and video disc players, and personal digital music players), and display devices (for example: cathode ray tubes, liquid crystal displays, and digital projectors).</t>
  </si>
  <si>
    <t>PpoCode_electronicEquipment</t>
  </si>
  <si>
    <t>Any chemical compound, mixture, and/or device the primary or common purpose of which is to function by explosion, that is with substantially instantaneous release of gas and/or heat.</t>
  </si>
  <si>
    <t>PpoCode_explosive</t>
  </si>
  <si>
    <t>fertilizer</t>
  </si>
  <si>
    <t>Fertilizer</t>
  </si>
  <si>
    <t>Substances, often artifically prepared, containing nitrogen, phosphorus, and/or potassium that are added to soil in order to fertilize it.</t>
  </si>
  <si>
    <t>PpoCode_fertilizer</t>
  </si>
  <si>
    <t>Any of a large and varied group of cold-blooded aquatic vertebrates possessing gills and fins.</t>
  </si>
  <si>
    <t>PpoCode_fish</t>
  </si>
  <si>
    <t>food</t>
  </si>
  <si>
    <t>Food</t>
  </si>
  <si>
    <t>Substance(s) (to be) taken into the body to maintain life and growth.</t>
  </si>
  <si>
    <t>PpoCode_food</t>
  </si>
  <si>
    <t>frozenWater</t>
  </si>
  <si>
    <t>Frozen Water</t>
  </si>
  <si>
    <t>Water solidified by exposure to cold.</t>
  </si>
  <si>
    <t>For example, snow or ice.</t>
  </si>
  <si>
    <t>PpoCode_frozenWater</t>
  </si>
  <si>
    <t>The edible product of a tree, shrub, or other plant, consisting of the seed and its envelope.</t>
  </si>
  <si>
    <t>May be either pulpy or covered by a woody, hard shell (termed a nut).</t>
  </si>
  <si>
    <t>PpoCode_fruit</t>
  </si>
  <si>
    <t>A gaseous hydrocarbon or hydrocarbon mixture that is suitable for burning in order to provide heat, light, or power.</t>
  </si>
  <si>
    <t>PpoCode_gas</t>
  </si>
  <si>
    <t>glass</t>
  </si>
  <si>
    <t>Glass</t>
  </si>
  <si>
    <t>A substance made by fusing soda and/or potash with other ingredients.</t>
  </si>
  <si>
    <t>Usually transparent, lustrous, hard, and brittle.</t>
  </si>
  <si>
    <t>PpoCode_glass</t>
  </si>
  <si>
    <t>gneiss</t>
  </si>
  <si>
    <t>Gneiss</t>
  </si>
  <si>
    <t>Gneiss in the form of blocks, slabs, and other shapes for use in construction (for example: building or paving).</t>
  </si>
  <si>
    <t>A foliated, usually coarse-grained, metamorphic rock in which bands of granular minerals alternate with bands of flaky or prismatic ones. Formed by the metamorphism of granite and other igneous rocks, and typically consisting of feldspar, quartz, and mica. Usually of a streaked, wavy or banded appearance.</t>
  </si>
  <si>
    <t>PpoCode_gneiss</t>
  </si>
  <si>
    <t>A precious metal which is characterized by its yellowish colour, resistance to tarnishing and corrosion, and great malleability and ductility, and is a chemical element of the transition series, atomic number 79 (symbol Au).</t>
  </si>
  <si>
    <t>PpoCode_gold</t>
  </si>
  <si>
    <t>grain</t>
  </si>
  <si>
    <t>Collectively, the fruit or seeds of cereal grasses.</t>
  </si>
  <si>
    <t>For example, corn and wheat.</t>
  </si>
  <si>
    <t>PpoCode_grain</t>
  </si>
  <si>
    <t>Granite in the form of blocks, slabs, and other shapes for use in construction (for example: building or paving).</t>
  </si>
  <si>
    <t>Any of a broad class of granular crystalline plutonic rocks, consisting essentially of quartz, orthoclase, feldspar, and mica or hornblende.</t>
  </si>
  <si>
    <t>PpoCode_granite</t>
  </si>
  <si>
    <t>Small water-worn or pounded stones.</t>
  </si>
  <si>
    <t>Sometimes with an intermixture of sand and/or clay. Used for laying paths and roads.</t>
  </si>
  <si>
    <t>PpoCode_gravel</t>
  </si>
  <si>
    <t>greenstone</t>
  </si>
  <si>
    <t>Greenstone</t>
  </si>
  <si>
    <t>Greenstone in the form of blocks, slabs, and other shapes for use in construction (for example: building or paving).</t>
  </si>
  <si>
    <t>Any igneous rock of dark-green appearance, especially containing chlorite, epidote, and/or hornblende. Includes nephrites and, in particular, jade.</t>
  </si>
  <si>
    <t>PpoCode_greenstone</t>
  </si>
  <si>
    <t>groundShell</t>
  </si>
  <si>
    <t>Ground Shell</t>
  </si>
  <si>
    <t>Ground calcareous remains of macroscopic marine animals.</t>
  </si>
  <si>
    <t>PpoCode_groundShell</t>
  </si>
  <si>
    <t>heat</t>
  </si>
  <si>
    <t>Heat</t>
  </si>
  <si>
    <t>A form of energy arising from the random motion of molecules and capable of transmission by conduction, convection, or radiation.</t>
  </si>
  <si>
    <t>PpoCode_heat</t>
  </si>
  <si>
    <t>heatingSteamAndOrWater</t>
  </si>
  <si>
    <t>Heating Steam and/or Water</t>
  </si>
  <si>
    <t>Steam and/or hot water generated and circulated to transfer heat.</t>
  </si>
  <si>
    <t>For example, used to heat residential buildings from a central heating plant.</t>
  </si>
  <si>
    <t>PpoCode_heatingSteamAndOrWater</t>
  </si>
  <si>
    <t>helium</t>
  </si>
  <si>
    <t>Helium</t>
  </si>
  <si>
    <t>An extremely low-density gas that is principally extracted from natural gas wells in Texas, Oklahoma, and Kansas in the U.S.</t>
  </si>
  <si>
    <t>PpoCode_helium</t>
  </si>
  <si>
    <t>hydrothermalFluid</t>
  </si>
  <si>
    <t>Hydrothermal Fluid</t>
  </si>
  <si>
    <t>Very hot subsurface fluids, principally a mixture of water and steam, extracted by wells.</t>
  </si>
  <si>
    <t>Depending on the temperature, pH and mineral content, may be used in either dry steam, flash steam or binary-cycle power plants.</t>
  </si>
  <si>
    <t>PpoCode_hydrothermalFluid</t>
  </si>
  <si>
    <t>PpoCode_ice</t>
  </si>
  <si>
    <t>Iron</t>
  </si>
  <si>
    <t>A malleable, magnetic, readily oxidizable metal which is a chemical element of the transition series, atomic number 26. (Symbol Fe.)</t>
  </si>
  <si>
    <t>Occurs abundantly in certain ores and in meteorites, and is widely used, chiefly in alloys such as steel.</t>
  </si>
  <si>
    <t>PpoCode_iron</t>
  </si>
  <si>
    <t>Lead</t>
  </si>
  <si>
    <t>A soft, heavy, malleable, bluish-grey metal that is a chemical element, atomic number 82, occurring in galena and other minerals. (Symbol Pb.)</t>
  </si>
  <si>
    <t>PpoCode_lead</t>
  </si>
  <si>
    <t>The alkaline earth, calcium oxide, a brittle white caustic solid which is obtained by heating limestone.</t>
  </si>
  <si>
    <t>It combines with water with the evolution of much heat, and is used as a refractory and a constituent of mortar, a source of slaked lime, and in many industrial processes.</t>
  </si>
  <si>
    <t>Quicklime</t>
  </si>
  <si>
    <t>PpoCode_lime</t>
  </si>
  <si>
    <t>Limestone in the form of blocks, slabs, and other shapes for use in construction (for example: building or paving).</t>
  </si>
  <si>
    <t>A sedimentary rock composed chiefly of calcium carbonate. Yields lime when calcined and is used as a building material and in the making of cement.</t>
  </si>
  <si>
    <t>PpoCode_limestone</t>
  </si>
  <si>
    <t>Natural gas that has been liquefied for ease of transport by cooling the gas to -162 Celsius.</t>
  </si>
  <si>
    <t>It stored in a vacuum bottle-type container at very low temperatures and under moderate pressure. Natural gas has 600 times the volume of LNG.</t>
  </si>
  <si>
    <t>PpoCode_liquefiedNaturalGas</t>
  </si>
  <si>
    <t>PpoCode_liquefiedPetroleumGas</t>
  </si>
  <si>
    <t>lumber</t>
  </si>
  <si>
    <t>Lumber</t>
  </si>
  <si>
    <t>Timber sawn into rough planks or otherwise partly prepared.</t>
  </si>
  <si>
    <t>PpoCode_lumber</t>
  </si>
  <si>
    <t>A material for surfacing roads, consisting of broken stone or ironstone slag bound with tar alone, or of tar mixed with pitch or creosote.</t>
  </si>
  <si>
    <t>Historically, water-bound rather than using tar or pitch.</t>
  </si>
  <si>
    <t>Tarmacadam</t>
  </si>
  <si>
    <t>PpoCode_macadam</t>
  </si>
  <si>
    <t>madrepore</t>
  </si>
  <si>
    <t>Madrepore</t>
  </si>
  <si>
    <t>Madrepore in the form of blocks, slabs, and other shapes for use in construction (for example: building or paving).</t>
  </si>
  <si>
    <t>A stony and/or silaceous coral.</t>
  </si>
  <si>
    <t>PpoCode_madrepore</t>
  </si>
  <si>
    <t>Manganese</t>
  </si>
  <si>
    <t>A hard grey brittle chemical element, atomic number 25, which is one of the transition metals. (Symbol Mn.)</t>
  </si>
  <si>
    <t>Used in steels and magnetic alloys.</t>
  </si>
  <si>
    <t>PpoCode_manganese</t>
  </si>
  <si>
    <t>PpoCode_manure</t>
  </si>
  <si>
    <t>marble</t>
  </si>
  <si>
    <t>Marble</t>
  </si>
  <si>
    <t>Marble in the form of blocks, slabs, and other shapes for use in construction (for example: building or paving).</t>
  </si>
  <si>
    <t>Limestone that has been recrystallized by metamorphism and is capable of taking a polish, especially one that is pure white or has a mottled surface.</t>
  </si>
  <si>
    <t>PpoCode_marble</t>
  </si>
  <si>
    <t>White to gray accumulation on lake bottoms caused by precipitation of calcium carbonate (CaCO3) mixed with microscopic fresh water fossil shells and fragments.</t>
  </si>
  <si>
    <t>PpoCode_marl</t>
  </si>
  <si>
    <t>PpoCode_masonry</t>
  </si>
  <si>
    <t>medicalSupplies</t>
  </si>
  <si>
    <t>Medical Supplies</t>
  </si>
  <si>
    <t>Any items which are essential in carrying out the treatment of a patient's illness or injury.</t>
  </si>
  <si>
    <t>Includes topicals and dressings, antiseptics, bandages, cotton, first aid kits, contraceptives, syringes, ice bags, thermometers, sun lamps, vaporizers, heating pads, and medical appliances (such as braces, canes, crutches, walkers, eyeglasses, and hearing aids).</t>
  </si>
  <si>
    <t>PpoCode_medicalSupplies</t>
  </si>
  <si>
    <t>PpoCode_metal</t>
  </si>
  <si>
    <t>milk</t>
  </si>
  <si>
    <t>Milk</t>
  </si>
  <si>
    <t>The milk of ruminants (for example: cows, goats, and sheep) used as food for humans.</t>
  </si>
  <si>
    <t>Generally, an opaque white or bluish-white fluid secreted by the mammary glands of female mammals for nourishing their young.</t>
  </si>
  <si>
    <t>PpoCode_milk</t>
  </si>
  <si>
    <t>milledGrain</t>
  </si>
  <si>
    <t>Milled Grain</t>
  </si>
  <si>
    <t>A fine, powdery substabce, or meal, produced by grinding and sifting grain, especially wheat, or any of various edible roots or nuts.</t>
  </si>
  <si>
    <t>PpoCode_milledGrain</t>
  </si>
  <si>
    <t>mineralOil</t>
  </si>
  <si>
    <t>Mineral Oil</t>
  </si>
  <si>
    <t>A highly refined petroleum distillate.</t>
  </si>
  <si>
    <t>Used as a lubricant, a solvent, and medicinally as a laxative.</t>
  </si>
  <si>
    <t>White Oil</t>
  </si>
  <si>
    <t>PpoCode_mineralOil</t>
  </si>
  <si>
    <t>motorVehicle</t>
  </si>
  <si>
    <t>Motor Vehicle</t>
  </si>
  <si>
    <t>A road vehicle.</t>
  </si>
  <si>
    <t>Usually powered by an internal-combustion engine, but occasionally by electricity.</t>
  </si>
  <si>
    <t>PpoCode_motorVehicle</t>
  </si>
  <si>
    <t>munitions</t>
  </si>
  <si>
    <t>Munitions</t>
  </si>
  <si>
    <t>Military weapons, especially including bombs, missiles, warheads, mines and/or ammunition.</t>
  </si>
  <si>
    <t>Specifically, weapons charged with: explosives; propellant; pyrotechnics; initiating composition; or nuclear, chemical, or biological material for use in military operation.</t>
  </si>
  <si>
    <t>PpoCode_munitions</t>
  </si>
  <si>
    <t>mussels</t>
  </si>
  <si>
    <t>Mussels</t>
  </si>
  <si>
    <t>Any of various bivalve molluscs belonging chiefly to the marine superfamily Mytilacea or to the freshwater superfamily Unionacea.</t>
  </si>
  <si>
    <t>For example, the common edible marine bivalve, Mytilus edulis, which has a dark grey, slightly elongated shell and adheres by a byssus, frequently in large aggregations.</t>
  </si>
  <si>
    <t>PpoCode_mussels</t>
  </si>
  <si>
    <t>naturalGasCondensate</t>
  </si>
  <si>
    <t>Natural Gas Condensate</t>
  </si>
  <si>
    <t>A low-density mixture of hydrocarbon liquids that are present as gaseous components in the raw natural gas produced from many natural gas fields and which condenses out of the raw gas if the temperature is reduced to below the hydrocarbon dew point temperature of the raw gas.</t>
  </si>
  <si>
    <t>Condensate ('wet gas') wells produce raw natural gas along with natural gas condensate (liquid).</t>
  </si>
  <si>
    <t>PpoCode_naturalGasCondensate</t>
  </si>
  <si>
    <t>Nickel</t>
  </si>
  <si>
    <t>A hard silvery-white metal which is a chemical element of the transition series, atomic number 28. (Symbol Ni.)</t>
  </si>
  <si>
    <t>It is used especially in special steels, magnetic alloys, and catalysts.</t>
  </si>
  <si>
    <t>PpoCode_nickel</t>
  </si>
  <si>
    <t>noProduct</t>
  </si>
  <si>
    <t>No Product</t>
  </si>
  <si>
    <t>No product is produced.</t>
  </si>
  <si>
    <t>PpoCode_noProduct</t>
  </si>
  <si>
    <t>nonSolidHydrocarbonFuel</t>
  </si>
  <si>
    <t>Non-solid Hydrocarbon Fuel</t>
  </si>
  <si>
    <t>Hydrocarbon-based fuel that is either liquid or gas at standard temperature and pressure.</t>
  </si>
  <si>
    <t>PpoCode_nonSolidHydrocarbonFuel</t>
  </si>
  <si>
    <t>For example, crude oil (or a refined product of this), lubricating oil, or vegetable oil.</t>
  </si>
  <si>
    <t>PpoCode_oil</t>
  </si>
  <si>
    <t>oliveOil</t>
  </si>
  <si>
    <t>Olive Oil</t>
  </si>
  <si>
    <t>A pale, light, faintly scented oil extracted from olive pulp.</t>
  </si>
  <si>
    <t>Used especially in cookery.</t>
  </si>
  <si>
    <t>PpoCode_oliveOil</t>
  </si>
  <si>
    <t>ore</t>
  </si>
  <si>
    <t>Ore</t>
  </si>
  <si>
    <t>A native mineral containing a precious or useful substance, especially metal, in such quantity and form as to make its extraction profitable.</t>
  </si>
  <si>
    <t>PpoCode_ore</t>
  </si>
  <si>
    <t>oysters</t>
  </si>
  <si>
    <t>Oysters</t>
  </si>
  <si>
    <t>Any of various bivalve molluscs of the family Ostreidae, several of which are eaten (especially raw) as a delicacy and may be farmed for food or pearls.</t>
  </si>
  <si>
    <t>For example, the common European Ostrea edulis, and members of the widespread genus Crassostrea.</t>
  </si>
  <si>
    <t>PpoCode_oysters</t>
  </si>
  <si>
    <t>Also, any of various palmlike plants of other families, such as cycads.</t>
  </si>
  <si>
    <t>PpoCode_palm</t>
  </si>
  <si>
    <t>Any of various usually small and sometimes stemless fan palms.</t>
  </si>
  <si>
    <t>For example, the dwarf fan palm of the Mediterranean (Chamaerops humilis), the Sabal palmetto, and Serenoa repens of the south-eastern United States.</t>
  </si>
  <si>
    <t>Palmetto Tree</t>
  </si>
  <si>
    <t>PpoCode_palmetto</t>
  </si>
  <si>
    <t>paper</t>
  </si>
  <si>
    <t>Paper</t>
  </si>
  <si>
    <t>Material in the form of thin flexible (frequently white) sheets made from the pulp of wood or other fibrous matter which is dried, pressed, and often bleached.</t>
  </si>
  <si>
    <t>Used for writing, printing, or drawing on, or for wrapping and/or covering.</t>
  </si>
  <si>
    <t>PpoCode_paper</t>
  </si>
  <si>
    <t>pebbles</t>
  </si>
  <si>
    <t>Pebbles</t>
  </si>
  <si>
    <t>Small, smooth, rounded stones, that have been worn by the action of water, ice, and/or sand.</t>
  </si>
  <si>
    <t>Pebble Stone</t>
  </si>
  <si>
    <t>PpoCode_pebbles</t>
  </si>
  <si>
    <t>petrochemical</t>
  </si>
  <si>
    <t>Petrochemical</t>
  </si>
  <si>
    <t>A compound or element (for example: hydrogen) produced from petroleum or natural gas (as a feedstock).</t>
  </si>
  <si>
    <t>PpoCode_petrochemical</t>
  </si>
  <si>
    <t>PpoCode_petrol</t>
  </si>
  <si>
    <t>A dark viscous liquid consisting chiefly of hydrocarbons that is present in some rocks.</t>
  </si>
  <si>
    <t>It is usually refined before use (for example: as a fuel for heating, lighting, and in internal combustion engines) and may be used as a feedstock in chemical production.</t>
  </si>
  <si>
    <t>PpoCode_petroleum</t>
  </si>
  <si>
    <t>petroleumNaturalGas</t>
  </si>
  <si>
    <t>Petroleum and/or Natural Gas</t>
  </si>
  <si>
    <t>A mixture of crude oil (petroleum) and/or natural gas that is extracted from underground reservoirs and separated and/or cleaned as necessary before transport and use.</t>
  </si>
  <si>
    <t>After processing (for example: refining) it may be used as a primary energy source (for example: as fuel oil or natural gas) or as the raw material for chemical manufacturing (for example: the production of plastics, solvents, pesticides, or fertilizers).</t>
  </si>
  <si>
    <t>PpoCode_petroleumNaturalGas</t>
  </si>
  <si>
    <t>petroleumLubricant</t>
  </si>
  <si>
    <t>Petroleum Lubricant</t>
  </si>
  <si>
    <t>A petroleum-based oil or grease that is blended or compounded for its lubricating properties.</t>
  </si>
  <si>
    <t>Lubricants are applied between the moving parts of machinery in order to reduce friction and consequent wear (for example: motor oils used in internal combustion engines). Lubricants may also be used to protect a part from dirt and moisture.</t>
  </si>
  <si>
    <t>PpoCode_petroleumLubricant</t>
  </si>
  <si>
    <t>plantMaterial</t>
  </si>
  <si>
    <t>Plant Material</t>
  </si>
  <si>
    <t>Plant material (for example: straw and/or tall coarse grass), possibly also containing the slices of soil to which the plant material is attached.</t>
  </si>
  <si>
    <t>PpoCode_plantMaterial</t>
  </si>
  <si>
    <t>plastic</t>
  </si>
  <si>
    <t>Plastic</t>
  </si>
  <si>
    <t>Any of a large class of substances which are polymers based on synthetic resins or modified natural polymers.</t>
  </si>
  <si>
    <t>May be moulded, extruded, or cast while soft or liquid, and then set into a rigid or slightly elastic form, usually by heating or cooling.</t>
  </si>
  <si>
    <t>PpoCode_plastic</t>
  </si>
  <si>
    <t>porphyry</t>
  </si>
  <si>
    <t>Porphyry</t>
  </si>
  <si>
    <t>Porphyry in the form of blocks, slabs, and other shapes for use in construction (for example: building or paving).</t>
  </si>
  <si>
    <t>An unstratified or igneous rock having a homogeneous groundmass containing larger crystals of one or more minerals (frequently feldspar). For example, a hard rock quarried in ancient Egypt, having crystals of white or red plagioclase feldspar in a fine red groundmass of hornblende or apatite. Loosely, any attractive red or purple stone taking a high polish.</t>
  </si>
  <si>
    <t>PpoCode_porphyry</t>
  </si>
  <si>
    <t>potableWater</t>
  </si>
  <si>
    <t>Potable Water</t>
  </si>
  <si>
    <t>Water that is safe for drinking and cooking.</t>
  </si>
  <si>
    <t>PpoCode_potableWater</t>
  </si>
  <si>
    <t>pottery</t>
  </si>
  <si>
    <t>Pottery</t>
  </si>
  <si>
    <t>Ceramic wares that contain clay that is formed into objects (for example: vessels generally designed for utilitarian purposes), and hardened by firing at high temperature.</t>
  </si>
  <si>
    <t>The clay may be mixed with other minerals, formed while wet and then fired. After applying a glaze the object may be fired a second time.</t>
  </si>
  <si>
    <t>PpoCode_pottery</t>
  </si>
  <si>
    <t>prestressedConcrete</t>
  </si>
  <si>
    <t>Prestressed Concrete</t>
  </si>
  <si>
    <t>Reinforced concrete in which internal stresses have been introduced to reduce potential tensile stress in the concrete resulting from loads.</t>
  </si>
  <si>
    <t>PpoCode_prestressedConcrete</t>
  </si>
  <si>
    <t>pumice</t>
  </si>
  <si>
    <t>Pumice</t>
  </si>
  <si>
    <t>A light spongy form of volcanic glass, usually of pyroclastic origin and with a high silica content.</t>
  </si>
  <si>
    <t>Used, for example, as an abrasive (for example: in cleaning, polishing, removing stains and/or dead skin) or as an absorbent for moisture.</t>
  </si>
  <si>
    <t>PpoCode_pumice</t>
  </si>
  <si>
    <t>Quartz in the form of blocks, slabs, and other shapes for use in construction (for example: building or paving).</t>
  </si>
  <si>
    <t>A trigonal rock-forming mineral consisting of silica, massive or crystallizing in colourless or white hexagonal prisms. Found widely in igneous and metamorphic rocks. Often coloured by impurities (as amethyst, citrine, cairngorm).</t>
  </si>
  <si>
    <t>PpoCode_quartz</t>
  </si>
  <si>
    <t>quartzite</t>
  </si>
  <si>
    <t>Quartzite</t>
  </si>
  <si>
    <t>Quartzite in the form of blocks, slabs, and other shapes for use in construction (for example: building or paving).</t>
  </si>
  <si>
    <t>A extremely compact, hard, granular rock consisting essentially of quartz. It is a metamorphosed sandstone in which the siliceous element is often so blended with the quartz grains so as to give the rock a nearly homogenous texture.</t>
  </si>
  <si>
    <t>PpoCode_quartzite</t>
  </si>
  <si>
    <t>PpoCode_radioactiveMaterial</t>
  </si>
  <si>
    <t>radiolaria</t>
  </si>
  <si>
    <t>Radiolaria</t>
  </si>
  <si>
    <t>Marine protozoa with amoeba-like bodies and radiating filamentous pseudopods.</t>
  </si>
  <si>
    <t>PpoCode_radiolaria</t>
  </si>
  <si>
    <t>PpoCode_reinforcedConcrete</t>
  </si>
  <si>
    <t>PpoCode_rice</t>
  </si>
  <si>
    <t>Stones of any size.</t>
  </si>
  <si>
    <t>PpoCode_rock</t>
  </si>
  <si>
    <t>roofShingle</t>
  </si>
  <si>
    <t>Roof Shingle</t>
  </si>
  <si>
    <t>A thin rectangular tile used as a roofing material and/or for cladding walls.</t>
  </si>
  <si>
    <t>Often made of wood or bituminous materials.</t>
  </si>
  <si>
    <t>PpoCode_roofShingle</t>
  </si>
  <si>
    <t>Any of various artificial polymeric substances that are tough and elastic.</t>
  </si>
  <si>
    <t>Originally an organic substance made from the coagulated latex of various plants, especially Hevea brasiliensis, which in its natural state is thermoplastic.</t>
  </si>
  <si>
    <t>PpoCode_rubber</t>
  </si>
  <si>
    <t>A white or (when impure) reddish-brown mineral crystallizing in the cubic system (sodium chloride, NaCl).</t>
  </si>
  <si>
    <t>Obtained by mining or by evaporation of seawater and used especially for seasoning and preserving food.</t>
  </si>
  <si>
    <t>PpoCode_salt</t>
  </si>
  <si>
    <t>PpoCode_sand</t>
  </si>
  <si>
    <t>Sandstone in the form of blocks, slabs, and other shapes for use in construction (for example: building or paving).</t>
  </si>
  <si>
    <t>Any of various sedimentary rocks composed of sand grains, especially of quartz, cemented together. Typically red, yellow, brown, grey, or white in colour.</t>
  </si>
  <si>
    <t>PpoCode_sandstone</t>
  </si>
  <si>
    <t>Schist in the form of blocks, slabs, and other shapes for use in construction (for example: building or paving).</t>
  </si>
  <si>
    <t>A coarse-grained pelitic metamorphic rock that has a structure marked by parallel layers of various minerals and can be split into thin irregular plates.</t>
  </si>
  <si>
    <t>PpoCode_schist</t>
  </si>
  <si>
    <t>scoria</t>
  </si>
  <si>
    <t>Scoria</t>
  </si>
  <si>
    <t>Scoria in the form of blocks, slabs, and other shapes for use in construction.</t>
  </si>
  <si>
    <t>Rough masses resembling clinker, formed by the cooling of volcanic ejecta, and of a light aerated texture.</t>
  </si>
  <si>
    <t>PpoCode_scoria</t>
  </si>
  <si>
    <t>seaMoss</t>
  </si>
  <si>
    <t>Sea Moss</t>
  </si>
  <si>
    <t>Mosslike colonies of sessile, polypoid aquatic animals that reproduce by budding.</t>
  </si>
  <si>
    <t>PpoCode_seaMoss</t>
  </si>
  <si>
    <t>PpoCode_sewage</t>
  </si>
  <si>
    <t>Calcareous remains of macroscopic marine animals, whole or in fragments.</t>
  </si>
  <si>
    <t>PpoCode_shell</t>
  </si>
  <si>
    <t>silk</t>
  </si>
  <si>
    <t>Silk</t>
  </si>
  <si>
    <t>A fine strong soft lustrous protein fibre produced by silkworms.</t>
  </si>
  <si>
    <t>Used to make thread for textiles. Also produced by various invertebrates, especially by the caterpillars of certain moths and by many spiders.</t>
  </si>
  <si>
    <t>PpoCode_silk</t>
  </si>
  <si>
    <t>A precious metal which is characterized by its lustrous white colour and great malleability and ductility, and is a chemical element of the transition series, atomic number 47. (Symbol Ag.)</t>
  </si>
  <si>
    <t>PpoCode_silver</t>
  </si>
  <si>
    <t>slate</t>
  </si>
  <si>
    <t>Slate</t>
  </si>
  <si>
    <t>Smooth parallel-sided flat plates used for making tiles for roofing and flooring.</t>
  </si>
  <si>
    <t>A dense, fine-grained, metamorphic rock that develops a characteristic cleavage which may be at any angle with the original bedding plane. Typically dark grey, blue, or green in colour.</t>
  </si>
  <si>
    <t>PpoCode_slate</t>
  </si>
  <si>
    <t>A mass of snow flakes (minute hexagonal ice crystals).</t>
  </si>
  <si>
    <t>Usually as the result of snow falling on the ground.</t>
  </si>
  <si>
    <t>PpoCode_snow</t>
  </si>
  <si>
    <t>PpoCode_soil</t>
  </si>
  <si>
    <t>sponge</t>
  </si>
  <si>
    <t>Sponge</t>
  </si>
  <si>
    <t>Any of various primitive sessile aquatic (chiefly marine) animals of the phylum Porifera, which have porous baglike bodies with a skeleton of hard spicules or elastic fibres.</t>
  </si>
  <si>
    <t>PpoCode_sponge</t>
  </si>
  <si>
    <t>steel</t>
  </si>
  <si>
    <t>Steel</t>
  </si>
  <si>
    <t>Any of numerous artificially produced alloys of iron containing up to 3 percent of other elements (including less than about 2.2 percent carbon) and having great strength and malleability.</t>
  </si>
  <si>
    <t>Able to be tempered to many different degrees of hardness. Used for making tools, weapons, and/or machinery.</t>
  </si>
  <si>
    <t>PpoCode_steel</t>
  </si>
  <si>
    <t>Pieces of rock or mineral substance (other than metal) of definite form and size, usually artificially shaped, and used for some special purpose.</t>
  </si>
  <si>
    <t>Used, for example, for building, for paving, or in the form of a block, slab, or pillar set up as a memorial and/or a boundary-mark.</t>
  </si>
  <si>
    <t>PpoCode_stone</t>
  </si>
  <si>
    <t>straw</t>
  </si>
  <si>
    <t>Straw</t>
  </si>
  <si>
    <t>The stems or stalks of certain cereals, chiefly wheat, barley, oats, and rye, especially when dry and separated by threshing.</t>
  </si>
  <si>
    <t>Used as thatch, as litter and fodder for cattle, filling for bedding, and plaited or woven as material for hats and/or baskets.</t>
  </si>
  <si>
    <t>PpoCode_straw</t>
  </si>
  <si>
    <t>sugar</t>
  </si>
  <si>
    <t>Sugar</t>
  </si>
  <si>
    <t>Any of the class of simple carbohydrates (for example: sucrose, glucose, lactose, and other saccharides) composed of one or more monosaccharide units, that are soluble in water, usually optically active, frequently sweet to the taste, and directly or indirectly fermentable.</t>
  </si>
  <si>
    <t>Obtained from various plants, especially the sugar cane and sugar beet, used in cookery, confectionery, and brewing.</t>
  </si>
  <si>
    <t>PpoCode_sugar</t>
  </si>
  <si>
    <t>A monoclinic hydrated silicate of magnesium, occurring as white, grey, or pale green masses or translucent laminae that are very soft and have a greasy feel.</t>
  </si>
  <si>
    <t>PpoCode_talc</t>
  </si>
  <si>
    <t>textile</t>
  </si>
  <si>
    <t>Textile</t>
  </si>
  <si>
    <t>Natural or synthetic fibres, filaments, threads, or yarns, and the cloth fabrics that are woven or bonded from such them.</t>
  </si>
  <si>
    <t>PpoCode_textile</t>
  </si>
  <si>
    <t>thatch</t>
  </si>
  <si>
    <t>Thatch</t>
  </si>
  <si>
    <t>Material used in thatching (for example: straw, reeds, and/or palm leaves).</t>
  </si>
  <si>
    <t>PpoCode_thatch</t>
  </si>
  <si>
    <t>A beam or piece of wood forming or capable of forming part of any structure.</t>
  </si>
  <si>
    <t>PpoCode_timber</t>
  </si>
  <si>
    <t>Tin</t>
  </si>
  <si>
    <t>A silvery lustrous malleable metal which is a chemical element (atomic number 50). (Symbol Sn.)</t>
  </si>
  <si>
    <t>It occurs chiefly in the mineral cassiterite, resists atmospheric corrosion, and is used in making alloys (for example: bronze or pewter) and tin plate.</t>
  </si>
  <si>
    <t>PpoCode_tin</t>
  </si>
  <si>
    <t>A preparation of the dried leaves of the plants Nicotiana tabacum or Nicotiana rustica.</t>
  </si>
  <si>
    <t>It is smoked (for example: in pipes, cigarettes, and cigars), for its pleasantly relaxing effects, taken as snuff, or chewed.</t>
  </si>
  <si>
    <t>PpoCode_tobacco</t>
  </si>
  <si>
    <t>travertine</t>
  </si>
  <si>
    <t>Travertine</t>
  </si>
  <si>
    <t>Travertine in the form of blocks, slabs, and other shapes for use in construction (for example: building or paving).</t>
  </si>
  <si>
    <t>A white or light-coloured concretionary limestone, usually hard and semi-crystalline, precipitated from water holding calcium carbonate in solution (for example: in hot springs).</t>
  </si>
  <si>
    <t>PpoCode_travertine</t>
  </si>
  <si>
    <t>tufa</t>
  </si>
  <si>
    <t>Tufa</t>
  </si>
  <si>
    <t>Tufa in the form of blocks, slabs, and other shapes for use in construction.</t>
  </si>
  <si>
    <t>A soft porous calcium carbonate rock formed by deposition around mineral springs. Also any friable porous stone formed of consolidated, often stratified material.</t>
  </si>
  <si>
    <t>PpoCode_tufa</t>
  </si>
  <si>
    <t>Uranium</t>
  </si>
  <si>
    <t>A heavy radioactive metallic chemical element of the actinide series, atomic number 92, which occurs in pitchblende and other ores. (Symbol U.)</t>
  </si>
  <si>
    <t>Important as the fissile material in nuclear reactors and weapons.</t>
  </si>
  <si>
    <t>PpoCode_uranium</t>
  </si>
  <si>
    <t>vegetationProduct</t>
  </si>
  <si>
    <t>Vegetation Product</t>
  </si>
  <si>
    <t>A product whose primary ingredient is vegetation.</t>
  </si>
  <si>
    <t>For example, rattan furniture, sisal rope, vegetable oil, and many foodstuffs.</t>
  </si>
  <si>
    <t>PpoCode_vegetationProduct</t>
  </si>
  <si>
    <t>Forms the main constituent of seas, lakes, rivers, and rain, and is put to many domestic and industrial uses.</t>
  </si>
  <si>
    <t>PpoCode_water</t>
  </si>
  <si>
    <t>whaleProducts</t>
  </si>
  <si>
    <t>Whale Products</t>
  </si>
  <si>
    <t>Products resulting from the slaughtering and processing of whales.</t>
  </si>
  <si>
    <t>For example: whale meat (a delicacy), whale oil, ambergris, baleen, and ivory.</t>
  </si>
  <si>
    <t>PpoCode_whaleProducts</t>
  </si>
  <si>
    <t>wine</t>
  </si>
  <si>
    <t>Wine</t>
  </si>
  <si>
    <t>Alcoholic liquor produced from fermented grape juice.</t>
  </si>
  <si>
    <t>Also, alcoholic liquor resembling wine made from the fermented juice of other fruits, or from grain, flowers, and the sap of various trees.</t>
  </si>
  <si>
    <t>PpoCode_wine</t>
  </si>
  <si>
    <t>The hard, compact, fibrous substance of which the roots, trunks, and branches of trees and shrubs consist.</t>
  </si>
  <si>
    <t>Consists largely of secondary xylem, which forms the strengthening and water-transporting tissue of the plant.</t>
  </si>
  <si>
    <t>PpoCode_wood</t>
  </si>
  <si>
    <t>PpoCode_woodChips</t>
  </si>
  <si>
    <t>Zinc</t>
  </si>
  <si>
    <t>A hard lustrous bluish-white metallic chemical element, atomic number 30, which is obtained from sphalerite and other ores. (Symbol Zn.)</t>
  </si>
  <si>
    <t>Used for roofing, galvanizing iron, and making alloys with copper.</t>
  </si>
  <si>
    <t>PpoCode_zinc</t>
  </si>
  <si>
    <t>climate</t>
  </si>
  <si>
    <t>Climate</t>
  </si>
  <si>
    <t>Protection of the regional climate against altering influences.</t>
  </si>
  <si>
    <t>PneCode_climate</t>
  </si>
  <si>
    <t>habitat</t>
  </si>
  <si>
    <t>Habitat</t>
  </si>
  <si>
    <t>Protection of flora-fauna-habitats against harmful influences.</t>
  </si>
  <si>
    <t>PneCode_habitat</t>
  </si>
  <si>
    <t>Protection of the soil against altering influences (for example: erosion).</t>
  </si>
  <si>
    <t>PneCode_soil</t>
  </si>
  <si>
    <t>Protection of the water against altering influences.</t>
  </si>
  <si>
    <t>PneCode_water</t>
  </si>
  <si>
    <t>Protection of the cultural landscape against avalanches.</t>
  </si>
  <si>
    <t>Avalanches can be either snow or rock slides, or rock falls.</t>
  </si>
  <si>
    <t>PitCode_avalanche</t>
  </si>
  <si>
    <t>dust</t>
  </si>
  <si>
    <t>Dust</t>
  </si>
  <si>
    <t>Protection of the landscape against endangering dust emissions.</t>
  </si>
  <si>
    <t>PitCode_dust</t>
  </si>
  <si>
    <t>Protection of the landscape against erosion.</t>
  </si>
  <si>
    <t>PitCode_erosion</t>
  </si>
  <si>
    <t>Protection of the cultural landscape close to the banks of a water body against flooding.</t>
  </si>
  <si>
    <t>PitCode_flood</t>
  </si>
  <si>
    <t>noise</t>
  </si>
  <si>
    <t>Noise</t>
  </si>
  <si>
    <t>Protection of residental and settlement areas against noise disturbance.</t>
  </si>
  <si>
    <t>PitCode_noise</t>
  </si>
  <si>
    <t>Protection of the landscape against the impact of destructive winds.</t>
  </si>
  <si>
    <t>PitCode_wind</t>
  </si>
  <si>
    <t>canteen</t>
  </si>
  <si>
    <t>Canteen</t>
  </si>
  <si>
    <t>A place where food is served, especially at a workplace.</t>
  </si>
  <si>
    <t>For example:at a military base, industrial facility, or educational facility.</t>
  </si>
  <si>
    <t>PafCode_canteen</t>
  </si>
  <si>
    <t>A location for gambling, often with other amenities.</t>
  </si>
  <si>
    <t>Typically includes gaming tables, slot machines, and other gambling devices.</t>
  </si>
  <si>
    <t>PafCode_casino</t>
  </si>
  <si>
    <t>A public house of lodging and entertainment for strangers and travellers.</t>
  </si>
  <si>
    <t>PafCode_hostel</t>
  </si>
  <si>
    <t>PafCode_hotel</t>
  </si>
  <si>
    <t>A roadside hotel catering primarily for motorists.</t>
  </si>
  <si>
    <t>Typically comprised of self-contained accommodation with adjacent parking space.</t>
  </si>
  <si>
    <t>Motor Court, Motor Lodge</t>
  </si>
  <si>
    <t>PafCode_motel</t>
  </si>
  <si>
    <t>publicInn</t>
  </si>
  <si>
    <t>Public Inn</t>
  </si>
  <si>
    <t>A restaurant where lodging may be available.</t>
  </si>
  <si>
    <t>PafCode_publicInn</t>
  </si>
  <si>
    <t>reception</t>
  </si>
  <si>
    <t>Reception</t>
  </si>
  <si>
    <t>A place where guests or clients report upon arrival.</t>
  </si>
  <si>
    <t>PafCode_reception</t>
  </si>
  <si>
    <t>A public establishment where meals and/or refreshments may be obtained.</t>
  </si>
  <si>
    <t>PafCode_restaurant</t>
  </si>
  <si>
    <t>fireAndPoliceStation</t>
  </si>
  <si>
    <t>Fire and Police Station</t>
  </si>
  <si>
    <t>A building that houses both a fire and a police station.</t>
  </si>
  <si>
    <t>PsfCode_fireAndPoliceStation</t>
  </si>
  <si>
    <t>fireStation</t>
  </si>
  <si>
    <t>Fire Station</t>
  </si>
  <si>
    <t>A building that houses both fire-fighting equipment and personnel.</t>
  </si>
  <si>
    <t>Firehouse</t>
  </si>
  <si>
    <t>PsfCode_fireStation</t>
  </si>
  <si>
    <t>healthOffice</t>
  </si>
  <si>
    <t>Health Office</t>
  </si>
  <si>
    <t>A building used in the diagnosis and care of outpatients.</t>
  </si>
  <si>
    <t>Health Clinic</t>
  </si>
  <si>
    <t>PsfCode_healthOffice</t>
  </si>
  <si>
    <t>PsfCode_hospital</t>
  </si>
  <si>
    <t>medicalCentre</t>
  </si>
  <si>
    <t>Medical Centre</t>
  </si>
  <si>
    <t>A facility used for medical research and/or the practice of medicine.</t>
  </si>
  <si>
    <t>PsfCode_medicalCentre</t>
  </si>
  <si>
    <t>motorVehicleStation</t>
  </si>
  <si>
    <t>A structure at, or in which, motor vehicles are refuelled, serviced, and sometimes repaired.</t>
  </si>
  <si>
    <t>PsfCode_motorVehicleStation</t>
  </si>
  <si>
    <t>orphanage</t>
  </si>
  <si>
    <t>Orphanage</t>
  </si>
  <si>
    <t>An institution or home for orphans, especially a residential institution devoted to the care of orphans.</t>
  </si>
  <si>
    <t>Orphans are children whose parents are deceased or otherwise unable to care for them.</t>
  </si>
  <si>
    <t>PsfCode_orphanage</t>
  </si>
  <si>
    <t>A relatively small building that is separate from but is located near a main building and whose public service use has not been determined.</t>
  </si>
  <si>
    <t>PsfCode_outbuilding</t>
  </si>
  <si>
    <t>policeStation</t>
  </si>
  <si>
    <t>Police Station</t>
  </si>
  <si>
    <t>The headquarters of a local police force and that is where those under arrest are first charged.</t>
  </si>
  <si>
    <t>PsfCode_policeStation</t>
  </si>
  <si>
    <t>postOffice</t>
  </si>
  <si>
    <t>Post Office</t>
  </si>
  <si>
    <t>A building or room where postal business (for example: where mail is handled and/or where stamps and other postal materials are sold) may be carried on.</t>
  </si>
  <si>
    <t>PsfCode_postOffice</t>
  </si>
  <si>
    <t>rangerStation</t>
  </si>
  <si>
    <t>Ranger Station</t>
  </si>
  <si>
    <t>A building housing a warden employed to maintain and protect a forest and/or other natural region.</t>
  </si>
  <si>
    <t>PsfCode_rangerStation</t>
  </si>
  <si>
    <t>reliefOrganisationStation</t>
  </si>
  <si>
    <t>Relief Organisation Station</t>
  </si>
  <si>
    <t>A location established with free access for the population from crisis and war areas, where the maintenance of the necessities of life (for example: food, medical supply, shelter).</t>
  </si>
  <si>
    <t>For example: operated by the Red Cross.</t>
  </si>
  <si>
    <t>PsfCode_reliefOrganisationStation</t>
  </si>
  <si>
    <t>Houses personnel and equipment used to help (someone or something) out of a dangerous, harmful, and/or unpleasant situation.</t>
  </si>
  <si>
    <t>PsfCode_rescueStation</t>
  </si>
  <si>
    <t>sanatorium</t>
  </si>
  <si>
    <t>Sanatorium</t>
  </si>
  <si>
    <t>An establishment for the medical treatment and recuperation of invalids, especially convalescents or the chronically sick.</t>
  </si>
  <si>
    <t>PsfCode_sanatorium</t>
  </si>
  <si>
    <t>touristInformation</t>
  </si>
  <si>
    <t>Tourist Information</t>
  </si>
  <si>
    <t>A location at which information is provided about a region for the assistance of tourists, and to promote tourism as an industry.</t>
  </si>
  <si>
    <t>In many countries such locations may be marked with an "i" symbol on associated signage.</t>
  </si>
  <si>
    <t>PsfCode_touristInformation</t>
  </si>
  <si>
    <t>PsfCode_veterinary</t>
  </si>
  <si>
    <t>PsfCode_waterPoliceStation</t>
  </si>
  <si>
    <t>shapedLikeA</t>
  </si>
  <si>
    <t>A'</t>
  </si>
  <si>
    <t>Having a configuration like the capital letter 'A' when viewed from the side.</t>
  </si>
  <si>
    <t>PycCode_shapedLikeA</t>
  </si>
  <si>
    <t>shapedLikeH</t>
  </si>
  <si>
    <t>H'</t>
  </si>
  <si>
    <t>Having a configuration like the capital letter 'H' when viewed from the side.</t>
  </si>
  <si>
    <t>PycCode_shapedLikeH</t>
  </si>
  <si>
    <t>shapedLikeI</t>
  </si>
  <si>
    <t>I'</t>
  </si>
  <si>
    <t>Having a configuration like the serif capital letter 'I' when viewed from the side.</t>
  </si>
  <si>
    <t>There may be several, often alternating, cable support stubs along the upper portion.</t>
  </si>
  <si>
    <t>PycCode_shapedLikeI</t>
  </si>
  <si>
    <t>T'</t>
  </si>
  <si>
    <t>Having a configuration like the capital letter 'T' when viewed from the side.</t>
  </si>
  <si>
    <t>May have multiple horizontal bars, each supporting a separate set of cables.</t>
  </si>
  <si>
    <t>PycCode_shapedLikeT</t>
  </si>
  <si>
    <t>shapedLikeY</t>
  </si>
  <si>
    <t>Y'</t>
  </si>
  <si>
    <t>Having a configuration like the capital letter 'Y' when viewed from the side.</t>
  </si>
  <si>
    <t>PycCode_shapedLikeY</t>
  </si>
  <si>
    <t>PymCode_aluminum</t>
  </si>
  <si>
    <t>composition</t>
  </si>
  <si>
    <t>Composition</t>
  </si>
  <si>
    <t>A substance or preparation formed by the combination or mixture of various ingredients, especially a compound artificial substance serving the purpose of a natural one.</t>
  </si>
  <si>
    <t>PymCode_composition</t>
  </si>
  <si>
    <t>PymCode_concrete</t>
  </si>
  <si>
    <t>fibreglass</t>
  </si>
  <si>
    <t>Fibreglass</t>
  </si>
  <si>
    <t>Any material consisting of glass filaments woven into a textile or paper, or embedded in plastic, for use as a construction or insulation material.</t>
  </si>
  <si>
    <t>PymCode_fibreglass</t>
  </si>
  <si>
    <t>PymCode_iron</t>
  </si>
  <si>
    <t>PymCode_masonry</t>
  </si>
  <si>
    <t>For example, aluminum, copper, iron and certain alloys (as brass, bronze and steel).</t>
  </si>
  <si>
    <t>PymCode_metal</t>
  </si>
  <si>
    <t>partMetal</t>
  </si>
  <si>
    <t>Part Metal</t>
  </si>
  <si>
    <t>Composed in part, but not completely, by metal.</t>
  </si>
  <si>
    <t>PymCode_partMetal</t>
  </si>
  <si>
    <t>Able to be tempered to many different degrees of hardness and much used for making tools, weapons, and machinery.</t>
  </si>
  <si>
    <t>PymCode_steel</t>
  </si>
  <si>
    <t>PymCode_wood</t>
  </si>
  <si>
    <t>Athletes employing track bicycles compete for speed and/or endurance over a fixed course.</t>
  </si>
  <si>
    <t>Usually held on specially-built banked tracks or velodromes (but many events are held at older velodromes where the track banking is relatively shallow). May also be held on grass tracks marked out on flat sports fields.</t>
  </si>
  <si>
    <t>Track Cycle</t>
  </si>
  <si>
    <t>RayCode_bicycle</t>
  </si>
  <si>
    <t>Camels mounted by riders compete for speed and/or endurance over a fixed course.</t>
  </si>
  <si>
    <t>Race distances generally vary between 4 to 10 kilometres and may include anywhere from 15 to 70 camels or more. Australian high-speed camel races are just 400 metres long.</t>
  </si>
  <si>
    <t>RayCode_camel</t>
  </si>
  <si>
    <t>greyhound</t>
  </si>
  <si>
    <t>Greyhound</t>
  </si>
  <si>
    <t>Dogs chase a lure (traditionally an artificial hare or rabbit) on a track until they arrive at the finish line.</t>
  </si>
  <si>
    <t>The greyhound, a breed of hunting dog, has been primarily bred for coursing game and racing.</t>
  </si>
  <si>
    <t>RayCode_greyhound</t>
  </si>
  <si>
    <t>harness</t>
  </si>
  <si>
    <t>Harness</t>
  </si>
  <si>
    <t>Unsaddled Standardbred horses race in a specified gait (either trotting or pacing) pulling a two-wheeled cart (called a sulky).</t>
  </si>
  <si>
    <t>Standardbred</t>
  </si>
  <si>
    <t>RayCode_harness</t>
  </si>
  <si>
    <t>Saddled horses mounted by riders compete for speed and/or endurance over a fixed course.</t>
  </si>
  <si>
    <t>Thoroughbred races cover moderate distances at very fast paces. Quarter horse racing involves short distance sprinting while Arabian racing is based on endurance.</t>
  </si>
  <si>
    <t>Thoroughbred, Quarter Horse, Arabian</t>
  </si>
  <si>
    <t>RayCode_horse</t>
  </si>
  <si>
    <t>iceSkate</t>
  </si>
  <si>
    <t>Ice Skate</t>
  </si>
  <si>
    <t>Athletes employing ice skates compete for speed and/or endurance over a fixed course.</t>
  </si>
  <si>
    <t>Ice skates are boots with blades attached to the bottom, used to propel the skater across a sheet of ice.</t>
  </si>
  <si>
    <t>RayCode_iceSkate</t>
  </si>
  <si>
    <t>Athletes employing motor vehicles compete for speed and/or endurance over a fixed course.</t>
  </si>
  <si>
    <t>Includes specialized categories such as: single-seater, touring car, production car, one-make, stock car, drag, sports car, and various forms of motorcycles.</t>
  </si>
  <si>
    <t>RayCode_motorVehicle</t>
  </si>
  <si>
    <t>rollerSkate</t>
  </si>
  <si>
    <t>Roller Skate</t>
  </si>
  <si>
    <t>Athletes employing roller skates compete for speed and/or endurance over a fixed course.</t>
  </si>
  <si>
    <t>Roller skates are boots with either two front and two rear wheels (termed a 'quad skate'), or two to five wheels arranged in a single line (termed an 'inline skate') attached to the bottom, used to propel the skater across flat surfaces.</t>
  </si>
  <si>
    <t>RayCode_rollerSkate</t>
  </si>
  <si>
    <t>trackAndField</t>
  </si>
  <si>
    <t>Track and Field</t>
  </si>
  <si>
    <t>Athletes on foot compete for speed and/or endurance over a fixed course.</t>
  </si>
  <si>
    <t>RayCode_trackAndField</t>
  </si>
  <si>
    <t>formulaOneCar</t>
  </si>
  <si>
    <t>Formula One Car</t>
  </si>
  <si>
    <t>A single-seat, open-cockpit, open-wheel racing car with substantial front and rear wings, and an engine positioned behind the driver.</t>
  </si>
  <si>
    <t>The regulations governing the cars are unique to the Formula One World Championship. The Formula One regulations specify that cars must be constructed by the racing teams themselves, though the design and manufacture can be outsourced.</t>
  </si>
  <si>
    <t>RavCode_formulaOneCar</t>
  </si>
  <si>
    <t>indyCar</t>
  </si>
  <si>
    <t>Indy Car</t>
  </si>
  <si>
    <t>A single-seat open-cockpit open-wheel racing car with the engine in the rear whose technical specifications are set by the Indy Racing League.</t>
  </si>
  <si>
    <t>When raced in the Indianapolis 500, special low-drag adjustable 'Speedway' wings are added.</t>
  </si>
  <si>
    <t>RavCode_indyCar</t>
  </si>
  <si>
    <t>motorcycle</t>
  </si>
  <si>
    <t>Motorcycle</t>
  </si>
  <si>
    <t>A single-track, two-wheeled, motor vehicle.</t>
  </si>
  <si>
    <t>Motorcycle types vary from production line to custom built vehicles to maneuver over either smooth road surfaces or dirt tracks.</t>
  </si>
  <si>
    <t>RavCode_motorcycle</t>
  </si>
  <si>
    <t>pickupTruck</t>
  </si>
  <si>
    <t>Pickup Truck</t>
  </si>
  <si>
    <t>A standard production pickup truck modified to enhance its maximum speed.</t>
  </si>
  <si>
    <t>They are mechanically similar to coupe-shaped stock cars, with the main difference being the worse aerodynamics. Typical modifications include larger engines and specialized suspensions, chassis, brakes, and safety equipment.</t>
  </si>
  <si>
    <t>RavCode_pickupTruck</t>
  </si>
  <si>
    <t>stockCar</t>
  </si>
  <si>
    <t>Stock Car</t>
  </si>
  <si>
    <t>A standard production passenger vehicle modified to enhance its maximum speed.</t>
  </si>
  <si>
    <t>They often exceed 320 kilometres per hour (200 miles per hour) by being more powerful than regulation assembly-line automobiles. Typical modifications include larger engines and specialized suspensions, chassis, brakes, and safety equipment.</t>
  </si>
  <si>
    <t>RavCode_stockCar</t>
  </si>
  <si>
    <t>domeEnclosed</t>
  </si>
  <si>
    <t>Dome Enclosed</t>
  </si>
  <si>
    <t>Enclosed in a hemispherical structure, generally as a protection from the weather.</t>
  </si>
  <si>
    <t>RacCode_domeEnclosed</t>
  </si>
  <si>
    <t>mastMounted</t>
  </si>
  <si>
    <t>Mast Mounted</t>
  </si>
  <si>
    <t>Mounted on a small, relatively lightweight post (for example: a small timber or a hollow cylinder of wood or metal) set up vertically, or nearly so.</t>
  </si>
  <si>
    <t>RacCode_mastMounted</t>
  </si>
  <si>
    <t>radome</t>
  </si>
  <si>
    <t>Radome</t>
  </si>
  <si>
    <t>Enclosed in an essentially spherical structure that is transparent to radio waves, generally as a protection from the weather.</t>
  </si>
  <si>
    <t>May be on the ground or on the roof of a structure.</t>
  </si>
  <si>
    <t>RacCode_radome</t>
  </si>
  <si>
    <t>radomeOnTower</t>
  </si>
  <si>
    <t>Radome on Tower</t>
  </si>
  <si>
    <t>Enclosed in an essentially spherical structure that is transparent to radio waves and mounted on a tall, substantial tower (for example: a lattice-work metal tower).</t>
  </si>
  <si>
    <t>RacCode_radomeOnTower</t>
  </si>
  <si>
    <t>scanner</t>
  </si>
  <si>
    <t>Scanner</t>
  </si>
  <si>
    <t>An aerial and reflector, usually joined as a single structure, that is rotatable.</t>
  </si>
  <si>
    <t>Usually rotates in a fixed scanning pattern.</t>
  </si>
  <si>
    <t>RacCode_scanner</t>
  </si>
  <si>
    <t>towerMounted</t>
  </si>
  <si>
    <t>Tower Mounted</t>
  </si>
  <si>
    <t>Mounted on a tall, substantial tower (for example: a lattice-work metal tower).</t>
  </si>
  <si>
    <t>RacCode_towerMounted</t>
  </si>
  <si>
    <t>aerodromeGroundSurveillance</t>
  </si>
  <si>
    <t>Aerodrome Ground Surveillance</t>
  </si>
  <si>
    <t>Established to determine the position of aircraft and vehicular traffic on aerodrome movement surfaces (for example: runways and taxiways), to enable traffic coordination so as to avoid accidents.</t>
  </si>
  <si>
    <t>The ground surveillance radar is used to augment visual observation by control tower personnel.</t>
  </si>
  <si>
    <t>RasCode_aerodromeGroundSurveillance</t>
  </si>
  <si>
    <t>aircraftFlightTracking</t>
  </si>
  <si>
    <t>Aircraft Flight Tracking</t>
  </si>
  <si>
    <t>Established to detect and display an aircraft's position operating in an airport terminal area (ASR) and en route (ARSR) between terminal areas.</t>
  </si>
  <si>
    <t>RasCode_aircraftFlightTracking</t>
  </si>
  <si>
    <t>Anti-Aircraft</t>
  </si>
  <si>
    <t>RasCode_antiAircraft</t>
  </si>
  <si>
    <t>coastalRadar</t>
  </si>
  <si>
    <t>Coastal Radar</t>
  </si>
  <si>
    <t>Established for the surveillance and direction of maritime traffic by use of radar.</t>
  </si>
  <si>
    <t>RasCode_coastalRadar</t>
  </si>
  <si>
    <t>earlyWarning</t>
  </si>
  <si>
    <t>Early Warning</t>
  </si>
  <si>
    <t>Established to detect and warn of distant approaching aircraft and/or missiles through the use of a long-range radar.</t>
  </si>
  <si>
    <t>RasCode_earlyWarning</t>
  </si>
  <si>
    <t>fireControlTracking</t>
  </si>
  <si>
    <t>Fire Control Tracking</t>
  </si>
  <si>
    <t>Established to determine the presence and position of potentially hostile airborne objects in a region, monitor their individual tracks, and direct an associated weapon system intended to destroy those objects (for example: aircraft and missiles) or their source (for example: a gun battery).</t>
  </si>
  <si>
    <t>RasCode_fireControlTracking</t>
  </si>
  <si>
    <t>generalSurveillance</t>
  </si>
  <si>
    <t>General Surveillance</t>
  </si>
  <si>
    <t>Established principally to determine the presence and position of airborne objects (for example: aircraft, balloons, and missiles) in a region, monitoring their individual tracks, and often associated with equipment used to identify and potentially communicate with those objects.</t>
  </si>
  <si>
    <t>RasCode_generalSurveillance</t>
  </si>
  <si>
    <t>launchControlTracking</t>
  </si>
  <si>
    <t>Launch Control Tracking</t>
  </si>
  <si>
    <t>Established to support the launch, tracking, and control of rocket boosters for spacecraft and/or other payloads.</t>
  </si>
  <si>
    <t>The payload trajectory may be either orbital or sub-orbital, and the payload may be manned (for example: the US Space Shuttle) or unmanned (for example: a ballistic missile).</t>
  </si>
  <si>
    <t>RasCode_launchControlTracking</t>
  </si>
  <si>
    <t>missile</t>
  </si>
  <si>
    <t>Missile</t>
  </si>
  <si>
    <t>RasCode_missile</t>
  </si>
  <si>
    <t>precisionApproach</t>
  </si>
  <si>
    <t>Precision Approach</t>
  </si>
  <si>
    <t>Established at an aerodrome to determine the position of an aircraft during final approach, in terms of lateral and vertical deviations relative to a nominal approach path, and in range relative to touchdown.</t>
  </si>
  <si>
    <t>RasCode_precisionApproach</t>
  </si>
  <si>
    <t>satelliteTracking</t>
  </si>
  <si>
    <t>Satellite Tracking</t>
  </si>
  <si>
    <t>Established for tracking satellites in orbit, processing data, and in turn transmitting controlling instructions back to the satellites.</t>
  </si>
  <si>
    <t>RasCode_satelliteTracking</t>
  </si>
  <si>
    <t>Established to locate precipitation, calculate its motion, estimate its type (for example: rain, snow, and hail), and forecast its future position and intensity through the use of a weather radar.</t>
  </si>
  <si>
    <t>RasCode_weather</t>
  </si>
  <si>
    <t>The communication channel is capable of two way transmission.</t>
  </si>
  <si>
    <t>RcoCode_bidirectional</t>
  </si>
  <si>
    <t>downcast</t>
  </si>
  <si>
    <t>Downcast</t>
  </si>
  <si>
    <t>The communication channel is capable of only transmission from the aircraft.</t>
  </si>
  <si>
    <t>RcoCode_downcast</t>
  </si>
  <si>
    <t>downlink</t>
  </si>
  <si>
    <t>Downlink</t>
  </si>
  <si>
    <t>The communication channel is capable of only transmission from the aircraft to a specific ground station.</t>
  </si>
  <si>
    <t>RcoCode_downlink</t>
  </si>
  <si>
    <t>upcast</t>
  </si>
  <si>
    <t>Upcast</t>
  </si>
  <si>
    <t>The communication channel is capable of only transmission from the ground.</t>
  </si>
  <si>
    <t>RcoCode_upcast</t>
  </si>
  <si>
    <t>uplink</t>
  </si>
  <si>
    <t>Uplink</t>
  </si>
  <si>
    <t>The communication channel is capable of only transmission from the ground to a specific aircraft.</t>
  </si>
  <si>
    <t>RcoCode_uplink</t>
  </si>
  <si>
    <t>actualCoverage</t>
  </si>
  <si>
    <t>Actual Coverage</t>
  </si>
  <si>
    <t>The actual coverage/range as determined by flight check.</t>
  </si>
  <si>
    <t>The signal's anticipated performance parameters as determined by flight check.</t>
  </si>
  <si>
    <t>RncCode_actualCoverage</t>
  </si>
  <si>
    <t>Signal usage is limited to the defined sector.</t>
  </si>
  <si>
    <t>RncCode_restricted</t>
  </si>
  <si>
    <t>theoreticalCoverage</t>
  </si>
  <si>
    <t>Theoretical Coverage</t>
  </si>
  <si>
    <t>The signal's anticipated performance parameters have not been determined by flight check.</t>
  </si>
  <si>
    <t>Theoretical Coverage/Range</t>
  </si>
  <si>
    <t>RncCode_theoreticalCoverage</t>
  </si>
  <si>
    <t>outOfTolerance</t>
  </si>
  <si>
    <t>Out of Tolerance</t>
  </si>
  <si>
    <t>The signal in space available to the aircraft does not meet specified characteristics as defined in ICAO Annex 10.</t>
  </si>
  <si>
    <t>RnlCode_outOfTolerance</t>
  </si>
  <si>
    <t>roughness</t>
  </si>
  <si>
    <t>Roughness</t>
  </si>
  <si>
    <t>The signal may cause the airborne equipment to occasionally observe brief course needle oscillations.</t>
  </si>
  <si>
    <t>Pilots flying over unfamiliar routes are cautioned to be on the alert for these vagaries, and in particular, to use the 'to/from' indicator to determine positive station passage.</t>
  </si>
  <si>
    <t>RnlCode_roughness</t>
  </si>
  <si>
    <t>scalloping</t>
  </si>
  <si>
    <t>Scalloping</t>
  </si>
  <si>
    <t>The signal's pattern is distorted due to the strength and phase of reflection resulting in permanent and stable signal propagation delay.</t>
  </si>
  <si>
    <t>Especially prevalent when radio transmitters are situated in mountain ridges.</t>
  </si>
  <si>
    <t>RnlCode_scalloping</t>
  </si>
  <si>
    <t>There is a probability that a signal in space available to an aircraft does not meet specified characteristics as defined in ICAO Annex 10.</t>
  </si>
  <si>
    <t>Unreliability</t>
  </si>
  <si>
    <t>RnlCode_unreliable</t>
  </si>
  <si>
    <t>unusable</t>
  </si>
  <si>
    <t>Unusable</t>
  </si>
  <si>
    <t>The signal in space to an aircraft cannot be received due to navigation aid technical or physical limitations.</t>
  </si>
  <si>
    <t>Unusability</t>
  </si>
  <si>
    <t>RnlCode_unusable</t>
  </si>
  <si>
    <t>aeronauticalRadioBeacon</t>
  </si>
  <si>
    <t>Aeronautical Radio Beacon</t>
  </si>
  <si>
    <t>RosCode_aeronauticalRadioBeacon</t>
  </si>
  <si>
    <t>circMarineAeroRadioBeacon</t>
  </si>
  <si>
    <t>Circular (non-directional) marine or aeromarine radio beacon</t>
  </si>
  <si>
    <t>RosCode_circMarineAeroRadioBeacon</t>
  </si>
  <si>
    <t>coastRadioStationQTG</t>
  </si>
  <si>
    <t>Coast Radio Station providing QTG Service</t>
  </si>
  <si>
    <t>RosCode_coastRadioStationQTG</t>
  </si>
  <si>
    <t>RosCode_consolRadioBeacon</t>
  </si>
  <si>
    <t>RosCode_directionalRadiobeacon</t>
  </si>
  <si>
    <t>radioDirFindingStation</t>
  </si>
  <si>
    <t>Radio direction finding station</t>
  </si>
  <si>
    <t>RosCode_radioDirFindingStation</t>
  </si>
  <si>
    <t>rotatingPatRadioBeacon</t>
  </si>
  <si>
    <t>Rotating pattern radio beacon</t>
  </si>
  <si>
    <t>RosCode_rotatingPatRadioBeacon</t>
  </si>
  <si>
    <t>cBand</t>
  </si>
  <si>
    <t>C Band</t>
  </si>
  <si>
    <t>The satellite frequency band between 4 GHz and 8 GHz.</t>
  </si>
  <si>
    <t>See IEEE Std 521-2002.</t>
  </si>
  <si>
    <t>RfbCode_cBand</t>
  </si>
  <si>
    <t>highFrequency</t>
  </si>
  <si>
    <t>High Frequency</t>
  </si>
  <si>
    <t>The radiofrequency band between 3 MHz and 30 MHz, known as HF.</t>
  </si>
  <si>
    <t>RfbCode_highFrequency</t>
  </si>
  <si>
    <t>kBand</t>
  </si>
  <si>
    <t>K Band</t>
  </si>
  <si>
    <t>The satellite frequency band between 18 GHz and 27 GHz.</t>
  </si>
  <si>
    <t>RfbCode_kBand</t>
  </si>
  <si>
    <t>kaBand</t>
  </si>
  <si>
    <t>Ka Band</t>
  </si>
  <si>
    <t>The satellite frequency band between 27 GHz and 40 GHz.</t>
  </si>
  <si>
    <t>RfbCode_kaBand</t>
  </si>
  <si>
    <t>kuBand</t>
  </si>
  <si>
    <t>Ku Band</t>
  </si>
  <si>
    <t>The satellite frequency band between 12 GHz and 18 GHz.</t>
  </si>
  <si>
    <t>RfbCode_kuBand</t>
  </si>
  <si>
    <t>lBand</t>
  </si>
  <si>
    <t>L Band</t>
  </si>
  <si>
    <t>The satellite frequency band between 1 GHz and 2 GHz.</t>
  </si>
  <si>
    <t>RfbCode_lBand</t>
  </si>
  <si>
    <t>lowFrequency</t>
  </si>
  <si>
    <t>Low Frequency</t>
  </si>
  <si>
    <t>The radiofrequency band between 30 kHz and 300 kHz, known as LF.</t>
  </si>
  <si>
    <t>RfbCode_lowFrequency</t>
  </si>
  <si>
    <t>mediumFrequency</t>
  </si>
  <si>
    <t>Medium Frequency</t>
  </si>
  <si>
    <t>The radiofrequency band between 300 kHz and 3 MHz, known as MF.</t>
  </si>
  <si>
    <t>RfbCode_mediumFrequency</t>
  </si>
  <si>
    <t>oBand</t>
  </si>
  <si>
    <t>O Band</t>
  </si>
  <si>
    <t>The satellite frequency band between 40 GHz and 50 GHz.</t>
  </si>
  <si>
    <t>RfbCode_oBand</t>
  </si>
  <si>
    <t>sBand</t>
  </si>
  <si>
    <t>S Band</t>
  </si>
  <si>
    <t>The satellite frequency band between 2 GHz and 4 GHz.</t>
  </si>
  <si>
    <t>RfbCode_sBand</t>
  </si>
  <si>
    <t>ultraHighFrequency</t>
  </si>
  <si>
    <t>Ultra High Frequency</t>
  </si>
  <si>
    <t>The radiofrequency band between 300 MHz and 3 GHz, known as UHF.</t>
  </si>
  <si>
    <t>RfbCode_ultraHighFrequency</t>
  </si>
  <si>
    <t>vBand</t>
  </si>
  <si>
    <t>V Band</t>
  </si>
  <si>
    <t>The satellite frequency band between 50 GHz and 75 GHz.</t>
  </si>
  <si>
    <t>RfbCode_vBand</t>
  </si>
  <si>
    <t>veryHighFrequency</t>
  </si>
  <si>
    <t>Very High Frequency</t>
  </si>
  <si>
    <t>The radiofrequency band between 30 MHz and 300 MHz, known as VHF.</t>
  </si>
  <si>
    <t>RfbCode_veryHighFrequency</t>
  </si>
  <si>
    <t>veryLowFrequency</t>
  </si>
  <si>
    <t>Very Low Frequency</t>
  </si>
  <si>
    <t>The radiofrequency band between 3 kHz and 30 kHz, known as VLF.</t>
  </si>
  <si>
    <t>RfbCode_veryLowFrequency</t>
  </si>
  <si>
    <t>xBand</t>
  </si>
  <si>
    <t>X Band</t>
  </si>
  <si>
    <t>The satellite frequency band between 8 GHz and 12 GHz.</t>
  </si>
  <si>
    <t>RfbCode_xBand</t>
  </si>
  <si>
    <t>branchLine</t>
  </si>
  <si>
    <t>Branch-line</t>
  </si>
  <si>
    <t>A secondary railway line running from a main line to a terminus.</t>
  </si>
  <si>
    <t>For example, a railhead.</t>
  </si>
  <si>
    <t>RwcCode_branchLine</t>
  </si>
  <si>
    <t>highSpeedRail</t>
  </si>
  <si>
    <t>High Speed Rail</t>
  </si>
  <si>
    <t>A rail-based high-speed inter-city transport system.</t>
  </si>
  <si>
    <t>Usually operated over long distances. For example, the French TGV (Train a Grande Vitesse).</t>
  </si>
  <si>
    <t>RwcCode_highSpeedRail</t>
  </si>
  <si>
    <t>mainLine</t>
  </si>
  <si>
    <t>Main Line</t>
  </si>
  <si>
    <t>A chief railway line operated over long distances and typically passing without interruption through multiple urban areas.</t>
  </si>
  <si>
    <t>Usually must not be occupied or traversed without proper authority. Primarily carries freight and is accordingly operated at a relatively slow speed.</t>
  </si>
  <si>
    <t>RwcCode_mainLine</t>
  </si>
  <si>
    <t>broad</t>
  </si>
  <si>
    <t>Broad</t>
  </si>
  <si>
    <t>A railway gauge broader than the standard 4 feet 8.5 inches (approximately 1.435 metres).</t>
  </si>
  <si>
    <t>RgcCode_broad</t>
  </si>
  <si>
    <t>mono</t>
  </si>
  <si>
    <t>Monorail</t>
  </si>
  <si>
    <t>A railway in which the track is a single rail, on or suspended from which vehicles run.</t>
  </si>
  <si>
    <t>RgcCode_mono</t>
  </si>
  <si>
    <t>narrow</t>
  </si>
  <si>
    <t>Narrow</t>
  </si>
  <si>
    <t>A railway gauge narrower than the standard 4 feet 8.5 inches (approximately 1.435 metres).</t>
  </si>
  <si>
    <t>RgcCode_narrow</t>
  </si>
  <si>
    <t>standard</t>
  </si>
  <si>
    <t>Standard</t>
  </si>
  <si>
    <t>The standard railway gauge of 4 feet 8.5 inches (approximately 1.435 metres).</t>
  </si>
  <si>
    <t>The railway gauge of Great Britain and the United States.</t>
  </si>
  <si>
    <t>RgcCode_standard</t>
  </si>
  <si>
    <t>electrifiedTrack</t>
  </si>
  <si>
    <t>Electrified Track</t>
  </si>
  <si>
    <t>Electrical power is transferred using an electrified third rail.</t>
  </si>
  <si>
    <t>RraCode_electrifiedTrack</t>
  </si>
  <si>
    <t>nonElectrified</t>
  </si>
  <si>
    <t>Non-electrified</t>
  </si>
  <si>
    <t>Electrical power is not provided by the railway.</t>
  </si>
  <si>
    <t>On-board electrical generators or batteries may be used.</t>
  </si>
  <si>
    <t>RraCode_nonElectrified</t>
  </si>
  <si>
    <t>overheadElectrified</t>
  </si>
  <si>
    <t>Overhead Electrified</t>
  </si>
  <si>
    <t>Electrical power is transferred from an overhead power line.</t>
  </si>
  <si>
    <t>RraCode_overheadElectrified</t>
  </si>
  <si>
    <t>automatedTransitSystem</t>
  </si>
  <si>
    <t>Automated Transit System</t>
  </si>
  <si>
    <t>An automated rail or guideway system that runs along dedicated ways.</t>
  </si>
  <si>
    <t>May operate according to a fixed schedule or on-demand (sometimes capable of bypassing individual stations). Generally consisting of vehicles having capacities of 12 to 100 people. Examples of this type of system include the Personal Rapid Transit (PRT) at West Virginia University and airport people-movers in U.S. cities such as Seattle, Dallas-Ft. Worth and Miami.</t>
  </si>
  <si>
    <t>Automated People Mover</t>
  </si>
  <si>
    <t>RrcCode_automatedTransitSystem</t>
  </si>
  <si>
    <t>carline</t>
  </si>
  <si>
    <t>Carline</t>
  </si>
  <si>
    <t>A track for streetcars, trolleys, and other mass transit rail systems.</t>
  </si>
  <si>
    <t>Car-line</t>
  </si>
  <si>
    <t>RrcCode_carline</t>
  </si>
  <si>
    <t>funicular</t>
  </si>
  <si>
    <t>Funicular</t>
  </si>
  <si>
    <t>A railway designed to operate on steep grades.</t>
  </si>
  <si>
    <t>Usually includes mechanical components (for example: a rack) to insure traction at all times.</t>
  </si>
  <si>
    <t>Cog Railway, Incline Railway</t>
  </si>
  <si>
    <t>RrcCode_funicular</t>
  </si>
  <si>
    <t>logging</t>
  </si>
  <si>
    <t>Logging</t>
  </si>
  <si>
    <t>A railway designed to efficiently transport logs from remote logging sites.</t>
  </si>
  <si>
    <t>Usually narrow gauge and more curved than railways intended for high-speed transport.</t>
  </si>
  <si>
    <t>RrcCode_logging</t>
  </si>
  <si>
    <t>longHaul</t>
  </si>
  <si>
    <t>Long-haul</t>
  </si>
  <si>
    <t>A railway operated over long distances and typically passing without interruption through urban areas.</t>
  </si>
  <si>
    <t>RrcCode_longHaul</t>
  </si>
  <si>
    <t>marineRailway</t>
  </si>
  <si>
    <t>Marine Railway</t>
  </si>
  <si>
    <t>A slipway in which the cradle travels on rails to facilitate the handling of vessels.</t>
  </si>
  <si>
    <t>RrcCode_marineRailway</t>
  </si>
  <si>
    <t>miniature</t>
  </si>
  <si>
    <t>Miniature</t>
  </si>
  <si>
    <t>A railway reproduced at a smaller size than normal.</t>
  </si>
  <si>
    <t>Usually designed as an amusement ride.</t>
  </si>
  <si>
    <t>RrcCode_miniature</t>
  </si>
  <si>
    <t>Maintained as an historical exhibit at a railway museum.</t>
  </si>
  <si>
    <t>RrcCode_museum</t>
  </si>
  <si>
    <t>railRapidTransit</t>
  </si>
  <si>
    <t>Rail Rapid Transit</t>
  </si>
  <si>
    <t>A rail-based high-speed public transport system.</t>
  </si>
  <si>
    <t>Usually located within a metropolitan area.</t>
  </si>
  <si>
    <t>RrcCode_railRapidTransit</t>
  </si>
  <si>
    <t>tramway</t>
  </si>
  <si>
    <t>Tramway</t>
  </si>
  <si>
    <t>A railway laid down on a public road or street for tramcars.</t>
  </si>
  <si>
    <t>RrcCode_tramway</t>
  </si>
  <si>
    <t>undergroundRailway</t>
  </si>
  <si>
    <t>RrcCode_undergroundRailway</t>
  </si>
  <si>
    <t>Class I: Easy</t>
  </si>
  <si>
    <t>Fast moving water with riffles and small water waves. Few obstructions, all obvious and easily missed with little training.</t>
  </si>
  <si>
    <t>Risk to swimmers is slight; self-rescue is easy.</t>
  </si>
  <si>
    <t>ClrCode_easy</t>
  </si>
  <si>
    <t>novice</t>
  </si>
  <si>
    <t>Class II: Novice</t>
  </si>
  <si>
    <t>Straightforward rapids with wide, clear channels which are evident without scouting.</t>
  </si>
  <si>
    <t>Occasional maneuvering may be required, but stones and medium sized water waves are easily missed by trained paddlers. Swimmers are seldom injured and group assistance, while helpful, is seldom needed. Rapids that are at the upper end of this difficulty range are designated 'Class II+'.</t>
  </si>
  <si>
    <t>ClrCode_novice</t>
  </si>
  <si>
    <t>intermediate</t>
  </si>
  <si>
    <t>Class III: Intermediate</t>
  </si>
  <si>
    <t>Rapids with moderate, irregular water waves which may be difficult to avoid and which can swamp an open canoe; strong eddies and powerful current effects can be found, particularly on large-volume rivers.</t>
  </si>
  <si>
    <t>Complex maneuvers in fast water current and good boat control in tight passages or around ledges are often required; large wavess or strainers may be present but are easily avoided. Scouting is advisable for inexperienced parties. Injuries while swimming are rare; self-rescue is usually easy but group assistance may be required to avoid long swims. Rapids that are at the lower or upper end of this difficulty range are designated 'Class III-' or 'Class III+' respectively.</t>
  </si>
  <si>
    <t>ClrCode_intermediate</t>
  </si>
  <si>
    <t>advanced</t>
  </si>
  <si>
    <t>Class IV: Advanced</t>
  </si>
  <si>
    <t>Intense, powerful but predictable rapids requiring precise boat handling in turbulent water; depending on the character of the river, it may include large, unavoidable water waves and holes or constricted passages demanding fast maneuvers under pressure.</t>
  </si>
  <si>
    <t>A fast, reliable eddy turn may be needed to initiate maneuvers, scout rapids, or rest. Rapids may require 'must' moves above dangerous hazards. Scouting may be necessary the first time down. Risk of injury to swimmers is moderate to high, and water conditions may make self-rescue difficult. Group assistance for rescue is often essential but requires practiced skills. A strong Eskimo roll is highly recommended. Rapids that are at the lower or upper end of this difficulty range are designated 'Class IV-' or 'Class IV+' respectively.</t>
  </si>
  <si>
    <t>ClrCode_advanced</t>
  </si>
  <si>
    <t>expert</t>
  </si>
  <si>
    <t>Class V: Expert</t>
  </si>
  <si>
    <t>Extremely long, obstructed, or very violent rapids which expose a paddler to added risk; drops may contain large, unavoidable water waves and holes or steep, congested chutes with complex, demanding routes.</t>
  </si>
  <si>
    <t>What eddies exist may be small, turbulent, or difficult to reach. Rapids may continue for long distances between pools, demanding a high level of fitness. At the high end of the scale, several of these factors may be combined. Scouting is recommended but may be difficult.</t>
  </si>
  <si>
    <t>ClrCode_expert</t>
  </si>
  <si>
    <t>extremeExploratory</t>
  </si>
  <si>
    <t>Class VI: Extreme and Exploratory</t>
  </si>
  <si>
    <t>These runs have almost never been attempted and often exemplify the extremes of difficulty, unpredictability and danger.</t>
  </si>
  <si>
    <t>The consequences of errors are very severe and rescue may be impossible. For teams of experts only, at favourable water levels, after close personal inspection and taking all precautions. After a Class VI Rapid has been run many times, its rating may be changed to an appropriate Class 5.x rating.</t>
  </si>
  <si>
    <t>ClrCode_extremeExploratory</t>
  </si>
  <si>
    <t>energyResource</t>
  </si>
  <si>
    <t>Energy Resource</t>
  </si>
  <si>
    <t>Mineral raw material such as coal, hydrocarbons (crude oil, gas) and radioactive (uranium) raw materials for energy production purposes.</t>
  </si>
  <si>
    <t>RmnCode_energyResource</t>
  </si>
  <si>
    <t>gemstone</t>
  </si>
  <si>
    <t>Gemstone</t>
  </si>
  <si>
    <t>Mineral or rock that has an intrinsic value and posseses the necessary rarity, color, hardness, beauty, durability, shine, size and beauty for use in jewelry.</t>
  </si>
  <si>
    <t>RmnCode_gemstone</t>
  </si>
  <si>
    <t>industrialMineral</t>
  </si>
  <si>
    <t>Industrial Mineral</t>
  </si>
  <si>
    <t>Non-metallic mineral for technical purposes due to their chemical and physical properties, excluding mineral fuels, salt rock and gemstones.</t>
  </si>
  <si>
    <t>For example: fluorite, quarz, felspar, graphite.</t>
  </si>
  <si>
    <t>RmnCode_industrialMineral</t>
  </si>
  <si>
    <t>industrialRock</t>
  </si>
  <si>
    <t>Industrial Rock</t>
  </si>
  <si>
    <t>Rock, soil or other deposits which are mined or quarried to provide raw material for construction projects.</t>
  </si>
  <si>
    <t>For example: granite, sands, gravels, clay.</t>
  </si>
  <si>
    <t>RmnCode_industrialRock</t>
  </si>
  <si>
    <t>nativeElement</t>
  </si>
  <si>
    <t>Native Element</t>
  </si>
  <si>
    <t>Any metallic and non-metallic element found uncombained state in the nature.</t>
  </si>
  <si>
    <t>For example: gold, copper, sulphur.</t>
  </si>
  <si>
    <t>RmnCode_nativeElement</t>
  </si>
  <si>
    <t>preciousMetal</t>
  </si>
  <si>
    <t>Precious Metal</t>
  </si>
  <si>
    <t>A general term for gold, silver, or any of the minerals of the platinum group (PGM: Platin, Palladium, Rhodium, Ruthenium, Osmium and Iridium).</t>
  </si>
  <si>
    <t>RmnCode_preciousMetal</t>
  </si>
  <si>
    <t>saltRock</t>
  </si>
  <si>
    <t>Salt Rock</t>
  </si>
  <si>
    <t>A rock composed primary of minerals produced from a saline solution as result of extensive or total evaporation of sea- or freshwater.</t>
  </si>
  <si>
    <t>Evaporite, Evaporitic Rock</t>
  </si>
  <si>
    <t>RmnCode_saltRock</t>
  </si>
  <si>
    <t>PrwCode_algae</t>
  </si>
  <si>
    <t>PrwCode_aluminum</t>
  </si>
  <si>
    <t>PrwCode_asphalt</t>
  </si>
  <si>
    <t>PrwCode_bamboo</t>
  </si>
  <si>
    <t>A dark, fine-grained igneous rock, often displaying columnar structure and usually composed largely of plagioclase with pyroxene and olivine.</t>
  </si>
  <si>
    <t>PrwCode_basalt</t>
  </si>
  <si>
    <t>PrwCode_bauxite</t>
  </si>
  <si>
    <t>PrwCode_biodiesel</t>
  </si>
  <si>
    <t>PrwCode_boulders</t>
  </si>
  <si>
    <t>PrwCode_breccia</t>
  </si>
  <si>
    <t>PrwCode_calcareous</t>
  </si>
  <si>
    <t>PrwCode_cement</t>
  </si>
  <si>
    <t>PrwCode_chalk</t>
  </si>
  <si>
    <t>PrwCode_chemical</t>
  </si>
  <si>
    <t>PrwCode_clay</t>
  </si>
  <si>
    <t>PrwCode_coal</t>
  </si>
  <si>
    <t>PrwCode_cobbles</t>
  </si>
  <si>
    <t>PrwCode_coke</t>
  </si>
  <si>
    <t>PrwCode_conglomerate</t>
  </si>
  <si>
    <t>PrwCode_copper</t>
  </si>
  <si>
    <t>PrwCode_coral</t>
  </si>
  <si>
    <t>PrwCode_cotton</t>
  </si>
  <si>
    <t>PrwCode_desalinatedWater</t>
  </si>
  <si>
    <t>PrwCode_diamond</t>
  </si>
  <si>
    <t>PrwCode_diatomaceousEarth</t>
  </si>
  <si>
    <t>PrwCode_distilledWater</t>
  </si>
  <si>
    <t>An igneous rock chemically the same as basalt and gabbro but medium-grained with a usually ophitic texture.</t>
  </si>
  <si>
    <t>Usually dark coloured and fine or medium textured. Occurs in minor intrusions such as sills and dykes.</t>
  </si>
  <si>
    <t>PrwCode_dolerite</t>
  </si>
  <si>
    <t>PrwCode_dolomite</t>
  </si>
  <si>
    <t>PrwCode_electricPower</t>
  </si>
  <si>
    <t>foraminifera</t>
  </si>
  <si>
    <t>Foraminifera</t>
  </si>
  <si>
    <t>A rhizopod of the chiefly marine order Foraminiferida, typically having a calcareous shell with perforations (foramina) through which pseudopodia extend, the fossils forming a major constituent of chalk and many marine oozes.</t>
  </si>
  <si>
    <t>PrwCode_foraminifera</t>
  </si>
  <si>
    <t>PrwCode_frozenWater</t>
  </si>
  <si>
    <t>PrwCode_gas</t>
  </si>
  <si>
    <t>PrwCode_glass</t>
  </si>
  <si>
    <t>A foliated, usually coarse-grained, metamorphic rock in which bands of granular minerals alternate with bands of flaky or prismatic ones.</t>
  </si>
  <si>
    <t>Formed by the metamorphism of granite and other igneous rocks, and typically consisting of feldspar, quartz, and mica. Usually of a streaked, wavy or banded appearance.</t>
  </si>
  <si>
    <t>PrwCode_gneiss</t>
  </si>
  <si>
    <t>PrwCode_gold</t>
  </si>
  <si>
    <t>PrwCode_grain</t>
  </si>
  <si>
    <t>Often used for building.</t>
  </si>
  <si>
    <t>PrwCode_granite</t>
  </si>
  <si>
    <t>PrwCode_gravel</t>
  </si>
  <si>
    <t>Any igneous rock of dark-green appearance, especially containing chlorite, epidote, and/or hornblende.</t>
  </si>
  <si>
    <t>Includes nephrites and, in particular, jade.</t>
  </si>
  <si>
    <t>PrwCode_greenstone</t>
  </si>
  <si>
    <t>PrwCode_groundShell</t>
  </si>
  <si>
    <t>PrwCode_ice</t>
  </si>
  <si>
    <t>PrwCode_iron</t>
  </si>
  <si>
    <t>The fluid or semifluid magma or molten rock which flows from a volcano or other fissure in the Earth.</t>
  </si>
  <si>
    <t>PrwCode_lava</t>
  </si>
  <si>
    <t>PrwCode_lead</t>
  </si>
  <si>
    <t>PrwCode_lime</t>
  </si>
  <si>
    <t>A sedimentary rock composed chiefly of calcium carbonate.</t>
  </si>
  <si>
    <t>Yields lime when calcined and is used as a building material and in the making of cement.</t>
  </si>
  <si>
    <t>PrwCode_limestone</t>
  </si>
  <si>
    <t>LNG is stored in a vacuum bottle-type container at very low temperatures and under moderate pressure. Natural gas has 600 times the volume of LNG.</t>
  </si>
  <si>
    <t>PrwCode_liquefiedNaturalGas</t>
  </si>
  <si>
    <t>PrwCode_liquefiedPetroleumGas</t>
  </si>
  <si>
    <t>loess</t>
  </si>
  <si>
    <t>Loess</t>
  </si>
  <si>
    <t>Fine yellowish-grey loam composed of material transported by the wind.</t>
  </si>
  <si>
    <t>PrwCode_loess</t>
  </si>
  <si>
    <t>PrwCode_lumber</t>
  </si>
  <si>
    <t>Stony and/or silaceous coral.</t>
  </si>
  <si>
    <t>PrwCode_madrepore</t>
  </si>
  <si>
    <t>PrwCode_manganese</t>
  </si>
  <si>
    <t>PrwCode_marble</t>
  </si>
  <si>
    <t>PrwCode_marl</t>
  </si>
  <si>
    <t>PrwCode_metal</t>
  </si>
  <si>
    <t>PrwCode_milk</t>
  </si>
  <si>
    <t>PrwCode_mineralOil</t>
  </si>
  <si>
    <t>noRawMaterial</t>
  </si>
  <si>
    <t>No Raw Material</t>
  </si>
  <si>
    <t>No raw material is consumed.</t>
  </si>
  <si>
    <t>PrwCode_noRawMaterial</t>
  </si>
  <si>
    <t>Non Solid Hydrocarbon Fuel</t>
  </si>
  <si>
    <t>PrwCode_nonSolidHydrocarbonFuel</t>
  </si>
  <si>
    <t>PrwCode_oil</t>
  </si>
  <si>
    <t>PrwCode_ore</t>
  </si>
  <si>
    <t>PrwCode_palm</t>
  </si>
  <si>
    <t>PrwCode_palmetto</t>
  </si>
  <si>
    <t>PrwCode_paper</t>
  </si>
  <si>
    <t>PrwCode_peat</t>
  </si>
  <si>
    <t>PrwCode_pebbles</t>
  </si>
  <si>
    <t>PrwCode_petroleum</t>
  </si>
  <si>
    <t>PrwCode_petroleumNaturalGas</t>
  </si>
  <si>
    <t>PrwCode_plantMaterial</t>
  </si>
  <si>
    <t>PrwCode_plastic</t>
  </si>
  <si>
    <t>An unstratified or igneous rock having a homogeneous groundmass containing larger crystals of one or more minerals (frequently feldspar).</t>
  </si>
  <si>
    <t>For example, a hard rock quarried in ancient Egypt, having crystals of white or red plagioclase feldspar in a fine red groundmass of hornblende or apatite. Loosely, any attractive red or purple stone taking a high polish.</t>
  </si>
  <si>
    <t>PrwCode_porphyry</t>
  </si>
  <si>
    <t>PrwCode_pumice</t>
  </si>
  <si>
    <t>A trigonal rock-forming mineral consisting of silica, massive or crystallizing in colourless or white hexagonal prisms.</t>
  </si>
  <si>
    <t>Found widely in igneous and metamorphic rocks. Often coloured by impurities (as amethyst, citrine, cairngorm).</t>
  </si>
  <si>
    <t>PrwCode_quartz</t>
  </si>
  <si>
    <t>A extremely compact, hard, granular rock consisting essentially of quartz.</t>
  </si>
  <si>
    <t>It is a metamorphosed sandstone in which the siliceous element is often so blended with the quartz grains so as to give the rock a nearly homogenous texture.</t>
  </si>
  <si>
    <t>PrwCode_quartzite</t>
  </si>
  <si>
    <t>PrwCode_radioactiveMaterial</t>
  </si>
  <si>
    <t>PrwCode_radiolaria</t>
  </si>
  <si>
    <t>PrwCode_rock</t>
  </si>
  <si>
    <t>PrwCode_rubber</t>
  </si>
  <si>
    <t>PrwCode_salt</t>
  </si>
  <si>
    <t>PrwCode_sand</t>
  </si>
  <si>
    <t>PrwCode_sandstone</t>
  </si>
  <si>
    <t>PrwCode_schist</t>
  </si>
  <si>
    <t>PrwCode_scoria</t>
  </si>
  <si>
    <t>PrwCode_scrapMetal</t>
  </si>
  <si>
    <t>PrwCode_seaMoss</t>
  </si>
  <si>
    <t>PrwCode_sewage</t>
  </si>
  <si>
    <t>PrwCode_shell</t>
  </si>
  <si>
    <t>PrwCode_silk</t>
  </si>
  <si>
    <t>PrwCode_silver</t>
  </si>
  <si>
    <t>A dense, fine-grained, metamorphic rock that develops a characteristic cleavage which may be at any angle with the original bedding plane.</t>
  </si>
  <si>
    <t>Typically dark grey, blue, or green in colour. Splits readily into smooth parallel-sided flat plates, and used for making tiles for roofing and flooring.</t>
  </si>
  <si>
    <t>PrwCode_slate</t>
  </si>
  <si>
    <t>PrwCode_snow</t>
  </si>
  <si>
    <t>PrwCode_soil</t>
  </si>
  <si>
    <t>spicules</t>
  </si>
  <si>
    <t>Spicules</t>
  </si>
  <si>
    <t>Accumulated remains of sponges consisting of the small pointed structures of calcite or silica that compose their skeletons.</t>
  </si>
  <si>
    <t>PrwCode_spicules</t>
  </si>
  <si>
    <t>PrwCode_sponge</t>
  </si>
  <si>
    <t>PrwCode_steel</t>
  </si>
  <si>
    <t>PrwCode_stone</t>
  </si>
  <si>
    <t>PrwCode_straw</t>
  </si>
  <si>
    <t>PrwCode_sugar</t>
  </si>
  <si>
    <t>PrwCode_talc</t>
  </si>
  <si>
    <t>PrwCode_textile</t>
  </si>
  <si>
    <t>PrwCode_thatch</t>
  </si>
  <si>
    <t>PrwCode_timber</t>
  </si>
  <si>
    <t>PrwCode_tobacco</t>
  </si>
  <si>
    <t>May be used for building.</t>
  </si>
  <si>
    <t>PrwCode_travertine</t>
  </si>
  <si>
    <t>A soft porous calcium carbonate rock formed by deposition around mineral springs.</t>
  </si>
  <si>
    <t>Also any friable porous stone formed of consolidated, often stratified material.</t>
  </si>
  <si>
    <t>PrwCode_tufa</t>
  </si>
  <si>
    <t>PrwCode_uranium</t>
  </si>
  <si>
    <t>Vegetation used as the primary ingredient in a product.</t>
  </si>
  <si>
    <t>For example, reeds, wood, and grains.</t>
  </si>
  <si>
    <t>PrwCode_vegetation</t>
  </si>
  <si>
    <t>Loose fragmented solid material ejected from a volcano.</t>
  </si>
  <si>
    <t>PrwCode_volcanicAsh</t>
  </si>
  <si>
    <t>PrwCode_water</t>
  </si>
  <si>
    <t>PrwCode_wine</t>
  </si>
  <si>
    <t>PrwCode_wood</t>
  </si>
  <si>
    <t>PrwCode_woodChips</t>
  </si>
  <si>
    <t>PrwCode_woodFragments</t>
  </si>
  <si>
    <t>PrwCode_zinc</t>
  </si>
  <si>
    <t>(Aeronautical Information Exchange Model (AIXM): 'INOUT')</t>
  </si>
  <si>
    <t>rvsmEntryExitPoint</t>
  </si>
  <si>
    <t>RVSM Entry and/or Exit Point</t>
  </si>
  <si>
    <t>The first or last reporting point over which an aircraft passes or is expected to pass immediately before, upon, or immediately after initial entry into a Reduced Vertical Separation Minimum (RVSM) airspace, or after leaving an RVSM airspace, into or from a non-RVSM airspace.</t>
  </si>
  <si>
    <t>RvsCode_rvsmEntryExitPoint</t>
  </si>
  <si>
    <t>(Aeronautical Information Exchange Model (AIXM): 'IN')</t>
  </si>
  <si>
    <t>rvsmEntryPoint</t>
  </si>
  <si>
    <t>RVSM Entry Point</t>
  </si>
  <si>
    <t>The first reporting point over which an aircraft passes or is expected to pass immediately before, upon, or immediately after initial entry into a Reduced Vertical Separation Minimum (RVSM) airspace, from a non-RVSM airspace.</t>
  </si>
  <si>
    <t>Normally the first reference point for applying a 300 metre (1000 foot) vertical separation minimum between RVSM approved aircraft.</t>
  </si>
  <si>
    <t>RvsCode_rvsmEntryPoint</t>
  </si>
  <si>
    <t>(Aeronautical Information Exchange Model (AIXM): 'OUT')</t>
  </si>
  <si>
    <t>rvsmExitPoint</t>
  </si>
  <si>
    <t>RVSM Exit Point</t>
  </si>
  <si>
    <t>The last reporting point over which an aircraft passes or is expected to pass immediately before, upon, or immediately after leaving a Reduced Vertical Separation Minimum (RVSM) Airspace, into a non-RVSM airspace.</t>
  </si>
  <si>
    <t>RvsCode_rvsmExitPoint</t>
  </si>
  <si>
    <t>hostProvided</t>
  </si>
  <si>
    <t>Host Provided</t>
  </si>
  <si>
    <t>Reference Point (RP) is provided by the controlling authority for the aerodrome.</t>
  </si>
  <si>
    <t>RpdCode_hostProvided</t>
  </si>
  <si>
    <t>intersectRunwaysFormIntTri</t>
  </si>
  <si>
    <t>Intersecting Runways Forming One Or More Interior Triangles</t>
  </si>
  <si>
    <t>Reference Point (RP) is the mean of all interior angle bisectors.</t>
  </si>
  <si>
    <t>RpdCode_intersectRunwaysFormIntTri</t>
  </si>
  <si>
    <t>oneRunway</t>
  </si>
  <si>
    <t>One Runway</t>
  </si>
  <si>
    <t>Reference Point (RP) is a point in the center of the runway equidistant from either end.</t>
  </si>
  <si>
    <t>RpdCode_oneRunway</t>
  </si>
  <si>
    <t>runwaysIntersectingAtPoint</t>
  </si>
  <si>
    <t>Runways Intersecting At A Single Point</t>
  </si>
  <si>
    <t>Reference Point (RP) is the point of intersection.</t>
  </si>
  <si>
    <t>RpdCode_runwaysIntersectingAtPoint</t>
  </si>
  <si>
    <t>threeMoreParaOrNonConnect</t>
  </si>
  <si>
    <t>Three Or More Parallel Or Non-Connecting Semi-Parallel Runways</t>
  </si>
  <si>
    <t>Reference Point (RP) is the mid-point of a line connecting the mid-points of the lines connecting the centers of the runways.</t>
  </si>
  <si>
    <t>RpdCode_threeMoreParaOrNonConnect</t>
  </si>
  <si>
    <t>twoParaOrNonConnectSemi</t>
  </si>
  <si>
    <t>Two Parallel Or Non-Connecting Semi-Parallel Runways</t>
  </si>
  <si>
    <t>Reference Point (RP) is the mid-point of a line connecting the center of the runways.</t>
  </si>
  <si>
    <t>RpdCode_twoParaOrNonConnectSemi</t>
  </si>
  <si>
    <t>twoRunwaysDiverge90DegLess</t>
  </si>
  <si>
    <t>Two Runways Diverging 90 Degrees Or Less</t>
  </si>
  <si>
    <t>Reference Point (RP) is a point on the angular bisector equidistant between arcs described from the vertex which pass through the center of the runways.</t>
  </si>
  <si>
    <t>RpdCode_twoRunwaysDiverge90DegLess</t>
  </si>
  <si>
    <t>twoRunwaysDivergeOver90Deg</t>
  </si>
  <si>
    <t>Two Runways Diverging Over 90 Degrees.</t>
  </si>
  <si>
    <t>Reference Point (RP) is a point at the vertex of the angle formed by the two runways.</t>
  </si>
  <si>
    <t>RpdCode_twoRunwaysDivergeOver90Deg</t>
  </si>
  <si>
    <t>widelySeparatedRunways</t>
  </si>
  <si>
    <t>Widely Separated Runways</t>
  </si>
  <si>
    <t>Reference Point (RP) is the mid-point of a line connecting the nearest ends of the runways.</t>
  </si>
  <si>
    <t>RpdCode_widelySeparatedRunways</t>
  </si>
  <si>
    <t>highTide</t>
  </si>
  <si>
    <t>High Tide</t>
  </si>
  <si>
    <t>The highest water level achieved during a tidal cycle.</t>
  </si>
  <si>
    <t>RewCode_highTide</t>
  </si>
  <si>
    <t>lowTide</t>
  </si>
  <si>
    <t>Low Tide</t>
  </si>
  <si>
    <t>The lowest water level achieved during a tidal cycle.</t>
  </si>
  <si>
    <t>RewCode_lowTide</t>
  </si>
  <si>
    <t>fifth</t>
  </si>
  <si>
    <t>Fifth</t>
  </si>
  <si>
    <t>Quintary or fifth order.</t>
  </si>
  <si>
    <t>OrdCode_fifth</t>
  </si>
  <si>
    <t>first</t>
  </si>
  <si>
    <t>First</t>
  </si>
  <si>
    <t>Primary or first order.</t>
  </si>
  <si>
    <t>OrdCode_first</t>
  </si>
  <si>
    <t>fourth</t>
  </si>
  <si>
    <t>Fourth</t>
  </si>
  <si>
    <t>Quaternary or fourth order.</t>
  </si>
  <si>
    <t>OrdCode_fourth</t>
  </si>
  <si>
    <t>Secondary or second order.</t>
  </si>
  <si>
    <t>OrdCode_second</t>
  </si>
  <si>
    <t>third</t>
  </si>
  <si>
    <t>Third</t>
  </si>
  <si>
    <t>Tertiary or third order.</t>
  </si>
  <si>
    <t>OrdCode_third</t>
  </si>
  <si>
    <t>depressed</t>
  </si>
  <si>
    <t>Depressed</t>
  </si>
  <si>
    <t>A localized area of significantly lower elevation than that of the surrounding terrain.</t>
  </si>
  <si>
    <t>For example, a terrain depression, a gully, a moat and a terrain cut for a road, railway and/or canal.</t>
  </si>
  <si>
    <t>RleCode_depressed</t>
  </si>
  <si>
    <t>level</t>
  </si>
  <si>
    <t>Level</t>
  </si>
  <si>
    <t>An area of similar or identical elevation to that of the surrounding terrain.</t>
  </si>
  <si>
    <t>RleCode_level</t>
  </si>
  <si>
    <t>raised</t>
  </si>
  <si>
    <t>Raised</t>
  </si>
  <si>
    <t>A localized area of significantly higher elevation than that of the surrounding terrain.</t>
  </si>
  <si>
    <t>For example, an embankment, a berm, a ridge, a terrain mound, and a fill.</t>
  </si>
  <si>
    <t>RleCode_raised</t>
  </si>
  <si>
    <t>africanTraditionalReligion</t>
  </si>
  <si>
    <t>African Traditional Religion</t>
  </si>
  <si>
    <t>Cultural, religious or spiritual manifestations specific to the continent of Africa and Africans.</t>
  </si>
  <si>
    <t>Belongs to the Indigenous religions.</t>
  </si>
  <si>
    <t>RebCode_africanTraditionalReligion</t>
  </si>
  <si>
    <t>alienBasedReligion</t>
  </si>
  <si>
    <t>Alien-based Religion</t>
  </si>
  <si>
    <t>A faith community that involves a belief in the existence of extraterrestrials and Unidentified Flying Objects (UFO).</t>
  </si>
  <si>
    <t>Belongs to the New religious movements.</t>
  </si>
  <si>
    <t>RebCode_alienBasedReligion</t>
  </si>
  <si>
    <t>atenism</t>
  </si>
  <si>
    <t>Atenism</t>
  </si>
  <si>
    <t>The monotheistic religion associated with the eighteenth dynasty Pharaoh Amenhotep IV, better known under the name he later adopted, Akhenaten.</t>
  </si>
  <si>
    <t>Belongs to the Other revealed religions.</t>
  </si>
  <si>
    <t>RebCode_atenism</t>
  </si>
  <si>
    <t>ayyavazhi</t>
  </si>
  <si>
    <t>Ayyavazhi</t>
  </si>
  <si>
    <t>A religion originating in south India in the middle of the 19th century that, though officially not recognised, has come to be a recognisable religious phenomenon, making its presence felt in south Thiruvitankur and in the southern parts of Tirunelveli, and is one of the fastest growing religions of south India.</t>
  </si>
  <si>
    <t>Belongs to the Dharmic Religions.</t>
  </si>
  <si>
    <t>RebCode_ayyavazhi</t>
  </si>
  <si>
    <t>babism</t>
  </si>
  <si>
    <t>Babism</t>
  </si>
  <si>
    <t>The Bábís are members of a religious movement that flourished in Persia from 1844 and was founded by Ali Muhammad of Shiraz (1817-1850), who took the title Báb (meaning 'Gate') from a well-known Shi'i theological term.</t>
  </si>
  <si>
    <t>Belongs to the Abrahamic religions.</t>
  </si>
  <si>
    <t>RebCode_babism</t>
  </si>
  <si>
    <t>bahai</t>
  </si>
  <si>
    <t>Baha'i</t>
  </si>
  <si>
    <t>The Bahá'í Faith is an emerging global religion founded by Bahá'u'lláh, a nineteenth-century Iranian exile.</t>
  </si>
  <si>
    <t>RebCode_bahai</t>
  </si>
  <si>
    <t>blackSupremacistReligion</t>
  </si>
  <si>
    <t>Black-supremacist Religion</t>
  </si>
  <si>
    <t>A racist ideology that holds that black people are superior to other people and is most often thought of in connection with anti-white racism, anti-Semitism and bigotry towards non-black people.</t>
  </si>
  <si>
    <t>RebCode_blackSupremacistReligion</t>
  </si>
  <si>
    <t>buddhism</t>
  </si>
  <si>
    <t>Buddhism</t>
  </si>
  <si>
    <t>A religion and philosophy originating in India that is based on the teachings of the Buddha, Siddhartha Gautama, who lived between approximately 563 and 483 BCE.</t>
  </si>
  <si>
    <t>RebCode_buddhism</t>
  </si>
  <si>
    <t>buddhistOrientedNewMove</t>
  </si>
  <si>
    <t>Buddhist-oriented New Religious Movement</t>
  </si>
  <si>
    <t>A new religious movement that is based on Buddhism.</t>
  </si>
  <si>
    <t>RebCode_buddhistOrientedNewMove</t>
  </si>
  <si>
    <t>caoDai</t>
  </si>
  <si>
    <t>Cao Dai</t>
  </si>
  <si>
    <t>A religion founded in 1926 in Tay Ninh, southern Vietnam, by Ngo Van Chieu, an official in the French colonial government, who claimed to have received direct communications from God, ordering him to combine various religions, some from the East and some from the West.</t>
  </si>
  <si>
    <t>Belongs to the Taoic religions.</t>
  </si>
  <si>
    <t>RebCode_caoDai</t>
  </si>
  <si>
    <t>cheondogyo</t>
  </si>
  <si>
    <t>Cheondogyo</t>
  </si>
  <si>
    <t>A 20th century Korean nationalist religious movement, based on the 19th century Donghak movement founded by Choe Je-u.</t>
  </si>
  <si>
    <t>RebCode_cheondogyo</t>
  </si>
  <si>
    <t>chineseOrientedNewMove</t>
  </si>
  <si>
    <t>Chinese-oriented New Religious Movement</t>
  </si>
  <si>
    <t>A new religious movement that is based on religions having their origin in China (for example: I-Kuan Tao).</t>
  </si>
  <si>
    <t>RebCode_chineseOrientedNewMove</t>
  </si>
  <si>
    <t>christianity</t>
  </si>
  <si>
    <t>Christianity</t>
  </si>
  <si>
    <t>Christianity, the worlds largest religion, is based on the life and teachings of Jesus Christ as described in the New Testament of the Bible.</t>
  </si>
  <si>
    <t>RebCode_christianity</t>
  </si>
  <si>
    <t>christianOrientedNewMove</t>
  </si>
  <si>
    <t>Christian-oriented New Religious Movement</t>
  </si>
  <si>
    <t>A new religious movement that is based on Christianity.</t>
  </si>
  <si>
    <t>RebCode_christianOrientedNewMove</t>
  </si>
  <si>
    <t>confucianism</t>
  </si>
  <si>
    <t>Confucianism</t>
  </si>
  <si>
    <t>An East Asian ethical, religious and philosophical system originally developed from the teachings of Confucius.</t>
  </si>
  <si>
    <t>RebCode_confucianism</t>
  </si>
  <si>
    <t>esotericism</t>
  </si>
  <si>
    <t>Esotericism</t>
  </si>
  <si>
    <t>A faith based on knowledge suitable only for the advanced, privileged, or initiated, as opposed to exoteric knowledge, which is public.</t>
  </si>
  <si>
    <t>Belongs to the Nonsectarian and trans-sectarian religious or spiritual movements and practices.</t>
  </si>
  <si>
    <t>RebCode_esotericism</t>
  </si>
  <si>
    <t>filipinoOrientedNewMove</t>
  </si>
  <si>
    <t>Filipino-oriented New Religious Movement</t>
  </si>
  <si>
    <t>A new religious movement that is based on religions having their origin on the Philippines.</t>
  </si>
  <si>
    <t>RebCode_filipinoOrientedNewMove</t>
  </si>
  <si>
    <t>gnosticism</t>
  </si>
  <si>
    <t>Gnosticism</t>
  </si>
  <si>
    <t>A diverse religious movement often associated with Christianity, although textual evidence for the movement contains distinctly non- and anti-Christian elements, as well as anti-Judaic elements.</t>
  </si>
  <si>
    <t>RebCode_gnosticism</t>
  </si>
  <si>
    <t>hinduism</t>
  </si>
  <si>
    <t>Hinduism</t>
  </si>
  <si>
    <t>Hinduism (commonly called Sanātana Dharma, roughly translated as 'Perennial Faith') is characterized by a diverse array of belief systems, practices and scriptures whose origin lies in the ancient Indo-Aryan Vedic culture.</t>
  </si>
  <si>
    <t>RebCode_hinduism</t>
  </si>
  <si>
    <t>hinduOrientedNewMove</t>
  </si>
  <si>
    <t>Hindu-oriented New Religious Movement</t>
  </si>
  <si>
    <t>A new religious movement that is based on Hinduism.</t>
  </si>
  <si>
    <t>RebCode_hinduOrientedNewMove</t>
  </si>
  <si>
    <t>iKuanTao</t>
  </si>
  <si>
    <t>I-Kuan Tao</t>
  </si>
  <si>
    <t>A new religious movement that originated in twentieth-century China that incorporates much older elements from Confucianism, Taoism, and Chinese Buddhism, and recognizes the validity of non-Chinese religious traditions such as Christianity and Islam.</t>
  </si>
  <si>
    <t>Yiguandao</t>
  </si>
  <si>
    <t>RebCode_iKuanTao</t>
  </si>
  <si>
    <t>indigenousNewMove</t>
  </si>
  <si>
    <t>Indigenous New Religious Movement</t>
  </si>
  <si>
    <t>A new religious movement that is based on the orally transmitted canon of indigenous peoples, many involving some variant of animism and many defunct.</t>
  </si>
  <si>
    <t>RebCode_indigenousNewMove</t>
  </si>
  <si>
    <t>indonesianOrientedNewMove</t>
  </si>
  <si>
    <t>Indonesian-oriented New Religious Movement</t>
  </si>
  <si>
    <t>A new religious movement that is based on religions having their origin in Indonesia.</t>
  </si>
  <si>
    <t>RebCode_indonesianOrientedNewMove</t>
  </si>
  <si>
    <t>islam</t>
  </si>
  <si>
    <t>Islam</t>
  </si>
  <si>
    <t>Islam is a monotheistic religion originating with the teachings of Muhammad, a 7th century Arab religious and political figure.</t>
  </si>
  <si>
    <t>RebCode_islam</t>
  </si>
  <si>
    <t>islamRootedNewMove</t>
  </si>
  <si>
    <t>Islam-rooted New Religious Movement</t>
  </si>
  <si>
    <t>A new religious movement that is based on Islam.</t>
  </si>
  <si>
    <t>RebCode_islamRootedNewMove</t>
  </si>
  <si>
    <t>jainism</t>
  </si>
  <si>
    <t>Jainism</t>
  </si>
  <si>
    <t>Jainism, traditionally known as Jain Dharma, is a religion and philosophy originating in Ancient India with the teachings of Mahavira (circa 6th century BCE).</t>
  </si>
  <si>
    <t>RebCode_jainism</t>
  </si>
  <si>
    <t>japaneseRootedNewMove</t>
  </si>
  <si>
    <t>Japanese-rooted New Religious Movement</t>
  </si>
  <si>
    <t>A new religious movement that is based on religions having their origin in japan.</t>
  </si>
  <si>
    <t>RebCode_japaneseRootedNewMove</t>
  </si>
  <si>
    <t>judaism</t>
  </si>
  <si>
    <t>Judaism</t>
  </si>
  <si>
    <t>The religion of the ancient Hebrews and their descendants the Jews, it is based, according to the Hebrew Bible, on a covenant between God and Abraham about 2000 BCE, and the renewal of the covenant with Moses about 1200 BCE.</t>
  </si>
  <si>
    <t>RebCode_judaism</t>
  </si>
  <si>
    <t>judaismOrientedNewMove</t>
  </si>
  <si>
    <t>Judaism-oriented New Religious Movement</t>
  </si>
  <si>
    <t>A new religious movement that is based on Judaism.</t>
  </si>
  <si>
    <t>RebCode_judaismOrientedNewMove</t>
  </si>
  <si>
    <t>koreanOrientedNewMove</t>
  </si>
  <si>
    <t>Korean-oriented New Religious Movement</t>
  </si>
  <si>
    <t>A new religious movement that is based on religions having their origin in korea.</t>
  </si>
  <si>
    <t>RebCode_koreanOrientedNewMove</t>
  </si>
  <si>
    <t>magic</t>
  </si>
  <si>
    <t>Magic</t>
  </si>
  <si>
    <t>A belief in magic as a means of influencing the world; some of these beliefs crossed over into nascent religions, influencing rites and religious celebrations.</t>
  </si>
  <si>
    <t>RebCode_magic</t>
  </si>
  <si>
    <t>malaysianOrientedNewMove</t>
  </si>
  <si>
    <t>Malaysian-oriented New Religious Movement</t>
  </si>
  <si>
    <t>A new religious movement that is based on religions having their origin in Malaysia.</t>
  </si>
  <si>
    <t>RebCode_malaysianOrientedNewMove</t>
  </si>
  <si>
    <t>manichaeism</t>
  </si>
  <si>
    <t>Manichaeism</t>
  </si>
  <si>
    <t>Based on the Zoroastrian tradition and incorporating elements of Christianity, Hinduism, Buddhism and other fairths, and established by the Persian prophet Mani in the 3rd century CE.</t>
  </si>
  <si>
    <t>RebCode_manichaeism</t>
  </si>
  <si>
    <t>mithraism</t>
  </si>
  <si>
    <t>Mithraism</t>
  </si>
  <si>
    <t>An ancient Iranic religion, based on worship of a god called Mehr who apparently derives from the Persian god Mithra and other Zoroastrian deities.</t>
  </si>
  <si>
    <t>RebCode_mithraism</t>
  </si>
  <si>
    <t>monotheisticNewMove</t>
  </si>
  <si>
    <t>Monotheistic New Religious Movement</t>
  </si>
  <si>
    <t>A new religious movement with beliefs in monotheism, the belief in a single, universal, all-encompassing deity.</t>
  </si>
  <si>
    <t>RebCode_monotheisticNewMove</t>
  </si>
  <si>
    <t>mysticism</t>
  </si>
  <si>
    <t>Mysticism</t>
  </si>
  <si>
    <t>Meditation, prayer, or theology focused on the direct experience of union with divinity, God, or Ultimate Reality; or the belief that such experience is a genuine and important source of knowledge.</t>
  </si>
  <si>
    <t>RebCode_mysticism</t>
  </si>
  <si>
    <t>nativeAmericanReligion</t>
  </si>
  <si>
    <t>Native American Religion</t>
  </si>
  <si>
    <t>The belief system of indigenous peoples of the Americas are the pre-Columbian inhabitants of the Americas, their descendants, and many ethnic groups who identify with those historical peoples.</t>
  </si>
  <si>
    <t>RebCode_nativeAmericanReligion</t>
  </si>
  <si>
    <t>nearEasternReligion</t>
  </si>
  <si>
    <t>Near Eastern Religion</t>
  </si>
  <si>
    <t>An indigenous religion that has its origin in the Near East.</t>
  </si>
  <si>
    <t>RebCode_nearEasternReligion</t>
  </si>
  <si>
    <t>nonTheisticSystem</t>
  </si>
  <si>
    <t>Non-theistic System</t>
  </si>
  <si>
    <t>The absence of belief in both the existence and non-existence of a deity (or deities, or other numinous phenomena).</t>
  </si>
  <si>
    <t>RebCode_nonTheisticSystem</t>
  </si>
  <si>
    <t>orgPromotingEcumenism</t>
  </si>
  <si>
    <t>Organisation promoting Ecumenism</t>
  </si>
  <si>
    <t>A movement promoting unity or cooperation between distinct religious groups or denominations of a single religion.</t>
  </si>
  <si>
    <t>RebCode_orgPromotingEcumenism</t>
  </si>
  <si>
    <t>pacificReligion</t>
  </si>
  <si>
    <t>Pacific Religion</t>
  </si>
  <si>
    <t>An indigenous religion that has its origin in the Pacific regions.</t>
  </si>
  <si>
    <t>RebCode_pacificReligion</t>
  </si>
  <si>
    <t>protoIndoEuropeanReligion</t>
  </si>
  <si>
    <t>Proto-Indo-European Religion</t>
  </si>
  <si>
    <t>A hypothetical religion that would have been the ancestor of the majority of the religions of pre-Christian Europe, of the Dharmic religions in India, and of Zoroastrianism in Iran.</t>
  </si>
  <si>
    <t>RebCode_protoIndoEuropeanReligion</t>
  </si>
  <si>
    <t>reconstructionistPagan</t>
  </si>
  <si>
    <t>Reconstructionist Pagan Religion</t>
  </si>
  <si>
    <t>A modern religion seeking to recreate indigenous, usually pre-Christian, beliefs and practices.</t>
  </si>
  <si>
    <t>Belongs to the Neopagan religions.</t>
  </si>
  <si>
    <t>RebCode_reconstructionistPagan</t>
  </si>
  <si>
    <t>samaritanism</t>
  </si>
  <si>
    <t>Samaritanism</t>
  </si>
  <si>
    <t>The religion practiced by the Samaritan people that, like Judaism, claims to be descended from ancient Israelite religion. It is closely related to Judaism in that it accepts the Torah as its holy book, though there are differences in the version accepted.</t>
  </si>
  <si>
    <t>RebCode_samaritanism</t>
  </si>
  <si>
    <t>shinto</t>
  </si>
  <si>
    <t>Shinto</t>
  </si>
  <si>
    <t>A native religion of Japan involving the worship of kami, which can be translated to mean gods, spirits of nature, or simply spiritual presences.</t>
  </si>
  <si>
    <t>RebCode_shinto</t>
  </si>
  <si>
    <t>sikhism</t>
  </si>
  <si>
    <t>Sikhism</t>
  </si>
  <si>
    <t>Sikhism is a religion that began in sixteenth century Northern India with the teachings of Nanak and nine successive human gurus. This system of religious philosophy and expression has been traditionally known as the Gurmat (literally 'the teachings of the gurus') or the Sikh Dharma.</t>
  </si>
  <si>
    <t>RebCode_sikhism</t>
  </si>
  <si>
    <t>syncreticEclecticPagan</t>
  </si>
  <si>
    <t>Syncretic and Eclectic Pagan Religion</t>
  </si>
  <si>
    <t>The attempt to reconcile disparate, even opposing, beliefs and to meld practices of various schools of thought, especially associated with the attempt to merge and analogize several originally discrete traditions, especially in the theology and mythology.</t>
  </si>
  <si>
    <t>RebCode_syncreticEclecticPagan</t>
  </si>
  <si>
    <t>systemClaimAsNonReligion</t>
  </si>
  <si>
    <t>System Claimed as Non-religion</t>
  </si>
  <si>
    <t>A nonsectarian and trans-sectarian religious or spiritual movement and/or practice that claims to be non-religious but which has characteristics of a religion.</t>
  </si>
  <si>
    <t>RebCode_systemClaimAsNonReligion</t>
  </si>
  <si>
    <t>taoism</t>
  </si>
  <si>
    <t>Taoism</t>
  </si>
  <si>
    <t>A Chinese religion in which there is no personal god, the closest thing being the Tao, which is a supreme force which underlies change through the passage of time.</t>
  </si>
  <si>
    <t>RebCode_taoism</t>
  </si>
  <si>
    <t>vietnameseOrientedNewMove</t>
  </si>
  <si>
    <t>Vietnamese-oriented New Religious Movement</t>
  </si>
  <si>
    <t>A new religious movement that is based on religions having their origin in Vietnam.</t>
  </si>
  <si>
    <t>RebCode_vietnameseOrientedNewMove</t>
  </si>
  <si>
    <t>westernMagicalEsoteric</t>
  </si>
  <si>
    <t>Western Magical and Esoteric Group</t>
  </si>
  <si>
    <t>A new religious movement that occurs in the western cultural area.</t>
  </si>
  <si>
    <t>RebCode_westernMagicalEsoteric</t>
  </si>
  <si>
    <t>whiteSupremacistReligion</t>
  </si>
  <si>
    <t>White-supremacist Religion</t>
  </si>
  <si>
    <t>A racist belief that white people are superior to other races.</t>
  </si>
  <si>
    <t>RebCode_whiteSupremacistReligion</t>
  </si>
  <si>
    <t>yazdanism</t>
  </si>
  <si>
    <t>Yazdanism</t>
  </si>
  <si>
    <t>A modern term for the monotheistic, though universalist, religion that was practiced by most Kurds up to the Islamisation during the sixteenth century and involved a belief in incarnation as well as 7 angelic beings which defend the world from their equal and opposite number.</t>
  </si>
  <si>
    <t>RebCode_yazdanism</t>
  </si>
  <si>
    <t>zoroastrianism</t>
  </si>
  <si>
    <t>Zoroastrianism</t>
  </si>
  <si>
    <t>One of the world's oldest monotheistic religions, once the official religion of Sassanid Persia and playing an important role in Achaemenid times.</t>
  </si>
  <si>
    <t>Mazdaism</t>
  </si>
  <si>
    <t>RebCode_zoroastrianism</t>
  </si>
  <si>
    <t>abrahamic</t>
  </si>
  <si>
    <t>Abrahamic</t>
  </si>
  <si>
    <t>A group of monotheistic traditions sometimes grouped with one another for comparative purposes, because all refer to a patriarch named Abraham.</t>
  </si>
  <si>
    <t>ReaCode_abrahamic</t>
  </si>
  <si>
    <t>africanDiasporic</t>
  </si>
  <si>
    <t>African Diasporic</t>
  </si>
  <si>
    <t>Religions originating but not entirely located in Africa.</t>
  </si>
  <si>
    <t>ReaCode_africanDiasporic</t>
  </si>
  <si>
    <t>classicalMonotheism</t>
  </si>
  <si>
    <t>Classical Monotheism</t>
  </si>
  <si>
    <t>Religions with one God.</t>
  </si>
  <si>
    <t>ReaCode_classicalMonotheism</t>
  </si>
  <si>
    <t>dharmic</t>
  </si>
  <si>
    <t>Dharmic</t>
  </si>
  <si>
    <t>Religions with a concept of Dharma, including major religions of historical India and religions descended from them.</t>
  </si>
  <si>
    <t>ReaCode_dharmic</t>
  </si>
  <si>
    <t>entheogen</t>
  </si>
  <si>
    <t>Entheogen</t>
  </si>
  <si>
    <t>Religions based around divinely inspiring substances.</t>
  </si>
  <si>
    <t>ReaCode_entheogen</t>
  </si>
  <si>
    <t>indigenous</t>
  </si>
  <si>
    <t>Indigenous</t>
  </si>
  <si>
    <t>The orally transmitted canon of indigenous peoples, many involving some variant of animism and many defunct.</t>
  </si>
  <si>
    <t>ReaCode_indigenous</t>
  </si>
  <si>
    <t>leftHandPath</t>
  </si>
  <si>
    <t>Left-Hand Path</t>
  </si>
  <si>
    <t>Faiths teaching that the ultimate goal is separating consciousness from the universe, rather than being absorbed by it.</t>
  </si>
  <si>
    <t>ReaCode_leftHandPath</t>
  </si>
  <si>
    <t>mock</t>
  </si>
  <si>
    <t>Mock</t>
  </si>
  <si>
    <t>Groups that poke fun at other religions or of religion in general.</t>
  </si>
  <si>
    <t>Parody</t>
  </si>
  <si>
    <t>ReaCode_mock</t>
  </si>
  <si>
    <t>neopagan</t>
  </si>
  <si>
    <t>Neopagan</t>
  </si>
  <si>
    <t>Modern religions seeking to recreate indigenous, usually pre-Christian, beliefs and practices.</t>
  </si>
  <si>
    <t>ReaCode_neopagan</t>
  </si>
  <si>
    <t>newReligiousMovements</t>
  </si>
  <si>
    <t>New Religious Movements</t>
  </si>
  <si>
    <t>Religions founded since 1850 with small followings.</t>
  </si>
  <si>
    <t>ReaCode_newReligiousMovements</t>
  </si>
  <si>
    <t>nonRevealed</t>
  </si>
  <si>
    <t>Non-revealed</t>
  </si>
  <si>
    <t>Philosophies not transmitted by a divine prophet.</t>
  </si>
  <si>
    <t>ReaCode_nonRevealed</t>
  </si>
  <si>
    <t>nonsectSpiritualPractices</t>
  </si>
  <si>
    <t>Nonsectarian Spiritual Practices</t>
  </si>
  <si>
    <t>A belief that is not a sect or transcends sects and belongs to no religious group, spiritual movement or practice.</t>
  </si>
  <si>
    <t>ReaCode_nonsectSpiritualPractices</t>
  </si>
  <si>
    <t>otherBeliefSystems</t>
  </si>
  <si>
    <t>Other Belief Systems</t>
  </si>
  <si>
    <t>Systems which do not easily fit into a religious grouping.</t>
  </si>
  <si>
    <t>For example: ancestor worship or totemism.</t>
  </si>
  <si>
    <t>ReaCode_otherBeliefSystems</t>
  </si>
  <si>
    <t>syncretic</t>
  </si>
  <si>
    <t>Syncretic</t>
  </si>
  <si>
    <t>Faiths created from blending earlier religions or that consider all or some religions to be essentially the same.</t>
  </si>
  <si>
    <t>ReaCode_syncretic</t>
  </si>
  <si>
    <t>taoic</t>
  </si>
  <si>
    <t>Taoic</t>
  </si>
  <si>
    <t>A set of philosophical teachings and religious practices that are rooted in a specific and metaphysical understanding of the Chinese character Tao, encompassing the whole processes of the Universe.</t>
  </si>
  <si>
    <t>ReaCode_taoic</t>
  </si>
  <si>
    <t>The religious and philosophical system founded by the Buddha Gautama, teaching that all human sorrows arise from desire and can be eradicated by following the disciplines of his eightfold path.</t>
  </si>
  <si>
    <t>RelCode_buddhism</t>
  </si>
  <si>
    <t>chaldean</t>
  </si>
  <si>
    <t>Chaldean</t>
  </si>
  <si>
    <t>A Catholic denomination, originally part of the Church of the East (also called the East Syriac Church), that established peace and communion with the Church of Rome in the 16th Century.</t>
  </si>
  <si>
    <t>It retains its own distinctive theological, liturgical and canonical traditions with a single patriarch located in Baghdad and four archdioceses.</t>
  </si>
  <si>
    <t>RelCode_chaldean</t>
  </si>
  <si>
    <t>christian</t>
  </si>
  <si>
    <t>Christian</t>
  </si>
  <si>
    <t>In general, an adherent of Christianity, the religion of Christ.</t>
  </si>
  <si>
    <t>For example, Roman Catholic, Orthodox, or Protestant.</t>
  </si>
  <si>
    <t>RelCode_christian</t>
  </si>
  <si>
    <t>A system of religious beliefs and social customs, with adherents especially in India, with a belief in reincarnation, the worship of several gods, and an ordained caste system, as the basis of society.</t>
  </si>
  <si>
    <t>RelCode_hinduism</t>
  </si>
  <si>
    <t>The religious system established through the prophet Muhammad.</t>
  </si>
  <si>
    <t>RelCode_islam</t>
  </si>
  <si>
    <t>The religion of the Jews, with a belief in one God and a basis in Mosaic and rabbinical teachings.</t>
  </si>
  <si>
    <t>RelCode_judaism</t>
  </si>
  <si>
    <t>mixedNoDesignation</t>
  </si>
  <si>
    <t>Mixed and/or No Designation</t>
  </si>
  <si>
    <t>A mix of two or more religious designations, or a mix of one or more religious designations and no religious designation.</t>
  </si>
  <si>
    <t>RelCode_mixedNoDesignation</t>
  </si>
  <si>
    <t>nestorian</t>
  </si>
  <si>
    <t>Nestorian</t>
  </si>
  <si>
    <t>A follower or adherent of Nestorius, Patriarch of Constantinople who asserted that Christ had distinct human and divine persons, breaking away from the Byzantine Orthodox Church during the Third Ecumenical Council (in 431 A.D.) when his teachings were declared heretical.</t>
  </si>
  <si>
    <t>The Nestorian patriarch was established in Baghdad and propagated the religion throughout Asia.</t>
  </si>
  <si>
    <t>RelCode_nestorian</t>
  </si>
  <si>
    <t>orthodox</t>
  </si>
  <si>
    <t>Orthodox</t>
  </si>
  <si>
    <t>The family of Christian Churches originating in the East (including the national Churches of Greece, Russia, Romania, and others) which recognize the headship of the Patriarch of Constantinople and separated from the Western Church in or around the 11th century.</t>
  </si>
  <si>
    <t>RelCode_orthodox</t>
  </si>
  <si>
    <t>protestant</t>
  </si>
  <si>
    <t>Protestant</t>
  </si>
  <si>
    <t>A member or follower of any of the Christian Churches or sects repudiating the Roman obedience at the Reformation or of any of the Churches or sects standing in historic continuity with them; a member or follower of any of the western Christian Churches that are separate from the Roman Catholic Church in accordance with the principles of the Reformation.</t>
  </si>
  <si>
    <t>RelCode_protestant</t>
  </si>
  <si>
    <t>romanCatholic</t>
  </si>
  <si>
    <t>Roman Catholic</t>
  </si>
  <si>
    <t>The Christian Church which acknowledges the Bishop of Rome (the Pope) as its head.</t>
  </si>
  <si>
    <t>RelCode_romanCatholic</t>
  </si>
  <si>
    <t>shia</t>
  </si>
  <si>
    <t>Shia</t>
  </si>
  <si>
    <t>The religious system of the minority religious group of Muslims, differing from the Sunni in their understanding of the Sunna and in their acceptance of the claim of Ali, Muhammad's son-in-law and the fourth caliph, to be the first true successor of the Prophet Muhammad.</t>
  </si>
  <si>
    <t>RelCode_shia</t>
  </si>
  <si>
    <t>A religious system incorporating the worship of ancestors, nature-spirits and other divinities, and (until 1945) a belief in the divinity of the Japanese emperor.</t>
  </si>
  <si>
    <t>Until 1945 the State religion of Japan.</t>
  </si>
  <si>
    <t>RelCode_shinto</t>
  </si>
  <si>
    <t>sunni</t>
  </si>
  <si>
    <t>Sunni</t>
  </si>
  <si>
    <t>The religious system of the majority religious group of Muslims, differing from the Shia in their understanding of the Sunna and in their rejection of the claim of Ali, Muhammad's son-in-law and the fourth caliph, to be the first true successor of the Prophet Muhammad.</t>
  </si>
  <si>
    <t>Orthodox Islam</t>
  </si>
  <si>
    <t>RelCode_sunni</t>
  </si>
  <si>
    <t>tribalReligion</t>
  </si>
  <si>
    <t>Tribal Religion</t>
  </si>
  <si>
    <t>Regional and local faiths and rituals, which cannot be considered as a unit.</t>
  </si>
  <si>
    <t>Often with syncretic character.</t>
  </si>
  <si>
    <t>Primitive Religion, Natural Religion</t>
  </si>
  <si>
    <t>RelCode_tribalReligion</t>
  </si>
  <si>
    <t>burialSite</t>
  </si>
  <si>
    <t>Burial Site</t>
  </si>
  <si>
    <t>A structure within which a corpse is entombed or an area of ground in which the dead are buried.</t>
  </si>
  <si>
    <t>For example, a cemetery, a grave, and a crypt.</t>
  </si>
  <si>
    <t>RfaCode_burialSite</t>
  </si>
  <si>
    <t>A Christian church, specifically of a denomination with an episcopal hierarchy (for example: Anglican, Catholic or Lutheran), that serves as the central church of a diocese, and thus as a bishop's seat.</t>
  </si>
  <si>
    <t>As cathedrals are often particularly impressive edifices, the term is sometimes also used loosely as a designation for any large important church.</t>
  </si>
  <si>
    <t>RfaCode_cathedral</t>
  </si>
  <si>
    <t>cemeteryBuilding</t>
  </si>
  <si>
    <t>Cemetery Building</t>
  </si>
  <si>
    <t>Located at a cemetery and associated with the burial of the dead.</t>
  </si>
  <si>
    <t>For example, a crypt.</t>
  </si>
  <si>
    <t>RfaCode_cemeteryBuilding</t>
  </si>
  <si>
    <t>A private Christian church or similar place of worship (for example: a dedicated chamber or sanctuary within a building).</t>
  </si>
  <si>
    <t>When a free-standing building it may be smaller than a (public) church and is located on the grounds of an institution (for example: a college, a hospital, a palace, an estate, or a prison) where it may be attached to a larger building.</t>
  </si>
  <si>
    <t>RfaCode_chapel</t>
  </si>
  <si>
    <t>A Christian temple, reserved for religious or spiritual activities.</t>
  </si>
  <si>
    <t>RfaCode_church</t>
  </si>
  <si>
    <t>convent</t>
  </si>
  <si>
    <t>Convent</t>
  </si>
  <si>
    <t>A facility housing a community of priests, religious brothers and/or religious sisters, that is meant to be the presence in the world of a group dedicated to charitable or preaching service.</t>
  </si>
  <si>
    <t>The religious orders served are mainly those in the Roman Catholic Church and, to a lesser degree, in the Anglican Communion. May be used to refer specifically to a community comprised only of religious sisters. Both religious brothers and religious sisters take vows, usually of poverty, chastity and obedience.</t>
  </si>
  <si>
    <t>RfaCode_convent</t>
  </si>
  <si>
    <t>hermitage</t>
  </si>
  <si>
    <t>Hermitage</t>
  </si>
  <si>
    <t>A secluded residence, allowing life in relative seclusion and/or isolation from society.</t>
  </si>
  <si>
    <t>The resident (termed a 'hermit') renounces wordly concerns and pleasures in order to come closer to the deity or deities they worship or revere, a form of asceticism.</t>
  </si>
  <si>
    <t>RfaCode_hermitage</t>
  </si>
  <si>
    <t>A shrine, often a whitewashed dome, marking the burial place of an Islamic holy man (who is also known as a 'marabout').</t>
  </si>
  <si>
    <t>A marabout is a personal spiritual leader in the Islam faith as practiced in West Africa, and still to a limited extent in the Maghreb. The marabout is often a scholar of the Qur'an, and many make amulets for good luck, preside at various ceremonies, and in some cases actively guide the life of the follower.</t>
  </si>
  <si>
    <t>RfaCode_marabout</t>
  </si>
  <si>
    <t>A tower providing a vantage point from which a muezzin (a servant at a mosque) can call at hours of prayer.</t>
  </si>
  <si>
    <t>Usually a tall, graceful spire, with an onion-shaped crown, connected with a mosque. May be either free standing or much taller than any surrounding support structure.</t>
  </si>
  <si>
    <t>RfaCode_minaret</t>
  </si>
  <si>
    <t>mission</t>
  </si>
  <si>
    <t>Mission</t>
  </si>
  <si>
    <t>A religious centre established for missionary, evangelical, or humanitarian work.</t>
  </si>
  <si>
    <t>May be characterized by one or more dwellings, a school, a church, a hospital and/or other facilities operated by a religious group.</t>
  </si>
  <si>
    <t>Mission Station</t>
  </si>
  <si>
    <t>RfaCode_mission</t>
  </si>
  <si>
    <t>monastery</t>
  </si>
  <si>
    <t>Monastery</t>
  </si>
  <si>
    <t>A facility housing a community of monks living in seclusion, adopting a strict religious and ascetic lifestyle and retreating from the world for contemplative prayer.</t>
  </si>
  <si>
    <t>The community usually follows a single rule, is governed by an abbott, and all members live together, pray together, and share all possessions.</t>
  </si>
  <si>
    <t>RfaCode_monastery</t>
  </si>
  <si>
    <t>An Islamic temple, reserved for religious or spiritual activities.</t>
  </si>
  <si>
    <t>RfaCode_mosque</t>
  </si>
  <si>
    <t>noviciate</t>
  </si>
  <si>
    <t>Noviciate</t>
  </si>
  <si>
    <t>A facility housing a community of prospective members of a religious order (termed 'novices') who have not yet been admitted to vows and have to undergo training in order to be found eligible or qualified for admission.</t>
  </si>
  <si>
    <t>RfaCode_noviciate</t>
  </si>
  <si>
    <t>It is evolved from the stupa but it can be entered and may serve a secular purpose. They are found mainly in east Asia whereas the stupa is found in India and south-east Asia.</t>
  </si>
  <si>
    <t>RfaCode_pagoda</t>
  </si>
  <si>
    <t>A facility housing a community under religious vows.</t>
  </si>
  <si>
    <t>RfaCode_religiousCommunity</t>
  </si>
  <si>
    <t>retreat</t>
  </si>
  <si>
    <t>Retreat</t>
  </si>
  <si>
    <t>A place established for temporary seclusion and a time of solitude, religious prayer and/or meditation.</t>
  </si>
  <si>
    <t>Retreats are considered essential in Buddhism and they are common in many Christian churches. They are typically conducted in a remote location (for example: at a private facility or at a monastery).</t>
  </si>
  <si>
    <t>RfaCode_retreat</t>
  </si>
  <si>
    <t>A facility housing a specialized university-like institution for the purpose of instructing students (termed 'seminarians') in theology, often in order to prepare them for religious service (for example: congregation leadership).</t>
  </si>
  <si>
    <t>These usually, though not always, teach Christian (for example: priests or ministers) or Jewish (for example: rabbis) doctrine. Monks, nuns and/or lay people may also be instructed.</t>
  </si>
  <si>
    <t>Divinity School, School of Theology, Theological College</t>
  </si>
  <si>
    <t>RfaCode_seminary</t>
  </si>
  <si>
    <t>A place of worship or devotion to a saint or deity, usually housing a relic (for example: a bone or other body part) or man-made object (for example: an icon) that is venerated for the deity, spirit or daemon that it embodies.</t>
  </si>
  <si>
    <t>May be constructed on a site which is thought to be particularly holy, as opposed to being placed for the convenience of worshippers, and consequently may be associated with the practice of pilgrimage.</t>
  </si>
  <si>
    <t>RfaCode_shrine</t>
  </si>
  <si>
    <t>It is intended to house relics of the Buddha, and includes such features as the torana (gateway), the vedica (fence-like enclosure), the harmika (a square platform with railings on top of the stupa), the chattrayashti (a parasol or canopy) and a circumambulatory around the stupa.</t>
  </si>
  <si>
    <t>RfaCode_stupa</t>
  </si>
  <si>
    <t>May also be termed a 'temple' by some Reform and conservative congregations, although Orthodox Judaism reserves that term for the Temple in Jerusalem.</t>
  </si>
  <si>
    <t>RfaCode_synagogue</t>
  </si>
  <si>
    <t>A church that has been specially designated (for example: by religious authority).</t>
  </si>
  <si>
    <t>May take on a variety of shapes and sizes (for example: as a shrine, a chapel, or a temple). The term is most closely associated with The Church of Jesus Christ of Latter-day Saints (for example: the Salt Lake Tabernacle) but may be applied to other named churches associated with revivalism (for example: the Metropolitan Tabernacle or the Maxwell Memorial Tabernacle).</t>
  </si>
  <si>
    <t>RfaCode_tabernacle</t>
  </si>
  <si>
    <t>An edifice reserved for religious or spiritual activities (for example: prayer or sacrifice), or analogous rites (as in masonry).</t>
  </si>
  <si>
    <t>In some religions it is regarded as the dwelling-place of a god or gods. Many religions have specialized versions of this term (for example: a Christian church, a Mormon temple, or an Islamic mosque).</t>
  </si>
  <si>
    <t>RfaCode_temple</t>
  </si>
  <si>
    <t>electricField</t>
  </si>
  <si>
    <t>Electric Field</t>
  </si>
  <si>
    <t>Senses the electric fields produced by a vessel.</t>
  </si>
  <si>
    <t>MioCode_electricField</t>
  </si>
  <si>
    <t>infrared</t>
  </si>
  <si>
    <t>Infrared</t>
  </si>
  <si>
    <t>The trigger mechanism utilises infra-red technology.</t>
  </si>
  <si>
    <t>MioCode_infrared</t>
  </si>
  <si>
    <t>laserSensors</t>
  </si>
  <si>
    <t>Laser Sensors</t>
  </si>
  <si>
    <t>The trigger mechanism utilises laser technology.</t>
  </si>
  <si>
    <t>MioCode_laserSensors</t>
  </si>
  <si>
    <t>Senses the surface vibrations produced by a vessel.</t>
  </si>
  <si>
    <t>MioCode_seismic</t>
  </si>
  <si>
    <t>velocityField</t>
  </si>
  <si>
    <t>Velocity Field</t>
  </si>
  <si>
    <t>The trigger mechanism is sensitive to direct movement.</t>
  </si>
  <si>
    <t>MioCode_velocityField</t>
  </si>
  <si>
    <t>astronomicalStation</t>
  </si>
  <si>
    <t>Astronomical Station</t>
  </si>
  <si>
    <t>A structure used for the scientific study of matter in space, especially the locations, dimensions, distribution, motion, composition, energy, and evolution of celestial phenomena.</t>
  </si>
  <si>
    <t>ResCode_astronomicalStation</t>
  </si>
  <si>
    <t>nuclearResearch</t>
  </si>
  <si>
    <t>Nuclear Research</t>
  </si>
  <si>
    <t>ResCode_nuclearResearch</t>
  </si>
  <si>
    <t>observatory</t>
  </si>
  <si>
    <t>Observatory</t>
  </si>
  <si>
    <t>A building designed and equipped for making observations of astronomical, meteorological, or other natural phenomena.</t>
  </si>
  <si>
    <t>ResCode_observatory</t>
  </si>
  <si>
    <t>particleAccelerator</t>
  </si>
  <si>
    <t>ResCode_particleAccelerator</t>
  </si>
  <si>
    <t>researchCentre</t>
  </si>
  <si>
    <t>Research Centre</t>
  </si>
  <si>
    <t>A building supporting scientific experimentation or research, including scholarly investigation or inquiry, intended to ultimately result in commercial products.</t>
  </si>
  <si>
    <t>ResCode_researchCentre</t>
  </si>
  <si>
    <t>ResCode_weatherStation</t>
  </si>
  <si>
    <t>foreignGovInfo10Year</t>
  </si>
  <si>
    <t>10-year Foreign Government Information</t>
  </si>
  <si>
    <t>Reveal foreign government information.</t>
  </si>
  <si>
    <t>The original classification authority chooses to exempt the declassification of a record from the automatic 10-year declassification rule. This is used when the unauthorized disclosure could reasonably be expected to cause damage to the national security of the United States.</t>
  </si>
  <si>
    <t>RdeCode_foreignGovInfo10Year</t>
  </si>
  <si>
    <t>foreignRelations10Year</t>
  </si>
  <si>
    <t>10-year Foreign Relations</t>
  </si>
  <si>
    <t>Damage relations between the United States and a foreign government, reveal a confidential source, or seriously undermine diplomatic activities that are reasonably expected to be ongoing for a period greater than [10 years].</t>
  </si>
  <si>
    <t>RdeCode_foreignRelations10Year</t>
  </si>
  <si>
    <t>individualProtect10Year</t>
  </si>
  <si>
    <t>10-year Individual Protection</t>
  </si>
  <si>
    <t>Impair the ability of responsible United States Government officials to protect the President, the Vice President, and other individuals for whom protection services, in the interest of national security, are authorized.</t>
  </si>
  <si>
    <t>RdeCode_individualProtect10Year</t>
  </si>
  <si>
    <t>intelligenceSource10Year</t>
  </si>
  <si>
    <t>10-year Intelligence Source</t>
  </si>
  <si>
    <t>Reveal an intelligence source, method, or activity, or a cryptologic system or activity.</t>
  </si>
  <si>
    <t>This choice is normally selected for classified data. The original classification authority chooses to exempt the declassification of a record from the automatic 10-year declassification rule. This is used when the unauthorized disclosure could reasonably be expected to cause damage to the national security of the United States.</t>
  </si>
  <si>
    <t>RdeCode_intelligenceSource10Year</t>
  </si>
  <si>
    <t>legalViolation10Year</t>
  </si>
  <si>
    <t>10-year Legal Violation</t>
  </si>
  <si>
    <t>Violate a statute, treaty, or international agreement.</t>
  </si>
  <si>
    <t>RdeCode_legalViolation10Year</t>
  </si>
  <si>
    <t>massDestructWeapon10Year</t>
  </si>
  <si>
    <t>10-year Mass Destruction Weapon</t>
  </si>
  <si>
    <t>Reveal information that would assist in the development or use of weapons of mass destruction.</t>
  </si>
  <si>
    <t>RdeCode_massDestructWeapon10Year</t>
  </si>
  <si>
    <t>militaryPlan10Year</t>
  </si>
  <si>
    <t>10-year Military Plan</t>
  </si>
  <si>
    <t>Reveal United States military plans, or national security emergency preparedness plans.</t>
  </si>
  <si>
    <t>RdeCode_militaryPlan10Year</t>
  </si>
  <si>
    <t>weaponSystemTech10Year</t>
  </si>
  <si>
    <t>10-year Weapon System Technology</t>
  </si>
  <si>
    <t>Reveal information that would impair the development or use of technology within a United States weapons system.</t>
  </si>
  <si>
    <t>RdeCode_weaponSystemTech10Year</t>
  </si>
  <si>
    <t>cryptologicSystem25Year</t>
  </si>
  <si>
    <t>25-year Cryptologic System</t>
  </si>
  <si>
    <t>Reveal information that would impair United States cryptologic systems or activities.</t>
  </si>
  <si>
    <t>The originating agency head has determined to exempt the declassification of a record from the automatic 25-year declassification rule in accordance with Executive Order 12958 (17 April 1995), Section 3.4(b). All classified information contained in records that (1) are more than 25 years old, and (2) have been determined to have permanent historical value under title 44, United States Code, shall be automatically declassified unless a specific exception applies.</t>
  </si>
  <si>
    <t>RdeCode_cryptologicSystem25Year</t>
  </si>
  <si>
    <t>foreignGovInfo25Year</t>
  </si>
  <si>
    <t>25-year Foreign Government Information</t>
  </si>
  <si>
    <t>Reveal information that would seriously and demonstrably impair relations between the United States and a foreign government, or seriously and demonstrably undermine ongoing diplomatic activities of the United States.</t>
  </si>
  <si>
    <t>RdeCode_foreignGovInfo25Year</t>
  </si>
  <si>
    <t>foreignRelations25Year</t>
  </si>
  <si>
    <t>25-year Foreign Relations</t>
  </si>
  <si>
    <t>Reveal information that would clearly and demonstrably impair current ability of United States Government officials to protect President, Vice President, and other officials for whom protection services, in the interest of national security, are authorized.</t>
  </si>
  <si>
    <t>RdeCode_foreignRelations25Year</t>
  </si>
  <si>
    <t>individualProtect25Year</t>
  </si>
  <si>
    <t>25-year Individual Protection</t>
  </si>
  <si>
    <t>Reveal information that would seriously and demonstrably impair current national security emergency preparedness plans.</t>
  </si>
  <si>
    <t>RdeCode_individualProtect25Year</t>
  </si>
  <si>
    <t>intelligenceSource25Year</t>
  </si>
  <si>
    <t>25-year Intelligence Source</t>
  </si>
  <si>
    <t>Reveal identity of confidential human source, or real information about application of intelligence source or method, or Reveal identity of human intelligence source when unauthorized disclosure of source would damage United States national security.</t>
  </si>
  <si>
    <t>RdeCode_intelligenceSource25Year</t>
  </si>
  <si>
    <t>legalViolation25Year</t>
  </si>
  <si>
    <t>25-year Legal Violation</t>
  </si>
  <si>
    <t>RdeCode_legalViolation25Year</t>
  </si>
  <si>
    <t>massDestructWeapon25Year</t>
  </si>
  <si>
    <t>25-year Mass Destruction Weapon</t>
  </si>
  <si>
    <t>RdeCode_massDestructWeapon25Year</t>
  </si>
  <si>
    <t>militaryPlan25Year</t>
  </si>
  <si>
    <t>25-year Military Plan</t>
  </si>
  <si>
    <t>Reveal actual US military war plans that remain in effect.</t>
  </si>
  <si>
    <t>RdeCode_militaryPlan25Year</t>
  </si>
  <si>
    <t>weaponSystemTech25Year</t>
  </si>
  <si>
    <t>25-year Weapon System Technology</t>
  </si>
  <si>
    <t>Reveal information that would impair the application of state of the art technology within a United States weapon system.</t>
  </si>
  <si>
    <t>RdeCode_weaponSystemTech25Year</t>
  </si>
  <si>
    <t>manualReview</t>
  </si>
  <si>
    <t>Manual Review</t>
  </si>
  <si>
    <t>RdeCode_manualReview</t>
  </si>
  <si>
    <t>vectorData100k</t>
  </si>
  <si>
    <t>1:100k Vector Data</t>
  </si>
  <si>
    <t>1:100,000 scale vector data.</t>
  </si>
  <si>
    <t>RvtCode_vectorData100k</t>
  </si>
  <si>
    <t>vectorData25k</t>
  </si>
  <si>
    <t>1:25k Vector Data</t>
  </si>
  <si>
    <t>1:25,000 scale vector data.</t>
  </si>
  <si>
    <t>RvtCode_vectorData25k</t>
  </si>
  <si>
    <t>vectorData50k</t>
  </si>
  <si>
    <t>1:50k Vector Data</t>
  </si>
  <si>
    <t>1:50,000 scale vector data.</t>
  </si>
  <si>
    <t>RvtCode_vectorData50k</t>
  </si>
  <si>
    <t>ngaAutoAirFacInfoFile</t>
  </si>
  <si>
    <t>AAFIF</t>
  </si>
  <si>
    <t>NGA Automated Aeronautical Facilities Information File.</t>
  </si>
  <si>
    <t>RvtCode_ngaAutoAirFacInfoFile</t>
  </si>
  <si>
    <t>ngaArcDigRasterGraphic</t>
  </si>
  <si>
    <t>ADRG</t>
  </si>
  <si>
    <t>NGA Arc Digitized Raster Graphic.</t>
  </si>
  <si>
    <t>RvtCode_ngaArcDigRasterGraphic</t>
  </si>
  <si>
    <t>alosPalSar</t>
  </si>
  <si>
    <t>ALOS PALSAR</t>
  </si>
  <si>
    <t>Imagery collected by the ALOS PALSAR instrument (Phased Array type L-band Synthetic Aperture Radar) embarked on ALOS satellite (JAXA, Japan).</t>
  </si>
  <si>
    <t>RvtCode_alosPalSar</t>
  </si>
  <si>
    <t>alosPrism</t>
  </si>
  <si>
    <t>ALOS PRISM</t>
  </si>
  <si>
    <t>Imagery collected by the ALOS PRISM instrument (Panchromatic Remote-sensing Instrument for Stereo Mapping) embarked on ALOS satellite (JAXA, Japan).</t>
  </si>
  <si>
    <t>RvtCode_alosPrism</t>
  </si>
  <si>
    <t>arcStandardRaster</t>
  </si>
  <si>
    <t>Arc Standard Raster</t>
  </si>
  <si>
    <t>The source is a standard arc raster data.</t>
  </si>
  <si>
    <t>RvtCode_arcStandardRaster</t>
  </si>
  <si>
    <t>ngaCompressedAdrg</t>
  </si>
  <si>
    <t>CADRG</t>
  </si>
  <si>
    <t>NGA Compressed Arc Digitized Raster Graphic.</t>
  </si>
  <si>
    <t>RvtCode_ngaCompressedAdrg</t>
  </si>
  <si>
    <t>cartoSat1</t>
  </si>
  <si>
    <t>CARTOSAT-1</t>
  </si>
  <si>
    <t>Imagery collected by the CARTOSAT-1 satellite (ISRO, India).</t>
  </si>
  <si>
    <t>RvtCode_cartoSat1</t>
  </si>
  <si>
    <t>cartoSat2</t>
  </si>
  <si>
    <t>CARTOSAT-2</t>
  </si>
  <si>
    <t>Imagery collected by the CARTOSAT-2 satellite (ISRO, India).</t>
  </si>
  <si>
    <t>RvtCode_cartoSat2</t>
  </si>
  <si>
    <t>ngaChartUpdateManual</t>
  </si>
  <si>
    <t>CHUM</t>
  </si>
  <si>
    <t>NGA Chart Update Manual (CHUM)</t>
  </si>
  <si>
    <t>RvtCode_ngaChartUpdateManual</t>
  </si>
  <si>
    <t>ngaControlledImageBase1</t>
  </si>
  <si>
    <t>CIB1</t>
  </si>
  <si>
    <t>NGA Controlled Imagery Base 1 metre data.</t>
  </si>
  <si>
    <t>RvtCode_ngaControlledImageBase1</t>
  </si>
  <si>
    <t>ngaControlledImageBase5</t>
  </si>
  <si>
    <t>CIB5</t>
  </si>
  <si>
    <t>NGA Controlled Imagery Base 5 metre data.</t>
  </si>
  <si>
    <t>RvtCode_ngaControlledImageBase5</t>
  </si>
  <si>
    <t>ngaCityGraphic</t>
  </si>
  <si>
    <t>City Graphic</t>
  </si>
  <si>
    <t>NGA City Graphic</t>
  </si>
  <si>
    <t>RvtCode_ngaCityGraphic</t>
  </si>
  <si>
    <t>ngaCombatChart</t>
  </si>
  <si>
    <t>Combat Chart</t>
  </si>
  <si>
    <t>NGA Combat Chart data.</t>
  </si>
  <si>
    <t>RvtCode_ngaCombatChart</t>
  </si>
  <si>
    <t>cosmoSkymedScanSar</t>
  </si>
  <si>
    <t>COSMO-SKYMED Scan SAR</t>
  </si>
  <si>
    <t>Imagery collected by the COSMO-SKYMED satellite (ASI, Italy) in scan SAR (Synthetic Aperture Radar) mode : the satellite sweeps a corridor with a width of 100 or 200 kilometres (depending the width of the corridor the resolution is 30 or 100 metres).</t>
  </si>
  <si>
    <t>RvtCode_cosmoSkymedScanSar</t>
  </si>
  <si>
    <t>cosmoSkymedStripMap</t>
  </si>
  <si>
    <t>COSMO-SKYMED Strip Map</t>
  </si>
  <si>
    <t>Imagery collected by the COSMO-SKYMED satellite (ASI, Italy) in Strip Map mode : the satellite sweeps a corridor with a width of 30 kilometres. The resolution is 15 metres.</t>
  </si>
  <si>
    <t>RvtCode_cosmoSkymedStripMap</t>
  </si>
  <si>
    <t>digitalGlobeImagery</t>
  </si>
  <si>
    <t>DigitalGlobe Imagery</t>
  </si>
  <si>
    <t>DigitalGlobe imagery of unspecified type and resolution.</t>
  </si>
  <si>
    <t>RvtCode_digitalGlobeImagery</t>
  </si>
  <si>
    <t>ngaDigitalNauticalChart</t>
  </si>
  <si>
    <t>NGA Digital Nautical Chart.</t>
  </si>
  <si>
    <t>RvtCode_ngaDigitalNauticalChart</t>
  </si>
  <si>
    <t>ngaDigitalPrintFile</t>
  </si>
  <si>
    <t>DPF</t>
  </si>
  <si>
    <t>NGA Digital Print File.</t>
  </si>
  <si>
    <t>RvtCode_ngaDigitalPrintFile</t>
  </si>
  <si>
    <t>ngaDigitalTerrElevData1</t>
  </si>
  <si>
    <t>DTED 1</t>
  </si>
  <si>
    <t>NGA Digital Terrain Elevation Data Level 1.</t>
  </si>
  <si>
    <t>RvtCode_ngaDigitalTerrElevData1</t>
  </si>
  <si>
    <t>ngaDigitalTerrElevData2</t>
  </si>
  <si>
    <t>DTED 2</t>
  </si>
  <si>
    <t>NGA Digital Terrain Elevation Data Level 2.</t>
  </si>
  <si>
    <t>RvtCode_ngaDigitalTerrElevData2</t>
  </si>
  <si>
    <t>ngaDigitalTerrElevData3</t>
  </si>
  <si>
    <t>DTED 3</t>
  </si>
  <si>
    <t>NGA Digital Terrain Elevation Data Level 3.</t>
  </si>
  <si>
    <t>RvtCode_ngaDigitalTerrElevData3</t>
  </si>
  <si>
    <t>ngaDigitalTerrElevData4</t>
  </si>
  <si>
    <t>DTED 4</t>
  </si>
  <si>
    <t>NGA Digital Terrain Elevation Data Level 4.</t>
  </si>
  <si>
    <t>RvtCode_ngaDigitalTerrElevData4</t>
  </si>
  <si>
    <t>ngaDigitalTopoData1</t>
  </si>
  <si>
    <t>DTOP 1</t>
  </si>
  <si>
    <t>NGA Digital Topographic Data Level 1.</t>
  </si>
  <si>
    <t>RvtCode_ngaDigitalTopoData1</t>
  </si>
  <si>
    <t>ngaDigitalTopoData2</t>
  </si>
  <si>
    <t>DTOP 2</t>
  </si>
  <si>
    <t>NGA Digital Topographic Data Level 2.</t>
  </si>
  <si>
    <t>RvtCode_ngaDigitalTopoData2</t>
  </si>
  <si>
    <t>ngaDigitalTopoData3</t>
  </si>
  <si>
    <t>DTOP 3</t>
  </si>
  <si>
    <t>NGA Digital Topographic Data Level 3.</t>
  </si>
  <si>
    <t>RvtCode_ngaDigitalTopoData3</t>
  </si>
  <si>
    <t>ngaDigitalTopoData4</t>
  </si>
  <si>
    <t>DTOP 4</t>
  </si>
  <si>
    <t>NGA Digital Topographic Data Level 4.</t>
  </si>
  <si>
    <t>RvtCode_ngaDigitalTopoData4</t>
  </si>
  <si>
    <t>ngaDigitalTopoData5</t>
  </si>
  <si>
    <t>DTOP 5</t>
  </si>
  <si>
    <t>NGA Digital Topographic Data Level 5.</t>
  </si>
  <si>
    <t>RvtCode_ngaDigitalTopoData5</t>
  </si>
  <si>
    <t>ngaDigitalVertObstruction</t>
  </si>
  <si>
    <t>DVOF</t>
  </si>
  <si>
    <t>NGA Digital Vertical Obstruction File.</t>
  </si>
  <si>
    <t>RvtCode_ngaDigitalVertObstruction</t>
  </si>
  <si>
    <t>electronicNavChart</t>
  </si>
  <si>
    <t>ENC</t>
  </si>
  <si>
    <t>Electronic Navigation Chart (IHO S-57)</t>
  </si>
  <si>
    <t>RvtCode_electronicNavChart</t>
  </si>
  <si>
    <t>ngaFoundationFeatureData</t>
  </si>
  <si>
    <t>FFD</t>
  </si>
  <si>
    <t>NGA Foundation Feature Data.</t>
  </si>
  <si>
    <t>RvtCode_ngaFoundationFeatureData</t>
  </si>
  <si>
    <t>ngaFfdWithRtad</t>
  </si>
  <si>
    <t>FFD with RTAD</t>
  </si>
  <si>
    <t>NGA Foundation Feature Data with Relocatable Target Assessment Data.</t>
  </si>
  <si>
    <t>RvtCode_ngaFfdWithRtad</t>
  </si>
  <si>
    <t>foreignNamesCommittee</t>
  </si>
  <si>
    <t>Foreign Names Committee</t>
  </si>
  <si>
    <t>Foreign Names Committee (FNC) of the U.S. Board on Geographic Names (BGN).</t>
  </si>
  <si>
    <t>RvtCode_foreignNamesCommittee</t>
  </si>
  <si>
    <t>formoSat2</t>
  </si>
  <si>
    <t>FORMOSAT-2</t>
  </si>
  <si>
    <t>Imagery collected by the FORMOSAT-2 (also known as ROCSAT-2) satellite (NSPO, Taiwan).</t>
  </si>
  <si>
    <t>RvtCode_formoSat2</t>
  </si>
  <si>
    <t>frenchDefenseSensor</t>
  </si>
  <si>
    <t>French Defense Sensor</t>
  </si>
  <si>
    <t>Data provided by a French military Sensor.</t>
  </si>
  <si>
    <t>RvtCode_frenchDefenseSensor</t>
  </si>
  <si>
    <t>frenchHRVectorDataVMap2i</t>
  </si>
  <si>
    <t>French HR Vector Data (VMap2i)</t>
  </si>
  <si>
    <t>Vector Map level 2i product data (France).</t>
  </si>
  <si>
    <t>RvtCode_frenchHRVectorDataVMap2i</t>
  </si>
  <si>
    <t>frenchImageProduct</t>
  </si>
  <si>
    <t>French Image Product</t>
  </si>
  <si>
    <t>Imagery produced by France.</t>
  </si>
  <si>
    <t>RvtCode_frenchImageProduct</t>
  </si>
  <si>
    <t>frOrthoLvl2GeoBaseDefense</t>
  </si>
  <si>
    <t>French Orthoimage Level 2 GeoBase Defense</t>
  </si>
  <si>
    <t>Level 2 orthoimage data based on the GeoBase Specification (France).</t>
  </si>
  <si>
    <t>RvtCode_frOrthoLvl2GeoBaseDefense</t>
  </si>
  <si>
    <t>frOrthoLevel2Kheper</t>
  </si>
  <si>
    <t>French Orthoimage Level 2 Kheper</t>
  </si>
  <si>
    <t>Level 2 orthoimage data based on the Kheper Specification (France).</t>
  </si>
  <si>
    <t>RvtCode_frOrthoLevel2Kheper</t>
  </si>
  <si>
    <t>frOrthoLvl2TopoBaseDef</t>
  </si>
  <si>
    <t>French Orthoimage Level 2 TopoBase Defense</t>
  </si>
  <si>
    <t>Level 2 orthoimage data based on the TopoBase Specification (France).</t>
  </si>
  <si>
    <t>RvtCode_frOrthoLvl2TopoBaseDef</t>
  </si>
  <si>
    <t>frOrthoLvl3GeoBaseDefense</t>
  </si>
  <si>
    <t>French Orthoimage Level 3 GeoBase Defense</t>
  </si>
  <si>
    <t>Level 3 orthoimage data based on the Geobase Specification (France).</t>
  </si>
  <si>
    <t>RvtCode_frOrthoLvl3GeoBaseDefense</t>
  </si>
  <si>
    <t>frOrthoUrbanLvlKheper</t>
  </si>
  <si>
    <t>French Orthoimage Urban Level Kheper</t>
  </si>
  <si>
    <t>Urban level orthoimage data based on the Kheper Specification (France).</t>
  </si>
  <si>
    <t>RvtCode_frOrthoUrbanLvlKheper</t>
  </si>
  <si>
    <t>frOrthoUrbLvlTopoBaseDef</t>
  </si>
  <si>
    <t>French Orthoimage Urban Level TopoBase Defense</t>
  </si>
  <si>
    <t>Urban level orthoimage data based on the TopoBase Specification (France).</t>
  </si>
  <si>
    <t>RvtCode_frOrthoUrbLvlTopoBaseDef</t>
  </si>
  <si>
    <t>frenchUrbanCartoKheper</t>
  </si>
  <si>
    <t>French Urban Cartographic Kheper</t>
  </si>
  <si>
    <t>Urban cartographic data based on the Kheper Specification (France).</t>
  </si>
  <si>
    <t>RvtCode_frenchUrbanCartoKheper</t>
  </si>
  <si>
    <t>frenchUrbanCartoTopo</t>
  </si>
  <si>
    <t>French Urban Cartographic Topo</t>
  </si>
  <si>
    <t>Urban cartographic data based on the French Defense Agency Specification (France).</t>
  </si>
  <si>
    <t>RvtCode_frenchUrbanCartoTopo</t>
  </si>
  <si>
    <t>gazetteer</t>
  </si>
  <si>
    <t>Gazetteer</t>
  </si>
  <si>
    <t>Data was provided by a gazeteer source.</t>
  </si>
  <si>
    <t>RvtCode_gazetteer</t>
  </si>
  <si>
    <t>geoEye1</t>
  </si>
  <si>
    <t>GEOEYE-1</t>
  </si>
  <si>
    <t>Imagery collected by the GEOEYE-1 satellite (GeoEye, US).</t>
  </si>
  <si>
    <t>RvtCode_geoEye1</t>
  </si>
  <si>
    <t>ngaGeoNames</t>
  </si>
  <si>
    <t>GeoNames</t>
  </si>
  <si>
    <t>NGA GeoNames.</t>
  </si>
  <si>
    <t>RvtCode_ngaGeoNames</t>
  </si>
  <si>
    <t>gpsBasedFieldCollect</t>
  </si>
  <si>
    <t>GPS</t>
  </si>
  <si>
    <t>GPS-based field-collected open source data.</t>
  </si>
  <si>
    <t>RvtCode_gpsBasedFieldCollect</t>
  </si>
  <si>
    <t>highResCommMonoImage</t>
  </si>
  <si>
    <t>High Resolution Commercial Monoscopic Imagery</t>
  </si>
  <si>
    <t>Commercial monoscopic imagery with a resolution more than 1 metre up to 5 metre.</t>
  </si>
  <si>
    <t>RvtCode_highResCommMonoImage</t>
  </si>
  <si>
    <t>highResCommStereoImage</t>
  </si>
  <si>
    <t>High Resolution Commercial Stereoscopic Imagery</t>
  </si>
  <si>
    <t>Commercial stereoscopic imagery with a resolution more than 1 metre up to 5 metre.</t>
  </si>
  <si>
    <t>RvtCode_highResCommStereoImage</t>
  </si>
  <si>
    <t>highResMonoSarImage</t>
  </si>
  <si>
    <t>High Resolution Monoscopic SAR Imagery</t>
  </si>
  <si>
    <t>Monoscopic SAR imagery with a mean azimuth and ground range resolution (-3dB) of 1 metre up to 5 metres.</t>
  </si>
  <si>
    <t>RvtCode_highResMonoSarImage</t>
  </si>
  <si>
    <t>highResStereoSarImage</t>
  </si>
  <si>
    <t>High Resolution Stereoscopic SAR Imagery</t>
  </si>
  <si>
    <t>(Pseudo-)Stereoscopic SAR imagery with a mean azimuth and ground range resolution (-3dB) of 1 metre up to 5 metres.</t>
  </si>
  <si>
    <t>RvtCode_highResStereoSarImage</t>
  </si>
  <si>
    <t>ngaImageCityMap</t>
  </si>
  <si>
    <t>ICM</t>
  </si>
  <si>
    <t>NGA Image City Map (ICM)</t>
  </si>
  <si>
    <t>RvtCode_ngaImageCityMap</t>
  </si>
  <si>
    <t>ikonosImagery</t>
  </si>
  <si>
    <t>Ikonos Imagery</t>
  </si>
  <si>
    <t>Ikonos imagery of unspecified type and resolution.</t>
  </si>
  <si>
    <t>RvtCode_ikonosImagery</t>
  </si>
  <si>
    <t>ikonosMultiMono</t>
  </si>
  <si>
    <t>Ikonos Multispectral Monoscopic Imagery</t>
  </si>
  <si>
    <t>Ikonos multispectral monoscopic imagery with nominal 4 metre resolution.</t>
  </si>
  <si>
    <t>RvtCode_ikonosMultiMono</t>
  </si>
  <si>
    <t>ikonosMultiStereo</t>
  </si>
  <si>
    <t>Ikonos Multispectral Stereoscopic Imagery</t>
  </si>
  <si>
    <t>Ikonos multispectral stereoscopic imagery with nominal 4 metre resolution.</t>
  </si>
  <si>
    <t>RvtCode_ikonosMultiStereo</t>
  </si>
  <si>
    <t>ikonosPanMono</t>
  </si>
  <si>
    <t>Ikonos Panchromatic Monoscopic Imagery</t>
  </si>
  <si>
    <t>Ikonos panchromatic monoscopic imagery with nominal 1 metre resolution.</t>
  </si>
  <si>
    <t>RvtCode_ikonosPanMono</t>
  </si>
  <si>
    <t>ikonosPanStereo</t>
  </si>
  <si>
    <t>Ikonos Panchromatic Stereoscopic Imagery</t>
  </si>
  <si>
    <t>Ikonos panchromatic stereoscopic imagery with nominal 1 metre resolution.</t>
  </si>
  <si>
    <t>RvtCode_ikonosPanStereo</t>
  </si>
  <si>
    <t>imageryUnspecified</t>
  </si>
  <si>
    <t>Imagery</t>
  </si>
  <si>
    <t>Imagery of unspecified type and resolution.</t>
  </si>
  <si>
    <t>RvtCode_imageryUnspecified</t>
  </si>
  <si>
    <t>ngaInternationalBoundary</t>
  </si>
  <si>
    <t>International Boundaries</t>
  </si>
  <si>
    <t>NGA International Boundaries database.</t>
  </si>
  <si>
    <t>RvtCode_ngaInternationalBoundary</t>
  </si>
  <si>
    <t>ngaInterimTerrainData</t>
  </si>
  <si>
    <t>ITD</t>
  </si>
  <si>
    <t>NGA Interim Terrain Data.</t>
  </si>
  <si>
    <t>RvtCode_ngaInterimTerrainData</t>
  </si>
  <si>
    <t>ngaInterimVectorData</t>
  </si>
  <si>
    <t>IVD</t>
  </si>
  <si>
    <t>NGA Interim Vector Data.</t>
  </si>
  <si>
    <t>RvtCode_ngaInterimVectorData</t>
  </si>
  <si>
    <t>ngaJointOperatGraphic</t>
  </si>
  <si>
    <t>JOG</t>
  </si>
  <si>
    <t>NGA Joint Operational Graphic.</t>
  </si>
  <si>
    <t>RvtCode_ngaJointOperatGraphic</t>
  </si>
  <si>
    <t>kompSat2</t>
  </si>
  <si>
    <t>KOMPSAT-2</t>
  </si>
  <si>
    <t>Imagery collected by the KOMPSAT-2 (also known as ARIRANG-2) satellite (KARI, South Korea).</t>
  </si>
  <si>
    <t>RvtCode_kompSat2</t>
  </si>
  <si>
    <t>ngaGeoLandCover</t>
  </si>
  <si>
    <t>NGA GeoCover or LandCover.</t>
  </si>
  <si>
    <t>RvtCode_ngaGeoLandCover</t>
  </si>
  <si>
    <t>landsatImagery</t>
  </si>
  <si>
    <t>Landsat Imagery</t>
  </si>
  <si>
    <t>Landsat imagery of unspecified type and resolution.</t>
  </si>
  <si>
    <t>RvtCode_landsatImagery</t>
  </si>
  <si>
    <t>lowResCommMonoImage</t>
  </si>
  <si>
    <t>Low Resolution Commercial Monoscopic Imagery</t>
  </si>
  <si>
    <t>Commercial monoscopic imagery with a resolution lower than 15 metre.</t>
  </si>
  <si>
    <t>RvtCode_lowResCommMonoImage</t>
  </si>
  <si>
    <t>lowResCommStereoImage</t>
  </si>
  <si>
    <t>Low Resolution Commercial Stereoscopic Imagery</t>
  </si>
  <si>
    <t>Commercial stereoscopic imagery with a resolution lower than 15 metre.</t>
  </si>
  <si>
    <t>RvtCode_lowResCommStereoImage</t>
  </si>
  <si>
    <t>ngaLittoralWarfareData</t>
  </si>
  <si>
    <t>LWD</t>
  </si>
  <si>
    <t>NGA Littoral Warfare Data.</t>
  </si>
  <si>
    <t>RvtCode_ngaLittoralWarfareData</t>
  </si>
  <si>
    <t>mapOneToHundredK</t>
  </si>
  <si>
    <t>Map 1:100k</t>
  </si>
  <si>
    <t>1:100,000 scale topographic or thematic map.</t>
  </si>
  <si>
    <t>RvtCode_mapOneToHundredK</t>
  </si>
  <si>
    <t>mapOneToTwentyFiveK</t>
  </si>
  <si>
    <t>Map 1:25k</t>
  </si>
  <si>
    <t>1:25,000 scale topographic or thematic map.</t>
  </si>
  <si>
    <t>RvtCode_mapOneToTwentyFiveK</t>
  </si>
  <si>
    <t>mapOneToFiftyK</t>
  </si>
  <si>
    <t>Map 1:50k</t>
  </si>
  <si>
    <t>1:50,000 scale topographic or thematic map.</t>
  </si>
  <si>
    <t>RvtCode_mapOneToFiftyK</t>
  </si>
  <si>
    <t>maritimeChart</t>
  </si>
  <si>
    <t>Maritime Chart</t>
  </si>
  <si>
    <t>Maritime chart.</t>
  </si>
  <si>
    <t>RvtCode_maritimeChart</t>
  </si>
  <si>
    <t>mapChartOrGeodeticData</t>
  </si>
  <si>
    <t>MC&amp;G</t>
  </si>
  <si>
    <t>Mapping, charting and/or geodetic data.</t>
  </si>
  <si>
    <t>RvtCode_mapChartOrGeodeticData</t>
  </si>
  <si>
    <t>ngaMedicalFacilities</t>
  </si>
  <si>
    <t>Medical Facilities</t>
  </si>
  <si>
    <t>NGA GIS medical facilities database.</t>
  </si>
  <si>
    <t>RvtCode_ngaMedicalFacilities</t>
  </si>
  <si>
    <t>mediumResCommMonoImage</t>
  </si>
  <si>
    <t>Medium Resolution Commercial Monoscopic Imagery</t>
  </si>
  <si>
    <t>Commercial monoscopic imagery with a resolution lower than 5 metre.</t>
  </si>
  <si>
    <t>RvtCode_mediumResCommMonoImage</t>
  </si>
  <si>
    <t>mediumResCommStereoImage</t>
  </si>
  <si>
    <t>Medium Resolution Commercial Stereoscopic Imagery</t>
  </si>
  <si>
    <t>Commercial stereoscopic imagery with a resolution lower than 5 metre.</t>
  </si>
  <si>
    <t>RvtCode_mediumResCommStereoImage</t>
  </si>
  <si>
    <t>usModernizedIntegratedDB</t>
  </si>
  <si>
    <t>MIDB</t>
  </si>
  <si>
    <t>(US) Modernized Integrated Data Base.</t>
  </si>
  <si>
    <t>RvtCode_usModernizedIntegratedDB</t>
  </si>
  <si>
    <t>ngaMissionSpecificData1</t>
  </si>
  <si>
    <t>MSD 1</t>
  </si>
  <si>
    <t>NGA Mission Specific Data Level 1.</t>
  </si>
  <si>
    <t>RvtCode_ngaMissionSpecificData1</t>
  </si>
  <si>
    <t>ngaMissionSpecificData2</t>
  </si>
  <si>
    <t>MSD 2</t>
  </si>
  <si>
    <t>NGA Mission Specific Data Level 2.</t>
  </si>
  <si>
    <t>RvtCode_ngaMissionSpecificData2</t>
  </si>
  <si>
    <t>ngaMissionSpecificData3</t>
  </si>
  <si>
    <t>MSD 3</t>
  </si>
  <si>
    <t>NGA Mission Specific Data Level 3.</t>
  </si>
  <si>
    <t>RvtCode_ngaMissionSpecificData3</t>
  </si>
  <si>
    <t>ngaMissionSpecificData4</t>
  </si>
  <si>
    <t>MSD 4</t>
  </si>
  <si>
    <t>NGA Mission Specific Data Level 4.</t>
  </si>
  <si>
    <t>RvtCode_ngaMissionSpecificData4</t>
  </si>
  <si>
    <t>ngaMissionSpecificData5</t>
  </si>
  <si>
    <t>MSD 5</t>
  </si>
  <si>
    <t>NGA Mission Specific Data Level 5.</t>
  </si>
  <si>
    <t>RvtCode_ngaMissionSpecificData5</t>
  </si>
  <si>
    <t>ngaNominalAttTopoEvalMap</t>
  </si>
  <si>
    <t>NATE</t>
  </si>
  <si>
    <t>NGA Nominally Attributed Topographic Evaluation map.</t>
  </si>
  <si>
    <t>RvtCode_ngaNominalAttTopoEvalMap</t>
  </si>
  <si>
    <t>nativeAuthData</t>
  </si>
  <si>
    <t>Native Authoritative Data</t>
  </si>
  <si>
    <t>Native authoritative data (for example: books or periodicals) source.</t>
  </si>
  <si>
    <t>RvtCode_nativeAuthData</t>
  </si>
  <si>
    <t>nativeAuthGraphic</t>
  </si>
  <si>
    <t>Native Authoritative Graphic</t>
  </si>
  <si>
    <t>Native authoritative graphic (for example: a map or chart) source.</t>
  </si>
  <si>
    <t>RvtCode_nativeAuthGraphic</t>
  </si>
  <si>
    <t>nativeCensus</t>
  </si>
  <si>
    <t>Native Census</t>
  </si>
  <si>
    <t>Native census source.</t>
  </si>
  <si>
    <t>RvtCode_nativeCensus</t>
  </si>
  <si>
    <t>nativeData</t>
  </si>
  <si>
    <t>Native Data</t>
  </si>
  <si>
    <t>Native data source.</t>
  </si>
  <si>
    <t>RvtCode_nativeData</t>
  </si>
  <si>
    <t>nativeGazetteer</t>
  </si>
  <si>
    <t>Native Gazetteer</t>
  </si>
  <si>
    <t>Native gazetteer source.</t>
  </si>
  <si>
    <t>RvtCode_nativeGazetteer</t>
  </si>
  <si>
    <t>nativeMap</t>
  </si>
  <si>
    <t>Native Map</t>
  </si>
  <si>
    <t>Native map source.</t>
  </si>
  <si>
    <t>RvtCode_nativeMap</t>
  </si>
  <si>
    <t>nativeNonAuthData</t>
  </si>
  <si>
    <t>Native Non-authoritative Data</t>
  </si>
  <si>
    <t>Native non-authoritative data (for example: books or periodicals) source.</t>
  </si>
  <si>
    <t>RvtCode_nativeNonAuthData</t>
  </si>
  <si>
    <t>nativeNonAuthGraphic</t>
  </si>
  <si>
    <t>Native Non-authoritative Graphic</t>
  </si>
  <si>
    <t>Native non-authoritative graphic (for example: a map or chart) source.</t>
  </si>
  <si>
    <t>RvtCode_nativeNonAuthGraphic</t>
  </si>
  <si>
    <t>navteqData</t>
  </si>
  <si>
    <t>NAVTEQ Data</t>
  </si>
  <si>
    <t>NAVTEQ road data.</t>
  </si>
  <si>
    <t>RvtCode_navteqData</t>
  </si>
  <si>
    <t>usNtmImagery</t>
  </si>
  <si>
    <t>NTM Imagery</t>
  </si>
  <si>
    <t>Imagery from (US) National Technical Means (NTM).</t>
  </si>
  <si>
    <t>RvtCode_usNtmImagery</t>
  </si>
  <si>
    <t>orbimageImagery</t>
  </si>
  <si>
    <t>ORBIMAGE Imagery</t>
  </si>
  <si>
    <t>ORBIMAGE imagery of unspecified type and resolution.</t>
  </si>
  <si>
    <t>RvtCode_orbimageImagery</t>
  </si>
  <si>
    <t>orbView3</t>
  </si>
  <si>
    <t>ORBVIEW3</t>
  </si>
  <si>
    <t>Imagery collected by ORBVIEW3 satellite (GeoEye, US), until April 2007.</t>
  </si>
  <si>
    <t>RvtCode_orbView3</t>
  </si>
  <si>
    <t>ngaPlanningGraphic</t>
  </si>
  <si>
    <t>Planning Graphic</t>
  </si>
  <si>
    <t>NGA Planning Graphic.</t>
  </si>
  <si>
    <t>RvtCode_ngaPlanningGraphic</t>
  </si>
  <si>
    <t>pleiadesHR1</t>
  </si>
  <si>
    <t>PLEIADES-HR1</t>
  </si>
  <si>
    <t>Imagery collected by the PLEIADES-HR1 satellite (CNES, France).</t>
  </si>
  <si>
    <t>RvtCode_pleiadesHR1</t>
  </si>
  <si>
    <t>pleiadesHR2</t>
  </si>
  <si>
    <t>PLEIADES-HR2</t>
  </si>
  <si>
    <t>Imagery collected by the PLEIADES-HR2 satellite (CNES, France).</t>
  </si>
  <si>
    <t>RvtCode_pleiadesHR2</t>
  </si>
  <si>
    <t>quickBirdImagery</t>
  </si>
  <si>
    <t>QuickBird Imagery</t>
  </si>
  <si>
    <t>QuickBird imagery of unspecified type and resolution.</t>
  </si>
  <si>
    <t>RvtCode_quickBirdImagery</t>
  </si>
  <si>
    <t>quickBirdMultiMono</t>
  </si>
  <si>
    <t>QuickBird Multispectral Monoscopic Imagery</t>
  </si>
  <si>
    <t>QuickBird multispectral monoscopic imagery with nominal 2.44 metre resolution.</t>
  </si>
  <si>
    <t>RvtCode_quickBirdMultiMono</t>
  </si>
  <si>
    <t>quickBirdMultiStereo</t>
  </si>
  <si>
    <t>QuickBird Multispectral Stereoscopic Imagery</t>
  </si>
  <si>
    <t>QuickBird multispectral stereoscopic imagery with nominal 2.44 metre resolution.</t>
  </si>
  <si>
    <t>RvtCode_quickBirdMultiStereo</t>
  </si>
  <si>
    <t>quickBirdPanMono</t>
  </si>
  <si>
    <t>QuickBird Panchromatic Monoscopic Imagery</t>
  </si>
  <si>
    <t>QuickBird panchromatic monoscopic imagery with nominal 60 centimetre resolution.</t>
  </si>
  <si>
    <t>RvtCode_quickBirdPanMono</t>
  </si>
  <si>
    <t>quickBirdPanStereo</t>
  </si>
  <si>
    <t>QuickBird Panchromatic Stereoscopic Imagery</t>
  </si>
  <si>
    <t>QuickBird panchromatic stereoscopic imagery with nominal 60 centimetre resolution.</t>
  </si>
  <si>
    <t>RvtCode_quickBirdPanStereo</t>
  </si>
  <si>
    <t>rapidEye</t>
  </si>
  <si>
    <t>RAPIDEYE</t>
  </si>
  <si>
    <t>Imagery collected by the RAPIDEYE five-satellite constellation (MDA, Canada).</t>
  </si>
  <si>
    <t>RvtCode_rapidEye</t>
  </si>
  <si>
    <t>routingData</t>
  </si>
  <si>
    <t>Routing Data</t>
  </si>
  <si>
    <t>Routing data for navigation on roads.</t>
  </si>
  <si>
    <t>For example, distributed by NAVTEQ or Teleatlas.</t>
  </si>
  <si>
    <t>RvtCode_routingData</t>
  </si>
  <si>
    <t>siteMap</t>
  </si>
  <si>
    <t>Site Map</t>
  </si>
  <si>
    <t>Site map (for example: at a nuclear facility).</t>
  </si>
  <si>
    <t>RvtCode_siteMap</t>
  </si>
  <si>
    <t>spot10mImagery</t>
  </si>
  <si>
    <t>SPOT 10m Imagery</t>
  </si>
  <si>
    <t>SPOT 4 imagery of unspecified type with nominal 10 metre resolution.</t>
  </si>
  <si>
    <t>RvtCode_spot10mImagery</t>
  </si>
  <si>
    <t>spot10mMultiMono</t>
  </si>
  <si>
    <t>SPOT 10m Multispectral Monoscopic Imagery</t>
  </si>
  <si>
    <t>SPOT 5 High Resolution Geometric (HRG) 'XI' multispectral mode imagery with nominal 10 metre resolution.</t>
  </si>
  <si>
    <t>RvtCode_spot10mMultiMono</t>
  </si>
  <si>
    <t>spot2r5mMultiMono</t>
  </si>
  <si>
    <t>SPOT 2.5m Multispectral Monoscopic Imagery</t>
  </si>
  <si>
    <t>SPOT 5: High Resolution Geometric (HRG) THX 'supermode' multispectral imagery with nominal 2.5 metre resolution.</t>
  </si>
  <si>
    <t>RvtCode_spot2r5mMultiMono</t>
  </si>
  <si>
    <t>spot2r5mPanMono</t>
  </si>
  <si>
    <t>SPOT 2.5m Panchromatic Monoscopic Imagery</t>
  </si>
  <si>
    <t>SPOT 5: High Resolution Geometric (HRG) THR 'supermode' imagery with nominal 2.5 metre resolution.</t>
  </si>
  <si>
    <t>RvtCode_spot2r5mPanMono</t>
  </si>
  <si>
    <t>spot5mHrsDigTerModel</t>
  </si>
  <si>
    <t>SPOT 5m HRS Digital Terrain Model</t>
  </si>
  <si>
    <t>SPOT 5 High Resolution Geometric (HRG) Digital Terrain Model (DTM) with nominal 5 metre resolution.</t>
  </si>
  <si>
    <t>RvtCode_spot5mHrsDigTerModel</t>
  </si>
  <si>
    <t>spot5mImagery</t>
  </si>
  <si>
    <t>SPOT 5m Imagery</t>
  </si>
  <si>
    <t>SPOT 5 imagery of unspecified type with nominal 5 metre resolution.</t>
  </si>
  <si>
    <t>RvtCode_spot5mImagery</t>
  </si>
  <si>
    <t>spot5mMonoImagery</t>
  </si>
  <si>
    <t>SPOT 5m Monoscopic Imagery</t>
  </si>
  <si>
    <t>SPOT 5: High Resolution Geometric (HRG) M imagery with nominal 5 metre resolution.</t>
  </si>
  <si>
    <t>RvtCode_spot5mMonoImagery</t>
  </si>
  <si>
    <t>spot5mMultiMono</t>
  </si>
  <si>
    <t>SPOT 5m Multispectral Monoscopic Imagery</t>
  </si>
  <si>
    <t>SPOT 5 multispectral monoscopic imagery with nominal 5 metre resolution.</t>
  </si>
  <si>
    <t>RvtCode_spot5mMultiMono</t>
  </si>
  <si>
    <t>spot5mMultiStereo</t>
  </si>
  <si>
    <t>SPOT 5m Multispectral Stereoscopic Imagery</t>
  </si>
  <si>
    <t>SPOT 5 multispectral stereoscopic imagery with nominal 5 metre resolution.</t>
  </si>
  <si>
    <t>RvtCode_spot5mMultiStereo</t>
  </si>
  <si>
    <t>spot5mPanMono</t>
  </si>
  <si>
    <t>SPOT 5m Panchromatic Monoscopic Imagery</t>
  </si>
  <si>
    <t>SPOT 5 panchromatic monoscopic imagery with nominal 5 metre resolution.</t>
  </si>
  <si>
    <t>RvtCode_spot5mPanMono</t>
  </si>
  <si>
    <t>spot5mPanStereo</t>
  </si>
  <si>
    <t>SPOT 5m Panchromatic Stereoscopic Imagery</t>
  </si>
  <si>
    <t>SPOT 5 panchromatic stereoscopic imagery with nominal 5 metre resolution.</t>
  </si>
  <si>
    <t>RvtCode_spot5mPanStereo</t>
  </si>
  <si>
    <t>spot5mStereoImagery</t>
  </si>
  <si>
    <t>SPOT 5m Stereoscopic Imagery</t>
  </si>
  <si>
    <t>SPOT 5 High Resolution Stereoscopic (HRS) imagery with nominal 5 metre resolution.</t>
  </si>
  <si>
    <t>RvtCode_spot5mStereoImagery</t>
  </si>
  <si>
    <t>spotHrgDtm</t>
  </si>
  <si>
    <t>SPOT HRG Digital Terrain Model</t>
  </si>
  <si>
    <t>SPOT 5 High Resolution Geometric (HRG) Digital Terrain Model (DTM) of unspecified resolution.</t>
  </si>
  <si>
    <t>RvtCode_spotHrgDtm</t>
  </si>
  <si>
    <t>usShuttleRadarTopoMission</t>
  </si>
  <si>
    <t>SRTM</t>
  </si>
  <si>
    <t>(US) Shuttle Radar Topographic Mission.</t>
  </si>
  <si>
    <t>RvtCode_usShuttleRadarTopoMission</t>
  </si>
  <si>
    <t>stadtkarte</t>
  </si>
  <si>
    <t>Stadtkarte</t>
  </si>
  <si>
    <t>1:25,000 or higher scale thematic city map.</t>
  </si>
  <si>
    <t>RvtCode_stadtkarte</t>
  </si>
  <si>
    <t>terraSarXStripMap</t>
  </si>
  <si>
    <t>TERRASAR -X Strip Map</t>
  </si>
  <si>
    <t>Imagery collected by the TERRASAR-X satellite (GAC, Germany) in Strip Map mode : the satellite sweeps a corridor with a width of 30 kilometres and a maximum length of 1,500 km. The resolution is 3 metres.</t>
  </si>
  <si>
    <t>RvtCode_terraSarXStripMap</t>
  </si>
  <si>
    <t>terraSarXScanSar</t>
  </si>
  <si>
    <t>TERRASAR-X Scan SAR</t>
  </si>
  <si>
    <t>Imagery collected by the TERRASAR-X satellite (GAC, Germany) in scan SAR (Synthetic Aperture Radar) mode : a corridor with a width of 100 kilometres and a maximum length of 1,500 kilometres is swept with a resolution of 16 metres.</t>
  </si>
  <si>
    <t>RvtCode_terraSarXScanSar</t>
  </si>
  <si>
    <t>ngaTopographicLineMap</t>
  </si>
  <si>
    <t>NGA Topographic Line Map.</t>
  </si>
  <si>
    <t>RvtCode_ngaTopographicLineMap</t>
  </si>
  <si>
    <t>ngaTacticalOceanData0</t>
  </si>
  <si>
    <t>TOD 0</t>
  </si>
  <si>
    <t>NGA Tactical Oceanographic Data Level 0.</t>
  </si>
  <si>
    <t>RvtCode_ngaTacticalOceanData0</t>
  </si>
  <si>
    <t>ngaTacticalOceanData1</t>
  </si>
  <si>
    <t>TOD 1</t>
  </si>
  <si>
    <t>NGA Tactical Oceanographic Data Level 1.</t>
  </si>
  <si>
    <t>RvtCode_ngaTacticalOceanData1</t>
  </si>
  <si>
    <t>ngaTacticalOceanData2</t>
  </si>
  <si>
    <t>TOD 2</t>
  </si>
  <si>
    <t>NGA Tactical Oceanographic Data Level 2.</t>
  </si>
  <si>
    <t>RvtCode_ngaTacticalOceanData2</t>
  </si>
  <si>
    <t>ngaTacticalOceanData3</t>
  </si>
  <si>
    <t>TOD 3</t>
  </si>
  <si>
    <t>NGA Tactical Oceanographic Data Level 3.</t>
  </si>
  <si>
    <t>RvtCode_ngaTacticalOceanData3</t>
  </si>
  <si>
    <t>ngaTacticalOceanData4</t>
  </si>
  <si>
    <t>TOD 4</t>
  </si>
  <si>
    <t>NGA Tactical Oceanographic Data Level 4.</t>
  </si>
  <si>
    <t>RvtCode_ngaTacticalOceanData4</t>
  </si>
  <si>
    <t>ngaTacticalOceanData5</t>
  </si>
  <si>
    <t>TOD 5</t>
  </si>
  <si>
    <t>NGA Tactical Oceanographic Data Level 5.</t>
  </si>
  <si>
    <t>RvtCode_ngaTacticalOceanData5</t>
  </si>
  <si>
    <t>unitedNationsData</t>
  </si>
  <si>
    <t>UN Data</t>
  </si>
  <si>
    <t>United Nations data.</t>
  </si>
  <si>
    <t>RvtCode_unitedNationsData</t>
  </si>
  <si>
    <t>ngaUrbanVectorMap</t>
  </si>
  <si>
    <t>UVMap</t>
  </si>
  <si>
    <t>NGA Urban Vector Map.</t>
  </si>
  <si>
    <t>RvtCode_ngaUrbanVectorMap</t>
  </si>
  <si>
    <t>vectorData</t>
  </si>
  <si>
    <t>Vector Data</t>
  </si>
  <si>
    <t>Vector data of unspecified scale.</t>
  </si>
  <si>
    <t>RvtCode_vectorData</t>
  </si>
  <si>
    <t>veryHighResCommMonoImage</t>
  </si>
  <si>
    <t>Very High Resolution Commercial Monoscopic Imagery</t>
  </si>
  <si>
    <t>Commercial monoscopic imagery with a resolution equal or better than 1 metre.</t>
  </si>
  <si>
    <t>RvtCode_veryHighResCommMonoImage</t>
  </si>
  <si>
    <t>veryHighResCommStereoImage</t>
  </si>
  <si>
    <t>Very High Resolution Commercial Stereoscopic Imagery</t>
  </si>
  <si>
    <t>Commercial stereoscopic imagery with a resolution equal or better than 1 metre.</t>
  </si>
  <si>
    <t>RvtCode_veryHighResCommStereoImage</t>
  </si>
  <si>
    <t>veryHighResMonoSarImage</t>
  </si>
  <si>
    <t>Very High Resolution Monoscopic SAR Imagary</t>
  </si>
  <si>
    <t>Monoscopic SAR imagery with a mean azimuth and ground range resolution (-3dB) equal or better than 1 metre.</t>
  </si>
  <si>
    <t>RvtCode_veryHighResMonoSarImage</t>
  </si>
  <si>
    <t>veryHighResStereoSarImage</t>
  </si>
  <si>
    <t>Very High Resolution Stereoscopic SAR Imagery</t>
  </si>
  <si>
    <t>(Pseudo-)Stereoscopic SAR imagery with a mean azimuth and ground range resolution (-3dB) equal or better than 1 metre.</t>
  </si>
  <si>
    <t>RvtCode_veryHighResStereoSarImage</t>
  </si>
  <si>
    <t>ngaVectorInterimTerrain</t>
  </si>
  <si>
    <t>VITD</t>
  </si>
  <si>
    <t>NGA Vector Interim Terrain Data.</t>
  </si>
  <si>
    <t>RvtCode_ngaVectorInterimTerrain</t>
  </si>
  <si>
    <t>ngaVectorMap0</t>
  </si>
  <si>
    <t>VMap 0</t>
  </si>
  <si>
    <t>NGA Vector Map Level 0.</t>
  </si>
  <si>
    <t>RvtCode_ngaVectorMap0</t>
  </si>
  <si>
    <t>ngaVectorMap1</t>
  </si>
  <si>
    <t>VMap 1</t>
  </si>
  <si>
    <t>NGA Vector Map Level 1.</t>
  </si>
  <si>
    <t>RvtCode_ngaVectorMap1</t>
  </si>
  <si>
    <t>ngaVectorMap2</t>
  </si>
  <si>
    <t>VMap 2</t>
  </si>
  <si>
    <t>NGA Vector Map Level 2.</t>
  </si>
  <si>
    <t>RvtCode_ngaVectorMap2</t>
  </si>
  <si>
    <t>worldWideWeb</t>
  </si>
  <si>
    <t>World Wide Web</t>
  </si>
  <si>
    <t>The source is the World Wide Web.</t>
  </si>
  <si>
    <t>RvtCode_worldWideWeb</t>
  </si>
  <si>
    <t>worldView1</t>
  </si>
  <si>
    <t>WORLDVIEW-1</t>
  </si>
  <si>
    <t>Imagery collected by the WORLDVIEW-1 satellite (DigitalGlobe, US).</t>
  </si>
  <si>
    <t>RvtCode_worldView1</t>
  </si>
  <si>
    <t>worldView2</t>
  </si>
  <si>
    <t>WORLDVIEW-2</t>
  </si>
  <si>
    <t>Imagery collected by the WORLDVIEW-2 satellite (DigitalGlobe, US).</t>
  </si>
  <si>
    <t>RvtCode_worldView2</t>
  </si>
  <si>
    <t>ngaWorldVectorShorePlus</t>
  </si>
  <si>
    <t>WVS Plus</t>
  </si>
  <si>
    <t>NGA World Vector Shoreline Plus.</t>
  </si>
  <si>
    <t>RvtCode_ngaWorldVectorShorePlus</t>
  </si>
  <si>
    <t>AcrCode_accurate</t>
  </si>
  <si>
    <t>AcrCode_approximate</t>
  </si>
  <si>
    <t>ShrCode_buildingRubble</t>
  </si>
  <si>
    <t>ShrCode_erosionRubble</t>
  </si>
  <si>
    <t>ShrCode_mangrove</t>
  </si>
  <si>
    <t>ShrCode_marshy</t>
  </si>
  <si>
    <t>ShrCode_sandy</t>
  </si>
  <si>
    <t>ShrCode_shingly</t>
  </si>
  <si>
    <t>ShrCode_stony</t>
  </si>
  <si>
    <t>cloverleaf</t>
  </si>
  <si>
    <t>Cloverleaf</t>
  </si>
  <si>
    <t>Consists of two roads crossing at separate vertical levels and a set of eight radially symmetric ramps for traffic to flow without stopping from either direction on either road to either direction on the other road, with the four inner ramps arranged in the shape of a cloverleaf.</t>
  </si>
  <si>
    <t>RitCode_cloverleaf</t>
  </si>
  <si>
    <t>Consists of two roads crossing at separate vertical levels and a set of four radially symmetric ramps for traffic to flow from either direction on one road to a stopping location from which a turn in either direction on the other road may be made, with the four ramps arranged in the shape of a diamond.</t>
  </si>
  <si>
    <t>RitCode_diamond</t>
  </si>
  <si>
    <t>fork</t>
  </si>
  <si>
    <t>Fork</t>
  </si>
  <si>
    <t>Consists of a road where a second road originates and diverges and an overpass and ramps allow traffic to flow without stopping between the originating road and the diverging road, with traffic flow not allowed between the diverging roads.</t>
  </si>
  <si>
    <t>RitCode_fork</t>
  </si>
  <si>
    <t>rotary</t>
  </si>
  <si>
    <t>Rotary</t>
  </si>
  <si>
    <t>Consists of two roads crossing at separate vertical levels and a set of four radially symmetric ramps joined to a circular ramp at a lower vertical level for traffic to flow without stopping from either direction on either road to either direction on the other road.</t>
  </si>
  <si>
    <t>Traffic Circle, Roundabout</t>
  </si>
  <si>
    <t>RitCode_rotary</t>
  </si>
  <si>
    <t>A thoroughfare junction at which traffic moves in one direction round a central island.</t>
  </si>
  <si>
    <t>RitCode_roundabout</t>
  </si>
  <si>
    <t>staggeredRamps</t>
  </si>
  <si>
    <t>Staggered Ramps</t>
  </si>
  <si>
    <t>Consists of two roads crossing at separate vertical levels and a set of four radially symmetric paired ramps for traffic to flow in either direction on one road to stopping locations from which a turn in either direction on the other road may be made.</t>
  </si>
  <si>
    <t>RitCode_staggeredRamps</t>
  </si>
  <si>
    <t>standardRamps</t>
  </si>
  <si>
    <t>Standard Ramps</t>
  </si>
  <si>
    <t>Consists of a set of ramps, and possibly overpass, allowing traffic to flow with limited or no restrictions between two crossing or meeting roads.</t>
  </si>
  <si>
    <t>RitCode_standardRamps</t>
  </si>
  <si>
    <t>symmetricalRamps</t>
  </si>
  <si>
    <t>Symmetrical Ramps</t>
  </si>
  <si>
    <t>Consists of two roads crossing at separate vertical levels and a set of four paired ramps for traffic to flow from either direction on one road to stopping locations from which a turn in either direction on the other road may be made.</t>
  </si>
  <si>
    <t>RitCode_symmetricalRamps</t>
  </si>
  <si>
    <t>trumpet</t>
  </si>
  <si>
    <t>Trumpet</t>
  </si>
  <si>
    <t>Consists of a road where a second road originates and four ramps and an overpass allow traffic to flow without stopping from either direction on either road to either direction on the other road.</t>
  </si>
  <si>
    <t>RitCode_trumpet</t>
  </si>
  <si>
    <t>turban</t>
  </si>
  <si>
    <t>Turban</t>
  </si>
  <si>
    <t>Consists of two roads crossing at an angle at separate vertical levels and a set of four radially symmetric ramps and two overpass for traffic to flow without stopping from either direction on the upper road to either direction on the lower road and with ramps from the lower road only provided for traffic to flow from either direction to only two of the four directions on the upper road.</t>
  </si>
  <si>
    <t>RitCode_turban</t>
  </si>
  <si>
    <t>wye</t>
  </si>
  <si>
    <t>Wye</t>
  </si>
  <si>
    <t>Consists of three roads meeting at the same vertical level and a set of six ramps and associated (typically three) overpass for traffic to flow without stopping from either direction on either road to either direction on another road.</t>
  </si>
  <si>
    <t>RitCode_wye</t>
  </si>
  <si>
    <t>allWeather</t>
  </si>
  <si>
    <t>All-weather</t>
  </si>
  <si>
    <t>Suitable for use regardless of the weather.</t>
  </si>
  <si>
    <t>It usually has the following characteristics: (1) With reasonable maintenance, passable throughout the year to a volume of traffic never appreciably less than its maximum capacity. (2) Normally having a waterproof surface and only slightly affected by rain, frost, thaw, or heat. (3) Never closed because of weather effects other than snow or flood blockage. For example, NATO class 'X'.</t>
  </si>
  <si>
    <t>WtcCode_allWeather</t>
  </si>
  <si>
    <t>closedInWinter</t>
  </si>
  <si>
    <t>Closed in Winter</t>
  </si>
  <si>
    <t>Suitable for use other than during the winter season, when it is closed.</t>
  </si>
  <si>
    <t>For example, regular plowing, salting, and/or sanding may not take place during the winter season.</t>
  </si>
  <si>
    <t>WtcCode_closedInWinter</t>
  </si>
  <si>
    <t>fairWeather</t>
  </si>
  <si>
    <t>Fair-weather</t>
  </si>
  <si>
    <t>Under fair conditions only.</t>
  </si>
  <si>
    <t>It usually has the following characteristics: (1) Passable only in fair and dry weather. (2) So seriously affected by adverse conditions that the road may remain closed for long periods. (3) Improvement of such a road can only be achieved by construction or realignment. For example, NATO class 'Z'.</t>
  </si>
  <si>
    <t>WtcCode_fairWeather</t>
  </si>
  <si>
    <t>limitedAllWeather</t>
  </si>
  <si>
    <t>Limited All-weather</t>
  </si>
  <si>
    <t>All-weather, however may have limited traffic due to weather.</t>
  </si>
  <si>
    <t>It usually has the following characteristics: (1) With reasonable maintenance, passable throughout the year but at times the volume of traffic is considerably less than maximum capacity. (2) Normally not having a waterproof surface and considerably affected by rain, frost, thaw, or heat. (3) Closed for short periods of up to one day at a time by adverse weather conditions during which heavy use of the road would probably lead to collapse. For example, NATO class 'Y'.</t>
  </si>
  <si>
    <t>WtcCode_limitedAllWeather</t>
  </si>
  <si>
    <t>winterOnly</t>
  </si>
  <si>
    <t>Winter Only</t>
  </si>
  <si>
    <t>Under winter season conditions only.</t>
  </si>
  <si>
    <t>For example, the road may cross a waterbody and therefore is nonoperational until a sufficiently thick layer of ice has formed.</t>
  </si>
  <si>
    <t>WtcCode_winterOnly</t>
  </si>
  <si>
    <t>columnar</t>
  </si>
  <si>
    <t>Columnar</t>
  </si>
  <si>
    <t>In tabular bodies of igneous rock, a pattern of jointing produced because of contraction during cooling and characterized by the division of rocks into long, parallel prisms or pillars.</t>
  </si>
  <si>
    <t>RkfCode_columnar</t>
  </si>
  <si>
    <t>fossilizedForest</t>
  </si>
  <si>
    <t>Fossilized Forest</t>
  </si>
  <si>
    <t>A forest that has been buried and fossilized by geologic processes and is now re-exposed at the Earth's surface.</t>
  </si>
  <si>
    <t>Petrified Forest</t>
  </si>
  <si>
    <t>RkfCode_fossilizedForest</t>
  </si>
  <si>
    <t>needle</t>
  </si>
  <si>
    <t>Needle</t>
  </si>
  <si>
    <t>A pointed, elevated, detached needle-like mass of rock formed by erosion.</t>
  </si>
  <si>
    <t>RkfCode_needle</t>
  </si>
  <si>
    <t>pinnacle</t>
  </si>
  <si>
    <t>Pinnacle</t>
  </si>
  <si>
    <t>A high, tapering, or pointed tower, pinnacle or spire-shaped pillar of rock.</t>
  </si>
  <si>
    <t>May be either isolated, as on steep slopes or cliffs formed in karst or other massive rocks, or located at the summit of a hill or mountain.</t>
  </si>
  <si>
    <t>RkfCode_pinnacle</t>
  </si>
  <si>
    <t>acidicIgneous</t>
  </si>
  <si>
    <t>Acidic Igneous</t>
  </si>
  <si>
    <t>An igneous rock having silica content over 65 percent by weight.</t>
  </si>
  <si>
    <t>For example, granite.</t>
  </si>
  <si>
    <t>StoCode_acidicIgneous</t>
  </si>
  <si>
    <t>amphibolite</t>
  </si>
  <si>
    <t>Amphibolite</t>
  </si>
  <si>
    <t>A dark coloured metamorphic rock, consisting mainly of amphibole and plagioclase.</t>
  </si>
  <si>
    <t>StoCode_amphibolite</t>
  </si>
  <si>
    <t>andesite</t>
  </si>
  <si>
    <t>Andesite</t>
  </si>
  <si>
    <t>A fine-grained, intermediate volcanic rock, consisting of plagioclase.</t>
  </si>
  <si>
    <t>StoCode_andesite</t>
  </si>
  <si>
    <t>A chemical sedimentary rock, composed mainly of coarsely to fine crystalline gypsum, as a result of evaporation of saline waters or dehydration of gypsum.</t>
  </si>
  <si>
    <t>StoCode_anhydrite</t>
  </si>
  <si>
    <t>arenites</t>
  </si>
  <si>
    <t>Arenites</t>
  </si>
  <si>
    <t>A sandstone, main grain size (0.063 - 2 millimetres in diameter), containing less than 15 percent by volume fine-grained matrix (silt and/or clay).</t>
  </si>
  <si>
    <t>StoCode_arenites</t>
  </si>
  <si>
    <t>arkose</t>
  </si>
  <si>
    <t>Arkose</t>
  </si>
  <si>
    <t>A sandstone that contains quartz and more than 25 percent by volume of feldspar.</t>
  </si>
  <si>
    <t>StoCode_arkose</t>
  </si>
  <si>
    <t>A dark-coloured, fine-grained, basic volcanic rock, consisting of plagioclase, pyroxene and magnetite.</t>
  </si>
  <si>
    <t>StoCode_basalt</t>
  </si>
  <si>
    <t>basicIgneous</t>
  </si>
  <si>
    <t>Basic Igneous</t>
  </si>
  <si>
    <t>An igneous rock having silica content between 45 to 52 percent by weight.</t>
  </si>
  <si>
    <t>For example, basalt.</t>
  </si>
  <si>
    <t>StoCode_basicIgneous</t>
  </si>
  <si>
    <t>A rock composed of a mixture of various hydrous aluminum oxides and hydroxides and formed in tropical and subtropical environment by weathering of aluminium-bearing rocks.</t>
  </si>
  <si>
    <t>StoCode_bauxite</t>
  </si>
  <si>
    <t>A sedimentary rock characterized by, or resulting directly or indirectly from, the chemical processes and activities of living organisms.</t>
  </si>
  <si>
    <t>For example: limestone, phosphorite.</t>
  </si>
  <si>
    <t>StoCode_biochemical</t>
  </si>
  <si>
    <t>carbonaceous</t>
  </si>
  <si>
    <t>Carbonaceous</t>
  </si>
  <si>
    <t>A sedimentary rock with a significant content of carbon, derived from altered organic material.</t>
  </si>
  <si>
    <t>For example, anthracite and bituminous coal.</t>
  </si>
  <si>
    <t>StoCode_carbonaceous</t>
  </si>
  <si>
    <t>carbonate</t>
  </si>
  <si>
    <t>Carbonate</t>
  </si>
  <si>
    <t>A chemical sedimentary rock consisting of carbonate minerals.</t>
  </si>
  <si>
    <t>For example: limestone, dolomite.</t>
  </si>
  <si>
    <t>StoCode_carbonate</t>
  </si>
  <si>
    <t>A sedimentary rock composed primarily of material formed direct by precipitation from solution or evaporation or by deposition of insoluble precipitates.</t>
  </si>
  <si>
    <t>For example: rock salt, chert.</t>
  </si>
  <si>
    <t>StoCode_chemical</t>
  </si>
  <si>
    <t>chert</t>
  </si>
  <si>
    <t>Chert</t>
  </si>
  <si>
    <t>A sedimentary rock, which represents a variety of quartz made up solely of microscopic crystals.</t>
  </si>
  <si>
    <t>For example: opal, chalcedony.</t>
  </si>
  <si>
    <t>StoCode_chert</t>
  </si>
  <si>
    <t>clastic</t>
  </si>
  <si>
    <t>Clastic</t>
  </si>
  <si>
    <t>A sediment or sedimentary rock composed of fragments of pre-existing rocks (clasts).</t>
  </si>
  <si>
    <t>Consolidated clastic rocks include conglomerates, sandstones and shales.</t>
  </si>
  <si>
    <t>StoCode_clastic</t>
  </si>
  <si>
    <t>A coarse-grained sedimentary rock with rounded clasts that are greater than 2 millimetres in diameter.</t>
  </si>
  <si>
    <t>StoCode_conglomerate</t>
  </si>
  <si>
    <t>dacite</t>
  </si>
  <si>
    <t>Dacite</t>
  </si>
  <si>
    <t>A light-coloured, fine-grained felsic plutonic rock, consisting of plagioclase, alkali feldspar, quartz, biotite and hornblende.</t>
  </si>
  <si>
    <t>StoCode_dacite</t>
  </si>
  <si>
    <t>diabaseorDolerite</t>
  </si>
  <si>
    <t>Diabase or Dolerite</t>
  </si>
  <si>
    <t>A dark grey, medium grained, mafic intrusive rock, mainly composed of plagioclase, pyroxene and opaque minerals.</t>
  </si>
  <si>
    <t>StoCode_diabaseorDolerite</t>
  </si>
  <si>
    <t>diorite</t>
  </si>
  <si>
    <t>Diorite</t>
  </si>
  <si>
    <t>A coarse-grained intermediate plutonic rock, consisting of plagioclase, pyroxene or hornblende and quartz.</t>
  </si>
  <si>
    <t>StoCode_diorite</t>
  </si>
  <si>
    <t>A carbonate sedimentary rock of which more than 50 percent by weight or by areal percentages under the microscope consists of the mineral dolomite (calcium magnesium carbonate).</t>
  </si>
  <si>
    <t>StoCode_dolomite</t>
  </si>
  <si>
    <t>evaporite</t>
  </si>
  <si>
    <t>Evaporite</t>
  </si>
  <si>
    <t>A sedimentary rock composed primarily of minerals produced from a saline solution as a result of extensive or total evaporation of the solvent.</t>
  </si>
  <si>
    <t>For example: gypsum, anhydrite, or halite.</t>
  </si>
  <si>
    <t>StoCode_evaporite</t>
  </si>
  <si>
    <t>feldspathoidBearing</t>
  </si>
  <si>
    <t>Feldspathoid-bearing</t>
  </si>
  <si>
    <t>A plutonic rock with feldspathoid mineral content.</t>
  </si>
  <si>
    <t>Feldspathoid minerals are any of a group of alkali aluminosilicate minerals similar to the feldspars in chemical composition but either having a lower silica-alkali ratio or containing chloride, sulfide, sulphate, or carbonate.</t>
  </si>
  <si>
    <t>StoCode_feldspathoidBearing</t>
  </si>
  <si>
    <t>felsic</t>
  </si>
  <si>
    <t>Felsic</t>
  </si>
  <si>
    <t>A igneous rock having abundant light-colored (felsic) minerals, mainly quarz and feldspars.</t>
  </si>
  <si>
    <t>For example: granites, rhyolites. They have high silica content.</t>
  </si>
  <si>
    <t>StoCode_felsic</t>
  </si>
  <si>
    <t>gabbro</t>
  </si>
  <si>
    <t>Gabbro</t>
  </si>
  <si>
    <t>A coarse-grained basic plutonic rock, consisting of plagioclase (approximately 60 percent by volume) and pyroxene.</t>
  </si>
  <si>
    <t>StoCode_gabbro</t>
  </si>
  <si>
    <t>A general petrological term applied to coarse-grained, banded metamorphic rock.</t>
  </si>
  <si>
    <t>StoCode_gneiss</t>
  </si>
  <si>
    <t>A light-coloured, felsic plutonic rock, consisting of essentially quartz, alkali feldspar, plagioclase and mica.</t>
  </si>
  <si>
    <t>StoCode_granite</t>
  </si>
  <si>
    <t>granodiorite</t>
  </si>
  <si>
    <t>Granodiorite</t>
  </si>
  <si>
    <t>A plutonic rock consisting essentially of quartz, sodic plagioclase, less amount of alkali feldspar, hornblende and biotite.</t>
  </si>
  <si>
    <t>StoCode_granodiorite</t>
  </si>
  <si>
    <t>granulite</t>
  </si>
  <si>
    <t>Granulite</t>
  </si>
  <si>
    <t>A coarse-grained, equigranular high pressure metamorphic rock.</t>
  </si>
  <si>
    <t>StoCode_granulite</t>
  </si>
  <si>
    <t>A low-grade, green metamorphic rock produced by the metamorphism of basic igneous rocks.</t>
  </si>
  <si>
    <t>StoCode_greenstone</t>
  </si>
  <si>
    <t>greywacke</t>
  </si>
  <si>
    <t>Greywacke</t>
  </si>
  <si>
    <t>A dark-grey sandstone that contain more than 15 percent by volume of clay minerals.</t>
  </si>
  <si>
    <t>StoCode_greywacke</t>
  </si>
  <si>
    <t>A chemical sedimentary rock, composed mainly of anhydrite, as a result of evaporation of saline waters.</t>
  </si>
  <si>
    <t>StoCode_gypsum</t>
  </si>
  <si>
    <t>hydrothermallyAltered</t>
  </si>
  <si>
    <t>Hydrothermally Altered</t>
  </si>
  <si>
    <t>A rock that has been altered by the action of hot water (hydrothermal fluid) associated with igneous activity.</t>
  </si>
  <si>
    <t>StoCode_hydrothermallyAltered</t>
  </si>
  <si>
    <t>igneous</t>
  </si>
  <si>
    <t>Igneous</t>
  </si>
  <si>
    <t>A rock formed by the crystallization of magma and includes both the plutonic and volcanic rocks.</t>
  </si>
  <si>
    <t>StoCode_igneous</t>
  </si>
  <si>
    <t>intermediateIgneous</t>
  </si>
  <si>
    <t>Intermediate Igneous</t>
  </si>
  <si>
    <t>An igneous rock that is transitional between basic and acid (or between mafic and felsic), generally having silica content between 52 to 65 percent by weight.</t>
  </si>
  <si>
    <t>For example, andesites.</t>
  </si>
  <si>
    <t>StoCode_intermediateIgneous</t>
  </si>
  <si>
    <t>ironstone</t>
  </si>
  <si>
    <t>Ironstone</t>
  </si>
  <si>
    <t>An iron-rich variety of chert (more than 15 percent by weight of iron).</t>
  </si>
  <si>
    <t>StoCode_ironstone</t>
  </si>
  <si>
    <t>A rock composed mainly of hydrated iron and aluminum oxides and hydroxides, formed in tropical and subtropical environment by weathering of iron- and aluminium-bearing rocks.</t>
  </si>
  <si>
    <t>StoCode_laterite</t>
  </si>
  <si>
    <t>latite</t>
  </si>
  <si>
    <t>Latite</t>
  </si>
  <si>
    <t>A volcanic rock containing essentialy crystals of alkali feldspar and plagioclase in a glassy matrix.</t>
  </si>
  <si>
    <t>StoCode_latite</t>
  </si>
  <si>
    <t>lignite</t>
  </si>
  <si>
    <t>Lignite</t>
  </si>
  <si>
    <t>A soft brownish-black coal that is intermediate in coalification between peat and bituminous coal.</t>
  </si>
  <si>
    <t>StoCode_lignite</t>
  </si>
  <si>
    <t>A sedimentary rock, composed mainly of calcite or dolomite, which is often of organic, chemical or detritial origin.</t>
  </si>
  <si>
    <t>StoCode_limestone</t>
  </si>
  <si>
    <t>mafic</t>
  </si>
  <si>
    <t>Mafic</t>
  </si>
  <si>
    <t>Igneous rock composed chiefly of one or more ferromagnesian (iron and magnesium rich), dark-colored (mafic) minerals.</t>
  </si>
  <si>
    <t>For example, basalt. They have relatively low silica content.</t>
  </si>
  <si>
    <t>StoCode_mafic</t>
  </si>
  <si>
    <t>A metamorphic rock consisting predominantly of fine- to coarse-grained recrystallized limestone.</t>
  </si>
  <si>
    <t>StoCode_marble</t>
  </si>
  <si>
    <t>melilitite</t>
  </si>
  <si>
    <t>Melilitite</t>
  </si>
  <si>
    <t>A dark-coloured, ultrabasic volcanic rock.</t>
  </si>
  <si>
    <t>StoCode_melilitite</t>
  </si>
  <si>
    <t>metamorphic</t>
  </si>
  <si>
    <t>Metamorphic</t>
  </si>
  <si>
    <t>A rock formed by the recrystallization of pre-existing rocks in response to the effects of pressure, temperature, or volatile content.</t>
  </si>
  <si>
    <t>StoCode_metamorphic</t>
  </si>
  <si>
    <t>monzonite</t>
  </si>
  <si>
    <t>Monzonite</t>
  </si>
  <si>
    <t>A coarse-grained, intermediate plutonic rock, consisting of plagioclase, alkali feldspar, pyroxene and biotite.</t>
  </si>
  <si>
    <t>StoCode_monzonite</t>
  </si>
  <si>
    <t>mudrock</t>
  </si>
  <si>
    <t>Mudrock</t>
  </si>
  <si>
    <t>A fine grained massive sedimentary rock consisting of mostly fine-grained silt and clay size fragments (over 75 percent by volume of clay and/or silt).</t>
  </si>
  <si>
    <t>StoCode_mudrock</t>
  </si>
  <si>
    <t>mylonite</t>
  </si>
  <si>
    <t>Mylonite</t>
  </si>
  <si>
    <t>A well laminated and often hard and splintery metamorphic rock produced in zones of tectonic dislocation.</t>
  </si>
  <si>
    <t>For example, fault and shear zones.</t>
  </si>
  <si>
    <t>StoCode_mylonite</t>
  </si>
  <si>
    <t>An unconsolidated deposit of semicarbonized plant remains in a water-satured environment.</t>
  </si>
  <si>
    <t>StoCode_peat</t>
  </si>
  <si>
    <t>pegmatite</t>
  </si>
  <si>
    <t>Pegmatite</t>
  </si>
  <si>
    <t>A very coarse-grained plutonic rock, usually of granitic composition, in which the individual crystals are at least 2.5 centimetres, and often more than 1 metre, long.</t>
  </si>
  <si>
    <t>StoCode_pegmatite</t>
  </si>
  <si>
    <t>pelite</t>
  </si>
  <si>
    <t>Pelite</t>
  </si>
  <si>
    <t>A fine grained sedimentary rock composed of clay- or mud-size particles (less than 0.063 millimetres in diameter).</t>
  </si>
  <si>
    <t>StoCode_pelite</t>
  </si>
  <si>
    <t>peridotite</t>
  </si>
  <si>
    <t>Peridotite</t>
  </si>
  <si>
    <t>A coarse-grained, ultrabasic plutonic rock, consisting of olivine.</t>
  </si>
  <si>
    <t>StoCode_peridotite</t>
  </si>
  <si>
    <t>phonolite</t>
  </si>
  <si>
    <t>Phonolite</t>
  </si>
  <si>
    <t>A fine-grained volcanic rock, consisting of essential alkali feldspar and no quartz (undersaturated).</t>
  </si>
  <si>
    <t>StoCode_phonolite</t>
  </si>
  <si>
    <t>phosphorite</t>
  </si>
  <si>
    <t>Phosphorite</t>
  </si>
  <si>
    <t>A sedimentary rock rich in phosphate.</t>
  </si>
  <si>
    <t>StoCode_phosphorite</t>
  </si>
  <si>
    <t>phyllite</t>
  </si>
  <si>
    <t>Phyllite</t>
  </si>
  <si>
    <t>A fine grained, low-grade metamorphic rock, with a well developed schistosity (planar alignment of minerals), that has often a silky sheen.</t>
  </si>
  <si>
    <t>StoCode_phyllite</t>
  </si>
  <si>
    <t>plutonic</t>
  </si>
  <si>
    <t>Plutonic</t>
  </si>
  <si>
    <t>A relatively coarse-grained rock formed at considerable depth by crystallization of magma.</t>
  </si>
  <si>
    <t>StoCode_plutonic</t>
  </si>
  <si>
    <t>rhyolite</t>
  </si>
  <si>
    <t>Rhyolite</t>
  </si>
  <si>
    <t>A fine-grained, felsic volcanic rock, consisting of quarz and alkali feldspar.</t>
  </si>
  <si>
    <t>StoCode_rhyolite</t>
  </si>
  <si>
    <t>A chemical sedimentary rock, composed mainly of coarsely crystalline halite, as a result of evaporation of saline waters.</t>
  </si>
  <si>
    <t>StoCode_salt</t>
  </si>
  <si>
    <t>A sedimentary rock composed of cemented sand-sized particles (0.063 to 2 millimetres in diameter), consisting mostly of quartz, feldspar and rock fragments.</t>
  </si>
  <si>
    <t>StoCode_sandstone</t>
  </si>
  <si>
    <t>A strongly foliated metamorphic rock, that can be split into flakes or slabs.</t>
  </si>
  <si>
    <t>StoCode_schist</t>
  </si>
  <si>
    <t>sedimentary</t>
  </si>
  <si>
    <t>Sedimentary</t>
  </si>
  <si>
    <t>A rock resulting from the consolidation and/or cementation of loose sediment (organic and anorganic) and/or precipitation of dissolved material.</t>
  </si>
  <si>
    <t>StoCode_sedimentary</t>
  </si>
  <si>
    <t>serpentinite</t>
  </si>
  <si>
    <t>Serpentinite</t>
  </si>
  <si>
    <t>A metamorphic rock derived from the alteration of a ultrabasic rock.</t>
  </si>
  <si>
    <t>For example, peridotite.</t>
  </si>
  <si>
    <t>StoCode_serpentinite</t>
  </si>
  <si>
    <t>A fine-grained (clay, silt), fissile sedimentary rock.</t>
  </si>
  <si>
    <t>StoCode_shale</t>
  </si>
  <si>
    <t>siltstone</t>
  </si>
  <si>
    <t>Siltstone</t>
  </si>
  <si>
    <t>A very fine grained consolidated clastic rock composed predominantly of particles of silt grade (0.05 to 0.002 millimetres in diameter), and less than 12 percent clay.</t>
  </si>
  <si>
    <t>StoCode_siltstone</t>
  </si>
  <si>
    <t>A compact, fine-grained and fissile low-grade metamorphic rock, that has a dull luster.</t>
  </si>
  <si>
    <t>StoCode_slate</t>
  </si>
  <si>
    <t>syenite</t>
  </si>
  <si>
    <t>Syenite</t>
  </si>
  <si>
    <t>A coarse-grained, intermediate plutonic rock, consisting of alkali feldspar and ferromagnesian minerals.</t>
  </si>
  <si>
    <t>For example, for ferromagnesian minerals biotite, hornblende.</t>
  </si>
  <si>
    <t>StoCode_syenite</t>
  </si>
  <si>
    <t>tephrite</t>
  </si>
  <si>
    <t>Tephrite</t>
  </si>
  <si>
    <t>Fine-grained volcanic rock, consisting of calcium plagioclase and no quartz (undersatured).</t>
  </si>
  <si>
    <t>StoCode_tephrite</t>
  </si>
  <si>
    <t>tonalite</t>
  </si>
  <si>
    <t>Tonalite</t>
  </si>
  <si>
    <t>A coarse-grained acid plutonic rock, consisting of plagioclase, quarz, hornblende and/or biotite.</t>
  </si>
  <si>
    <t>StoCode_tonalite</t>
  </si>
  <si>
    <t>trachyte</t>
  </si>
  <si>
    <t>Trachyte</t>
  </si>
  <si>
    <t>Fine-grained, intermediate volcanic rock of the rocks, having alkali feldspar.</t>
  </si>
  <si>
    <t>StoCode_trachyte</t>
  </si>
  <si>
    <t>ultrabasic</t>
  </si>
  <si>
    <t>Ultrabasic</t>
  </si>
  <si>
    <t>An igneous rock having silica content below 45 percent by mass.</t>
  </si>
  <si>
    <t>For example, basanite.</t>
  </si>
  <si>
    <t>StoCode_ultrabasic</t>
  </si>
  <si>
    <t>ultramafic</t>
  </si>
  <si>
    <t>Ultramafic</t>
  </si>
  <si>
    <t>A dark igneous rock composed of olivine and pyroxenes (mafic minerals).</t>
  </si>
  <si>
    <t>StoCode_ultramafic</t>
  </si>
  <si>
    <t>A relatively fine-grained rock formed at the Earth's surface by crystallization of magma.</t>
  </si>
  <si>
    <t>StoCode_volcanic</t>
  </si>
  <si>
    <t>volcaniclasticSediments</t>
  </si>
  <si>
    <t>Volcaniclastic Sediments</t>
  </si>
  <si>
    <t>A clastic sedimentary rock composed chiefly of grains of volcanic origin, derived from contemporaneous volcanic activity.</t>
  </si>
  <si>
    <t>For example: tuff, lahar.</t>
  </si>
  <si>
    <t>StoCode_volcaniclasticSediments</t>
  </si>
  <si>
    <t>wackes</t>
  </si>
  <si>
    <t>Wackes</t>
  </si>
  <si>
    <t>A sandstone that contain perceptible fine-grained matrix (15-75 percent by volume of silt and/or clay).</t>
  </si>
  <si>
    <t>StoCode_wackes</t>
  </si>
  <si>
    <t>In the shape of a cone, tapering upwards from a more or less circular base to a point.</t>
  </si>
  <si>
    <t>SsrCode_conical</t>
  </si>
  <si>
    <t>domed</t>
  </si>
  <si>
    <t>Domed</t>
  </si>
  <si>
    <t>In the shape of a hemispherical (or occasionally peaked) surface, often as a rounded vault forming all or part of the roof of a building.</t>
  </si>
  <si>
    <t>Typically the structure supporting the dome has an elliptical (including circular) or polygonal base.</t>
  </si>
  <si>
    <t>SsrCode_domed</t>
  </si>
  <si>
    <t>flat</t>
  </si>
  <si>
    <t>Flat</t>
  </si>
  <si>
    <t>Generally flat and level, but usually with a small local pitch to ensure proper drainage.</t>
  </si>
  <si>
    <t>SsrCode_flat</t>
  </si>
  <si>
    <t>flatWithClerestory</t>
  </si>
  <si>
    <t>Flat with Clerestory</t>
  </si>
  <si>
    <t>A flat roof including one or more raised sections that contain windows and/or ventilators along their sides.</t>
  </si>
  <si>
    <t>Flat with Monitor</t>
  </si>
  <si>
    <t>SsrCode_flatWithClerestory</t>
  </si>
  <si>
    <t>pitched</t>
  </si>
  <si>
    <t>Pitched</t>
  </si>
  <si>
    <t>Generally flat but with a steep pitch, usually consisting of a pair of surfaces sharing a ridge.</t>
  </si>
  <si>
    <t>For example, a gabled roof.</t>
  </si>
  <si>
    <t>SsrCode_pitched</t>
  </si>
  <si>
    <t>pitchedWithClerestory</t>
  </si>
  <si>
    <t>Pitched with Clerestory</t>
  </si>
  <si>
    <t>A pitched roof whose ridge or sides consists of one or more raised sections that contain windows and/or ventilators along their sides.</t>
  </si>
  <si>
    <t>For example, may be used in large churches to admit light to the central parts of the building.</t>
  </si>
  <si>
    <t>Pitched with Monitor</t>
  </si>
  <si>
    <t>SsrCode_pitchedWithClerestory</t>
  </si>
  <si>
    <t>pyramidal</t>
  </si>
  <si>
    <t>Pyramidal</t>
  </si>
  <si>
    <t>In the shape of a polyhedron of which the base is a polygon of any number of sides, and the other faces are triangles with a common vertex.</t>
  </si>
  <si>
    <t>Usually four-sided.</t>
  </si>
  <si>
    <t>SsrCode_pyramidal</t>
  </si>
  <si>
    <t>sawtoothed</t>
  </si>
  <si>
    <t>Sawtoothed</t>
  </si>
  <si>
    <t>Having a serrated profile incorporating windows in the steeper (usually sunward-facing) sides.</t>
  </si>
  <si>
    <t>SsrCode_sawtoothed</t>
  </si>
  <si>
    <t>semiCylindrical</t>
  </si>
  <si>
    <t>Semi-cylindrical</t>
  </si>
  <si>
    <t>In the general shape of a half-cylinder, often as a rounded vault forming all or part of the roof of a building.</t>
  </si>
  <si>
    <t>For example, a Quonset hut. May be less than a full half-cylinder or only approximately hemi-cylindrical in cross-section.</t>
  </si>
  <si>
    <t>SsrCode_semiCylindrical</t>
  </si>
  <si>
    <t>withClerestory</t>
  </si>
  <si>
    <t>With Clerestory</t>
  </si>
  <si>
    <t>Having an accessory raised section containing a series of windows and/or ventilators along its sides.</t>
  </si>
  <si>
    <t>Often located along a roof ridge.</t>
  </si>
  <si>
    <t>With Monitor</t>
  </si>
  <si>
    <t>SsrCode_withClerestory</t>
  </si>
  <si>
    <t>crossCountrySkiRun</t>
  </si>
  <si>
    <t>Cross-country Ski Run</t>
  </si>
  <si>
    <t>A specially prepared track in the snow for cross-country skiing.</t>
  </si>
  <si>
    <t>RclCode_crossCountrySkiRun</t>
  </si>
  <si>
    <t>farmersRoad</t>
  </si>
  <si>
    <t>Farmers Road</t>
  </si>
  <si>
    <t>A minor route in the country side mainly used for agricultural purposes that may be paved.</t>
  </si>
  <si>
    <t>RclCode_farmersRoad</t>
  </si>
  <si>
    <t>forestRoute</t>
  </si>
  <si>
    <t>Forest Route</t>
  </si>
  <si>
    <t>A route in a forest mainly used for the transportation of wood after logging.</t>
  </si>
  <si>
    <t>RclCode_forestRoute</t>
  </si>
  <si>
    <t>guardRoute</t>
  </si>
  <si>
    <t>Guard Route</t>
  </si>
  <si>
    <t>A route used by guards on their patrol.</t>
  </si>
  <si>
    <t>RclCode_guardRoute</t>
  </si>
  <si>
    <t>mainFarmersRoad</t>
  </si>
  <si>
    <t>Main Farmers Road</t>
  </si>
  <si>
    <t>A major route in the country side mainly used for agricultural purposes and mostly hard paved.</t>
  </si>
  <si>
    <t>RclCode_mainFarmersRoad</t>
  </si>
  <si>
    <t>minesweepingRoute</t>
  </si>
  <si>
    <t>Minesweeping Route</t>
  </si>
  <si>
    <t>A path through a mine field that has been cleared of mines by mine sweeping operations.</t>
  </si>
  <si>
    <t>RclCode_minesweepingRoute</t>
  </si>
  <si>
    <t>pedestrianZone</t>
  </si>
  <si>
    <t>Pedestrian Zone</t>
  </si>
  <si>
    <t>A paved area in populated places, which could be used by automotives but in which the automotive traffic is forbidden.</t>
  </si>
  <si>
    <t>Pedestrian zones have a great variety of attitudes or rules towards human powered vehicles such as bicycles, inline skates, skateboards and kick scooters. Some have a total ban on anything with wheels, others ban certain categories, others segregate the human-powered wheels from foot traffic, and others still have no rules at all. Many of the Middle Eastern examples have no wheeled traffic, but use donkeys for freight transport.</t>
  </si>
  <si>
    <t>Auto-free Zone, Car-free Zone</t>
  </si>
  <si>
    <t>RclCode_pedestrianZone</t>
  </si>
  <si>
    <t>sidewalk</t>
  </si>
  <si>
    <t>RclCode_sidewalk</t>
  </si>
  <si>
    <t>tidelandWay</t>
  </si>
  <si>
    <t>Tideland Way</t>
  </si>
  <si>
    <t>A designated and marked path through tidal flats that may be usable by vehicles or pedestrians.</t>
  </si>
  <si>
    <t>A tidal flat is a large flat area of mud or sand attached to the shore and alternately covered and uncovered by the tide.</t>
  </si>
  <si>
    <t>RclCode_tidelandWay</t>
  </si>
  <si>
    <t>trail</t>
  </si>
  <si>
    <t>RclCode_trail</t>
  </si>
  <si>
    <t>viaFerrata</t>
  </si>
  <si>
    <t>Via Ferrata</t>
  </si>
  <si>
    <t>A mountain route which is equipped with fixed cables, stemples, ladders, and bridges.</t>
  </si>
  <si>
    <t>RclCode_viaFerrata</t>
  </si>
  <si>
    <t>ConCode_arcade</t>
  </si>
  <si>
    <t>bridgePier</t>
  </si>
  <si>
    <t>ConCode_bridgePier</t>
  </si>
  <si>
    <t>ConCode_bridgeSuperstructure</t>
  </si>
  <si>
    <t>bridgeTower</t>
  </si>
  <si>
    <t>ConCode_bridgeTower</t>
  </si>
  <si>
    <t>The route is constrained to pass through a narrow channel hemmed in by buildings on both sides and, occasionally, above.</t>
  </si>
  <si>
    <t>ConCode_building</t>
  </si>
  <si>
    <t>causewayStructure</t>
  </si>
  <si>
    <t>ConCode_causewayStructure</t>
  </si>
  <si>
    <t>cave</t>
  </si>
  <si>
    <t>Cave</t>
  </si>
  <si>
    <t>An interconnected series of subterranean chambers.</t>
  </si>
  <si>
    <t>Typically located in limestone, and often open to the Earth's surface either vertically or horizontally.</t>
  </si>
  <si>
    <t>ConCode_cave</t>
  </si>
  <si>
    <t>culvert</t>
  </si>
  <si>
    <t>ConCode_culvert</t>
  </si>
  <si>
    <t>curb</t>
  </si>
  <si>
    <t>ConCode_curb</t>
  </si>
  <si>
    <t>cut</t>
  </si>
  <si>
    <t>ConCode_cut</t>
  </si>
  <si>
    <t>ConCode_dam</t>
  </si>
  <si>
    <t>dropgate</t>
  </si>
  <si>
    <t>Dropgate</t>
  </si>
  <si>
    <t>The route is constrained to pass through a dropgate.</t>
  </si>
  <si>
    <t>A dropgate is a massive assemblage of material, usually in the form of concrete logs or blocks, positioned alongside or over a transportation route (for example: a road or a railway) as a potential barrier to an advancing enemy ground force. It is generally tied into large fortified embankments on both sides of the route to form part of a continuous defensive line when activated.</t>
  </si>
  <si>
    <t>ConCode_dropgate</t>
  </si>
  <si>
    <t>embankment</t>
  </si>
  <si>
    <t>ConCode_embankment</t>
  </si>
  <si>
    <t>ConCode_entranceExit</t>
  </si>
  <si>
    <t>fence</t>
  </si>
  <si>
    <t>ConCode_fence</t>
  </si>
  <si>
    <t>fireHydrant</t>
  </si>
  <si>
    <t>ConCode_fireHydrant</t>
  </si>
  <si>
    <t>ford</t>
  </si>
  <si>
    <t>ConCode_ford</t>
  </si>
  <si>
    <t>gallery</t>
  </si>
  <si>
    <t>ConCode_gallery</t>
  </si>
  <si>
    <t>ConCode_gantry</t>
  </si>
  <si>
    <t>gate</t>
  </si>
  <si>
    <t>ConCode_gate</t>
  </si>
  <si>
    <t>hedgerow</t>
  </si>
  <si>
    <t>ConCode_hedgerow</t>
  </si>
  <si>
    <t>ConCode_memorialMonument</t>
  </si>
  <si>
    <t>ConCode_nonBuildingStructure</t>
  </si>
  <si>
    <t>ConCode_parkingGarage</t>
  </si>
  <si>
    <t>pass</t>
  </si>
  <si>
    <t>Pass</t>
  </si>
  <si>
    <t>The route is constrained to pass through a narrow channel hemmed in by steep slopes, rocks, and/or other impediments to off-route vehicle movement.</t>
  </si>
  <si>
    <t>For example, a mountain pass.</t>
  </si>
  <si>
    <t>ConCode_pass</t>
  </si>
  <si>
    <t>ConCode_pipeline</t>
  </si>
  <si>
    <t>ConCode_pipelineCrossingPoint</t>
  </si>
  <si>
    <t>preparedWatercourseCross</t>
  </si>
  <si>
    <t>ConCode_preparedWatercourseCross</t>
  </si>
  <si>
    <t>railwaySignal</t>
  </si>
  <si>
    <t>ConCode_railwaySignal</t>
  </si>
  <si>
    <t>railwaySwitch</t>
  </si>
  <si>
    <t>ConCode_railwaySwitch</t>
  </si>
  <si>
    <t>ramp</t>
  </si>
  <si>
    <t>ConCode_ramp</t>
  </si>
  <si>
    <t>reducedTrackLaneCount</t>
  </si>
  <si>
    <t>Reduced Track or Lane Count</t>
  </si>
  <si>
    <t>Reduction in the number of independent, parallel paths (for example: a railway track and/or a road lane) in either direction within a route.</t>
  </si>
  <si>
    <t>ConCode_reducedTrackLaneCount</t>
  </si>
  <si>
    <t>retailStand</t>
  </si>
  <si>
    <t>It may be roofed (for example: a newspaper stand along the side of a city street or the attendant's booth in a parking lot or at a taxi cab stand), covered by an awning (for example: a cellular phone booth in the center of the promenade of a shopping mall.</t>
  </si>
  <si>
    <t>ConCode_retailStand</t>
  </si>
  <si>
    <t>roadInterchange</t>
  </si>
  <si>
    <t>A connection designed to provide traffic access from one road to another.</t>
  </si>
  <si>
    <t>ConCode_roadInterchange</t>
  </si>
  <si>
    <t>rockFormation</t>
  </si>
  <si>
    <t>ConCode_rockFormation</t>
  </si>
  <si>
    <t>Restricted by closely placed objects (for example: route-related signs, lamps, designated vehicle stops (for example: a bus stop), benches, and/or their support structures) along a route.</t>
  </si>
  <si>
    <t>ConCode_routeRelatedStructure</t>
  </si>
  <si>
    <t>stair</t>
  </si>
  <si>
    <t>ConCode_stair</t>
  </si>
  <si>
    <t>steepTerrainFace</t>
  </si>
  <si>
    <t>ConCode_steepTerrainFace</t>
  </si>
  <si>
    <t>ConCode_transportationBlock</t>
  </si>
  <si>
    <t>ConCode_transRouteProtectStruct</t>
  </si>
  <si>
    <t>ConCode_tunnel</t>
  </si>
  <si>
    <t>underpass</t>
  </si>
  <si>
    <t>Underpass</t>
  </si>
  <si>
    <t>The route is constrained to pass through a narrow channel hemmed in by bridge abutments on both sides and a deck above.</t>
  </si>
  <si>
    <t>ConCode_underpass</t>
  </si>
  <si>
    <t>woodenCauseway</t>
  </si>
  <si>
    <t>ConCode_woodenCauseway</t>
  </si>
  <si>
    <t>A designated set of major highways which interconnect countries and major cities.</t>
  </si>
  <si>
    <t>Are usually identified by a letter code in their designations, for example, an 'E' in Europe or 'A' in Asia.</t>
  </si>
  <si>
    <t>RoiCode_international</t>
  </si>
  <si>
    <t>A designated set of roads which form the link between secondary highways and residential and rural roads.</t>
  </si>
  <si>
    <t>Traditionally comprised of farm-to-market routes, country lanes, and larger urban streets. In most areas there is no preceding letter designation.</t>
  </si>
  <si>
    <t>RoiCode_local</t>
  </si>
  <si>
    <t>A designated set of highways which may have limited access or semi-controlled access and interconnect secondary routes with national motorways.</t>
  </si>
  <si>
    <t>May be identified in their designations, for example, with a 'US' in the US, or an 'N' for National in other countries. In many areas there is no preceding letter designation.</t>
  </si>
  <si>
    <t>RoiCode_national</t>
  </si>
  <si>
    <t>nationalMotorway</t>
  </si>
  <si>
    <t>National Motorway</t>
  </si>
  <si>
    <t>A designated set of limited access motorways which interconnect major cities and provide for the vast majority of long-distance road travel within a country.</t>
  </si>
  <si>
    <t>May be identified in their designations, for example, with an 'I' for Interstate in the US, a 'M' for Motorway in the UK, or an 'A' (for example: for Autoroute, Autobahn, Autostrade or Autopista) for Autoroute in some European countries. In many areas there is no preceding letter designation.</t>
  </si>
  <si>
    <t>RoiCode_nationalMotorway</t>
  </si>
  <si>
    <t>A designated set of collector or regional highways that feed national routes or motorways.</t>
  </si>
  <si>
    <t>May be identified in their designations, for example, with an 'R' in France or state highways in the US. In most areas there is no preceding letter designation.</t>
  </si>
  <si>
    <t>RoiCode_secondary</t>
  </si>
  <si>
    <t>increasedTrackLaneCount</t>
  </si>
  <si>
    <t>Increased Track or Lane Count</t>
  </si>
  <si>
    <t>Increase in the number of independent, parallel paths (for example: a railway track and/or a road lane) in either direction within a route.</t>
  </si>
  <si>
    <t>ExpCode_increasedTrackLaneCount</t>
  </si>
  <si>
    <t>railwaySidetrack</t>
  </si>
  <si>
    <t>For example, a passing track.</t>
  </si>
  <si>
    <t>ExpCode_railwaySidetrack</t>
  </si>
  <si>
    <t>roadsideRestArea</t>
  </si>
  <si>
    <t>ExpCode_roadsideRestArea</t>
  </si>
  <si>
    <t>shoulder</t>
  </si>
  <si>
    <t>Shoulder</t>
  </si>
  <si>
    <t>Not normally used by vehicles but provided as an allowable margin in case of emergency situations.</t>
  </si>
  <si>
    <t>ExpCode_shoulder</t>
  </si>
  <si>
    <t>A siding enabling the passing and/or parking of vehicles.</t>
  </si>
  <si>
    <t>Typically located along narrow roads, especially in mountainous regions.</t>
  </si>
  <si>
    <t>ExpCode_siding</t>
  </si>
  <si>
    <t>deepWaterRoute</t>
  </si>
  <si>
    <t>Deep Water Route</t>
  </si>
  <si>
    <t>A route within defined limits that has been surveyed for clearance of sea bottom and submerged obstacles as indicated on a chart.</t>
  </si>
  <si>
    <t>It is primarily intended for use by ships which, because of their draught in relation to the available depth of water in the area concerned, require the use of such a route. Through traffic to which the draught consideration does not apply should, as far as practicable, avoid using deep-water routes.</t>
  </si>
  <si>
    <t>RttCode_deepWaterRoute</t>
  </si>
  <si>
    <t>deepWaterRoutePart</t>
  </si>
  <si>
    <t>Deep Water Route - Part</t>
  </si>
  <si>
    <t>RttCode_deepWaterRoutePart</t>
  </si>
  <si>
    <t>deepWaterRouteCenterline</t>
  </si>
  <si>
    <t>Deep Water Route Centerline</t>
  </si>
  <si>
    <t>The centerline of a deep water route.</t>
  </si>
  <si>
    <t>RttCode_deepWaterRouteCenterline</t>
  </si>
  <si>
    <t>measuredDistanceLine</t>
  </si>
  <si>
    <t>RttCode_measuredDistanceLine</t>
  </si>
  <si>
    <t>qRoute</t>
  </si>
  <si>
    <t>Q-Route</t>
  </si>
  <si>
    <t>A pre-planned dormant channel and or maritime route between two or more positions, surveyed for explosive mine-like contacts during peacetime, that can be 'activated' to provide shipping with safe navigable routes.</t>
  </si>
  <si>
    <t>RttCode_qRoute</t>
  </si>
  <si>
    <t>radarGuidedTrack</t>
  </si>
  <si>
    <t>RttCode_radarGuidedTrack</t>
  </si>
  <si>
    <t>recommendChannel</t>
  </si>
  <si>
    <t>A navigation channel, in a situation where there exist multiple channels, that is the one recommended by local authorities for use by general maritime traffic.</t>
  </si>
  <si>
    <t>RttCode_recommendChannel</t>
  </si>
  <si>
    <t>recommendDirectionTraffic</t>
  </si>
  <si>
    <t>Recommended Direction of Traffic Flow</t>
  </si>
  <si>
    <t>A traffic flow pattern indicating the directional movement of traffic as established within a traffic separation scheme, or a traffic flow pattern indicating a recommended directional movement of traffic where it is impractical or unnecessary to adopt an established direction of traffic flow.</t>
  </si>
  <si>
    <t>RttCode_recommendDirectionTraffic</t>
  </si>
  <si>
    <t>recommendRoute</t>
  </si>
  <si>
    <t>Recommended Route</t>
  </si>
  <si>
    <t>A route of undefined width, for the convenience of ships in transit, that is often marked by centerline buoys.</t>
  </si>
  <si>
    <t>RttCode_recommendRoute</t>
  </si>
  <si>
    <t>recommendRouteCenterline</t>
  </si>
  <si>
    <t>Recommended Route Centerline</t>
  </si>
  <si>
    <t>The centerline of a recommended route.</t>
  </si>
  <si>
    <t>RttCode_recommendRouteCenterline</t>
  </si>
  <si>
    <t>recommendTrack</t>
  </si>
  <si>
    <t>Recommended Track</t>
  </si>
  <si>
    <t>Recommended tracks include all channels recommended for hydrographic reasons to lead safely between shoal depths.</t>
  </si>
  <si>
    <t>The use of such a track is generally left to the discretion of the mariner and will depend on the vessel's draught, the state of the tide, adequacy of navigational aids and/or other considerations.</t>
  </si>
  <si>
    <t>RttCode_recommendTrack</t>
  </si>
  <si>
    <t>recommendTrackDeepDraft</t>
  </si>
  <si>
    <t>Recommended Track for Deep Draft Vessels</t>
  </si>
  <si>
    <t>A route which is primarily selected for use by ships which, because of their deep draft, may not be able to navigate safely outside such route.</t>
  </si>
  <si>
    <t>RttCode_recommendTrackDeepDraft</t>
  </si>
  <si>
    <t>recommendTrackOtherDraft</t>
  </si>
  <si>
    <t>Recommended Track for Other Than Deep Draft Vessels</t>
  </si>
  <si>
    <t>A route which is primarily selected for use by ships which are not restricted by their draft to deep draft routes and which are able to navigate safely outside such routes.</t>
  </si>
  <si>
    <t>RttCode_recommendTrackOtherDraft</t>
  </si>
  <si>
    <t>safetyFairwayChannel</t>
  </si>
  <si>
    <t>Safety Fairway/Channel</t>
  </si>
  <si>
    <t>RttCode_safetyFairwayChannel</t>
  </si>
  <si>
    <t>transitRoute</t>
  </si>
  <si>
    <t>Transit Route</t>
  </si>
  <si>
    <t>A marked route established to permit vessels to pass through or transit a canal, port, harbour or other body of water.</t>
  </si>
  <si>
    <t>RttCode_transitRoute</t>
  </si>
  <si>
    <t>twoWayRoute</t>
  </si>
  <si>
    <t>Two-way Route</t>
  </si>
  <si>
    <t>A route within defined limits inside which two-way traffic is established.</t>
  </si>
  <si>
    <t>The aim is to provide safe passage of ships through waters where navigation is difficult or dangerous. In two-way routes, including two-way deep-water routes, ships should as far as practicable keep to the starboard side.</t>
  </si>
  <si>
    <t>RttCode_twoWayRoute</t>
  </si>
  <si>
    <t>full</t>
  </si>
  <si>
    <t>Full</t>
  </si>
  <si>
    <t>Vehicles may access all routes.</t>
  </si>
  <si>
    <t>For example, at an overpass there are access ramps allowing all possible vehicle flows from one route to another.</t>
  </si>
  <si>
    <t>JcrCode_full</t>
  </si>
  <si>
    <t>Vehicles are able to access only some routes.</t>
  </si>
  <si>
    <t>For example, at an overpass the available access ramps may limit the vehicle flow from one route to another.</t>
  </si>
  <si>
    <t>JcrCode_limited</t>
  </si>
  <si>
    <t>intersection</t>
  </si>
  <si>
    <t>Intersection</t>
  </si>
  <si>
    <t>Two routes cross, forming a four-way intersection.</t>
  </si>
  <si>
    <t>CrcCode_intersection</t>
  </si>
  <si>
    <t>One route ends at the junction, forming a 'T' shape.</t>
  </si>
  <si>
    <t>CrcCode_junction</t>
  </si>
  <si>
    <t>star</t>
  </si>
  <si>
    <t>Star</t>
  </si>
  <si>
    <t>Multiple routes meet and/or cross, forming a star-shaped branching.</t>
  </si>
  <si>
    <t>CrcCode_star</t>
  </si>
  <si>
    <t>localRoute</t>
  </si>
  <si>
    <t>Local Route</t>
  </si>
  <si>
    <t>The network of routes connecting neighbourhoods within populated areas.</t>
  </si>
  <si>
    <t>RsfCode_localRoute</t>
  </si>
  <si>
    <t>minorRoute</t>
  </si>
  <si>
    <t>Minor Route</t>
  </si>
  <si>
    <t>The network of routes connecting small, outlying infrastructure.</t>
  </si>
  <si>
    <t>For example: agricultural activities.</t>
  </si>
  <si>
    <t>RsfCode_minorRoute</t>
  </si>
  <si>
    <t>primaryRoute</t>
  </si>
  <si>
    <t>Primary Route</t>
  </si>
  <si>
    <t>The most significant route network of a country; routes connecting the most important cities of a country.</t>
  </si>
  <si>
    <t>RsfCode_primaryRoute</t>
  </si>
  <si>
    <t>secondaryRoute</t>
  </si>
  <si>
    <t>Secondary Route</t>
  </si>
  <si>
    <t>The network of important routes connecting cities and important infrastructures (for example: airports and ports).</t>
  </si>
  <si>
    <t>RsfCode_secondaryRoute</t>
  </si>
  <si>
    <t>tertiaryRoute</t>
  </si>
  <si>
    <t>Tertiary Route</t>
  </si>
  <si>
    <t>The network of routes connecting cities and towns and main routes within populated areas.</t>
  </si>
  <si>
    <t>RsfCode_tertiaryRoute</t>
  </si>
  <si>
    <t>aggregate</t>
  </si>
  <si>
    <t>Aggregate</t>
  </si>
  <si>
    <t>A pavement constructed from well-graded aggregates, usually consisting of a base course of larger aggregate covered by a 'open' wearing course.</t>
  </si>
  <si>
    <t>A variety of compacted aggregates may be used depending on local availability. These include, for example, crushed rock, gravel, cinders, and occasionally coral or shells. Where locally available aggregates are of poor quality, or the pavement may traverse an area often innundated by water, they may be 'stabilized' by a variety of chemical means (for example: by mixing a cementitious, lime or bituminous binder with the base material) to improve its resistance to moisture and/or load-bearing capacity.</t>
  </si>
  <si>
    <t>RocCode_aggregate</t>
  </si>
  <si>
    <t>A semi-rigid pavement that is formed-in-place through a process of continuous layering and rolling of a material known as 'Asphalt Concrete' or 'Bituminous Concrete', formed from a hot mixture of AC (asphalt/cement binder) and high quality aggregate.</t>
  </si>
  <si>
    <t>Includes, for example: Hot Mix Asphalt (HMA), Recycled HMA, Stone Matrix Asphalt (SMA), Dense-Graded Mix, and Open-Graded Friction Course (OGFC). SMA is a premium gap-graded HMA requiring high quality materials. Cubical low abrasion crushed stone and manufactured sands are recommended. Manufactured sands, mineral fillers and additives (fibers and/or polymers) make a stiff matrix that is important to the rutting resistance of these mixes. Dense-Graded Mix is a well-graded HMA intended for general use. When properly designed and constructed, a dense-graded mix is relatively impermeable. Dense-graded mixes are generally referred to by their nominal maximum aggregate size. They can further be classified as either fine-graded or coarse-graded. Fine-graded mixes have more fine and sand sized particles than coarse-graded mixes. OGFC is a pavement surface course that consists of a high-void, asphalt plant mix that permits rapid drainage of rainwater through the course and out the shoulder. The mixture is characterized by a large percentage of one-sized coarse aggregate. This course reduces hydroplaning and provides a skid-resistant pavement surface with significant noise reduction.</t>
  </si>
  <si>
    <t>RocCode_asphalt</t>
  </si>
  <si>
    <t>A layered pavement in which a concrete base is surfaced with a layer of asphalt.</t>
  </si>
  <si>
    <t>The asphalt protects the base from salt exposure by forming a sacrificial layer that may be relatively easily repaired and/or replaced. May also result when an original concrete pavement has become significantly degraded and then been resurfaced with asphalt as a form of repair.</t>
  </si>
  <si>
    <t>RocCode_asphaltOverConcrete</t>
  </si>
  <si>
    <t>boundSurface</t>
  </si>
  <si>
    <t>Bound Surface</t>
  </si>
  <si>
    <t>A pavement constructed from an unbound base covered by a bound surface layer (for example: a seal coat or a thin layer of asphalt).</t>
  </si>
  <si>
    <t>The base may be 'stabilized' by a variety of chemical means (for example: by mixing a cementitious, lime or bituminous binder with the base material) to improve its load-carrying properties.</t>
  </si>
  <si>
    <t>RocCode_boundSurface</t>
  </si>
  <si>
    <t>Bricks packed closely together on a firm subgrade, with or without mortar.</t>
  </si>
  <si>
    <t>RocCode_brick</t>
  </si>
  <si>
    <t>cobblestone</t>
  </si>
  <si>
    <t>Cobbles packed closely together on a firm subgrade, with or without mortar.</t>
  </si>
  <si>
    <t>Traditionally, cobbles are smooth stones taken from riverbeds and cobbled (roughly assembled) together with mortar. In more recent pavements the cobbles consist of manufactured rectangular paving stones that may not have curved tops.</t>
  </si>
  <si>
    <t>RocCode_cobblestone</t>
  </si>
  <si>
    <t>A rigid pavement structure formed from cast-in-place slabs of a composite stone-like material also known as Portland Cement Concrete (PCC) that consists of a binding medium (Portland cement and water) within which are embedded particles or fragments of aggregate, usually a combination of fine aggregate and course aggregate.</t>
  </si>
  <si>
    <t>RocCode_concrete</t>
  </si>
  <si>
    <t>Surfaced by rough-hewn logs loosely laid together transversely exposing irregular amounts of the underlying material(s).</t>
  </si>
  <si>
    <t>Often used in relatively low or swampy areas to provide a rough relatively durable surface that is elevated above the surrounding terrain.</t>
  </si>
  <si>
    <t>RocCode_corduroy</t>
  </si>
  <si>
    <t>A pavement in which the load is carried mainly through unbound materials (for example: crushed aggregates).</t>
  </si>
  <si>
    <t>A topping or seal coat may be applied to improve weather or flooding resistance, control surface dust production or raveling (pulling apart), and/or improve traction characteristics.</t>
  </si>
  <si>
    <t>RocCode_flexiblePavement</t>
  </si>
  <si>
    <t>A cleared route over a frozen watercourse.</t>
  </si>
  <si>
    <t>Usually marked and intended to support substantial vehicle traffic.</t>
  </si>
  <si>
    <t>RocCode_ice</t>
  </si>
  <si>
    <t>A type of aggregate-based pavement consisting of three layers of stones laid and compacted on a sloped subgrade with side ditches for drainage.</t>
  </si>
  <si>
    <t>This type of road construction was pioneered by the Scotsman John Loudon McAdam in the early 1800s. The lower layers consisted of angular hand-broken aggregate, maximum size 75 millimetres (3 inches), to a total depth of about 200 millimetres (8 inches). The top layer was about 50 millimetres (2 inches) thick with a maximum aggregate size of 25 mm (1 inch). The layers were compacted with a heavy roller, causing the angular stones to lock together with their neighbours. This basic method of construction is sometimes known as 'water-bound macadam'. Although this method required a great deal of manual labor, it resulted in a strong and free-draining pavement. Roads constructed in this manner were described as 'macadamized'. With the advent of motor vehicles, dust became a serious problem on macadam roads. The vacuum created under fast-moving vehicles sucked dust from the road surface, creating unpleasant dust clouds and a gradual raveling (pulling apart) of the road material. This problem was later rectified by spraying tar on the surface to create 'tar-bound macadam' (tarmac). Macadam roads are only infrequently used, having been replaced by other forms of Aggregate and Bound Surface pavements.</t>
  </si>
  <si>
    <t>RocCode_macadam</t>
  </si>
  <si>
    <t>Surfaced by metal (for example: grating or diamond plate sheet).</t>
  </si>
  <si>
    <t>Typically used in special constructions, for example: moveable bridge surfaces.</t>
  </si>
  <si>
    <t>RocCode_metal</t>
  </si>
  <si>
    <t>A pavement in which the load is carried by tightly bound materials (for example: concretes).</t>
  </si>
  <si>
    <t>The most common forms are concrete and asphalt (also referred to as 'semi-rigid'), however in specialized situations other materials may be used, for example steel.</t>
  </si>
  <si>
    <t>RocCode_rigidPavement</t>
  </si>
  <si>
    <t>A minimally prepared route passing over packed snow.</t>
  </si>
  <si>
    <t>The snow, usually accumulated from multiple snowfalls, may have been rolled to ensure the absence of voids or cavities.</t>
  </si>
  <si>
    <t>RocCode_snow</t>
  </si>
  <si>
    <t>stabilizedEarth</t>
  </si>
  <si>
    <t>Stabilized Earth</t>
  </si>
  <si>
    <t>A minimally prepared route constructed from a layer of local materials (for example: consolidated soils) that have been graded, rolled and possibly treated to improve their resistance to moisture and/or load-bearing capacity (sometimes termed 'stabilized').</t>
  </si>
  <si>
    <t>RocCode_stabilizedEarth</t>
  </si>
  <si>
    <t>RocCode_timber</t>
  </si>
  <si>
    <t>An unprepared route whose surface is generally a flat track following the natural terrain.</t>
  </si>
  <si>
    <t>It often appears as a rough track with two wheel paths, and close vegetation.</t>
  </si>
  <si>
    <t>RocCode_unimproved</t>
  </si>
  <si>
    <t>Surfaced by wood (for example: logs, beams, or planks).</t>
  </si>
  <si>
    <t>RocCode_wood</t>
  </si>
  <si>
    <t>Surfaced by wooden planks laid tightly together transversely and secured along stringers.</t>
  </si>
  <si>
    <t>For example, as on a pier or boardwalk or (historically) a plank road.</t>
  </si>
  <si>
    <t>RocCode_woodPlank</t>
  </si>
  <si>
    <t>abeamElevation</t>
  </si>
  <si>
    <t>Abeam Elevation</t>
  </si>
  <si>
    <t>Established on the runway centre-line at the location perpendicular to the Elevation Antenna.</t>
  </si>
  <si>
    <t>RcpCode_abeamElevation</t>
  </si>
  <si>
    <t>abeamGlideslope</t>
  </si>
  <si>
    <t>Abeam Glideslope</t>
  </si>
  <si>
    <t>Established on the runway centre-line at the location perpendicular to the Glideslope Antenna.</t>
  </si>
  <si>
    <t>RcpCode_abeamGlideslope</t>
  </si>
  <si>
    <t>abeamPrecisionApproachRadar</t>
  </si>
  <si>
    <t>Abeam Precision Approach Radar</t>
  </si>
  <si>
    <t>Established on the runway centre-line at the location perpendicular to the Precision Approach Radar (PAR) Antenna.</t>
  </si>
  <si>
    <t>RcpCode_abeamPrecisionApproachRadar</t>
  </si>
  <si>
    <t>abeamRunwayEndReflector</t>
  </si>
  <si>
    <t>Abeam Runway End Reflector</t>
  </si>
  <si>
    <t>Established on the runway centre-line at the location perpendicular to the Runway End Reflector (RER).</t>
  </si>
  <si>
    <t>RcpCode_abeamRunwayEndReflector</t>
  </si>
  <si>
    <t>abeamTouchdownReflector</t>
  </si>
  <si>
    <t>Abeam Touchdown Reflector</t>
  </si>
  <si>
    <t>Established on the runway centre-line at the location perpendicular to the Touchdown Reflector (TDR).</t>
  </si>
  <si>
    <t>RcpCode_abeamTouchdownReflector</t>
  </si>
  <si>
    <t>highestElevationPoint</t>
  </si>
  <si>
    <t>Highest Elevation Point</t>
  </si>
  <si>
    <t>Established on the runway centre-line at the location that is the highest point of the usable runways of an aerodrome.</t>
  </si>
  <si>
    <t>RcpCode_highestElevationPoint</t>
  </si>
  <si>
    <t>runwayMidpoint</t>
  </si>
  <si>
    <t>Runway Midpoint</t>
  </si>
  <si>
    <t>Established on the runway centre-line at the midpoint of the runway.</t>
  </si>
  <si>
    <t>RcpCode_runwayMidpoint</t>
  </si>
  <si>
    <t>startRun</t>
  </si>
  <si>
    <t>Start Run</t>
  </si>
  <si>
    <t>Established on the runway centre-line at the start of the take-off run.</t>
  </si>
  <si>
    <t>RcpCode_startRun</t>
  </si>
  <si>
    <t>Established on the runway centre-line at the start of the runway threshold.</t>
  </si>
  <si>
    <t>It is intended that landing aircraft first contact the runway in the touchdown zone.</t>
  </si>
  <si>
    <t>RcpCode_touchdownZone</t>
  </si>
  <si>
    <t>RwtCode_highEnd</t>
  </si>
  <si>
    <t>RwtCode_lowEnd</t>
  </si>
  <si>
    <t>A point adjacent to the runway direction midsection.</t>
  </si>
  <si>
    <t>This is the second third of the runway direction length.</t>
  </si>
  <si>
    <t>RvoCode_middle</t>
  </si>
  <si>
    <t>takeoff</t>
  </si>
  <si>
    <t>Takeoff</t>
  </si>
  <si>
    <t>A point adjacent to the departure end of the runway direction.</t>
  </si>
  <si>
    <t>This is the last third of the runway direction length.</t>
  </si>
  <si>
    <t>RvoCode_takeoff</t>
  </si>
  <si>
    <t>touchdown</t>
  </si>
  <si>
    <t>Touchdown</t>
  </si>
  <si>
    <t>A point adjacent to the arrival end of the runway direction.</t>
  </si>
  <si>
    <t>This is the first third of the runway direction length.</t>
  </si>
  <si>
    <t>RvoCode_touchdown</t>
  </si>
  <si>
    <t>crescent</t>
  </si>
  <si>
    <t>Crescent</t>
  </si>
  <si>
    <t>Crescent-shaped mounds generally wider than long whose slipface is on the dune's concave side.</t>
  </si>
  <si>
    <t>Barchan</t>
  </si>
  <si>
    <t>SdtCode_crescent</t>
  </si>
  <si>
    <t>Oval or circular mounds that generally lack a slipface.</t>
  </si>
  <si>
    <t>They are rare and generally occur at the far upwind margins of sand seas.</t>
  </si>
  <si>
    <t>SdtCode_dome</t>
  </si>
  <si>
    <t>domeTransverse</t>
  </si>
  <si>
    <t>Dome and Transverse</t>
  </si>
  <si>
    <t>A mix of transverse dunes and, less frequently (usually around the peripheral edges), oval or circular mounds that generally lack a slipface.</t>
  </si>
  <si>
    <t>SdtCode_domeTransverse</t>
  </si>
  <si>
    <t>Straight or slightly sinuous sand ridges typically much longer than they are wide and whose long axis extends in the direction of sand movement.</t>
  </si>
  <si>
    <t>Linear dunes may occur as isolated ridges, but they generally form sets of parallel ridges separated by miles of sand, gravel, and/or rocky interdune corridors.</t>
  </si>
  <si>
    <t>SdtCode_linear</t>
  </si>
  <si>
    <t>parabolic</t>
  </si>
  <si>
    <t>Parabolic</t>
  </si>
  <si>
    <t>U-shaped mounds of sand with convex noses trailed by elongated arms whose slipface is on the dune's convex side.</t>
  </si>
  <si>
    <t>Generally located in coastal deserts, their arms have been fixed by vegetation while the bulk of the sand in the dune migrates forward.</t>
  </si>
  <si>
    <t>U-shaped, Blowout, Hairpin</t>
  </si>
  <si>
    <t>SdtCode_parabolic</t>
  </si>
  <si>
    <t>ripple</t>
  </si>
  <si>
    <t>Ripple</t>
  </si>
  <si>
    <t>A series of small, linear, parallel sand accumulations (incipient dunes) that occur in very fine sand.</t>
  </si>
  <si>
    <t>SdtCode_ripple</t>
  </si>
  <si>
    <t>Pyramidal sand mounds with slipfaces on three or more arms that radiate from the high centre of the mound, growing upward rather than laterally.</t>
  </si>
  <si>
    <t>They tend to accumulate in areas with multidirectional wind regimes.</t>
  </si>
  <si>
    <t>SdtCode_star</t>
  </si>
  <si>
    <t>transverse</t>
  </si>
  <si>
    <t>Transverse</t>
  </si>
  <si>
    <t>Long, relatively straight dunes, oriented perpendicular to the direction of the wind and consisting of accumulations of loose, well-sorted, very fine to medium sand in ridges that have a gentle stoss (upwind) slope and a steep slip face on the lee slope.</t>
  </si>
  <si>
    <t>Although appearing similar to linear dunes, they differ from linear dunes in that the two flanks of a transverse dune have different, rather than similar, angles of slope; the gentler upwind slope is composed of firmly packed sand and the steeper lee (avalanche) slope is soft and loose sand. Transverse dunes also migrate laterally, toward the next dune ridge, instead of longitudinally down the long axis of the ridge.</t>
  </si>
  <si>
    <t>SdtCode_transverse</t>
  </si>
  <si>
    <t>europeanGeoNavOverlayServ</t>
  </si>
  <si>
    <t>European Geostationary Navigation Overlay Service (EGNOS)</t>
  </si>
  <si>
    <t>EGNOS is intended to supplement the GPS, GLONASS and Galileo systems by reporting on the reliability and accuracy of the signals.</t>
  </si>
  <si>
    <t>SbaCode_europeanGeoNavOverlayServ</t>
  </si>
  <si>
    <t>localAreaAugmentSystem</t>
  </si>
  <si>
    <t>Local Area Augmentation System (LAAS)</t>
  </si>
  <si>
    <t>An all-weather aircraft landing system based on real-time differential correction of the GPS signal.</t>
  </si>
  <si>
    <t>Local reference receivers send data to a central location at the airport. This data is used to formulate a correction message, which is then transmitted to users via a VHF data link. A receiver on an aircraft uses this information to correct GPS signals, which then provides a standard ILS-style display to use while flying a precision approach.</t>
  </si>
  <si>
    <t>SbaCode_localAreaAugmentSystem</t>
  </si>
  <si>
    <t>multiFuncTransSatAugSys</t>
  </si>
  <si>
    <t>Multi-functional Transport Satellite Augmentation System (MSAS)</t>
  </si>
  <si>
    <t>MSAS is a Japanese Satellite Based Augmentation System which supports Differential GPS (DGPS) designed to supplement the GPS system by reporting (then improving) on the reliability and accuracy of those signals.</t>
  </si>
  <si>
    <t>SbaCode_multiFuncTransSatAugSys</t>
  </si>
  <si>
    <t>wideAreaAugmentSystem</t>
  </si>
  <si>
    <t>Wide Area Augmentation System (WAAS)</t>
  </si>
  <si>
    <t>An air navigation aid developed by the US Federal Aviation Administration to augment the Global Positioning System (GPS), with the goal of improving its accuracy, integrity, and availability.</t>
  </si>
  <si>
    <t>WAAS uses a network of ground-based reference stations, in North America and Hawaii, to measure small variations in the GPS satellites' signals in the western hemisphere. Measurements from the reference stations are routed to master stations, which queue the received DCs and send the correction messages to geostationary WAAS satellites in a timely manner (at least every 5 seconds or better). Those satellites broadcast the correction messages back to Earth, where WAAS-enabled GPS receiver uses the corrections while computing its position to improve accuracy.</t>
  </si>
  <si>
    <t>SbaCode_wideAreaAugmentSystem</t>
  </si>
  <si>
    <t>The presence of a bridge as a potential place to launch an attack.</t>
  </si>
  <si>
    <t>PheCode_bridge</t>
  </si>
  <si>
    <t>The presence of a culvert as a potential place to launch an attack.</t>
  </si>
  <si>
    <t>PheCode_culvert</t>
  </si>
  <si>
    <t>desertedArea</t>
  </si>
  <si>
    <t>Deserted Area</t>
  </si>
  <si>
    <t>The incident has happened or there is a threat in a deserted area.</t>
  </si>
  <si>
    <t>PheCode_desertedArea</t>
  </si>
  <si>
    <t>entranceGate</t>
  </si>
  <si>
    <t>Entrance and/or Gate</t>
  </si>
  <si>
    <t>The presence of an entrance and/or gate as a potential place to launch an attack.</t>
  </si>
  <si>
    <t>PheCode_entranceGate</t>
  </si>
  <si>
    <t>gasStation</t>
  </si>
  <si>
    <t>Gas Station</t>
  </si>
  <si>
    <t>The presence of a gas station as a potential place to launch an attack.</t>
  </si>
  <si>
    <t>PheCode_gasStation</t>
  </si>
  <si>
    <t>PheCode_higherGround</t>
  </si>
  <si>
    <t>isafCamp</t>
  </si>
  <si>
    <t>ISAF Camp</t>
  </si>
  <si>
    <t>The incident has happened or is a threat to an ISAF Camp.</t>
  </si>
  <si>
    <t>PheCode_isafCamp</t>
  </si>
  <si>
    <t>isafFob</t>
  </si>
  <si>
    <t>ISAF FOB</t>
  </si>
  <si>
    <t>The incident has happened or is a threat to an ISAF Forward Operating Base (FOB).</t>
  </si>
  <si>
    <t>PheCode_isafFob</t>
  </si>
  <si>
    <t>marketPlace</t>
  </si>
  <si>
    <t>Market Place</t>
  </si>
  <si>
    <t>The incident has happened or there is a threat in a market place.</t>
  </si>
  <si>
    <t>PheCode_marketPlace</t>
  </si>
  <si>
    <t>privateBuilding</t>
  </si>
  <si>
    <t>Private Building</t>
  </si>
  <si>
    <t>The incident has happened or is a threat in a private building.</t>
  </si>
  <si>
    <t>PheCode_privateBuilding</t>
  </si>
  <si>
    <t>publicBuilding</t>
  </si>
  <si>
    <t>Public Building</t>
  </si>
  <si>
    <t>The incident has happened or is a threat in a public building.</t>
  </si>
  <si>
    <t>PheCode_publicBuilding</t>
  </si>
  <si>
    <t>The presence of a qanat as a potential place to launch an attack.</t>
  </si>
  <si>
    <t>PheCode_qanat</t>
  </si>
  <si>
    <t>qanatShaft</t>
  </si>
  <si>
    <t>The presence of a qanat shaft as a potential place to launch an attack.</t>
  </si>
  <si>
    <t>PheCode_qanatShaft</t>
  </si>
  <si>
    <t>railwayCrossing</t>
  </si>
  <si>
    <t>Railway Crossing</t>
  </si>
  <si>
    <t>The presence of a railway crossing as a potential place to launch an attack.</t>
  </si>
  <si>
    <t>PheCode_railwayCrossing</t>
  </si>
  <si>
    <t>undergroundUtilityDuct</t>
  </si>
  <si>
    <t>Underground Utility Duct</t>
  </si>
  <si>
    <t>The presence of an underground utility duct as a potential place to launch an attack.</t>
  </si>
  <si>
    <t>PheCode_undergroundUtilityDuct</t>
  </si>
  <si>
    <t>urbanEnvironment</t>
  </si>
  <si>
    <t>Urban Environment</t>
  </si>
  <si>
    <t>The incident has happened or is a threat in an urban environment.</t>
  </si>
  <si>
    <t>PheCode_urbanEnvironment</t>
  </si>
  <si>
    <t>utilityCover</t>
  </si>
  <si>
    <t>The presence of a manhole as a potential place to launch an attack.</t>
  </si>
  <si>
    <t>PheCode_utilityCover</t>
  </si>
  <si>
    <t>automobile</t>
  </si>
  <si>
    <t>Automobile</t>
  </si>
  <si>
    <t>Derelict automobiles, usually intended to be stripped for parts used in the repair of other automobiles.</t>
  </si>
  <si>
    <t>WscCode_automobile</t>
  </si>
  <si>
    <t>Glass intended for recycling.</t>
  </si>
  <si>
    <t>WscCode_glass</t>
  </si>
  <si>
    <t>Cast or wrought iron broken up and set aside for reprocessing.</t>
  </si>
  <si>
    <t>May include crushed automobiles intended for recovery of their steel content.</t>
  </si>
  <si>
    <t>WscCode_iron</t>
  </si>
  <si>
    <t>Paper intended for repulping or reuse.</t>
  </si>
  <si>
    <t>WscCode_paper</t>
  </si>
  <si>
    <t>Plastic intended for recycling.</t>
  </si>
  <si>
    <t>WscCode_plastic</t>
  </si>
  <si>
    <t>bergyWater</t>
  </si>
  <si>
    <t>Bergy Water</t>
  </si>
  <si>
    <t>IccCode_bergyWater</t>
  </si>
  <si>
    <t>fastIce</t>
  </si>
  <si>
    <t>Fast Ice</t>
  </si>
  <si>
    <t>Sea ice which remains fast, generally in the position where originally formed, and which may attain a considerable thickness.</t>
  </si>
  <si>
    <t>IccCode_fastIce</t>
  </si>
  <si>
    <t>A mass of snow and ice continuously moving from higher to lower ground or, if afloat, continuously spreading.</t>
  </si>
  <si>
    <t>IccCode_glacier</t>
  </si>
  <si>
    <t>growlerArea</t>
  </si>
  <si>
    <t>Growler Area</t>
  </si>
  <si>
    <t>A low-lying mass of flow ice which is not easily seen by approaching vessels owing to its dark indigo colour.</t>
  </si>
  <si>
    <t>It is usually caused by the capsizing and disintegration of an iceberg and is a menace to shipping.</t>
  </si>
  <si>
    <t>IccCode_growlerArea</t>
  </si>
  <si>
    <t>icePeak</t>
  </si>
  <si>
    <t>IccCode_icePeak</t>
  </si>
  <si>
    <t>levelIce</t>
  </si>
  <si>
    <t>Level Ice</t>
  </si>
  <si>
    <t>IccCode_levelIce</t>
  </si>
  <si>
    <t>newIce</t>
  </si>
  <si>
    <t>New Ice</t>
  </si>
  <si>
    <t>IccCode_newIce</t>
  </si>
  <si>
    <t>packIce</t>
  </si>
  <si>
    <t>IccCode_packIce</t>
  </si>
  <si>
    <t>pancakeIce</t>
  </si>
  <si>
    <t>Pancake Ice</t>
  </si>
  <si>
    <t>Pieces of new ice, usually approximately circular, about 30 centimetres to 3 metres across, and with raised rims, due to the pieces striking against each other as the result of wind and swell.</t>
  </si>
  <si>
    <t>IccCode_pancakeIce</t>
  </si>
  <si>
    <t>polarIce</t>
  </si>
  <si>
    <t>Sea ice that is more than one year old (in contrast to winter ice).</t>
  </si>
  <si>
    <t>The WMO code defines polar ice as any sea ice more than one year old and more than 3 metres thick.</t>
  </si>
  <si>
    <t>IccCode_polarIce</t>
  </si>
  <si>
    <t>seaIce</t>
  </si>
  <si>
    <t>Sea Ice</t>
  </si>
  <si>
    <t>Any form of ice which has originated from sea water.</t>
  </si>
  <si>
    <t>Generally any ice in the sea.</t>
  </si>
  <si>
    <t>IccCode_seaIce</t>
  </si>
  <si>
    <t>McsCode_aluminum</t>
  </si>
  <si>
    <t>McsCode_ash</t>
  </si>
  <si>
    <t>McsCode_basalt</t>
  </si>
  <si>
    <t>McsCode_bedrock</t>
  </si>
  <si>
    <t>McsCode_boulders</t>
  </si>
  <si>
    <t>McsCode_breccia</t>
  </si>
  <si>
    <t>McsCode_brick</t>
  </si>
  <si>
    <t>ceramic</t>
  </si>
  <si>
    <t>Ceramic</t>
  </si>
  <si>
    <t>A nonmetallic material made from clay and hardened by firing at high temperature.</t>
  </si>
  <si>
    <t>It contains minute silicate crystals suspended in a glassy cement.</t>
  </si>
  <si>
    <t>McsCode_ceramic</t>
  </si>
  <si>
    <t>McsCode_chalk</t>
  </si>
  <si>
    <t>McsCode_cinders</t>
  </si>
  <si>
    <t>cirripedia</t>
  </si>
  <si>
    <t>Cirripedia</t>
  </si>
  <si>
    <t>A member of the subclass Cirripedia, a marine crustacean that is generally sessile as an adult and has limbs modified for filter-feeding.</t>
  </si>
  <si>
    <t>For example, a barnacle.</t>
  </si>
  <si>
    <t>McsCode_cirripedia</t>
  </si>
  <si>
    <t>McsCode_clay</t>
  </si>
  <si>
    <t>McsCode_cobbles</t>
  </si>
  <si>
    <t>McsCode_composition</t>
  </si>
  <si>
    <t>McsCode_concrete</t>
  </si>
  <si>
    <t>McsCode_copper</t>
  </si>
  <si>
    <t>McsCode_coral</t>
  </si>
  <si>
    <t>coralHead</t>
  </si>
  <si>
    <t>Coral Head</t>
  </si>
  <si>
    <t>A significant, dense, coral outcrop consisting of corals grown, usually, from a single embryo.</t>
  </si>
  <si>
    <t>McsCode_coralHead</t>
  </si>
  <si>
    <t>McsCode_diatomaceousEarth</t>
  </si>
  <si>
    <t>McsCode_dolerite</t>
  </si>
  <si>
    <t>McsCode_dolomite</t>
  </si>
  <si>
    <t>A sedimentary salt deposit left after the evaporation of a body of water.</t>
  </si>
  <si>
    <t>McsCode_evaporite</t>
  </si>
  <si>
    <t>flysch</t>
  </si>
  <si>
    <t>Flysch</t>
  </si>
  <si>
    <t>A thinly-bedded sedimentary deposit consisting of shales and marls alternating with coarser strata such as sandstones and conglomerates.</t>
  </si>
  <si>
    <t>McsCode_flysch</t>
  </si>
  <si>
    <t>McsCode_foraminifera</t>
  </si>
  <si>
    <t>fucus</t>
  </si>
  <si>
    <t>Fucus</t>
  </si>
  <si>
    <t>A member of the genus Fucus, a seaweed with leathery fronds.</t>
  </si>
  <si>
    <t>For example, bladderwrack.</t>
  </si>
  <si>
    <t>McsCode_fucus</t>
  </si>
  <si>
    <t>glassReinforcedPlastic</t>
  </si>
  <si>
    <t>Glass Reinforced Plastic (GRP)</t>
  </si>
  <si>
    <t>A plastic composition in which glass reinforcements are imbedded with strength properties greatly superior to those of the base resin.</t>
  </si>
  <si>
    <t>The reinforcements are usually fibres, rovings, fabrics or mats.</t>
  </si>
  <si>
    <t>McsCode_glassReinforcedPlastic</t>
  </si>
  <si>
    <t>McsCode_gneiss</t>
  </si>
  <si>
    <t>McsCode_gold</t>
  </si>
  <si>
    <t>McsCode_granite</t>
  </si>
  <si>
    <t>McsCode_gravel</t>
  </si>
  <si>
    <t>McsCode_greenstone</t>
  </si>
  <si>
    <t>McsCode_iron</t>
  </si>
  <si>
    <t>A clayey (usually red) soil or soil horizon characterized by a high proportion of sesquioxides, especially of aluminum and iron, and a low proportion of bases and silica.</t>
  </si>
  <si>
    <t>Formed by chemical weathering in tropical and subtropical regions, especially one which hardens or has hardened on exposure to air. Also loosely any of various other reddish or iron-rich surface materials in the tropics and sub-tropics.</t>
  </si>
  <si>
    <t>McsCode_laterite</t>
  </si>
  <si>
    <t>McsCode_lava</t>
  </si>
  <si>
    <t>McsCode_lead</t>
  </si>
  <si>
    <t>McsCode_limestone</t>
  </si>
  <si>
    <t>McsCode_loess</t>
  </si>
  <si>
    <t>McsCode_lumber</t>
  </si>
  <si>
    <t>McsCode_madrepore</t>
  </si>
  <si>
    <t>McsCode_manganese</t>
  </si>
  <si>
    <t>McsCode_marble</t>
  </si>
  <si>
    <t>McsCode_marl</t>
  </si>
  <si>
    <t>McsCode_masonry</t>
  </si>
  <si>
    <t>McsCode_metal</t>
  </si>
  <si>
    <t>McsCode_mud</t>
  </si>
  <si>
    <t>McsCode_mussels</t>
  </si>
  <si>
    <t>ooze</t>
  </si>
  <si>
    <t>Ooze</t>
  </si>
  <si>
    <t>A deposit or layer of white or grey calcareous matter largely composed of foraminiferan remains, covering large areas of the ocean floor.</t>
  </si>
  <si>
    <t>McsCode_ooze</t>
  </si>
  <si>
    <t>McsCode_oysters</t>
  </si>
  <si>
    <t>McsCode_partMetal</t>
  </si>
  <si>
    <t>McsCode_pebbles</t>
  </si>
  <si>
    <t>For example, used in thatching or sodding a roof.</t>
  </si>
  <si>
    <t>McsCode_plantMaterial</t>
  </si>
  <si>
    <t>McsCode_plastic</t>
  </si>
  <si>
    <t>McsCode_porphyry</t>
  </si>
  <si>
    <t>McsCode_prestressedConcrete</t>
  </si>
  <si>
    <t>McsCode_pumice</t>
  </si>
  <si>
    <t>McsCode_quartz</t>
  </si>
  <si>
    <t>McsCode_quartzite</t>
  </si>
  <si>
    <t>McsCode_radioactiveMaterial</t>
  </si>
  <si>
    <t>McsCode_radiolaria</t>
  </si>
  <si>
    <t>McsCode_reinforcedConcrete</t>
  </si>
  <si>
    <t>McsCode_rock</t>
  </si>
  <si>
    <t>McsCode_sand</t>
  </si>
  <si>
    <t>McsCode_sandstone</t>
  </si>
  <si>
    <t>McsCode_schist</t>
  </si>
  <si>
    <t>McsCode_scoria</t>
  </si>
  <si>
    <t>McsCode_seaMoss</t>
  </si>
  <si>
    <t>McsCode_shale</t>
  </si>
  <si>
    <t>McsCode_shell</t>
  </si>
  <si>
    <t>shingle</t>
  </si>
  <si>
    <t>Shingle</t>
  </si>
  <si>
    <t>Small, loose, rounded waterworn pebbles, especially as accumulated on a seashore.</t>
  </si>
  <si>
    <t>McsCode_shingle</t>
  </si>
  <si>
    <t>McsCode_silt</t>
  </si>
  <si>
    <t>McsCode_silver</t>
  </si>
  <si>
    <t>McsCode_slate</t>
  </si>
  <si>
    <t>McsCode_soil</t>
  </si>
  <si>
    <t>McsCode_spicules</t>
  </si>
  <si>
    <t>McsCode_sponge</t>
  </si>
  <si>
    <t>McsCode_steel</t>
  </si>
  <si>
    <t>McsCode_stone</t>
  </si>
  <si>
    <t>McsCode_timber</t>
  </si>
  <si>
    <t>McsCode_travertine</t>
  </si>
  <si>
    <t>treatedTimber</t>
  </si>
  <si>
    <t>Treated Timber</t>
  </si>
  <si>
    <t>A timber that has been impregnated with chemicals (for example: cresote oil) to reduce damage from wood rot and/or insects.</t>
  </si>
  <si>
    <t>Often used for the portions of a structure that are likely to be in ongoing contact with soil and/or water.</t>
  </si>
  <si>
    <t>McsCode_treatedTimber</t>
  </si>
  <si>
    <t>McsCode_tufa</t>
  </si>
  <si>
    <t>A mineral that may be used for the extraction of uranium.</t>
  </si>
  <si>
    <t>For example, pitchblende, uraninite, carnotite, torbernite, tyuyamunite, autunite, uranophane, and brannerite.</t>
  </si>
  <si>
    <t>McsCode_uraniumOre</t>
  </si>
  <si>
    <t>Plants collectively, especially those dominating a particular area or habitat.</t>
  </si>
  <si>
    <t>Plant Cover</t>
  </si>
  <si>
    <t>McsCode_vegetation</t>
  </si>
  <si>
    <t>McsCode_volcanicAsh</t>
  </si>
  <si>
    <t>McsCode_water</t>
  </si>
  <si>
    <t>McsCode_wood</t>
  </si>
  <si>
    <t>McsCode_zinc</t>
  </si>
  <si>
    <t>derivativeImageryPolicy</t>
  </si>
  <si>
    <t>Derivative Imagery Policy</t>
  </si>
  <si>
    <t>Derivative in accordance with the Imagery Policy Series Classification Guide.</t>
  </si>
  <si>
    <t>SthCode_derivativeImageryPolicy</t>
  </si>
  <si>
    <t>derivativeMidbSecurity</t>
  </si>
  <si>
    <t>Derivative MIDB Security</t>
  </si>
  <si>
    <t>Derivative in accordance with the DoD MIDB Security Classification Guide.</t>
  </si>
  <si>
    <t>SthCode_derivativeMidbSecurity</t>
  </si>
  <si>
    <t>derivativeNgaSecurity</t>
  </si>
  <si>
    <t>Derivative NGA Security</t>
  </si>
  <si>
    <t>Derivative in accordance with the NGA Security Classification Guide.</t>
  </si>
  <si>
    <t>SthCode_derivativeNgaSecurity</t>
  </si>
  <si>
    <t>derivativeOpnavSecurity</t>
  </si>
  <si>
    <t>Derivative OPNAV Security</t>
  </si>
  <si>
    <t>Derivative in accordance with the Naval Operations (OPNAV) Instruction S5513.5B-24 (security classification guide for undersea warfare programs).</t>
  </si>
  <si>
    <t>SthCode_derivativeOpnavSecurity</t>
  </si>
  <si>
    <t>execOrder12951Imagery</t>
  </si>
  <si>
    <t>EO 12951 Imagery</t>
  </si>
  <si>
    <t>Imagery authority as defined in Executive Order 12951 (Release of Imagery Acquired by Space-Based National Intelligence Reconnaissance Systems).</t>
  </si>
  <si>
    <t>SthCode_execOrder12951Imagery</t>
  </si>
  <si>
    <t>multipleSourceDerivative</t>
  </si>
  <si>
    <t>Multiple Source Derivative</t>
  </si>
  <si>
    <t>Derivative from multiple sources.</t>
  </si>
  <si>
    <t>SthCode_multipleSourceDerivative</t>
  </si>
  <si>
    <t>originalAuthority</t>
  </si>
  <si>
    <t>Original Authority</t>
  </si>
  <si>
    <t>Original classification authority.</t>
  </si>
  <si>
    <t>SthCode_originalAuthority</t>
  </si>
  <si>
    <t>cosmicTopSecret</t>
  </si>
  <si>
    <t>COSMIC Top Secret (CTS)</t>
  </si>
  <si>
    <t>This security classification concerns information where the unauthorized disclosure would result in, or could reasonably be expected to result in, exceptionally grave damage to NATO.</t>
  </si>
  <si>
    <t>The marking COSMIC is applied only to Top Secret documents prepared for circulation within NATO. COSMIC is a marking which, when applied to a document, signifies: a. The document is the property of NATO and may not be passed outside the organization except by the originator or with the originator=s consent; and, b. The document is subject to the special security protection outlined in United States Security Authority for NATO (USSAN) Instruction 1-69.</t>
  </si>
  <si>
    <t>SecCode_cosmicTopSecret</t>
  </si>
  <si>
    <t>cosmicTopSecretBalk</t>
  </si>
  <si>
    <t>COSMIC Top Secret (CTS) Balk</t>
  </si>
  <si>
    <t>[no definition specified]</t>
  </si>
  <si>
    <t>SecCode_cosmicTopSecretBalk</t>
  </si>
  <si>
    <t>cosmicTopSecretBohemia</t>
  </si>
  <si>
    <t>COSMIC Top Secret (CTS) Bohemia</t>
  </si>
  <si>
    <t>SecCode_cosmicTopSecretBohemia</t>
  </si>
  <si>
    <t>cosmicTopSecretAtomal</t>
  </si>
  <si>
    <t>COSMIC Top Secret Atomal (CTSA)</t>
  </si>
  <si>
    <t>This security classification is applied to either United States Restricted Data (RD) or Formerly Restricted Data (FDR) or United Kingdom Atomic information that has been officially released to NATO under NATO Document C-M(64)39.</t>
  </si>
  <si>
    <t>SecCode_cosmicTopSecretAtomal</t>
  </si>
  <si>
    <t>focalTopSecret</t>
  </si>
  <si>
    <t>FOCAL Top Secret (FTS)</t>
  </si>
  <si>
    <t>(WEU) National security information or material that requires the highest degree of protection and the unauthorized disclosure of which could reasonably be expected to cause exceptionally grave damage to the Western European Union.</t>
  </si>
  <si>
    <t>The Western European Union (WEU) is a partially dormant European defence and security organization composed of those states who were members of both NATO and the EU (except Denmark) before the latter expanded in June 2004.</t>
  </si>
  <si>
    <t>SecCode_focalTopSecret</t>
  </si>
  <si>
    <t>natoConfidential</t>
  </si>
  <si>
    <t>NATO Confidential (NC)</t>
  </si>
  <si>
    <t>(NATO) This security classification denotes information where the unauthorized disclosure could reasonably be expected to cause damage to NATO.</t>
  </si>
  <si>
    <t>SecCode_natoConfidential</t>
  </si>
  <si>
    <t>confidentialAtomal</t>
  </si>
  <si>
    <t>NATO Confidential Atomal (NCA)</t>
  </si>
  <si>
    <t>SecCode_confidentialAtomal</t>
  </si>
  <si>
    <t>natoRestricted</t>
  </si>
  <si>
    <t>NATO Restricted (NR)</t>
  </si>
  <si>
    <t>(NATO) This security classification concerns information where the unauthorized disclosure would be prejudicial to the interests of NATO.</t>
  </si>
  <si>
    <t>The United States does not have a security classification equivalent to NATO Restricted, therefore, documents marked NATO Restricted will be protected in accordance with the requirements of 'For Official Use Only' information. Documents originated by NATO that are marked Restricted shall be marked with the following additional notation, 'To be safeguarded in accordance with United States Security Authority for NATO (USSAN) Instruction 1-69'.</t>
  </si>
  <si>
    <t>SecCode_natoRestricted</t>
  </si>
  <si>
    <t>natoSecret</t>
  </si>
  <si>
    <t>NATO Secret (NS)</t>
  </si>
  <si>
    <t>(NATO) This security classification concerns information where the unauthorized disclosure could reasonably be expected to cause grave damage to NATO.</t>
  </si>
  <si>
    <t>NATO 'Secret' is a word which, when applied to a document, signifies: a. The document is the property of NATO and if bearing a security classification may not be passed outside the organization except under conditions outlined in USSAN 1-69, Attachment 1, Enclosure 2, Paragraph 3, and Annexes 1 and 2; and, b. The document, if bearing a security classification, is subject to the security protection outlined in United States Security Authority for NATO (USSAN) Instruction 1-69.</t>
  </si>
  <si>
    <t>SecCode_natoSecret</t>
  </si>
  <si>
    <t>secretAtomal</t>
  </si>
  <si>
    <t>NATO Secret Atomal (NSA)</t>
  </si>
  <si>
    <t>SecCode_secretAtomal</t>
  </si>
  <si>
    <t>natoSecretAvicula</t>
  </si>
  <si>
    <t>NATO Secret Avicula</t>
  </si>
  <si>
    <t>SecCode_natoSecretAvicula</t>
  </si>
  <si>
    <t>natoSecretSavate</t>
  </si>
  <si>
    <t>NATO Secret Savate</t>
  </si>
  <si>
    <t>SecCode_natoSecretSavate</t>
  </si>
  <si>
    <t>natoUnclassified</t>
  </si>
  <si>
    <t>NATO Unclassified</t>
  </si>
  <si>
    <t>(NATO) This security classification is applied to NATO information that does not require security protection.</t>
  </si>
  <si>
    <t>NATO Unclassified may be handled as United States Unclassified.</t>
  </si>
  <si>
    <t>SecCode_natoUnclassified</t>
  </si>
  <si>
    <t>ukConfidential</t>
  </si>
  <si>
    <t>UK Confidential</t>
  </si>
  <si>
    <t>(United Kingdom) Information and material the unauthorized disclosure of which would be PREJUDICIAL to the interests of the nation.</t>
  </si>
  <si>
    <t>SecCode_ukConfidential</t>
  </si>
  <si>
    <t>ukRestricted</t>
  </si>
  <si>
    <t>UK Restricted</t>
  </si>
  <si>
    <t>(United Kingdom) Information and material the unauthorized disclosure of which would be UNDESIRABLE in the interests of the nation.</t>
  </si>
  <si>
    <t>SecCode_ukRestricted</t>
  </si>
  <si>
    <t>ukSecret</t>
  </si>
  <si>
    <t>UK Secret</t>
  </si>
  <si>
    <t>(United Kingdom) Information and material the unauthorized disclosure of which would cause SERIOUS DAMAGE to the interests of the nation.</t>
  </si>
  <si>
    <t>SecCode_ukSecret</t>
  </si>
  <si>
    <t>ukTopSecret</t>
  </si>
  <si>
    <t>UK Top Secret</t>
  </si>
  <si>
    <t>(United Kingdom) Information and material the unauthorized disclosure of which would cause EXCEPTIONALLY GRAVE DAMAGE to the nation.</t>
  </si>
  <si>
    <t>SecCode_ukTopSecret</t>
  </si>
  <si>
    <t>usConfidential</t>
  </si>
  <si>
    <t>US Confidential</t>
  </si>
  <si>
    <t>(United States) National security information or material that requires protection and the unauthorized disclosure of which could reasonably be expected to cause damage to the national security.</t>
  </si>
  <si>
    <t>SecCode_usConfidential</t>
  </si>
  <si>
    <t>usForOfficialUseOnly</t>
  </si>
  <si>
    <t>US For Official Use Only</t>
  </si>
  <si>
    <t>(United States) Information that has not been given a security classification pursuant to the criteria of an Executive Order, but which may be withheld from the public because disclosure would cause a foreseeable harm to an interest protected by one or more Freedom of Information Act (FOIA) Exemptions 2 through 9; no other material shall be considered FOUO and FOUO is not authorized as an anemic form of classification to protect national security interests.</t>
  </si>
  <si>
    <t>SecCode_usForOfficialUseOnly</t>
  </si>
  <si>
    <t>usRestricted</t>
  </si>
  <si>
    <t>US Restricted</t>
  </si>
  <si>
    <t>(United States) All information concerning: a. design, manufacture, or use of atomic weapons; b. the production of special nuclear material; or c. the use of special nuclear material in the production of energy.</t>
  </si>
  <si>
    <t>SecCode_usRestricted</t>
  </si>
  <si>
    <t>usSecret</t>
  </si>
  <si>
    <t>US Secret</t>
  </si>
  <si>
    <t>(United States) National security information or material that requires a substantial degree of protection and the unauthorized disclosure of which could reasonably be expected to cause serious damage to the national security.</t>
  </si>
  <si>
    <t>SecCode_usSecret</t>
  </si>
  <si>
    <t>usTopSecret</t>
  </si>
  <si>
    <t>US Top Secret</t>
  </si>
  <si>
    <t>(United States) National security information or material that requires the highest degree of protection and the unauthorized disclosure of which could reasonably be expected to cause exceptionally grave damage to the national security.</t>
  </si>
  <si>
    <t>SecCode_usTopSecret</t>
  </si>
  <si>
    <t>usUnclassified</t>
  </si>
  <si>
    <t>US Unclassified</t>
  </si>
  <si>
    <t>(United States) Official matter that does not require the application of security safeguards, but the disclosure of which may be subject to control for other reasons.</t>
  </si>
  <si>
    <t>SecCode_usUnclassified</t>
  </si>
  <si>
    <t>guardhouse</t>
  </si>
  <si>
    <t>Guardhouse</t>
  </si>
  <si>
    <t>A building accommodating a guard or used for securing prisoners.</t>
  </si>
  <si>
    <t>SfyCode_guardhouse</t>
  </si>
  <si>
    <t>guardroom</t>
  </si>
  <si>
    <t>Guardroom</t>
  </si>
  <si>
    <t>A room accommodating a guard or used for securing prisoners.</t>
  </si>
  <si>
    <t>SfyCode_guardroom</t>
  </si>
  <si>
    <t>Hue: N, Value/Chroma: 1/0</t>
  </si>
  <si>
    <t>ScoCode_black</t>
  </si>
  <si>
    <t>brilliantGreen</t>
  </si>
  <si>
    <t>Brilliant Green</t>
  </si>
  <si>
    <t>Hue: 5G, Value/Chroma: 6/6</t>
  </si>
  <si>
    <t>ScoCode_brilliantGreen</t>
  </si>
  <si>
    <t>darkGreenishYellow</t>
  </si>
  <si>
    <t>Dark Greenish Yellow</t>
  </si>
  <si>
    <t>Hue: 10Y, Value/Chroma: 6/6</t>
  </si>
  <si>
    <t>ScoCode_darkGreenishYellow</t>
  </si>
  <si>
    <t>darkReddishBrown</t>
  </si>
  <si>
    <t>Dark Reddish Brown</t>
  </si>
  <si>
    <t>Hue: 10R, Value/Chroma: 3/4</t>
  </si>
  <si>
    <t>ScoCode_darkReddishBrown</t>
  </si>
  <si>
    <t>darkYellowishGreen</t>
  </si>
  <si>
    <t>Dark Yellowish Green</t>
  </si>
  <si>
    <t>Hue: 10GY, Value/Chroma: 4/4</t>
  </si>
  <si>
    <t>ScoCode_darkYellowishGreen</t>
  </si>
  <si>
    <t>duskyBlueGreen</t>
  </si>
  <si>
    <t>Dusky Blue Green</t>
  </si>
  <si>
    <t>Hue: 5BG, Value/Chroma: 3/2</t>
  </si>
  <si>
    <t>ScoCode_duskyBlueGreen</t>
  </si>
  <si>
    <t>duskyGreen</t>
  </si>
  <si>
    <t>Dusky Green</t>
  </si>
  <si>
    <t>Hue: 5G, Value/Chroma: 3/2</t>
  </si>
  <si>
    <t>ScoCode_duskyGreen</t>
  </si>
  <si>
    <t>duskyRed</t>
  </si>
  <si>
    <t>Dusky Red</t>
  </si>
  <si>
    <t>Hue: 5R, Value/Chroma: 3/4</t>
  </si>
  <si>
    <t>ScoCode_duskyRed</t>
  </si>
  <si>
    <t>duskyYellow</t>
  </si>
  <si>
    <t>Dusky Yellow</t>
  </si>
  <si>
    <t>Hue: 5Y, Value/Chroma: 6/4</t>
  </si>
  <si>
    <t>ScoCode_duskyYellow</t>
  </si>
  <si>
    <t>duskyYellowishGreen</t>
  </si>
  <si>
    <t>Dusky Yellowish Green</t>
  </si>
  <si>
    <t>Hue: 10GY, Value/Chroma: 3/2</t>
  </si>
  <si>
    <t>ScoCode_duskyYellowishGreen</t>
  </si>
  <si>
    <t>grayishGreen</t>
  </si>
  <si>
    <t>Grayish Green</t>
  </si>
  <si>
    <t>Hue: 10G, Value/Chroma: 4/2</t>
  </si>
  <si>
    <t>ScoCode_grayishGreen</t>
  </si>
  <si>
    <t>grayishOrangePink</t>
  </si>
  <si>
    <t>Grayish Orange Pink</t>
  </si>
  <si>
    <t>Hue: 10R, Value/Chroma: 8/2</t>
  </si>
  <si>
    <t>ScoCode_grayishOrangePink</t>
  </si>
  <si>
    <t>grayishRed</t>
  </si>
  <si>
    <t>Grayish Red</t>
  </si>
  <si>
    <t>Hue: 10R, Value/Chroma: 4/2</t>
  </si>
  <si>
    <t>ScoCode_grayishRed</t>
  </si>
  <si>
    <t>grayishYellow</t>
  </si>
  <si>
    <t>Grayish Yellow</t>
  </si>
  <si>
    <t>Hue: 5Y, Value/Chroma: 8/4</t>
  </si>
  <si>
    <t>ScoCode_grayishYellow</t>
  </si>
  <si>
    <t>grayishYellowishGreen</t>
  </si>
  <si>
    <t>Grayish Yellowish Green</t>
  </si>
  <si>
    <t>Hue: 10GY, Value/Chroma: 5/2</t>
  </si>
  <si>
    <t>ScoCode_grayishYellowishGreen</t>
  </si>
  <si>
    <t>greenishOlive</t>
  </si>
  <si>
    <t>Greenish Olive</t>
  </si>
  <si>
    <t>Hue: 10Y, Value/Chroma: 4/2</t>
  </si>
  <si>
    <t>ScoCode_greenishOlive</t>
  </si>
  <si>
    <t>lightBlueGreen</t>
  </si>
  <si>
    <t>Light Blue Green</t>
  </si>
  <si>
    <t>Hue: 5BG, Value/Chroma: 6/6</t>
  </si>
  <si>
    <t>ScoCode_lightBlueGreen</t>
  </si>
  <si>
    <t>lightGreen</t>
  </si>
  <si>
    <t>Light Green</t>
  </si>
  <si>
    <t>Hue: 5G, Value/Chroma: 7/4</t>
  </si>
  <si>
    <t>ScoCode_lightGreen</t>
  </si>
  <si>
    <t>lightOlive</t>
  </si>
  <si>
    <t>Light Olive</t>
  </si>
  <si>
    <t>Hue: 10Y, Value/Chroma: 5/4</t>
  </si>
  <si>
    <t>ScoCode_lightOlive</t>
  </si>
  <si>
    <t>lightOliveBrown</t>
  </si>
  <si>
    <t>Light Olive Brown</t>
  </si>
  <si>
    <t>Hue: 5Y, Value/Chroma: 5/6</t>
  </si>
  <si>
    <t>ScoCode_lightOliveBrown</t>
  </si>
  <si>
    <t>lightRed</t>
  </si>
  <si>
    <t>Light Red</t>
  </si>
  <si>
    <t>Hue: 5R, Value/Chroma: 6/6</t>
  </si>
  <si>
    <t>ScoCode_lightRed</t>
  </si>
  <si>
    <t>lightYellowishGreen</t>
  </si>
  <si>
    <t>Light Yellowish Green</t>
  </si>
  <si>
    <t>Hue: 5GY, Value/Chroma: 7/4</t>
  </si>
  <si>
    <t>ScoCode_lightYellowishGreen</t>
  </si>
  <si>
    <t>moderateGrayishGreen</t>
  </si>
  <si>
    <t>Moderate Grayish Green</t>
  </si>
  <si>
    <t>Hue: 5G, Value/Chroma: 5/2</t>
  </si>
  <si>
    <t>ScoCode_moderateGrayishGreen</t>
  </si>
  <si>
    <t>moderateGreen</t>
  </si>
  <si>
    <t>Moderate Green</t>
  </si>
  <si>
    <t>Hue: 5G, Value/Chroma: 5/6</t>
  </si>
  <si>
    <t>ScoCode_moderateGreen</t>
  </si>
  <si>
    <t>moderateGreenishYellow</t>
  </si>
  <si>
    <t>Moderate Greenish Yellow</t>
  </si>
  <si>
    <t>Hue: 10Y, Value/Chroma: 7/4</t>
  </si>
  <si>
    <t>ScoCode_moderateGreenishYellow</t>
  </si>
  <si>
    <t>moderateOliveBrown</t>
  </si>
  <si>
    <t>Moderate Olive Brown</t>
  </si>
  <si>
    <t>Hue: 5Y, Value/Chroma: 4/4</t>
  </si>
  <si>
    <t>ScoCode_moderateOliveBrown</t>
  </si>
  <si>
    <t>moderateOrangePink</t>
  </si>
  <si>
    <t>Moderate Orange Pink</t>
  </si>
  <si>
    <t>Hue: 10R, Value/Chroma: 7/4</t>
  </si>
  <si>
    <t>ScoCode_moderateOrangePink</t>
  </si>
  <si>
    <t>moderatePink</t>
  </si>
  <si>
    <t>Moderate Pink</t>
  </si>
  <si>
    <t>Hue: 5R, Value/Chroma: 7/4</t>
  </si>
  <si>
    <t>ScoCode_moderatePink</t>
  </si>
  <si>
    <t>moderateRed</t>
  </si>
  <si>
    <t>Moderate Red</t>
  </si>
  <si>
    <t>Hue: 5R, Value/Chroma: 5/4</t>
  </si>
  <si>
    <t>ScoCode_moderateRed</t>
  </si>
  <si>
    <t>moderateReddishBrown</t>
  </si>
  <si>
    <t>Moderate Reddish Brown</t>
  </si>
  <si>
    <t>Hue: 10R, Value/Chroma: 4/6</t>
  </si>
  <si>
    <t>ScoCode_moderateReddishBrown</t>
  </si>
  <si>
    <t>moderateReddishOrange</t>
  </si>
  <si>
    <t>Moderate Reddish Orange</t>
  </si>
  <si>
    <t>Hue: 10R, Value/Chroma: 6/6</t>
  </si>
  <si>
    <t>ScoCode_moderateReddishOrange</t>
  </si>
  <si>
    <t>moderateYellow</t>
  </si>
  <si>
    <t>Moderate Yellow</t>
  </si>
  <si>
    <t>Hue: 5Y, Value/Chroma: 7/6</t>
  </si>
  <si>
    <t>ScoCode_moderateYellow</t>
  </si>
  <si>
    <t>moderateYellowishGreen</t>
  </si>
  <si>
    <t>Moderate Yellowish Green</t>
  </si>
  <si>
    <t>Hue: 10GY, Value/Chroma: 6/4</t>
  </si>
  <si>
    <t>ScoCode_moderateYellowishGreen</t>
  </si>
  <si>
    <t>paleGrayishGreen</t>
  </si>
  <si>
    <t>Pale Grayish Green</t>
  </si>
  <si>
    <t>Hue: 10G, Value/Chroma: 6/2</t>
  </si>
  <si>
    <t>ScoCode_paleGrayishGreen</t>
  </si>
  <si>
    <t>paleGreen</t>
  </si>
  <si>
    <t>Pale Green</t>
  </si>
  <si>
    <t>Hue: 5G, Value/Chroma: 7/2</t>
  </si>
  <si>
    <t>ScoCode_paleGreen</t>
  </si>
  <si>
    <t>paleGreenishYellow</t>
  </si>
  <si>
    <t>Pale Greenish Yellow</t>
  </si>
  <si>
    <t>Hue: 10Y, Value/Chroma: 8/2</t>
  </si>
  <si>
    <t>ScoCode_paleGreenishYellow</t>
  </si>
  <si>
    <t>paleOlive</t>
  </si>
  <si>
    <t>Pale Olive</t>
  </si>
  <si>
    <t>Hue: 10Y, Value/Chroma: 6/2</t>
  </si>
  <si>
    <t>ScoCode_paleOlive</t>
  </si>
  <si>
    <t>palePink</t>
  </si>
  <si>
    <t>Pale Pink</t>
  </si>
  <si>
    <t>Hue: 5RP, Value/Chroma: 8/2</t>
  </si>
  <si>
    <t>ScoCode_palePink</t>
  </si>
  <si>
    <t>palePurple</t>
  </si>
  <si>
    <t>Pale Purple</t>
  </si>
  <si>
    <t>Hue: 5P, Value/Chroma: 6/2</t>
  </si>
  <si>
    <t>ScoCode_palePurple</t>
  </si>
  <si>
    <t>paleRed</t>
  </si>
  <si>
    <t>Pale Red</t>
  </si>
  <si>
    <t>Hue: 10R, Value/Chroma: 6/2</t>
  </si>
  <si>
    <t>ScoCode_paleRed</t>
  </si>
  <si>
    <t>paleRedPurple</t>
  </si>
  <si>
    <t>Pale Red Purple</t>
  </si>
  <si>
    <t>Hue: 5RP, Value/Chroma: 6/2</t>
  </si>
  <si>
    <t>ScoCode_paleRedPurple</t>
  </si>
  <si>
    <t>paleReddishBrown</t>
  </si>
  <si>
    <t>Pale Reddish Brown</t>
  </si>
  <si>
    <t>Hue: 10R, Value/Chroma: 5/4</t>
  </si>
  <si>
    <t>ScoCode_paleReddishBrown</t>
  </si>
  <si>
    <t>paleYellowishGreen</t>
  </si>
  <si>
    <t>Pale Yellowish Green</t>
  </si>
  <si>
    <t>Hue: 10GY, Value/Chroma: 7/2</t>
  </si>
  <si>
    <t>ScoCode_paleYellowishGreen</t>
  </si>
  <si>
    <t>veryDarkRed</t>
  </si>
  <si>
    <t>Very Dark Red</t>
  </si>
  <si>
    <t>Hue: 5R, Value/Chroma: 2/6</t>
  </si>
  <si>
    <t>ScoCode_veryDarkRed</t>
  </si>
  <si>
    <t>veryDuskyPurple</t>
  </si>
  <si>
    <t>Very Dusky Purple</t>
  </si>
  <si>
    <t>Hue: 5P, Value/Chroma: 2/2</t>
  </si>
  <si>
    <t>ScoCode_veryDuskyPurple</t>
  </si>
  <si>
    <t>veryDuskyRed</t>
  </si>
  <si>
    <t>Very Dusky Red</t>
  </si>
  <si>
    <t>Hue: 10R, Value/Chroma: 2/2</t>
  </si>
  <si>
    <t>ScoCode_veryDuskyRed</t>
  </si>
  <si>
    <t>veryDuskyRedPurple</t>
  </si>
  <si>
    <t>Very Dusky Red Purple</t>
  </si>
  <si>
    <t>Hue: 5RP, Value/Chroma: 2/2</t>
  </si>
  <si>
    <t>ScoCode_veryDuskyRedPurple</t>
  </si>
  <si>
    <t>veryPaleGreen</t>
  </si>
  <si>
    <t>Very Pale Green</t>
  </si>
  <si>
    <t>Hue: 10G, Value/Chroma: 8/2</t>
  </si>
  <si>
    <t>ScoCode_veryPaleGreen</t>
  </si>
  <si>
    <t>Hue: N, Value/Chroma: 9/0</t>
  </si>
  <si>
    <t>ScoCode_white</t>
  </si>
  <si>
    <t>Seismic disturbance caused by collapsing of rock overlying an opening .</t>
  </si>
  <si>
    <t>For example, underground mine and karst areas.</t>
  </si>
  <si>
    <t>EqkCode_collapse</t>
  </si>
  <si>
    <t>explosion</t>
  </si>
  <si>
    <t>Explosion</t>
  </si>
  <si>
    <t>Seismic disturbance caused by the detonation of nuclear and chemical devices.</t>
  </si>
  <si>
    <t>EqkCode_explosion</t>
  </si>
  <si>
    <t>Seismic disturbance caused by the impact of a meteorite.</t>
  </si>
  <si>
    <t>EqkCode_impact</t>
  </si>
  <si>
    <t>tectonic</t>
  </si>
  <si>
    <t>Tectonic</t>
  </si>
  <si>
    <t>Seismic disturbance caused by the abrupt release of slowly accumulated strain in the Earth crust.</t>
  </si>
  <si>
    <t>EqkCode_tectonic</t>
  </si>
  <si>
    <t>Seismic disturbance caused by volcanic activity.</t>
  </si>
  <si>
    <t>EqkCode_volcanic</t>
  </si>
  <si>
    <t>bomisPoint</t>
  </si>
  <si>
    <t>Bottom-mounted Instrumentation System (BOMIS) Point</t>
  </si>
  <si>
    <t>An established point on a waterbody floor at which a platform to deploy measurement instrumentation is located.</t>
  </si>
  <si>
    <t>BOMIS platforms are used to measure waterbody characteristics such as wave and water resource information. BOMIS points may be used as a calibration points for both platform-mounted and ship-mounted instrumentation.</t>
  </si>
  <si>
    <t>NcuCode_bomisPoint</t>
  </si>
  <si>
    <t>radarTargetPoint</t>
  </si>
  <si>
    <t>Radar Target Point</t>
  </si>
  <si>
    <t>An established point that is used to calibrate a radio detection and ranging (RADAR) system.</t>
  </si>
  <si>
    <t>NcuCode_radarTargetPoint</t>
  </si>
  <si>
    <t>sonarCalibrationPoint</t>
  </si>
  <si>
    <t>Sonar Calibration Point</t>
  </si>
  <si>
    <t>An established point at which a transducer is located and then used to calibrate an underwater sound navigation and ranging (SONAR) system.</t>
  </si>
  <si>
    <t>Sonar calibration points are usually located at a Fleet Operational Readiness Accuracy Check Site (FORACS).</t>
  </si>
  <si>
    <t>NcuCode_sonarCalibrationPoint</t>
  </si>
  <si>
    <t>sonarTargetPoint</t>
  </si>
  <si>
    <t>Sonar Target Point</t>
  </si>
  <si>
    <t>An established point that is used to calibrate an underwater sound navigation and ranging (SONAR) system.</t>
  </si>
  <si>
    <t>NcuCode_sonarTargetPoint</t>
  </si>
  <si>
    <t>underwaterAcousticPhonePt</t>
  </si>
  <si>
    <t>Underwater Acoustic Telephone Point</t>
  </si>
  <si>
    <t>An established point at which an acoustic telephone transducer is located.</t>
  </si>
  <si>
    <t>These fixed locations are used both for communications with an underwater vessel and for calibration of the communication equipment of underwater vessels.</t>
  </si>
  <si>
    <t>NcuCode_underwaterAcousticPhonePt</t>
  </si>
  <si>
    <t>concentricRegular</t>
  </si>
  <si>
    <t>Concentric and Regular</t>
  </si>
  <si>
    <t>The main street pattern is a series of somewhat evenly spaced, increasingly large circles around a central point; side streets connecting to the circles tend to be unevenly spaced and to connect only a few of the circles instead of radiating out continuously from the center.</t>
  </si>
  <si>
    <t>UspCode_concentricRegular</t>
  </si>
  <si>
    <t>contourConforming</t>
  </si>
  <si>
    <t>Contour Conforming</t>
  </si>
  <si>
    <t>The majority of the somewhat evenly spaced streets follow the contour of the land, staying near the same elevation throughout.</t>
  </si>
  <si>
    <t>Usually found in urban areas on steep slopes where a few steep and sharply twisting side streets connect the paralleling contour streets.</t>
  </si>
  <si>
    <t>Regular Contouring</t>
  </si>
  <si>
    <t>UspCode_contourConforming</t>
  </si>
  <si>
    <t>contouringButIrregular</t>
  </si>
  <si>
    <t>Contouring but Irregular</t>
  </si>
  <si>
    <t>The majority of the streets follow the contour of the land, staying near the same elevation throughout, however they are unevenly or widely spaced from each other.</t>
  </si>
  <si>
    <t>Irregular Contouring</t>
  </si>
  <si>
    <t>UspCode_contouringButIrregular</t>
  </si>
  <si>
    <t>curvilinear</t>
  </si>
  <si>
    <t>Curvilinear</t>
  </si>
  <si>
    <t>The streets follow a planned pattern of curves and irregularities designed to discourage through traffic and ensure increased privacy.</t>
  </si>
  <si>
    <t>Usually only found in residential neighborhoods.</t>
  </si>
  <si>
    <t>Irregular Modern, Cluster</t>
  </si>
  <si>
    <t>UspCode_curvilinear</t>
  </si>
  <si>
    <t>irregularCanals</t>
  </si>
  <si>
    <t>Irregular Canals</t>
  </si>
  <si>
    <t>The main thoroughfare areas are a series of irregularly organized unevenly spaced canals.</t>
  </si>
  <si>
    <t>UspCode_irregularCanals</t>
  </si>
  <si>
    <t>There is a single main street perhaps with a short paralleling side street, or it stretches out in both directions along two main intersecting roads (in outline configured as a cross).</t>
  </si>
  <si>
    <t>Sometimes referred to a strip development and common on the edge of expanding urban areas or in rural areas where the main thoroughfare or intersecting roads are the only ones paved or otherwise improved.</t>
  </si>
  <si>
    <t>Strip</t>
  </si>
  <si>
    <t>UspCode_linear</t>
  </si>
  <si>
    <t>medievalAndIrregular</t>
  </si>
  <si>
    <t>Medieval and Irregular</t>
  </si>
  <si>
    <t>The streets extend in an irregular pattern from the center reflecting the historic pattern of development, often centred by a church or fortress.</t>
  </si>
  <si>
    <t>Usually found in the center of older urban areas.</t>
  </si>
  <si>
    <t>Preindustrial and Irregular</t>
  </si>
  <si>
    <t>UspCode_medievalAndIrregular</t>
  </si>
  <si>
    <t>mixedRadialCurvilinear</t>
  </si>
  <si>
    <t>Mixed Radial and Curvilinear</t>
  </si>
  <si>
    <t>The streets follow a mix of radial and curvilinear patterns.</t>
  </si>
  <si>
    <t>UspCode_mixedRadialCurvilinear</t>
  </si>
  <si>
    <t>mixedRectCurvilinear</t>
  </si>
  <si>
    <t>Mixed Rectangular and Curvilinear</t>
  </si>
  <si>
    <t>The streets follow a mix of rectangular and curvilinear patterns.</t>
  </si>
  <si>
    <t>UspCode_mixedRectCurvilinear</t>
  </si>
  <si>
    <t>mixedRectangularRadial</t>
  </si>
  <si>
    <t>Mixed Rectangular and Radial</t>
  </si>
  <si>
    <t>The streets follow a mix of rectangular and radial patterns.</t>
  </si>
  <si>
    <t>UspCode_mixedRectangularRadial</t>
  </si>
  <si>
    <t>radialRegular</t>
  </si>
  <si>
    <t>Radial and Regular</t>
  </si>
  <si>
    <t>The streets tend to radiate out from a central point in a somewhat evenly spaced pattern in all directions similar to the spokes of a wheel; side streets connecting to the radials tend to be unevenly spaced and to connect only a few of the radials instead of going completely around.</t>
  </si>
  <si>
    <t>UspCode_radialRegular</t>
  </si>
  <si>
    <t>radialButIrregular</t>
  </si>
  <si>
    <t>Radial but Irregular</t>
  </si>
  <si>
    <t>The streets tend to radiate out from a central point in an unevenly spaced pattern in all directions similar to the spokes of a wheel; side streets connecting to the radials tend to be unevenly spaced and to connect only a few of the radials instead of going completely around.</t>
  </si>
  <si>
    <t>UspCode_radialButIrregular</t>
  </si>
  <si>
    <t>rectangularRegular</t>
  </si>
  <si>
    <t>Rectangular and Regular</t>
  </si>
  <si>
    <t>The streets form an intersecting grid pattern of approximately regularly spaced lines at right angles to each other.</t>
  </si>
  <si>
    <t>Regular Grid</t>
  </si>
  <si>
    <t>UspCode_rectangularRegular</t>
  </si>
  <si>
    <t>rectangularButIrregular</t>
  </si>
  <si>
    <t>Rectangular but Irregular</t>
  </si>
  <si>
    <t>The streets form a discontinuous intersecting grid pattern of approximately regularly spaced lines at right angles to each other.</t>
  </si>
  <si>
    <t>Street discontinuities are often created to form small urban parks, or to discourage through-traffic in a residential neighborhood; the consequence is blocky irregularities in the overall pattern.</t>
  </si>
  <si>
    <t>Irregular Grid</t>
  </si>
  <si>
    <t>UspCode_rectangularButIrregular</t>
  </si>
  <si>
    <t>regularCanals</t>
  </si>
  <si>
    <t>Regular Canals</t>
  </si>
  <si>
    <t>The main thoroughfare areas are a series of regularly spaced canals, similar to the regular street pattern.</t>
  </si>
  <si>
    <t>UspCode_regularCanals</t>
  </si>
  <si>
    <t>partiallyAbandoned</t>
  </si>
  <si>
    <t>Partially Abandoned</t>
  </si>
  <si>
    <t>A settlement with a portion of unused facilities as a result of disaster or other damaging impacts, or due to migration.</t>
  </si>
  <si>
    <t>SldCode_partiallyAbandoned</t>
  </si>
  <si>
    <t>permanentlyExisting</t>
  </si>
  <si>
    <t>Permanently Existing</t>
  </si>
  <si>
    <t>A settlement in permanent use.</t>
  </si>
  <si>
    <t>SldCode_permanentlyExisting</t>
  </si>
  <si>
    <t>permanentlyMoved</t>
  </si>
  <si>
    <t>Permanently Moved</t>
  </si>
  <si>
    <t>A settlement consisting of transportable or mobile facilities subject to primarily seasonal changes of location.</t>
  </si>
  <si>
    <t>SldCode_permanentlyMoved</t>
  </si>
  <si>
    <t>A settlement used for long (usually seasonal) periods of the year.</t>
  </si>
  <si>
    <t>For example, associated with alpine pastures.</t>
  </si>
  <si>
    <t>SldCode_seasonal</t>
  </si>
  <si>
    <t>semipermanent</t>
  </si>
  <si>
    <t>Semipermanent</t>
  </si>
  <si>
    <t>A settlement used for years.</t>
  </si>
  <si>
    <t>For example, associated with shifting cultivation agricultural practices.</t>
  </si>
  <si>
    <t>SldCode_semipermanent</t>
  </si>
  <si>
    <t>A settlement regularly or irregularly used for several weeks of a year.</t>
  </si>
  <si>
    <t>For example, used by nomads with herds.</t>
  </si>
  <si>
    <t>SldCode_temporary</t>
  </si>
  <si>
    <t>totallyAbandoned</t>
  </si>
  <si>
    <t>Totally Abandoned</t>
  </si>
  <si>
    <t>A totally unhabitated locality caused by a disaster or other damaging impacts, or due to migration.</t>
  </si>
  <si>
    <t>SldCode_totallyAbandoned</t>
  </si>
  <si>
    <t>transitory</t>
  </si>
  <si>
    <t>Transitory</t>
  </si>
  <si>
    <t>A settlement only used for a few days of a year.</t>
  </si>
  <si>
    <t>For example, used by hunters and hunting-gathering people.</t>
  </si>
  <si>
    <t>Shortlived Settlement</t>
  </si>
  <si>
    <t>SldCode_transitory</t>
  </si>
  <si>
    <t>dangerous</t>
  </si>
  <si>
    <t>Dangerous</t>
  </si>
  <si>
    <t>SohCode_dangerous</t>
  </si>
  <si>
    <t>nonDangerous</t>
  </si>
  <si>
    <t>Non-Dangerous</t>
  </si>
  <si>
    <t>SohCode_nonDangerous</t>
  </si>
  <si>
    <t>nonDangerousButAvoid</t>
  </si>
  <si>
    <t>Non-Dangerous but Avoid</t>
  </si>
  <si>
    <t>Non-Dangerous to surface navigation, but avoid anchoring/trawling.</t>
  </si>
  <si>
    <t>SohCode_nonDangerousButAvoid</t>
  </si>
  <si>
    <t>SohCode_obstruction</t>
  </si>
  <si>
    <t>Angle = 0 degrees.</t>
  </si>
  <si>
    <t>SsoCode_horizontal</t>
  </si>
  <si>
    <t>slopesDownward</t>
  </si>
  <si>
    <t>Slopes downward</t>
  </si>
  <si>
    <t>Negative slope other than vertical.</t>
  </si>
  <si>
    <t>SsoCode_slopesDownward</t>
  </si>
  <si>
    <t>slopesUpward</t>
  </si>
  <si>
    <t>Slopes upward</t>
  </si>
  <si>
    <t>Positive slope other than vertical.</t>
  </si>
  <si>
    <t>SsoCode_slopesUpward</t>
  </si>
  <si>
    <t>Angle = - 90 degrees.</t>
  </si>
  <si>
    <t>SsoCode_vertical</t>
  </si>
  <si>
    <t>rockSnowShed</t>
  </si>
  <si>
    <t>Rock and Snow Shed</t>
  </si>
  <si>
    <t>A shelter that serves as a snow shed during the winter months and as a rock shed year round.</t>
  </si>
  <si>
    <t>SucCode_rockSnowShed</t>
  </si>
  <si>
    <t>rockShed</t>
  </si>
  <si>
    <t>Rock Shed</t>
  </si>
  <si>
    <t>A shelter built to protect a section of road and/or railway from rock slides.</t>
  </si>
  <si>
    <t>SucCode_rockShed</t>
  </si>
  <si>
    <t>snowShed</t>
  </si>
  <si>
    <t>Snow Shed</t>
  </si>
  <si>
    <t>A shelter built to protect a section of road and/or railway from snow slides.</t>
  </si>
  <si>
    <t>SucCode_snowShed</t>
  </si>
  <si>
    <t>utilityShed</t>
  </si>
  <si>
    <t>Utility Shed</t>
  </si>
  <si>
    <t>A building of light construction, which usually has one or more open sides, that is typically used for storage.</t>
  </si>
  <si>
    <t>SucCode_utilityShed</t>
  </si>
  <si>
    <t>deliverableContainer</t>
  </si>
  <si>
    <t>Deliverable Container</t>
  </si>
  <si>
    <t>A substantial closed container that is delivered to a site for do-it-yourself moving and/or storage purposes.</t>
  </si>
  <si>
    <t>It is generally smaller and significantly less durable than an ISO-conformant container but otherwise shares many of its design elements and uses.</t>
  </si>
  <si>
    <t>ShtCode_deliverableContainer</t>
  </si>
  <si>
    <t>dumpster</t>
  </si>
  <si>
    <t>Dumpster</t>
  </si>
  <si>
    <t>A large moveable waste receptacle that is designed to be mechanically lifted and emptied into a waste pick-up truck.</t>
  </si>
  <si>
    <t>ShtCode_dumpster</t>
  </si>
  <si>
    <t>isoContainer</t>
  </si>
  <si>
    <t>ISO Container</t>
  </si>
  <si>
    <t>A durable, closed storage container with specific dimensional and structural characteristics as specified by International Organization for Standardization (ISO) 1496 (multi-part).</t>
  </si>
  <si>
    <t>The most widely used type of ISO container is the general purpose (dry cargo) container having a nominal length and height of either 20 x 8.5 feet, 40 x 8.5 feet, or 40 x 9.5 feet (termed a 'high cube').</t>
  </si>
  <si>
    <t>ShtCode_isoContainer</t>
  </si>
  <si>
    <t>rollOffDumpster</t>
  </si>
  <si>
    <t>Roll-off Dumpster</t>
  </si>
  <si>
    <t>A large moveable waste receptacle that is rolled on or off of a specialized truck.</t>
  </si>
  <si>
    <t>It is delivered to the work site where it is left to be filled, and then is taken away from the site when full.</t>
  </si>
  <si>
    <t>ShtCode_rollOffDumpster</t>
  </si>
  <si>
    <t>tankContainer</t>
  </si>
  <si>
    <t>Tank Container</t>
  </si>
  <si>
    <t>A specialized type of container that is designed to hold bulk liquids or gases.</t>
  </si>
  <si>
    <t>The tank may be held within a box-shaped frame in order to provide for enhanced ability to be transported and/or stacked.</t>
  </si>
  <si>
    <t>ShtCode_tankContainer</t>
  </si>
  <si>
    <t>breakwater</t>
  </si>
  <si>
    <t>PwcCode_breakwater</t>
  </si>
  <si>
    <t>groin</t>
  </si>
  <si>
    <t>Groyne</t>
  </si>
  <si>
    <t>PwcCode_groin</t>
  </si>
  <si>
    <t>landingSteps</t>
  </si>
  <si>
    <t>PwcCode_landingSteps</t>
  </si>
  <si>
    <t>logRamp</t>
  </si>
  <si>
    <t>PwcCode_logRamp</t>
  </si>
  <si>
    <t>In some cases it may lie entirely within an artificial harbour, permitting vessels to lie along both sides.</t>
  </si>
  <si>
    <t>PwcCode_mole</t>
  </si>
  <si>
    <t>openFaceWharf</t>
  </si>
  <si>
    <t>Open Face Wharf</t>
  </si>
  <si>
    <t>A wharf supported on piles or other structures that allow free circulation of water under the wharf.</t>
  </si>
  <si>
    <t>PwcCode_openFaceWharf</t>
  </si>
  <si>
    <t>A long, narrow structure extending into the water to afford a berthing place for vessels.</t>
  </si>
  <si>
    <t>May also serve as a promenade.</t>
  </si>
  <si>
    <t>PwcCode_pier</t>
  </si>
  <si>
    <t>promenade</t>
  </si>
  <si>
    <t>Promenade</t>
  </si>
  <si>
    <t>A paved public walk along a sea-front.</t>
  </si>
  <si>
    <t>May include piers and/or boardwalks, and usually located at a resort.</t>
  </si>
  <si>
    <t>PwcCode_promenade</t>
  </si>
  <si>
    <t>quay</t>
  </si>
  <si>
    <t>Quay</t>
  </si>
  <si>
    <t>A wharf approximately parallel to the shoreline and accommodating ships on one side only, the other side being attached to the shore.</t>
  </si>
  <si>
    <t>It is usually of solid construction, as contrasted with the open pile construction usually used for piers.</t>
  </si>
  <si>
    <t>PwcCode_quay</t>
  </si>
  <si>
    <t>PwcCode_rampMarine</t>
  </si>
  <si>
    <t>recreationalPier</t>
  </si>
  <si>
    <t>A structure extending into the water used as a platform for recreational purposes and not intended as a berthing place for vessels.</t>
  </si>
  <si>
    <t>PwcCode_recreationalPier</t>
  </si>
  <si>
    <t>marineRevetment</t>
  </si>
  <si>
    <t>Revetment (Marine)</t>
  </si>
  <si>
    <t>A facing of stone or other material placed along the edge of a waterbody (for example: a river, a canal, or a shoreline) to stabilize the bank and to protect it from the erosive action of the water.</t>
  </si>
  <si>
    <t>The facing presents a relatively smooth face to the water flow and is typically a substantial, permanent, engineering construction.</t>
  </si>
  <si>
    <t>PwcCode_marineRevetment</t>
  </si>
  <si>
    <t>ripRap</t>
  </si>
  <si>
    <t>The materials are typically poured into place, with little if any internal structure, resulting in a loose irregular surface that may need to be refreshed over time.</t>
  </si>
  <si>
    <t>PwcCode_ripRap</t>
  </si>
  <si>
    <t>seawall</t>
  </si>
  <si>
    <t>PwcCode_seawall</t>
  </si>
  <si>
    <t>slipway</t>
  </si>
  <si>
    <t>PwcCode_slipway</t>
  </si>
  <si>
    <t>solidFaceWharf</t>
  </si>
  <si>
    <t>Solid Face Wharf</t>
  </si>
  <si>
    <t>A wharf consisting of a solid wall of concrete, masonry, and/or wood such that the water cannot circulate freely under the wharf.</t>
  </si>
  <si>
    <t>The type of construction affects ship-handling; for example, a solid face wharf may give shelter from tidal streams, but under certain circumstances a cushion of water may build up between such a wharf and a ship attempting to berth at it, causing difficulties in ship handling.</t>
  </si>
  <si>
    <t>PwcCode_solidFaceWharf</t>
  </si>
  <si>
    <t>trainingWall</t>
  </si>
  <si>
    <t>PwcCode_trainingWall</t>
  </si>
  <si>
    <t>wharf</t>
  </si>
  <si>
    <t>Wharf</t>
  </si>
  <si>
    <t>A structure serving as a berthing place for vessels.</t>
  </si>
  <si>
    <t>PwcCode_wharf</t>
  </si>
  <si>
    <t>SlrCode_logRamp</t>
  </si>
  <si>
    <t>marineRamp</t>
  </si>
  <si>
    <t>SlrCode_marineRamp</t>
  </si>
  <si>
    <t>SlrCode_slipway</t>
  </si>
  <si>
    <t>SltCode_buildingRubble</t>
  </si>
  <si>
    <t>Faced by a reef, often of large extent, composed chiefly of coral and its derivatives.</t>
  </si>
  <si>
    <t>SltCode_coral</t>
  </si>
  <si>
    <t>SltCode_erosionRubble</t>
  </si>
  <si>
    <t>Faced by a vertical cliff forming the seaward edge of an ice shelf, ranging in height from 2 metres to 50 metres or more above sea level.</t>
  </si>
  <si>
    <t>SltCode_ice</t>
  </si>
  <si>
    <t>SltCode_mangrove</t>
  </si>
  <si>
    <t>SltCode_marshy</t>
  </si>
  <si>
    <t>Made up of soft wet soil, sand, dust, and/or other earthy matter.</t>
  </si>
  <si>
    <t>SltCode_mud</t>
  </si>
  <si>
    <t>SltCode_sandy</t>
  </si>
  <si>
    <t>SltCode_shingly</t>
  </si>
  <si>
    <t>SltCode_stony</t>
  </si>
  <si>
    <t>hardShoulder</t>
  </si>
  <si>
    <t>Hard Shoulder</t>
  </si>
  <si>
    <t>A road shoulder consisting of the same hard material as the road itself.</t>
  </si>
  <si>
    <t>Usually a hard surface material such as asphalt or concrete.</t>
  </si>
  <si>
    <t>RshCode_hardShoulder</t>
  </si>
  <si>
    <t>softShoulder</t>
  </si>
  <si>
    <t>Soft Shoulder</t>
  </si>
  <si>
    <t>A road shoulder consisting of a different material from the road it adjoins that makes a softer or looser surface.</t>
  </si>
  <si>
    <t>For example, gravel.</t>
  </si>
  <si>
    <t>RshCode_softShoulder</t>
  </si>
  <si>
    <t>billboard</t>
  </si>
  <si>
    <t>SiaCode_billboard</t>
  </si>
  <si>
    <t>noticeBoard</t>
  </si>
  <si>
    <t>SiaCode_noticeBoard</t>
  </si>
  <si>
    <t>outdoorTheatreScreen</t>
  </si>
  <si>
    <t>SiaCode_outdoorTheatreScreen</t>
  </si>
  <si>
    <t>scoreboard</t>
  </si>
  <si>
    <t>Usually associated with an athletic stadium or major playing field.</t>
  </si>
  <si>
    <t>SiaCode_scoreboard</t>
  </si>
  <si>
    <t>A roadside sign conveying information (for example: navigation directions or hazard warnings) to drivers of motor vehicles.</t>
  </si>
  <si>
    <t>SiaCode_trafficSign</t>
  </si>
  <si>
    <t>(Aeronautical Information Exchange Model (AIXM): 'EN')</t>
  </si>
  <si>
    <t>The first reporting point, determined by reference to a significant point, over which an aircraft passes or is expected to pass upon entering an airspace.</t>
  </si>
  <si>
    <t>SpuCode_entryPoint</t>
  </si>
  <si>
    <t>(Aeronautical Information Exchange Model (AIXM): 'EE')</t>
  </si>
  <si>
    <t>entryExitPoint</t>
  </si>
  <si>
    <t>Entry/Exit Point</t>
  </si>
  <si>
    <t>The first or the last reporting point, determined by reference to a significant point, over which an aircraft passes or is expected to pass upon entering or before leaving an airspace.</t>
  </si>
  <si>
    <t>SpuCode_entryExitPoint</t>
  </si>
  <si>
    <t>(Aeronautical Information Exchange Model (AIXM): 'EX')</t>
  </si>
  <si>
    <t>The last reporting point, determined by reference to a significant point, over which an aircraft passes or is expected to pass before leaving an airspace.</t>
  </si>
  <si>
    <t>SpuCode_exitPoint</t>
  </si>
  <si>
    <t>border</t>
  </si>
  <si>
    <t>Border</t>
  </si>
  <si>
    <t>Situated on the border of the airspace.</t>
  </si>
  <si>
    <t>SprCode_border</t>
  </si>
  <si>
    <t>in</t>
  </si>
  <si>
    <t>In</t>
  </si>
  <si>
    <t>Situated in the airspace.</t>
  </si>
  <si>
    <t>SprCode_in</t>
  </si>
  <si>
    <t>out</t>
  </si>
  <si>
    <t>Out</t>
  </si>
  <si>
    <t>Situated outside the airspace.</t>
  </si>
  <si>
    <t>SprCode_out</t>
  </si>
  <si>
    <t>The wrecked vessel was sunk by the hostile action of an aircraft.</t>
  </si>
  <si>
    <t>SkmCode_aircraft</t>
  </si>
  <si>
    <t>explosiveMine</t>
  </si>
  <si>
    <t>Explosive Mine</t>
  </si>
  <si>
    <t>The wrecked vessel was sunk by encountering an explosive mine.</t>
  </si>
  <si>
    <t>SkmCode_explosiveMine</t>
  </si>
  <si>
    <t>marineCasualty</t>
  </si>
  <si>
    <t>Marine Casualty</t>
  </si>
  <si>
    <t>The wrecked vessel was sunk by accidental means.</t>
  </si>
  <si>
    <t>SkmCode_marineCasualty</t>
  </si>
  <si>
    <t>ordnanceExerciseTarget</t>
  </si>
  <si>
    <t>Ordnance Exercise Target</t>
  </si>
  <si>
    <t>The wrecked vessel was sunk during the course of ordnance testing or firing practice.</t>
  </si>
  <si>
    <t>SkmCode_ordnanceExerciseTarget</t>
  </si>
  <si>
    <t>scuttled</t>
  </si>
  <si>
    <t>Scuttled</t>
  </si>
  <si>
    <t>The wrecked vessel was deliberately sunk by actions of its own crew.</t>
  </si>
  <si>
    <t>SkmCode_scuttled</t>
  </si>
  <si>
    <t>shoreBasedGunfire</t>
  </si>
  <si>
    <t>Shore-based Gunfire</t>
  </si>
  <si>
    <t>The wrecked vessel was sunk by gunfire directed from hostile land based artillery.</t>
  </si>
  <si>
    <t>SkmCode_shoreBasedGunfire</t>
  </si>
  <si>
    <t>submarine</t>
  </si>
  <si>
    <t>Submarine</t>
  </si>
  <si>
    <t>The wrecked vessel was sunk by the hostile action of submarine(s).</t>
  </si>
  <si>
    <t>SkmCode_submarine</t>
  </si>
  <si>
    <t>surfaceCraft</t>
  </si>
  <si>
    <t>Surface Craft</t>
  </si>
  <si>
    <t>The wrecked vessel was sunk by the hostile action of surface vessel(s).</t>
  </si>
  <si>
    <t>SkmCode_surfaceCraft</t>
  </si>
  <si>
    <t>undefinedEnemyAction</t>
  </si>
  <si>
    <t>Undefined Enemy Action</t>
  </si>
  <si>
    <t>The wrecked vessel was sunk by enemy action(s) not specified or unknown.</t>
  </si>
  <si>
    <t>SkmCode_undefinedEnemyAction</t>
  </si>
  <si>
    <t>alluvialFan</t>
  </si>
  <si>
    <t>A fan-shaped alluvial deposit formed especially where a watercourse begins to descend a gentler slope.</t>
  </si>
  <si>
    <t>The watercourse may be intermittent or currently dry.</t>
  </si>
  <si>
    <t>MokCode_alluvialFan</t>
  </si>
  <si>
    <t>A natural or man-made structure in the form of an arch.</t>
  </si>
  <si>
    <t>MokCode_arch</t>
  </si>
  <si>
    <t>atoll</t>
  </si>
  <si>
    <t>Atoll</t>
  </si>
  <si>
    <t>A ring-shaped coral reef which has closely spaced islands on it encircling a lagoon.</t>
  </si>
  <si>
    <t>MokCode_atoll</t>
  </si>
  <si>
    <t>beachRidge</t>
  </si>
  <si>
    <t>Beach Ridge</t>
  </si>
  <si>
    <t>It may occur singly or as one of a series of approximately parallel deposits representing successive positions of an advancing shoreline.</t>
  </si>
  <si>
    <t>A low, essentially continuous mound of beach and dune material heaped up by the action of waves and currents on the backshore of a beach beyond the present limit of storm waves or of ordinary tides.</t>
  </si>
  <si>
    <t>MokCode_beachRidge</t>
  </si>
  <si>
    <t>bench</t>
  </si>
  <si>
    <t>A long, narrow bedrock platform bounded by steeper slopes above and below, usually overlooking a waterbody.</t>
  </si>
  <si>
    <t>MokCode_bench</t>
  </si>
  <si>
    <t>blowhole</t>
  </si>
  <si>
    <t>Blowhole</t>
  </si>
  <si>
    <t>A hole in coastal rock through which sea water is forced by a rising tide or waves and spurted through an outlet into the air.</t>
  </si>
  <si>
    <t>MokCode_blowhole</t>
  </si>
  <si>
    <t>blowOutArea</t>
  </si>
  <si>
    <t>Blow-out Area</t>
  </si>
  <si>
    <t>A small depression in sandy terrain that is caused by wind erosion.</t>
  </si>
  <si>
    <t>MokCode_blowOutArea</t>
  </si>
  <si>
    <t>butte</t>
  </si>
  <si>
    <t>Butte</t>
  </si>
  <si>
    <t>A small, isolated, usually flat-topped hill with steep sides.</t>
  </si>
  <si>
    <t>MokCode_butte</t>
  </si>
  <si>
    <t>cape</t>
  </si>
  <si>
    <t>Cape</t>
  </si>
  <si>
    <t>A land area, more prominent than a point, projecting into the sea and marking a notable change in coastal direction.</t>
  </si>
  <si>
    <t>MokCode_cape</t>
  </si>
  <si>
    <t>cirque</t>
  </si>
  <si>
    <t>Cirque</t>
  </si>
  <si>
    <t>A bowl-like hollow partially surrounded by cliffs or steep slopes at the head of a glaciated valley.</t>
  </si>
  <si>
    <t>MokCode_cirque</t>
  </si>
  <si>
    <t>cleft</t>
  </si>
  <si>
    <t>Cleft</t>
  </si>
  <si>
    <t>A deep narrow slot, notch, or groove in a coastal cliff.</t>
  </si>
  <si>
    <t>MokCode_cleft</t>
  </si>
  <si>
    <t>corridor</t>
  </si>
  <si>
    <t>Corridor</t>
  </si>
  <si>
    <t>A strip or area of land having significance as an access way.</t>
  </si>
  <si>
    <t>MokCode_corridor</t>
  </si>
  <si>
    <t>cuesta</t>
  </si>
  <si>
    <t>Cuesta</t>
  </si>
  <si>
    <t>An asymmetric ridge formed on tilted strata.</t>
  </si>
  <si>
    <t>MokCode_cuesta</t>
  </si>
  <si>
    <t>A dome-shaped landform (for example: an incipient volcano).</t>
  </si>
  <si>
    <t>MokCode_dome</t>
  </si>
  <si>
    <t>gap</t>
  </si>
  <si>
    <t>Gap</t>
  </si>
  <si>
    <t>A low place in a mountain ridge, not used for transportation.</t>
  </si>
  <si>
    <t>MokCode_gap</t>
  </si>
  <si>
    <t>hangingValley</t>
  </si>
  <si>
    <t>Hanging Valley</t>
  </si>
  <si>
    <t>A valley, the floor of which is notably higher than the valley or shore to which it leads.</t>
  </si>
  <si>
    <t>Most common in areas that have been glaciated.</t>
  </si>
  <si>
    <t>MokCode_hangingValley</t>
  </si>
  <si>
    <t>interduneTrough</t>
  </si>
  <si>
    <t>Interdune Trough</t>
  </si>
  <si>
    <t>A long wind-swept trough between parallel longitudinal sand dunes.</t>
  </si>
  <si>
    <t>MokCode_interduneTrough</t>
  </si>
  <si>
    <t>interfluve</t>
  </si>
  <si>
    <t>Interfluve</t>
  </si>
  <si>
    <t>A relatively undissected upland between adjacent stream valleys.</t>
  </si>
  <si>
    <t>MokCode_interfluve</t>
  </si>
  <si>
    <t>isthmus</t>
  </si>
  <si>
    <t>Isthmus</t>
  </si>
  <si>
    <t>A narrow strip of land connecting two larger land masses and bordered by water.</t>
  </si>
  <si>
    <t>MokCode_isthmus</t>
  </si>
  <si>
    <t>mangroveIsland</t>
  </si>
  <si>
    <t>Mangrove Island</t>
  </si>
  <si>
    <t>A mangrove swamp surrounded by a waterbody thus forming an island.</t>
  </si>
  <si>
    <t>MokCode_mangroveIsland</t>
  </si>
  <si>
    <t>meanderNeck</t>
  </si>
  <si>
    <t>Meander Neck</t>
  </si>
  <si>
    <t>A narrow strip of land between the two limbs of a meander loop at its narrowest point.</t>
  </si>
  <si>
    <t>MokCode_meanderNeck</t>
  </si>
  <si>
    <t>mesa</t>
  </si>
  <si>
    <t>Mesa</t>
  </si>
  <si>
    <t>A flat-topped, isolated elevation with steep slopes on all sides, less extensive than a plateau.</t>
  </si>
  <si>
    <t>MokCode_mesa</t>
  </si>
  <si>
    <t>A tapering piece of land projecting into a body of water, less prominent than a cape.</t>
  </si>
  <si>
    <t>MokCode_point</t>
  </si>
  <si>
    <t>polder</t>
  </si>
  <si>
    <t>Polder</t>
  </si>
  <si>
    <t>An area reclaimed from the sea by dyking and draining.</t>
  </si>
  <si>
    <t>MokCode_polder</t>
  </si>
  <si>
    <t>promontory</t>
  </si>
  <si>
    <t>Promontory</t>
  </si>
  <si>
    <t>A bluff or prominent hill overlooking or projecting into a lowland.</t>
  </si>
  <si>
    <t>MokCode_promontory</t>
  </si>
  <si>
    <t>saddle</t>
  </si>
  <si>
    <t>Saddle</t>
  </si>
  <si>
    <t>A broad, open pass crossing a ridge or between hills or mountains.</t>
  </si>
  <si>
    <t>MokCode_saddle</t>
  </si>
  <si>
    <t>sinkhole</t>
  </si>
  <si>
    <t>Sinkhole</t>
  </si>
  <si>
    <t>A small crater-shape depression in a karst area.</t>
  </si>
  <si>
    <t>MokCode_sinkhole</t>
  </si>
  <si>
    <t>A land surface with a relatively uniform slope angle.</t>
  </si>
  <si>
    <t>MokCode_slope</t>
  </si>
  <si>
    <t>spit</t>
  </si>
  <si>
    <t>Spit</t>
  </si>
  <si>
    <t>A narrow, straight or curved continuation of a beach into a waterbody.</t>
  </si>
  <si>
    <t>MokCode_spit</t>
  </si>
  <si>
    <t>A subordinate ridge projecting outward from a hill, mountain or other elevation.</t>
  </si>
  <si>
    <t>MokCode_spur</t>
  </si>
  <si>
    <t>talusSlope</t>
  </si>
  <si>
    <t>Talus Slope</t>
  </si>
  <si>
    <t>A steep concave slope formed by an accumulation of loose rock fragments at the base of a cliff or steep slope.</t>
  </si>
  <si>
    <t>MokCode_talusSlope</t>
  </si>
  <si>
    <t>A long, narrow alluvial platform bounded by steeper slopes above and below, usually overlooking a waterbody.</t>
  </si>
  <si>
    <t>MokCode_terrace</t>
  </si>
  <si>
    <t>alluviation</t>
  </si>
  <si>
    <t>Alluviation</t>
  </si>
  <si>
    <t>Filling of a body of water with (mostly) fine sediments and subsequent colonisation by plants.</t>
  </si>
  <si>
    <t>SoaCode_alluviation</t>
  </si>
  <si>
    <t>Sudden and rapid fall of snow and ice on a slide of snow or on the subsoil.</t>
  </si>
  <si>
    <t>SoaCode_avalanche</t>
  </si>
  <si>
    <t>buildingOver</t>
  </si>
  <si>
    <t>Building-Over</t>
  </si>
  <si>
    <t>Soil coverage by buildings.</t>
  </si>
  <si>
    <t>SoaCode_buildingOver</t>
  </si>
  <si>
    <t>chemicalSubstances</t>
  </si>
  <si>
    <t>Chemical Substances</t>
  </si>
  <si>
    <t>Harmful substances.</t>
  </si>
  <si>
    <t>SoaCode_chemicalSubstances</t>
  </si>
  <si>
    <t>clearingByBurning</t>
  </si>
  <si>
    <t>Clearing by Burning</t>
  </si>
  <si>
    <t>Cut down of the stock of trees and subsequent total burning down of the vegetation.</t>
  </si>
  <si>
    <t>SoaCode_clearingByBurning</t>
  </si>
  <si>
    <t>compaction</t>
  </si>
  <si>
    <t>Compaction</t>
  </si>
  <si>
    <t>Reduction of the total volume of the soil and variation of the soil structure.</t>
  </si>
  <si>
    <t>SoaCode_compaction</t>
  </si>
  <si>
    <t>contamination</t>
  </si>
  <si>
    <t>Contamination</t>
  </si>
  <si>
    <t>Pollution and enrichment by foreign and harmful substances.</t>
  </si>
  <si>
    <t>SoaCode_contamination</t>
  </si>
  <si>
    <t>Sudden and desastrous floating of an area after a dam break.</t>
  </si>
  <si>
    <t>SoaCode_damBreak</t>
  </si>
  <si>
    <t>A conscious and complete deforestation of an area under acceptance of ecological changes.</t>
  </si>
  <si>
    <t>SoaCode_deforestation</t>
  </si>
  <si>
    <t>earthSlip</t>
  </si>
  <si>
    <t>Earth Slip</t>
  </si>
  <si>
    <t>Mass movements downhill with a coverage of the surface at the bottom.</t>
  </si>
  <si>
    <t>SoaCode_earthSlip</t>
  </si>
  <si>
    <t>SoaCode_earthquake</t>
  </si>
  <si>
    <t>Uncultivated arable land.</t>
  </si>
  <si>
    <t>SoaCode_fallow</t>
  </si>
  <si>
    <t>fertilization</t>
  </si>
  <si>
    <t>Fertilization</t>
  </si>
  <si>
    <t>Supply of fertilizers.</t>
  </si>
  <si>
    <t>SoaCode_fertilization</t>
  </si>
  <si>
    <t>frostSplitting</t>
  </si>
  <si>
    <t>Frost Splitting</t>
  </si>
  <si>
    <t>Destruction of rocks by density variation in frost change climates.</t>
  </si>
  <si>
    <t>SoaCode_frostSplitting</t>
  </si>
  <si>
    <t>gravityMassMovements</t>
  </si>
  <si>
    <t>Gravity Mass Movements</t>
  </si>
  <si>
    <t>Downhill movement of rock masses due to their own weight.</t>
  </si>
  <si>
    <t>SoaCode_gravityMassMovements</t>
  </si>
  <si>
    <t>heavyRain</t>
  </si>
  <si>
    <t>Heavy Rain</t>
  </si>
  <si>
    <t>Extremely heavy continuous rainfalls.</t>
  </si>
  <si>
    <t>SoaCode_heavyRain</t>
  </si>
  <si>
    <t>Artifical supply of water.</t>
  </si>
  <si>
    <t>SoaCode_irrigation</t>
  </si>
  <si>
    <t>meteoriteImpact</t>
  </si>
  <si>
    <t>Meteorite Impact</t>
  </si>
  <si>
    <t>Extensive devastation after a meteorite impact.</t>
  </si>
  <si>
    <t>SoaCode_meteoriteImpact</t>
  </si>
  <si>
    <t>mining</t>
  </si>
  <si>
    <t>Mining</t>
  </si>
  <si>
    <t>Extraction of mineral resources.</t>
  </si>
  <si>
    <t>SoaCode_mining</t>
  </si>
  <si>
    <t>mudFlowFlowOfDebris</t>
  </si>
  <si>
    <t>Mud Flow and/or Flow of Debris</t>
  </si>
  <si>
    <t>Water-enriched sediment-flow.</t>
  </si>
  <si>
    <t>SoaCode_mudFlowFlowOfDebris</t>
  </si>
  <si>
    <t>nuclearRadiation</t>
  </si>
  <si>
    <t>Nuclear Radiation</t>
  </si>
  <si>
    <t>Radiation resulting from the decay of radioactive materials.</t>
  </si>
  <si>
    <t>SoaCode_nuclearRadiation</t>
  </si>
  <si>
    <t>overgrazing</t>
  </si>
  <si>
    <t>Overgrazing</t>
  </si>
  <si>
    <t>Desertification and erosion due to excessive and concentrated livestock keeping.</t>
  </si>
  <si>
    <t>SoaCode_overgrazing</t>
  </si>
  <si>
    <t>overUse</t>
  </si>
  <si>
    <t>Over-Use</t>
  </si>
  <si>
    <t>Loss of minerals in soils due to excessive cultivation.</t>
  </si>
  <si>
    <t>SoaCode_overUse</t>
  </si>
  <si>
    <t>rockSlide</t>
  </si>
  <si>
    <t>Rock Slide</t>
  </si>
  <si>
    <t>Sudden and disastrous mass movements of rocks and their deposition at the bottom.</t>
  </si>
  <si>
    <t>SoaCode_rockSlide</t>
  </si>
  <si>
    <t>surf</t>
  </si>
  <si>
    <t>Surf</t>
  </si>
  <si>
    <t>Battering movement of water on the coastline.</t>
  </si>
  <si>
    <t>SoaCode_surf</t>
  </si>
  <si>
    <t>tectonicMassMovements</t>
  </si>
  <si>
    <t>Tectonic Mass Movements</t>
  </si>
  <si>
    <t>Downhill movement of rock masses due to tectonic activity.</t>
  </si>
  <si>
    <t>SoaCode_tectonicMassMovements</t>
  </si>
  <si>
    <t>thawingOfPermaFrostSoil</t>
  </si>
  <si>
    <t>Thawing of Permafrost Soil</t>
  </si>
  <si>
    <t>Downhill movement of the water-saturated topsoils on a frozen layer.</t>
  </si>
  <si>
    <t>SoaCode_thawingOfPermaFrostSoil</t>
  </si>
  <si>
    <t>tidalWave</t>
  </si>
  <si>
    <t>Tidal Wave</t>
  </si>
  <si>
    <t>Heavy waves of destructive force.</t>
  </si>
  <si>
    <t>SoaCode_tidalWave</t>
  </si>
  <si>
    <t>Occurence of extremly heavy waves with destructive force in coastal areas due to volcanic eruptions, seaquakes or mass movements.</t>
  </si>
  <si>
    <t>SoaCode_tsunami</t>
  </si>
  <si>
    <t>undercutting</t>
  </si>
  <si>
    <t>Undercutting</t>
  </si>
  <si>
    <t>Erosion of fine material by water on slopes and plains.</t>
  </si>
  <si>
    <t>SoaCode_undercutting</t>
  </si>
  <si>
    <t>vegetationFire</t>
  </si>
  <si>
    <t>Vegetation Fire</t>
  </si>
  <si>
    <t>Extensive destruction of the vegetation by fire.</t>
  </si>
  <si>
    <t>SoaCode_vegetationFire</t>
  </si>
  <si>
    <t>warInducedDamages</t>
  </si>
  <si>
    <t>War-induced Damages</t>
  </si>
  <si>
    <t>Pervasive and extensive devastation of the surface as a consequence of military actions.</t>
  </si>
  <si>
    <t>SoaCode_warInducedDamages</t>
  </si>
  <si>
    <t>Erosion and transport at the coast line by water.</t>
  </si>
  <si>
    <t>SorCode_abrasion</t>
  </si>
  <si>
    <t>bogFormation</t>
  </si>
  <si>
    <t>Bog Formation</t>
  </si>
  <si>
    <t>Constant water logging (underground water,upper water, precipitations ) of an area.</t>
  </si>
  <si>
    <t>SorCode_bogFormation</t>
  </si>
  <si>
    <t>corrasion</t>
  </si>
  <si>
    <t>Corrasion</t>
  </si>
  <si>
    <t>Erosion and transport by the movement of solid substances.</t>
  </si>
  <si>
    <t>SorCode_corrasion</t>
  </si>
  <si>
    <t>coverage</t>
  </si>
  <si>
    <t>Coverage</t>
  </si>
  <si>
    <t>Coverage of the surface due to building over.</t>
  </si>
  <si>
    <t>SorCode_coverage</t>
  </si>
  <si>
    <t>Erosion and transport by wind.</t>
  </si>
  <si>
    <t>SorCode_deflation</t>
  </si>
  <si>
    <t>denudation</t>
  </si>
  <si>
    <t>Denudation</t>
  </si>
  <si>
    <t>Gravity caused extensive erosion on slopes and faces.</t>
  </si>
  <si>
    <t>SorCode_denudation</t>
  </si>
  <si>
    <t>desertification</t>
  </si>
  <si>
    <t>Desertification</t>
  </si>
  <si>
    <t>Anthropogenic influenced landscape change in arid areas.</t>
  </si>
  <si>
    <t>SorCode_desertification</t>
  </si>
  <si>
    <t>fluvialErosin</t>
  </si>
  <si>
    <t>Fluvial Erosin</t>
  </si>
  <si>
    <t>Erosion and transport at river banks and the inundation area.</t>
  </si>
  <si>
    <t>SorCode_fluvialErosin</t>
  </si>
  <si>
    <t>glacialErosion</t>
  </si>
  <si>
    <t>Glacial Erosion</t>
  </si>
  <si>
    <t>Erosion of rocks by glacier flowing.</t>
  </si>
  <si>
    <t>SorCode_glacialErosion</t>
  </si>
  <si>
    <t>incrustation</t>
  </si>
  <si>
    <t>Incrustation</t>
  </si>
  <si>
    <t>Hardening of the surface and catch of the plant-growth after heavy and prolonged rain-falls with subsequent dry periods.</t>
  </si>
  <si>
    <t>SorCode_incrustation</t>
  </si>
  <si>
    <t>inundation</t>
  </si>
  <si>
    <t>Inundation</t>
  </si>
  <si>
    <t>Expansive coverage of the surface with water.</t>
  </si>
  <si>
    <t>SorCode_inundation</t>
  </si>
  <si>
    <t>overfertilization</t>
  </si>
  <si>
    <t>Overfertilization</t>
  </si>
  <si>
    <t>Excessive spread out of fertilizers.</t>
  </si>
  <si>
    <t>SorCode_overfertilization</t>
  </si>
  <si>
    <t>physicalTransformation</t>
  </si>
  <si>
    <t>Physical Transformation</t>
  </si>
  <si>
    <t>Deep transformation of the soil structure.</t>
  </si>
  <si>
    <t>SorCode_physicalTransformation</t>
  </si>
  <si>
    <t>poisoning</t>
  </si>
  <si>
    <t>Poisoning</t>
  </si>
  <si>
    <t>Spread out of harmful substances.</t>
  </si>
  <si>
    <t>SorCode_poisoning</t>
  </si>
  <si>
    <t>radioactiveContamination</t>
  </si>
  <si>
    <t>Radioactive Contamination</t>
  </si>
  <si>
    <t>Expansive interference by radioactive imission.</t>
  </si>
  <si>
    <t>SorCode_radioactiveContamination</t>
  </si>
  <si>
    <t>soilAcidification</t>
  </si>
  <si>
    <t>Soil Acidification</t>
  </si>
  <si>
    <t>Increase in concentration of free hydrogenions in the soil.</t>
  </si>
  <si>
    <t>SorCode_soilAcidification</t>
  </si>
  <si>
    <t>soilCoverage</t>
  </si>
  <si>
    <t>Soil Coverage</t>
  </si>
  <si>
    <t>Coverage of the soil layers by transported materials.</t>
  </si>
  <si>
    <t>SorCode_soilCoverage</t>
  </si>
  <si>
    <t>soilSalination</t>
  </si>
  <si>
    <t>Soil Salination</t>
  </si>
  <si>
    <t>Salt accumulations in the topsoil.</t>
  </si>
  <si>
    <t>SorCode_soilSalination</t>
  </si>
  <si>
    <t>soilWatering</t>
  </si>
  <si>
    <t>Soil Watering</t>
  </si>
  <si>
    <t>Increase of the soil water and transformation of the soil structure.</t>
  </si>
  <si>
    <t>SorCode_soilWatering</t>
  </si>
  <si>
    <t>subrosion</t>
  </si>
  <si>
    <t>Subrosion</t>
  </si>
  <si>
    <t>Seepage water caused eluviation of readily soluble substances at the rock formation.</t>
  </si>
  <si>
    <t>SorCode_subrosion</t>
  </si>
  <si>
    <t>swampFormation</t>
  </si>
  <si>
    <t>Swamp Formation</t>
  </si>
  <si>
    <t>Runoff-prevention of seepage water by impermeable strata.</t>
  </si>
  <si>
    <t>SorCode_swampFormation</t>
  </si>
  <si>
    <t>blowOut</t>
  </si>
  <si>
    <t>Blow-out</t>
  </si>
  <si>
    <t>Wind erosion on an area of shifting sand or loose soil, or where protective vegetation is disturbed or destroyed.</t>
  </si>
  <si>
    <t>KgeCode_blowOut</t>
  </si>
  <si>
    <t>The mechanical weathering process caused by the movement of glacier ice, together with the erosive action of subglacial meltwater streams.</t>
  </si>
  <si>
    <t>KgeCode_glacial</t>
  </si>
  <si>
    <t>massMovement</t>
  </si>
  <si>
    <t>Mass Movement</t>
  </si>
  <si>
    <t>Mass transfer by gravity and/or a agent (for example: water, ice, or air).</t>
  </si>
  <si>
    <t>KgeCode_massMovement</t>
  </si>
  <si>
    <t>precipitation</t>
  </si>
  <si>
    <t>Precipitation</t>
  </si>
  <si>
    <t>Heavy rainfall (minimum of 5 millimetres in 5 minutes, 7.1 millimetres in 10 minutes, 10 millimetres in 20 minutes, or 17.1 millimetres in 60 minutes).</t>
  </si>
  <si>
    <t>Torrential rain or intense rain.</t>
  </si>
  <si>
    <t>KgeCode_precipitation</t>
  </si>
  <si>
    <t>The wave activity in the surf zone (where the wave breaks).</t>
  </si>
  <si>
    <t>KgeCode_surf</t>
  </si>
  <si>
    <t>thermalCycle</t>
  </si>
  <si>
    <t>Thermal Cycle</t>
  </si>
  <si>
    <t>A mechanical weathering process caused by alternate or repeated cycles of freezing and thawing of water in pores, cracks, and other openings, usually at the surface, fracturing the rock by the expansionary pressure associated with the freezing of water.</t>
  </si>
  <si>
    <t>KgeCode_thermalCycle</t>
  </si>
  <si>
    <t>An abnormal wave in a lake, produced by a massive gravity slide from flanks into the lake.</t>
  </si>
  <si>
    <t>KgeCode_tidalWave</t>
  </si>
  <si>
    <t>underwash</t>
  </si>
  <si>
    <t>Underwash</t>
  </si>
  <si>
    <t>The action of wearing away supporting material, as the undermining of a cliff by stream erosion.</t>
  </si>
  <si>
    <t>KgeCode_underwash</t>
  </si>
  <si>
    <t>Transport (erosion) of earth materials by water.</t>
  </si>
  <si>
    <t>KgeCode_water</t>
  </si>
  <si>
    <t>Transport (erosion) of earth materials by wind.</t>
  </si>
  <si>
    <t>KgeCode_wind</t>
  </si>
  <si>
    <t>fatClay</t>
  </si>
  <si>
    <t>CH: Fat Clay</t>
  </si>
  <si>
    <t>Inorganic clays of high plasticity.</t>
  </si>
  <si>
    <t>StpCode_fatClay</t>
  </si>
  <si>
    <t>leanClay</t>
  </si>
  <si>
    <t>CL: Lean Clay</t>
  </si>
  <si>
    <t>Inorganic clays of low to medium plasticity, gravelly clays, sandy clays, silty clays.</t>
  </si>
  <si>
    <t>StpCode_leanClay</t>
  </si>
  <si>
    <t>Sedimentary salt deposits left after the evaporation of a body of water.</t>
  </si>
  <si>
    <t>StpCode_evaporite</t>
  </si>
  <si>
    <t>clayeyGravel</t>
  </si>
  <si>
    <t>GC: Clayey Gravel</t>
  </si>
  <si>
    <t>Clayey gravels and/or gravel-sand-clay mixtures.</t>
  </si>
  <si>
    <t>StpCode_clayeyGravel</t>
  </si>
  <si>
    <t>siltyGravelSand</t>
  </si>
  <si>
    <t>GM: Silty Gravel Sand</t>
  </si>
  <si>
    <t>Silty gravels and/or gravel-sand-silt mixtures.</t>
  </si>
  <si>
    <t>StpCode_siltyGravelSand</t>
  </si>
  <si>
    <t>poorlyGradedGravel</t>
  </si>
  <si>
    <t>GP: Poorly-graded Gravel</t>
  </si>
  <si>
    <t>Poorly-graded gravels and/or gravel-sand mixtures, with little or no fines.</t>
  </si>
  <si>
    <t>StpCode_poorlyGradedGravel</t>
  </si>
  <si>
    <t>wellGradedGravel</t>
  </si>
  <si>
    <t>GW: Well-graded Gravel</t>
  </si>
  <si>
    <t>Well-graded gravels and/or gravel-sand mixtures, with little or no fines.</t>
  </si>
  <si>
    <t>StpCode_wellGradedGravel</t>
  </si>
  <si>
    <t>micraceous</t>
  </si>
  <si>
    <t>MH: Micraceous</t>
  </si>
  <si>
    <t>Micaceous or diatomaceous inorganic silts.</t>
  </si>
  <si>
    <t>StpCode_micraceous</t>
  </si>
  <si>
    <t>siltAndFineSand</t>
  </si>
  <si>
    <t>ML: Silt and Fine Sand</t>
  </si>
  <si>
    <t>Inorganic silts and very fine sands, rock floor, silty or clayey fine sands or clayey with slight plasticity.</t>
  </si>
  <si>
    <t>StpCode_siltAndFineSand</t>
  </si>
  <si>
    <t>siltFineSandLeanClay</t>
  </si>
  <si>
    <t>ML-CL: Silt, Fine Sand and Lean Clay</t>
  </si>
  <si>
    <t>Having both ML (inorganic silts and very fine sands, rock floor, silty or clayey fine sands or clayey with slight plasticity) and CL (inorganic clays of low to medium plasticity, gravelly clays, sandy clays, silty clays) characteristics.</t>
  </si>
  <si>
    <t>StpCode_siltFineSandLeanClay</t>
  </si>
  <si>
    <t>notEvaluated</t>
  </si>
  <si>
    <t>Not Evaluated</t>
  </si>
  <si>
    <t>The soil was not evaluated.</t>
  </si>
  <si>
    <t>StpCode_notEvaluated</t>
  </si>
  <si>
    <t>organicClay</t>
  </si>
  <si>
    <t>OH: Organic Clay</t>
  </si>
  <si>
    <t>Organic clays of medium to high plasticity and/or organic silts.</t>
  </si>
  <si>
    <t>StpCode_organicClay</t>
  </si>
  <si>
    <t>organicSiltandClay</t>
  </si>
  <si>
    <t>OL: Organic Silt and Clay</t>
  </si>
  <si>
    <t>Organic silts and organic silty clays.</t>
  </si>
  <si>
    <t>StpCode_organicSiltandClay</t>
  </si>
  <si>
    <t>PT: Peat</t>
  </si>
  <si>
    <t>Peat and other highly organic soils.</t>
  </si>
  <si>
    <t>StpCode_peat</t>
  </si>
  <si>
    <t>clayeySand</t>
  </si>
  <si>
    <t>SC: Clayey Sand</t>
  </si>
  <si>
    <t>Clayey sands and/or sand-clay mixtures.</t>
  </si>
  <si>
    <t>StpCode_clayeySand</t>
  </si>
  <si>
    <t>siltySand</t>
  </si>
  <si>
    <t>SM: Silty Sand</t>
  </si>
  <si>
    <t>Silty sands and/or sand-silt mixtures.</t>
  </si>
  <si>
    <t>StpCode_siltySand</t>
  </si>
  <si>
    <t>poorlyGradedSand</t>
  </si>
  <si>
    <t>SP: Poorly-graded Sand</t>
  </si>
  <si>
    <t>Poorly graded sands and/or gravelly sands, with little or no fines.</t>
  </si>
  <si>
    <t>StpCode_poorlyGradedSand</t>
  </si>
  <si>
    <t>wellGradedSand</t>
  </si>
  <si>
    <t>SW: Well-graded Sand</t>
  </si>
  <si>
    <t>Well-graded sand and/or gravelly sands, with little or no fines.</t>
  </si>
  <si>
    <t>StpCode_wellGradedSand</t>
  </si>
  <si>
    <t>abrubtic</t>
  </si>
  <si>
    <t>Abrubtic</t>
  </si>
  <si>
    <t>Having an abrupt textural change within 100 centimetres of the soil surface.</t>
  </si>
  <si>
    <t>Code: 'ap'.</t>
  </si>
  <si>
    <t>SuqCode_abrubtic</t>
  </si>
  <si>
    <t>aceric</t>
  </si>
  <si>
    <t>Aceric</t>
  </si>
  <si>
    <t>Having a pH (1:1 in water) between 3.5 and 5 and jarosite mottles in some layer within 100 centimetres of the soil surface (in Solonchaks only).</t>
  </si>
  <si>
    <t>Code: 'ae'.</t>
  </si>
  <si>
    <t>SuqCode_aceric</t>
  </si>
  <si>
    <t>acric</t>
  </si>
  <si>
    <t>Acric</t>
  </si>
  <si>
    <t>Having an argic horizon that has a CEC (by 1 M NH4OAc) of less than 24 cmolc kg-1 clay in some part to a maximum depth of 50 centimetres below its upper limit, either starting within 100 centimetres of the soil surface or within 200 centimetres of the soil surface if the argic horizon is overlain by loamy sand or coarser textures throughout, and a base saturation (by 1 M NH4OAc) of less than 50 percent in the major part between 50 and 100 centimetres from the soil surface.</t>
  </si>
  <si>
    <t>Code: 'ac'.</t>
  </si>
  <si>
    <t>SuqCode_acric</t>
  </si>
  <si>
    <t>acroxic</t>
  </si>
  <si>
    <t>Acroxic</t>
  </si>
  <si>
    <t>Having less than 2 cmolc kg-1 fine earth exchangeable bases plus 1 M KCl exchangeable Al3+ in one or more layers with a combined thickness of 30 centimetres or more within 100 centimetres of the soil surface (in Andosols only).</t>
  </si>
  <si>
    <t>Code: 'ao'.</t>
  </si>
  <si>
    <t>SuqCode_acroxic</t>
  </si>
  <si>
    <t>albic</t>
  </si>
  <si>
    <t>Albic</t>
  </si>
  <si>
    <t>Having an albic horizon starting within 100 centimetres of the soil surface.</t>
  </si>
  <si>
    <t>Code: 'ab'.</t>
  </si>
  <si>
    <t>SuqCode_albic</t>
  </si>
  <si>
    <t>alcalic</t>
  </si>
  <si>
    <t>Alcalic</t>
  </si>
  <si>
    <t>Having a pH (1:1 in water) of 8.5 or more throughout within 50 centimetres of the soil surface or to continuous rock or a cemented or indurated layer, whichever is shallower.</t>
  </si>
  <si>
    <t>Code: 'ax'.</t>
  </si>
  <si>
    <t>SuqCode_alcalic</t>
  </si>
  <si>
    <t>alic</t>
  </si>
  <si>
    <t>Alic</t>
  </si>
  <si>
    <t>Having an argic horizon that has a CEC (by 1 M NH4OAc) of 24 cmolc kg-1 clay or more throughout or to a depth of 50 centimetres below its upper limit, whichever is shallower, either starting within 100 centimetres of the soil surface or within 200 centimetres of the soil surface if the argic horizon is overlain by loamy sand or coarser textures throughout, and a base saturation (by 1 M NH4OAc) of less than 50 percent in the major part between 50 and 100 centimetres from the soil surface.</t>
  </si>
  <si>
    <t>Code: 'al'.</t>
  </si>
  <si>
    <t>SuqCode_alic</t>
  </si>
  <si>
    <t>aluandic</t>
  </si>
  <si>
    <t>Aluandic</t>
  </si>
  <si>
    <t>Having one or more layers, cumulatively 30 centimetres or more thick, with andic properties and an acid oxalate (pH 3) extractable silica content of less than 0.6 percent, and an Alpy1/Alox2 of 0.5 or more, within 100 centimetres of the soil surface (in Andosols only).</t>
  </si>
  <si>
    <t>Code: 'aa'.</t>
  </si>
  <si>
    <t>SuqCode_aluandic</t>
  </si>
  <si>
    <t>alumic</t>
  </si>
  <si>
    <t>Alumic</t>
  </si>
  <si>
    <t>Having an Al saturation (effective) of 50 percent or more in some layer between 50 and 100 centimetres from the surface.</t>
  </si>
  <si>
    <t>Code: 'au'.</t>
  </si>
  <si>
    <t>SuqCode_alumic</t>
  </si>
  <si>
    <t>andic</t>
  </si>
  <si>
    <t>Andic</t>
  </si>
  <si>
    <t>Having one or more layers, cumulatively 30 centimetres or more thick, with andic properties, within 100 centimetres of the soil surface.</t>
  </si>
  <si>
    <t>Code: 'an'.</t>
  </si>
  <si>
    <t>SuqCode_andic</t>
  </si>
  <si>
    <t>anthraquic</t>
  </si>
  <si>
    <t>Anthraquic</t>
  </si>
  <si>
    <t>Having an anthraquic horizon.</t>
  </si>
  <si>
    <t>Code: 'aq'.</t>
  </si>
  <si>
    <t>SuqCode_anthraquic</t>
  </si>
  <si>
    <t>anthric</t>
  </si>
  <si>
    <t>Anthric</t>
  </si>
  <si>
    <t>Having an anthric horizon.</t>
  </si>
  <si>
    <t>Code: 'am'.</t>
  </si>
  <si>
    <t>SuqCode_anthric</t>
  </si>
  <si>
    <t>arenic</t>
  </si>
  <si>
    <t>Arenic</t>
  </si>
  <si>
    <t>Having a texture of loamy fine sand or coarser in a layer, 30 centimetres or more thick, within 100 centimetres of the soil surface.</t>
  </si>
  <si>
    <t>Code: 'ar'.</t>
  </si>
  <si>
    <t>SuqCode_arenic</t>
  </si>
  <si>
    <t>aric</t>
  </si>
  <si>
    <t>Aric</t>
  </si>
  <si>
    <t>Having only remnants of diagnostic horizons - disturbed by deep ploughing.</t>
  </si>
  <si>
    <t>Code: 'ai'.</t>
  </si>
  <si>
    <t>SuqCode_aric</t>
  </si>
  <si>
    <t>aridic</t>
  </si>
  <si>
    <t>Aridic</t>
  </si>
  <si>
    <t>Having aridic properties without a takyric or yermic horizon.</t>
  </si>
  <si>
    <t>Code: 'ad'.</t>
  </si>
  <si>
    <t>SuqCode_aridic</t>
  </si>
  <si>
    <t>arzic</t>
  </si>
  <si>
    <t>Arzic</t>
  </si>
  <si>
    <t>Having sulphate-rich ground-water in some layer within 50 centimetres of the soil surface during some time in most years and containing 15 percent or more gypsum averaged over a depth of 100 centimetres from the soil surface or to continuous rock or a cemented or indurated.</t>
  </si>
  <si>
    <t>Code: 'az'.</t>
  </si>
  <si>
    <t>SuqCode_arzic</t>
  </si>
  <si>
    <t>brunic</t>
  </si>
  <si>
    <t>Brunic</t>
  </si>
  <si>
    <t>Having a layer, 15 centimetres or more thick, which meets criteria 2-4 of the cambic horizon but fails criterion 1, starting within 50 centimetres of the soil surface.</t>
  </si>
  <si>
    <t>Code: 'br'.</t>
  </si>
  <si>
    <t>SuqCode_brunic</t>
  </si>
  <si>
    <t>calcaric</t>
  </si>
  <si>
    <t>Calcaric</t>
  </si>
  <si>
    <t>Having calcaric material between 20 and 50 centimetres from the soil surface or between 20 centimetres and continuous rock or a cemented or indurated layer, whichever is shallower.</t>
  </si>
  <si>
    <t>Code: 'ca'.</t>
  </si>
  <si>
    <t>SuqCode_calcaric</t>
  </si>
  <si>
    <t>calcic</t>
  </si>
  <si>
    <t>Calcic</t>
  </si>
  <si>
    <t>Having a calcic horizon or concentrations of secondary carbonates starting within 100 centimetres of the soil surface.</t>
  </si>
  <si>
    <t>Code: 'cc'.</t>
  </si>
  <si>
    <t>SuqCode_calcic</t>
  </si>
  <si>
    <t>cambic</t>
  </si>
  <si>
    <t>Cambic</t>
  </si>
  <si>
    <t>Having a cambic horizon starting within 50 centimetres of the soil surface.</t>
  </si>
  <si>
    <t>Code: 'cm'.</t>
  </si>
  <si>
    <t>SuqCode_cambic</t>
  </si>
  <si>
    <t>carbic</t>
  </si>
  <si>
    <t>Carbic</t>
  </si>
  <si>
    <t>Having a spodic horizon that does not turn redder on ignition (in Podzols only).</t>
  </si>
  <si>
    <t>Code: 'cb'.</t>
  </si>
  <si>
    <t>SuqCode_carbic</t>
  </si>
  <si>
    <t>carbonatic</t>
  </si>
  <si>
    <t>Carbonatic</t>
  </si>
  <si>
    <t>Having a salic horizon with a soil solution (1:1 in water) with a pH of 8.5 or more and [HCO3-] &gt; [SO42-] &gt;&gt; [Cl-] (in Solonchaks only).</t>
  </si>
  <si>
    <t>Code: 'cn'.</t>
  </si>
  <si>
    <t>SuqCode_carbonatic</t>
  </si>
  <si>
    <t>chloridic</t>
  </si>
  <si>
    <t>Chloridic</t>
  </si>
  <si>
    <t>Having a salic horizon with a soil solution (1:1 in water) with [Cl-] &gt;&gt; [SO42-] &gt; [HCO3 ] (in Solonchaks only).</t>
  </si>
  <si>
    <t>Code: 'cl'.</t>
  </si>
  <si>
    <t>SuqCode_chloridic</t>
  </si>
  <si>
    <t>chromic</t>
  </si>
  <si>
    <t>Chromic</t>
  </si>
  <si>
    <t>Having within 150 centimetres of the soil surface a subsurface layer, 30 centimetres or more thick, that has a Munsell hue redder than 7.5 YR or that has both, a hue of 7.5 YR and a chroma, moist, of more than 4.</t>
  </si>
  <si>
    <t>Code: 'cr'.</t>
  </si>
  <si>
    <t>SuqCode_chromic</t>
  </si>
  <si>
    <t>clayic</t>
  </si>
  <si>
    <t>Clayic</t>
  </si>
  <si>
    <t>Having a texture of clay in a layer, 30 centimetres or more thick, within 100 centimetres of the soil surface.</t>
  </si>
  <si>
    <t>Code: 'ce'.</t>
  </si>
  <si>
    <t>SuqCode_clayic</t>
  </si>
  <si>
    <t>colluvic</t>
  </si>
  <si>
    <t>Colluvic</t>
  </si>
  <si>
    <t>Having colluvic material, 20 centimetres or more thick, created by human-induced lateral movement.</t>
  </si>
  <si>
    <t>Code: 'co'.</t>
  </si>
  <si>
    <t>SuqCode_colluvic</t>
  </si>
  <si>
    <t>cryic</t>
  </si>
  <si>
    <t>Cryic</t>
  </si>
  <si>
    <t>Having a cryic horizon starting within 100 centimetres of the soil surface or a cryic horizon starting within 200 centimetres of the soil surface with evidence of cryoturbation in some layer within 100 centimetres of the soil surface.</t>
  </si>
  <si>
    <t>Code: 'cy'.</t>
  </si>
  <si>
    <t>SuqCode_cryic</t>
  </si>
  <si>
    <t>cutanic</t>
  </si>
  <si>
    <t>Cutanic</t>
  </si>
  <si>
    <t>Having clay coatings in some parts of an argic horizon either starting within 100 centimetres of the soil surface or within 200 centimetres of the soil surface if the argic horizon is overlain by loamy sand or coarser textures throughout.</t>
  </si>
  <si>
    <t>Code: 'ct'.</t>
  </si>
  <si>
    <t>SuqCode_cutanic</t>
  </si>
  <si>
    <t>densic</t>
  </si>
  <si>
    <t>Densic</t>
  </si>
  <si>
    <t>Having natural or artificial compaction within 50 centimetres of the soil surface to the extent that roots cannot penetrate.</t>
  </si>
  <si>
    <t>Code: 'dn'.</t>
  </si>
  <si>
    <t>SuqCode_densic</t>
  </si>
  <si>
    <t>drainic</t>
  </si>
  <si>
    <t>Drainic</t>
  </si>
  <si>
    <t>Having a histic horizon that is drained artificially starting within 40 centimetres of the soil surface.</t>
  </si>
  <si>
    <t>Code: 'dr'.</t>
  </si>
  <si>
    <t>SuqCode_drainic</t>
  </si>
  <si>
    <t>duric</t>
  </si>
  <si>
    <t>Duric</t>
  </si>
  <si>
    <t>Having a duric horizon starting within 100 centimetres of the soil surface.</t>
  </si>
  <si>
    <t>Code: 'du'.</t>
  </si>
  <si>
    <t>SuqCode_duric</t>
  </si>
  <si>
    <t>dystric</t>
  </si>
  <si>
    <t>Dystric</t>
  </si>
  <si>
    <t>Having a base saturation (by 1 M NH4OAc) of less than 50 percent in the major part between 20 and 100 centimetres from the soil surface or between 20 centimetres and continuous rock or a cemented or indurated layer, or, in Leptosols, in a layer, 5 centimetres or more thick, directly above continuous rock.</t>
  </si>
  <si>
    <t>Code: 'dy'.</t>
  </si>
  <si>
    <t>SuqCode_dystric</t>
  </si>
  <si>
    <t>ekranic</t>
  </si>
  <si>
    <t>Ekranic</t>
  </si>
  <si>
    <t>Having technic hard rock starting within 5 centimetres of the soil surface and covering 95 percent or more of the horizontal extent of a pedon (in Technosols only).</t>
  </si>
  <si>
    <t>Code: 'ek'.</t>
  </si>
  <si>
    <t>SuqCode_ekranic</t>
  </si>
  <si>
    <t>endoduric</t>
  </si>
  <si>
    <t>Endoduric</t>
  </si>
  <si>
    <t>Having a duric horizon starting between 50 and 100 centimetres from the soil surface.</t>
  </si>
  <si>
    <t>Code: 'nd'.</t>
  </si>
  <si>
    <t>SuqCode_endoduric</t>
  </si>
  <si>
    <t>endodystric</t>
  </si>
  <si>
    <t>Endodystric</t>
  </si>
  <si>
    <t>Having a base saturation (by 1 M NH4OAc) of less than 50 percent throughout between 50 and 100 centimetres from the soil surface.</t>
  </si>
  <si>
    <t>Code: 'ny'.</t>
  </si>
  <si>
    <t>SuqCode_endodystric</t>
  </si>
  <si>
    <t>endoeutric</t>
  </si>
  <si>
    <t>Endoeutric</t>
  </si>
  <si>
    <t>Having a base saturation (by 1 M NH4OAc) of 50 percent or more throughout between 50 and 100 centimetres from the soil surface.</t>
  </si>
  <si>
    <t>Code: 'ne'.</t>
  </si>
  <si>
    <t>SuqCode_endoeutric</t>
  </si>
  <si>
    <t>endofluvic</t>
  </si>
  <si>
    <t>Endofluvic</t>
  </si>
  <si>
    <t>Having fluvic material in a layer, 25 centimetres or more thick, between 50 and 100 centimetres from the soil surface.</t>
  </si>
  <si>
    <t>Code: 'nf'.</t>
  </si>
  <si>
    <t>SuqCode_endofluvic</t>
  </si>
  <si>
    <t>endogleyic</t>
  </si>
  <si>
    <t>Endogleyic</t>
  </si>
  <si>
    <t>Having between 50 and 100 centimetres from the mineral soil surface in some parts reducing conditions and in 25 percent or more of the soil volume a gleyic colour pattern.</t>
  </si>
  <si>
    <t>Code: 'ng'.</t>
  </si>
  <si>
    <t>SuqCode_endogleyic</t>
  </si>
  <si>
    <t>endoleptic</t>
  </si>
  <si>
    <t>Endoleptic</t>
  </si>
  <si>
    <t>Having continuous rock starting between 50 and 100 centimetres from the soil surface.</t>
  </si>
  <si>
    <t>Code: 'nl'.</t>
  </si>
  <si>
    <t>SuqCode_endoleptic</t>
  </si>
  <si>
    <t>endosalic</t>
  </si>
  <si>
    <t>Endosalic</t>
  </si>
  <si>
    <t>Having a salic horizon starting between 50 and 100 centimetres from the soil surface.</t>
  </si>
  <si>
    <t>Code: 'ns'.</t>
  </si>
  <si>
    <t>SuqCode_endosalic</t>
  </si>
  <si>
    <t>entic</t>
  </si>
  <si>
    <t>Entic</t>
  </si>
  <si>
    <t>Not an albic horizon and a loose spodic horizon (in Podzols only).</t>
  </si>
  <si>
    <t>Code: 'et'.</t>
  </si>
  <si>
    <t>SuqCode_entic</t>
  </si>
  <si>
    <t>epidystric</t>
  </si>
  <si>
    <t>Epidystric</t>
  </si>
  <si>
    <t>Having a base saturation (by 1 M NH4OAc) of less than 50 percent throughout between 20 and 50 centimetres from the soil surface.</t>
  </si>
  <si>
    <t>Code: 'ed'.</t>
  </si>
  <si>
    <t>SuqCode_epidystric</t>
  </si>
  <si>
    <t>epieutric</t>
  </si>
  <si>
    <t>Epieutric</t>
  </si>
  <si>
    <t>Having a base saturation (by 1 M NH4OAc) of 50 percent or more throughout between 20 and 50 centimetres from the soil surface.</t>
  </si>
  <si>
    <t>Code: 'ee'.</t>
  </si>
  <si>
    <t>SuqCode_epieutric</t>
  </si>
  <si>
    <t>epileptic</t>
  </si>
  <si>
    <t>Epileptic</t>
  </si>
  <si>
    <t>Having continuous rock starting within 50 centimetres of the soil surface.</t>
  </si>
  <si>
    <t>Code: 'el'.</t>
  </si>
  <si>
    <t>SuqCode_epileptic</t>
  </si>
  <si>
    <t>episalic</t>
  </si>
  <si>
    <t>Episalic</t>
  </si>
  <si>
    <t>Having a salic horizon starting within 50 centimetres of the soil surface.</t>
  </si>
  <si>
    <t>Code: 'ea'.</t>
  </si>
  <si>
    <t>SuqCode_episalic</t>
  </si>
  <si>
    <t>escalic</t>
  </si>
  <si>
    <t>Escalic</t>
  </si>
  <si>
    <t>Occurring in human-made terraces.</t>
  </si>
  <si>
    <t>Code: 'ec'.</t>
  </si>
  <si>
    <t>SuqCode_escalic</t>
  </si>
  <si>
    <t>eutric</t>
  </si>
  <si>
    <t>Eutric</t>
  </si>
  <si>
    <t>Having a base saturation (by 1 M NH4OAc) of 50 percent or more in the major part between 20 and 100 centimetres from the soil surface or between 20 centimetres and continuous rock or a cemented or indurated layer, or, in Leptosols, in a layer, 5 centimetres or more thick, directly above continuous rock.</t>
  </si>
  <si>
    <t>Code: 'eu'.</t>
  </si>
  <si>
    <t>SuqCode_eutric</t>
  </si>
  <si>
    <t>eutrosilic</t>
  </si>
  <si>
    <t>Eutrosilic</t>
  </si>
  <si>
    <t>Having one or more layers, cumulatively 30 centimetres or more thick, with andic properties and a sum of exchangeable bases of 15 cmolc kg-1 fine earth or more within 100 centimetres of the surface (in Andosols only).</t>
  </si>
  <si>
    <t>Code: 'es'.</t>
  </si>
  <si>
    <t>SuqCode_eutrosilic</t>
  </si>
  <si>
    <t>ferralic</t>
  </si>
  <si>
    <t>Ferralic</t>
  </si>
  <si>
    <t>Having a ferralic horizon starting within 200 centimetres of the soil surface (in Anthrosols only), or ferralic properties in at least some layer starting within 100 centimetres of the soil surface (in other soils).</t>
  </si>
  <si>
    <t>Code: 'fl'.</t>
  </si>
  <si>
    <t>SuqCode_ferralic</t>
  </si>
  <si>
    <t>ferric</t>
  </si>
  <si>
    <t>Ferric</t>
  </si>
  <si>
    <t>Having a ferric horizon starting within 100 centimetres of the soil surface.</t>
  </si>
  <si>
    <t>Code: 'fr'.</t>
  </si>
  <si>
    <t>SuqCode_ferric</t>
  </si>
  <si>
    <t>fibric</t>
  </si>
  <si>
    <t>Fibric</t>
  </si>
  <si>
    <t>Having, after rubbing, two-thirds or more (by volume) of the organic material consisting of recognizable plant tissue within 100 centimetres of the soil surface (in Histosols only).</t>
  </si>
  <si>
    <t>Code: 'fi'.</t>
  </si>
  <si>
    <t>SuqCode_fibric</t>
  </si>
  <si>
    <t>floatic</t>
  </si>
  <si>
    <t>Floatic</t>
  </si>
  <si>
    <t>Having organic material floating on water (in Histosols only).</t>
  </si>
  <si>
    <t>Code: 'ft'.</t>
  </si>
  <si>
    <t>SuqCode_floatic</t>
  </si>
  <si>
    <t>fluvic</t>
  </si>
  <si>
    <t>Fluvic</t>
  </si>
  <si>
    <t>Having fluvic material in a layer, 25 centimetres or more thick, within 100 centimetres of the soil surface.</t>
  </si>
  <si>
    <t>Code: 'fv'.</t>
  </si>
  <si>
    <t>SuqCode_fluvic</t>
  </si>
  <si>
    <t>folic</t>
  </si>
  <si>
    <t>Folic</t>
  </si>
  <si>
    <t>Having a folic horizon starting within 40 centimetres of the soil surface.</t>
  </si>
  <si>
    <t>Code: 'fo'.</t>
  </si>
  <si>
    <t>SuqCode_folic</t>
  </si>
  <si>
    <t>fractipetric</t>
  </si>
  <si>
    <t>Fractipetric</t>
  </si>
  <si>
    <t>Having a strongly cemented or indurated horizon consisting of fractured or broken clods with an average horizontal length of less than 10 cm, starting within 100 centimetres of the soil surface.</t>
  </si>
  <si>
    <t>Code: 'fp'.</t>
  </si>
  <si>
    <t>SuqCode_fractipetric</t>
  </si>
  <si>
    <t>fractiplinthic</t>
  </si>
  <si>
    <t>Fractiplinthic</t>
  </si>
  <si>
    <t>Having a petroplinthic horizon consisting of fractured or broken clods with an average horizontal length of less than 10 cm, starting within 100 centimetres of the soil surface.</t>
  </si>
  <si>
    <t>Code: 'fa'.</t>
  </si>
  <si>
    <t>SuqCode_fractiplinthic</t>
  </si>
  <si>
    <t>fragic</t>
  </si>
  <si>
    <t>Fragic</t>
  </si>
  <si>
    <t>Having a fragic horizon starting within 100 centimetres of the soil surface.</t>
  </si>
  <si>
    <t>Code: 'fg'.</t>
  </si>
  <si>
    <t>SuqCode_fragic</t>
  </si>
  <si>
    <t>fulvic</t>
  </si>
  <si>
    <t>Fulvic</t>
  </si>
  <si>
    <t>Having a fulvic horizon starting within 30 centimetres of the soil surface.</t>
  </si>
  <si>
    <t>Code: 'fu'.</t>
  </si>
  <si>
    <t>SuqCode_fulvic</t>
  </si>
  <si>
    <t>garbic</t>
  </si>
  <si>
    <t>Garbic</t>
  </si>
  <si>
    <t>Having a layer, 20 centimetres or more thick within 100 centimetres of the soil surface, with 20 percent or more (by volume, by weighted average) artefacts containing 35 percent or more (by volume) organic waste materials (in Technosols only).</t>
  </si>
  <si>
    <t>Code: 'ga'.</t>
  </si>
  <si>
    <t>SuqCode_garbic</t>
  </si>
  <si>
    <t>gelic</t>
  </si>
  <si>
    <t>Gelic</t>
  </si>
  <si>
    <t>Having a layer with a soil temperature of 0 degrees Centigrade or less for two or more consecutive years starting within 200 centimetres of the soil surface.</t>
  </si>
  <si>
    <t>Code: 'ge'.</t>
  </si>
  <si>
    <t>SuqCode_gelic</t>
  </si>
  <si>
    <t>gelistagnic</t>
  </si>
  <si>
    <t>Gelistagnic</t>
  </si>
  <si>
    <t>Having temporary water saturation at the soil surface caused by a frozen subsoil.</t>
  </si>
  <si>
    <t>Code: 'gt'.</t>
  </si>
  <si>
    <t>SuqCode_gelistagnic</t>
  </si>
  <si>
    <t>geric</t>
  </si>
  <si>
    <t>Geric</t>
  </si>
  <si>
    <t>Having geric properties in some layer within 100 centimetres of the soil surface.</t>
  </si>
  <si>
    <t>Code: 'gr'.</t>
  </si>
  <si>
    <t>SuqCode_geric</t>
  </si>
  <si>
    <t>gibbsic</t>
  </si>
  <si>
    <t>Gibbsic</t>
  </si>
  <si>
    <t>Having a layer, 30 centimetres or more thick, containing 25 percent or more gibbsite in the fine earth fraction within 100 centimetres of the soil surface.</t>
  </si>
  <si>
    <t>Code: 'gi'.</t>
  </si>
  <si>
    <t>SuqCode_gibbsic</t>
  </si>
  <si>
    <t>glacic</t>
  </si>
  <si>
    <t>Glacic</t>
  </si>
  <si>
    <t>Having a layer, 30 centimetres or more thick, containing 75 percent (by volume) or more ice within 100 centimetres of the soil surface.</t>
  </si>
  <si>
    <t>Code: 'gc'.</t>
  </si>
  <si>
    <t>SuqCode_glacic</t>
  </si>
  <si>
    <t>gleyic</t>
  </si>
  <si>
    <t>Gleyic</t>
  </si>
  <si>
    <t>Having within 100 centimetres of the mineral soil surface in some parts reducing conditions and in 25 percent or more of the soil volume a gleyic colour pattern.</t>
  </si>
  <si>
    <t>Code: 'gl'.</t>
  </si>
  <si>
    <t>SuqCode_gleyic</t>
  </si>
  <si>
    <t>glossalbic</t>
  </si>
  <si>
    <t>Glossalbic</t>
  </si>
  <si>
    <t>Showing tonguing of an albic into an argic or natric horizon.</t>
  </si>
  <si>
    <t>Code: 'gb'.</t>
  </si>
  <si>
    <t>SuqCode_glossalbic</t>
  </si>
  <si>
    <t>glossic</t>
  </si>
  <si>
    <t>Glossic</t>
  </si>
  <si>
    <t>Showing tonguing of a mollic or umbric horizon into an underlying layer.</t>
  </si>
  <si>
    <t>Code: 'gs'.</t>
  </si>
  <si>
    <t>SuqCode_glossic</t>
  </si>
  <si>
    <t>greyic</t>
  </si>
  <si>
    <t>Greyic</t>
  </si>
  <si>
    <t>Having Munsell colours with a chroma of 3 or less when moist, a value of 3 or less when moist and 5 or less when dry and uncoated silt and sand grains on structural faces within 5 centimetres of the mineral soil surface.</t>
  </si>
  <si>
    <t>Code: 'gz'.</t>
  </si>
  <si>
    <t>SuqCode_greyic</t>
  </si>
  <si>
    <t>grumic</t>
  </si>
  <si>
    <t>Grumic</t>
  </si>
  <si>
    <t>Having a soil surface layer with a thickness of 3 centimetres or more with a strong structure finer than very coarse granular (in Vertisols only).</t>
  </si>
  <si>
    <t>Code: 'gm'.</t>
  </si>
  <si>
    <t>SuqCode_grumic</t>
  </si>
  <si>
    <t>gypsic</t>
  </si>
  <si>
    <t>Gypsic</t>
  </si>
  <si>
    <t>Having a gypsic horizon starting within 100 centimetres of the soil surface.</t>
  </si>
  <si>
    <t>Code: 'gy'.</t>
  </si>
  <si>
    <t>SuqCode_gypsic</t>
  </si>
  <si>
    <t>gypsiric</t>
  </si>
  <si>
    <t>Gypsiric</t>
  </si>
  <si>
    <t>Having a gypsiric material between 20 and 50 centimetres from the soil surface.</t>
  </si>
  <si>
    <t>Code: 'gp'.</t>
  </si>
  <si>
    <t>SuqCode_gypsiric</t>
  </si>
  <si>
    <t>haplic</t>
  </si>
  <si>
    <t>Haplic</t>
  </si>
  <si>
    <t>Having a typical expression of certain features (typical in the sense that there is no further or meaningful characterization) and only used if none of the preceding qualifiers applies.</t>
  </si>
  <si>
    <t>Code: 'ha'.</t>
  </si>
  <si>
    <t>SuqCode_haplic</t>
  </si>
  <si>
    <t>hemic</t>
  </si>
  <si>
    <t>Hemic</t>
  </si>
  <si>
    <t>Having, after rubbing, between two-thirds and one-sixth (by volume) of the organic material consisting of recognizable plant tissue within 100 centimetres from the soil surface (in Histosols only).</t>
  </si>
  <si>
    <t>Code: 'hm'.</t>
  </si>
  <si>
    <t>SuqCode_hemic</t>
  </si>
  <si>
    <t>histic</t>
  </si>
  <si>
    <t>Histic</t>
  </si>
  <si>
    <t>Having a histic horizon starting within 40 centimetres of the soil surface.</t>
  </si>
  <si>
    <t>Code: 'hi'.</t>
  </si>
  <si>
    <t>SuqCode_histic</t>
  </si>
  <si>
    <t>hortic</t>
  </si>
  <si>
    <t>Hortic</t>
  </si>
  <si>
    <t>Having a hortic horizon.</t>
  </si>
  <si>
    <t>Code: 'ht'.</t>
  </si>
  <si>
    <t>SuqCode_hortic</t>
  </si>
  <si>
    <t>humic</t>
  </si>
  <si>
    <t>Humic</t>
  </si>
  <si>
    <t>Having the following organic carbon contents in the fine earth fraction as a weighted average in Ferralsols and Nitisols, 1.4 percent or more to a depth of 100 centimetres from the mineral soil surface; in Leptosols, 2 percent or more to a depth of 25 centimetres from the soil surface.</t>
  </si>
  <si>
    <t>Code: 'hu'.</t>
  </si>
  <si>
    <t>SuqCode_humic</t>
  </si>
  <si>
    <t>hydragric</t>
  </si>
  <si>
    <t>Hydragric</t>
  </si>
  <si>
    <t>Having an anthraquic horizon and an underlying hydragric horizon, the latter starting within 100 centimetres of the soil surface.</t>
  </si>
  <si>
    <t>Code: 'hg'.</t>
  </si>
  <si>
    <t>SuqCode_hydragric</t>
  </si>
  <si>
    <t>hydric</t>
  </si>
  <si>
    <t>Hydric</t>
  </si>
  <si>
    <t>Having within 100 centimetres of the soil surface one or more layers with a combined thickness of 35 centimetres or more, which have a water retention at 1 500 kPa (in undried samples) of 100 percent or more (in Andosols only).</t>
  </si>
  <si>
    <t>Code: 'hy'.</t>
  </si>
  <si>
    <t>SuqCode_hydric</t>
  </si>
  <si>
    <t>hydrophobic</t>
  </si>
  <si>
    <t>Hydrophobic</t>
  </si>
  <si>
    <t>Water-repellent; specifically water stands on a dry soil for the duration of 60 seconds or more (in Arenosols only).</t>
  </si>
  <si>
    <t>Code: 'hf'.</t>
  </si>
  <si>
    <t>SuqCode_hydrophobic</t>
  </si>
  <si>
    <t>hyperalbic</t>
  </si>
  <si>
    <t>Hyperalbic</t>
  </si>
  <si>
    <t>Having an albic horizon starting within 50 centimetres of the soil surface and its lower boundary at a depth of 100 centimetres or more from the soil surface.</t>
  </si>
  <si>
    <t>SuqCode_hyperalbic</t>
  </si>
  <si>
    <t>hyperalic</t>
  </si>
  <si>
    <t>Hyperalic</t>
  </si>
  <si>
    <t>Having an argic horizon that has a silt to clay ratio of less than 0.6 and an Al saturation (effective) of 50 percent or more, throughout or to a depth of 50 centimetres below its upper limit, whichever is shallower (in Alisols only).</t>
  </si>
  <si>
    <t>Code: 'hl'.</t>
  </si>
  <si>
    <t>SuqCode_hyperalic</t>
  </si>
  <si>
    <t>hypercalcic</t>
  </si>
  <si>
    <t>Hypercalcic</t>
  </si>
  <si>
    <t>Having a calcic horizon with 50 percent or more (by mass) calcium carbonate equivalent (in Calcisols only).</t>
  </si>
  <si>
    <t>Code: 'hc'.</t>
  </si>
  <si>
    <t>SuqCode_hypercalcic</t>
  </si>
  <si>
    <t>hyperdystric</t>
  </si>
  <si>
    <t>Hyperdystric</t>
  </si>
  <si>
    <t>Having a base saturation (by 1 M NH4OAc) of less than 50 percent throughout between 20 and 100 centimetres from the soil surface, and less than 20 percent in some layer within 100 centimetres of the soil surface.</t>
  </si>
  <si>
    <t>Code: 'hd'.</t>
  </si>
  <si>
    <t>SuqCode_hyperdystric</t>
  </si>
  <si>
    <t>hypereutric</t>
  </si>
  <si>
    <t>Hypereutric</t>
  </si>
  <si>
    <t>Having a base saturation (by 1 M NH4OAc) of 50 percent or more throughout between 20 and 100 centimetres from the soil surface and 80 percent or more in some layer within 100 centimetres of the soil surface.</t>
  </si>
  <si>
    <t>Code: 'he'.</t>
  </si>
  <si>
    <t>SuqCode_hypereutric</t>
  </si>
  <si>
    <t>hypergypsic</t>
  </si>
  <si>
    <t>Hypergypsic</t>
  </si>
  <si>
    <t>Having a gypsic horizon with 50 percent or more (by mass) gypsum (in Gypsisols only).</t>
  </si>
  <si>
    <t>Code: 'hp'.</t>
  </si>
  <si>
    <t>SuqCode_hypergypsic</t>
  </si>
  <si>
    <t>hyperochric</t>
  </si>
  <si>
    <t>Hyperochric</t>
  </si>
  <si>
    <t>Having a mineral topsoil layer, 5 centimetres or more thick, with a Munsell value, dry, of 5.5 or more that turns darker on moistening, an organic carbon content of less than 0.4 percent, a platy structure in 50 percent or more of the volume, and a surface crust.</t>
  </si>
  <si>
    <t>Code: 'ho'.</t>
  </si>
  <si>
    <t>SuqCode_hyperochric</t>
  </si>
  <si>
    <t>hypersalic</t>
  </si>
  <si>
    <t>Hypersalic</t>
  </si>
  <si>
    <t>Having an ECe of 30 dS m-1 or more at 25 °C in some layer within 100 centimetres of the soil surface.</t>
  </si>
  <si>
    <t>Code: 'hs'.</t>
  </si>
  <si>
    <t>SuqCode_hypersalic</t>
  </si>
  <si>
    <t>hyperskeletic</t>
  </si>
  <si>
    <t>Hyperskeletic</t>
  </si>
  <si>
    <t>Containing less than 20 percent (by volume) fine earth averaged over a depth of 75 centimetres from the soil surface or to continuous rock, whichever is shallower.</t>
  </si>
  <si>
    <t>Code: 'hk'.</t>
  </si>
  <si>
    <t>SuqCode_hyperskeletic</t>
  </si>
  <si>
    <t>hypocalcic</t>
  </si>
  <si>
    <t>Hypocalcic</t>
  </si>
  <si>
    <t>Having a calcic horizon with a calcium carbonate equivalent content in the fine earth fraction of less than 25 percent and starting within 100 centimetres of the soil surface (in Calcisols only).</t>
  </si>
  <si>
    <t>Code: 'wc'.</t>
  </si>
  <si>
    <t>SuqCode_hypocalcic</t>
  </si>
  <si>
    <t>hypogypsic</t>
  </si>
  <si>
    <t>Hypogypsic</t>
  </si>
  <si>
    <t>Having a gypsic horizon with a gypsum content in the fine earth fraction of less than 25 percent and starting within 100 centimetres of the soil surface (in Gypsisols only).</t>
  </si>
  <si>
    <t>Code: 'wg'.</t>
  </si>
  <si>
    <t>SuqCode_hypogypsic</t>
  </si>
  <si>
    <t>hypoluvic</t>
  </si>
  <si>
    <t>Hypoluvic</t>
  </si>
  <si>
    <t>Having an absolute clay increase of 3 percent or more within 100 centimetres of the soil surface (in Arenosols only).</t>
  </si>
  <si>
    <t>Code: 'wl'.</t>
  </si>
  <si>
    <t>SuqCode_hypoluvic</t>
  </si>
  <si>
    <t>hyposalic</t>
  </si>
  <si>
    <t>Hyposalic</t>
  </si>
  <si>
    <t>Having an ECe of 4 dS m-1 or more at 25 °C in some layer within 100 centimetres of the soil surface.</t>
  </si>
  <si>
    <t>Code: 'ws'.</t>
  </si>
  <si>
    <t>SuqCode_hyposalic</t>
  </si>
  <si>
    <t>hyposodic</t>
  </si>
  <si>
    <t>Hyposodic</t>
  </si>
  <si>
    <t>Having 6 percent or more exchangeable Na on the exchange complex in a layer, 20 centimetres or more thick, within 100 centimetres of the soil surface.</t>
  </si>
  <si>
    <t>Code: 'wn'.</t>
  </si>
  <si>
    <t>SuqCode_hyposodic</t>
  </si>
  <si>
    <t>irragric</t>
  </si>
  <si>
    <t>Irragric</t>
  </si>
  <si>
    <t>Having an irragric horizon.</t>
  </si>
  <si>
    <t>Code: 'ir'.</t>
  </si>
  <si>
    <t>SuqCode_irragric</t>
  </si>
  <si>
    <t>lamellic</t>
  </si>
  <si>
    <t>Lamellic</t>
  </si>
  <si>
    <t>Having clay lamellae with a combined thickness of 15 centimetres or more within 200 centimetres of the soil surface.</t>
  </si>
  <si>
    <t>Code: 'il'.</t>
  </si>
  <si>
    <t>SuqCode_lamellic</t>
  </si>
  <si>
    <t>laxic</t>
  </si>
  <si>
    <t>Laxic</t>
  </si>
  <si>
    <t>Having a bulk density of less than 0.8 kg dm-3, in a mineral soil layer, 20 centimetres or more thick, starting within 75 centimetres of the soil surface.</t>
  </si>
  <si>
    <t>Code: 'la'.</t>
  </si>
  <si>
    <t>SuqCode_laxic</t>
  </si>
  <si>
    <t>leptic</t>
  </si>
  <si>
    <t>Leptic</t>
  </si>
  <si>
    <t>Having continuous rock starting within 100 centimetres of the soil surface.</t>
  </si>
  <si>
    <t>Code: 'le'.</t>
  </si>
  <si>
    <t>SuqCode_leptic</t>
  </si>
  <si>
    <t>lignic</t>
  </si>
  <si>
    <t>Lignic</t>
  </si>
  <si>
    <t>Having inclusions of intact wood fragments, which make up one-quarter or more of the soil volume, within 50 centimetres of the soil surface (in Histosols only).</t>
  </si>
  <si>
    <t>Code: 'lg'.</t>
  </si>
  <si>
    <t>SuqCode_lignic</t>
  </si>
  <si>
    <t>limnic</t>
  </si>
  <si>
    <t>Limnic</t>
  </si>
  <si>
    <t>Having limnic material, cumulatively 10 centimetres or more thick, within 50 centimetres of the soil surface.</t>
  </si>
  <si>
    <t>Code: 'lm'.</t>
  </si>
  <si>
    <t>SuqCode_limnic</t>
  </si>
  <si>
    <t>linic</t>
  </si>
  <si>
    <t>Linic</t>
  </si>
  <si>
    <t>Having a continuous, very slowly permeable to impermeable constructed geomembrane of any thickness starting within 100 centimetres of the soil surface.</t>
  </si>
  <si>
    <t>Code: 'lc'.</t>
  </si>
  <si>
    <t>SuqCode_linic</t>
  </si>
  <si>
    <t>lithic</t>
  </si>
  <si>
    <t>Lithic</t>
  </si>
  <si>
    <t>Having continuous rock starting within 10 centimetres of the soil surface (in Leptosols only).</t>
  </si>
  <si>
    <t>Code: 'li'.</t>
  </si>
  <si>
    <t>SuqCode_lithic</t>
  </si>
  <si>
    <t>lixic</t>
  </si>
  <si>
    <t>Lixic</t>
  </si>
  <si>
    <t>Having an argic horizon that has a CEC (by 1 M NH4OAc) of 24 cmolc kg-1 clay or more in some part to a maximum depth of 50 centimetres below its upper limit, either starting within 100 centimetres of the soil surface or within 200 centimetres of the soil surface if the argic horizon is overlain by loamy sand or coarser textures throughout, and a base saturation (by 1 M NH4OAc) of 50 percent or more in the major part between 50 and 100 centimetres from the soil surface.</t>
  </si>
  <si>
    <t>Code: 'lx'.</t>
  </si>
  <si>
    <t>SuqCode_lixic</t>
  </si>
  <si>
    <t>luvic</t>
  </si>
  <si>
    <t>Luvic</t>
  </si>
  <si>
    <t>Having an argic horizon that has a CEC of 24 cmolc kg-1 clay or more throughout or to a depth of 50 centimetres below its upper limit, whichever is shallower, either starting within 100 centimetres of the soil surface or within 200 centimetres of the soil surface if the argic horizon is overlain by loamy sand or coarser textures throughout, and a base saturation (by 1 M NH4OAc) of 50 percent or more in the major part between 50 and 100 centimetres from the soil surface.</t>
  </si>
  <si>
    <t>Code: 'lv'.</t>
  </si>
  <si>
    <t>SuqCode_luvic</t>
  </si>
  <si>
    <t>magnesic</t>
  </si>
  <si>
    <t>Magnesic</t>
  </si>
  <si>
    <t>Having an exchangeable Ca to Mg ratio of less than 1 in the major part within 100 centimetres of the soil surface or to continuous rock or a cemented or indurated layer, whichever is shallower.</t>
  </si>
  <si>
    <t>Code: 'mg'.</t>
  </si>
  <si>
    <t>SuqCode_magnesic</t>
  </si>
  <si>
    <t>manganiferric</t>
  </si>
  <si>
    <t>Manganiferric</t>
  </si>
  <si>
    <t>Having a ferric horizon starting within 100 centimetres of the soil surface in which half or more of the nodules or mottles are black.</t>
  </si>
  <si>
    <t>Code: 'mf'.</t>
  </si>
  <si>
    <t>SuqCode_manganiferric</t>
  </si>
  <si>
    <t>mazic</t>
  </si>
  <si>
    <t>Mazic</t>
  </si>
  <si>
    <t>Massive and hard to very hard in the upper 20 centimetres of the soil (in Vertisols only).</t>
  </si>
  <si>
    <t>Code: 'mz'.</t>
  </si>
  <si>
    <t>SuqCode_mazic</t>
  </si>
  <si>
    <t>melanic</t>
  </si>
  <si>
    <t>Melanic</t>
  </si>
  <si>
    <t>Having a melanic horizon starting within 30 centimetres of the soil surface (in Andosols only).</t>
  </si>
  <si>
    <t>Code: 'ml'.</t>
  </si>
  <si>
    <t>SuqCode_melanic</t>
  </si>
  <si>
    <t>mesotrophic</t>
  </si>
  <si>
    <t>Mesotrophic</t>
  </si>
  <si>
    <t>Having a base saturation (by 1 M NH4OAc) of less than 75 percent at a depth of 20 centimetres from the soil surface (in Vertisols only).</t>
  </si>
  <si>
    <t>Code: 'ms'.</t>
  </si>
  <si>
    <t>SuqCode_mesotrophic</t>
  </si>
  <si>
    <t>mollic</t>
  </si>
  <si>
    <t>Mollic</t>
  </si>
  <si>
    <t>Having a mollic horizon.</t>
  </si>
  <si>
    <t>Code: 'mo'.</t>
  </si>
  <si>
    <t>SuqCode_mollic</t>
  </si>
  <si>
    <t>molliglossic</t>
  </si>
  <si>
    <t>Molliglossic</t>
  </si>
  <si>
    <t>Showing tonguing of a mollic horizon into an underlying layer.</t>
  </si>
  <si>
    <t>Code: 'mi'.</t>
  </si>
  <si>
    <t>SuqCode_molliglossic</t>
  </si>
  <si>
    <t>natric</t>
  </si>
  <si>
    <t>Natric</t>
  </si>
  <si>
    <t>Having a natric horizon starting within 100 centimetres of the soil surface.</t>
  </si>
  <si>
    <t>Code: 'na'.</t>
  </si>
  <si>
    <t>SuqCode_natric</t>
  </si>
  <si>
    <t>nitic</t>
  </si>
  <si>
    <t>Nitic</t>
  </si>
  <si>
    <t>Having a nitic horizon starting within 100 centimetres of the soil surface.</t>
  </si>
  <si>
    <t>Code: 'ni'.</t>
  </si>
  <si>
    <t>SuqCode_nitic</t>
  </si>
  <si>
    <t>novic</t>
  </si>
  <si>
    <t>Novic</t>
  </si>
  <si>
    <t>Having above the soil that is classified at the RSG level, a layer with recent sediments (new material), 5 centimetres or more and less than 50 centimetres thick.</t>
  </si>
  <si>
    <t>Code: 'nv'.</t>
  </si>
  <si>
    <t>SuqCode_novic</t>
  </si>
  <si>
    <t>nudilithic</t>
  </si>
  <si>
    <t>Nudilithic</t>
  </si>
  <si>
    <t>Having continuous rock at the soil surface (in Leptosols only).</t>
  </si>
  <si>
    <t>Code: 'nt'.</t>
  </si>
  <si>
    <t>SuqCode_nudilithic</t>
  </si>
  <si>
    <t>ombric</t>
  </si>
  <si>
    <t>Ombric</t>
  </si>
  <si>
    <t>Having a histic horizon saturated predominantly with rainwater starting within 40 centimetres of the soil surface (in Histosols only).</t>
  </si>
  <si>
    <t>Code: 'om'.</t>
  </si>
  <si>
    <t>SuqCode_ombric</t>
  </si>
  <si>
    <t>ornithic</t>
  </si>
  <si>
    <t>Ornithic</t>
  </si>
  <si>
    <t>Having a layer 15 centimetres or more thick with ornithogenic material starting within 50 centimetres of the soil surface.</t>
  </si>
  <si>
    <t>Code: 'oc'.</t>
  </si>
  <si>
    <t>SuqCode_ornithic</t>
  </si>
  <si>
    <t>ortsteinic</t>
  </si>
  <si>
    <t>Ortsteinic</t>
  </si>
  <si>
    <t>Having a cemented spodic horizon (ortstein) (in Podzols only).</t>
  </si>
  <si>
    <t>Code: 'os'.</t>
  </si>
  <si>
    <t>SuqCode_ortsteinic</t>
  </si>
  <si>
    <t>oxyaquic</t>
  </si>
  <si>
    <t>Oxyaquic</t>
  </si>
  <si>
    <t>Saturated with oxygen-rich water during a period of 20 or more consecutive days and not a gleyic or stagnic colour pattern in some layer within 100 centimetres of the soil surface.</t>
  </si>
  <si>
    <t>Code: 'oa'.</t>
  </si>
  <si>
    <t>SuqCode_oxyaquic</t>
  </si>
  <si>
    <t>pachic</t>
  </si>
  <si>
    <t>Pachic</t>
  </si>
  <si>
    <t>Having a mollic or umbric horizon 50 centimetres or more thick.</t>
  </si>
  <si>
    <t>Code: 'ph'.</t>
  </si>
  <si>
    <t>SuqCode_pachic</t>
  </si>
  <si>
    <t>pellic</t>
  </si>
  <si>
    <t>Pellic</t>
  </si>
  <si>
    <t>Having in the upper 30 centimetres of the soil a Munsell value, moist, of 3.5 or less and a chroma, moist, of 1.5 or less (in Vertisols only).</t>
  </si>
  <si>
    <t>Code: 'pe'.</t>
  </si>
  <si>
    <t>SuqCode_pellic</t>
  </si>
  <si>
    <t>petric</t>
  </si>
  <si>
    <t>Petric</t>
  </si>
  <si>
    <t>Having a strongly cemented or indurated layer starting within 100 centimetres of the soil surface.</t>
  </si>
  <si>
    <t>Code: 'pt'.</t>
  </si>
  <si>
    <t>SuqCode_petric</t>
  </si>
  <si>
    <t>petrocalcic</t>
  </si>
  <si>
    <t>Petrocalcic</t>
  </si>
  <si>
    <t>Having a petrocalcic horizon starting within 100 centimetres of the soil surface.</t>
  </si>
  <si>
    <t>Code: 'pc'.</t>
  </si>
  <si>
    <t>SuqCode_petrocalcic</t>
  </si>
  <si>
    <t>petroduric</t>
  </si>
  <si>
    <t>Petroduric</t>
  </si>
  <si>
    <t>Having a petroduric horizon starting within 100 centimetres of the soil surface.</t>
  </si>
  <si>
    <t>Code: 'pd'.</t>
  </si>
  <si>
    <t>SuqCode_petroduric</t>
  </si>
  <si>
    <t>petrogleyic</t>
  </si>
  <si>
    <t>Petrogleyic</t>
  </si>
  <si>
    <t>Having a layer, 10 centimetres or more thick, with an oximorphic colour pattern1, 15 percent or more (by volume) of which is cemented (bog iron), within 100 centimetres of the surface.</t>
  </si>
  <si>
    <t>Code: 'py'.</t>
  </si>
  <si>
    <t>SuqCode_petrogleyic</t>
  </si>
  <si>
    <t>petrogypsic</t>
  </si>
  <si>
    <t>Petrogypsic</t>
  </si>
  <si>
    <t>Having a petrogypsic horizon starting within 100 centimetres of the soil surface.</t>
  </si>
  <si>
    <t>Code: 'pg'.</t>
  </si>
  <si>
    <t>SuqCode_petrogypsic</t>
  </si>
  <si>
    <t>petroplinthic</t>
  </si>
  <si>
    <t>Petroplinthic</t>
  </si>
  <si>
    <t>Having a petroplinthic horizon starting within 100 centimetres of the soil surface.</t>
  </si>
  <si>
    <t>Code: 'pp'.</t>
  </si>
  <si>
    <t>SuqCode_petroplinthic</t>
  </si>
  <si>
    <t>petrosalic</t>
  </si>
  <si>
    <t>Petrosalic</t>
  </si>
  <si>
    <t>Having within 100 centimetres of the soil surface, a layer, 10 centimetres or more thick, which is cemented by salts more soluble than gypsum.</t>
  </si>
  <si>
    <t>Code: 'ps'.</t>
  </si>
  <si>
    <t>SuqCode_petrosalic</t>
  </si>
  <si>
    <t>pisoplinthic</t>
  </si>
  <si>
    <t>Pisoplinthic</t>
  </si>
  <si>
    <t>Having a pisoplinthic horizon starting within 100 centimetres of the soil surface.</t>
  </si>
  <si>
    <t>Code: 'px'.</t>
  </si>
  <si>
    <t>SuqCode_pisoplinthic</t>
  </si>
  <si>
    <t>placic</t>
  </si>
  <si>
    <t>Placic</t>
  </si>
  <si>
    <t>Having within 100 centimetres of the soil surface, an iron pan, between 1 and 25 mm thick, that is continuously cemented by a combination of organic matter, Fe and/or Al.</t>
  </si>
  <si>
    <t>Code: 'pi'.</t>
  </si>
  <si>
    <t>SuqCode_placic</t>
  </si>
  <si>
    <t>plaggic</t>
  </si>
  <si>
    <t>Plaggic</t>
  </si>
  <si>
    <t>Having a plaggic horizon.</t>
  </si>
  <si>
    <t>Code: 'pa'.</t>
  </si>
  <si>
    <t>SuqCode_plaggic</t>
  </si>
  <si>
    <t>plinthic</t>
  </si>
  <si>
    <t>Plinthic</t>
  </si>
  <si>
    <t>Having a plinthic horizon starting within 100 centimetres of the soil surface.</t>
  </si>
  <si>
    <t>Code: 'pl'.</t>
  </si>
  <si>
    <t>SuqCode_plinthic</t>
  </si>
  <si>
    <t>posic</t>
  </si>
  <si>
    <t>Posic</t>
  </si>
  <si>
    <t>Having a zero or positive charge (pHKCl - pHwater, both 1:1) in a layer, 30 centimetres or more thick, starting within 100 centimetres of the soil surface (in Plinthosols and Ferralsols only).</t>
  </si>
  <si>
    <t>Code: 'po'.</t>
  </si>
  <si>
    <t>SuqCode_posic</t>
  </si>
  <si>
    <t>profondic</t>
  </si>
  <si>
    <t>Profondic</t>
  </si>
  <si>
    <t>Having an argic horizon in which the clay content does not decrease by 20 percent or more (relative) from its maximum within 150 centimetres of the soil surface.</t>
  </si>
  <si>
    <t>Code: 'pf'.</t>
  </si>
  <si>
    <t>SuqCode_profondic</t>
  </si>
  <si>
    <t>protic</t>
  </si>
  <si>
    <t>Protic</t>
  </si>
  <si>
    <t>Showing no soil horizon development (in Arenosols only).</t>
  </si>
  <si>
    <t>Code: 'pr'.</t>
  </si>
  <si>
    <t>SuqCode_protic</t>
  </si>
  <si>
    <t>puffic</t>
  </si>
  <si>
    <t>Puffic</t>
  </si>
  <si>
    <t>Having a crust pushed up by salt crystals (in Solonchaks only).</t>
  </si>
  <si>
    <t>Code: 'pu'.</t>
  </si>
  <si>
    <t>SuqCode_puffic</t>
  </si>
  <si>
    <t>reductaquic</t>
  </si>
  <si>
    <t>Reductaquic</t>
  </si>
  <si>
    <t>Saturated with water during the thawing period and at some time of the year reducing conditions above a cryic horizon and within 100 centimetres of the soil surface (in Cryosols only).</t>
  </si>
  <si>
    <t>Code: 'ra'.</t>
  </si>
  <si>
    <t>SuqCode_reductaquic</t>
  </si>
  <si>
    <t>reductic</t>
  </si>
  <si>
    <t>Reductic</t>
  </si>
  <si>
    <t>Having reducing conditions in 25 percent or more of the soil volume within 100 centimetres of the soil surface caused by gaseous emissions, for example methane or carbon dioxide (in Technosols only).</t>
  </si>
  <si>
    <t>Code: 'rd'.</t>
  </si>
  <si>
    <t>SuqCode_reductic</t>
  </si>
  <si>
    <t>regic</t>
  </si>
  <si>
    <t>Regic</t>
  </si>
  <si>
    <t>Not having buried horizons (in Anthrosols only).</t>
  </si>
  <si>
    <t>Code: 'rg'.</t>
  </si>
  <si>
    <t>SuqCode_regic</t>
  </si>
  <si>
    <t>rendzic</t>
  </si>
  <si>
    <t>Rendzic</t>
  </si>
  <si>
    <t>Having a mollic horizon that contains or immediately overlies calcaric materials containing 40 percent or more calcium carbonate equivalent.</t>
  </si>
  <si>
    <t>Code: 'rz'.</t>
  </si>
  <si>
    <t>SuqCode_rendzic</t>
  </si>
  <si>
    <t>rheic</t>
  </si>
  <si>
    <t>Rheic</t>
  </si>
  <si>
    <t>Having a histic horizon saturated predominantly with ground-water or flowing surface water starting within 40 centimetres of the soil surface (in Histosols only).</t>
  </si>
  <si>
    <t>Code: 'rh'.</t>
  </si>
  <si>
    <t>SuqCode_rheic</t>
  </si>
  <si>
    <t>rhodic</t>
  </si>
  <si>
    <t>Rhodic</t>
  </si>
  <si>
    <t>Having within 150 centimetres of the soil surface a subsurface layer, 30 centimetres or more thick, with a Munsell hue redder than 5 YR (3.5 YR or redder), a value, moist, of less than 3.5 and a value, dry, no more than one unit higher than the moist value.</t>
  </si>
  <si>
    <t>Code: 'ro'.</t>
  </si>
  <si>
    <t>SuqCode_rhodic</t>
  </si>
  <si>
    <t>rubic</t>
  </si>
  <si>
    <t>Rubic</t>
  </si>
  <si>
    <t>Within 100 centimetres of the soil surface a subsurface layer, 30 centimetres or more thick, with a Munsell hue redder than 10 YR or a chroma, moist, of 5 or more (in Arenosols only).</t>
  </si>
  <si>
    <t>Code: 'ru'.</t>
  </si>
  <si>
    <t>SuqCode_rubic</t>
  </si>
  <si>
    <t>ruptic</t>
  </si>
  <si>
    <t>Ruptic</t>
  </si>
  <si>
    <t>Having a lithological discontinuity within 100 centimetres of the soil surface.</t>
  </si>
  <si>
    <t>Code: 'rp'.</t>
  </si>
  <si>
    <t>SuqCode_ruptic</t>
  </si>
  <si>
    <t>rustic</t>
  </si>
  <si>
    <t>Rustic</t>
  </si>
  <si>
    <t>Having a spodic horizon that turns redder on ignition (in Podzols only).</t>
  </si>
  <si>
    <t>Code: 'rs'.</t>
  </si>
  <si>
    <t>SuqCode_rustic</t>
  </si>
  <si>
    <t>salic</t>
  </si>
  <si>
    <t>Salic</t>
  </si>
  <si>
    <t>Having a salic horizon starting within 100 centimetres of the soil surface.</t>
  </si>
  <si>
    <t>Code: 'sz'.</t>
  </si>
  <si>
    <t>SuqCode_salic</t>
  </si>
  <si>
    <t>sapric</t>
  </si>
  <si>
    <t>Sapric</t>
  </si>
  <si>
    <t>Having, after rubbing, less than one-sixth (by volume) of the organic material consisting of recognizable plant tissue within 100 centimetres of the soil surface (in Histosols only).</t>
  </si>
  <si>
    <t>Code: 'sa'.</t>
  </si>
  <si>
    <t>SuqCode_sapric</t>
  </si>
  <si>
    <t>silandic</t>
  </si>
  <si>
    <t>Silandic</t>
  </si>
  <si>
    <t>Having one or more layers, cumulatively 30 centimetres or more thick, with andic properties and an acid oxalate (pH 3) extractable silica (Siox) content of 0.6 percent or more, or an Alpy to Alox ratio of less than 0.5 within 100 centimetres of the soil surface (in Andosols only).</t>
  </si>
  <si>
    <t>Code: 'sn'.</t>
  </si>
  <si>
    <t>SuqCode_silandic</t>
  </si>
  <si>
    <t>siltic</t>
  </si>
  <si>
    <t>Siltic</t>
  </si>
  <si>
    <t>Having a texture of silt, silt loam, silty clay loam or silty clay in a layer, 30 centimetres or more thick, within 100 centimetres of the soil surface.</t>
  </si>
  <si>
    <t>Code: 'sl'.</t>
  </si>
  <si>
    <t>SuqCode_siltic</t>
  </si>
  <si>
    <t>skeletic</t>
  </si>
  <si>
    <t>Skeletic</t>
  </si>
  <si>
    <t>40 percent or more (by volume) gravel or other coarse fragments averaged over a depth of 100 centimetres from the soil surface or to continuous rock or a cemented or indurated layer, whichever is shallower.</t>
  </si>
  <si>
    <t>Code: 'sk'.</t>
  </si>
  <si>
    <t>SuqCode_skeletic</t>
  </si>
  <si>
    <t>sodic</t>
  </si>
  <si>
    <t>Sodic</t>
  </si>
  <si>
    <t>Having 15 percent or more exchangeable Na plus Mg on the exchange complex within 50 centimetres of the soil surface throughout.</t>
  </si>
  <si>
    <t>Code: 'so'.</t>
  </si>
  <si>
    <t>SuqCode_sodic</t>
  </si>
  <si>
    <t>solodic</t>
  </si>
  <si>
    <t>Solodic</t>
  </si>
  <si>
    <t>Having a layer, 15 centimetres or more thick within 100 centimetres of the soil surface, with the columnar or prismatic structure of the natric horizon, but lacking its sodium saturation requirements.</t>
  </si>
  <si>
    <t>Code: 'sc'.</t>
  </si>
  <si>
    <t>SuqCode_solodic</t>
  </si>
  <si>
    <t>sombric</t>
  </si>
  <si>
    <t>Sombric</t>
  </si>
  <si>
    <t>Having a sombric horizon starting within 150 centimetres of the soil surface.</t>
  </si>
  <si>
    <t>Code: 'sm'.</t>
  </si>
  <si>
    <t>SuqCode_sombric</t>
  </si>
  <si>
    <t>spodic</t>
  </si>
  <si>
    <t>Spodic</t>
  </si>
  <si>
    <t>Having a spodic horizon starting within 200 centimetres of the mineral soil surface.</t>
  </si>
  <si>
    <t>Code: 'sd'.</t>
  </si>
  <si>
    <t>SuqCode_spodic</t>
  </si>
  <si>
    <t>spolic</t>
  </si>
  <si>
    <t>Spolic</t>
  </si>
  <si>
    <t>Having a layer, 20 centimetres or more thick within 100 centimetres of the soil surface, with 20 percent or more (by volume, by weighted average) artefacts containing 35 percent or more (by volume) of industrial waste (for example: mine spoil, dredgings, rubble).</t>
  </si>
  <si>
    <t>Code: 'sp'.</t>
  </si>
  <si>
    <t>SuqCode_spolic</t>
  </si>
  <si>
    <t>stagnic</t>
  </si>
  <si>
    <t>Stagnic</t>
  </si>
  <si>
    <t>Having within 100 centimetres of the mineral soil surface in some parts reducing conditions for some time during the year and in 25 percent or more of the soil volume, single or in combination, a stagnic colour pattern or an albic horizon.</t>
  </si>
  <si>
    <t>Code: 'st'.</t>
  </si>
  <si>
    <t>SuqCode_stagnic</t>
  </si>
  <si>
    <t>subaquatic</t>
  </si>
  <si>
    <t>Subaquatic</t>
  </si>
  <si>
    <t>Being permanently submerged under water not deeper than 200 cm.</t>
  </si>
  <si>
    <t>Code: 'sq'.</t>
  </si>
  <si>
    <t>SuqCode_subaquatic</t>
  </si>
  <si>
    <t>sulphatic</t>
  </si>
  <si>
    <t>Sulphatic</t>
  </si>
  <si>
    <t>Having a salic horizon with a soil solution (1:1 in water) with [SO42-] &gt;&gt; [HCO3-] &gt; [Cl-] (in Solonchaks only).</t>
  </si>
  <si>
    <t>Code: 'su'.</t>
  </si>
  <si>
    <t>SuqCode_sulphatic</t>
  </si>
  <si>
    <t>takyric</t>
  </si>
  <si>
    <t>Takyric</t>
  </si>
  <si>
    <t>Having a takyric horizon.</t>
  </si>
  <si>
    <t>Code: 'ty'.</t>
  </si>
  <si>
    <t>SuqCode_takyric</t>
  </si>
  <si>
    <t>technic</t>
  </si>
  <si>
    <t>Technic</t>
  </si>
  <si>
    <t>Having 10 percent or more (by volume, by weighted average) artefacts in the upper 100 centimetres from the soil surface or to continuous rock or a cemented or indurated layer, whichever is shallower.</t>
  </si>
  <si>
    <t>Code: 'te'.</t>
  </si>
  <si>
    <t>SuqCode_technic</t>
  </si>
  <si>
    <t>tephric</t>
  </si>
  <si>
    <t>Tephric</t>
  </si>
  <si>
    <t>Having tephric material to a depth of 30 centimetres or more from the soil surface or to continuous rock, whichever is shallower.</t>
  </si>
  <si>
    <t>Code: 'tf'.</t>
  </si>
  <si>
    <t>SuqCode_tephric</t>
  </si>
  <si>
    <t>terric</t>
  </si>
  <si>
    <t>Terric</t>
  </si>
  <si>
    <t>Having a terric horizon.</t>
  </si>
  <si>
    <t>Code: 'tr'.</t>
  </si>
  <si>
    <t>SuqCode_terric</t>
  </si>
  <si>
    <t>thaptandic</t>
  </si>
  <si>
    <t>Thaptandic</t>
  </si>
  <si>
    <t>Having one or more buried layers, cumulatively 30 centimetres or more thick, with andic properties, within 100 centimetres of the soil surface.</t>
  </si>
  <si>
    <t>Code: 'ba'.</t>
  </si>
  <si>
    <t>SuqCode_thaptandic</t>
  </si>
  <si>
    <t>thaptovitric</t>
  </si>
  <si>
    <t>Thaptovitric</t>
  </si>
  <si>
    <t>Having one or more buried layers, cumulatively 30 centimetres or more thick, with vitric properties, within 100 centimetres of the soil surface.</t>
  </si>
  <si>
    <t>Code: 'bv'.</t>
  </si>
  <si>
    <t>SuqCode_thaptovitric</t>
  </si>
  <si>
    <t>thionic</t>
  </si>
  <si>
    <t>Thionic</t>
  </si>
  <si>
    <t>Having a thionic horizon or a layer with sulphidic material, 15 centimetres or more thick, starting within 100 centimetres of the soil surface.</t>
  </si>
  <si>
    <t>Code: 'ti'.</t>
  </si>
  <si>
    <t>SuqCode_thionic</t>
  </si>
  <si>
    <t>thixotropic</t>
  </si>
  <si>
    <t>Thixotropic</t>
  </si>
  <si>
    <t>Having in some layer within 50 centimetres of the soil surface material that changes, under pressure or by rubbing, from a plastic solid into a liquefied stage and back into the solid condition.</t>
  </si>
  <si>
    <t>Code: 'tp'.</t>
  </si>
  <si>
    <t>SuqCode_thixotropic</t>
  </si>
  <si>
    <t>tidalic</t>
  </si>
  <si>
    <t>Tidalic</t>
  </si>
  <si>
    <t>Being flooded by tidewater but not covered by water at mean low tide.</t>
  </si>
  <si>
    <t>Code: 'td'.</t>
  </si>
  <si>
    <t>SuqCode_tidalic</t>
  </si>
  <si>
    <t>toxic</t>
  </si>
  <si>
    <t>Toxic</t>
  </si>
  <si>
    <t>Having in some layer within 50 centimetres of the soil surface toxic concentrations of organic or inorganic substances other than ions of Al, Fe, Na, Ca and Mg.</t>
  </si>
  <si>
    <t>Code: 'tx'.</t>
  </si>
  <si>
    <t>SuqCode_toxic</t>
  </si>
  <si>
    <t>transportic</t>
  </si>
  <si>
    <t>Transportic</t>
  </si>
  <si>
    <t>Having a layer, 30 centimetres or more thick, with solid or liquid material that has been moved from a source area outside the immediate vicinity of the soil by intentional human activity, usually with the aid of machinery, and without substantial reworking or displacement by natural forces.</t>
  </si>
  <si>
    <t>Code: 'tn'.</t>
  </si>
  <si>
    <t>SuqCode_transportic</t>
  </si>
  <si>
    <t>turbic</t>
  </si>
  <si>
    <t>Turbic</t>
  </si>
  <si>
    <t>Having cryoturbation features (mixed material, disrupted soil horizons, involutions, organic intrusions, frost heave, separation of coarse from fine materials, cracks or patterned ground) at the soil surface or above a cryic horizon and within 100 centimetres of the soil surface.</t>
  </si>
  <si>
    <t>Code: 'tu'.</t>
  </si>
  <si>
    <t>SuqCode_turbic</t>
  </si>
  <si>
    <t>umbric</t>
  </si>
  <si>
    <t>Umbric</t>
  </si>
  <si>
    <t>Having an umbric horizon.</t>
  </si>
  <si>
    <t>Code: 'um'.</t>
  </si>
  <si>
    <t>SuqCode_umbric</t>
  </si>
  <si>
    <t>umbriglossic</t>
  </si>
  <si>
    <t>Umbriglossic</t>
  </si>
  <si>
    <t>Showing tonguing of an umbric horizon into an underlying layer.</t>
  </si>
  <si>
    <t>Code: 'ug'.</t>
  </si>
  <si>
    <t>SuqCode_umbriglossic</t>
  </si>
  <si>
    <t>urbic</t>
  </si>
  <si>
    <t>Urbic</t>
  </si>
  <si>
    <t>Having a layer, 20 centimetres or more thick within 100 centimetres of the soil surface, with 20 percent or more (by volume, by weighted average) artefacts containing 35 percent or more (by volume) of rubble and refuse of human settlements (in Technosols only).</t>
  </si>
  <si>
    <t>Code: 'ub'.</t>
  </si>
  <si>
    <t>SuqCode_urbic</t>
  </si>
  <si>
    <t>vermic</t>
  </si>
  <si>
    <t>Vermic</t>
  </si>
  <si>
    <t>Having 50 percent or more (by volume, by weighted average) of worm holes, casts, or filled animal burrows in the upper 100 centimetres of the soil or to continuous rock or a cemented or indurated layer, whichever is shallower.</t>
  </si>
  <si>
    <t>Code: 'vm'.</t>
  </si>
  <si>
    <t>SuqCode_vermic</t>
  </si>
  <si>
    <t>vertic</t>
  </si>
  <si>
    <t>Vertic</t>
  </si>
  <si>
    <t>Having a vertic horizon or vertic properties starting within 100 centimetres of the soil surface.</t>
  </si>
  <si>
    <t>Code: 'vr'.</t>
  </si>
  <si>
    <t>SuqCode_vertic</t>
  </si>
  <si>
    <t>vetic</t>
  </si>
  <si>
    <t>Vetic</t>
  </si>
  <si>
    <t>Having an ECEC (sum of exchangeable bases plus exchangeable acidity in 1 M KCl) of less than 6 cmolc kg-1 clay in some subsurface layer within 100 centimetres of the soil surface.</t>
  </si>
  <si>
    <t>Code: 'vt'.</t>
  </si>
  <si>
    <t>SuqCode_vetic</t>
  </si>
  <si>
    <t>vitric</t>
  </si>
  <si>
    <t>Vitric</t>
  </si>
  <si>
    <t>Having one or more layers, cumulatively 30 centimetres or more thick, with vitric properties, within 100 centimetres of the soil surface.</t>
  </si>
  <si>
    <t>Code: 'vi'.</t>
  </si>
  <si>
    <t>SuqCode_vitric</t>
  </si>
  <si>
    <t>voronic</t>
  </si>
  <si>
    <t>Voronic</t>
  </si>
  <si>
    <t>Having a voronic horizon (in Chernozems only).</t>
  </si>
  <si>
    <t>Code: 'vo'.</t>
  </si>
  <si>
    <t>SuqCode_voronic</t>
  </si>
  <si>
    <t>xanthic</t>
  </si>
  <si>
    <t>Xanthic</t>
  </si>
  <si>
    <t>Having a ferralic horizon that has in a subhorizon, 30 centimetres or more thick within 150 centimetres of the soil surface, a Munsell hue of 7.5 YR or yellower and a value, moist, of 4 or more and a chroma, moist, of 5 or more.</t>
  </si>
  <si>
    <t>Code: 'xa'.</t>
  </si>
  <si>
    <t>SuqCode_xanthic</t>
  </si>
  <si>
    <t>yermic</t>
  </si>
  <si>
    <t>Yermic</t>
  </si>
  <si>
    <t>Having a yermic horizon, including a desert pavement.</t>
  </si>
  <si>
    <t>Code: 'ye'.</t>
  </si>
  <si>
    <t>SuqCode_yermic</t>
  </si>
  <si>
    <t>Well-graded Gravel (GW), Poorly-graded Gravel (GP), Well-graded Sand (SW), and/or Poorly-graded Sand (SP).</t>
  </si>
  <si>
    <t>StgCode_a</t>
  </si>
  <si>
    <t>Inorganic clays of high plasticity (CH).</t>
  </si>
  <si>
    <t>StgCode_b</t>
  </si>
  <si>
    <t>c</t>
  </si>
  <si>
    <t>C</t>
  </si>
  <si>
    <t>Clayey Gravel (GC), Clayey Sand (SC), and/or Lean Clay (CL).</t>
  </si>
  <si>
    <t>StgCode_c</t>
  </si>
  <si>
    <t>d</t>
  </si>
  <si>
    <t>D</t>
  </si>
  <si>
    <t>Silty Gravel Sand (GM), Silty Sand (SM), Silt and Fine Sand (ML), Silt, Fine Sand and Lean Clay (ML-CL), Micaceous (MH), Organic Silt and Clay (OL), and/or Organic Clay (OH).</t>
  </si>
  <si>
    <t>StgCode_d</t>
  </si>
  <si>
    <t>e</t>
  </si>
  <si>
    <t>E</t>
  </si>
  <si>
    <t>Peat and other highly organic soils (PT).</t>
  </si>
  <si>
    <t>StgCode_e</t>
  </si>
  <si>
    <t>x</t>
  </si>
  <si>
    <t>StgCode_x</t>
  </si>
  <si>
    <t>normallyDry</t>
  </si>
  <si>
    <t>Normally Dry</t>
  </si>
  <si>
    <t>The soil moisture content is normally less than the field capacity.</t>
  </si>
  <si>
    <t>The field capacity is the amount of water held in the soil after excess gravitational or free water has drained away or moved out of the upper horizons (usually two or three days after a soaking rain). Dry soils are well drained and exhibit good to moderate internal and external drainage characteristics without any influence from impervious pans, cemented layers, or other soil horizons restricting free water movement within the soil. Dry soils do not have physical indications of saturation by water, such as strongly mottled and gleyed soil horizons, nor do they have water tables within 1.2 metres of the surface. Dry soils usually occupy upland positions in the landscape (for example: on ridges and/or upper slopes) where the depth to the water table is more than 1.2 metres. However, dry soils can also exist in many other landscape positions such as terrace slopes, upland toe slopes, upland flats, terrace flats, and flood plains that have well drained soil moisture conditions.</t>
  </si>
  <si>
    <t>SwcCode_normallyDry</t>
  </si>
  <si>
    <t>normallyFrozen</t>
  </si>
  <si>
    <t>Normally Frozen</t>
  </si>
  <si>
    <t>The soil is normally frozen, often permanently (for example: Arctic tundra with permafrost).</t>
  </si>
  <si>
    <t>SwcCode_normallyFrozen</t>
  </si>
  <si>
    <t>normallyMoist</t>
  </si>
  <si>
    <t>Normally Moist</t>
  </si>
  <si>
    <t>The soil moisture content is normally greater than or equal to field capacity but less than the soil moisture content at the liquid limit.</t>
  </si>
  <si>
    <t>At the liquid limit the soil is fully saturated and all soil pores contain water; this usually occurs at about 150 percent of field capacity. Soils in a moist state commonly have mottled and grayish or bluish horizons that as indicative of poor drainage wherein the water table is usually within 0.3 to 1.2 metres from the surface. The more mottled and gray the subsoil, the poorer the soil drainage. The more intense the mottles and the closer they are to the soil surface, the longer the period of saturation or the higher the water table. Moist soils generally occupy low-lying and concave or depressed positions in the landscape where the water table is found at a depth of 0.3 meter to 1.2 metres from the surface. These topographic sites are not only more susceptible to accumulating soil moisture after a precipitation event, but they also subsequently retain this moisture longer than other topographic positions in the landscape that have received equal amounts of precipitation. These sites can occur at the base of slopes, in upland depressions, and on some floodplains, low terraces, or other low-lying land along watercourses. Moist conditions can also exist in upland flats and other level areas that have soils with poor internal or external drainage, or in soils with impervious pans or cemented layers that restrict percolation and cause perched water tables. In additions, soils influenced by seepage can also exhibit moist soil conditions.</t>
  </si>
  <si>
    <t>SwcCode_normallyMoist</t>
  </si>
  <si>
    <t>normallyWet</t>
  </si>
  <si>
    <t>Normally Wet</t>
  </si>
  <si>
    <t>The soil moisture content ranges from the soil's liquid limit to its maximum water holding capacity, which approaches complete saturation.</t>
  </si>
  <si>
    <t>At complete saturation all soil pores contain water and is equal to approximately 200 percent of field capacity. A soil in a wet condition commonly has free standing water at or near the soil surface. Areas exhibiting wet soil conditions are commonly waterlogged or flooded at least part of the year, and have water tables within 0.3 metres of the surface throughout most of the year. Soils in a wet condition are commonly found in swamps, marshes, bogs, and other low-lying, perennially wet areas. Wet soils can also exist seasonally in level to nearly level upland flats with poor internal drainage or shallow, restrictive pans or impervious layers, or in sloping areas with soils that have very poor internals drainage, are affected by seepage, or both. Wet soils will bind easily and may form a 'muddy' or 'wet' ball when squeezed in the hand.</t>
  </si>
  <si>
    <t>SwcCode_normallyWet</t>
  </si>
  <si>
    <t>A high level of reflectivity is returned by the object.</t>
  </si>
  <si>
    <t>ScrCode_high</t>
  </si>
  <si>
    <t>A low level of reflectivity is returned by the object.</t>
  </si>
  <si>
    <t>ScrCode_low</t>
  </si>
  <si>
    <t>A medium level of reflectivity is returned by the object.</t>
  </si>
  <si>
    <t>ScrCode_medium</t>
  </si>
  <si>
    <t>approxLowestAstronomTide</t>
  </si>
  <si>
    <t>Approximate Lowest Astronomical Tide</t>
  </si>
  <si>
    <t>An approximate level, usually within 0.3 metres from that of lowest astronomical tide.</t>
  </si>
  <si>
    <t>VdcCode_approxLowestAstronomTide</t>
  </si>
  <si>
    <t>approxMeanLowWater</t>
  </si>
  <si>
    <t>Approximate Mean Low Water</t>
  </si>
  <si>
    <t>An approximate level, usually within 0.3 metres from that of mean low water.</t>
  </si>
  <si>
    <t>VdcCode_approxMeanLowWater</t>
  </si>
  <si>
    <t>approxMeanLowWaterSprings</t>
  </si>
  <si>
    <t>Approximate Mean Low Water Springs</t>
  </si>
  <si>
    <t>An approximate level, usually within 0.3 metres from that of mean low water springs.</t>
  </si>
  <si>
    <t>VdcCode_approxMeanLowWaterSprings</t>
  </si>
  <si>
    <t>approxMeanLowerLowWater</t>
  </si>
  <si>
    <t>Approximate Mean Lower Low Water</t>
  </si>
  <si>
    <t>An approximate level, usually within 0.3 metres from that of mean lower low water.</t>
  </si>
  <si>
    <t>VdcCode_approxMeanLowerLowWater</t>
  </si>
  <si>
    <t>approxMeanSeaLevel</t>
  </si>
  <si>
    <t>Approximate Mean Sea Level</t>
  </si>
  <si>
    <t>An approximate level, usually within 0.3 metres from that of mean sea level.</t>
  </si>
  <si>
    <t>VdcCode_approxMeanSeaLevel</t>
  </si>
  <si>
    <t>chartDatumUnspecified</t>
  </si>
  <si>
    <t>Chart Datum (Unspecified)</t>
  </si>
  <si>
    <t>The chart datum is unspecified.</t>
  </si>
  <si>
    <t>VdcCode_chartDatumUnspecified</t>
  </si>
  <si>
    <t>equinoctialSpringLowWater</t>
  </si>
  <si>
    <t>Equinoctial Spring Low Water</t>
  </si>
  <si>
    <t>The level of low water springs near the time of an equinox.</t>
  </si>
  <si>
    <t>VdcCode_equinoctialSpringLowWater</t>
  </si>
  <si>
    <t>highWater</t>
  </si>
  <si>
    <t>High Water</t>
  </si>
  <si>
    <t>The highest level reached at a location by the water surface in one tidal cycle.</t>
  </si>
  <si>
    <t>When used on inland waters it is generally defined as a level that the daily mean water level exceeds less than 5 percent of the time.</t>
  </si>
  <si>
    <t>High Tide, HW</t>
  </si>
  <si>
    <t>VdcCode_highWater</t>
  </si>
  <si>
    <t>highWaterSprings</t>
  </si>
  <si>
    <t>High Water Springs</t>
  </si>
  <si>
    <t>An arbitrary level, approximating that of mean high water springs.</t>
  </si>
  <si>
    <t>VdcCode_highWaterSprings</t>
  </si>
  <si>
    <t>higherHighWater</t>
  </si>
  <si>
    <t>Higher High Water</t>
  </si>
  <si>
    <t>The highest of the high waters (or single high water) of any specified tidal day due to the declination A1 effects of the moon and sun.</t>
  </si>
  <si>
    <t>HHW</t>
  </si>
  <si>
    <t>VdcCode_higherHighWater</t>
  </si>
  <si>
    <t>higherHighWaterLargeTide</t>
  </si>
  <si>
    <t>Higher High Water Large Tide</t>
  </si>
  <si>
    <t>The average of the highest high waters, one from each of 19 years of observations.</t>
  </si>
  <si>
    <t>HHWLT</t>
  </si>
  <si>
    <t>VdcCode_higherHighWaterLargeTide</t>
  </si>
  <si>
    <t>highestAstronomicalTide</t>
  </si>
  <si>
    <t>Highest Astronomical Tide</t>
  </si>
  <si>
    <t>The highest tidal level, which can be predicted to occur under average meteorological conditions and under any combination of astronomical conditions.</t>
  </si>
  <si>
    <t>VdcCode_highestAstronomicalTide</t>
  </si>
  <si>
    <t>VdcCode_highestHighWater</t>
  </si>
  <si>
    <t>This tidal datum approximates the highest water level observed at a location and is usually above that of the higher high water at spring tides.</t>
  </si>
  <si>
    <t>VdcCode_indianSpringHighWater</t>
  </si>
  <si>
    <t>indianSpringLowWater</t>
  </si>
  <si>
    <t>Indian Spring Low Water</t>
  </si>
  <si>
    <t>A tidal surface datum approximating the level of the mean of the lower low water at spring tides.</t>
  </si>
  <si>
    <t>This tidal datum approximates the lowest water level observed at a location and is usually below that of the lower low water at spring tides.</t>
  </si>
  <si>
    <t>Indian Tidal Plane, ISLW</t>
  </si>
  <si>
    <t>VdcCode_indianSpringLowWater</t>
  </si>
  <si>
    <t>igld1985</t>
  </si>
  <si>
    <t>International Great Lakes Datum 1985</t>
  </si>
  <si>
    <t>A vertical reference system with its zero based on the mean water level at Rimouski/Pointe-au-Pere, Quebec, over the period 1970 to 1988.</t>
  </si>
  <si>
    <t>VdcCode_igld1985</t>
  </si>
  <si>
    <t>localDatum</t>
  </si>
  <si>
    <t>Local Datum</t>
  </si>
  <si>
    <t>An arbitrary datum defined by an authority of a local harbour, from which levels and tidal heights are measured by that authority.</t>
  </si>
  <si>
    <t>VdcCode_localDatum</t>
  </si>
  <si>
    <t>lowWater</t>
  </si>
  <si>
    <t>Low Water</t>
  </si>
  <si>
    <t>An approximation of mean low water adopted as the reference level for a limited region, irrespective of better determinations later.</t>
  </si>
  <si>
    <t>Used mostly in harbour and river engineering. Used in inland waters. It is generally defined as a level which the daily mean water level would fall below less than 5 percent of the time and by no more than 0.2 metres during the navigation season. A single level surface is usually chosen as the low water datum for a whole lake. On a river, low water datum is a sloping surface, which approximates the surface of the river at a low state.</t>
  </si>
  <si>
    <t>LW</t>
  </si>
  <si>
    <t>VdcCode_lowWater</t>
  </si>
  <si>
    <t>lowWaterDatum</t>
  </si>
  <si>
    <t>Low Water Datum</t>
  </si>
  <si>
    <t>An approximation of mean low water that has been adopted as a standard reference for a limited area and is retained for an indefinite period regardless of the fact that it may differ slightly from a better determination of mean low water from a subsequent series of observations.</t>
  </si>
  <si>
    <t>Used primarily for river and harbor engineering purposes. For example, the (US) Boston low water datum.</t>
  </si>
  <si>
    <t>VdcCode_lowWaterDatum</t>
  </si>
  <si>
    <t>lowWaterSprings</t>
  </si>
  <si>
    <t>Low Water Springs</t>
  </si>
  <si>
    <t>A level approximating that of mean low water springs.</t>
  </si>
  <si>
    <t>VdcCode_lowWaterSprings</t>
  </si>
  <si>
    <t>lowerLowWater</t>
  </si>
  <si>
    <t>Lower Low Water</t>
  </si>
  <si>
    <t>The lowest of the low waters (or single low water) of any specified tidal day due to the declination A1 effects of the moon and sun.</t>
  </si>
  <si>
    <t>LLW</t>
  </si>
  <si>
    <t>VdcCode_lowerLowWater</t>
  </si>
  <si>
    <t>lowerLowWaterLargeTide</t>
  </si>
  <si>
    <t>Lower Low Water Large Tide</t>
  </si>
  <si>
    <t>The average of the lowest low waters, one from each of 19 years of observations.</t>
  </si>
  <si>
    <t>LLWLT</t>
  </si>
  <si>
    <t>VdcCode_lowerLowWaterLargeTide</t>
  </si>
  <si>
    <t>lowestAstronomicalTide</t>
  </si>
  <si>
    <t>Lowest Astronomical Tide</t>
  </si>
  <si>
    <t>The lowest tide level that can be predicted to occur under average meteorological conditions and under any combination of astronomical conditions.</t>
  </si>
  <si>
    <t>LAT</t>
  </si>
  <si>
    <t>VdcCode_lowestAstronomicalTide</t>
  </si>
  <si>
    <t>lowestLowWater</t>
  </si>
  <si>
    <t>Lowest Low Water</t>
  </si>
  <si>
    <t>An arbitrary level conforming to the lowest tide observed at a location, or somewhat lower.</t>
  </si>
  <si>
    <t>VdcCode_lowestLowWater</t>
  </si>
  <si>
    <t>lowestLowWaterSprings</t>
  </si>
  <si>
    <t>Lowest Low Water Springs</t>
  </si>
  <si>
    <t>An arbitrary level conforming to the lowest water level observed at a location at spring tides during a period shorter than 19 years.</t>
  </si>
  <si>
    <t>VdcCode_lowestLowWaterSprings</t>
  </si>
  <si>
    <t>MHW</t>
  </si>
  <si>
    <t>VdcCode_meanHighWater</t>
  </si>
  <si>
    <t>meanHighWaterNeaps</t>
  </si>
  <si>
    <t>Mean High Water Neaps</t>
  </si>
  <si>
    <t>The average height of the high waters of the neap tide.</t>
  </si>
  <si>
    <t>Neap High Water, High Water Neaps</t>
  </si>
  <si>
    <t>VdcCode_meanHighWaterNeaps</t>
  </si>
  <si>
    <t>Spring High Water, MHWS</t>
  </si>
  <si>
    <t>VdcCode_meanHighWaterSprings</t>
  </si>
  <si>
    <t>MHHW</t>
  </si>
  <si>
    <t>VdcCode_meanHigherHighWater</t>
  </si>
  <si>
    <t>VdcCode_meanHigherHighWaterSprings</t>
  </si>
  <si>
    <t>meanHigherLowWater</t>
  </si>
  <si>
    <t>Mean Higher Low Water</t>
  </si>
  <si>
    <t>The average of the higher low water height of each tidal day observed over a National Tidal Datum Epoch.</t>
  </si>
  <si>
    <t>For stations with shorter series, comparison of simultaneous observations with a control tide station is made in order to derive the equivalent datum of the National Tidal Datum Epoch.</t>
  </si>
  <si>
    <t>MHLW</t>
  </si>
  <si>
    <t>VdcCode_meanHigherLowWater</t>
  </si>
  <si>
    <t>meanLowWater</t>
  </si>
  <si>
    <t>Mean Low Water</t>
  </si>
  <si>
    <t>The average height of all low waters at a location over a 19-year period.</t>
  </si>
  <si>
    <t>MLW</t>
  </si>
  <si>
    <t>VdcCode_meanLowWater</t>
  </si>
  <si>
    <t>meanLowWaterNeaps</t>
  </si>
  <si>
    <t>Mean Low Water Neaps</t>
  </si>
  <si>
    <t>The average height of the low waters of the neap tide.</t>
  </si>
  <si>
    <t>Neap Low Water, Low Water Neaps</t>
  </si>
  <si>
    <t>VdcCode_meanLowWaterNeaps</t>
  </si>
  <si>
    <t>meanLowWaterSprings</t>
  </si>
  <si>
    <t>Mean Low Water Springs</t>
  </si>
  <si>
    <t>The average height of the low waters of spring tides.</t>
  </si>
  <si>
    <t>Spring Low Water, MLWS</t>
  </si>
  <si>
    <t>VdcCode_meanLowWaterSprings</t>
  </si>
  <si>
    <t>meanLowerHighWater</t>
  </si>
  <si>
    <t>Mean Lower High Water</t>
  </si>
  <si>
    <t>The average of the lower high water height of each tidal day observed over a National Tidal Datum Epoch.</t>
  </si>
  <si>
    <t>MLHW</t>
  </si>
  <si>
    <t>VdcCode_meanLowerHighWater</t>
  </si>
  <si>
    <t>meanLowerLowWater</t>
  </si>
  <si>
    <t>Mean Lower Low Water</t>
  </si>
  <si>
    <t>The average height of the lower low waters at a location over a 19-year period.</t>
  </si>
  <si>
    <t>MLLW</t>
  </si>
  <si>
    <t>VdcCode_meanLowerLowWater</t>
  </si>
  <si>
    <t>meanLowerLowWaterSprings</t>
  </si>
  <si>
    <t>Mean Lower Low Water Springs</t>
  </si>
  <si>
    <t>The average height of lower low water at spring tides at a location.</t>
  </si>
  <si>
    <t>MLLWS</t>
  </si>
  <si>
    <t>VdcCode_meanLowerLowWaterSprings</t>
  </si>
  <si>
    <t>Usually determined from hourly height readings, for all stages of the tide, over a 19-year period.</t>
  </si>
  <si>
    <t>VdcCode_meanSeaLevel</t>
  </si>
  <si>
    <t>meanTideLevel</t>
  </si>
  <si>
    <t>Mean Tide Level</t>
  </si>
  <si>
    <t>The arithmetic mean of mean high water and mean low water.</t>
  </si>
  <si>
    <t>Half-tide Level, HTL</t>
  </si>
  <si>
    <t>VdcCode_meanTideLevel</t>
  </si>
  <si>
    <t>meanWaterLevel</t>
  </si>
  <si>
    <t>Mean Water Level</t>
  </si>
  <si>
    <t>The average of all hourly water levels over the available period of record.</t>
  </si>
  <si>
    <t>VdcCode_meanWaterLevel</t>
  </si>
  <si>
    <t>neapTide</t>
  </si>
  <si>
    <t>Neap Tide</t>
  </si>
  <si>
    <t>A tide of decreased range (or tidal currents of decreased speed) occurring semi-monthly as the result of the moon being in quadrature.</t>
  </si>
  <si>
    <t>The neap range of the tide is the average range occurring at the time of neap tides and is most conveniently computed from the harmonic constants. It is smaller than the mean range where the type of tide is either semi-diurnal or mixed and is of no practical significance where the type of tide is predominantly diurnal.</t>
  </si>
  <si>
    <t>VdcCode_neapTide</t>
  </si>
  <si>
    <t>nearlyHighestHighWater</t>
  </si>
  <si>
    <t>Nearly Highest High Water</t>
  </si>
  <si>
    <t>An arbitrary level approximating the highest water level observed at a location, usually equivalent to the high water springs.</t>
  </si>
  <si>
    <t>VdcCode_nearlyHighestHighWater</t>
  </si>
  <si>
    <t>nearlyLowestLowWater</t>
  </si>
  <si>
    <t>Nearly Lowest Low Water</t>
  </si>
  <si>
    <t>A level approximating the lowest water level observed at a location, usually equivalent to Indian spring low water.</t>
  </si>
  <si>
    <t>VdcCode_nearlyLowestLowWater</t>
  </si>
  <si>
    <t>springTide</t>
  </si>
  <si>
    <t>Spring Tide</t>
  </si>
  <si>
    <t>A tide of increased range (or tidal water currents of increased speed) occurring semi-monthly as the result of the moon being new or full.</t>
  </si>
  <si>
    <t>The spring range of tide is the average range occurring at the time of spring tides and is most conveniently computed from the harmonic constants. It is larger than the mean range where the type of tide is either semi-diurnal or mixed, and is of no practical significance where the type of tide is predominantly diurnal.</t>
  </si>
  <si>
    <t>VdcCode_springTide</t>
  </si>
  <si>
    <t>tropicHigherHighWater</t>
  </si>
  <si>
    <t>Tropic Higher High Water</t>
  </si>
  <si>
    <t>The highest of the high waters (or single high water) of the tides occurring semimonthly when the effect of the Moon's maximum declination is greatest.</t>
  </si>
  <si>
    <t>At these times there is a tendency for an increase in the diurnal range.</t>
  </si>
  <si>
    <t>TcHHW</t>
  </si>
  <si>
    <t>VdcCode_tropicHigherHighWater</t>
  </si>
  <si>
    <t>tropicLowerLowWater</t>
  </si>
  <si>
    <t>Tropic Lower Low Water</t>
  </si>
  <si>
    <t>The lowest of the low waters (or single low water) of the tides occurring semimonthly when the effect of the Moon's maximum declination is greatest.</t>
  </si>
  <si>
    <t>TcLLW</t>
  </si>
  <si>
    <t>VdcCode_tropicLowerLowWater</t>
  </si>
  <si>
    <t>deeper</t>
  </si>
  <si>
    <t>Deeper</t>
  </si>
  <si>
    <t>The depth is deeper than the maximum depth of the surrounding depth area.</t>
  </si>
  <si>
    <t>SouCode_deeper</t>
  </si>
  <si>
    <t>shallower</t>
  </si>
  <si>
    <t>Shallower</t>
  </si>
  <si>
    <t>The depth is shoaler than the minimum depth of the surrounding depth area.</t>
  </si>
  <si>
    <t>Shallower soundings could represent a potential danger for navigation.</t>
  </si>
  <si>
    <t>SouCode_shallower</t>
  </si>
  <si>
    <t>withinRange</t>
  </si>
  <si>
    <t>Within Range</t>
  </si>
  <si>
    <t>The depth corresponds to the depth range of the surrounding depth area.</t>
  </si>
  <si>
    <t>The depth is not shoaler than the minimum depth of the surrounding depth area or deeper than the maximum depth of the surrounding depth area.</t>
  </si>
  <si>
    <t>SouCode_withinRange</t>
  </si>
  <si>
    <t>mathewsTables</t>
  </si>
  <si>
    <t>Mathews Tables</t>
  </si>
  <si>
    <t>Corrected through the use of Mathews Tables (NP 139).</t>
  </si>
  <si>
    <t>SvcCode_mathewsTables</t>
  </si>
  <si>
    <t>soundVelocityMeter</t>
  </si>
  <si>
    <t>Sound Velocity Meter</t>
  </si>
  <si>
    <t>Corrected through the use of a sound velocity meter (SVM) to determine actual conditions.</t>
  </si>
  <si>
    <t>SvcCode_soundVelocityMeter</t>
  </si>
  <si>
    <t>sounder1500Calibrated</t>
  </si>
  <si>
    <t>Sounder 1500 Calibrated</t>
  </si>
  <si>
    <t>The echo sounder was calibrated at 1,500 metres per second and remained uncorrected for actual conditions.</t>
  </si>
  <si>
    <t>SvcCode_sounder1500Calibrated</t>
  </si>
  <si>
    <t>sounder4800Calibrated</t>
  </si>
  <si>
    <t>Sounder 4800 Calibrated</t>
  </si>
  <si>
    <t>The echo sounder was calibrated at 4,800 feet per second and remained uncorrected for actual conditions.</t>
  </si>
  <si>
    <t>4,800 feet per second equals 1,463.04 metres per second.</t>
  </si>
  <si>
    <t>SvcCode_sounder4800Calibrated</t>
  </si>
  <si>
    <t>sounderOtherCalibrated</t>
  </si>
  <si>
    <t>Sounder Other Calibrated</t>
  </si>
  <si>
    <t>Corrected by other means of calibration.</t>
  </si>
  <si>
    <t>SvcCode_sounderOtherCalibrated</t>
  </si>
  <si>
    <t>bathymetricModelData</t>
  </si>
  <si>
    <t>Bathymetric Model Data</t>
  </si>
  <si>
    <t>Derived from mathematic modelling of bathymetric data.</t>
  </si>
  <si>
    <t>StcCode_bathymetricModelData</t>
  </si>
  <si>
    <t>bathymetricSurveyData</t>
  </si>
  <si>
    <t>Bathymetric Survey Data</t>
  </si>
  <si>
    <t>Determined by a bathymetric survey.</t>
  </si>
  <si>
    <t>StcCode_bathymetricSurveyData</t>
  </si>
  <si>
    <t>cartographicSource</t>
  </si>
  <si>
    <t>Cartographic Source</t>
  </si>
  <si>
    <t>Determined from cartographic information (for example: a map or a chart).</t>
  </si>
  <si>
    <t>StcCode_cartographicSource</t>
  </si>
  <si>
    <t>hyperspectralImagery</t>
  </si>
  <si>
    <t>Hyperspectral Imagery</t>
  </si>
  <si>
    <t>Determined by analysis of hyperspectral imagery.</t>
  </si>
  <si>
    <t>StcCode_hyperspectralImagery</t>
  </si>
  <si>
    <t>landSurveyData</t>
  </si>
  <si>
    <t>Land Survey Data</t>
  </si>
  <si>
    <t>Determined by a land survey.</t>
  </si>
  <si>
    <t>StcCode_landSurveyData</t>
  </si>
  <si>
    <t>monoscopicImagery</t>
  </si>
  <si>
    <t>Monoscopic Imagery</t>
  </si>
  <si>
    <t>Determined by analysis of monoscopic imagery.</t>
  </si>
  <si>
    <t>StcCode_monoscopicImagery</t>
  </si>
  <si>
    <t>multispectralImagery</t>
  </si>
  <si>
    <t>Multispectral Imagery</t>
  </si>
  <si>
    <t>Determined by analysis of multispectral imagery.</t>
  </si>
  <si>
    <t>StcCode_multispectralImagery</t>
  </si>
  <si>
    <t>reportedInformation</t>
  </si>
  <si>
    <t>Reported Information</t>
  </si>
  <si>
    <t>Determined from reported information (for example: a field report or an intelligence estimate).</t>
  </si>
  <si>
    <t>StcCode_reportedInformation</t>
  </si>
  <si>
    <t>stereoscopicImagery</t>
  </si>
  <si>
    <t>Stereoscopic Imagery</t>
  </si>
  <si>
    <t>Determined by analysis of stereoscopic imagery.</t>
  </si>
  <si>
    <t>StcCode_stereoscopicImagery</t>
  </si>
  <si>
    <t>sarImagery</t>
  </si>
  <si>
    <t>Synthetic Aperture Radar (SAR) Imagery</t>
  </si>
  <si>
    <t>Determined by analysis of synthetic aperture radar imagery.</t>
  </si>
  <si>
    <t>StcCode_sarImagery</t>
  </si>
  <si>
    <t>allLossesWwII</t>
  </si>
  <si>
    <t>All Losses WW II</t>
  </si>
  <si>
    <t>Naval losses of all nations 9/3/39 - 8/15/45, an integrated historical list.</t>
  </si>
  <si>
    <t>WsrCode_allLossesWwII</t>
  </si>
  <si>
    <t>axisSubmarineLossesWwII</t>
  </si>
  <si>
    <t>Axis Submarine Losses WW II</t>
  </si>
  <si>
    <t>German, Japanese, and Italian Submarine Losses in World War II.</t>
  </si>
  <si>
    <t>Historical lists maintained by member states of the International Hydrographic Organization (IHO).</t>
  </si>
  <si>
    <t>WsrCode_axisSubmarineLossesWwII</t>
  </si>
  <si>
    <t>britishAdmiraltyWreckList</t>
  </si>
  <si>
    <t>British Admiralty (BA) Wreck List</t>
  </si>
  <si>
    <t>H.O. Wreck Information List and Supplement dated 10 March 1945 and 30 September 1946.</t>
  </si>
  <si>
    <t>A historical list maintained by a member state of the International Hydrographic Organization (IHO).</t>
  </si>
  <si>
    <t>WsrCode_britishAdmiraltyWreckList</t>
  </si>
  <si>
    <t>britishAdmiralty1921</t>
  </si>
  <si>
    <t>British Admiralty 1921</t>
  </si>
  <si>
    <t>British Admiralty (BA) Wreck Charts 1921.</t>
  </si>
  <si>
    <t>WsrCode_britishAdmiralty1921</t>
  </si>
  <si>
    <t>britishAdmiralty1961</t>
  </si>
  <si>
    <t>British Admiralty 1961</t>
  </si>
  <si>
    <t>British Admiralty (BA) Wreck Charts 1961.</t>
  </si>
  <si>
    <t>WsrCode_britishAdmiralty1961</t>
  </si>
  <si>
    <t>britishAdmiraltyCharts</t>
  </si>
  <si>
    <t>British Admiralty Charts</t>
  </si>
  <si>
    <t>British Admiralty (BA) Hydrographic Office chart reports and charts.</t>
  </si>
  <si>
    <t>Charts specifically designed to meet the requirements of marine navigation, showing depths of water, nature of bottom, elevations, configuration and characteristics of the coast, dangers and aids to navigation, as well as a summary of these types of characteristics.</t>
  </si>
  <si>
    <t>WsrCode_britishAdmiraltyCharts</t>
  </si>
  <si>
    <t>britishAdmiraltyFiles</t>
  </si>
  <si>
    <t>British Admiralty Files</t>
  </si>
  <si>
    <t>British Admiralty (BA) Hydrographic Office nautical files.</t>
  </si>
  <si>
    <t>WsrCode_britishAdmiraltyFiles</t>
  </si>
  <si>
    <t>britishAdmiraltyNotice</t>
  </si>
  <si>
    <t>British Admiralty Notice to Mariners</t>
  </si>
  <si>
    <t>British Admiralty (BA) Hydrographic Office Notice to Mariners.</t>
  </si>
  <si>
    <t>Periodic or casual notices issued regarding changes in aids to navigation, dangers to navigation, important new soundings and, in general, all such information as affects nautical charts and sailing directions.</t>
  </si>
  <si>
    <t>WsrCode_britishAdmiraltyNotice</t>
  </si>
  <si>
    <t>britishLossesWwI</t>
  </si>
  <si>
    <t>British Losses WW I</t>
  </si>
  <si>
    <t>British merchant vessels captured or destroyed by enemy action 1914 - 1918.</t>
  </si>
  <si>
    <t>WsrCode_britishLossesWwI</t>
  </si>
  <si>
    <t>comnavfe</t>
  </si>
  <si>
    <t>COMNAVFE</t>
  </si>
  <si>
    <t>Commander Naval Forces Far East.</t>
  </si>
  <si>
    <t>WsrCode_comnavfe</t>
  </si>
  <si>
    <t>comnavpac</t>
  </si>
  <si>
    <t>COMNAVPAC</t>
  </si>
  <si>
    <t>Commander Naval Forces Pacific.</t>
  </si>
  <si>
    <t>WsrCode_comnavpac</t>
  </si>
  <si>
    <t>danishLossListWwI</t>
  </si>
  <si>
    <t>Danish Loss List WW I</t>
  </si>
  <si>
    <t>List of Danish ship losses 1914 - 1918.</t>
  </si>
  <si>
    <t>WsrCode_danishLossListWwI</t>
  </si>
  <si>
    <t>danishLossesWwI</t>
  </si>
  <si>
    <t>Danish Losses WW I</t>
  </si>
  <si>
    <t>Smaling Soforklaringer - Danish ship losses 1914 - 1918.</t>
  </si>
  <si>
    <t>WsrCode_danishLossesWwI</t>
  </si>
  <si>
    <t>dutchWreckList</t>
  </si>
  <si>
    <t>Dutch Wreck List</t>
  </si>
  <si>
    <t>List of wrecks compiled by the Netherlands.</t>
  </si>
  <si>
    <t>A list maintained by a member state of the International Hydrographic Organization (IHO).</t>
  </si>
  <si>
    <t>WsrCode_dutchWreckList</t>
  </si>
  <si>
    <t>frenchLossesWwI</t>
  </si>
  <si>
    <t>French Losses WW I</t>
  </si>
  <si>
    <t>France - Naval and Merchant Losses during World War I.</t>
  </si>
  <si>
    <t>WsrCode_frenchLossesWwI</t>
  </si>
  <si>
    <t>germanNeutralSinkings</t>
  </si>
  <si>
    <t>German Neutral Sinkings</t>
  </si>
  <si>
    <t>A list of neutral ships sunk by Germany.</t>
  </si>
  <si>
    <t>Not a member of the International Hydrographic Organization (IHO) at the time.</t>
  </si>
  <si>
    <t>WsrCode_germanNeutralSinkings</t>
  </si>
  <si>
    <t>greekLossesWwII</t>
  </si>
  <si>
    <t>Greek Losses WW II</t>
  </si>
  <si>
    <t>Greek ship losses in World War II.</t>
  </si>
  <si>
    <t>WsrCode_greekLossesWwII</t>
  </si>
  <si>
    <t>insuranceReport</t>
  </si>
  <si>
    <t>Insurance Report</t>
  </si>
  <si>
    <t>Lloyds and Marine underwriter's reports.</t>
  </si>
  <si>
    <t>WsrCode_insuranceReport</t>
  </si>
  <si>
    <t>italianLossesWwII</t>
  </si>
  <si>
    <t>Italian Losses WW II</t>
  </si>
  <si>
    <t>Italian naval and merchant ship losses in World War II.</t>
  </si>
  <si>
    <t>WsrCode_italianLossesWwII</t>
  </si>
  <si>
    <t>italianMerchantLossesWwI</t>
  </si>
  <si>
    <t>Italian Merchant Losses WW I</t>
  </si>
  <si>
    <t>Italian merchant ship losses in World War I.</t>
  </si>
  <si>
    <t>WsrCode_italianMerchantLossesWwI</t>
  </si>
  <si>
    <t>italianNavalCharts</t>
  </si>
  <si>
    <t>Italian Naval Charts</t>
  </si>
  <si>
    <t>Italian Naval Surveys charts and lists.</t>
  </si>
  <si>
    <t>WsrCode_italianNavalCharts</t>
  </si>
  <si>
    <t>italianNavalSurvey</t>
  </si>
  <si>
    <t>Italian Naval Survey</t>
  </si>
  <si>
    <t>Documented results of Italian Naval surveys.</t>
  </si>
  <si>
    <t>WsrCode_italianNavalSurvey</t>
  </si>
  <si>
    <t>italianNavyLossesWwI</t>
  </si>
  <si>
    <t>Italian Navy Losses WW I</t>
  </si>
  <si>
    <t>Italian naval ship losses in World War I.</t>
  </si>
  <si>
    <t>WsrCode_italianNavyLossesWwI</t>
  </si>
  <si>
    <t>japaneseLossWwII</t>
  </si>
  <si>
    <t>Japanese Losses WW II</t>
  </si>
  <si>
    <t>Japanese Naval and Merchant losses during World War II by all causes (NAVEXOS P-468).</t>
  </si>
  <si>
    <t>WsrCode_japaneseLossWwII</t>
  </si>
  <si>
    <t>japaneseNavyReportsWwII</t>
  </si>
  <si>
    <t>Japanese Navy Reports WW II</t>
  </si>
  <si>
    <t>The Imperial Japanese Navy in World War II.</t>
  </si>
  <si>
    <t>WsrCode_japaneseNavyReportsWwII</t>
  </si>
  <si>
    <t>lossesWwI</t>
  </si>
  <si>
    <t>Losses WW I</t>
  </si>
  <si>
    <t>Abstracts of Losses 1914 - 1918, a historical list.</t>
  </si>
  <si>
    <t>WsrCode_lossesWwI</t>
  </si>
  <si>
    <t>madVerified</t>
  </si>
  <si>
    <t>MAD Verified</t>
  </si>
  <si>
    <t>A Magnetic Anomaly Detector (MAD) signature was obtained.</t>
  </si>
  <si>
    <t>WsrCode_madVerified</t>
  </si>
  <si>
    <t>merchantLossesWwII</t>
  </si>
  <si>
    <t>Merchant Losses WW II</t>
  </si>
  <si>
    <t>British and foreign merchant ships lost during World War II.</t>
  </si>
  <si>
    <t>WsrCode_merchantLossesWwII</t>
  </si>
  <si>
    <t>navalChronologyWwII</t>
  </si>
  <si>
    <t>Naval Chronology WW II</t>
  </si>
  <si>
    <t>Naval Chronology World War II, an historical list of activities.</t>
  </si>
  <si>
    <t>WsrCode_navalChronologyWwII</t>
  </si>
  <si>
    <t>netherlandsLossesWwI</t>
  </si>
  <si>
    <t>Netherlands Losses WW I</t>
  </si>
  <si>
    <t>Netherlands merchant ship losses in World War I.</t>
  </si>
  <si>
    <t>WsrCode_netherlandsLossesWwI</t>
  </si>
  <si>
    <t>WsrCode_northSeaFishingCharts</t>
  </si>
  <si>
    <t>norwegianLossesWwI</t>
  </si>
  <si>
    <t>Norwegian Losses WW I</t>
  </si>
  <si>
    <t>Maritime Declarations for Norwegian Ships for War Losses 1914 - 1918.</t>
  </si>
  <si>
    <t>WsrCode_norwegianLossesWwI</t>
  </si>
  <si>
    <t>omanHydroOffice</t>
  </si>
  <si>
    <t>Oman Hydrographic Office</t>
  </si>
  <si>
    <t>The office in charge of hydrographic surveys and the promulgation of that data for the government of Oman.</t>
  </si>
  <si>
    <t>WsrCode_omanHydroOffice</t>
  </si>
  <si>
    <t>photoPinnaclesMiscMetals</t>
  </si>
  <si>
    <t>Photographs of Pinnacles and Miscellaneous Metals</t>
  </si>
  <si>
    <t>WsrCode_photoPinnaclesMiscMetals</t>
  </si>
  <si>
    <t>portugalHydroOffice</t>
  </si>
  <si>
    <t>Portugal Hydrographic Office</t>
  </si>
  <si>
    <t>The office in charge of hydrographic surveys and the promulgation of that data for the Portuguese government.</t>
  </si>
  <si>
    <t>WsrCode_portugalHydroOffice</t>
  </si>
  <si>
    <t>rcnWreckList</t>
  </si>
  <si>
    <t>R.C.N. Wreck List</t>
  </si>
  <si>
    <t>Royal Canadian Navy List of wrecks (RCN Pub. 272).</t>
  </si>
  <si>
    <t>WsrCode_rcnWreckList</t>
  </si>
  <si>
    <t>radioNavigationWarning</t>
  </si>
  <si>
    <t>Radio Navigation Warning</t>
  </si>
  <si>
    <t>A radio-transmitted message warning of the presence of a danger to navigation affecting the safe navigation of vessels or aircraft.</t>
  </si>
  <si>
    <t>WsrCode_radioNavigationWarning</t>
  </si>
  <si>
    <t>shipVisitReports</t>
  </si>
  <si>
    <t>Ship Visit Reports</t>
  </si>
  <si>
    <t>WsrCode_shipVisitReports</t>
  </si>
  <si>
    <t>sonarVerified</t>
  </si>
  <si>
    <t>SONAR Verified</t>
  </si>
  <si>
    <t>The object reflected a sufficient amount of a sonar signal to produce a detectable echo signal at the sonar equipment.</t>
  </si>
  <si>
    <t>WsrCode_sonarVerified</t>
  </si>
  <si>
    <t>spanishHydroOffice</t>
  </si>
  <si>
    <t>Spanish Hydrographic Office</t>
  </si>
  <si>
    <t>The office in charge of hydrographic surveys and the promulgation of that data for the Spanish government.</t>
  </si>
  <si>
    <t>WsrCode_spanishHydroOffice</t>
  </si>
  <si>
    <t>spanishLossesWwI</t>
  </si>
  <si>
    <t>Spanish Losses WW I</t>
  </si>
  <si>
    <t>Spanish merchant ship losses in World War I.</t>
  </si>
  <si>
    <t>WsrCode_spanishLossesWwI</t>
  </si>
  <si>
    <t>stateOfShippingCasualties</t>
  </si>
  <si>
    <t>State of Shipping Casualties</t>
  </si>
  <si>
    <t>WsrCode_stateOfShippingCasualties</t>
  </si>
  <si>
    <t>swedishHydroOffice</t>
  </si>
  <si>
    <t>Swedish Hydrographic Office</t>
  </si>
  <si>
    <t>The Swedish Board of Shipping and Navigation Hydrographic Department, the office in charge of hydrographic surveys and the promulgation of that data for the Swedish government.</t>
  </si>
  <si>
    <t>WsrCode_swedishHydroOffice</t>
  </si>
  <si>
    <t>swedishLossesWwI</t>
  </si>
  <si>
    <t>Swedish Losses WW I</t>
  </si>
  <si>
    <t>Swedish Merchant Losses 1914-1920.</t>
  </si>
  <si>
    <t>WsrCode_swedishLossesWwI</t>
  </si>
  <si>
    <t>usCoastGuard</t>
  </si>
  <si>
    <t>U.S. Coast Guard</t>
  </si>
  <si>
    <t>Records from the U.S. Coast Guard and Geodetic Survey, the U.S. office responsible for charting U.S. waters.</t>
  </si>
  <si>
    <t>WsrCode_usCoastGuard</t>
  </si>
  <si>
    <t>usCoastGuard1950</t>
  </si>
  <si>
    <t>U.S. Coast Guard 1950</t>
  </si>
  <si>
    <t>Reports of known wrecks by U.S. Coast Guard Districts 1950.</t>
  </si>
  <si>
    <t>WsrCode_usCoastGuard1950</t>
  </si>
  <si>
    <t>usLossesWwI</t>
  </si>
  <si>
    <t>U.S. Losses WW I</t>
  </si>
  <si>
    <t>American Ship Casualties of World War I.</t>
  </si>
  <si>
    <t>WsrCode_usLossesWwI</t>
  </si>
  <si>
    <t>usMerchantLosses</t>
  </si>
  <si>
    <t>U.S. Merchant Losses</t>
  </si>
  <si>
    <t>U.S. Commerce Department list of merchant vessels lost.</t>
  </si>
  <si>
    <t>WsrCode_usMerchantLosses</t>
  </si>
  <si>
    <t>usNationalOceanSurvey</t>
  </si>
  <si>
    <t>U.S. National Ocean Survey</t>
  </si>
  <si>
    <t>Records from the U.S. Coast and Geodetic Survey (National Ocean Survey), the U.S. office responsible for charting U.S. waters.</t>
  </si>
  <si>
    <t>WsrCode_usNationalOceanSurvey</t>
  </si>
  <si>
    <t>usNavyReportsWwII</t>
  </si>
  <si>
    <t>U.S. Navy Reports WW II</t>
  </si>
  <si>
    <t>The U.S. Navy at War 1941-1945.</t>
  </si>
  <si>
    <t>WsrCode_usNavyReportsWwII</t>
  </si>
  <si>
    <t>usNavySensor</t>
  </si>
  <si>
    <t>U.S. Navy Sensor</t>
  </si>
  <si>
    <t>U.S. Navy sonar and/or Magnetic Anomaly Detection (MAD) Reports.</t>
  </si>
  <si>
    <t>WsrCode_usNavySensor</t>
  </si>
  <si>
    <t>usOni</t>
  </si>
  <si>
    <t>U.S. Office of Naval Intelligence (ONI)</t>
  </si>
  <si>
    <t>U.S. Office of Naval Intelligence (ONI) wreck list.</t>
  </si>
  <si>
    <t>WsrCode_usOni</t>
  </si>
  <si>
    <t>usReportsWwI</t>
  </si>
  <si>
    <t>U.S. Reports WW I</t>
  </si>
  <si>
    <t>Maritime Commission and/or Office of Naval Intelligence (ONI) list(s) of ships sunk in World War I.</t>
  </si>
  <si>
    <t>WsrCode_usReportsWwI</t>
  </si>
  <si>
    <t>usTenthFleet</t>
  </si>
  <si>
    <t>U.S. Tenth Fleet</t>
  </si>
  <si>
    <t>Tenth Fleet Records (OP-374), a U.S. Navy historical list.</t>
  </si>
  <si>
    <t>WsrCode_usTenthFleet</t>
  </si>
  <si>
    <t>usLosses</t>
  </si>
  <si>
    <t>US Losses</t>
  </si>
  <si>
    <t>US Losses - Director, Fleet Operations.</t>
  </si>
  <si>
    <t>WsrCode_usLosses</t>
  </si>
  <si>
    <t>SrtCode_vectorData100k</t>
  </si>
  <si>
    <t>SrtCode_vectorData25k</t>
  </si>
  <si>
    <t>SrtCode_vectorData50k</t>
  </si>
  <si>
    <t>SrtCode_ngaAutoAirFacInfoFile</t>
  </si>
  <si>
    <t>SrtCode_ngaArcDigRasterGraphic</t>
  </si>
  <si>
    <t>SrtCode_alosPalSar</t>
  </si>
  <si>
    <t>SrtCode_alosPrism</t>
  </si>
  <si>
    <t>SrtCode_arcStandardRaster</t>
  </si>
  <si>
    <t>SrtCode_ngaCompressedAdrg</t>
  </si>
  <si>
    <t>SrtCode_cartoSat1</t>
  </si>
  <si>
    <t>SrtCode_cartoSat2</t>
  </si>
  <si>
    <t>NGA Chart Update Manual (CHUM).</t>
  </si>
  <si>
    <t>SrtCode_ngaChartUpdateManual</t>
  </si>
  <si>
    <t>SrtCode_ngaControlledImageBase1</t>
  </si>
  <si>
    <t>SrtCode_ngaControlledImageBase5</t>
  </si>
  <si>
    <t>NGA City Graphic.</t>
  </si>
  <si>
    <t>SrtCode_ngaCityGraphic</t>
  </si>
  <si>
    <t>SrtCode_ngaCombatChart</t>
  </si>
  <si>
    <t>Extracted from a commercial database subject to commercial rights.</t>
  </si>
  <si>
    <t>SrtCode_commercial</t>
  </si>
  <si>
    <t>SrtCode_cosmoSkymedScanSar</t>
  </si>
  <si>
    <t>SrtCode_cosmoSkymedStripMap</t>
  </si>
  <si>
    <t>SrtCode_digitalGlobeImagery</t>
  </si>
  <si>
    <t>SrtCode_ngaDigitalNauticalChart</t>
  </si>
  <si>
    <t>SrtCode_ngaDigitalPrintFile</t>
  </si>
  <si>
    <t>SrtCode_ngaDigitalTerrElevData1</t>
  </si>
  <si>
    <t>SrtCode_ngaDigitalTerrElevData2</t>
  </si>
  <si>
    <t>SrtCode_ngaDigitalTerrElevData3</t>
  </si>
  <si>
    <t>SrtCode_ngaDigitalTerrElevData4</t>
  </si>
  <si>
    <t>SrtCode_ngaDigitalTopoData1</t>
  </si>
  <si>
    <t>SrtCode_ngaDigitalTopoData2</t>
  </si>
  <si>
    <t>SrtCode_ngaDigitalTopoData3</t>
  </si>
  <si>
    <t>SrtCode_ngaDigitalTopoData4</t>
  </si>
  <si>
    <t>SrtCode_ngaDigitalTopoData5</t>
  </si>
  <si>
    <t>SrtCode_ngaDigitalVertObstruction</t>
  </si>
  <si>
    <t>Electronic Navigation Chart (IHO S-57).</t>
  </si>
  <si>
    <t>SrtCode_electronicNavChart</t>
  </si>
  <si>
    <t>SrtCode_ngaFoundationFeatureData</t>
  </si>
  <si>
    <t>SrtCode_ngaFfdWithRtad</t>
  </si>
  <si>
    <t>SrtCode_foreignNamesCommittee</t>
  </si>
  <si>
    <t>SrtCode_formoSat2</t>
  </si>
  <si>
    <t>SrtCode_frenchDefenseSensor</t>
  </si>
  <si>
    <t>SrtCode_frenchHRVectorDataVMap2i</t>
  </si>
  <si>
    <t>SrtCode_frenchImageProduct</t>
  </si>
  <si>
    <t>SrtCode_frOrthoLvl2GeoBaseDefense</t>
  </si>
  <si>
    <t>SrtCode_frOrthoLevel2Kheper</t>
  </si>
  <si>
    <t>SrtCode_frOrthoLvl2TopoBaseDef</t>
  </si>
  <si>
    <t>SrtCode_frOrthoLvl3GeoBaseDefense</t>
  </si>
  <si>
    <t>SrtCode_frOrthoUrbanLvlKheper</t>
  </si>
  <si>
    <t>SrtCode_frOrthoUrbLvlTopoBaseDef</t>
  </si>
  <si>
    <t>SrtCode_frenchUrbanCartoKheper</t>
  </si>
  <si>
    <t>SrtCode_frenchUrbanCartoTopo</t>
  </si>
  <si>
    <t>SrtCode_gazetteer</t>
  </si>
  <si>
    <t>SrtCode_geoEye1</t>
  </si>
  <si>
    <t>SrtCode_ngaGeoNames</t>
  </si>
  <si>
    <t>SrtCode_gpsBasedFieldCollect</t>
  </si>
  <si>
    <t>SrtCode_highResCommMonoImage</t>
  </si>
  <si>
    <t>SrtCode_highResCommStereoImage</t>
  </si>
  <si>
    <t>SrtCode_highResMonoSarImage</t>
  </si>
  <si>
    <t>SrtCode_highResStereoSarImage</t>
  </si>
  <si>
    <t>NGA Image City Map (ICM).</t>
  </si>
  <si>
    <t>SrtCode_ngaImageCityMap</t>
  </si>
  <si>
    <t>SrtCode_ikonosImagery</t>
  </si>
  <si>
    <t>SrtCode_ikonosMultiMono</t>
  </si>
  <si>
    <t>SrtCode_ikonosMultiStereo</t>
  </si>
  <si>
    <t>SrtCode_ikonosPanMono</t>
  </si>
  <si>
    <t>SrtCode_ikonosPanStereo</t>
  </si>
  <si>
    <t>SrtCode_imageryUnspecified</t>
  </si>
  <si>
    <t>SrtCode_ngaInternationalBoundary</t>
  </si>
  <si>
    <t>SrtCode_ngaInterimTerrainData</t>
  </si>
  <si>
    <t>SrtCode_ngaInterimVectorData</t>
  </si>
  <si>
    <t>SrtCode_ngaJointOperatGraphic</t>
  </si>
  <si>
    <t>SrtCode_kompSat2</t>
  </si>
  <si>
    <t>SrtCode_ngaGeoLandCover</t>
  </si>
  <si>
    <t>SrtCode_landsatImagery</t>
  </si>
  <si>
    <t>SrtCode_lowResCommMonoImage</t>
  </si>
  <si>
    <t>SrtCode_lowResCommStereoImage</t>
  </si>
  <si>
    <t>SrtCode_ngaLittoralWarfareData</t>
  </si>
  <si>
    <t>SrtCode_mapOneToHundredK</t>
  </si>
  <si>
    <t>SrtCode_mapOneToTwentyFiveK</t>
  </si>
  <si>
    <t>SrtCode_mapOneToFiftyK</t>
  </si>
  <si>
    <t>SrtCode_maritimeChart</t>
  </si>
  <si>
    <t>SrtCode_mapChartOrGeodeticData</t>
  </si>
  <si>
    <t>SrtCode_ngaMedicalFacilities</t>
  </si>
  <si>
    <t>SrtCode_mediumResCommMonoImage</t>
  </si>
  <si>
    <t>SrtCode_mediumResCommStereoImage</t>
  </si>
  <si>
    <t>SrtCode_usModernizedIntegratedDB</t>
  </si>
  <si>
    <t>Extracted from monoscopic data capture.</t>
  </si>
  <si>
    <t>SrtCode_monoscopicImagery</t>
  </si>
  <si>
    <t>SrtCode_ngaMissionSpecificData1</t>
  </si>
  <si>
    <t>SrtCode_ngaMissionSpecificData2</t>
  </si>
  <si>
    <t>SrtCode_ngaMissionSpecificData3</t>
  </si>
  <si>
    <t>SrtCode_ngaMissionSpecificData4</t>
  </si>
  <si>
    <t>SrtCode_ngaMissionSpecificData5</t>
  </si>
  <si>
    <t>SrtCode_ngaNominalAttTopoEvalMap</t>
  </si>
  <si>
    <t>SrtCode_nativeAuthData</t>
  </si>
  <si>
    <t>SrtCode_nativeAuthGraphic</t>
  </si>
  <si>
    <t>SrtCode_nativeCensus</t>
  </si>
  <si>
    <t>SrtCode_nativeData</t>
  </si>
  <si>
    <t>SrtCode_nativeGazetteer</t>
  </si>
  <si>
    <t>SrtCode_nativeMap</t>
  </si>
  <si>
    <t>SrtCode_nativeNonAuthData</t>
  </si>
  <si>
    <t>SrtCode_nativeNonAuthGraphic</t>
  </si>
  <si>
    <t>SrtCode_navteqData</t>
  </si>
  <si>
    <t>SrtCode_usNtmImagery</t>
  </si>
  <si>
    <t>openSource</t>
  </si>
  <si>
    <t>Open Source</t>
  </si>
  <si>
    <t>Extracted from an open source without any commercial rights.</t>
  </si>
  <si>
    <t>SrtCode_openSource</t>
  </si>
  <si>
    <t>SrtCode_orbimageImagery</t>
  </si>
  <si>
    <t>SrtCode_orbView3</t>
  </si>
  <si>
    <t>SrtCode_ngaPlanningGraphic</t>
  </si>
  <si>
    <t>PLEIADES HR1</t>
  </si>
  <si>
    <t>SrtCode_pleiadesHR1</t>
  </si>
  <si>
    <t>PLEIADES HR2</t>
  </si>
  <si>
    <t>SrtCode_pleiadesHR2</t>
  </si>
  <si>
    <t>SrtCode_quickBirdImagery</t>
  </si>
  <si>
    <t>SrtCode_quickBirdMultiMono</t>
  </si>
  <si>
    <t>SrtCode_quickBirdMultiStereo</t>
  </si>
  <si>
    <t>SrtCode_quickBirdPanMono</t>
  </si>
  <si>
    <t>SrtCode_quickBirdPanStereo</t>
  </si>
  <si>
    <t>radarImagery</t>
  </si>
  <si>
    <t>Radar Imagery</t>
  </si>
  <si>
    <t>Extracted from a Synthetic Aperture Radar (SAR) source.</t>
  </si>
  <si>
    <t>SrtCode_radarImagery</t>
  </si>
  <si>
    <t>SrtCode_rapidEye</t>
  </si>
  <si>
    <t>report</t>
  </si>
  <si>
    <t>Report</t>
  </si>
  <si>
    <t>Reported from an ancillary source, which is not considered to be fully reliable and might therefore require to be verified.</t>
  </si>
  <si>
    <t>SrtCode_report</t>
  </si>
  <si>
    <t>SrtCode_routingData</t>
  </si>
  <si>
    <t>SrtCode_siteMap</t>
  </si>
  <si>
    <t>SrtCode_spot10mImagery</t>
  </si>
  <si>
    <t>SrtCode_spot10mMultiMono</t>
  </si>
  <si>
    <t>SrtCode_spot2r5mMultiMono</t>
  </si>
  <si>
    <t>SrtCode_spot2r5mPanMono</t>
  </si>
  <si>
    <t>SrtCode_spot5mHrsDigTerModel</t>
  </si>
  <si>
    <t>SrtCode_spot5mImagery</t>
  </si>
  <si>
    <t>SrtCode_spot5mMonoImagery</t>
  </si>
  <si>
    <t>SrtCode_spot5mMultiMono</t>
  </si>
  <si>
    <t>SrtCode_spot5mMultiStereo</t>
  </si>
  <si>
    <t>SrtCode_spot5mPanMono</t>
  </si>
  <si>
    <t>SrtCode_spot5mPanStereo</t>
  </si>
  <si>
    <t>SrtCode_spot5mStereoImagery</t>
  </si>
  <si>
    <t>SrtCode_spotHrgDtm</t>
  </si>
  <si>
    <t>SrtCode_usShuttleRadarTopoMission</t>
  </si>
  <si>
    <t>SrtCode_stadtkarte</t>
  </si>
  <si>
    <t>Extracted from stereoscopic data capture.</t>
  </si>
  <si>
    <t>SrtCode_stereoscopicImagery</t>
  </si>
  <si>
    <t>Measured on field.</t>
  </si>
  <si>
    <t>SrtCode_survey</t>
  </si>
  <si>
    <t>SrtCode_terraSarXScanSar</t>
  </si>
  <si>
    <t>TERRASAR-X Strip Map</t>
  </si>
  <si>
    <t>SrtCode_terraSarXStripMap</t>
  </si>
  <si>
    <t>SrtCode_ngaTopographicLineMap</t>
  </si>
  <si>
    <t>SrtCode_ngaTacticalOceanData0</t>
  </si>
  <si>
    <t>SrtCode_ngaTacticalOceanData1</t>
  </si>
  <si>
    <t>SrtCode_ngaTacticalOceanData2</t>
  </si>
  <si>
    <t>SrtCode_ngaTacticalOceanData3</t>
  </si>
  <si>
    <t>SrtCode_ngaTacticalOceanData4</t>
  </si>
  <si>
    <t>SrtCode_ngaTacticalOceanData5</t>
  </si>
  <si>
    <t>SrtCode_unitedNationsData</t>
  </si>
  <si>
    <t>userFeedback</t>
  </si>
  <si>
    <t>User Feedback</t>
  </si>
  <si>
    <t>Correction submitted by a user, which might require to be verified.</t>
  </si>
  <si>
    <t>SrtCode_userFeedback</t>
  </si>
  <si>
    <t>SrtCode_ngaUrbanVectorMap</t>
  </si>
  <si>
    <t>SrtCode_vectorData</t>
  </si>
  <si>
    <t>SrtCode_veryHighResCommMonoImage</t>
  </si>
  <si>
    <t>SrtCode_veryHighResCommStereoImage</t>
  </si>
  <si>
    <t>SrtCode_veryHighResMonoSarImage</t>
  </si>
  <si>
    <t>SrtCode_veryHighResStereoSarImage</t>
  </si>
  <si>
    <t>SrtCode_ngaVectorInterimTerrain</t>
  </si>
  <si>
    <t>SrtCode_ngaVectorMap0</t>
  </si>
  <si>
    <t>SrtCode_ngaVectorMap1</t>
  </si>
  <si>
    <t>SrtCode_ngaVectorMap2</t>
  </si>
  <si>
    <t>SrtCode_worldWideWeb</t>
  </si>
  <si>
    <t>WORLDVIEW 1</t>
  </si>
  <si>
    <t>SrtCode_worldView1</t>
  </si>
  <si>
    <t>WORLDVIEW 2</t>
  </si>
  <si>
    <t>SrtCode_worldView2</t>
  </si>
  <si>
    <t>SrtCode_ngaWorldVectorShorePlus</t>
  </si>
  <si>
    <t>censusDistrict</t>
  </si>
  <si>
    <t>Census District</t>
  </si>
  <si>
    <t>An administrative district established by a national government for the purpose of taking a census.</t>
  </si>
  <si>
    <t>AmbCode_censusDistrict</t>
  </si>
  <si>
    <t>concessionArea</t>
  </si>
  <si>
    <t>Concession Area</t>
  </si>
  <si>
    <t>A lease of land by a national government to a private entity for the purpose of economic development (for example: mining or forestry).</t>
  </si>
  <si>
    <t>AmbCode_concessionArea</t>
  </si>
  <si>
    <t>congressionalDistrict</t>
  </si>
  <si>
    <t>Congressional District</t>
  </si>
  <si>
    <t>An administrative district established by a national government, in which an electoral constituency resides that elects a single member of a congress.</t>
  </si>
  <si>
    <t>In the United States it is a territorial division of a state whose residents are entitled to elect one member to the United States House of Representatives. The division is based on population determined during a census conducted every ten years; the process of subsequently establishing the division is termed 'reapportionment'.</t>
  </si>
  <si>
    <t>AmbCode_congressionalDistrict</t>
  </si>
  <si>
    <t>A region established by a government specifically for economic development and/or for economic data collection and analysis purposes.</t>
  </si>
  <si>
    <t>AmbCode_economicRegion</t>
  </si>
  <si>
    <t>freeTradeZone</t>
  </si>
  <si>
    <t>Free Trade Zone</t>
  </si>
  <si>
    <t>An area established by a national government where goods may be received and shipped free of customs duty and of most customs regulations.</t>
  </si>
  <si>
    <t>Usually established as a section of a port.</t>
  </si>
  <si>
    <t>AmbCode_freeTradeZone</t>
  </si>
  <si>
    <t>leaseArea</t>
  </si>
  <si>
    <t>Lease Area</t>
  </si>
  <si>
    <t>A lease of land by one national government to another.</t>
  </si>
  <si>
    <t>For example, as leased by the United Kingdom from the People's Republic of China to form part of Hong Kong.</t>
  </si>
  <si>
    <t>AmbCode_leaseArea</t>
  </si>
  <si>
    <t>postalDistrict</t>
  </si>
  <si>
    <t>Postal District</t>
  </si>
  <si>
    <t>An administrative district established by a national postal service to facilitate routing and delivery of mail.</t>
  </si>
  <si>
    <t>AmbCode_postalDistrict</t>
  </si>
  <si>
    <t>waterManagementDistrict</t>
  </si>
  <si>
    <t>Water Management District</t>
  </si>
  <si>
    <t>An administrative district established for the purpose of managing a public water supply.</t>
  </si>
  <si>
    <t>Its boundaries may align with one or more watersheds, but more commonly it is based on a politically-defined region aligned with the distribution of population and nearby water resources.</t>
  </si>
  <si>
    <t>AmbCode_waterManagementDistrict</t>
  </si>
  <si>
    <t>(Aeronautical Information Exchange Model (AIXM): 'GS')</t>
  </si>
  <si>
    <t>deccaGreenSlave</t>
  </si>
  <si>
    <t>DECCA Green Slave</t>
  </si>
  <si>
    <t>One of the patterns in a set of hyperbolic lines of position - Green Slave station of a DECCA chain.</t>
  </si>
  <si>
    <t>Ss2Code_deccaGreenSlave</t>
  </si>
  <si>
    <t>(Aeronautical Information Exchange Model (AIXM): 'PS')</t>
  </si>
  <si>
    <t>deccaPurpleSlave</t>
  </si>
  <si>
    <t>DECCA Purple Slave</t>
  </si>
  <si>
    <t>One of the patterns in a set of hyperbolic lines of position - Purple Slave station of a DECCA chain.</t>
  </si>
  <si>
    <t>Ss2Code_deccaPurpleSlave</t>
  </si>
  <si>
    <t>(Aeronautical Information Exchange Model (AIXM): 'RS')</t>
  </si>
  <si>
    <t>deccaRedSlave</t>
  </si>
  <si>
    <t>DECCA Red Slave</t>
  </si>
  <si>
    <t>One of the patterns in a set of hyperbolic lines of position - Red Slave station of a DECCA chain.</t>
  </si>
  <si>
    <t>Ss2Code_deccaRedSlave</t>
  </si>
  <si>
    <t>(Aeronautical Information Exchange Model (AIXM): 'S')</t>
  </si>
  <si>
    <t>loranSecondary</t>
  </si>
  <si>
    <t>LORAN Secondary</t>
  </si>
  <si>
    <t>Secondary station of a LORAN chain.</t>
  </si>
  <si>
    <t>See US Aeronautical Information Manual Section 1-1-15.</t>
  </si>
  <si>
    <t>Ss2Code_loranSecondary</t>
  </si>
  <si>
    <t>master</t>
  </si>
  <si>
    <t>Master</t>
  </si>
  <si>
    <t>Master station of a LORAN or DECCA chain.</t>
  </si>
  <si>
    <t>Ss2Code_master</t>
  </si>
  <si>
    <t>(Aeronautical Information Exchange Model (AIXM): 'DECCA')</t>
  </si>
  <si>
    <t>A high accuracy, short- to medium-range radio navigation aid intended for coastal and landfall navigation.</t>
  </si>
  <si>
    <t>Ss1Code_decca</t>
  </si>
  <si>
    <t>(Aeronautical Information Exchange Model (AIXM): 'LORANA')</t>
  </si>
  <si>
    <t>loranA</t>
  </si>
  <si>
    <t>LORAN-A</t>
  </si>
  <si>
    <t>Long range (area) navigation system 'A'.</t>
  </si>
  <si>
    <t>Ss1Code_loranA</t>
  </si>
  <si>
    <t>(Aeronautical Information Exchange Model (AIXM): 'LORANC')</t>
  </si>
  <si>
    <t>LORAN-C</t>
  </si>
  <si>
    <t>The LOng RAnge Navigation-C (LORAN) system is a hyperbolic, land-based navigation system operating in the 90 to 110 kHz frequency band.</t>
  </si>
  <si>
    <t>The stations may also be based on the water surface. Located in North America, operated by the United States Coast Guard. See US Aeronautical Information Manual Section 1-1-15.</t>
  </si>
  <si>
    <t>Ss1Code_loranC</t>
  </si>
  <si>
    <t>(Aeronautical Information Exchange Model (AIXM): 'LORAND')</t>
  </si>
  <si>
    <t>loranD</t>
  </si>
  <si>
    <t>LORAN-D</t>
  </si>
  <si>
    <t>Long range (area) navigation system 'D'.</t>
  </si>
  <si>
    <t>Ss1Code_loranD</t>
  </si>
  <si>
    <t>crashRemovalAssociated</t>
  </si>
  <si>
    <t>Crash Removal Associated</t>
  </si>
  <si>
    <t>SpvCode_crashRemovalAssociated</t>
  </si>
  <si>
    <t>crashRemovalMainStorage</t>
  </si>
  <si>
    <t>Crash Removal Main Storage Site</t>
  </si>
  <si>
    <t>SpvCode_crashRemovalMainStorage</t>
  </si>
  <si>
    <t>snowRemovalAssociated</t>
  </si>
  <si>
    <t>Snow Removal Associated</t>
  </si>
  <si>
    <t>SpvCode_snowRemovalAssociated</t>
  </si>
  <si>
    <t>snowRemovalMainStorage</t>
  </si>
  <si>
    <t>Snow Removal Main Storage Site</t>
  </si>
  <si>
    <t>SpvCode_snowRemovalMainStorage</t>
  </si>
  <si>
    <t>wreckRemovalAssociated</t>
  </si>
  <si>
    <t>Wreck Removal Associated</t>
  </si>
  <si>
    <t>SpvCode_wreckRemovalAssociated</t>
  </si>
  <si>
    <t>wreckRemovalMainStorage</t>
  </si>
  <si>
    <t>Wreck Removal Main Storage Site</t>
  </si>
  <si>
    <t>SpvCode_wreckRemovalMainStorage</t>
  </si>
  <si>
    <t>The use of the feature is an absolute and compulsory requirement.</t>
  </si>
  <si>
    <t>CmpCode_mandatory</t>
  </si>
  <si>
    <t>notMandatory</t>
  </si>
  <si>
    <t>Not Mandatory</t>
  </si>
  <si>
    <t>The use of the feature is not an absolute and compulsory requirement.</t>
  </si>
  <si>
    <t>CmpCode_notMandatory</t>
  </si>
  <si>
    <t>notRecommended</t>
  </si>
  <si>
    <t>Not Recommended</t>
  </si>
  <si>
    <t>The feature may be used for valid reasons in particular circumstances when the behavior is acceptable or even useful, but the full implications should be understood before choosing to use it.</t>
  </si>
  <si>
    <t>CmpCode_notRecommended</t>
  </si>
  <si>
    <t>The use of the feature may be ignored for valid reasons in particular circumstances, but the full implications must be understood and carefully weighed before choosing not to use it.</t>
  </si>
  <si>
    <t>CmpCode_recommended</t>
  </si>
  <si>
    <t>reserved</t>
  </si>
  <si>
    <t>Reserved</t>
  </si>
  <si>
    <t>The use of the feature is not specified but its use may be set aside for future or special circumstances.</t>
  </si>
  <si>
    <t>CmpCode_reserved</t>
  </si>
  <si>
    <t>crossCountrySkiing</t>
  </si>
  <si>
    <t>Cross-country Skiing</t>
  </si>
  <si>
    <t>An endurance sport and method of getting about involving travelling on skis, uphill as well as downhill on snow.</t>
  </si>
  <si>
    <t>KosCode_crossCountrySkiing</t>
  </si>
  <si>
    <t>dogRacing</t>
  </si>
  <si>
    <t>Dog Racing</t>
  </si>
  <si>
    <t>The action of racing dogs (for example: greyhounds) on a prepared track.</t>
  </si>
  <si>
    <t>The dogs chase a lure (traditionally an artificial hare or rabbit) on a track until they arrive at the finish line. The one that arrives first is the winner.</t>
  </si>
  <si>
    <t>KosCode_dogRacing</t>
  </si>
  <si>
    <t>fieldAthletics</t>
  </si>
  <si>
    <t>Field Athletics</t>
  </si>
  <si>
    <t>A collection of sports events that involve running, throwing and jumping.</t>
  </si>
  <si>
    <t>KosCode_fieldAthletics</t>
  </si>
  <si>
    <t>football</t>
  </si>
  <si>
    <t>Football</t>
  </si>
  <si>
    <t>A team sport with the aim to kick a ball with the foot in an attempt to score a goal.</t>
  </si>
  <si>
    <t>Soccer</t>
  </si>
  <si>
    <t>KosCode_football</t>
  </si>
  <si>
    <t>golf</t>
  </si>
  <si>
    <t>Golf</t>
  </si>
  <si>
    <t>An open-air game in which a small hard ball is struck with a club having a wooden or metal head into each of a series of (usually 18 or 9) holes at varying distances apart and separated by fairways, rough ground, and/or hazards, the aim of the game being to score the lowest number of strokes.</t>
  </si>
  <si>
    <t>KosCode_golf</t>
  </si>
  <si>
    <t>golfDrivingRange</t>
  </si>
  <si>
    <t>KosCode_golfDrivingRange</t>
  </si>
  <si>
    <t>iceSkating</t>
  </si>
  <si>
    <t>Ice Skating</t>
  </si>
  <si>
    <t>The action of moving on a pair of steel blades curved upward at the toe and fixed or attached to boots, for gliding over ice.</t>
  </si>
  <si>
    <t>For example: figure skating or speed skating.</t>
  </si>
  <si>
    <t>KosCode_iceSkating</t>
  </si>
  <si>
    <t>motorSport</t>
  </si>
  <si>
    <t>Motor Sport</t>
  </si>
  <si>
    <t>Racing of motorized vehicles, especially cars, as a sport.</t>
  </si>
  <si>
    <t>KosCode_motorSport</t>
  </si>
  <si>
    <t>Obstacle course</t>
  </si>
  <si>
    <t>A sport ground consisting of a series of challenging physical obstacles that an individual or team must navigate through while usually being timed.</t>
  </si>
  <si>
    <t>Obstacle courses can include running, climbing, jumping, crawling and balancing elements with the aim of testing endurance; sometimes a course involves mental tests.</t>
  </si>
  <si>
    <t>KosCode_obstacleCourse</t>
  </si>
  <si>
    <t>riding</t>
  </si>
  <si>
    <t>Riding</t>
  </si>
  <si>
    <t>The action of sitting on and directing the movement of a horse, mule, camel, elephant, or similar animal.</t>
  </si>
  <si>
    <t>For example: horse racing, show jumping or eventing.</t>
  </si>
  <si>
    <t>KosCode_riding</t>
  </si>
  <si>
    <t>sailing</t>
  </si>
  <si>
    <t>Sailing</t>
  </si>
  <si>
    <t>A sport by moving or traveling on water by means of sails.</t>
  </si>
  <si>
    <t>For example: sailboarding or sailing regattas.</t>
  </si>
  <si>
    <t>KosCode_sailing</t>
  </si>
  <si>
    <t>skiRun</t>
  </si>
  <si>
    <t>A racing sport exercised on ski on a slope prepared for skiing usually on snow.</t>
  </si>
  <si>
    <t>KosCode_skiRun</t>
  </si>
  <si>
    <t>The action of moving in surface water without contact to the waterbody bottom.</t>
  </si>
  <si>
    <t>KosCode_swimming</t>
  </si>
  <si>
    <t>tennis</t>
  </si>
  <si>
    <t>Tennis</t>
  </si>
  <si>
    <t>A sport played between two players or between two teams of two players each where each player uses a strung racquet to strike a ball over a net into the opponent's court.</t>
  </si>
  <si>
    <t>KosCode_tennis</t>
  </si>
  <si>
    <t>byNoticeToAirmen</t>
  </si>
  <si>
    <t>By Notice to Airmen</t>
  </si>
  <si>
    <t>Available only when a current Notice to Airmen is published denoting so.</t>
  </si>
  <si>
    <t>SopCode_byNoticeToAirmen</t>
  </si>
  <si>
    <t>byNoticeToMariner</t>
  </si>
  <si>
    <t>By Notice to Mariner</t>
  </si>
  <si>
    <t>Available only when a current Notice to Mariner is published denoting so.</t>
  </si>
  <si>
    <t>SopCode_byNoticeToMariner</t>
  </si>
  <si>
    <t>Available on a conditional basis, and additional information regarding the availability should be consulted.</t>
  </si>
  <si>
    <t>SopCode_conditional</t>
  </si>
  <si>
    <t>continuousH24</t>
  </si>
  <si>
    <t>Continuous (H24)</t>
  </si>
  <si>
    <t>Available on a 24 hour basis.</t>
  </si>
  <si>
    <t>SopCode_continuousH24</t>
  </si>
  <si>
    <t>holidays</t>
  </si>
  <si>
    <t>Holidays</t>
  </si>
  <si>
    <t>Available on holidays.</t>
  </si>
  <si>
    <t>SopCode_holidays</t>
  </si>
  <si>
    <t>onCallHO</t>
  </si>
  <si>
    <t>On Call (HO)</t>
  </si>
  <si>
    <t>Available whenever there is an operational need.</t>
  </si>
  <si>
    <t>SopCode_onCallHO</t>
  </si>
  <si>
    <t>sunriseSunset</t>
  </si>
  <si>
    <t>Sunrise to Sunset</t>
  </si>
  <si>
    <t>Available from sunrise to sunset.</t>
  </si>
  <si>
    <t>SopCode_sunriseSunset</t>
  </si>
  <si>
    <t>sunsetSunrise</t>
  </si>
  <si>
    <t>Sunset to Sunrise</t>
  </si>
  <si>
    <t>Available from sunset to sunrise.</t>
  </si>
  <si>
    <t>SopCode_sunsetSunrise</t>
  </si>
  <si>
    <t>weekdays</t>
  </si>
  <si>
    <t>Weekdays</t>
  </si>
  <si>
    <t>Available on weekdays.</t>
  </si>
  <si>
    <t>SopCode_weekdays</t>
  </si>
  <si>
    <t>weekends</t>
  </si>
  <si>
    <t>Weekends</t>
  </si>
  <si>
    <t>Available on weekends.</t>
  </si>
  <si>
    <t>SopCode_weekends</t>
  </si>
  <si>
    <t>coastalState</t>
  </si>
  <si>
    <t>Coastal State</t>
  </si>
  <si>
    <t>A state adjacent to the sea with a part of its territory.</t>
  </si>
  <si>
    <t>Ps2Code_coastalState</t>
  </si>
  <si>
    <t>islandState</t>
  </si>
  <si>
    <t>Island State</t>
  </si>
  <si>
    <t>A state, the territory of which is situated on one or more islands.</t>
  </si>
  <si>
    <t>For example: Japan and New Zealand.</t>
  </si>
  <si>
    <t>Ps2Code_islandState</t>
  </si>
  <si>
    <t>landlockedState</t>
  </si>
  <si>
    <t>Landlocked State</t>
  </si>
  <si>
    <t>A landlocked state surrounded by other states and therefore without access to the sea.</t>
  </si>
  <si>
    <t>For example: Austria and Switzerland.</t>
  </si>
  <si>
    <t>Ps2Code_landlockedState</t>
  </si>
  <si>
    <t>peninsulaState</t>
  </si>
  <si>
    <t>Peninsula State</t>
  </si>
  <si>
    <t>A state, the territory of which is predominantly surrounded by the sea with only partial connection to the mainland.</t>
  </si>
  <si>
    <t>For example: Italy, Malaysia, and Korea.</t>
  </si>
  <si>
    <t>Ps2Code_peninsulaState</t>
  </si>
  <si>
    <t>straitState</t>
  </si>
  <si>
    <t>Strait State</t>
  </si>
  <si>
    <t>A state which is located at a strait and which is strongly influenced by this situation.</t>
  </si>
  <si>
    <t>For example: Denmark, Turkey, and Oman.</t>
  </si>
  <si>
    <t>Ps2Code_straitState</t>
  </si>
  <si>
    <t>landslideArea</t>
  </si>
  <si>
    <t>Landslide Area</t>
  </si>
  <si>
    <t>A statistical entity for which a range or probability of landslide susceptibility, occurrence and/or related hazard has been assigned.</t>
  </si>
  <si>
    <t>Used by the U.S. Geological Survey to delineate landslide areas in the conterminous United States.</t>
  </si>
  <si>
    <t>SgaCode_landslideArea</t>
  </si>
  <si>
    <t>seismicArea</t>
  </si>
  <si>
    <t>Seismic Area</t>
  </si>
  <si>
    <t>A statistical entity for which a range or probability of the intensity of seismic activity (for example: peak horizontal ground acceleration) and/or related seismic hazard has been assigned.</t>
  </si>
  <si>
    <t>Used by the U.S. Geological Survey to delineate degree-of-hazard isopleths ('hazard curves') that depict the annual frequency of exceeding a given ground-motion level. For example, maps have been developed for 2, 5, and 10 percent probability of exceeding during the course of 50 years specific spectral accelerations (for example: 0.1, 0.2 and 1 second) and peak horizontal ground accelerations.</t>
  </si>
  <si>
    <t>SgaCode_seismicArea</t>
  </si>
  <si>
    <t>bulkFuelStorage</t>
  </si>
  <si>
    <t>Bulk Fuel Storage</t>
  </si>
  <si>
    <t>A facility for handling bulk fuel (for example: steam coal, coke, liquid propane gas (LPG) and compressed natural gas (CNG)).</t>
  </si>
  <si>
    <t>May also include hydraulic, mechanical and electrical equipment for handling, conveying, weighing, pumping, metering, and filtering free-flowing liquids.</t>
  </si>
  <si>
    <t>SfaCode_bulkFuelStorage</t>
  </si>
  <si>
    <t>bulkGasStorage</t>
  </si>
  <si>
    <t>Bulk Gas Storage</t>
  </si>
  <si>
    <t>Facilities for storing bulk gases (for example: oxygen, chlorine, chemicals, liquid propane gas (LPG) and compressed natural gas (CNG)), usually in large free-standing tanks.</t>
  </si>
  <si>
    <t>May also include hydraulic, mechanical and electrical equipment for pumping, metering, filtering, and weighing gases.</t>
  </si>
  <si>
    <t>SfaCode_bulkGasStorage</t>
  </si>
  <si>
    <t>bulkGrainStorage</t>
  </si>
  <si>
    <t>Bulk Grain Storage</t>
  </si>
  <si>
    <t>Facilities for storing bulk (unpackaged) cereal grains (for example: wheat) and derivatives.</t>
  </si>
  <si>
    <t>May also include pneumatic, mechanical and electrical equipment for handling, conveying, cleaning, and weighing free-flowing and non-free-flowing cereal grains and derivatives.</t>
  </si>
  <si>
    <t>SfaCode_bulkGrainStorage</t>
  </si>
  <si>
    <t>bulkGranularMatStorage</t>
  </si>
  <si>
    <t>Bulk Granular Material Storage</t>
  </si>
  <si>
    <t>Facilities for storing bulk (unpackaged) granular materials (for example: salt and sand).</t>
  </si>
  <si>
    <t>May also include mechanical and electrical equipment for handling, conveying, and weighing, as well as roofed areas serving as protection from precipitation.</t>
  </si>
  <si>
    <t>SfaCode_bulkGranularMatStorage</t>
  </si>
  <si>
    <t>bulkLiquidStorage</t>
  </si>
  <si>
    <t>Bulk Liquid Storage</t>
  </si>
  <si>
    <t>Facilities for storing bulk liquids (for example: chemicals, petrochemicals, petroleum products and vegetable oils), usually in large free-standing tanks.</t>
  </si>
  <si>
    <t>May also include hydraulic, mechanical and electrical equipment for pumping, metering, and filtering free-flowing liquids.</t>
  </si>
  <si>
    <t>SfaCode_bulkLiquidStorage</t>
  </si>
  <si>
    <t>bulkOreStorage</t>
  </si>
  <si>
    <t>Bulk Ore Storage</t>
  </si>
  <si>
    <t>Facilities for storing bulk (unpackaged) ore (for example: bauxite and iron), usually in uncovered areas.</t>
  </si>
  <si>
    <t>May also include mechanical and electrical equipment for handling, conveying, and weighing free-flowing ores.</t>
  </si>
  <si>
    <t>SfaCode_bulkOreStorage</t>
  </si>
  <si>
    <t>explosiveStorageBunker</t>
  </si>
  <si>
    <t>Explosive Storage Bunker</t>
  </si>
  <si>
    <t>A surface structure that may be covered and/or surrounded with earth and is resistant to accidental explosion.</t>
  </si>
  <si>
    <t>Usually located away from other facilities and used for storage of explosive materials and/or ammunition.</t>
  </si>
  <si>
    <t>SfaCode_explosiveStorageBunker</t>
  </si>
  <si>
    <t>hardStanding</t>
  </si>
  <si>
    <t>Hard Standing</t>
  </si>
  <si>
    <t>A tract of hard material capable of supporting vehicles, heavy equipment and/or heavy packaged goods (for example: containerized).</t>
  </si>
  <si>
    <t>SfaCode_hardStanding</t>
  </si>
  <si>
    <t>No storage facilities are available.</t>
  </si>
  <si>
    <t>SfaCode_noneAvailable</t>
  </si>
  <si>
    <t>potableWaterStorage</t>
  </si>
  <si>
    <t>Potable Water Storage</t>
  </si>
  <si>
    <t>Facilities for storing potable water, often in large free-standing tanks that may be elevated.</t>
  </si>
  <si>
    <t>May also include hydraulic, mechanical and electrical equipment for pumping, metering, and filtering.</t>
  </si>
  <si>
    <t>SfaCode_potableWaterStorage</t>
  </si>
  <si>
    <t>May be internally supported by posts but is independent of walls, for example, a Dutch barn.</t>
  </si>
  <si>
    <t>SfaCode_roof</t>
  </si>
  <si>
    <t>shippingContainerStorage</t>
  </si>
  <si>
    <t>Shipping Container Storage</t>
  </si>
  <si>
    <t>Facilities for storing shipping containers, usually by stacking in rows.</t>
  </si>
  <si>
    <t>The most widely used type of container is the general purpose (dry cargo) container having a nominal length and height of 20' x 8.5', 40' x 8.5', and 40' x 9.5' (termed 'high cube').</t>
  </si>
  <si>
    <t>SfaCode_shippingContainerStorage</t>
  </si>
  <si>
    <t>softStanding</t>
  </si>
  <si>
    <t>Soft Standing</t>
  </si>
  <si>
    <t>A tract of firm material capable of supporting only light vehicles, light equipment and/or light packaged goods.</t>
  </si>
  <si>
    <t>SfaCode_softStanding</t>
  </si>
  <si>
    <t>specializedWarehouse</t>
  </si>
  <si>
    <t>Specialized Warehouse</t>
  </si>
  <si>
    <t>A building, or part of a building, that is used for the specialized storage of goods.</t>
  </si>
  <si>
    <t>For example, temperature-controlled, humidity-controlled, or cold storage.</t>
  </si>
  <si>
    <t>SfaCode_specializedWarehouse</t>
  </si>
  <si>
    <t>A building, or part of a building, that is used for the storage of goods.</t>
  </si>
  <si>
    <t>SfaCode_warehouse</t>
  </si>
  <si>
    <t>direction</t>
  </si>
  <si>
    <t>Direction</t>
  </si>
  <si>
    <t>Displays information about one or more potential destinations and directions that may be followed to reach that destination.</t>
  </si>
  <si>
    <t>The display often includes distance information.</t>
  </si>
  <si>
    <t>SsgCode_direction</t>
  </si>
  <si>
    <t>electronicMessage</t>
  </si>
  <si>
    <t>Electronic Message</t>
  </si>
  <si>
    <t>Displays a temporary message regarding conditions on the road ahead.</t>
  </si>
  <si>
    <t>Usually the message is controlled remotely. For example, a sign warning of traffic congestion, accidents, incidents, construction zones, alternative routes or temporary speed limit changes.</t>
  </si>
  <si>
    <t>SsgCode_electronicMessage</t>
  </si>
  <si>
    <t>generalInformation</t>
  </si>
  <si>
    <t>General Information</t>
  </si>
  <si>
    <t>Displays general information intended to be useful to motorists.</t>
  </si>
  <si>
    <t>For example: displays the name of a business, service, or facility that may be located along or near the road.</t>
  </si>
  <si>
    <t>SsgCode_generalInformation</t>
  </si>
  <si>
    <t>mandatoryRegulation</t>
  </si>
  <si>
    <t>Mandatory Regulation</t>
  </si>
  <si>
    <t>Displays information indicating what traffic must do when traversing a specific segment or lane of the road.</t>
  </si>
  <si>
    <t>For example, allocating certain lanes of the road to specific vehicles (for example: bus or taxi lanes). It may also be used to indicate special instructions, such as, 'attach or remove snow chains', 'use this lane only at road construction sites', or 'mandatory route for vehicles carrying dangerous loads'.</t>
  </si>
  <si>
    <t>SsgCode_mandatoryRegulation</t>
  </si>
  <si>
    <t>placeIdentification</t>
  </si>
  <si>
    <t>Place Identification</t>
  </si>
  <si>
    <t>Displays the place name of a landmark.</t>
  </si>
  <si>
    <t>For example, the name of a town, river, mountain or administrative boundary (for example: a 'state line').</t>
  </si>
  <si>
    <t>SsgCode_placeIdentification</t>
  </si>
  <si>
    <t>prohibitedRestrictedActivity</t>
  </si>
  <si>
    <t>Prohibited or Restricted Activity</t>
  </si>
  <si>
    <t>Displays information indicating that certain types of vehicle movements or types of traffic are prohibited.</t>
  </si>
  <si>
    <t>These signs may indicate, for example: 'no entry', 'no parking', 'no passing', 'no turns', 'wrong way', or specify a speed limit.</t>
  </si>
  <si>
    <t>SsgCode_prohibitedRestrictedActivity</t>
  </si>
  <si>
    <t>roadIdentification</t>
  </si>
  <si>
    <t>Road Identification</t>
  </si>
  <si>
    <t>Displays the name of the road.</t>
  </si>
  <si>
    <t>The road name usually forms part of the postal address of sites along the sides of the road.</t>
  </si>
  <si>
    <t>SsgCode_roadIdentification</t>
  </si>
  <si>
    <t>routeMarker</t>
  </si>
  <si>
    <t>Displays the designated name and/or identifying number of a road.</t>
  </si>
  <si>
    <t>SsgCode_routeMarker</t>
  </si>
  <si>
    <t>trafficControl</t>
  </si>
  <si>
    <t>Traffic Control</t>
  </si>
  <si>
    <t>Displays an indication of the order in which vehicles should merge at road junctions or pass through intersections.</t>
  </si>
  <si>
    <t>For example: 'yield', 'stop', and similar traffic right-of-way signs.</t>
  </si>
  <si>
    <t>SsgCode_trafficControl</t>
  </si>
  <si>
    <t>warning</t>
  </si>
  <si>
    <t>Warning</t>
  </si>
  <si>
    <t>Displays an indication of a potential hazard, obstacle or situation on the road ahead that requires caution as it is traversed.</t>
  </si>
  <si>
    <t>These signs may indicate, for example, approach to: the beginning or end of a divided highway; a recognized animal, pedestrian or railway crossing; a road junction; a traffic signal; a bridge or tunnel; road construction; an unusual degree of road curvature; unusual conditions caused by oncoming traffic; or the nature of road conditions ahead (for example: potential rock slides).</t>
  </si>
  <si>
    <t>SsgCode_warning</t>
  </si>
  <si>
    <t>adobeBrick</t>
  </si>
  <si>
    <t>Adobe Brick</t>
  </si>
  <si>
    <t>Brick made of adobe clay and straw, dried in the sun rather than by oven firing (as are standard bricks).</t>
  </si>
  <si>
    <t>Larger than standard bricks, adobe bricks require a type of clay that contains between 25 and 45 percent aluminum salts.</t>
  </si>
  <si>
    <t>MccCode_adobeBrick</t>
  </si>
  <si>
    <t>MccCode_aluminum</t>
  </si>
  <si>
    <t>MccCode_ash</t>
  </si>
  <si>
    <t>MccCode_asphalt</t>
  </si>
  <si>
    <t>MccCode_basalt</t>
  </si>
  <si>
    <t>MccCode_bedrock</t>
  </si>
  <si>
    <t>MccCode_boulders</t>
  </si>
  <si>
    <t>MccCode_breccia</t>
  </si>
  <si>
    <t>MccCode_brick</t>
  </si>
  <si>
    <t>MccCode_calcareous</t>
  </si>
  <si>
    <t>MccCode_ceramic</t>
  </si>
  <si>
    <t>MccCode_chalk</t>
  </si>
  <si>
    <t>MccCode_cinders</t>
  </si>
  <si>
    <t>MccCode_cirripedia</t>
  </si>
  <si>
    <t>MccCode_clay</t>
  </si>
  <si>
    <t>clayAndSilt</t>
  </si>
  <si>
    <t>MccCode_clayAndSilt</t>
  </si>
  <si>
    <t>MccCode_coal</t>
  </si>
  <si>
    <t>MccCode_cobbles</t>
  </si>
  <si>
    <t>MccCode_coke</t>
  </si>
  <si>
    <t>MccCode_composition</t>
  </si>
  <si>
    <t>MccCode_concrete</t>
  </si>
  <si>
    <t>MccCode_conglomerate</t>
  </si>
  <si>
    <t>MccCode_copper</t>
  </si>
  <si>
    <t>MccCode_coral</t>
  </si>
  <si>
    <t>MccCode_coralHead</t>
  </si>
  <si>
    <t>MccCode_diatomaceousEarth</t>
  </si>
  <si>
    <t>MccCode_dolerite</t>
  </si>
  <si>
    <t>MccCode_dolomite</t>
  </si>
  <si>
    <t>MccCode_evaporite</t>
  </si>
  <si>
    <t>ferrocement</t>
  </si>
  <si>
    <t>Ferrocement</t>
  </si>
  <si>
    <t>A cement-based material that is usually reinforced with steel and shaped to a variety of forms (for example: ship or barge hulls).</t>
  </si>
  <si>
    <t>Other materials (for example: metal mesh or artificial fibre textile) may be used to reinforce the cement while providing a degree of flexibility.</t>
  </si>
  <si>
    <t>MccCode_ferrocement</t>
  </si>
  <si>
    <t>MccCode_fibreglass</t>
  </si>
  <si>
    <t>A collection of one or more optical fibres, organized into a cable and protectively wrapped.</t>
  </si>
  <si>
    <t>MccCode_fibreOptic</t>
  </si>
  <si>
    <t>MccCode_flysch</t>
  </si>
  <si>
    <t>MccCode_foraminifera</t>
  </si>
  <si>
    <t>MccCode_frozenWater</t>
  </si>
  <si>
    <t>MccCode_fucus</t>
  </si>
  <si>
    <t>MccCode_glass</t>
  </si>
  <si>
    <t>MccCode_glassReinforcedPlastic</t>
  </si>
  <si>
    <t>MccCode_gneiss</t>
  </si>
  <si>
    <t>MccCode_gold</t>
  </si>
  <si>
    <t>MccCode_granite</t>
  </si>
  <si>
    <t>MccCode_gravel</t>
  </si>
  <si>
    <t>gravelAndCobble</t>
  </si>
  <si>
    <t>MccCode_gravelAndCobble</t>
  </si>
  <si>
    <t>MccCode_greenstone</t>
  </si>
  <si>
    <t>MccCode_groundShell</t>
  </si>
  <si>
    <t>hideTextile</t>
  </si>
  <si>
    <t>Hide and/or Textile</t>
  </si>
  <si>
    <t>Any thin, flexible sheet material consisting of cured animal hides and/or textiles.</t>
  </si>
  <si>
    <t>The textile may be based on a mixture of natural (for example: cotton) and/or man-made (for example: nylon) fibres.</t>
  </si>
  <si>
    <t>MccCode_hideTextile</t>
  </si>
  <si>
    <t>MccCode_ice</t>
  </si>
  <si>
    <t>Rock formed by solidification of molten lava or magma.</t>
  </si>
  <si>
    <t>When extrusive igneous rock solidifies near or on the surface of the Earth it is termed volcanic.</t>
  </si>
  <si>
    <t>MccCode_igneousRock</t>
  </si>
  <si>
    <t>MccCode_iron</t>
  </si>
  <si>
    <t>MccCode_laterite</t>
  </si>
  <si>
    <t>MccCode_lava</t>
  </si>
  <si>
    <t>MccCode_lead</t>
  </si>
  <si>
    <t>MccCode_limestone</t>
  </si>
  <si>
    <t>MccCode_loess</t>
  </si>
  <si>
    <t>MccCode_lumber</t>
  </si>
  <si>
    <t>MccCode_macadam</t>
  </si>
  <si>
    <t>MccCode_madrepore</t>
  </si>
  <si>
    <t>MccCode_manganese</t>
  </si>
  <si>
    <t>MccCode_marble</t>
  </si>
  <si>
    <t>MccCode_marl</t>
  </si>
  <si>
    <t>MccCode_masonry</t>
  </si>
  <si>
    <t>MccCode_matte</t>
  </si>
  <si>
    <t>MccCode_metal</t>
  </si>
  <si>
    <t>Rock formed by alteration of existing rocks by heat, pressure, or other processes in the Earth's crust.</t>
  </si>
  <si>
    <t>May be foliated or nonfoliated. Common foliated metamorphic rocks include slate, metasandstone, metaconglomerate, phyllite, schist, gneiss, and the 'hybrid rock' (part igneous, part metamorphic) migmatite. Common nonfoliated metamorphic rocks include hornfels, quartzite, marble, and dolomitic marble.</t>
  </si>
  <si>
    <t>MccCode_metamorphicRock</t>
  </si>
  <si>
    <t>MccCode_mud</t>
  </si>
  <si>
    <t>mudBasedConstruction</t>
  </si>
  <si>
    <t>Mud-based Construction</t>
  </si>
  <si>
    <t>Constructed principally from mud applied to a structural scaffold of plant material (for example: wooden posts).</t>
  </si>
  <si>
    <t>Effective only in extremely dry climates and usually must be resurfaced on a regular basis (for example: yearly) otherwise the structure steadily disintegrates under the effect of weather.</t>
  </si>
  <si>
    <t>MccCode_mudBasedConstruction</t>
  </si>
  <si>
    <t>MccCode_mussels</t>
  </si>
  <si>
    <t>naturalFibre</t>
  </si>
  <si>
    <t>Natural Fibre</t>
  </si>
  <si>
    <t>A class of natural and not man-made materials that are continuous filaments, or are in discrete elongated pieces that can be spun into filaments, creating thread, string, or rope.</t>
  </si>
  <si>
    <t>May be used directly for load-bearing (for example: a rope) or woven into a textile (for example: for use in clothing manufacture). Naturally occurring vegetable fibres include, for example, cotton, linen, jute, flax, ramie, sisal and hemp.</t>
  </si>
  <si>
    <t>MccCode_naturalFibre</t>
  </si>
  <si>
    <t>MccCode_oil</t>
  </si>
  <si>
    <t>MccCode_ooze</t>
  </si>
  <si>
    <t>MccCode_oysters</t>
  </si>
  <si>
    <t>MccCode_paper</t>
  </si>
  <si>
    <t>MccCode_partMetal</t>
  </si>
  <si>
    <t>MccCode_paved</t>
  </si>
  <si>
    <t>MccCode_peat</t>
  </si>
  <si>
    <t>MccCode_pebbles</t>
  </si>
  <si>
    <t>MccCode_plantMaterial</t>
  </si>
  <si>
    <t>MccCode_plastic</t>
  </si>
  <si>
    <t>MccCode_porphyry</t>
  </si>
  <si>
    <t>MccCode_prestressedConcrete</t>
  </si>
  <si>
    <t>MccCode_pumice</t>
  </si>
  <si>
    <t>MccCode_quartz</t>
  </si>
  <si>
    <t>MccCode_quartzite</t>
  </si>
  <si>
    <t>MccCode_radioactiveMaterial</t>
  </si>
  <si>
    <t>MccCode_radiolaria</t>
  </si>
  <si>
    <t>MccCode_reinforcedConcrete</t>
  </si>
  <si>
    <t>riprap</t>
  </si>
  <si>
    <t>A layer of loose stone of relatively constant size and shape.</t>
  </si>
  <si>
    <t>For example, as used to form a foundation for a breakwater.</t>
  </si>
  <si>
    <t>MccCode_riprap</t>
  </si>
  <si>
    <t>MccCode_rock</t>
  </si>
  <si>
    <t>rocksAndBoulders</t>
  </si>
  <si>
    <t>MccCode_rocksAndBoulders</t>
  </si>
  <si>
    <t>MccCode_roofShingle</t>
  </si>
  <si>
    <t>MccCode_rubber</t>
  </si>
  <si>
    <t>MccCode_rubble</t>
  </si>
  <si>
    <t>MccCode_salt</t>
  </si>
  <si>
    <t>MccCode_sand</t>
  </si>
  <si>
    <t>sandAndGravel</t>
  </si>
  <si>
    <t>MccCode_sandAndGravel</t>
  </si>
  <si>
    <t>MccCode_sandOverMud</t>
  </si>
  <si>
    <t>MccCode_sandstone</t>
  </si>
  <si>
    <t>MccCode_schist</t>
  </si>
  <si>
    <t>MccCode_scoria</t>
  </si>
  <si>
    <t>MccCode_seaMoss</t>
  </si>
  <si>
    <t>sedimentaryRock</t>
  </si>
  <si>
    <t>Sedimentary Rock</t>
  </si>
  <si>
    <t>Rock formed by the deposition of sediment.</t>
  </si>
  <si>
    <t>For example, sandstone, shale, and limestone.</t>
  </si>
  <si>
    <t>MccCode_sedimentaryRock</t>
  </si>
  <si>
    <t>MccCode_sewage</t>
  </si>
  <si>
    <t>MccCode_shale</t>
  </si>
  <si>
    <t>MccCode_shell</t>
  </si>
  <si>
    <t>MccCode_shingle</t>
  </si>
  <si>
    <t>MccCode_silt</t>
  </si>
  <si>
    <t>siltstoneMudstone</t>
  </si>
  <si>
    <t>Siltstone/Mudstone</t>
  </si>
  <si>
    <t>Types of rock formed of compacted and hardened silt and mud.</t>
  </si>
  <si>
    <t>MccCode_siltstoneMudstone</t>
  </si>
  <si>
    <t>MccCode_siltySands</t>
  </si>
  <si>
    <t>MccCode_silver</t>
  </si>
  <si>
    <t>MccCode_slag</t>
  </si>
  <si>
    <t>MccCode_slash</t>
  </si>
  <si>
    <t>A dense fine-grained metamorphic rock that develops a characteristic cleavage which may be at any angle with the original bedding plane.</t>
  </si>
  <si>
    <t>MccCode_slate</t>
  </si>
  <si>
    <t>MccCode_sludge</t>
  </si>
  <si>
    <t>MccCode_snow</t>
  </si>
  <si>
    <t>sod</t>
  </si>
  <si>
    <t>Sod</t>
  </si>
  <si>
    <t>A usually square or oblong piece or slice of earth together with the grass growing on it.</t>
  </si>
  <si>
    <t>Turf</t>
  </si>
  <si>
    <t>MccCode_sod</t>
  </si>
  <si>
    <t>MccCode_soil</t>
  </si>
  <si>
    <t>MccCode_spicules</t>
  </si>
  <si>
    <t>MccCode_spoil</t>
  </si>
  <si>
    <t>MccCode_sponge</t>
  </si>
  <si>
    <t>MccCode_steel</t>
  </si>
  <si>
    <t>MccCode_stone</t>
  </si>
  <si>
    <t>MccCode_thatch</t>
  </si>
  <si>
    <t>MccCode_timber</t>
  </si>
  <si>
    <t>MccCode_travertine</t>
  </si>
  <si>
    <t>MccCode_treatedTimber</t>
  </si>
  <si>
    <t>MccCode_tufa</t>
  </si>
  <si>
    <t>turf</t>
  </si>
  <si>
    <t>A surface layer of soil containing grsss plants with their matted roots.</t>
  </si>
  <si>
    <t>Sod, Sward</t>
  </si>
  <si>
    <t>MccCode_turf</t>
  </si>
  <si>
    <t>MccCode_uraniumOre</t>
  </si>
  <si>
    <t>MccCode_vegetation</t>
  </si>
  <si>
    <t>MccCode_volcanicAsh</t>
  </si>
  <si>
    <t>MccCode_water</t>
  </si>
  <si>
    <t>MccCode_wood</t>
  </si>
  <si>
    <t>MccCode_zinc</t>
  </si>
  <si>
    <t>arched</t>
  </si>
  <si>
    <t>Arched</t>
  </si>
  <si>
    <t>In the shape of a curved structure spanning an opening.</t>
  </si>
  <si>
    <t>May be used, for example, as a support (for example: for a bridge, roof, wall, or floor), as a monument, or as an ornamental feature.</t>
  </si>
  <si>
    <t>SscCode_arched</t>
  </si>
  <si>
    <t>boardLikePrism</t>
  </si>
  <si>
    <t>Board-like Prism</t>
  </si>
  <si>
    <t>In the shape of a rectangular prism with the short faces oriented vertically and the base shaped as a wide rectangle.</t>
  </si>
  <si>
    <t>SscCode_boardLikePrism</t>
  </si>
  <si>
    <t>In the shape of a long vertical, often slightly tapering, cylinder.</t>
  </si>
  <si>
    <t>For example, surmounted by an entablature and forming part of an arcade or colonnade, or standing alone as a monument.</t>
  </si>
  <si>
    <t>SscCode_columnar</t>
  </si>
  <si>
    <t>In the shape of a tall upright post surmounted with an attached short transverse beam.</t>
  </si>
  <si>
    <t>For example, a Calvary cross.</t>
  </si>
  <si>
    <t>SscCode_cross</t>
  </si>
  <si>
    <t>cubic</t>
  </si>
  <si>
    <t>Cubic</t>
  </si>
  <si>
    <t>In the shape of a rectangular prism with all faces of equal size.</t>
  </si>
  <si>
    <t>SscCode_cubic</t>
  </si>
  <si>
    <t>cylindricalOnTower</t>
  </si>
  <si>
    <t>Cylindrical on Tower</t>
  </si>
  <si>
    <t>In the shape of a vertical cylinder raised up on a support structure.</t>
  </si>
  <si>
    <t>The top may be of various shapes, for example, flat, rounded, and/or conical. The support structure may be in the form of multiple poles or trusses.</t>
  </si>
  <si>
    <t>SscCode_cylindricalOnTower</t>
  </si>
  <si>
    <t>cylindricalConicalTop</t>
  </si>
  <si>
    <t>Cylindrical with Conical Top</t>
  </si>
  <si>
    <t>In the shape of a vertical cylinder with a conical top.</t>
  </si>
  <si>
    <t>SscCode_cylindricalConicalTop</t>
  </si>
  <si>
    <t>cylindricalDomedTop</t>
  </si>
  <si>
    <t>Cylindrical with Domed Top</t>
  </si>
  <si>
    <t>In the shape of a vertical cylinder with a domed top.</t>
  </si>
  <si>
    <t>SscCode_cylindricalDomedTop</t>
  </si>
  <si>
    <t>cylindricalFlatTop</t>
  </si>
  <si>
    <t>Cylindrical with Flat Top</t>
  </si>
  <si>
    <t>In the shape of a vertical cylinder with a flat top.</t>
  </si>
  <si>
    <t>SscCode_cylindricalFlatTop</t>
  </si>
  <si>
    <t>cylindricalWithFramework</t>
  </si>
  <si>
    <t>Cylindrical with Framework</t>
  </si>
  <si>
    <t>In the shape of an upright cylinder, usually with an external bracing structure.</t>
  </si>
  <si>
    <t>The height of the cylinder may vary over time. The top may be of various shapes, for example, flat, rounded, or conical. For example, a telescoping gasholder (gasometer).</t>
  </si>
  <si>
    <t>SscCode_cylindricalWithFramework</t>
  </si>
  <si>
    <t>In the shape of a hemispherical surface, often as a rounded vault forming all or part of the roof of a building.</t>
  </si>
  <si>
    <t>SscCode_domed</t>
  </si>
  <si>
    <t>ellipsoidal</t>
  </si>
  <si>
    <t>Ellipsoidal</t>
  </si>
  <si>
    <t>In the shape of an ellipsoid of revolution whose axes are of unequal length, one being especially long and the others relatively equal and short.</t>
  </si>
  <si>
    <t>A misshapen sphere.</t>
  </si>
  <si>
    <t>SscCode_ellipsoidal</t>
  </si>
  <si>
    <t>shapedLikeFunnel</t>
  </si>
  <si>
    <t>Funnel Shaped</t>
  </si>
  <si>
    <t>In the shape of a cone, apex at the bottom, with a small hole or tube at the apex.</t>
  </si>
  <si>
    <t>Used, for example, for guiding liquid or powder through a narrow opening.</t>
  </si>
  <si>
    <t>SscCode_shapedLikeFunnel</t>
  </si>
  <si>
    <t>hShaped</t>
  </si>
  <si>
    <t>H' Shaped</t>
  </si>
  <si>
    <t>In the shape of a series of rectangular prisms joined so as to be in the overall shape of the capital letter 'H' when viewed from above.</t>
  </si>
  <si>
    <t>SscCode_hShaped</t>
  </si>
  <si>
    <t>hemiEllipsoidal</t>
  </si>
  <si>
    <t>Hemi-ellipsoidal</t>
  </si>
  <si>
    <t>In the shape of the upper half of an ellipsoid of revolution whose axes are of unequal length, one being especially long and the others relatively equal and short.</t>
  </si>
  <si>
    <t>A misshapen hemisphere.</t>
  </si>
  <si>
    <t>Inverted Hull</t>
  </si>
  <si>
    <t>SscCode_hemiEllipsoidal</t>
  </si>
  <si>
    <t>horizontalCappedCylinder</t>
  </si>
  <si>
    <t>Horizontal Capped Cylindrical</t>
  </si>
  <si>
    <t>In the shape of a horizontal cylinder whose ends are rounded.</t>
  </si>
  <si>
    <t>Sometimes referred to as 'blimp shaped'.</t>
  </si>
  <si>
    <t>SscCode_horizontalCappedCylinder</t>
  </si>
  <si>
    <t>horizontalCylindrical</t>
  </si>
  <si>
    <t>Horizontal Cylindrical</t>
  </si>
  <si>
    <t>In the shape of a horizontal cylinder.</t>
  </si>
  <si>
    <t>The ends may be various shapes, for example, flat, rounded, and/or conical.</t>
  </si>
  <si>
    <t>SscCode_horizontalCylindrical</t>
  </si>
  <si>
    <t>iShaped</t>
  </si>
  <si>
    <t>I' Shaped</t>
  </si>
  <si>
    <t>In the shape of a series of rectangular prisms joined so as to be in the overall shape of the capital letter 'I' when viewed from above.</t>
  </si>
  <si>
    <t>SscCode_iShaped</t>
  </si>
  <si>
    <t>multipleArched</t>
  </si>
  <si>
    <t>Multiple Arched</t>
  </si>
  <si>
    <t>In the shape of a series of arches.</t>
  </si>
  <si>
    <t>For example, as along an arcade.</t>
  </si>
  <si>
    <t>SscCode_multipleArched</t>
  </si>
  <si>
    <t>obelisk</t>
  </si>
  <si>
    <t>Obelisk</t>
  </si>
  <si>
    <t>In the shape of a tapering, four-sided pillar with a pyramidal apex.</t>
  </si>
  <si>
    <t>SscCode_obelisk</t>
  </si>
  <si>
    <t>plaque</t>
  </si>
  <si>
    <t>Plaque</t>
  </si>
  <si>
    <t>In the shape of an ornamental plate or tablet.</t>
  </si>
  <si>
    <t>For example, affixed to a monument or building and containing identifying or commemorative details.</t>
  </si>
  <si>
    <t>SscCode_plaque</t>
  </si>
  <si>
    <t>SscCode_pyramidal</t>
  </si>
  <si>
    <t>rectangularPrism</t>
  </si>
  <si>
    <t>Rectangular Prism</t>
  </si>
  <si>
    <t>In the shape of a rectangular prism with the long faces oriented vertically and the base shaped as a rectangle (not as a square).</t>
  </si>
  <si>
    <t>SscCode_rectangularPrism</t>
  </si>
  <si>
    <t>In the shape of a sphere.</t>
  </si>
  <si>
    <t>If the sphere is half-buried then it may appear as a dome.</t>
  </si>
  <si>
    <t>SscCode_spherical</t>
  </si>
  <si>
    <t>sphericalOnColumn</t>
  </si>
  <si>
    <t>Spherical on Column</t>
  </si>
  <si>
    <t>In the shape of a sphere raised up on a column.</t>
  </si>
  <si>
    <t>The column serves as the sole support structure. The sphere may be 'flattened' so that its vertical dimension is smaller than its horizontal dimension (an ellipsoidal shape).</t>
  </si>
  <si>
    <t>SscCode_sphericalOnColumn</t>
  </si>
  <si>
    <t>squarePrism</t>
  </si>
  <si>
    <t>Square Prism</t>
  </si>
  <si>
    <t>In the shape of a rectangular prism with the long faces oriented vertically and the base shaped as a square.</t>
  </si>
  <si>
    <t>SscCode_squarePrism</t>
  </si>
  <si>
    <t>statue</t>
  </si>
  <si>
    <t>Statue</t>
  </si>
  <si>
    <t>A representation of a living being, sculptured, moulded, or cast in a variety of materials (for example: marble, metal, or plaster).</t>
  </si>
  <si>
    <t>Especially a life-size or larger figure of a deity, mythical being, or eminent person.</t>
  </si>
  <si>
    <t>SscCode_statue</t>
  </si>
  <si>
    <t>statueOnPedestal</t>
  </si>
  <si>
    <t>Statue on Pedestal</t>
  </si>
  <si>
    <t>A representation of a living being, sculptured, moulded, or cast in a variety of materials (for example: marble, metal, or plaster) whose base is mounted on a column.</t>
  </si>
  <si>
    <t>Especially a life-size or larger figure of a deity, mythical being, or eminent person. Although the pedestal is typically only a few metres in height it can be quite significant; for example, the 17 foot high statue of Lord Nelson in Trafalgar Square, London, is mounted on a 185 foot tall column.</t>
  </si>
  <si>
    <t>SscCode_statueOnPedestal</t>
  </si>
  <si>
    <t>tetrahedral</t>
  </si>
  <si>
    <t>Tetrahedral</t>
  </si>
  <si>
    <t>In the shape of a polyhedron of which the base is a triangle, and the other faces are triangles with a common vertex.</t>
  </si>
  <si>
    <t>SscCode_tetrahedral</t>
  </si>
  <si>
    <t>In the shape of a relatively tall, narrow structure.</t>
  </si>
  <si>
    <t>May be of various shapes, sizes, and either open-frame or solid.</t>
  </si>
  <si>
    <t>SscCode_tower</t>
  </si>
  <si>
    <t>verticalCappedCylindrical</t>
  </si>
  <si>
    <t>Vertical Capped Cylindrical</t>
  </si>
  <si>
    <t>In the shape of a vertical cylinder whose ends are rounded.</t>
  </si>
  <si>
    <t>Sometimes referred to as 'bullet shaped'.</t>
  </si>
  <si>
    <t>SscCode_verticalCappedCylindrical</t>
  </si>
  <si>
    <t>verticalCylindrical</t>
  </si>
  <si>
    <t>Vertical Cylindrical</t>
  </si>
  <si>
    <t>In the shape of a vertical cylinder.</t>
  </si>
  <si>
    <t>The top may be of various shapes, for example, flat, rounded, and/or conical.</t>
  </si>
  <si>
    <t>SscCode_verticalCylindrical</t>
  </si>
  <si>
    <t>nonShoreSoundSignal</t>
  </si>
  <si>
    <t>Non-shore Sound Signal</t>
  </si>
  <si>
    <t>A sound signal transmitted through water that is not controlled from on shore.</t>
  </si>
  <si>
    <t>SasCode_nonShoreSoundSignal</t>
  </si>
  <si>
    <t>oscillator</t>
  </si>
  <si>
    <t>Oscillator</t>
  </si>
  <si>
    <t>A large, electrically-operated diaphragm horn which produces a sound for transmission through water.</t>
  </si>
  <si>
    <t>SasCode_oscillator</t>
  </si>
  <si>
    <t>shoreSoundSignal</t>
  </si>
  <si>
    <t>Shore Sound Signal</t>
  </si>
  <si>
    <t>A sound signal transmitted through water that is controlled from on shore.</t>
  </si>
  <si>
    <t>SasCode_shoreSoundSignal</t>
  </si>
  <si>
    <t>converterSubstation</t>
  </si>
  <si>
    <t>Converter Substation</t>
  </si>
  <si>
    <t>A substation where alternating current (AC) is converted to direct current (DC), or vice versa.</t>
  </si>
  <si>
    <t>Conversion from alternating to direct current is typically associated with an electrified railway.</t>
  </si>
  <si>
    <t>SbtCode_converterSubstation</t>
  </si>
  <si>
    <t>switchedSubstation</t>
  </si>
  <si>
    <t>Switched Substation</t>
  </si>
  <si>
    <t>A substation at which electrical current is switched.</t>
  </si>
  <si>
    <t>Usually located between a electrical power generating station and an electrical power distribution network.</t>
  </si>
  <si>
    <t>SbtCode_switchedSubstation</t>
  </si>
  <si>
    <t>transformerSubstation</t>
  </si>
  <si>
    <t>Transformer Substation</t>
  </si>
  <si>
    <t>A substation at which electrical voltage is transformed, typically to a lower level.</t>
  </si>
  <si>
    <t>Usually located between a high-tension long-distance transmission network and a local low-tension distribution network.</t>
  </si>
  <si>
    <t>SbtCode_transformerSubstation</t>
  </si>
  <si>
    <t>The object has become buried by the force of the object hitting the sediment.</t>
  </si>
  <si>
    <t>SubCode_impact</t>
  </si>
  <si>
    <t>The object has become buried by the process whereby under certain conditions, a solid seafloor sediment behaves as a liquid.</t>
  </si>
  <si>
    <t>SubCode_liquefaction</t>
  </si>
  <si>
    <t>sandwaveMigration</t>
  </si>
  <si>
    <t>Sandwave Migration</t>
  </si>
  <si>
    <t>The object has become buried by the movement of sandwaves.</t>
  </si>
  <si>
    <t>SubCode_sandwaveMigration</t>
  </si>
  <si>
    <t>scour</t>
  </si>
  <si>
    <t>Scour</t>
  </si>
  <si>
    <t>The object has become buried by the action of current or flow of water around the object.</t>
  </si>
  <si>
    <t>SubCode_scour</t>
  </si>
  <si>
    <t>sedimentMigration</t>
  </si>
  <si>
    <t>Sediment Migration</t>
  </si>
  <si>
    <t>The object has become buried by the movement of sediment.</t>
  </si>
  <si>
    <t>SubCode_sedimentMigration</t>
  </si>
  <si>
    <t>autoDependentSurvBroadcast</t>
  </si>
  <si>
    <t>Automatic Dependant Surveillance - Broadcast Sensor</t>
  </si>
  <si>
    <t>A ground station that can receive, interrogate, relay, and send a radio signal to and/or from an aircraft equipped with Automatic Dependant Surveillance-Broadcast (ADS-B) avionics.</t>
  </si>
  <si>
    <t>SdyCode_autoDependentSurvBroadcast</t>
  </si>
  <si>
    <t>multilaterationSensor</t>
  </si>
  <si>
    <t>Multilateration Sensor</t>
  </si>
  <si>
    <t>A ground station located in a strategic position on an aerodrome surface that receives and interrogates signals emitted from an aircraft transponder to aid in calculating the position of the aircraft relative to that ground station.</t>
  </si>
  <si>
    <t>The use of several multilateration sensors on an aerodrome surface, each receiving and interrogating the transponder emission from an aircraft, results in triangulating the exact position of the aircraft on the aerodrome. This information can then be relayed to the aerodrome ground control service, which can use this information to aid in aircraft separation and safety.</t>
  </si>
  <si>
    <t>SdyCode_multilaterationSensor</t>
  </si>
  <si>
    <t>SmcCode_adobeBrick</t>
  </si>
  <si>
    <t>SmcCode_aluminum</t>
  </si>
  <si>
    <t>SmcCode_ash</t>
  </si>
  <si>
    <t>SmcCode_asphalt</t>
  </si>
  <si>
    <t>SmcCode_basalt</t>
  </si>
  <si>
    <t>SmcCode_bedrock</t>
  </si>
  <si>
    <t>SmcCode_boulders</t>
  </si>
  <si>
    <t>SmcCode_breccia</t>
  </si>
  <si>
    <t>SmcCode_brick</t>
  </si>
  <si>
    <t>SmcCode_calcareous</t>
  </si>
  <si>
    <t>SmcCode_ceramic</t>
  </si>
  <si>
    <t>SmcCode_chalk</t>
  </si>
  <si>
    <t>SmcCode_cinders</t>
  </si>
  <si>
    <t>SmcCode_cirripedia</t>
  </si>
  <si>
    <t>SmcCode_clay</t>
  </si>
  <si>
    <t>SmcCode_coal</t>
  </si>
  <si>
    <t>SmcCode_cobbles</t>
  </si>
  <si>
    <t>SmcCode_coke</t>
  </si>
  <si>
    <t>SmcCode_composition</t>
  </si>
  <si>
    <t>SmcCode_concrete</t>
  </si>
  <si>
    <t>SmcCode_conglomerate</t>
  </si>
  <si>
    <t>SmcCode_copper</t>
  </si>
  <si>
    <t>SmcCode_coral</t>
  </si>
  <si>
    <t>SmcCode_coralHead</t>
  </si>
  <si>
    <t>SmcCode_diatomaceousEarth</t>
  </si>
  <si>
    <t>SmcCode_dolerite</t>
  </si>
  <si>
    <t>SmcCode_dolomite</t>
  </si>
  <si>
    <t>SmcCode_evaporite</t>
  </si>
  <si>
    <t>SmcCode_flysch</t>
  </si>
  <si>
    <t>SmcCode_foraminifera</t>
  </si>
  <si>
    <t>SmcCode_frozenWater</t>
  </si>
  <si>
    <t>SmcCode_fucus</t>
  </si>
  <si>
    <t>SmcCode_glass</t>
  </si>
  <si>
    <t>SmcCode_glassReinforcedPlastic</t>
  </si>
  <si>
    <t>SmcCode_gneiss</t>
  </si>
  <si>
    <t>SmcCode_gold</t>
  </si>
  <si>
    <t>SmcCode_granite</t>
  </si>
  <si>
    <t>Predominantly grass with other short growing ground vegetation.</t>
  </si>
  <si>
    <t>SmcCode_grass</t>
  </si>
  <si>
    <t>SmcCode_gravel</t>
  </si>
  <si>
    <t>SmcCode_greenstone</t>
  </si>
  <si>
    <t>SmcCode_groundShell</t>
  </si>
  <si>
    <t>SmcCode_ice</t>
  </si>
  <si>
    <t>SmcCode_igneousRock</t>
  </si>
  <si>
    <t>SmcCode_iron</t>
  </si>
  <si>
    <t>SmcCode_laterite</t>
  </si>
  <si>
    <t>SmcCode_lava</t>
  </si>
  <si>
    <t>SmcCode_lead</t>
  </si>
  <si>
    <t>SmcCode_limestone</t>
  </si>
  <si>
    <t>SmcCode_loess</t>
  </si>
  <si>
    <t>SmcCode_lumber</t>
  </si>
  <si>
    <t>SmcCode_macadam</t>
  </si>
  <si>
    <t>SmcCode_madrepore</t>
  </si>
  <si>
    <t>SmcCode_manganese</t>
  </si>
  <si>
    <t>SmcCode_marble</t>
  </si>
  <si>
    <t>SmcCode_marl</t>
  </si>
  <si>
    <t>SmcCode_masonry</t>
  </si>
  <si>
    <t>SmcCode_matte</t>
  </si>
  <si>
    <t>SmcCode_metal</t>
  </si>
  <si>
    <t>SmcCode_metamorphicRock</t>
  </si>
  <si>
    <t>SmcCode_mud</t>
  </si>
  <si>
    <t>SmcCode_mussels</t>
  </si>
  <si>
    <t>SmcCode_oil</t>
  </si>
  <si>
    <t>SmcCode_ooze</t>
  </si>
  <si>
    <t>SmcCode_oysters</t>
  </si>
  <si>
    <t>paint</t>
  </si>
  <si>
    <t>Paint</t>
  </si>
  <si>
    <t>A substance consisting of a solid colouring matter dissolved in a liquid vehicle (for example: water or oil) that when spread over a surface, dries to leave a thin decorative or protective coating.</t>
  </si>
  <si>
    <t>SmcCode_paint</t>
  </si>
  <si>
    <t>SmcCode_paper</t>
  </si>
  <si>
    <t>SmcCode_partMetal</t>
  </si>
  <si>
    <t>SmcCode_pebbles</t>
  </si>
  <si>
    <t>SmcCode_plantMaterial</t>
  </si>
  <si>
    <t>SmcCode_plastic</t>
  </si>
  <si>
    <t>SmcCode_porphyry</t>
  </si>
  <si>
    <t>SmcCode_prestressedConcrete</t>
  </si>
  <si>
    <t>SmcCode_pumice</t>
  </si>
  <si>
    <t>SmcCode_quartz</t>
  </si>
  <si>
    <t>SmcCode_quartzite</t>
  </si>
  <si>
    <t>SmcCode_radioactiveMaterial</t>
  </si>
  <si>
    <t>SmcCode_radiolaria</t>
  </si>
  <si>
    <t>SmcCode_reinforcedConcrete</t>
  </si>
  <si>
    <t>Rip-rap</t>
  </si>
  <si>
    <t>SmcCode_riprap</t>
  </si>
  <si>
    <t>SmcCode_rock</t>
  </si>
  <si>
    <t>SmcCode_roofShingle</t>
  </si>
  <si>
    <t>SmcCode_rubber</t>
  </si>
  <si>
    <t>SmcCode_rubble</t>
  </si>
  <si>
    <t>SmcCode_salt</t>
  </si>
  <si>
    <t>SmcCode_sand</t>
  </si>
  <si>
    <t>sandAndBoulders</t>
  </si>
  <si>
    <t>Sand and Boulders</t>
  </si>
  <si>
    <t>Granular material consisting of a mixture of small sandy eroded fragments of (mainly siliceous) rocks, finer than gravel and larger than a coarse silt grain, and large water- or weather-worn stones.</t>
  </si>
  <si>
    <t>SmcCode_sandAndBoulders</t>
  </si>
  <si>
    <t>SmcCode_sandAndGravel</t>
  </si>
  <si>
    <t>sandAndMud</t>
  </si>
  <si>
    <t>Sand and Mud</t>
  </si>
  <si>
    <t>Granular material consisting of a mixture of small sandy eroded fragments of (mainly siliceous) rocks, finer than gravel, and soft wet soil, dust, and/or other earthy matter.</t>
  </si>
  <si>
    <t>SmcCode_sandAndMud</t>
  </si>
  <si>
    <t>SmcCode_sandstone</t>
  </si>
  <si>
    <t>SmcCode_schist</t>
  </si>
  <si>
    <t>SmcCode_scoria</t>
  </si>
  <si>
    <t>SmcCode_seaMoss</t>
  </si>
  <si>
    <t>SmcCode_sedimentaryRock</t>
  </si>
  <si>
    <t>SmcCode_sewage</t>
  </si>
  <si>
    <t>SmcCode_shale</t>
  </si>
  <si>
    <t>SmcCode_shell</t>
  </si>
  <si>
    <t>SmcCode_shingle</t>
  </si>
  <si>
    <t>SmcCode_silt</t>
  </si>
  <si>
    <t>SmcCode_silver</t>
  </si>
  <si>
    <t>SmcCode_slag</t>
  </si>
  <si>
    <t>SmcCode_slate</t>
  </si>
  <si>
    <t>SmcCode_sludge</t>
  </si>
  <si>
    <t>SmcCode_snow</t>
  </si>
  <si>
    <t>SmcCode_sod</t>
  </si>
  <si>
    <t>SmcCode_soil</t>
  </si>
  <si>
    <t>SmcCode_spicules</t>
  </si>
  <si>
    <t>SmcCode_spoil</t>
  </si>
  <si>
    <t>SmcCode_sponge</t>
  </si>
  <si>
    <t>SmcCode_steel</t>
  </si>
  <si>
    <t>SmcCode_stone</t>
  </si>
  <si>
    <t>SmcCode_thatch</t>
  </si>
  <si>
    <t>SmcCode_timber</t>
  </si>
  <si>
    <t>SmcCode_travertine</t>
  </si>
  <si>
    <t>SmcCode_treatedTimber</t>
  </si>
  <si>
    <t>SmcCode_tufa</t>
  </si>
  <si>
    <t>SmcCode_uraniumOre</t>
  </si>
  <si>
    <t>SmcCode_vegetation</t>
  </si>
  <si>
    <t>SmcCode_volcanicAsh</t>
  </si>
  <si>
    <t>SmcCode_water</t>
  </si>
  <si>
    <t>SmcCode_wood</t>
  </si>
  <si>
    <t>SmcCode_zinc</t>
  </si>
  <si>
    <t>astronomicPosition</t>
  </si>
  <si>
    <t>Astronomic Position</t>
  </si>
  <si>
    <t>A point used by surveyors for determining precise position by astronomical means.</t>
  </si>
  <si>
    <t>CpaCode_astronomicPosition</t>
  </si>
  <si>
    <t>benchmark</t>
  </si>
  <si>
    <t>A permanent, stable object containing a marked point of known elevation with respect to a datum used as a reference level for tidal observations or as a control point for levelling.</t>
  </si>
  <si>
    <t>CpaCode_benchmark</t>
  </si>
  <si>
    <t>boundaryMark</t>
  </si>
  <si>
    <t>Marker identifying the location of a surveyed boundary line.</t>
  </si>
  <si>
    <t>CpaCode_boundaryMark</t>
  </si>
  <si>
    <t>fixedPoint</t>
  </si>
  <si>
    <t>Fixed Point</t>
  </si>
  <si>
    <t>A point whose position has been accurately determined and plotted.</t>
  </si>
  <si>
    <t>CpaCode_fixedPoint</t>
  </si>
  <si>
    <t>horizontalMainStation</t>
  </si>
  <si>
    <t>Horizontal Main Station</t>
  </si>
  <si>
    <t>A station in a network of permanently marked 'main' horizontal control points having their geographic positions established to form third order accuracy or better.</t>
  </si>
  <si>
    <t>CpaCode_horizontalMainStation</t>
  </si>
  <si>
    <t>horizontalPosition</t>
  </si>
  <si>
    <t>Horizontal Position</t>
  </si>
  <si>
    <t>A point identifying a horizontal position used for locating subordinate surveys or mapping.</t>
  </si>
  <si>
    <t>CpaCode_horizontalPosition</t>
  </si>
  <si>
    <t>horizontalPosAndBenchmark</t>
  </si>
  <si>
    <t>Horizontal Position and Benchmark</t>
  </si>
  <si>
    <t>A permanent, stable object identifying both horizontal position and elevation benchmark used for locating subordinate surveys or mapping.</t>
  </si>
  <si>
    <t>CpaCode_horizontalPosAndBenchmark</t>
  </si>
  <si>
    <t>horizontalSecStation</t>
  </si>
  <si>
    <t>Horizontal Secondary Station</t>
  </si>
  <si>
    <t>A station in a network of horizontal control points of a localized nature (for example: utilized for shoreline plots, sounding marks, and/or stadia work) whose geographic position may be established to a slightly lower order than main horizontal control points.</t>
  </si>
  <si>
    <t>CpaCode_horizontalSecStation</t>
  </si>
  <si>
    <t>tidalBenchmark</t>
  </si>
  <si>
    <t>Tidal Benchmark</t>
  </si>
  <si>
    <t>A permanent, stable object containing a marked point of known elevation with respect to a datum used as a reference level for tidal observations or as a control point for leveling.</t>
  </si>
  <si>
    <t>CpaCode_tidalBenchmark</t>
  </si>
  <si>
    <t>triangulationPoint</t>
  </si>
  <si>
    <t>Triangulation Point</t>
  </si>
  <si>
    <t>A recoverable point on the earth, whose geographic coordinates have been determined by angular methods with geodetic instruments.</t>
  </si>
  <si>
    <t>A triangulation point is a selected point, which has been marked with a station mark, or it is a conspicuous natural or artificial object.</t>
  </si>
  <si>
    <t>Triangulation Station, Trigonometric Station</t>
  </si>
  <si>
    <t>CpaCode_triangulationPoint</t>
  </si>
  <si>
    <t>verticalMainStation</t>
  </si>
  <si>
    <t>Vertical Main Station</t>
  </si>
  <si>
    <t>A station in a network of permanently marked 'main' vertical control points having their geographic positions established to form third order accuracy or better.</t>
  </si>
  <si>
    <t>CpaCode_verticalMainStation</t>
  </si>
  <si>
    <t>verticalPosition</t>
  </si>
  <si>
    <t>Vertical Position</t>
  </si>
  <si>
    <t>A point identifying a vertical position used for locating subordinate surveys or mapping.</t>
  </si>
  <si>
    <t>CpaCode_verticalPosition</t>
  </si>
  <si>
    <t>verticalSecStation</t>
  </si>
  <si>
    <t>Vertical Secondary Station</t>
  </si>
  <si>
    <t>A station in a network of vertical control points of a localized nature (for example: utilized for shoreline plots, sounding marks, and/or stadia work) whose geographic position may be established to a slightly lower order than main vertical control points.</t>
  </si>
  <si>
    <t>CpaCode_verticalSecStation</t>
  </si>
  <si>
    <t>inadequatelySurveyed</t>
  </si>
  <si>
    <t>Inadequately Surveyed</t>
  </si>
  <si>
    <t>Surveyed, but not with complete coverage and/or not to established standards.</t>
  </si>
  <si>
    <t>SurCode_inadequatelySurveyed</t>
  </si>
  <si>
    <t>surveyed</t>
  </si>
  <si>
    <t>Surveyed</t>
  </si>
  <si>
    <t>Surveyed with complete coverage and to established standards.</t>
  </si>
  <si>
    <t>Survey implies a regular, controlled survey of any date.</t>
  </si>
  <si>
    <t>SurCode_surveyed</t>
  </si>
  <si>
    <t>unsurveyed</t>
  </si>
  <si>
    <t>Unsurveyed</t>
  </si>
  <si>
    <t>Survey data either does not exist or is very poor in coverage and/or quality.</t>
  </si>
  <si>
    <t>SurCode_unsurveyed</t>
  </si>
  <si>
    <t>marked</t>
  </si>
  <si>
    <t>Marked</t>
  </si>
  <si>
    <t>A permanent physical marker identifies the location of the survey point.</t>
  </si>
  <si>
    <t>Marked survey points may be inscribed metal tablets set in concrete posts, cast metal disks or metal rods driven in the ground.</t>
  </si>
  <si>
    <t>SumCode_marked</t>
  </si>
  <si>
    <t>unmarkedAndUnrecoverable</t>
  </si>
  <si>
    <t xml:space="preserve">Unmarked and Unrecoverable </t>
  </si>
  <si>
    <t xml:space="preserve">A temporary survey point that has no associated marker and are therefore is unrecoverable. </t>
  </si>
  <si>
    <t>For example, the corner of a building or a large rock.</t>
  </si>
  <si>
    <t>SumCode_unmarkedAndUnrecoverable</t>
  </si>
  <si>
    <t>unmarkedButRecoverable</t>
  </si>
  <si>
    <t>Unmarked But Recoverable</t>
  </si>
  <si>
    <t>An unmarked survey point which is a recognizable landmark and can be recovered or used as a survey point.</t>
  </si>
  <si>
    <t>For example, a flagpole or the spire of a church.</t>
  </si>
  <si>
    <t>SumCode_unmarkedButRecoverable</t>
  </si>
  <si>
    <t>SuyCode_astronomicPosition</t>
  </si>
  <si>
    <t>A point whose vertical position (elevation) above or below an established datum has been determined.</t>
  </si>
  <si>
    <t>SuyCode_benchmark</t>
  </si>
  <si>
    <t>cadastralControlPoint</t>
  </si>
  <si>
    <t>A point whose position (horizontal or vertical) has been determined and is used for purposes of describing and recording land ownership.</t>
  </si>
  <si>
    <t>A cadastral survey creates, marks, defines, retraces or reestablishes the boundaries and subdivisions of public land.</t>
  </si>
  <si>
    <t>SuyCode_cadastralControlPoint</t>
  </si>
  <si>
    <t>cameraStation</t>
  </si>
  <si>
    <t>Camera Station</t>
  </si>
  <si>
    <t>A point whose position has been determined so as to serve as a reference point from which to calculate distances in a photogrammetric survey.</t>
  </si>
  <si>
    <t>This point is typically the exact point occupied by the camera lens at the moment of exposure.</t>
  </si>
  <si>
    <t>SuyCode_cameraStation</t>
  </si>
  <si>
    <t>geodeticPoint</t>
  </si>
  <si>
    <t>A point having known, precise position (horizontal or vertical) established by geodetic techniques.</t>
  </si>
  <si>
    <t>The coordinates of a geodetic point are determined mainly by the method of triangulation. Geodetic surveys take the shape and size of the Earth into account and are typically carried out with great precision, often over long distances.</t>
  </si>
  <si>
    <t>SuyCode_geodeticPoint</t>
  </si>
  <si>
    <t>gravityPoint</t>
  </si>
  <si>
    <t>Gravity Point</t>
  </si>
  <si>
    <t>A point whose position has been determined for use in measuring the gravitational field for a gravity survey.</t>
  </si>
  <si>
    <t>SuyCode_gravityPoint</t>
  </si>
  <si>
    <t>magneticStation</t>
  </si>
  <si>
    <t>A permanently marked point at which a series of measurements of the magnetic field of the Earth have been made and whose (adjusted) gravity is known.</t>
  </si>
  <si>
    <t>SuyCode_magneticStation</t>
  </si>
  <si>
    <t>theodoliteStation</t>
  </si>
  <si>
    <t>Theodolite Station</t>
  </si>
  <si>
    <t>A point at which a theodolite instrument is erected in order to perform a survey.</t>
  </si>
  <si>
    <t>SuyCode_theodoliteStation</t>
  </si>
  <si>
    <t>SuyCode_tidalBenchmark</t>
  </si>
  <si>
    <t>transitStation</t>
  </si>
  <si>
    <t>Transit Station</t>
  </si>
  <si>
    <t>A point at which a transit instrument is erected in order to perform a survey.</t>
  </si>
  <si>
    <t>SuyCode_transitStation</t>
  </si>
  <si>
    <t>astronomicAzimuth</t>
  </si>
  <si>
    <t>Astronomic Azimuth</t>
  </si>
  <si>
    <t>A method of surveying in which an azimuth is derived based on observations of a celestial body.</t>
  </si>
  <si>
    <t>The horizontal azimuth angle, clockwise from astronomic north, is derived from angular observations of the celestial body.</t>
  </si>
  <si>
    <t>SuhCode_astronomicAzimuth</t>
  </si>
  <si>
    <t>A method of surveying in which the position of a point is defined on the geoid with reference to the planes of the celestial equator and a selected celestial meridian.</t>
  </si>
  <si>
    <t>The astronomic latitude and longitude are derived from angular observations of celestial bodies.</t>
  </si>
  <si>
    <t>SuhCode_astronomicPosition</t>
  </si>
  <si>
    <t>A method of deriving the position of a point by means of mathematical relations and database interpolations.</t>
  </si>
  <si>
    <t>SuhCode_calculated</t>
  </si>
  <si>
    <t>doppler</t>
  </si>
  <si>
    <t>Doppler</t>
  </si>
  <si>
    <t>A method of surveying in which an object or observer is placed at a specified point by using a Doppler Global Navigation Satellite (GNSS) to determine the difference between the actual location and the desired location and then minimizing this difference.</t>
  </si>
  <si>
    <t>SuhCode_doppler</t>
  </si>
  <si>
    <t>gnssAbsolute</t>
  </si>
  <si>
    <t>Global Navigation Satellite System (GNSS) Absolute</t>
  </si>
  <si>
    <t>Direct geodetic point positioning at a stationary, solitary station using a 'geodetic quality' dual frequency Global Navigation Satellite System (GNSS) receiver, a precise ephemerides, satellite clock states, Earth orientation parameters, and solid Earth tide predictions.</t>
  </si>
  <si>
    <t>The location of the point is tied to a known geodetic reference frame such as the World Geodetic System 1984 (WGS 84) or the International Terrestrial Reference Frame (ITRF). The occupation time at a given survey point is 24 hours.</t>
  </si>
  <si>
    <t>SuhCode_gnssAbsolute</t>
  </si>
  <si>
    <t>gnssClassical</t>
  </si>
  <si>
    <t>Global Navigation Satellite System (GNSS) Classical</t>
  </si>
  <si>
    <t>A combination of both Global Navigation Satellite System (GNSS) and conventional survey techniques is used to determine the position of a point.</t>
  </si>
  <si>
    <t>SuhCode_gnssClassical</t>
  </si>
  <si>
    <t>gnssKinematic</t>
  </si>
  <si>
    <t>Global Navigation Satellite System (GNSS) Kinematic</t>
  </si>
  <si>
    <t>A method of Global Navigation Satellite System (GNSS) surveying in which a known GNSS base station and a roving GNSS receiver are used to establish a comminucation link, allowing the surveyor to move to another location and take measurements, without having to relocate the base station.</t>
  </si>
  <si>
    <t>The differences between the known coordinates at the base station and the values determined from the roving GNSS receiver are referred to as 'corrections' to the signals. These corrections are broadcast to the rover antennas via a communication link and used to determine the vector between the base and the rover; the collected vectors are determined in a post-processing step. The occupation time at a given survey point is 1 to 2 minutes.</t>
  </si>
  <si>
    <t>SuhCode_gnssKinematic</t>
  </si>
  <si>
    <t>gnssRapidStatic</t>
  </si>
  <si>
    <t>Global Navigation Satellite System (GNSS) Rapid Static</t>
  </si>
  <si>
    <t>A method of Global Navigation Satellite System (GNSS) static surveying in which a base, or static, satellite receiver occupies a point and vectors are measured to a semi-static satellite receiver at another point.</t>
  </si>
  <si>
    <t>The frequency carrier phase integer ambiguities of the satellites are resolved in a relatively short amount of time, thus this method is not as accurate as 'long-static'. The occupation time at a given survey point is 5 to 15 minutes.</t>
  </si>
  <si>
    <t>SuhCode_gnssRapidStatic</t>
  </si>
  <si>
    <t>gnssRealTimeKinematic</t>
  </si>
  <si>
    <t>Global Navigation Satellite System (GNSS) Real-time Kinematic</t>
  </si>
  <si>
    <t>A method of Global Navigation Satellite System (GNSS) surveying that uses a digital communications link to transmit near-instantaneous differential corrections from a known Global Navigation Satellite System (GNSS) base station(s) to a roving GNSS receiver.</t>
  </si>
  <si>
    <t>The differences between the known coordinates at the base station and the values determined from the GNSS are referred to as 'corrections' to the signals. These corrections are broadcast to the rover antennas via a communication link in determining the vector between base and rover; the vectors are processed in 'real-time'. The occupation time at a given survey point is 1 to 2 minutes.</t>
  </si>
  <si>
    <t>SuhCode_gnssRealTimeKinematic</t>
  </si>
  <si>
    <t>gnssRelative</t>
  </si>
  <si>
    <t>Global Navigation Satellite System (GNSS) Relative</t>
  </si>
  <si>
    <t>A method of Global Navigation Satellite System (GNSS) surveying that uses at least two satellite receivers, one usually occupying a known geodetic station, and based on the theory that satellite orbit errors, atmospheric refractive distortions, and satellite clock errors are assumed the same at both points, thus cancel out.</t>
  </si>
  <si>
    <t>The accuracy of the vector between the two points depends on the length of occupation time at the survey point. GNSS relative positioning is one of the positioning methods which can provide the most precise relative position between a receiver at a known point and a receiver at a unknown point.</t>
  </si>
  <si>
    <t>SuhCode_gnssRelative</t>
  </si>
  <si>
    <t>gnssStatic</t>
  </si>
  <si>
    <t>Global Navigation Satellite System (GNSS) Static</t>
  </si>
  <si>
    <t>A method of surveying involving the collection of precise carrier phase measurements recorded simultaneously at two or more survey control marks using stand-alone Global Navigation Satellite System (GNSS) equipment (comprised of a high precision antenna and receiver) and a continually operating reference station.</t>
  </si>
  <si>
    <t>The frequency carrier phase integer ambiguities of the satellites are more accurately resolved given that the occupation time at a given survey point is 30 to 60 minutes.</t>
  </si>
  <si>
    <t>SuhCode_gnssStatic</t>
  </si>
  <si>
    <t>gravityAbsolute</t>
  </si>
  <si>
    <t>Gravity Absolute</t>
  </si>
  <si>
    <t>A method of surveying in which a gravimeter is used to measure the local gravity at a specified point in absolute units (gals).</t>
  </si>
  <si>
    <t>SuhCode_gravityAbsolute</t>
  </si>
  <si>
    <t>gravityExcentric</t>
  </si>
  <si>
    <t>Gravity Excentric</t>
  </si>
  <si>
    <t>A method of surveying in which an eccentric point, usually located outside the facility housing the absolute gravity station, is surveyed by relative gravity techniques.</t>
  </si>
  <si>
    <t>SuhCode_gravityExcentric</t>
  </si>
  <si>
    <t>gravityRelative</t>
  </si>
  <si>
    <t>Gravity Relative</t>
  </si>
  <si>
    <t>A method of surveying where a gravimeter is used to measure the difference in the acceleration of gravity at a specified point and that of a known accurate gravity point.</t>
  </si>
  <si>
    <t>SuhCode_gravityRelative</t>
  </si>
  <si>
    <t>A method of surveying in which horizontal position is determined by horizontal angular observation from two or more known survey stations to an unknown survey station, no observations being made over the unknown station itself.</t>
  </si>
  <si>
    <t>SuhCode_intersection</t>
  </si>
  <si>
    <t>The determination of differences of elevation by means of a consecutive series of short horizontal traverses, where the vertical distance along each traverse is determined by direct observation of a graduated rod placed at the end of the traverse and observed with a leveling instrument equipped with a spirit or digital level.</t>
  </si>
  <si>
    <t>SuhCode_levelling</t>
  </si>
  <si>
    <t>lightDetectionRanging</t>
  </si>
  <si>
    <t>Light Detection and Ranging</t>
  </si>
  <si>
    <t>A method of surveying where elevation points are determined by light detection and ranging (LiDAR) tools.</t>
  </si>
  <si>
    <t>Light Detection and Ranging (LiDAR) is an optical remote sensing technique that can measure distances to multiple targets, or point clouds, using light. It can be used in both horizontal and vertical positioning.</t>
  </si>
  <si>
    <t>SuhCode_lightDetectionRanging</t>
  </si>
  <si>
    <t>mobileScanning</t>
  </si>
  <si>
    <t>Mobile Scanning</t>
  </si>
  <si>
    <t>A method of surveying where a location is determined through the use of a 3D Laser Scanner mounted on a vehicle.</t>
  </si>
  <si>
    <t>Accomplished using either airborne and/or terrestrial LiDAR mounted on a moving vehicle, collecting data on-the-fly.</t>
  </si>
  <si>
    <t>SuhCode_mobileScanning</t>
  </si>
  <si>
    <t>resection</t>
  </si>
  <si>
    <t>Resection</t>
  </si>
  <si>
    <t>A surveying method to determine the geodetic position of an unknown occupied point via horizontal angular observations from three or more known survey points.</t>
  </si>
  <si>
    <t>SuhCode_resection</t>
  </si>
  <si>
    <t>threeDimenLaserScanning</t>
  </si>
  <si>
    <t>Three Dimensional Laser Scanning</t>
  </si>
  <si>
    <t>A method of surveying where a location is determined through the use of a 3D Laser Scanner set on the ground.</t>
  </si>
  <si>
    <t>Static terrestrial three-dimentional Light Detection and Ranging (LiDAR) used for mapping/modeling.</t>
  </si>
  <si>
    <t>SuhCode_threeDimenLaserScanning</t>
  </si>
  <si>
    <t>triangulation</t>
  </si>
  <si>
    <t>Triangulation</t>
  </si>
  <si>
    <t>A method of surveying used to extend geodetic control through a series of ground stations located at the vertices of a chain of terrestrial triangles and quadrangles among which position is determined by angular observations on and between triangle apexes.</t>
  </si>
  <si>
    <t xml:space="preserve">Distinguished from Trilateration in which distance measurement observations are made of the sides of the triangles. </t>
  </si>
  <si>
    <t>SuhCode_triangulation</t>
  </si>
  <si>
    <t>trilateration</t>
  </si>
  <si>
    <t>Trilateration</t>
  </si>
  <si>
    <t>A method of surveying used to extend geodetic control through a series of ground stations located at the vertices of a chain of terrestrial triangles and quadrangles among which position is determimed via electronic distance measurement observations of the sides of the triangles.</t>
  </si>
  <si>
    <t>Distinguished from Triangulation in which angular observations are made on and between triangle apexes.</t>
  </si>
  <si>
    <t>SuhCode_trilateration</t>
  </si>
  <si>
    <t>basinSwamp</t>
  </si>
  <si>
    <t>Basin Swamp</t>
  </si>
  <si>
    <t>A swamp developed in a topographically defined basin where water derived locally may be augmented by drainage from other parts of the watershed.</t>
  </si>
  <si>
    <t>The accumulation of well-decomposed peat is shallow (less than 0.5 metres) at the edge but may reach 2 metres at the centre.</t>
  </si>
  <si>
    <t>SwaCode_basinSwamp</t>
  </si>
  <si>
    <t>mangroveSwamp</t>
  </si>
  <si>
    <t>SwaCode_mangroveSwamp</t>
  </si>
  <si>
    <t>streamSwamp</t>
  </si>
  <si>
    <t>Stream Swamp</t>
  </si>
  <si>
    <t>A swamp occurring along the banks of permanent or semipermanent streams.</t>
  </si>
  <si>
    <t>The high water table is maintained by the level of water in the stream. The swamp is seasonally inundated with subsequent sediment deposition.</t>
  </si>
  <si>
    <t>SwaCode_streamSwamp</t>
  </si>
  <si>
    <t>afloat</t>
  </si>
  <si>
    <t>Afloat</t>
  </si>
  <si>
    <t>Afloat and adrift.</t>
  </si>
  <si>
    <t>May be designated in communications as 'FLOAT' followed by the direction of drift (true bearing; 3 numerics), for example: 'FLOAT 110'.</t>
  </si>
  <si>
    <t>MscCode_afloat</t>
  </si>
  <si>
    <t>countermined</t>
  </si>
  <si>
    <t>Countermined</t>
  </si>
  <si>
    <t>Disposed of by countermining, consisting of the placement of a mine disposal charge close enough to the mine so that sympathetic detonation occurs.</t>
  </si>
  <si>
    <t>In some cases when a mine is destroyed (countermined) by a remotely operated vehicle (ROV) it may not be known with a degree of certainty whether the mine was actually detonated by the disposal charge. In such cases the minehunter will determine the condition of the mine, using the minehunting sonar, and if required the ROV, taking action to ensure that the mine is effectively countermined. Moored mine sinkers normally remain in place after the mine has been destroyed. However, in some instances the sinkers may be removed and/or taken away. May be designated in communications as 'CMINED' followed by DTG (verified time), for example: 'CMINED 11726Z3'.</t>
  </si>
  <si>
    <t>MscCode_countermined</t>
  </si>
  <si>
    <t>disposed</t>
  </si>
  <si>
    <t>Disposed</t>
  </si>
  <si>
    <t>Disposed of by mine disposal vessel.</t>
  </si>
  <si>
    <t>In general, when the intention is to annihilate the mine danger, mines are disposed of by the minehunter or by other means (for example: a diving vessel assisting the hunter). Mine disposal is done by countermining or mine neutralisation. For reasons of the particular tactical objective, rendering safe, recovery, and removal of mines are not included in the general term 'Dispose'. May be designated in communications as 'DISP' followed by DTG (verified time), for example: 'DISP 061732Z8'.</t>
  </si>
  <si>
    <t>MscCode_disposed</t>
  </si>
  <si>
    <t>exploded</t>
  </si>
  <si>
    <t>Exploded</t>
  </si>
  <si>
    <t>Exploded during sweeping and hunting operations (a triggered influence mine, not by disposal techniques).</t>
  </si>
  <si>
    <t>May be designated in communications as 'EXPL' followed by relative bearing RED/GREEN, 3 numerics (000-180) and distance in metres separated by a hyphen (4 numerics).</t>
  </si>
  <si>
    <t>MscCode_exploded</t>
  </si>
  <si>
    <t>fouled</t>
  </si>
  <si>
    <t>Fouled</t>
  </si>
  <si>
    <t>Fouled the sweep during mechanical sweeping.</t>
  </si>
  <si>
    <t>May be designated in communications as 'FOULED'.</t>
  </si>
  <si>
    <t>MscCode_fouled</t>
  </si>
  <si>
    <t>neutralized</t>
  </si>
  <si>
    <t>Neutralized</t>
  </si>
  <si>
    <t>Disposed of by neutralization, rendering the mine, by external means, permanently incapable of firing on passing of a ship or sweep (although it may remain dangerous to handle).</t>
  </si>
  <si>
    <t>Neutralisation is accomplished either by disrupting the mine firing mechanism or by separating the firing mechanism from the main explosive charge. It may be achieved by using divers to place a relatively small shaped explosive charge on the mine or by using a vehicle to lay a charge sufficiently close to disrupt the mechanism. Alternatively divers may be used to render the mine safe using EOD procedures. The mine case may remain visually intact. May be designated in communications as 'NEUTR' followed by DTG (verified time), for example: 'NEUTR 270813Z1'.</t>
  </si>
  <si>
    <t>MscCode_neutralized</t>
  </si>
  <si>
    <t>notSwept</t>
  </si>
  <si>
    <t>Not Swept</t>
  </si>
  <si>
    <t>Not dealt with during mine sweeping operations.</t>
  </si>
  <si>
    <t>May be designated in communications as 'NDEALT'.</t>
  </si>
  <si>
    <t>Not Dealt With</t>
  </si>
  <si>
    <t>MscCode_notSwept</t>
  </si>
  <si>
    <t>recovered</t>
  </si>
  <si>
    <t>Recovered</t>
  </si>
  <si>
    <t>The mine was recovered in order that a detailed technical evaluation may take place.</t>
  </si>
  <si>
    <t>It is necessary that the mine suffers as little disruption as is safe and practical. May be designated in communications as 'RECVD' followed by DTG (verified time), for example: 'RECVD 211256Z7'.</t>
  </si>
  <si>
    <t>MscCode_recovered</t>
  </si>
  <si>
    <t>removed</t>
  </si>
  <si>
    <t>Removed</t>
  </si>
  <si>
    <t>Removed from the shipping area (initial position) to an area where its detonation would be acceptable.</t>
  </si>
  <si>
    <t>May be designated in communications as 'RMVD' followed by 3 numerics (true bearing) and distance 4 numerics, separated by a hyphen (indicating metres), for example: 'RMVD 210-1500'.</t>
  </si>
  <si>
    <t>MscCode_removed</t>
  </si>
  <si>
    <t>renderedSafe</t>
  </si>
  <si>
    <t>Rendered Safe</t>
  </si>
  <si>
    <t>Disposed of by rendering the mine safe as a result of action to make it inoperative by direct interference with its firing system or explosive train.</t>
  </si>
  <si>
    <t>This may be done underwater, in situ, or after recovery. May be designated in communications as 'RSAFE' followed by DTG (verified time), for example: 'RSAFE 121606Z6'.</t>
  </si>
  <si>
    <t>MscCode_renderedSafe</t>
  </si>
  <si>
    <t>sunk</t>
  </si>
  <si>
    <t>Sunk</t>
  </si>
  <si>
    <t>Sunk by mine disposal vessel.</t>
  </si>
  <si>
    <t>May be designated in communications as 'SUNK' followed by DTG (verified time), for example 'SUNK 061715Z0'.</t>
  </si>
  <si>
    <t>MscCode_sunk</t>
  </si>
  <si>
    <t>The channel '100X' is assigned for the Tactical Air Navigation Aid (TACAN) by the responsible authority.</t>
  </si>
  <si>
    <t>TacCode_chan100X</t>
  </si>
  <si>
    <t>The channel '100Y' is assigned for the Tactical Air Navigation Aid (TACAN) by the responsible authority.</t>
  </si>
  <si>
    <t>TacCode_chan100Y</t>
  </si>
  <si>
    <t>The channel '100Z' is assigned for the Tactical Air Navigation Aid (TACAN) by the responsible authority.</t>
  </si>
  <si>
    <t>TacCode_chan100Z</t>
  </si>
  <si>
    <t>The channel '101X' is assigned for the Tactical Air Navigation Aid (TACAN) by the responsible authority.</t>
  </si>
  <si>
    <t>TacCode_chan101X</t>
  </si>
  <si>
    <t>The channel '101Y' is assigned for the Tactical Air Navigation Aid (TACAN) by the responsible authority.</t>
  </si>
  <si>
    <t>TacCode_chan101Y</t>
  </si>
  <si>
    <t>The channel '101Z' is assigned for the Tactical Air Navigation Aid (TACAN) by the responsible authority.</t>
  </si>
  <si>
    <t>TacCode_chan101Z</t>
  </si>
  <si>
    <t>The channel '102X' is assigned for the Tactical Air Navigation Aid (TACAN) by the responsible authority.</t>
  </si>
  <si>
    <t>TacCode_chan102X</t>
  </si>
  <si>
    <t>The channel '102Y' is assigned for the Tactical Air Navigation Aid (TACAN) by the responsible authority.</t>
  </si>
  <si>
    <t>TacCode_chan102Y</t>
  </si>
  <si>
    <t>The channel '102Z' is assigned for the Tactical Air Navigation Aid (TACAN) by the responsible authority.</t>
  </si>
  <si>
    <t>TacCode_chan102Z</t>
  </si>
  <si>
    <t>The channel '103X' is assigned for the Tactical Air Navigation Aid (TACAN) by the responsible authority.</t>
  </si>
  <si>
    <t>TacCode_chan103X</t>
  </si>
  <si>
    <t>The channel '103Y' is assigned for the Tactical Air Navigation Aid (TACAN) by the responsible authority.</t>
  </si>
  <si>
    <t>TacCode_chan103Y</t>
  </si>
  <si>
    <t>The channel '103Z' is assigned for the Tactical Air Navigation Aid (TACAN) by the responsible authority.</t>
  </si>
  <si>
    <t>TacCode_chan103Z</t>
  </si>
  <si>
    <t>The channel '104X' is assigned for the Tactical Air Navigation Aid (TACAN) by the responsible authority.</t>
  </si>
  <si>
    <t>TacCode_chan104X</t>
  </si>
  <si>
    <t>The channel '104Y' is assigned for the Tactical Air Navigation Aid (TACAN) by the responsible authority.</t>
  </si>
  <si>
    <t>TacCode_chan104Y</t>
  </si>
  <si>
    <t>The channel '104Z' is assigned for the Tactical Air Navigation Aid (TACAN) by the responsible authority.</t>
  </si>
  <si>
    <t>TacCode_chan104Z</t>
  </si>
  <si>
    <t>The channel '105X' is assigned for the Tactical Air Navigation Aid (TACAN) by the responsible authority.</t>
  </si>
  <si>
    <t>TacCode_chan105X</t>
  </si>
  <si>
    <t>The channel '105Y' is assigned for the Tactical Air Navigation Aid (TACAN) by the responsible authority.</t>
  </si>
  <si>
    <t>TacCode_chan105Y</t>
  </si>
  <si>
    <t>The channel '105Z' is assigned for the Tactical Air Navigation Aid (TACAN) by the responsible authority.</t>
  </si>
  <si>
    <t>TacCode_chan105Z</t>
  </si>
  <si>
    <t>The channel '106X' is assigned for the Tactical Air Navigation Aid (TACAN) by the responsible authority.</t>
  </si>
  <si>
    <t>TacCode_chan106X</t>
  </si>
  <si>
    <t>The channel '106Y' is assigned for the Tactical Air Navigation Aid (TACAN) by the responsible authority.</t>
  </si>
  <si>
    <t>TacCode_chan106Y</t>
  </si>
  <si>
    <t>The channel '106Z' is assigned for the Tactical Air Navigation Aid (TACAN) by the responsible authority.</t>
  </si>
  <si>
    <t>TacCode_chan106Z</t>
  </si>
  <si>
    <t>The channel '107X' is assigned for the Tactical Air Navigation Aid (TACAN) by the responsible authority.</t>
  </si>
  <si>
    <t>TacCode_chan107X</t>
  </si>
  <si>
    <t>The channel '107Y' is assigned for the Tactical Air Navigation Aid (TACAN) by the responsible authority.</t>
  </si>
  <si>
    <t>TacCode_chan107Y</t>
  </si>
  <si>
    <t>The channel '107Z' is assigned for the Tactical Air Navigation Aid (TACAN) by the responsible authority.</t>
  </si>
  <si>
    <t>TacCode_chan107Z</t>
  </si>
  <si>
    <t>The channel '108X' is assigned for the Tactical Air Navigation Aid (TACAN) by the responsible authority.</t>
  </si>
  <si>
    <t>TacCode_chan108X</t>
  </si>
  <si>
    <t>The channel '108Y' is assigned for the Tactical Air Navigation Aid (TACAN) by the responsible authority.</t>
  </si>
  <si>
    <t>TacCode_chan108Y</t>
  </si>
  <si>
    <t>The channel '108Z' is assigned for the Tactical Air Navigation Aid (TACAN) by the responsible authority.</t>
  </si>
  <si>
    <t>TacCode_chan108Z</t>
  </si>
  <si>
    <t>The channel '109X' is assigned for the Tactical Air Navigation Aid (TACAN) by the responsible authority.</t>
  </si>
  <si>
    <t>TacCode_chan109X</t>
  </si>
  <si>
    <t>The channel '109Y' is assigned for the Tactical Air Navigation Aid (TACAN) by the responsible authority.</t>
  </si>
  <si>
    <t>TacCode_chan109Y</t>
  </si>
  <si>
    <t>The channel '109Z' is assigned for the Tactical Air Navigation Aid (TACAN) by the responsible authority.</t>
  </si>
  <si>
    <t>TacCode_chan109Z</t>
  </si>
  <si>
    <t>The channel '10X' is assigned for the Tactical Air Navigation Aid (TACAN) by the responsible authority.</t>
  </si>
  <si>
    <t>TacCode_chan010X</t>
  </si>
  <si>
    <t>The channel '10Y' is assigned for the Tactical Air Navigation Aid (TACAN) by the responsible authority.</t>
  </si>
  <si>
    <t>TacCode_chan010Y</t>
  </si>
  <si>
    <t>The channel '110X' is assigned for the Tactical Air Navigation Aid (TACAN) by the responsible authority.</t>
  </si>
  <si>
    <t>TacCode_chan110X</t>
  </si>
  <si>
    <t>The channel '110Y' is assigned for the Tactical Air Navigation Aid (TACAN) by the responsible authority.</t>
  </si>
  <si>
    <t>TacCode_chan110Y</t>
  </si>
  <si>
    <t>The channel '110Z' is assigned for the Tactical Air Navigation Aid (TACAN) by the responsible authority.</t>
  </si>
  <si>
    <t>TacCode_chan110Z</t>
  </si>
  <si>
    <t>The channel '111X' is assigned for the Tactical Air Navigation Aid (TACAN) by the responsible authority.</t>
  </si>
  <si>
    <t>TacCode_chan111X</t>
  </si>
  <si>
    <t>The channel '111Y' is assigned for the Tactical Air Navigation Aid (TACAN) by the responsible authority.</t>
  </si>
  <si>
    <t>TacCode_chan111Y</t>
  </si>
  <si>
    <t>The channel '111Z' is assigned for the Tactical Air Navigation Aid (TACAN) by the responsible authority.</t>
  </si>
  <si>
    <t>TacCode_chan111Z</t>
  </si>
  <si>
    <t>The channel '112X' is assigned for the Tactical Air Navigation Aid (TACAN) by the responsible authority.</t>
  </si>
  <si>
    <t>TacCode_chan112X</t>
  </si>
  <si>
    <t>The channel '112Y' is assigned for the Tactical Air Navigation Aid (TACAN) by the responsible authority.</t>
  </si>
  <si>
    <t>TacCode_chan112Y</t>
  </si>
  <si>
    <t>The channel '112Z' is assigned for the Tactical Air Navigation Aid (TACAN) by the responsible authority.</t>
  </si>
  <si>
    <t>TacCode_chan112Z</t>
  </si>
  <si>
    <t>The channel '113X' is assigned for the Tactical Air Navigation Aid (TACAN) by the responsible authority.</t>
  </si>
  <si>
    <t>TacCode_chan113X</t>
  </si>
  <si>
    <t>The channel '113Y' is assigned for the Tactical Air Navigation Aid (TACAN) by the responsible authority.</t>
  </si>
  <si>
    <t>TacCode_chan113Y</t>
  </si>
  <si>
    <t>The channel '113Z' is assigned for the Tactical Air Navigation Aid (TACAN) by the responsible authority.</t>
  </si>
  <si>
    <t>TacCode_chan113Z</t>
  </si>
  <si>
    <t>The channel '114X' is assigned for the Tactical Air Navigation Aid (TACAN) by the responsible authority.</t>
  </si>
  <si>
    <t>TacCode_chan114X</t>
  </si>
  <si>
    <t>The channel '114Y' is assigned for the Tactical Air Navigation Aid (TACAN) by the responsible authority.</t>
  </si>
  <si>
    <t>TacCode_chan114Y</t>
  </si>
  <si>
    <t>The channel '114Z' is assigned for the Tactical Air Navigation Aid (TACAN) by the responsible authority.</t>
  </si>
  <si>
    <t>TacCode_chan114Z</t>
  </si>
  <si>
    <t>The channel '115X' is assigned for the Tactical Air Navigation Aid (TACAN) by the responsible authority.</t>
  </si>
  <si>
    <t>TacCode_chan115X</t>
  </si>
  <si>
    <t>The channel '115Y' is assigned for the Tactical Air Navigation Aid (TACAN) by the responsible authority.</t>
  </si>
  <si>
    <t>TacCode_chan115Y</t>
  </si>
  <si>
    <t>The channel '115Z' is assigned for the Tactical Air Navigation Aid (TACAN) by the responsible authority.</t>
  </si>
  <si>
    <t>TacCode_chan115Z</t>
  </si>
  <si>
    <t>The channel '116X' is assigned for the Tactical Air Navigation Aid (TACAN) by the responsible authority.</t>
  </si>
  <si>
    <t>TacCode_chan116X</t>
  </si>
  <si>
    <t>The channel '116Y' is assigned for the Tactical Air Navigation Aid (TACAN) by the responsible authority.</t>
  </si>
  <si>
    <t>TacCode_chan116Y</t>
  </si>
  <si>
    <t>The channel '116Z' is assigned for the Tactical Air Navigation Aid (TACAN) by the responsible authority.</t>
  </si>
  <si>
    <t>TacCode_chan116Z</t>
  </si>
  <si>
    <t>The channel '117X' is assigned for the Tactical Air Navigation Aid (TACAN) by the responsible authority.</t>
  </si>
  <si>
    <t>TacCode_chan117X</t>
  </si>
  <si>
    <t>The channel '117Y' is assigned for the Tactical Air Navigation Aid (TACAN) by the responsible authority.</t>
  </si>
  <si>
    <t>TacCode_chan117Y</t>
  </si>
  <si>
    <t>The channel '117Z' is assigned for the Tactical Air Navigation Aid (TACAN) by the responsible authority.</t>
  </si>
  <si>
    <t>TacCode_chan117Z</t>
  </si>
  <si>
    <t>The channel '118X' is assigned for the Tactical Air Navigation Aid (TACAN) by the responsible authority.</t>
  </si>
  <si>
    <t>TacCode_chan118X</t>
  </si>
  <si>
    <t>The channel '118Y' is assigned for the Tactical Air Navigation Aid (TACAN) by the responsible authority.</t>
  </si>
  <si>
    <t>TacCode_chan118Y</t>
  </si>
  <si>
    <t>The channel '118Z' is assigned for the Tactical Air Navigation Aid (TACAN) by the responsible authority.</t>
  </si>
  <si>
    <t>TacCode_chan118Z</t>
  </si>
  <si>
    <t>The channel '119X' is assigned for the Tactical Air Navigation Aid (TACAN) by the responsible authority.</t>
  </si>
  <si>
    <t>TacCode_chan119X</t>
  </si>
  <si>
    <t>The channel '119Y' is assigned for the Tactical Air Navigation Aid (TACAN) by the responsible authority.</t>
  </si>
  <si>
    <t>TacCode_chan119Y</t>
  </si>
  <si>
    <t>The channel '119Z' is assigned for the Tactical Air Navigation Aid (TACAN) by the responsible authority.</t>
  </si>
  <si>
    <t>TacCode_chan119Z</t>
  </si>
  <si>
    <t>The channel '11X' is assigned for the Tactical Air Navigation Aid (TACAN) by the responsible authority.</t>
  </si>
  <si>
    <t>TacCode_chan011X</t>
  </si>
  <si>
    <t>The channel '11Y' is assigned for the Tactical Air Navigation Aid (TACAN) by the responsible authority.</t>
  </si>
  <si>
    <t>TacCode_chan011Y</t>
  </si>
  <si>
    <t>The channel '120X' is assigned for the Tactical Air Navigation Aid (TACAN) by the responsible authority.</t>
  </si>
  <si>
    <t>TacCode_chan120X</t>
  </si>
  <si>
    <t>The channel '120Y' is assigned for the Tactical Air Navigation Aid (TACAN) by the responsible authority.</t>
  </si>
  <si>
    <t>TacCode_chan120Y</t>
  </si>
  <si>
    <t>The channel '121X' is assigned for the Tactical Air Navigation Aid (TACAN) by the responsible authority.</t>
  </si>
  <si>
    <t>TacCode_chan121X</t>
  </si>
  <si>
    <t>The channel '121Y' is assigned for the Tactical Air Navigation Aid (TACAN) by the responsible authority.</t>
  </si>
  <si>
    <t>TacCode_chan121Y</t>
  </si>
  <si>
    <t>The channel '122X' is assigned for the Tactical Air Navigation Aid (TACAN) by the responsible authority.</t>
  </si>
  <si>
    <t>TacCode_chan122X</t>
  </si>
  <si>
    <t>The channel '122Y' is assigned for the Tactical Air Navigation Aid (TACAN) by the responsible authority.</t>
  </si>
  <si>
    <t>TacCode_chan122Y</t>
  </si>
  <si>
    <t>The channel '123X' is assigned for the Tactical Air Navigation Aid (TACAN) by the responsible authority.</t>
  </si>
  <si>
    <t>TacCode_chan123X</t>
  </si>
  <si>
    <t>The channel '123Y' is assigned for the Tactical Air Navigation Aid (TACAN) by the responsible authority.</t>
  </si>
  <si>
    <t>TacCode_chan123Y</t>
  </si>
  <si>
    <t>The channel '124X' is assigned for the Tactical Air Navigation Aid (TACAN) by the responsible authority.</t>
  </si>
  <si>
    <t>TacCode_chan124X</t>
  </si>
  <si>
    <t>The channel '124Y' is assigned for the Tactical Air Navigation Aid (TACAN) by the responsible authority.</t>
  </si>
  <si>
    <t>TacCode_chan124Y</t>
  </si>
  <si>
    <t>The channel '125X' is assigned for the Tactical Air Navigation Aid (TACAN) by the responsible authority.</t>
  </si>
  <si>
    <t>TacCode_chan125X</t>
  </si>
  <si>
    <t>The channel '125Y' is assigned for the Tactical Air Navigation Aid (TACAN) by the responsible authority.</t>
  </si>
  <si>
    <t>TacCode_chan125Y</t>
  </si>
  <si>
    <t>The channel '126X' is assigned for the Tactical Air Navigation Aid (TACAN) by the responsible authority.</t>
  </si>
  <si>
    <t>TacCode_chan126X</t>
  </si>
  <si>
    <t>The channel '126Y' is assigned for the Tactical Air Navigation Aid (TACAN) by the responsible authority.</t>
  </si>
  <si>
    <t>TacCode_chan126Y</t>
  </si>
  <si>
    <t>The channel '12X' is assigned for the Tactical Air Navigation Aid (TACAN) by the responsible authority.</t>
  </si>
  <si>
    <t>TacCode_chan012X</t>
  </si>
  <si>
    <t>The channel '12Y' is assigned for the Tactical Air Navigation Aid (TACAN) by the responsible authority.</t>
  </si>
  <si>
    <t>TacCode_chan012Y</t>
  </si>
  <si>
    <t>The channel '13X' is assigned for the Tactical Air Navigation Aid (TACAN) by the responsible authority.</t>
  </si>
  <si>
    <t>TacCode_chan013X</t>
  </si>
  <si>
    <t>The channel '13Y' is assigned for the Tactical Air Navigation Aid (TACAN) by the responsible authority.</t>
  </si>
  <si>
    <t>TacCode_chan013Y</t>
  </si>
  <si>
    <t>The channel '14X' is assigned for the Tactical Air Navigation Aid (TACAN) by the responsible authority.</t>
  </si>
  <si>
    <t>TacCode_chan014X</t>
  </si>
  <si>
    <t>The channel '14Y' is assigned for the Tactical Air Navigation Aid (TACAN) by the responsible authority.</t>
  </si>
  <si>
    <t>TacCode_chan014Y</t>
  </si>
  <si>
    <t>The channel '15X' is assigned for the Tactical Air Navigation Aid (TACAN) by the responsible authority.</t>
  </si>
  <si>
    <t>TacCode_chan015X</t>
  </si>
  <si>
    <t>The channel '15Y' is assigned for the Tactical Air Navigation Aid (TACAN) by the responsible authority.</t>
  </si>
  <si>
    <t>TacCode_chan015Y</t>
  </si>
  <si>
    <t>The channel '16X' is assigned for the Tactical Air Navigation Aid (TACAN) by the responsible authority.</t>
  </si>
  <si>
    <t>TacCode_chan016X</t>
  </si>
  <si>
    <t>The channel '16Y' is assigned for the Tactical Air Navigation Aid (TACAN) by the responsible authority.</t>
  </si>
  <si>
    <t>TacCode_chan016Y</t>
  </si>
  <si>
    <t>The channel '17X' is assigned for the Tactical Air Navigation Aid (TACAN) by the responsible authority.</t>
  </si>
  <si>
    <t>TacCode_chan017X</t>
  </si>
  <si>
    <t>The channel '17Y' is assigned for the Tactical Air Navigation Aid (TACAN) by the responsible authority.</t>
  </si>
  <si>
    <t>TacCode_chan017Y</t>
  </si>
  <si>
    <t>The channel '17Z' is assigned for the Tactical Air Navigation Aid (TACAN) by the responsible authority.</t>
  </si>
  <si>
    <t>TacCode_chan017Z</t>
  </si>
  <si>
    <t>The channel '18W' is assigned for the Tactical Air Navigation Aid (TACAN) by the responsible authority.</t>
  </si>
  <si>
    <t>TacCode_chan018W</t>
  </si>
  <si>
    <t>The channel '18X' is assigned for the Tactical Air Navigation Aid (TACAN) by the responsible authority.</t>
  </si>
  <si>
    <t>TacCode_chan018X</t>
  </si>
  <si>
    <t>The channel '18Y' is assigned for the Tactical Air Navigation Aid (TACAN) by the responsible authority.</t>
  </si>
  <si>
    <t>TacCode_chan018Y</t>
  </si>
  <si>
    <t>The channel '18Z' is assigned for the Tactical Air Navigation Aid (TACAN) by the responsible authority.</t>
  </si>
  <si>
    <t>TacCode_chan018Z</t>
  </si>
  <si>
    <t>The channel '19X' is assigned for the Tactical Air Navigation Aid (TACAN) by the responsible authority.</t>
  </si>
  <si>
    <t>TacCode_chan019X</t>
  </si>
  <si>
    <t>The channel '19Y' is assigned for the Tactical Air Navigation Aid (TACAN) by the responsible authority.</t>
  </si>
  <si>
    <t>TacCode_chan019Y</t>
  </si>
  <si>
    <t>The channel '19Z' is assigned for the Tactical Air Navigation Aid (TACAN) by the responsible authority.</t>
  </si>
  <si>
    <t>TacCode_chan019Z</t>
  </si>
  <si>
    <t>The channel '1X' is assigned for the Tactical Air Navigation Aid (TACAN) by the responsible authority.</t>
  </si>
  <si>
    <t>TacCode_chan001X</t>
  </si>
  <si>
    <t>The channel '1Y' is assigned for the Tactical Air Navigation Aid (TACAN) by the responsible authority.</t>
  </si>
  <si>
    <t>TacCode_chan001Y</t>
  </si>
  <si>
    <t>The channel '20W' is assigned for the Tactical Air Navigation Aid (TACAN) by the responsible authority.</t>
  </si>
  <si>
    <t>TacCode_chan020W</t>
  </si>
  <si>
    <t>The channel '20X' is assigned for the Tactical Air Navigation Aid (TACAN) by the responsible authority.</t>
  </si>
  <si>
    <t>TacCode_chan020X</t>
  </si>
  <si>
    <t>The channel '20Y' is assigned for the Tactical Air Navigation Aid (TACAN) by the responsible authority.</t>
  </si>
  <si>
    <t>TacCode_chan020Y</t>
  </si>
  <si>
    <t>The channel '20Z' is assigned for the Tactical Air Navigation Aid (TACAN) by the responsible authority.</t>
  </si>
  <si>
    <t>TacCode_chan020Z</t>
  </si>
  <si>
    <t>The channel '21X' is assigned for the Tactical Air Navigation Aid (TACAN) by the responsible authority.</t>
  </si>
  <si>
    <t>TacCode_chan021X</t>
  </si>
  <si>
    <t>The channel '21Y' is assigned for the Tactical Air Navigation Aid (TACAN) by the responsible authority.</t>
  </si>
  <si>
    <t>TacCode_chan021Y</t>
  </si>
  <si>
    <t>The channel '21Z' is assigned for the Tactical Air Navigation Aid (TACAN) by the responsible authority.</t>
  </si>
  <si>
    <t>TacCode_chan021Z</t>
  </si>
  <si>
    <t>The channel '22W' is assigned for the Tactical Air Navigation Aid (TACAN) by the responsible authority.</t>
  </si>
  <si>
    <t>TacCode_chan022W</t>
  </si>
  <si>
    <t>The channel '22X' is assigned for the Tactical Air Navigation Aid (TACAN) by the responsible authority.</t>
  </si>
  <si>
    <t>TacCode_chan022X</t>
  </si>
  <si>
    <t>The channel '22Y' is assigned for the Tactical Air Navigation Aid (TACAN) by the responsible authority.</t>
  </si>
  <si>
    <t>TacCode_chan022Y</t>
  </si>
  <si>
    <t>The channel '22Z' is assigned for the Tactical Air Navigation Aid (TACAN) by the responsible authority.</t>
  </si>
  <si>
    <t>TacCode_chan022Z</t>
  </si>
  <si>
    <t>The channel '23X' is assigned for the Tactical Air Navigation Aid (TACAN) by the responsible authority.</t>
  </si>
  <si>
    <t>TacCode_chan023X</t>
  </si>
  <si>
    <t>The channel '23Y' is assigned for the Tactical Air Navigation Aid (TACAN) by the responsible authority.</t>
  </si>
  <si>
    <t>TacCode_chan023Y</t>
  </si>
  <si>
    <t>The channel '23Z' is assigned for the Tactical Air Navigation Aid (TACAN) by the responsible authority.</t>
  </si>
  <si>
    <t>TacCode_chan023Z</t>
  </si>
  <si>
    <t>The channel '24W' is assigned for the Tactical Air Navigation Aid (TACAN) by the responsible authority.</t>
  </si>
  <si>
    <t>TacCode_chan024W</t>
  </si>
  <si>
    <t>The channel '24X' is assigned for the Tactical Air Navigation Aid (TACAN) by the responsible authority.</t>
  </si>
  <si>
    <t>TacCode_chan024X</t>
  </si>
  <si>
    <t>The channel '24Y' is assigned for the Tactical Air Navigation Aid (TACAN) by the responsible authority.</t>
  </si>
  <si>
    <t>TacCode_chan024Y</t>
  </si>
  <si>
    <t>The channel '24Z' is assigned for the Tactical Air Navigation Aid (TACAN) by the responsible authority.</t>
  </si>
  <si>
    <t>TacCode_chan024Z</t>
  </si>
  <si>
    <t>The channel '25X' is assigned for the Tactical Air Navigation Aid (TACAN) by the responsible authority.</t>
  </si>
  <si>
    <t>TacCode_chan025X</t>
  </si>
  <si>
    <t>The channel '25Y' is assigned for the Tactical Air Navigation Aid (TACAN) by the responsible authority.</t>
  </si>
  <si>
    <t>TacCode_chan025Y</t>
  </si>
  <si>
    <t>The channel '25Z' is assigned for the Tactical Air Navigation Aid (TACAN) by the responsible authority.</t>
  </si>
  <si>
    <t>TacCode_chan025Z</t>
  </si>
  <si>
    <t>The channel '26W' is assigned for the Tactical Air Navigation Aid (TACAN) by the responsible authority.</t>
  </si>
  <si>
    <t>TacCode_chan026W</t>
  </si>
  <si>
    <t>The channel '26X' is assigned for the Tactical Air Navigation Aid (TACAN) by the responsible authority.</t>
  </si>
  <si>
    <t>TacCode_chan026X</t>
  </si>
  <si>
    <t>The channel '26Y' is assigned for the Tactical Air Navigation Aid (TACAN) by the responsible authority.</t>
  </si>
  <si>
    <t>TacCode_chan026Y</t>
  </si>
  <si>
    <t>The channel '26Z' is assigned for the Tactical Air Navigation Aid (TACAN) by the responsible authority.</t>
  </si>
  <si>
    <t>TacCode_chan026Z</t>
  </si>
  <si>
    <t>The channel '27X' is assigned for the Tactical Air Navigation Aid (TACAN) by the responsible authority.</t>
  </si>
  <si>
    <t>TacCode_chan027X</t>
  </si>
  <si>
    <t>The channel '27Y' is assigned for the Tactical Air Navigation Aid (TACAN) by the responsible authority.</t>
  </si>
  <si>
    <t>TacCode_chan027Y</t>
  </si>
  <si>
    <t>The channel '27Z' is assigned for the Tactical Air Navigation Aid (TACAN) by the responsible authority.</t>
  </si>
  <si>
    <t>TacCode_chan027Z</t>
  </si>
  <si>
    <t>The channel '28W' is assigned for the Tactical Air Navigation Aid (TACAN) by the responsible authority.</t>
  </si>
  <si>
    <t>TacCode_chan028W</t>
  </si>
  <si>
    <t>The channel '28X' is assigned for the Tactical Air Navigation Aid (TACAN) by the responsible authority.</t>
  </si>
  <si>
    <t>TacCode_chan028X</t>
  </si>
  <si>
    <t>The channel '28Y' is assigned for the Tactical Air Navigation Aid (TACAN) by the responsible authority.</t>
  </si>
  <si>
    <t>TacCode_chan028Y</t>
  </si>
  <si>
    <t>The channel '28Z' is assigned for the Tactical Air Navigation Aid (TACAN) by the responsible authority.</t>
  </si>
  <si>
    <t>TacCode_chan028Z</t>
  </si>
  <si>
    <t>The channel '29X' is assigned for the Tactical Air Navigation Aid (TACAN) by the responsible authority.</t>
  </si>
  <si>
    <t>TacCode_chan029X</t>
  </si>
  <si>
    <t>The channel '29Y' is assigned for the Tactical Air Navigation Aid (TACAN) by the responsible authority.</t>
  </si>
  <si>
    <t>TacCode_chan029Y</t>
  </si>
  <si>
    <t>The channel '29Z' is assigned for the Tactical Air Navigation Aid (TACAN) by the responsible authority.</t>
  </si>
  <si>
    <t>TacCode_chan029Z</t>
  </si>
  <si>
    <t>The channel '2X' is assigned for the Tactical Air Navigation Aid (TACAN) by the responsible authority.</t>
  </si>
  <si>
    <t>TacCode_chan002X</t>
  </si>
  <si>
    <t>The channel '2Y' is assigned for the Tactical Air Navigation Aid (TACAN) by the responsible authority.</t>
  </si>
  <si>
    <t>TacCode_chan002Y</t>
  </si>
  <si>
    <t>The channel '30W' is assigned for the Tactical Air Navigation Aid (TACAN) by the responsible authority.</t>
  </si>
  <si>
    <t>TacCode_chan030W</t>
  </si>
  <si>
    <t>The channel '30X' is assigned for the Tactical Air Navigation Aid (TACAN) by the responsible authority.</t>
  </si>
  <si>
    <t>TacCode_chan030X</t>
  </si>
  <si>
    <t>The channel '30Y' is assigned for the Tactical Air Navigation Aid (TACAN) by the responsible authority.</t>
  </si>
  <si>
    <t>TacCode_chan030Y</t>
  </si>
  <si>
    <t>The channel '30Z' is assigned for the Tactical Air Navigation Aid (TACAN) by the responsible authority.</t>
  </si>
  <si>
    <t>TacCode_chan030Z</t>
  </si>
  <si>
    <t>The channel '31X' is assigned for the Tactical Air Navigation Aid (TACAN) by the responsible authority.</t>
  </si>
  <si>
    <t>TacCode_chan031X</t>
  </si>
  <si>
    <t>The channel '31Y' is assigned for the Tactical Air Navigation Aid (TACAN) by the responsible authority.</t>
  </si>
  <si>
    <t>TacCode_chan031Y</t>
  </si>
  <si>
    <t>The channel '31Z' is assigned for the Tactical Air Navigation Aid (TACAN) by the responsible authority.</t>
  </si>
  <si>
    <t>TacCode_chan031Z</t>
  </si>
  <si>
    <t>The channel '32W' is assigned for the Tactical Air Navigation Aid (TACAN) by the responsible authority.</t>
  </si>
  <si>
    <t>TacCode_chan032W</t>
  </si>
  <si>
    <t>The channel '32X' is assigned for the Tactical Air Navigation Aid (TACAN) by the responsible authority.</t>
  </si>
  <si>
    <t>TacCode_chan032X</t>
  </si>
  <si>
    <t>The channel '32Y' is assigned for the Tactical Air Navigation Aid (TACAN) by the responsible authority.</t>
  </si>
  <si>
    <t>TacCode_chan032Y</t>
  </si>
  <si>
    <t>The channel '32Z' is assigned for the Tactical Air Navigation Aid (TACAN) by the responsible authority.</t>
  </si>
  <si>
    <t>TacCode_chan032Z</t>
  </si>
  <si>
    <t>The channel '33X' is assigned for the Tactical Air Navigation Aid (TACAN) by the responsible authority.</t>
  </si>
  <si>
    <t>TacCode_chan033X</t>
  </si>
  <si>
    <t>The channel '33Y' is assigned for the Tactical Air Navigation Aid (TACAN) by the responsible authority.</t>
  </si>
  <si>
    <t>TacCode_chan033Y</t>
  </si>
  <si>
    <t>The channel '33Z' is assigned for the Tactical Air Navigation Aid (TACAN) by the responsible authority.</t>
  </si>
  <si>
    <t>TacCode_chan033Z</t>
  </si>
  <si>
    <t>The channel '34W' is assigned for the Tactical Air Navigation Aid (TACAN) by the responsible authority.</t>
  </si>
  <si>
    <t>TacCode_chan034W</t>
  </si>
  <si>
    <t>The channel '34X' is assigned for the Tactical Air Navigation Aid (TACAN) by the responsible authority.</t>
  </si>
  <si>
    <t>TacCode_chan034X</t>
  </si>
  <si>
    <t>The channel '34Y' is assigned for the Tactical Air Navigation Aid (TACAN) by the responsible authority.</t>
  </si>
  <si>
    <t>TacCode_chan034Y</t>
  </si>
  <si>
    <t>The channel '34Z' is assigned for the Tactical Air Navigation Aid (TACAN) by the responsible authority.</t>
  </si>
  <si>
    <t>TacCode_chan034Z</t>
  </si>
  <si>
    <t>The channel '35X' is assigned for the Tactical Air Navigation Aid (TACAN) by the responsible authority.</t>
  </si>
  <si>
    <t>TacCode_chan035X</t>
  </si>
  <si>
    <t>The channel '35Y' is assigned for the Tactical Air Navigation Aid (TACAN) by the responsible authority.</t>
  </si>
  <si>
    <t>TacCode_chan035Y</t>
  </si>
  <si>
    <t>The channel '35Z' is assigned for the Tactical Air Navigation Aid (TACAN) by the responsible authority.</t>
  </si>
  <si>
    <t>TacCode_chan035Z</t>
  </si>
  <si>
    <t>The channel '36W' is assigned for the Tactical Air Navigation Aid (TACAN) by the responsible authority.</t>
  </si>
  <si>
    <t>TacCode_chan036W</t>
  </si>
  <si>
    <t>The channel '36X' is assigned for the Tactical Air Navigation Aid (TACAN) by the responsible authority.</t>
  </si>
  <si>
    <t>TacCode_chan036X</t>
  </si>
  <si>
    <t>The channel '36Y' is assigned for the Tactical Air Navigation Aid (TACAN) by the responsible authority.</t>
  </si>
  <si>
    <t>TacCode_chan036Y</t>
  </si>
  <si>
    <t>The channel '36Z' is assigned for the Tactical Air Navigation Aid (TACAN) by the responsible authority.</t>
  </si>
  <si>
    <t>TacCode_chan036Z</t>
  </si>
  <si>
    <t>The channel '37X' is assigned for the Tactical Air Navigation Aid (TACAN) by the responsible authority.</t>
  </si>
  <si>
    <t>TacCode_chan037X</t>
  </si>
  <si>
    <t>The channel '37Y' is assigned for the Tactical Air Navigation Aid (TACAN) by the responsible authority.</t>
  </si>
  <si>
    <t>TacCode_chan037Y</t>
  </si>
  <si>
    <t>The channel '37Z' is assigned for the Tactical Air Navigation Aid (TACAN) by the responsible authority.</t>
  </si>
  <si>
    <t>TacCode_chan037Z</t>
  </si>
  <si>
    <t>The channel '38W' is assigned for the Tactical Air Navigation Aid (TACAN) by the responsible authority.</t>
  </si>
  <si>
    <t>TacCode_chan038W</t>
  </si>
  <si>
    <t>The channel '38X' is assigned for the Tactical Air Navigation Aid (TACAN) by the responsible authority.</t>
  </si>
  <si>
    <t>TacCode_chan038X</t>
  </si>
  <si>
    <t>The channel '38Y' is assigned for the Tactical Air Navigation Aid (TACAN) by the responsible authority.</t>
  </si>
  <si>
    <t>TacCode_chan038Y</t>
  </si>
  <si>
    <t>The channel '38Z' is assigned for the Tactical Air Navigation Aid (TACAN) by the responsible authority.</t>
  </si>
  <si>
    <t>TacCode_chan038Z</t>
  </si>
  <si>
    <t>The channel '39X' is assigned for the Tactical Air Navigation Aid (TACAN) by the responsible authority.</t>
  </si>
  <si>
    <t>TacCode_chan039X</t>
  </si>
  <si>
    <t>The channel '39Y' is assigned for the Tactical Air Navigation Aid (TACAN) by the responsible authority.</t>
  </si>
  <si>
    <t>TacCode_chan039Y</t>
  </si>
  <si>
    <t>The channel '39Z' is assigned for the Tactical Air Navigation Aid (TACAN) by the responsible authority.</t>
  </si>
  <si>
    <t>TacCode_chan039Z</t>
  </si>
  <si>
    <t>The channel '3X' is assigned for the Tactical Air Navigation Aid (TACAN) by the responsible authority.</t>
  </si>
  <si>
    <t>TacCode_chan003X</t>
  </si>
  <si>
    <t>The channel '3Y' is assigned for the Tactical Air Navigation Aid (TACAN) by the responsible authority.</t>
  </si>
  <si>
    <t>TacCode_chan003Y</t>
  </si>
  <si>
    <t>The channel '40W' is assigned for the Tactical Air Navigation Aid (TACAN) by the responsible authority.</t>
  </si>
  <si>
    <t>TacCode_chan040W</t>
  </si>
  <si>
    <t>The channel '40X' is assigned for the Tactical Air Navigation Aid (TACAN) by the responsible authority.</t>
  </si>
  <si>
    <t>TacCode_chan040X</t>
  </si>
  <si>
    <t>The channel '40Y' is assigned for the Tactical Air Navigation Aid (TACAN) by the responsible authority.</t>
  </si>
  <si>
    <t>TacCode_chan040Y</t>
  </si>
  <si>
    <t>The channel '40Z' is assigned for the Tactical Air Navigation Aid (TACAN) by the responsible authority.</t>
  </si>
  <si>
    <t>TacCode_chan040Z</t>
  </si>
  <si>
    <t>The channel '41X' is assigned for the Tactical Air Navigation Aid (TACAN) by the responsible authority.</t>
  </si>
  <si>
    <t>TacCode_chan041X</t>
  </si>
  <si>
    <t>The channel '41Y' is assigned for the Tactical Air Navigation Aid (TACAN) by the responsible authority.</t>
  </si>
  <si>
    <t>TacCode_chan041Y</t>
  </si>
  <si>
    <t>The channel '41Z' is assigned for the Tactical Air Navigation Aid (TACAN) by the responsible authority.</t>
  </si>
  <si>
    <t>TacCode_chan041Z</t>
  </si>
  <si>
    <t>The channel '42W' is assigned for the Tactical Air Navigation Aid (TACAN) by the responsible authority.</t>
  </si>
  <si>
    <t>TacCode_chan042W</t>
  </si>
  <si>
    <t>The channel '42X' is assigned for the Tactical Air Navigation Aid (TACAN) by the responsible authority.</t>
  </si>
  <si>
    <t>TacCode_chan042X</t>
  </si>
  <si>
    <t>The channel '42Y' is assigned for the Tactical Air Navigation Aid (TACAN) by the responsible authority.</t>
  </si>
  <si>
    <t>TacCode_chan042Y</t>
  </si>
  <si>
    <t>The channel '42Z' is assigned for the Tactical Air Navigation Aid (TACAN) by the responsible authority.</t>
  </si>
  <si>
    <t>TacCode_chan042Z</t>
  </si>
  <si>
    <t>The channel '43X' is assigned for the Tactical Air Navigation Aid (TACAN) by the responsible authority.</t>
  </si>
  <si>
    <t>TacCode_chan043X</t>
  </si>
  <si>
    <t>The channel '43Y' is assigned for the Tactical Air Navigation Aid (TACAN) by the responsible authority.</t>
  </si>
  <si>
    <t>TacCode_chan043Y</t>
  </si>
  <si>
    <t>The channel '43Z' is assigned for the Tactical Air Navigation Aid (TACAN) by the responsible authority.</t>
  </si>
  <si>
    <t>TacCode_chan043Z</t>
  </si>
  <si>
    <t>The channel '44W' is assigned for the Tactical Air Navigation Aid (TACAN) by the responsible authority.</t>
  </si>
  <si>
    <t>TacCode_chan044W</t>
  </si>
  <si>
    <t>The channel '44X' is assigned for the Tactical Air Navigation Aid (TACAN) by the responsible authority.</t>
  </si>
  <si>
    <t>TacCode_chan044X</t>
  </si>
  <si>
    <t>The channel '44Y' is assigned for the Tactical Air Navigation Aid (TACAN) by the responsible authority.</t>
  </si>
  <si>
    <t>TacCode_chan044Y</t>
  </si>
  <si>
    <t>The channel '44Z' is assigned for the Tactical Air Navigation Aid (TACAN) by the responsible authority.</t>
  </si>
  <si>
    <t>TacCode_chan044Z</t>
  </si>
  <si>
    <t>The channel '45X' is assigned for the Tactical Air Navigation Aid (TACAN) by the responsible authority.</t>
  </si>
  <si>
    <t>TacCode_chan045X</t>
  </si>
  <si>
    <t>The channel '45Y' is assigned for the Tactical Air Navigation Aid (TACAN) by the responsible authority.</t>
  </si>
  <si>
    <t>TacCode_chan045Y</t>
  </si>
  <si>
    <t>The channel '45Z' is assigned for the Tactical Air Navigation Aid (TACAN) by the responsible authority.</t>
  </si>
  <si>
    <t>TacCode_chan045Z</t>
  </si>
  <si>
    <t>The channel '46W' is assigned for the Tactical Air Navigation Aid (TACAN) by the responsible authority.</t>
  </si>
  <si>
    <t>TacCode_chan046W</t>
  </si>
  <si>
    <t>The channel '46X' is assigned for the Tactical Air Navigation Aid (TACAN) by the responsible authority.</t>
  </si>
  <si>
    <t>TacCode_chan046X</t>
  </si>
  <si>
    <t>The channel '46Y' is assigned for the Tactical Air Navigation Aid (TACAN) by the responsible authority.</t>
  </si>
  <si>
    <t>TacCode_chan046Y</t>
  </si>
  <si>
    <t>The channel '46Z' is assigned for the Tactical Air Navigation Aid (TACAN) by the responsible authority.</t>
  </si>
  <si>
    <t>TacCode_chan046Z</t>
  </si>
  <si>
    <t>The channel '47X' is assigned for the Tactical Air Navigation Aid (TACAN) by the responsible authority.</t>
  </si>
  <si>
    <t>TacCode_chan047X</t>
  </si>
  <si>
    <t>The channel '47Y' is assigned for the Tactical Air Navigation Aid (TACAN) by the responsible authority.</t>
  </si>
  <si>
    <t>TacCode_chan047Y</t>
  </si>
  <si>
    <t>The channel '47Z' is assigned for the Tactical Air Navigation Aid (TACAN) by the responsible authority.</t>
  </si>
  <si>
    <t>TacCode_chan047Z</t>
  </si>
  <si>
    <t>The channel '48W' is assigned for the Tactical Air Navigation Aid (TACAN) by the responsible authority.</t>
  </si>
  <si>
    <t>TacCode_chan048W</t>
  </si>
  <si>
    <t>The channel '48X' is assigned for the Tactical Air Navigation Aid (TACAN) by the responsible authority.</t>
  </si>
  <si>
    <t>TacCode_chan048X</t>
  </si>
  <si>
    <t>The channel '48Y' is assigned for the Tactical Air Navigation Aid (TACAN) by the responsible authority.</t>
  </si>
  <si>
    <t>TacCode_chan048Y</t>
  </si>
  <si>
    <t>The channel '48Z' is assigned for the Tactical Air Navigation Aid (TACAN) by the responsible authority.</t>
  </si>
  <si>
    <t>TacCode_chan048Z</t>
  </si>
  <si>
    <t>The channel '49X' is assigned for the Tactical Air Navigation Aid (TACAN) by the responsible authority.</t>
  </si>
  <si>
    <t>TacCode_chan049X</t>
  </si>
  <si>
    <t>The channel '49Y' is assigned for the Tactical Air Navigation Aid (TACAN) by the responsible authority.</t>
  </si>
  <si>
    <t>TacCode_chan049Y</t>
  </si>
  <si>
    <t>The channel '49Z' is assigned for the Tactical Air Navigation Aid (TACAN) by the responsible authority.</t>
  </si>
  <si>
    <t>TacCode_chan049Z</t>
  </si>
  <si>
    <t>The channel '4X' is assigned for the Tactical Air Navigation Aid (TACAN) by the responsible authority.</t>
  </si>
  <si>
    <t>TacCode_chan004X</t>
  </si>
  <si>
    <t>The channel '4Y' is assigned for the Tactical Air Navigation Aid (TACAN) by the responsible authority.</t>
  </si>
  <si>
    <t>TacCode_chan004Y</t>
  </si>
  <si>
    <t>The channel '50W' is assigned for the Tactical Air Navigation Aid (TACAN) by the responsible authority.</t>
  </si>
  <si>
    <t>TacCode_chan050W</t>
  </si>
  <si>
    <t>The channel '50X' is assigned for the Tactical Air Navigation Aid (TACAN) by the responsible authority.</t>
  </si>
  <si>
    <t>TacCode_chan050X</t>
  </si>
  <si>
    <t>The channel '50Y' is assigned for the Tactical Air Navigation Aid (TACAN) by the responsible authority.</t>
  </si>
  <si>
    <t>TacCode_chan050Y</t>
  </si>
  <si>
    <t>The channel '50Z' is assigned for the Tactical Air Navigation Aid (TACAN) by the responsible authority.</t>
  </si>
  <si>
    <t>TacCode_chan050Z</t>
  </si>
  <si>
    <t>The channel '51X' is assigned for the Tactical Air Navigation Aid (TACAN) by the responsible authority.</t>
  </si>
  <si>
    <t>TacCode_chan051X</t>
  </si>
  <si>
    <t>The channel '51Y' is assigned for the Tactical Air Navigation Aid (TACAN) by the responsible authority.</t>
  </si>
  <si>
    <t>TacCode_chan051Y</t>
  </si>
  <si>
    <t>The channel '51Z' is assigned for the Tactical Air Navigation Aid (TACAN) by the responsible authority.</t>
  </si>
  <si>
    <t>TacCode_chan051Z</t>
  </si>
  <si>
    <t>The channel '52W' is assigned for the Tactical Air Navigation Aid (TACAN) by the responsible authority.</t>
  </si>
  <si>
    <t>TacCode_chan052W</t>
  </si>
  <si>
    <t>The channel '52X' is assigned for the Tactical Air Navigation Aid (TACAN) by the responsible authority.</t>
  </si>
  <si>
    <t>TacCode_chan052X</t>
  </si>
  <si>
    <t>The channel '52Y' is assigned for the Tactical Air Navigation Aid (TACAN) by the responsible authority.</t>
  </si>
  <si>
    <t>TacCode_chan052Y</t>
  </si>
  <si>
    <t>The channel '52Z' is assigned for the Tactical Air Navigation Aid (TACAN) by the responsible authority.</t>
  </si>
  <si>
    <t>TacCode_chan052Z</t>
  </si>
  <si>
    <t>The channel '53X' is assigned for the Tactical Air Navigation Aid (TACAN) by the responsible authority.</t>
  </si>
  <si>
    <t>TacCode_chan053X</t>
  </si>
  <si>
    <t>The channel '53Y' is assigned for the Tactical Air Navigation Aid (TACAN) by the responsible authority.</t>
  </si>
  <si>
    <t>TacCode_chan053Y</t>
  </si>
  <si>
    <t>The channel '53Z' is assigned for the Tactical Air Navigation Aid (TACAN) by the responsible authority.</t>
  </si>
  <si>
    <t>TacCode_chan053Z</t>
  </si>
  <si>
    <t>The channel '54W' is assigned for the Tactical Air Navigation Aid (TACAN) by the responsible authority.</t>
  </si>
  <si>
    <t>TacCode_chan054W</t>
  </si>
  <si>
    <t>The channel '54X' is assigned for the Tactical Air Navigation Aid (TACAN) by the responsible authority.</t>
  </si>
  <si>
    <t>TacCode_chan054X</t>
  </si>
  <si>
    <t>The channel '54Y' is assigned for the Tactical Air Navigation Aid (TACAN) by the responsible authority.</t>
  </si>
  <si>
    <t>TacCode_chan054Y</t>
  </si>
  <si>
    <t>The channel '54Z' is assigned for the Tactical Air Navigation Aid (TACAN) by the responsible authority.</t>
  </si>
  <si>
    <t>TacCode_chan054Z</t>
  </si>
  <si>
    <t>The channel '55X' is assigned for the Tactical Air Navigation Aid (TACAN) by the responsible authority.</t>
  </si>
  <si>
    <t>TacCode_chan055X</t>
  </si>
  <si>
    <t>The channel '55Y' is assigned for the Tactical Air Navigation Aid (TACAN) by the responsible authority.</t>
  </si>
  <si>
    <t>TacCode_chan055Y</t>
  </si>
  <si>
    <t>The channel '55Z' is assigned for the Tactical Air Navigation Aid (TACAN) by the responsible authority.</t>
  </si>
  <si>
    <t>TacCode_chan055Z</t>
  </si>
  <si>
    <t>The channel '56W' is assigned for the Tactical Air Navigation Aid (TACAN) by the responsible authority.</t>
  </si>
  <si>
    <t>TacCode_chan056W</t>
  </si>
  <si>
    <t>The channel '56X' is assigned for the Tactical Air Navigation Aid (TACAN) by the responsible authority.</t>
  </si>
  <si>
    <t>TacCode_chan056X</t>
  </si>
  <si>
    <t>The channel '56Y' is assigned for the Tactical Air Navigation Aid (TACAN) by the responsible authority.</t>
  </si>
  <si>
    <t>TacCode_chan056Y</t>
  </si>
  <si>
    <t>The channel '56Z' is assigned for the Tactical Air Navigation Aid (TACAN) by the responsible authority.</t>
  </si>
  <si>
    <t>TacCode_chan056Z</t>
  </si>
  <si>
    <t>The channel '57X' is assigned for the Tactical Air Navigation Aid (TACAN) by the responsible authority.</t>
  </si>
  <si>
    <t>TacCode_chan057X</t>
  </si>
  <si>
    <t>The channel '57Y' is assigned for the Tactical Air Navigation Aid (TACAN) by the responsible authority.</t>
  </si>
  <si>
    <t>TacCode_chan057Y</t>
  </si>
  <si>
    <t>The channel '58X' is assigned for the Tactical Air Navigation Aid (TACAN) by the responsible authority.</t>
  </si>
  <si>
    <t>TacCode_chan058X</t>
  </si>
  <si>
    <t>The channel '58Y' is assigned for the Tactical Air Navigation Aid (TACAN) by the responsible authority.</t>
  </si>
  <si>
    <t>TacCode_chan058Y</t>
  </si>
  <si>
    <t>The channel '59X' is assigned for the Tactical Air Navigation Aid (TACAN) by the responsible authority.</t>
  </si>
  <si>
    <t>TacCode_chan059X</t>
  </si>
  <si>
    <t>The channel '59Y' is assigned for the Tactical Air Navigation Aid (TACAN) by the responsible authority.</t>
  </si>
  <si>
    <t>TacCode_chan059Y</t>
  </si>
  <si>
    <t>The channel '5X' is assigned for the Tactical Air Navigation Aid (TACAN) by the responsible authority.</t>
  </si>
  <si>
    <t>TacCode_chan005X</t>
  </si>
  <si>
    <t>The channel '5Y' is assigned for the Tactical Air Navigation Aid (TACAN) by the responsible authority.</t>
  </si>
  <si>
    <t>TacCode_chan005Y</t>
  </si>
  <si>
    <t>The channel '60X' is assigned for the Tactical Air Navigation Aid (TACAN) by the responsible authority.</t>
  </si>
  <si>
    <t>TacCode_chan060X</t>
  </si>
  <si>
    <t>The channel '60Y' is assigned for the Tactical Air Navigation Aid (TACAN) by the responsible authority.</t>
  </si>
  <si>
    <t>TacCode_chan060Y</t>
  </si>
  <si>
    <t>The channel '61X' is assigned for the Tactical Air Navigation Aid (TACAN) by the responsible authority.</t>
  </si>
  <si>
    <t>TacCode_chan061X</t>
  </si>
  <si>
    <t>The channel '61Y' is assigned for the Tactical Air Navigation Aid (TACAN) by the responsible authority.</t>
  </si>
  <si>
    <t>TacCode_chan061Y</t>
  </si>
  <si>
    <t>The channel '62X' is assigned for the Tactical Air Navigation Aid (TACAN) by the responsible authority.</t>
  </si>
  <si>
    <t>TacCode_chan062X</t>
  </si>
  <si>
    <t>The channel '62Y' is assigned for the Tactical Air Navigation Aid (TACAN) by the responsible authority.</t>
  </si>
  <si>
    <t>TacCode_chan062Y</t>
  </si>
  <si>
    <t>The channel '63X' is assigned for the Tactical Air Navigation Aid (TACAN) by the responsible authority.</t>
  </si>
  <si>
    <t>TacCode_chan063X</t>
  </si>
  <si>
    <t>The channel '63Y' is assigned for the Tactical Air Navigation Aid (TACAN) by the responsible authority.</t>
  </si>
  <si>
    <t>TacCode_chan063Y</t>
  </si>
  <si>
    <t>The channel '64X' is assigned for the Tactical Air Navigation Aid (TACAN) by the responsible authority.</t>
  </si>
  <si>
    <t>TacCode_chan064X</t>
  </si>
  <si>
    <t>The channel '64Y' is assigned for the Tactical Air Navigation Aid (TACAN) by the responsible authority.</t>
  </si>
  <si>
    <t>TacCode_chan064Y</t>
  </si>
  <si>
    <t>The channel '65X' is assigned for the Tactical Air Navigation Aid (TACAN) by the responsible authority.</t>
  </si>
  <si>
    <t>TacCode_chan065X</t>
  </si>
  <si>
    <t>The channel '65Y' is assigned for the Tactical Air Navigation Aid (TACAN) by the responsible authority.</t>
  </si>
  <si>
    <t>TacCode_chan065Y</t>
  </si>
  <si>
    <t>The channel '66X' is assigned for the Tactical Air Navigation Aid (TACAN) by the responsible authority.</t>
  </si>
  <si>
    <t>TacCode_chan066X</t>
  </si>
  <si>
    <t>The channel '66Y' is assigned for the Tactical Air Navigation Aid (TACAN) by the responsible authority.</t>
  </si>
  <si>
    <t>TacCode_chan066Y</t>
  </si>
  <si>
    <t>The channel '67X' is assigned for the Tactical Air Navigation Aid (TACAN) by the responsible authority.</t>
  </si>
  <si>
    <t>TacCode_chan067X</t>
  </si>
  <si>
    <t>The channel '67Y' is assigned for the Tactical Air Navigation Aid (TACAN) by the responsible authority.</t>
  </si>
  <si>
    <t>TacCode_chan067Y</t>
  </si>
  <si>
    <t>The channel '68X' is assigned for the Tactical Air Navigation Aid (TACAN) by the responsible authority.</t>
  </si>
  <si>
    <t>TacCode_chan068X</t>
  </si>
  <si>
    <t>The channel '68Y' is assigned for the Tactical Air Navigation Aid (TACAN) by the responsible authority.</t>
  </si>
  <si>
    <t>TacCode_chan068Y</t>
  </si>
  <si>
    <t>The channel '69X' is assigned for the Tactical Air Navigation Aid (TACAN) by the responsible authority.</t>
  </si>
  <si>
    <t>TacCode_chan069X</t>
  </si>
  <si>
    <t>The channel '69Y' is assigned for the Tactical Air Navigation Aid (TACAN) by the responsible authority.</t>
  </si>
  <si>
    <t>TacCode_chan069Y</t>
  </si>
  <si>
    <t>The channel '6X' is assigned for the Tactical Air Navigation Aid (TACAN) by the responsible authority.</t>
  </si>
  <si>
    <t>TacCode_chan006X</t>
  </si>
  <si>
    <t>The channel '6Y' is assigned for the Tactical Air Navigation Aid (TACAN) by the responsible authority.</t>
  </si>
  <si>
    <t>TacCode_chan006Y</t>
  </si>
  <si>
    <t>The channel '70X' is assigned for the Tactical Air Navigation Aid (TACAN) by the responsible authority.</t>
  </si>
  <si>
    <t>TacCode_chan070X</t>
  </si>
  <si>
    <t>The channel '70Y' is assigned for the Tactical Air Navigation Aid (TACAN) by the responsible authority.</t>
  </si>
  <si>
    <t>TacCode_chan070Y</t>
  </si>
  <si>
    <t>The channel '71X' is assigned for the Tactical Air Navigation Aid (TACAN) by the responsible authority.</t>
  </si>
  <si>
    <t>TacCode_chan071X</t>
  </si>
  <si>
    <t>The channel '71Y' is assigned for the Tactical Air Navigation Aid (TACAN) by the responsible authority.</t>
  </si>
  <si>
    <t>TacCode_chan071Y</t>
  </si>
  <si>
    <t>The channel '72X' is assigned for the Tactical Air Navigation Aid (TACAN) by the responsible authority.</t>
  </si>
  <si>
    <t>TacCode_chan072X</t>
  </si>
  <si>
    <t>The channel '72Y' is assigned for the Tactical Air Navigation Aid (TACAN) by the responsible authority.</t>
  </si>
  <si>
    <t>TacCode_chan072Y</t>
  </si>
  <si>
    <t>The channel '73X' is assigned for the Tactical Air Navigation Aid (TACAN) by the responsible authority.</t>
  </si>
  <si>
    <t>TacCode_chan073X</t>
  </si>
  <si>
    <t>The channel '73Y' is assigned for the Tactical Air Navigation Aid (TACAN) by the responsible authority.</t>
  </si>
  <si>
    <t>TacCode_chan073Y</t>
  </si>
  <si>
    <t>The channel '74X' is assigned for the Tactical Air Navigation Aid (TACAN) by the responsible authority.</t>
  </si>
  <si>
    <t>TacCode_chan074X</t>
  </si>
  <si>
    <t>The channel '74Y' is assigned for the Tactical Air Navigation Aid (TACAN) by the responsible authority.</t>
  </si>
  <si>
    <t>TacCode_chan074Y</t>
  </si>
  <si>
    <t>The channel '75X' is assigned for the Tactical Air Navigation Aid (TACAN) by the responsible authority.</t>
  </si>
  <si>
    <t>TacCode_chan075X</t>
  </si>
  <si>
    <t>The channel '75Y' is assigned for the Tactical Air Navigation Aid (TACAN) by the responsible authority.</t>
  </si>
  <si>
    <t>TacCode_chan075Y</t>
  </si>
  <si>
    <t>The channel '76X' is assigned for the Tactical Air Navigation Aid (TACAN) by the responsible authority.</t>
  </si>
  <si>
    <t>TacCode_chan076X</t>
  </si>
  <si>
    <t>The channel '76Y' is assigned for the Tactical Air Navigation Aid (TACAN) by the responsible authority.</t>
  </si>
  <si>
    <t>TacCode_chan076Y</t>
  </si>
  <si>
    <t>The channel '77X' is assigned for the Tactical Air Navigation Aid (TACAN) by the responsible authority.</t>
  </si>
  <si>
    <t>TacCode_chan077X</t>
  </si>
  <si>
    <t>The channel '77Y' is assigned for the Tactical Air Navigation Aid (TACAN) by the responsible authority.</t>
  </si>
  <si>
    <t>TacCode_chan077Y</t>
  </si>
  <si>
    <t>The channel '78X' is assigned for the Tactical Air Navigation Aid (TACAN) by the responsible authority.</t>
  </si>
  <si>
    <t>TacCode_chan078X</t>
  </si>
  <si>
    <t>The channel '78Y' is assigned for the Tactical Air Navigation Aid (TACAN) by the responsible authority.</t>
  </si>
  <si>
    <t>TacCode_chan078Y</t>
  </si>
  <si>
    <t>The channel '79X' is assigned for the Tactical Air Navigation Aid (TACAN) by the responsible authority.</t>
  </si>
  <si>
    <t>TacCode_chan079X</t>
  </si>
  <si>
    <t>The channel '79Y' is assigned for the Tactical Air Navigation Aid (TACAN) by the responsible authority.</t>
  </si>
  <si>
    <t>TacCode_chan079Y</t>
  </si>
  <si>
    <t>The channel '7X' is assigned for the Tactical Air Navigation Aid (TACAN) by the responsible authority.</t>
  </si>
  <si>
    <t>TacCode_chan007X</t>
  </si>
  <si>
    <t>The channel '7Y' is assigned for the Tactical Air Navigation Aid (TACAN) by the responsible authority.</t>
  </si>
  <si>
    <t>TacCode_chan007Y</t>
  </si>
  <si>
    <t>The channel '80X' is assigned for the Tactical Air Navigation Aid (TACAN) by the responsible authority.</t>
  </si>
  <si>
    <t>TacCode_chan080X</t>
  </si>
  <si>
    <t>The channel '80Y' is assigned for the Tactical Air Navigation Aid (TACAN) by the responsible authority.</t>
  </si>
  <si>
    <t>TacCode_chan080Y</t>
  </si>
  <si>
    <t>The channel '80Z' is assigned for the Tactical Air Navigation Aid (TACAN) by the responsible authority.</t>
  </si>
  <si>
    <t>TacCode_chan080Z</t>
  </si>
  <si>
    <t>The channel '81X' is assigned for the Tactical Air Navigation Aid (TACAN) by the responsible authority.</t>
  </si>
  <si>
    <t>TacCode_chan081X</t>
  </si>
  <si>
    <t>The channel '81Y' is assigned for the Tactical Air Navigation Aid (TACAN) by the responsible authority.</t>
  </si>
  <si>
    <t>TacCode_chan081Y</t>
  </si>
  <si>
    <t>The channel '81Z' is assigned for the Tactical Air Navigation Aid (TACAN) by the responsible authority.</t>
  </si>
  <si>
    <t>TacCode_chan081Z</t>
  </si>
  <si>
    <t>The channel '82X' is assigned for the Tactical Air Navigation Aid (TACAN) by the responsible authority.</t>
  </si>
  <si>
    <t>TacCode_chan082X</t>
  </si>
  <si>
    <t>The channel '82Y' is assigned for the Tactical Air Navigation Aid (TACAN) by the responsible authority.</t>
  </si>
  <si>
    <t>TacCode_chan082Y</t>
  </si>
  <si>
    <t>The channel '82Z' is assigned for the Tactical Air Navigation Aid (TACAN) by the responsible authority.</t>
  </si>
  <si>
    <t>TacCode_chan082Z</t>
  </si>
  <si>
    <t>The channel '83X' is assigned for the Tactical Air Navigation Aid (TACAN) by the responsible authority.</t>
  </si>
  <si>
    <t>TacCode_chan083X</t>
  </si>
  <si>
    <t>The channel '83Y' is assigned for the Tactical Air Navigation Aid (TACAN) by the responsible authority.</t>
  </si>
  <si>
    <t>TacCode_chan083Y</t>
  </si>
  <si>
    <t>The channel '83Z' is assigned for the Tactical Air Navigation Aid (TACAN) by the responsible authority.</t>
  </si>
  <si>
    <t>TacCode_chan083Z</t>
  </si>
  <si>
    <t>The channel '84X' is assigned for the Tactical Air Navigation Aid (TACAN) by the responsible authority.</t>
  </si>
  <si>
    <t>TacCode_chan084X</t>
  </si>
  <si>
    <t>The channel '84Y' is assigned for the Tactical Air Navigation Aid (TACAN) by the responsible authority.</t>
  </si>
  <si>
    <t>TacCode_chan084Y</t>
  </si>
  <si>
    <t>The channel '84Z' is assigned for the Tactical Air Navigation Aid (TACAN) by the responsible authority.</t>
  </si>
  <si>
    <t>TacCode_chan084Z</t>
  </si>
  <si>
    <t>The channel '85X' is assigned for the Tactical Air Navigation Aid (TACAN) by the responsible authority.</t>
  </si>
  <si>
    <t>TacCode_chan085X</t>
  </si>
  <si>
    <t>The channel '85Y' is assigned for the Tactical Air Navigation Aid (TACAN) by the responsible authority.</t>
  </si>
  <si>
    <t>TacCode_chan085Y</t>
  </si>
  <si>
    <t>The channel '85Z' is assigned for the Tactical Air Navigation Aid (TACAN) by the responsible authority.</t>
  </si>
  <si>
    <t>TacCode_chan085Z</t>
  </si>
  <si>
    <t>The channel '86X' is assigned for the Tactical Air Navigation Aid (TACAN) by the responsible authority.</t>
  </si>
  <si>
    <t>TacCode_chan086X</t>
  </si>
  <si>
    <t>The channel '86Y' is assigned for the Tactical Air Navigation Aid (TACAN) by the responsible authority.</t>
  </si>
  <si>
    <t>TacCode_chan086Y</t>
  </si>
  <si>
    <t>The channel '86Z' is assigned for the Tactical Air Navigation Aid (TACAN) by the responsible authority.</t>
  </si>
  <si>
    <t>TacCode_chan086Z</t>
  </si>
  <si>
    <t>The channel '87X' is assigned for the Tactical Air Navigation Aid (TACAN) by the responsible authority.</t>
  </si>
  <si>
    <t>TacCode_chan087X</t>
  </si>
  <si>
    <t>The channel '87Y' is assigned for the Tactical Air Navigation Aid (TACAN) by the responsible authority.</t>
  </si>
  <si>
    <t>TacCode_chan087Y</t>
  </si>
  <si>
    <t>The channel '87Z' is assigned for the Tactical Air Navigation Aid (TACAN) by the responsible authority.</t>
  </si>
  <si>
    <t>TacCode_chan087Z</t>
  </si>
  <si>
    <t>The channel '88X' is assigned for the Tactical Air Navigation Aid (TACAN) by the responsible authority.</t>
  </si>
  <si>
    <t>TacCode_chan088X</t>
  </si>
  <si>
    <t>The channel '88Y' is assigned for the Tactical Air Navigation Aid (TACAN) by the responsible authority.</t>
  </si>
  <si>
    <t>TacCode_chan088Y</t>
  </si>
  <si>
    <t>The channel '88Z' is assigned for the Tactical Air Navigation Aid (TACAN) by the responsible authority.</t>
  </si>
  <si>
    <t>TacCode_chan088Z</t>
  </si>
  <si>
    <t>The channel '89X' is assigned for the Tactical Air Navigation Aid (TACAN) by the responsible authority.</t>
  </si>
  <si>
    <t>TacCode_chan089X</t>
  </si>
  <si>
    <t>The channel '89Y' is assigned for the Tactical Air Navigation Aid (TACAN) by the responsible authority.</t>
  </si>
  <si>
    <t>TacCode_chan089Y</t>
  </si>
  <si>
    <t>The channel '89Z' is assigned for the Tactical Air Navigation Aid (TACAN) by the responsible authority.</t>
  </si>
  <si>
    <t>TacCode_chan089Z</t>
  </si>
  <si>
    <t>The channel '8X' is assigned for the Tactical Air Navigation Aid (TACAN) by the responsible authority.</t>
  </si>
  <si>
    <t>TacCode_chan008X</t>
  </si>
  <si>
    <t>The channel '8Y' is assigned for the Tactical Air Navigation Aid (TACAN) by the responsible authority.</t>
  </si>
  <si>
    <t>TacCode_chan008Y</t>
  </si>
  <si>
    <t>The channel '90X' is assigned for the Tactical Air Navigation Aid (TACAN) by the responsible authority.</t>
  </si>
  <si>
    <t>TacCode_chan090X</t>
  </si>
  <si>
    <t>The channel '90Y' is assigned for the Tactical Air Navigation Aid (TACAN) by the responsible authority.</t>
  </si>
  <si>
    <t>TacCode_chan090Y</t>
  </si>
  <si>
    <t>The channel '90Z' is assigned for the Tactical Air Navigation Aid (TACAN) by the responsible authority.</t>
  </si>
  <si>
    <t>TacCode_chan090Z</t>
  </si>
  <si>
    <t>The channel '91X' is assigned for the Tactical Air Navigation Aid (TACAN) by the responsible authority.</t>
  </si>
  <si>
    <t>TacCode_chan091X</t>
  </si>
  <si>
    <t>The channel '91Y' is assigned for the Tactical Air Navigation Aid (TACAN) by the responsible authority.</t>
  </si>
  <si>
    <t>TacCode_chan091Y</t>
  </si>
  <si>
    <t>The channel '91Z' is assigned for the Tactical Air Navigation Aid (TACAN) by the responsible authority.</t>
  </si>
  <si>
    <t>TacCode_chan091Z</t>
  </si>
  <si>
    <t>The channel '92X' is assigned for the Tactical Air Navigation Aid (TACAN) by the responsible authority.</t>
  </si>
  <si>
    <t>TacCode_chan092X</t>
  </si>
  <si>
    <t>The channel '92Y' is assigned for the Tactical Air Navigation Aid (TACAN) by the responsible authority.</t>
  </si>
  <si>
    <t>TacCode_chan092Y</t>
  </si>
  <si>
    <t>The channel '92Z' is assigned for the Tactical Air Navigation Aid (TACAN) by the responsible authority.</t>
  </si>
  <si>
    <t>TacCode_chan092Z</t>
  </si>
  <si>
    <t>The channel '93X' is assigned for the Tactical Air Navigation Aid (TACAN) by the responsible authority.</t>
  </si>
  <si>
    <t>TacCode_chan093X</t>
  </si>
  <si>
    <t>The channel '93Y' is assigned for the Tactical Air Navigation Aid (TACAN) by the responsible authority.</t>
  </si>
  <si>
    <t>TacCode_chan093Y</t>
  </si>
  <si>
    <t>The channel '93Z' is assigned for the Tactical Air Navigation Aid (TACAN) by the responsible authority.</t>
  </si>
  <si>
    <t>TacCode_chan093Z</t>
  </si>
  <si>
    <t>The channel '94X' is assigned for the Tactical Air Navigation Aid (TACAN) by the responsible authority.</t>
  </si>
  <si>
    <t>TacCode_chan094X</t>
  </si>
  <si>
    <t>The channel '94Y' is assigned for the Tactical Air Navigation Aid (TACAN) by the responsible authority.</t>
  </si>
  <si>
    <t>TacCode_chan094Y</t>
  </si>
  <si>
    <t>The channel '94Z' is assigned for the Tactical Air Navigation Aid (TACAN) by the responsible authority.</t>
  </si>
  <si>
    <t>TacCode_chan094Z</t>
  </si>
  <si>
    <t>The channel '95X' is assigned for the Tactical Air Navigation Aid (TACAN) by the responsible authority.</t>
  </si>
  <si>
    <t>TacCode_chan095X</t>
  </si>
  <si>
    <t>The channel '95Y' is assigned for the Tactical Air Navigation Aid (TACAN) by the responsible authority.</t>
  </si>
  <si>
    <t>TacCode_chan095Y</t>
  </si>
  <si>
    <t>The channel '95Z' is assigned for the Tactical Air Navigation Aid (TACAN) by the responsible authority.</t>
  </si>
  <si>
    <t>TacCode_chan095Z</t>
  </si>
  <si>
    <t>The channel '96X' is assigned for the Tactical Air Navigation Aid (TACAN) by the responsible authority.</t>
  </si>
  <si>
    <t>TacCode_chan096X</t>
  </si>
  <si>
    <t>The channel '96Y' is assigned for the Tactical Air Navigation Aid (TACAN) by the responsible authority.</t>
  </si>
  <si>
    <t>TacCode_chan096Y</t>
  </si>
  <si>
    <t>The channel '96Z' is assigned for the Tactical Air Navigation Aid (TACAN) by the responsible authority.</t>
  </si>
  <si>
    <t>TacCode_chan096Z</t>
  </si>
  <si>
    <t>The channel '97X' is assigned for the Tactical Air Navigation Aid (TACAN) by the responsible authority.</t>
  </si>
  <si>
    <t>TacCode_chan097X</t>
  </si>
  <si>
    <t>The channel '97Y' is assigned for the Tactical Air Navigation Aid (TACAN) by the responsible authority.</t>
  </si>
  <si>
    <t>TacCode_chan097Y</t>
  </si>
  <si>
    <t>The channel '97Z' is assigned for the Tactical Air Navigation Aid (TACAN) by the responsible authority.</t>
  </si>
  <si>
    <t>TacCode_chan097Z</t>
  </si>
  <si>
    <t>The channel '98X' is assigned for the Tactical Air Navigation Aid (TACAN) by the responsible authority.</t>
  </si>
  <si>
    <t>TacCode_chan098X</t>
  </si>
  <si>
    <t>The channel '98Y' is assigned for the Tactical Air Navigation Aid (TACAN) by the responsible authority.</t>
  </si>
  <si>
    <t>TacCode_chan098Y</t>
  </si>
  <si>
    <t>The channel '98Z' is assigned for the Tactical Air Navigation Aid (TACAN) by the responsible authority.</t>
  </si>
  <si>
    <t>TacCode_chan098Z</t>
  </si>
  <si>
    <t>The channel '99X' is assigned for the Tactical Air Navigation Aid (TACAN) by the responsible authority.</t>
  </si>
  <si>
    <t>TacCode_chan099X</t>
  </si>
  <si>
    <t>The channel '99Y' is assigned for the Tactical Air Navigation Aid (TACAN) by the responsible authority.</t>
  </si>
  <si>
    <t>TacCode_chan099Y</t>
  </si>
  <si>
    <t>The channel '99Z' is assigned for the Tactical Air Navigation Aid (TACAN) by the responsible authority.</t>
  </si>
  <si>
    <t>TacCode_chan099Z</t>
  </si>
  <si>
    <t>The channel '9X' is assigned for the Tactical Air Navigation Aid (TACAN) by the responsible authority.</t>
  </si>
  <si>
    <t>TacCode_chan009X</t>
  </si>
  <si>
    <t>The channel '9Y' is assigned for the Tactical Air Navigation Aid (TACAN) by the responsible authority.</t>
  </si>
  <si>
    <t>TacCode_chan009Y</t>
  </si>
  <si>
    <t>(Aeronautical Information Exchange Model (AIXM): 'AZMT')</t>
  </si>
  <si>
    <t>azimuthIndicator</t>
  </si>
  <si>
    <t>Azimuth Indicator</t>
  </si>
  <si>
    <t>A display of a portion of the TACAN system operating in the higher frequency range of 960 to 1215 megahertz (MHz) which provides azimuth (degree bearing) capability.</t>
  </si>
  <si>
    <t>TcaCode_azimuthIndicator</t>
  </si>
  <si>
    <t>(Aeronautical Information Exchange Model (AIXM): 'DIST')</t>
  </si>
  <si>
    <t>distanceIndicator</t>
  </si>
  <si>
    <t>Distance Indicator</t>
  </si>
  <si>
    <t>A display of a portion of the TACAN system operating in the higher frequency range of 960 to 1215 megahertz (MHz) which provides distance information (point to point range) capability.</t>
  </si>
  <si>
    <t>TcaCode_distanceIndicator</t>
  </si>
  <si>
    <t>TlcCode_azimuthIndicator</t>
  </si>
  <si>
    <t>TlcCode_distanceIndicator</t>
  </si>
  <si>
    <t>inTacticalFormation</t>
  </si>
  <si>
    <t>In Tactical Formation</t>
  </si>
  <si>
    <t>The arrangement or deployment of moving military forces such as army vehicles, military aircraft, or naval vessels.</t>
  </si>
  <si>
    <t>XmuCode_inTacticalFormation</t>
  </si>
  <si>
    <t>tacticallyDispersed</t>
  </si>
  <si>
    <t>Tactically Dispersed</t>
  </si>
  <si>
    <t>The operational setup of military forces such as army vehicles, military aircraft, or naval vessels.</t>
  </si>
  <si>
    <t>XmuCode_tacticallyDispersed</t>
  </si>
  <si>
    <t>(Aeronautical Information Exchange Model (AIXM): 'AIRTWY')</t>
  </si>
  <si>
    <t>airTaxiway</t>
  </si>
  <si>
    <t>Air Taxiway</t>
  </si>
  <si>
    <t>A defined path on the surface established for the air taxiing of helicopters.</t>
  </si>
  <si>
    <t>TxpCode_airTaxiway</t>
  </si>
  <si>
    <t>(Aeronautical Information Exchange Model (AIXM): 'S-TLANE')</t>
  </si>
  <si>
    <t>aircraftStandTaxilane</t>
  </si>
  <si>
    <t>Aircraft Stand Taxilane</t>
  </si>
  <si>
    <t>A portion of an apron designated as a taxiway and intended to provide access to aircraft stands only.</t>
  </si>
  <si>
    <t>Gate/stand Taxilane</t>
  </si>
  <si>
    <t>TxpCode_aircraftStandTaxilane</t>
  </si>
  <si>
    <t>(Aeronautical Information Exchange Model (AIXM): 'APRON')</t>
  </si>
  <si>
    <t>apronTaxiway</t>
  </si>
  <si>
    <t>Apron Taxiway</t>
  </si>
  <si>
    <t>A portion of a taxiway system located on an apron and intended to provide a through taxi route across the apron.</t>
  </si>
  <si>
    <t>TxpCode_apronTaxiway</t>
  </si>
  <si>
    <t>Leads from a runway, taxiway, or apron, to another dispersed runway and associated parking areas, bunkers, and/or hardstands.</t>
  </si>
  <si>
    <t>TxpCode_dispersal</t>
  </si>
  <si>
    <t>(Aeronautical Information Exchange Model (AIXM): 'GNDTWY')</t>
  </si>
  <si>
    <t>helicopterGroundTaxiway</t>
  </si>
  <si>
    <t>Helicopter Ground Taxiway</t>
  </si>
  <si>
    <t>A ground taxiway for use by helicopters only.</t>
  </si>
  <si>
    <t>TxpCode_helicopterGroundTaxiway</t>
  </si>
  <si>
    <t>(Aeronautical Information Exchange Model (AIXM): 'LI-TLANE')</t>
  </si>
  <si>
    <t>leadInTaxilane</t>
  </si>
  <si>
    <t>Lead-in Taxilane</t>
  </si>
  <si>
    <t>A taxiway whose specific use is as an entrance to an apron or parking area.</t>
  </si>
  <si>
    <t>TxpCode_leadInTaxilane</t>
  </si>
  <si>
    <t>(Aeronautical Information Exchange Model (AIXM): 'LO-TLANE')</t>
  </si>
  <si>
    <t>leadOutTaxilane</t>
  </si>
  <si>
    <t>Lead-out Taxilane</t>
  </si>
  <si>
    <t>A taxiway whose specific use is as an exit to an apron or parking area.</t>
  </si>
  <si>
    <t>TxpCode_leadOutTaxilane</t>
  </si>
  <si>
    <t>loop</t>
  </si>
  <si>
    <t>Loop</t>
  </si>
  <si>
    <t>Leads off either end of a runway or another taxiway to a dispersal or other parking area and then returns to its point of origin.</t>
  </si>
  <si>
    <t>TxpCode_loop</t>
  </si>
  <si>
    <t>parallelTaxiway</t>
  </si>
  <si>
    <t>Parallel Taxiway</t>
  </si>
  <si>
    <t>A taxiway that parallels a runway.</t>
  </si>
  <si>
    <t>TxpCode_parallelTaxiway</t>
  </si>
  <si>
    <t>perimeter</t>
  </si>
  <si>
    <t>Perimeter</t>
  </si>
  <si>
    <t>Travels the whole or half of the perimeter of an aerodrome.</t>
  </si>
  <si>
    <t>TxpCode_perimeter</t>
  </si>
  <si>
    <t>(Aeronautical Information Exchange Model (AIXM): 'FASTEXIT')</t>
  </si>
  <si>
    <t>rapidExitTurnoffTaxiway</t>
  </si>
  <si>
    <t>Rapid Exit and/or Turnoff Taxiway</t>
  </si>
  <si>
    <t>A taxiway connected to a runway at an acute angle and designed to allow landing aircraft to turn off at higher speeds than are achieved on other exit taxiways thereby minimizing runway occupancy times.</t>
  </si>
  <si>
    <t>High-Speed Taxiway</t>
  </si>
  <si>
    <t>TxpCode_rapidExitTurnoffTaxiway</t>
  </si>
  <si>
    <t>(Aeronautical Information Exchange Model (AIXM): 'STUB')</t>
  </si>
  <si>
    <t>stubTaxiway</t>
  </si>
  <si>
    <t>Stub Taxiway</t>
  </si>
  <si>
    <t>Either links a runway with a parallel taxiway, one taxiway with another taxiway, or a runway directly with an apron.</t>
  </si>
  <si>
    <t>Link</t>
  </si>
  <si>
    <t>TxpCode_stubTaxiway</t>
  </si>
  <si>
    <t>(Aeronautical Information Exchange Model (AIXM): 'T-AROUND')</t>
  </si>
  <si>
    <t>turnaroundTaxiway</t>
  </si>
  <si>
    <t>Turnaround Taxiway</t>
  </si>
  <si>
    <t>A taxiway specifically designed to enable an aircraft to reverse directions.</t>
  </si>
  <si>
    <t>TxpCode_turnaroundTaxiway</t>
  </si>
  <si>
    <t>crossFold</t>
  </si>
  <si>
    <t>Cross-fold</t>
  </si>
  <si>
    <t>A fold that intersects a pre-existing fold of different orientation. The resulting structure is a complex fold.</t>
  </si>
  <si>
    <t>SteCode_crossFold</t>
  </si>
  <si>
    <t>fold</t>
  </si>
  <si>
    <t>Fold</t>
  </si>
  <si>
    <t>A bend in rock strata or in any planar feature (for example: bedding, cleavage).</t>
  </si>
  <si>
    <t>SteCode_fold</t>
  </si>
  <si>
    <t>geologicalBoundary</t>
  </si>
  <si>
    <t>Geological Boundary</t>
  </si>
  <si>
    <t>Boundary between two (chronostratigraphic) rock units.</t>
  </si>
  <si>
    <t>SteCode_geologicalBoundary</t>
  </si>
  <si>
    <t>graben</t>
  </si>
  <si>
    <t>Graben</t>
  </si>
  <si>
    <t>An elongate, relatively depressed crustal unit or block that is bounded by faults on ist long sides.</t>
  </si>
  <si>
    <t>SteCode_graben</t>
  </si>
  <si>
    <t>horst</t>
  </si>
  <si>
    <t>Horst</t>
  </si>
  <si>
    <t>An elongate, relatively upliftedcrustal unit or block that is bounded by faults on ist long sides.</t>
  </si>
  <si>
    <t>SteCode_horst</t>
  </si>
  <si>
    <t>normalFault</t>
  </si>
  <si>
    <t>Normal Fault</t>
  </si>
  <si>
    <t>A fault in wich the hangingwall has moved downward relative to the footwall.</t>
  </si>
  <si>
    <t>SteCode_normalFault</t>
  </si>
  <si>
    <t>rift</t>
  </si>
  <si>
    <t>Rift</t>
  </si>
  <si>
    <t>A long, narrow continental through that is bounded by normal faults; a graben of regional extend.</t>
  </si>
  <si>
    <t>SteCode_rift</t>
  </si>
  <si>
    <t>shearZone</t>
  </si>
  <si>
    <t>Shear Zone</t>
  </si>
  <si>
    <t>A region, narrow compared to its length, within which rocks have undergone intensive deformation.</t>
  </si>
  <si>
    <t>SteCode_shearZone</t>
  </si>
  <si>
    <t>spreadingZone</t>
  </si>
  <si>
    <t>Spreading Zone</t>
  </si>
  <si>
    <t>An area of the earth surface where the lithospheric plates are moving away one from another.</t>
  </si>
  <si>
    <t>SteCode_spreadingZone</t>
  </si>
  <si>
    <t>strikeSlipFault</t>
  </si>
  <si>
    <t>Strike-slip Fault</t>
  </si>
  <si>
    <t>A fault in wich the major displacement is horizontal and paralell to the strike of a vertical or subvertical fault plane.</t>
  </si>
  <si>
    <t>SteCode_strikeSlipFault</t>
  </si>
  <si>
    <t>subductionZone</t>
  </si>
  <si>
    <t>Subduction Zone</t>
  </si>
  <si>
    <t>A long, narrow belt in wich the subduction takes place. Subduction is the process of one lithospheric plate descendig beneath the other.</t>
  </si>
  <si>
    <t>SteCode_subductionZone</t>
  </si>
  <si>
    <t>thrustFault</t>
  </si>
  <si>
    <t>Thrust Fault</t>
  </si>
  <si>
    <t>A fault with a dip of 45 degree or less, on wich the hanging wall has moved upward relative to the footwall.</t>
  </si>
  <si>
    <t>SteCode_thrustFault</t>
  </si>
  <si>
    <t>optical</t>
  </si>
  <si>
    <t>Optical</t>
  </si>
  <si>
    <t>An optical instrument for making distant objects appear nearer and larger, containing an arrangement of lenses, or of curved mirrors and lenses, by which rays of light are collected and focused and the resulting image magnified.</t>
  </si>
  <si>
    <t>TelCode_optical</t>
  </si>
  <si>
    <t>parabolicRadioAerial</t>
  </si>
  <si>
    <t>Parabolic Radio Aerial</t>
  </si>
  <si>
    <t>An apparatus or installation for detecting and recording radio waves from the sky, consisting of a large directional parabolic aerial together with a receiver and recording equipment.</t>
  </si>
  <si>
    <t>TelCode_parabolicRadioAerial</t>
  </si>
  <si>
    <t>radioAerialArray</t>
  </si>
  <si>
    <t>Radio Aerial Array</t>
  </si>
  <si>
    <t>An apparatus or installation for detecting and recording radio waves from the sky, consisting of an array of directional aerials together with receivers and recording equipment.</t>
  </si>
  <si>
    <t>TelCode_radioAerialArray</t>
  </si>
  <si>
    <t>leftBase</t>
  </si>
  <si>
    <t>Left Base</t>
  </si>
  <si>
    <t>The TAA area in which the aircraft is required to make a left turn after crossing the Initial Approach Fix (IAF) to be established on the final approach course.</t>
  </si>
  <si>
    <t>TaaCode_leftBase</t>
  </si>
  <si>
    <t>rightBase</t>
  </si>
  <si>
    <t>Right Base</t>
  </si>
  <si>
    <t>The TAA area in which the aircraft is required to make a right turn after crossing the Initial Approach Fix (IAF) to be established on the final approach course.</t>
  </si>
  <si>
    <t>TaaCode_rightBase</t>
  </si>
  <si>
    <t>The TAA area in which the aircraft is not required to make a turn after crossing the Initial Approach Fix (IAF) to be established on the final approach course.</t>
  </si>
  <si>
    <t>TaaCode_straightIn</t>
  </si>
  <si>
    <t>cliff</t>
  </si>
  <si>
    <t>Cliff</t>
  </si>
  <si>
    <t>A high, steep to perpendicular slope overlooking a waterbody or lower area.</t>
  </si>
  <si>
    <t>TftCode_cliff</t>
  </si>
  <si>
    <t>escarpment</t>
  </si>
  <si>
    <t>Escarpment</t>
  </si>
  <si>
    <t>A long line of cliffs or steep slopes separating level surfaces above and below.</t>
  </si>
  <si>
    <t>TftCode_escarpment</t>
  </si>
  <si>
    <t>activeSandDunes</t>
  </si>
  <si>
    <t>Active Sand Dunes</t>
  </si>
  <si>
    <t>An area whose surface is covered by sand dunes that are increasing in height or moving with the wind.</t>
  </si>
  <si>
    <t>SrdCode_activeSandDunes</t>
  </si>
  <si>
    <t>alluvial</t>
  </si>
  <si>
    <t>Alluvial</t>
  </si>
  <si>
    <t>Loose material transported by a stream or a river and deposited as the river floodplain.</t>
  </si>
  <si>
    <t>Includes the alluvial fan deposit.</t>
  </si>
  <si>
    <t>SrdCode_alluvial</t>
  </si>
  <si>
    <t>angular</t>
  </si>
  <si>
    <t>Angular</t>
  </si>
  <si>
    <t>An area of sharp rock outcrops.</t>
  </si>
  <si>
    <t>SrdCode_angular</t>
  </si>
  <si>
    <t>boulderField</t>
  </si>
  <si>
    <t>Boulder Field</t>
  </si>
  <si>
    <t>An area whose surface is covered almost entirely by boulders.</t>
  </si>
  <si>
    <t>Boulders are generally greater than 25 centimetres in diameter; some may be much larger.</t>
  </si>
  <si>
    <t>SrdCode_boulderField</t>
  </si>
  <si>
    <t>deepErosionalGullies</t>
  </si>
  <si>
    <t>Deep Erosional Gullies</t>
  </si>
  <si>
    <t>An area with eroded stream channels greater than 3 metres in depth.</t>
  </si>
  <si>
    <t>SrdCode_deepErosionalGullies</t>
  </si>
  <si>
    <t>dissectedFloodplain</t>
  </si>
  <si>
    <t>Dissected Floodplain</t>
  </si>
  <si>
    <t>A level area created by alluvial action that has stream channels eroded into it.</t>
  </si>
  <si>
    <t>SrdCode_dissectedFloodplain</t>
  </si>
  <si>
    <t>eroded</t>
  </si>
  <si>
    <t>Eroded</t>
  </si>
  <si>
    <t>An area where removal processes have caused an areal degradation of soil particles (for example: erosion by the action of the wind) or to a linear degradation with deep erosion of different grades (for example: erosion by the action of moving water).</t>
  </si>
  <si>
    <t>SrdCode_eroded</t>
  </si>
  <si>
    <t>fanShaped</t>
  </si>
  <si>
    <t>Fan-shaped</t>
  </si>
  <si>
    <t>A fan-shaped landform build up by detritus.</t>
  </si>
  <si>
    <t>For example, an alluvial fan.</t>
  </si>
  <si>
    <t>SrdCode_fanShaped</t>
  </si>
  <si>
    <t>A flat area.</t>
  </si>
  <si>
    <t>SrdCode_flat</t>
  </si>
  <si>
    <t>frostPolygons</t>
  </si>
  <si>
    <t>Frost Polygons</t>
  </si>
  <si>
    <t>An area of formed patterns of rock, soil and/or vegetation caused by frost action.</t>
  </si>
  <si>
    <t>SrdCode_frostPolygons</t>
  </si>
  <si>
    <t>gravelPits</t>
  </si>
  <si>
    <t>Gravel Pit(s)</t>
  </si>
  <si>
    <t>An area of open-air excavations created by the removal of gravel.</t>
  </si>
  <si>
    <t>SrdCode_gravelPits</t>
  </si>
  <si>
    <t>groundMovementArea</t>
  </si>
  <si>
    <t>An area with vertical and/or horizontal movements of the Earth surface due to various influences (for example: geological forces or mining).</t>
  </si>
  <si>
    <t>SrdCode_groundMovementArea</t>
  </si>
  <si>
    <t>highSandDunes</t>
  </si>
  <si>
    <t>High Sand Dunes</t>
  </si>
  <si>
    <t>An area whose surface is covered by sand dunes greater than 10 metres in height.</t>
  </si>
  <si>
    <t>SrdCode_highSandDunes</t>
  </si>
  <si>
    <t>highlyDissected</t>
  </si>
  <si>
    <t>Highly Dissected</t>
  </si>
  <si>
    <t>A relatively level area whose surface is covered mainly (greater than 50 percent) by eroding stream channels.</t>
  </si>
  <si>
    <t>SrdCode_highlyDissected</t>
  </si>
  <si>
    <t>highlyDistortedSharpRocky</t>
  </si>
  <si>
    <t>Highly Distorted with sharp Rocky Ridges</t>
  </si>
  <si>
    <t>An area that has been altered by mechanical means, resulting in steep-sided, narrow spines of bedrock.</t>
  </si>
  <si>
    <t>SrdCode_highlyDistortedSharpRocky</t>
  </si>
  <si>
    <t>highlyFracturedRock</t>
  </si>
  <si>
    <t>Highly Fractured Rock</t>
  </si>
  <si>
    <t>An area of exposed bedrock containing cracks or faults.</t>
  </si>
  <si>
    <t>SrdCode_highlyFracturedRock</t>
  </si>
  <si>
    <t>hummocky</t>
  </si>
  <si>
    <t>Hummocky</t>
  </si>
  <si>
    <t>A generally rounded protuberance rising above the level of the surrounding ground.</t>
  </si>
  <si>
    <t>For example, a costal sand-hill, a mound, a ridge in an ice-field or a more or less elevated piece of ground rising out of a swamp, often densly wooded.</t>
  </si>
  <si>
    <t>Hammocky</t>
  </si>
  <si>
    <t>SrdCode_hummocky</t>
  </si>
  <si>
    <t>hummockyKarstLargeHills</t>
  </si>
  <si>
    <t>Hummocky Karst with Large Hills</t>
  </si>
  <si>
    <t>An area of hummocky karst with large cone-shaped hills and scattered depressions.</t>
  </si>
  <si>
    <t>SrdCode_hummockyKarstLargeHills</t>
  </si>
  <si>
    <t>hummockyKarstLowMounds</t>
  </si>
  <si>
    <t>Hummocky Karst with Low Mounds</t>
  </si>
  <si>
    <t>An area of hummocky karst with low broad-based mounds and scattered depressions.</t>
  </si>
  <si>
    <t>SrdCode_hummockyKarstLowMounds</t>
  </si>
  <si>
    <t>hummockyFrostHeaves</t>
  </si>
  <si>
    <t>Hummocky with Frost Heaves</t>
  </si>
  <si>
    <t>An area of small hillocks caused by the freeze-thaw cycle.</t>
  </si>
  <si>
    <t>SrdCode_hummockyFrostHeaves</t>
  </si>
  <si>
    <t>irregularDeepFoliateFract</t>
  </si>
  <si>
    <t>Irregular with deep Foliation Fractures</t>
  </si>
  <si>
    <t>An uneven area with deep cracks caused by variations in differential movement of the surface that result in splitting and separation of that surface.</t>
  </si>
  <si>
    <t>SrdCode_irregularDeepFoliateFract</t>
  </si>
  <si>
    <t>karstNumerousSinkholes</t>
  </si>
  <si>
    <t>Karst with numerous Sinkholes</t>
  </si>
  <si>
    <t>An area of karst with numerous depressions caused by the collapse of the underlying limestone, dolomite or gypsum bedrock.</t>
  </si>
  <si>
    <t>SrdCode_karstNumerousSinkholes</t>
  </si>
  <si>
    <t>karstNumerousSinkSolValley</t>
  </si>
  <si>
    <t>Karst with numerous Sinkholes and Solution Valleys</t>
  </si>
  <si>
    <t>An area of karst with numerous depressions and valleys caused by the collapse of the underlying limestone, dolomite or gypsum bedrock.</t>
  </si>
  <si>
    <t>SrdCode_karstNumerousSinkSolValley</t>
  </si>
  <si>
    <t>landslidePotential</t>
  </si>
  <si>
    <t>Landslide Potential</t>
  </si>
  <si>
    <t>An area where the chance for landslides is high due to either composition or slope.</t>
  </si>
  <si>
    <t>SrdCode_landslidePotential</t>
  </si>
  <si>
    <t>levelButUncohesive</t>
  </si>
  <si>
    <t>Level but Uncohesive</t>
  </si>
  <si>
    <t>A relatively level area where the terrain surface is loose or unconsolidated.</t>
  </si>
  <si>
    <t>SrdCode_levelButUncohesive</t>
  </si>
  <si>
    <t>lowSandDunes</t>
  </si>
  <si>
    <t>Low Sand Dunes</t>
  </si>
  <si>
    <t>An area whose surface is covered by sand dunes up to 10 metres in height.</t>
  </si>
  <si>
    <t>SrdCode_lowSandDunes</t>
  </si>
  <si>
    <t>meanderScarsLakes</t>
  </si>
  <si>
    <t>Meander Scars and Lakes</t>
  </si>
  <si>
    <t>A relatively level area with serpentine depressions and oxbow lakes created by shifting drainage.</t>
  </si>
  <si>
    <t>SrdCode_meanderScarsLakes</t>
  </si>
  <si>
    <t>mineTailings</t>
  </si>
  <si>
    <t>Mine Tailing(s)</t>
  </si>
  <si>
    <t>An area covered by large mounds of spoil produced by mining.</t>
  </si>
  <si>
    <t>Waste Pile(s)</t>
  </si>
  <si>
    <t>SrdCode_mineTailings</t>
  </si>
  <si>
    <t>moderatelyDissected</t>
  </si>
  <si>
    <t>Moderately Dissected</t>
  </si>
  <si>
    <t>A relatively level area whose surface is covered partially (between 20 to 50 percent) by gullies.</t>
  </si>
  <si>
    <t>SrdCode_moderatelyDissected</t>
  </si>
  <si>
    <t>moderatelyDissectScatRock</t>
  </si>
  <si>
    <t>Moderately Dissected with scattered Rock Outcrops</t>
  </si>
  <si>
    <t>A relatively level area whose surface is covered almost entirely by a mixture of gullies and bedrock outcrops.</t>
  </si>
  <si>
    <t>SrdCode_moderatelyDissectScatRock</t>
  </si>
  <si>
    <t>narrowPass</t>
  </si>
  <si>
    <t>Narrow Pass</t>
  </si>
  <si>
    <t>A narrow geomorphologic feature as a valley or mountain pass.</t>
  </si>
  <si>
    <t>SrdCode_narrowPass</t>
  </si>
  <si>
    <t>noEffect</t>
  </si>
  <si>
    <t>No Effect</t>
  </si>
  <si>
    <t>The surface morphology has no appreciable effect upon military operations.</t>
  </si>
  <si>
    <t>SrdCode_noEffect</t>
  </si>
  <si>
    <t>numerousBoulders</t>
  </si>
  <si>
    <t>Numerous Boulders</t>
  </si>
  <si>
    <t>An area whose surface is covered mainly (greater than 55 percent) by boulders.</t>
  </si>
  <si>
    <t>SrdCode_numerousBoulders</t>
  </si>
  <si>
    <t>numerousCobblesBoulders</t>
  </si>
  <si>
    <t>Numerous Cobbles and Boulders</t>
  </si>
  <si>
    <t>An area whose surface is covered mainly (greater than 55 percent) by cobbles and boulders.</t>
  </si>
  <si>
    <t>Cobbles are generally greater than 6.4 centimetres in diameter; boulders are much larger.</t>
  </si>
  <si>
    <t>SrdCode_numerousCobblesBoulders</t>
  </si>
  <si>
    <t>numerousCrevasses</t>
  </si>
  <si>
    <t>Numerous Crevasses</t>
  </si>
  <si>
    <t>An ice field containing an appreciable quantity of nearly vertical fissures.</t>
  </si>
  <si>
    <t>SrdCode_numerousCrevasses</t>
  </si>
  <si>
    <t>numerousDykedFields</t>
  </si>
  <si>
    <t>Numerous Dyked Fields</t>
  </si>
  <si>
    <t>An area containing numerous fields surrounded by individual embankments designed to flood and/or drain water from the fields.</t>
  </si>
  <si>
    <t>Numerous Diked Fields</t>
  </si>
  <si>
    <t>SrdCode_numerousDykedFields</t>
  </si>
  <si>
    <t>numerousDykes</t>
  </si>
  <si>
    <t>Numerous Dykes</t>
  </si>
  <si>
    <t>An area containing numerous artificial embankments designed to contain or hold back water.</t>
  </si>
  <si>
    <t>Numerous Dikes</t>
  </si>
  <si>
    <t>SrdCode_numerousDykes</t>
  </si>
  <si>
    <t>numerousFences</t>
  </si>
  <si>
    <t>Numerous Fences</t>
  </si>
  <si>
    <t>An area with numerous fences, typically separating fields and/or habitated areas.</t>
  </si>
  <si>
    <t>The fences are relatively insubstantial for example: barbed wire).</t>
  </si>
  <si>
    <t>SrdCode_numerousFences</t>
  </si>
  <si>
    <t>numerousHedgerows</t>
  </si>
  <si>
    <t>Numerous Hedgerows</t>
  </si>
  <si>
    <t>An area with numerous hedgerows, typically separating fields and/or habitated areas.</t>
  </si>
  <si>
    <t>A hedgerow is a continuous growth of shrubs planted as a fence, a boundary, and/or a windbreak.</t>
  </si>
  <si>
    <t>SrdCode_numerousHedgerows</t>
  </si>
  <si>
    <t>numerousManMadeDrainage</t>
  </si>
  <si>
    <t>Numerous Man-made Drainage</t>
  </si>
  <si>
    <t>An area with numerous constructed drainage ways (for example: canals, drains, and ditches) designed to control the flow of water.</t>
  </si>
  <si>
    <t>SrdCode_numerousManMadeDrainage</t>
  </si>
  <si>
    <t>numerousRockOutcrops</t>
  </si>
  <si>
    <t>Numerous Rock Outcrops</t>
  </si>
  <si>
    <t>An area whose surface is covered mainly (greater than 55 percent) by bedrock outcrops.</t>
  </si>
  <si>
    <t>SrdCode_numerousRockOutcrops</t>
  </si>
  <si>
    <t>numerousSmallLakesPonds</t>
  </si>
  <si>
    <t>Numerous Small Lakes and Ponds</t>
  </si>
  <si>
    <t>An area of numerous small lakes and ponds.</t>
  </si>
  <si>
    <t>SrdCode_numerousSmallLakesPonds</t>
  </si>
  <si>
    <t>numerousStoneWalls</t>
  </si>
  <si>
    <t>Numerous Stone Walls</t>
  </si>
  <si>
    <t>An area with numerous stone walls, typically separating fields and/or habitated areas.</t>
  </si>
  <si>
    <t>SrdCode_numerousStoneWalls</t>
  </si>
  <si>
    <t>numerousTerracedFields</t>
  </si>
  <si>
    <t>Numerous Terraced Fields</t>
  </si>
  <si>
    <t>An area with numerous raised shelf-like levelled fields.</t>
  </si>
  <si>
    <t>For example, terraced rice paddies.</t>
  </si>
  <si>
    <t>SrdCode_numerousTerracedFields</t>
  </si>
  <si>
    <t>numerousTerraces</t>
  </si>
  <si>
    <t>Numerous Terraces</t>
  </si>
  <si>
    <t>An area with numerous raised shelf-like naturally occurring levelled terrain surfaces.</t>
  </si>
  <si>
    <t>For example, lava terraces.</t>
  </si>
  <si>
    <t>SrdCode_numerousTerraces</t>
  </si>
  <si>
    <t>parallelEarthenRows</t>
  </si>
  <si>
    <t>Parallel Earthen Rows</t>
  </si>
  <si>
    <t>An area of fields where crops have been planted in parallel, raised linear mounds.</t>
  </si>
  <si>
    <t>SrdCode_parallelEarthenRows</t>
  </si>
  <si>
    <t>A flat area of great extent and elevation.</t>
  </si>
  <si>
    <t>Usually an extensive land region considerably elevated (more than 150-300 metres) above the adjacent country or sea.</t>
  </si>
  <si>
    <t>SrdCode_plateau</t>
  </si>
  <si>
    <t>playa</t>
  </si>
  <si>
    <t>Playa</t>
  </si>
  <si>
    <t>A level area of silt and/or sand, free of vegetation and usually salty, lying at the bottom of a desert basin and dry except after rain.</t>
  </si>
  <si>
    <t>Dry Lake</t>
  </si>
  <si>
    <t>SrdCode_playa</t>
  </si>
  <si>
    <t>quarries</t>
  </si>
  <si>
    <t>Quarry(ies)</t>
  </si>
  <si>
    <t>An area of open-air excavations created by removal of stone by blasting or cutting.</t>
  </si>
  <si>
    <t>SrdCode_quarries</t>
  </si>
  <si>
    <t>quicksand</t>
  </si>
  <si>
    <t>Quicksand</t>
  </si>
  <si>
    <t>A mix of sand and water forming a soft, shifting mass that becomes unstable when disturbed and is likely to engulf any object resting on its surface.</t>
  </si>
  <si>
    <t>Quicksand may occur where there are natural springs, riverbanks, beaches, along lake shorelines as well as in tidal flats.</t>
  </si>
  <si>
    <t>SrdCode_quicksand</t>
  </si>
  <si>
    <t>rill</t>
  </si>
  <si>
    <t>Rill</t>
  </si>
  <si>
    <t>A small temporary channel formed on the surface of soil or sand.</t>
  </si>
  <si>
    <t>SrdCode_rill</t>
  </si>
  <si>
    <t>Rough</t>
  </si>
  <si>
    <t>An area with an irregular terrain surface of unspecified morphology.</t>
  </si>
  <si>
    <t>SrdCode_rough</t>
  </si>
  <si>
    <t>rounded</t>
  </si>
  <si>
    <t>Rounded</t>
  </si>
  <si>
    <t>An area consisting mainly of a relatively smooth terrain surface and low relief.</t>
  </si>
  <si>
    <t>SrdCode_rounded</t>
  </si>
  <si>
    <t>roundedDepression</t>
  </si>
  <si>
    <t>Rounded Depression</t>
  </si>
  <si>
    <t>A rounded or oval shaped depression.</t>
  </si>
  <si>
    <t>SrdCode_roundedDepression</t>
  </si>
  <si>
    <t>ruggedBedrock</t>
  </si>
  <si>
    <t>Rugged Bedrock</t>
  </si>
  <si>
    <t>An area of exposed bedrock that has a irregular surface due to mechanical or weathering effects.</t>
  </si>
  <si>
    <t>SrdCode_ruggedBedrock</t>
  </si>
  <si>
    <t>ruggedNumerousRockOutcrops</t>
  </si>
  <si>
    <t>Rugged with numerous Rock Outcrops</t>
  </si>
  <si>
    <t>An area whose surface is both rugged and covered mainly (greater than 55 percent) by bedrock outcrops.</t>
  </si>
  <si>
    <t>SrdCode_ruggedNumerousRockOutcrops</t>
  </si>
  <si>
    <t>sabkhas</t>
  </si>
  <si>
    <t>Sabkhas</t>
  </si>
  <si>
    <t>An area of coastal flats subject to periodic flooding and evaporation, resulting in accumulation of aeolian clays, evaporites, and salts.</t>
  </si>
  <si>
    <t>SrdCode_sabkhas</t>
  </si>
  <si>
    <t>saltEvaporator</t>
  </si>
  <si>
    <t>Salt Evaporator(s)</t>
  </si>
  <si>
    <t>An area of shallow pools, normally man-made, used for the natural evaporation of water for the collection of salt.</t>
  </si>
  <si>
    <t>SrdCode_saltEvaporator</t>
  </si>
  <si>
    <t>sandDunes</t>
  </si>
  <si>
    <t>An area whose surface is covered by sand dunes.</t>
  </si>
  <si>
    <t>SrdCode_sandDunes</t>
  </si>
  <si>
    <t>sandPits</t>
  </si>
  <si>
    <t>Sand Pit(s)</t>
  </si>
  <si>
    <t>An area of open-air excavations created by the removal of sand.</t>
  </si>
  <si>
    <t>SrdCode_sandPits</t>
  </si>
  <si>
    <t>scatteredBoulders</t>
  </si>
  <si>
    <t>Scattered Boulders</t>
  </si>
  <si>
    <t>An area whose surface is covered partially (between 25 to 55 percent) by boulders.</t>
  </si>
  <si>
    <t>SrdCode_scatteredBoulders</t>
  </si>
  <si>
    <t>solifluctionLobesFrostScar</t>
  </si>
  <si>
    <t>Solifluction Lobes and Frost Scars</t>
  </si>
  <si>
    <t>An area of tongue-like masses of slow-moving waterlogged soil with steep fronts and gentle upper surfaces interspersed with areas of heaving soil caused by frost action.</t>
  </si>
  <si>
    <t>SrdCode_solifluctionLobesFrostScar</t>
  </si>
  <si>
    <t>stabilizedSandDunes</t>
  </si>
  <si>
    <t>Stabilized Sand Dunes</t>
  </si>
  <si>
    <t>An area whose surface is covered by sand dunes whose height and location are unchanging.</t>
  </si>
  <si>
    <t>The dunes are usually vegetated.</t>
  </si>
  <si>
    <t>SrdCode_stabilizedSandDunes</t>
  </si>
  <si>
    <t>steepRuggedDissectGullies</t>
  </si>
  <si>
    <t>Steep Rugged Dissected with narrow Gullies</t>
  </si>
  <si>
    <t>An area characterized by high relief and numerous narrow stream channels.</t>
  </si>
  <si>
    <t>SrdCode_steepRuggedDissectGullies</t>
  </si>
  <si>
    <t>steepSlope</t>
  </si>
  <si>
    <t>Steep Slope</t>
  </si>
  <si>
    <t>An area with steep slopes.</t>
  </si>
  <si>
    <t>SrdCode_steepSlope</t>
  </si>
  <si>
    <t>stepped</t>
  </si>
  <si>
    <t>Stepped</t>
  </si>
  <si>
    <t>A terraced landform.</t>
  </si>
  <si>
    <t>SrdCode_stepped</t>
  </si>
  <si>
    <t>stockpiles</t>
  </si>
  <si>
    <t>Stockpiles</t>
  </si>
  <si>
    <t>An area in which mined materials (for example: coal) are accumulated.</t>
  </si>
  <si>
    <t>SrdCode_stockpiles</t>
  </si>
  <si>
    <t>stonyAreas</t>
  </si>
  <si>
    <t>Stony Areas</t>
  </si>
  <si>
    <t>An area covered by patches of surface stones.</t>
  </si>
  <si>
    <t>SrdCode_stonyAreas</t>
  </si>
  <si>
    <t>stonySoilNumerousBoulders</t>
  </si>
  <si>
    <t>Stony Soil with numerous Boulders</t>
  </si>
  <si>
    <t>An area of stony soil whose surface is covered mainly (greater than 55 percent) by boulders.</t>
  </si>
  <si>
    <t>SrdCode_stonySoilNumerousBoulders</t>
  </si>
  <si>
    <t>stonySoilNumerousGullies</t>
  </si>
  <si>
    <t>Stony Soil with numerous Gullies</t>
  </si>
  <si>
    <t>An area of stony soil whose surface is covered mainly (greater than 55 percent) by eroding stream channels.</t>
  </si>
  <si>
    <t>SrdCode_stonySoilNumerousGullies</t>
  </si>
  <si>
    <t>stonySoilNumerousRockCrops</t>
  </si>
  <si>
    <t>Stony Soil with numerous Rock Outcrops</t>
  </si>
  <si>
    <t>An area of stony soil whose surface is covered mainly (greater than 55 percent) by bedrock outcrops.</t>
  </si>
  <si>
    <t>SrdCode_stonySoilNumerousRockCrops</t>
  </si>
  <si>
    <t>stonySoilScatteredBoulders</t>
  </si>
  <si>
    <t>Stony Soil with scattered Boulders</t>
  </si>
  <si>
    <t>An area of stony soil whose surface is covered partially (between 25 to 55 percent) by boulders.</t>
  </si>
  <si>
    <t>SrdCode_stonySoilScatteredBoulders</t>
  </si>
  <si>
    <t>stonySoilWithSurfaceRock</t>
  </si>
  <si>
    <t>Stony Soil with Surface Rock</t>
  </si>
  <si>
    <t>An area of stony soil with patches of exposed bedrock.</t>
  </si>
  <si>
    <t>SrdCode_stonySoilWithSurfaceRock</t>
  </si>
  <si>
    <t>stripMines</t>
  </si>
  <si>
    <t>Strip Mine(s)</t>
  </si>
  <si>
    <t>An area in which surface material has been removed in successive parallel strips to expose the minerals, the spoil from each new strip being placed in the previously excavated one.</t>
  </si>
  <si>
    <t>SrdCode_stripMines</t>
  </si>
  <si>
    <t>A scree slope, consisting of disintegrated material which has fallen from the face of the cliff above.</t>
  </si>
  <si>
    <t>SrdCode_talus</t>
  </si>
  <si>
    <t>undulating</t>
  </si>
  <si>
    <t>Undulating</t>
  </si>
  <si>
    <t>An undulating surface due to folding or primary sedimentary feature.</t>
  </si>
  <si>
    <t>Wavy</t>
  </si>
  <si>
    <t>SrdCode_undulating</t>
  </si>
  <si>
    <t>unweatheredLava</t>
  </si>
  <si>
    <t>Unweathered Lava</t>
  </si>
  <si>
    <t>An area of recently cooled magma.</t>
  </si>
  <si>
    <t>SrdCode_unweatheredLava</t>
  </si>
  <si>
    <t>wadi</t>
  </si>
  <si>
    <t>Wadi</t>
  </si>
  <si>
    <t>The dry bed of an intermittent stream, often with steep sides or located at the bottom of a channel.</t>
  </si>
  <si>
    <t>Wash, Arroyo</t>
  </si>
  <si>
    <t>SrdCode_wadi</t>
  </si>
  <si>
    <t>weatheredLava</t>
  </si>
  <si>
    <t>Weathered Lava</t>
  </si>
  <si>
    <t>An area of cooled magma that has been altered by the effects of weather.</t>
  </si>
  <si>
    <t>SrdCode_weatheredLava</t>
  </si>
  <si>
    <t>areaNoSovereignty</t>
  </si>
  <si>
    <t>A territory that is not subject to a Sovereign State.</t>
  </si>
  <si>
    <t>AdsCode_areaNoSovereignty</t>
  </si>
  <si>
    <t>autonomousRegion</t>
  </si>
  <si>
    <t>Autonomous Region</t>
  </si>
  <si>
    <t>A country or a region represented by a State regarding foreign affairs but internally autonomous.</t>
  </si>
  <si>
    <t>AdsCode_autonomousRegion</t>
  </si>
  <si>
    <t>condominium</t>
  </si>
  <si>
    <t>Condominium (multinational)</t>
  </si>
  <si>
    <t>An administrative division established by two or more nations for combined ruling.</t>
  </si>
  <si>
    <t>AdsCode_condominium</t>
  </si>
  <si>
    <t>controversialTerritory</t>
  </si>
  <si>
    <t>Controversial Territory</t>
  </si>
  <si>
    <t>A territory which belongs to an internationally acknowledged sovereign State but is in dispute by parts of the population or special groups of interests.</t>
  </si>
  <si>
    <t>AdsCode_controversialTerritory</t>
  </si>
  <si>
    <t>One of the lines in a DMZ generally serves as a line of separation (for example: armistice control, withdrawal or cease-fire line). For example, two two-kilometre-wide DMZs have existed on either side of the Military Demarcation Line between North and South Korea.</t>
  </si>
  <si>
    <t>AdsCode_demilitarizedZone</t>
  </si>
  <si>
    <t>dependentTerritory</t>
  </si>
  <si>
    <t>Dependent Territory</t>
  </si>
  <si>
    <t>A territory whose status of dependence is internationally acknowledged.</t>
  </si>
  <si>
    <t>The grade of dependence could be varying, from unhibitated overseas regions without own sovereignty to regions which have voluntary transferred a part of their foreign representation and which could announce their independence at once. Special cases are sovereign States with voluntary association to other sovereign States (for example: the Cook Islands in relation to New Zealand). Such territories get an ISO 3166-1 code in the same manner as independent sovereign States.</t>
  </si>
  <si>
    <t>AdsCode_dependentTerritory</t>
  </si>
  <si>
    <t>outlyingTerritory</t>
  </si>
  <si>
    <t>Outlying Territory</t>
  </si>
  <si>
    <t>A part of the territory of a sovereign State which is separated from the main territory.</t>
  </si>
  <si>
    <t>AdsCode_outlyingTerritory</t>
  </si>
  <si>
    <t>partialAutonomousRegion</t>
  </si>
  <si>
    <t>Partial Autonomous Region</t>
  </si>
  <si>
    <t>A region subordinated to the central government of a State but holding specific autonomous administrative fields.</t>
  </si>
  <si>
    <t>AdsCode_partialAutonomousRegion</t>
  </si>
  <si>
    <t>protectorate</t>
  </si>
  <si>
    <t>Protectorate</t>
  </si>
  <si>
    <t>A partly sovereign territory whose foreign and defence administration is conducted by another sovereign State.</t>
  </si>
  <si>
    <t>Both protector and protectorate are legal subjects to the law of nations.</t>
  </si>
  <si>
    <t>AdsCode_protectorate</t>
  </si>
  <si>
    <t>reservation</t>
  </si>
  <si>
    <t>An area reserved for specific ethnic groups with or without partial autonomy.</t>
  </si>
  <si>
    <t>Reservations may allow natives to keep their own culture.</t>
  </si>
  <si>
    <t>AdsCode_reservation</t>
  </si>
  <si>
    <t>unProtectionZone</t>
  </si>
  <si>
    <t>United Nations Protection Zone</t>
  </si>
  <si>
    <t>An area being under control of the United Nations (UN).</t>
  </si>
  <si>
    <t>AdsCode_unProtectionZone</t>
  </si>
  <si>
    <t>zoneOccupation</t>
  </si>
  <si>
    <t>AdsCode_zoneOccupation</t>
  </si>
  <si>
    <t>McuCode_aluminum</t>
  </si>
  <si>
    <t>McuCode_ash</t>
  </si>
  <si>
    <t>McuCode_basalt</t>
  </si>
  <si>
    <t>McuCode_bedrock</t>
  </si>
  <si>
    <t>McuCode_boulders</t>
  </si>
  <si>
    <t>McuCode_breccia</t>
  </si>
  <si>
    <t>McuCode_brick</t>
  </si>
  <si>
    <t>McuCode_ceramic</t>
  </si>
  <si>
    <t>McuCode_chalk</t>
  </si>
  <si>
    <t>McuCode_cinders</t>
  </si>
  <si>
    <t>McuCode_cirripedia</t>
  </si>
  <si>
    <t>McuCode_clay</t>
  </si>
  <si>
    <t>McuCode_cobbles</t>
  </si>
  <si>
    <t>McuCode_composition</t>
  </si>
  <si>
    <t>McuCode_concrete</t>
  </si>
  <si>
    <t>McuCode_copper</t>
  </si>
  <si>
    <t>McuCode_coral</t>
  </si>
  <si>
    <t>McuCode_coralHead</t>
  </si>
  <si>
    <t>McuCode_diatomaceousEarth</t>
  </si>
  <si>
    <t>McuCode_dolerite</t>
  </si>
  <si>
    <t>McuCode_dolomite</t>
  </si>
  <si>
    <t>McuCode_evaporite</t>
  </si>
  <si>
    <t>McuCode_flysch</t>
  </si>
  <si>
    <t>McuCode_foraminifera</t>
  </si>
  <si>
    <t>McuCode_fucus</t>
  </si>
  <si>
    <t>McuCode_glassReinforcedPlastic</t>
  </si>
  <si>
    <t>McuCode_gneiss</t>
  </si>
  <si>
    <t>McuCode_gold</t>
  </si>
  <si>
    <t>McuCode_granite</t>
  </si>
  <si>
    <t>McuCode_gravel</t>
  </si>
  <si>
    <t>McuCode_greenstone</t>
  </si>
  <si>
    <t>McuCode_iron</t>
  </si>
  <si>
    <t>McuCode_laterite</t>
  </si>
  <si>
    <t>McuCode_lava</t>
  </si>
  <si>
    <t>McuCode_lead</t>
  </si>
  <si>
    <t>McuCode_limestone</t>
  </si>
  <si>
    <t>McuCode_loess</t>
  </si>
  <si>
    <t>McuCode_lumber</t>
  </si>
  <si>
    <t>McuCode_madrepore</t>
  </si>
  <si>
    <t>McuCode_manganese</t>
  </si>
  <si>
    <t>McuCode_marble</t>
  </si>
  <si>
    <t>McuCode_marl</t>
  </si>
  <si>
    <t>McuCode_masonry</t>
  </si>
  <si>
    <t>McuCode_metal</t>
  </si>
  <si>
    <t>McuCode_mud</t>
  </si>
  <si>
    <t>McuCode_mussels</t>
  </si>
  <si>
    <t>McuCode_ooze</t>
  </si>
  <si>
    <t>McuCode_oysters</t>
  </si>
  <si>
    <t>McuCode_partMetal</t>
  </si>
  <si>
    <t>McuCode_pebbles</t>
  </si>
  <si>
    <t>McuCode_plantMaterial</t>
  </si>
  <si>
    <t>McuCode_plastic</t>
  </si>
  <si>
    <t>McuCode_porphyry</t>
  </si>
  <si>
    <t>McuCode_prestressedConcrete</t>
  </si>
  <si>
    <t>McuCode_pumice</t>
  </si>
  <si>
    <t>McuCode_quartz</t>
  </si>
  <si>
    <t>McuCode_quartzite</t>
  </si>
  <si>
    <t>McuCode_radioactiveMaterial</t>
  </si>
  <si>
    <t>McuCode_radiolaria</t>
  </si>
  <si>
    <t>McuCode_reinforcedConcrete</t>
  </si>
  <si>
    <t>McuCode_rock</t>
  </si>
  <si>
    <t>McuCode_sand</t>
  </si>
  <si>
    <t>McuCode_sandstone</t>
  </si>
  <si>
    <t>McuCode_schist</t>
  </si>
  <si>
    <t>McuCode_scoria</t>
  </si>
  <si>
    <t>McuCode_seaMoss</t>
  </si>
  <si>
    <t>McuCode_shale</t>
  </si>
  <si>
    <t>McuCode_shell</t>
  </si>
  <si>
    <t>McuCode_shingle</t>
  </si>
  <si>
    <t>McuCode_silt</t>
  </si>
  <si>
    <t>McuCode_silver</t>
  </si>
  <si>
    <t>McuCode_slate</t>
  </si>
  <si>
    <t>McuCode_soil</t>
  </si>
  <si>
    <t>McuCode_spicules</t>
  </si>
  <si>
    <t>McuCode_sponge</t>
  </si>
  <si>
    <t>McuCode_steel</t>
  </si>
  <si>
    <t>McuCode_stone</t>
  </si>
  <si>
    <t>McuCode_timber</t>
  </si>
  <si>
    <t>McuCode_travertine</t>
  </si>
  <si>
    <t>McuCode_tufa</t>
  </si>
  <si>
    <t>McuCode_uraniumOre</t>
  </si>
  <si>
    <t>McuCode_vegetation</t>
  </si>
  <si>
    <t>McuCode_volcanicAsh</t>
  </si>
  <si>
    <t>McuCode_water</t>
  </si>
  <si>
    <t>McuCode_wood</t>
  </si>
  <si>
    <t>McuCode_zinc</t>
  </si>
  <si>
    <t>The feature belongs to the 'Aeronautical' theme.</t>
  </si>
  <si>
    <t>ThlCode_aeronautical</t>
  </si>
  <si>
    <t>boundaries</t>
  </si>
  <si>
    <t>Boundaries</t>
  </si>
  <si>
    <t>The feature belongs to the 'Boundaries' theme.</t>
  </si>
  <si>
    <t>ThlCode_boundaries</t>
  </si>
  <si>
    <t>elevation</t>
  </si>
  <si>
    <t>The feature belongs to the 'Elevation' theme.</t>
  </si>
  <si>
    <t>ThlCode_elevation</t>
  </si>
  <si>
    <t>groundTransportation</t>
  </si>
  <si>
    <t>Ground Transportation</t>
  </si>
  <si>
    <t>The feature belongs to the 'Ground Transportation' theme.</t>
  </si>
  <si>
    <t>ThlCode_groundTransportation</t>
  </si>
  <si>
    <t>industry</t>
  </si>
  <si>
    <t>Industry</t>
  </si>
  <si>
    <t>The feature belongs to the 'Industry' theme.</t>
  </si>
  <si>
    <t>ThlCode_industry</t>
  </si>
  <si>
    <t>The feature belongs to the 'Maritime' theme.</t>
  </si>
  <si>
    <t>ThlCode_maritime</t>
  </si>
  <si>
    <t>physiography</t>
  </si>
  <si>
    <t>Physiography</t>
  </si>
  <si>
    <t>The feature belongs to the 'Physiography' theme.</t>
  </si>
  <si>
    <t>ThlCode_physiography</t>
  </si>
  <si>
    <t>The feature belongs to the 'Population' theme.</t>
  </si>
  <si>
    <t>ThlCode_population</t>
  </si>
  <si>
    <t>The feature belongs to the 'Utilities' theme.</t>
  </si>
  <si>
    <t>ThlCode_utilities</t>
  </si>
  <si>
    <t>The feature belongs to the 'Vegetation' theme.</t>
  </si>
  <si>
    <t>ThlCode_vegetation</t>
  </si>
  <si>
    <t>waterbodies</t>
  </si>
  <si>
    <t>Waterbodies</t>
  </si>
  <si>
    <t>The feature belongs to the 'Waterbodies' theme.</t>
  </si>
  <si>
    <t>ThlCode_waterbodies</t>
  </si>
  <si>
    <t>A route not otherwise classified as a national motorway, primary route, or secondary route.</t>
  </si>
  <si>
    <t>Traditionally comprised of farm-to-market routes, country lanes, and larger urban streets.</t>
  </si>
  <si>
    <t>HctCode_localRoute</t>
  </si>
  <si>
    <t>A component of a national network of limited access motorways.</t>
  </si>
  <si>
    <t>May be identified in their designations, for example, with an 'I' in the US, an 'M' in the UK, or an 'E' in Europe.</t>
  </si>
  <si>
    <t>HctCode_nationalMotorway</t>
  </si>
  <si>
    <t>A component of a national network of arterial, inter-city highways, specifically excluding national motorways.</t>
  </si>
  <si>
    <t>May be identified in their designations, for example, with a 'US' in the US, a 'B' in Germany and an 'N' in Europe. When referring to designated national systems of motorways such as the US Interstate Highway System or the German Autobahns, preference should be given to instead using enumerant 'National Motorway'.</t>
  </si>
  <si>
    <t>HctCode_primaryRoute</t>
  </si>
  <si>
    <t>A component of a network of collector highways that feed primary routes.</t>
  </si>
  <si>
    <t>May be identified in their designations, for example, with an 'R' in France.</t>
  </si>
  <si>
    <t>HctCode_secondaryRoute</t>
  </si>
  <si>
    <t>avenue</t>
  </si>
  <si>
    <t>Avenue</t>
  </si>
  <si>
    <t>A broad thoroughfare bordered by trees.</t>
  </si>
  <si>
    <t>TypCode_avenue</t>
  </si>
  <si>
    <t>boulevard</t>
  </si>
  <si>
    <t>Boulevard</t>
  </si>
  <si>
    <t>A broad often landscaped thoroughfare, especially one larger than an ordinary street or avenue.</t>
  </si>
  <si>
    <t>In general, a broad main urban road.</t>
  </si>
  <si>
    <t>TypCode_boulevard</t>
  </si>
  <si>
    <t>cartTrack</t>
  </si>
  <si>
    <t>TypCode_cartTrack</t>
  </si>
  <si>
    <t>A relatively short urban thoroughfare having the shape of a circle.</t>
  </si>
  <si>
    <t>Usually found in residential areas.</t>
  </si>
  <si>
    <t>TypCode_circle</t>
  </si>
  <si>
    <t>close</t>
  </si>
  <si>
    <t>Close</t>
  </si>
  <si>
    <t>A short street ending in the form of a small circular cul-de-sac.</t>
  </si>
  <si>
    <t>Court</t>
  </si>
  <si>
    <t>TypCode_close</t>
  </si>
  <si>
    <t>drive</t>
  </si>
  <si>
    <t>Drive</t>
  </si>
  <si>
    <t>A thoroughfare represented as pleasant to drive along or with fine views, especially a private road leading to a house.</t>
  </si>
  <si>
    <t>More generally used in proper names of thoroughfares in residential areas.</t>
  </si>
  <si>
    <t>TypCode_drive</t>
  </si>
  <si>
    <t>lane</t>
  </si>
  <si>
    <t>Lane</t>
  </si>
  <si>
    <t>A narrow path, road or street passing between houses, walls, hedges, banks and/or fences.</t>
  </si>
  <si>
    <t>It usually experiences limited traffic.</t>
  </si>
  <si>
    <t>Alley</t>
  </si>
  <si>
    <t>TypCode_lane</t>
  </si>
  <si>
    <t>limitedAccessMotorway</t>
  </si>
  <si>
    <t>Limited Access Motorway</t>
  </si>
  <si>
    <t>A roadway that is specially designed for fast long-distance traffic and is subject to special regulations concerning its use that may result in localized constraints on traffic.</t>
  </si>
  <si>
    <t>A limited access motorway differs from a motorway in that it may have some crossroads, traffic lights, or pedestrian crossings.</t>
  </si>
  <si>
    <t>TypCode_limitedAccessMotorway</t>
  </si>
  <si>
    <t>motorway</t>
  </si>
  <si>
    <t>Motorway</t>
  </si>
  <si>
    <t>A roadway that is specially designed for fast long-distance traffic with unconstrained traffic flow and is subject to special regulations concerning its use.</t>
  </si>
  <si>
    <t>It may have more than two lanes. A motorway differs from all other types of thoroughfares in that it has no crossroads, no traffic lights, and no pedestrian crossings.</t>
  </si>
  <si>
    <t>TypCode_motorway</t>
  </si>
  <si>
    <t>parkway</t>
  </si>
  <si>
    <t>Parkway</t>
  </si>
  <si>
    <t>A broad landscaped thoroughfare forming the direct route between one town and another, often divided by planted median strips.</t>
  </si>
  <si>
    <t>TypCode_parkway</t>
  </si>
  <si>
    <t>place</t>
  </si>
  <si>
    <t>Place</t>
  </si>
  <si>
    <t>A small square or a side-street, especially a cul-de-sac, lined with houses.</t>
  </si>
  <si>
    <t>TypCode_place</t>
  </si>
  <si>
    <t>An inclined slip road leading on to or off a main highway.</t>
  </si>
  <si>
    <t>TypCode_ramp</t>
  </si>
  <si>
    <t>A roadway that is located outside of a built-up area (for example: a city, town, or village), that has a specially prepared surface that is maintained for use by motor vehicles and is other than a motorway or limited access motorway.</t>
  </si>
  <si>
    <t>Includes all roadways except motorway, limited access motorway, and street.</t>
  </si>
  <si>
    <t>TypCode_road</t>
  </si>
  <si>
    <t>TypCode_roundabout</t>
  </si>
  <si>
    <t>A roadway that is located within a built-up area (for example: a city, town, or village), that has a specially prepared surface that is maintained for use by motor vehicles and is other than a motorway or limited access motorway.</t>
  </si>
  <si>
    <t>Includes all roadways within a built-up area except motorway and limited access motorway.</t>
  </si>
  <si>
    <t>TypCode_street</t>
  </si>
  <si>
    <t>A raised level, usually paved area, adjoining a building, for walking or sitting.</t>
  </si>
  <si>
    <t>TypCode_terrace</t>
  </si>
  <si>
    <t>TypCode_trail</t>
  </si>
  <si>
    <t>bypass</t>
  </si>
  <si>
    <t>Bypass</t>
  </si>
  <si>
    <t>A thoroughfare passing round (the centre of) a town, providing an alternative route for through traffic.</t>
  </si>
  <si>
    <t>RdtCode_bypass</t>
  </si>
  <si>
    <t>crossingIntersectRoads</t>
  </si>
  <si>
    <t>Crossing/Intersection of Roads</t>
  </si>
  <si>
    <t>A place where roads cross and/or intersect.</t>
  </si>
  <si>
    <t>RdtCode_crossingIntersectRoads</t>
  </si>
  <si>
    <t>highSpeed</t>
  </si>
  <si>
    <t>High Speed</t>
  </si>
  <si>
    <t>A public, high-speed road intended to have restricted access.</t>
  </si>
  <si>
    <t>Usually passing between and/or around major urban areas.</t>
  </si>
  <si>
    <t>Highway</t>
  </si>
  <si>
    <t>RdtCode_highSpeed</t>
  </si>
  <si>
    <t>A thoroughfare primarily used to serve private properties (for example: leading to a farm or estate).</t>
  </si>
  <si>
    <t>Laneway</t>
  </si>
  <si>
    <t>RdtCode_private</t>
  </si>
  <si>
    <t>rapidTransit</t>
  </si>
  <si>
    <t>Rapid Transit</t>
  </si>
  <si>
    <t>A thoroughfare whose use is restricted to vehicles (for example: buses) that are part of a public transportation system.</t>
  </si>
  <si>
    <t>RdtCode_rapidTransit</t>
  </si>
  <si>
    <t>service</t>
  </si>
  <si>
    <t>Service</t>
  </si>
  <si>
    <t>A thoroughfare intended for other than general public use (for example: refuse removal or contractor access).</t>
  </si>
  <si>
    <t>For example, thoroughfares intended for the primary use of: utility personnel, oil and/or logging companies, farmers and/or ranchers, and/or in-holders.</t>
  </si>
  <si>
    <t>RdtCode_service</t>
  </si>
  <si>
    <t>slipRoad</t>
  </si>
  <si>
    <t>Slip-road</t>
  </si>
  <si>
    <t>A short, usually one-way, road giving access to or exit from a motorway.</t>
  </si>
  <si>
    <t>RdtCode_slipRoad</t>
  </si>
  <si>
    <t>A thoroughfare that passes through a place (for example: an urban area) without requiring vehicles to stop.</t>
  </si>
  <si>
    <t>RdtCode_throughRoute</t>
  </si>
  <si>
    <t>trackOrPath</t>
  </si>
  <si>
    <t>Track or Path</t>
  </si>
  <si>
    <t>Track - a rough path or way formed by use. Path - a way or track laid down for walking or made by continual treading.</t>
  </si>
  <si>
    <t>RdtCode_trackOrPath</t>
  </si>
  <si>
    <t>antiDetonationInjection</t>
  </si>
  <si>
    <t>Anti-detonation Injection (ADI)</t>
  </si>
  <si>
    <t>Anti-Detonation Injection (ADI) fluid for reciprocating engine aircraft.</t>
  </si>
  <si>
    <t>TafCode_antiDetonationInjection</t>
  </si>
  <si>
    <t>s_1739</t>
  </si>
  <si>
    <t>S-1739</t>
  </si>
  <si>
    <t>100 percent Dematerialised water.</t>
  </si>
  <si>
    <t>TafCode_s_1739</t>
  </si>
  <si>
    <t>s_1744</t>
  </si>
  <si>
    <t>S-1744</t>
  </si>
  <si>
    <t>Grade 45/55, 43.8 percent Methanol, 56.2 percent Dematerialised water mixture.</t>
  </si>
  <si>
    <t>AL-28</t>
  </si>
  <si>
    <t>TafCode_s_1744</t>
  </si>
  <si>
    <t>100 percent Methanol, reagent grade.</t>
  </si>
  <si>
    <t>AL-14</t>
  </si>
  <si>
    <t>TafCode_s_747</t>
  </si>
  <si>
    <t>Water (W)</t>
  </si>
  <si>
    <t>Water thrust augmentation for jet aircraft.</t>
  </si>
  <si>
    <t>TafCode_water</t>
  </si>
  <si>
    <t>waterAlcohol</t>
  </si>
  <si>
    <t>Water Alcohol Injection (WAI)</t>
  </si>
  <si>
    <t>Water Alcohol injection for thrust augmentation jet aircraft.</t>
  </si>
  <si>
    <t>TafCode_waterAlcohol</t>
  </si>
  <si>
    <t>TctCode_mangrove</t>
  </si>
  <si>
    <t>tidalFlat</t>
  </si>
  <si>
    <t>Tidal Flat</t>
  </si>
  <si>
    <t>A flat coast with tides where tideland develops.</t>
  </si>
  <si>
    <t>It is an ecological highly diverse, major habitat.</t>
  </si>
  <si>
    <t>TctCode_tidalFlat</t>
  </si>
  <si>
    <t>diurnal</t>
  </si>
  <si>
    <t>Diurnal</t>
  </si>
  <si>
    <t>A tide in which the tidal cycle consists of one high water and one low water each tidal day.</t>
  </si>
  <si>
    <t>TdcCode_diurnal</t>
  </si>
  <si>
    <t>The type of tide in which a diurnal wave produces large inequalities in heights and/or durations of successive high and/or low waters.</t>
  </si>
  <si>
    <t>This term applies to the tides intermediate to those predominantly semidiurnal and those predominantly diurnal.</t>
  </si>
  <si>
    <t>TdcCode_mixed</t>
  </si>
  <si>
    <t>mixedDiurnal</t>
  </si>
  <si>
    <t>Mixed Diurnal</t>
  </si>
  <si>
    <t>Diurnal tides which become semidiurnal with a considerable decrease in range when the moon's declination is small.</t>
  </si>
  <si>
    <t>TdcCode_mixedDiurnal</t>
  </si>
  <si>
    <t>mixedSemiDiurnal</t>
  </si>
  <si>
    <t>Mixed Semi-diurnal</t>
  </si>
  <si>
    <t>Semi-diurnal tides with noticeable inequality in corresponding extremes.</t>
  </si>
  <si>
    <t>TdcCode_mixedSemiDiurnal</t>
  </si>
  <si>
    <t>quarterDiurnal</t>
  </si>
  <si>
    <t>Quarter Diurnal</t>
  </si>
  <si>
    <t>The tide resulting from the distortion of the normal tide in shallow water with four high waters and four low waters during one day.</t>
  </si>
  <si>
    <t>TdcCode_quarterDiurnal</t>
  </si>
  <si>
    <t>semiDiurnal</t>
  </si>
  <si>
    <t>Semi-diurnal</t>
  </si>
  <si>
    <t>A tide in which the tidal cycle consists of two high waters and two low waters each tidal day, with comparatively little diurnal inequality.</t>
  </si>
  <si>
    <t>TdcCode_semiDiurnal</t>
  </si>
  <si>
    <t>shallowWater</t>
  </si>
  <si>
    <t>Shallow Water</t>
  </si>
  <si>
    <t>A tide with distortional effects resulting from shallow water.</t>
  </si>
  <si>
    <t>TdcCode_shallowWater</t>
  </si>
  <si>
    <t>burialMound</t>
  </si>
  <si>
    <t>Burial Mound</t>
  </si>
  <si>
    <t>A mound of earth and stones raised over one or more graves.</t>
  </si>
  <si>
    <t>A burial mound composed largely or entirely of stones is usually referred to as a 'cairn'.</t>
  </si>
  <si>
    <t>Tumulus(i), Barrow(s), Kurgan(s)</t>
  </si>
  <si>
    <t>TtyCode_burialMound</t>
  </si>
  <si>
    <t>catacomb</t>
  </si>
  <si>
    <t>Catacomb</t>
  </si>
  <si>
    <t>A network of underground galleries (for example: caves, grottos, or tunnels) in which burial niches are carved into the walls.</t>
  </si>
  <si>
    <t>TtyCode_catacomb</t>
  </si>
  <si>
    <t>A cave serving as a tomb.</t>
  </si>
  <si>
    <t>May be used to contain a single corpse and then have the opening sealed, or may contain one or more burial niches carved into its walls. The cave may be either man-made (excavated directly into the solid rock) or naturally occurring.</t>
  </si>
  <si>
    <t>TtyCode_cave</t>
  </si>
  <si>
    <t>columbarium</t>
  </si>
  <si>
    <t>Columbarium</t>
  </si>
  <si>
    <t>A compartmentalized structure for holding cremated remains.</t>
  </si>
  <si>
    <t>A columbarium may be enclosed in a building, incorporated into a building, or exist as a freestanding outside structure. Typically, an individual vertical compartment in the columbarium holds an urn of ashes and is covered with a name plaque.</t>
  </si>
  <si>
    <t>TtyCode_columbarium</t>
  </si>
  <si>
    <t>crypt</t>
  </si>
  <si>
    <t>Crypt</t>
  </si>
  <si>
    <t>A tomb in the form of an underground chamber or vault located under a religious building (for example: a church).</t>
  </si>
  <si>
    <t>TtyCode_crypt</t>
  </si>
  <si>
    <t>mausoleum</t>
  </si>
  <si>
    <t>Mausoleum</t>
  </si>
  <si>
    <t>A building containing a number of sealed tombs.</t>
  </si>
  <si>
    <t>May also include columbarium niches for cremated remains. Usually each tomb or niche is labeled with a plaque which includes information about the deceased. The term derives from the tomb of Mausolus at Halicarnassus.</t>
  </si>
  <si>
    <t>TtyCode_mausoleum</t>
  </si>
  <si>
    <t>surfaceVault</t>
  </si>
  <si>
    <t>Surface Vault</t>
  </si>
  <si>
    <t>A tomb constructed as a small building located mostly or completely aboveground.</t>
  </si>
  <si>
    <t>TtyCode_surfaceVault</t>
  </si>
  <si>
    <t>twoConesBaseToBase</t>
  </si>
  <si>
    <t>2 Cones Base to Base</t>
  </si>
  <si>
    <t>Two cones, one above the other, with their bases together in the centre and their vertices pointing up and down.</t>
  </si>
  <si>
    <t>A cone is a solid figure generated by straight lines drawn from a fixed point (the vertex) to a circle in a plane not containing the vertex. The International Association of Lighthouse Authorities (IALA) uses two cones, base to base, as an east cardinal mark.</t>
  </si>
  <si>
    <t>TzpCode_twoConesBaseToBase</t>
  </si>
  <si>
    <t>twoConesPointToPoint</t>
  </si>
  <si>
    <t>2 Cones Point to Point</t>
  </si>
  <si>
    <t>Two cones, one above the other, with their vertices together in the centre.</t>
  </si>
  <si>
    <t>A cone is a solid figure generated by straight lines drawn from a fixed point (the vertex) to a circle in a plane not containing the vertex. The International Association of Lighthouse Authorities (IALA) uses two cones, point to point, as a west cardinal mark.</t>
  </si>
  <si>
    <t>TzpCode_twoConesPointToPoint</t>
  </si>
  <si>
    <t>twoConesPointsDownward</t>
  </si>
  <si>
    <t>2 Cones Points Downward</t>
  </si>
  <si>
    <t>Two cones, one above the other, with their vertices pointing down.</t>
  </si>
  <si>
    <t>A cone is a solid figure generated by straight lines drawn from a fixed point (the vertex) to a circle in a plane not containing the vertex. The International Association of Lighthouse Authorities (IALA) uses two cones, points down, as a south cardinal mark.</t>
  </si>
  <si>
    <t>TzpCode_twoConesPointsDownward</t>
  </si>
  <si>
    <t>twoConesPointsUpward</t>
  </si>
  <si>
    <t>2 Cones Points Upward</t>
  </si>
  <si>
    <t>Two cones, one above the other, with their vertices pointing up.</t>
  </si>
  <si>
    <t>A cone is a solid figure generated by straight lines drawn from a fixed point (the vertex) to a circle in a plane not containing the vertex. The International Association of Lighthouse Authorities (IALA) uses two cones, points up, as a north cardinal mark.</t>
  </si>
  <si>
    <t>TzpCode_twoConesPointsUpward</t>
  </si>
  <si>
    <t>twoSpheresOneOverOther</t>
  </si>
  <si>
    <t>2 Spheres One over Other</t>
  </si>
  <si>
    <t>Two spheres, generally vertically disposed one above the other.</t>
  </si>
  <si>
    <t>A sphere is a globular body, the surface of which is at all points equidistant from the centre. The International Association of Lighthouse Authorities (IALA) uses two black balls (spheres) as an isolated danger topmark.</t>
  </si>
  <si>
    <t>2 Balls One over Other</t>
  </si>
  <si>
    <t>TzpCode_twoSpheresOneOverOther</t>
  </si>
  <si>
    <t>twoUprightCrosses</t>
  </si>
  <si>
    <t>2 Upright Crosses</t>
  </si>
  <si>
    <t>Two upright crosses, generally vertically disposed one above the other.</t>
  </si>
  <si>
    <t>An upright cross is a cross with one vertical member and one horizontal member, similar in shape to the character '+'.</t>
  </si>
  <si>
    <t>TzpCode_twoUprightCrosses</t>
  </si>
  <si>
    <t>ballOverCone</t>
  </si>
  <si>
    <t>Ball over Cone</t>
  </si>
  <si>
    <t>One sphere (ball) located above a cone.</t>
  </si>
  <si>
    <t>TzpCode_ballOverCone</t>
  </si>
  <si>
    <t>besomPointDownward</t>
  </si>
  <si>
    <t>Besom Point Downward</t>
  </si>
  <si>
    <t>A broom (bundle of rods or twigs) or a perch (staff) that is pointing down.</t>
  </si>
  <si>
    <t>Broom Point Downward</t>
  </si>
  <si>
    <t>TzpCode_besomPointDownward</t>
  </si>
  <si>
    <t>besomPointUpward</t>
  </si>
  <si>
    <t>Besom Point Upward</t>
  </si>
  <si>
    <t>A broom (bundle of rods or twigs) or a perch (staff) that is pointing up.</t>
  </si>
  <si>
    <t>Broom Point Upward</t>
  </si>
  <si>
    <t>TzpCode_besomPointUpward</t>
  </si>
  <si>
    <t>board</t>
  </si>
  <si>
    <t>Board</t>
  </si>
  <si>
    <t>A board, usually of rectangular shape, made from timber or metal and used to provide a contrast with the natural background of a daymark.</t>
  </si>
  <si>
    <t>The actual daymark is often painted on to this board.</t>
  </si>
  <si>
    <t>TzpCode_board</t>
  </si>
  <si>
    <t>canOverBall</t>
  </si>
  <si>
    <t>Can over Ball</t>
  </si>
  <si>
    <t>One cylinder, vertically oriented located above a non-filled sphere (ball).</t>
  </si>
  <si>
    <t>TzpCode_canOverBall</t>
  </si>
  <si>
    <t>A perfectly round plane figure whose circumference is everywhere equidistant from its centre.</t>
  </si>
  <si>
    <t>TzpCode_circle</t>
  </si>
  <si>
    <t>circleOverTrianglePointUp</t>
  </si>
  <si>
    <t>Circle over Triangle Point Upward</t>
  </si>
  <si>
    <t>A circle located over a triangle with vertex uppermost.</t>
  </si>
  <si>
    <t>A triangle is a figure having three angles and three sides.</t>
  </si>
  <si>
    <t>TzpCode_circleOverTrianglePointUp</t>
  </si>
  <si>
    <t>coneOverBall</t>
  </si>
  <si>
    <t>Cone over Ball</t>
  </si>
  <si>
    <t>One cone located above one sphere (ball).</t>
  </si>
  <si>
    <t>TzpCode_coneOverBall</t>
  </si>
  <si>
    <t>conePointDownward</t>
  </si>
  <si>
    <t>Cone Point Downward</t>
  </si>
  <si>
    <t>One cone, with its vertex pointing down.</t>
  </si>
  <si>
    <t>A cone is a solid figure generated by straight lines drawn from a fixed point (the vertex) to a circle in a plane not containing the vertex. A single cone pointing down is not used in the International Association of Lighthouse Authorities (IALA) system.</t>
  </si>
  <si>
    <t>TzpCode_conePointDownward</t>
  </si>
  <si>
    <t>conePointUpward</t>
  </si>
  <si>
    <t>Cone Point Upward</t>
  </si>
  <si>
    <t>One cone, with its vertex pointing up.</t>
  </si>
  <si>
    <t>A cone is a solid figure generated by straight lines drawn from a fixed point (the vertex) to a circle in a plane not containing the vertex. The International Association of Lighthouse Authorities (IALA) uses one cone, point up, as a lateral mark.</t>
  </si>
  <si>
    <t>TzpCode_conePointUpward</t>
  </si>
  <si>
    <t>crossOverBall</t>
  </si>
  <si>
    <t>Cross over Ball</t>
  </si>
  <si>
    <t>One vertically elongated cross (+) or x-shaped object located above a non-filled sphere (ball).</t>
  </si>
  <si>
    <t>TzpCode_crossOverBall</t>
  </si>
  <si>
    <t>cubePointUpward</t>
  </si>
  <si>
    <t>Cube Point Upward</t>
  </si>
  <si>
    <t>A cube standing on one of its vertexes.</t>
  </si>
  <si>
    <t>A cube is a solid contained by six equal squares; a regular hexahedron.</t>
  </si>
  <si>
    <t>TzpCode_cubePointUpward</t>
  </si>
  <si>
    <t>cylinder</t>
  </si>
  <si>
    <t>Cylinder</t>
  </si>
  <si>
    <t>A cylinder, vertically oriented.</t>
  </si>
  <si>
    <t>A cylinder is a solid geometrical figure generated by straight line fixed in direction and describing with one of its' points a closed curve, especially a circle (in which case the figure is a circular cylinder, its ends being parallel circles). The International Association of Lighthouse Authorities (IALA) uses a cylinder as a topmark on a lateral mark. In this application, the height of the cylinder is greater than the diameter, resulting in a vertical rectangular topmark when viewed from any direction.</t>
  </si>
  <si>
    <t>TzpCode_cylinder</t>
  </si>
  <si>
    <t>A plane figure having four equal sides and equal opposite angles (two acute and two obtuse); an oblique equilateral parallelogram.</t>
  </si>
  <si>
    <t>Rhombus</t>
  </si>
  <si>
    <t>TzpCode_diamond</t>
  </si>
  <si>
    <t>diamondOverBall</t>
  </si>
  <si>
    <t>Diamond over Ball</t>
  </si>
  <si>
    <t>One vertically elongated rhombus located above a filled sphere (ball).</t>
  </si>
  <si>
    <t>TzpCode_diamondOverBall</t>
  </si>
  <si>
    <t>diamondOverCircle</t>
  </si>
  <si>
    <t>Diamond over Circle</t>
  </si>
  <si>
    <t>A diamond located above a circle.</t>
  </si>
  <si>
    <t>A diamond (or rhombus) is a plane figure having four equal sides and equal opposite angles (two acute and two obtuse); an oblique equilateral parallelogram.</t>
  </si>
  <si>
    <t>Rhombus over Circle</t>
  </si>
  <si>
    <t>TzpCode_diamondOverCircle</t>
  </si>
  <si>
    <t>flag</t>
  </si>
  <si>
    <t>Flag</t>
  </si>
  <si>
    <t>A flag mounted on a short pole.</t>
  </si>
  <si>
    <t>TzpCode_flag</t>
  </si>
  <si>
    <t>horizontalRectangle</t>
  </si>
  <si>
    <t>Horizontal Rectangle</t>
  </si>
  <si>
    <t>A rectangle where the two longer opposite sides are standing horizontally.</t>
  </si>
  <si>
    <t>A rectangle is a plane figure with four right angles and four straight sides, opposite sides being parallel and equal in length.</t>
  </si>
  <si>
    <t>TzpCode_horizontalRectangle</t>
  </si>
  <si>
    <t>sphere</t>
  </si>
  <si>
    <t>Sphere</t>
  </si>
  <si>
    <t>A sphere.</t>
  </si>
  <si>
    <t>A sphere is a globular body, the surface of which is at all points equidistant from the centre. The International Association of Lighthouse Authorities (IALA) uses a sphere as a safe water topmark.</t>
  </si>
  <si>
    <t>Ball, Circle</t>
  </si>
  <si>
    <t>TzpCode_sphere</t>
  </si>
  <si>
    <t>sphereOverDiamond</t>
  </si>
  <si>
    <t>Sphere over Diamond</t>
  </si>
  <si>
    <t>A sphere (ball) located above a diamond.</t>
  </si>
  <si>
    <t>Ball over Rhombus</t>
  </si>
  <si>
    <t>TzpCode_sphereOverDiamond</t>
  </si>
  <si>
    <t>A plane figure with four right angles and four equal straight sides.</t>
  </si>
  <si>
    <t>TzpCode_square</t>
  </si>
  <si>
    <t>trapeziumShortDownward</t>
  </si>
  <si>
    <t>Trapezium Short Downward</t>
  </si>
  <si>
    <t>A trapezium that stands on its shorter parallel side.</t>
  </si>
  <si>
    <t>A trapezium is a quadrilateral having one pair of opposite sides parallel.</t>
  </si>
  <si>
    <t>TzpCode_trapeziumShortDownward</t>
  </si>
  <si>
    <t>trapeziumShortUpward</t>
  </si>
  <si>
    <t>Trapezium Short Upward</t>
  </si>
  <si>
    <t>A trapezium that stands on its longer parallel side.</t>
  </si>
  <si>
    <t>TzpCode_trapeziumShortUpward</t>
  </si>
  <si>
    <t>trianglePointDownward</t>
  </si>
  <si>
    <t>Triangle Point Downward</t>
  </si>
  <si>
    <t>A triangle with vertex down.</t>
  </si>
  <si>
    <t>TzpCode_trianglePointDownward</t>
  </si>
  <si>
    <t>trianglePointUpward</t>
  </si>
  <si>
    <t>Triangle Point Upward</t>
  </si>
  <si>
    <t>A triangle with vertex uppermost.</t>
  </si>
  <si>
    <t>TzpCode_trianglePointUpward</t>
  </si>
  <si>
    <t>trianglePointUpOverCircle</t>
  </si>
  <si>
    <t>Triangle Point Upward over Circle</t>
  </si>
  <si>
    <t>A triangle, vertex uppermost, located above a circle.</t>
  </si>
  <si>
    <t>TzpCode_trianglePointUpOverCircle</t>
  </si>
  <si>
    <t>T-shaped</t>
  </si>
  <si>
    <t>Having a shape like the capital letter 'T'.</t>
  </si>
  <si>
    <t>TzpCode_shapedLikeT</t>
  </si>
  <si>
    <t>shapedLikeUprightCross</t>
  </si>
  <si>
    <t>Upright Cross</t>
  </si>
  <si>
    <t>A cross with one vertical member and one horizontal member, similar in shape to the character '+'.</t>
  </si>
  <si>
    <t>St. George's Cross</t>
  </si>
  <si>
    <t>TzpCode_shapedLikeUprightCross</t>
  </si>
  <si>
    <t>uprightCrossOverCircle</t>
  </si>
  <si>
    <t>Upright Cross over Circle</t>
  </si>
  <si>
    <t>An upright cross located above a circle.</t>
  </si>
  <si>
    <t>TzpCode_uprightCrossOverCircle</t>
  </si>
  <si>
    <t>verticalRectangle</t>
  </si>
  <si>
    <t>Vertical Rectangle</t>
  </si>
  <si>
    <t>A rectangle where the two longer opposite sides are standing vertically.</t>
  </si>
  <si>
    <t>TzpCode_verticalRectangle</t>
  </si>
  <si>
    <t>shapedLikeX</t>
  </si>
  <si>
    <t>X-shaped</t>
  </si>
  <si>
    <t>Having a shape like the capital letter 'X'.</t>
  </si>
  <si>
    <t>The International Association of Lighthouse Authorities (IALA) uses an 'X' shape as a special mark. When so used it should be 3 dimensional in shape, made of at least three crossed bars.</t>
  </si>
  <si>
    <t xml:space="preserve">St. Andrew's Cross  </t>
  </si>
  <si>
    <t>TzpCode_shapedLikeX</t>
  </si>
  <si>
    <t>The feature is located at an artificially built passage crossing a water body or a valley.</t>
  </si>
  <si>
    <t>TppCode_bridge</t>
  </si>
  <si>
    <t>The feature is located on a flat terrain.</t>
  </si>
  <si>
    <t>TppCode_flat</t>
  </si>
  <si>
    <t>The feature is located at a naturally trafficable part of a river.</t>
  </si>
  <si>
    <t>TppCode_ford</t>
  </si>
  <si>
    <t>hightideLimit</t>
  </si>
  <si>
    <t>Hightide Limit</t>
  </si>
  <si>
    <t>The feature is located at the last point of a tidal influenced segment of the lower reaches of a river.</t>
  </si>
  <si>
    <t>TppCode_hightideLimit</t>
  </si>
  <si>
    <t>hilltop</t>
  </si>
  <si>
    <t>Hilltop</t>
  </si>
  <si>
    <t>The feature is located on a dome shaped peak.</t>
  </si>
  <si>
    <t>TppCode_hilltop</t>
  </si>
  <si>
    <t>hollow</t>
  </si>
  <si>
    <t>Hollow</t>
  </si>
  <si>
    <t>The feature is located in a flat closed depression.</t>
  </si>
  <si>
    <t>TppCode_hollow</t>
  </si>
  <si>
    <t>island</t>
  </si>
  <si>
    <t>The feature is located on a landmass surrounded by water.</t>
  </si>
  <si>
    <t>TppCode_island</t>
  </si>
  <si>
    <t>The feature is located in a mountainous region.</t>
  </si>
  <si>
    <t>TppCode_mountain</t>
  </si>
  <si>
    <t>mountainPass</t>
  </si>
  <si>
    <t>The feature is located at a mountain pass.</t>
  </si>
  <si>
    <t>TppCode_mountainPass</t>
  </si>
  <si>
    <t>mountainPassApproach</t>
  </si>
  <si>
    <t>Mountain Pass Approach</t>
  </si>
  <si>
    <t>The feature is located at the ascent to a mountain pass.</t>
  </si>
  <si>
    <t>TppCode_mountainPassApproach</t>
  </si>
  <si>
    <t>mountainSlope</t>
  </si>
  <si>
    <t>Mountain Slope</t>
  </si>
  <si>
    <t>The feature is located on a mountain slope.</t>
  </si>
  <si>
    <t>TppCode_mountainSlope</t>
  </si>
  <si>
    <t>naturalHarbor</t>
  </si>
  <si>
    <t>Natural Harbor</t>
  </si>
  <si>
    <t>The feature is located at a bay or river mouth, useable as a harbour because of its natural conditions.</t>
  </si>
  <si>
    <t>TppCode_naturalHarbor</t>
  </si>
  <si>
    <t>seacoast</t>
  </si>
  <si>
    <t>Seacoast</t>
  </si>
  <si>
    <t>The feature is located on a seacoast.</t>
  </si>
  <si>
    <t>TppCode_seacoast</t>
  </si>
  <si>
    <t>springSite</t>
  </si>
  <si>
    <t>Spring Site</t>
  </si>
  <si>
    <t>The feature is located at a natural water outflow.</t>
  </si>
  <si>
    <t>TppCode_springSite</t>
  </si>
  <si>
    <t>The feature is located on an outstanding promontory.</t>
  </si>
  <si>
    <t>TppCode_spur</t>
  </si>
  <si>
    <t>The feature is located on a benched terrain (mountain terrace, river terrace).</t>
  </si>
  <si>
    <t>TppCode_terrace</t>
  </si>
  <si>
    <t>The feature is located in a long flat depression, open on one side.</t>
  </si>
  <si>
    <t>TppCode_valley</t>
  </si>
  <si>
    <t>The feature is located on artificial constructions in water bodies.</t>
  </si>
  <si>
    <t>TppCode_waterbody</t>
  </si>
  <si>
    <t>waterbodyBank</t>
  </si>
  <si>
    <t>Waterbody Bank</t>
  </si>
  <si>
    <t>The feature is located on the bank of an inland water body.</t>
  </si>
  <si>
    <t>TppCode_waterbodyBank</t>
  </si>
  <si>
    <t>frameShapedLikeA</t>
  </si>
  <si>
    <t>A' Frame</t>
  </si>
  <si>
    <t>Having a structural frame shaped like the capital letter 'A' when viewed from the side.</t>
  </si>
  <si>
    <t>Usually formed from truss-like elements bearing on the ground at four points for stability. When only one or two support points are used then guys may be employed.</t>
  </si>
  <si>
    <t>A-frame</t>
  </si>
  <si>
    <t>TosCode_frameShapedLikeA</t>
  </si>
  <si>
    <t>frameShapedLikeH</t>
  </si>
  <si>
    <t>H' Frame</t>
  </si>
  <si>
    <t>Having a structural frame shaped like the capital letter 'H' when viewed from the side.</t>
  </si>
  <si>
    <t>TosCode_frameShapedLikeH</t>
  </si>
  <si>
    <t>frameShapedLikeI</t>
  </si>
  <si>
    <t>I' Frame</t>
  </si>
  <si>
    <t>Having a structural frame shaped like the serif capital letter 'I' when viewed from the side.</t>
  </si>
  <si>
    <t>TosCode_frameShapedLikeI</t>
  </si>
  <si>
    <t>mast</t>
  </si>
  <si>
    <t>A tall but relatively lightweight post (for example: a timber or a hollow cylinder of wood or metal).</t>
  </si>
  <si>
    <t>Often guyed in order to withstand wind loads.</t>
  </si>
  <si>
    <t>TosCode_mast</t>
  </si>
  <si>
    <t>TosCode_obelisk</t>
  </si>
  <si>
    <t>pole</t>
  </si>
  <si>
    <t>Pole</t>
  </si>
  <si>
    <t>A slender, more or less cylindrical post constructed from a variety of materials (for example: wood, metal, or fibre-glass) that is less substantial than a mast.</t>
  </si>
  <si>
    <t>May be guyed.</t>
  </si>
  <si>
    <t>TosCode_pole</t>
  </si>
  <si>
    <t>Generally solid-faced.</t>
  </si>
  <si>
    <t>TosCode_rectangularPrism</t>
  </si>
  <si>
    <t>TosCode_squarePrism</t>
  </si>
  <si>
    <t>frameShapedLikeT</t>
  </si>
  <si>
    <t>T' Frame</t>
  </si>
  <si>
    <t>Having a structural frame shaped like the capital letter 'T' when viewed from the side.</t>
  </si>
  <si>
    <t>TosCode_frameShapedLikeT</t>
  </si>
  <si>
    <t>towerMill</t>
  </si>
  <si>
    <t>Tower Mill</t>
  </si>
  <si>
    <t>Consisting typically of a squat masonry brick or stone tower on top of which sits a roof or cap which can be turned to face the wind thus ensuring maximal effect on attached sails.</t>
  </si>
  <si>
    <t>A common form of windmill shape in the Netherlands.</t>
  </si>
  <si>
    <t>TosCode_towerMill</t>
  </si>
  <si>
    <t>tripod</t>
  </si>
  <si>
    <t>Tripod</t>
  </si>
  <si>
    <t>A three-legged tower.</t>
  </si>
  <si>
    <t>TosCode_tripod</t>
  </si>
  <si>
    <t>A structure based on a series of trusses (diagonal frameworks) assembled in various configurations (for example: as an A-frame).</t>
  </si>
  <si>
    <t>For example, the Eiffel Tower.</t>
  </si>
  <si>
    <t>TosCode_truss</t>
  </si>
  <si>
    <t>tubular</t>
  </si>
  <si>
    <t>Tubular</t>
  </si>
  <si>
    <t>A tall, heavyweight, hollow cylinder of metal that does not require guying and is capable of withstanding significant wind loads.</t>
  </si>
  <si>
    <t>TosCode_tubular</t>
  </si>
  <si>
    <t>frameShapedLikeY</t>
  </si>
  <si>
    <t>Y' Frame</t>
  </si>
  <si>
    <t>Having a structural frame shaped like the capital letter 'Y' when viewed from the side.</t>
  </si>
  <si>
    <t>TosCode_frameShapedLikeY</t>
  </si>
  <si>
    <t>TtcCode_bridgeTower</t>
  </si>
  <si>
    <t>cellTower</t>
  </si>
  <si>
    <t>Cell Tower</t>
  </si>
  <si>
    <t>A tower used to support a set of aerials for transmitting and/or receiving Personal Communications Service (PCS) communication signals.</t>
  </si>
  <si>
    <t>In Canada and the United States, 'Personal Communications Service' (PCS) is the name for the 1900-MHz radio band used for digital mobile phone services. CDMA, GSM, and TDMA systems can all be used on PCS frequencies. 'World phones' (some of which are known as 'tri-band' phones, because they operate in three different frequency bands) support both European and North American frequencies. Outside the United States the term 'PCS' is used to refer to GSM-1900.</t>
  </si>
  <si>
    <t>TtcCode_cellTower</t>
  </si>
  <si>
    <t>communicationTower</t>
  </si>
  <si>
    <t>TtcCode_communicationTower</t>
  </si>
  <si>
    <t>controlTower</t>
  </si>
  <si>
    <t>A tower that houses personnel and equipment used to control the flow of traffic on a transportation route (for example: an air, rail, or maritime route).</t>
  </si>
  <si>
    <t>TtcCode_controlTower</t>
  </si>
  <si>
    <t>coolingTower</t>
  </si>
  <si>
    <t>TtcCode_coolingTower</t>
  </si>
  <si>
    <t>dropTower</t>
  </si>
  <si>
    <t>Drop Tower</t>
  </si>
  <si>
    <t>A tower used in training to simulate fall from a height (for example: aircraft exit, parachute handling, or landing).</t>
  </si>
  <si>
    <t>TtcCode_dropTower</t>
  </si>
  <si>
    <t>fireTower</t>
  </si>
  <si>
    <t>Fire Tower</t>
  </si>
  <si>
    <t>A watchtower where a lookout is posted to watch for fires.</t>
  </si>
  <si>
    <t>Usually built on elevated terrain in forests and treed-tracts, especially in areas prone to naturally-occurring fires.</t>
  </si>
  <si>
    <t>TtcCode_fireTower</t>
  </si>
  <si>
    <t>A tower from which a facility (for example: a prison) is guarded.</t>
  </si>
  <si>
    <t>There is often a small building on the top and the tower usually overlooks perimeter walls, fences, and/or gates.</t>
  </si>
  <si>
    <t>TtcCode_guardTower</t>
  </si>
  <si>
    <t>industrialTower</t>
  </si>
  <si>
    <t>Industrial Tower</t>
  </si>
  <si>
    <t>A tower used in manufacturing (for example: a shot tower) and/or production (for example: fuel distillation).</t>
  </si>
  <si>
    <t>May also be used for research purposes (for example: simulation of microgravity by free-fall).</t>
  </si>
  <si>
    <t>TtcCode_industrialTower</t>
  </si>
  <si>
    <t>lightTower</t>
  </si>
  <si>
    <t>Light Tower</t>
  </si>
  <si>
    <t>A tower carrying a light as a navigational aid.</t>
  </si>
  <si>
    <t>TtcCode_lightTower</t>
  </si>
  <si>
    <t>lookoutTower</t>
  </si>
  <si>
    <t>Lookout Tower</t>
  </si>
  <si>
    <t>A tower from which a watch is habitually kept.</t>
  </si>
  <si>
    <t>There is often a small building on the top.</t>
  </si>
  <si>
    <t>TtcCode_lookoutTower</t>
  </si>
  <si>
    <t>loranTower</t>
  </si>
  <si>
    <t>LORAN Tower</t>
  </si>
  <si>
    <t>A tower on which a LORAN aerial is attached to increase its transmission range.</t>
  </si>
  <si>
    <t>LORAN is a radio navigation system by which a position is calculated from the time delay between signals from two pairs of synchronized radio transmitters.</t>
  </si>
  <si>
    <t>TtcCode_loranTower</t>
  </si>
  <si>
    <t>microwaveTower</t>
  </si>
  <si>
    <t>Microwave Tower</t>
  </si>
  <si>
    <t>A tower on which a microwave aerial is attached to increase its effective range.</t>
  </si>
  <si>
    <t>TtcCode_microwaveTower</t>
  </si>
  <si>
    <t>mineShaftSuperstructure</t>
  </si>
  <si>
    <t>Headframe, Gallows Frame</t>
  </si>
  <si>
    <t>TtcCode_mineShaftSuperstructure</t>
  </si>
  <si>
    <t>observationTower</t>
  </si>
  <si>
    <t>Observation Tower</t>
  </si>
  <si>
    <t>A tower from which a watch is not habitually kept.</t>
  </si>
  <si>
    <t>May, for example, be used for scientific study.</t>
  </si>
  <si>
    <t>TtcCode_observationTower</t>
  </si>
  <si>
    <t>powerLinePylon</t>
  </si>
  <si>
    <t>TtcCode_powerLinePylon</t>
  </si>
  <si>
    <t>radarTower</t>
  </si>
  <si>
    <t>Radar Tower</t>
  </si>
  <si>
    <t>A tower on which a radar aerial is attached to increase its transmission range.</t>
  </si>
  <si>
    <t>TtcCode_radarTower</t>
  </si>
  <si>
    <t>radioTower</t>
  </si>
  <si>
    <t>Radio Tower</t>
  </si>
  <si>
    <t>A tower on which a radio aerial is attached to increase its transmission range.</t>
  </si>
  <si>
    <t>TtcCode_radioTower</t>
  </si>
  <si>
    <t>solarPowerTower</t>
  </si>
  <si>
    <t>Solar Power Tower</t>
  </si>
  <si>
    <t>A tower used with an array of heliostats to collect the energy of sunlight in the form of heat.</t>
  </si>
  <si>
    <t>The heat is used to drive a turbine to generate electricity. The heliostats (flat mirrors that track the position of the sun) serve to focus sunlight collected over a large area onto the much smaller tower.</t>
  </si>
  <si>
    <t>TtcCode_solarPowerTower</t>
  </si>
  <si>
    <t>telecommunicationTower</t>
  </si>
  <si>
    <t>Telecommunication Tower</t>
  </si>
  <si>
    <t>A tower used to support a set of aerials for transmitting and/or receiving telecommunication signals.</t>
  </si>
  <si>
    <t>TtcCode_telecommunicationTower</t>
  </si>
  <si>
    <t>televisionTower</t>
  </si>
  <si>
    <t>Television Tower</t>
  </si>
  <si>
    <t>A tower on which a television aerial is attached to increase its transmission range.</t>
  </si>
  <si>
    <t>TtcCode_televisionTower</t>
  </si>
  <si>
    <t>waterTower</t>
  </si>
  <si>
    <t>TtcCode_waterTower</t>
  </si>
  <si>
    <t>craneTrack</t>
  </si>
  <si>
    <t>Crane Track</t>
  </si>
  <si>
    <t>Designed to provide mobility for a travelling crane or a moveable gantry.</t>
  </si>
  <si>
    <t>Often aligned parallel to the face of a wharf in order that the crane may be used to load and unload cargo vessels.</t>
  </si>
  <si>
    <t>TrtCode_craneTrack</t>
  </si>
  <si>
    <t>drillTrack</t>
  </si>
  <si>
    <t>Drill Track</t>
  </si>
  <si>
    <t>Connects to a ladder track, over which locomotives and rail wagons move back and forth in switching.</t>
  </si>
  <si>
    <t>TrtCode_drillTrack</t>
  </si>
  <si>
    <t>houseTrack</t>
  </si>
  <si>
    <t>House Track</t>
  </si>
  <si>
    <t>Enters, or is located along side, a freight house.</t>
  </si>
  <si>
    <t>Rail wagons are moved to a house track for loading or unloading.</t>
  </si>
  <si>
    <t>TrtCode_houseTrack</t>
  </si>
  <si>
    <t>jointTrack</t>
  </si>
  <si>
    <t>Joint Track</t>
  </si>
  <si>
    <t>Owned, operated, or maintained by more than one operating railway company.</t>
  </si>
  <si>
    <t>TrtCode_jointTrack</t>
  </si>
  <si>
    <t>ladderTrack</t>
  </si>
  <si>
    <t>Ladder Track</t>
  </si>
  <si>
    <t>A series of turnouts providing access to any of several parallel tracks in a railway yard.</t>
  </si>
  <si>
    <t>TrtCode_ladderTrack</t>
  </si>
  <si>
    <t>maglev</t>
  </si>
  <si>
    <t>Maglev</t>
  </si>
  <si>
    <t>A railway using magnetic repulsion to support the train above the track.</t>
  </si>
  <si>
    <t>May also be used in an overhead monorail.</t>
  </si>
  <si>
    <t>TrtCode_maglev</t>
  </si>
  <si>
    <t>monorail</t>
  </si>
  <si>
    <t>TrtCode_monorail</t>
  </si>
  <si>
    <t>pairedTrack</t>
  </si>
  <si>
    <t>Paired Track</t>
  </si>
  <si>
    <t>A pair of adjacent tracks where when two railway companies own single railway line and they have reached an agreement whereby one railway company services one railway track and the other company services the other railway track.</t>
  </si>
  <si>
    <t>TrtCode_pairedTrack</t>
  </si>
  <si>
    <t>ripTrack</t>
  </si>
  <si>
    <t>Rip Track</t>
  </si>
  <si>
    <t>A small repair facility for rail wagons consisting of a single railway track in a small railway yard.</t>
  </si>
  <si>
    <t>The name is derived from 'Repair, Inspect and Paint'.</t>
  </si>
  <si>
    <t>TrtCode_ripTrack</t>
  </si>
  <si>
    <t>sidetrack</t>
  </si>
  <si>
    <t>Sidetrack</t>
  </si>
  <si>
    <t>A stretch of railway track connected to a main railway and used for temporary storage, loading, and/or unloading.</t>
  </si>
  <si>
    <t>TrtCode_sidetrack</t>
  </si>
  <si>
    <t>stubTrack</t>
  </si>
  <si>
    <t>Stub Track</t>
  </si>
  <si>
    <t>A form of a side track connected to a running track at one end only, and protected at the other end by an obstruction (for example: a bumping post).</t>
  </si>
  <si>
    <t>TrtCode_stubTrack</t>
  </si>
  <si>
    <t>teamTrack</t>
  </si>
  <si>
    <t>Team Track</t>
  </si>
  <si>
    <t>A track on which rail wagons are placed for the use of the public in loading or unloading freight.</t>
  </si>
  <si>
    <t>TrtCode_teamTrack</t>
  </si>
  <si>
    <t>turntable</t>
  </si>
  <si>
    <t>Turntable</t>
  </si>
  <si>
    <t>A rotating platform with railway tracks used for turning locomotives and/or rail wagons.</t>
  </si>
  <si>
    <t>TrtCode_turntable</t>
  </si>
  <si>
    <t>inbound</t>
  </si>
  <si>
    <t>Inbound</t>
  </si>
  <si>
    <t>Traffic flow is in a general direction toward a port or similar destination.</t>
  </si>
  <si>
    <t>TrfCode_inbound</t>
  </si>
  <si>
    <t>Traffic flow is in one general direction only.</t>
  </si>
  <si>
    <t>TrfCode_oneWay</t>
  </si>
  <si>
    <t>outbound</t>
  </si>
  <si>
    <t>Outbound</t>
  </si>
  <si>
    <t>Traffic flow is in a general direction away from a port or similar point of origin.</t>
  </si>
  <si>
    <t>TrfCode_outbound</t>
  </si>
  <si>
    <t>twoWay</t>
  </si>
  <si>
    <t>Two-way</t>
  </si>
  <si>
    <t>Traffic flow is in two generally opposite directions.</t>
  </si>
  <si>
    <t>TrfCode_twoWay</t>
  </si>
  <si>
    <t>automaticTrafficCounter</t>
  </si>
  <si>
    <t>Automatic Traffic Counter</t>
  </si>
  <si>
    <t>A mechanism for measuring traffic volumes moving past a survey point using one or more proximity sensors.</t>
  </si>
  <si>
    <t>The most common mechanisms are the pressure tube and the inductive loop, which are fixed across (or in) the road at the census point. A tube counter measures the impact of an axle and so traffic flow is derived from counting the number of impulses and dividing them by a factor representing the most common number of axles on a vehicle (for example: two), which can lead to inaccuracy. An inductive loop detects the presence of the vehicle by its metallic mass, whose passage over the loop induces a magnetic field in the loop and thus results in a single count for each vehicle. A combination of sensors may be employed to classify the type of vehicle by the number of axles.</t>
  </si>
  <si>
    <t>TmyCode_automaticTrafficCounter</t>
  </si>
  <si>
    <t>A strategically placed camera is used to capture a series of images for either automatic or manual analysis.</t>
  </si>
  <si>
    <t>Cameras are significantly elevated in order to minimize obstruction of the longer view from vehicles located nearby. It is possible to survey up to 400 metres of road from a single vantage point.</t>
  </si>
  <si>
    <t>TmyCode_video</t>
  </si>
  <si>
    <t>weighInMotion</t>
  </si>
  <si>
    <t>Weigh-in-motion</t>
  </si>
  <si>
    <t>A weigh-in-motion (WIM) device that is designed to capture and record truck axle weights and/or gross vehicle weights as the trucks drive over a sensor.</t>
  </si>
  <si>
    <t>Modern WIM systems do not require the trucks to stop (as in the past), making them much more efficient.</t>
  </si>
  <si>
    <t>TmyCode_weighInMotion</t>
  </si>
  <si>
    <t>potholes</t>
  </si>
  <si>
    <t>Potholes</t>
  </si>
  <si>
    <t>Depressions or hollows in a road surface caused by wear or subsidence.</t>
  </si>
  <si>
    <t>SreCode_potholes</t>
  </si>
  <si>
    <t>SreCode_railwaySwitch</t>
  </si>
  <si>
    <t>SreCode_reducedTrackLaneCount</t>
  </si>
  <si>
    <t>SreCode_roadInterchange</t>
  </si>
  <si>
    <t>sharpCurve</t>
  </si>
  <si>
    <t>SreCode_sharpCurve</t>
  </si>
  <si>
    <t>speedBumps</t>
  </si>
  <si>
    <t>Speed Bumps</t>
  </si>
  <si>
    <t>Prominences on a road, intentionally built to reduce speed of the traffic.</t>
  </si>
  <si>
    <t>SreCode_speedBumps</t>
  </si>
  <si>
    <t>steepGrade</t>
  </si>
  <si>
    <t>SreCode_steepGrade</t>
  </si>
  <si>
    <t>berthing</t>
  </si>
  <si>
    <t>Berthing</t>
  </si>
  <si>
    <t>Controls vessels when berthing.</t>
  </si>
  <si>
    <t>SitCode_berthing</t>
  </si>
  <si>
    <t>bridgePassage</t>
  </si>
  <si>
    <t>Bridge Passage</t>
  </si>
  <si>
    <t>Controls vessels wishing to pass under a bridge.</t>
  </si>
  <si>
    <t>SitCode_bridgePassage</t>
  </si>
  <si>
    <t>dock</t>
  </si>
  <si>
    <t>Controls vessels entering or leaving a dock.</t>
  </si>
  <si>
    <t>SitCode_dock</t>
  </si>
  <si>
    <t>Indicates when dredging is in progress.</t>
  </si>
  <si>
    <t>SitCode_dredging</t>
  </si>
  <si>
    <t>floodBarrage</t>
  </si>
  <si>
    <t>Controls vessels wishing to pass through a flood control barrage.</t>
  </si>
  <si>
    <t>SitCode_floodBarrage</t>
  </si>
  <si>
    <t>internationalPortTraffic</t>
  </si>
  <si>
    <t>International Port Traffic</t>
  </si>
  <si>
    <t>Displays International Port Traffic signals.</t>
  </si>
  <si>
    <t>SitCode_internationalPortTraffic</t>
  </si>
  <si>
    <t>lock</t>
  </si>
  <si>
    <t>Controls vessels entering or leaving a lock.</t>
  </si>
  <si>
    <t>SitCode_lock</t>
  </si>
  <si>
    <t>Controls vessels within a port.</t>
  </si>
  <si>
    <t>SitCode_portControl</t>
  </si>
  <si>
    <t>portEntryAndDeparture</t>
  </si>
  <si>
    <t>Port Entry and Departure</t>
  </si>
  <si>
    <t>Controls vessels entering or leaving a port.</t>
  </si>
  <si>
    <t>SitCode_portEntryAndDeparture</t>
  </si>
  <si>
    <t>trafficControlLight</t>
  </si>
  <si>
    <t>Traffic Control Light</t>
  </si>
  <si>
    <t>Displays visual signal lights in a waterway to indicate to shipping the movements authorised at the time at which they are shown.</t>
  </si>
  <si>
    <t>SitCode_trafficControlLight</t>
  </si>
  <si>
    <t>dropGate</t>
  </si>
  <si>
    <t>Drop Gate</t>
  </si>
  <si>
    <t>Drops from overhead.</t>
  </si>
  <si>
    <t>DgcCode_dropGate</t>
  </si>
  <si>
    <t>rollingBlock</t>
  </si>
  <si>
    <t>Rolling Block</t>
  </si>
  <si>
    <t>Rolls from alongside.</t>
  </si>
  <si>
    <t>DgcCode_rollingBlock</t>
  </si>
  <si>
    <t>aerodromeTerminal</t>
  </si>
  <si>
    <t>Aerodrome Terminal</t>
  </si>
  <si>
    <t>A building located at an aerodrome that is used for disembarking and/or taking on passengers or cargo.</t>
  </si>
  <si>
    <t>TfcCode_aerodromeTerminal</t>
  </si>
  <si>
    <t>aircraftHangar</t>
  </si>
  <si>
    <t>TfcCode_aircraftHangar</t>
  </si>
  <si>
    <t>aircraftMaintenanceShop</t>
  </si>
  <si>
    <t>Aircraft Maintenance Shop</t>
  </si>
  <si>
    <t>A building used for keeping aircraft in a condition of good repair and/or efficiency.</t>
  </si>
  <si>
    <t>Usually located at an aerodrome and associated with a hangar.</t>
  </si>
  <si>
    <t>TfcCode_aircraftMaintenanceShop</t>
  </si>
  <si>
    <t>busShelter</t>
  </si>
  <si>
    <t>Bus Shelter</t>
  </si>
  <si>
    <t>A roadside shelter affording protection from the weather to passengers awaiting buses.</t>
  </si>
  <si>
    <t>TfcCode_busShelter</t>
  </si>
  <si>
    <t>busStation</t>
  </si>
  <si>
    <t>Bus Station</t>
  </si>
  <si>
    <t>A building where buses and coaches regularly stop to take on and/or let off passengers, especially for long-distance travel.</t>
  </si>
  <si>
    <t>Usually located in an urban area, for example a town or city.</t>
  </si>
  <si>
    <t>TfcCode_busStation</t>
  </si>
  <si>
    <t>busStop</t>
  </si>
  <si>
    <t>Bus-stop</t>
  </si>
  <si>
    <t>A location at which a bus regularly stops.</t>
  </si>
  <si>
    <t>Marked by a sign but not necessarily providing protection from the weather for passengers awaiting buses.</t>
  </si>
  <si>
    <t>TfcCode_busStop</t>
  </si>
  <si>
    <t>cabStand</t>
  </si>
  <si>
    <t>Cab-stand</t>
  </si>
  <si>
    <t>A location at which taxi-cabs are authorized to wait.</t>
  </si>
  <si>
    <t>Taxi Stand</t>
  </si>
  <si>
    <t>TfcCode_cabStand</t>
  </si>
  <si>
    <t>depotTerminal</t>
  </si>
  <si>
    <t>Depot Terminal</t>
  </si>
  <si>
    <t>A place where vehicles (for example: buses or locomotives) are housed and maintained and from which they are dispatched for service.</t>
  </si>
  <si>
    <t>TfcCode_depotTerminal</t>
  </si>
  <si>
    <t>ferryStation</t>
  </si>
  <si>
    <t>A building or facility located at or associated to a ferry station.</t>
  </si>
  <si>
    <t>TfcCode_ferryStation</t>
  </si>
  <si>
    <t>harbourMastersOffice</t>
  </si>
  <si>
    <t>Harbour Master's Office</t>
  </si>
  <si>
    <t>Houses the office of a local official who has charge of mooring and berthing of vessels, collecting harbour fees, and related functions.</t>
  </si>
  <si>
    <t>TfcCode_harbourMastersOffice</t>
  </si>
  <si>
    <t>lighthouse</t>
  </si>
  <si>
    <t>TfcCode_lighthouse</t>
  </si>
  <si>
    <t>maritimeStation</t>
  </si>
  <si>
    <t>Maritime Station</t>
  </si>
  <si>
    <t>Houses an authority, either governmental (maritime related) or associated with a harbour, providing specific services to vessels.</t>
  </si>
  <si>
    <t>TfcCode_maritimeStation</t>
  </si>
  <si>
    <t>TfcCode_motorVehicleStation</t>
  </si>
  <si>
    <t>A station that is equipped for observation and study.</t>
  </si>
  <si>
    <t>TfcCode_observationStation</t>
  </si>
  <si>
    <t>A relatively small building that is separate from but is located near a main building and whose transportation use has not been determined.</t>
  </si>
  <si>
    <t>TfcCode_outbuilding</t>
  </si>
  <si>
    <t>TfcCode_pilotLookoutStation</t>
  </si>
  <si>
    <t>pilotOffice</t>
  </si>
  <si>
    <t>Pilot Office</t>
  </si>
  <si>
    <t>The office and/or headquarters of marine pilots.</t>
  </si>
  <si>
    <t>The place where the services of a marine pilot may be obtained.</t>
  </si>
  <si>
    <t>TfcCode_pilotOffice</t>
  </si>
  <si>
    <t>Houses the authorized personnel established at a port to coordinate arrangements for logistic support and harbour services to vessels and to otherwise support the control of shipping.</t>
  </si>
  <si>
    <t>TfcCode_portControl</t>
  </si>
  <si>
    <t>railCarRepair</t>
  </si>
  <si>
    <t>Rail-car Repair</t>
  </si>
  <si>
    <t>A building that is used for the servicing, repair, and/or storage of rail wagons and related equipment.</t>
  </si>
  <si>
    <t>TfcCode_railCarRepair</t>
  </si>
  <si>
    <t>A building beside a railway track from which signals are controlled.</t>
  </si>
  <si>
    <t>May have a signalman in attendance.</t>
  </si>
  <si>
    <t>TfcCode_railwaySignal</t>
  </si>
  <si>
    <t>railwayStation</t>
  </si>
  <si>
    <t>A building where trains regularly stop to take on and/or let off passengers.</t>
  </si>
  <si>
    <t>TfcCode_railwayStation</t>
  </si>
  <si>
    <t>residentialGarage</t>
  </si>
  <si>
    <t>Residential Garage</t>
  </si>
  <si>
    <t>A shelter for motor vehicles that is associated with a residence.</t>
  </si>
  <si>
    <t>For example, a garage for a car.</t>
  </si>
  <si>
    <t>TfcCode_residentialGarage</t>
  </si>
  <si>
    <t>roadMaintenanceStation</t>
  </si>
  <si>
    <t>Road Maintenance Station</t>
  </si>
  <si>
    <t>A location at which equipment and supplies used to maintain and repair roads are stored.</t>
  </si>
  <si>
    <t>TfcCode_roadMaintenanceStation</t>
  </si>
  <si>
    <t>roadsideRestHouse</t>
  </si>
  <si>
    <t>Roadside Rest-house</t>
  </si>
  <si>
    <t>A site adjacent to a road usually having facilities for travellers and/or motor vehicles.</t>
  </si>
  <si>
    <t>Rest Stop</t>
  </si>
  <si>
    <t>TfcCode_roadsideRestHouse</t>
  </si>
  <si>
    <t>roundhouse</t>
  </si>
  <si>
    <t>A circular repair-shed for railway locomotives, with a turntable in the centre.</t>
  </si>
  <si>
    <t>TfcCode_roundhouse</t>
  </si>
  <si>
    <t>vehicleScale</t>
  </si>
  <si>
    <t>Vehicle Scale</t>
  </si>
  <si>
    <t>Equipment that is used to determine the weight of motor vehicles.</t>
  </si>
  <si>
    <t>TfcCode_vehicleScale</t>
  </si>
  <si>
    <t>TfcCode_yachtClub</t>
  </si>
  <si>
    <t>Closure</t>
  </si>
  <si>
    <t>No vehicle can proceed in either direction.</t>
  </si>
  <si>
    <t>For example, an immovable barrier may be put across the whole width of a road to ensure a road closure during construction activities.</t>
  </si>
  <si>
    <t>CneCode_closure</t>
  </si>
  <si>
    <t>heightReduction</t>
  </si>
  <si>
    <t>Height Reduction</t>
  </si>
  <si>
    <t>The allowed height of vehicles is reduced.</t>
  </si>
  <si>
    <t>Temporary road signs may be used to indicate the reduced clearance.</t>
  </si>
  <si>
    <t>CneCode_heightReduction</t>
  </si>
  <si>
    <t>laneReduction</t>
  </si>
  <si>
    <t>Lane Reduction</t>
  </si>
  <si>
    <t>The number of lanes available is reduced.</t>
  </si>
  <si>
    <t>Construction activities may affect one or more lanes. Lanes may be required for the storage or movement of materials, tools, equipment and/or workers.</t>
  </si>
  <si>
    <t>CneCode_laneReduction</t>
  </si>
  <si>
    <t>laneShift</t>
  </si>
  <si>
    <t>Lane Shift</t>
  </si>
  <si>
    <t>Lanes are laterally repositioned to avoid construction activities.</t>
  </si>
  <si>
    <t>Normal lane positions are restored after construction.</t>
  </si>
  <si>
    <t>CneCode_laneShift</t>
  </si>
  <si>
    <t>oneWayTraffic</t>
  </si>
  <si>
    <t>One Way Traffic</t>
  </si>
  <si>
    <t>Traffic is allowed in one direction only.</t>
  </si>
  <si>
    <t>Temporary road signs may be used to indicate the single allowed direction.</t>
  </si>
  <si>
    <t>CneCode_oneWayTraffic</t>
  </si>
  <si>
    <t>roadSurfaceCondition</t>
  </si>
  <si>
    <t>Road Surface Condition</t>
  </si>
  <si>
    <t>An assessment of quality of a road surface.</t>
  </si>
  <si>
    <t>Road surface also includes similar surfaces, for example, a parking lot.</t>
  </si>
  <si>
    <t>CneCode_roadSurfaceCondition</t>
  </si>
  <si>
    <t>speedReduction</t>
  </si>
  <si>
    <t>Speed Reduction</t>
  </si>
  <si>
    <t>The speed of vehicles must be reduced.</t>
  </si>
  <si>
    <t>The speed reduction may be based on legal requirement and/or physical conditions.</t>
  </si>
  <si>
    <t>CneCode_speedReduction</t>
  </si>
  <si>
    <t>trafficFlowRestriction</t>
  </si>
  <si>
    <t>Traffic Flow Restriction</t>
  </si>
  <si>
    <t>Normal traffic flow is reduced using traffic control measures.</t>
  </si>
  <si>
    <t>For example, a temporary traffic light, a flag man or a traffic calming device might be used for traffic control.</t>
  </si>
  <si>
    <t>CneCode_trafficFlowRestriction</t>
  </si>
  <si>
    <t>weightReduction</t>
  </si>
  <si>
    <t>Weight Reduction</t>
  </si>
  <si>
    <t>The allowed weight of a single vehicle is reduced.</t>
  </si>
  <si>
    <t>Construction activities may temporarily weaken the structure that supports the road.</t>
  </si>
  <si>
    <t>CneCode_weightReduction</t>
  </si>
  <si>
    <t>widthReduction</t>
  </si>
  <si>
    <t>Width Reduction</t>
  </si>
  <si>
    <t>The width of the transportation route is reduced.</t>
  </si>
  <si>
    <t>Construction activities may affect part of the road itself. Part of the road may be required for storage or movement of materials, tools, equipment and/or workers.</t>
  </si>
  <si>
    <t>CneCode_widthReduction</t>
  </si>
  <si>
    <t>A protection structure, cut into the side of a hill, possessing a natural overhang or a constructed roof sloping upward onto the hill, with only one constructed side, built to protect a transportation route from snow and/or rock avalanches.</t>
  </si>
  <si>
    <t>Located where snow and/or rock avalanches can only happen on one side of a transportation route. The constructed side usually includes a series of openings for light and/or ventilation.</t>
  </si>
  <si>
    <t>TrpCode_gallery</t>
  </si>
  <si>
    <t>protectionShed</t>
  </si>
  <si>
    <t>A protection structure with two constructed sides and a roof built to shield a section of a transportation route from landslides, avalanches, snow accumulations and/or drifting snow.</t>
  </si>
  <si>
    <t>Located where such phenomena can happen on both sides of a transportation route.</t>
  </si>
  <si>
    <t>TrpCode_protectionShed</t>
  </si>
  <si>
    <t>rockProtectionShed</t>
  </si>
  <si>
    <t>Rock Protection Shed</t>
  </si>
  <si>
    <t>A protection structure with two constructed sides and a roof built to shield a section of a transportation route from rock slides.</t>
  </si>
  <si>
    <t>Located where rock avalanches can happen on both sides of a transportation route.</t>
  </si>
  <si>
    <t>TrpCode_rockProtectionShed</t>
  </si>
  <si>
    <t>snowProtectionShed</t>
  </si>
  <si>
    <t>Snow Protection Shed</t>
  </si>
  <si>
    <t>A protection structure with two constructed sides and a roof built to shield a section of a transportation route from snow slides, snow accumulations, and/or drifting snow.</t>
  </si>
  <si>
    <t>Located where snow avalanches can happen on both sides of a transportation route.</t>
  </si>
  <si>
    <t>TrpCode_snowProtectionShed</t>
  </si>
  <si>
    <t>Associated with the conveyance of passengers and their goods using aeroplanes.</t>
  </si>
  <si>
    <t>TrsCode_aeronautical</t>
  </si>
  <si>
    <t>Associated with a system of aqueducts for the conveyance of water.</t>
  </si>
  <si>
    <t>For example, as used for irrigation, industrial, or drinking purposes.</t>
  </si>
  <si>
    <t>TrsCode_aqueduct</t>
  </si>
  <si>
    <t>automotive</t>
  </si>
  <si>
    <t>Automotive</t>
  </si>
  <si>
    <t>Associated with the conveyance of passengers and their goods using generally small and individually owned road vehicles.</t>
  </si>
  <si>
    <t>TrsCode_automotive</t>
  </si>
  <si>
    <t>Associated with the conveyance of passengers and/or goods using a bicycle.</t>
  </si>
  <si>
    <t>TrsCode_bicycle</t>
  </si>
  <si>
    <t>Associated with the conveyance of passengers and their goods using large road vehicles running on fixed routes.</t>
  </si>
  <si>
    <t>TrsCode_bus</t>
  </si>
  <si>
    <t>Associated with the conveyance of people, goods or equipment using carrier units suspended above the ground.</t>
  </si>
  <si>
    <t>TrsCode_cableway</t>
  </si>
  <si>
    <t>Associated with the conveyance of passengers and/or goods using canals.</t>
  </si>
  <si>
    <t>Usually as part of a network of inland waterways including lakes and/or rivers.</t>
  </si>
  <si>
    <t>TrsCode_canal</t>
  </si>
  <si>
    <t>caravanRoute</t>
  </si>
  <si>
    <t>Caravan Route</t>
  </si>
  <si>
    <t>Associated with the conveyance of passengers and/or goods by caravan (for example: a company of merchants or pilgrims).</t>
  </si>
  <si>
    <t>Especially across the deserts of Asia and North Africa.</t>
  </si>
  <si>
    <t>TrsCode_caravanRoute</t>
  </si>
  <si>
    <t>drove</t>
  </si>
  <si>
    <t>Associated with an unenclosed road or trail, due to the regular movement of animal herds.</t>
  </si>
  <si>
    <t>Stock Route</t>
  </si>
  <si>
    <t>TrsCode_drove</t>
  </si>
  <si>
    <t>inlandWaterway</t>
  </si>
  <si>
    <t>Inland Waterway</t>
  </si>
  <si>
    <t>Associated with the conveyance of passengers and/or goods using a network of inland waterways.</t>
  </si>
  <si>
    <t>TrsCode_inlandWaterway</t>
  </si>
  <si>
    <t>Associated with the conveyance of passengers and their goods using ships.</t>
  </si>
  <si>
    <t>TrsCode_maritime</t>
  </si>
  <si>
    <t>noTransportationSystem</t>
  </si>
  <si>
    <t>No Transportation System</t>
  </si>
  <si>
    <t>Not associated with a transportation system.</t>
  </si>
  <si>
    <t>TrsCode_noTransportationSystem</t>
  </si>
  <si>
    <t>packRoad</t>
  </si>
  <si>
    <t>Pack-road</t>
  </si>
  <si>
    <t>Associated with trails for conveying passengers and/or goods by pack animal.</t>
  </si>
  <si>
    <t>TrsCode_packRoad</t>
  </si>
  <si>
    <t>pedestrian</t>
  </si>
  <si>
    <t>Pedestrian</t>
  </si>
  <si>
    <t>Associated with or adapted for walking or walkers.</t>
  </si>
  <si>
    <t>For example, footpaths and hiking trails.</t>
  </si>
  <si>
    <t>TrsCode_pedestrian</t>
  </si>
  <si>
    <t>Associated with the movement of gases, liquids, and/or slurries through a system of pipelines.</t>
  </si>
  <si>
    <t>The pipelines are often underground and extend over long distances.</t>
  </si>
  <si>
    <t>TrsCode_pipeline</t>
  </si>
  <si>
    <t>pipelineMaintenance</t>
  </si>
  <si>
    <t>Pipeline Maintenance</t>
  </si>
  <si>
    <t>Associated with vehicle routes (for example: cart tracks) for conveying crews and equipment along the right-of-way of a pipeline to support its construction and/or maintenance.</t>
  </si>
  <si>
    <t>TrsCode_pipelineMaintenance</t>
  </si>
  <si>
    <t>portage</t>
  </si>
  <si>
    <t>Portage</t>
  </si>
  <si>
    <t>Associated with the conveyance of boats and goods between two navigable waters.</t>
  </si>
  <si>
    <t>TrsCode_portage</t>
  </si>
  <si>
    <t>powerLineMaintenance</t>
  </si>
  <si>
    <t>Power Line Maintenance</t>
  </si>
  <si>
    <t>Associated with vehicle routes (for example: cart tracks) for conveying crews and equipment along the right-of-way of a power line to support its construction and/or maintenance.</t>
  </si>
  <si>
    <t>TrsCode_powerLineMaintenance</t>
  </si>
  <si>
    <t>railway</t>
  </si>
  <si>
    <t>Associated with a railway-based network for the conveyance of passengers and/or goods.</t>
  </si>
  <si>
    <t>TrsCode_railway</t>
  </si>
  <si>
    <t>Associated with a road-based network for the conveyance of passengers and/or goods.</t>
  </si>
  <si>
    <t>TrsCode_road</t>
  </si>
  <si>
    <t>runway</t>
  </si>
  <si>
    <t>Contiguous with but excludes stopways.</t>
  </si>
  <si>
    <t>TrsCode_runway</t>
  </si>
  <si>
    <t>taxiway</t>
  </si>
  <si>
    <t>For example, providing access to/from runways and hard standings, aerodrome terminals, and service and/or other support operations for aircraft.</t>
  </si>
  <si>
    <t>TrsCode_taxiway</t>
  </si>
  <si>
    <t>trackedVehicle</t>
  </si>
  <si>
    <t>Tracked Vehicle</t>
  </si>
  <si>
    <t>Associated with vehicles that run on continuous tracks instead of wheels.</t>
  </si>
  <si>
    <t>TrsCode_trackedVehicle</t>
  </si>
  <si>
    <t>truck</t>
  </si>
  <si>
    <t>Associated with the conveyance of goods using large road vehicles.</t>
  </si>
  <si>
    <t>TrsCode_truck</t>
  </si>
  <si>
    <t>Associated with the conveyance of passengers and their goods using underground railways.</t>
  </si>
  <si>
    <t>The railway passes especially beneath the streets and buildings of a city.</t>
  </si>
  <si>
    <t>TrsCode_undergroundRailway</t>
  </si>
  <si>
    <t>TucCode_cargo</t>
  </si>
  <si>
    <t>Used for a variety of transport purposes, including of passengers and/or goods, no particular purpose predominating.</t>
  </si>
  <si>
    <t>TucCode_general</t>
  </si>
  <si>
    <t>livestock</t>
  </si>
  <si>
    <t>Livestock</t>
  </si>
  <si>
    <t>Used to transport livestock.</t>
  </si>
  <si>
    <t>For example, a drove.</t>
  </si>
  <si>
    <t>TucCode_livestock</t>
  </si>
  <si>
    <t>noTransportationUse</t>
  </si>
  <si>
    <t>No Transportation Use</t>
  </si>
  <si>
    <t>There is no transportation use.</t>
  </si>
  <si>
    <t>TucCode_noTransportationUse</t>
  </si>
  <si>
    <t>Used to transport mineral ores.</t>
  </si>
  <si>
    <t>Mineral</t>
  </si>
  <si>
    <t>TucCode_ore</t>
  </si>
  <si>
    <t>Used to transport passengers.</t>
  </si>
  <si>
    <t>May occasionally be used to transport cargo at off-peak hours.</t>
  </si>
  <si>
    <t>TucCode_passenger</t>
  </si>
  <si>
    <t>eitherLeftRightTurn</t>
  </si>
  <si>
    <t>Either Left Turn or Right Turn</t>
  </si>
  <si>
    <t>Both left and right turns may be utilized.</t>
  </si>
  <si>
    <t>TndCode_eitherLeftRightTurn</t>
  </si>
  <si>
    <t>leftTurn</t>
  </si>
  <si>
    <t>Left Turn</t>
  </si>
  <si>
    <t>Only left turns permitted.</t>
  </si>
  <si>
    <t>TndCode_leftTurn</t>
  </si>
  <si>
    <t>rightTurn</t>
  </si>
  <si>
    <t>Right Turn</t>
  </si>
  <si>
    <t>Only right turns permitted.</t>
  </si>
  <si>
    <t>TndCode_rightTurn</t>
  </si>
  <si>
    <t>priAirfieldControlStation</t>
  </si>
  <si>
    <t>Primary Airfield Control Station (PACS)</t>
  </si>
  <si>
    <t>Ty3Code_priAirfieldControlStation</t>
  </si>
  <si>
    <t>secAirfieldControlStation</t>
  </si>
  <si>
    <t>Secondary Airfield Control Station (SACS)</t>
  </si>
  <si>
    <t>Ty3Code_secAirfieldControlStation</t>
  </si>
  <si>
    <t>Zero slope (0 arc degrees).</t>
  </si>
  <si>
    <t>UaoCode_horizontal</t>
  </si>
  <si>
    <t>Slopes Downward</t>
  </si>
  <si>
    <t>A negative slope other than vertical.</t>
  </si>
  <si>
    <t>UaoCode_slopesDownward</t>
  </si>
  <si>
    <t>Slopes Upward</t>
  </si>
  <si>
    <t>A positive slope other than vertical.</t>
  </si>
  <si>
    <t>UaoCode_slopesUpward</t>
  </si>
  <si>
    <t>verticalDown</t>
  </si>
  <si>
    <t>Vertical Down</t>
  </si>
  <si>
    <t>A vertical shaft directly down (-90 arc degrees).</t>
  </si>
  <si>
    <t>UaoCode_verticalDown</t>
  </si>
  <si>
    <t>verticalUp</t>
  </si>
  <si>
    <t>Vertical Up</t>
  </si>
  <si>
    <t>A vertical shaft directly up (90 arc degrees).</t>
  </si>
  <si>
    <t>UaoCode_verticalUp</t>
  </si>
  <si>
    <t>drift</t>
  </si>
  <si>
    <t>Drift</t>
  </si>
  <si>
    <t>The targeted mineral seam is located at or above local drainage and outcrops at the surface allowing main entry or access to the mine to be driven directly into the mineral seam.</t>
  </si>
  <si>
    <t>The entry is generally located on the slope of a hill and the removal of minerals (for example: coal) is often facilitated by the construction of a small-gauge railway, roadway or conveyer into the mine.</t>
  </si>
  <si>
    <t>UmaCode_drift</t>
  </si>
  <si>
    <t>The targeted mineral seam is located below local drainage and does not outcrop at the surface, and is far enough below the surface as to require access to be by means of a vertical shaft.</t>
  </si>
  <si>
    <t>On the surface above the mine shaft stands a superstructure (termed a 'pit-head' or 'pit-head frame'), which historically contained a winding engine and in modern times contains an electric hoist controller. This raises and lowers a cage within the shaft that serves as a lift for the transportation of minerals, equipment and/or workers.</t>
  </si>
  <si>
    <t>UmaCode_shaft</t>
  </si>
  <si>
    <t>The targeted mineral seam is located below local drainage and does not outcrop at the surface, but is close enough to the surface to allow access to the mineral seam by means of a sloping tunnel.</t>
  </si>
  <si>
    <t>As with a drift mine, transportation of minerals, equipment and/or workers is often facilitated by the construction of a small-gauge railway, roadway or conveyer into the mine.</t>
  </si>
  <si>
    <t>UmaCode_slope</t>
  </si>
  <si>
    <t>abandonedMine</t>
  </si>
  <si>
    <t>Abandoned Mine</t>
  </si>
  <si>
    <t>A former underground mine that has been modified for the purpose of storage.</t>
  </si>
  <si>
    <t>Typically used to store packaged materials due to its original design and structure.</t>
  </si>
  <si>
    <t>UsfCode_abandonedMine</t>
  </si>
  <si>
    <t>aquifer</t>
  </si>
  <si>
    <t>A natural aquifer that is overlaid with an impermeable cap rock.</t>
  </si>
  <si>
    <t>The water-bearing sedimentary rock formation is pressurized with gas, thus displacing the water and resulting in gas storage.</t>
  </si>
  <si>
    <t>UsfCode_aquifer</t>
  </si>
  <si>
    <t>depletedReservoir</t>
  </si>
  <si>
    <t>Depleted Reservoir</t>
  </si>
  <si>
    <t>A depleted natural gas or oil field.</t>
  </si>
  <si>
    <t>Conversion of a depleted field from production to natural gas storage takes advantage of existing wells, gathering systems, and pipeline connections. Depleted oil and gas reservoirs are the most commonly used underground natural gas storage sites because of their wide availability. In the future they may also be used to store carbon dioxide for long-term sequestration.</t>
  </si>
  <si>
    <t>UsfCode_depletedReservoir</t>
  </si>
  <si>
    <t>hardRockCavern</t>
  </si>
  <si>
    <t>Hard Rock Cavern</t>
  </si>
  <si>
    <t>A purpose-built cavern hollowed out of a generally non-porous rock (for example: granite).</t>
  </si>
  <si>
    <t>Generally used only when location is important, the required volume is not high, and a suitable rock formation is available. May require lining to reduce seepage and/or loss.</t>
  </si>
  <si>
    <t>UsfCode_hardRockCavern</t>
  </si>
  <si>
    <t>saltCavern</t>
  </si>
  <si>
    <t>Salt Cavern</t>
  </si>
  <si>
    <t>An artificially created cavern formed within a naturally-occurring salt formation.</t>
  </si>
  <si>
    <t>The salt formation may occur either as a layer (termed a 'salt bed') or as a diaper intruding into an overlying sedimentary stratum (termed a 'salt dome'). Depending on the nature of the salt formation the cavern may be created through a process of 'solution mining' in which injected fresh water is removed as brine and disposed of elsewhere, or using direct bulk-mining techniques.</t>
  </si>
  <si>
    <t>UsfCode_saltCavern</t>
  </si>
  <si>
    <t>openReliefCenter</t>
  </si>
  <si>
    <t>Open Relief Center</t>
  </si>
  <si>
    <t>A facility established with free access for the population from crisis and war areas, where the maintenance of the necessities of life (for example: food, medical supply, fuel, clothes, shelters, and tools) are ensured.</t>
  </si>
  <si>
    <t>KopCode_openReliefCenter</t>
  </si>
  <si>
    <t>safeCorridor</t>
  </si>
  <si>
    <t>Safe Corridor</t>
  </si>
  <si>
    <t>A traffic route or strip kept clear and protected from armed or combat activities ensuring the secure access for relief and supporting activities as well as to regions free of conflicts.</t>
  </si>
  <si>
    <t>KopCode_safeCorridor</t>
  </si>
  <si>
    <t>safeZone</t>
  </si>
  <si>
    <t>Safe Zone</t>
  </si>
  <si>
    <t>A protected area where population and refugees of combat zones find shelter and security from the battles.</t>
  </si>
  <si>
    <t>KopCode_safeZone</t>
  </si>
  <si>
    <t>humanitarianOperation</t>
  </si>
  <si>
    <t>Humanitarian Operation</t>
  </si>
  <si>
    <t>Material and logistical provision and distribution of aids in order to prevent and maintain people against distress.</t>
  </si>
  <si>
    <t>UneCode_humanitarianOperation</t>
  </si>
  <si>
    <t>observerMission</t>
  </si>
  <si>
    <t>Observer Mission</t>
  </si>
  <si>
    <t>Military but unarmed United Nations (U.N.) personal tasked to observe military activities.</t>
  </si>
  <si>
    <t>UneCode_observerMission</t>
  </si>
  <si>
    <t>peacekeepingOperation</t>
  </si>
  <si>
    <t>Peacekeeping Operation</t>
  </si>
  <si>
    <t>United Nations (U.N.) resolution for presence of international troops in order to keep the peace after conflicts.</t>
  </si>
  <si>
    <t>UneCode_peacekeepingOperation</t>
  </si>
  <si>
    <t>peacemakingOperation</t>
  </si>
  <si>
    <t>Peacemaking Operation</t>
  </si>
  <si>
    <t>United Nations (U.N.) resolution for presence of international troops before or during military conflicts.</t>
  </si>
  <si>
    <t>UneCode_peacemakingOperation</t>
  </si>
  <si>
    <t>An area with buildings and facilities for administration purposes.</t>
  </si>
  <si>
    <t>GauCode_administration</t>
  </si>
  <si>
    <t>An area with buildings and facilities for military use purposes.</t>
  </si>
  <si>
    <t>GauCode_barracks</t>
  </si>
  <si>
    <t>communication</t>
  </si>
  <si>
    <t>Communication</t>
  </si>
  <si>
    <t>An area with buildings and facilities for communication purposes.</t>
  </si>
  <si>
    <t>GauCode_communication</t>
  </si>
  <si>
    <t>culture</t>
  </si>
  <si>
    <t>Culture</t>
  </si>
  <si>
    <t>An area with buildings and facilities for cultural purposes.</t>
  </si>
  <si>
    <t>GauCode_culture</t>
  </si>
  <si>
    <t>An area with buildings and facilities for defence purposes.</t>
  </si>
  <si>
    <t>GauCode_defence</t>
  </si>
  <si>
    <t>disposal</t>
  </si>
  <si>
    <t>Disposal</t>
  </si>
  <si>
    <t>An area with buildings and facilities for disposal purposes.</t>
  </si>
  <si>
    <t>GauCode_disposal</t>
  </si>
  <si>
    <t>An area with buildings and facilities for education purposes.</t>
  </si>
  <si>
    <t>GauCode_education</t>
  </si>
  <si>
    <t>freeSpace</t>
  </si>
  <si>
    <t>Free Space</t>
  </si>
  <si>
    <t>An area without any buildings or facilities.</t>
  </si>
  <si>
    <t>GauCode_freeSpace</t>
  </si>
  <si>
    <t>healthSocialWelfare</t>
  </si>
  <si>
    <t>Health and Social Welfare</t>
  </si>
  <si>
    <t>An area with buildings and facilities for health and social purposes.</t>
  </si>
  <si>
    <t>GauCode_healthSocialWelfare</t>
  </si>
  <si>
    <t>industryTrading</t>
  </si>
  <si>
    <t>Industry and Trading</t>
  </si>
  <si>
    <t>An area with buildings and facilities for industry and trading purposes.</t>
  </si>
  <si>
    <t>GauCode_industryTrading</t>
  </si>
  <si>
    <t>mixedUse</t>
  </si>
  <si>
    <t>Mixed Use</t>
  </si>
  <si>
    <t>An area with buildings and facilities for mixed use purposes.</t>
  </si>
  <si>
    <t>GauCode_mixedUse</t>
  </si>
  <si>
    <t>An area with buildings and facilities for parking purposes.</t>
  </si>
  <si>
    <t>GauCode_parking</t>
  </si>
  <si>
    <t>An area with buildings and facilities for research purposes.</t>
  </si>
  <si>
    <t>GauCode_research</t>
  </si>
  <si>
    <t>residental</t>
  </si>
  <si>
    <t>Residental</t>
  </si>
  <si>
    <t>An area with buildings and facilities for residential purposes.</t>
  </si>
  <si>
    <t>GauCode_residental</t>
  </si>
  <si>
    <t>securityPublicOrder</t>
  </si>
  <si>
    <t>Security and Public Order</t>
  </si>
  <si>
    <t>An area with buildings and facilities for security and public order purposes.</t>
  </si>
  <si>
    <t>GauCode_securityPublicOrder</t>
  </si>
  <si>
    <t>An area with buildings and facilities for service purposes.</t>
  </si>
  <si>
    <t>GauCode_service</t>
  </si>
  <si>
    <t>shopping</t>
  </si>
  <si>
    <t>Shopping</t>
  </si>
  <si>
    <t>An area with buildings and facilities for shopping purposes.</t>
  </si>
  <si>
    <t>GauCode_shopping</t>
  </si>
  <si>
    <t>An area with buildings and facilities for special functional purposes.</t>
  </si>
  <si>
    <t>GauCode_specialUse</t>
  </si>
  <si>
    <t>An area with buildings and facilities for storage purposes.</t>
  </si>
  <si>
    <t>GauCode_storage</t>
  </si>
  <si>
    <t>supply</t>
  </si>
  <si>
    <t>Supply</t>
  </si>
  <si>
    <t>An area with buildings and facilities for supply purposes.</t>
  </si>
  <si>
    <t>GauCode_supply</t>
  </si>
  <si>
    <t>tradeBanking</t>
  </si>
  <si>
    <t>Trade and Banking</t>
  </si>
  <si>
    <t>An area with buildings and facilities for trade and banking purposes.</t>
  </si>
  <si>
    <t>GauCode_tradeBanking</t>
  </si>
  <si>
    <t>traffic</t>
  </si>
  <si>
    <t>Traffic</t>
  </si>
  <si>
    <t>An area with buildings and facilities for traffic purposes.</t>
  </si>
  <si>
    <t>GauCode_traffic</t>
  </si>
  <si>
    <t>weekendHolidayResidences</t>
  </si>
  <si>
    <t>Weekend and Holiday Residences</t>
  </si>
  <si>
    <t>An area with buildings and facilities for weekend and holiday activities.</t>
  </si>
  <si>
    <t>GauCode_weekendHolidayResidences</t>
  </si>
  <si>
    <t>UucCode_cooling</t>
  </si>
  <si>
    <t>A structure used in the process of cleaning water to make it suitable for drinking.</t>
  </si>
  <si>
    <t>For example, a filtration bed.</t>
  </si>
  <si>
    <t>UucCode_drinkingWater</t>
  </si>
  <si>
    <t>filtrationPlant</t>
  </si>
  <si>
    <t>Filtration Plant</t>
  </si>
  <si>
    <t>A building that houses equipment through which a liquid or gas is passed in order to separate the fluid from suspended particulate matter.</t>
  </si>
  <si>
    <t>UucCode_filtrationPlant</t>
  </si>
  <si>
    <t>intake</t>
  </si>
  <si>
    <t>A structure where water is channelled from a body of water for use.</t>
  </si>
  <si>
    <t>For example, to drive a mill, supply a canal, cool a power station, or feed a water purification plant.</t>
  </si>
  <si>
    <t>UucCode_intake</t>
  </si>
  <si>
    <t>A relatively small building that is separate from but is located near a main building and whose utility use has not been determined.</t>
  </si>
  <si>
    <t>UucCode_outbuilding</t>
  </si>
  <si>
    <t>The outlet or structure through which reclaimed water or treated effluent is finally discharged to a receiving body of water.</t>
  </si>
  <si>
    <t>For example, the end of the pipe leading from a sewage treatment plant that delivers the wastewater to the environment, often via a diffuser.</t>
  </si>
  <si>
    <t>UucCode_outfall</t>
  </si>
  <si>
    <t>A structure in which electric power is generated, switched, transformed, and/or converted.</t>
  </si>
  <si>
    <t>UucCode_power</t>
  </si>
  <si>
    <t>powerStation</t>
  </si>
  <si>
    <t>Power Station</t>
  </si>
  <si>
    <t>A facility including one or more buildings and equipment used for power generation.</t>
  </si>
  <si>
    <t>UucCode_powerStation</t>
  </si>
  <si>
    <t>waterwork</t>
  </si>
  <si>
    <t>UucCode_waterwork</t>
  </si>
  <si>
    <t>An area of marine plants that grow in long narrow ribbons.</t>
  </si>
  <si>
    <t>VegCode_algae</t>
  </si>
  <si>
    <t>alpine</t>
  </si>
  <si>
    <t>Alpine</t>
  </si>
  <si>
    <t>Plants growing in or inhabiting high mountains (for example: the Alps) above the tree line.</t>
  </si>
  <si>
    <t>Generally designating any small plant suitable for rockeries.</t>
  </si>
  <si>
    <t>VegCode_alpine</t>
  </si>
  <si>
    <t>VegCode_bog</t>
  </si>
  <si>
    <t>VegCode_brush</t>
  </si>
  <si>
    <t>VegCode_desert</t>
  </si>
  <si>
    <t>forest</t>
  </si>
  <si>
    <t>A large tract of land covered with trees and undergrowth sometimes mixed with pasture.</t>
  </si>
  <si>
    <t>VegCode_forest</t>
  </si>
  <si>
    <t>VegCode_forestClearing</t>
  </si>
  <si>
    <t>garden</t>
  </si>
  <si>
    <t>An area used for the cultivation of vegetables, fruit and flowers as well as for the raising of cultivated plants.</t>
  </si>
  <si>
    <t>VegCode_garden</t>
  </si>
  <si>
    <t>grassland</t>
  </si>
  <si>
    <t>VegCode_grassland</t>
  </si>
  <si>
    <t>grasslandWithTrees</t>
  </si>
  <si>
    <t>Grassland with Trees</t>
  </si>
  <si>
    <t>A tract covered mainly by grasses that have little or no woody tissue but including scattered trees.</t>
  </si>
  <si>
    <t>VegCode_grasslandWithTrees</t>
  </si>
  <si>
    <t>grove</t>
  </si>
  <si>
    <t>A generally small collection of trees growing more or less thickly together.</t>
  </si>
  <si>
    <t>VegCode_grove</t>
  </si>
  <si>
    <t>VegCode_heathland</t>
  </si>
  <si>
    <t>herbAndBrush</t>
  </si>
  <si>
    <t>A mixture of herbaceous and low-growing, uncultured plants that may have some woody tissue.</t>
  </si>
  <si>
    <t>VegCode_herbAndBrush</t>
  </si>
  <si>
    <t>herbaceous</t>
  </si>
  <si>
    <t>Herbaceous</t>
  </si>
  <si>
    <t>Plants whose stems do not become woody and persistent (as in a shrub or tree) but remain soft and succulent, and die (completely or down to the root) after flowering.</t>
  </si>
  <si>
    <t>VegCode_herbaceous</t>
  </si>
  <si>
    <t>VegCode_mangroveSwamp</t>
  </si>
  <si>
    <t>meadow</t>
  </si>
  <si>
    <t>Meadow</t>
  </si>
  <si>
    <t>A small, poorly drained area dominated by grassy vegetation.</t>
  </si>
  <si>
    <t>VegCode_meadow</t>
  </si>
  <si>
    <t>rainforest</t>
  </si>
  <si>
    <t>VegCode_rainforest</t>
  </si>
  <si>
    <t>savanna</t>
  </si>
  <si>
    <t>VegCode_savanna</t>
  </si>
  <si>
    <t>seaGrass</t>
  </si>
  <si>
    <t>Sea Grass</t>
  </si>
  <si>
    <t>An area of any of various grasslike marine algae.</t>
  </si>
  <si>
    <t>Eel-grass, Zostera marina, is one of the best known sea grasses.</t>
  </si>
  <si>
    <t>VegCode_seaGrass</t>
  </si>
  <si>
    <t>Any of the vast level grassy usually treeless plains of southeastern Europe and Siberia.</t>
  </si>
  <si>
    <t>VegCode_steppe</t>
  </si>
  <si>
    <t>taiga</t>
  </si>
  <si>
    <t>VegCode_taiga</t>
  </si>
  <si>
    <t>A tract covered mainly by low-growing, uncultured, woody plants.</t>
  </si>
  <si>
    <t>For example, brushwood and/or stunted trees. The predominant height may be up to 6-8 metres.</t>
  </si>
  <si>
    <t>Scrub, Brush</t>
  </si>
  <si>
    <t>VegCode_thicket</t>
  </si>
  <si>
    <t>tropicalGrass</t>
  </si>
  <si>
    <t>Tropical Grass</t>
  </si>
  <si>
    <t>An area of plants of the large cosmopolitan family Poaceae (formerly Gramineae) that is found principally in tropical regions.</t>
  </si>
  <si>
    <t>For example, bamboos (Bambuseae).</t>
  </si>
  <si>
    <t>VegCode_tropicalGrass</t>
  </si>
  <si>
    <t>VegCode_tundra</t>
  </si>
  <si>
    <t>undergrowth</t>
  </si>
  <si>
    <t>Undergrowth</t>
  </si>
  <si>
    <t>An area of dense growth of plants and/or bushes under tall trees.</t>
  </si>
  <si>
    <t>VegCode_undergrowth</t>
  </si>
  <si>
    <t>An area of plants growing in a marsh, swamp, or other stretch of land that is usually saturated with water.</t>
  </si>
  <si>
    <t>VegCode_wetland</t>
  </si>
  <si>
    <t>withTrees</t>
  </si>
  <si>
    <t>With Trees</t>
  </si>
  <si>
    <t>An area with scattered, usually sparse, treed vegetation.</t>
  </si>
  <si>
    <t>VegCode_withTrees</t>
  </si>
  <si>
    <t>withoutTrees</t>
  </si>
  <si>
    <t>Without Trees</t>
  </si>
  <si>
    <t>An area lacking in treed vegetation.</t>
  </si>
  <si>
    <t>VegCode_withoutTrees</t>
  </si>
  <si>
    <t>VegCode_wood</t>
  </si>
  <si>
    <t>alder</t>
  </si>
  <si>
    <t>Alder</t>
  </si>
  <si>
    <t>A member of the birch family that grows in moist places (Alnus glutinosa).</t>
  </si>
  <si>
    <t>The light wood is known for being extremely durable under water.</t>
  </si>
  <si>
    <t>VspCode_alder</t>
  </si>
  <si>
    <t>A plant of simple structure that grows chiefly in water, such as the various forms of seaweed.</t>
  </si>
  <si>
    <t>It ranges in size from a microscopic plant, large numbers of which sometimes cause discoloration of water, to the giant kelp which may extend for more than 185 metres (approximately 600 feet) in length.</t>
  </si>
  <si>
    <t>VspCode_algae</t>
  </si>
  <si>
    <t>A forest tree, Fraxinus excelsior, with grey bark, pinnate foliage, and hard, tough, pale wood.</t>
  </si>
  <si>
    <t>Also (with specifying word), any of various related or otherwise similar trees; especially any other tree of the genus Fraxinus.</t>
  </si>
  <si>
    <t>VspCode_ash</t>
  </si>
  <si>
    <t>aspen</t>
  </si>
  <si>
    <t>Aspen</t>
  </si>
  <si>
    <t>The trembling poplar (Populus tremula).</t>
  </si>
  <si>
    <t>Remarkable for its quivering leaves.</t>
  </si>
  <si>
    <t>VspCode_aspen</t>
  </si>
  <si>
    <t>VspCode_bamboo</t>
  </si>
  <si>
    <t>baobab</t>
  </si>
  <si>
    <t>Baobab</t>
  </si>
  <si>
    <t>An African tree (Adansonia digitata) with a short thick stem and a broad crown.</t>
  </si>
  <si>
    <t>It is capable of storing great quantities of water.</t>
  </si>
  <si>
    <t>Monkey-bread</t>
  </si>
  <si>
    <t>VspCode_baobab</t>
  </si>
  <si>
    <t>beech</t>
  </si>
  <si>
    <t>Beech</t>
  </si>
  <si>
    <t>A forest tree of the genus Fagus, having thin, smooth bark and glossy oval leaves, and bearing nuts.</t>
  </si>
  <si>
    <t>Especially the European Fagus sylvatica. Also (usually with specifying word), any of various similar trees, especially (in the southern hemisphere) of the genus Nothofagus.</t>
  </si>
  <si>
    <t>VspCode_beech</t>
  </si>
  <si>
    <t>birch</t>
  </si>
  <si>
    <t>Birch</t>
  </si>
  <si>
    <t>Any of various hardy northern trees or shrubs of the genus Betula (family Betulaceae), having smooth, tough bark and slender branches.</t>
  </si>
  <si>
    <t>Especially (in Europe) Betula pendula (more fully silver birch) and Betula pubescens (more fully downy birch), and (in North America) Betula papyrifera (more fully paper birch).</t>
  </si>
  <si>
    <t>VspCode_birch</t>
  </si>
  <si>
    <t>bramble</t>
  </si>
  <si>
    <t>Bramble</t>
  </si>
  <si>
    <t>A rough prickly shrub of the genus Rubus, with long trailing shoots, especially any member of the aggregate species Rubus fruticosus, with purplish-black fruit, a blackberry-bush.</t>
  </si>
  <si>
    <t>VspCode_bramble</t>
  </si>
  <si>
    <t>casuarina</t>
  </si>
  <si>
    <t>Casuarina</t>
  </si>
  <si>
    <t>A tree of the genus Casuarina (family Casuarinaceae) with jointed branches resembling gigantic horsetail plants.</t>
  </si>
  <si>
    <t>It is native to Australia and parts of Southeast Asia.</t>
  </si>
  <si>
    <t>VspCode_casuarina</t>
  </si>
  <si>
    <t>cedar</t>
  </si>
  <si>
    <t>Cedar</t>
  </si>
  <si>
    <t>An evergreen coniferous tree, such as Abies cedrus.</t>
  </si>
  <si>
    <t>It has durable and fragrant wood.</t>
  </si>
  <si>
    <t>VspCode_cedar</t>
  </si>
  <si>
    <t>cembraPine</t>
  </si>
  <si>
    <t>Cembra Pine</t>
  </si>
  <si>
    <t>An alpine coniferous genus (Pinus cembra).</t>
  </si>
  <si>
    <t>The wood is resinous, durable and is used for panelling and carving.</t>
  </si>
  <si>
    <t>VspCode_cembraPine</t>
  </si>
  <si>
    <t>VspCode_chestnut</t>
  </si>
  <si>
    <t>Its fruitflesh (Copra) is also processed for the production of oil, fat and dried cocoflakes.</t>
  </si>
  <si>
    <t>VspCode_coconut</t>
  </si>
  <si>
    <t>conifer</t>
  </si>
  <si>
    <t>Conifer</t>
  </si>
  <si>
    <t>A gymnospermous tree or shrub of the order Coniferales, members of which typically bear cones and evergreen needle-like leaves.</t>
  </si>
  <si>
    <t>For example, the pines, firs, cedars, larches, spruces, and yews.</t>
  </si>
  <si>
    <t>VspCode_conifer</t>
  </si>
  <si>
    <t>Industrially used for various kinds of cork based products.</t>
  </si>
  <si>
    <t>VspCode_corkOak</t>
  </si>
  <si>
    <t>cypress</t>
  </si>
  <si>
    <t>Cypress</t>
  </si>
  <si>
    <t>An evergreen coniferous tree of the Eurasian and North American genus Cupressus having flattened shoots with scalelike leaves.</t>
  </si>
  <si>
    <t>For example, Cupressus sempervirens (also known as Italian cypress), a tall, often fastigiate, tree native to southern Europe and the Middle East, with dark foliage and hard durable wood.</t>
  </si>
  <si>
    <t>Cypress Tree</t>
  </si>
  <si>
    <t>VspCode_cypress</t>
  </si>
  <si>
    <t>douglasFir</t>
  </si>
  <si>
    <t>Douglas Fir</t>
  </si>
  <si>
    <t>A coniferous timber tree of the genus Abies.</t>
  </si>
  <si>
    <t>Used for veneer, furniture or construction.</t>
  </si>
  <si>
    <t>VspCode_douglasFir</t>
  </si>
  <si>
    <t>ebony</t>
  </si>
  <si>
    <t>Ebony</t>
  </si>
  <si>
    <t>A tree of the genus Diospyros of the East Indian and African tropic regions.</t>
  </si>
  <si>
    <t>The wood is noted for its solidity and black colour; it is among the most expensive timbers.</t>
  </si>
  <si>
    <t>VspCode_ebony</t>
  </si>
  <si>
    <t>elm</t>
  </si>
  <si>
    <t>Elm</t>
  </si>
  <si>
    <t>Any of various deciduous trees with serrate leaves, of the genus Ulmus and other genera of the family Ulmaceae.</t>
  </si>
  <si>
    <t>Especially (a) (more fully English elm) the European Ulmaceae procera, once common as a hedge tree in central and southern England; (b) (more fully American elm or white elm) Ulmaceae americana, a tree with pale bark of eastern North America.</t>
  </si>
  <si>
    <t>VspCode_elm</t>
  </si>
  <si>
    <t>eucalyptus</t>
  </si>
  <si>
    <t>Eucalyptus</t>
  </si>
  <si>
    <t>Any of the genus Eucalyptus of flowering evergreen trees and shrubs, of the myrtle family.</t>
  </si>
  <si>
    <t>Includes species important as forest trees in Australia and grown elsewhere for their hardwood, oils, gums, and resins, and as ornamentals.</t>
  </si>
  <si>
    <t>VspCode_eucalyptus</t>
  </si>
  <si>
    <t>filao</t>
  </si>
  <si>
    <t>Filao</t>
  </si>
  <si>
    <t>Casuarina equisetifolia, the most widespread and well-known member of the family Casuarinaceae.</t>
  </si>
  <si>
    <t>Known by many names including: Casuarina, ironwood, coast she-oak, horsetail, Australian pine, whistling pine, beefwood, agoho (Philippines), ru (Malaysia), filao (Vietnam, West Africa, West Indies) and nokonoko (Fiji).</t>
  </si>
  <si>
    <t>VspCode_filao</t>
  </si>
  <si>
    <t>fir</t>
  </si>
  <si>
    <t>Fir</t>
  </si>
  <si>
    <t>An evergreen coniferous tree, especially one belonging to the genus Abies of the pine family, characterized by upright cones and flat needles usually arranged in two rows.</t>
  </si>
  <si>
    <t>Naturally occuring in the temperate zones of the northern hemisphere. Firs consist of more than fifty species.</t>
  </si>
  <si>
    <t>VspCode_fir</t>
  </si>
  <si>
    <t>gaboon</t>
  </si>
  <si>
    <t>Gaboon</t>
  </si>
  <si>
    <t>A medium-sized hardwood tree of Western Africa (Aucoumea klaineana).</t>
  </si>
  <si>
    <t>Often used for furniture.</t>
  </si>
  <si>
    <t>VspCode_gaboon</t>
  </si>
  <si>
    <t>Any plant of the large cosmopolitan family Gramineae (for example: cereals, reeds, and bamboos), members of which typically have erect jointed stems (culms) bearing narrow bladelike leaves and insignificant flowers.</t>
  </si>
  <si>
    <t>Also, any of various plants resembling the members of Gramineae in appearance.</t>
  </si>
  <si>
    <t>VspCode_grass</t>
  </si>
  <si>
    <t>hazel</t>
  </si>
  <si>
    <t>Hazel</t>
  </si>
  <si>
    <t>VspCode_hazel</t>
  </si>
  <si>
    <t>heath</t>
  </si>
  <si>
    <t>Heath</t>
  </si>
  <si>
    <t>Any of various dwarf shrubs of the family Ericaceae characteristic of heathland or moor.</t>
  </si>
  <si>
    <t>Especially Erica cinerea (more fully fine-leaved heath) and Erica tetralix (more fully cross-leaved heath), common in dry and in boggy heath respectively.</t>
  </si>
  <si>
    <t>VspCode_heath</t>
  </si>
  <si>
    <t>hickory</t>
  </si>
  <si>
    <t>Hickory</t>
  </si>
  <si>
    <t>One of several Norh American trees of the genus Carya.</t>
  </si>
  <si>
    <t>Related to the walnuts, especially Carya alba, the timber of which is tough and elastic.</t>
  </si>
  <si>
    <t>VspCode_hickory</t>
  </si>
  <si>
    <t>hornbeam</t>
  </si>
  <si>
    <t>Hornbeam</t>
  </si>
  <si>
    <t>A small tree of the northern hemisphere (Carpinus betulus).</t>
  </si>
  <si>
    <t>Yields tough timber and is cultivated for planting hedges.</t>
  </si>
  <si>
    <t>VspCode_hornbeam</t>
  </si>
  <si>
    <t>ilexAquifolium</t>
  </si>
  <si>
    <t>Ilex Aquifolium</t>
  </si>
  <si>
    <t>Ilex Aquifolium (Holly, or European Holly to distinguish it from related species) is an evergreen tree growing to 10-25 metres tall with smooth grey bark whose leaves are 5-12 centimetres long and 2-6 centimetres broad with three to five sharp spines on each side.</t>
  </si>
  <si>
    <t>A species of holly native to western and southern Europe, northwest Africa and southwest Asia.</t>
  </si>
  <si>
    <t>VspCode_ilexAquifolium</t>
  </si>
  <si>
    <t>juniper</t>
  </si>
  <si>
    <t>Juniper</t>
  </si>
  <si>
    <t>A genus of prickly evergreen shrubs, comprising Juniperus communis. Popular in the northern hemisphere on arid soils.</t>
  </si>
  <si>
    <t>Used as ornamental plant or for medicinal purposes.</t>
  </si>
  <si>
    <t>VspCode_juniper</t>
  </si>
  <si>
    <t>kelp</t>
  </si>
  <si>
    <t>Kelp</t>
  </si>
  <si>
    <t>Any of various large brown seaweeds, chiefly members of the orders Fucales and Laminariales.</t>
  </si>
  <si>
    <t>Specifically Macrocystis pyrifera of the Pacific coast of America, the largest of the seaweeds. Often burnt for the substances found in the ashes.</t>
  </si>
  <si>
    <t>VspCode_kelp</t>
  </si>
  <si>
    <t>larch</t>
  </si>
  <si>
    <t>Larch</t>
  </si>
  <si>
    <t>Any of various deciduous coniferous trees of the genus Larix.</t>
  </si>
  <si>
    <t>Specifically Larix decidua, native to the Alps and cultivated for its tough durable timber.</t>
  </si>
  <si>
    <t>VspCode_larch</t>
  </si>
  <si>
    <t>laurel</t>
  </si>
  <si>
    <t>Laurel</t>
  </si>
  <si>
    <t>A glossy-leaved evergreen shrub (Laurus nobilis), popular in the Mediterranian region.</t>
  </si>
  <si>
    <t>The leaves are used for spice; the oil of the fruits has medicinal properties.</t>
  </si>
  <si>
    <t>Bay-tree</t>
  </si>
  <si>
    <t>VspCode_laurel</t>
  </si>
  <si>
    <t>mahogany</t>
  </si>
  <si>
    <t>Mahogany</t>
  </si>
  <si>
    <t>A tree of tropical America (Swietenia mahagoni).</t>
  </si>
  <si>
    <t>Yields a hard, fine-grained wood, used for building instruments and for woodwork arts.</t>
  </si>
  <si>
    <t>VspCode_mahogany</t>
  </si>
  <si>
    <t>Any of various tropical trees or shrubs of the genera Rhizophora and Bruguiera (family Rhizophoraceae) with interlacing aerial roots, which form dense thickets in muddy swamps subject to tidal inundation.</t>
  </si>
  <si>
    <t>For example, Rhizophora mangle (also known as common mangrove or red mangrove). May also be used to describe other tropical trees or shrubs of similar habit and appearance, especially of the genus Avicennia (of the verbena family).</t>
  </si>
  <si>
    <t>VspCode_mangrove</t>
  </si>
  <si>
    <t>VspCode_maple</t>
  </si>
  <si>
    <t>A plant of the class Musci, comprising small bryophytes with scalelike leaves usually spirally arranged and the spore-capsule usually opening by a lid, which grow in crowded masses in bogs, on the surface of the ground, on stones, and on trees.</t>
  </si>
  <si>
    <t>Also, any of certain algae, lichens, pteridophytes, or flowering plants resembling moss in habit.</t>
  </si>
  <si>
    <t>VspCode_moss</t>
  </si>
  <si>
    <t>nipa</t>
  </si>
  <si>
    <t>Nipa</t>
  </si>
  <si>
    <t>A palm tree, Nypa fruticans, of mangrove swamps in tropical Asia and Australia, having a creeping rhizome and large feathery leaves.</t>
  </si>
  <si>
    <t>Nipa-palm</t>
  </si>
  <si>
    <t>VspCode_nipa</t>
  </si>
  <si>
    <t>oak</t>
  </si>
  <si>
    <t>Oak</t>
  </si>
  <si>
    <t>Any of numerous trees (rarely shrubs) of the genus Quercus, of the beech family, with acorns borne in cupules and frequently with sinuately lobed leaves.</t>
  </si>
  <si>
    <t>Specifically (more fully common oak, English oak, pedunculate oak) Quercus robur and (more fully durmast oak, sessile oak) Quercus petraea.</t>
  </si>
  <si>
    <t>VspCode_oak</t>
  </si>
  <si>
    <t>VspCode_olive</t>
  </si>
  <si>
    <t>osier</t>
  </si>
  <si>
    <t>Osier</t>
  </si>
  <si>
    <t>A species of willow, Salix viminalis, growing close to waterbodies or on moist ground.</t>
  </si>
  <si>
    <t>The pliable shoots of it are used for basket-making.</t>
  </si>
  <si>
    <t>VspCode_osier</t>
  </si>
  <si>
    <t>VspCode_palm</t>
  </si>
  <si>
    <t>pine</t>
  </si>
  <si>
    <t>Pine</t>
  </si>
  <si>
    <t>Any coniferous tree of the genus Pinus, comprising usually large trees with evergreen needle-shaped leaves growing in clusters.</t>
  </si>
  <si>
    <t>Native to northern temperate regions, and valued especially as a source of timber, tar, and turpentine.</t>
  </si>
  <si>
    <t>VspCode_pine</t>
  </si>
  <si>
    <t>pinetree</t>
  </si>
  <si>
    <t>Pinetree</t>
  </si>
  <si>
    <t>A tree of the coniferous genus Pinus.</t>
  </si>
  <si>
    <t>An evergreen with very long needle shaped leaves; used for construction and furniture.</t>
  </si>
  <si>
    <t>VspCode_pinetree</t>
  </si>
  <si>
    <t>plane</t>
  </si>
  <si>
    <t>Plane</t>
  </si>
  <si>
    <t>A tree having large spreading branches with broad angular leaves, one of various species of the genus Platanus.</t>
  </si>
  <si>
    <t>Often grown as avenue-, ornamental- and park-tree.</t>
  </si>
  <si>
    <t>VspCode_plane</t>
  </si>
  <si>
    <t>poplar</t>
  </si>
  <si>
    <t>Poplar</t>
  </si>
  <si>
    <t>Any of various often tall and fast-growing, sometimes narrowly erect, trees of the genus Populus, of the willow family, often with triangular-ovate leaves.</t>
  </si>
  <si>
    <t>May also be used to describe any of various other trees resembling the poplar: specifically (a) in North America the tulip tree, Liriodendron tulipifera; (b) in Australia either of two trees with leaves like those of many poplars, Homalanthus populifolius, of the spurge family, and (more fully native poplar) Codonocarpus cotinifolius (family Gyrostemonaceae).</t>
  </si>
  <si>
    <t>VspCode_poplar</t>
  </si>
  <si>
    <t>posidonia</t>
  </si>
  <si>
    <t>Posidonia</t>
  </si>
  <si>
    <t>Posidonia oceanica, an alga-like, vascular, flowering plant endemic to the Mediterranean Sea.</t>
  </si>
  <si>
    <t>It forms extensive underwater meadows that spread from the shore to the depth of 40 metres. Most often they are found on silty and sandy floors; less often on hard ground. Its rhizomes, which can grow horizontally or vertically, are densely intertwined and constitute a kind of a secondary bottom. This may be several decimetres thick and can sometimes create actual reefs.</t>
  </si>
  <si>
    <t>VspCode_posidonia</t>
  </si>
  <si>
    <t>ilex</t>
  </si>
  <si>
    <t>Quercus Ilex</t>
  </si>
  <si>
    <t>A kind of oak, Quercus ilex, common in Mediterranean countries, with dark evergreen sometimes spiny-toothed leaves.</t>
  </si>
  <si>
    <t>VspCode_ilex</t>
  </si>
  <si>
    <t>Any of various tall broad-leaved firm-stemmed grasses of the genera Phragmites and Arundo growing in water or marshy ground, frequently in large stands.</t>
  </si>
  <si>
    <t>Especially the common reed, Phragmites australis, found in most parts of the world. May also be used, with a specifying word, to describe any of various plants resembling the reed.</t>
  </si>
  <si>
    <t>VspCode_reed</t>
  </si>
  <si>
    <t>sargassum</t>
  </si>
  <si>
    <t>Sargassum</t>
  </si>
  <si>
    <t>Any brown alga of the genus Sargassum, the members of which are kept afloat by air-filled bladders and form dense floating masses in warmer parts of the Atlantic.</t>
  </si>
  <si>
    <t>Gulfweed, Sargasso</t>
  </si>
  <si>
    <t>VspCode_sargassum</t>
  </si>
  <si>
    <t>seaTangle</t>
  </si>
  <si>
    <t>Sea-tangle</t>
  </si>
  <si>
    <t>Coarse marine alga of the genus Laminaria.</t>
  </si>
  <si>
    <t>For example, oarweed or Laminaria digitata and Laminaria saccharina, two species of seaweed with long feathery fronds, the young stalk and fronds of which are sometimes eaten.</t>
  </si>
  <si>
    <t>Tangle, Tangle-weed</t>
  </si>
  <si>
    <t>VspCode_seaTangle</t>
  </si>
  <si>
    <t>sequoia</t>
  </si>
  <si>
    <t>Sequoia</t>
  </si>
  <si>
    <t>A Californian genus of gigantic conifers.</t>
  </si>
  <si>
    <t>Has two species; the highest trees in the world.</t>
  </si>
  <si>
    <t>Coast Redwood</t>
  </si>
  <si>
    <t>VspCode_sequoia</t>
  </si>
  <si>
    <t>spruce</t>
  </si>
  <si>
    <t>Spruce</t>
  </si>
  <si>
    <t>A coniferous of the genus Picea, popular on the northern hemisphere.</t>
  </si>
  <si>
    <t>Used for construction and trimmed timber.</t>
  </si>
  <si>
    <t>VspCode_spruce</t>
  </si>
  <si>
    <t>teak</t>
  </si>
  <si>
    <t>Teak</t>
  </si>
  <si>
    <t>A large East Indian tree (Tectona grandis).</t>
  </si>
  <si>
    <t>Yields a heavy timber.</t>
  </si>
  <si>
    <t>VspCode_teak</t>
  </si>
  <si>
    <t>thuya</t>
  </si>
  <si>
    <t>Thuya</t>
  </si>
  <si>
    <t>A genus of coniferous trees or shrubs (Thuja) of the cypress family.</t>
  </si>
  <si>
    <t>Often cultivated for planting hedges.</t>
  </si>
  <si>
    <t>Arbor-vitae</t>
  </si>
  <si>
    <t>VspCode_thuya</t>
  </si>
  <si>
    <t>umbrellaThorn</t>
  </si>
  <si>
    <t>Umbrella Thorn</t>
  </si>
  <si>
    <t>A species of acacia (Acacia tortilis).</t>
  </si>
  <si>
    <t>Has an umbrella like crown. The mark of Africa.</t>
  </si>
  <si>
    <t>VspCode_umbrellaThorn</t>
  </si>
  <si>
    <t>VspCode_walnut</t>
  </si>
  <si>
    <t>waterHyacinth</t>
  </si>
  <si>
    <t>Water Hyacinth</t>
  </si>
  <si>
    <t>A free-floating water plant with thick, waxy, rounded, glossy leaves that rise well above the water surface on stalks that grow up to three feet in height.</t>
  </si>
  <si>
    <t>Water hyacinth growth rate is among the highest of any plant known: hyacinth populations can double in as little as 12 days. In addition to blocking boat traffic and preventing swimming and fishing, water hyacinth infestations also prevent sunlight and oxygen from penetrating the water. Decaying plant matter also reduces oxygen in the water and consequently water hyacinth infestations reduce fisheries, shade out and crowd out immersed plants, and reduce biological diversity.</t>
  </si>
  <si>
    <t>VspCode_waterHyacinth</t>
  </si>
  <si>
    <t>willow</t>
  </si>
  <si>
    <t>Willow</t>
  </si>
  <si>
    <t>Any tree or shrub of the genus Salix.</t>
  </si>
  <si>
    <t>It usually grows near water and is characterized by its long slender branches.</t>
  </si>
  <si>
    <t>VspCode_willow</t>
  </si>
  <si>
    <t>yew</t>
  </si>
  <si>
    <t>Yew</t>
  </si>
  <si>
    <t>A darkleaved evergreen shrub or tree of the genus Taxus.</t>
  </si>
  <si>
    <t>All parts of the plant are poisonous.</t>
  </si>
  <si>
    <t>VspCode_yew</t>
  </si>
  <si>
    <t>VetCode_aircraft</t>
  </si>
  <si>
    <t>A self-propelled motor vehicle.</t>
  </si>
  <si>
    <t>VetCode_automobile</t>
  </si>
  <si>
    <t>A flat-bottomed freight-boat that may be either towed or self-propelled (for example: a bulk motor boat).</t>
  </si>
  <si>
    <t>VetCode_barge</t>
  </si>
  <si>
    <t>A vehicle having two wheels turned by pedalling, typically with handlebars at the front and a seat or saddle for the rider.</t>
  </si>
  <si>
    <t>VetCode_bicycle</t>
  </si>
  <si>
    <t>boat</t>
  </si>
  <si>
    <t>Boat</t>
  </si>
  <si>
    <t>A small open vessel propelled by oars, engine, or sail.</t>
  </si>
  <si>
    <t>VetCode_boat</t>
  </si>
  <si>
    <t>A large passenger road vehicle running on a fixed route.</t>
  </si>
  <si>
    <t>VetCode_bus</t>
  </si>
  <si>
    <t>VetCode_caravan</t>
  </si>
  <si>
    <t>caravanette</t>
  </si>
  <si>
    <t>Caravanette</t>
  </si>
  <si>
    <t>A motor vehicle furnished with beds and other domestic equipment.</t>
  </si>
  <si>
    <t>VetCode_caravanette</t>
  </si>
  <si>
    <t>A two-wheeled motor-driven road vehicle without pedal propulsion.</t>
  </si>
  <si>
    <t>Motor Cycle</t>
  </si>
  <si>
    <t>VetCode_motorcycle</t>
  </si>
  <si>
    <t>A large seagoing vessel propelled by sail or engine.</t>
  </si>
  <si>
    <t>VetCode_ship</t>
  </si>
  <si>
    <t>VcdCode_highestHighWater</t>
  </si>
  <si>
    <t>VcdCode_indianSpringHighWater</t>
  </si>
  <si>
    <t>VcdCode_meanHighWater</t>
  </si>
  <si>
    <t>VcdCode_meanHighWaterSprings</t>
  </si>
  <si>
    <t>VcdCode_meanHigherHighWater</t>
  </si>
  <si>
    <t>VcdCode_meanHigherHighWaterSprings</t>
  </si>
  <si>
    <t>VcdCode_meanSeaLevel</t>
  </si>
  <si>
    <t>groundLevel</t>
  </si>
  <si>
    <t>Ground Level</t>
  </si>
  <si>
    <t>A continuous surface over dry land and non-tidal waters (for example: lakes).</t>
  </si>
  <si>
    <t>In the case of non-tidal waters it is necessary to specify hydrologic conditions in order to ensure a precise reference surface specification. Over extensive areas it is often defined by a digital elevation model (for example: a matrix of elevation values or a Triangulated Irregular Network (TIN)). Over tidal waters (for example: oceans) it is usually considered to be extended to cover the remainder of the world based on a Mean Sea Level (MSL) surface.</t>
  </si>
  <si>
    <t>VdtCode_groundLevel</t>
  </si>
  <si>
    <t>Mean Sea Level (MSL)</t>
  </si>
  <si>
    <t>A continuous surface over the oceans (or its hypothetical extension under the land masses) defined by the mean of sea level surfaces approximated and observed over 19 years.</t>
  </si>
  <si>
    <t>VdtCode_meanSeaLevel</t>
  </si>
  <si>
    <t>ngvd29</t>
  </si>
  <si>
    <t>National Geodetic Vertical Datum (NGVD) 1929</t>
  </si>
  <si>
    <t>A fixed reference for elevations derived from a general adjustment in 1929 of the first-order leveling nets of both the United States and Canada.</t>
  </si>
  <si>
    <t>In the adjustment, mean sea level was held fixed as observed at 21 tide stations in the United States and 5 in Canada.</t>
  </si>
  <si>
    <t>VdtCode_ngvd29</t>
  </si>
  <si>
    <t>navd88</t>
  </si>
  <si>
    <t>North American Vertical Datum (NAVD) 1988</t>
  </si>
  <si>
    <t>A fixed reference for elevations derived from a general adjustment of the first-order terrestrial levelling nets of the United States, Canada, and Mexico.</t>
  </si>
  <si>
    <t>In the adjustment, only the height of the primary tidal bench mark, referenced to the International Great Lakes Datum of 1985 local mean sea level height value, at Pointe-au-Pere, Quebec, on the Gulf of St. Lawrence was held fixed, thus providing minimum constraint.</t>
  </si>
  <si>
    <t>VdtCode_navd88</t>
  </si>
  <si>
    <t>wgs84Egm08</t>
  </si>
  <si>
    <t>WGS 84 EGM08 Geoid</t>
  </si>
  <si>
    <t>The geopotential surface defined by the World Geodetic System (WGS) 1984 EGM08 Earth Gravity Model that is closely associated with the mean ocean surface.</t>
  </si>
  <si>
    <t>VdtCode_wgs84Egm08</t>
  </si>
  <si>
    <t>wgs84Egm96</t>
  </si>
  <si>
    <t>WGS 84 EGM96 Geoid</t>
  </si>
  <si>
    <t>The geopotential surface defined by the World Geodetic System (WGS) 1984 EGM96 Earth Gravity Model that is closely associated with the mean ocean surface.</t>
  </si>
  <si>
    <t>VdtCode_wgs84Egm96</t>
  </si>
  <si>
    <t>wgs84</t>
  </si>
  <si>
    <t>WGS 84 Ellipsoid</t>
  </si>
  <si>
    <t>The oblate ellipsoidal figure of the Earth defined by the World Geodetic System (WGS) 1984.</t>
  </si>
  <si>
    <t>VdtCode_wgs84</t>
  </si>
  <si>
    <t>(Aeronautical Information Exchange Model (AIXM): 'HEI')</t>
  </si>
  <si>
    <t>aboveGround</t>
  </si>
  <si>
    <t>Above Ground</t>
  </si>
  <si>
    <t>The vertical distance measured relative to the ground.</t>
  </si>
  <si>
    <t>DrvCode_aboveGround</t>
  </si>
  <si>
    <t>(Aeronautical Information Exchange Model (AIXM): 'ALT')</t>
  </si>
  <si>
    <t>aboveMsl</t>
  </si>
  <si>
    <t>Above MSL</t>
  </si>
  <si>
    <t>The vertical distance measured relative to mean sea level.</t>
  </si>
  <si>
    <t>Also known as altitude.</t>
  </si>
  <si>
    <t>DrvCode_aboveMsl</t>
  </si>
  <si>
    <t>(Aeronautical Information Exchange Model (AIXM): 'W84')</t>
  </si>
  <si>
    <t>aboveWgs84Ellipsoid</t>
  </si>
  <si>
    <t>Above WGS-84 Ellipsoid</t>
  </si>
  <si>
    <t>The vertical distance measured relative to the WGS-84 Ellipsoid.</t>
  </si>
  <si>
    <t>DrvCode_aboveWgs84Ellipsoid</t>
  </si>
  <si>
    <t>(Aeronautical Information Exchange Model (AIXM): 'STD')</t>
  </si>
  <si>
    <t>standardPressureDistance</t>
  </si>
  <si>
    <t>Standard Pressure Distance</t>
  </si>
  <si>
    <t>The vertical distance measured relative to mean sea level using standard atmospheric pressure.</t>
  </si>
  <si>
    <t>The altimeter setting is set to standard atmosphere.</t>
  </si>
  <si>
    <t>DrvCode_standardPressureDistance</t>
  </si>
  <si>
    <t>aboveSurface</t>
  </si>
  <si>
    <t>Above Surface</t>
  </si>
  <si>
    <t>Located above the ground (terrain) or the surface of the waterbody.</t>
  </si>
  <si>
    <t>LocCode_aboveSurface</t>
  </si>
  <si>
    <t>aboveWaterbodyBottom</t>
  </si>
  <si>
    <t>Above Waterbody Bottom</t>
  </si>
  <si>
    <t>Located above the waterbody bottom but below the waterbody surface.</t>
  </si>
  <si>
    <t>LocCode_aboveWaterbodyBottom</t>
  </si>
  <si>
    <t>belowGroundSurface</t>
  </si>
  <si>
    <t>Below Ground Surface</t>
  </si>
  <si>
    <t>Buried below the ground (terrain) surface.</t>
  </si>
  <si>
    <t>LocCode_belowGroundSurface</t>
  </si>
  <si>
    <t>belowWaterbodyBottom</t>
  </si>
  <si>
    <t>Below Waterbody Bottom</t>
  </si>
  <si>
    <t>Buried below the waterbody bottom.</t>
  </si>
  <si>
    <t>Below Sea Bottom</t>
  </si>
  <si>
    <t>LocCode_belowWaterbodyBottom</t>
  </si>
  <si>
    <t>belowWaterbodySurface</t>
  </si>
  <si>
    <t>Below Waterbody Surface</t>
  </si>
  <si>
    <t>Located at all times below the waterbody surface and may be located above, on, or below the waterbody bottom.</t>
  </si>
  <si>
    <t>LocCode_belowWaterbodySurface</t>
  </si>
  <si>
    <t>onSurface</t>
  </si>
  <si>
    <t>On Surface</t>
  </si>
  <si>
    <t>Located on the ground (terrain) or the surface of the waterbody.</t>
  </si>
  <si>
    <t>LocCode_onSurface</t>
  </si>
  <si>
    <t>onWaterbodyBottom</t>
  </si>
  <si>
    <t>On Waterbody Bottom</t>
  </si>
  <si>
    <t>Located on the waterbody bottom.</t>
  </si>
  <si>
    <t>Sunken, On Sea Bottom</t>
  </si>
  <si>
    <t>LocCode_onWaterbodyBottom</t>
  </si>
  <si>
    <t>interpolatedDted1</t>
  </si>
  <si>
    <t>Determined by interpolation of DTED Level 1 (3 arc second) data.</t>
  </si>
  <si>
    <t>VscCode_interpolatedDted1</t>
  </si>
  <si>
    <t>interpolatedDted2</t>
  </si>
  <si>
    <t>Determined by interpolation of DTED Level 2 (1 arc second) data.</t>
  </si>
  <si>
    <t>VscCode_interpolatedDted2</t>
  </si>
  <si>
    <t>noElevations</t>
  </si>
  <si>
    <t>No Elevations</t>
  </si>
  <si>
    <t>No elevation values are present; the data set is two-dimensional.</t>
  </si>
  <si>
    <t>VscCode_noElevations</t>
  </si>
  <si>
    <t>reflectiveSurface</t>
  </si>
  <si>
    <t>Reflective Surface</t>
  </si>
  <si>
    <t>Determined from analysis of reflective surface data (for example: first return LiDAR or IFSAR).</t>
  </si>
  <si>
    <t>VscCode_reflectiveSurface</t>
  </si>
  <si>
    <t>interpolatedSrtm1</t>
  </si>
  <si>
    <t>SRTM 1</t>
  </si>
  <si>
    <t>Determined by interpolation of SRTM Level 1 (3 arc second) data.</t>
  </si>
  <si>
    <t>The initial release of Shuttle Radar Topography Mission (SRTM) data included data void areas that have subsequently been in-filled by a variety of techniques to result in a seamless model. The quality of the resulting elevation surface will vary in these void-areas from their surrounding regions.</t>
  </si>
  <si>
    <t>VscCode_interpolatedSrtm1</t>
  </si>
  <si>
    <t>interpolatedSrtm2</t>
  </si>
  <si>
    <t>SRTM 2</t>
  </si>
  <si>
    <t>Determined by interpolation of SRTM Level 2 (1 arc second) data.</t>
  </si>
  <si>
    <t>VscCode_interpolatedSrtm2</t>
  </si>
  <si>
    <t>VscCode_stereoscopicImagery</t>
  </si>
  <si>
    <t>tinData</t>
  </si>
  <si>
    <t>TIN Data</t>
  </si>
  <si>
    <t>Determined by interpolation of Triangulated Irregular Network (TIN) data.</t>
  </si>
  <si>
    <t>VscCode_tinData</t>
  </si>
  <si>
    <t>gangway</t>
  </si>
  <si>
    <t>Gangway</t>
  </si>
  <si>
    <t>Walked up the gangway.</t>
  </si>
  <si>
    <t>VbmCode_gangway</t>
  </si>
  <si>
    <t>grapplingHook</t>
  </si>
  <si>
    <t>Grappling-hook</t>
  </si>
  <si>
    <t>Used a grappling-hook, an iron-clawed instrument intended to be thrown with a rope attached in order to get a firm hold on an object (for example: a wall or an enemy ship vessel).</t>
  </si>
  <si>
    <t>VbmCode_grapplingHook</t>
  </si>
  <si>
    <t>jumped</t>
  </si>
  <si>
    <t>Jumped</t>
  </si>
  <si>
    <t>Jumped aboard from an adjacent object (for example: a pier or another vessel) without use of other equipment.</t>
  </si>
  <si>
    <t>VbmCode_jumped</t>
  </si>
  <si>
    <t>towLine</t>
  </si>
  <si>
    <t>Tow-line</t>
  </si>
  <si>
    <t>Climbed a tow-line.</t>
  </si>
  <si>
    <t>VbmCode_towLine</t>
  </si>
  <si>
    <t>amidships</t>
  </si>
  <si>
    <t>Amidships</t>
  </si>
  <si>
    <t>At or near or toward the center of a vessel.</t>
  </si>
  <si>
    <t>VepCode_amidships</t>
  </si>
  <si>
    <t>bridgeWing</t>
  </si>
  <si>
    <t>Bridge Wing</t>
  </si>
  <si>
    <t>A narrow walkway extending outward from both sides of a pilothouse to the full width of a vessel.</t>
  </si>
  <si>
    <t>Officers use bridge wings when docking or maneuvering in locks and narrow waterways.</t>
  </si>
  <si>
    <t>VepCode_bridgeWing</t>
  </si>
  <si>
    <t>engineRoom</t>
  </si>
  <si>
    <t>Engine Room</t>
  </si>
  <si>
    <t>The room containing the vessel's engines.</t>
  </si>
  <si>
    <t>VepCode_engineRoom</t>
  </si>
  <si>
    <t>fantail</t>
  </si>
  <si>
    <t>Fantail</t>
  </si>
  <si>
    <t>An overhang consisting of the fan-shaped part of the deck extending aft of the sternpost of a vessel.</t>
  </si>
  <si>
    <t>VepCode_fantail</t>
  </si>
  <si>
    <t>stern</t>
  </si>
  <si>
    <t>Stern</t>
  </si>
  <si>
    <t>That part of the vessel built around the sternpost, from the counter up to the taffrail.</t>
  </si>
  <si>
    <t>VepCode_stern</t>
  </si>
  <si>
    <t>WktCode_accommodation</t>
  </si>
  <si>
    <t>A machine that can be flown in the air (for example: an aeroplane or helicopter).</t>
  </si>
  <si>
    <t>WktCode_aircraft</t>
  </si>
  <si>
    <t>aircraftCarrier</t>
  </si>
  <si>
    <t>Aircraft Carrier</t>
  </si>
  <si>
    <t>A warship designed to serve as a base for aircraft.</t>
  </si>
  <si>
    <t>WktCode_aircraftCarrier</t>
  </si>
  <si>
    <t>amphibiousWarfareVessel</t>
  </si>
  <si>
    <t>Amphibious Warfare Vessel</t>
  </si>
  <si>
    <t>Any of a class of naval ships designed specifically to conduct Amphibious Warfare by the landing of infantry troops on a beachhead.</t>
  </si>
  <si>
    <t>WktCode_amphibiousWarfareVessel</t>
  </si>
  <si>
    <t>ancientMerchant</t>
  </si>
  <si>
    <t>Ancient Merchant</t>
  </si>
  <si>
    <t>A vessel from long ago used by an armed force.</t>
  </si>
  <si>
    <t>WktCode_ancientMerchant</t>
  </si>
  <si>
    <t>ancientMilitaryVessel</t>
  </si>
  <si>
    <t>Ancient Military Vessel</t>
  </si>
  <si>
    <t>WktCode_ancientMilitaryVessel</t>
  </si>
  <si>
    <t>antiSubmarineBarrier</t>
  </si>
  <si>
    <t>Anti-submarine Barrier</t>
  </si>
  <si>
    <t>A man-made obstacle that bars advance or access to submarines.</t>
  </si>
  <si>
    <t>WktCode_antiSubmarineBarrier</t>
  </si>
  <si>
    <t>armedVessel</t>
  </si>
  <si>
    <t>Armed Vessel</t>
  </si>
  <si>
    <t>A vessel carrying weapons.</t>
  </si>
  <si>
    <t>WktCode_armedVessel</t>
  </si>
  <si>
    <t>A vessel functioning in a subsidiary and/or supplementary capacity.</t>
  </si>
  <si>
    <t>In naval terms, not a fighting ship.</t>
  </si>
  <si>
    <t>WktCode_auxiliary</t>
  </si>
  <si>
    <t>A usually flat bottomed boat, used principally in harbours and inland waterways though is often seagoing, for the transport of goods or sometimes passengers and usually propelled by towing.</t>
  </si>
  <si>
    <t>WktCode_barge</t>
  </si>
  <si>
    <t>barque</t>
  </si>
  <si>
    <t>Barque</t>
  </si>
  <si>
    <t>A small square sterned ocean-going sailing vessel without head rails.</t>
  </si>
  <si>
    <t>Specifically, such a ship with the aftermost mast fore-and-aft rigged and the other masts square-rigged.</t>
  </si>
  <si>
    <t>WktCode_barque</t>
  </si>
  <si>
    <t>battleCruiser</t>
  </si>
  <si>
    <t>Battle-cruiser</t>
  </si>
  <si>
    <t>A heavy-gunned warship of higher speed and lighter armour than a battleship.</t>
  </si>
  <si>
    <t>WktCode_battleCruiser</t>
  </si>
  <si>
    <t>battleship</t>
  </si>
  <si>
    <t>Battleship</t>
  </si>
  <si>
    <t>A warship of the most heavily armed and armoured class, of sufficient size to take part in a main attack.</t>
  </si>
  <si>
    <t>Generally having at least 10 inches of armour and carrying a main battery of 12 inch guns or larger.</t>
  </si>
  <si>
    <t>WktCode_battleship</t>
  </si>
  <si>
    <t>beamTrawler</t>
  </si>
  <si>
    <t>Beam Trawler</t>
  </si>
  <si>
    <t>A fishing vessel equipped with a trawl net with its mouth held apart by a beam.</t>
  </si>
  <si>
    <t>WktCode_beamTrawler</t>
  </si>
  <si>
    <t>blockShip</t>
  </si>
  <si>
    <t>Block-ship</t>
  </si>
  <si>
    <t>A ship moored or grounded in order to block a channel.</t>
  </si>
  <si>
    <t>WktCode_blockShip</t>
  </si>
  <si>
    <t>boardingVessel</t>
  </si>
  <si>
    <t>Boarding Vessel</t>
  </si>
  <si>
    <t>Generally, a vessel used to convey passengers to another vessel for embarkation.</t>
  </si>
  <si>
    <t>Specifically, used by a military force to enter a ship for the purposes of providing information or inspection of the ship, its crew or contents.</t>
  </si>
  <si>
    <t>WktCode_boardingVessel</t>
  </si>
  <si>
    <t>bombardon</t>
  </si>
  <si>
    <t>Bombardon</t>
  </si>
  <si>
    <t>A floating breakwater used to create a man-made harbour.</t>
  </si>
  <si>
    <t>WktCode_bombardon</t>
  </si>
  <si>
    <t>brigantine</t>
  </si>
  <si>
    <t>Brigantine</t>
  </si>
  <si>
    <t>A two-masted sailing ship with a square-rigged foremast and a fore-and-aft-rigged mainmast.</t>
  </si>
  <si>
    <t>WktCode_brigantine</t>
  </si>
  <si>
    <t>bulkCarrier</t>
  </si>
  <si>
    <t>Bulk Carrier</t>
  </si>
  <si>
    <t>A vessel designed to carry (large) quantities of cargo, such as grain, that is not in the form of separate packages.</t>
  </si>
  <si>
    <t>WktCode_bulkCarrier</t>
  </si>
  <si>
    <t>A floating object moored to the bottom in a particular (charted) place, as an navigation or for other specific purposes.</t>
  </si>
  <si>
    <t>WktCode_buoy</t>
  </si>
  <si>
    <t>cabinCruiser</t>
  </si>
  <si>
    <t>Cabin Cruiser</t>
  </si>
  <si>
    <t>A power-driven vessel equipped with a cabin and living accommodation.</t>
  </si>
  <si>
    <t>WktCode_cabinCruiser</t>
  </si>
  <si>
    <t>cableLayer</t>
  </si>
  <si>
    <t>Cable Layer</t>
  </si>
  <si>
    <t>A vessel designed and used to lay underwater cables for telecommunications or electrical power.</t>
  </si>
  <si>
    <t>WktCode_cableLayer</t>
  </si>
  <si>
    <t>A large watertight chamber open at the bottom, from which the water is kept out by air pressure, used in laying foundations under water.</t>
  </si>
  <si>
    <t>WktCode_caisson</t>
  </si>
  <si>
    <t>The goods (load) previously carried by a vessel.</t>
  </si>
  <si>
    <t>WktCode_cargo</t>
  </si>
  <si>
    <t>carrier</t>
  </si>
  <si>
    <t>Carrier</t>
  </si>
  <si>
    <t>In general, a vessel engaged in the transport of goods or passengers for payment.</t>
  </si>
  <si>
    <t>Specifically, a boat that takes the catch from a fishing fleet to market.</t>
  </si>
  <si>
    <t>WktCode_carrier</t>
  </si>
  <si>
    <t>catameran</t>
  </si>
  <si>
    <t>Catameran</t>
  </si>
  <si>
    <t>A boat with two hulls side by side.</t>
  </si>
  <si>
    <t>WktCode_catameran</t>
  </si>
  <si>
    <t>coastGuardVessel</t>
  </si>
  <si>
    <t>Coast Guard Vessel</t>
  </si>
  <si>
    <t>A vessel used by a military or naval force to guard a coastline and specified area of water and to police the regulations, safety, order and effective operation of marine traffic in its jurisdiction.</t>
  </si>
  <si>
    <t>WktCode_coastGuardVessel</t>
  </si>
  <si>
    <t>coaster</t>
  </si>
  <si>
    <t>Coaster</t>
  </si>
  <si>
    <t>A vessel employed in sailing along a coast, trading from port to port, especially of the same country.</t>
  </si>
  <si>
    <t>WktCode_coaster</t>
  </si>
  <si>
    <t>collier</t>
  </si>
  <si>
    <t>Collier</t>
  </si>
  <si>
    <t>A vessel that carries coal.</t>
  </si>
  <si>
    <t>WktCode_collier</t>
  </si>
  <si>
    <t>containerShip</t>
  </si>
  <si>
    <t>Container-ship</t>
  </si>
  <si>
    <t>A vessel designed to carry goods stored in (large) containers.</t>
  </si>
  <si>
    <t>WktCode_containerShip</t>
  </si>
  <si>
    <t>corvette</t>
  </si>
  <si>
    <t>Corvette</t>
  </si>
  <si>
    <t>An escort vessel smaller than a frigate used especially for protecting convoys against submarines in the war of 1939-45.</t>
  </si>
  <si>
    <t>WktCode_corvette</t>
  </si>
  <si>
    <t>craneShip</t>
  </si>
  <si>
    <t>Crane Ship</t>
  </si>
  <si>
    <t>A specialized ship with a crane for lifting heavy loads.</t>
  </si>
  <si>
    <t>WktCode_craneShip</t>
  </si>
  <si>
    <t>cruiser</t>
  </si>
  <si>
    <t>Cruiser</t>
  </si>
  <si>
    <t>A high-speed warship less heavily armed than a battleship.</t>
  </si>
  <si>
    <t>WktCode_cruiser</t>
  </si>
  <si>
    <t>militaryCruiser</t>
  </si>
  <si>
    <t>Cruiser (Military)</t>
  </si>
  <si>
    <t>WktCode_militaryCruiser</t>
  </si>
  <si>
    <t>A light pilot or patrol vessel.</t>
  </si>
  <si>
    <t>Also used to describe a sailing-yacht with one mainsail and two foresails; originally a small fore-and-aft rigged boat with one mast, more than one head-sail, and a running bowsprit, formerly used especially as a fast auxiliary.</t>
  </si>
  <si>
    <t>WktCode_cutter</t>
  </si>
  <si>
    <t>derrickBarge</t>
  </si>
  <si>
    <t>Derrick Barge</t>
  </si>
  <si>
    <t>A barge upon which is mounted a mechanism for hoisting materials by a boom hung from a central post.</t>
  </si>
  <si>
    <t>Lifting Barge</t>
  </si>
  <si>
    <t>WktCode_derrickBarge</t>
  </si>
  <si>
    <t>destroyer</t>
  </si>
  <si>
    <t>Destroyer</t>
  </si>
  <si>
    <t>A fast warship of a type designed to protect other ships (for example: by attacking submarines) with guns and torpedoes.</t>
  </si>
  <si>
    <t>WktCode_destroyer</t>
  </si>
  <si>
    <t>dinghy</t>
  </si>
  <si>
    <t>Dinghy</t>
  </si>
  <si>
    <t>A small open boat, propelled by oars, sails or an outboard motor.</t>
  </si>
  <si>
    <t>WktCode_dinghy</t>
  </si>
  <si>
    <t>dreadnoughtBattleship</t>
  </si>
  <si>
    <t>Dreadnought Battleship</t>
  </si>
  <si>
    <t>Any of a class of battleships (originally superior to all their predecessors) whose main armament was entirely big guns of the same calibre.</t>
  </si>
  <si>
    <t>WktCode_dreadnoughtBattleship</t>
  </si>
  <si>
    <t>dredger</t>
  </si>
  <si>
    <t>Dredger</t>
  </si>
  <si>
    <t>A vessel or floating structure equipped with machinery for excavating ditches or canals, deepening channels and harbours, and removing solid matter from the bottom of a water area.</t>
  </si>
  <si>
    <t>WktCode_dredger</t>
  </si>
  <si>
    <t>drifter</t>
  </si>
  <si>
    <t>Drifter</t>
  </si>
  <si>
    <t>A vessel (for example: a fishing vessel) used by the UK Royal Navy, especially in wartime, for patrolling, conveying stores, and other duties.</t>
  </si>
  <si>
    <t>Generally, a vessel engaged in fishing with a drift-net.</t>
  </si>
  <si>
    <t>WktCode_drifter</t>
  </si>
  <si>
    <t>drillVesselOrRig</t>
  </si>
  <si>
    <t>Drill Vessel or Drill Rig</t>
  </si>
  <si>
    <t>A floating offshore vessel or platform supporting the complete apparatus and structure required for drilling an oil or gas well.</t>
  </si>
  <si>
    <t>WktCode_drillVesselOrRig</t>
  </si>
  <si>
    <t>eastIndiaman</t>
  </si>
  <si>
    <t>East Indiaman</t>
  </si>
  <si>
    <t>A ship engaged in trade with the Indian subcontinent.</t>
  </si>
  <si>
    <t>WktCode_eastIndiaman</t>
  </si>
  <si>
    <t>escortVessel</t>
  </si>
  <si>
    <t>Escort Vessel</t>
  </si>
  <si>
    <t>A vessel accompanying another vessel for security or protection.</t>
  </si>
  <si>
    <t>WktCode_escortVessel</t>
  </si>
  <si>
    <t>explorationVessel</t>
  </si>
  <si>
    <t>Exploration Vessel</t>
  </si>
  <si>
    <t>A vessel engaged in visiting undiscovered or uninvestigated territory, especially to get scientific information.</t>
  </si>
  <si>
    <t>WktCode_explorationVessel</t>
  </si>
  <si>
    <t>Usually of military origin, either lost at sea or intentionally dumped.</t>
  </si>
  <si>
    <t>WktCode_explosives</t>
  </si>
  <si>
    <t>factoryShip</t>
  </si>
  <si>
    <t>Factory Ship</t>
  </si>
  <si>
    <t>A fishing ship with facilities for immediate processing of the catch.</t>
  </si>
  <si>
    <t>WktCode_factoryShip</t>
  </si>
  <si>
    <t>A vessel for transporting passengers, vehicles, and/or goods across a stretch of water, especially as a regular service.</t>
  </si>
  <si>
    <t>WktCode_ferry</t>
  </si>
  <si>
    <t>fishingReef</t>
  </si>
  <si>
    <t>Fishing Reef</t>
  </si>
  <si>
    <t>An artificial reef constructed by dumping assorted junk in an area which may be of very small extent or may stretch a considerable distance along a depth contour.</t>
  </si>
  <si>
    <t>Often established by private interests, usually sport fishermen, to simulate natural reefs and wrecks that attract fish.</t>
  </si>
  <si>
    <t>WktCode_fishingReef</t>
  </si>
  <si>
    <t>fishingVessel</t>
  </si>
  <si>
    <t>Fishing Vessel</t>
  </si>
  <si>
    <t>A vessel engaged in harvesting fish or other products from the sea for commercial gain.</t>
  </si>
  <si>
    <t>WktCode_fishingVessel</t>
  </si>
  <si>
    <t>freighter</t>
  </si>
  <si>
    <t>Freighter</t>
  </si>
  <si>
    <t>A ship for transporting freight.</t>
  </si>
  <si>
    <t>WktCode_freighter</t>
  </si>
  <si>
    <t>frigate</t>
  </si>
  <si>
    <t>Frigate</t>
  </si>
  <si>
    <t>A general-purpose warship with mixed armament, usually lighter than, or, in the US and some other navies, heavier than a destroyer.</t>
  </si>
  <si>
    <t>Generally between a corvette and a destroyer in size and designed for convoy escort work.</t>
  </si>
  <si>
    <t>WktCode_frigate</t>
  </si>
  <si>
    <t>gasTurbineVessel</t>
  </si>
  <si>
    <t>Gas Turbine Vessel</t>
  </si>
  <si>
    <t>A vessel driven by a rotary motor in which a wheel or drum with curved vanes is driven by expanding hot air admitted to it and allowed to escape.</t>
  </si>
  <si>
    <t>WktCode_gasTurbineVessel</t>
  </si>
  <si>
    <t>gunboat</t>
  </si>
  <si>
    <t>Gunboat</t>
  </si>
  <si>
    <t>A small vessel of shallow draught (fitted for) carrying relatively heavy guns.</t>
  </si>
  <si>
    <t>WktCode_gunboat</t>
  </si>
  <si>
    <t>firefightingVessel</t>
  </si>
  <si>
    <t>Harbour Fire / Services (Firefighting Vessel)</t>
  </si>
  <si>
    <t>A specialized watercraft with pumps and nozzles designed for fighting shoreline and shipboard fires.</t>
  </si>
  <si>
    <t>WktCode_firefightingVessel</t>
  </si>
  <si>
    <t>heavyCruiser</t>
  </si>
  <si>
    <t>Heavy Cruiser</t>
  </si>
  <si>
    <t>A large naval cruiser whose principal armament usually consists of 8 guns.</t>
  </si>
  <si>
    <t>WktCode_heavyCruiser</t>
  </si>
  <si>
    <t>An aircraft deriving both lift and propulsive power from horizontally revolving, usually engine-driven, blades or rotors and capable of ascending and descending vertically.</t>
  </si>
  <si>
    <t>WktCode_helicopter</t>
  </si>
  <si>
    <t>helicopterCarrier</t>
  </si>
  <si>
    <t>Helicopter Carrier</t>
  </si>
  <si>
    <t>A specialized vessel designed and utilized primarily for launching, operating, supporting, and landing helicopters.</t>
  </si>
  <si>
    <t>WktCode_helicopterCarrier</t>
  </si>
  <si>
    <t>hospitalShip</t>
  </si>
  <si>
    <t>Hospital Ship</t>
  </si>
  <si>
    <t>A ship fitted out exclusively for the treatment and transport of the sick and wounded.</t>
  </si>
  <si>
    <t>WktCode_hospitalShip</t>
  </si>
  <si>
    <t>houseboat</t>
  </si>
  <si>
    <t>Houseboat</t>
  </si>
  <si>
    <t>WktCode_houseboat</t>
  </si>
  <si>
    <t>hovercraft</t>
  </si>
  <si>
    <t>Hovercraft</t>
  </si>
  <si>
    <t>A vehicle or craft supported by a cushion of air ejected downwards against the surface (of land or sea).</t>
  </si>
  <si>
    <t>WktCode_hovercraft</t>
  </si>
  <si>
    <t>hulk</t>
  </si>
  <si>
    <t>An unrigged hull of a wrecked or condemned ship.</t>
  </si>
  <si>
    <t>WktCode_hulk</t>
  </si>
  <si>
    <t>hydrofoil</t>
  </si>
  <si>
    <t>Hydrofoil</t>
  </si>
  <si>
    <t>A boat equipped with a device consisting of planes for lifting its hull out of the water to increase its speed.</t>
  </si>
  <si>
    <t>Hydrofoil Boat</t>
  </si>
  <si>
    <t>WktCode_hydrofoil</t>
  </si>
  <si>
    <t>iceBreaker</t>
  </si>
  <si>
    <t>Ice-breaker</t>
  </si>
  <si>
    <t>A ship specially built or adapted for breaking a channel through ice.</t>
  </si>
  <si>
    <t>WktCode_iceBreaker</t>
  </si>
  <si>
    <t>inshoreVessel</t>
  </si>
  <si>
    <t>Inshore Vessel</t>
  </si>
  <si>
    <t>A vessel that operates close to the shore.</t>
  </si>
  <si>
    <t>WktCode_inshoreVessel</t>
  </si>
  <si>
    <t>junk</t>
  </si>
  <si>
    <t>Junk</t>
  </si>
  <si>
    <t>A flat-bottomed type of sailing vessel used in the China seas, with a square prow, prominent stem, full stern, suspended rudder, and lugsails.</t>
  </si>
  <si>
    <t>WktCode_junk</t>
  </si>
  <si>
    <t>ketch</t>
  </si>
  <si>
    <t>Ketch</t>
  </si>
  <si>
    <t>A two-masted, fore-and-aft rigged sailing vessel in which the mizzen-mast is shorter than the mainmast and stepped forward of the rudder post.</t>
  </si>
  <si>
    <t>Formerly used especially for coastal trading.</t>
  </si>
  <si>
    <t>WktCode_ketch</t>
  </si>
  <si>
    <t>landingCraftInfantry</t>
  </si>
  <si>
    <t>Landing Craft, Infantry (LCI)</t>
  </si>
  <si>
    <t>Any of several types of naval assault landing craft especially designed for putting troops and equipment directly ashore.</t>
  </si>
  <si>
    <t>WktCode_landingCraftInfantry</t>
  </si>
  <si>
    <t>landingShipInfantry</t>
  </si>
  <si>
    <t>Landing Ship, Infantry (LSI)</t>
  </si>
  <si>
    <t>A naval vessel intended to ferry infantry that could not beach directly, but instead carries a number of smaller assault landing craft that can ferry infantry to a beach.</t>
  </si>
  <si>
    <t>During World War II, often converted cross channel ferries and other similar ships of the same size.</t>
  </si>
  <si>
    <t>WktCode_landingShipInfantry</t>
  </si>
  <si>
    <t>landingShipTank</t>
  </si>
  <si>
    <t>Landing Ship, Tank (LST)</t>
  </si>
  <si>
    <t>The largest naval vessels designed to put their bows directly onto a beach, open their bow doors and lower a ramp supporting vehicle entry and/or exit.</t>
  </si>
  <si>
    <t>Typically about 5000 tons and capable of landing a squadron of tanks or a large number of other vehicles.</t>
  </si>
  <si>
    <t>WktCode_landingShipTank</t>
  </si>
  <si>
    <t>landingStage</t>
  </si>
  <si>
    <t>Landing-stage</t>
  </si>
  <si>
    <t>A floating platform, for the landing of passengers and goods.</t>
  </si>
  <si>
    <t>WktCode_landingStage</t>
  </si>
  <si>
    <t>largeContainerShip</t>
  </si>
  <si>
    <t>Large Container Ship</t>
  </si>
  <si>
    <t>A container ship capable of transporting over 7,000 Twenty-foot Equivalent Unit (TEU).</t>
  </si>
  <si>
    <t>The TEU number is the number of standard 20-foot containers measuring 20 x 8.0 x 8.5 feet (6.1 x 2.4 x 2.6 metres) that a vessel can carry.</t>
  </si>
  <si>
    <t>WktCode_largeContainerShip</t>
  </si>
  <si>
    <t>seaBeeLashBarge</t>
  </si>
  <si>
    <t>LASH Lighter</t>
  </si>
  <si>
    <t>A lighter comprising part of cargo carrying system using specially built ships.</t>
  </si>
  <si>
    <t>Cargoes are loaded into LASH lighters which are towed to a LASH ship where they are embarked. At their destination the LASH lighters are disembarked and towed away to their unloading berths. Special berths or anchorages are sometimes designated for LASH ships.</t>
  </si>
  <si>
    <t>LASH Barge</t>
  </si>
  <si>
    <t>WktCode_seaBeeLashBarge</t>
  </si>
  <si>
    <t>launch</t>
  </si>
  <si>
    <t>Launch</t>
  </si>
  <si>
    <t>A small motor boat carried on a cruising yacht.</t>
  </si>
  <si>
    <t>Also, a similar boat, usually partly open, used as a pleasure-boat.</t>
  </si>
  <si>
    <t>WktCode_launch</t>
  </si>
  <si>
    <t>libertyShip</t>
  </si>
  <si>
    <t>Liberty Ship</t>
  </si>
  <si>
    <t>A type of merchant vessel built in the US by rapid mass-production methods during the war of 1939-45.</t>
  </si>
  <si>
    <t>WktCode_libertyShip</t>
  </si>
  <si>
    <t>lightCruiser</t>
  </si>
  <si>
    <t>Light Cruiser</t>
  </si>
  <si>
    <t>A large naval cruiser whose principal armament usually consists of 6 guns.</t>
  </si>
  <si>
    <t>WktCode_lightCruiser</t>
  </si>
  <si>
    <t>lighterAboardShipVessel</t>
  </si>
  <si>
    <t>Lighter Aboard Ship (LASH) Vessel</t>
  </si>
  <si>
    <t>A cargo carrying system using specially built ships and lighters.</t>
  </si>
  <si>
    <t>WktCode_lighterAboardShipVessel</t>
  </si>
  <si>
    <t>lighterVessel</t>
  </si>
  <si>
    <t>Lighter Vessel</t>
  </si>
  <si>
    <t>A boat, usually flat-bottomed, for transferring goods from a ship to a wharf or another ship.</t>
  </si>
  <si>
    <t>WktCode_lighterVessel</t>
  </si>
  <si>
    <t>lightship</t>
  </si>
  <si>
    <t>WktCode_lightship</t>
  </si>
  <si>
    <t>liner</t>
  </si>
  <si>
    <t>Liner</t>
  </si>
  <si>
    <t>A ship belonging to a line of passenger ships.</t>
  </si>
  <si>
    <t>WktCode_liner</t>
  </si>
  <si>
    <t>liquefiedPetroGasCarrier</t>
  </si>
  <si>
    <t>Liquefied Petroleum Gas Carrier</t>
  </si>
  <si>
    <t>A ship designed for transporting liquefied petroleum gas (primarily propane).</t>
  </si>
  <si>
    <t>WktCode_liquefiedPetroGasCarrier</t>
  </si>
  <si>
    <t>mailboat</t>
  </si>
  <si>
    <t>Mailboat</t>
  </si>
  <si>
    <t>A vessel carrying letters and parcels.</t>
  </si>
  <si>
    <t>WktCode_mailboat</t>
  </si>
  <si>
    <t>merchantShip</t>
  </si>
  <si>
    <t>Merchant Ship</t>
  </si>
  <si>
    <t>A vessel operated by a merchant marine organisation, engaged in the transport of goods for payment.</t>
  </si>
  <si>
    <t>WktCode_merchantShip</t>
  </si>
  <si>
    <t>militaryVessel</t>
  </si>
  <si>
    <t>Military Vessel</t>
  </si>
  <si>
    <t>A vessel used by a countries armed forces, sometimes engaged in the pursuit of warfare.</t>
  </si>
  <si>
    <t>WktCode_militaryVessel</t>
  </si>
  <si>
    <t>minelayer</t>
  </si>
  <si>
    <t>Minelayer</t>
  </si>
  <si>
    <t>A ship or aircraft equipped to lay explosive mines.</t>
  </si>
  <si>
    <t>WktCode_minelayer</t>
  </si>
  <si>
    <t>minelayerOrMinesweeper</t>
  </si>
  <si>
    <t>Minelayer or Minesweeper</t>
  </si>
  <si>
    <t>A ship equipped to lay or clear away floating and submarine mines.</t>
  </si>
  <si>
    <t>WktCode_minelayerOrMinesweeper</t>
  </si>
  <si>
    <t>A ship for clearing away floating and submarine mines.</t>
  </si>
  <si>
    <t>WktCode_minesweeper</t>
  </si>
  <si>
    <t>mobileCrane</t>
  </si>
  <si>
    <t>Mobile Crane</t>
  </si>
  <si>
    <t>A machine for moving heavy objects, usually by suspending them from a projecting arm or beam, mounted on a floating platform.</t>
  </si>
  <si>
    <t>WktCode_mobileCrane</t>
  </si>
  <si>
    <t>motorVessel</t>
  </si>
  <si>
    <t>Motor Vessel</t>
  </si>
  <si>
    <t>A craft or structure for transport by water, driven by an engine.</t>
  </si>
  <si>
    <t>WktCode_motorVessel</t>
  </si>
  <si>
    <t>mulberryUnit</t>
  </si>
  <si>
    <t>Mulberry Unit</t>
  </si>
  <si>
    <t>A concrete caisson used to create a man-made harbour.</t>
  </si>
  <si>
    <t>WktCode_mulberryUnit</t>
  </si>
  <si>
    <t>netTender</t>
  </si>
  <si>
    <t>Net Tender</t>
  </si>
  <si>
    <t>A type of small auxiliary ship built for the US Navy during World War II, built to lay and maintain steel anti-torpedo or anti-submarine nets.</t>
  </si>
  <si>
    <t>WktCode_netTender</t>
  </si>
  <si>
    <t>nonPropelledRollOnRollOff</t>
  </si>
  <si>
    <t>Non-propelled Roll-on Roll-off</t>
  </si>
  <si>
    <t>A vessel with no means of self-propulsion on which vehicles are driven directly on at the start of the voyage and off at the end of it.</t>
  </si>
  <si>
    <t>WktCode_nonPropelledRollOnRollOff</t>
  </si>
  <si>
    <t>Any obstruction that hinders or prevents maritime movement, particularly anything that endangers or prevents passage of a vessel.</t>
  </si>
  <si>
    <t>Usually an isolated danger to navigation such as a sunken rock or pinnacle.</t>
  </si>
  <si>
    <t>WktCode_obstruction</t>
  </si>
  <si>
    <t>oceanTug</t>
  </si>
  <si>
    <t>Ocean Tug</t>
  </si>
  <si>
    <t>A small powerful boat for towing larger boats and ships that can operate in ocean conditions.</t>
  </si>
  <si>
    <t>WktCode_oceanTug</t>
  </si>
  <si>
    <t>paddleBoat</t>
  </si>
  <si>
    <t>Paddle-boat</t>
  </si>
  <si>
    <t>A vessel propelled through the use of wheels having paddle-boards fitted radially which press backwards against the water.</t>
  </si>
  <si>
    <t>WktCode_paddleBoat</t>
  </si>
  <si>
    <t>passengerCargo</t>
  </si>
  <si>
    <t>Passenger Cargo</t>
  </si>
  <si>
    <t>A cargo vessel having accommodations for limited numbers of passengers.</t>
  </si>
  <si>
    <t>For example, ubiquitous twelve-passenger freighters once common on the seas in which the transport of passengers is secondary to the carriage of freight.</t>
  </si>
  <si>
    <t>WktCode_passengerCargo</t>
  </si>
  <si>
    <t>patrolBoat</t>
  </si>
  <si>
    <t>Patrol Boat</t>
  </si>
  <si>
    <t>A vessel which moves systematically around an area for the purposes of watching, repressing, protecting, and/or inspecting.</t>
  </si>
  <si>
    <t>WktCode_patrolBoat</t>
  </si>
  <si>
    <t>pilotBoat</t>
  </si>
  <si>
    <t>Pilot-boat</t>
  </si>
  <si>
    <t>A boat used by a pilot to meet an incoming ship.</t>
  </si>
  <si>
    <t>WktCode_pilotBoat</t>
  </si>
  <si>
    <t>pinnacleRock</t>
  </si>
  <si>
    <t>Pinnacle Rock</t>
  </si>
  <si>
    <t>Any high tower or spire-shaped pillar of rock or coral, alone or cresting a summit.</t>
  </si>
  <si>
    <t>It may or may not be a hazard to surface navigation.</t>
  </si>
  <si>
    <t>WktCode_pinnacleRock</t>
  </si>
  <si>
    <t>pleasureCraft</t>
  </si>
  <si>
    <t>Pleasure Craft</t>
  </si>
  <si>
    <t>A boat used for pleasure or amusement.</t>
  </si>
  <si>
    <t>WktCode_pleasureCraft</t>
  </si>
  <si>
    <t>rescueBoat</t>
  </si>
  <si>
    <t>Rescue Boat</t>
  </si>
  <si>
    <t>A vessel used for the purpose of saving people from danger.</t>
  </si>
  <si>
    <t>WktCode_rescueBoat</t>
  </si>
  <si>
    <t>researchVessel</t>
  </si>
  <si>
    <t>Research Vessel</t>
  </si>
  <si>
    <t>A vessel engaged in the business of conducting investigation into the sea and its environs to increase the sum of knowledge.</t>
  </si>
  <si>
    <t>WktCode_researchVessel</t>
  </si>
  <si>
    <t>riverboat</t>
  </si>
  <si>
    <t>Riverboat</t>
  </si>
  <si>
    <t>A boat designed for use on rivers.</t>
  </si>
  <si>
    <t>Typically has a shallow draft.</t>
  </si>
  <si>
    <t>WktCode_riverboat</t>
  </si>
  <si>
    <t>A ship (especially a passenger ferry) onto which vehicles are driven directly at the start of the voyage and off at the end.</t>
  </si>
  <si>
    <t>WktCode_rollOnRollOff</t>
  </si>
  <si>
    <t>sailingShip</t>
  </si>
  <si>
    <t>Sailing Ship</t>
  </si>
  <si>
    <t>A vessel propelled by means of a sail or sails extended on rigging to catch the wind.</t>
  </si>
  <si>
    <t>WktCode_sailingShip</t>
  </si>
  <si>
    <t>salvageVessel</t>
  </si>
  <si>
    <t>Salvage Vessel</t>
  </si>
  <si>
    <t>A vessel used in the business of raising sunken or wrecked ships or their contents.</t>
  </si>
  <si>
    <t>WktCode_salvageVessel</t>
  </si>
  <si>
    <t>schooner</t>
  </si>
  <si>
    <t>Schooner</t>
  </si>
  <si>
    <t>A small seagoing fore-and-aft rigged vessel, originally with two masts, later often with three or four, the foremast being equal to or smaller than the other masts.</t>
  </si>
  <si>
    <t>WktCode_schooner</t>
  </si>
  <si>
    <t>shipDebris</t>
  </si>
  <si>
    <t>Ship Debris</t>
  </si>
  <si>
    <t>Ship debris (for example: plates, miscellaneous metal) are present however the specific wreck type has not been determined.</t>
  </si>
  <si>
    <t>WktCode_shipDebris</t>
  </si>
  <si>
    <t>shipsLifeboat</t>
  </si>
  <si>
    <t>Ship's Lifeboat</t>
  </si>
  <si>
    <t>A ship's small boat for use in emergency.</t>
  </si>
  <si>
    <t>WktCode_shipsLifeboat</t>
  </si>
  <si>
    <t>sloop</t>
  </si>
  <si>
    <t>Sloop</t>
  </si>
  <si>
    <t>A small one-masted fore-and-aft rigged vessel with mainsail and jib.</t>
  </si>
  <si>
    <t>WktCode_sloop</t>
  </si>
  <si>
    <t>smack</t>
  </si>
  <si>
    <t>Smack</t>
  </si>
  <si>
    <t>A single-masted fore-and-aft rigged sailing vessel, usually employed for coasting or fishing.</t>
  </si>
  <si>
    <t>WktCode_smack</t>
  </si>
  <si>
    <t>smallDefenceVessel</t>
  </si>
  <si>
    <t>Small Defence Vessel</t>
  </si>
  <si>
    <t>A small vessel used for military purposes.</t>
  </si>
  <si>
    <t>WktCode_smallDefenceVessel</t>
  </si>
  <si>
    <t>A high-speed motor boat.</t>
  </si>
  <si>
    <t>WktCode_speedboat</t>
  </si>
  <si>
    <t>steamShip</t>
  </si>
  <si>
    <t>Steam Ship</t>
  </si>
  <si>
    <t>A vessel driven by water in the form of gas or vapour.</t>
  </si>
  <si>
    <t>WktCode_steamShip</t>
  </si>
  <si>
    <t>sternTrawler</t>
  </si>
  <si>
    <t>Stern Trawler</t>
  </si>
  <si>
    <t>A fishing vessel that drags its trawl from the rear of the vessel.</t>
  </si>
  <si>
    <t>WktCode_sternTrawler</t>
  </si>
  <si>
    <t>subchaser</t>
  </si>
  <si>
    <t>Subchaser</t>
  </si>
  <si>
    <t>A vessel used for the detection and pursuit of submarines.</t>
  </si>
  <si>
    <t>WktCode_subchaser</t>
  </si>
  <si>
    <t>A vessel, especially a warship, capable of operating under water and usually equipped with torpedoes, missiles, and a periscope.</t>
  </si>
  <si>
    <t>WktCode_submarine</t>
  </si>
  <si>
    <t>supplyVessel</t>
  </si>
  <si>
    <t>Supply Vessel</t>
  </si>
  <si>
    <t>A vessel carrying provisions and/or equipment.</t>
  </si>
  <si>
    <t>WktCode_supplyVessel</t>
  </si>
  <si>
    <t>surfaceWarshipDestSmall</t>
  </si>
  <si>
    <t>Surface Warship (Destroyer or smaller)</t>
  </si>
  <si>
    <t>An armoured surface vessel that is no larger than a destroyer.</t>
  </si>
  <si>
    <t>A destroyer is a fast warship of a type designed to protect other ships (for example: by attacking submarines) with guns and torpedoes.</t>
  </si>
  <si>
    <t>WktCode_surfaceWarshipDestSmall</t>
  </si>
  <si>
    <t>surveyVessel</t>
  </si>
  <si>
    <t>Survey Vessel</t>
  </si>
  <si>
    <t>A ship or vessel specially equipped for carrying out hydrographic and/or oceanographic surveys.</t>
  </si>
  <si>
    <t>WktCode_surveyVessel</t>
  </si>
  <si>
    <t>A ship fitted with tanks for transporting oil or other fluids in bulk.</t>
  </si>
  <si>
    <t>WktCode_tanker</t>
  </si>
  <si>
    <t>targetShip</t>
  </si>
  <si>
    <t>Target-ship</t>
  </si>
  <si>
    <t>An obsolete vessel providing a mark to shot at for practice.</t>
  </si>
  <si>
    <t>WktCode_targetShip</t>
  </si>
  <si>
    <t>tenderVessel</t>
  </si>
  <si>
    <t>Tender Vessel</t>
  </si>
  <si>
    <t>A ship or boat used to attend a larger one, especially to supply goods and provisions, convey orders, and/or carry passengers to and from shore.</t>
  </si>
  <si>
    <t>WktCode_tenderVessel</t>
  </si>
  <si>
    <t>torpedoBoat</t>
  </si>
  <si>
    <t>Torpedo Boat</t>
  </si>
  <si>
    <t>A small, fast and lightly armed warship for carrying or discharging torpedoes.</t>
  </si>
  <si>
    <t>WktCode_torpedoBoat</t>
  </si>
  <si>
    <t>trainingShip</t>
  </si>
  <si>
    <t>Training Ship</t>
  </si>
  <si>
    <t>A ship used to train or support the training of students in a maritime profession.</t>
  </si>
  <si>
    <t>Two types of vessels are generally recognized as Training Ships:  those used for training at sea and hulks used to house classrooms.</t>
  </si>
  <si>
    <t>WktCode_trainingShip</t>
  </si>
  <si>
    <t>transportShip</t>
  </si>
  <si>
    <t>Transport-ship</t>
  </si>
  <si>
    <t>A ship used to carry soldiers and/or supplies.</t>
  </si>
  <si>
    <t>WktCode_transportShip</t>
  </si>
  <si>
    <t>trawler</t>
  </si>
  <si>
    <t>Trawler</t>
  </si>
  <si>
    <t>A vessel that fishes by dragging an open-mouthed bag-net along the sea-bed.</t>
  </si>
  <si>
    <t>WktCode_trawler</t>
  </si>
  <si>
    <t>trimaran</t>
  </si>
  <si>
    <t>Trimaran</t>
  </si>
  <si>
    <t>A sailing boat with three hulls.</t>
  </si>
  <si>
    <t>WktCode_trimaran</t>
  </si>
  <si>
    <t>tug</t>
  </si>
  <si>
    <t>Tug</t>
  </si>
  <si>
    <t>A small stoutly built powerful boat used to tow larger vessels.</t>
  </si>
  <si>
    <t>Tugboat</t>
  </si>
  <si>
    <t>WktCode_tug</t>
  </si>
  <si>
    <t>turboElectricVessel</t>
  </si>
  <si>
    <t>Turbo-electric Vessel</t>
  </si>
  <si>
    <t>A vessel using a form of electric drive in which turbine-driven generators supply electric power to motors coupled to the propeller.</t>
  </si>
  <si>
    <t>WktCode_turboElectricVessel</t>
  </si>
  <si>
    <t>twinMotorVessel</t>
  </si>
  <si>
    <t>Twin Motor Vessel</t>
  </si>
  <si>
    <t>A craft or structure for transport by water, driven by two engines.</t>
  </si>
  <si>
    <t>WktCode_twinMotorVessel</t>
  </si>
  <si>
    <t>unmannedSurfaceVehicle</t>
  </si>
  <si>
    <t>Unmanned Surface Vehicle (USV)</t>
  </si>
  <si>
    <t>Any vehicle operating on the surface of the water that does not require on-board presence of human operators.</t>
  </si>
  <si>
    <t>The USV can operate autonomously or can be piloted remotely.</t>
  </si>
  <si>
    <t>WktCode_unmannedSurfaceVehicle</t>
  </si>
  <si>
    <t>victoryShip</t>
  </si>
  <si>
    <t>Victory Ship</t>
  </si>
  <si>
    <t>A type of cargo ship produced in large numbers by American shipyards during World War II to replace losses caused by German submarines.</t>
  </si>
  <si>
    <t>WktCode_victoryShip</t>
  </si>
  <si>
    <t>wreckLikeAnomaly</t>
  </si>
  <si>
    <t>Wreck-like Anomaly</t>
  </si>
  <si>
    <t>A wreck-like anomaly is present on the sea floor, however the specific wreck type has not been determined.</t>
  </si>
  <si>
    <t>WktCode_wreckLikeAnomaly</t>
  </si>
  <si>
    <t>A light sailing vessel, especially equipped for racing or a larger, usually power driven vessel equipped for cruising.</t>
  </si>
  <si>
    <t>WktCode_yacht</t>
  </si>
  <si>
    <t>conventionalVor</t>
  </si>
  <si>
    <t>Conventional VOR</t>
  </si>
  <si>
    <t>A ground-based electronic navigation aid transmitting Very High Frequency (VHF) navigation signals, 360 degrees in azimuth, oriented from magnetic North.</t>
  </si>
  <si>
    <t>VtyCode_conventionalVor</t>
  </si>
  <si>
    <t>(Aeronautical Information Exchange Model (AIXM): 'DVOR')</t>
  </si>
  <si>
    <t>dopplerVor</t>
  </si>
  <si>
    <t>Doppler VOR</t>
  </si>
  <si>
    <t>A ground-based navigational aid operating at Very High Frequency (VHF) and using a wide-aperture radiation system to reduce azimuth errors caused by reflection from terrain and other obstacles.</t>
  </si>
  <si>
    <t>VtyCode_dopplerVor</t>
  </si>
  <si>
    <t>vorTestFacility</t>
  </si>
  <si>
    <t>VOR Test Facility</t>
  </si>
  <si>
    <t>A ground-based navigational aid operating at Very High Frequency (VHF) which transmits a test signal used to determine the operational status and accuracy of a VHF Omnidirectional Radio Beacon (VOR) receiver while on the ground where a VOR test facility i</t>
  </si>
  <si>
    <t>VtyCode_vorTestFacility</t>
  </si>
  <si>
    <t>commEquipmentDestroyed</t>
  </si>
  <si>
    <t>Communication Equipment Destroyed</t>
  </si>
  <si>
    <t>All communication equipment was destroyed but the vessel was otherwise undamaged and remained fully operable.</t>
  </si>
  <si>
    <t>This includes both ship (for example: ship-to-shore radio) and personal (for example: cell phone) communication devices.</t>
  </si>
  <si>
    <t>VvoCode_commEquipmentDestroyed</t>
  </si>
  <si>
    <t>Sustained damage but remained operable.</t>
  </si>
  <si>
    <t>VvoCode_damaged</t>
  </si>
  <si>
    <t>Sustained significant damage and was no longer operable.</t>
  </si>
  <si>
    <t>VvoCode_destroyed</t>
  </si>
  <si>
    <t>disabled</t>
  </si>
  <si>
    <t>Disabled</t>
  </si>
  <si>
    <t>Rendered inoperable but not otherwise damaged.</t>
  </si>
  <si>
    <t>VvoCode_disabled</t>
  </si>
  <si>
    <t>stolen</t>
  </si>
  <si>
    <t>Stolen</t>
  </si>
  <si>
    <t>Stolen by the aggressor(s).</t>
  </si>
  <si>
    <t>VvoCode_stolen</t>
  </si>
  <si>
    <t>Sustained significant damage and was sunk.</t>
  </si>
  <si>
    <t>VvoCode_sunk</t>
  </si>
  <si>
    <t>Did not sustain any damage, remaining fully operable.</t>
  </si>
  <si>
    <t>VvoCode_unharmed</t>
  </si>
  <si>
    <t>anchored</t>
  </si>
  <si>
    <t>Anchored</t>
  </si>
  <si>
    <t>The vessel was anchored offshore.</t>
  </si>
  <si>
    <t>VvsCode_anchored</t>
  </si>
  <si>
    <t>docked</t>
  </si>
  <si>
    <t>Docked</t>
  </si>
  <si>
    <t>The vessel was docked at a pier.</t>
  </si>
  <si>
    <t>VvsCode_docked</t>
  </si>
  <si>
    <t>underway</t>
  </si>
  <si>
    <t>Underway</t>
  </si>
  <si>
    <t>The vessel was underway to its destination.</t>
  </si>
  <si>
    <t>VvsCode_underway</t>
  </si>
  <si>
    <t>VvtCode_barge</t>
  </si>
  <si>
    <t>VvtCode_bulkCarrier</t>
  </si>
  <si>
    <t>Container Ship</t>
  </si>
  <si>
    <t>A vessel designed to carry (large) quantities of cargo in specially constructed containers designed for rapid and efficient loading and unloading.</t>
  </si>
  <si>
    <t>VvtCode_containerShip</t>
  </si>
  <si>
    <t>A boat engaged in harvesting fish or other products from the sea for commercial gain.</t>
  </si>
  <si>
    <t>VvtCode_fishingBoat</t>
  </si>
  <si>
    <t>A vessel designed to carry quantities of cargo in the form of separate packages (for example: boxed, baled or crated).</t>
  </si>
  <si>
    <t>VvtCode_generalCargo</t>
  </si>
  <si>
    <t>VvtCode_merchantShip</t>
  </si>
  <si>
    <t>VvtCode_rollOnRollOff</t>
  </si>
  <si>
    <t>VvtCode_supplyVessel</t>
  </si>
  <si>
    <t>VvtCode_tanker</t>
  </si>
  <si>
    <t>VvtCode_tug</t>
  </si>
  <si>
    <t>VvtCode_yacht</t>
  </si>
  <si>
    <t>landMarker</t>
  </si>
  <si>
    <t>Land (Marker)</t>
  </si>
  <si>
    <t>VacCode_landMarker</t>
  </si>
  <si>
    <t>shoreMarker</t>
  </si>
  <si>
    <t>Shore (Marker)</t>
  </si>
  <si>
    <t>VacCode_shoreMarker</t>
  </si>
  <si>
    <t>(Aeronautical Information Exchange Model (AIXM): '2B-VASIS')</t>
  </si>
  <si>
    <t>vasis2Bar</t>
  </si>
  <si>
    <t>2 Bar VASIS</t>
  </si>
  <si>
    <t>A visual approach slope guidance system consisting of light units situated on the left side of the runway in the form of two wing bars.</t>
  </si>
  <si>
    <t>In Canada a 2-bar VASIS system of V1 is used by aircraft with eye-to-wheel height of 3 metres (10feet), V2 eye-to-wheel height of 7.5 metres (25 feet).</t>
  </si>
  <si>
    <t>Vs1Code_vasis2Bar</t>
  </si>
  <si>
    <t>(Aeronautical Information Exchange Model (AIXM): '3B-ATVASIS')</t>
  </si>
  <si>
    <t>abbreviatedTeeVasis3Bar</t>
  </si>
  <si>
    <t>3 Bar Abbreviated 'T'-shaped VASIS</t>
  </si>
  <si>
    <t>A 'T'-shaped VASIS consisting of light units arranged on one side of the runway in the form of two wing bars with a bisecting longitudinal line of lights.</t>
  </si>
  <si>
    <t>A VASIS is a 'Visual Approach Slope Indicator System'.</t>
  </si>
  <si>
    <t>Vs1Code_abbreviatedTeeVasis3Bar</t>
  </si>
  <si>
    <t>(Aeronautical Information Exchange Model (AIXM): '3B-AVASIS')</t>
  </si>
  <si>
    <t>abbreviatedVasis3Bar</t>
  </si>
  <si>
    <t>3 Bar Abbreviated VASIS</t>
  </si>
  <si>
    <t>A 3-Bar VASIS consisting of only one light unit per bar for aircraft with eye-to-wheel height up to 14 metres (45 feet).</t>
  </si>
  <si>
    <t>Vs1Code_abbreviatedVasis3Bar</t>
  </si>
  <si>
    <t>(Aeronautical Information Exchange Model (AIXM): '3B-VASIS')</t>
  </si>
  <si>
    <t>vasis3Bar</t>
  </si>
  <si>
    <t>3 Bar VASIS</t>
  </si>
  <si>
    <t>A VASIS which provides two visual glide paths to the same runway through the use of three bars.</t>
  </si>
  <si>
    <t>Vs1Code_vasis3Bar</t>
  </si>
  <si>
    <t>(Aeronautical Information Exchange Model (AIXM): 'APAPI')</t>
  </si>
  <si>
    <t>abbreviatedPapi</t>
  </si>
  <si>
    <t>Abbreviated PAPI</t>
  </si>
  <si>
    <t>A Precision Approach Path Indicator (PAPI) system consisting of a wing bar of only 2 sharp transition multi-lamp (or paired single lamp) units.</t>
  </si>
  <si>
    <t>The system shall be located on the left side of the runway unless it is physically impracticable to do so.</t>
  </si>
  <si>
    <t>A-PAPI</t>
  </si>
  <si>
    <t>Vs1Code_abbreviatedPapi</t>
  </si>
  <si>
    <t>(Aeronautical Information Exchange Model (AIXM): 'ATVASIS')</t>
  </si>
  <si>
    <t>abbreviatedTeeVasis</t>
  </si>
  <si>
    <t>Abbreviated 'T'-shaped VASIS</t>
  </si>
  <si>
    <t>A 'T'-shaped VASIS consisting of only ten light units arranged on one side of the runway in the form of a single wing bar of four light units with a bisecting longitudinal line of six lights.</t>
  </si>
  <si>
    <t>AT-VASIS</t>
  </si>
  <si>
    <t>Vs1Code_abbreviatedTeeVasis</t>
  </si>
  <si>
    <t>(Aeronautical Information Exchange Model (AIXM): 'AVASIS')</t>
  </si>
  <si>
    <t>abbreviatedVasis</t>
  </si>
  <si>
    <t>Abbreviated VASIS</t>
  </si>
  <si>
    <t>A 2-Bar VASIS consisting of only one light unit per bar for aircraft with eye-to-wheel height up to 3 metres (10 feet).</t>
  </si>
  <si>
    <t>2-Bar VASIS (V1)</t>
  </si>
  <si>
    <t>Vs1Code_abbreviatedVasis</t>
  </si>
  <si>
    <t>(Aeronautical Information Exchange Model (AIXM): 'HAPI')</t>
  </si>
  <si>
    <t>heliApproachPathIndicator</t>
  </si>
  <si>
    <t>Helicopter Approach Path Indicator (HAPI)</t>
  </si>
  <si>
    <t>A helicopter visual slope guidance system consisting of a single light unit providing guidance to a FATO.</t>
  </si>
  <si>
    <t>HAPIs consist of green and red lights, which may be steady or flashing to indicate position.</t>
  </si>
  <si>
    <t>CHAPI, Chase Helicopter Approach Path Indicator</t>
  </si>
  <si>
    <t>Vs1Code_heliApproachPathIndicator</t>
  </si>
  <si>
    <t>(Aeronautical Information Exchange Model (AIXM): 'LCVASI')</t>
  </si>
  <si>
    <t>lowCostVasi</t>
  </si>
  <si>
    <t>Low Cost VASI</t>
  </si>
  <si>
    <t>Low cost visual approach slope indicator: A low cost system consisting of painted black, white, or fluorescent orange panels that may or may not be lighted.</t>
  </si>
  <si>
    <t>Alignment of Elements System</t>
  </si>
  <si>
    <t>Vs1Code_lowCostVasi</t>
  </si>
  <si>
    <t>(Aeronautical Information Exchange Model (AIXM): 'ILU')</t>
  </si>
  <si>
    <t>multipleIdenticalLightUnits</t>
  </si>
  <si>
    <t>Multiple Identical Light Units</t>
  </si>
  <si>
    <t>A number of identical light units.</t>
  </si>
  <si>
    <t>Vs1Code_multipleIdenticalLightUnits</t>
  </si>
  <si>
    <t>(Aeronautical Information Exchange Model (AIXM): 'OLS')</t>
  </si>
  <si>
    <t>Optical Landing System (OLS)</t>
  </si>
  <si>
    <t>Optical landing system for ship decks and aircraft carriers (sometimes available on ground air bases for training purpose).</t>
  </si>
  <si>
    <t>Vs1Code_opticalLandingSystem</t>
  </si>
  <si>
    <t>(Aeronautical Information Exchange Model (AIXM): 'PAPI')</t>
  </si>
  <si>
    <t>precApproachPathIndicator</t>
  </si>
  <si>
    <t>A visual approach slope guidance system consisting of a wing bar of 4 sharp transition multi-lamp (or paired single lamp) units equally spaced.</t>
  </si>
  <si>
    <t>The system shall be located on the left side of the runway unless it is physically impracticable to do so. In Canada a PAPI system of P1 is used by aircraft with eye-to-wheel height of 3 metres(10 feet), P2 eye-to-wheel height of 7.5 metres(25 feet), P3 eye-to-wheel height of 14 metres(45 feet).</t>
  </si>
  <si>
    <t>Vs1Code_precApproachPathIndicator</t>
  </si>
  <si>
    <t>(Aeronautical Information Exchange Model (AIXM): 'PVASI')</t>
  </si>
  <si>
    <t>pulsatingVasi</t>
  </si>
  <si>
    <t>Pulsating VASI</t>
  </si>
  <si>
    <t>A pulsating steady-burning Visual Approach Slope Indicator (VASI).</t>
  </si>
  <si>
    <t>Normally a single light unit projecting two colours.</t>
  </si>
  <si>
    <t>Vs1Code_pulsatingVasi</t>
  </si>
  <si>
    <t>(Aeronautical Information Exchange Model (AIXM): 'TRCV')</t>
  </si>
  <si>
    <t>triColourVasi</t>
  </si>
  <si>
    <t>Tri-colour VASI</t>
  </si>
  <si>
    <t>A tri-colour Visual Approach Slope Indicator (VASI).</t>
  </si>
  <si>
    <t>Normally a single light unit projecting steady red, amber, and green lights.</t>
  </si>
  <si>
    <t>Vs1Code_triColourVasi</t>
  </si>
  <si>
    <t>(Aeronautical Information Exchange Model (AIXM): 'TVASIS')</t>
  </si>
  <si>
    <t>teeVasis</t>
  </si>
  <si>
    <t>T'-shaped VASIS</t>
  </si>
  <si>
    <t>A visual approach slope guidance system consisting of twenty light units symmetrically disposed about the runway centre line in the form of two wing bars of four light units each, with bisecting longitudinal lines of six lights.</t>
  </si>
  <si>
    <t>T-VASIS</t>
  </si>
  <si>
    <t>Vs1Code_teeVasis</t>
  </si>
  <si>
    <t>eitherLeftRightTurns</t>
  </si>
  <si>
    <t>Either Left Turns or Right Turns</t>
  </si>
  <si>
    <t>Aerodrome traffic may use left-hand circuit or right-hand circuit patterns.</t>
  </si>
  <si>
    <t>AtdCode_eitherLeftRightTurns</t>
  </si>
  <si>
    <t>(Aeronautical Information Exchange Model (AIXM): 'L')</t>
  </si>
  <si>
    <t>leftTurns</t>
  </si>
  <si>
    <t>Left Turns</t>
  </si>
  <si>
    <t>Aerodrome traffic will use left-hand circuit patterns.</t>
  </si>
  <si>
    <t>AtdCode_leftTurns</t>
  </si>
  <si>
    <t>rightTurns</t>
  </si>
  <si>
    <t>Right Turns</t>
  </si>
  <si>
    <t>Aerodrome traffic will use right-hand circuit patterns.</t>
  </si>
  <si>
    <t>AtdCode_rightTurns</t>
  </si>
  <si>
    <t>The source data was classified.</t>
  </si>
  <si>
    <t>Usually used in combination with Attribute: 'Security Classification' to specify the security restriction imposed.</t>
  </si>
  <si>
    <t>VcaCode_classified</t>
  </si>
  <si>
    <t>cloudCover</t>
  </si>
  <si>
    <t>Cloud Cover</t>
  </si>
  <si>
    <t>An area in the imagery source that was covered by clouds.</t>
  </si>
  <si>
    <t>VcaCode_cloudCover</t>
  </si>
  <si>
    <t>darkShade</t>
  </si>
  <si>
    <t>Dark Shade</t>
  </si>
  <si>
    <t>An area in the imagery source with insufficient contrast due to intense shading.</t>
  </si>
  <si>
    <t>VcaCode_darkShade</t>
  </si>
  <si>
    <t>diffHgtThresInDataBlock</t>
  </si>
  <si>
    <t>Different Height Threshold Within Data Block</t>
  </si>
  <si>
    <t>VcaCode_diffHgtThresInDataBlock</t>
  </si>
  <si>
    <t>An area in the imagery source that was flooded, and thus covered, by water.</t>
  </si>
  <si>
    <t>VcaCode_flooded</t>
  </si>
  <si>
    <t>inaccessible</t>
  </si>
  <si>
    <t>Inaccessible</t>
  </si>
  <si>
    <t>An area whose conditions makes it impossible to conduct a survey.</t>
  </si>
  <si>
    <t>VcaCode_inaccessible</t>
  </si>
  <si>
    <t>lowDataCollectCriteria</t>
  </si>
  <si>
    <t>Low Data Collection Criteria</t>
  </si>
  <si>
    <t>VcaCode_lowDataCollectCriteria</t>
  </si>
  <si>
    <t>noAvailableImagery</t>
  </si>
  <si>
    <t>No Available Imagery</t>
  </si>
  <si>
    <t>An area for which no imagery source was available.</t>
  </si>
  <si>
    <t>VcaCode_noAvailableImagery</t>
  </si>
  <si>
    <t>noAvailableMapSource</t>
  </si>
  <si>
    <t>No Available Map Source</t>
  </si>
  <si>
    <t>An area for which no map source was available.</t>
  </si>
  <si>
    <t>VcaCode_noAvailableMapSource</t>
  </si>
  <si>
    <t>noAvailableSurvey</t>
  </si>
  <si>
    <t>No Available Survey</t>
  </si>
  <si>
    <t>An area for which no survey source was available.</t>
  </si>
  <si>
    <t>VcaCode_noAvailableSurvey</t>
  </si>
  <si>
    <t>noSuitableImagery</t>
  </si>
  <si>
    <t>No Suitable Imagery</t>
  </si>
  <si>
    <t>An area for which no suitable imagery was available.</t>
  </si>
  <si>
    <t>VcaCode_noSuitableImagery</t>
  </si>
  <si>
    <t>notRequested</t>
  </si>
  <si>
    <t>Not Requested</t>
  </si>
  <si>
    <t>The data was not requested by the user.</t>
  </si>
  <si>
    <t>VcaCode_notRequested</t>
  </si>
  <si>
    <t>notRequired</t>
  </si>
  <si>
    <t>Not Required</t>
  </si>
  <si>
    <t>The data is not required.</t>
  </si>
  <si>
    <t>VcaCode_notRequired</t>
  </si>
  <si>
    <t>snowCover</t>
  </si>
  <si>
    <t>Snow Cover</t>
  </si>
  <si>
    <t>An area in the imagery source that was covered by snow.</t>
  </si>
  <si>
    <t>VcaCode_snowCover</t>
  </si>
  <si>
    <t>unprocessed</t>
  </si>
  <si>
    <t>Unprocessed</t>
  </si>
  <si>
    <t>The source data was available but not yet processed.</t>
  </si>
  <si>
    <t>VcaCode_unprocessed</t>
  </si>
  <si>
    <t>vegetationCover</t>
  </si>
  <si>
    <t>Vegetation Cover</t>
  </si>
  <si>
    <t>An area in the imagery source that was covered by dense vegetation canopy.</t>
  </si>
  <si>
    <t>VcaCode_vegetationCover</t>
  </si>
  <si>
    <t>bathymetry</t>
  </si>
  <si>
    <t>Bathymetry</t>
  </si>
  <si>
    <t>Data specifying the depth of different parts of the Earth's waterbodies (for example: oceans, seas, or lakes).</t>
  </si>
  <si>
    <t>Depth</t>
  </si>
  <si>
    <t>VctCode_bathymetry</t>
  </si>
  <si>
    <t>hypsography</t>
  </si>
  <si>
    <t>Hypsography</t>
  </si>
  <si>
    <t>Data specifying the altitude of different parts of the Earth's surface.</t>
  </si>
  <si>
    <t>VctCode_hypsography</t>
  </si>
  <si>
    <t>waterbodyBottomComposition</t>
  </si>
  <si>
    <t>Waterbody Bottom Composition</t>
  </si>
  <si>
    <t>Data specifying the composition of different parts of the floor of the Earth's waterbodies (for example: oceans, seas, or lakes).</t>
  </si>
  <si>
    <t>Bottom Characteristics</t>
  </si>
  <si>
    <t>VctCode_waterbodyBottomComposition</t>
  </si>
  <si>
    <t>active</t>
  </si>
  <si>
    <t>Active</t>
  </si>
  <si>
    <t>A volcano that erupts frequently.</t>
  </si>
  <si>
    <t>It may be currently erupting or showing signs of unrest, such as unusual earthquake activity or significant new gas emissions.</t>
  </si>
  <si>
    <t>VoaCode_active</t>
  </si>
  <si>
    <t>dormant</t>
  </si>
  <si>
    <t>Dormant</t>
  </si>
  <si>
    <t>A volcano that has erupted in historical times but is now quiet.</t>
  </si>
  <si>
    <t>It may become active again if conditions are right.</t>
  </si>
  <si>
    <t>VoaCode_dormant</t>
  </si>
  <si>
    <t>inactiveOrExtinct</t>
  </si>
  <si>
    <t>Inactive or Extinct</t>
  </si>
  <si>
    <t>A volcano that has not erupted in historical times and based on tectonic conditions is considered unlikely to do so again.</t>
  </si>
  <si>
    <t>VoaCode_inactiveOrExtinct</t>
  </si>
  <si>
    <t>extremelyLarge_6</t>
  </si>
  <si>
    <t>Extremely Large (6)</t>
  </si>
  <si>
    <t>A colossal eruption whose plume rises more than 25 kilometres and whose ejecta volume exceeds 10 cubic kilometres.</t>
  </si>
  <si>
    <t>It is of the Plinian-type and this type of eruption typically occurs every hundred or more years around the world. In Plinian-type eruptions (also known as 'Vesuvian eruptions', being marked by their similarity to the eruption of Mount Vesuvius in AD 79 as described in a letter written by Pliny the Younger), columns of gas and volcanic ash extend high into the stratosphere. The key characteristics are ejection of large amount of pumice and very powerful continuous gas blast eruptions. The eruption in 1783 of the Laki volcano in Iceland was of this type.</t>
  </si>
  <si>
    <t>VeiCode_extremelyLarge_6</t>
  </si>
  <si>
    <t>large_4</t>
  </si>
  <si>
    <t>Large (4)</t>
  </si>
  <si>
    <t>A cataclysmic eruption whose plume rises 10 to 25 kilometres and whose ejecta volume exceeds 0.1 cubic kilometres.</t>
  </si>
  <si>
    <t>It may be either of the Pelean- or Plinian-type and this type of eruption typically occurs every ten or more years around the world. In Pelean-type eruptions (for example: the 1968 activity of Mayan Volcano in the Philippines), a large quantity of gas, dust, ash, and incandescent lava fragments are blown out of a central crater, fall back, and form tongue-like, glowing avalanches that move down-slope at velocities as great as 100 miles per hour. Such eruptive activity can cause great destruction and loss of life if it occurs in populated areas, as demonstrated by the devastation of St. Pierre during the 1902 eruption of Mount Pelee on Martinique, West Indies. In Plinian-type eruptions (also known as 'Vesuvian eruptions', being marked by their similarity to the eruption of Mount Vesuvius in AD 79 as described in a letter written by Pliny the Younger), columns of gas and volcanic ash extend high into the stratosphere. The key characteristics are ejection of large amount of pumice and very powerful continuous gas blast eruptions.</t>
  </si>
  <si>
    <t>VeiCode_large_4</t>
  </si>
  <si>
    <t>megaLarge_8</t>
  </si>
  <si>
    <t>Mega-large (8)</t>
  </si>
  <si>
    <t>A colossal eruption whose plume rises more than 25 kilometres and whose ejecta volume exceeds 1,000 cubic kilometres.</t>
  </si>
  <si>
    <t>It is of the Plinian-type and this type of eruption typically occurs every ten thousand or more years around the world. In Plinian-type eruptions (also known as 'Vesuvian eruptions', being marked by their similarity to the eruption of Mount Vesuvius in AD 79 as described in a letter written by Pliny the Younger), columns of gas and volcanic ash extend high into the stratosphere. The key characteristics are ejection of large amount of pumice and very powerful continuous gas blast eruptions. The eruption 26,500 years ago (the Oruanui eruption) of the Taupo volcano in New Zealand was of this type.</t>
  </si>
  <si>
    <t>VeiCode_megaLarge_8</t>
  </si>
  <si>
    <t>moderate_2</t>
  </si>
  <si>
    <t>Moderate (2)</t>
  </si>
  <si>
    <t>An explosive eruption whose plume rises 1 to 5 kilometres and whose ejecta volume exceeds 1,000,000 cubic metres.</t>
  </si>
  <si>
    <t>It may be either of the Strombolian- or Vulcanian-type and this type of eruption typically occurs weekly around the world; the Galeras volcano (Columbia) is a typical example. In Strombolian-type eruptions (for example: observed during the 1965 activity of Irazu Volcano in Costa Rica) huge clots of molten lava burst from the summit crater to form luminous arcs through the sky. Collecting on the flanks of the cone, lava clots combine to stream down the slopes in fiery rivulets. In Vulcanian-type eruptions (for example: observed during the 1947 activity of Paricutin Volcano in Mexico), a dense cloud of ash-laden gas explodes from the crater and rises high above the peak. Steaming ash forms a whitish cloud near the upper level of the cone.</t>
  </si>
  <si>
    <t>VeiCode_moderate_2</t>
  </si>
  <si>
    <t>moderateLarge_3</t>
  </si>
  <si>
    <t>Moderate-large (3)</t>
  </si>
  <si>
    <t>A severe, explosive eruption whose plume rises 3 to 15 kilometres and whose ejecta volume exceeds 10,000,000 cubic metres.</t>
  </si>
  <si>
    <t>It may be either of the Vulcanian- or Pelean-type and this type of eruption typically occurs yearly around the world. In Vulcanian-type eruptions (for example: observed during the 1947 activity of Paricutin Volcano in Mexico), a dense cloud of ash-laden gas explodes from the crater and rises high above the peak. Steaming ash forms a whitish cloud near the upper level of the cone. In Pelean-type eruptions (for example: the 1968 activity of Mayan Volcano in the Philippines), a large quantity of gas, dust, ash, and incandescent lava fragments are blown out of a central crater, fall back, and form tongue-like, glowing avalanches that move down-slope at velocities as great as 100 miles per hour. Such eruptive activity can cause great destruction and loss of life if it occurs in populated areas, as demonstrated by the devastation of St. Pierre during the 1902 eruption of Mount Pelee on Martinique, West Indies.</t>
  </si>
  <si>
    <t>VeiCode_moderateLarge_3</t>
  </si>
  <si>
    <t>nonExplosive_0</t>
  </si>
  <si>
    <t>Non-explosive (0)</t>
  </si>
  <si>
    <t>A non-explosive eruption whose plume is less than 100 metres in height and whose ejecta volume is less than 10,000 cubic metres.</t>
  </si>
  <si>
    <t>It is of the Hawaiian-type and this type of eruption typically occurs daily around the world. Hawaiian-type eruptions may occur along fissures or fractures that serve as linear vents, such as during the eruption of Mauna Loa Volcano in Hawaii in 1950, or they may occur at a central vent such as during the 1959 eruption in Kilauea Iki Crater of Kilauea Volcano, Hawaii. In fissure-type eruptions, molten, incandescent lava spurts from a fissure on the volcano's rift zone and feeds lava streams that flow downslope. In central-vent eruptions, a fountain of fiery lava spurts to a height of several hundred feet or more. Such lava may collect in old pit craters to form lava lakes, or form cones, or feed radiating flows.</t>
  </si>
  <si>
    <t>VeiCode_nonExplosive_0</t>
  </si>
  <si>
    <t>small_1</t>
  </si>
  <si>
    <t>Small (1)</t>
  </si>
  <si>
    <t>A gentle, effusive eruption whose plume rises 100 to 1000 metres and whose ejecta volume exceeds 10,000 cubic metres.</t>
  </si>
  <si>
    <t>It may be either of the Hawaiian- or Strombolian-type and this type of eruption typically occurs daily around the world. Hawaiian-type eruptions may occur along fissures or fractures that serve as linear vents, such as during the eruption of Mauna Loa Volcano in Hawaii in 1950, or they may occur at a central vent such as during the 1959 eruption in Kilauea Iki Crater of Kilauea Volcano, Hawaii. In fissure-type eruptions, molten, incandescent lava spurts from a fissure on the volcano's rift zone and feeds lava streams that flow downslope. In central-vent eruptions, a fountain of fiery lava spurts to a height of several hundred feet or more. Such lava may collect in old pit craters to form lava lakes, or form cones, or feed radiating flows. In Strombolian-type eruptions (for example: observed during the 1965 activity of Irazu Volcano in Costa Rica) huge clots of molten lava burst from the summit crater to form luminous arcs through the sky. Collecting on the flanks of the cone, lava clots combine to stream down the slopes in fiery rivulets.</t>
  </si>
  <si>
    <t>VeiCode_small_1</t>
  </si>
  <si>
    <t>superLarge_7</t>
  </si>
  <si>
    <t>Super-large (7)</t>
  </si>
  <si>
    <t>A colossal eruption whose plume rises more than 25 kilometres and whose ejecta volume exceeds 100 cubic kilometres.</t>
  </si>
  <si>
    <t>It is of the Plinian-type and this type of eruption typically occurs every thousand or more years around the world. In Plinian-type eruptions (also known as 'Vesuvian eruptions', being marked by their similarity to the eruption of Mount Vesuvius in AD 79 as described in a letter written by Pliny the Younger), columns of gas and volcanic ash extend high into the stratosphere. The key characteristics are ejection of large amount of pumice and very powerful continuous gas blast eruptions. The eruption in 1815 of the Tambora volcano in Indonesia was of this type.</t>
  </si>
  <si>
    <t>VeiCode_superLarge_7</t>
  </si>
  <si>
    <t>veryLarge_5</t>
  </si>
  <si>
    <t>Very Large (5)</t>
  </si>
  <si>
    <t>A paroxysmal eruption whose plume rises more than 25 kilometres and whose ejecta volume exceeds 1 cubic kilometre.</t>
  </si>
  <si>
    <t>It is of the Plinian-type and this type of eruption typically occurs every fifty or more years around the world. In Plinian-type eruptions (also known as 'Vesuvian eruptions', being marked by their similarity to the eruption of Mount Vesuvius in AD 79 as described in a letter written by Pliny the Younger), columns of gas and volcanic ash extend high into the stratosphere. The key characteristics are ejection of large amount of pumice and very powerful continuous gas blast eruptions. The eruption in 1963 of the Agung volcano in Bali was of this type.</t>
  </si>
  <si>
    <t>VeiCode_veryLarge_5</t>
  </si>
  <si>
    <t>andesitic</t>
  </si>
  <si>
    <t>Andesitic</t>
  </si>
  <si>
    <t>Lava that is lower in aluminum and silica, and usually somewhat richer in magnesium and iron. Intermediate lavas form andesite domes and block lavas, and may occur on steep composite volcanoes, such as in the Andes.</t>
  </si>
  <si>
    <t>Poorer in aluminium and silica than felsic lavas, and also commonly hotter (in the range of 750 to 950 degrees Celsius), they tend to be less viscous.</t>
  </si>
  <si>
    <t>Intermediate</t>
  </si>
  <si>
    <t>VlcCode_andesitic</t>
  </si>
  <si>
    <t>Lava that form lava spines, lava domes or 'coulees' (which are thick, short lavas) and are associated with pyroclastic (fragmental) deposits.</t>
  </si>
  <si>
    <t>Most felsic lava flows are extremely viscous, and typically fragment as they extrude, producing blocky autobreccias. Unusually hot (exceeding 950 degrees Celsius) rhyolite lavas, however, may flow for distances of many tens of kilometres, such as in the Snake River Plain of the northwestern United States.</t>
  </si>
  <si>
    <t>VlcCode_felsic</t>
  </si>
  <si>
    <t>Lava that is high in iron and magnesium, and has relatively lower aluminum and silica, which taken together reduces the degree of polymerization within the melt.</t>
  </si>
  <si>
    <t>Owing to the higher temperatures, viscosities can be relatively low, although still thousands of times more viscous than water.</t>
  </si>
  <si>
    <t>Basaltic</t>
  </si>
  <si>
    <t>VlcCode_mafic</t>
  </si>
  <si>
    <t>Lavas such as komatiite and highly magnesian magmas which form boninite take the composition and temperatures of eruptions to the extreme.</t>
  </si>
  <si>
    <t>Komatiites contain over 18 percent magnesium oxide, and are thought to have erupted at temperatures of 1600 degrees Celsius. At this temperature there is no polymerization of the mineral compounds, creating a highly mobile liquid with viscosity as low as that of water.</t>
  </si>
  <si>
    <t>VlcCode_ultramafic</t>
  </si>
  <si>
    <t>Large, circular, basin-shaped volcanic depression created by destruction of the upper part of the volcanic cone by an great eruption. Diameter &gt; 1000 m.</t>
  </si>
  <si>
    <t>VptCode_caldera</t>
  </si>
  <si>
    <t>cinderCone</t>
  </si>
  <si>
    <t>Cinder Cone</t>
  </si>
  <si>
    <t>A conical hill formed by the accumulation of cinders and other pyroclasts, normally of basaltic or andesitic composition.</t>
  </si>
  <si>
    <t>VptCode_cinderCone</t>
  </si>
  <si>
    <t>A small vent in a volcanic area that discharges vapor (greater than 130 degrees Centigrade) that turn into steam.</t>
  </si>
  <si>
    <t>VptCode_fumarole</t>
  </si>
  <si>
    <t>A type of hot spring that intermittently eject jets of hot water and steam issuing from the earth, usally as a result of vulcanic activity.</t>
  </si>
  <si>
    <t>VptCode_geyser</t>
  </si>
  <si>
    <t>hydroclasticVolcano</t>
  </si>
  <si>
    <t>Hydroclastic Volcano</t>
  </si>
  <si>
    <t>An accumulation of pyroclastic material (ash, lapilli, rock fragments) around a volcanic vent that is generated when ascending magma react with ground-water.</t>
  </si>
  <si>
    <t>Hydroclastic volcanoes are tuff ring and cones and maar.</t>
  </si>
  <si>
    <t>VptCode_hydroclasticVolcano</t>
  </si>
  <si>
    <t>Mud-flow composed mainly of volcanic ash lubricated by water causing the volcanic ash to flow under gravitational movement:.</t>
  </si>
  <si>
    <t>VptCode_lahar</t>
  </si>
  <si>
    <t>lavaDome</t>
  </si>
  <si>
    <t>Lava Dome</t>
  </si>
  <si>
    <t>Mound of volcanic rock that forms as a (viscous) lava flows onto the surface and amasses over a vent.</t>
  </si>
  <si>
    <t>VptCode_lavaDome</t>
  </si>
  <si>
    <t>lavaFlow</t>
  </si>
  <si>
    <t>Lava Flow</t>
  </si>
  <si>
    <t>The molten material extruded from a volcano or by a fissure eruption on the surface of the earth where it cools and solidifies.</t>
  </si>
  <si>
    <t>VptCode_lavaFlow</t>
  </si>
  <si>
    <t>mofette</t>
  </si>
  <si>
    <t>Mofette</t>
  </si>
  <si>
    <t>The exhalation of cabron dioxide gas in an area of late-stage volcanic activity; also, the small opening from which the gas is emitted.</t>
  </si>
  <si>
    <t>VptCode_mofette</t>
  </si>
  <si>
    <t>solfatara</t>
  </si>
  <si>
    <t>Solfatara</t>
  </si>
  <si>
    <t>Volcanic exhalation of sulphurous gases within a caldera (100 - 250 degrees Centigrade).</t>
  </si>
  <si>
    <t>VptCode_solfatara</t>
  </si>
  <si>
    <t>thermalSpring</t>
  </si>
  <si>
    <t>Thermal Spring</t>
  </si>
  <si>
    <t>A spring whose water temperature is appreciably higher than the local mean annual atmospheric temperature.</t>
  </si>
  <si>
    <t>VptCode_thermalSpring</t>
  </si>
  <si>
    <t>tuffCone</t>
  </si>
  <si>
    <t>Tuff Cone</t>
  </si>
  <si>
    <t>Tuff cones are characterized by higher profiles than tuff rings and maars.</t>
  </si>
  <si>
    <t>VptCode_tuffCone</t>
  </si>
  <si>
    <t>volcanicFissureEruption</t>
  </si>
  <si>
    <t>Volcanic Fissure Eruption</t>
  </si>
  <si>
    <t>An eruption that takes place from an elongated fissure, rather from a central vent.</t>
  </si>
  <si>
    <t>VptCode_volcanicFissureEruption</t>
  </si>
  <si>
    <t>volcanicGasEmission</t>
  </si>
  <si>
    <t>Volcanic Gas Emission</t>
  </si>
  <si>
    <t>Exhalation of gas associated to vocanic activity.</t>
  </si>
  <si>
    <t>The most important volcanic gases are H2O, CO2, SO2, H2, H2S and CO.</t>
  </si>
  <si>
    <t>VptCode_volcanicGasEmission</t>
  </si>
  <si>
    <t>Crater of great size whose breadth greatly exceeds that of the vent(s) within it.</t>
  </si>
  <si>
    <t>VgtCode_caldera</t>
  </si>
  <si>
    <t>Cone formed round the mouth of a volcano by debris cast up during eruption.</t>
  </si>
  <si>
    <t>VgtCode_cinderCone</t>
  </si>
  <si>
    <t>composite</t>
  </si>
  <si>
    <t>Composite</t>
  </si>
  <si>
    <t>Large, conical, and composed of alternating layers of lava and pyroclastic materials.</t>
  </si>
  <si>
    <t>VgtCode_composite</t>
  </si>
  <si>
    <t>Cone-shaped mountain or peak composed of layers of lava.</t>
  </si>
  <si>
    <t>VgtCode_cone</t>
  </si>
  <si>
    <t>shield</t>
  </si>
  <si>
    <t>Shield</t>
  </si>
  <si>
    <t>Broad, gently sloping, and resembling a flattened dome or shield, generally formed by overlapping and interfingering basaltic lava flows.</t>
  </si>
  <si>
    <t>VgtCode_shield</t>
  </si>
  <si>
    <t>freeStanding</t>
  </si>
  <si>
    <t>Free-standing</t>
  </si>
  <si>
    <t>A wall that is neither attached to another structure nor is serving a retaining function.</t>
  </si>
  <si>
    <t>Standing</t>
  </si>
  <si>
    <t>WtiCode_freeStanding</t>
  </si>
  <si>
    <t>hedged</t>
  </si>
  <si>
    <t>Hedged</t>
  </si>
  <si>
    <t>A wall consisting of a closely planted line of bushes or small trees, forming a boundary.</t>
  </si>
  <si>
    <t>May also include a significant collection of stones and/or dead wood.</t>
  </si>
  <si>
    <t>WtiCode_hedged</t>
  </si>
  <si>
    <t>lockWall</t>
  </si>
  <si>
    <t>One of the pair of walls, usually masonry, that contain a lock basin and support the lock gates.</t>
  </si>
  <si>
    <t>WtiCode_lockWall</t>
  </si>
  <si>
    <t>retaining</t>
  </si>
  <si>
    <t>Retaining</t>
  </si>
  <si>
    <t>A wall supporting or confining a mass of earth or water.</t>
  </si>
  <si>
    <t>Often located at the edge of a terrace or excavation.</t>
  </si>
  <si>
    <t>WtiCode_retaining</t>
  </si>
  <si>
    <t>yellow0Percent</t>
  </si>
  <si>
    <t>0% yellow</t>
  </si>
  <si>
    <t>WcfCode_yellow0Percent</t>
  </si>
  <si>
    <t>brown14Percent</t>
  </si>
  <si>
    <t>14% brown</t>
  </si>
  <si>
    <t>WcfCode_brown14Percent</t>
  </si>
  <si>
    <t>yellow14Percent</t>
  </si>
  <si>
    <t>14% yellow</t>
  </si>
  <si>
    <t>WcfCode_yellow14Percent</t>
  </si>
  <si>
    <t>brown2Percent</t>
  </si>
  <si>
    <t>2% brown</t>
  </si>
  <si>
    <t>WcfCode_brown2Percent</t>
  </si>
  <si>
    <t>yellow2Percent</t>
  </si>
  <si>
    <t>2% yellow</t>
  </si>
  <si>
    <t>WcfCode_yellow2Percent</t>
  </si>
  <si>
    <t>brown20Percent</t>
  </si>
  <si>
    <t>20% brown</t>
  </si>
  <si>
    <t>WcfCode_brown20Percent</t>
  </si>
  <si>
    <t>yellow20Percent</t>
  </si>
  <si>
    <t>20% yellow</t>
  </si>
  <si>
    <t>WcfCode_yellow20Percent</t>
  </si>
  <si>
    <t>brown27Percent</t>
  </si>
  <si>
    <t>27% brown</t>
  </si>
  <si>
    <t>WcfCode_brown27Percent</t>
  </si>
  <si>
    <t>yellow27Percent</t>
  </si>
  <si>
    <t>27% yellow</t>
  </si>
  <si>
    <t>WcfCode_yellow27Percent</t>
  </si>
  <si>
    <t>brown35Percent</t>
  </si>
  <si>
    <t>35% brown</t>
  </si>
  <si>
    <t>WcfCode_brown35Percent</t>
  </si>
  <si>
    <t>yellow35Percent</t>
  </si>
  <si>
    <t>35% yellow</t>
  </si>
  <si>
    <t>WcfCode_yellow35Percent</t>
  </si>
  <si>
    <t>brown44Percent</t>
  </si>
  <si>
    <t>44% brown</t>
  </si>
  <si>
    <t>WcfCode_brown44Percent</t>
  </si>
  <si>
    <t>yellow44Percent</t>
  </si>
  <si>
    <t>44% yellow</t>
  </si>
  <si>
    <t>WcfCode_yellow44Percent</t>
  </si>
  <si>
    <t>brown5Percent</t>
  </si>
  <si>
    <t>5% brown</t>
  </si>
  <si>
    <t>WcfCode_brown5Percent</t>
  </si>
  <si>
    <t>yellow5Percent</t>
  </si>
  <si>
    <t>5% yellow</t>
  </si>
  <si>
    <t>WcfCode_yellow5Percent</t>
  </si>
  <si>
    <t>brown54Percent</t>
  </si>
  <si>
    <t>54% brown</t>
  </si>
  <si>
    <t>WcfCode_brown54Percent</t>
  </si>
  <si>
    <t>yellow54Percent</t>
  </si>
  <si>
    <t>54% yellow</t>
  </si>
  <si>
    <t>WcfCode_yellow54Percent</t>
  </si>
  <si>
    <t>brown65Percent</t>
  </si>
  <si>
    <t>65% brown</t>
  </si>
  <si>
    <t>WcfCode_brown65Percent</t>
  </si>
  <si>
    <t>yellow65Percent</t>
  </si>
  <si>
    <t>65% yellow</t>
  </si>
  <si>
    <t>WcfCode_yellow65Percent</t>
  </si>
  <si>
    <t>brown9Percent</t>
  </si>
  <si>
    <t>9% brown</t>
  </si>
  <si>
    <t>WcfCode_brown9Percent</t>
  </si>
  <si>
    <t>yellow9Percent</t>
  </si>
  <si>
    <t>9% yellow</t>
  </si>
  <si>
    <t>WcfCode_yellow9Percent</t>
  </si>
  <si>
    <t>forelUleValueUnavailable</t>
  </si>
  <si>
    <t>forel-ule value unavailable</t>
  </si>
  <si>
    <t>WcfCode_forelUleValueUnavailable</t>
  </si>
  <si>
    <t>A steel structure used for closing the entrance of locks and wet or dry docks.</t>
  </si>
  <si>
    <t>GncCode_caisson</t>
  </si>
  <si>
    <t>GncCode_dykeGate</t>
  </si>
  <si>
    <t>GncCode_emergencyGate</t>
  </si>
  <si>
    <t>floodBarrageGate</t>
  </si>
  <si>
    <t>Flood Barrage Gate</t>
  </si>
  <si>
    <t>An opening gate used to control flood water.</t>
  </si>
  <si>
    <t>Usually extends across a channel and when required, is closed to control flood waters from the sea.</t>
  </si>
  <si>
    <t>GncCode_floodBarrageGate</t>
  </si>
  <si>
    <t>GncCode_lockGate</t>
  </si>
  <si>
    <t>sluiceGate</t>
  </si>
  <si>
    <t>A sliding gate or other contrivance for changing the level of a body of water by controlling the flow into or out of it.</t>
  </si>
  <si>
    <t>GncCode_sluiceGate</t>
  </si>
  <si>
    <t>alwaysDry</t>
  </si>
  <si>
    <t>Always Dry</t>
  </si>
  <si>
    <t>Not covered at high water under average meteorological conditions.</t>
  </si>
  <si>
    <t>Does Not Cover, Above Water Surface</t>
  </si>
  <si>
    <t>WleCode_alwaysDry</t>
  </si>
  <si>
    <t>alwaysSubmerged</t>
  </si>
  <si>
    <t>Always Submerged</t>
  </si>
  <si>
    <t>Remains covered by water at all times under average meteorological conditions.</t>
  </si>
  <si>
    <t>WleCode_alwaysSubmerged</t>
  </si>
  <si>
    <t>awashAtChartDatum</t>
  </si>
  <si>
    <t>Awash at Chart Datum</t>
  </si>
  <si>
    <t>Flush with, or washed by the waves at chart datum under average meteorological conditions.</t>
  </si>
  <si>
    <t>WleCode_awashAtChartDatum</t>
  </si>
  <si>
    <t>awashAtLowWater</t>
  </si>
  <si>
    <t>Awash at Low Water</t>
  </si>
  <si>
    <t>Flush with, or washed by the waves at low water under average meteorological conditions.</t>
  </si>
  <si>
    <t>Awash</t>
  </si>
  <si>
    <t>WleCode_awashAtLowWater</t>
  </si>
  <si>
    <t>coversAndUncovers</t>
  </si>
  <si>
    <t>Covers and Uncovers</t>
  </si>
  <si>
    <t>An area projecting from the bottom of a body of water (for example: a reef) that periodically extends above and is submerged below the surface.</t>
  </si>
  <si>
    <t>Dries, Uncovers</t>
  </si>
  <si>
    <t>WleCode_coversAndUncovers</t>
  </si>
  <si>
    <t>Resting or moving on the waterbody surface without sinking.</t>
  </si>
  <si>
    <t>WleCode_floating</t>
  </si>
  <si>
    <t>partlySubmerged</t>
  </si>
  <si>
    <t>Partly Submerged</t>
  </si>
  <si>
    <t>Partially covered and partially dry at high water.</t>
  </si>
  <si>
    <t>WleCode_partlySubmerged</t>
  </si>
  <si>
    <t>subjectToInundation</t>
  </si>
  <si>
    <t>Subject to Inundation</t>
  </si>
  <si>
    <t>An area periodically covered by flood water, excluding tidal waters.</t>
  </si>
  <si>
    <t>WleCode_subjectToInundation</t>
  </si>
  <si>
    <t>contaminated</t>
  </si>
  <si>
    <t>Contaminated</t>
  </si>
  <si>
    <t>Incapable of being easily treated to become potable.</t>
  </si>
  <si>
    <t>For example, requiring distillation or reverse osmosis treatment.</t>
  </si>
  <si>
    <t>YwqCode_contaminated</t>
  </si>
  <si>
    <t>nonpotable</t>
  </si>
  <si>
    <t>Nonpotable</t>
  </si>
  <si>
    <t>Unsuitable for, or not intended for, consumption by humans.</t>
  </si>
  <si>
    <t>Undrinkable</t>
  </si>
  <si>
    <t>YwqCode_nonpotable</t>
  </si>
  <si>
    <t>potable</t>
  </si>
  <si>
    <t>Potable</t>
  </si>
  <si>
    <t>Suitable for consumption by humans.</t>
  </si>
  <si>
    <t>YwqCode_potable</t>
  </si>
  <si>
    <t>treatable</t>
  </si>
  <si>
    <t>Treatable</t>
  </si>
  <si>
    <t>Capable of being relatively easily treated to become potable.</t>
  </si>
  <si>
    <t>For example, treatable using simple filtration and/or disinfection.</t>
  </si>
  <si>
    <t>YwqCode_treatable</t>
  </si>
  <si>
    <t>classI</t>
  </si>
  <si>
    <t>Class I</t>
  </si>
  <si>
    <t>For groundwater this is the area closest to the capture location (for example: source or well); any landuse is forbidden in this area. For reservoirs this is the area of the waterbody plus the shore area.</t>
  </si>
  <si>
    <t>WpaCode_classI</t>
  </si>
  <si>
    <t>classII</t>
  </si>
  <si>
    <t>Class II</t>
  </si>
  <si>
    <t>For groundwater this is the area within which water can reach (flow to) the capture location (for example: source or well) within 50 days. For reservoirs this area restricts any harmful actions in the area around the waterbody.</t>
  </si>
  <si>
    <t>WpaCode_classII</t>
  </si>
  <si>
    <t>classIII</t>
  </si>
  <si>
    <t>Class III</t>
  </si>
  <si>
    <t>For groundwater this is the area within which water can reach (flow to) the capture location (for example: source or well) in total. For reservoirs this area restricts actions of chemical or nuclear actions.</t>
  </si>
  <si>
    <t>WpaCode_classIII</t>
  </si>
  <si>
    <t>classIIIA</t>
  </si>
  <si>
    <t>Class III A</t>
  </si>
  <si>
    <t>If the Protection Area Class III is larger than 2 kilometres then the Zone III A is not bigger than 1 kilometre and consists only of Zones I and II.</t>
  </si>
  <si>
    <t>WpaCode_classIIIA</t>
  </si>
  <si>
    <t>classIIIB</t>
  </si>
  <si>
    <t>Class III B</t>
  </si>
  <si>
    <t>If the Protection Area Class III is larger than 2 kilometres then the Zone III B consists of Zone III without Zones III A, II and I.</t>
  </si>
  <si>
    <t>WpaCode_classIIIB</t>
  </si>
  <si>
    <t>flume</t>
  </si>
  <si>
    <t>An open artificial watercourse normally inclined and having no gate, which conveys water for the purposes of material transport including water, hydraulic mining operations, or the study of water and sediment movement.</t>
  </si>
  <si>
    <t>Flumes are used in hydraulic or placer mining and in the logging industry. Unlike a sluice, a flume will not be controlled by a gate. A flume may be either on the ground or elevated above the ground surface.</t>
  </si>
  <si>
    <t>WrtCode_flume</t>
  </si>
  <si>
    <t>headrace</t>
  </si>
  <si>
    <t>Headrace</t>
  </si>
  <si>
    <t>An artificial channel that feeds water to a point of industrial application (for example: a millwheel or turbine) before use.</t>
  </si>
  <si>
    <t>WrtCode_headrace</t>
  </si>
  <si>
    <t>sluice</t>
  </si>
  <si>
    <t>An open artificial watercourse or passageway for water, having a gate or valve to regulate its flow.</t>
  </si>
  <si>
    <t>May be employed in mine ore washing operations or for irrigation. Sluices are usually located on the ground.</t>
  </si>
  <si>
    <t>WrtCode_sluice</t>
  </si>
  <si>
    <t>tailrace</t>
  </si>
  <si>
    <t>Tailrace</t>
  </si>
  <si>
    <t>An artificial channel for conveying water away from a point of industrial application (for example: a millwheel or turbine) after use.</t>
  </si>
  <si>
    <t>WrtCode_tailrace</t>
  </si>
  <si>
    <t>inducedAquiferRecharge</t>
  </si>
  <si>
    <t>Induced Aquifer Recharge</t>
  </si>
  <si>
    <t>Regeneration of the groundwater and increase of its volume in useable aquifers.</t>
  </si>
  <si>
    <t>WusCode_inducedAquiferRecharge</t>
  </si>
  <si>
    <t>publicWaterSupply</t>
  </si>
  <si>
    <t>Public Water Supply</t>
  </si>
  <si>
    <t>It includes facilities of the public utilities for the provision and/or maintenance of the water supply.</t>
  </si>
  <si>
    <t>WusCode_publicWaterSupply</t>
  </si>
  <si>
    <t>spaProtectionArea</t>
  </si>
  <si>
    <t>Spa Protection Area</t>
  </si>
  <si>
    <t>An area especially protected by law that provides medicinally useful water.</t>
  </si>
  <si>
    <t>WusCode_spaProtectionArea</t>
  </si>
  <si>
    <t>waterCatchmentArea</t>
  </si>
  <si>
    <t>Water Catchment Area</t>
  </si>
  <si>
    <t>A region where a water providing facility collects its resource (water).</t>
  </si>
  <si>
    <t>WusCode_waterCatchmentArea</t>
  </si>
  <si>
    <t>waterProtectionArea</t>
  </si>
  <si>
    <t>Water Protection Area</t>
  </si>
  <si>
    <t>An area especially protected by law that is important to water collection and a secure water supply.</t>
  </si>
  <si>
    <t>WusCode_waterProtectionArea</t>
  </si>
  <si>
    <t>breakers</t>
  </si>
  <si>
    <t>Waves breaking, usually caused by a shallowing of the water body.</t>
  </si>
  <si>
    <t>Roughly classified into the three types of: spilling, plunging, and surging. The French word 'brisant' is used for the obstacle causing the breaking of the wave.</t>
  </si>
  <si>
    <t>WttCode_breakers</t>
  </si>
  <si>
    <t>confusedSeas</t>
  </si>
  <si>
    <t>Confused Seas</t>
  </si>
  <si>
    <t>Wind driven waves from differing directions, resulting in waves that are irregular, unpredictable and that may be difficult to navigate.</t>
  </si>
  <si>
    <t>Confused sea conditions occur as a result of major shifts in wind direction that occur quickly, generally after major fronts or hurricanes.</t>
  </si>
  <si>
    <t>WttCode_confusedSeas</t>
  </si>
  <si>
    <t>eddies</t>
  </si>
  <si>
    <t>WttCode_eddies</t>
  </si>
  <si>
    <t>overfalls</t>
  </si>
  <si>
    <t>Overfalls</t>
  </si>
  <si>
    <t>Short, breaking waves occurring when a strong current passes over a shoal or other submarine obstruction or meets a contrary current or wind.</t>
  </si>
  <si>
    <t>WttCode_overfalls</t>
  </si>
  <si>
    <t>plungingBreakers</t>
  </si>
  <si>
    <t>Plunging Breakers</t>
  </si>
  <si>
    <t>Waves tending to curl over and break with a crash.</t>
  </si>
  <si>
    <t>WttCode_plungingBreakers</t>
  </si>
  <si>
    <t>spillingBreakers</t>
  </si>
  <si>
    <t>Spilling Breakers</t>
  </si>
  <si>
    <t>Waves breaking gradually over a considerable distance.</t>
  </si>
  <si>
    <t>WttCode_spillingBreakers</t>
  </si>
  <si>
    <t>surgingBreakers</t>
  </si>
  <si>
    <t>Surging Breakers</t>
  </si>
  <si>
    <t>Waves peak up, but then instead of spilling or plunging they surge up on the beach face.</t>
  </si>
  <si>
    <t>WttCode_surgingBreakers</t>
  </si>
  <si>
    <t>tideRips</t>
  </si>
  <si>
    <t>Tide Rips</t>
  </si>
  <si>
    <t>Small waves formed on the surface of water by the meeting of opposing tidal currents.</t>
  </si>
  <si>
    <t>WttCode_tideRips</t>
  </si>
  <si>
    <t>whirlpool</t>
  </si>
  <si>
    <t>Whirlpool</t>
  </si>
  <si>
    <t>A turbulent, potentially dangerous rotating movement of water in a waterbody.</t>
  </si>
  <si>
    <t>The waterbody may be inland (for example: a river) or not (for example: a sea).</t>
  </si>
  <si>
    <t>WttCode_whirlpool</t>
  </si>
  <si>
    <t>alkaline</t>
  </si>
  <si>
    <t>Alkaline</t>
  </si>
  <si>
    <t>Water with a pH above 7.0.</t>
  </si>
  <si>
    <t>SccCode_alkaline</t>
  </si>
  <si>
    <t>brackish</t>
  </si>
  <si>
    <t>Brackish</t>
  </si>
  <si>
    <t>Water containing dissolved salts and minerals greater than or equal to 1,500 to less than or equal to 15,000 milligrams per litre.</t>
  </si>
  <si>
    <t>Brackish water may result from mixing of seawater with fresh water, as in estuaries, or it may occur naturally, as in brackish fossil aquifers.</t>
  </si>
  <si>
    <t>SccCode_brackish</t>
  </si>
  <si>
    <t>Water containing greater than 40,000 milligrams per litre of total dissolved solids (TDS).</t>
  </si>
  <si>
    <t>Saltier than full strength seawater.</t>
  </si>
  <si>
    <t>SccCode_brine</t>
  </si>
  <si>
    <t>fresh</t>
  </si>
  <si>
    <t>Fresh</t>
  </si>
  <si>
    <t>Containing less than 1,500 milligrams per litre of dissolved salts or minerals.</t>
  </si>
  <si>
    <t>Chloride is less than or equal to 600 milligrams per litre and sulphates are less than or equal to 300 milligrams per litre.</t>
  </si>
  <si>
    <t>SccCode_fresh</t>
  </si>
  <si>
    <t>mineral</t>
  </si>
  <si>
    <t>Water which has natural mineral salts or gases (carbon dioxide) and contains at least 250 milligrams per litre of dissolved salts and minerals.</t>
  </si>
  <si>
    <t>SccCode_mineral</t>
  </si>
  <si>
    <t>saline</t>
  </si>
  <si>
    <t>Saline</t>
  </si>
  <si>
    <t>Water containing greater than 15,000 to less than or equal 30,000 milligrams per litre of total dissolved solids (TDS).</t>
  </si>
  <si>
    <t>SccCode_saline</t>
  </si>
  <si>
    <t>seawater</t>
  </si>
  <si>
    <t>Seawater</t>
  </si>
  <si>
    <t>Water containing greater than 30,000 to less than or equal 40,000 milligrams per litre of total dissolved solids (TDS).</t>
  </si>
  <si>
    <t>SccCode_seawater</t>
  </si>
  <si>
    <t>agriculturalIrrigation</t>
  </si>
  <si>
    <t>Agricultural Irrigation</t>
  </si>
  <si>
    <t>Water applied to lands specifically to assist in the growing of crops and pastures.</t>
  </si>
  <si>
    <t>WurCode_agriculturalIrrigation</t>
  </si>
  <si>
    <t>Water for motels, hotels, restaurants, office buildings, and other commercial facilities.</t>
  </si>
  <si>
    <t>Excludes specifically industrial purposes.</t>
  </si>
  <si>
    <t>WurCode_commercial</t>
  </si>
  <si>
    <t>domesticIrrigation</t>
  </si>
  <si>
    <t xml:space="preserve">Domestic Irrigation </t>
  </si>
  <si>
    <t>Water used for household gardening and/or watering of grounds plantings (for example: shrubs and lawns).</t>
  </si>
  <si>
    <t>May also include additional exterior domestic purposes (for example: washing of vehicles).</t>
  </si>
  <si>
    <t>WurCode_domesticIrrigation</t>
  </si>
  <si>
    <t>Water used for industrial purposes such as fabrication, processing, washing, and cooling.</t>
  </si>
  <si>
    <t>For example, used by industries as steel, chemical and allied products, paper and allied products, mining, and petroleum refining.</t>
  </si>
  <si>
    <t>WurCode_industrial</t>
  </si>
  <si>
    <t>Water use by facilities that meet a social purpose (for example: charity or imprisonment) and/or to serve the general social welfare (for example: health care or education).</t>
  </si>
  <si>
    <t>WurCode_institutional</t>
  </si>
  <si>
    <t>Water used for watering livestock, feeding lots, dairy operations, fish farming, and other on-farm agricultural purposes excepting irrigation.</t>
  </si>
  <si>
    <t>WurCode_livestock</t>
  </si>
  <si>
    <t>Water used for street cleaning, firefighting and other municipal purposes.</t>
  </si>
  <si>
    <t>May also include additional domestic or commercial uses.</t>
  </si>
  <si>
    <t>WurCode_municipal</t>
  </si>
  <si>
    <t>Water used to either directly generate hydroelectric power or for the purpose of cooling at a thermal power station (one that utilizes combustion of hydrocarbons).</t>
  </si>
  <si>
    <t>WurCode_powerGeneration</t>
  </si>
  <si>
    <t>Water used to maintain vegetative growth in recreational lands such as parks and golf courses, or in support of other recreational uses (for example: swimming pools).</t>
  </si>
  <si>
    <t>WurCode_recreational</t>
  </si>
  <si>
    <t>sanitaryDomestic</t>
  </si>
  <si>
    <t xml:space="preserve">Sanitary Domestic </t>
  </si>
  <si>
    <t>Water used for household purposes, such as drinking, food preparation, bathing, and washing clothes and dishes.</t>
  </si>
  <si>
    <t>WurCode_sanitaryDomestic</t>
  </si>
  <si>
    <t>The bottom consists of solid rock (bedrock).</t>
  </si>
  <si>
    <t>SshCode_hard</t>
  </si>
  <si>
    <t>hardSandEqualDistrib</t>
  </si>
  <si>
    <t>Hard and Sand, equally distributed</t>
  </si>
  <si>
    <t>The bottom consists of equally distributed solid rock (bedrock) and unconsolidated material.</t>
  </si>
  <si>
    <t>SshCode_hardSandEqualDistrib</t>
  </si>
  <si>
    <t>hardMinorSoftAreas</t>
  </si>
  <si>
    <t>Hard with Minor Soft Areas</t>
  </si>
  <si>
    <t>The bottom consists predominantly of solid rock (bedrock).</t>
  </si>
  <si>
    <t>SshCode_hardMinorSoftAreas</t>
  </si>
  <si>
    <t>The bottom is covered by sand and gravel.</t>
  </si>
  <si>
    <t>SshCode_sand</t>
  </si>
  <si>
    <t>sandSoftEqualDistrib</t>
  </si>
  <si>
    <t>Sand and Soft, equally distributed</t>
  </si>
  <si>
    <t>The bottom is equally covered by sandy and silty material.</t>
  </si>
  <si>
    <t>SshCode_sandSoftEqualDistrib</t>
  </si>
  <si>
    <t>sandMinorSoftAreas</t>
  </si>
  <si>
    <t>Sand with Minor Soft Areas</t>
  </si>
  <si>
    <t>The bottom covered predominantly by sand and gravel.</t>
  </si>
  <si>
    <t>SshCode_sandMinorSoftAreas</t>
  </si>
  <si>
    <t>The bottom is covered by silt, clay and mud.</t>
  </si>
  <si>
    <t>SshCode_soft</t>
  </si>
  <si>
    <t>softHardEqualDistrib</t>
  </si>
  <si>
    <t>Soft and Hard, equally distributed</t>
  </si>
  <si>
    <t>The bottom consists of equal distributed silty material and solid rock (bedrock).</t>
  </si>
  <si>
    <t>SshCode_softHardEqualDistrib</t>
  </si>
  <si>
    <t>softMinorHardOutcrops</t>
  </si>
  <si>
    <t>Soft with Minor Hard Outcrops</t>
  </si>
  <si>
    <t>The bottom is covered predominantly by silt, clay and mud.</t>
  </si>
  <si>
    <t>SshCode_softMinorHardOutcrops</t>
  </si>
  <si>
    <t>abyssalHills</t>
  </si>
  <si>
    <t>Abyssal Hills</t>
  </si>
  <si>
    <t>A tract, on occasion extensive, of often low (100-500 metre) elevations on the deep sea floor.</t>
  </si>
  <si>
    <t>SeaCode_abyssalHills</t>
  </si>
  <si>
    <t>abyssalPlain</t>
  </si>
  <si>
    <t>Abyssal Plain</t>
  </si>
  <si>
    <t>An extensive, flat, gently sloping or nearly level region at abyssal depths.</t>
  </si>
  <si>
    <t>SeaCode_abyssalPlain</t>
  </si>
  <si>
    <t>A gently dipping featureless surface, underlain primarily by sediment, at the base of any steeper slope.</t>
  </si>
  <si>
    <t>SeaCode_apron</t>
  </si>
  <si>
    <t>A low bulge around the southeastern end of the island of Hawaii.</t>
  </si>
  <si>
    <t>SeaCode_arch</t>
  </si>
  <si>
    <t>archipelagicApron</t>
  </si>
  <si>
    <t>Archipelagic Apron</t>
  </si>
  <si>
    <t>A gentle slope with a generally smooth surface on the sea floor, characteristically found around groups of islands or seamounts.</t>
  </si>
  <si>
    <t>SeaCode_archipelagicApron</t>
  </si>
  <si>
    <t>arrugado</t>
  </si>
  <si>
    <t>Arrugado</t>
  </si>
  <si>
    <t>An area of subdued corrugations off Baja California.</t>
  </si>
  <si>
    <t>SeaCode_arrugado</t>
  </si>
  <si>
    <t>An elevation over which the depth of water is relatively shallow, but normally sufficient for safe surface navigation.</t>
  </si>
  <si>
    <t>Typically located on a shelf (continental or insular).</t>
  </si>
  <si>
    <t>SeaCode_bank</t>
  </si>
  <si>
    <t>A depression in the sea floor of variable extent.</t>
  </si>
  <si>
    <t>SeaCode_basin</t>
  </si>
  <si>
    <t>basinRangeProvince</t>
  </si>
  <si>
    <t>Basin-and-Range Province</t>
  </si>
  <si>
    <t>A regional geologic structure dominated by generally subparallel fault-block mountains separated by broad alluvium-filled basins.</t>
  </si>
  <si>
    <t>SeaCode_basinRangeProvince</t>
  </si>
  <si>
    <t>An indentation in the coastline.</t>
  </si>
  <si>
    <t>SeaCode_bay</t>
  </si>
  <si>
    <t>A small terrace.</t>
  </si>
  <si>
    <t>SeaCode_bench</t>
  </si>
  <si>
    <t>berm</t>
  </si>
  <si>
    <t>Berm</t>
  </si>
  <si>
    <t>A narrow, raised embankment along a beach formed by the deposit of material by waves and marks the limit of high tides.</t>
  </si>
  <si>
    <t>SeaCode_berm</t>
  </si>
  <si>
    <t>bight</t>
  </si>
  <si>
    <t>Bight</t>
  </si>
  <si>
    <t>An open body of water forming a slight recession in a coastline.</t>
  </si>
  <si>
    <t>SeaCode_bight</t>
  </si>
  <si>
    <t>borderland</t>
  </si>
  <si>
    <t>Borderland</t>
  </si>
  <si>
    <t>A region adjacent to a continent, normally occupied by or bordering a shelf, that is highly irregular with depths well in excess of those typical of a shelf.</t>
  </si>
  <si>
    <t>SeaCode_borderland</t>
  </si>
  <si>
    <t>A collapsed or partially-collapsed seamount, commonly of annular shape.</t>
  </si>
  <si>
    <t>SeaCode_caldera</t>
  </si>
  <si>
    <t>An artificial water course used for navigation.</t>
  </si>
  <si>
    <t>SeaCode_canal</t>
  </si>
  <si>
    <t>canyon</t>
  </si>
  <si>
    <t>A relatively narrow, deep depression with steep sides, the bottom of which generally has a continuous slope.</t>
  </si>
  <si>
    <t>Developed characteristically on some continental slopes.</t>
  </si>
  <si>
    <t>SeaCode_canyon</t>
  </si>
  <si>
    <t>canyonLands</t>
  </si>
  <si>
    <t>Canyon Lands</t>
  </si>
  <si>
    <t>SeaCode_canyonLands</t>
  </si>
  <si>
    <t>channel</t>
  </si>
  <si>
    <t>The deepest part of a stream, bay, lagoon, or strait, through which the main current flows.</t>
  </si>
  <si>
    <t>SeaCode_channel</t>
  </si>
  <si>
    <t>continentalMargin</t>
  </si>
  <si>
    <t>Continental Margin</t>
  </si>
  <si>
    <t>The zone, generally consisting of shelf, slope and rise, separating the continent from the abyssal plain or deep sea floor.</t>
  </si>
  <si>
    <t>SeaCode_continentalMargin</t>
  </si>
  <si>
    <t>continentalRise</t>
  </si>
  <si>
    <t>Continental Rise</t>
  </si>
  <si>
    <t>A gentle slope rising from the oceanic depths towards the foot of a continental slope.</t>
  </si>
  <si>
    <t>SeaCode_continentalRise</t>
  </si>
  <si>
    <t>cordillera</t>
  </si>
  <si>
    <t>Cordillera</t>
  </si>
  <si>
    <t>An entire mountain system including the subordinate ranges, interior plateaus, and basins.</t>
  </si>
  <si>
    <t>SeaCode_cordillera</t>
  </si>
  <si>
    <t>cove</t>
  </si>
  <si>
    <t>Cove</t>
  </si>
  <si>
    <t>A small coastal indentation, smaller than a bay.</t>
  </si>
  <si>
    <t>SeaCode_cove</t>
  </si>
  <si>
    <t>crater</t>
  </si>
  <si>
    <t>A bowl-shaped cavity in the seabed, especially one made by the explosion of a mine, shell, or bomb.</t>
  </si>
  <si>
    <t>SeaCode_crater</t>
  </si>
  <si>
    <t>deep</t>
  </si>
  <si>
    <t>Deep</t>
  </si>
  <si>
    <t>An obsolete term which was generally restricted to depths greater than 6,000 metres.</t>
  </si>
  <si>
    <t>SeaCode_deep</t>
  </si>
  <si>
    <t>deeperLandwardTrenchWall</t>
  </si>
  <si>
    <t>Deeper Landward Trench Wall</t>
  </si>
  <si>
    <t>As a feature of a trench, the deeper landward trench wall is found closer to the bottom of the trench running along the landward trench slope.</t>
  </si>
  <si>
    <t>SeaCode_deeperLandwardTrenchWall</t>
  </si>
  <si>
    <t>deformationZone</t>
  </si>
  <si>
    <t>Deformation Zone</t>
  </si>
  <si>
    <t>An area where there exists a change in the geometry of a body of rock due to folding, faulting, shearing, or compression.</t>
  </si>
  <si>
    <t>SeaCode_deformationZone</t>
  </si>
  <si>
    <t>An elongated and comparatively steep slope separating or gently sloping areas.</t>
  </si>
  <si>
    <t>Scarp</t>
  </si>
  <si>
    <t>SeaCode_escarpment</t>
  </si>
  <si>
    <t>estuary</t>
  </si>
  <si>
    <t>Estuary</t>
  </si>
  <si>
    <t>A funnel-shaped stream mouth or embayment where fresh water mixes with sea water under tidal influences.</t>
  </si>
  <si>
    <t>SeaCode_estuary</t>
  </si>
  <si>
    <t>fan</t>
  </si>
  <si>
    <t>Fan</t>
  </si>
  <si>
    <t>A relatively smooth, fan-like, depositional feature normally sloping away from the outer termination of a canyon or canyon system.</t>
  </si>
  <si>
    <t>SeaCode_fan</t>
  </si>
  <si>
    <t>faultLine</t>
  </si>
  <si>
    <t>Fault Line</t>
  </si>
  <si>
    <t>A break or shear in the earth's crust with an observable displacement between the two sides of the break, and parallel to the end of the break.</t>
  </si>
  <si>
    <t>SeaCode_faultLine</t>
  </si>
  <si>
    <t>fjord</t>
  </si>
  <si>
    <t>Fjord</t>
  </si>
  <si>
    <t>A long, narrow, steep-walled, deep-water arm of the sea at high latitudes, usually along mountainous coasts.</t>
  </si>
  <si>
    <t>SeaCode_fjord</t>
  </si>
  <si>
    <t>A small level or nearly level area.</t>
  </si>
  <si>
    <t>SeaCode_flat</t>
  </si>
  <si>
    <t>A branch of a canyon or valley.</t>
  </si>
  <si>
    <t>SeaCode_fork</t>
  </si>
  <si>
    <t>fractureZone</t>
  </si>
  <si>
    <t>Fracture Zone</t>
  </si>
  <si>
    <t>An extensive linear zone of irregular topography of the sea floor, characterized by steep-sided or asymmetrical ridges, troughs or escarpments.</t>
  </si>
  <si>
    <t>SeaCode_fractureZone</t>
  </si>
  <si>
    <t>A closed, linear, narrow, shallow depression.</t>
  </si>
  <si>
    <t>SeaCode_furrow</t>
  </si>
  <si>
    <t>A narrow break in a ridge or a rise.</t>
  </si>
  <si>
    <t>Passage</t>
  </si>
  <si>
    <t>SeaCode_gap</t>
  </si>
  <si>
    <t>gat</t>
  </si>
  <si>
    <t>Gat</t>
  </si>
  <si>
    <t>A natural or artificial passage or channel through shoals or steep banks, or across a line of banks lying between two channels.</t>
  </si>
  <si>
    <t>SeaCode_gat</t>
  </si>
  <si>
    <t>gulf</t>
  </si>
  <si>
    <t>Gulf</t>
  </si>
  <si>
    <t>A large recess in the coastline, larger than a bay.</t>
  </si>
  <si>
    <t>SeaCode_gulf</t>
  </si>
  <si>
    <t>gully</t>
  </si>
  <si>
    <t>A small valley-like feature.</t>
  </si>
  <si>
    <t>SeaCode_gully</t>
  </si>
  <si>
    <t>guyot</t>
  </si>
  <si>
    <t>Guyot</t>
  </si>
  <si>
    <t>A seamount having a comparatively smooth flat top.</t>
  </si>
  <si>
    <t>Tablemount</t>
  </si>
  <si>
    <t>SeaCode_guyot</t>
  </si>
  <si>
    <t>highlyReflectivePatch</t>
  </si>
  <si>
    <t>Highly Reflective Patch</t>
  </si>
  <si>
    <t>Highly reflective patch of seabed found by side scan, no contact found using MM sonar.</t>
  </si>
  <si>
    <t>SeaCode_highlyReflectivePatch</t>
  </si>
  <si>
    <t>hill</t>
  </si>
  <si>
    <t>A small isolated elevation of the sea floor.</t>
  </si>
  <si>
    <t>SeaCode_hill</t>
  </si>
  <si>
    <t>hole</t>
  </si>
  <si>
    <t>Hole</t>
  </si>
  <si>
    <t>A local depression, often steep sided, of the sea floor.</t>
  </si>
  <si>
    <t>SeaCode_hole</t>
  </si>
  <si>
    <t>inlet</t>
  </si>
  <si>
    <t>Inlet</t>
  </si>
  <si>
    <t>A narrow waterway extending into the land, or connecting a bay or lagoon with a larger body of water.</t>
  </si>
  <si>
    <t>SeaCode_inlet</t>
  </si>
  <si>
    <t>insularPlatform</t>
  </si>
  <si>
    <t>Insular Platform</t>
  </si>
  <si>
    <t>An elevated and generally planar region along a shelf surrounding an island.</t>
  </si>
  <si>
    <t>SeaCode_insularPlatform</t>
  </si>
  <si>
    <t>knoll</t>
  </si>
  <si>
    <t>Knoll</t>
  </si>
  <si>
    <t>A relatively small isolated elevation of a rounded shape.</t>
  </si>
  <si>
    <t>SeaCode_knoll</t>
  </si>
  <si>
    <t>SeaCode_lake</t>
  </si>
  <si>
    <t>landwardSlopeApron</t>
  </si>
  <si>
    <t>Landward Slope Apron</t>
  </si>
  <si>
    <t>A delta-shaped sedimentary unit lying on a trench floor on the regional slope adjacent to a continental margin.</t>
  </si>
  <si>
    <t>SeaCode_landwardSlopeApron</t>
  </si>
  <si>
    <t>landwardSlopeCanyon</t>
  </si>
  <si>
    <t>Landward Slope Canyon</t>
  </si>
  <si>
    <t>A deep valley-like incision into the continental slope, thought to be eroded by turbidity currents.</t>
  </si>
  <si>
    <t>Submarine Canyon</t>
  </si>
  <si>
    <t>SeaCode_landwardSlopeCanyon</t>
  </si>
  <si>
    <t>landwardUpperSlope</t>
  </si>
  <si>
    <t>Landward Upper Slope</t>
  </si>
  <si>
    <t>A shallower descent along a regional slope adjacent to a continental margin, usually associated with a subduction zone.</t>
  </si>
  <si>
    <t>SeaCode_landwardUpperSlope</t>
  </si>
  <si>
    <t>ledge</t>
  </si>
  <si>
    <t>Ledge</t>
  </si>
  <si>
    <t>A rocky formation continuous with and fringing the shore.</t>
  </si>
  <si>
    <t>SeaCode_ledge</t>
  </si>
  <si>
    <t>A depositional embankment bordering a canyon, valley or deep-sea channel.</t>
  </si>
  <si>
    <t>SeaCode_levee</t>
  </si>
  <si>
    <t>lowlands</t>
  </si>
  <si>
    <t>Lowlands</t>
  </si>
  <si>
    <t>SeaCode_lowlands</t>
  </si>
  <si>
    <t>magneticAnomaly</t>
  </si>
  <si>
    <t>Magnetic Anomaly</t>
  </si>
  <si>
    <t>An anomaly of the magnetic field of the earth, extending over a relatively small area, due to local magnetic influences.</t>
  </si>
  <si>
    <t>SeaCode_magneticAnomaly</t>
  </si>
  <si>
    <t>marginalEscarpment</t>
  </si>
  <si>
    <t>Marginal Escarpment</t>
  </si>
  <si>
    <t>A relatively elongated and comparatively steep slope separating more gently sloping areas.</t>
  </si>
  <si>
    <t>SeaCode_marginalEscarpment</t>
  </si>
  <si>
    <t>marginalPlateau</t>
  </si>
  <si>
    <t>Marginal Plateau</t>
  </si>
  <si>
    <t>A relatively flat shelf adjacent to a continent and similar topographically to, but deeper than, a continental shelf.</t>
  </si>
  <si>
    <t>SeaCode_marginalPlateau</t>
  </si>
  <si>
    <t>medianValley</t>
  </si>
  <si>
    <t>Median Valley</t>
  </si>
  <si>
    <t>The axial depression of the mid-oceanic ridge system.</t>
  </si>
  <si>
    <t>SeaCode_medianValley</t>
  </si>
  <si>
    <t>An isolated, extensive, flat-topped elevation on a shelf, with relatively steep sides.</t>
  </si>
  <si>
    <t>SeaCode_mesa</t>
  </si>
  <si>
    <t>midOceanRidge</t>
  </si>
  <si>
    <t>Mid-ocean Ridge</t>
  </si>
  <si>
    <t>A ridge that extends through all of the oceans, with a total length of 80,000 kilometres and an average depth of about 2500 metres.</t>
  </si>
  <si>
    <t>It occurs in the middle part of the oceans (except in the North Pacific where it is confined to the far eastern region). The mid-ocean ridge essentially represents a broad undersea cordillera or mountain range that rises to its highest elevation at the axis and slopes away on either flank.</t>
  </si>
  <si>
    <t>SeaCode_midOceanRidge</t>
  </si>
  <si>
    <t>midSlopeTerrace</t>
  </si>
  <si>
    <t>Mid-slope Terrace</t>
  </si>
  <si>
    <t>A planar region within a regional slope along a continental margin or the flanks of a subduction zone.</t>
  </si>
  <si>
    <t>SeaCode_midSlopeTerrace</t>
  </si>
  <si>
    <t>moat</t>
  </si>
  <si>
    <t>An annular depression that may not be continuous, located at the base of many seamounts, islands and other isolated elevations.</t>
  </si>
  <si>
    <t>SeaCode_moat</t>
  </si>
  <si>
    <t>A low, isolated, rounded hill.</t>
  </si>
  <si>
    <t>SeaCode_mound</t>
  </si>
  <si>
    <t>A large and complex grouping of ridges and seamounts.</t>
  </si>
  <si>
    <t>SeaCode_mountains</t>
  </si>
  <si>
    <t>mudFlats</t>
  </si>
  <si>
    <t>Mud Flats</t>
  </si>
  <si>
    <t>A level tract of land, as the bed of a dry lake or an area frequently uncovered at low tide.</t>
  </si>
  <si>
    <t>Mud Flat</t>
  </si>
  <si>
    <t>SeaCode_mudFlats</t>
  </si>
  <si>
    <t>narrows</t>
  </si>
  <si>
    <t>Narrows</t>
  </si>
  <si>
    <t>A navigable narrow part of a bay, strait, or river.</t>
  </si>
  <si>
    <t>SeaCode_narrows</t>
  </si>
  <si>
    <t>nearshore</t>
  </si>
  <si>
    <t>Sea area close to the shore below low tide.</t>
  </si>
  <si>
    <t>Not to be confused with the term 'nearshore', which begins above the low water mark.</t>
  </si>
  <si>
    <t>SeaCode_nearshore</t>
  </si>
  <si>
    <t>One of the major divisions of the vast expanse of salt water covering part of the Earth.</t>
  </si>
  <si>
    <t>SeaCode_ocean</t>
  </si>
  <si>
    <t>oceanBasinHills</t>
  </si>
  <si>
    <t>Ocean-Basin Hills</t>
  </si>
  <si>
    <t>Abyssal hills that are emphasized by the hilly- and/or seamount-covered deep ocean provinces that are covered only by pelagic deposits and locally derived material eroded from adjacent hills and/or seamounts.</t>
  </si>
  <si>
    <t>SeaCode_oceanBasinHills</t>
  </si>
  <si>
    <t>A prominent elevation either pointed or of a very limited extent across the summit.</t>
  </si>
  <si>
    <t>SeaCode_peak</t>
  </si>
  <si>
    <t>Any high tower or spire-shaped pillar or rock or coral, alone or cresting a summit.</t>
  </si>
  <si>
    <t>It may extend above the surface of the water. If completely submerged it may or may not be a hazard to surface navigation.</t>
  </si>
  <si>
    <t>SeaCode_pinnacle</t>
  </si>
  <si>
    <t>A flat, gently sloping or nearly level region.</t>
  </si>
  <si>
    <t>SeaCode_plain</t>
  </si>
  <si>
    <t>A flat or nearly flat area of considerable extent, dropping off abruptly on one or more sides.</t>
  </si>
  <si>
    <t>SeaCode_plateau</t>
  </si>
  <si>
    <t>A flat or gently sloping underwater surface that may extend seaward from the shore, and is often seaward of the shelfbreak.</t>
  </si>
  <si>
    <t>SeaCode_platform</t>
  </si>
  <si>
    <t>platformUpperSlope</t>
  </si>
  <si>
    <t>Platform Upper Slope</t>
  </si>
  <si>
    <t>An upper/shallower descending margin from a platform.</t>
  </si>
  <si>
    <t>SeaCode_platformUpperSlope</t>
  </si>
  <si>
    <t>pockmark</t>
  </si>
  <si>
    <t>Pockmark</t>
  </si>
  <si>
    <t>Small depression on the seabed.</t>
  </si>
  <si>
    <t>SeaCode_pockmark</t>
  </si>
  <si>
    <t>A major spur-like protrusion of the continental slope extending to the deep seafloor.</t>
  </si>
  <si>
    <t>Characteristically, the crest deepens seaward.</t>
  </si>
  <si>
    <t>SeaCode_promontory</t>
  </si>
  <si>
    <t>A region identifiable by a group of similar physiographic features whose characteristics are markedly in contrast with surrounding areas.</t>
  </si>
  <si>
    <t>SeaCode_province</t>
  </si>
  <si>
    <t>A gentle slope connecting areas of different elevations.</t>
  </si>
  <si>
    <t>SeaCode_ramp</t>
  </si>
  <si>
    <t>A series of associated ridges or seamounts.</t>
  </si>
  <si>
    <t>SeaCode_range</t>
  </si>
  <si>
    <t>A small canyon.</t>
  </si>
  <si>
    <t>SeaCode_ravine</t>
  </si>
  <si>
    <t>reach</t>
  </si>
  <si>
    <t>Reach</t>
  </si>
  <si>
    <t>A straight section of a river, especially a navigable river between two bends or an arm of the sea extending into the land.</t>
  </si>
  <si>
    <t>SeaCode_reach</t>
  </si>
  <si>
    <t>reef</t>
  </si>
  <si>
    <t>A rock lying at or near the sea surface that may constitute a hazard to surface navigation.</t>
  </si>
  <si>
    <t>SeaCode_reef</t>
  </si>
  <si>
    <t>A long, narrow elevation with steep sides often separating ocean basins.</t>
  </si>
  <si>
    <t>Mid-oceanic Ridge</t>
  </si>
  <si>
    <t>SeaCode_ridge</t>
  </si>
  <si>
    <t>ridgesValleys</t>
  </si>
  <si>
    <t>Ridges and Valleys</t>
  </si>
  <si>
    <t>A surface characterized by a close succession of parallel or nearly parallel ridges and valleys, and resulting from the differential erosion of highly folded strata of varying resistances.</t>
  </si>
  <si>
    <t>SeaCode_ridgesValleys</t>
  </si>
  <si>
    <t>ridgeValleyComplex</t>
  </si>
  <si>
    <t>Ridge-Valley Complex</t>
  </si>
  <si>
    <t>A complex physiography of generally adjacent and linear ridges and valleys.</t>
  </si>
  <si>
    <t>The genesis of this morphology is initial expression due to rising magna and the creation of a seafloor spreading zone.</t>
  </si>
  <si>
    <t>SeaCode_ridgeValleyComplex</t>
  </si>
  <si>
    <t>riftValley</t>
  </si>
  <si>
    <t>Rift Valley</t>
  </si>
  <si>
    <t>A valley that has developed along a rift.</t>
  </si>
  <si>
    <t>It is 1 to 2 kilometres deep, a few tens of kilometres wide, and lies along the axis of the ridge.</t>
  </si>
  <si>
    <t>SeaCode_riftValley</t>
  </si>
  <si>
    <t>Undulating surface feature of varying shape produced in unconsolidated sediments by wave or current action.</t>
  </si>
  <si>
    <t>SeaCode_ripple</t>
  </si>
  <si>
    <t>rise</t>
  </si>
  <si>
    <t>Rise</t>
  </si>
  <si>
    <t>A broad elevation that rises gently and generally smoothly from the sea floor.</t>
  </si>
  <si>
    <t>May occasionally be used to refer to the linked major mid-oceanic mountain systems of global extent.</t>
  </si>
  <si>
    <t>SeaCode_rise</t>
  </si>
  <si>
    <t>A relatively large natural stream of water.</t>
  </si>
  <si>
    <t>SeaCode_river</t>
  </si>
  <si>
    <t>runnel</t>
  </si>
  <si>
    <t>Runnel</t>
  </si>
  <si>
    <t>A trough or corrugation formed in the foreshore or in the bottom, immediately offshore, formed by waves or tidal currents.</t>
  </si>
  <si>
    <t>SeaCode_runnel</t>
  </si>
  <si>
    <t>A broad pass, resembling in shape a riding saddle, in a ridge or between contiguous seamounts.</t>
  </si>
  <si>
    <t>SeaCode_saddle</t>
  </si>
  <si>
    <t>sandwave</t>
  </si>
  <si>
    <t>Sandwave</t>
  </si>
  <si>
    <t>A large mobile wave-like sediment feature in shallow water and composed of sand.</t>
  </si>
  <si>
    <t>SeaCode_sandwave</t>
  </si>
  <si>
    <t>sea</t>
  </si>
  <si>
    <t>Sea</t>
  </si>
  <si>
    <t>A large body of salt water more or less confined by continuous land or chains of islands forming a subdivision of an ocean.</t>
  </si>
  <si>
    <t>SeaCode_sea</t>
  </si>
  <si>
    <t>seaChannel</t>
  </si>
  <si>
    <t>Sea Channel</t>
  </si>
  <si>
    <t>A continuously sloping, elongated narrow depression commonly found in fans or abyssal plains and customarily bordered by levees on one or both sides.</t>
  </si>
  <si>
    <t>SeaCode_seaChannel</t>
  </si>
  <si>
    <t>seabedVent</t>
  </si>
  <si>
    <t>Seabed Vent</t>
  </si>
  <si>
    <t>An opening or aperture on the floor of the sea.</t>
  </si>
  <si>
    <t>SeaCode_seabedVent</t>
  </si>
  <si>
    <t>seamount</t>
  </si>
  <si>
    <t>Seamount</t>
  </si>
  <si>
    <t>A large isolated elevation, greater than 1000 metres in relief above the sea floor, characteristically of conical form.</t>
  </si>
  <si>
    <t>SeaCode_seamount</t>
  </si>
  <si>
    <t>seamountChain</t>
  </si>
  <si>
    <t>Seamount Chain</t>
  </si>
  <si>
    <t>Several seamounts in linear or arcuate alignment.</t>
  </si>
  <si>
    <t>Seamounts</t>
  </si>
  <si>
    <t>SeaCode_seamountChain</t>
  </si>
  <si>
    <t>shelf</t>
  </si>
  <si>
    <t>Shelf</t>
  </si>
  <si>
    <t>SeaCode_shelf</t>
  </si>
  <si>
    <t>shelfValley</t>
  </si>
  <si>
    <t>Shelf Valley</t>
  </si>
  <si>
    <t>A valley on a shelf, generally the shoreward extension of a canyon.</t>
  </si>
  <si>
    <t>SeaCode_shelfValley</t>
  </si>
  <si>
    <t>shelfEdge</t>
  </si>
  <si>
    <t>Shelf-edge</t>
  </si>
  <si>
    <t>A narrow zone at the seaward margin of a shelf along which is a marked increase of slope.</t>
  </si>
  <si>
    <t>Shelf Break</t>
  </si>
  <si>
    <t>SeaCode_shelfEdge</t>
  </si>
  <si>
    <t>shoal</t>
  </si>
  <si>
    <t>Shoal</t>
  </si>
  <si>
    <t>An offshore hazard to surface navigation that is composed of unconsolidated material.</t>
  </si>
  <si>
    <t>SeaCode_shoal</t>
  </si>
  <si>
    <t>sill</t>
  </si>
  <si>
    <t>Sill</t>
  </si>
  <si>
    <t>A sea floor barrier of relatively shallow depth restricting water movement between basins.</t>
  </si>
  <si>
    <t>SeaCode_sill</t>
  </si>
  <si>
    <t>The slope seaward from the shelf edge to the upper edge of a continental rise or the point where there is a general reduction in slope.</t>
  </si>
  <si>
    <t>SeaCode_slope</t>
  </si>
  <si>
    <t>slopeBasin</t>
  </si>
  <si>
    <t>Slope Basin</t>
  </si>
  <si>
    <t>A sedimentary basin located along the slope portion of a continental margin.</t>
  </si>
  <si>
    <t>SeaCode_slopeBasin</t>
  </si>
  <si>
    <t>slump</t>
  </si>
  <si>
    <t>Slump</t>
  </si>
  <si>
    <t>A type of sediment slide where the downward slipping mass of rock or unconsolidated material of any size moves as a single unit or as several related units.</t>
  </si>
  <si>
    <t>SeaCode_slump</t>
  </si>
  <si>
    <t>sound</t>
  </si>
  <si>
    <t>Sound</t>
  </si>
  <si>
    <t>A long arm of the sea either forming a channel between the mainland and an island or islands, or connecting two larger bodies of water.</t>
  </si>
  <si>
    <t>SeaCode_sound</t>
  </si>
  <si>
    <t>springs</t>
  </si>
  <si>
    <t>Spring(s)</t>
  </si>
  <si>
    <t>The natural issue of fresh water from the bottom of the sea at one or more locations.</t>
  </si>
  <si>
    <t>These fresh water emission(s) may affect buoyancy and/or anchorages within the area.</t>
  </si>
  <si>
    <t>SeaCode_springs</t>
  </si>
  <si>
    <t>A subordinate elevation, ridge or rise projecting outward from a larger feature.</t>
  </si>
  <si>
    <t>SeaCode_spur</t>
  </si>
  <si>
    <t>strait</t>
  </si>
  <si>
    <t>Strait</t>
  </si>
  <si>
    <t>A relatively narrow waterway, usually narrower and less extensive than a sound, connecting two larger bodies of water.</t>
  </si>
  <si>
    <t>SeaCode_strait</t>
  </si>
  <si>
    <t>A relatively flat horizontal or gently inclined surface, sometimes long and narrow, that is bounded by a steeper ascending slope on one side and by a steeper descending slope on the opposite side.</t>
  </si>
  <si>
    <t>SeaCode_terrace</t>
  </si>
  <si>
    <t>thermalVent</t>
  </si>
  <si>
    <t>Thermal Vent</t>
  </si>
  <si>
    <t>An opening or aperture on the floor of the sea, specifically extruding volcanic material, giving rise to a source of heat.</t>
  </si>
  <si>
    <t>SeaCode_thermalVent</t>
  </si>
  <si>
    <t>A large flat area of mud or sand attached to the shore and alternately covered and uncovered by the tide.</t>
  </si>
  <si>
    <t>SeaCode_tidalFlat</t>
  </si>
  <si>
    <t>tongue</t>
  </si>
  <si>
    <t>Tongue</t>
  </si>
  <si>
    <t>An elongate (tongue-like) extension of a flat sea floor into an adjacent higher feature.</t>
  </si>
  <si>
    <t>SeaCode_tongue</t>
  </si>
  <si>
    <t>trench</t>
  </si>
  <si>
    <t>Trench</t>
  </si>
  <si>
    <t>A long narrow, characteristically very deep and asymmetrical depression of the sea floor, with relatively steep sides, commonly between abyssal hills and continental margins.</t>
  </si>
  <si>
    <t>Trenches are commonly associated with subduction zones, the trench then paralleling a volcanic arc.</t>
  </si>
  <si>
    <t>SeaCode_trench</t>
  </si>
  <si>
    <t>trenchFloor</t>
  </si>
  <si>
    <t>Trench Floor</t>
  </si>
  <si>
    <t>A floor of a trench as contrasted with the adjacent walls of the trench.</t>
  </si>
  <si>
    <t>SeaCode_trenchFloor</t>
  </si>
  <si>
    <t>trough</t>
  </si>
  <si>
    <t>Trough</t>
  </si>
  <si>
    <t>A long depression of the sea floor characteristically flat bottomed and steep sided and normally shallower than a trench.</t>
  </si>
  <si>
    <t>SeaCode_trough</t>
  </si>
  <si>
    <t>upperTrenchSlope</t>
  </si>
  <si>
    <t>Upper Trench Slope</t>
  </si>
  <si>
    <t>The slope of the overriding plate where two plates collide, one plate bends downward and a trench is formed.</t>
  </si>
  <si>
    <t>SeaCode_upperTrenchSlope</t>
  </si>
  <si>
    <t>A relatively shallow, wide depression, the bottom of which usually has a continuous gradient.</t>
  </si>
  <si>
    <t>This term is generally not used for features that have canyon-like characteristics for a significant portion of their extent.</t>
  </si>
  <si>
    <t>Sea Valley, Submarine Valley</t>
  </si>
  <si>
    <t>SeaCode_valley</t>
  </si>
  <si>
    <t>braidedStream</t>
  </si>
  <si>
    <t>Braided Stream</t>
  </si>
  <si>
    <t>A watercourse divided into an intricate network of interlacing channels.</t>
  </si>
  <si>
    <t>Generally shallow, the smaller channels are continually shifting and are separated by bar deposits.</t>
  </si>
  <si>
    <t>WccCode_braidedStream</t>
  </si>
  <si>
    <t>channelizedStream</t>
  </si>
  <si>
    <t>Channelized Stream</t>
  </si>
  <si>
    <t>A permanent or relocated watercourse that has been diverted, dredged, straightened and/or dyked.</t>
  </si>
  <si>
    <t>WccCode_channelizedStream</t>
  </si>
  <si>
    <t>gorge</t>
  </si>
  <si>
    <t>A deep, narrow, V-shaped channel with steep rocky sides.</t>
  </si>
  <si>
    <t>WccCode_gorge</t>
  </si>
  <si>
    <t>lostWatercourse</t>
  </si>
  <si>
    <t>Lost Watercourse</t>
  </si>
  <si>
    <t>A surface watercourse that disappears into an underground channel, or dries up in an arid area.</t>
  </si>
  <si>
    <t>WccCode_lostWatercourse</t>
  </si>
  <si>
    <t>normalChannel</t>
  </si>
  <si>
    <t>Normal Channel</t>
  </si>
  <si>
    <t>A watercourse that has not been channelized or relocated.</t>
  </si>
  <si>
    <t>Follows a normal meandering channel with variations in channel bed morphology.</t>
  </si>
  <si>
    <t>WccCode_normalChannel</t>
  </si>
  <si>
    <t>oxbow</t>
  </si>
  <si>
    <t>Oxbow</t>
  </si>
  <si>
    <t>A pronounced meander or horseshoe-shaped loop in a watercourse.</t>
  </si>
  <si>
    <t>WccCode_oxbow</t>
  </si>
  <si>
    <t>splitStream</t>
  </si>
  <si>
    <t>Split Stream</t>
  </si>
  <si>
    <t>A branch of a watercourse that divides from and rejoins the watercourse further along.</t>
  </si>
  <si>
    <t>WccCode_splitStream</t>
  </si>
  <si>
    <t>A dry, intermittent, or ephemeral drainage course marked by deposits of alluvial material that are not confined to a specific channel.</t>
  </si>
  <si>
    <t>The channels are commonly shallow and braided, can cover a wide area being nearly level with the surrounding floodplain, and are separated by flat, low lying segments.</t>
  </si>
  <si>
    <t>Dry Wash</t>
  </si>
  <si>
    <t>WccCode_wadi</t>
  </si>
  <si>
    <t>A former watercourse or distributary no longer carrying flowing water, but still evident due to lakes, wetland, topographic and/or vegetation patterns.</t>
  </si>
  <si>
    <t>WmtCode_abandoned</t>
  </si>
  <si>
    <t>anabranch</t>
  </si>
  <si>
    <t>Anabranch</t>
  </si>
  <si>
    <t>A diverging branch flowing out of a main watercourse and rejoining it downstream.</t>
  </si>
  <si>
    <t>WmtCode_anabranch</t>
  </si>
  <si>
    <t>bend</t>
  </si>
  <si>
    <t>Bend</t>
  </si>
  <si>
    <t>A point where a watercourse noticeably changes direction.</t>
  </si>
  <si>
    <t>WmtCode_bend</t>
  </si>
  <si>
    <t>canalized</t>
  </si>
  <si>
    <t>Canalized</t>
  </si>
  <si>
    <t>A watercourse that has been substantially ditched, dyked and/or straightened.</t>
  </si>
  <si>
    <t>WmtCode_canalized</t>
  </si>
  <si>
    <t>confluence</t>
  </si>
  <si>
    <t>Confluence</t>
  </si>
  <si>
    <t>A place where two or more watercourses join or flow together.</t>
  </si>
  <si>
    <t>WmtCode_confluence</t>
  </si>
  <si>
    <t>craterLake</t>
  </si>
  <si>
    <t>Crater-lake</t>
  </si>
  <si>
    <t>A lake formed by the collection of water in the crater of an inactive volcano.</t>
  </si>
  <si>
    <t>WmtCode_craterLake</t>
  </si>
  <si>
    <t>cutOff</t>
  </si>
  <si>
    <t>Cut-off</t>
  </si>
  <si>
    <t>A channel formed as a result of a watercourse cutting through a meander neck.</t>
  </si>
  <si>
    <t>WmtCode_cutOff</t>
  </si>
  <si>
    <t>distributary</t>
  </si>
  <si>
    <t>Distributary</t>
  </si>
  <si>
    <t>A watercourse branch which flows away from the main channel, as in a delta or irrigation canal.</t>
  </si>
  <si>
    <t>WmtCode_distributary</t>
  </si>
  <si>
    <t>headwaters</t>
  </si>
  <si>
    <t>Headwaters</t>
  </si>
  <si>
    <t>The source and upper part of a watercourse, including the upper drainage basin.</t>
  </si>
  <si>
    <t>WmtCode_headwaters</t>
  </si>
  <si>
    <t>meander</t>
  </si>
  <si>
    <t>Meander</t>
  </si>
  <si>
    <t>WmtCode_meander</t>
  </si>
  <si>
    <t>mouth</t>
  </si>
  <si>
    <t>Mouth</t>
  </si>
  <si>
    <t>An area where a watercourse enters a larger body of water (for example: a lagoon, a lake or a bay).</t>
  </si>
  <si>
    <t>WmtCode_mouth</t>
  </si>
  <si>
    <t>oxbowLake</t>
  </si>
  <si>
    <t>Oxbow Lake</t>
  </si>
  <si>
    <t>A crescent-shaped lake commonly found adjacent to meandering watercourses.</t>
  </si>
  <si>
    <t>WmtCode_oxbowLake</t>
  </si>
  <si>
    <t>pool</t>
  </si>
  <si>
    <t>Pool</t>
  </si>
  <si>
    <t>A small, and comparatively still, deep part of a larger body of water (for example: a stream or a harbour), or a small body of standing water.</t>
  </si>
  <si>
    <t>WmtCode_pool</t>
  </si>
  <si>
    <t>A straight section of a navigable watercourse or channel between two bends.</t>
  </si>
  <si>
    <t>WmtCode_reach</t>
  </si>
  <si>
    <t>disappearing</t>
  </si>
  <si>
    <t>Disappearing</t>
  </si>
  <si>
    <t>Disappears suddenly into the ground and partially or completely ceases flowing on the surface.</t>
  </si>
  <si>
    <t>WstCode_disappearing</t>
  </si>
  <si>
    <t>dissipating</t>
  </si>
  <si>
    <t>Dissipating</t>
  </si>
  <si>
    <t>Gradually dissipates due to a lowering of the water table.</t>
  </si>
  <si>
    <t>WstCode_dissipating</t>
  </si>
  <si>
    <t>Disappears into holes in the ground other than a sinkhole.</t>
  </si>
  <si>
    <t>WstCode_hole</t>
  </si>
  <si>
    <t>Disappears into a sinkhole (a closed depression caused by a collapse of soil or overlying formation above fractured or cavernous bedrock).</t>
  </si>
  <si>
    <t>WstCode_sinkhole</t>
  </si>
  <si>
    <t>iEastOfElbe</t>
  </si>
  <si>
    <t>I (east of Elbe)</t>
  </si>
  <si>
    <t>Gross Finow': A river of regional importance located east of the Elbe River that can used by boats that are a maximum of 41 metres in length, 4.7 metres in width and a draught of a maximum of 1.4 metres. The tonnage should be at most 180 tonnes.</t>
  </si>
  <si>
    <t>WwcCode_iEastOfElbe</t>
  </si>
  <si>
    <t>iWestOfElbe</t>
  </si>
  <si>
    <t>I (west of Elbe)</t>
  </si>
  <si>
    <t>Penische': A river of regional importance located west of the Elbe River that can used by boats that are a maximum of 38.5 metres in length, 5.05 metres in width and a draught of a maximum of 1.8 to 2.2 metres. The tonnage should be at most between 250 and 400 tonnes.</t>
  </si>
  <si>
    <t>WwcCode_iWestOfElbe</t>
  </si>
  <si>
    <t>iiEastOfElbe</t>
  </si>
  <si>
    <t>II (east of Elbe)</t>
  </si>
  <si>
    <t>BM - 500': A river of regional importance located east of the Elbe River that can used by boats that are a maximum of 57 metres in length, 7.5 to 9.0 metres in width and a draught of a maximum of 1.6 metres. The tonnage should be at most 500 to 630 tonnes.</t>
  </si>
  <si>
    <t>WwcCode_iiEastOfElbe</t>
  </si>
  <si>
    <t>iiWestOfElbe</t>
  </si>
  <si>
    <t>II (west of Elbe)</t>
  </si>
  <si>
    <t>Kempenaar': A river of regional importance located west of the Elbe River that can used by boats that are a maximum of 50 to 55 metres in length, 6.6 metres in width and a draught of a maximum of 2.5 metres. The tonnage should be at most between 400 and 650 tonnes.</t>
  </si>
  <si>
    <t>WwcCode_iiWestOfElbe</t>
  </si>
  <si>
    <t>iiiEastOfElbe</t>
  </si>
  <si>
    <t>III (east of Elbe)</t>
  </si>
  <si>
    <t>A river of regional importance located east of the Elbe River that can used by boats that are a maximum of 67 to 70 metres in length, 8.2 to 9.0 metres in width and a draught of a maximum of 1.6 to 2.0 metres. The tonnage should be at most 470 to 700 tonnes.</t>
  </si>
  <si>
    <t>WwcCode_iiiEastOfElbe</t>
  </si>
  <si>
    <t>iiiWestOfElbe</t>
  </si>
  <si>
    <t>III (west of Elbe)</t>
  </si>
  <si>
    <t>Gustav Koenigs': A river of regional importance located west of the Elbe River that can used by boats that are a maximum of 67 to 80 metres in length, 8.2 metres in width and a draught of a maximum of 2.5 metres. The tonnage should be at most between 650 and 1000 tonnes.</t>
  </si>
  <si>
    <t>WwcCode_iiiWestOfElbe</t>
  </si>
  <si>
    <t>iv</t>
  </si>
  <si>
    <t>IV</t>
  </si>
  <si>
    <t>Johann Welker': A river of international importance that can used by boats that are a maximum of 80 to 85 metres in length, 9.5 metres in width and a draught of maximum 2.5 metres. The tonnage should be at most between 1000 and 1500 tonnes. It is usable for pushboats with one push-lighter with a total length of a maximum of 85 metres, a width of maximum 9.5 metres, a draught of 2.5 to 2.8 metres and a total tonnage of 1250 to 1450 tonnes.</t>
  </si>
  <si>
    <t>WwcCode_iv</t>
  </si>
  <si>
    <t>va</t>
  </si>
  <si>
    <t>Va</t>
  </si>
  <si>
    <t>Grosses Rheinschiff': A river of international importance that can used by boats that are a maximum of 95 to 110 metres in length, 11.4 metres in width and a draught of max 2.4 to 2.8 metres. The tonnage should be at most between 1500 and 3000 tonnes. It is usable for pushboats with one push-lighter with a total length of a maximum of 95 to 110 metres, a width of maximum 11.4 metres, a draught of 2.5 to 4.5 metres and a total tonnage of 1600 to 3000 tonnes.</t>
  </si>
  <si>
    <t>WwcCode_va</t>
  </si>
  <si>
    <t>vb</t>
  </si>
  <si>
    <t>Vb</t>
  </si>
  <si>
    <t>A river of international importance that can used by boats that are a maximum 95 to 110 metres in length, 11.4 metres in width and a draught of maximum 2.4 to 2.8 metres. The tonnage should be at most between 1500 and 3000 tonnes. It is usable for pushboats with two push-lighters in a row with a total length of a maximum of 172 to 185 metres, a width of maximum 11.4 metres, a draught of 2.5 to 4.5 metres and a total tonnage of 3200 to 6000 tonnes.</t>
  </si>
  <si>
    <t>WwcCode_vb</t>
  </si>
  <si>
    <t>via</t>
  </si>
  <si>
    <t>VIa</t>
  </si>
  <si>
    <t>A river of international importance that can used by boats that are a maximum of 95 to 110 metres in length, 11.4 metres width and a draught of maximum 2.4 to 2.8 metres. The tonnage should be at most between 1500 and 3000 tonnes. It is usable for pushboats with two push-lighters side by side with a total length of maximum 95 to 110 metres, a width of maximum 22.8 metres, a draught of 2.5 to 4.5 metres and a total tonnage of 3200 to 6000 tonnes.</t>
  </si>
  <si>
    <t>WwcCode_via</t>
  </si>
  <si>
    <t>vib</t>
  </si>
  <si>
    <t>VIb</t>
  </si>
  <si>
    <t>A river of international importance that can used by boats that are a maximum of 140 metres in length, 15 metres width and a draught of maximum 3.9 metres. The tonnage should be at most between 1500 and 3000 tonnes. It is usable for pushboats with four push-lighters, two side by side and two in a row with a total length of a maximum of 185 to 195 metres, a width of maximim 22.8 metres, a draught of 2.5 to 4.5 metres and a total tonnage of 6400 to 12000 tonnes.</t>
  </si>
  <si>
    <t>WwcCode_vib</t>
  </si>
  <si>
    <t>vic</t>
  </si>
  <si>
    <t>VIc</t>
  </si>
  <si>
    <t>A river of international importance that can used by boats that are a maximum of 140 metres in length, 15 metres width and a draught of maximum 3.9 metres. The tonnage should be at most between 1500 and 3000 tonnes. It is usable for pushboats with six push-lighters, two side by side and three in a row or three side by side and two in a row with a total length of a maximum 270 to 280 metres, a width of maximum 22.8 metres or a total length of maximum 195 to 200 metres and a width of maximum 33.0 to 34.2 metres, a draught of 2.5 to 4.5 metres and a total tonnage of 9600 to 18000 tonnes.</t>
  </si>
  <si>
    <t>WwcCode_vic</t>
  </si>
  <si>
    <t>vii</t>
  </si>
  <si>
    <t>VII</t>
  </si>
  <si>
    <t>A river of international importance that can used by boats that are a maximum of 140 metres in length, 15 metres width and a draught of maximum 3.9 metres. The tonnage should be at most between 1500 and 3000 tonnes. It is usable for pushboats with nine push-lighters, three side by side and three in a row with a total length of maximum 285 metres, a width of maximum 33 to 34.2 metres, a draught of 2.5 to 4.5 m and a total tonnage of 14500 to 27000 tonnes. On some waterways pushboats with more than nine push-lighters can be used. The limits for length and width should then be adjusted.</t>
  </si>
  <si>
    <t>WwcCode_vii</t>
  </si>
  <si>
    <t>Regular waterway maintenance ensures that published information is correct and reliable.</t>
  </si>
  <si>
    <t>WmaCode_maintained</t>
  </si>
  <si>
    <t>notMaintained</t>
  </si>
  <si>
    <t>Not Maintained</t>
  </si>
  <si>
    <t>No plan (and thus no schedule) exists for maintenance of the waterway.</t>
  </si>
  <si>
    <t>WmaCode_notMaintained</t>
  </si>
  <si>
    <t>notRegularlyMaintained</t>
  </si>
  <si>
    <t>Not Regularly Maintained</t>
  </si>
  <si>
    <t>No schedule exists for regular waterway maintenance, thus published information may be out of date.</t>
  </si>
  <si>
    <t>WmaCode_notRegularlyMaintained</t>
  </si>
  <si>
    <t>named</t>
  </si>
  <si>
    <t>Named</t>
  </si>
  <si>
    <t>A way-point with an official five character identifier.</t>
  </si>
  <si>
    <t>Named way-points are required within the airspace structure and are used as a primary means of navigation and reporting to air traffic control while travelling along a published navigation route.</t>
  </si>
  <si>
    <t>WplCode_named</t>
  </si>
  <si>
    <t>unnamed</t>
  </si>
  <si>
    <t>Unnamed</t>
  </si>
  <si>
    <t>A way-point that does not have an official five character identifier.</t>
  </si>
  <si>
    <t>Unnamed way-points are required within the airspace structure for various reasons (for example: marking boundaries along a route), but are generally not reported to air traffic control during navigation.</t>
  </si>
  <si>
    <t>WplCode_unnamed</t>
  </si>
  <si>
    <t>flyBy</t>
  </si>
  <si>
    <t>Fly By</t>
  </si>
  <si>
    <t>A waypoint which requires turn anticipation to allow tangential interception of the next segment of a route or procedure.</t>
  </si>
  <si>
    <t>WptCode_flyBy</t>
  </si>
  <si>
    <t>flyover</t>
  </si>
  <si>
    <t>Flyover</t>
  </si>
  <si>
    <t>A waypoint at which a turn is initiated in order to join the next segment of a route or procedure.</t>
  </si>
  <si>
    <t>WptCode_flyover</t>
  </si>
  <si>
    <t>Area Navigation (RNAV) Way-point</t>
  </si>
  <si>
    <t>A way-point which is specifically designed for use within designated Area Navigation (RNAV) airspace.</t>
  </si>
  <si>
    <t>WpuCode_areaNavigation</t>
  </si>
  <si>
    <t>navigationReferenceSystem</t>
  </si>
  <si>
    <t>Navigation Reference System (NRS) Way-point</t>
  </si>
  <si>
    <t>A way-point which exists within a sectioned part of high altitude airspace, specifically designed for navigation using a reference system within the aircraft.</t>
  </si>
  <si>
    <t>This is commonly termed within the aviation community as the 'free flight airspace', navigating solely by Navigation Reference System (NRS) way-points, with no published air traffic routes.</t>
  </si>
  <si>
    <t>WpuCode_navigationReferenceSystem</t>
  </si>
  <si>
    <t>offRoute</t>
  </si>
  <si>
    <t>Off Route</t>
  </si>
  <si>
    <t>A way-point which exists within the airspace structure as a stand-alone point.</t>
  </si>
  <si>
    <t>The way-point is not attached to any published routeing.</t>
  </si>
  <si>
    <t>WpuCode_offRoute</t>
  </si>
  <si>
    <t>specialUsageAirspace</t>
  </si>
  <si>
    <t>Special Usage Airspace Waypoint</t>
  </si>
  <si>
    <t>A way-point which is specifically designed for use within either the high altitude air traffic control assigned airspace or the high altitude special use airspace structures.</t>
  </si>
  <si>
    <t>WpuCode_specialUsageAirspace</t>
  </si>
  <si>
    <t>launchSilo</t>
  </si>
  <si>
    <t>Launch Silo</t>
  </si>
  <si>
    <t>An underground, vertical cylindrical container for the storage and launching of intercontinental ballistic missiles</t>
  </si>
  <si>
    <t>XmtCode_launchSilo</t>
  </si>
  <si>
    <t>missileContainer</t>
  </si>
  <si>
    <t>Missile Container</t>
  </si>
  <si>
    <t>Protective case used to aid in the safe movement of missiles or components</t>
  </si>
  <si>
    <t>XmtCode_missileContainer</t>
  </si>
  <si>
    <t>missilePallet</t>
  </si>
  <si>
    <t>Missile Pallet</t>
  </si>
  <si>
    <t>Storage base or support for missiles or components</t>
  </si>
  <si>
    <t>XmtCode_missilePallet</t>
  </si>
  <si>
    <t>A large cannon like weapons, transportable and usually operated by more than one person.</t>
  </si>
  <si>
    <t>XfmCode_artillery</t>
  </si>
  <si>
    <t>combinedTypes</t>
  </si>
  <si>
    <t>Combined Types</t>
  </si>
  <si>
    <t>A mixture of anti-aircraft, anti-shipping and other field artillery equipment.</t>
  </si>
  <si>
    <t>XfmCode_combinedTypes</t>
  </si>
  <si>
    <t>A gun is a muzzle or breech-loaded projectile-firing weapon.</t>
  </si>
  <si>
    <t>XfmCode_gun</t>
  </si>
  <si>
    <t>laser</t>
  </si>
  <si>
    <t>Laser</t>
  </si>
  <si>
    <t>A device that emits light or electromagnetic radiation through a process of optical amplification based on the stimulated emission of photons.</t>
  </si>
  <si>
    <t>XfmCode_laser</t>
  </si>
  <si>
    <t>A self propelled guided weapon system.</t>
  </si>
  <si>
    <t>XfmCode_missile</t>
  </si>
  <si>
    <t>A self propelled non guided weapon system.</t>
  </si>
  <si>
    <t>XfmCode_rocket</t>
  </si>
  <si>
    <t>demolitionArea</t>
  </si>
  <si>
    <t>Demolition Area</t>
  </si>
  <si>
    <t>An area allocated for breaking up of structures and/or equipment (for example: destruction of arms by international agreement) by explosive blasting.</t>
  </si>
  <si>
    <t>FrtCode_demolitionArea</t>
  </si>
  <si>
    <t>fieldArtillery</t>
  </si>
  <si>
    <t>Field Artillery</t>
  </si>
  <si>
    <t>Suitable for training with and testing large-calibre field artillery weapons (for example: a howitzer or a cannon).</t>
  </si>
  <si>
    <t>FrtCode_fieldArtillery</t>
  </si>
  <si>
    <t>Suitable for training with and testing grenades.</t>
  </si>
  <si>
    <t>A grenade is a small explosive or chemical bomb detonated by a fuse and which may be thrown by hand or launched from a special device attached to a rifle or carbine.</t>
  </si>
  <si>
    <t>FrtCode_grenade</t>
  </si>
  <si>
    <t>impactArea</t>
  </si>
  <si>
    <t>Impact Area</t>
  </si>
  <si>
    <t>FrtCode_impactArea</t>
  </si>
  <si>
    <t>smallArms</t>
  </si>
  <si>
    <t>Small Arms</t>
  </si>
  <si>
    <t>Suitable for training with and testing pistols, rifles, machine guns, and other small calibre weapons.</t>
  </si>
  <si>
    <t>FrtCode_smallArms</t>
  </si>
  <si>
    <t>tank</t>
  </si>
  <si>
    <t>Tank</t>
  </si>
  <si>
    <t>Suitable for training with and testing the large-caliber high-velocity main gun of a battle tank, as well as other weapons found on armoured vehicles.</t>
  </si>
  <si>
    <t>The main gun is usually capable of firing kinetic energy penetrators, high explosive anti-tank rounds, and in some cases guided missiles. Such practice may include maneuver as well as discharge of weapons.</t>
  </si>
  <si>
    <t>FrtCode_tank</t>
  </si>
  <si>
    <t>For example, in the case of a road the following characteristics might apply: (1) With reasonable maintenance, passable throughout the year to a volume of traffic never appreciably less than its maximum capacity. (2) Normally having a waterproof surface and only slightly affected by rain, frost, thaw, or heat. (3) Never closed because of weather effects other than snow or flood blockage.</t>
  </si>
  <si>
    <t>WrxCode_allWeather</t>
  </si>
  <si>
    <t>For example, in the case of a road regular plowing, salting, and/or sanding may not take place during the winter season.</t>
  </si>
  <si>
    <t>WrxCode_closedInWinter</t>
  </si>
  <si>
    <t>Suitable for use under fair weather conditions only.</t>
  </si>
  <si>
    <t>For example, in the case of a road the following characteristics might apply: (1) Passable only in fair and dry weather. (2) So seriously affected by adverse conditions that the road may remain closed for long periods. (3) Improvement of such a road can only be achieved by construction or realignment.</t>
  </si>
  <si>
    <t>WrxCode_fairWeather</t>
  </si>
  <si>
    <t>Suitable for use in all weather conditions, however may have some reductions in usability due to weather.</t>
  </si>
  <si>
    <t>For example, in the case of a road the following characteristics might apply: (1) With reasonable maintenance, passable throughout the year but at times the volume of traffic is considerably less than maximum capacity. (2) Normally not having a waterproof surface and considerably affected by rain, frost, thaw, or heat. (3) Closed for short periods of up to one day at a time by adverse weather conditions during which heavy use of the road would probably lead to collapse.</t>
  </si>
  <si>
    <t>WrxCode_limitedAllWeather</t>
  </si>
  <si>
    <t>Suitable for use under winter season conditions only.</t>
  </si>
  <si>
    <t>For example, in the case of a road it may cross a waterbody and therefore is nonoperational until a sufficiently thick layer of ice has formed.</t>
  </si>
  <si>
    <t>WrxCode_winterOnly</t>
  </si>
  <si>
    <t>bridgeBeneath</t>
  </si>
  <si>
    <t>Bridge Beneath</t>
  </si>
  <si>
    <t>The existence of a bridge below the route.</t>
  </si>
  <si>
    <t>WerCode_bridgeBeneath</t>
  </si>
  <si>
    <t>culvertBeneath</t>
  </si>
  <si>
    <t>Culvert Beneath</t>
  </si>
  <si>
    <t>The existence of a culvert below the route.</t>
  </si>
  <si>
    <t>WerCode_culvertBeneath</t>
  </si>
  <si>
    <t>roadSurface</t>
  </si>
  <si>
    <t>Road Surface</t>
  </si>
  <si>
    <t>The existence of a bad road surface.</t>
  </si>
  <si>
    <t>WerCode_roadSurface</t>
  </si>
  <si>
    <t>tunnelBeneath</t>
  </si>
  <si>
    <t>Tunnel Beneath</t>
  </si>
  <si>
    <t>The existence of a tunnel below the route.</t>
  </si>
  <si>
    <t>WerCode_tunnelBeneath</t>
  </si>
  <si>
    <t>capped</t>
  </si>
  <si>
    <t>Capped</t>
  </si>
  <si>
    <t>A well lacking wellbore-attached equipment (for example: a wellhead, a christmas tree and a pipeline connection) and therefore no longer in production.</t>
  </si>
  <si>
    <t>The well may remain capable of production and be temporarily capped, or it may be permanently abandoned and sealed (for example: by pumping a grout mixture into the wellbore).</t>
  </si>
  <si>
    <t>WeqCode_capped</t>
  </si>
  <si>
    <t>christmasTree</t>
  </si>
  <si>
    <t>Christmas Tree</t>
  </si>
  <si>
    <t>An assembly of valves, spools, pressure gauges and chokes fitted to the wellhead of a completed well to control production.</t>
  </si>
  <si>
    <t>The christmas tree also incorporates facilities to enable safe access for well intervention operations such as slickline, electric wireline or coiled tubing. Its function is to both prevent the release of petroleum or gas from a well into the environment and also to direct and control the flow of formation fluids from the well. When the well is ready to produce petroleum or natural gas, valves are opened and the release of the formation fluids is allowed through a pipeline leading (eventually) to a refinery.</t>
  </si>
  <si>
    <t>WeqCode_christmasTree</t>
  </si>
  <si>
    <t>manifold</t>
  </si>
  <si>
    <t>Manifold</t>
  </si>
  <si>
    <t>An arrangement of piping or valves designed to control, distribute and often monitor fluid flow.</t>
  </si>
  <si>
    <t>For smaller subsea fields, for example, the wellhead and christmas tree are installed directly on the seabed, with production from several wells co-mingled at a subsea manifold. Subsea manifolds are often linked by pipelines and umbilical control lines back to a nearby platform, where engineers can control and monitor the petroleum and natural gas production.</t>
  </si>
  <si>
    <t>WeqCode_manifold</t>
  </si>
  <si>
    <t>protectiveStructure</t>
  </si>
  <si>
    <t>Protective Structure</t>
  </si>
  <si>
    <t>A subsea structure covering the equipment (for example: a wellhead or a manifold) in order to protect against trawl gear damage.</t>
  </si>
  <si>
    <t>The structure may be designed to allow trawl gear to pass over it without snagging or stopping the vessel (termed 'overtrawl'), or to either deflect or to deliberately snag fishing gear but allow easy retrieval (termed 'fisher friendly').</t>
  </si>
  <si>
    <t>WeqCode_protectiveStructure</t>
  </si>
  <si>
    <t>pump</t>
  </si>
  <si>
    <t>Pump</t>
  </si>
  <si>
    <t>A downhole pump and supporting equipment used to ensure flowing production of fluids at the desired or necessary rate.</t>
  </si>
  <si>
    <t>Pumps are required when the formation pressure is insufficient. Most petroleum wells are eventually put on pumps as pressure declines during production. The exceptions are in strong waterdrive reservoirs or in settings where pressure maintenance by gas or water injection is sufficient to maintain a high reservoir pressure.</t>
  </si>
  <si>
    <t>WeqCode_pump</t>
  </si>
  <si>
    <t>rodPump</t>
  </si>
  <si>
    <t>Rod Pump</t>
  </si>
  <si>
    <t>An artificial-lift pumping system using a surface power source to drive a downhole pump assembly.</t>
  </si>
  <si>
    <t>A beam and crank assembly creates reciprocating motion in a sucker-rod string that connects to the downhole pump assembly. The pump contains a plunger and valve assembly to convert the reciprocating motion to vertical fluid movement.</t>
  </si>
  <si>
    <t>WeqCode_rodPump</t>
  </si>
  <si>
    <t>separator</t>
  </si>
  <si>
    <t>Separator</t>
  </si>
  <si>
    <t>A cylindrical or spherical vessel used to separate petroleum, natural gas and water from the total fluid stream produced by a well.</t>
  </si>
  <si>
    <t>Gravity segregation is the main force that accomplishes the separation, thus the heaviest fluid settles to the bottom and the lightest fluid rises to the top. The objective is to maximize the hydrocarbon liquid recovery and to provide maximum stabilization to the resultant phases (liquid and gas) leaving the final separator.</t>
  </si>
  <si>
    <t>WeqCode_separator</t>
  </si>
  <si>
    <t>stockTank</t>
  </si>
  <si>
    <t>Stock Tank</t>
  </si>
  <si>
    <t>A tank in which the petroleum is stored after treatment (for example: to remove water).</t>
  </si>
  <si>
    <t>WeqCode_stockTank</t>
  </si>
  <si>
    <t>treater</t>
  </si>
  <si>
    <t>Treater</t>
  </si>
  <si>
    <t>A vessel used to treat oil-water emulsions so that the oil can be accepted by the pipeline or transport.</t>
  </si>
  <si>
    <t>Treater mechanisms break down the emulsion using either heat, gravity segregation, chemical additives and/or electric current.</t>
  </si>
  <si>
    <t>WeqCode_treater</t>
  </si>
  <si>
    <t>The assembly of fittings, valves, and controls located at the surface and connected to the flow lines, tubing, and casing of the well so as to control the flow from the reservoir.</t>
  </si>
  <si>
    <t>It also serves as a facility for installing casing hangers as well as christmas trees and other production control devices.</t>
  </si>
  <si>
    <t>WeqCode_wellhead</t>
  </si>
  <si>
    <t>artesian</t>
  </si>
  <si>
    <t>Artesian</t>
  </si>
  <si>
    <t>Created by a perpendicular boring into a confined aquifer, the water rising spontaneously above the water-table (strictly, to the surface).</t>
  </si>
  <si>
    <t>WftCode_artesian</t>
  </si>
  <si>
    <t>drilled</t>
  </si>
  <si>
    <t>Drilled</t>
  </si>
  <si>
    <t>Created by specialized equipment using methods specific to the nature of the strata penetrated (for example: drilled, driven, bored, and/or jetted).</t>
  </si>
  <si>
    <t>Generally employed to tap deep groundwater reservoirs. The resulting bore is narrow, typically only a few inches in diameter.</t>
  </si>
  <si>
    <t>WftCode_drilled</t>
  </si>
  <si>
    <t>dug</t>
  </si>
  <si>
    <t>Dug</t>
  </si>
  <si>
    <t>Created through a (generally manual) process of digging to tap shallow groundwater.</t>
  </si>
  <si>
    <t>The resulting bore is wide, typically several feet or more in diameter.</t>
  </si>
  <si>
    <t>WftCode_dug</t>
  </si>
  <si>
    <t>dugOrDrilled</t>
  </si>
  <si>
    <t>Dug or Drilled</t>
  </si>
  <si>
    <t>Created by either digging or drilling.</t>
  </si>
  <si>
    <t>WftCode_dugOrDrilled</t>
  </si>
  <si>
    <t>walledIn</t>
  </si>
  <si>
    <t>Walled-in</t>
  </si>
  <si>
    <t>A well whose wall is faced, generally with masonry, to prevent collapse.</t>
  </si>
  <si>
    <t>Usually circular with a stone border and a structure built above it for lowering and raising a bucket.</t>
  </si>
  <si>
    <t>WftCode_walledIn</t>
  </si>
  <si>
    <t>air</t>
  </si>
  <si>
    <t>Air</t>
  </si>
  <si>
    <t>Air-based compressed gas mixtures (often enhanced with oxygen or ozone) used to support fireflooding (an in-situ combustion method for producing heavy oil).</t>
  </si>
  <si>
    <t>Note that air is not suitable for reservoir pressure because it tends to cause deterioration of the oil, thus carbon dioxide or natural gas is normally used for pressure restoration.</t>
  </si>
  <si>
    <t>WimCode_air</t>
  </si>
  <si>
    <t>carbonDioxide</t>
  </si>
  <si>
    <t>Carbon Dioxide</t>
  </si>
  <si>
    <t>Compressed gaseous, or liquefied, carbon dioxide injected into underground formations.</t>
  </si>
  <si>
    <t>Underground injection of carbon dioxide for purposes such as enhanced oil recovery (EOR) and enhanced gas recovery (EGR) is a long-standing practice. Carbon dioxide injection for geologic sequestration involves different technical issues and potentially much larger volumes of carbon dioxide and larger scale projects than for EOR and EGR.</t>
  </si>
  <si>
    <t>WimCode_carbonDioxide</t>
  </si>
  <si>
    <t>chemicals</t>
  </si>
  <si>
    <t>Chemicals</t>
  </si>
  <si>
    <t>A special chemical solution used to improve oil recovery, remove formation damage, clean blocked perforations or formation layers, reduce or inhibit corrosion, upgrade crude oil, or address crude oil flow-assurance issues.</t>
  </si>
  <si>
    <t>Chemical injections can be administered either continuously or in batches, typically in injection wells, although at times in production wells.</t>
  </si>
  <si>
    <t>WimCode_chemicals</t>
  </si>
  <si>
    <t>coalSlurry</t>
  </si>
  <si>
    <t>Coal Slurry</t>
  </si>
  <si>
    <t>A fluid consisting of water, fine particles derived from the coal, and chemicals used in coal washing, that is produced when coal is prepared for market.</t>
  </si>
  <si>
    <t>Coal washing reduces the amount of non-combustible materials (including sulphur) from the coal. In addition to containing chemicals used during washing, coal slurry contains heavy metals naturally present in coal, such as arsenic, mercury, chromium, cadmium, boron, selenium and nickel.</t>
  </si>
  <si>
    <t>WimCode_coalSlurry</t>
  </si>
  <si>
    <t>detergent</t>
  </si>
  <si>
    <t>Detergent</t>
  </si>
  <si>
    <t>A surfactant-type chemical solution used to improve oil recovery, clean blocked perforations or formation layers, or address crude oil flow-assurance issues.</t>
  </si>
  <si>
    <t>WimCode_detergent</t>
  </si>
  <si>
    <t>fireFlooding</t>
  </si>
  <si>
    <t>Fire Flooding</t>
  </si>
  <si>
    <t>A method of thermal recovery in which a flame front is generated in the reservoir by igniting a fire at the sandface of an injection well followed by continuous injection of air or other gas mixture with high oxygen content to maintain the flame front.</t>
  </si>
  <si>
    <t>As the fire burns, it moves through the reservoir toward production wells. Heat from the fire reduces oil viscosity and helps vaporize reservoir water to steam. The steam, hot water, combustion gas and a bank of distilled solvent all act to drive oil in front of the fire toward production wells.</t>
  </si>
  <si>
    <t>WimCode_fireFlooding</t>
  </si>
  <si>
    <t>A mixture of light hydrocarbons that are gases at atmospheric temperature and pressure, but held in the liquid state by pressure to facilitate storage, transport and handling.</t>
  </si>
  <si>
    <t>Commercial liquefied gas consists essentially of either propane or butane, or mixtures thereof. It is often stored in metal cylinders (bottled gas) and used as fuel for tractors, trucks, and buses, and as a domestic cooking or heating fuel in rural areas.</t>
  </si>
  <si>
    <t>WimCode_liquefiedPetroleumGas</t>
  </si>
  <si>
    <t>liquids</t>
  </si>
  <si>
    <t>Liquids</t>
  </si>
  <si>
    <t>Any of a number of liquids that may be used to enhance oil recovery (for example: chemicals, detergents, liquefied carbon dioxide, sea water) or stored for later retrieval (for example: light crude, liquefied petroleum gas, water).</t>
  </si>
  <si>
    <t>WimCode_liquids</t>
  </si>
  <si>
    <t>Natural gas injected into an underground formation, typically one already containing both natural gas and crude oil, to maintain or restore reservoir pressure.</t>
  </si>
  <si>
    <t>Other reasons for gas injection are gas-lift operations, cycling in gas-condensate reservoirs or for storing gas in an underground reservoir.</t>
  </si>
  <si>
    <t>WimCode_naturalGas</t>
  </si>
  <si>
    <t>A complex mixture of naturally occurring hydrocarbon compounds found in rock.</t>
  </si>
  <si>
    <t>Petroleum can range from solid to gas, but the term is generally used to refer to liquid crude oil. Impurities such as sulphur, oxygen and nitrogen are common in petroleum. There is considerable variation in color, gravity, odor, sulphur content and viscosity in petroleum from different areas.</t>
  </si>
  <si>
    <t>WimCode_petroleum</t>
  </si>
  <si>
    <t>squeezeLiquids</t>
  </si>
  <si>
    <t>Squeeze Liquids</t>
  </si>
  <si>
    <t>The injection of generally small volumes of various treating fluids into a underground formation under pressure.</t>
  </si>
  <si>
    <t>WimCode_squeezeLiquids</t>
  </si>
  <si>
    <t>steam</t>
  </si>
  <si>
    <t>Steam</t>
  </si>
  <si>
    <t>The injection of superheated steam in order to extract viscous crude oil; an enhanced oil recovery (EOR) method that is the main type of thermal stimulation of oil reservoirs.</t>
  </si>
  <si>
    <t>Steam may be either cyclically injected, followed by a 'soak' and then recovery from a single well, or injected into a well separate from the production well.</t>
  </si>
  <si>
    <t>WimCode_steam</t>
  </si>
  <si>
    <t>thermalFluids</t>
  </si>
  <si>
    <t>Thermal Fluids</t>
  </si>
  <si>
    <t>The injection of superheated fluids in order to extract viscous crude oil.</t>
  </si>
  <si>
    <t>For example: steam.</t>
  </si>
  <si>
    <t>WimCode_thermalFluids</t>
  </si>
  <si>
    <t>Water injected into an underground formation to pressurize and displace hydrocarbons towards producing wells.</t>
  </si>
  <si>
    <t>Water-injection wells are common offshore, where filtered and treated seawater is injected into a lower water-bearing section of the reservoir. Injection water is also used in water-storage operations in offshore and remote locations with economic and environmental constraints.</t>
  </si>
  <si>
    <t>WimCode_water</t>
  </si>
  <si>
    <t>The well has ceased production (for example: because there is insufficient hydrocarbon potential to complete the well, or production operations have drained the reservoir) or the borehole ceased serving its intended function (for example: injection operations are no longer necessary) and all recoverable equipment has been salvaged.</t>
  </si>
  <si>
    <t>WbsCode_abandoned</t>
  </si>
  <si>
    <t>The well is in operation for its intended purpose (for example: natural gas recovery or waste disposal) or the borehole is serving its intended function.</t>
  </si>
  <si>
    <t>WbsCode_active</t>
  </si>
  <si>
    <t>buried</t>
  </si>
  <si>
    <t>Buried</t>
  </si>
  <si>
    <t>The wellhead is not immediately accessible from the surface, being covered by a significant amount of overburden.</t>
  </si>
  <si>
    <t>WbsCode_buried</t>
  </si>
  <si>
    <t>The wellbore is being drilled.</t>
  </si>
  <si>
    <t>WbsCode_drilling</t>
  </si>
  <si>
    <t>The wellbore has not encountered hydrocarbons in economically producible quantities.</t>
  </si>
  <si>
    <t>Most wells contain salt water in some zones. In addition, the wellbore usually encounters small amounts of crude oil and natural gas. Whether the well is a 'duster' depends on many factors of the economic equation, including proximity to transport and processing infrastructures, local market conditions, expected completion costs, tax and investment recovery conditions of the jurisdiction and projected oil and gas prices during the productive life of the well.</t>
  </si>
  <si>
    <t>WbsCode_dry</t>
  </si>
  <si>
    <t>expired</t>
  </si>
  <si>
    <t>Expired</t>
  </si>
  <si>
    <t>The mineral rights lease governing the operation of the well has expired.</t>
  </si>
  <si>
    <t>WbsCode_expired</t>
  </si>
  <si>
    <t>The well or borehole is planned but drilling has not yet commenced.</t>
  </si>
  <si>
    <t>WbsCode_planned</t>
  </si>
  <si>
    <t>plugged</t>
  </si>
  <si>
    <t>Plugged</t>
  </si>
  <si>
    <t>The well has permanently ceased production or the borehole ceased serving its intended function and has been plugged.</t>
  </si>
  <si>
    <t>Different regulatory bodies have differing requirements for plugging operations, typically requiring that cement plugs be placed and tested across any open hydrocarbon-bearing formations, across all casing shoes, across freshwater aquifers, and perhaps several other areas near the surface, including the top 6 to 15 metres (20 to 50 feet) of the wellbore.</t>
  </si>
  <si>
    <t>WbsCode_plugged</t>
  </si>
  <si>
    <t>pluggedBack</t>
  </si>
  <si>
    <t>Plugged-back</t>
  </si>
  <si>
    <t>Unproductive drilling operations continued to a greater depth than that at which a potentially productive formation was found, and the well was subsequently completed in the shallower formation with the length of the well bore from the deepest depth at which the well is completed to the maximum depth drilled plugged to ensure against cross-strata fluid migration.</t>
  </si>
  <si>
    <t>WbsCode_pluggedBack</t>
  </si>
  <si>
    <t>shutIn</t>
  </si>
  <si>
    <t>Shut-in</t>
  </si>
  <si>
    <t>The well or borehole has been closed off, the well being shut so that it does not produce a fluid product of any kind, or the borehole is no longer serving its intended function.</t>
  </si>
  <si>
    <t>WbsCode_shutIn</t>
  </si>
  <si>
    <t>The well has been capped off temporarily.</t>
  </si>
  <si>
    <t>WbsCode_suspended</t>
  </si>
  <si>
    <t>temporarilyAbandoned</t>
  </si>
  <si>
    <t>Temporarily Abandoned</t>
  </si>
  <si>
    <t>The well has temporarily ceased production or the borehole ceased serving its intended function, some or all recoverable equipment has been salvaged, but the site has been left in a state to readily enable the future resumption of operations.</t>
  </si>
  <si>
    <t>WbsCode_temporarilyAbandoned</t>
  </si>
  <si>
    <t>The well has not entered full production, being used only for the extraction of limited quantities.</t>
  </si>
  <si>
    <t>WbsCode_test</t>
  </si>
  <si>
    <t>waitingOnCompletion</t>
  </si>
  <si>
    <t>Waiting on Completion</t>
  </si>
  <si>
    <t>The well has not yet been 'completed' by the addition of downhole pipe and equipment required to enable safe and efficient production.</t>
  </si>
  <si>
    <t>WbsCode_waitingOnCompletion</t>
  </si>
  <si>
    <t>WsfCode_basinSwamp</t>
  </si>
  <si>
    <t>WsfCode_bog</t>
  </si>
  <si>
    <t>fenBog</t>
  </si>
  <si>
    <t>Fen Bog</t>
  </si>
  <si>
    <t>A boggy area saturated up to the surface with fertile ground water.</t>
  </si>
  <si>
    <t>Predominantly covered with reed, rush. Developing in depressions or as a filling up-status of a lake.</t>
  </si>
  <si>
    <t>WsfCode_fenBog</t>
  </si>
  <si>
    <t>floodLand</t>
  </si>
  <si>
    <t>Flood-land</t>
  </si>
  <si>
    <t>An area subject to seasonal or regular overflooding by a running water.</t>
  </si>
  <si>
    <t>WsfCode_floodLand</t>
  </si>
  <si>
    <t>highBog</t>
  </si>
  <si>
    <t>High Bog</t>
  </si>
  <si>
    <t>A boggy area without ground-water contact in regions rich in precipitation.</t>
  </si>
  <si>
    <t>Predominantly covered with moss.</t>
  </si>
  <si>
    <t>WsfCode_highBog</t>
  </si>
  <si>
    <t>WsfCode_mangroveSwamp</t>
  </si>
  <si>
    <t>marsh</t>
  </si>
  <si>
    <t>It is subject to frequent or tidal inundations, but not considered to be continually under water. It lacks trees.</t>
  </si>
  <si>
    <t>WsfCode_marsh</t>
  </si>
  <si>
    <t>WsfCode_shallowBasinMarsh</t>
  </si>
  <si>
    <t>WsfCode_shoreMarsh</t>
  </si>
  <si>
    <t>WsfCode_streamMarsh</t>
  </si>
  <si>
    <t>WsfCode_streamSwamp</t>
  </si>
  <si>
    <t>swamp</t>
  </si>
  <si>
    <t>It is covered with water all or most of the year, and accumulating dead vegetation does not rapidly decay. It can exist on flat-lying areas created by certain geomorphic environments. The vegetation mainly consists of hydrophytic trees and/or scrubs whose roots are adapted to wet conditions, with an open to very dense canopy closure.</t>
  </si>
  <si>
    <t>WsfCode_swamp</t>
  </si>
  <si>
    <t>A zone, characterized by wetland cultivaton of rice, subject to available water.</t>
  </si>
  <si>
    <t>WsfCode_wetRiceCultivation</t>
  </si>
  <si>
    <t>tetrahedron</t>
  </si>
  <si>
    <t>Tetrahedron</t>
  </si>
  <si>
    <t>A device designed like an arrow whose small end points into the wind.</t>
  </si>
  <si>
    <t>WntCode_tetrahedron</t>
  </si>
  <si>
    <t>windTee</t>
  </si>
  <si>
    <t>Wind Tee</t>
  </si>
  <si>
    <t>A weather vane shaped like the letter 'T' or like an aeroplane, located on an aerodrome or landing area to show the wind direction to flying aircraft.</t>
  </si>
  <si>
    <t>WntCode_windTee</t>
  </si>
  <si>
    <t>windsock</t>
  </si>
  <si>
    <t>Windsock</t>
  </si>
  <si>
    <t>A conical textile tube designed to indicate wind direction and relative wind speed.</t>
  </si>
  <si>
    <t>WntCode_windsock</t>
  </si>
  <si>
    <t>cellularPhone</t>
  </si>
  <si>
    <t>Cellular Phone</t>
  </si>
  <si>
    <t>A radio apparatus functioning similar to a telephone but operating by means of radio waves transmitted between the instruments in full duplex mode over a cellular network of base stations.</t>
  </si>
  <si>
    <t>WitCode_cellularPhone</t>
  </si>
  <si>
    <t>microwaveRadioRelay</t>
  </si>
  <si>
    <t>Microwave Radio Relay</t>
  </si>
  <si>
    <t>A system for transmitting digital and analog signals (for example: long-distance telephone calls and the relay of television programs) between two locations on a line of sight radio path using directional antennas to form a fixed radio connection.</t>
  </si>
  <si>
    <t>Long daisy-chained series of such links may be used to form transcontinental telephone and/or television communication systems.</t>
  </si>
  <si>
    <t>WitCode_microwaveRadioRelay</t>
  </si>
  <si>
    <t>mobilePhone</t>
  </si>
  <si>
    <t>Mobile Phone</t>
  </si>
  <si>
    <t>A radio apparatus functioning similar to a telephone but operating by means of radio waves transmitted between the instruments in full duplex mode.</t>
  </si>
  <si>
    <t>The radiotelephone equivalent of land dial phone service, operating through a system of relatively widely separated base stations or satellites. Mobile phone systems were the predecessors of modern cellular phone technology. When first introduced, mobile phone systems suffered from few useable channels, heavy congestion, and very high operating costs.</t>
  </si>
  <si>
    <t>WitCode_mobilePhone</t>
  </si>
  <si>
    <t>radioBroadcast</t>
  </si>
  <si>
    <t>Radio Broadcast</t>
  </si>
  <si>
    <t>A broadcast system for transmitting radio-frequency electromagnetic waves as a means of communication.</t>
  </si>
  <si>
    <t>Most often used for broadcasting a variety of entertainment (for example: music and news) shows interspersed with commercial messages.</t>
  </si>
  <si>
    <t>WitCode_radioBroadcast</t>
  </si>
  <si>
    <t>A radio apparatus functioning similar to a telephone but operating by means of radio waves transmitted between the instruments and usually only in simplex (either single or dual-frequency) mode.</t>
  </si>
  <si>
    <t>For example, a 'walkie-talkie'. The user presses a special switch on the transmitter when they wish to speak. A special code-word such as the phrase 'over' may be used to signal that the speaker has finished transmitting. Radio telephones have been largely superseded by digital mobile phones however they are still widely used in specialized applications, for example police communications, emergency services, taxi services, and private mobile radio networks (PMR).</t>
  </si>
  <si>
    <t>WitCode_radioTelephone</t>
  </si>
  <si>
    <t>A radio apparatus functioning similar to a telegraph but operating by means of radio waves transmitted between the instruments.</t>
  </si>
  <si>
    <t>Messages are sent using a code such as the 'dot-dash' Morse code.</t>
  </si>
  <si>
    <t>WitCode_radioTelegraph</t>
  </si>
  <si>
    <t>WitCode_television</t>
  </si>
  <si>
    <t>funnelShowing</t>
  </si>
  <si>
    <t>Funnel Showing</t>
  </si>
  <si>
    <t>Only the funnels are showing.</t>
  </si>
  <si>
    <t>WloCode_funnelShowing</t>
  </si>
  <si>
    <t>hullShowing</t>
  </si>
  <si>
    <t>Hull Showing</t>
  </si>
  <si>
    <t>Any portion of the hull is showing.</t>
  </si>
  <si>
    <t>WloCode_hullShowing</t>
  </si>
  <si>
    <t>mastsFunnelShowing</t>
  </si>
  <si>
    <t>Masts and Funnel Showing</t>
  </si>
  <si>
    <t>A portion of the masts and funnel are showing.</t>
  </si>
  <si>
    <t>WloCode_mastsFunnelShowing</t>
  </si>
  <si>
    <t>mastsShowing</t>
  </si>
  <si>
    <t>Masts Showing</t>
  </si>
  <si>
    <t>Only the masts are showing.</t>
  </si>
  <si>
    <t>WloCode_mastsShowing</t>
  </si>
  <si>
    <t>superstructureShowing</t>
  </si>
  <si>
    <t>Superstructure Showing</t>
  </si>
  <si>
    <t>Any portion of the superstructure is showing.</t>
  </si>
  <si>
    <t>WloCode_superstructureShowing</t>
  </si>
  <si>
    <t>dangerousWreck</t>
  </si>
  <si>
    <t>Dangerous Wreck</t>
  </si>
  <si>
    <t>A wreck submerged at such a depth as to be considered dangerous to surface navigation.</t>
  </si>
  <si>
    <t>Dangerous wrecks generally have less than 30 metres (16.4 fathoms) clearance. The IHO Chart Specifications, however, specifically use 20 metres (10.94 fathoms) to determine the dangerousness of a wreck (reference: MP-004 422.5 and 422.6).</t>
  </si>
  <si>
    <t>WrkCode_dangerousWreck</t>
  </si>
  <si>
    <t>distributedRemains</t>
  </si>
  <si>
    <t>Distributed Remains</t>
  </si>
  <si>
    <t>Wreck remains are distributed on the bottom, resulting in a foul ground that is safe for surface navigation but should be avoided for anchoring, taking the ground or ground fishing.</t>
  </si>
  <si>
    <t>WrkCode_distributedRemains</t>
  </si>
  <si>
    <t>hullSuperstructureShowing</t>
  </si>
  <si>
    <t>Hull and/or Superstructure Showing</t>
  </si>
  <si>
    <t>A wreck for which any portion of the hull or superstructure is visible at the sounding datum indicated.</t>
  </si>
  <si>
    <t>WrkCode_hullSuperstructureShowing</t>
  </si>
  <si>
    <t>Mast(s) Showing</t>
  </si>
  <si>
    <t>A wreck for which only the mast(s) is visible at the sounding datum indicated.</t>
  </si>
  <si>
    <t>WrkCode_mastsShowing</t>
  </si>
  <si>
    <t>nonDangerousWreck</t>
  </si>
  <si>
    <t>Non-dangerous Wreck</t>
  </si>
  <si>
    <t>A submerged wreck that is not considered dangerous to surface navigation.</t>
  </si>
  <si>
    <t>Non-dangerous wrecks generally have more than 30 metres (16.4 fathoms) clearance. The IHO Chart Specifications, however, specifically use 20 metres (10.94 fathoms) to determine the non-dangerousness of a wreck (reference: MP-004 422.5 and 422.6).</t>
  </si>
  <si>
    <t>WrkCode_nonDangerousWreck</t>
  </si>
  <si>
    <t>IndustriesServices</t>
  </si>
  <si>
    <t>Industries and Services</t>
  </si>
  <si>
    <t>This Group consists of Concepts which relate to, the extraction and/or excavation of natural resources, the processing, fabrication and/or manufacturing of items, the devices and structures used in agriculture, utilities and their networks to include electric power, communications of any kind and waste management and all associated industries and services Concepts.</t>
  </si>
  <si>
    <t>SocioEconomicGeography</t>
  </si>
  <si>
    <t>Socio-economic Geography</t>
  </si>
  <si>
    <t>This Group consists of Concepts which relate in the broadest sense to the habitation of people and aspects of population.</t>
  </si>
  <si>
    <t>To this Group belong the domains of administration, trade, leisure, education and science.</t>
  </si>
  <si>
    <t>This Group consists of Concepts which relate to transportation to include railways, roads and tracks, water bodies, guided devices, pipelines, restrictions, crossings and all associated transportation Concepts.</t>
  </si>
  <si>
    <t>HydrographyOceanography</t>
  </si>
  <si>
    <t>Hydrography and Oceanography</t>
  </si>
  <si>
    <t>This Group consists of Concepts which relate to the sea navigation, to waterbodies in any form and/or other relevant Concepts.</t>
  </si>
  <si>
    <t>This Group consists of Concepts which describe the form of the earth’s surface and Concepts which describe special parts beneath the surface.</t>
  </si>
  <si>
    <t>Biota</t>
  </si>
  <si>
    <t>This Group consists of Concepts which relate to organic features.</t>
  </si>
  <si>
    <t>Demarcation</t>
  </si>
  <si>
    <t>This Group consists of Concepts describing border and areas with special restrictions or permissions and of Concepts which relate to surveying and cadastre.</t>
  </si>
  <si>
    <t>This Group consists of Concepts which relate to aspects of aeronautic.</t>
  </si>
  <si>
    <t>It varies from airports, ground facilities and obstructions to airspaces and restrictions in the air.</t>
  </si>
  <si>
    <t>This Group consists of Concepts which relate to military installations or operational military structures.</t>
  </si>
  <si>
    <t>WeatherClimate</t>
  </si>
  <si>
    <t>Weather and Climate</t>
  </si>
  <si>
    <t>This Group consists of Concepts which relate to relatively static weather phenomena and/or climatic conditions.</t>
  </si>
  <si>
    <t>Characteristics</t>
  </si>
  <si>
    <t>This Group consists of Concepts which describe the appearance of other Concepts.</t>
  </si>
  <si>
    <t>NamesDesignations</t>
  </si>
  <si>
    <t>Names and Designations</t>
  </si>
  <si>
    <t>This Group consists of Concepts which name and/or designate a Concept.</t>
  </si>
  <si>
    <t>MetadataReferences</t>
  </si>
  <si>
    <t>Metadata and References</t>
  </si>
  <si>
    <t>This Group consists of Concepts which are metadata in the broadest sense and/or which are used as a reference to other external sources.</t>
  </si>
  <si>
    <t>Abstract</t>
  </si>
  <si>
    <t>This Group consists of Concepts which are used to model information regarding features, either as types or sets, but would not themselves represent features.</t>
  </si>
  <si>
    <t>For example, collecting geometric representation information about a feature type or collecting feature characteristics that may be shared by many different feature types.</t>
  </si>
  <si>
    <t>01.01</t>
  </si>
  <si>
    <t>Extraction</t>
  </si>
  <si>
    <t>This Subgroup consists of Concepts which relate to the extraction of raw materials and the excavation of soil.</t>
  </si>
  <si>
    <t>01.02</t>
  </si>
  <si>
    <t>FabricationProcessing</t>
  </si>
  <si>
    <t>Fabrication and/or Processing</t>
  </si>
  <si>
    <t>This Subgroup consists of Concepts which relate to the production and/or processing of materials.</t>
  </si>
  <si>
    <t>01.03</t>
  </si>
  <si>
    <t>This Subgroup consists of Concepts which are associated with agriculture.</t>
  </si>
  <si>
    <t>Describes concepts that relate to the function of agriculture such associated buildings and equipment as opposed to Subgroup 06.01, which describes the land use itself.</t>
  </si>
  <si>
    <t>01.04</t>
  </si>
  <si>
    <t>PowerSupplies</t>
  </si>
  <si>
    <t>Power Supplies</t>
  </si>
  <si>
    <t>This Subgroup consists of Concepts which relate to the production, transportation and distribution of energy, whereas energy is mostly electricity.</t>
  </si>
  <si>
    <t>Mechanical energy production, for example, does not fit in this Subgroup.</t>
  </si>
  <si>
    <t>01.05</t>
  </si>
  <si>
    <t>This Subgroup consists of Concepts which relate to any kind of communication.</t>
  </si>
  <si>
    <t>01.06</t>
  </si>
  <si>
    <t>AssociatedSupportStruct</t>
  </si>
  <si>
    <t>Associated Support Structures</t>
  </si>
  <si>
    <t>This Subgroup consists of Concepts which support Concepts stored in the other industrial and services Group (01).</t>
  </si>
  <si>
    <t>01.07</t>
  </si>
  <si>
    <t>StorageProvision</t>
  </si>
  <si>
    <t>Storage and/or Provision</t>
  </si>
  <si>
    <t>This Subgroup consists of Concepts which are used to store, provide and to protect any kind of goods.</t>
  </si>
  <si>
    <t>01.08</t>
  </si>
  <si>
    <t>WasteManagement</t>
  </si>
  <si>
    <t>Waste Management</t>
  </si>
  <si>
    <t>This Subgroup consists of Concepts which relate to the collection, storage, processing or recycling of waste.</t>
  </si>
  <si>
    <t>02.01</t>
  </si>
  <si>
    <t>Habitats</t>
  </si>
  <si>
    <t>This Subgroup consists of Concepts which relate to settlements and buildings.</t>
  </si>
  <si>
    <t>02.02</t>
  </si>
  <si>
    <t>SettlementsAssociated</t>
  </si>
  <si>
    <t>Settlements-associated</t>
  </si>
  <si>
    <t>This Subgroup consists of Concepts which are associated with settlements or related to an urban area.</t>
  </si>
  <si>
    <t>02.03</t>
  </si>
  <si>
    <t>EconomicCommercial</t>
  </si>
  <si>
    <t>Economic and/or Commercial</t>
  </si>
  <si>
    <t>This Subgroup consists of Concepts which relate to trade and/or economy.</t>
  </si>
  <si>
    <t>This varies from local shops to Concepts describing global economy issues.</t>
  </si>
  <si>
    <t>02.04</t>
  </si>
  <si>
    <t>Leisure</t>
  </si>
  <si>
    <t>This Subgroup consists of Concepts which relate to recreational activities of people.</t>
  </si>
  <si>
    <t>02.05</t>
  </si>
  <si>
    <t>PoliticsAdministration</t>
  </si>
  <si>
    <t>Politics and/or Administration</t>
  </si>
  <si>
    <t>This Subgroup consists of Concepts which relate to politics and/or which describe administrative issues.</t>
  </si>
  <si>
    <t>02.06</t>
  </si>
  <si>
    <t>SciencesEducation</t>
  </si>
  <si>
    <t>Sciences and/or Education</t>
  </si>
  <si>
    <t>This Subgroup consists of Concepts which describe scientific issues and/or Concepts which relate to education.</t>
  </si>
  <si>
    <t>02.07</t>
  </si>
  <si>
    <t>CulturalContext</t>
  </si>
  <si>
    <t>Cultural Context</t>
  </si>
  <si>
    <t>This Subgroup consists of Concepts which relate to cultures, population and its characteristics.</t>
  </si>
  <si>
    <t>Concepts such as tribal affiliation and language, itself.</t>
  </si>
  <si>
    <t>03.01</t>
  </si>
  <si>
    <t>Railways</t>
  </si>
  <si>
    <t>This Subgroup consists of Concepts which relate to land transportation based on rails.</t>
  </si>
  <si>
    <t>03.02</t>
  </si>
  <si>
    <t>RoadsTracks</t>
  </si>
  <si>
    <t>Roads and/or Tracks</t>
  </si>
  <si>
    <t>This Subgroup consists of Concepts which are related to road-like Concepts, mainly which can be used by wheeled vehicles.</t>
  </si>
  <si>
    <t>03.03</t>
  </si>
  <si>
    <t>GuidedTransportation</t>
  </si>
  <si>
    <t>Guided Transportation</t>
  </si>
  <si>
    <t>This Subgroup consists of Concepts which relate to a guided transportation like a cableway or a teleferic.</t>
  </si>
  <si>
    <t>03.04</t>
  </si>
  <si>
    <t>WaterBorneTransportation</t>
  </si>
  <si>
    <t>Water-borne Transportation</t>
  </si>
  <si>
    <t>This Subgroup consists of Concepts which relate to any transportation on water.</t>
  </si>
  <si>
    <t>03.05</t>
  </si>
  <si>
    <t>AirTransportation</t>
  </si>
  <si>
    <t>Air Transportation</t>
  </si>
  <si>
    <t>This Subgroup consists of Concepts which relate to transportation in the air.</t>
  </si>
  <si>
    <t>03.06</t>
  </si>
  <si>
    <t>Restrictions</t>
  </si>
  <si>
    <t>This Subgroup consists of Concepts which relate to a restriction.</t>
  </si>
  <si>
    <t>Concepts like a narrow or a place with an overpass, on a land transportation route.</t>
  </si>
  <si>
    <t>03.07</t>
  </si>
  <si>
    <t>CrossingsLinks</t>
  </si>
  <si>
    <t>Crossings and/or Links</t>
  </si>
  <si>
    <t>This Subgroup consists of Concepts which relate to any kind of land transportation route crossing.</t>
  </si>
  <si>
    <t>For example an intersection or a bridge.</t>
  </si>
  <si>
    <t>03.08</t>
  </si>
  <si>
    <t>TransportationAssociated</t>
  </si>
  <si>
    <t>Transportation-associated</t>
  </si>
  <si>
    <t>This Subgroup consists of Concepts which support Concepts stored in the other land transportation Group (03).</t>
  </si>
  <si>
    <t>03.09</t>
  </si>
  <si>
    <t>SpaceTransportation</t>
  </si>
  <si>
    <t>Space Transportation</t>
  </si>
  <si>
    <t>This Subgroup consists of Concepts which relate to and are essential to servicing spacecraft, enabling spacecraft to launch or re-enter, or transferring passengers or space cargo to or from spacecraft, including launch control centres and rocket assembly facilities.</t>
  </si>
  <si>
    <t>03.10</t>
  </si>
  <si>
    <t>DistributionNetworks</t>
  </si>
  <si>
    <t>Distribution Networks</t>
  </si>
  <si>
    <t>This Subgroup consists of Concepts which relate to the transport in networks, such as pipelines or channels, above or below surface.</t>
  </si>
  <si>
    <t>04.01</t>
  </si>
  <si>
    <t>CoastalLittoralZones</t>
  </si>
  <si>
    <t>Coastal and/or Littoral Zones</t>
  </si>
  <si>
    <t>This Subgroup consists of Concepts which describe the coast and/or the littoral zones like beaches.</t>
  </si>
  <si>
    <t>04.02</t>
  </si>
  <si>
    <t>PortsHarbours</t>
  </si>
  <si>
    <t>Ports and/or Harbours</t>
  </si>
  <si>
    <t>This Subgroup consists of Concepts which relate to ports, harbours and/or places where vessels can be moored.</t>
  </si>
  <si>
    <t>04.03</t>
  </si>
  <si>
    <t>Depths</t>
  </si>
  <si>
    <t>This Subgroup consists of Concepts which are used to describe the depths of waterbodies.</t>
  </si>
  <si>
    <t>04.04</t>
  </si>
  <si>
    <t>NatureSeabed</t>
  </si>
  <si>
    <t>Nature of Seabed</t>
  </si>
  <si>
    <t>This Subgroup consists of Concepts which describe the bottom of a waterbody.</t>
  </si>
  <si>
    <t>04.05</t>
  </si>
  <si>
    <t>OffshoreConstructInstall</t>
  </si>
  <si>
    <t>Offshore Constructions and/or Installations</t>
  </si>
  <si>
    <t>This Subgroup consists of Concepts which relate to constructions and production installations which are placed in the offshore area.</t>
  </si>
  <si>
    <t>04.06</t>
  </si>
  <si>
    <t>TidesCurrents</t>
  </si>
  <si>
    <t>Tides and/or Currents</t>
  </si>
  <si>
    <t>This Subgroup consists of Concepts which relate to tidal issues and/or to the currents of water.</t>
  </si>
  <si>
    <t>04.07</t>
  </si>
  <si>
    <t>RoutesNavigation</t>
  </si>
  <si>
    <t>Routes and/or Navigation</t>
  </si>
  <si>
    <t>This Subgroup consists of Concepts which relate to the navigation on sea.</t>
  </si>
  <si>
    <t>04.08</t>
  </si>
  <si>
    <t>HazardsObstructions</t>
  </si>
  <si>
    <t>Hazards and/or Obstructions</t>
  </si>
  <si>
    <t>This Subgroup consists of Concepts which relate to a hazard and/or an obstruction for navigation on sea.</t>
  </si>
  <si>
    <t>04.09</t>
  </si>
  <si>
    <t>SeaIce</t>
  </si>
  <si>
    <t>This Subgroup consists of Concepts which relate to sea ice.</t>
  </si>
  <si>
    <t>04.10</t>
  </si>
  <si>
    <t>RegulatedRestrictedZones</t>
  </si>
  <si>
    <t>Regulated and/or Restricted Zones</t>
  </si>
  <si>
    <t>This Subgroup consists of Concepts which are used to describe water zones where special actions and/or behaviours are restricted, regulated or permitted.</t>
  </si>
  <si>
    <t>04.11</t>
  </si>
  <si>
    <t>InlandWaters</t>
  </si>
  <si>
    <t>Inland Waters</t>
  </si>
  <si>
    <t>This Subgroup consists of Concepts which relate to waterbodies without tides.</t>
  </si>
  <si>
    <t>04.12</t>
  </si>
  <si>
    <t>PhysicsWater</t>
  </si>
  <si>
    <t>Physics of Water</t>
  </si>
  <si>
    <t>This Subgroup consists of Concepts which describe the physical conditions of water, for example temperature or density.</t>
  </si>
  <si>
    <t>05.01</t>
  </si>
  <si>
    <t>This Subgroup consists of Concepts which describe the form (positions and heights) of the terrain surface.</t>
  </si>
  <si>
    <t>As opposed to Subgroup 05.02, you find in this Subgroup only auxiliaries for modelling the surface like contour lines. These Concepts mainly have no counterpart in the real world.</t>
  </si>
  <si>
    <t>05.02</t>
  </si>
  <si>
    <t>Geomorphology</t>
  </si>
  <si>
    <t>This Subgroup consists of Concepts which describe the earth’s surface and Concepts which relate to the shaping of land forms.</t>
  </si>
  <si>
    <t>As opposed to Subgroup 05.01, you find in this Subgroup Concepts which exist in the real world like hills, valleys, dips, etc.</t>
  </si>
  <si>
    <t>05.03</t>
  </si>
  <si>
    <t>Rocks</t>
  </si>
  <si>
    <t>This Subgroup consists of Concepts which relate to rocks and rocks on and beneath the surface.</t>
  </si>
  <si>
    <t>05.04</t>
  </si>
  <si>
    <t>Soils</t>
  </si>
  <si>
    <t>This Subgroup consists of Concepts which relate to the soil, which means to the upper layer of the surface.</t>
  </si>
  <si>
    <t>05.05</t>
  </si>
  <si>
    <t>NaturalResources</t>
  </si>
  <si>
    <t>Natural Resources</t>
  </si>
  <si>
    <t>This Subgroup consists of Concepts which relate to raw materials and their deposits.</t>
  </si>
  <si>
    <t>Groundwater is also a raw material in this context.</t>
  </si>
  <si>
    <t>05.06</t>
  </si>
  <si>
    <t>SeismologyVolcanology</t>
  </si>
  <si>
    <t>Seismology and/or Volcanology</t>
  </si>
  <si>
    <t>This Subgroup consists of Concepts which relate to volcanoes, earthquakes and/or other seismic occurrences on and beneath the surface.</t>
  </si>
  <si>
    <t>05.07</t>
  </si>
  <si>
    <t>Glaciers</t>
  </si>
  <si>
    <t>This Subgroup consists of Concepts which relate to glaciers and glacial phenomena.</t>
  </si>
  <si>
    <t>05.08</t>
  </si>
  <si>
    <t>Anomalies</t>
  </si>
  <si>
    <t>This Subgroup consists of Concepts which describe anomalies in the gravity or magnetic field of earth or the fields themselves.</t>
  </si>
  <si>
    <t>05.09</t>
  </si>
  <si>
    <t>GlobalEarthCover</t>
  </si>
  <si>
    <t>Global Earth Cover</t>
  </si>
  <si>
    <t>This Subgroup consists of Concepts which describe the coverage of earth’s surface in a global perspective.</t>
  </si>
  <si>
    <t>06.01</t>
  </si>
  <si>
    <t>CultivatedLand</t>
  </si>
  <si>
    <t>Cultivated Land</t>
  </si>
  <si>
    <t>This Subgroup consists of Concepts which describe the land use for agriculture.</t>
  </si>
  <si>
    <t>While the Subgroup 01.03 describes buildings, devices etc, this Subgroup concentrates on the cultivation of plants.</t>
  </si>
  <si>
    <t>06.02</t>
  </si>
  <si>
    <t>Rangeland</t>
  </si>
  <si>
    <t>This Subgroup consists of Concepts which relate to areas that are uncultivated and that are usually covered with low growing grass-like vegetation.</t>
  </si>
  <si>
    <t>06.03</t>
  </si>
  <si>
    <t>This Subgroup consists of Concepts which relate to a tree or wood covered area.</t>
  </si>
  <si>
    <t>06.04</t>
  </si>
  <si>
    <t>This Subgroup consists of Concepts which relate to areas that are permanently or temporarily moist or covered by water.</t>
  </si>
  <si>
    <t>06.05</t>
  </si>
  <si>
    <t>AridAreas</t>
  </si>
  <si>
    <t>Arid Areas</t>
  </si>
  <si>
    <t>This Subgroup consists of Concepts which describe very dry regions.</t>
  </si>
  <si>
    <t>06.06</t>
  </si>
  <si>
    <t>RegionsRestrictedAreas</t>
  </si>
  <si>
    <t>Regions and/or Restricted Areas</t>
  </si>
  <si>
    <t>This Subgroup consists of Concepts which relate to areas that are designated as special and/or restricted regions based on their natural characteristics.</t>
  </si>
  <si>
    <t>06.07</t>
  </si>
  <si>
    <t>This Subgroup consists of Concepts which relate to animal organisms.</t>
  </si>
  <si>
    <t>06.08</t>
  </si>
  <si>
    <t>This Subgroup consists of Concepts which relate to members of the Plant Kingdom.</t>
  </si>
  <si>
    <t>07.01</t>
  </si>
  <si>
    <t>BoundariesLimits</t>
  </si>
  <si>
    <t>Boundaries and/or Limits</t>
  </si>
  <si>
    <t>This Subgroup consists of Concepts which relate to the official, legal or recognised boundary and/or designation of parts of earth’s surface.</t>
  </si>
  <si>
    <t>07.02</t>
  </si>
  <si>
    <t>LandSurveyRealEstate</t>
  </si>
  <si>
    <t>Land-survey and/or Real Estate</t>
  </si>
  <si>
    <t>This Subgroup consists of Concepts which are used to designate official or legal properties abd/or which are used for surveying purposes.</t>
  </si>
  <si>
    <t>08.01</t>
  </si>
  <si>
    <t>AerodromesMoveSurfLighting</t>
  </si>
  <si>
    <t>Aerodromes, Movement Surfaces and/or Lighting</t>
  </si>
  <si>
    <t>This Subgroup consists of Concepts which define areas on land or water (including buildings, installations and equipment) and which are intended to be used either wholly or in part for the arrival, departure and surface movement of aircrafts/helicopters.</t>
  </si>
  <si>
    <t>08.02</t>
  </si>
  <si>
    <t>AirspaceRoutes</t>
  </si>
  <si>
    <t>Airspace and/or Routes</t>
  </si>
  <si>
    <t>This Subgroup consists of Concepts which contain information about defined regions in the air used for navigation under a specific authority.</t>
  </si>
  <si>
    <t>08.03</t>
  </si>
  <si>
    <t>NavaidsLandAidsPointsObst</t>
  </si>
  <si>
    <t>NAVAIDS, Landing Aids, Points and/or Obstacles</t>
  </si>
  <si>
    <t>This Subgroup consists of Concepts which describe a collection of technical or other types of aids for the navigation and/or landing of aircrafts and specify geographical locations, that are either used for navigation or pose a danger to it.</t>
  </si>
  <si>
    <t>08.04</t>
  </si>
  <si>
    <t>ServicesOrgsTimetables</t>
  </si>
  <si>
    <t>Services, Organisations and/or Timetables</t>
  </si>
  <si>
    <t>This Subgroup consists of Concepts which are used for services furnished to personnel and/or institutions concerned with flight operations, various Organisations and Authorities.</t>
  </si>
  <si>
    <t>08.05</t>
  </si>
  <si>
    <t>TerminalProcedures</t>
  </si>
  <si>
    <t>Terminal Procedures</t>
  </si>
  <si>
    <t>This Subgroup consists of Concepts which describe series of predetermined manoeuvres for an aircraft, in order to perform a save landing or take-off.</t>
  </si>
  <si>
    <t>This includes Concepts required for terminal procedures design.</t>
  </si>
  <si>
    <t>09.01</t>
  </si>
  <si>
    <t>DefensiveOperationalStruct</t>
  </si>
  <si>
    <t>Defensive and/or Operational Structures</t>
  </si>
  <si>
    <t>This Subgroup consists of Concepts which relate to military installations and facilities and/or to operational structures.</t>
  </si>
  <si>
    <t>09.02</t>
  </si>
  <si>
    <t>RestrictedAreasBoundaries</t>
  </si>
  <si>
    <t>Restricted Areas and/or Boundaries</t>
  </si>
  <si>
    <t>This Subgroup consists of Concepts which define borders or zones of military used areas in which special restrictions are applied and/or which are of special interest for military purposes.</t>
  </si>
  <si>
    <t>09.03</t>
  </si>
  <si>
    <t>OperationsEvents</t>
  </si>
  <si>
    <t>Operations and/or Events</t>
  </si>
  <si>
    <t>This Subgroup consists of Concepts which relate to certain operations or special eventsfor military or security purposes.</t>
  </si>
  <si>
    <t>10.01</t>
  </si>
  <si>
    <t>WeatherPhenomena</t>
  </si>
  <si>
    <t>Weather Phenomena</t>
  </si>
  <si>
    <t>This Subgroup consists of Concepts describing relatively stable weather phenomenas like wind conditions.</t>
  </si>
  <si>
    <t>10.02</t>
  </si>
  <si>
    <t>ClimateConditions</t>
  </si>
  <si>
    <t>Climate Conditions</t>
  </si>
  <si>
    <t>This Subgroup consists of Concepts describing climate conditions like temperature or precipitation.</t>
  </si>
  <si>
    <t>10.03</t>
  </si>
  <si>
    <t>ClimateZonesRegions</t>
  </si>
  <si>
    <t>Climate Zones and/or Regions</t>
  </si>
  <si>
    <t>This Subgroup consists of Concepts describing climate zones and/or regions with special climate conditions.</t>
  </si>
  <si>
    <t>20.01</t>
  </si>
  <si>
    <t>Position</t>
  </si>
  <si>
    <t>This Subgroup consists of Concepts which describe a position of a Concept.</t>
  </si>
  <si>
    <t>This could be an (absolute) coordinate but also a position relative to another Concept or to a locality.</t>
  </si>
  <si>
    <t>20.02</t>
  </si>
  <si>
    <t>MeasurableValues</t>
  </si>
  <si>
    <t>Measurable Values</t>
  </si>
  <si>
    <t>This Subgroup consists of Concepts which describe a Concept in its dimensions, for example its length, width, heights, area etc, its capacity or other measurable quantities like frequency or speed.</t>
  </si>
  <si>
    <t>20.03</t>
  </si>
  <si>
    <t>DatesDurations</t>
  </si>
  <si>
    <t>Dates and/or Durations</t>
  </si>
  <si>
    <t>This Subgroup consists of Concepts which describe a relative or absolute date and/or a duration of time relating to a Concept.</t>
  </si>
  <si>
    <t>20.04</t>
  </si>
  <si>
    <t>Appearance</t>
  </si>
  <si>
    <t>This Subgroup consists of Concepts which describe the appearance of a Concept like the colour, the shape or other visible occurrence but also internal forms like the structure of a Concept.</t>
  </si>
  <si>
    <t>20.05</t>
  </si>
  <si>
    <t>FunctionStatus</t>
  </si>
  <si>
    <t>Function and/or Status</t>
  </si>
  <si>
    <t>This Subgroup consists of Concepts which relate to the function and/or the status of a Concept like schedules of operation or the condition of a Concept.</t>
  </si>
  <si>
    <t>21.01</t>
  </si>
  <si>
    <t>Names</t>
  </si>
  <si>
    <t>This Subgroup consists of Concepts which describe a name of a Concept.</t>
  </si>
  <si>
    <t>21.02</t>
  </si>
  <si>
    <t>Designations</t>
  </si>
  <si>
    <t>This Subgroup consists of Concepts which describe a designation of a Concept, for example a type or a technical designation.</t>
  </si>
  <si>
    <t>22.01</t>
  </si>
  <si>
    <t>Annotation</t>
  </si>
  <si>
    <t>This Subgroup consists of Concepts which are used for the annotation of a Concept.</t>
  </si>
  <si>
    <t>22.02</t>
  </si>
  <si>
    <t>Portrayal</t>
  </si>
  <si>
    <t>This Subgroup consists of Concepts which are used for the portrayal of a Concept.</t>
  </si>
  <si>
    <t>22.03</t>
  </si>
  <si>
    <t>DateCurrency</t>
  </si>
  <si>
    <t>Date and/or Currency</t>
  </si>
  <si>
    <t>This Subgroup consists of Concepts which are used to indicate the age and/or the up-to-dateness of Concepts like the date of extraction.</t>
  </si>
  <si>
    <t>22.04</t>
  </si>
  <si>
    <t>Quality</t>
  </si>
  <si>
    <t>This Subgroup consists of Concepts which are used to describe the quality of Concepts, like the quality of a position.</t>
  </si>
  <si>
    <t>22.05</t>
  </si>
  <si>
    <t>ReferencesSources</t>
  </si>
  <si>
    <t>References and/or Sources</t>
  </si>
  <si>
    <t>This Subgroup consists of Concepts which are used to describe a relation to an external source like other databases or special publications.</t>
  </si>
  <si>
    <t>22.06</t>
  </si>
  <si>
    <t>SystemsClassification</t>
  </si>
  <si>
    <t>Systems of Classification</t>
  </si>
  <si>
    <t>This Subgroup consists of Concepts which are used to indicate a special classification of a Concept.</t>
  </si>
  <si>
    <t>This varies from military classifications such as 'Top Secret' to commercial restrictions such as copyrights.</t>
  </si>
  <si>
    <t>23.01</t>
  </si>
  <si>
    <t>This Subgroup consists of Concepts which are used to model information regarding feature types but would not themselves represent features.</t>
  </si>
  <si>
    <t>For example, pavement characteristics shared by many types of land transportation routes, or data quality characteristics shared by all inland water bodies.</t>
  </si>
  <si>
    <t>23.02</t>
  </si>
  <si>
    <t>This Subgroup consists of Concepts which are used to model information regarding sets of feature instances.</t>
  </si>
  <si>
    <t>For example, a route network, a chart, or a map series.</t>
  </si>
</sst>
</file>

<file path=xl/styles.xml><?xml version="1.0" encoding="utf-8"?>
<styleSheet xmlns="http://schemas.openxmlformats.org/spreadsheetml/2006/main" xmlns:mc="http://schemas.openxmlformats.org/markup-compatibility/2006" xmlns:x14ac="http://schemas.microsoft.com/office/spreadsheetml/2009/9/ac" mc:Ignorable="x14ac">
  <fonts count="58" x14ac:knownFonts="1">
    <font>
      <sz val="10"/>
      <name val="Arial"/>
      <family val="2"/>
    </font>
    <font>
      <sz val="10"/>
      <name val="MS Sans Serif"/>
      <family val="2"/>
    </font>
    <font>
      <b/>
      <sz val="10"/>
      <color indexed="10"/>
      <name val="Arial"/>
      <family val="2"/>
    </font>
    <font>
      <sz val="10"/>
      <name val="Arial"/>
      <family val="2"/>
    </font>
    <font>
      <b/>
      <sz val="10"/>
      <name val="Arial"/>
      <family val="2"/>
    </font>
    <font>
      <sz val="10"/>
      <color indexed="8"/>
      <name val="Arial"/>
      <family val="2"/>
    </font>
    <font>
      <b/>
      <sz val="10"/>
      <color indexed="12"/>
      <name val="Arial"/>
      <family val="2"/>
    </font>
    <font>
      <sz val="10"/>
      <color indexed="10"/>
      <name val="Arial"/>
      <family val="2"/>
    </font>
    <font>
      <sz val="8"/>
      <name val="MS Sans Serif"/>
      <family val="2"/>
    </font>
    <font>
      <b/>
      <sz val="14"/>
      <color indexed="10"/>
      <name val="Arial"/>
      <family val="2"/>
    </font>
    <font>
      <b/>
      <sz val="12"/>
      <color indexed="12"/>
      <name val="Arial"/>
      <family val="2"/>
    </font>
    <font>
      <b/>
      <sz val="18"/>
      <color indexed="10"/>
      <name val="Arial"/>
      <family val="2"/>
    </font>
    <font>
      <i/>
      <sz val="10"/>
      <name val="Arial"/>
      <family val="2"/>
    </font>
    <font>
      <b/>
      <sz val="10"/>
      <color indexed="23"/>
      <name val="Arial"/>
      <family val="2"/>
    </font>
    <font>
      <b/>
      <sz val="10"/>
      <color indexed="48"/>
      <name val="Arial"/>
      <family val="2"/>
    </font>
    <font>
      <sz val="10"/>
      <color indexed="48"/>
      <name val="Arial"/>
      <family val="2"/>
    </font>
    <font>
      <sz val="10"/>
      <color indexed="55"/>
      <name val="Arial"/>
      <family val="2"/>
    </font>
    <font>
      <b/>
      <sz val="10"/>
      <color indexed="17"/>
      <name val="Arial"/>
      <family val="2"/>
    </font>
    <font>
      <u/>
      <sz val="10"/>
      <color indexed="12"/>
      <name val="Arial"/>
      <family val="2"/>
    </font>
    <font>
      <b/>
      <sz val="10"/>
      <color indexed="60"/>
      <name val="Arial"/>
      <family val="2"/>
    </font>
    <font>
      <sz val="10"/>
      <color indexed="60"/>
      <name val="Arial"/>
      <family val="2"/>
    </font>
    <font>
      <sz val="10"/>
      <color indexed="53"/>
      <name val="Arial"/>
      <family val="2"/>
    </font>
    <font>
      <sz val="10"/>
      <name val="Arial"/>
      <family val="2"/>
    </font>
    <font>
      <sz val="10"/>
      <name val="Arial"/>
      <family val="2"/>
    </font>
    <font>
      <b/>
      <sz val="10"/>
      <color indexed="55"/>
      <name val="Arial"/>
      <family val="2"/>
    </font>
    <font>
      <b/>
      <sz val="10"/>
      <color indexed="61"/>
      <name val="Arial"/>
      <family val="2"/>
    </font>
    <font>
      <sz val="10"/>
      <color indexed="17"/>
      <name val="Arial"/>
      <family val="2"/>
    </font>
    <font>
      <b/>
      <sz val="10"/>
      <color indexed="21"/>
      <name val="Arial"/>
      <family val="2"/>
    </font>
    <font>
      <b/>
      <sz val="10"/>
      <color rgb="FF0000FF"/>
      <name val="Arial"/>
      <family val="2"/>
    </font>
    <font>
      <sz val="10"/>
      <color theme="0" tint="-0.249977111117893"/>
      <name val="Arial"/>
      <family val="2"/>
    </font>
    <font>
      <b/>
      <sz val="10"/>
      <color rgb="FF0070C0"/>
      <name val="Arial"/>
      <family val="2"/>
    </font>
    <font>
      <b/>
      <sz val="10"/>
      <color theme="9" tint="-0.499984740745262"/>
      <name val="Arial"/>
      <family val="2"/>
    </font>
    <font>
      <sz val="10"/>
      <color theme="9" tint="-0.499984740745262"/>
      <name val="Arial"/>
      <family val="2"/>
    </font>
    <font>
      <sz val="10"/>
      <color rgb="FF7030A0"/>
      <name val="Arial"/>
      <family val="2"/>
    </font>
    <font>
      <b/>
      <sz val="10"/>
      <color rgb="FF7030A0"/>
      <name val="Arial"/>
      <family val="2"/>
    </font>
    <font>
      <sz val="10"/>
      <name val="MS Sans Serif"/>
      <family val="2"/>
    </font>
    <font>
      <i/>
      <sz val="10"/>
      <color theme="9" tint="-0.499984740745262"/>
      <name val="Arial"/>
      <family val="2"/>
    </font>
    <font>
      <i/>
      <sz val="10"/>
      <color rgb="FF0000FF"/>
      <name val="Arial"/>
      <family val="2"/>
    </font>
    <font>
      <b/>
      <sz val="10"/>
      <color rgb="FF000000"/>
      <name val="Arial"/>
      <family val="2"/>
    </font>
    <font>
      <sz val="10"/>
      <color rgb="FF000000"/>
      <name val="Arial"/>
      <family val="2"/>
    </font>
    <font>
      <b/>
      <sz val="10"/>
      <color theme="0" tint="-0.499984740745262"/>
      <name val="Arial"/>
      <family val="2"/>
    </font>
    <font>
      <sz val="10"/>
      <color theme="1"/>
      <name val="Arial"/>
      <family val="2"/>
    </font>
    <font>
      <sz val="11"/>
      <color theme="1"/>
      <name val="Calibri"/>
      <family val="2"/>
      <scheme val="minor"/>
    </font>
    <font>
      <u/>
      <sz val="10"/>
      <color rgb="FF0000CC"/>
      <name val="Arial"/>
      <family val="2"/>
    </font>
    <font>
      <b/>
      <sz val="10"/>
      <color rgb="FFDCDCDC"/>
      <name val="Arial"/>
      <family val="2"/>
    </font>
    <font>
      <sz val="10"/>
      <color rgb="FFDCDCDC"/>
      <name val="Arial"/>
      <family val="2"/>
    </font>
    <font>
      <sz val="10"/>
      <color rgb="FF00B400"/>
      <name val="Arial"/>
      <family val="2"/>
    </font>
    <font>
      <sz val="10"/>
      <color rgb="FF006400"/>
      <name val="Arial"/>
      <family val="2"/>
    </font>
    <font>
      <b/>
      <sz val="10"/>
      <color rgb="FF006400"/>
      <name val="Arial"/>
      <family val="2"/>
    </font>
    <font>
      <b/>
      <sz val="10"/>
      <color rgb="FF5064FA"/>
      <name val="Arial"/>
      <family val="2"/>
    </font>
    <font>
      <sz val="10"/>
      <color rgb="FFA05028"/>
      <name val="Arial"/>
      <family val="2"/>
    </font>
    <font>
      <b/>
      <i/>
      <sz val="10"/>
      <color indexed="12"/>
      <name val="Arial"/>
      <family val="2"/>
    </font>
    <font>
      <b/>
      <sz val="10"/>
      <color rgb="FF0000DC"/>
      <name val="Arial"/>
      <family val="2"/>
    </font>
    <font>
      <sz val="10"/>
      <color rgb="FF0000DC"/>
      <name val="Arial"/>
      <family val="2"/>
    </font>
    <font>
      <sz val="10"/>
      <color rgb="FF8C8C8C"/>
      <name val="Arial"/>
      <family val="2"/>
    </font>
    <font>
      <b/>
      <u/>
      <sz val="10"/>
      <color rgb="FF0000B4"/>
      <name val="Arial"/>
      <family val="2"/>
    </font>
    <font>
      <b/>
      <sz val="10"/>
      <color rgb="FF0000B4"/>
      <name val="Arial"/>
      <family val="2"/>
    </font>
    <font>
      <u/>
      <sz val="10"/>
      <color rgb="FF007800"/>
      <name val="Arial"/>
      <family val="2"/>
    </font>
  </fonts>
  <fills count="1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3"/>
        <bgColor indexed="64"/>
      </patternFill>
    </fill>
    <fill>
      <patternFill patternType="solid">
        <fgColor indexed="47"/>
        <bgColor indexed="0"/>
      </patternFill>
    </fill>
    <fill>
      <patternFill patternType="solid">
        <fgColor indexed="4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rgb="FFDCDCDC"/>
        <bgColor indexed="64"/>
      </patternFill>
    </fill>
    <fill>
      <patternFill patternType="solid">
        <fgColor rgb="FFFAFABE"/>
        <bgColor indexed="64"/>
      </patternFill>
    </fill>
    <fill>
      <patternFill patternType="solid">
        <fgColor rgb="FFC8DCDC"/>
        <bgColor indexed="64"/>
      </patternFill>
    </fill>
  </fills>
  <borders count="40">
    <border>
      <left/>
      <right/>
      <top/>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right/>
      <top style="hair">
        <color indexed="64"/>
      </top>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indexed="64"/>
      </left>
      <right/>
      <top/>
      <bottom style="thin">
        <color theme="0" tint="-0.14996795556505021"/>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indexed="64"/>
      </right>
      <top/>
      <bottom style="thin">
        <color theme="0" tint="-0.14996795556505021"/>
      </bottom>
      <diagonal/>
    </border>
    <border>
      <left/>
      <right/>
      <top/>
      <bottom style="thin">
        <color auto="1"/>
      </bottom>
      <diagonal/>
    </border>
    <border>
      <left/>
      <right style="hair">
        <color indexed="64"/>
      </right>
      <top style="hair">
        <color indexed="64"/>
      </top>
      <bottom style="thin">
        <color auto="1"/>
      </bottom>
      <diagonal/>
    </border>
    <border>
      <left style="hair">
        <color indexed="64"/>
      </left>
      <right/>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tint="-0.14996795556505021"/>
      </right>
      <top style="thin">
        <color theme="0" tint="-0.14996795556505021"/>
      </top>
      <bottom style="thin">
        <color auto="1"/>
      </bottom>
      <diagonal/>
    </border>
    <border>
      <left style="thin">
        <color theme="0" tint="-0.14996795556505021"/>
      </left>
      <right style="thin">
        <color theme="0" tint="-0.14996795556505021"/>
      </right>
      <top style="thin">
        <color theme="0" tint="-0.14996795556505021"/>
      </top>
      <bottom style="thin">
        <color auto="1"/>
      </bottom>
      <diagonal/>
    </border>
    <border>
      <left style="thin">
        <color theme="0" tint="-0.14996795556505021"/>
      </left>
      <right/>
      <top style="thin">
        <color theme="0" tint="-0.14996795556505021"/>
      </top>
      <bottom style="thin">
        <color auto="1"/>
      </bottom>
      <diagonal/>
    </border>
    <border>
      <left style="thin">
        <color indexed="64"/>
      </left>
      <right/>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18">
    <xf numFmtId="0" fontId="0" fillId="0" borderId="0">
      <alignment vertical="top"/>
    </xf>
    <xf numFmtId="0" fontId="18" fillId="0" borderId="0" applyNumberFormat="0" applyFill="0" applyBorder="0" applyAlignment="0" applyProtection="0"/>
    <xf numFmtId="0" fontId="1" fillId="0" borderId="0"/>
    <xf numFmtId="0" fontId="23" fillId="0" borderId="0"/>
    <xf numFmtId="0" fontId="1" fillId="0" borderId="0"/>
    <xf numFmtId="0" fontId="1" fillId="0" borderId="0"/>
    <xf numFmtId="0" fontId="5" fillId="0" borderId="0"/>
    <xf numFmtId="0" fontId="23" fillId="0" borderId="0"/>
    <xf numFmtId="0" fontId="3" fillId="0" borderId="0">
      <alignment vertical="top"/>
    </xf>
    <xf numFmtId="0" fontId="35" fillId="0" borderId="0"/>
    <xf numFmtId="0" fontId="23" fillId="0" borderId="0"/>
    <xf numFmtId="0" fontId="23" fillId="0" borderId="0"/>
    <xf numFmtId="0" fontId="3" fillId="0" borderId="0"/>
    <xf numFmtId="0" fontId="35" fillId="0" borderId="0"/>
    <xf numFmtId="0" fontId="3" fillId="0" borderId="0"/>
    <xf numFmtId="9" fontId="23" fillId="0" borderId="0" applyFont="0" applyFill="0" applyBorder="0" applyAlignment="0" applyProtection="0"/>
    <xf numFmtId="0" fontId="41" fillId="0" borderId="0"/>
    <xf numFmtId="0" fontId="42" fillId="0" borderId="0"/>
  </cellStyleXfs>
  <cellXfs count="421">
    <xf numFmtId="0" fontId="0" fillId="0" borderId="0" xfId="0">
      <alignment vertical="top"/>
    </xf>
    <xf numFmtId="0" fontId="3" fillId="0" borderId="0" xfId="0" applyFont="1" applyBorder="1" applyAlignment="1">
      <alignment vertical="top" wrapText="1"/>
    </xf>
    <xf numFmtId="0" fontId="3" fillId="0" borderId="0" xfId="0" applyFont="1" applyAlignment="1">
      <alignment vertical="top" wrapText="1"/>
    </xf>
    <xf numFmtId="0" fontId="3" fillId="0" borderId="0" xfId="0" applyFont="1">
      <alignment vertical="top"/>
    </xf>
    <xf numFmtId="0" fontId="4" fillId="0" borderId="0" xfId="0" applyFont="1" applyAlignment="1">
      <alignment vertical="top" wrapText="1"/>
    </xf>
    <xf numFmtId="0" fontId="6" fillId="0" borderId="0" xfId="0" applyFont="1" applyAlignment="1">
      <alignment vertical="top" wrapText="1"/>
    </xf>
    <xf numFmtId="0" fontId="7" fillId="2" borderId="0" xfId="0" applyFont="1" applyFill="1" applyAlignment="1">
      <alignment horizontal="right" vertical="top" wrapText="1"/>
    </xf>
    <xf numFmtId="0" fontId="3" fillId="0" borderId="1" xfId="0" applyFont="1" applyBorder="1" applyAlignment="1">
      <alignment vertical="top" wrapText="1"/>
    </xf>
    <xf numFmtId="0" fontId="10" fillId="2" borderId="1" xfId="0" applyFont="1" applyFill="1" applyBorder="1" applyAlignment="1">
      <alignment vertical="top" wrapText="1"/>
    </xf>
    <xf numFmtId="0" fontId="2" fillId="0" borderId="0" xfId="0" applyFont="1" applyBorder="1" applyAlignment="1">
      <alignment horizontal="center" vertical="center" wrapText="1"/>
    </xf>
    <xf numFmtId="0" fontId="6" fillId="3" borderId="2" xfId="0" applyFont="1" applyFill="1" applyBorder="1" applyAlignment="1">
      <alignment vertical="center" wrapText="1"/>
    </xf>
    <xf numFmtId="0" fontId="15" fillId="0" borderId="0" xfId="0" applyFont="1" applyAlignment="1">
      <alignment vertical="top" wrapText="1"/>
    </xf>
    <xf numFmtId="0" fontId="3" fillId="0" borderId="0" xfId="5" applyFont="1" applyBorder="1" applyAlignment="1">
      <alignment vertical="top"/>
    </xf>
    <xf numFmtId="0" fontId="3" fillId="0" borderId="0" xfId="5" applyFont="1" applyBorder="1" applyAlignment="1">
      <alignment vertical="top" wrapText="1"/>
    </xf>
    <xf numFmtId="0" fontId="4" fillId="0" borderId="0" xfId="5" applyFont="1" applyAlignment="1">
      <alignment vertical="top" wrapText="1"/>
    </xf>
    <xf numFmtId="0" fontId="3" fillId="0" borderId="0" xfId="5" applyFont="1" applyAlignment="1">
      <alignment vertical="top" wrapText="1"/>
    </xf>
    <xf numFmtId="0" fontId="3" fillId="0" borderId="0" xfId="5" applyFont="1" applyAlignment="1">
      <alignment vertical="top"/>
    </xf>
    <xf numFmtId="0" fontId="3" fillId="0" borderId="0" xfId="5" applyFont="1" applyAlignment="1">
      <alignment horizontal="center" vertical="top" wrapText="1"/>
    </xf>
    <xf numFmtId="0" fontId="16" fillId="0" borderId="0" xfId="5" applyFont="1" applyAlignment="1">
      <alignment vertical="top" wrapText="1"/>
    </xf>
    <xf numFmtId="0" fontId="3" fillId="0" borderId="0" xfId="5" applyFont="1" applyAlignment="1">
      <alignment horizontal="left" vertical="top" wrapText="1"/>
    </xf>
    <xf numFmtId="0" fontId="16" fillId="0" borderId="0" xfId="5" applyFont="1" applyAlignment="1">
      <alignment horizontal="right" vertical="top" wrapText="1"/>
    </xf>
    <xf numFmtId="49" fontId="3" fillId="0" borderId="0" xfId="5" applyNumberFormat="1" applyFont="1" applyAlignment="1">
      <alignment vertical="top" wrapText="1"/>
    </xf>
    <xf numFmtId="0" fontId="6" fillId="0" borderId="0" xfId="5" applyFont="1" applyAlignment="1">
      <alignment vertical="top" wrapText="1"/>
    </xf>
    <xf numFmtId="0" fontId="14" fillId="0" borderId="0" xfId="0" applyFont="1" applyAlignment="1">
      <alignment vertical="top" wrapText="1"/>
    </xf>
    <xf numFmtId="0" fontId="22" fillId="0" borderId="0" xfId="5" applyFont="1" applyAlignment="1">
      <alignment horizontal="center" vertical="top" wrapText="1"/>
    </xf>
    <xf numFmtId="0" fontId="3" fillId="0" borderId="0" xfId="0" applyFont="1" applyBorder="1" applyAlignment="1">
      <alignment vertical="top"/>
    </xf>
    <xf numFmtId="0" fontId="3" fillId="0" borderId="5" xfId="0" applyFont="1" applyBorder="1" applyAlignment="1">
      <alignment vertical="top" wrapText="1"/>
    </xf>
    <xf numFmtId="0" fontId="4" fillId="0" borderId="0" xfId="4" applyFont="1" applyAlignment="1">
      <alignment vertical="top" wrapText="1"/>
    </xf>
    <xf numFmtId="0" fontId="3" fillId="0" borderId="0" xfId="4" applyFont="1" applyAlignment="1">
      <alignment vertical="top" wrapText="1"/>
    </xf>
    <xf numFmtId="0" fontId="6" fillId="3" borderId="2" xfId="4" applyFont="1" applyFill="1" applyBorder="1" applyAlignment="1">
      <alignment vertical="center" wrapText="1"/>
    </xf>
    <xf numFmtId="0" fontId="3" fillId="0" borderId="0" xfId="4" applyNumberFormat="1" applyFont="1" applyAlignment="1">
      <alignment vertical="top" wrapText="1"/>
    </xf>
    <xf numFmtId="0" fontId="3" fillId="0" borderId="1" xfId="4" applyFont="1" applyBorder="1" applyAlignment="1">
      <alignment vertical="top" wrapText="1"/>
    </xf>
    <xf numFmtId="0" fontId="16" fillId="0" borderId="7" xfId="5" applyFont="1" applyBorder="1" applyAlignment="1">
      <alignment vertical="top"/>
    </xf>
    <xf numFmtId="49" fontId="27" fillId="0" borderId="0" xfId="5" applyNumberFormat="1" applyFont="1" applyBorder="1" applyAlignment="1">
      <alignment horizontal="center" vertical="top" wrapText="1"/>
    </xf>
    <xf numFmtId="0" fontId="3" fillId="0" borderId="7" xfId="5" applyFont="1" applyBorder="1" applyAlignment="1">
      <alignment vertical="top" wrapText="1"/>
    </xf>
    <xf numFmtId="0" fontId="3" fillId="0" borderId="7" xfId="5" applyFont="1" applyBorder="1" applyAlignment="1">
      <alignment vertical="top"/>
    </xf>
    <xf numFmtId="0" fontId="3" fillId="0" borderId="0" xfId="0" applyFont="1" applyAlignment="1">
      <alignment vertical="top"/>
    </xf>
    <xf numFmtId="0" fontId="29" fillId="0" borderId="0" xfId="5" applyFont="1" applyAlignment="1">
      <alignment vertical="top" wrapText="1"/>
    </xf>
    <xf numFmtId="0" fontId="6" fillId="0" borderId="7" xfId="7" applyFont="1" applyFill="1" applyBorder="1" applyAlignment="1">
      <alignment horizontal="center" vertical="top" wrapText="1"/>
    </xf>
    <xf numFmtId="0" fontId="29" fillId="0" borderId="0" xfId="0" applyFont="1" applyAlignment="1">
      <alignment vertical="top" wrapText="1"/>
    </xf>
    <xf numFmtId="0" fontId="6" fillId="4" borderId="0" xfId="5" applyNumberFormat="1" applyFont="1" applyFill="1" applyBorder="1" applyAlignment="1"/>
    <xf numFmtId="0" fontId="6" fillId="4" borderId="0" xfId="5" applyNumberFormat="1" applyFont="1" applyFill="1" applyBorder="1" applyAlignment="1"/>
    <xf numFmtId="0" fontId="2" fillId="6" borderId="0" xfId="6" applyFont="1" applyFill="1" applyBorder="1" applyAlignment="1"/>
    <xf numFmtId="0" fontId="4" fillId="4" borderId="7" xfId="5" applyNumberFormat="1" applyFont="1" applyFill="1" applyBorder="1" applyAlignment="1">
      <alignment horizontal="center" wrapText="1"/>
    </xf>
    <xf numFmtId="49" fontId="4" fillId="4" borderId="0" xfId="5" applyNumberFormat="1" applyFont="1" applyFill="1" applyBorder="1" applyAlignment="1">
      <alignment horizontal="center"/>
    </xf>
    <xf numFmtId="0" fontId="6" fillId="4" borderId="7" xfId="5" applyNumberFormat="1" applyFont="1" applyFill="1" applyBorder="1" applyAlignment="1"/>
    <xf numFmtId="0" fontId="3" fillId="0" borderId="0" xfId="5" applyFont="1" applyBorder="1" applyAlignment="1"/>
    <xf numFmtId="0" fontId="14" fillId="3" borderId="0" xfId="5" applyNumberFormat="1" applyFont="1" applyFill="1" applyBorder="1" applyAlignment="1">
      <alignment wrapText="1"/>
    </xf>
    <xf numFmtId="0" fontId="6" fillId="3" borderId="0" xfId="5" applyNumberFormat="1" applyFont="1" applyFill="1" applyBorder="1" applyAlignment="1"/>
    <xf numFmtId="0" fontId="14" fillId="4" borderId="0" xfId="5" applyNumberFormat="1" applyFont="1" applyFill="1" applyBorder="1" applyAlignment="1">
      <alignment wrapText="1"/>
    </xf>
    <xf numFmtId="0" fontId="2" fillId="4" borderId="0" xfId="5" applyNumberFormat="1" applyFont="1" applyFill="1" applyBorder="1" applyAlignment="1"/>
    <xf numFmtId="49" fontId="2" fillId="6" borderId="0" xfId="6" applyNumberFormat="1" applyFont="1" applyFill="1" applyBorder="1" applyAlignment="1"/>
    <xf numFmtId="0" fontId="3" fillId="0" borderId="0" xfId="0" applyFont="1" applyBorder="1" applyAlignment="1"/>
    <xf numFmtId="0" fontId="6" fillId="4" borderId="0" xfId="0" applyNumberFormat="1" applyFont="1" applyFill="1" applyBorder="1" applyAlignment="1"/>
    <xf numFmtId="0" fontId="6" fillId="4" borderId="0" xfId="5" applyNumberFormat="1" applyFont="1" applyFill="1" applyBorder="1" applyAlignment="1"/>
    <xf numFmtId="0" fontId="6" fillId="4" borderId="0" xfId="0" applyNumberFormat="1" applyFont="1" applyFill="1" applyBorder="1" applyAlignment="1"/>
    <xf numFmtId="0" fontId="28" fillId="5" borderId="0" xfId="5" applyFont="1" applyFill="1" applyAlignment="1">
      <alignment horizontal="center" textRotation="90"/>
    </xf>
    <xf numFmtId="0" fontId="2" fillId="4" borderId="0" xfId="5" applyNumberFormat="1" applyFont="1" applyFill="1" applyBorder="1" applyAlignment="1">
      <alignment horizontal="center" textRotation="90"/>
    </xf>
    <xf numFmtId="0" fontId="28" fillId="5" borderId="0" xfId="5" applyNumberFormat="1" applyFont="1" applyFill="1" applyBorder="1" applyAlignment="1">
      <alignment horizontal="center" textRotation="90"/>
    </xf>
    <xf numFmtId="0" fontId="19" fillId="6" borderId="0" xfId="6" applyFont="1" applyFill="1" applyBorder="1" applyAlignment="1">
      <alignment horizontal="center" wrapText="1"/>
    </xf>
    <xf numFmtId="0" fontId="2" fillId="6" borderId="0" xfId="6" applyFont="1" applyFill="1" applyBorder="1" applyAlignment="1">
      <alignment wrapText="1"/>
    </xf>
    <xf numFmtId="0" fontId="15" fillId="8" borderId="0" xfId="0" applyFont="1" applyFill="1" applyAlignment="1">
      <alignment vertical="top" wrapText="1"/>
    </xf>
    <xf numFmtId="0" fontId="6" fillId="8" borderId="0" xfId="5" applyFont="1" applyFill="1" applyAlignment="1">
      <alignment vertical="top" wrapText="1"/>
    </xf>
    <xf numFmtId="0" fontId="3" fillId="8" borderId="0" xfId="5" applyFont="1" applyFill="1" applyAlignment="1">
      <alignment vertical="top" wrapText="1"/>
    </xf>
    <xf numFmtId="0" fontId="29" fillId="8" borderId="0" xfId="5" applyFont="1" applyFill="1" applyAlignment="1">
      <alignment vertical="top" wrapText="1"/>
    </xf>
    <xf numFmtId="0" fontId="3" fillId="8" borderId="0" xfId="0" applyFont="1" applyFill="1" applyBorder="1" applyAlignment="1">
      <alignment vertical="top"/>
    </xf>
    <xf numFmtId="0" fontId="15" fillId="8" borderId="0" xfId="0" applyFont="1" applyFill="1" applyBorder="1" applyAlignment="1">
      <alignment vertical="top" wrapText="1"/>
    </xf>
    <xf numFmtId="0" fontId="3" fillId="8" borderId="9" xfId="0" applyFont="1" applyFill="1" applyBorder="1" applyAlignment="1">
      <alignment vertical="top" wrapText="1"/>
    </xf>
    <xf numFmtId="0" fontId="3" fillId="0" borderId="4" xfId="0" applyFont="1" applyBorder="1" applyAlignment="1">
      <alignment vertical="top" wrapText="1"/>
    </xf>
    <xf numFmtId="0" fontId="17" fillId="5" borderId="0" xfId="0" applyNumberFormat="1" applyFont="1" applyFill="1" applyBorder="1" applyAlignment="1">
      <alignment wrapText="1"/>
    </xf>
    <xf numFmtId="0" fontId="3" fillId="9" borderId="0" xfId="0" applyFont="1" applyFill="1" applyBorder="1" applyAlignment="1"/>
    <xf numFmtId="0" fontId="3" fillId="8" borderId="0" xfId="5" applyFont="1" applyFill="1" applyAlignment="1">
      <alignment horizontal="center" vertical="top" wrapText="1"/>
    </xf>
    <xf numFmtId="0" fontId="22" fillId="8" borderId="0" xfId="5" applyFont="1" applyFill="1" applyAlignment="1">
      <alignment horizontal="center" vertical="top" wrapText="1"/>
    </xf>
    <xf numFmtId="0" fontId="3" fillId="8" borderId="0" xfId="0" applyFont="1" applyFill="1" applyAlignment="1">
      <alignment vertical="top"/>
    </xf>
    <xf numFmtId="0" fontId="3" fillId="8" borderId="0" xfId="0" applyFont="1" applyFill="1" applyBorder="1" applyAlignment="1">
      <alignment vertical="top" wrapText="1"/>
    </xf>
    <xf numFmtId="0" fontId="3" fillId="9" borderId="0" xfId="0" applyFont="1" applyFill="1" applyAlignment="1"/>
    <xf numFmtId="0" fontId="3" fillId="0" borderId="0" xfId="0" applyFont="1" applyAlignment="1">
      <alignment vertical="top" wrapText="1"/>
    </xf>
    <xf numFmtId="0" fontId="0" fillId="0" borderId="0" xfId="0" applyAlignment="1">
      <alignment vertical="top" wrapText="1"/>
    </xf>
    <xf numFmtId="0" fontId="17" fillId="7" borderId="12" xfId="5" applyNumberFormat="1" applyFont="1" applyFill="1" applyBorder="1" applyAlignment="1">
      <alignment horizontal="center" textRotation="90"/>
    </xf>
    <xf numFmtId="0" fontId="17" fillId="7" borderId="13" xfId="5" applyNumberFormat="1" applyFont="1" applyFill="1" applyBorder="1" applyAlignment="1">
      <alignment horizontal="center" textRotation="90"/>
    </xf>
    <xf numFmtId="0" fontId="17" fillId="2" borderId="13" xfId="5" applyNumberFormat="1" applyFont="1" applyFill="1" applyBorder="1" applyAlignment="1">
      <alignment horizontal="center" textRotation="90"/>
    </xf>
    <xf numFmtId="0" fontId="17" fillId="0" borderId="12" xfId="7" applyFont="1" applyBorder="1" applyAlignment="1">
      <alignment horizontal="center" vertical="top" wrapText="1"/>
    </xf>
    <xf numFmtId="0" fontId="17" fillId="0" borderId="13" xfId="7" applyFont="1" applyBorder="1" applyAlignment="1">
      <alignment horizontal="center" vertical="top" wrapText="1"/>
    </xf>
    <xf numFmtId="0" fontId="17" fillId="2" borderId="13" xfId="7" applyFont="1" applyFill="1" applyBorder="1" applyAlignment="1">
      <alignment horizontal="center" vertical="top" wrapText="1"/>
    </xf>
    <xf numFmtId="0" fontId="17" fillId="7" borderId="14" xfId="5" applyNumberFormat="1" applyFont="1" applyFill="1" applyBorder="1" applyAlignment="1">
      <alignment horizontal="center" textRotation="90"/>
    </xf>
    <xf numFmtId="0" fontId="17" fillId="0" borderId="14" xfId="7" applyFont="1" applyBorder="1" applyAlignment="1">
      <alignment horizontal="center" vertical="top" wrapText="1"/>
    </xf>
    <xf numFmtId="0" fontId="17" fillId="2" borderId="12" xfId="5" applyNumberFormat="1" applyFont="1" applyFill="1" applyBorder="1" applyAlignment="1">
      <alignment horizontal="center" textRotation="90"/>
    </xf>
    <xf numFmtId="0" fontId="17" fillId="2" borderId="12" xfId="7" applyFont="1" applyFill="1" applyBorder="1" applyAlignment="1">
      <alignment horizontal="center" vertical="top" wrapText="1"/>
    </xf>
    <xf numFmtId="0" fontId="17" fillId="2" borderId="14" xfId="5" applyNumberFormat="1" applyFont="1" applyFill="1" applyBorder="1" applyAlignment="1">
      <alignment horizontal="center" textRotation="90"/>
    </xf>
    <xf numFmtId="0" fontId="17" fillId="2" borderId="14" xfId="7" applyFont="1" applyFill="1" applyBorder="1" applyAlignment="1">
      <alignment horizontal="center" vertical="top" wrapText="1"/>
    </xf>
    <xf numFmtId="0" fontId="0" fillId="0" borderId="0" xfId="4" applyFont="1" applyAlignment="1">
      <alignment vertical="top" wrapText="1"/>
    </xf>
    <xf numFmtId="0" fontId="0" fillId="0" borderId="0" xfId="0" applyBorder="1" applyAlignment="1">
      <alignment vertical="top" wrapText="1"/>
    </xf>
    <xf numFmtId="0" fontId="10" fillId="0" borderId="3" xfId="1" applyFont="1" applyBorder="1" applyAlignment="1">
      <alignment horizontal="center" vertical="center" wrapText="1"/>
    </xf>
    <xf numFmtId="0" fontId="14" fillId="4" borderId="0" xfId="0" applyNumberFormat="1" applyFont="1" applyFill="1" applyBorder="1" applyAlignment="1">
      <alignment wrapText="1"/>
    </xf>
    <xf numFmtId="0" fontId="30" fillId="0" borderId="0" xfId="4"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6" fillId="4" borderId="8" xfId="5" applyNumberFormat="1" applyFont="1" applyFill="1" applyBorder="1" applyAlignment="1"/>
    <xf numFmtId="0" fontId="6" fillId="3" borderId="0" xfId="2" applyNumberFormat="1" applyFont="1" applyFill="1" applyBorder="1" applyAlignment="1">
      <alignment wrapText="1"/>
    </xf>
    <xf numFmtId="49" fontId="2" fillId="6" borderId="8" xfId="6" applyNumberFormat="1" applyFont="1" applyFill="1" applyBorder="1" applyAlignment="1"/>
    <xf numFmtId="0" fontId="6" fillId="4" borderId="8" xfId="0" applyNumberFormat="1" applyFont="1" applyFill="1" applyBorder="1" applyAlignment="1"/>
    <xf numFmtId="0" fontId="28" fillId="5" borderId="0" xfId="0" applyFont="1" applyFill="1" applyBorder="1" applyAlignment="1">
      <alignment wrapText="1"/>
    </xf>
    <xf numFmtId="0" fontId="28" fillId="5" borderId="7" xfId="5" applyFont="1" applyFill="1" applyBorder="1" applyAlignment="1">
      <alignment wrapText="1"/>
    </xf>
    <xf numFmtId="0" fontId="33" fillId="8" borderId="0" xfId="5" applyFont="1" applyFill="1" applyBorder="1" applyAlignment="1">
      <alignment vertical="top"/>
    </xf>
    <xf numFmtId="0" fontId="34" fillId="10" borderId="0" xfId="2" applyNumberFormat="1" applyFont="1" applyFill="1" applyBorder="1" applyAlignment="1">
      <alignment wrapText="1"/>
    </xf>
    <xf numFmtId="0" fontId="34" fillId="0" borderId="0" xfId="5" applyFont="1" applyBorder="1" applyAlignment="1">
      <alignment horizontal="left" vertical="top" wrapText="1"/>
    </xf>
    <xf numFmtId="0" fontId="6" fillId="11" borderId="0" xfId="0" applyFont="1" applyFill="1" applyAlignment="1"/>
    <xf numFmtId="0" fontId="3" fillId="0" borderId="0" xfId="0" applyFont="1" applyAlignment="1">
      <alignment vertical="top" wrapText="1"/>
    </xf>
    <xf numFmtId="0" fontId="0" fillId="0" borderId="0" xfId="0" applyAlignment="1">
      <alignment vertical="top" wrapText="1"/>
    </xf>
    <xf numFmtId="0" fontId="6" fillId="11" borderId="0" xfId="0" applyNumberFormat="1" applyFont="1" applyFill="1" applyBorder="1" applyAlignment="1"/>
    <xf numFmtId="0" fontId="3" fillId="0" borderId="0" xfId="0" applyFont="1" applyAlignment="1">
      <alignment vertical="top" wrapText="1"/>
    </xf>
    <xf numFmtId="0" fontId="0" fillId="0" borderId="0" xfId="0" applyAlignment="1">
      <alignment vertical="top" wrapText="1"/>
    </xf>
    <xf numFmtId="0" fontId="3" fillId="0" borderId="0" xfId="0" applyFont="1" applyAlignment="1">
      <alignment vertical="top" wrapText="1"/>
    </xf>
    <xf numFmtId="0" fontId="3" fillId="8" borderId="0" xfId="5" applyFont="1" applyFill="1" applyBorder="1" applyAlignment="1">
      <alignment vertical="top" wrapText="1"/>
    </xf>
    <xf numFmtId="0" fontId="6" fillId="3" borderId="0" xfId="0" applyNumberFormat="1" applyFont="1" applyFill="1" applyBorder="1" applyAlignment="1">
      <alignment wrapText="1"/>
    </xf>
    <xf numFmtId="0" fontId="0" fillId="0" borderId="0" xfId="0" applyAlignment="1">
      <alignment vertical="top" wrapText="1"/>
    </xf>
    <xf numFmtId="0" fontId="3" fillId="0" borderId="0" xfId="0" applyFont="1" applyAlignment="1">
      <alignment vertical="top" wrapText="1"/>
    </xf>
    <xf numFmtId="0" fontId="12" fillId="8" borderId="0" xfId="5" applyFont="1" applyFill="1" applyAlignment="1">
      <alignment horizontal="center" vertical="top" wrapText="1"/>
    </xf>
    <xf numFmtId="0" fontId="28" fillId="8" borderId="0" xfId="5" applyFont="1" applyFill="1" applyAlignment="1">
      <alignment horizontal="center" vertical="top" wrapText="1"/>
    </xf>
    <xf numFmtId="0" fontId="2" fillId="6" borderId="0" xfId="6" applyFont="1" applyFill="1" applyBorder="1" applyAlignment="1">
      <alignment horizontal="center" wrapText="1"/>
    </xf>
    <xf numFmtId="0" fontId="12" fillId="0" borderId="0" xfId="5" applyFont="1" applyAlignment="1">
      <alignment horizontal="center" vertical="top" wrapText="1"/>
    </xf>
    <xf numFmtId="0" fontId="28" fillId="0" borderId="0" xfId="5" applyFont="1" applyAlignment="1">
      <alignment horizontal="center" vertical="top" wrapText="1"/>
    </xf>
    <xf numFmtId="0" fontId="3" fillId="0" borderId="0" xfId="0" applyFont="1" applyAlignment="1">
      <alignment vertical="top" wrapText="1"/>
    </xf>
    <xf numFmtId="0" fontId="0" fillId="0" borderId="0" xfId="9" applyFont="1" applyAlignment="1">
      <alignment vertical="top" wrapText="1"/>
    </xf>
    <xf numFmtId="0" fontId="3" fillId="0" borderId="0" xfId="4" applyFont="1" applyAlignment="1">
      <alignment vertical="top" wrapText="1"/>
    </xf>
    <xf numFmtId="0" fontId="4" fillId="0" borderId="0" xfId="13" applyFont="1" applyAlignment="1">
      <alignment vertical="top" wrapText="1"/>
    </xf>
    <xf numFmtId="0" fontId="0" fillId="0" borderId="0" xfId="0" applyAlignment="1"/>
    <xf numFmtId="0" fontId="0" fillId="0" borderId="8" xfId="0" applyBorder="1" applyAlignment="1"/>
    <xf numFmtId="0" fontId="28" fillId="5" borderId="0" xfId="5" applyFont="1" applyFill="1" applyAlignment="1">
      <alignment horizontal="center" wrapText="1"/>
    </xf>
    <xf numFmtId="0" fontId="3" fillId="0" borderId="0" xfId="0" applyFont="1" applyAlignment="1">
      <alignment vertical="top" wrapText="1"/>
    </xf>
    <xf numFmtId="0" fontId="0" fillId="0" borderId="0" xfId="0" applyAlignment="1">
      <alignment vertical="top" wrapText="1"/>
    </xf>
    <xf numFmtId="0" fontId="31" fillId="6" borderId="0" xfId="6" applyFont="1" applyFill="1" applyBorder="1" applyAlignment="1">
      <alignment horizontal="center" wrapText="1"/>
    </xf>
    <xf numFmtId="0" fontId="3" fillId="0" borderId="0" xfId="0" applyFont="1" applyAlignment="1">
      <alignment vertical="top" wrapText="1"/>
    </xf>
    <xf numFmtId="0" fontId="6" fillId="3" borderId="2" xfId="0" applyFont="1" applyFill="1" applyBorder="1" applyAlignment="1">
      <alignment vertical="center" wrapText="1"/>
    </xf>
    <xf numFmtId="0" fontId="3" fillId="0" borderId="0" xfId="4" applyFont="1" applyAlignment="1">
      <alignment vertical="top" wrapText="1"/>
    </xf>
    <xf numFmtId="0" fontId="6" fillId="3" borderId="2" xfId="4" applyFont="1" applyFill="1" applyBorder="1" applyAlignment="1">
      <alignment vertical="center" wrapText="1"/>
    </xf>
    <xf numFmtId="0" fontId="3" fillId="0" borderId="1" xfId="4" applyFont="1" applyBorder="1" applyAlignment="1">
      <alignment vertical="top" wrapText="1"/>
    </xf>
    <xf numFmtId="0" fontId="6" fillId="3" borderId="2" xfId="4" applyNumberFormat="1" applyFont="1" applyFill="1" applyBorder="1" applyAlignment="1">
      <alignment vertical="center" wrapText="1"/>
    </xf>
    <xf numFmtId="0" fontId="0" fillId="0" borderId="0" xfId="0">
      <alignment vertical="top"/>
    </xf>
    <xf numFmtId="0" fontId="3" fillId="0" borderId="0" xfId="0" applyFont="1" applyAlignment="1">
      <alignment vertical="top" wrapText="1"/>
    </xf>
    <xf numFmtId="0" fontId="3" fillId="0" borderId="0" xfId="0" applyFont="1">
      <alignment vertical="top"/>
    </xf>
    <xf numFmtId="0" fontId="4" fillId="0" borderId="0" xfId="0" applyFont="1" applyAlignment="1">
      <alignment vertical="top" wrapText="1"/>
    </xf>
    <xf numFmtId="0" fontId="4" fillId="0" borderId="0" xfId="4" applyFont="1" applyAlignment="1">
      <alignment vertical="top" wrapText="1"/>
    </xf>
    <xf numFmtId="0" fontId="3" fillId="0" borderId="0" xfId="4" applyFont="1" applyAlignment="1">
      <alignment vertical="top" wrapText="1"/>
    </xf>
    <xf numFmtId="0" fontId="0" fillId="0" borderId="0" xfId="0" applyAlignment="1">
      <alignment vertical="top" wrapText="1"/>
    </xf>
    <xf numFmtId="0" fontId="0" fillId="0" borderId="0" xfId="4"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0" fillId="0" borderId="0" xfId="0">
      <alignment vertical="top"/>
    </xf>
    <xf numFmtId="0" fontId="3" fillId="0" borderId="0" xfId="0" applyFont="1" applyAlignment="1">
      <alignment vertical="top" wrapText="1"/>
    </xf>
    <xf numFmtId="0" fontId="3" fillId="0" borderId="0" xfId="0" applyFont="1">
      <alignment vertical="top"/>
    </xf>
    <xf numFmtId="0" fontId="4" fillId="0" borderId="0" xfId="0" applyFont="1" applyAlignment="1">
      <alignment vertical="top" wrapText="1"/>
    </xf>
    <xf numFmtId="0" fontId="4" fillId="0" borderId="0" xfId="4" applyFont="1" applyAlignment="1">
      <alignment vertical="top" wrapText="1"/>
    </xf>
    <xf numFmtId="0" fontId="3" fillId="0" borderId="0" xfId="4" applyFont="1" applyAlignment="1">
      <alignment vertical="top" wrapText="1"/>
    </xf>
    <xf numFmtId="0" fontId="38" fillId="0" borderId="0" xfId="0" applyFont="1" applyAlignment="1">
      <alignment vertical="top" wrapText="1"/>
    </xf>
    <xf numFmtId="0" fontId="4" fillId="0" borderId="0" xfId="0" applyFont="1" applyAlignment="1">
      <alignment vertical="top" wrapText="1"/>
    </xf>
    <xf numFmtId="0" fontId="4" fillId="0" borderId="0" xfId="4" applyFont="1" applyAlignment="1">
      <alignment vertical="top" wrapText="1"/>
    </xf>
    <xf numFmtId="0" fontId="14" fillId="3" borderId="0" xfId="5" applyNumberFormat="1" applyFont="1" applyFill="1" applyBorder="1" applyAlignment="1">
      <alignment wrapText="1"/>
    </xf>
    <xf numFmtId="0" fontId="6" fillId="3" borderId="0" xfId="5" applyNumberFormat="1" applyFont="1" applyFill="1" applyBorder="1" applyAlignment="1"/>
    <xf numFmtId="0" fontId="0" fillId="0" borderId="0" xfId="0" applyAlignment="1">
      <alignment vertical="top" wrapText="1"/>
    </xf>
    <xf numFmtId="0" fontId="0" fillId="0" borderId="0" xfId="4"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9" fillId="0" borderId="0" xfId="0" applyFont="1" applyAlignment="1">
      <alignment vertical="top" wrapText="1"/>
    </xf>
    <xf numFmtId="0" fontId="17" fillId="0" borderId="12" xfId="7" applyFont="1" applyFill="1" applyBorder="1" applyAlignment="1">
      <alignment horizontal="center" vertical="top" wrapText="1"/>
    </xf>
    <xf numFmtId="0" fontId="17" fillId="0" borderId="13" xfId="7" applyFont="1" applyFill="1" applyBorder="1" applyAlignment="1">
      <alignment horizontal="center" vertical="top" wrapText="1"/>
    </xf>
    <xf numFmtId="0" fontId="17" fillId="0" borderId="14" xfId="7" applyFont="1" applyFill="1" applyBorder="1" applyAlignment="1">
      <alignment horizontal="center" vertical="top" wrapText="1"/>
    </xf>
    <xf numFmtId="0" fontId="3" fillId="0" borderId="0" xfId="0" applyFont="1" applyAlignment="1">
      <alignment vertical="top" wrapText="1"/>
    </xf>
    <xf numFmtId="0" fontId="3" fillId="0" borderId="0" xfId="4" applyFont="1" applyAlignment="1">
      <alignment vertical="top" wrapText="1"/>
    </xf>
    <xf numFmtId="0" fontId="4" fillId="0" borderId="0" xfId="4" applyFont="1" applyAlignment="1">
      <alignment vertical="top" wrapText="1"/>
    </xf>
    <xf numFmtId="0" fontId="44" fillId="0" borderId="0" xfId="0" applyFont="1" applyAlignment="1">
      <alignment vertical="top" wrapText="1"/>
    </xf>
    <xf numFmtId="0" fontId="45" fillId="0" borderId="0" xfId="0" applyFont="1" applyAlignment="1">
      <alignment vertical="top" wrapText="1"/>
    </xf>
    <xf numFmtId="0" fontId="3" fillId="13" borderId="0" xfId="5" applyFont="1" applyFill="1" applyBorder="1" applyAlignment="1">
      <alignment vertical="top" wrapText="1"/>
    </xf>
    <xf numFmtId="0" fontId="15" fillId="13" borderId="0" xfId="0" applyFont="1" applyFill="1" applyAlignment="1">
      <alignment vertical="top" wrapText="1"/>
    </xf>
    <xf numFmtId="0" fontId="3" fillId="13" borderId="0" xfId="5" applyFont="1" applyFill="1" applyAlignment="1">
      <alignment vertical="top" wrapText="1"/>
    </xf>
    <xf numFmtId="0" fontId="46" fillId="14" borderId="4" xfId="1" applyFont="1" applyFill="1" applyBorder="1" applyAlignment="1">
      <alignment vertical="top" wrapText="1"/>
    </xf>
    <xf numFmtId="0" fontId="46" fillId="14" borderId="5" xfId="1" applyFont="1" applyFill="1" applyBorder="1" applyAlignment="1">
      <alignment vertical="top" wrapText="1"/>
    </xf>
    <xf numFmtId="0" fontId="46" fillId="14" borderId="20" xfId="1" applyFont="1" applyFill="1" applyBorder="1" applyAlignment="1">
      <alignment vertical="top" wrapText="1"/>
    </xf>
    <xf numFmtId="0" fontId="15" fillId="0" borderId="19" xfId="0" applyFont="1" applyBorder="1" applyAlignment="1">
      <alignment vertical="top" wrapText="1"/>
    </xf>
    <xf numFmtId="0" fontId="15" fillId="13" borderId="19" xfId="0" applyFont="1" applyFill="1" applyBorder="1" applyAlignment="1">
      <alignment vertical="top" wrapText="1"/>
    </xf>
    <xf numFmtId="0" fontId="6" fillId="0" borderId="19" xfId="5" applyFont="1" applyBorder="1" applyAlignment="1">
      <alignment vertical="top" wrapText="1"/>
    </xf>
    <xf numFmtId="0" fontId="3" fillId="0" borderId="19" xfId="5" applyFont="1" applyBorder="1" applyAlignment="1">
      <alignment vertical="top" wrapText="1"/>
    </xf>
    <xf numFmtId="0" fontId="3" fillId="13" borderId="19" xfId="5" applyFont="1" applyFill="1" applyBorder="1" applyAlignment="1">
      <alignment vertical="top" wrapText="1"/>
    </xf>
    <xf numFmtId="0" fontId="29" fillId="0" borderId="19" xfId="5" applyFont="1" applyBorder="1" applyAlignment="1">
      <alignment vertical="top" wrapText="1"/>
    </xf>
    <xf numFmtId="0" fontId="3" fillId="0" borderId="19" xfId="0" applyFont="1" applyBorder="1" applyAlignment="1">
      <alignment vertical="top"/>
    </xf>
    <xf numFmtId="0" fontId="34" fillId="0" borderId="19" xfId="5" applyFont="1" applyBorder="1" applyAlignment="1">
      <alignment horizontal="left" vertical="top" wrapText="1"/>
    </xf>
    <xf numFmtId="0" fontId="3" fillId="13" borderId="0" xfId="0" applyFont="1" applyFill="1" applyAlignment="1">
      <alignment vertical="top" wrapText="1"/>
    </xf>
    <xf numFmtId="0" fontId="47" fillId="0" borderId="0" xfId="5" applyFont="1" applyBorder="1" applyAlignment="1">
      <alignment vertical="top" wrapText="1"/>
    </xf>
    <xf numFmtId="0" fontId="3" fillId="0" borderId="7" xfId="0" applyFont="1" applyBorder="1" applyAlignment="1">
      <alignment vertical="top" wrapText="1"/>
    </xf>
    <xf numFmtId="0" fontId="47" fillId="13" borderId="0" xfId="5" applyFont="1" applyFill="1" applyBorder="1" applyAlignment="1">
      <alignment vertical="top" wrapText="1"/>
    </xf>
    <xf numFmtId="0" fontId="46" fillId="14" borderId="22" xfId="1" applyFont="1" applyFill="1" applyBorder="1" applyAlignment="1">
      <alignment vertical="top" wrapText="1"/>
    </xf>
    <xf numFmtId="0" fontId="47" fillId="0" borderId="24" xfId="0" applyFont="1" applyBorder="1" applyAlignment="1">
      <alignment vertical="top" wrapText="1"/>
    </xf>
    <xf numFmtId="0" fontId="48" fillId="0" borderId="24" xfId="0" applyFont="1" applyBorder="1" applyAlignment="1">
      <alignment vertical="top" wrapText="1"/>
    </xf>
    <xf numFmtId="0" fontId="47" fillId="13" borderId="24" xfId="0" applyFont="1" applyFill="1" applyBorder="1" applyAlignment="1">
      <alignment vertical="top" wrapText="1"/>
    </xf>
    <xf numFmtId="0" fontId="47" fillId="0" borderId="24" xfId="0" applyFont="1" applyBorder="1" applyAlignment="1">
      <alignment vertical="top"/>
    </xf>
    <xf numFmtId="0" fontId="47" fillId="0" borderId="24" xfId="5" applyFont="1" applyBorder="1" applyAlignment="1">
      <alignment vertical="top" wrapText="1"/>
    </xf>
    <xf numFmtId="0" fontId="34" fillId="0" borderId="25" xfId="5" applyFont="1" applyBorder="1" applyAlignment="1">
      <alignment horizontal="left" vertical="top" wrapText="1"/>
    </xf>
    <xf numFmtId="0" fontId="46" fillId="14" borderId="26" xfId="1" applyFont="1" applyFill="1" applyBorder="1" applyAlignment="1">
      <alignment vertical="top" wrapText="1"/>
    </xf>
    <xf numFmtId="0" fontId="15" fillId="0" borderId="0" xfId="0" applyFont="1" applyBorder="1" applyAlignment="1">
      <alignment vertical="top" wrapText="1"/>
    </xf>
    <xf numFmtId="0" fontId="6" fillId="0" borderId="0" xfId="0" applyFont="1" applyBorder="1" applyAlignment="1">
      <alignment vertical="top" wrapText="1"/>
    </xf>
    <xf numFmtId="0" fontId="3" fillId="13" borderId="0" xfId="0" applyFont="1" applyFill="1" applyBorder="1" applyAlignment="1">
      <alignment vertical="top" wrapText="1"/>
    </xf>
    <xf numFmtId="0" fontId="29" fillId="0" borderId="0" xfId="0" applyFont="1" applyBorder="1" applyAlignment="1">
      <alignment vertical="top" wrapText="1"/>
    </xf>
    <xf numFmtId="0" fontId="34" fillId="0" borderId="8" xfId="5" applyFont="1" applyBorder="1" applyAlignment="1">
      <alignment horizontal="left" vertical="top" wrapText="1"/>
    </xf>
    <xf numFmtId="0" fontId="46" fillId="14" borderId="27" xfId="1" applyFont="1" applyFill="1" applyBorder="1" applyAlignment="1">
      <alignment vertical="top" wrapText="1"/>
    </xf>
    <xf numFmtId="0" fontId="15" fillId="0" borderId="29" xfId="0" applyFont="1" applyBorder="1" applyAlignment="1">
      <alignment vertical="top" wrapText="1"/>
    </xf>
    <xf numFmtId="0" fontId="6" fillId="0" borderId="29" xfId="0" applyFont="1" applyBorder="1" applyAlignment="1">
      <alignment vertical="top" wrapText="1"/>
    </xf>
    <xf numFmtId="0" fontId="3" fillId="0" borderId="29" xfId="0" applyFont="1" applyBorder="1" applyAlignment="1">
      <alignment vertical="top" wrapText="1"/>
    </xf>
    <xf numFmtId="0" fontId="3" fillId="13" borderId="29" xfId="0" applyFont="1" applyFill="1" applyBorder="1" applyAlignment="1">
      <alignment vertical="top" wrapText="1"/>
    </xf>
    <xf numFmtId="0" fontId="29" fillId="0" borderId="29" xfId="0" applyFont="1" applyBorder="1" applyAlignment="1">
      <alignment vertical="top" wrapText="1"/>
    </xf>
    <xf numFmtId="0" fontId="3" fillId="0" borderId="29" xfId="0" applyFont="1" applyBorder="1" applyAlignment="1">
      <alignment vertical="top"/>
    </xf>
    <xf numFmtId="0" fontId="3" fillId="0" borderId="29" xfId="5" applyFont="1" applyBorder="1" applyAlignment="1">
      <alignment vertical="top" wrapText="1"/>
    </xf>
    <xf numFmtId="0" fontId="34" fillId="0" borderId="30" xfId="5" applyFont="1" applyBorder="1" applyAlignment="1">
      <alignment horizontal="left" vertical="top" wrapText="1"/>
    </xf>
    <xf numFmtId="0" fontId="46" fillId="14" borderId="31" xfId="1" applyFont="1" applyFill="1" applyBorder="1" applyAlignment="1">
      <alignment vertical="top" wrapText="1"/>
    </xf>
    <xf numFmtId="0" fontId="49" fillId="0" borderId="32" xfId="1" applyFont="1" applyBorder="1" applyAlignment="1">
      <alignment vertical="top" wrapText="1"/>
    </xf>
    <xf numFmtId="0" fontId="6" fillId="0" borderId="32" xfId="5" applyFont="1" applyBorder="1" applyAlignment="1">
      <alignment vertical="top" wrapText="1"/>
    </xf>
    <xf numFmtId="0" fontId="47" fillId="0" borderId="32" xfId="0" applyFont="1" applyBorder="1" applyAlignment="1">
      <alignment vertical="top" wrapText="1"/>
    </xf>
    <xf numFmtId="0" fontId="48" fillId="0" borderId="32" xfId="0" applyFont="1" applyBorder="1" applyAlignment="1">
      <alignment vertical="top" wrapText="1"/>
    </xf>
    <xf numFmtId="0" fontId="47" fillId="13" borderId="32" xfId="0" applyFont="1" applyFill="1" applyBorder="1" applyAlignment="1">
      <alignment vertical="top" wrapText="1"/>
    </xf>
    <xf numFmtId="0" fontId="47" fillId="0" borderId="32" xfId="0" applyFont="1" applyBorder="1" applyAlignment="1">
      <alignment vertical="top"/>
    </xf>
    <xf numFmtId="0" fontId="47" fillId="0" borderId="32" xfId="5" applyFont="1" applyBorder="1" applyAlignment="1">
      <alignment vertical="top" wrapText="1"/>
    </xf>
    <xf numFmtId="0" fontId="34" fillId="0" borderId="33" xfId="5" applyFont="1" applyBorder="1" applyAlignment="1">
      <alignment horizontal="left" vertical="top" wrapText="1"/>
    </xf>
    <xf numFmtId="0" fontId="15" fillId="0" borderId="24" xfId="0" applyFont="1" applyBorder="1" applyAlignment="1">
      <alignment vertical="top" wrapText="1"/>
    </xf>
    <xf numFmtId="0" fontId="6" fillId="0" borderId="24" xfId="0" applyFont="1" applyBorder="1" applyAlignment="1">
      <alignment vertical="top" wrapText="1"/>
    </xf>
    <xf numFmtId="0" fontId="3" fillId="0" borderId="24" xfId="0" applyFont="1" applyBorder="1" applyAlignment="1">
      <alignment vertical="top" wrapText="1"/>
    </xf>
    <xf numFmtId="0" fontId="3" fillId="13" borderId="24" xfId="0" applyFont="1" applyFill="1" applyBorder="1" applyAlignment="1">
      <alignment vertical="top" wrapText="1"/>
    </xf>
    <xf numFmtId="0" fontId="29" fillId="0" borderId="24" xfId="0" applyFont="1" applyBorder="1" applyAlignment="1">
      <alignment vertical="top" wrapText="1"/>
    </xf>
    <xf numFmtId="0" fontId="3" fillId="0" borderId="24" xfId="0" applyFont="1" applyBorder="1" applyAlignment="1">
      <alignment vertical="top"/>
    </xf>
    <xf numFmtId="0" fontId="3" fillId="13" borderId="24" xfId="5" applyFont="1" applyFill="1" applyBorder="1" applyAlignment="1">
      <alignment vertical="top" wrapText="1"/>
    </xf>
    <xf numFmtId="0" fontId="47" fillId="0" borderId="0" xfId="0" applyFont="1" applyBorder="1" applyAlignment="1">
      <alignment vertical="top" wrapText="1"/>
    </xf>
    <xf numFmtId="0" fontId="48" fillId="0" borderId="0" xfId="0" applyFont="1" applyBorder="1" applyAlignment="1">
      <alignment vertical="top" wrapText="1"/>
    </xf>
    <xf numFmtId="0" fontId="47" fillId="13" borderId="0" xfId="0" applyFont="1" applyFill="1" applyBorder="1" applyAlignment="1">
      <alignment vertical="top" wrapText="1"/>
    </xf>
    <xf numFmtId="0" fontId="47" fillId="0" borderId="0" xfId="0" applyFont="1" applyBorder="1" applyAlignment="1">
      <alignment vertical="top"/>
    </xf>
    <xf numFmtId="0" fontId="3" fillId="13" borderId="29" xfId="5" applyFont="1" applyFill="1" applyBorder="1" applyAlignment="1">
      <alignment vertical="top" wrapText="1"/>
    </xf>
    <xf numFmtId="0" fontId="3" fillId="0" borderId="24" xfId="5" applyFont="1" applyBorder="1" applyAlignment="1">
      <alignment vertical="top" wrapText="1"/>
    </xf>
    <xf numFmtId="0" fontId="47" fillId="0" borderId="29" xfId="0" applyFont="1" applyBorder="1" applyAlignment="1">
      <alignment vertical="top" wrapText="1"/>
    </xf>
    <xf numFmtId="0" fontId="48" fillId="0" borderId="29" xfId="0" applyFont="1" applyBorder="1" applyAlignment="1">
      <alignment vertical="top" wrapText="1"/>
    </xf>
    <xf numFmtId="0" fontId="47" fillId="13" borderId="29" xfId="0" applyFont="1" applyFill="1" applyBorder="1" applyAlignment="1">
      <alignment vertical="top" wrapText="1"/>
    </xf>
    <xf numFmtId="0" fontId="47" fillId="0" borderId="29" xfId="0" applyFont="1" applyBorder="1" applyAlignment="1">
      <alignment vertical="top"/>
    </xf>
    <xf numFmtId="0" fontId="47" fillId="0" borderId="29" xfId="5" applyFont="1" applyBorder="1" applyAlignment="1">
      <alignment vertical="top" wrapText="1"/>
    </xf>
    <xf numFmtId="0" fontId="47" fillId="13" borderId="24" xfId="5" applyFont="1" applyFill="1" applyBorder="1" applyAlignment="1">
      <alignment vertical="top" wrapText="1"/>
    </xf>
    <xf numFmtId="0" fontId="15" fillId="0" borderId="32" xfId="0" applyFont="1" applyBorder="1" applyAlignment="1">
      <alignment vertical="top" wrapText="1"/>
    </xf>
    <xf numFmtId="0" fontId="6" fillId="0" borderId="32" xfId="0" applyFont="1" applyBorder="1" applyAlignment="1">
      <alignment vertical="top" wrapText="1"/>
    </xf>
    <xf numFmtId="0" fontId="3" fillId="0" borderId="32" xfId="0" applyFont="1" applyBorder="1" applyAlignment="1">
      <alignment vertical="top" wrapText="1"/>
    </xf>
    <xf numFmtId="0" fontId="3" fillId="13" borderId="32" xfId="0" applyFont="1" applyFill="1" applyBorder="1" applyAlignment="1">
      <alignment vertical="top" wrapText="1"/>
    </xf>
    <xf numFmtId="0" fontId="29" fillId="0" borderId="32" xfId="0" applyFont="1" applyBorder="1" applyAlignment="1">
      <alignment vertical="top" wrapText="1"/>
    </xf>
    <xf numFmtId="0" fontId="3" fillId="0" borderId="32" xfId="0" applyFont="1" applyBorder="1" applyAlignment="1">
      <alignment vertical="top"/>
    </xf>
    <xf numFmtId="0" fontId="3" fillId="13" borderId="32" xfId="5" applyFont="1" applyFill="1" applyBorder="1" applyAlignment="1">
      <alignment vertical="top" wrapText="1"/>
    </xf>
    <xf numFmtId="0" fontId="47" fillId="13" borderId="32" xfId="5" applyFont="1" applyFill="1" applyBorder="1" applyAlignment="1">
      <alignment vertical="top" wrapText="1"/>
    </xf>
    <xf numFmtId="0" fontId="50" fillId="0" borderId="0" xfId="1" applyFont="1" applyAlignment="1">
      <alignment horizontal="center" vertical="top" wrapText="1"/>
    </xf>
    <xf numFmtId="0" fontId="50" fillId="0" borderId="19" xfId="1" applyFont="1" applyBorder="1" applyAlignment="1">
      <alignment horizontal="center" vertical="top" wrapText="1"/>
    </xf>
    <xf numFmtId="0" fontId="17" fillId="0" borderId="10" xfId="7" applyFont="1" applyBorder="1" applyAlignment="1">
      <alignment horizontal="center" vertical="top" wrapText="1"/>
    </xf>
    <xf numFmtId="0" fontId="17" fillId="0" borderId="11" xfId="7" applyFont="1" applyBorder="1" applyAlignment="1">
      <alignment horizontal="center" vertical="top" wrapText="1"/>
    </xf>
    <xf numFmtId="0" fontId="17" fillId="0" borderId="16" xfId="7" applyFont="1" applyBorder="1" applyAlignment="1">
      <alignment horizontal="center" vertical="top" wrapText="1"/>
    </xf>
    <xf numFmtId="0" fontId="17" fillId="2" borderId="10" xfId="7" applyFont="1" applyFill="1" applyBorder="1" applyAlignment="1">
      <alignment horizontal="center" vertical="top" wrapText="1"/>
    </xf>
    <xf numFmtId="0" fontId="17" fillId="2" borderId="11" xfId="7" applyFont="1" applyFill="1" applyBorder="1" applyAlignment="1">
      <alignment horizontal="center" vertical="top" wrapText="1"/>
    </xf>
    <xf numFmtId="0" fontId="17" fillId="2" borderId="16" xfId="7" applyFont="1" applyFill="1" applyBorder="1" applyAlignment="1">
      <alignment horizontal="center" vertical="top" wrapText="1"/>
    </xf>
    <xf numFmtId="0" fontId="17" fillId="0" borderId="10" xfId="7" applyFont="1" applyFill="1" applyBorder="1" applyAlignment="1">
      <alignment horizontal="center" vertical="top" wrapText="1"/>
    </xf>
    <xf numFmtId="0" fontId="17" fillId="0" borderId="11" xfId="7" applyFont="1" applyFill="1" applyBorder="1" applyAlignment="1">
      <alignment horizontal="center" vertical="top" wrapText="1"/>
    </xf>
    <xf numFmtId="0" fontId="17" fillId="0" borderId="16" xfId="7" applyFont="1" applyFill="1" applyBorder="1" applyAlignment="1">
      <alignment horizontal="center" vertical="top" wrapText="1"/>
    </xf>
    <xf numFmtId="0" fontId="17" fillId="0" borderId="34" xfId="7" applyFont="1" applyBorder="1" applyAlignment="1">
      <alignment horizontal="center" vertical="top" wrapText="1"/>
    </xf>
    <xf numFmtId="0" fontId="17" fillId="0" borderId="35" xfId="7" applyFont="1" applyBorder="1" applyAlignment="1">
      <alignment horizontal="center" vertical="top" wrapText="1"/>
    </xf>
    <xf numFmtId="0" fontId="17" fillId="0" borderId="36" xfId="7" applyFont="1" applyBorder="1" applyAlignment="1">
      <alignment horizontal="center" vertical="top" wrapText="1"/>
    </xf>
    <xf numFmtId="0" fontId="17" fillId="2" borderId="34" xfId="7" applyFont="1" applyFill="1" applyBorder="1" applyAlignment="1">
      <alignment horizontal="center" vertical="top" wrapText="1"/>
    </xf>
    <xf numFmtId="0" fontId="17" fillId="2" borderId="35" xfId="7" applyFont="1" applyFill="1" applyBorder="1" applyAlignment="1">
      <alignment horizontal="center" vertical="top" wrapText="1"/>
    </xf>
    <xf numFmtId="0" fontId="17" fillId="2" borderId="36" xfId="7" applyFont="1" applyFill="1" applyBorder="1" applyAlignment="1">
      <alignment horizontal="center" vertical="top" wrapText="1"/>
    </xf>
    <xf numFmtId="0" fontId="17" fillId="0" borderId="34" xfId="7" applyFont="1" applyFill="1" applyBorder="1" applyAlignment="1">
      <alignment horizontal="center" vertical="top" wrapText="1"/>
    </xf>
    <xf numFmtId="0" fontId="17" fillId="0" borderId="35" xfId="7" applyFont="1" applyFill="1" applyBorder="1" applyAlignment="1">
      <alignment horizontal="center" vertical="top" wrapText="1"/>
    </xf>
    <xf numFmtId="0" fontId="17" fillId="0" borderId="36" xfId="7" applyFont="1" applyFill="1" applyBorder="1" applyAlignment="1">
      <alignment horizontal="center" vertical="top" wrapText="1"/>
    </xf>
    <xf numFmtId="0" fontId="3" fillId="0" borderId="37" xfId="5" applyFont="1" applyBorder="1" applyAlignment="1">
      <alignment vertical="top" wrapText="1"/>
    </xf>
    <xf numFmtId="0" fontId="3" fillId="13" borderId="0" xfId="5" applyFont="1" applyFill="1" applyAlignment="1">
      <alignment horizontal="center" vertical="top" wrapText="1"/>
    </xf>
    <xf numFmtId="0" fontId="6" fillId="0" borderId="0" xfId="1" applyFont="1" applyAlignment="1">
      <alignment horizontal="center" vertical="top" wrapText="1"/>
    </xf>
    <xf numFmtId="0" fontId="51" fillId="0" borderId="0" xfId="1" applyFont="1" applyAlignment="1">
      <alignment horizontal="center" vertical="top" wrapText="1"/>
    </xf>
    <xf numFmtId="0" fontId="28" fillId="13" borderId="0" xfId="5" applyFont="1" applyFill="1" applyAlignment="1">
      <alignment horizontal="center" vertical="top" wrapText="1"/>
    </xf>
    <xf numFmtId="0" fontId="22" fillId="13" borderId="0" xfId="5" applyFont="1" applyFill="1" applyAlignment="1">
      <alignment horizontal="center" vertical="top" wrapText="1"/>
    </xf>
    <xf numFmtId="0" fontId="20" fillId="13" borderId="0" xfId="5" applyFont="1" applyFill="1" applyAlignment="1">
      <alignment horizontal="center" vertical="top" wrapText="1"/>
    </xf>
    <xf numFmtId="0" fontId="21" fillId="13" borderId="0" xfId="5" applyFont="1" applyFill="1" applyAlignment="1">
      <alignment horizontal="center" vertical="top" wrapText="1"/>
    </xf>
    <xf numFmtId="0" fontId="12" fillId="13" borderId="0" xfId="5" applyFont="1" applyFill="1" applyAlignment="1">
      <alignment horizontal="center" vertical="top" wrapText="1"/>
    </xf>
    <xf numFmtId="0" fontId="45" fillId="0" borderId="0" xfId="5" applyFont="1" applyAlignment="1">
      <alignment horizontal="center" vertical="top" wrapText="1"/>
    </xf>
    <xf numFmtId="0" fontId="3" fillId="0" borderId="19" xfId="5" applyFont="1" applyBorder="1" applyAlignment="1">
      <alignment horizontal="center" vertical="top" wrapText="1"/>
    </xf>
    <xf numFmtId="0" fontId="3" fillId="13" borderId="19" xfId="5" applyFont="1" applyFill="1" applyBorder="1" applyAlignment="1">
      <alignment horizontal="center" vertical="top" wrapText="1"/>
    </xf>
    <xf numFmtId="0" fontId="12" fillId="13" borderId="19" xfId="5" applyFont="1" applyFill="1" applyBorder="1" applyAlignment="1">
      <alignment horizontal="center" vertical="top" wrapText="1"/>
    </xf>
    <xf numFmtId="0" fontId="28" fillId="13" borderId="19" xfId="5" applyFont="1" applyFill="1" applyBorder="1" applyAlignment="1">
      <alignment horizontal="center" vertical="top" wrapText="1"/>
    </xf>
    <xf numFmtId="0" fontId="45" fillId="0" borderId="19" xfId="5" applyFont="1" applyBorder="1" applyAlignment="1">
      <alignment horizontal="center" vertical="top" wrapText="1"/>
    </xf>
    <xf numFmtId="0" fontId="14" fillId="0" borderId="32" xfId="0" applyFont="1" applyBorder="1" applyAlignment="1">
      <alignment vertical="top" wrapText="1"/>
    </xf>
    <xf numFmtId="0" fontId="52" fillId="0" borderId="32" xfId="5" applyFont="1" applyBorder="1" applyAlignment="1">
      <alignment vertical="top" wrapText="1"/>
    </xf>
    <xf numFmtId="0" fontId="53" fillId="13" borderId="32" xfId="0" applyFont="1" applyFill="1" applyBorder="1" applyAlignment="1">
      <alignment vertical="top" wrapText="1"/>
    </xf>
    <xf numFmtId="0" fontId="53" fillId="13" borderId="32" xfId="5" applyFont="1" applyFill="1" applyBorder="1" applyAlignment="1">
      <alignment vertical="top" wrapText="1"/>
    </xf>
    <xf numFmtId="0" fontId="53" fillId="0" borderId="32" xfId="5" applyFont="1" applyBorder="1" applyAlignment="1">
      <alignment vertical="top" wrapText="1"/>
    </xf>
    <xf numFmtId="0" fontId="53" fillId="13" borderId="32" xfId="5" applyFont="1" applyFill="1" applyBorder="1" applyAlignment="1">
      <alignment horizontal="left" vertical="top" wrapText="1"/>
    </xf>
    <xf numFmtId="0" fontId="53" fillId="13" borderId="32" xfId="5" applyFont="1" applyFill="1" applyBorder="1" applyAlignment="1">
      <alignment horizontal="center" vertical="top" wrapText="1"/>
    </xf>
    <xf numFmtId="0" fontId="16" fillId="13" borderId="32" xfId="5" applyFont="1" applyFill="1" applyBorder="1" applyAlignment="1">
      <alignment horizontal="right" vertical="top" wrapText="1"/>
    </xf>
    <xf numFmtId="0" fontId="45" fillId="0" borderId="32" xfId="5" applyFont="1" applyBorder="1" applyAlignment="1">
      <alignment vertical="top" wrapText="1"/>
    </xf>
    <xf numFmtId="0" fontId="54" fillId="13" borderId="32" xfId="5" applyFont="1" applyFill="1" applyBorder="1" applyAlignment="1">
      <alignment vertical="top" wrapText="1"/>
    </xf>
    <xf numFmtId="49" fontId="53" fillId="13" borderId="32" xfId="5" applyNumberFormat="1" applyFont="1" applyFill="1" applyBorder="1" applyAlignment="1">
      <alignment vertical="top" wrapText="1"/>
    </xf>
    <xf numFmtId="49" fontId="3" fillId="13" borderId="33" xfId="5" applyNumberFormat="1" applyFont="1" applyFill="1" applyBorder="1" applyAlignment="1">
      <alignment vertical="top" wrapText="1"/>
    </xf>
    <xf numFmtId="0" fontId="3" fillId="0" borderId="31" xfId="0" applyFont="1" applyBorder="1" applyAlignment="1">
      <alignment vertical="top" wrapText="1"/>
    </xf>
    <xf numFmtId="0" fontId="4" fillId="0" borderId="32" xfId="5" applyFont="1" applyBorder="1" applyAlignment="1">
      <alignment vertical="top" wrapText="1"/>
    </xf>
    <xf numFmtId="0" fontId="3" fillId="0" borderId="32" xfId="5" applyFont="1" applyBorder="1" applyAlignment="1">
      <alignment vertical="top" wrapText="1"/>
    </xf>
    <xf numFmtId="0" fontId="3" fillId="0" borderId="32" xfId="5" applyFont="1" applyBorder="1" applyAlignment="1">
      <alignment horizontal="left" vertical="top" wrapText="1"/>
    </xf>
    <xf numFmtId="0" fontId="0" fillId="0" borderId="32" xfId="5" applyFont="1" applyBorder="1" applyAlignment="1">
      <alignment horizontal="center" vertical="top" wrapText="1"/>
    </xf>
    <xf numFmtId="0" fontId="16" fillId="0" borderId="32" xfId="5" applyFont="1" applyBorder="1" applyAlignment="1">
      <alignment horizontal="right" vertical="top" wrapText="1"/>
    </xf>
    <xf numFmtId="0" fontId="16" fillId="0" borderId="32" xfId="5" applyFont="1" applyBorder="1" applyAlignment="1">
      <alignment vertical="top" wrapText="1"/>
    </xf>
    <xf numFmtId="49" fontId="3" fillId="0" borderId="32" xfId="5" applyNumberFormat="1" applyFont="1" applyBorder="1" applyAlignment="1">
      <alignment vertical="top" wrapText="1"/>
    </xf>
    <xf numFmtId="0" fontId="29" fillId="0" borderId="33" xfId="5" applyFont="1" applyBorder="1" applyAlignment="1">
      <alignment vertical="top" wrapText="1"/>
    </xf>
    <xf numFmtId="0" fontId="3" fillId="0" borderId="32" xfId="5" applyFont="1" applyBorder="1" applyAlignment="1">
      <alignment horizontal="center" vertical="top" wrapText="1"/>
    </xf>
    <xf numFmtId="0" fontId="54" fillId="0" borderId="32" xfId="5" applyFont="1" applyBorder="1" applyAlignment="1">
      <alignment vertical="top" wrapText="1"/>
    </xf>
    <xf numFmtId="49" fontId="53" fillId="0" borderId="32" xfId="5" applyNumberFormat="1" applyFont="1" applyBorder="1" applyAlignment="1">
      <alignment vertical="top" wrapText="1"/>
    </xf>
    <xf numFmtId="49" fontId="3" fillId="0" borderId="33" xfId="5" applyNumberFormat="1" applyFont="1" applyBorder="1" applyAlignment="1">
      <alignment vertical="top" wrapText="1"/>
    </xf>
    <xf numFmtId="0" fontId="53" fillId="13" borderId="24" xfId="0" applyFont="1" applyFill="1" applyBorder="1" applyAlignment="1">
      <alignment vertical="top" wrapText="1"/>
    </xf>
    <xf numFmtId="0" fontId="53" fillId="13" borderId="24" xfId="5" applyFont="1" applyFill="1" applyBorder="1" applyAlignment="1">
      <alignment vertical="top" wrapText="1"/>
    </xf>
    <xf numFmtId="0" fontId="53" fillId="0" borderId="24" xfId="5" applyFont="1" applyBorder="1" applyAlignment="1">
      <alignment vertical="top" wrapText="1"/>
    </xf>
    <xf numFmtId="0" fontId="53" fillId="13" borderId="24" xfId="5" applyFont="1" applyFill="1" applyBorder="1" applyAlignment="1">
      <alignment horizontal="left" vertical="top" wrapText="1"/>
    </xf>
    <xf numFmtId="0" fontId="53" fillId="13" borderId="24" xfId="5" applyFont="1" applyFill="1" applyBorder="1" applyAlignment="1">
      <alignment horizontal="center" vertical="top" wrapText="1"/>
    </xf>
    <xf numFmtId="0" fontId="16" fillId="13" borderId="24" xfId="5" applyFont="1" applyFill="1" applyBorder="1" applyAlignment="1">
      <alignment horizontal="right" vertical="top" wrapText="1"/>
    </xf>
    <xf numFmtId="0" fontId="16" fillId="0" borderId="24" xfId="5" applyFont="1" applyBorder="1" applyAlignment="1">
      <alignment vertical="top" wrapText="1"/>
    </xf>
    <xf numFmtId="0" fontId="54" fillId="13" borderId="24" xfId="5" applyFont="1" applyFill="1" applyBorder="1" applyAlignment="1">
      <alignment vertical="top" wrapText="1"/>
    </xf>
    <xf numFmtId="49" fontId="53" fillId="0" borderId="24" xfId="5" applyNumberFormat="1" applyFont="1" applyBorder="1" applyAlignment="1">
      <alignment vertical="top" wrapText="1"/>
    </xf>
    <xf numFmtId="49" fontId="3" fillId="13" borderId="25" xfId="5" applyNumberFormat="1" applyFont="1" applyFill="1" applyBorder="1" applyAlignment="1">
      <alignment vertical="top" wrapText="1"/>
    </xf>
    <xf numFmtId="0" fontId="4" fillId="0" borderId="0" xfId="5" applyFont="1" applyBorder="1" applyAlignment="1">
      <alignment vertical="top" wrapText="1"/>
    </xf>
    <xf numFmtId="0" fontId="3" fillId="0" borderId="0" xfId="5" applyFont="1" applyBorder="1" applyAlignment="1">
      <alignment horizontal="left" vertical="top" wrapText="1"/>
    </xf>
    <xf numFmtId="0" fontId="3" fillId="13" borderId="0" xfId="5" applyFont="1" applyFill="1" applyBorder="1" applyAlignment="1">
      <alignment horizontal="center" vertical="top" wrapText="1"/>
    </xf>
    <xf numFmtId="0" fontId="16" fillId="0" borderId="0" xfId="5" applyFont="1" applyBorder="1" applyAlignment="1">
      <alignment horizontal="right" vertical="top" wrapText="1"/>
    </xf>
    <xf numFmtId="0" fontId="3" fillId="15" borderId="0" xfId="5" applyFont="1" applyFill="1" applyBorder="1" applyAlignment="1">
      <alignment vertical="top" wrapText="1"/>
    </xf>
    <xf numFmtId="49" fontId="3" fillId="15" borderId="0" xfId="5" applyNumberFormat="1" applyFont="1" applyFill="1" applyBorder="1" applyAlignment="1">
      <alignment vertical="top" wrapText="1"/>
    </xf>
    <xf numFmtId="49" fontId="3" fillId="15" borderId="8" xfId="5" applyNumberFormat="1" applyFont="1" applyFill="1" applyBorder="1" applyAlignment="1">
      <alignment vertical="top" wrapText="1"/>
    </xf>
    <xf numFmtId="0" fontId="4" fillId="0" borderId="29" xfId="5" applyFont="1" applyBorder="1" applyAlignment="1">
      <alignment vertical="top" wrapText="1"/>
    </xf>
    <xf numFmtId="0" fontId="3" fillId="0" borderId="29" xfId="5" applyFont="1" applyBorder="1" applyAlignment="1">
      <alignment horizontal="left" vertical="top" wrapText="1"/>
    </xf>
    <xf numFmtId="0" fontId="3" fillId="13" borderId="29" xfId="5" applyFont="1" applyFill="1" applyBorder="1" applyAlignment="1">
      <alignment horizontal="center" vertical="top" wrapText="1"/>
    </xf>
    <xf numFmtId="0" fontId="16" fillId="0" borderId="29" xfId="5" applyFont="1" applyBorder="1" applyAlignment="1">
      <alignment horizontal="right" vertical="top" wrapText="1"/>
    </xf>
    <xf numFmtId="0" fontId="3" fillId="15" borderId="29" xfId="5" applyFont="1" applyFill="1" applyBorder="1" applyAlignment="1">
      <alignment vertical="top" wrapText="1"/>
    </xf>
    <xf numFmtId="49" fontId="3" fillId="15" borderId="29" xfId="5" applyNumberFormat="1" applyFont="1" applyFill="1" applyBorder="1" applyAlignment="1">
      <alignment vertical="top" wrapText="1"/>
    </xf>
    <xf numFmtId="49" fontId="3" fillId="15" borderId="30" xfId="5" applyNumberFormat="1" applyFont="1" applyFill="1" applyBorder="1" applyAlignment="1">
      <alignment vertical="top" wrapText="1"/>
    </xf>
    <xf numFmtId="0" fontId="14" fillId="0" borderId="38" xfId="0" applyFont="1" applyBorder="1" applyAlignment="1">
      <alignment vertical="top" wrapText="1"/>
    </xf>
    <xf numFmtId="0" fontId="4" fillId="0" borderId="24" xfId="5" applyFont="1" applyBorder="1" applyAlignment="1">
      <alignment vertical="top" wrapText="1"/>
    </xf>
    <xf numFmtId="0" fontId="3" fillId="0" borderId="24" xfId="5" applyFont="1" applyBorder="1" applyAlignment="1">
      <alignment horizontal="left" vertical="top" wrapText="1"/>
    </xf>
    <xf numFmtId="0" fontId="3" fillId="13" borderId="24" xfId="5" applyFont="1" applyFill="1" applyBorder="1" applyAlignment="1">
      <alignment horizontal="center" vertical="top" wrapText="1"/>
    </xf>
    <xf numFmtId="0" fontId="16" fillId="0" borderId="24" xfId="5" applyFont="1" applyBorder="1" applyAlignment="1">
      <alignment horizontal="right" vertical="top" wrapText="1"/>
    </xf>
    <xf numFmtId="0" fontId="14" fillId="0" borderId="7" xfId="0" applyFont="1" applyBorder="1" applyAlignment="1">
      <alignment vertical="top" wrapText="1"/>
    </xf>
    <xf numFmtId="0" fontId="14" fillId="0" borderId="39" xfId="0" applyFont="1" applyBorder="1" applyAlignment="1">
      <alignment vertical="top" wrapText="1"/>
    </xf>
    <xf numFmtId="0" fontId="4" fillId="0" borderId="38" xfId="5" applyFont="1" applyBorder="1" applyAlignment="1">
      <alignment vertical="top" wrapText="1"/>
    </xf>
    <xf numFmtId="0" fontId="4" fillId="0" borderId="7" xfId="5" applyFont="1" applyBorder="1" applyAlignment="1">
      <alignment vertical="top" wrapText="1"/>
    </xf>
    <xf numFmtId="0" fontId="4" fillId="0" borderId="39" xfId="5" applyFont="1" applyBorder="1" applyAlignment="1">
      <alignment vertical="top" wrapText="1"/>
    </xf>
    <xf numFmtId="49" fontId="53" fillId="13" borderId="24" xfId="5" applyNumberFormat="1" applyFont="1" applyFill="1" applyBorder="1" applyAlignment="1">
      <alignment vertical="top" wrapText="1"/>
    </xf>
    <xf numFmtId="49" fontId="3" fillId="0" borderId="25" xfId="5" applyNumberFormat="1" applyFont="1" applyBorder="1" applyAlignment="1">
      <alignment vertical="top" wrapText="1"/>
    </xf>
    <xf numFmtId="0" fontId="39" fillId="0" borderId="0" xfId="4" applyFont="1" applyAlignment="1">
      <alignment vertical="top" wrapText="1"/>
    </xf>
    <xf numFmtId="0" fontId="3" fillId="13" borderId="25" xfId="0" applyFont="1" applyFill="1" applyBorder="1" applyAlignment="1">
      <alignment vertical="top" wrapText="1"/>
    </xf>
    <xf numFmtId="0" fontId="3" fillId="13" borderId="8" xfId="0" applyFont="1" applyFill="1" applyBorder="1" applyAlignment="1">
      <alignment vertical="top" wrapText="1"/>
    </xf>
    <xf numFmtId="0" fontId="3" fillId="13" borderId="30" xfId="0" applyFont="1" applyFill="1" applyBorder="1" applyAlignment="1">
      <alignment vertical="top" wrapText="1"/>
    </xf>
    <xf numFmtId="0" fontId="3" fillId="0" borderId="24" xfId="0" quotePrefix="1" applyFont="1" applyBorder="1" applyAlignment="1">
      <alignment vertical="top" wrapText="1"/>
    </xf>
    <xf numFmtId="0" fontId="3" fillId="0" borderId="0" xfId="0" quotePrefix="1" applyFont="1" applyBorder="1" applyAlignment="1">
      <alignment vertical="top" wrapText="1"/>
    </xf>
    <xf numFmtId="0" fontId="3" fillId="0" borderId="29" xfId="0" quotePrefix="1" applyFont="1" applyBorder="1" applyAlignment="1">
      <alignment vertical="top" wrapText="1"/>
    </xf>
    <xf numFmtId="0" fontId="3" fillId="0" borderId="8" xfId="0" applyFont="1" applyBorder="1" applyAlignment="1">
      <alignment vertical="top" wrapText="1"/>
    </xf>
    <xf numFmtId="0" fontId="3" fillId="0" borderId="25" xfId="0" applyFont="1" applyBorder="1" applyAlignment="1">
      <alignment vertical="top" wrapText="1"/>
    </xf>
    <xf numFmtId="0" fontId="3" fillId="0" borderId="30" xfId="0" applyFont="1" applyBorder="1" applyAlignment="1">
      <alignment vertical="top" wrapText="1"/>
    </xf>
    <xf numFmtId="0" fontId="3" fillId="0" borderId="8" xfId="0" quotePrefix="1" applyFont="1" applyBorder="1" applyAlignment="1">
      <alignment vertical="top" wrapText="1"/>
    </xf>
    <xf numFmtId="0" fontId="3" fillId="13" borderId="33" xfId="0" applyFont="1" applyFill="1" applyBorder="1" applyAlignment="1">
      <alignment vertical="top" wrapText="1"/>
    </xf>
    <xf numFmtId="0" fontId="6" fillId="0" borderId="0" xfId="0" quotePrefix="1" applyFont="1" applyBorder="1" applyAlignment="1">
      <alignment vertical="top" wrapText="1"/>
    </xf>
    <xf numFmtId="0" fontId="6" fillId="0" borderId="24" xfId="0" quotePrefix="1" applyFont="1" applyBorder="1" applyAlignment="1">
      <alignment vertical="top" wrapText="1"/>
    </xf>
    <xf numFmtId="0" fontId="6" fillId="0" borderId="29" xfId="0" quotePrefix="1" applyFont="1" applyBorder="1" applyAlignment="1">
      <alignment vertical="top" wrapText="1"/>
    </xf>
    <xf numFmtId="0" fontId="3" fillId="13" borderId="8" xfId="5" applyFont="1" applyFill="1" applyBorder="1" applyAlignment="1">
      <alignment vertical="top" wrapText="1"/>
    </xf>
    <xf numFmtId="0" fontId="3" fillId="0" borderId="8" xfId="5" applyFont="1" applyBorder="1" applyAlignment="1">
      <alignment vertical="top" wrapText="1"/>
    </xf>
    <xf numFmtId="0" fontId="16" fillId="0" borderId="39" xfId="5" applyFont="1" applyBorder="1" applyAlignment="1">
      <alignment vertical="top"/>
    </xf>
    <xf numFmtId="0" fontId="3" fillId="0" borderId="30" xfId="5" applyFont="1" applyBorder="1" applyAlignment="1">
      <alignment vertical="top" wrapText="1"/>
    </xf>
    <xf numFmtId="49" fontId="27" fillId="0" borderId="24" xfId="5" applyNumberFormat="1" applyFont="1" applyBorder="1" applyAlignment="1">
      <alignment horizontal="center" vertical="top" wrapText="1"/>
    </xf>
    <xf numFmtId="0" fontId="16" fillId="0" borderId="38" xfId="5" applyFont="1" applyBorder="1" applyAlignment="1">
      <alignment vertical="top"/>
    </xf>
    <xf numFmtId="0" fontId="3" fillId="13" borderId="25" xfId="5" applyFont="1" applyFill="1" applyBorder="1" applyAlignment="1">
      <alignment vertical="top" wrapText="1"/>
    </xf>
    <xf numFmtId="49" fontId="27" fillId="0" borderId="29" xfId="5" applyNumberFormat="1" applyFont="1" applyBorder="1" applyAlignment="1">
      <alignment horizontal="center" vertical="top" wrapText="1"/>
    </xf>
    <xf numFmtId="0" fontId="3" fillId="13" borderId="30" xfId="5" applyFont="1" applyFill="1" applyBorder="1" applyAlignment="1">
      <alignment vertical="top" wrapText="1"/>
    </xf>
    <xf numFmtId="0" fontId="3" fillId="0" borderId="25" xfId="5" applyFont="1" applyBorder="1" applyAlignment="1">
      <alignment vertical="top" wrapText="1"/>
    </xf>
    <xf numFmtId="0" fontId="56" fillId="0" borderId="0" xfId="1" applyFont="1" applyAlignment="1">
      <alignment vertical="top" wrapText="1"/>
    </xf>
    <xf numFmtId="0" fontId="56" fillId="0" borderId="19" xfId="1" applyFont="1" applyBorder="1" applyAlignment="1">
      <alignment vertical="top" wrapText="1"/>
    </xf>
    <xf numFmtId="0" fontId="57" fillId="0" borderId="32" xfId="1" applyFont="1" applyBorder="1" applyAlignment="1">
      <alignment vertical="top" wrapText="1"/>
    </xf>
    <xf numFmtId="0" fontId="55" fillId="0" borderId="25" xfId="1" applyFont="1" applyBorder="1" applyAlignment="1">
      <alignment vertical="top" wrapText="1"/>
    </xf>
    <xf numFmtId="0" fontId="55" fillId="0" borderId="8" xfId="1" applyFont="1" applyBorder="1" applyAlignment="1">
      <alignment vertical="top" wrapText="1"/>
    </xf>
    <xf numFmtId="0" fontId="55" fillId="0" borderId="30" xfId="1" applyFont="1" applyBorder="1" applyAlignment="1">
      <alignment vertical="top" wrapText="1"/>
    </xf>
    <xf numFmtId="0" fontId="56" fillId="0" borderId="7" xfId="1" applyFont="1" applyFill="1" applyBorder="1" applyAlignment="1">
      <alignment horizontal="center" vertical="top" wrapText="1"/>
    </xf>
    <xf numFmtId="0" fontId="56" fillId="0" borderId="39" xfId="1" applyFont="1" applyFill="1" applyBorder="1" applyAlignment="1">
      <alignment horizontal="center" vertical="top" wrapText="1"/>
    </xf>
    <xf numFmtId="0" fontId="3" fillId="0" borderId="0" xfId="0" applyFont="1" applyAlignment="1">
      <alignment vertical="top" wrapText="1"/>
    </xf>
    <xf numFmtId="0" fontId="9" fillId="0" borderId="6" xfId="0" applyFont="1" applyFill="1" applyBorder="1" applyAlignment="1">
      <alignment horizontal="center" vertical="center" textRotation="90" wrapText="1"/>
    </xf>
    <xf numFmtId="0" fontId="3" fillId="0" borderId="0" xfId="0" applyFont="1" applyAlignment="1">
      <alignment wrapText="1"/>
    </xf>
    <xf numFmtId="0" fontId="0" fillId="0" borderId="0" xfId="0" applyAlignment="1">
      <alignment vertical="top" wrapText="1"/>
    </xf>
    <xf numFmtId="0" fontId="9" fillId="0" borderId="6" xfId="4" applyFont="1" applyFill="1" applyBorder="1" applyAlignment="1">
      <alignment horizontal="center" vertical="center" textRotation="90" wrapText="1"/>
    </xf>
    <xf numFmtId="0" fontId="9" fillId="0" borderId="0" xfId="4" applyFont="1" applyFill="1" applyBorder="1" applyAlignment="1">
      <alignment horizontal="center" vertical="center" textRotation="90" wrapText="1"/>
    </xf>
    <xf numFmtId="0" fontId="7" fillId="0" borderId="0" xfId="3" applyFont="1" applyAlignment="1">
      <alignment horizontal="center" vertical="center" textRotation="90" wrapText="1"/>
    </xf>
    <xf numFmtId="0" fontId="9" fillId="0" borderId="0" xfId="0" applyFont="1" applyFill="1" applyBorder="1" applyAlignment="1">
      <alignment horizontal="center" vertical="center" textRotation="90" wrapText="1"/>
    </xf>
    <xf numFmtId="0" fontId="11" fillId="2" borderId="0" xfId="0" applyFont="1" applyFill="1" applyAlignment="1">
      <alignment vertical="top" wrapText="1"/>
    </xf>
    <xf numFmtId="0" fontId="3" fillId="0" borderId="1" xfId="0" applyFont="1" applyBorder="1" applyAlignment="1">
      <alignment vertical="top" wrapText="1"/>
    </xf>
    <xf numFmtId="0" fontId="0" fillId="0" borderId="0" xfId="0">
      <alignment vertical="top"/>
    </xf>
    <xf numFmtId="0" fontId="6" fillId="0" borderId="15" xfId="7" applyFont="1" applyFill="1" applyBorder="1" applyAlignment="1">
      <alignment horizontal="center" vertical="center" wrapText="1"/>
    </xf>
    <xf numFmtId="0" fontId="6" fillId="0" borderId="17" xfId="7" applyFont="1" applyFill="1" applyBorder="1" applyAlignment="1">
      <alignment horizontal="center" vertical="center" wrapText="1"/>
    </xf>
    <xf numFmtId="0" fontId="6" fillId="12" borderId="15" xfId="7" applyFont="1" applyFill="1" applyBorder="1" applyAlignment="1">
      <alignment horizontal="center" vertical="center" textRotation="90" wrapText="1"/>
    </xf>
    <xf numFmtId="0" fontId="6" fillId="12" borderId="18" xfId="7" applyFont="1" applyFill="1" applyBorder="1" applyAlignment="1">
      <alignment horizontal="center" vertical="center" textRotation="90" wrapText="1"/>
    </xf>
    <xf numFmtId="0" fontId="28" fillId="2" borderId="15" xfId="7" applyFont="1" applyFill="1" applyBorder="1" applyAlignment="1">
      <alignment horizontal="center" vertical="center" wrapText="1"/>
    </xf>
    <xf numFmtId="0" fontId="28" fillId="2" borderId="17" xfId="7" applyFont="1" applyFill="1" applyBorder="1" applyAlignment="1">
      <alignment horizontal="center" vertical="center" wrapText="1"/>
    </xf>
    <xf numFmtId="0" fontId="6" fillId="0" borderId="15" xfId="7" applyFont="1" applyFill="1" applyBorder="1" applyAlignment="1">
      <alignment horizontal="center" vertical="center" textRotation="90" wrapText="1"/>
    </xf>
    <xf numFmtId="0" fontId="6" fillId="0" borderId="17" xfId="7" applyFont="1" applyFill="1" applyBorder="1" applyAlignment="1">
      <alignment horizontal="center" vertical="center" textRotation="90" wrapText="1"/>
    </xf>
    <xf numFmtId="0" fontId="6" fillId="2" borderId="15" xfId="7" applyFont="1" applyFill="1" applyBorder="1" applyAlignment="1">
      <alignment horizontal="center" vertical="center" wrapText="1"/>
    </xf>
    <xf numFmtId="0" fontId="6" fillId="2" borderId="17" xfId="7" applyFont="1" applyFill="1" applyBorder="1" applyAlignment="1">
      <alignment horizontal="center" vertical="center" wrapText="1"/>
    </xf>
    <xf numFmtId="0" fontId="28" fillId="0" borderId="15" xfId="7" applyFont="1" applyFill="1" applyBorder="1" applyAlignment="1">
      <alignment horizontal="center" vertical="center" wrapText="1"/>
    </xf>
    <xf numFmtId="0" fontId="28" fillId="0" borderId="17" xfId="7" applyFont="1" applyFill="1" applyBorder="1" applyAlignment="1">
      <alignment horizontal="center" vertical="center" wrapText="1"/>
    </xf>
    <xf numFmtId="0" fontId="3" fillId="0" borderId="0" xfId="5" applyFont="1" applyBorder="1" applyAlignment="1">
      <alignment wrapText="1"/>
    </xf>
    <xf numFmtId="0" fontId="0" fillId="0" borderId="0" xfId="0" applyAlignment="1"/>
    <xf numFmtId="0" fontId="3" fillId="0" borderId="8" xfId="5" applyFont="1" applyBorder="1" applyAlignment="1">
      <alignment wrapText="1"/>
    </xf>
    <xf numFmtId="0" fontId="0" fillId="0" borderId="8" xfId="0" applyBorder="1" applyAlignment="1"/>
    <xf numFmtId="0" fontId="28" fillId="0" borderId="10" xfId="7" applyFont="1" applyFill="1" applyBorder="1" applyAlignment="1">
      <alignment horizontal="center" vertical="center" wrapText="1"/>
    </xf>
    <xf numFmtId="0" fontId="28" fillId="0" borderId="11" xfId="7" applyFont="1" applyFill="1" applyBorder="1" applyAlignment="1">
      <alignment horizontal="center" vertical="center" wrapText="1"/>
    </xf>
    <xf numFmtId="0" fontId="28" fillId="0" borderId="16" xfId="7" applyFont="1" applyFill="1" applyBorder="1" applyAlignment="1">
      <alignment horizontal="center" vertical="center" wrapText="1"/>
    </xf>
    <xf numFmtId="0" fontId="3" fillId="0" borderId="0" xfId="5" applyFont="1" applyAlignment="1">
      <alignment wrapText="1"/>
    </xf>
    <xf numFmtId="0" fontId="14" fillId="0" borderId="23" xfId="0" applyFont="1" applyBorder="1" applyAlignment="1">
      <alignment vertical="top" wrapText="1"/>
    </xf>
    <xf numFmtId="0" fontId="14" fillId="0" borderId="21" xfId="0" applyFont="1" applyBorder="1" applyAlignment="1">
      <alignment vertical="top" wrapText="1"/>
    </xf>
    <xf numFmtId="0" fontId="14" fillId="0" borderId="28" xfId="0" applyFont="1" applyBorder="1" applyAlignment="1">
      <alignment vertical="top" wrapText="1"/>
    </xf>
    <xf numFmtId="0" fontId="52" fillId="0" borderId="24" xfId="5" applyFont="1" applyBorder="1" applyAlignment="1">
      <alignment vertical="top" wrapText="1"/>
    </xf>
    <xf numFmtId="0" fontId="52" fillId="0" borderId="0" xfId="5" applyFont="1" applyBorder="1" applyAlignment="1">
      <alignment vertical="top" wrapText="1"/>
    </xf>
    <xf numFmtId="0" fontId="52" fillId="0" borderId="29" xfId="5" applyFont="1" applyBorder="1" applyAlignment="1">
      <alignment vertical="top" wrapText="1"/>
    </xf>
    <xf numFmtId="0" fontId="49" fillId="0" borderId="23" xfId="1" applyFont="1" applyBorder="1" applyAlignment="1">
      <alignment vertical="top" wrapText="1"/>
    </xf>
    <xf numFmtId="0" fontId="6" fillId="0" borderId="24" xfId="5" applyFont="1" applyBorder="1" applyAlignment="1">
      <alignment vertical="top" wrapText="1"/>
    </xf>
    <xf numFmtId="0" fontId="6" fillId="0" borderId="0" xfId="5" applyFont="1" applyBorder="1" applyAlignment="1">
      <alignment vertical="top" wrapText="1"/>
    </xf>
    <xf numFmtId="0" fontId="6" fillId="0" borderId="29" xfId="5" applyFont="1" applyBorder="1" applyAlignment="1">
      <alignment vertical="top" wrapText="1"/>
    </xf>
    <xf numFmtId="0" fontId="56" fillId="0" borderId="38" xfId="1" applyFont="1" applyFill="1" applyBorder="1" applyAlignment="1">
      <alignment horizontal="center" vertical="top" wrapText="1"/>
    </xf>
    <xf numFmtId="0" fontId="6" fillId="0" borderId="7" xfId="7" applyFont="1" applyFill="1" applyBorder="1" applyAlignment="1">
      <alignment horizontal="center" vertical="top" wrapText="1"/>
    </xf>
    <xf numFmtId="0" fontId="6" fillId="0" borderId="39" xfId="7" applyFont="1" applyFill="1" applyBorder="1" applyAlignment="1">
      <alignment horizontal="center" vertical="top" wrapText="1"/>
    </xf>
  </cellXfs>
  <cellStyles count="18">
    <cellStyle name="Hipervínculo" xfId="1" builtinId="8"/>
    <cellStyle name="Normal" xfId="0" builtinId="0"/>
    <cellStyle name="Normal 2" xfId="7"/>
    <cellStyle name="Normal 2 2" xfId="8"/>
    <cellStyle name="Normal 2 2 2" xfId="10"/>
    <cellStyle name="Normal 2 3" xfId="11"/>
    <cellStyle name="Normal 2 4" xfId="12"/>
    <cellStyle name="Normal 2 5" xfId="14"/>
    <cellStyle name="Normal 2 6" xfId="16"/>
    <cellStyle name="Normal 2 7" xfId="17"/>
    <cellStyle name="Normal_Attributes" xfId="2"/>
    <cellStyle name="Normal_Cover" xfId="3"/>
    <cellStyle name="Normal_FDD Workbook Template1" xfId="4"/>
    <cellStyle name="Normal_FDD Workbook Template1 2" xfId="9"/>
    <cellStyle name="Normal_FDD Workbook Template1 3" xfId="13"/>
    <cellStyle name="Normal_MSD_Cross_Analysis" xfId="5"/>
    <cellStyle name="Normal_Sheet1" xfId="6"/>
    <cellStyle name="Percent 2" xfId="15"/>
  </cellStyles>
  <dxfs count="0"/>
  <tableStyles count="0" defaultTableStyle="TableStyleMedium9" defaultPivotStyle="PivotStyleLight16"/>
  <colors>
    <mruColors>
      <color rgb="FFFFFF99"/>
      <color rgb="FF0000FF"/>
      <color rgb="FF00CC99"/>
      <color rgb="FF009900"/>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9"/>
  <sheetViews>
    <sheetView topLeftCell="B1" zoomScale="85" workbookViewId="0">
      <pane ySplit="8" topLeftCell="A32" activePane="bottomLeft" state="frozen"/>
      <selection pane="bottomLeft" activeCell="B1" sqref="B1:E1"/>
    </sheetView>
  </sheetViews>
  <sheetFormatPr baseColWidth="10" defaultColWidth="9.140625" defaultRowHeight="12.75" x14ac:dyDescent="0.2"/>
  <cols>
    <col min="1" max="1" width="6.7109375" style="2" hidden="1" customWidth="1"/>
    <col min="2" max="2" width="10.42578125" style="2" customWidth="1"/>
    <col min="3" max="3" width="17.42578125" style="2" customWidth="1"/>
    <col min="4" max="4" width="77.7109375" style="2" customWidth="1"/>
    <col min="5" max="5" width="73" style="2" customWidth="1"/>
    <col min="6" max="6" width="57.5703125" style="2" customWidth="1"/>
    <col min="7" max="16384" width="9.140625" style="2"/>
  </cols>
  <sheetData>
    <row r="1" spans="1:6" x14ac:dyDescent="0.2">
      <c r="A1" s="2">
        <v>0</v>
      </c>
      <c r="B1" s="387"/>
      <c r="C1" s="387"/>
      <c r="D1" s="387"/>
      <c r="E1" s="387"/>
      <c r="F1" s="377"/>
    </row>
    <row r="2" spans="1:6" ht="23.25" x14ac:dyDescent="0.2">
      <c r="A2" s="2">
        <v>1</v>
      </c>
      <c r="B2" s="385" t="s">
        <v>198</v>
      </c>
      <c r="C2" s="385"/>
      <c r="D2" s="385"/>
      <c r="E2" s="6" t="s">
        <v>199</v>
      </c>
      <c r="F2" s="377"/>
    </row>
    <row r="3" spans="1:6" x14ac:dyDescent="0.2">
      <c r="A3" s="2">
        <v>2</v>
      </c>
      <c r="B3" s="377"/>
      <c r="C3" s="377"/>
      <c r="D3" s="377"/>
      <c r="E3" s="377"/>
      <c r="F3" s="377"/>
    </row>
    <row r="4" spans="1:6" ht="102" customHeight="1" x14ac:dyDescent="0.2">
      <c r="A4" s="2">
        <v>3</v>
      </c>
      <c r="B4" s="377"/>
      <c r="C4" s="4" t="s">
        <v>21</v>
      </c>
      <c r="D4" s="377" t="s">
        <v>201</v>
      </c>
      <c r="E4" s="377"/>
      <c r="F4" s="377"/>
    </row>
    <row r="5" spans="1:6" ht="28.5" customHeight="1" thickBot="1" x14ac:dyDescent="0.25">
      <c r="A5" s="2">
        <v>4</v>
      </c>
      <c r="B5" s="377"/>
      <c r="C5" s="4" t="s">
        <v>22</v>
      </c>
      <c r="D5" s="380" t="s">
        <v>202</v>
      </c>
      <c r="E5" s="377"/>
      <c r="F5" s="377"/>
    </row>
    <row r="6" spans="1:6" ht="27" customHeight="1" thickBot="1" x14ac:dyDescent="0.25">
      <c r="A6" s="2">
        <v>5</v>
      </c>
      <c r="B6" s="377"/>
      <c r="C6" s="4" t="s">
        <v>93</v>
      </c>
      <c r="D6" s="92" t="s">
        <v>200</v>
      </c>
      <c r="E6" s="91" t="s">
        <v>120</v>
      </c>
      <c r="F6" s="377"/>
    </row>
    <row r="7" spans="1:6" x14ac:dyDescent="0.2">
      <c r="A7" s="2">
        <v>6</v>
      </c>
      <c r="B7" s="377"/>
      <c r="C7" s="4"/>
      <c r="D7" s="9"/>
      <c r="E7" s="1"/>
      <c r="F7" s="377"/>
    </row>
    <row r="8" spans="1:6" ht="16.5" thickBot="1" x14ac:dyDescent="0.25">
      <c r="A8" s="2">
        <v>7</v>
      </c>
      <c r="B8" s="386"/>
      <c r="C8" s="8" t="s">
        <v>18</v>
      </c>
      <c r="D8" s="8" t="s">
        <v>19</v>
      </c>
      <c r="E8" s="8" t="s">
        <v>20</v>
      </c>
      <c r="F8" s="377"/>
    </row>
    <row r="9" spans="1:6" ht="33.75" customHeight="1" x14ac:dyDescent="0.2">
      <c r="A9" s="2">
        <v>8</v>
      </c>
      <c r="B9" s="378" t="s">
        <v>55</v>
      </c>
      <c r="C9" s="10" t="s">
        <v>56</v>
      </c>
      <c r="D9" s="10" t="s">
        <v>197</v>
      </c>
      <c r="E9" s="10" t="s">
        <v>58</v>
      </c>
      <c r="F9" s="377"/>
    </row>
    <row r="10" spans="1:6" ht="25.5" x14ac:dyDescent="0.2">
      <c r="A10" s="2">
        <v>9</v>
      </c>
      <c r="B10" s="379"/>
      <c r="C10" s="4" t="s">
        <v>156</v>
      </c>
      <c r="D10" s="2" t="s">
        <v>59</v>
      </c>
      <c r="E10" s="77" t="s">
        <v>157</v>
      </c>
      <c r="F10" s="377"/>
    </row>
    <row r="11" spans="1:6" ht="39" customHeight="1" x14ac:dyDescent="0.2">
      <c r="A11" s="2">
        <v>10</v>
      </c>
      <c r="B11" s="379"/>
      <c r="C11" s="4" t="s">
        <v>1785</v>
      </c>
      <c r="D11" s="2" t="s">
        <v>36</v>
      </c>
      <c r="E11" s="77" t="s">
        <v>203</v>
      </c>
      <c r="F11" s="377"/>
    </row>
    <row r="12" spans="1:6" ht="27.75" hidden="1" customHeight="1" x14ac:dyDescent="0.2">
      <c r="A12" s="2">
        <v>11</v>
      </c>
      <c r="B12" s="379"/>
      <c r="C12" s="170" t="s">
        <v>30</v>
      </c>
      <c r="D12" s="171" t="s">
        <v>37</v>
      </c>
      <c r="E12" s="171" t="s">
        <v>204</v>
      </c>
      <c r="F12" s="377"/>
    </row>
    <row r="13" spans="1:6" ht="14.25" customHeight="1" x14ac:dyDescent="0.2">
      <c r="A13" s="2">
        <v>12</v>
      </c>
      <c r="B13" s="379"/>
      <c r="C13" s="4" t="s">
        <v>32</v>
      </c>
      <c r="D13" s="2" t="s">
        <v>24</v>
      </c>
      <c r="F13" s="377"/>
    </row>
    <row r="14" spans="1:6" ht="14.25" customHeight="1" x14ac:dyDescent="0.2">
      <c r="A14" s="2">
        <v>13</v>
      </c>
      <c r="B14" s="379"/>
      <c r="C14" s="4" t="s">
        <v>33</v>
      </c>
      <c r="D14" s="2" t="s">
        <v>23</v>
      </c>
      <c r="F14" s="377"/>
    </row>
    <row r="15" spans="1:6" ht="25.5" x14ac:dyDescent="0.2">
      <c r="A15" s="2">
        <v>14</v>
      </c>
      <c r="B15" s="379"/>
      <c r="C15" s="4" t="s">
        <v>31</v>
      </c>
      <c r="D15" s="2" t="s">
        <v>25</v>
      </c>
      <c r="E15" s="28" t="s">
        <v>16</v>
      </c>
      <c r="F15" s="377"/>
    </row>
    <row r="16" spans="1:6" x14ac:dyDescent="0.2">
      <c r="A16" s="2">
        <v>15</v>
      </c>
      <c r="B16" s="379"/>
      <c r="C16" s="4" t="s">
        <v>29</v>
      </c>
      <c r="D16" s="3" t="s">
        <v>17</v>
      </c>
      <c r="F16" s="377"/>
    </row>
    <row r="17" spans="1:6" ht="25.5" hidden="1" x14ac:dyDescent="0.2">
      <c r="A17" s="2">
        <v>16</v>
      </c>
      <c r="B17" s="379"/>
      <c r="C17" s="4" t="s">
        <v>46</v>
      </c>
      <c r="D17" s="2" t="s">
        <v>26</v>
      </c>
      <c r="F17" s="377"/>
    </row>
    <row r="18" spans="1:6" ht="15" hidden="1" customHeight="1" x14ac:dyDescent="0.2">
      <c r="A18" s="2">
        <v>17</v>
      </c>
      <c r="B18" s="379"/>
      <c r="C18" s="95" t="s">
        <v>38</v>
      </c>
      <c r="D18" s="96" t="s">
        <v>28</v>
      </c>
      <c r="F18" s="377"/>
    </row>
    <row r="19" spans="1:6" ht="27.75" hidden="1" customHeight="1" x14ac:dyDescent="0.2">
      <c r="A19" s="2">
        <v>18</v>
      </c>
      <c r="B19" s="379"/>
      <c r="C19" s="4" t="s">
        <v>158</v>
      </c>
      <c r="D19" s="2" t="s">
        <v>43</v>
      </c>
      <c r="E19" s="77" t="s">
        <v>90</v>
      </c>
      <c r="F19" s="377"/>
    </row>
    <row r="20" spans="1:6" ht="26.25" hidden="1" customHeight="1" x14ac:dyDescent="0.2">
      <c r="A20" s="2">
        <v>19</v>
      </c>
      <c r="B20" s="379"/>
      <c r="C20" s="4" t="s">
        <v>41</v>
      </c>
      <c r="D20" s="2" t="s">
        <v>44</v>
      </c>
      <c r="E20" s="77" t="s">
        <v>90</v>
      </c>
      <c r="F20" s="377"/>
    </row>
    <row r="21" spans="1:6" s="110" customFormat="1" ht="26.25" hidden="1" customHeight="1" x14ac:dyDescent="0.2">
      <c r="B21" s="379"/>
      <c r="C21" s="4" t="s">
        <v>136</v>
      </c>
      <c r="D21" s="111" t="s">
        <v>137</v>
      </c>
      <c r="E21" s="115" t="s">
        <v>138</v>
      </c>
    </row>
    <row r="22" spans="1:6" s="107" customFormat="1" ht="26.25" hidden="1" customHeight="1" x14ac:dyDescent="0.2">
      <c r="B22" s="379"/>
      <c r="C22" s="4" t="s">
        <v>134</v>
      </c>
      <c r="D22" s="108" t="s">
        <v>135</v>
      </c>
      <c r="E22" s="108"/>
    </row>
    <row r="23" spans="1:6" s="76" customFormat="1" ht="40.5" customHeight="1" x14ac:dyDescent="0.2">
      <c r="B23" s="380"/>
      <c r="C23" s="4" t="s">
        <v>91</v>
      </c>
      <c r="D23" s="77" t="s">
        <v>121</v>
      </c>
      <c r="E23" s="77" t="s">
        <v>122</v>
      </c>
    </row>
    <row r="24" spans="1:6" ht="12.75" customHeight="1" thickBot="1" x14ac:dyDescent="0.25">
      <c r="A24" s="2">
        <v>20</v>
      </c>
      <c r="B24" s="7"/>
      <c r="C24" s="7"/>
      <c r="D24" s="7"/>
      <c r="E24" s="7"/>
    </row>
    <row r="25" spans="1:6" ht="30" customHeight="1" x14ac:dyDescent="0.2">
      <c r="A25" s="2">
        <v>21</v>
      </c>
      <c r="B25" s="378" t="s">
        <v>57</v>
      </c>
      <c r="C25" s="10" t="s">
        <v>57</v>
      </c>
      <c r="D25" s="10" t="s">
        <v>27</v>
      </c>
      <c r="E25" s="10" t="s">
        <v>60</v>
      </c>
      <c r="F25" s="377"/>
    </row>
    <row r="26" spans="1:6" ht="25.5" x14ac:dyDescent="0.2">
      <c r="A26" s="2">
        <v>22</v>
      </c>
      <c r="B26" s="379"/>
      <c r="C26" s="4" t="s">
        <v>156</v>
      </c>
      <c r="D26" s="2" t="s">
        <v>61</v>
      </c>
      <c r="E26" s="77" t="s">
        <v>157</v>
      </c>
      <c r="F26" s="377"/>
    </row>
    <row r="27" spans="1:6" ht="39" customHeight="1" x14ac:dyDescent="0.2">
      <c r="A27" s="2">
        <v>23</v>
      </c>
      <c r="B27" s="379"/>
      <c r="C27" s="4" t="s">
        <v>1785</v>
      </c>
      <c r="D27" s="2" t="s">
        <v>36</v>
      </c>
      <c r="E27" s="77" t="s">
        <v>205</v>
      </c>
      <c r="F27" s="377"/>
    </row>
    <row r="28" spans="1:6" ht="27" hidden="1" customHeight="1" x14ac:dyDescent="0.2">
      <c r="A28" s="2">
        <v>24</v>
      </c>
      <c r="B28" s="379"/>
      <c r="C28" s="170" t="s">
        <v>30</v>
      </c>
      <c r="D28" s="171" t="s">
        <v>37</v>
      </c>
      <c r="E28" s="171" t="s">
        <v>204</v>
      </c>
      <c r="F28" s="377"/>
    </row>
    <row r="29" spans="1:6" ht="27" customHeight="1" x14ac:dyDescent="0.2">
      <c r="A29" s="2">
        <v>25</v>
      </c>
      <c r="B29" s="379"/>
      <c r="C29" s="4" t="s">
        <v>32</v>
      </c>
      <c r="D29" s="2" t="s">
        <v>24</v>
      </c>
      <c r="E29" s="28" t="s">
        <v>14</v>
      </c>
      <c r="F29" s="377"/>
    </row>
    <row r="30" spans="1:6" ht="15" customHeight="1" x14ac:dyDescent="0.2">
      <c r="A30" s="2">
        <v>26</v>
      </c>
      <c r="B30" s="379"/>
      <c r="C30" s="4" t="s">
        <v>33</v>
      </c>
      <c r="D30" s="2" t="s">
        <v>23</v>
      </c>
      <c r="F30" s="377"/>
    </row>
    <row r="31" spans="1:6" ht="27" customHeight="1" x14ac:dyDescent="0.2">
      <c r="A31" s="2">
        <v>27</v>
      </c>
      <c r="B31" s="379"/>
      <c r="C31" s="4" t="s">
        <v>31</v>
      </c>
      <c r="D31" s="2" t="s">
        <v>25</v>
      </c>
      <c r="E31" s="28" t="s">
        <v>16</v>
      </c>
      <c r="F31" s="377"/>
    </row>
    <row r="32" spans="1:6" ht="15.75" customHeight="1" x14ac:dyDescent="0.2">
      <c r="A32" s="2">
        <v>28</v>
      </c>
      <c r="B32" s="379"/>
      <c r="C32" s="4" t="s">
        <v>29</v>
      </c>
      <c r="D32" s="3" t="s">
        <v>17</v>
      </c>
      <c r="F32" s="377"/>
    </row>
    <row r="33" spans="1:6" ht="38.25" customHeight="1" x14ac:dyDescent="0.2">
      <c r="A33" s="2">
        <v>29</v>
      </c>
      <c r="B33" s="379"/>
      <c r="C33" s="27" t="s">
        <v>47</v>
      </c>
      <c r="D33" s="28" t="s">
        <v>6</v>
      </c>
      <c r="E33" s="28" t="s">
        <v>4</v>
      </c>
      <c r="F33" s="377"/>
    </row>
    <row r="34" spans="1:6" ht="27.75" customHeight="1" x14ac:dyDescent="0.2">
      <c r="A34" s="2">
        <v>30</v>
      </c>
      <c r="B34" s="379"/>
      <c r="C34" s="27" t="s">
        <v>48</v>
      </c>
      <c r="D34" s="28" t="s">
        <v>7</v>
      </c>
      <c r="E34" s="28" t="s">
        <v>8</v>
      </c>
      <c r="F34" s="377"/>
    </row>
    <row r="35" spans="1:6" ht="25.5" x14ac:dyDescent="0.2">
      <c r="A35" s="2">
        <v>31</v>
      </c>
      <c r="B35" s="379"/>
      <c r="C35" s="27" t="s">
        <v>1784</v>
      </c>
      <c r="D35" s="28" t="s">
        <v>66</v>
      </c>
      <c r="E35" s="28" t="s">
        <v>9</v>
      </c>
      <c r="F35" s="377"/>
    </row>
    <row r="36" spans="1:6" s="116" customFormat="1" ht="38.25" x14ac:dyDescent="0.2">
      <c r="B36" s="379"/>
      <c r="C36" s="27" t="s">
        <v>139</v>
      </c>
      <c r="D36" s="90" t="s">
        <v>2</v>
      </c>
      <c r="E36" s="90" t="s">
        <v>183</v>
      </c>
      <c r="F36" s="377"/>
    </row>
    <row r="37" spans="1:6" ht="40.5" customHeight="1" x14ac:dyDescent="0.2">
      <c r="A37" s="2">
        <v>32</v>
      </c>
      <c r="B37" s="379"/>
      <c r="C37" s="27" t="s">
        <v>140</v>
      </c>
      <c r="D37" s="90" t="s">
        <v>142</v>
      </c>
      <c r="E37" s="28" t="s">
        <v>184</v>
      </c>
      <c r="F37" s="377"/>
    </row>
    <row r="38" spans="1:6" s="116" customFormat="1" ht="63.75" x14ac:dyDescent="0.2">
      <c r="B38" s="379"/>
      <c r="C38" s="125" t="s">
        <v>143</v>
      </c>
      <c r="D38" s="123" t="s">
        <v>185</v>
      </c>
      <c r="E38" s="124" t="s">
        <v>186</v>
      </c>
      <c r="F38" s="377"/>
    </row>
    <row r="39" spans="1:6" ht="39" customHeight="1" x14ac:dyDescent="0.2">
      <c r="A39" s="2">
        <v>33</v>
      </c>
      <c r="B39" s="379"/>
      <c r="C39" s="27" t="s">
        <v>87</v>
      </c>
      <c r="D39" s="28" t="s">
        <v>10</v>
      </c>
      <c r="E39" s="28" t="s">
        <v>11</v>
      </c>
      <c r="F39" s="377"/>
    </row>
    <row r="40" spans="1:6" ht="27" customHeight="1" x14ac:dyDescent="0.2">
      <c r="B40" s="379"/>
      <c r="C40" s="27" t="s">
        <v>80</v>
      </c>
      <c r="D40" s="28" t="s">
        <v>83</v>
      </c>
      <c r="E40" s="28" t="s">
        <v>82</v>
      </c>
      <c r="F40" s="377"/>
    </row>
    <row r="41" spans="1:6" ht="25.5" hidden="1" x14ac:dyDescent="0.2">
      <c r="A41" s="2">
        <v>34</v>
      </c>
      <c r="B41" s="379"/>
      <c r="C41" s="4" t="s">
        <v>46</v>
      </c>
      <c r="D41" s="2" t="s">
        <v>81</v>
      </c>
      <c r="F41" s="377"/>
    </row>
    <row r="42" spans="1:6" ht="17.25" hidden="1" customHeight="1" x14ac:dyDescent="0.2">
      <c r="A42" s="2">
        <v>35</v>
      </c>
      <c r="B42" s="379"/>
      <c r="C42" s="95" t="s">
        <v>141</v>
      </c>
      <c r="D42" s="96" t="s">
        <v>28</v>
      </c>
      <c r="F42" s="377"/>
    </row>
    <row r="43" spans="1:6" ht="26.25" hidden="1" customHeight="1" x14ac:dyDescent="0.2">
      <c r="A43" s="2">
        <v>36</v>
      </c>
      <c r="B43" s="379"/>
      <c r="C43" s="4" t="s">
        <v>158</v>
      </c>
      <c r="D43" s="2" t="s">
        <v>43</v>
      </c>
      <c r="E43" s="77" t="s">
        <v>90</v>
      </c>
      <c r="F43" s="377"/>
    </row>
    <row r="44" spans="1:6" ht="27" hidden="1" customHeight="1" x14ac:dyDescent="0.2">
      <c r="A44" s="2">
        <v>37</v>
      </c>
      <c r="B44" s="379"/>
      <c r="C44" s="4" t="s">
        <v>41</v>
      </c>
      <c r="D44" s="2" t="s">
        <v>44</v>
      </c>
      <c r="E44" s="77" t="s">
        <v>90</v>
      </c>
      <c r="F44" s="377"/>
    </row>
    <row r="45" spans="1:6" s="110" customFormat="1" ht="26.25" customHeight="1" x14ac:dyDescent="0.2">
      <c r="B45" s="379"/>
      <c r="C45" s="4" t="s">
        <v>136</v>
      </c>
      <c r="D45" s="111" t="s">
        <v>137</v>
      </c>
      <c r="E45" s="115" t="s">
        <v>138</v>
      </c>
    </row>
    <row r="46" spans="1:6" s="107" customFormat="1" ht="26.25" hidden="1" customHeight="1" x14ac:dyDescent="0.2">
      <c r="B46" s="379"/>
      <c r="C46" s="4" t="s">
        <v>134</v>
      </c>
      <c r="D46" s="108" t="s">
        <v>135</v>
      </c>
      <c r="E46" s="108"/>
    </row>
    <row r="47" spans="1:6" s="76" customFormat="1" ht="39.75" customHeight="1" x14ac:dyDescent="0.2">
      <c r="B47" s="380"/>
      <c r="C47" s="4" t="s">
        <v>91</v>
      </c>
      <c r="D47" s="77" t="s">
        <v>121</v>
      </c>
      <c r="E47" s="77" t="s">
        <v>122</v>
      </c>
    </row>
    <row r="48" spans="1:6" ht="15" customHeight="1" thickBot="1" x14ac:dyDescent="0.25">
      <c r="A48" s="2">
        <v>38</v>
      </c>
      <c r="B48" s="7"/>
      <c r="C48" s="7"/>
      <c r="D48" s="7"/>
      <c r="E48" s="7"/>
    </row>
    <row r="49" spans="1:6" ht="76.5" x14ac:dyDescent="0.2">
      <c r="A49" s="2">
        <v>39</v>
      </c>
      <c r="B49" s="381" t="s">
        <v>13</v>
      </c>
      <c r="C49" s="29" t="s">
        <v>13</v>
      </c>
      <c r="D49" s="29" t="s">
        <v>187</v>
      </c>
      <c r="E49" s="29" t="s">
        <v>188</v>
      </c>
      <c r="F49" s="377"/>
    </row>
    <row r="50" spans="1:6" s="76" customFormat="1" ht="27" customHeight="1" x14ac:dyDescent="0.2">
      <c r="A50" s="76">
        <v>40</v>
      </c>
      <c r="B50" s="382"/>
      <c r="C50" s="27" t="s">
        <v>156</v>
      </c>
      <c r="D50" s="77" t="s">
        <v>95</v>
      </c>
      <c r="E50" s="77" t="s">
        <v>89</v>
      </c>
      <c r="F50" s="377"/>
    </row>
    <row r="51" spans="1:6" ht="39.75" hidden="1" customHeight="1" x14ac:dyDescent="0.2">
      <c r="A51" s="2">
        <v>40</v>
      </c>
      <c r="B51" s="383"/>
      <c r="C51" s="27" t="s">
        <v>16392</v>
      </c>
      <c r="D51" s="28" t="s">
        <v>67</v>
      </c>
      <c r="E51" s="90" t="s">
        <v>124</v>
      </c>
      <c r="F51" s="377"/>
    </row>
    <row r="52" spans="1:6" ht="26.25" customHeight="1" x14ac:dyDescent="0.2">
      <c r="A52" s="2">
        <v>41</v>
      </c>
      <c r="B52" s="383"/>
      <c r="C52" s="27" t="s">
        <v>130</v>
      </c>
      <c r="D52" s="28" t="s">
        <v>74</v>
      </c>
      <c r="E52" s="28" t="s">
        <v>12</v>
      </c>
      <c r="F52" s="377"/>
    </row>
    <row r="53" spans="1:6" ht="39.75" customHeight="1" x14ac:dyDescent="0.2">
      <c r="A53" s="2">
        <v>42</v>
      </c>
      <c r="B53" s="383"/>
      <c r="C53" s="94" t="s">
        <v>16393</v>
      </c>
      <c r="D53" s="28" t="s">
        <v>68</v>
      </c>
      <c r="E53" s="28" t="s">
        <v>189</v>
      </c>
      <c r="F53" s="377"/>
    </row>
    <row r="54" spans="1:6" ht="28.5" customHeight="1" x14ac:dyDescent="0.2">
      <c r="A54" s="2">
        <v>43</v>
      </c>
      <c r="B54" s="383"/>
      <c r="C54" s="94" t="s">
        <v>131</v>
      </c>
      <c r="D54" s="28" t="s">
        <v>69</v>
      </c>
      <c r="E54" s="28"/>
      <c r="F54" s="377"/>
    </row>
    <row r="55" spans="1:6" ht="27" customHeight="1" x14ac:dyDescent="0.2">
      <c r="A55" s="2">
        <v>44</v>
      </c>
      <c r="B55" s="383"/>
      <c r="C55" s="27" t="s">
        <v>33</v>
      </c>
      <c r="D55" s="28" t="s">
        <v>70</v>
      </c>
      <c r="E55" s="30" t="s">
        <v>75</v>
      </c>
      <c r="F55" s="377"/>
    </row>
    <row r="56" spans="1:6" ht="27.75" customHeight="1" x14ac:dyDescent="0.2">
      <c r="A56" s="2">
        <v>45</v>
      </c>
      <c r="B56" s="383"/>
      <c r="C56" s="27" t="s">
        <v>31</v>
      </c>
      <c r="D56" s="28" t="s">
        <v>71</v>
      </c>
      <c r="E56" s="28" t="s">
        <v>16</v>
      </c>
      <c r="F56" s="377"/>
    </row>
    <row r="57" spans="1:6" ht="13.5" customHeight="1" x14ac:dyDescent="0.2">
      <c r="A57" s="2">
        <v>46</v>
      </c>
      <c r="B57" s="383"/>
      <c r="C57" s="27" t="s">
        <v>45</v>
      </c>
      <c r="D57" s="28" t="s">
        <v>15</v>
      </c>
      <c r="E57" s="28"/>
      <c r="F57" s="377"/>
    </row>
    <row r="58" spans="1:6" ht="38.25" customHeight="1" x14ac:dyDescent="0.2">
      <c r="A58" s="2">
        <v>47</v>
      </c>
      <c r="B58" s="383"/>
      <c r="C58" s="94" t="s">
        <v>127</v>
      </c>
      <c r="D58" s="28" t="s">
        <v>76</v>
      </c>
      <c r="E58" s="28" t="s">
        <v>79</v>
      </c>
      <c r="F58" s="377"/>
    </row>
    <row r="59" spans="1:6" ht="27" customHeight="1" x14ac:dyDescent="0.2">
      <c r="A59" s="2">
        <v>48</v>
      </c>
      <c r="B59" s="383"/>
      <c r="C59" s="94" t="s">
        <v>128</v>
      </c>
      <c r="D59" s="28" t="s">
        <v>77</v>
      </c>
      <c r="E59" s="28" t="s">
        <v>78</v>
      </c>
      <c r="F59" s="377"/>
    </row>
    <row r="60" spans="1:6" ht="51" hidden="1" customHeight="1" x14ac:dyDescent="0.2">
      <c r="A60" s="2">
        <v>49</v>
      </c>
      <c r="B60" s="383"/>
      <c r="C60" s="94" t="s">
        <v>129</v>
      </c>
      <c r="D60" s="90" t="s">
        <v>97</v>
      </c>
      <c r="E60" s="28" t="s">
        <v>190</v>
      </c>
      <c r="F60" s="377"/>
    </row>
    <row r="61" spans="1:6" ht="101.25" customHeight="1" x14ac:dyDescent="0.2">
      <c r="A61" s="2">
        <v>50</v>
      </c>
      <c r="B61" s="383"/>
      <c r="C61" s="27" t="s">
        <v>132</v>
      </c>
      <c r="D61" s="28" t="s">
        <v>0</v>
      </c>
      <c r="E61" s="90" t="s">
        <v>123</v>
      </c>
      <c r="F61" s="377"/>
    </row>
    <row r="62" spans="1:6" ht="27" customHeight="1" x14ac:dyDescent="0.2">
      <c r="B62" s="383"/>
      <c r="C62" s="27" t="s">
        <v>80</v>
      </c>
      <c r="D62" s="28" t="s">
        <v>84</v>
      </c>
      <c r="E62" s="28" t="s">
        <v>85</v>
      </c>
      <c r="F62" s="377"/>
    </row>
    <row r="63" spans="1:6" ht="39" customHeight="1" x14ac:dyDescent="0.2">
      <c r="A63" s="2">
        <v>51</v>
      </c>
      <c r="B63" s="383"/>
      <c r="C63" s="27" t="s">
        <v>34</v>
      </c>
      <c r="D63" s="28" t="s">
        <v>1</v>
      </c>
      <c r="E63" s="28" t="s">
        <v>191</v>
      </c>
      <c r="F63" s="377"/>
    </row>
    <row r="64" spans="1:6" ht="64.5" customHeight="1" x14ac:dyDescent="0.2">
      <c r="A64" s="2">
        <v>52</v>
      </c>
      <c r="B64" s="383"/>
      <c r="C64" s="27" t="s">
        <v>51</v>
      </c>
      <c r="D64" s="28" t="s">
        <v>62</v>
      </c>
      <c r="E64" s="28" t="s">
        <v>192</v>
      </c>
      <c r="F64" s="377"/>
    </row>
    <row r="65" spans="1:6" ht="39.75" customHeight="1" x14ac:dyDescent="0.2">
      <c r="A65" s="2">
        <v>53</v>
      </c>
      <c r="B65" s="383"/>
      <c r="C65" s="27" t="s">
        <v>52</v>
      </c>
      <c r="D65" s="28" t="s">
        <v>63</v>
      </c>
      <c r="E65" s="90" t="s">
        <v>193</v>
      </c>
      <c r="F65" s="377"/>
    </row>
    <row r="66" spans="1:6" s="167" customFormat="1" ht="38.25" hidden="1" x14ac:dyDescent="0.2">
      <c r="B66" s="383"/>
      <c r="C66" s="169" t="s">
        <v>180</v>
      </c>
      <c r="D66" s="160" t="s">
        <v>181</v>
      </c>
      <c r="E66" s="168" t="s">
        <v>182</v>
      </c>
      <c r="F66" s="377"/>
    </row>
    <row r="67" spans="1:6" ht="28.5" customHeight="1" x14ac:dyDescent="0.2">
      <c r="A67" s="2">
        <v>54</v>
      </c>
      <c r="B67" s="383"/>
      <c r="C67" s="27" t="s">
        <v>72</v>
      </c>
      <c r="D67" s="28" t="s">
        <v>65</v>
      </c>
      <c r="E67" s="28" t="s">
        <v>194</v>
      </c>
      <c r="F67" s="377"/>
    </row>
    <row r="68" spans="1:6" ht="27" customHeight="1" x14ac:dyDescent="0.2">
      <c r="A68" s="2">
        <v>55</v>
      </c>
      <c r="B68" s="383"/>
      <c r="C68" s="27" t="s">
        <v>73</v>
      </c>
      <c r="D68" s="28" t="s">
        <v>64</v>
      </c>
      <c r="E68" s="28" t="s">
        <v>195</v>
      </c>
      <c r="F68" s="377"/>
    </row>
    <row r="69" spans="1:6" s="76" customFormat="1" ht="25.5" hidden="1" x14ac:dyDescent="0.2">
      <c r="A69" s="76">
        <v>34</v>
      </c>
      <c r="B69" s="383"/>
      <c r="C69" s="4" t="s">
        <v>46</v>
      </c>
      <c r="D69" s="76" t="s">
        <v>81</v>
      </c>
      <c r="F69" s="377"/>
    </row>
    <row r="70" spans="1:6" ht="15.75" hidden="1" customHeight="1" x14ac:dyDescent="0.2">
      <c r="A70" s="2">
        <v>56</v>
      </c>
      <c r="B70" s="380"/>
      <c r="C70" s="95" t="s">
        <v>98</v>
      </c>
      <c r="D70" s="96" t="s">
        <v>28</v>
      </c>
      <c r="F70" s="377"/>
    </row>
    <row r="71" spans="1:6" ht="26.25" hidden="1" customHeight="1" x14ac:dyDescent="0.2">
      <c r="A71" s="2">
        <v>57</v>
      </c>
      <c r="B71" s="380"/>
      <c r="C71" s="4" t="s">
        <v>42</v>
      </c>
      <c r="D71" s="2" t="s">
        <v>43</v>
      </c>
      <c r="E71" s="77" t="s">
        <v>90</v>
      </c>
      <c r="F71" s="377"/>
    </row>
    <row r="72" spans="1:6" ht="27" hidden="1" customHeight="1" x14ac:dyDescent="0.2">
      <c r="A72" s="2">
        <v>58</v>
      </c>
      <c r="B72" s="380"/>
      <c r="C72" s="4" t="s">
        <v>41</v>
      </c>
      <c r="D72" s="2" t="s">
        <v>44</v>
      </c>
      <c r="E72" s="77" t="s">
        <v>90</v>
      </c>
      <c r="F72" s="377"/>
    </row>
    <row r="73" spans="1:6" s="110" customFormat="1" ht="26.25" hidden="1" customHeight="1" x14ac:dyDescent="0.2">
      <c r="B73" s="380"/>
      <c r="C73" s="4" t="s">
        <v>136</v>
      </c>
      <c r="D73" s="111" t="s">
        <v>137</v>
      </c>
      <c r="E73" s="115" t="s">
        <v>138</v>
      </c>
    </row>
    <row r="74" spans="1:6" s="107" customFormat="1" ht="26.25" hidden="1" customHeight="1" x14ac:dyDescent="0.2">
      <c r="B74" s="380"/>
      <c r="C74" s="4" t="s">
        <v>134</v>
      </c>
      <c r="D74" s="108" t="s">
        <v>135</v>
      </c>
      <c r="E74" s="108" t="s">
        <v>206</v>
      </c>
    </row>
    <row r="75" spans="1:6" ht="15" customHeight="1" thickBot="1" x14ac:dyDescent="0.25">
      <c r="A75" s="2">
        <v>59</v>
      </c>
      <c r="B75" s="7"/>
      <c r="C75" s="7"/>
      <c r="D75" s="7"/>
      <c r="E75" s="7"/>
    </row>
    <row r="76" spans="1:6" ht="41.25" customHeight="1" x14ac:dyDescent="0.2">
      <c r="A76" s="2">
        <v>60</v>
      </c>
      <c r="B76" s="378" t="s">
        <v>5</v>
      </c>
      <c r="C76" s="10" t="s">
        <v>165</v>
      </c>
      <c r="D76" s="10" t="s">
        <v>196</v>
      </c>
      <c r="E76" s="29" t="s">
        <v>3</v>
      </c>
      <c r="F76" s="377"/>
    </row>
    <row r="77" spans="1:6" s="76" customFormat="1" ht="27" customHeight="1" x14ac:dyDescent="0.2">
      <c r="A77" s="76">
        <v>40</v>
      </c>
      <c r="B77" s="379"/>
      <c r="C77" s="27" t="s">
        <v>1784</v>
      </c>
      <c r="D77" s="77" t="s">
        <v>99</v>
      </c>
      <c r="E77" s="77" t="s">
        <v>100</v>
      </c>
      <c r="F77" s="377"/>
    </row>
    <row r="78" spans="1:6" ht="38.25" x14ac:dyDescent="0.2">
      <c r="A78" s="2">
        <v>62</v>
      </c>
      <c r="B78" s="379"/>
      <c r="C78" s="27" t="s">
        <v>94</v>
      </c>
      <c r="D78" s="90" t="s">
        <v>101</v>
      </c>
      <c r="E78" s="160" t="s">
        <v>179</v>
      </c>
      <c r="F78" s="377"/>
    </row>
    <row r="79" spans="1:6" ht="25.5" x14ac:dyDescent="0.2">
      <c r="A79" s="2">
        <v>63</v>
      </c>
      <c r="B79" s="379"/>
      <c r="C79" s="154" t="s">
        <v>158</v>
      </c>
      <c r="D79" s="344" t="s">
        <v>102</v>
      </c>
      <c r="E79" s="163" t="s">
        <v>207</v>
      </c>
      <c r="F79" s="377"/>
    </row>
    <row r="80" spans="1:6" ht="25.5" x14ac:dyDescent="0.2">
      <c r="A80" s="2">
        <v>64</v>
      </c>
      <c r="B80" s="379"/>
      <c r="C80" s="4" t="s">
        <v>1785</v>
      </c>
      <c r="D80" s="2" t="s">
        <v>39</v>
      </c>
      <c r="E80" s="77" t="s">
        <v>208</v>
      </c>
      <c r="F80" s="377"/>
    </row>
    <row r="81" spans="1:6" ht="25.5" x14ac:dyDescent="0.2">
      <c r="A81" s="2">
        <v>65</v>
      </c>
      <c r="B81" s="379"/>
      <c r="C81" s="4" t="s">
        <v>30</v>
      </c>
      <c r="D81" s="2" t="s">
        <v>40</v>
      </c>
      <c r="E81" s="77" t="s">
        <v>103</v>
      </c>
      <c r="F81" s="377"/>
    </row>
    <row r="82" spans="1:6" ht="14.25" customHeight="1" x14ac:dyDescent="0.2">
      <c r="A82" s="2">
        <v>66</v>
      </c>
      <c r="B82" s="379"/>
      <c r="C82" s="4" t="s">
        <v>32</v>
      </c>
      <c r="D82" s="2" t="s">
        <v>24</v>
      </c>
      <c r="E82" s="28"/>
      <c r="F82" s="377"/>
    </row>
    <row r="83" spans="1:6" ht="14.25" customHeight="1" x14ac:dyDescent="0.2">
      <c r="A83" s="2">
        <v>67</v>
      </c>
      <c r="B83" s="379"/>
      <c r="C83" s="4" t="s">
        <v>33</v>
      </c>
      <c r="D83" s="2" t="s">
        <v>23</v>
      </c>
      <c r="F83" s="377"/>
    </row>
    <row r="84" spans="1:6" ht="25.5" x14ac:dyDescent="0.2">
      <c r="A84" s="2">
        <v>68</v>
      </c>
      <c r="B84" s="379"/>
      <c r="C84" s="4" t="s">
        <v>31</v>
      </c>
      <c r="D84" s="2" t="s">
        <v>25</v>
      </c>
      <c r="E84" s="28" t="s">
        <v>16</v>
      </c>
      <c r="F84" s="377"/>
    </row>
    <row r="85" spans="1:6" ht="14.25" hidden="1" customHeight="1" x14ac:dyDescent="0.2">
      <c r="A85" s="2">
        <v>69</v>
      </c>
      <c r="B85" s="379"/>
      <c r="C85" s="4" t="s">
        <v>29</v>
      </c>
      <c r="D85" s="3" t="s">
        <v>17</v>
      </c>
      <c r="F85" s="377"/>
    </row>
    <row r="86" spans="1:6" ht="25.5" hidden="1" x14ac:dyDescent="0.2">
      <c r="A86" s="2">
        <v>70</v>
      </c>
      <c r="B86" s="379"/>
      <c r="C86" s="4" t="s">
        <v>46</v>
      </c>
      <c r="D86" s="2" t="s">
        <v>26</v>
      </c>
      <c r="F86" s="377"/>
    </row>
    <row r="87" spans="1:6" ht="16.5" hidden="1" customHeight="1" x14ac:dyDescent="0.2">
      <c r="A87" s="2">
        <v>71</v>
      </c>
      <c r="B87" s="379"/>
      <c r="C87" s="161" t="s">
        <v>177</v>
      </c>
      <c r="D87" s="162" t="s">
        <v>178</v>
      </c>
      <c r="F87" s="377"/>
    </row>
    <row r="88" spans="1:6" ht="25.5" hidden="1" x14ac:dyDescent="0.2">
      <c r="A88" s="2">
        <v>72</v>
      </c>
      <c r="B88" s="379"/>
      <c r="C88" s="4" t="s">
        <v>42</v>
      </c>
      <c r="D88" s="2" t="s">
        <v>43</v>
      </c>
      <c r="E88" s="77" t="s">
        <v>90</v>
      </c>
      <c r="F88" s="377"/>
    </row>
    <row r="89" spans="1:6" ht="25.5" hidden="1" x14ac:dyDescent="0.2">
      <c r="A89" s="2">
        <v>73</v>
      </c>
      <c r="B89" s="379"/>
      <c r="C89" s="4" t="s">
        <v>41</v>
      </c>
      <c r="D89" s="2" t="s">
        <v>44</v>
      </c>
      <c r="E89" s="77" t="s">
        <v>90</v>
      </c>
      <c r="F89" s="377"/>
    </row>
    <row r="90" spans="1:6" s="110" customFormat="1" ht="26.25" hidden="1" customHeight="1" x14ac:dyDescent="0.2">
      <c r="B90" s="379"/>
      <c r="C90" s="4" t="s">
        <v>136</v>
      </c>
      <c r="D90" s="111" t="s">
        <v>137</v>
      </c>
      <c r="E90" s="115" t="s">
        <v>138</v>
      </c>
    </row>
    <row r="91" spans="1:6" s="107" customFormat="1" ht="26.25" customHeight="1" x14ac:dyDescent="0.2">
      <c r="B91" s="380"/>
      <c r="C91" s="4" t="s">
        <v>134</v>
      </c>
      <c r="D91" s="108" t="s">
        <v>135</v>
      </c>
      <c r="E91" s="108"/>
    </row>
    <row r="92" spans="1:6" ht="13.5" thickBot="1" x14ac:dyDescent="0.25">
      <c r="A92" s="2">
        <v>74</v>
      </c>
      <c r="B92" s="31"/>
      <c r="C92" s="31"/>
      <c r="D92" s="31"/>
      <c r="E92" s="31"/>
      <c r="F92" s="28"/>
    </row>
    <row r="93" spans="1:6" s="76" customFormat="1" ht="63.75" x14ac:dyDescent="0.2">
      <c r="A93" s="132">
        <v>60</v>
      </c>
      <c r="B93" s="378" t="s">
        <v>150</v>
      </c>
      <c r="C93" s="133" t="s">
        <v>156</v>
      </c>
      <c r="D93" s="133" t="s">
        <v>151</v>
      </c>
      <c r="E93" s="135" t="s">
        <v>152</v>
      </c>
      <c r="F93" s="377"/>
    </row>
    <row r="94" spans="1:6" s="76" customFormat="1" ht="25.5" x14ac:dyDescent="0.2">
      <c r="A94" s="132">
        <v>62</v>
      </c>
      <c r="B94" s="384"/>
      <c r="C94" s="141" t="s">
        <v>158</v>
      </c>
      <c r="D94" s="144" t="s">
        <v>160</v>
      </c>
      <c r="E94" s="144" t="s">
        <v>157</v>
      </c>
      <c r="F94" s="377"/>
    </row>
    <row r="95" spans="1:6" s="76" customFormat="1" ht="25.5" x14ac:dyDescent="0.2">
      <c r="A95" s="132">
        <v>64</v>
      </c>
      <c r="B95" s="384"/>
      <c r="C95" s="141" t="s">
        <v>158</v>
      </c>
      <c r="D95" s="139" t="s">
        <v>36</v>
      </c>
      <c r="E95" s="144" t="s">
        <v>159</v>
      </c>
      <c r="F95" s="377"/>
    </row>
    <row r="96" spans="1:6" s="76" customFormat="1" ht="14.25" customHeight="1" x14ac:dyDescent="0.2">
      <c r="A96" s="132">
        <v>66</v>
      </c>
      <c r="B96" s="384"/>
      <c r="C96" s="141" t="s">
        <v>32</v>
      </c>
      <c r="D96" s="139" t="s">
        <v>24</v>
      </c>
      <c r="E96" s="138"/>
      <c r="F96" s="377"/>
    </row>
    <row r="97" spans="1:6" s="76" customFormat="1" ht="14.25" customHeight="1" x14ac:dyDescent="0.2">
      <c r="A97" s="132">
        <v>67</v>
      </c>
      <c r="B97" s="384"/>
      <c r="C97" s="141" t="s">
        <v>33</v>
      </c>
      <c r="D97" s="139" t="s">
        <v>23</v>
      </c>
      <c r="E97" s="138"/>
      <c r="F97" s="377"/>
    </row>
    <row r="98" spans="1:6" s="132" customFormat="1" ht="25.5" x14ac:dyDescent="0.2">
      <c r="B98" s="384"/>
      <c r="C98" s="141" t="s">
        <v>31</v>
      </c>
      <c r="D98" s="139" t="s">
        <v>25</v>
      </c>
      <c r="E98" s="143" t="s">
        <v>16</v>
      </c>
      <c r="F98" s="377"/>
    </row>
    <row r="99" spans="1:6" s="139" customFormat="1" ht="14.25" customHeight="1" x14ac:dyDescent="0.2">
      <c r="B99" s="384"/>
      <c r="C99" s="141" t="s">
        <v>29</v>
      </c>
      <c r="D99" s="140" t="s">
        <v>17</v>
      </c>
      <c r="E99" s="138"/>
      <c r="F99" s="377"/>
    </row>
    <row r="100" spans="1:6" s="139" customFormat="1" ht="25.5" hidden="1" x14ac:dyDescent="0.2">
      <c r="B100" s="384"/>
      <c r="C100" s="142" t="s">
        <v>144</v>
      </c>
      <c r="D100" s="145" t="s">
        <v>161</v>
      </c>
      <c r="E100" s="145" t="s">
        <v>162</v>
      </c>
      <c r="F100" s="377"/>
    </row>
    <row r="101" spans="1:6" s="139" customFormat="1" ht="25.5" hidden="1" x14ac:dyDescent="0.2">
      <c r="B101" s="384"/>
      <c r="C101" s="141" t="s">
        <v>46</v>
      </c>
      <c r="D101" s="139" t="s">
        <v>26</v>
      </c>
      <c r="E101" s="138"/>
      <c r="F101" s="377"/>
    </row>
    <row r="102" spans="1:6" s="139" customFormat="1" ht="14.25" hidden="1" customHeight="1" x14ac:dyDescent="0.2">
      <c r="B102" s="384"/>
      <c r="C102" s="146" t="s">
        <v>163</v>
      </c>
      <c r="D102" s="147" t="s">
        <v>28</v>
      </c>
      <c r="E102" s="138"/>
      <c r="F102" s="377"/>
    </row>
    <row r="103" spans="1:6" s="139" customFormat="1" ht="25.5" hidden="1" x14ac:dyDescent="0.2">
      <c r="B103" s="384"/>
      <c r="C103" s="141" t="s">
        <v>42</v>
      </c>
      <c r="D103" s="139" t="s">
        <v>43</v>
      </c>
      <c r="E103" s="144" t="s">
        <v>164</v>
      </c>
      <c r="F103" s="377"/>
    </row>
    <row r="104" spans="1:6" s="139" customFormat="1" ht="25.5" hidden="1" x14ac:dyDescent="0.2">
      <c r="B104" s="384"/>
      <c r="C104" s="141" t="s">
        <v>41</v>
      </c>
      <c r="D104" s="139" t="s">
        <v>44</v>
      </c>
      <c r="E104" s="144" t="s">
        <v>164</v>
      </c>
      <c r="F104" s="377"/>
    </row>
    <row r="105" spans="1:6" s="139" customFormat="1" ht="25.5" hidden="1" x14ac:dyDescent="0.2">
      <c r="B105" s="384"/>
      <c r="C105" s="141" t="s">
        <v>136</v>
      </c>
      <c r="D105" s="144" t="s">
        <v>137</v>
      </c>
      <c r="E105" s="144" t="s">
        <v>138</v>
      </c>
      <c r="F105" s="377"/>
    </row>
    <row r="106" spans="1:6" s="139" customFormat="1" ht="25.5" x14ac:dyDescent="0.2">
      <c r="B106" s="384"/>
      <c r="C106" s="141" t="s">
        <v>134</v>
      </c>
      <c r="D106" s="144" t="s">
        <v>135</v>
      </c>
      <c r="E106" s="144"/>
      <c r="F106" s="377"/>
    </row>
    <row r="107" spans="1:6" s="76" customFormat="1" ht="13.5" thickBot="1" x14ac:dyDescent="0.25">
      <c r="A107" s="132">
        <v>74</v>
      </c>
      <c r="B107" s="136"/>
      <c r="C107" s="136"/>
      <c r="D107" s="136"/>
      <c r="E107" s="136"/>
      <c r="F107" s="134"/>
    </row>
    <row r="108" spans="1:6" s="76" customFormat="1" ht="51" x14ac:dyDescent="0.2">
      <c r="A108" s="132">
        <v>60</v>
      </c>
      <c r="B108" s="378" t="s">
        <v>153</v>
      </c>
      <c r="C108" s="133" t="s">
        <v>165</v>
      </c>
      <c r="D108" s="133" t="s">
        <v>154</v>
      </c>
      <c r="E108" s="137" t="s">
        <v>155</v>
      </c>
      <c r="F108" s="377"/>
    </row>
    <row r="109" spans="1:6" s="76" customFormat="1" ht="38.25" x14ac:dyDescent="0.2">
      <c r="A109" s="132">
        <v>62</v>
      </c>
      <c r="B109" s="384"/>
      <c r="C109" s="152" t="s">
        <v>169</v>
      </c>
      <c r="D109" s="144" t="s">
        <v>166</v>
      </c>
      <c r="E109" s="144" t="s">
        <v>167</v>
      </c>
      <c r="F109" s="377"/>
    </row>
    <row r="110" spans="1:6" s="76" customFormat="1" ht="38.25" x14ac:dyDescent="0.2">
      <c r="A110" s="132">
        <v>64</v>
      </c>
      <c r="B110" s="384"/>
      <c r="C110" s="156" t="s">
        <v>169</v>
      </c>
      <c r="D110" s="159" t="s">
        <v>172</v>
      </c>
      <c r="E110" s="159" t="s">
        <v>170</v>
      </c>
      <c r="F110" s="377"/>
    </row>
    <row r="111" spans="1:6" s="76" customFormat="1" ht="25.5" x14ac:dyDescent="0.2">
      <c r="A111" s="132">
        <v>66</v>
      </c>
      <c r="B111" s="384"/>
      <c r="C111" s="155" t="s">
        <v>158</v>
      </c>
      <c r="D111" s="160" t="s">
        <v>171</v>
      </c>
      <c r="E111" s="149"/>
      <c r="F111" s="377"/>
    </row>
    <row r="112" spans="1:6" s="76" customFormat="1" ht="25.5" x14ac:dyDescent="0.2">
      <c r="A112" s="132">
        <v>67</v>
      </c>
      <c r="B112" s="384"/>
      <c r="C112" s="154" t="s">
        <v>1785</v>
      </c>
      <c r="D112" s="163" t="s">
        <v>173</v>
      </c>
      <c r="E112" s="163" t="s">
        <v>174</v>
      </c>
      <c r="F112" s="377"/>
    </row>
    <row r="113" spans="1:6" s="139" customFormat="1" ht="25.5" x14ac:dyDescent="0.2">
      <c r="B113" s="384"/>
      <c r="C113" s="155" t="s">
        <v>30</v>
      </c>
      <c r="D113" s="159" t="s">
        <v>175</v>
      </c>
      <c r="E113" s="159" t="s">
        <v>176</v>
      </c>
      <c r="F113" s="377"/>
    </row>
    <row r="114" spans="1:6" s="139" customFormat="1" ht="14.25" customHeight="1" x14ac:dyDescent="0.2">
      <c r="B114" s="384"/>
      <c r="C114" s="151" t="s">
        <v>32</v>
      </c>
      <c r="D114" s="149" t="s">
        <v>24</v>
      </c>
      <c r="E114" s="153"/>
      <c r="F114" s="377"/>
    </row>
    <row r="115" spans="1:6" s="139" customFormat="1" ht="14.25" customHeight="1" x14ac:dyDescent="0.2">
      <c r="B115" s="384"/>
      <c r="C115" s="151" t="s">
        <v>33</v>
      </c>
      <c r="D115" s="149" t="s">
        <v>23</v>
      </c>
      <c r="E115" s="148"/>
      <c r="F115" s="377"/>
    </row>
    <row r="116" spans="1:6" s="139" customFormat="1" ht="25.5" x14ac:dyDescent="0.2">
      <c r="B116" s="384"/>
      <c r="C116" s="151" t="s">
        <v>31</v>
      </c>
      <c r="D116" s="149" t="s">
        <v>25</v>
      </c>
      <c r="E116" s="153" t="s">
        <v>16</v>
      </c>
      <c r="F116" s="377"/>
    </row>
    <row r="117" spans="1:6" s="139" customFormat="1" ht="14.25" hidden="1" customHeight="1" x14ac:dyDescent="0.2">
      <c r="B117" s="384"/>
      <c r="C117" s="151" t="s">
        <v>29</v>
      </c>
      <c r="D117" s="150" t="s">
        <v>17</v>
      </c>
      <c r="E117" s="148"/>
      <c r="F117" s="377"/>
    </row>
    <row r="118" spans="1:6" s="139" customFormat="1" ht="25.5" hidden="1" x14ac:dyDescent="0.2">
      <c r="B118" s="384"/>
      <c r="C118" s="151" t="s">
        <v>46</v>
      </c>
      <c r="D118" s="149" t="s">
        <v>26</v>
      </c>
      <c r="E118" s="148"/>
      <c r="F118" s="377"/>
    </row>
    <row r="119" spans="1:6" s="139" customFormat="1" ht="14.25" hidden="1" customHeight="1" x14ac:dyDescent="0.2">
      <c r="B119" s="384"/>
      <c r="C119" s="161" t="s">
        <v>177</v>
      </c>
      <c r="D119" s="162" t="s">
        <v>178</v>
      </c>
      <c r="E119" s="148"/>
      <c r="F119" s="377"/>
    </row>
    <row r="120" spans="1:6" s="139" customFormat="1" ht="25.5" hidden="1" x14ac:dyDescent="0.2">
      <c r="B120" s="384"/>
      <c r="C120" s="151" t="s">
        <v>42</v>
      </c>
      <c r="D120" s="149" t="s">
        <v>43</v>
      </c>
      <c r="E120" s="159" t="s">
        <v>164</v>
      </c>
      <c r="F120" s="377"/>
    </row>
    <row r="121" spans="1:6" s="139" customFormat="1" ht="25.5" x14ac:dyDescent="0.2">
      <c r="B121" s="384"/>
      <c r="C121" s="151" t="s">
        <v>41</v>
      </c>
      <c r="D121" s="149" t="s">
        <v>44</v>
      </c>
      <c r="E121" s="159" t="s">
        <v>164</v>
      </c>
      <c r="F121" s="377"/>
    </row>
    <row r="122" spans="1:6" s="139" customFormat="1" ht="25.5" hidden="1" x14ac:dyDescent="0.2">
      <c r="B122" s="384"/>
      <c r="C122" s="155" t="s">
        <v>136</v>
      </c>
      <c r="D122" s="144" t="s">
        <v>137</v>
      </c>
      <c r="E122" s="159" t="s">
        <v>138</v>
      </c>
      <c r="F122" s="377"/>
    </row>
    <row r="123" spans="1:6" s="139" customFormat="1" ht="25.5" x14ac:dyDescent="0.2">
      <c r="B123" s="384"/>
      <c r="C123" s="155" t="s">
        <v>134</v>
      </c>
      <c r="D123" s="159" t="s">
        <v>135</v>
      </c>
      <c r="E123" s="159"/>
      <c r="F123" s="377"/>
    </row>
    <row r="124" spans="1:6" s="76" customFormat="1" ht="13.5" thickBot="1" x14ac:dyDescent="0.25">
      <c r="A124" s="132">
        <v>74</v>
      </c>
      <c r="B124" s="136"/>
      <c r="C124" s="136"/>
      <c r="D124" s="136"/>
      <c r="E124" s="136"/>
      <c r="F124" s="134"/>
    </row>
    <row r="125" spans="1:6" s="76" customFormat="1" ht="25.5" x14ac:dyDescent="0.2">
      <c r="A125" s="129">
        <v>60</v>
      </c>
      <c r="B125" s="378" t="s">
        <v>104</v>
      </c>
      <c r="C125" s="10" t="s">
        <v>104</v>
      </c>
      <c r="D125" s="10" t="s">
        <v>92</v>
      </c>
      <c r="E125" s="29" t="s">
        <v>112</v>
      </c>
      <c r="F125" s="377"/>
    </row>
    <row r="126" spans="1:6" ht="25.5" x14ac:dyDescent="0.2">
      <c r="A126" s="129">
        <v>62</v>
      </c>
      <c r="B126" s="384"/>
      <c r="C126" s="27" t="s">
        <v>105</v>
      </c>
      <c r="D126" s="90" t="s">
        <v>109</v>
      </c>
      <c r="E126" s="90" t="s">
        <v>106</v>
      </c>
      <c r="F126" s="377"/>
    </row>
    <row r="127" spans="1:6" ht="25.5" x14ac:dyDescent="0.2">
      <c r="A127" s="129">
        <v>64</v>
      </c>
      <c r="B127" s="384"/>
      <c r="C127" s="4" t="s">
        <v>35</v>
      </c>
      <c r="D127" s="130" t="s">
        <v>108</v>
      </c>
      <c r="E127" s="130" t="s">
        <v>110</v>
      </c>
      <c r="F127" s="377"/>
    </row>
    <row r="128" spans="1:6" x14ac:dyDescent="0.2">
      <c r="A128" s="129">
        <v>66</v>
      </c>
      <c r="B128" s="384"/>
      <c r="C128" s="4" t="s">
        <v>32</v>
      </c>
      <c r="D128" s="130" t="s">
        <v>24</v>
      </c>
      <c r="E128" s="124"/>
      <c r="F128" s="377"/>
    </row>
    <row r="129" spans="1:6" x14ac:dyDescent="0.2">
      <c r="A129" s="129">
        <v>67</v>
      </c>
      <c r="B129" s="384"/>
      <c r="C129" s="4" t="s">
        <v>33</v>
      </c>
      <c r="D129" s="129" t="s">
        <v>23</v>
      </c>
      <c r="E129" s="129"/>
      <c r="F129" s="377"/>
    </row>
    <row r="130" spans="1:6" ht="25.5" x14ac:dyDescent="0.2">
      <c r="A130" s="129">
        <v>68</v>
      </c>
      <c r="B130" s="384"/>
      <c r="C130" s="4" t="s">
        <v>31</v>
      </c>
      <c r="D130" s="129" t="s">
        <v>25</v>
      </c>
      <c r="E130" s="124" t="s">
        <v>16</v>
      </c>
      <c r="F130" s="377"/>
    </row>
    <row r="131" spans="1:6" ht="13.5" thickBot="1" x14ac:dyDescent="0.25">
      <c r="A131" s="129">
        <v>74</v>
      </c>
      <c r="B131" s="31"/>
      <c r="C131" s="31"/>
      <c r="D131" s="31"/>
      <c r="E131" s="31"/>
      <c r="F131" s="124"/>
    </row>
    <row r="132" spans="1:6" ht="38.25" x14ac:dyDescent="0.2">
      <c r="A132" s="129">
        <v>60</v>
      </c>
      <c r="B132" s="378" t="s">
        <v>107</v>
      </c>
      <c r="C132" s="10" t="s">
        <v>107</v>
      </c>
      <c r="D132" s="10" t="s">
        <v>111</v>
      </c>
      <c r="E132" s="29" t="s">
        <v>113</v>
      </c>
      <c r="F132" s="377"/>
    </row>
    <row r="133" spans="1:6" ht="25.5" x14ac:dyDescent="0.2">
      <c r="A133" s="129">
        <v>62</v>
      </c>
      <c r="B133" s="384"/>
      <c r="C133" s="27" t="s">
        <v>105</v>
      </c>
      <c r="D133" s="90" t="s">
        <v>115</v>
      </c>
      <c r="E133" s="90" t="s">
        <v>116</v>
      </c>
      <c r="F133" s="377"/>
    </row>
    <row r="134" spans="1:6" ht="38.25" x14ac:dyDescent="0.2">
      <c r="A134" s="129">
        <v>62</v>
      </c>
      <c r="B134" s="384"/>
      <c r="C134" s="27" t="s">
        <v>86</v>
      </c>
      <c r="D134" s="90" t="s">
        <v>114</v>
      </c>
      <c r="E134" s="90" t="s">
        <v>117</v>
      </c>
      <c r="F134" s="377"/>
    </row>
    <row r="135" spans="1:6" ht="25.5" x14ac:dyDescent="0.2">
      <c r="A135" s="129">
        <v>64</v>
      </c>
      <c r="B135" s="384"/>
      <c r="C135" s="4" t="s">
        <v>35</v>
      </c>
      <c r="D135" s="130" t="s">
        <v>118</v>
      </c>
      <c r="E135" s="130" t="s">
        <v>119</v>
      </c>
      <c r="F135" s="377"/>
    </row>
    <row r="136" spans="1:6" x14ac:dyDescent="0.2">
      <c r="A136" s="129">
        <v>66</v>
      </c>
      <c r="B136" s="384"/>
      <c r="C136" s="4" t="s">
        <v>32</v>
      </c>
      <c r="D136" s="130" t="s">
        <v>24</v>
      </c>
      <c r="E136" s="124"/>
      <c r="F136" s="377"/>
    </row>
    <row r="137" spans="1:6" x14ac:dyDescent="0.2">
      <c r="A137" s="129">
        <v>67</v>
      </c>
      <c r="B137" s="384"/>
      <c r="C137" s="4" t="s">
        <v>33</v>
      </c>
      <c r="D137" s="129" t="s">
        <v>23</v>
      </c>
      <c r="E137" s="129"/>
      <c r="F137" s="377"/>
    </row>
    <row r="138" spans="1:6" ht="25.5" x14ac:dyDescent="0.2">
      <c r="A138" s="129">
        <v>68</v>
      </c>
      <c r="B138" s="384"/>
      <c r="C138" s="4" t="s">
        <v>31</v>
      </c>
      <c r="D138" s="129" t="s">
        <v>25</v>
      </c>
      <c r="E138" s="124" t="s">
        <v>16</v>
      </c>
      <c r="F138" s="377"/>
    </row>
    <row r="139" spans="1:6" ht="13.5" thickBot="1" x14ac:dyDescent="0.25">
      <c r="A139" s="76">
        <v>74</v>
      </c>
      <c r="B139" s="31"/>
      <c r="C139" s="31"/>
      <c r="D139" s="31"/>
      <c r="E139" s="31"/>
      <c r="F139" s="28"/>
    </row>
  </sheetData>
  <mergeCells count="23">
    <mergeCell ref="B125:B130"/>
    <mergeCell ref="F125:F130"/>
    <mergeCell ref="B132:B138"/>
    <mergeCell ref="F132:F138"/>
    <mergeCell ref="F1:F8"/>
    <mergeCell ref="B2:D2"/>
    <mergeCell ref="D4:E4"/>
    <mergeCell ref="D5:E5"/>
    <mergeCell ref="C3:E3"/>
    <mergeCell ref="B3:B8"/>
    <mergeCell ref="B1:E1"/>
    <mergeCell ref="B93:B106"/>
    <mergeCell ref="F93:F106"/>
    <mergeCell ref="B108:B123"/>
    <mergeCell ref="F108:F123"/>
    <mergeCell ref="F9:F20"/>
    <mergeCell ref="F25:F44"/>
    <mergeCell ref="F49:F72"/>
    <mergeCell ref="F76:F89"/>
    <mergeCell ref="B9:B23"/>
    <mergeCell ref="B25:B47"/>
    <mergeCell ref="B49:B74"/>
    <mergeCell ref="B76:B91"/>
  </mergeCells>
  <phoneticPr fontId="8" type="noConversion"/>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31"/>
  </sheetPr>
  <dimension ref="A1:DE938"/>
  <sheetViews>
    <sheetView zoomScale="80" zoomScaleNormal="80" workbookViewId="0">
      <pane xSplit="4" ySplit="2" topLeftCell="E3" activePane="bottomRight" state="frozen"/>
      <selection pane="topRight" activeCell="E1" sqref="E1"/>
      <selection pane="bottomLeft" activeCell="A2" sqref="A2"/>
      <selection pane="bottomRight"/>
    </sheetView>
  </sheetViews>
  <sheetFormatPr baseColWidth="10" defaultColWidth="9.140625" defaultRowHeight="12.75" x14ac:dyDescent="0.2"/>
  <cols>
    <col min="1" max="1" width="28.85546875" style="26" customWidth="1"/>
    <col min="2" max="2" width="7.7109375" style="11" customWidth="1"/>
    <col min="3" max="3" width="6.5703125" style="11" hidden="1" customWidth="1"/>
    <col min="4" max="4" width="30.7109375" style="22" customWidth="1"/>
    <col min="5" max="5" width="69.7109375" style="15" customWidth="1"/>
    <col min="6" max="6" width="58.5703125" style="15" customWidth="1"/>
    <col min="7" max="7" width="22.5703125" style="15" customWidth="1"/>
    <col min="8" max="8" width="0" style="37" hidden="1" customWidth="1"/>
    <col min="9" max="9" width="3.28515625" style="25" hidden="1" customWidth="1"/>
    <col min="10" max="12" width="30.7109375" style="13" hidden="1" customWidth="1"/>
    <col min="13" max="13" width="8.140625" style="105" hidden="1" customWidth="1"/>
    <col min="14" max="26" width="2.85546875" style="13" hidden="1" customWidth="1"/>
    <col min="27" max="27" width="3" style="81" customWidth="1"/>
    <col min="28" max="33" width="3" style="82" customWidth="1"/>
    <col min="34" max="34" width="3" style="85" customWidth="1"/>
    <col min="35" max="35" width="3" style="87" customWidth="1"/>
    <col min="36" max="40" width="3" style="83" customWidth="1"/>
    <col min="41" max="41" width="3" style="89" customWidth="1"/>
    <col min="42" max="42" width="3" style="81" customWidth="1"/>
    <col min="43" max="50" width="3" style="82" customWidth="1"/>
    <col min="51" max="51" width="3" style="85" customWidth="1"/>
    <col min="52" max="52" width="3" style="87" customWidth="1"/>
    <col min="53" max="62" width="3" style="83" customWidth="1"/>
    <col min="63" max="63" width="3" style="89" customWidth="1"/>
    <col min="64" max="64" width="3" style="81" customWidth="1"/>
    <col min="65" max="71" width="3" style="82" customWidth="1"/>
    <col min="72" max="72" width="3" style="85" customWidth="1"/>
    <col min="73" max="73" width="3" style="87" customWidth="1"/>
    <col min="74" max="79" width="3" style="83" customWidth="1"/>
    <col min="80" max="80" width="3" style="89" customWidth="1"/>
    <col min="81" max="81" width="3" style="81" customWidth="1"/>
    <col min="82" max="82" width="3" style="85" customWidth="1"/>
    <col min="83" max="83" width="3" style="87" customWidth="1"/>
    <col min="84" max="86" width="3" style="83" customWidth="1"/>
    <col min="87" max="87" width="3" style="89" customWidth="1"/>
    <col min="88" max="88" width="3" style="81" customWidth="1"/>
    <col min="89" max="89" width="3" style="82" customWidth="1"/>
    <col min="90" max="90" width="3" style="85" customWidth="1"/>
    <col min="91" max="91" width="3" style="87" customWidth="1"/>
    <col min="92" max="92" width="3" style="83" customWidth="1"/>
    <col min="93" max="93" width="3" style="89" customWidth="1"/>
    <col min="94" max="94" width="3" style="164" customWidth="1"/>
    <col min="95" max="97" width="3" style="165" customWidth="1"/>
    <col min="98" max="98" width="3" style="166" customWidth="1"/>
    <col min="99" max="99" width="3" style="87" customWidth="1"/>
    <col min="100" max="100" width="3" style="83" customWidth="1"/>
    <col min="101" max="101" width="3" style="164" customWidth="1"/>
    <col min="102" max="105" width="3" style="165" customWidth="1"/>
    <col min="106" max="106" width="3" style="166" customWidth="1"/>
    <col min="107" max="107" width="3" style="87" customWidth="1"/>
    <col min="108" max="108" width="3" style="83" customWidth="1"/>
    <col min="109" max="109" width="9.140625" style="34"/>
    <col min="110" max="16384" width="9.140625" style="13"/>
  </cols>
  <sheetData>
    <row r="1" spans="1:109" ht="83.25" customHeight="1" x14ac:dyDescent="0.2">
      <c r="A1" s="67"/>
      <c r="B1" s="66"/>
      <c r="C1" s="61"/>
      <c r="D1" s="62"/>
      <c r="E1" s="63"/>
      <c r="F1" s="63"/>
      <c r="G1" s="63"/>
      <c r="H1" s="64"/>
      <c r="I1" s="65"/>
      <c r="J1" s="113"/>
      <c r="K1" s="113"/>
      <c r="L1" s="113"/>
      <c r="M1" s="103"/>
      <c r="N1" s="400"/>
      <c r="O1" s="400"/>
      <c r="P1" s="400"/>
      <c r="Q1" s="400"/>
      <c r="R1" s="400"/>
      <c r="S1" s="400"/>
      <c r="T1" s="400"/>
      <c r="U1" s="400"/>
      <c r="V1" s="400"/>
      <c r="W1" s="400"/>
      <c r="X1" s="400"/>
      <c r="Y1" s="400"/>
      <c r="Z1" s="402"/>
      <c r="AA1" s="404" t="str">
        <f>HYPERLINK(CONCATENATE("[#]Groups!$A$",MATCH("01",Groups!$A$1:$A$83,0),":$D$",MATCH("01",Groups!$A$1:$A$83,0)),"Industries &amp; Services")</f>
        <v>Industries &amp; Services</v>
      </c>
      <c r="AB1" s="405"/>
      <c r="AC1" s="405"/>
      <c r="AD1" s="405"/>
      <c r="AE1" s="405"/>
      <c r="AF1" s="405"/>
      <c r="AG1" s="405"/>
      <c r="AH1" s="406"/>
      <c r="AI1" s="392" t="str">
        <f>HYPERLINK(CONCATENATE("[#]Groups!$A$",MATCH("02",Groups!$A$1:$A$83,0),":$D$",MATCH("02",Groups!$A$1:$A$83,0)),"Socio-economic Geography")</f>
        <v>Socio-economic Geography</v>
      </c>
      <c r="AJ1" s="393"/>
      <c r="AK1" s="393"/>
      <c r="AL1" s="393"/>
      <c r="AM1" s="393"/>
      <c r="AN1" s="393"/>
      <c r="AO1" s="393"/>
      <c r="AP1" s="398" t="str">
        <f>HYPERLINK(CONCATENATE("[#]Groups!$A$",MATCH("03",Groups!$A$1:$A$83,0),":$D$",MATCH("03",Groups!$A$1:$A$83,0)),"Transportation")</f>
        <v>Transportation</v>
      </c>
      <c r="AQ1" s="399"/>
      <c r="AR1" s="399"/>
      <c r="AS1" s="399"/>
      <c r="AT1" s="399"/>
      <c r="AU1" s="399"/>
      <c r="AV1" s="399"/>
      <c r="AW1" s="399"/>
      <c r="AX1" s="399"/>
      <c r="AY1" s="399"/>
      <c r="AZ1" s="392" t="str">
        <f>HYPERLINK(CONCATENATE("[#]Groups!$A$",MATCH("04",Groups!$A$1:$A$83,0),":$D$",MATCH("04",Groups!$A$1:$A$83,0)),"Hydrography &amp; Oceanography")</f>
        <v>Hydrography &amp; Oceanography</v>
      </c>
      <c r="BA1" s="393"/>
      <c r="BB1" s="393"/>
      <c r="BC1" s="393"/>
      <c r="BD1" s="393"/>
      <c r="BE1" s="393"/>
      <c r="BF1" s="393"/>
      <c r="BG1" s="393"/>
      <c r="BH1" s="393"/>
      <c r="BI1" s="393"/>
      <c r="BJ1" s="393"/>
      <c r="BK1" s="393"/>
      <c r="BL1" s="398" t="str">
        <f>HYPERLINK(CONCATENATE("[#]Groups!$A$",MATCH("05",Groups!$A$1:$A$83,0),":$D$",MATCH("05",Groups!$A$1:$A$83,0)),"Physiography")</f>
        <v>Physiography</v>
      </c>
      <c r="BM1" s="399"/>
      <c r="BN1" s="399"/>
      <c r="BO1" s="399"/>
      <c r="BP1" s="399"/>
      <c r="BQ1" s="399"/>
      <c r="BR1" s="399"/>
      <c r="BS1" s="399"/>
      <c r="BT1" s="399"/>
      <c r="BU1" s="392" t="str">
        <f>HYPERLINK(CONCATENATE("[#]Groups!$A$",MATCH("06",Groups!$A$1:$A$83,0),":$D$",MATCH("06",Groups!$A$1:$A$83,0)),"Biota")</f>
        <v>Biota</v>
      </c>
      <c r="BV1" s="393"/>
      <c r="BW1" s="393"/>
      <c r="BX1" s="393"/>
      <c r="BY1" s="393"/>
      <c r="BZ1" s="393"/>
      <c r="CA1" s="393"/>
      <c r="CB1" s="393"/>
      <c r="CC1" s="394" t="str">
        <f>HYPERLINK(CONCATENATE("[#]Groups!$A$",MATCH("07",Groups!$A$1:$A$83,0),":$D$",MATCH("07",Groups!$A$1:$A$83,0)),"Demarcation")</f>
        <v>Demarcation</v>
      </c>
      <c r="CD1" s="395"/>
      <c r="CE1" s="396" t="str">
        <f>HYPERLINK(CONCATENATE("[#]Groups!$A$",MATCH("08",Groups!$A$1:$A$83,0),":$D$",MATCH("08",Groups!$A$1:$A$83,0)),"Aeronautical")</f>
        <v>Aeronautical</v>
      </c>
      <c r="CF1" s="397"/>
      <c r="CG1" s="397"/>
      <c r="CH1" s="397"/>
      <c r="CI1" s="397"/>
      <c r="CJ1" s="388" t="str">
        <f>HYPERLINK(CONCATENATE("[#]Groups!$A$",MATCH("09",Groups!$A$1:$A$83,0),":$D$",MATCH("09",Groups!$A$1:$A$83,0)),"Military")</f>
        <v>Military</v>
      </c>
      <c r="CK1" s="389"/>
      <c r="CL1" s="389"/>
      <c r="CM1" s="396" t="str">
        <f>HYPERLINK(CONCATENATE("[#]Groups!$A$",MATCH("10",Groups!$A$1:$A$83,0),":$D$",MATCH("10",Groups!$A$1:$A$83,0)),"Weather &amp; Climate")</f>
        <v>Weather &amp; Climate</v>
      </c>
      <c r="CN1" s="397"/>
      <c r="CO1" s="397"/>
      <c r="CP1" s="388" t="str">
        <f>HYPERLINK(CONCATENATE("[#]Groups!$A$",MATCH("20",Groups!$A$1:$A$83,0),":$D$",MATCH("20",Groups!$A$1:$A$83,0)),"Characteristics")</f>
        <v>Characteristics</v>
      </c>
      <c r="CQ1" s="389"/>
      <c r="CR1" s="389"/>
      <c r="CS1" s="389"/>
      <c r="CT1" s="389"/>
      <c r="CU1" s="390" t="str">
        <f>HYPERLINK(CONCATENATE("[#]Groups!$A$",MATCH("21",Groups!$A$1:$A$83,0),":$D$",MATCH("21",Groups!$A$1:$A$83,0)),"Names &amp; Designations")</f>
        <v>Names &amp; Designations</v>
      </c>
      <c r="CV1" s="391"/>
      <c r="CW1" s="388" t="str">
        <f>HYPERLINK(CONCATENATE("[#]Groups!$A$",MATCH("22",Groups!$A$1:$A$83,0),":$D$",MATCH("22",Groups!$A$1:$A$83,0)),"Metadata &amp; References")</f>
        <v>Metadata &amp; References</v>
      </c>
      <c r="CX1" s="389"/>
      <c r="CY1" s="389"/>
      <c r="CZ1" s="389"/>
      <c r="DA1" s="389"/>
      <c r="DB1" s="389"/>
      <c r="DC1" s="390" t="str">
        <f>HYPERLINK(CONCATENATE("[#]Groups!$A$",MATCH("23",Groups!$A$1:$A$83,0),":$D$",MATCH("23",Groups!$A$1:$A$83,0)),"Abstract")</f>
        <v>Abstract</v>
      </c>
      <c r="DD1" s="391"/>
      <c r="DE1" s="13"/>
    </row>
    <row r="2" spans="1:109" s="12" customFormat="1" ht="83.25" customHeight="1" x14ac:dyDescent="0.2">
      <c r="A2" s="69" t="s">
        <v>156</v>
      </c>
      <c r="B2" s="93" t="s">
        <v>1785</v>
      </c>
      <c r="C2" s="93" t="s">
        <v>30</v>
      </c>
      <c r="D2" s="54" t="s">
        <v>32</v>
      </c>
      <c r="E2" s="54" t="s">
        <v>33</v>
      </c>
      <c r="F2" s="54" t="s">
        <v>31</v>
      </c>
      <c r="G2" s="55" t="s">
        <v>29</v>
      </c>
      <c r="H2" s="56" t="s">
        <v>46</v>
      </c>
      <c r="I2" s="70"/>
      <c r="J2" s="98" t="s">
        <v>158</v>
      </c>
      <c r="K2" s="98" t="s">
        <v>41</v>
      </c>
      <c r="L2" s="98" t="s">
        <v>136</v>
      </c>
      <c r="M2" s="104" t="s">
        <v>134</v>
      </c>
      <c r="N2" s="401"/>
      <c r="O2" s="401"/>
      <c r="P2" s="401"/>
      <c r="Q2" s="401"/>
      <c r="R2" s="401"/>
      <c r="S2" s="401"/>
      <c r="T2" s="401"/>
      <c r="U2" s="401"/>
      <c r="V2" s="401"/>
      <c r="W2" s="401"/>
      <c r="X2" s="401"/>
      <c r="Y2" s="401"/>
      <c r="Z2" s="403"/>
      <c r="AA2" s="78" t="str">
        <f>HYPERLINK(CONCATENATE("[#]Subgroups!$B$",MATCH("01.01",Subgroups!$B$1:$B$9915,0),":$E$",MATCH("01.01",Subgroups!$B$1:$B$9915,0)),"      Extraction")</f>
        <v xml:space="preserve">      Extraction</v>
      </c>
      <c r="AB2" s="79" t="str">
        <f>HYPERLINK(CONCATENATE("[#]Subgroups!$B$",MATCH("01.02",Subgroups!$B$1:$B$115,0),":$E$",MATCH("01.02",Subgroups!$B$1:$B$115,0)),"      Fabrication and/or Processing")</f>
        <v xml:space="preserve">      Fabrication and/or Processing</v>
      </c>
      <c r="AC2" s="79" t="str">
        <f>HYPERLINK(CONCATENATE("[#]Subgroups!$B$",MATCH("01.03",Subgroups!$B$1:$B$115,0),":$E$",MATCH("01.03",Subgroups!$B$1:$B$115,0)),"      Agriculture")</f>
        <v xml:space="preserve">      Agriculture</v>
      </c>
      <c r="AD2" s="79" t="str">
        <f>HYPERLINK(CONCATENATE("[#]Subgroups!$B$",MATCH("01.04",Subgroups!$B$1:$B$115,0),":$E$",MATCH("01.04",Subgroups!$B$1:$B$115,0)),"      Power Supplies")</f>
        <v xml:space="preserve">      Power Supplies</v>
      </c>
      <c r="AE2" s="79" t="str">
        <f>HYPERLINK(CONCATENATE("[#]Subgroups!$B$",MATCH("01.05",Subgroups!$B$1:$B$115,0),":$E$",MATCH("01.05",Subgroups!$B$1:$B$115,0)),"      Communication")</f>
        <v xml:space="preserve">      Communication</v>
      </c>
      <c r="AF2" s="79" t="str">
        <f>HYPERLINK(CONCATENATE("[#]Subgroups!$B$",MATCH("01.06",Subgroups!$B$1:$B$115,0),":$E$",MATCH("01.06",Subgroups!$B$1:$B$115,0)),"      Associated Support Structures ")</f>
        <v xml:space="preserve">      Associated Support Structures </v>
      </c>
      <c r="AG2" s="79" t="str">
        <f>HYPERLINK(CONCATENATE("[#]Subgroups!$B$",MATCH("01.07",Subgroups!$B$1:$B$115,0),":$E$",MATCH("01.07",Subgroups!$B$1:$B$115,0)),"      Storage and/or Provision")</f>
        <v xml:space="preserve">      Storage and/or Provision</v>
      </c>
      <c r="AH2" s="84" t="str">
        <f>HYPERLINK(CONCATENATE("[#]Subgroups!$B$",MATCH("01.08",Subgroups!$B$1:$B$115,0),":$E$",MATCH("01.08",Subgroups!$B$1:$B$115,0)),"      Waste Management")</f>
        <v xml:space="preserve">      Waste Management</v>
      </c>
      <c r="AI2" s="86" t="str">
        <f>HYPERLINK(CONCATENATE("[#]Subgroups!$B$",MATCH("02.01",Subgroups!$B$1:$B$115,0),":$E$",MATCH("02.01",Subgroups!$B$1:$B$115,0)),"      Habitats")</f>
        <v xml:space="preserve">      Habitats</v>
      </c>
      <c r="AJ2" s="80" t="str">
        <f>HYPERLINK(CONCATENATE("[#]Subgroups!$B$",MATCH("02.02",Subgroups!$B$1:$B$115,0),":$E$",MATCH("02.02",Subgroups!$B$1:$B$115,0)),"      Settlements-associated")</f>
        <v xml:space="preserve">      Settlements-associated</v>
      </c>
      <c r="AK2" s="80" t="str">
        <f>HYPERLINK(CONCATENATE("[#]Subgroups!$B$",MATCH("02.03",Subgroups!$B$1:$B$115,0),":$E$",MATCH("02.03",Subgroups!$B$1:$B$115,0)),"      Economic and/or Commercial")</f>
        <v xml:space="preserve">      Economic and/or Commercial</v>
      </c>
      <c r="AL2" s="80" t="str">
        <f>HYPERLINK(CONCATENATE("[#]Subgroups!$B$",MATCH("02.04",Subgroups!$B$1:$B$115,0),":$E$",MATCH("02.04",Subgroups!$B$1:$B$115,0)),"      Leisure")</f>
        <v xml:space="preserve">      Leisure</v>
      </c>
      <c r="AM2" s="80" t="str">
        <f>HYPERLINK(CONCATENATE("[#]Subgroups!$B$",MATCH("02.05",Subgroups!$B$1:$B$115,0),":$E$",MATCH("02.05",Subgroups!$B$1:$B$115,0)),"      Politics and/or Administration")</f>
        <v xml:space="preserve">      Politics and/or Administration</v>
      </c>
      <c r="AN2" s="80" t="str">
        <f>HYPERLINK(CONCATENATE("[#]Subgroups!$B$",MATCH("02.06",Subgroups!$B$1:$B$115,0),":$E$",MATCH("02.06",Subgroups!$B$1:$B$115,0)),"      Sciences and/or Education")</f>
        <v xml:space="preserve">      Sciences and/or Education</v>
      </c>
      <c r="AO2" s="88" t="str">
        <f>HYPERLINK(CONCATENATE("[#]Subgroups!$B$",MATCH("02.07",Subgroups!$B$1:$B$115,0),":$E$",MATCH("02.07",Subgroups!$B$1:$B$115,0)),"      Cultural Context")</f>
        <v xml:space="preserve">      Cultural Context</v>
      </c>
      <c r="AP2" s="78" t="str">
        <f>HYPERLINK(CONCATENATE("[#]Subgroups!$B$",MATCH("03.01",Subgroups!$B$1:$B$115,0),":$E$",MATCH("03.01",Subgroups!$B$1:$B$115,0)),"      Railways")</f>
        <v xml:space="preserve">      Railways</v>
      </c>
      <c r="AQ2" s="79" t="str">
        <f>HYPERLINK(CONCATENATE("[#]Subgroups!$B$",MATCH("03.02",Subgroups!$B$1:$B$115,0),":$E$",MATCH("03.02",Subgroups!$B$1:$B$115,0)),"      Roads and/or Tracks")</f>
        <v xml:space="preserve">      Roads and/or Tracks</v>
      </c>
      <c r="AR2" s="79" t="str">
        <f>HYPERLINK(CONCATENATE("[#]Subgroups!$B$",MATCH("03.03",Subgroups!$B$1:$B$115,0),":$E$",MATCH("03.03",Subgroups!$B$1:$B$115,0)),"      Guided Transportation")</f>
        <v xml:space="preserve">      Guided Transportation</v>
      </c>
      <c r="AS2" s="79" t="str">
        <f>HYPERLINK(CONCATENATE("[#]Subgroups!$B$",MATCH("03.04",Subgroups!$B$1:$B$115,0),":$E$",MATCH("03.04",Subgroups!$B$1:$B$115,0)),"      Water-borne Transportation")</f>
        <v xml:space="preserve">      Water-borne Transportation</v>
      </c>
      <c r="AT2" s="79" t="str">
        <f>HYPERLINK(CONCATENATE("[#]Subgroups!$B$",MATCH("03.05",Subgroups!$B$1:$B$115,0),":$E$",MATCH("03.05",Subgroups!$B$1:$B$115,0)),"      Air Transportation")</f>
        <v xml:space="preserve">      Air Transportation</v>
      </c>
      <c r="AU2" s="79" t="str">
        <f>HYPERLINK(CONCATENATE("[#]Subgroups!$B$",MATCH("03.06",Subgroups!$B$1:$B$115,0),":$E$",MATCH("03.06",Subgroups!$B$1:$B$115,0)),"      Restrictions")</f>
        <v xml:space="preserve">      Restrictions</v>
      </c>
      <c r="AV2" s="79" t="str">
        <f>HYPERLINK(CONCATENATE("[#]Subgroups!$B$",MATCH("03.07",Subgroups!$B$1:$B$115,0),":$E$",MATCH("03.07",Subgroups!$B$1:$B$115,0)),"      Crossings and/or Links")</f>
        <v xml:space="preserve">      Crossings and/or Links</v>
      </c>
      <c r="AW2" s="79" t="str">
        <f>HYPERLINK(CONCATENATE("[#]Subgroups!$B$",MATCH("03.08",Subgroups!$B$1:$B$115,0),":$E$",MATCH("03.08",Subgroups!$B$1:$B$115,0)),"      Transportation-associated")</f>
        <v xml:space="preserve">      Transportation-associated</v>
      </c>
      <c r="AX2" s="79" t="str">
        <f>HYPERLINK(CONCATENATE("[#]Subgroups!$B$",MATCH("03.09",Subgroups!$B$1:$B$115,0),":$E$",MATCH("03.09",Subgroups!$B$1:$B$115,0)),"      Space Transportation")</f>
        <v xml:space="preserve">      Space Transportation</v>
      </c>
      <c r="AY2" s="84" t="str">
        <f>HYPERLINK(CONCATENATE("[#]Subgroups!$B$",MATCH("03.10",Subgroups!$B$1:$B$115,0),":$E$",MATCH("03.10",Subgroups!$B$1:$B$115,0)),"      Distribution Networks")</f>
        <v xml:space="preserve">      Distribution Networks</v>
      </c>
      <c r="AZ2" s="86" t="str">
        <f>HYPERLINK(CONCATENATE("[#]Subgroups!$B$",MATCH("04.01",Subgroups!$B$1:$B$115,0),":$E$",MATCH("04.01",Subgroups!$B$1:$B$115,0)),"      Coastal and/or Littoral Zones")</f>
        <v xml:space="preserve">      Coastal and/or Littoral Zones</v>
      </c>
      <c r="BA2" s="80" t="str">
        <f>HYPERLINK(CONCATENATE("[#]Subgroups!$B$",MATCH("04.02",Subgroups!$B$1:$B$115,0),":$E$",MATCH("04.02",Subgroups!$B$1:$B$115,0)),"      Ports and/or Harbours ")</f>
        <v xml:space="preserve">      Ports and/or Harbours </v>
      </c>
      <c r="BB2" s="80" t="str">
        <f>HYPERLINK(CONCATENATE("[#]Subgroups!$B$",MATCH("04.03",Subgroups!$B$1:$B$115,0),":$E$",MATCH("04.03",Subgroups!$B$1:$B$115,0)),"      Depths")</f>
        <v xml:space="preserve">      Depths</v>
      </c>
      <c r="BC2" s="80" t="str">
        <f>HYPERLINK(CONCATENATE("[#]Subgroups!$B$",MATCH("04.04",Subgroups!$B$1:$B$115,0),":$E$",MATCH("04.04",Subgroups!$B$1:$B$115,0)),"      Nature of Seabed")</f>
        <v xml:space="preserve">      Nature of Seabed</v>
      </c>
      <c r="BD2" s="80" t="str">
        <f>HYPERLINK(CONCATENATE("[#]Subgroups!$B$",MATCH("04.05",Subgroups!$B$1:$B$115,0),":$E$",MATCH("04.05",Subgroups!$B$1:$B$115,0)),"      Offshore Constructions and/or Installations")</f>
        <v xml:space="preserve">      Offshore Constructions and/or Installations</v>
      </c>
      <c r="BE2" s="80" t="str">
        <f>HYPERLINK(CONCATENATE("[#]Subgroups!$B$",MATCH("04.06",Subgroups!$B$1:$B$115,0),":$E$",MATCH("04.06",Subgroups!$B$1:$B$115,0)),"      Tides and/or Currents")</f>
        <v xml:space="preserve">      Tides and/or Currents</v>
      </c>
      <c r="BF2" s="80" t="str">
        <f>HYPERLINK(CONCATENATE("[#]Subgroups!$B$",MATCH("04.07",Subgroups!$B$1:$B$115,0),":$E$",MATCH("04.07",Subgroups!$B$1:$B$115,0)),"      Routes and/or Navigation")</f>
        <v xml:space="preserve">      Routes and/or Navigation</v>
      </c>
      <c r="BG2" s="80" t="str">
        <f>HYPERLINK(CONCATENATE("[#]Subgroups!$B$",MATCH("04.08",Subgroups!$B$1:$B$115,0),":$E$",MATCH("04.08",Subgroups!$B$1:$B$115,0)),"      Hazards and/or Obstructions")</f>
        <v xml:space="preserve">      Hazards and/or Obstructions</v>
      </c>
      <c r="BH2" s="80" t="str">
        <f>HYPERLINK(CONCATENATE("[#]Subgroups!$B$",MATCH("04.09",Subgroups!$B$1:$B$115,0),":$E$",MATCH("04.09",Subgroups!$B$1:$B$115,0)),"      Sea Ice")</f>
        <v xml:space="preserve">      Sea Ice</v>
      </c>
      <c r="BI2" s="80" t="str">
        <f>HYPERLINK(CONCATENATE("[#]Subgroups!$B$",MATCH("04.10",Subgroups!$B$1:$B$115,0),":$E$",MATCH("04.10",Subgroups!$B$1:$B$115,0)),"      Regulated and/or Restricted Zones")</f>
        <v xml:space="preserve">      Regulated and/or Restricted Zones</v>
      </c>
      <c r="BJ2" s="80" t="str">
        <f>HYPERLINK(CONCATENATE("[#]Subgroups!$B$",MATCH("04.11",Subgroups!$B$1:$B$115,0),":$E$",MATCH("04.11",Subgroups!$B$1:$B$115,0)),"      Inland Waters")</f>
        <v xml:space="preserve">      Inland Waters</v>
      </c>
      <c r="BK2" s="88" t="str">
        <f>HYPERLINK(CONCATENATE("[#]Subgroups!$B$",MATCH("04.12",Subgroups!$B$1:$B$115,0),":$E$",MATCH("04.12",Subgroups!$B$1:$B$115,0)),"      Physics of Water")</f>
        <v xml:space="preserve">      Physics of Water</v>
      </c>
      <c r="BL2" s="78" t="str">
        <f>HYPERLINK(CONCATENATE("[#]Subgroups!$B$",MATCH("05.01",Subgroups!$B$1:$B$115,0),":$E$",MATCH("05.01",Subgroups!$B$1:$B$115,0)),"      Hypsography")</f>
        <v xml:space="preserve">      Hypsography</v>
      </c>
      <c r="BM2" s="79" t="str">
        <f>HYPERLINK(CONCATENATE("[#]Subgroups!$B$",MATCH("05.02",Subgroups!$B$1:$B$115,0),":$E$",MATCH("05.02",Subgroups!$B$1:$B$115,0)),"      Geomorphology")</f>
        <v xml:space="preserve">      Geomorphology</v>
      </c>
      <c r="BN2" s="79" t="str">
        <f>HYPERLINK(CONCATENATE("[#]Subgroups!$B$",MATCH("05.03",Subgroups!$B$1:$B$115,0),":$E$",MATCH("05.03",Subgroups!$B$1:$B$115,0)),"      Rocks")</f>
        <v xml:space="preserve">      Rocks</v>
      </c>
      <c r="BO2" s="79" t="str">
        <f>HYPERLINK(CONCATENATE("[#]Subgroups!$B$",MATCH("05.04",Subgroups!$B$1:$B$115,0),":$E$",MATCH("05.04",Subgroups!$B$1:$B$115,0)),"      Soils")</f>
        <v xml:space="preserve">      Soils</v>
      </c>
      <c r="BP2" s="79" t="str">
        <f>HYPERLINK(CONCATENATE("[#]Subgroups!$B$",MATCH("05.05",Subgroups!$B$1:$B$115,0),":$E$",MATCH("05.05",Subgroups!$B$1:$B$115,0)),"      Natural Resources")</f>
        <v xml:space="preserve">      Natural Resources</v>
      </c>
      <c r="BQ2" s="79" t="str">
        <f>HYPERLINK(CONCATENATE("[#]Subgroups!$B$",MATCH("05.06",Subgroups!$B$1:$B$115,0),":$E$",MATCH("05.06",Subgroups!$B$1:$B$115,0)),"      Seismology and/or Volcanology")</f>
        <v xml:space="preserve">      Seismology and/or Volcanology</v>
      </c>
      <c r="BR2" s="79" t="str">
        <f>HYPERLINK(CONCATENATE("[#]Subgroups!$B$",MATCH("05.07",Subgroups!$B$1:$B$115,0),":$E$",MATCH("05.07",Subgroups!$B$1:$B$115,0)),"      Glaciers")</f>
        <v xml:space="preserve">      Glaciers</v>
      </c>
      <c r="BS2" s="79" t="str">
        <f>HYPERLINK(CONCATENATE("[#]Subgroups!$B$",MATCH("05.08",Subgroups!$B$1:$B$115,0),":$E$",MATCH("05.08",Subgroups!$B$1:$B$115,0)),"      Anomalies")</f>
        <v xml:space="preserve">      Anomalies</v>
      </c>
      <c r="BT2" s="84" t="str">
        <f>HYPERLINK(CONCATENATE("[#]Subgroups!$B$",MATCH("05.09",Subgroups!$B$1:$B$115,0),":$E$",MATCH("05.09",Subgroups!$B$1:$B$115,0)),"      Global Earth Cover")</f>
        <v xml:space="preserve">      Global Earth Cover</v>
      </c>
      <c r="BU2" s="86" t="str">
        <f>HYPERLINK(CONCATENATE("[#]Subgroups!$B$",MATCH("06.01",Subgroups!$B$1:$B$115,0),":$E$",MATCH("06.01",Subgroups!$B$1:$B$115,0)),"      Cultivated Land")</f>
        <v xml:space="preserve">      Cultivated Land</v>
      </c>
      <c r="BV2" s="80" t="str">
        <f>HYPERLINK(CONCATENATE("[#]Subgroups!$B$",MATCH("06.02",Subgroups!$B$1:$B$115,0),":$E$",MATCH("06.02",Subgroups!$B$1:$B$115,0)),"      Rangeland")</f>
        <v xml:space="preserve">      Rangeland</v>
      </c>
      <c r="BW2" s="80" t="str">
        <f>HYPERLINK(CONCATENATE("[#]Subgroups!$B$",MATCH("06.03",Subgroups!$B$1:$B$115,0),":$E$",MATCH("06.03",Subgroups!$B$1:$B$115,0)),"      Woodland")</f>
        <v xml:space="preserve">      Woodland</v>
      </c>
      <c r="BX2" s="80" t="str">
        <f>HYPERLINK(CONCATENATE("[#]Subgroups!$B$",MATCH("06.04",Subgroups!$B$1:$B$115,0),":$E$",MATCH("06.04",Subgroups!$B$1:$B$115,0)),"      Wetland")</f>
        <v xml:space="preserve">      Wetland</v>
      </c>
      <c r="BY2" s="80" t="str">
        <f>HYPERLINK(CONCATENATE("[#]Subgroups!$B$",MATCH("06.05",Subgroups!$B$1:$B$115,0),":$E$",MATCH("06.05",Subgroups!$B$1:$B$115,0)),"      Arid Areas")</f>
        <v xml:space="preserve">      Arid Areas</v>
      </c>
      <c r="BZ2" s="80" t="str">
        <f>HYPERLINK(CONCATENATE("[#]Subgroups!$B$",MATCH("06.06",Subgroups!$B$1:$B$115,0),":$E$",MATCH("06.06",Subgroups!$B$1:$B$115,0)),"      Regions and/or Restricted Areas")</f>
        <v xml:space="preserve">      Regions and/or Restricted Areas</v>
      </c>
      <c r="CA2" s="80" t="str">
        <f>HYPERLINK(CONCATENATE("[#]Subgroups!$B$",MATCH("06.07",Subgroups!$B$1:$B$115,0),":$E$",MATCH("06.07",Subgroups!$B$1:$B$115,0)),"      Fauna")</f>
        <v xml:space="preserve">      Fauna</v>
      </c>
      <c r="CB2" s="88" t="str">
        <f>HYPERLINK(CONCATENATE("[#]Subgroups!$B$",MATCH("06.08",Subgroups!$B$1:$B$115,0),":$E$",MATCH("06.08",Subgroups!$B$1:$B$115,0)),"      Flora")</f>
        <v xml:space="preserve">      Flora</v>
      </c>
      <c r="CC2" s="78" t="str">
        <f>HYPERLINK(CONCATENATE("[#]Subgroups!$B$",MATCH("07.01",Subgroups!$B$1:$B$115,0),":$E$",MATCH("07.01",Subgroups!$B$1:$B$115,0)),"      Boundaries and/or Limits")</f>
        <v xml:space="preserve">      Boundaries and/or Limits</v>
      </c>
      <c r="CD2" s="84" t="str">
        <f>HYPERLINK(CONCATENATE("[#]Subgroups!$B$",MATCH("07.02",Subgroups!$B$1:$B$115,0),":$E$",MATCH("07.02",Subgroups!$B$1:$B$115,0)),"      Land-survey and/or Real Estate")</f>
        <v xml:space="preserve">      Land-survey and/or Real Estate</v>
      </c>
      <c r="CE2" s="86" t="str">
        <f>HYPERLINK(CONCATENATE("[#]Subgroups!$B$",MATCH("08.01",Subgroups!$B$1:$B$115,0),":$E$",MATCH("08.01",Subgroups!$B$1:$B$115,0)),"      Aerodromes, Movement Surfaces and/or Lighting")</f>
        <v xml:space="preserve">      Aerodromes, Movement Surfaces and/or Lighting</v>
      </c>
      <c r="CF2" s="80" t="str">
        <f>HYPERLINK(CONCATENATE("[#]Subgroups!$B$",MATCH("08.02",Subgroups!$B$1:$B$115,0),":$E$",MATCH("08.02",Subgroups!$B$1:$B$115,0)),"      Airspace and/or Routes ")</f>
        <v xml:space="preserve">      Airspace and/or Routes </v>
      </c>
      <c r="CG2" s="80" t="str">
        <f>HYPERLINK(CONCATENATE("[#]Subgroups!$B$",MATCH("08.03",Subgroups!$B$1:$B$115,0),":$E$",MATCH("08.03",Subgroups!$B$1:$B$115,0)),"      NAVAIDS, Landing Aids, Points and/or Obstacles")</f>
        <v xml:space="preserve">      NAVAIDS, Landing Aids, Points and/or Obstacles</v>
      </c>
      <c r="CH2" s="80" t="str">
        <f>HYPERLINK(CONCATENATE("[#]Subgroups!$B$",MATCH("08.04",Subgroups!$B$1:$B$115,0),":$E$",MATCH("08.04",Subgroups!$B$1:$B$115,0)),"      Services, Organisations and/or Timetables")</f>
        <v xml:space="preserve">      Services, Organisations and/or Timetables</v>
      </c>
      <c r="CI2" s="88" t="str">
        <f>HYPERLINK(CONCATENATE("[#]Subgroups!$B$",MATCH("08.05",Subgroups!$B$1:$B$115,0),":$E$",MATCH("08.05",Subgroups!$B$1:$B$115,0)),"      Terminal Procedures")</f>
        <v xml:space="preserve">      Terminal Procedures</v>
      </c>
      <c r="CJ2" s="78" t="str">
        <f>HYPERLINK(CONCATENATE("[#]Subgroups!$B$",MATCH("09.01",Subgroups!$B$1:$B$115,0),":$E$",MATCH("09.01",Subgroups!$B$1:$B$115,0)),"      Defensive and/or Operational Structures")</f>
        <v xml:space="preserve">      Defensive and/or Operational Structures</v>
      </c>
      <c r="CK2" s="79" t="str">
        <f>HYPERLINK(CONCATENATE("[#]Subgroups!$B$",MATCH("09.02",Subgroups!$B$1:$B$115,0),":$E$",MATCH("09.02",Subgroups!$B$1:$B$115,0)),"      Restricted Areas and/or Boundaries")</f>
        <v xml:space="preserve">      Restricted Areas and/or Boundaries</v>
      </c>
      <c r="CL2" s="84" t="str">
        <f>HYPERLINK(CONCATENATE("[#]Subgroups!$B$",MATCH("09.03",Subgroups!$B$1:$B$115,0),":$E$",MATCH("09.03",Subgroups!$B$1:$B$115,0)),"      Operations and Events")</f>
        <v xml:space="preserve">      Operations and Events</v>
      </c>
      <c r="CM2" s="86" t="str">
        <f>HYPERLINK(CONCATENATE("[#]Subgroups!$B$",MATCH("10.01",Subgroups!$B$1:$B$115,0),":$E$",MATCH("10.01",Subgroups!$B$1:$B$115,0)),"      Weather Phenomena")</f>
        <v xml:space="preserve">      Weather Phenomena</v>
      </c>
      <c r="CN2" s="80" t="str">
        <f>HYPERLINK(CONCATENATE("[#]Subgroups!$B$",MATCH("10.02",Subgroups!$B$1:$B$115,0),":$E$",MATCH("10.02",Subgroups!$B$1:$B$115,0)),"      Climate Conditions")</f>
        <v xml:space="preserve">      Climate Conditions</v>
      </c>
      <c r="CO2" s="88" t="str">
        <f>HYPERLINK(CONCATENATE("[#]Subgroups!$B$",MATCH("10.03",Subgroups!$B$1:$B$115,0),":$E$",MATCH("10.03",Subgroups!$B$1:$B$115,0)),"      Climate Zones and/or Regions")</f>
        <v xml:space="preserve">      Climate Zones and/or Regions</v>
      </c>
      <c r="CP2" s="78" t="str">
        <f>HYPERLINK(CONCATENATE("[#]Subgroups!$B$",MATCH("20.01",Subgroups!$B$1:$B$115,0),":$E$",MATCH("20.01",Subgroups!$B$1:$B$115,0)),"      Position")</f>
        <v xml:space="preserve">      Position</v>
      </c>
      <c r="CQ2" s="79" t="str">
        <f>HYPERLINK(CONCATENATE("[#]Subgroups!$B$",MATCH("20.02",Subgroups!$B$1:$B$115,0),":$E$",MATCH("20.02",Subgroups!$B$1:$B$115,0)),"      Measurable Values")</f>
        <v xml:space="preserve">      Measurable Values</v>
      </c>
      <c r="CR2" s="79" t="str">
        <f>HYPERLINK(CONCATENATE("[#]Subgroups!$B$",MATCH("20.03",Subgroups!$B$1:$B$115,0),":$E$",MATCH("20.03",Subgroups!$B$1:$B$115,0)),"      Dates and/or Durations")</f>
        <v xml:space="preserve">      Dates and/or Durations</v>
      </c>
      <c r="CS2" s="79" t="str">
        <f>HYPERLINK(CONCATENATE("[#]Subgroups!$B$",MATCH("20.04",Subgroups!$B$1:$B$115,0),":$E$",MATCH("20.04",Subgroups!$B$1:$B$115,0)),"      Appearance")</f>
        <v xml:space="preserve">      Appearance</v>
      </c>
      <c r="CT2" s="79" t="str">
        <f>HYPERLINK(CONCATENATE("[#]Subgroups!$B$",MATCH("20.05",Subgroups!$B$1:$B$115,0),":$E$",MATCH("20.05",Subgroups!$B$1:$B$115,0)),"      Function and/or Status")</f>
        <v xml:space="preserve">      Function and/or Status</v>
      </c>
      <c r="CU2" s="86" t="str">
        <f>HYPERLINK(CONCATENATE("[#]Subgroups!$B$",MATCH("21.01",Subgroups!$B$1:$B$115,0),":$E$",MATCH("21.01",Subgroups!$B$1:$B$115,0)),"      Names")</f>
        <v xml:space="preserve">      Names</v>
      </c>
      <c r="CV2" s="80" t="str">
        <f>HYPERLINK(CONCATENATE("[#]Subgroups!$B$",MATCH("21.02",Subgroups!$B$1:$B$115,0),":$E$",MATCH("21.02",Subgroups!$B$1:$B$115,0)),"      Designations")</f>
        <v xml:space="preserve">      Designations</v>
      </c>
      <c r="CW2" s="78" t="str">
        <f>HYPERLINK(CONCATENATE("[#]Subgroups!$B$",MATCH("22.01",Subgroups!$B$1:$B$115,0),":$E$",MATCH("22.01",Subgroups!$B$1:$B$115,0)),"      Annotation")</f>
        <v xml:space="preserve">      Annotation</v>
      </c>
      <c r="CX2" s="79" t="str">
        <f>HYPERLINK(CONCATENATE("[#]Subgroups!$B$",MATCH("22.02",Subgroups!$B$1:$B$115,0),":$E$",MATCH("22.02",Subgroups!$B$1:$B$115,0)),"      Portrayal")</f>
        <v xml:space="preserve">      Portrayal</v>
      </c>
      <c r="CY2" s="79" t="str">
        <f>HYPERLINK(CONCATENATE("[#]Subgroups!$B$",MATCH("22.03",Subgroups!$B$1:$B$115,0),":$E$",MATCH("22.03",Subgroups!$B$1:$B$115,0)),"      Date and/or Currency")</f>
        <v xml:space="preserve">      Date and/or Currency</v>
      </c>
      <c r="CZ2" s="79" t="str">
        <f>HYPERLINK(CONCATENATE("[#]Subgroups!$B$",MATCH("22.04",Subgroups!$B$1:$B$115,0),":$E$",MATCH("22.04",Subgroups!$B$1:$B$115,0)),"      Quality")</f>
        <v xml:space="preserve">      Quality</v>
      </c>
      <c r="DA2" s="79" t="str">
        <f>HYPERLINK(CONCATENATE("[#]Subgroups!$B$",MATCH("22.05",Subgroups!$B$1:$B$115,0),":$E$",MATCH("22.05",Subgroups!$B$1:$B$115,0)),"      References and/or Sources")</f>
        <v xml:space="preserve">      References and/or Sources</v>
      </c>
      <c r="DB2" s="79" t="str">
        <f>HYPERLINK(CONCATENATE("[#]Subgroups!$B$",MATCH("22.06",Subgroups!$B$1:$B$115,0),":$E$",MATCH("22.06",Subgroups!$B$1:$B$115,0)),"      Systems of Classification")</f>
        <v xml:space="preserve">      Systems of Classification</v>
      </c>
      <c r="DC2" s="86" t="str">
        <f>HYPERLINK(CONCATENATE("[#]Subgroups!$B$",MATCH("23.01",Subgroups!$B$1:$B$115,0),":$E$",MATCH("23.01",Subgroups!$B$1:$B$115,0)),"      Information Entity")</f>
        <v xml:space="preserve">      Information Entity</v>
      </c>
      <c r="DD2" s="80" t="str">
        <f>HYPERLINK(CONCATENATE("[#]Subgroups!$B$",MATCH("23.02",Subgroups!$B$1:$B$115,0),":$E$",MATCH("23.02",Subgroups!$B$1:$B$115,0)),"      Dataset")</f>
        <v xml:space="preserve">      Dataset</v>
      </c>
      <c r="DE2" s="35"/>
    </row>
    <row r="3" spans="1:109" ht="25.5" x14ac:dyDescent="0.2">
      <c r="A3" s="175" t="str">
        <f t="shared" ref="A3:A66" si="0">HYPERLINK(I3,J3)</f>
        <v>AccessZone</v>
      </c>
      <c r="B3" s="11" t="s">
        <v>1787</v>
      </c>
      <c r="C3" s="173"/>
      <c r="D3" s="22" t="s">
        <v>1788</v>
      </c>
      <c r="E3" s="15" t="s">
        <v>1789</v>
      </c>
      <c r="F3" s="174"/>
      <c r="G3" s="174"/>
      <c r="H3" s="37">
        <v>100455</v>
      </c>
      <c r="I3" s="25" t="str">
        <f>CONCATENATE(Cover!$D$6,"fdd/view?i=",H3)</f>
        <v>https://www.dgiwg.org/FAD/fdd/view?i=100455</v>
      </c>
      <c r="J3" s="13" t="s">
        <v>1786</v>
      </c>
      <c r="K3" s="172"/>
      <c r="L3" s="172"/>
      <c r="CC3" s="81" t="s">
        <v>1790</v>
      </c>
      <c r="CK3" s="82" t="s">
        <v>1790</v>
      </c>
    </row>
    <row r="4" spans="1:109" x14ac:dyDescent="0.2">
      <c r="A4" s="176" t="str">
        <f t="shared" si="0"/>
        <v>AcousticStation</v>
      </c>
      <c r="B4" s="11" t="s">
        <v>1792</v>
      </c>
      <c r="C4" s="173"/>
      <c r="D4" s="22" t="s">
        <v>1793</v>
      </c>
      <c r="E4" s="15" t="s">
        <v>1794</v>
      </c>
      <c r="F4" s="174"/>
      <c r="G4" s="174"/>
      <c r="H4" s="37">
        <v>100389</v>
      </c>
      <c r="I4" s="25" t="str">
        <f>CONCATENATE(Cover!$D$6,"fdd/view?i=",H4)</f>
        <v>https://www.dgiwg.org/FAD/fdd/view?i=100389</v>
      </c>
      <c r="J4" s="13" t="s">
        <v>1791</v>
      </c>
      <c r="K4" s="172"/>
      <c r="L4" s="172"/>
      <c r="AN4" s="83" t="s">
        <v>1790</v>
      </c>
      <c r="AS4" s="82" t="s">
        <v>1790</v>
      </c>
      <c r="BF4" s="83" t="s">
        <v>1790</v>
      </c>
    </row>
    <row r="5" spans="1:109" ht="63.75" x14ac:dyDescent="0.2">
      <c r="A5" s="176" t="str">
        <f t="shared" si="0"/>
        <v>ActorEntity</v>
      </c>
      <c r="B5" s="11" t="s">
        <v>1796</v>
      </c>
      <c r="C5" s="173"/>
      <c r="D5" s="22" t="s">
        <v>1797</v>
      </c>
      <c r="E5" s="15" t="s">
        <v>1798</v>
      </c>
      <c r="F5" s="15" t="s">
        <v>1799</v>
      </c>
      <c r="G5" s="174"/>
      <c r="H5" s="37">
        <v>119172</v>
      </c>
      <c r="I5" s="25" t="str">
        <f>CONCATENATE(Cover!$D$6,"fdd/view?i=",H5)</f>
        <v>https://www.dgiwg.org/FAD/fdd/view?i=119172</v>
      </c>
      <c r="J5" s="13" t="s">
        <v>1795</v>
      </c>
      <c r="K5" s="172"/>
      <c r="L5" s="172"/>
      <c r="DC5" s="87" t="s">
        <v>1790</v>
      </c>
    </row>
    <row r="6" spans="1:109" x14ac:dyDescent="0.2">
      <c r="A6" s="176" t="str">
        <f t="shared" si="0"/>
        <v>AdministrativeBoundary</v>
      </c>
      <c r="B6" s="11" t="s">
        <v>1801</v>
      </c>
      <c r="C6" s="173"/>
      <c r="D6" s="22" t="s">
        <v>1802</v>
      </c>
      <c r="E6" s="15" t="s">
        <v>1803</v>
      </c>
      <c r="F6" s="174"/>
      <c r="G6" s="174"/>
      <c r="H6" s="37">
        <v>100453</v>
      </c>
      <c r="I6" s="25" t="str">
        <f>CONCATENATE(Cover!$D$6,"fdd/view?i=",H6)</f>
        <v>https://www.dgiwg.org/FAD/fdd/view?i=100453</v>
      </c>
      <c r="J6" s="13" t="s">
        <v>1800</v>
      </c>
      <c r="K6" s="172"/>
      <c r="L6" s="172"/>
      <c r="AM6" s="83" t="s">
        <v>1790</v>
      </c>
      <c r="CC6" s="81" t="s">
        <v>1790</v>
      </c>
    </row>
    <row r="7" spans="1:109" ht="114.75" x14ac:dyDescent="0.2">
      <c r="A7" s="176" t="str">
        <f t="shared" si="0"/>
        <v>AdministrativeDivision</v>
      </c>
      <c r="B7" s="11" t="s">
        <v>1805</v>
      </c>
      <c r="C7" s="173"/>
      <c r="D7" s="22" t="s">
        <v>1806</v>
      </c>
      <c r="E7" s="15" t="s">
        <v>1807</v>
      </c>
      <c r="F7" s="15" t="s">
        <v>1808</v>
      </c>
      <c r="G7" s="174"/>
      <c r="H7" s="37">
        <v>111454</v>
      </c>
      <c r="I7" s="25" t="str">
        <f>CONCATENATE(Cover!$D$6,"fdd/view?i=",H7)</f>
        <v>https://www.dgiwg.org/FAD/fdd/view?i=111454</v>
      </c>
      <c r="J7" s="13" t="s">
        <v>1804</v>
      </c>
      <c r="K7" s="172"/>
      <c r="L7" s="172"/>
      <c r="AM7" s="83" t="s">
        <v>1790</v>
      </c>
      <c r="CC7" s="81" t="s">
        <v>1790</v>
      </c>
    </row>
    <row r="8" spans="1:109" ht="63.75" x14ac:dyDescent="0.2">
      <c r="A8" s="176" t="str">
        <f t="shared" si="0"/>
        <v>AdminDivisionDesig</v>
      </c>
      <c r="B8" s="11" t="s">
        <v>1810</v>
      </c>
      <c r="C8" s="173"/>
      <c r="D8" s="22" t="s">
        <v>1811</v>
      </c>
      <c r="E8" s="15" t="s">
        <v>1812</v>
      </c>
      <c r="F8" s="174"/>
      <c r="G8" s="174"/>
      <c r="H8" s="37">
        <v>114204</v>
      </c>
      <c r="I8" s="25" t="str">
        <f>CONCATENATE(Cover!$D$6,"fdd/view?i=",H8)</f>
        <v>https://www.dgiwg.org/FAD/fdd/view?i=114204</v>
      </c>
      <c r="J8" s="13" t="s">
        <v>1809</v>
      </c>
      <c r="K8" s="172"/>
      <c r="L8" s="172"/>
      <c r="DC8" s="87" t="s">
        <v>1790</v>
      </c>
    </row>
    <row r="9" spans="1:109" x14ac:dyDescent="0.2">
      <c r="A9" s="176" t="str">
        <f t="shared" si="0"/>
        <v>AdministrativeRegion</v>
      </c>
      <c r="B9" s="11" t="s">
        <v>1814</v>
      </c>
      <c r="C9" s="173"/>
      <c r="D9" s="22" t="s">
        <v>1815</v>
      </c>
      <c r="E9" s="15" t="s">
        <v>1816</v>
      </c>
      <c r="F9" s="174"/>
      <c r="G9" s="174"/>
      <c r="H9" s="37">
        <v>100454</v>
      </c>
      <c r="I9" s="25" t="str">
        <f>CONCATENATE(Cover!$D$6,"fdd/view?i=",H9)</f>
        <v>https://www.dgiwg.org/FAD/fdd/view?i=100454</v>
      </c>
      <c r="J9" s="13" t="s">
        <v>1813</v>
      </c>
      <c r="K9" s="172"/>
      <c r="L9" s="172"/>
      <c r="AM9" s="83" t="s">
        <v>1790</v>
      </c>
      <c r="CC9" s="81" t="s">
        <v>1790</v>
      </c>
    </row>
    <row r="10" spans="1:109" ht="38.25" x14ac:dyDescent="0.2">
      <c r="A10" s="176" t="str">
        <f t="shared" si="0"/>
        <v>AerationBasin</v>
      </c>
      <c r="B10" s="11" t="s">
        <v>1818</v>
      </c>
      <c r="C10" s="173"/>
      <c r="D10" s="22" t="s">
        <v>1819</v>
      </c>
      <c r="E10" s="15" t="s">
        <v>1820</v>
      </c>
      <c r="F10" s="15" t="s">
        <v>1821</v>
      </c>
      <c r="G10" s="174"/>
      <c r="H10" s="37">
        <v>111396</v>
      </c>
      <c r="I10" s="25" t="str">
        <f>CONCATENATE(Cover!$D$6,"fdd/view?i=",H10)</f>
        <v>https://www.dgiwg.org/FAD/fdd/view?i=111396</v>
      </c>
      <c r="J10" s="13" t="s">
        <v>1817</v>
      </c>
      <c r="K10" s="172"/>
      <c r="L10" s="172"/>
      <c r="AB10" s="82" t="s">
        <v>1790</v>
      </c>
      <c r="AF10" s="82" t="s">
        <v>1790</v>
      </c>
    </row>
    <row r="11" spans="1:109" ht="38.25" x14ac:dyDescent="0.2">
      <c r="A11" s="176" t="str">
        <f t="shared" si="0"/>
        <v>Aerial</v>
      </c>
      <c r="B11" s="11" t="s">
        <v>1823</v>
      </c>
      <c r="C11" s="173"/>
      <c r="D11" s="22" t="s">
        <v>1822</v>
      </c>
      <c r="E11" s="15" t="s">
        <v>1824</v>
      </c>
      <c r="F11" s="15" t="s">
        <v>1825</v>
      </c>
      <c r="G11" s="174"/>
      <c r="H11" s="37">
        <v>111433</v>
      </c>
      <c r="I11" s="25" t="str">
        <f>CONCATENATE(Cover!$D$6,"fdd/view?i=",H11)</f>
        <v>https://www.dgiwg.org/FAD/fdd/view?i=111433</v>
      </c>
      <c r="J11" s="13" t="s">
        <v>1822</v>
      </c>
      <c r="K11" s="172"/>
      <c r="L11" s="172"/>
      <c r="AE11" s="82" t="s">
        <v>1790</v>
      </c>
    </row>
    <row r="12" spans="1:109" x14ac:dyDescent="0.2">
      <c r="A12" s="176" t="str">
        <f t="shared" si="0"/>
        <v>AerialCablePylon</v>
      </c>
      <c r="B12" s="11" t="s">
        <v>1827</v>
      </c>
      <c r="C12" s="173"/>
      <c r="D12" s="22" t="s">
        <v>1828</v>
      </c>
      <c r="E12" s="15" t="s">
        <v>1829</v>
      </c>
      <c r="F12" s="15" t="s">
        <v>1830</v>
      </c>
      <c r="G12" s="174"/>
      <c r="H12" s="37">
        <v>100151</v>
      </c>
      <c r="I12" s="25" t="str">
        <f>CONCATENATE(Cover!$D$6,"fdd/view?i=",H12)</f>
        <v>https://www.dgiwg.org/FAD/fdd/view?i=100151</v>
      </c>
      <c r="J12" s="13" t="s">
        <v>1826</v>
      </c>
      <c r="K12" s="172"/>
      <c r="L12" s="172"/>
      <c r="AF12" s="82" t="s">
        <v>1790</v>
      </c>
      <c r="AW12" s="82" t="s">
        <v>1790</v>
      </c>
    </row>
    <row r="13" spans="1:109" ht="63.75" x14ac:dyDescent="0.2">
      <c r="A13" s="176" t="str">
        <f t="shared" si="0"/>
        <v>AerialFarm</v>
      </c>
      <c r="B13" s="11" t="s">
        <v>1832</v>
      </c>
      <c r="C13" s="173"/>
      <c r="D13" s="22" t="s">
        <v>1833</v>
      </c>
      <c r="E13" s="15" t="s">
        <v>1834</v>
      </c>
      <c r="F13" s="15" t="s">
        <v>1835</v>
      </c>
      <c r="G13" s="174"/>
      <c r="H13" s="37">
        <v>111434</v>
      </c>
      <c r="I13" s="25" t="str">
        <f>CONCATENATE(Cover!$D$6,"fdd/view?i=",H13)</f>
        <v>https://www.dgiwg.org/FAD/fdd/view?i=111434</v>
      </c>
      <c r="J13" s="13" t="s">
        <v>1831</v>
      </c>
      <c r="K13" s="172"/>
      <c r="L13" s="172"/>
      <c r="AE13" s="82" t="s">
        <v>1790</v>
      </c>
    </row>
    <row r="14" spans="1:109" ht="38.25" x14ac:dyDescent="0.2">
      <c r="A14" s="176" t="str">
        <f t="shared" si="0"/>
        <v>Aerodrome</v>
      </c>
      <c r="B14" s="11" t="s">
        <v>1837</v>
      </c>
      <c r="C14" s="173"/>
      <c r="D14" s="22" t="s">
        <v>1836</v>
      </c>
      <c r="E14" s="15" t="s">
        <v>1838</v>
      </c>
      <c r="F14" s="174"/>
      <c r="G14" s="15" t="s">
        <v>1839</v>
      </c>
      <c r="H14" s="37">
        <v>114579</v>
      </c>
      <c r="I14" s="25" t="str">
        <f>CONCATENATE(Cover!$D$6,"fdd/view?i=",H14)</f>
        <v>https://www.dgiwg.org/FAD/fdd/view?i=114579</v>
      </c>
      <c r="J14" s="13" t="s">
        <v>1836</v>
      </c>
      <c r="K14" s="172"/>
      <c r="L14" s="172"/>
      <c r="CE14" s="87" t="s">
        <v>1790</v>
      </c>
    </row>
    <row r="15" spans="1:109" ht="25.5" x14ac:dyDescent="0.2">
      <c r="A15" s="176" t="str">
        <f t="shared" si="0"/>
        <v>AerodromeBeacon</v>
      </c>
      <c r="B15" s="11" t="s">
        <v>1841</v>
      </c>
      <c r="C15" s="173"/>
      <c r="D15" s="22" t="s">
        <v>1842</v>
      </c>
      <c r="E15" s="15" t="s">
        <v>1843</v>
      </c>
      <c r="F15" s="15" t="s">
        <v>1844</v>
      </c>
      <c r="G15" s="174"/>
      <c r="H15" s="37">
        <v>114580</v>
      </c>
      <c r="I15" s="25" t="str">
        <f>CONCATENATE(Cover!$D$6,"fdd/view?i=",H15)</f>
        <v>https://www.dgiwg.org/FAD/fdd/view?i=114580</v>
      </c>
      <c r="J15" s="13" t="s">
        <v>1840</v>
      </c>
      <c r="K15" s="172"/>
      <c r="L15" s="172"/>
      <c r="CE15" s="87" t="s">
        <v>1790</v>
      </c>
    </row>
    <row r="16" spans="1:109" ht="25.5" x14ac:dyDescent="0.2">
      <c r="A16" s="176" t="str">
        <f t="shared" si="0"/>
        <v>AerodromeBoundary</v>
      </c>
      <c r="B16" s="11" t="s">
        <v>1846</v>
      </c>
      <c r="C16" s="173"/>
      <c r="D16" s="22" t="s">
        <v>1847</v>
      </c>
      <c r="E16" s="15" t="s">
        <v>1848</v>
      </c>
      <c r="F16" s="174"/>
      <c r="G16" s="174"/>
      <c r="H16" s="37">
        <v>114581</v>
      </c>
      <c r="I16" s="25" t="str">
        <f>CONCATENATE(Cover!$D$6,"fdd/view?i=",H16)</f>
        <v>https://www.dgiwg.org/FAD/fdd/view?i=114581</v>
      </c>
      <c r="J16" s="13" t="s">
        <v>1845</v>
      </c>
      <c r="K16" s="172"/>
      <c r="L16" s="172"/>
      <c r="CE16" s="87" t="s">
        <v>1790</v>
      </c>
    </row>
    <row r="17" spans="1:107" ht="25.5" x14ac:dyDescent="0.2">
      <c r="A17" s="176" t="str">
        <f t="shared" si="0"/>
        <v>AerodromeElecPowerService</v>
      </c>
      <c r="B17" s="11" t="s">
        <v>1850</v>
      </c>
      <c r="C17" s="173"/>
      <c r="D17" s="22" t="s">
        <v>1851</v>
      </c>
      <c r="E17" s="15" t="s">
        <v>1852</v>
      </c>
      <c r="F17" s="174"/>
      <c r="G17" s="174"/>
      <c r="H17" s="37">
        <v>119573</v>
      </c>
      <c r="I17" s="25" t="str">
        <f>CONCATENATE(Cover!$D$6,"fdd/view?i=",H17)</f>
        <v>https://www.dgiwg.org/FAD/fdd/view?i=119573</v>
      </c>
      <c r="J17" s="13" t="s">
        <v>1849</v>
      </c>
      <c r="K17" s="172"/>
      <c r="L17" s="172"/>
      <c r="AD17" s="82" t="s">
        <v>1790</v>
      </c>
      <c r="AT17" s="82" t="s">
        <v>1790</v>
      </c>
      <c r="CE17" s="87" t="s">
        <v>1790</v>
      </c>
      <c r="CH17" s="83" t="s">
        <v>1790</v>
      </c>
    </row>
    <row r="18" spans="1:107" ht="38.25" x14ac:dyDescent="0.2">
      <c r="A18" s="176" t="str">
        <f t="shared" si="0"/>
        <v>AerodromeElevationPoint</v>
      </c>
      <c r="B18" s="11" t="s">
        <v>1854</v>
      </c>
      <c r="C18" s="173"/>
      <c r="D18" s="22" t="s">
        <v>1855</v>
      </c>
      <c r="E18" s="15" t="s">
        <v>1856</v>
      </c>
      <c r="F18" s="15" t="s">
        <v>1857</v>
      </c>
      <c r="G18" s="174"/>
      <c r="H18" s="37">
        <v>119705</v>
      </c>
      <c r="I18" s="25" t="str">
        <f>CONCATENATE(Cover!$D$6,"fdd/view?i=",H18)</f>
        <v>https://www.dgiwg.org/FAD/fdd/view?i=119705</v>
      </c>
      <c r="J18" s="13" t="s">
        <v>1853</v>
      </c>
      <c r="K18" s="172"/>
      <c r="L18" s="172"/>
      <c r="AT18" s="82" t="s">
        <v>1790</v>
      </c>
      <c r="BL18" s="81" t="s">
        <v>1790</v>
      </c>
      <c r="CE18" s="87" t="s">
        <v>1790</v>
      </c>
      <c r="CP18" s="164" t="s">
        <v>1790</v>
      </c>
    </row>
    <row r="19" spans="1:107" ht="25.5" x14ac:dyDescent="0.2">
      <c r="A19" s="176" t="str">
        <f t="shared" si="0"/>
        <v>AerodromeFuelFillingStand</v>
      </c>
      <c r="B19" s="11" t="s">
        <v>1859</v>
      </c>
      <c r="C19" s="173"/>
      <c r="D19" s="22" t="s">
        <v>1860</v>
      </c>
      <c r="E19" s="15" t="s">
        <v>1861</v>
      </c>
      <c r="F19" s="174"/>
      <c r="G19" s="174"/>
      <c r="H19" s="37">
        <v>119567</v>
      </c>
      <c r="I19" s="25" t="str">
        <f>CONCATENATE(Cover!$D$6,"fdd/view?i=",H19)</f>
        <v>https://www.dgiwg.org/FAD/fdd/view?i=119567</v>
      </c>
      <c r="J19" s="13" t="s">
        <v>1858</v>
      </c>
      <c r="K19" s="172"/>
      <c r="L19" s="172"/>
      <c r="AT19" s="82" t="s">
        <v>1790</v>
      </c>
      <c r="CE19" s="87" t="s">
        <v>1790</v>
      </c>
      <c r="CH19" s="83" t="s">
        <v>1790</v>
      </c>
    </row>
    <row r="20" spans="1:107" ht="38.25" x14ac:dyDescent="0.2">
      <c r="A20" s="176" t="str">
        <f t="shared" si="0"/>
        <v>AerodromeHotSpot</v>
      </c>
      <c r="B20" s="11" t="s">
        <v>1863</v>
      </c>
      <c r="C20" s="173"/>
      <c r="D20" s="22" t="s">
        <v>1864</v>
      </c>
      <c r="E20" s="15" t="s">
        <v>1865</v>
      </c>
      <c r="F20" s="174"/>
      <c r="G20" s="174"/>
      <c r="H20" s="37">
        <v>114645</v>
      </c>
      <c r="I20" s="25" t="str">
        <f>CONCATENATE(Cover!$D$6,"fdd/view?i=",H20)</f>
        <v>https://www.dgiwg.org/FAD/fdd/view?i=114645</v>
      </c>
      <c r="J20" s="13" t="s">
        <v>1862</v>
      </c>
      <c r="K20" s="172"/>
      <c r="L20" s="172"/>
      <c r="CE20" s="87" t="s">
        <v>1790</v>
      </c>
    </row>
    <row r="21" spans="1:107" ht="38.25" x14ac:dyDescent="0.2">
      <c r="A21" s="176" t="str">
        <f t="shared" si="0"/>
        <v>AerodromeInstLocation</v>
      </c>
      <c r="B21" s="11" t="s">
        <v>1867</v>
      </c>
      <c r="C21" s="173"/>
      <c r="D21" s="22" t="s">
        <v>1868</v>
      </c>
      <c r="E21" s="15" t="s">
        <v>1869</v>
      </c>
      <c r="F21" s="15" t="s">
        <v>1870</v>
      </c>
      <c r="G21" s="174"/>
      <c r="H21" s="37">
        <v>119566</v>
      </c>
      <c r="I21" s="25" t="str">
        <f>CONCATENATE(Cover!$D$6,"fdd/view?i=",H21)</f>
        <v>https://www.dgiwg.org/FAD/fdd/view?i=119566</v>
      </c>
      <c r="J21" s="13" t="s">
        <v>1866</v>
      </c>
      <c r="K21" s="172"/>
      <c r="L21" s="172"/>
      <c r="AT21" s="82" t="s">
        <v>1790</v>
      </c>
      <c r="CE21" s="87" t="s">
        <v>1790</v>
      </c>
      <c r="CP21" s="164" t="s">
        <v>1790</v>
      </c>
    </row>
    <row r="22" spans="1:107" ht="25.5" x14ac:dyDescent="0.2">
      <c r="A22" s="176" t="str">
        <f t="shared" si="0"/>
        <v>AerodromeMarkings</v>
      </c>
      <c r="B22" s="11" t="s">
        <v>1872</v>
      </c>
      <c r="C22" s="173"/>
      <c r="D22" s="22" t="s">
        <v>1873</v>
      </c>
      <c r="E22" s="15" t="s">
        <v>1874</v>
      </c>
      <c r="F22" s="174"/>
      <c r="G22" s="174"/>
      <c r="H22" s="37">
        <v>114624</v>
      </c>
      <c r="I22" s="25" t="str">
        <f>CONCATENATE(Cover!$D$6,"fdd/view?i=",H22)</f>
        <v>https://www.dgiwg.org/FAD/fdd/view?i=114624</v>
      </c>
      <c r="J22" s="13" t="s">
        <v>1871</v>
      </c>
      <c r="K22" s="172"/>
      <c r="L22" s="172"/>
      <c r="CE22" s="87" t="s">
        <v>1790</v>
      </c>
    </row>
    <row r="23" spans="1:107" ht="25.5" x14ac:dyDescent="0.2">
      <c r="A23" s="176" t="str">
        <f t="shared" si="0"/>
        <v>AerodromeMoveArea</v>
      </c>
      <c r="B23" s="11" t="s">
        <v>1876</v>
      </c>
      <c r="C23" s="173"/>
      <c r="D23" s="22" t="s">
        <v>1877</v>
      </c>
      <c r="E23" s="15" t="s">
        <v>1878</v>
      </c>
      <c r="F23" s="15" t="s">
        <v>1879</v>
      </c>
      <c r="G23" s="174"/>
      <c r="H23" s="37">
        <v>114582</v>
      </c>
      <c r="I23" s="25" t="str">
        <f>CONCATENATE(Cover!$D$6,"fdd/view?i=",H23)</f>
        <v>https://www.dgiwg.org/FAD/fdd/view?i=114582</v>
      </c>
      <c r="J23" s="13" t="s">
        <v>1875</v>
      </c>
      <c r="K23" s="172"/>
      <c r="L23" s="172"/>
      <c r="CE23" s="87" t="s">
        <v>1790</v>
      </c>
    </row>
    <row r="24" spans="1:107" ht="38.25" x14ac:dyDescent="0.2">
      <c r="A24" s="176" t="str">
        <f t="shared" si="0"/>
        <v>AerodromeMoveAreaLighting</v>
      </c>
      <c r="B24" s="11" t="s">
        <v>1881</v>
      </c>
      <c r="C24" s="173"/>
      <c r="D24" s="22" t="s">
        <v>1882</v>
      </c>
      <c r="E24" s="15" t="s">
        <v>1883</v>
      </c>
      <c r="F24" s="174"/>
      <c r="G24" s="15" t="s">
        <v>1884</v>
      </c>
      <c r="H24" s="37">
        <v>114583</v>
      </c>
      <c r="I24" s="25" t="str">
        <f>CONCATENATE(Cover!$D$6,"fdd/view?i=",H24)</f>
        <v>https://www.dgiwg.org/FAD/fdd/view?i=114583</v>
      </c>
      <c r="J24" s="13" t="s">
        <v>1880</v>
      </c>
      <c r="K24" s="172"/>
      <c r="L24" s="172"/>
      <c r="CE24" s="87" t="s">
        <v>1790</v>
      </c>
    </row>
    <row r="25" spans="1:107" ht="38.25" x14ac:dyDescent="0.2">
      <c r="A25" s="176" t="str">
        <f t="shared" si="0"/>
        <v>AerodromeParkingInfo</v>
      </c>
      <c r="B25" s="11" t="s">
        <v>1886</v>
      </c>
      <c r="C25" s="173"/>
      <c r="D25" s="22" t="s">
        <v>1887</v>
      </c>
      <c r="E25" s="15" t="s">
        <v>1888</v>
      </c>
      <c r="F25" s="174"/>
      <c r="G25" s="174"/>
      <c r="H25" s="37">
        <v>119170</v>
      </c>
      <c r="I25" s="25" t="str">
        <f>CONCATENATE(Cover!$D$6,"fdd/view?i=",H25)</f>
        <v>https://www.dgiwg.org/FAD/fdd/view?i=119170</v>
      </c>
      <c r="J25" s="13" t="s">
        <v>1885</v>
      </c>
      <c r="K25" s="172"/>
      <c r="L25" s="172"/>
      <c r="AT25" s="82" t="s">
        <v>1790</v>
      </c>
      <c r="CE25" s="87" t="s">
        <v>1790</v>
      </c>
      <c r="CT25" s="166" t="s">
        <v>1790</v>
      </c>
      <c r="DC25" s="87" t="s">
        <v>1790</v>
      </c>
    </row>
    <row r="26" spans="1:107" ht="25.5" x14ac:dyDescent="0.2">
      <c r="A26" s="176" t="str">
        <f t="shared" si="0"/>
        <v>AerodromePassengerService</v>
      </c>
      <c r="B26" s="11" t="s">
        <v>1890</v>
      </c>
      <c r="C26" s="173"/>
      <c r="D26" s="22" t="s">
        <v>1891</v>
      </c>
      <c r="E26" s="15" t="s">
        <v>1892</v>
      </c>
      <c r="F26" s="15" t="s">
        <v>1893</v>
      </c>
      <c r="G26" s="174"/>
      <c r="H26" s="37">
        <v>114651</v>
      </c>
      <c r="I26" s="25" t="str">
        <f>CONCATENATE(Cover!$D$6,"fdd/view?i=",H26)</f>
        <v>https://www.dgiwg.org/FAD/fdd/view?i=114651</v>
      </c>
      <c r="J26" s="13" t="s">
        <v>1889</v>
      </c>
      <c r="K26" s="172"/>
      <c r="L26" s="172"/>
      <c r="CE26" s="87" t="s">
        <v>1790</v>
      </c>
      <c r="CH26" s="83" t="s">
        <v>1790</v>
      </c>
    </row>
    <row r="27" spans="1:107" ht="25.5" x14ac:dyDescent="0.2">
      <c r="A27" s="176" t="str">
        <f t="shared" si="0"/>
        <v>AerodromePavementInfo</v>
      </c>
      <c r="B27" s="11" t="s">
        <v>1895</v>
      </c>
      <c r="C27" s="173"/>
      <c r="D27" s="22" t="s">
        <v>1896</v>
      </c>
      <c r="E27" s="15" t="s">
        <v>1897</v>
      </c>
      <c r="F27" s="15" t="s">
        <v>1898</v>
      </c>
      <c r="G27" s="174"/>
      <c r="H27" s="37">
        <v>114202</v>
      </c>
      <c r="I27" s="25" t="str">
        <f>CONCATENATE(Cover!$D$6,"fdd/view?i=",H27)</f>
        <v>https://www.dgiwg.org/FAD/fdd/view?i=114202</v>
      </c>
      <c r="J27" s="13" t="s">
        <v>1894</v>
      </c>
      <c r="K27" s="172"/>
      <c r="L27" s="172"/>
      <c r="DC27" s="87" t="s">
        <v>1790</v>
      </c>
    </row>
    <row r="28" spans="1:107" ht="38.25" x14ac:dyDescent="0.2">
      <c r="A28" s="176" t="str">
        <f t="shared" si="0"/>
        <v>AerodromeReferencePoint</v>
      </c>
      <c r="B28" s="11" t="s">
        <v>1900</v>
      </c>
      <c r="C28" s="173"/>
      <c r="D28" s="22" t="s">
        <v>1901</v>
      </c>
      <c r="E28" s="15" t="s">
        <v>1902</v>
      </c>
      <c r="F28" s="15" t="s">
        <v>1903</v>
      </c>
      <c r="G28" s="174"/>
      <c r="H28" s="37">
        <v>114584</v>
      </c>
      <c r="I28" s="25" t="str">
        <f>CONCATENATE(Cover!$D$6,"fdd/view?i=",H28)</f>
        <v>https://www.dgiwg.org/FAD/fdd/view?i=114584</v>
      </c>
      <c r="J28" s="13" t="s">
        <v>1899</v>
      </c>
      <c r="K28" s="172"/>
      <c r="L28" s="172"/>
      <c r="CE28" s="87" t="s">
        <v>1790</v>
      </c>
    </row>
    <row r="29" spans="1:107" ht="38.25" x14ac:dyDescent="0.2">
      <c r="A29" s="176" t="str">
        <f t="shared" si="0"/>
        <v>AerodromeServiceRoad</v>
      </c>
      <c r="B29" s="11" t="s">
        <v>1905</v>
      </c>
      <c r="C29" s="173"/>
      <c r="D29" s="22" t="s">
        <v>1906</v>
      </c>
      <c r="E29" s="15" t="s">
        <v>1907</v>
      </c>
      <c r="F29" s="15" t="s">
        <v>1908</v>
      </c>
      <c r="G29" s="174"/>
      <c r="H29" s="37">
        <v>114585</v>
      </c>
      <c r="I29" s="25" t="str">
        <f>CONCATENATE(Cover!$D$6,"fdd/view?i=",H29)</f>
        <v>https://www.dgiwg.org/FAD/fdd/view?i=114585</v>
      </c>
      <c r="J29" s="13" t="s">
        <v>1904</v>
      </c>
      <c r="K29" s="172"/>
      <c r="L29" s="172"/>
      <c r="CE29" s="87" t="s">
        <v>1790</v>
      </c>
    </row>
    <row r="30" spans="1:107" ht="51" x14ac:dyDescent="0.2">
      <c r="A30" s="176" t="str">
        <f t="shared" si="0"/>
        <v>AerodromeSurfDetectStation</v>
      </c>
      <c r="B30" s="11" t="s">
        <v>1910</v>
      </c>
      <c r="C30" s="173"/>
      <c r="D30" s="22" t="s">
        <v>1911</v>
      </c>
      <c r="E30" s="15" t="s">
        <v>1912</v>
      </c>
      <c r="F30" s="15" t="s">
        <v>1913</v>
      </c>
      <c r="G30" s="174"/>
      <c r="H30" s="37">
        <v>119704</v>
      </c>
      <c r="I30" s="25" t="str">
        <f>CONCATENATE(Cover!$D$6,"fdd/view?i=",H30)</f>
        <v>https://www.dgiwg.org/FAD/fdd/view?i=119704</v>
      </c>
      <c r="J30" s="13" t="s">
        <v>1909</v>
      </c>
      <c r="K30" s="172"/>
      <c r="L30" s="172"/>
      <c r="AT30" s="82" t="s">
        <v>1790</v>
      </c>
      <c r="CG30" s="83" t="s">
        <v>1790</v>
      </c>
      <c r="CH30" s="83" t="s">
        <v>1790</v>
      </c>
    </row>
    <row r="31" spans="1:107" ht="25.5" x14ac:dyDescent="0.2">
      <c r="A31" s="176" t="str">
        <f t="shared" si="0"/>
        <v>AeronauticalGroundLight</v>
      </c>
      <c r="B31" s="11" t="s">
        <v>1915</v>
      </c>
      <c r="C31" s="173"/>
      <c r="D31" s="22" t="s">
        <v>1916</v>
      </c>
      <c r="E31" s="15" t="s">
        <v>1917</v>
      </c>
      <c r="F31" s="174"/>
      <c r="G31" s="174"/>
      <c r="H31" s="37">
        <v>114586</v>
      </c>
      <c r="I31" s="25" t="str">
        <f>CONCATENATE(Cover!$D$6,"fdd/view?i=",H31)</f>
        <v>https://www.dgiwg.org/FAD/fdd/view?i=114586</v>
      </c>
      <c r="J31" s="13" t="s">
        <v>1914</v>
      </c>
      <c r="K31" s="172"/>
      <c r="L31" s="172"/>
      <c r="CE31" s="87" t="s">
        <v>1790</v>
      </c>
    </row>
    <row r="32" spans="1:107" ht="38.25" x14ac:dyDescent="0.2">
      <c r="A32" s="176" t="str">
        <f t="shared" si="0"/>
        <v>AeronauticalObstacle</v>
      </c>
      <c r="B32" s="11" t="s">
        <v>1919</v>
      </c>
      <c r="C32" s="173"/>
      <c r="D32" s="22" t="s">
        <v>1920</v>
      </c>
      <c r="E32" s="15" t="s">
        <v>1921</v>
      </c>
      <c r="F32" s="15" t="s">
        <v>1922</v>
      </c>
      <c r="G32" s="174"/>
      <c r="H32" s="37">
        <v>114627</v>
      </c>
      <c r="I32" s="25" t="str">
        <f>CONCATENATE(Cover!$D$6,"fdd/view?i=",H32)</f>
        <v>https://www.dgiwg.org/FAD/fdd/view?i=114627</v>
      </c>
      <c r="J32" s="13" t="s">
        <v>1918</v>
      </c>
      <c r="K32" s="172"/>
      <c r="L32" s="172"/>
      <c r="CE32" s="87" t="s">
        <v>1790</v>
      </c>
    </row>
    <row r="33" spans="1:86" ht="25.5" x14ac:dyDescent="0.2">
      <c r="A33" s="176" t="str">
        <f t="shared" si="0"/>
        <v>AeroRadioNavInstallation</v>
      </c>
      <c r="B33" s="11" t="s">
        <v>1924</v>
      </c>
      <c r="C33" s="173"/>
      <c r="D33" s="22" t="s">
        <v>1925</v>
      </c>
      <c r="E33" s="15" t="s">
        <v>1926</v>
      </c>
      <c r="F33" s="174"/>
      <c r="G33" s="174"/>
      <c r="H33" s="37">
        <v>119174</v>
      </c>
      <c r="I33" s="25" t="str">
        <f>CONCATENATE(Cover!$D$6,"fdd/view?i=",H33)</f>
        <v>https://www.dgiwg.org/FAD/fdd/view?i=119174</v>
      </c>
      <c r="J33" s="13" t="s">
        <v>1923</v>
      </c>
      <c r="K33" s="172"/>
      <c r="L33" s="172"/>
      <c r="AT33" s="82" t="s">
        <v>1790</v>
      </c>
      <c r="CG33" s="83" t="s">
        <v>1790</v>
      </c>
    </row>
    <row r="34" spans="1:86" ht="51" x14ac:dyDescent="0.2">
      <c r="A34" s="176" t="str">
        <f t="shared" si="0"/>
        <v>AeroRadioNavInstPoint</v>
      </c>
      <c r="B34" s="11" t="s">
        <v>1928</v>
      </c>
      <c r="C34" s="173"/>
      <c r="D34" s="22" t="s">
        <v>1929</v>
      </c>
      <c r="E34" s="15" t="s">
        <v>1930</v>
      </c>
      <c r="F34" s="15" t="s">
        <v>1931</v>
      </c>
      <c r="G34" s="174"/>
      <c r="H34" s="37">
        <v>119555</v>
      </c>
      <c r="I34" s="25" t="str">
        <f>CONCATENATE(Cover!$D$6,"fdd/view?i=",H34)</f>
        <v>https://www.dgiwg.org/FAD/fdd/view?i=119555</v>
      </c>
      <c r="J34" s="13" t="s">
        <v>1927</v>
      </c>
      <c r="K34" s="172"/>
      <c r="L34" s="172"/>
      <c r="AT34" s="82" t="s">
        <v>1790</v>
      </c>
      <c r="CF34" s="83" t="s">
        <v>1790</v>
      </c>
      <c r="CG34" s="83" t="s">
        <v>1790</v>
      </c>
    </row>
    <row r="35" spans="1:86" ht="25.5" x14ac:dyDescent="0.2">
      <c r="A35" s="176" t="str">
        <f t="shared" si="0"/>
        <v>AeroRadioNavService</v>
      </c>
      <c r="B35" s="11" t="s">
        <v>1933</v>
      </c>
      <c r="C35" s="173"/>
      <c r="D35" s="22" t="s">
        <v>1934</v>
      </c>
      <c r="E35" s="15" t="s">
        <v>1935</v>
      </c>
      <c r="F35" s="174"/>
      <c r="G35" s="174"/>
      <c r="H35" s="37">
        <v>114498</v>
      </c>
      <c r="I35" s="25" t="str">
        <f>CONCATENATE(Cover!$D$6,"fdd/view?i=",H35)</f>
        <v>https://www.dgiwg.org/FAD/fdd/view?i=114498</v>
      </c>
      <c r="J35" s="13" t="s">
        <v>1932</v>
      </c>
      <c r="K35" s="172"/>
      <c r="L35" s="172"/>
      <c r="CG35" s="83" t="s">
        <v>1790</v>
      </c>
    </row>
    <row r="36" spans="1:86" ht="25.5" x14ac:dyDescent="0.2">
      <c r="A36" s="176" t="str">
        <f t="shared" si="0"/>
        <v>AeroRadioNavServCheckpnt</v>
      </c>
      <c r="B36" s="11" t="s">
        <v>1937</v>
      </c>
      <c r="C36" s="173"/>
      <c r="D36" s="22" t="s">
        <v>1938</v>
      </c>
      <c r="E36" s="15" t="s">
        <v>1939</v>
      </c>
      <c r="F36" s="174"/>
      <c r="G36" s="15" t="s">
        <v>1940</v>
      </c>
      <c r="H36" s="37">
        <v>114499</v>
      </c>
      <c r="I36" s="25" t="str">
        <f>CONCATENATE(Cover!$D$6,"fdd/view?i=",H36)</f>
        <v>https://www.dgiwg.org/FAD/fdd/view?i=114499</v>
      </c>
      <c r="J36" s="13" t="s">
        <v>1936</v>
      </c>
      <c r="K36" s="172"/>
      <c r="L36" s="172"/>
      <c r="CE36" s="87" t="s">
        <v>1790</v>
      </c>
      <c r="CG36" s="83" t="s">
        <v>1790</v>
      </c>
    </row>
    <row r="37" spans="1:86" ht="38.25" x14ac:dyDescent="0.2">
      <c r="A37" s="176" t="str">
        <f t="shared" si="0"/>
        <v>AggradationArea</v>
      </c>
      <c r="B37" s="11" t="s">
        <v>1942</v>
      </c>
      <c r="C37" s="173"/>
      <c r="D37" s="22" t="s">
        <v>1943</v>
      </c>
      <c r="E37" s="15" t="s">
        <v>1944</v>
      </c>
      <c r="F37" s="15" t="s">
        <v>1945</v>
      </c>
      <c r="G37" s="174"/>
      <c r="H37" s="37">
        <v>111378</v>
      </c>
      <c r="I37" s="25" t="str">
        <f>CONCATENATE(Cover!$D$6,"fdd/view?i=",H37)</f>
        <v>https://www.dgiwg.org/FAD/fdd/view?i=111378</v>
      </c>
      <c r="J37" s="13" t="s">
        <v>1941</v>
      </c>
      <c r="K37" s="172"/>
      <c r="L37" s="172"/>
      <c r="BJ37" s="83" t="s">
        <v>1790</v>
      </c>
    </row>
    <row r="38" spans="1:86" x14ac:dyDescent="0.2">
      <c r="A38" s="176" t="str">
        <f t="shared" si="0"/>
        <v>AgriculturalColony</v>
      </c>
      <c r="B38" s="11" t="s">
        <v>1947</v>
      </c>
      <c r="C38" s="173"/>
      <c r="D38" s="22" t="s">
        <v>1948</v>
      </c>
      <c r="E38" s="15" t="s">
        <v>1949</v>
      </c>
      <c r="F38" s="174"/>
      <c r="G38" s="174"/>
      <c r="H38" s="37">
        <v>111407</v>
      </c>
      <c r="I38" s="25" t="str">
        <f>CONCATENATE(Cover!$D$6,"fdd/view?i=",H38)</f>
        <v>https://www.dgiwg.org/FAD/fdd/view?i=111407</v>
      </c>
      <c r="J38" s="13" t="s">
        <v>1946</v>
      </c>
      <c r="K38" s="172"/>
      <c r="L38" s="172"/>
      <c r="AC38" s="82" t="s">
        <v>1790</v>
      </c>
    </row>
    <row r="39" spans="1:86" ht="25.5" x14ac:dyDescent="0.2">
      <c r="A39" s="176" t="str">
        <f t="shared" si="0"/>
        <v>AgriculturalZone</v>
      </c>
      <c r="B39" s="11" t="s">
        <v>1951</v>
      </c>
      <c r="C39" s="173"/>
      <c r="D39" s="22" t="s">
        <v>1952</v>
      </c>
      <c r="E39" s="15" t="s">
        <v>1953</v>
      </c>
      <c r="F39" s="15" t="s">
        <v>1954</v>
      </c>
      <c r="G39" s="174"/>
      <c r="H39" s="37">
        <v>111353</v>
      </c>
      <c r="I39" s="25" t="str">
        <f>CONCATENATE(Cover!$D$6,"fdd/view?i=",H39)</f>
        <v>https://www.dgiwg.org/FAD/fdd/view?i=111353</v>
      </c>
      <c r="J39" s="13" t="s">
        <v>1950</v>
      </c>
      <c r="K39" s="172"/>
      <c r="L39" s="172"/>
      <c r="AC39" s="82" t="s">
        <v>1790</v>
      </c>
      <c r="BU39" s="87" t="s">
        <v>1790</v>
      </c>
    </row>
    <row r="40" spans="1:86" ht="25.5" x14ac:dyDescent="0.2">
      <c r="A40" s="176" t="str">
        <f t="shared" si="0"/>
        <v>AirRefuellingAnchorPat</v>
      </c>
      <c r="B40" s="11" t="s">
        <v>1956</v>
      </c>
      <c r="C40" s="173"/>
      <c r="D40" s="22" t="s">
        <v>1957</v>
      </c>
      <c r="E40" s="15" t="s">
        <v>1958</v>
      </c>
      <c r="F40" s="15" t="s">
        <v>1959</v>
      </c>
      <c r="G40" s="15" t="s">
        <v>1960</v>
      </c>
      <c r="H40" s="37">
        <v>114643</v>
      </c>
      <c r="I40" s="25" t="str">
        <f>CONCATENATE(Cover!$D$6,"fdd/view?i=",H40)</f>
        <v>https://www.dgiwg.org/FAD/fdd/view?i=114643</v>
      </c>
      <c r="J40" s="13" t="s">
        <v>1955</v>
      </c>
      <c r="K40" s="172"/>
      <c r="L40" s="172"/>
      <c r="CF40" s="83" t="s">
        <v>1790</v>
      </c>
    </row>
    <row r="41" spans="1:86" ht="25.5" x14ac:dyDescent="0.2">
      <c r="A41" s="176" t="str">
        <f t="shared" si="0"/>
        <v>AirRefuellingPoint</v>
      </c>
      <c r="B41" s="11" t="s">
        <v>1962</v>
      </c>
      <c r="C41" s="173"/>
      <c r="D41" s="22" t="s">
        <v>1963</v>
      </c>
      <c r="E41" s="15" t="s">
        <v>1964</v>
      </c>
      <c r="F41" s="15" t="s">
        <v>1965</v>
      </c>
      <c r="G41" s="174"/>
      <c r="H41" s="37">
        <v>114644</v>
      </c>
      <c r="I41" s="25" t="str">
        <f>CONCATENATE(Cover!$D$6,"fdd/view?i=",H41)</f>
        <v>https://www.dgiwg.org/FAD/fdd/view?i=114644</v>
      </c>
      <c r="J41" s="13" t="s">
        <v>1961</v>
      </c>
      <c r="K41" s="172"/>
      <c r="L41" s="172"/>
      <c r="CF41" s="83" t="s">
        <v>1790</v>
      </c>
    </row>
    <row r="42" spans="1:86" ht="25.5" x14ac:dyDescent="0.2">
      <c r="A42" s="176" t="str">
        <f t="shared" si="0"/>
        <v>AirRefuellingProcedure</v>
      </c>
      <c r="B42" s="11" t="s">
        <v>1967</v>
      </c>
      <c r="C42" s="173"/>
      <c r="D42" s="22" t="s">
        <v>1968</v>
      </c>
      <c r="E42" s="15" t="s">
        <v>1969</v>
      </c>
      <c r="F42" s="174"/>
      <c r="G42" s="174"/>
      <c r="H42" s="37">
        <v>114641</v>
      </c>
      <c r="I42" s="25" t="str">
        <f>CONCATENATE(Cover!$D$6,"fdd/view?i=",H42)</f>
        <v>https://www.dgiwg.org/FAD/fdd/view?i=114641</v>
      </c>
      <c r="J42" s="13" t="s">
        <v>1966</v>
      </c>
      <c r="K42" s="172"/>
      <c r="L42" s="172"/>
      <c r="CF42" s="83" t="s">
        <v>1790</v>
      </c>
    </row>
    <row r="43" spans="1:86" ht="38.25" x14ac:dyDescent="0.2">
      <c r="A43" s="176" t="str">
        <f t="shared" si="0"/>
        <v>AirRefuellingRoute</v>
      </c>
      <c r="B43" s="11" t="s">
        <v>1971</v>
      </c>
      <c r="C43" s="173"/>
      <c r="D43" s="22" t="s">
        <v>1972</v>
      </c>
      <c r="E43" s="15" t="s">
        <v>1973</v>
      </c>
      <c r="F43" s="15" t="s">
        <v>1974</v>
      </c>
      <c r="G43" s="174"/>
      <c r="H43" s="37">
        <v>119562</v>
      </c>
      <c r="I43" s="25" t="str">
        <f>CONCATENATE(Cover!$D$6,"fdd/view?i=",H43)</f>
        <v>https://www.dgiwg.org/FAD/fdd/view?i=119562</v>
      </c>
      <c r="J43" s="13" t="s">
        <v>1970</v>
      </c>
      <c r="K43" s="172"/>
      <c r="L43" s="172"/>
      <c r="AT43" s="82" t="s">
        <v>1790</v>
      </c>
      <c r="CF43" s="83" t="s">
        <v>1790</v>
      </c>
    </row>
    <row r="44" spans="1:86" ht="25.5" x14ac:dyDescent="0.2">
      <c r="A44" s="176" t="str">
        <f t="shared" si="0"/>
        <v>AirRefuellingTrack</v>
      </c>
      <c r="B44" s="11" t="s">
        <v>1976</v>
      </c>
      <c r="C44" s="173"/>
      <c r="D44" s="22" t="s">
        <v>1977</v>
      </c>
      <c r="E44" s="15" t="s">
        <v>1978</v>
      </c>
      <c r="F44" s="174"/>
      <c r="G44" s="174"/>
      <c r="H44" s="37">
        <v>114642</v>
      </c>
      <c r="I44" s="25" t="str">
        <f>CONCATENATE(Cover!$D$6,"fdd/view?i=",H44)</f>
        <v>https://www.dgiwg.org/FAD/fdd/view?i=114642</v>
      </c>
      <c r="J44" s="13" t="s">
        <v>1975</v>
      </c>
      <c r="K44" s="172"/>
      <c r="L44" s="172"/>
      <c r="CF44" s="83" t="s">
        <v>1790</v>
      </c>
    </row>
    <row r="45" spans="1:86" ht="38.25" x14ac:dyDescent="0.2">
      <c r="A45" s="176" t="str">
        <f t="shared" si="0"/>
        <v>AirTrafficService</v>
      </c>
      <c r="B45" s="11" t="s">
        <v>1980</v>
      </c>
      <c r="C45" s="173"/>
      <c r="D45" s="22" t="s">
        <v>1981</v>
      </c>
      <c r="E45" s="15" t="s">
        <v>1982</v>
      </c>
      <c r="F45" s="174"/>
      <c r="G45" s="15" t="s">
        <v>1983</v>
      </c>
      <c r="H45" s="37">
        <v>114650</v>
      </c>
      <c r="I45" s="25" t="str">
        <f>CONCATENATE(Cover!$D$6,"fdd/view?i=",H45)</f>
        <v>https://www.dgiwg.org/FAD/fdd/view?i=114650</v>
      </c>
      <c r="J45" s="13" t="s">
        <v>1979</v>
      </c>
      <c r="K45" s="172"/>
      <c r="L45" s="172"/>
      <c r="CF45" s="83" t="s">
        <v>1790</v>
      </c>
      <c r="CH45" s="83" t="s">
        <v>1790</v>
      </c>
    </row>
    <row r="46" spans="1:86" ht="38.25" x14ac:dyDescent="0.2">
      <c r="A46" s="176" t="str">
        <f t="shared" si="0"/>
        <v>AtsRouteCrossingInfo</v>
      </c>
      <c r="B46" s="11" t="s">
        <v>1985</v>
      </c>
      <c r="C46" s="173"/>
      <c r="D46" s="22" t="s">
        <v>1986</v>
      </c>
      <c r="E46" s="15" t="s">
        <v>1987</v>
      </c>
      <c r="F46" s="15" t="s">
        <v>1988</v>
      </c>
      <c r="G46" s="174"/>
      <c r="H46" s="37">
        <v>119550</v>
      </c>
      <c r="I46" s="25" t="str">
        <f>CONCATENATE(Cover!$D$6,"fdd/view?i=",H46)</f>
        <v>https://www.dgiwg.org/FAD/fdd/view?i=119550</v>
      </c>
      <c r="J46" s="13" t="s">
        <v>1984</v>
      </c>
      <c r="K46" s="172"/>
      <c r="L46" s="172"/>
      <c r="AT46" s="82" t="s">
        <v>1790</v>
      </c>
      <c r="CF46" s="83" t="s">
        <v>1790</v>
      </c>
    </row>
    <row r="47" spans="1:86" ht="25.5" x14ac:dyDescent="0.2">
      <c r="A47" s="176" t="str">
        <f t="shared" si="0"/>
        <v>AtsRouteSegment</v>
      </c>
      <c r="B47" s="11" t="s">
        <v>1990</v>
      </c>
      <c r="C47" s="173"/>
      <c r="D47" s="22" t="s">
        <v>1991</v>
      </c>
      <c r="E47" s="15" t="s">
        <v>1992</v>
      </c>
      <c r="F47" s="174"/>
      <c r="G47" s="174"/>
      <c r="H47" s="37">
        <v>114523</v>
      </c>
      <c r="I47" s="25" t="str">
        <f>CONCATENATE(Cover!$D$6,"fdd/view?i=",H47)</f>
        <v>https://www.dgiwg.org/FAD/fdd/view?i=114523</v>
      </c>
      <c r="J47" s="13" t="s">
        <v>1989</v>
      </c>
      <c r="K47" s="172"/>
      <c r="L47" s="172"/>
      <c r="CF47" s="83" t="s">
        <v>1790</v>
      </c>
    </row>
    <row r="48" spans="1:86" ht="25.5" x14ac:dyDescent="0.2">
      <c r="A48" s="176" t="str">
        <f t="shared" si="0"/>
        <v>AtsRouteSegmentDirection</v>
      </c>
      <c r="B48" s="11" t="s">
        <v>1994</v>
      </c>
      <c r="C48" s="173"/>
      <c r="D48" s="22" t="s">
        <v>1995</v>
      </c>
      <c r="E48" s="15" t="s">
        <v>1996</v>
      </c>
      <c r="F48" s="174"/>
      <c r="G48" s="174"/>
      <c r="H48" s="37">
        <v>119548</v>
      </c>
      <c r="I48" s="25" t="str">
        <f>CONCATENATE(Cover!$D$6,"fdd/view?i=",H48)</f>
        <v>https://www.dgiwg.org/FAD/fdd/view?i=119548</v>
      </c>
      <c r="J48" s="13" t="s">
        <v>1993</v>
      </c>
      <c r="K48" s="172"/>
      <c r="L48" s="172"/>
      <c r="AT48" s="82" t="s">
        <v>1790</v>
      </c>
      <c r="CF48" s="83" t="s">
        <v>1790</v>
      </c>
    </row>
    <row r="49" spans="1:86" ht="25.5" x14ac:dyDescent="0.2">
      <c r="A49" s="176" t="str">
        <f t="shared" si="0"/>
        <v>AtsRouteSigPoint</v>
      </c>
      <c r="B49" s="11" t="s">
        <v>1998</v>
      </c>
      <c r="C49" s="173"/>
      <c r="D49" s="22" t="s">
        <v>1999</v>
      </c>
      <c r="E49" s="15" t="s">
        <v>2000</v>
      </c>
      <c r="F49" s="174"/>
      <c r="G49" s="174"/>
      <c r="H49" s="37">
        <v>119549</v>
      </c>
      <c r="I49" s="25" t="str">
        <f>CONCATENATE(Cover!$D$6,"fdd/view?i=",H49)</f>
        <v>https://www.dgiwg.org/FAD/fdd/view?i=119549</v>
      </c>
      <c r="J49" s="13" t="s">
        <v>1997</v>
      </c>
      <c r="K49" s="172"/>
      <c r="L49" s="172"/>
      <c r="AT49" s="82" t="s">
        <v>1790</v>
      </c>
      <c r="CF49" s="83" t="s">
        <v>1790</v>
      </c>
    </row>
    <row r="50" spans="1:86" ht="25.5" x14ac:dyDescent="0.2">
      <c r="A50" s="176" t="str">
        <f t="shared" si="0"/>
        <v>AircraftGroundService</v>
      </c>
      <c r="B50" s="11" t="s">
        <v>2002</v>
      </c>
      <c r="C50" s="173"/>
      <c r="D50" s="22" t="s">
        <v>2003</v>
      </c>
      <c r="E50" s="15" t="s">
        <v>2004</v>
      </c>
      <c r="F50" s="174"/>
      <c r="G50" s="174"/>
      <c r="H50" s="37">
        <v>114652</v>
      </c>
      <c r="I50" s="25" t="str">
        <f>CONCATENATE(Cover!$D$6,"fdd/view?i=",H50)</f>
        <v>https://www.dgiwg.org/FAD/fdd/view?i=114652</v>
      </c>
      <c r="J50" s="13" t="s">
        <v>2001</v>
      </c>
      <c r="K50" s="172"/>
      <c r="L50" s="172"/>
      <c r="CE50" s="87" t="s">
        <v>1790</v>
      </c>
      <c r="CH50" s="83" t="s">
        <v>1790</v>
      </c>
    </row>
    <row r="51" spans="1:86" x14ac:dyDescent="0.2">
      <c r="A51" s="176" t="str">
        <f t="shared" si="0"/>
        <v>AircraftHangar</v>
      </c>
      <c r="B51" s="11" t="s">
        <v>2006</v>
      </c>
      <c r="C51" s="173"/>
      <c r="D51" s="22" t="s">
        <v>2007</v>
      </c>
      <c r="E51" s="15" t="s">
        <v>2008</v>
      </c>
      <c r="F51" s="174"/>
      <c r="G51" s="174"/>
      <c r="H51" s="37">
        <v>114628</v>
      </c>
      <c r="I51" s="25" t="str">
        <f>CONCATENATE(Cover!$D$6,"fdd/view?i=",H51)</f>
        <v>https://www.dgiwg.org/FAD/fdd/view?i=114628</v>
      </c>
      <c r="J51" s="13" t="s">
        <v>2005</v>
      </c>
      <c r="K51" s="172"/>
      <c r="L51" s="172"/>
      <c r="CE51" s="87" t="s">
        <v>1790</v>
      </c>
    </row>
    <row r="52" spans="1:86" x14ac:dyDescent="0.2">
      <c r="A52" s="176" t="str">
        <f t="shared" si="0"/>
        <v>AircraftStand</v>
      </c>
      <c r="B52" s="11" t="s">
        <v>2010</v>
      </c>
      <c r="C52" s="173"/>
      <c r="D52" s="22" t="s">
        <v>2011</v>
      </c>
      <c r="E52" s="15" t="s">
        <v>2012</v>
      </c>
      <c r="F52" s="174"/>
      <c r="G52" s="174"/>
      <c r="H52" s="37">
        <v>114587</v>
      </c>
      <c r="I52" s="25" t="str">
        <f>CONCATENATE(Cover!$D$6,"fdd/view?i=",H52)</f>
        <v>https://www.dgiwg.org/FAD/fdd/view?i=114587</v>
      </c>
      <c r="J52" s="13" t="s">
        <v>2009</v>
      </c>
      <c r="K52" s="172"/>
      <c r="L52" s="172"/>
      <c r="CE52" s="87" t="s">
        <v>1790</v>
      </c>
    </row>
    <row r="53" spans="1:86" x14ac:dyDescent="0.2">
      <c r="A53" s="176" t="str">
        <f t="shared" si="0"/>
        <v>Airspace</v>
      </c>
      <c r="B53" s="11" t="s">
        <v>2014</v>
      </c>
      <c r="C53" s="173"/>
      <c r="D53" s="22" t="s">
        <v>2013</v>
      </c>
      <c r="E53" s="15" t="s">
        <v>2015</v>
      </c>
      <c r="F53" s="174"/>
      <c r="G53" s="174"/>
      <c r="H53" s="37">
        <v>114496</v>
      </c>
      <c r="I53" s="25" t="str">
        <f>CONCATENATE(Cover!$D$6,"fdd/view?i=",H53)</f>
        <v>https://www.dgiwg.org/FAD/fdd/view?i=114496</v>
      </c>
      <c r="J53" s="13" t="s">
        <v>2013</v>
      </c>
      <c r="K53" s="172"/>
      <c r="L53" s="172"/>
      <c r="CF53" s="83" t="s">
        <v>1790</v>
      </c>
    </row>
    <row r="54" spans="1:86" ht="25.5" x14ac:dyDescent="0.2">
      <c r="A54" s="176" t="str">
        <f t="shared" si="0"/>
        <v>AirspaceUsageInfo</v>
      </c>
      <c r="B54" s="11" t="s">
        <v>2017</v>
      </c>
      <c r="C54" s="173"/>
      <c r="D54" s="22" t="s">
        <v>2018</v>
      </c>
      <c r="E54" s="15" t="s">
        <v>2019</v>
      </c>
      <c r="F54" s="15" t="s">
        <v>2020</v>
      </c>
      <c r="G54" s="174"/>
      <c r="H54" s="37">
        <v>119546</v>
      </c>
      <c r="I54" s="25" t="str">
        <f>CONCATENATE(Cover!$D$6,"fdd/view?i=",H54)</f>
        <v>https://www.dgiwg.org/FAD/fdd/view?i=119546</v>
      </c>
      <c r="J54" s="13" t="s">
        <v>2016</v>
      </c>
      <c r="K54" s="172"/>
      <c r="L54" s="172"/>
      <c r="CF54" s="83" t="s">
        <v>1790</v>
      </c>
    </row>
    <row r="55" spans="1:86" ht="25.5" x14ac:dyDescent="0.2">
      <c r="A55" s="176" t="str">
        <f t="shared" si="0"/>
        <v>AirspaceVolume</v>
      </c>
      <c r="B55" s="11" t="s">
        <v>2022</v>
      </c>
      <c r="C55" s="173"/>
      <c r="D55" s="22" t="s">
        <v>2023</v>
      </c>
      <c r="E55" s="15" t="s">
        <v>2024</v>
      </c>
      <c r="F55" s="174"/>
      <c r="G55" s="174"/>
      <c r="H55" s="37">
        <v>119547</v>
      </c>
      <c r="I55" s="25" t="str">
        <f>CONCATENATE(Cover!$D$6,"fdd/view?i=",H55)</f>
        <v>https://www.dgiwg.org/FAD/fdd/view?i=119547</v>
      </c>
      <c r="J55" s="13" t="s">
        <v>2021</v>
      </c>
      <c r="K55" s="172"/>
      <c r="L55" s="172"/>
      <c r="AT55" s="82" t="s">
        <v>1790</v>
      </c>
      <c r="CF55" s="83" t="s">
        <v>1790</v>
      </c>
    </row>
    <row r="56" spans="1:86" ht="25.5" x14ac:dyDescent="0.2">
      <c r="A56" s="176" t="str">
        <f t="shared" si="0"/>
        <v>Algae</v>
      </c>
      <c r="B56" s="11" t="s">
        <v>2026</v>
      </c>
      <c r="C56" s="173"/>
      <c r="D56" s="22" t="s">
        <v>2025</v>
      </c>
      <c r="E56" s="15" t="s">
        <v>2027</v>
      </c>
      <c r="F56" s="15" t="s">
        <v>2028</v>
      </c>
      <c r="G56" s="15" t="s">
        <v>2029</v>
      </c>
      <c r="H56" s="37">
        <v>100288</v>
      </c>
      <c r="I56" s="25" t="str">
        <f>CONCATENATE(Cover!$D$6,"fdd/view?i=",H56)</f>
        <v>https://www.dgiwg.org/FAD/fdd/view?i=100288</v>
      </c>
      <c r="J56" s="13" t="s">
        <v>2025</v>
      </c>
      <c r="K56" s="172"/>
      <c r="L56" s="172"/>
      <c r="BC56" s="83" t="s">
        <v>1790</v>
      </c>
      <c r="BG56" s="83" t="s">
        <v>1790</v>
      </c>
      <c r="BX56" s="83" t="s">
        <v>1790</v>
      </c>
    </row>
    <row r="57" spans="1:86" ht="25.5" x14ac:dyDescent="0.2">
      <c r="A57" s="176" t="str">
        <f t="shared" si="0"/>
        <v>AlkaliFlat</v>
      </c>
      <c r="B57" s="11" t="s">
        <v>2031</v>
      </c>
      <c r="C57" s="173"/>
      <c r="D57" s="22" t="s">
        <v>2032</v>
      </c>
      <c r="E57" s="15" t="s">
        <v>2033</v>
      </c>
      <c r="F57" s="15" t="s">
        <v>2034</v>
      </c>
      <c r="G57" s="174"/>
      <c r="H57" s="37">
        <v>100401</v>
      </c>
      <c r="I57" s="25" t="str">
        <f>CONCATENATE(Cover!$D$6,"fdd/view?i=",H57)</f>
        <v>https://www.dgiwg.org/FAD/fdd/view?i=100401</v>
      </c>
      <c r="J57" s="13" t="s">
        <v>2030</v>
      </c>
      <c r="K57" s="172"/>
      <c r="L57" s="172"/>
      <c r="BO57" s="82" t="s">
        <v>1790</v>
      </c>
      <c r="BP57" s="82" t="s">
        <v>1790</v>
      </c>
    </row>
    <row r="58" spans="1:86" ht="25.5" x14ac:dyDescent="0.2">
      <c r="A58" s="176" t="str">
        <f t="shared" si="0"/>
        <v>AlluvialFan</v>
      </c>
      <c r="B58" s="11" t="s">
        <v>2036</v>
      </c>
      <c r="C58" s="173"/>
      <c r="D58" s="22" t="s">
        <v>2037</v>
      </c>
      <c r="E58" s="15" t="s">
        <v>2038</v>
      </c>
      <c r="F58" s="174"/>
      <c r="G58" s="174"/>
      <c r="H58" s="37">
        <v>100429</v>
      </c>
      <c r="I58" s="25" t="str">
        <f>CONCATENATE(Cover!$D$6,"fdd/view?i=",H58)</f>
        <v>https://www.dgiwg.org/FAD/fdd/view?i=100429</v>
      </c>
      <c r="J58" s="13" t="s">
        <v>2035</v>
      </c>
      <c r="K58" s="172"/>
      <c r="L58" s="172"/>
      <c r="BO58" s="82" t="s">
        <v>1790</v>
      </c>
    </row>
    <row r="59" spans="1:86" ht="25.5" x14ac:dyDescent="0.2">
      <c r="A59" s="176" t="str">
        <f t="shared" si="0"/>
        <v>AltimeterCheckLocation</v>
      </c>
      <c r="B59" s="11" t="s">
        <v>2040</v>
      </c>
      <c r="C59" s="173"/>
      <c r="D59" s="22" t="s">
        <v>2041</v>
      </c>
      <c r="E59" s="15" t="s">
        <v>2042</v>
      </c>
      <c r="F59" s="174"/>
      <c r="G59" s="174"/>
      <c r="H59" s="37">
        <v>114588</v>
      </c>
      <c r="I59" s="25" t="str">
        <f>CONCATENATE(Cover!$D$6,"fdd/view?i=",H59)</f>
        <v>https://www.dgiwg.org/FAD/fdd/view?i=114588</v>
      </c>
      <c r="J59" s="13" t="s">
        <v>2039</v>
      </c>
      <c r="K59" s="172"/>
      <c r="L59" s="172"/>
      <c r="CE59" s="87" t="s">
        <v>1790</v>
      </c>
    </row>
    <row r="60" spans="1:86" ht="38.25" x14ac:dyDescent="0.2">
      <c r="A60" s="176" t="str">
        <f t="shared" si="0"/>
        <v>Amphitheatre</v>
      </c>
      <c r="B60" s="11" t="s">
        <v>2044</v>
      </c>
      <c r="C60" s="173"/>
      <c r="D60" s="22" t="s">
        <v>2043</v>
      </c>
      <c r="E60" s="15" t="s">
        <v>2045</v>
      </c>
      <c r="F60" s="15" t="s">
        <v>2046</v>
      </c>
      <c r="G60" s="174"/>
      <c r="H60" s="37">
        <v>111409</v>
      </c>
      <c r="I60" s="25" t="str">
        <f>CONCATENATE(Cover!$D$6,"fdd/view?i=",H60)</f>
        <v>https://www.dgiwg.org/FAD/fdd/view?i=111409</v>
      </c>
      <c r="J60" s="13" t="s">
        <v>2043</v>
      </c>
      <c r="K60" s="172"/>
      <c r="L60" s="172"/>
      <c r="AL60" s="83" t="s">
        <v>1790</v>
      </c>
    </row>
    <row r="61" spans="1:86" x14ac:dyDescent="0.2">
      <c r="A61" s="176" t="str">
        <f t="shared" si="0"/>
        <v>AmusementPark</v>
      </c>
      <c r="B61" s="11" t="s">
        <v>2048</v>
      </c>
      <c r="C61" s="173"/>
      <c r="D61" s="22" t="s">
        <v>2049</v>
      </c>
      <c r="E61" s="15" t="s">
        <v>2050</v>
      </c>
      <c r="F61" s="174"/>
      <c r="G61" s="174"/>
      <c r="H61" s="37">
        <v>100052</v>
      </c>
      <c r="I61" s="25" t="str">
        <f>CONCATENATE(Cover!$D$6,"fdd/view?i=",H61)</f>
        <v>https://www.dgiwg.org/FAD/fdd/view?i=100052</v>
      </c>
      <c r="J61" s="13" t="s">
        <v>2047</v>
      </c>
      <c r="K61" s="172"/>
      <c r="L61" s="172"/>
      <c r="AL61" s="83" t="s">
        <v>1790</v>
      </c>
    </row>
    <row r="62" spans="1:86" x14ac:dyDescent="0.2">
      <c r="A62" s="176" t="str">
        <f t="shared" si="0"/>
        <v>AmusementParkAttraction</v>
      </c>
      <c r="B62" s="11" t="s">
        <v>2052</v>
      </c>
      <c r="C62" s="173"/>
      <c r="D62" s="22" t="s">
        <v>2053</v>
      </c>
      <c r="E62" s="15" t="s">
        <v>2054</v>
      </c>
      <c r="F62" s="174"/>
      <c r="G62" s="174"/>
      <c r="H62" s="37">
        <v>100051</v>
      </c>
      <c r="I62" s="25" t="str">
        <f>CONCATENATE(Cover!$D$6,"fdd/view?i=",H62)</f>
        <v>https://www.dgiwg.org/FAD/fdd/view?i=100051</v>
      </c>
      <c r="J62" s="13" t="s">
        <v>2051</v>
      </c>
      <c r="K62" s="172"/>
      <c r="L62" s="172"/>
      <c r="AL62" s="83" t="s">
        <v>1790</v>
      </c>
    </row>
    <row r="63" spans="1:86" ht="38.25" x14ac:dyDescent="0.2">
      <c r="A63" s="176" t="str">
        <f t="shared" si="0"/>
        <v>Anchor</v>
      </c>
      <c r="B63" s="11" t="s">
        <v>2056</v>
      </c>
      <c r="C63" s="173"/>
      <c r="D63" s="22" t="s">
        <v>2055</v>
      </c>
      <c r="E63" s="15" t="s">
        <v>2057</v>
      </c>
      <c r="F63" s="174"/>
      <c r="G63" s="174"/>
      <c r="H63" s="37">
        <v>100222</v>
      </c>
      <c r="I63" s="25" t="str">
        <f>CONCATENATE(Cover!$D$6,"fdd/view?i=",H63)</f>
        <v>https://www.dgiwg.org/FAD/fdd/view?i=100222</v>
      </c>
      <c r="J63" s="13" t="s">
        <v>2055</v>
      </c>
      <c r="K63" s="172"/>
      <c r="L63" s="172"/>
      <c r="AS63" s="82" t="s">
        <v>1790</v>
      </c>
      <c r="BA63" s="83" t="s">
        <v>1790</v>
      </c>
    </row>
    <row r="64" spans="1:86" ht="25.5" x14ac:dyDescent="0.2">
      <c r="A64" s="176" t="str">
        <f t="shared" si="0"/>
        <v>AnchorBerth</v>
      </c>
      <c r="B64" s="11" t="s">
        <v>2059</v>
      </c>
      <c r="C64" s="173"/>
      <c r="D64" s="22" t="s">
        <v>2060</v>
      </c>
      <c r="E64" s="15" t="s">
        <v>2061</v>
      </c>
      <c r="F64" s="15" t="s">
        <v>2062</v>
      </c>
      <c r="G64" s="174"/>
      <c r="H64" s="37">
        <v>100221</v>
      </c>
      <c r="I64" s="25" t="str">
        <f>CONCATENATE(Cover!$D$6,"fdd/view?i=",H64)</f>
        <v>https://www.dgiwg.org/FAD/fdd/view?i=100221</v>
      </c>
      <c r="J64" s="13" t="s">
        <v>2058</v>
      </c>
      <c r="K64" s="172"/>
      <c r="L64" s="172"/>
      <c r="AS64" s="82" t="s">
        <v>1790</v>
      </c>
      <c r="BA64" s="83" t="s">
        <v>1790</v>
      </c>
    </row>
    <row r="65" spans="1:101" ht="140.25" x14ac:dyDescent="0.2">
      <c r="A65" s="176" t="str">
        <f t="shared" si="0"/>
        <v>Anchorage</v>
      </c>
      <c r="B65" s="11" t="s">
        <v>2064</v>
      </c>
      <c r="C65" s="173"/>
      <c r="D65" s="22" t="s">
        <v>2063</v>
      </c>
      <c r="E65" s="15" t="s">
        <v>2065</v>
      </c>
      <c r="F65" s="15" t="s">
        <v>2066</v>
      </c>
      <c r="G65" s="174"/>
      <c r="H65" s="37">
        <v>100219</v>
      </c>
      <c r="I65" s="25" t="str">
        <f>CONCATENATE(Cover!$D$6,"fdd/view?i=",H65)</f>
        <v>https://www.dgiwg.org/FAD/fdd/view?i=100219</v>
      </c>
      <c r="J65" s="13" t="s">
        <v>2063</v>
      </c>
      <c r="K65" s="172"/>
      <c r="L65" s="172"/>
      <c r="AS65" s="82" t="s">
        <v>1790</v>
      </c>
      <c r="BA65" s="83" t="s">
        <v>1790</v>
      </c>
    </row>
    <row r="66" spans="1:101" x14ac:dyDescent="0.2">
      <c r="A66" s="176" t="str">
        <f t="shared" si="0"/>
        <v>AnimalSanctuary</v>
      </c>
      <c r="B66" s="11" t="s">
        <v>2068</v>
      </c>
      <c r="C66" s="173"/>
      <c r="D66" s="22" t="s">
        <v>2069</v>
      </c>
      <c r="E66" s="15" t="s">
        <v>2070</v>
      </c>
      <c r="F66" s="174"/>
      <c r="G66" s="174"/>
      <c r="H66" s="37">
        <v>100078</v>
      </c>
      <c r="I66" s="25" t="str">
        <f>CONCATENATE(Cover!$D$6,"fdd/view?i=",H66)</f>
        <v>https://www.dgiwg.org/FAD/fdd/view?i=100078</v>
      </c>
      <c r="J66" s="13" t="s">
        <v>2067</v>
      </c>
      <c r="K66" s="172"/>
      <c r="L66" s="172"/>
      <c r="AL66" s="83" t="s">
        <v>1790</v>
      </c>
      <c r="BZ66" s="83" t="s">
        <v>1790</v>
      </c>
      <c r="CA66" s="83" t="s">
        <v>1790</v>
      </c>
    </row>
    <row r="67" spans="1:101" ht="25.5" x14ac:dyDescent="0.2">
      <c r="A67" s="176" t="str">
        <f t="shared" ref="A67:A130" si="1">HYPERLINK(I67,J67)</f>
        <v>AnnotatedLocation</v>
      </c>
      <c r="B67" s="11" t="s">
        <v>2072</v>
      </c>
      <c r="C67" s="173"/>
      <c r="D67" s="22" t="s">
        <v>2073</v>
      </c>
      <c r="E67" s="15" t="s">
        <v>2074</v>
      </c>
      <c r="F67" s="15" t="s">
        <v>2075</v>
      </c>
      <c r="G67" s="174"/>
      <c r="H67" s="37">
        <v>100582</v>
      </c>
      <c r="I67" s="25" t="str">
        <f>CONCATENATE(Cover!$D$6,"fdd/view?i=",H67)</f>
        <v>https://www.dgiwg.org/FAD/fdd/view?i=100582</v>
      </c>
      <c r="J67" s="13" t="s">
        <v>2071</v>
      </c>
      <c r="K67" s="172"/>
      <c r="L67" s="172"/>
      <c r="CS67" s="165" t="s">
        <v>1790</v>
      </c>
      <c r="CW67" s="164" t="s">
        <v>1790</v>
      </c>
    </row>
    <row r="68" spans="1:101" ht="25.5" x14ac:dyDescent="0.2">
      <c r="A68" s="176" t="str">
        <f t="shared" si="1"/>
        <v>AntiAircraftArtillerySite</v>
      </c>
      <c r="B68" s="11" t="s">
        <v>2077</v>
      </c>
      <c r="C68" s="173"/>
      <c r="D68" s="22" t="s">
        <v>2078</v>
      </c>
      <c r="E68" s="15" t="s">
        <v>2079</v>
      </c>
      <c r="F68" s="15" t="s">
        <v>2080</v>
      </c>
      <c r="G68" s="174"/>
      <c r="H68" s="37">
        <v>100106</v>
      </c>
      <c r="I68" s="25" t="str">
        <f>CONCATENATE(Cover!$D$6,"fdd/view?i=",H68)</f>
        <v>https://www.dgiwg.org/FAD/fdd/view?i=100106</v>
      </c>
      <c r="J68" s="13" t="s">
        <v>2076</v>
      </c>
      <c r="K68" s="172"/>
      <c r="L68" s="172"/>
      <c r="CJ68" s="81" t="s">
        <v>1790</v>
      </c>
    </row>
    <row r="69" spans="1:101" ht="38.25" x14ac:dyDescent="0.2">
      <c r="A69" s="176" t="str">
        <f t="shared" si="1"/>
        <v>AntiShippingActivity</v>
      </c>
      <c r="B69" s="11" t="s">
        <v>2082</v>
      </c>
      <c r="C69" s="173"/>
      <c r="D69" s="22" t="s">
        <v>2083</v>
      </c>
      <c r="E69" s="15" t="s">
        <v>2084</v>
      </c>
      <c r="F69" s="15" t="s">
        <v>2085</v>
      </c>
      <c r="G69" s="174"/>
      <c r="H69" s="37">
        <v>111464</v>
      </c>
      <c r="I69" s="25" t="str">
        <f>CONCATENATE(Cover!$D$6,"fdd/view?i=",H69)</f>
        <v>https://www.dgiwg.org/FAD/fdd/view?i=111464</v>
      </c>
      <c r="J69" s="13" t="s">
        <v>2081</v>
      </c>
      <c r="K69" s="172"/>
      <c r="L69" s="172"/>
      <c r="CL69" s="85" t="s">
        <v>1790</v>
      </c>
    </row>
    <row r="70" spans="1:101" ht="38.25" x14ac:dyDescent="0.2">
      <c r="A70" s="176" t="str">
        <f t="shared" si="1"/>
        <v>ApproachLightingSystem</v>
      </c>
      <c r="B70" s="11" t="s">
        <v>2087</v>
      </c>
      <c r="C70" s="173"/>
      <c r="D70" s="22" t="s">
        <v>2088</v>
      </c>
      <c r="E70" s="15" t="s">
        <v>2089</v>
      </c>
      <c r="F70" s="174"/>
      <c r="G70" s="174"/>
      <c r="H70" s="37">
        <v>114616</v>
      </c>
      <c r="I70" s="25" t="str">
        <f>CONCATENATE(Cover!$D$6,"fdd/view?i=",H70)</f>
        <v>https://www.dgiwg.org/FAD/fdd/view?i=114616</v>
      </c>
      <c r="J70" s="13" t="s">
        <v>2086</v>
      </c>
      <c r="K70" s="172"/>
      <c r="L70" s="172"/>
      <c r="CE70" s="87" t="s">
        <v>1790</v>
      </c>
      <c r="CG70" s="83" t="s">
        <v>1790</v>
      </c>
    </row>
    <row r="71" spans="1:101" ht="38.25" x14ac:dyDescent="0.2">
      <c r="A71" s="176" t="str">
        <f t="shared" si="1"/>
        <v>Apron</v>
      </c>
      <c r="B71" s="11" t="s">
        <v>2091</v>
      </c>
      <c r="C71" s="173"/>
      <c r="D71" s="22" t="s">
        <v>2090</v>
      </c>
      <c r="E71" s="15" t="s">
        <v>2092</v>
      </c>
      <c r="F71" s="174"/>
      <c r="G71" s="15" t="s">
        <v>2093</v>
      </c>
      <c r="H71" s="37">
        <v>114589</v>
      </c>
      <c r="I71" s="25" t="str">
        <f>CONCATENATE(Cover!$D$6,"fdd/view?i=",H71)</f>
        <v>https://www.dgiwg.org/FAD/fdd/view?i=114589</v>
      </c>
      <c r="J71" s="13" t="s">
        <v>2090</v>
      </c>
      <c r="K71" s="172"/>
      <c r="L71" s="172"/>
      <c r="CE71" s="87" t="s">
        <v>1790</v>
      </c>
    </row>
    <row r="72" spans="1:101" ht="63.75" x14ac:dyDescent="0.2">
      <c r="A72" s="176" t="str">
        <f t="shared" si="1"/>
        <v>AquacultureFacility</v>
      </c>
      <c r="B72" s="11" t="s">
        <v>2095</v>
      </c>
      <c r="C72" s="173"/>
      <c r="D72" s="22" t="s">
        <v>2096</v>
      </c>
      <c r="E72" s="15" t="s">
        <v>2097</v>
      </c>
      <c r="F72" s="15" t="s">
        <v>2098</v>
      </c>
      <c r="G72" s="174"/>
      <c r="H72" s="37">
        <v>113620</v>
      </c>
      <c r="I72" s="25" t="str">
        <f>CONCATENATE(Cover!$D$6,"fdd/view?i=",H72)</f>
        <v>https://www.dgiwg.org/FAD/fdd/view?i=113620</v>
      </c>
      <c r="J72" s="13" t="s">
        <v>2094</v>
      </c>
      <c r="K72" s="172"/>
      <c r="L72" s="172"/>
      <c r="AC72" s="82" t="s">
        <v>1790</v>
      </c>
      <c r="AS72" s="82" t="s">
        <v>1790</v>
      </c>
      <c r="BG72" s="83" t="s">
        <v>1790</v>
      </c>
      <c r="BI72" s="83" t="s">
        <v>1790</v>
      </c>
      <c r="CA72" s="83" t="s">
        <v>1790</v>
      </c>
    </row>
    <row r="73" spans="1:101" ht="25.5" x14ac:dyDescent="0.2">
      <c r="A73" s="176" t="str">
        <f t="shared" si="1"/>
        <v>AquaticVegetation</v>
      </c>
      <c r="B73" s="11" t="s">
        <v>2100</v>
      </c>
      <c r="C73" s="173"/>
      <c r="D73" s="22" t="s">
        <v>2101</v>
      </c>
      <c r="E73" s="15" t="s">
        <v>2102</v>
      </c>
      <c r="F73" s="15" t="s">
        <v>2103</v>
      </c>
      <c r="G73" s="174"/>
      <c r="H73" s="37">
        <v>114182</v>
      </c>
      <c r="I73" s="25" t="str">
        <f>CONCATENATE(Cover!$D$6,"fdd/view?i=",H73)</f>
        <v>https://www.dgiwg.org/FAD/fdd/view?i=114182</v>
      </c>
      <c r="J73" s="13" t="s">
        <v>2099</v>
      </c>
      <c r="K73" s="172"/>
      <c r="L73" s="172"/>
      <c r="AS73" s="82" t="s">
        <v>1790</v>
      </c>
      <c r="BF73" s="83" t="s">
        <v>1790</v>
      </c>
      <c r="BG73" s="83" t="s">
        <v>1790</v>
      </c>
      <c r="CB73" s="89" t="s">
        <v>1790</v>
      </c>
    </row>
    <row r="74" spans="1:101" ht="38.25" x14ac:dyDescent="0.2">
      <c r="A74" s="176" t="str">
        <f t="shared" si="1"/>
        <v>Aqueduct</v>
      </c>
      <c r="B74" s="11" t="s">
        <v>2105</v>
      </c>
      <c r="C74" s="173"/>
      <c r="D74" s="22" t="s">
        <v>2104</v>
      </c>
      <c r="E74" s="15" t="s">
        <v>2106</v>
      </c>
      <c r="F74" s="15" t="s">
        <v>2107</v>
      </c>
      <c r="G74" s="174"/>
      <c r="H74" s="37">
        <v>100330</v>
      </c>
      <c r="I74" s="25" t="str">
        <f>CONCATENATE(Cover!$D$6,"fdd/view?i=",H74)</f>
        <v>https://www.dgiwg.org/FAD/fdd/view?i=100330</v>
      </c>
      <c r="J74" s="13" t="s">
        <v>2104</v>
      </c>
      <c r="K74" s="172"/>
      <c r="L74" s="172"/>
      <c r="BJ74" s="83" t="s">
        <v>1790</v>
      </c>
    </row>
    <row r="75" spans="1:101" ht="25.5" x14ac:dyDescent="0.2">
      <c r="A75" s="176" t="str">
        <f t="shared" si="1"/>
        <v>Aquifer</v>
      </c>
      <c r="B75" s="11" t="s">
        <v>2109</v>
      </c>
      <c r="C75" s="173"/>
      <c r="D75" s="22" t="s">
        <v>2108</v>
      </c>
      <c r="E75" s="15" t="s">
        <v>2110</v>
      </c>
      <c r="F75" s="15" t="s">
        <v>2111</v>
      </c>
      <c r="G75" s="174"/>
      <c r="H75" s="37">
        <v>118430</v>
      </c>
      <c r="I75" s="25" t="str">
        <f>CONCATENATE(Cover!$D$6,"fdd/view?i=",H75)</f>
        <v>https://www.dgiwg.org/FAD/fdd/view?i=118430</v>
      </c>
      <c r="J75" s="13" t="s">
        <v>2108</v>
      </c>
      <c r="K75" s="172"/>
      <c r="L75" s="172"/>
      <c r="BJ75" s="83" t="s">
        <v>1790</v>
      </c>
      <c r="BP75" s="82" t="s">
        <v>1790</v>
      </c>
    </row>
    <row r="76" spans="1:101" ht="25.5" x14ac:dyDescent="0.2">
      <c r="A76" s="176" t="str">
        <f t="shared" si="1"/>
        <v>Arcade</v>
      </c>
      <c r="B76" s="11" t="s">
        <v>2113</v>
      </c>
      <c r="C76" s="173"/>
      <c r="D76" s="22" t="s">
        <v>2112</v>
      </c>
      <c r="E76" s="15" t="s">
        <v>2114</v>
      </c>
      <c r="F76" s="174"/>
      <c r="G76" s="174"/>
      <c r="H76" s="37">
        <v>100187</v>
      </c>
      <c r="I76" s="25" t="str">
        <f>CONCATENATE(Cover!$D$6,"fdd/view?i=",H76)</f>
        <v>https://www.dgiwg.org/FAD/fdd/view?i=100187</v>
      </c>
      <c r="J76" s="13" t="s">
        <v>2112</v>
      </c>
      <c r="K76" s="172"/>
      <c r="L76" s="172"/>
      <c r="AJ76" s="83" t="s">
        <v>1790</v>
      </c>
    </row>
    <row r="77" spans="1:101" x14ac:dyDescent="0.2">
      <c r="A77" s="176" t="str">
        <f t="shared" si="1"/>
        <v>ArcheologicalSite</v>
      </c>
      <c r="B77" s="11" t="s">
        <v>2116</v>
      </c>
      <c r="C77" s="173"/>
      <c r="D77" s="22" t="s">
        <v>2117</v>
      </c>
      <c r="E77" s="15" t="s">
        <v>2118</v>
      </c>
      <c r="F77" s="174"/>
      <c r="G77" s="174"/>
      <c r="H77" s="37">
        <v>100079</v>
      </c>
      <c r="I77" s="25" t="str">
        <f>CONCATENATE(Cover!$D$6,"fdd/view?i=",H77)</f>
        <v>https://www.dgiwg.org/FAD/fdd/view?i=100079</v>
      </c>
      <c r="J77" s="13" t="s">
        <v>2115</v>
      </c>
      <c r="K77" s="172"/>
      <c r="L77" s="172"/>
      <c r="AI77" s="87" t="s">
        <v>1790</v>
      </c>
      <c r="AL77" s="83" t="s">
        <v>1790</v>
      </c>
    </row>
    <row r="78" spans="1:101" ht="25.5" x14ac:dyDescent="0.2">
      <c r="A78" s="176" t="str">
        <f t="shared" si="1"/>
        <v>AreaAffectNaturalDisaster</v>
      </c>
      <c r="B78" s="11" t="s">
        <v>2120</v>
      </c>
      <c r="C78" s="173"/>
      <c r="D78" s="22" t="s">
        <v>2121</v>
      </c>
      <c r="E78" s="15" t="s">
        <v>2122</v>
      </c>
      <c r="F78" s="15" t="s">
        <v>2123</v>
      </c>
      <c r="G78" s="174"/>
      <c r="H78" s="37">
        <v>118127</v>
      </c>
      <c r="I78" s="25" t="str">
        <f>CONCATENATE(Cover!$D$6,"fdd/view?i=",H78)</f>
        <v>https://www.dgiwg.org/FAD/fdd/view?i=118127</v>
      </c>
      <c r="J78" s="13" t="s">
        <v>2119</v>
      </c>
      <c r="K78" s="172"/>
      <c r="L78" s="172"/>
      <c r="BQ78" s="82" t="s">
        <v>1790</v>
      </c>
      <c r="CS78" s="165" t="s">
        <v>1790</v>
      </c>
    </row>
    <row r="79" spans="1:101" ht="25.5" x14ac:dyDescent="0.2">
      <c r="A79" s="176" t="str">
        <f t="shared" si="1"/>
        <v>AreaThreatNaturalDisaster</v>
      </c>
      <c r="B79" s="11" t="s">
        <v>2125</v>
      </c>
      <c r="C79" s="173"/>
      <c r="D79" s="22" t="s">
        <v>2126</v>
      </c>
      <c r="E79" s="15" t="s">
        <v>2127</v>
      </c>
      <c r="F79" s="174"/>
      <c r="G79" s="174"/>
      <c r="H79" s="37">
        <v>118126</v>
      </c>
      <c r="I79" s="25" t="str">
        <f>CONCATENATE(Cover!$D$6,"fdd/view?i=",H79)</f>
        <v>https://www.dgiwg.org/FAD/fdd/view?i=118126</v>
      </c>
      <c r="J79" s="13" t="s">
        <v>2124</v>
      </c>
      <c r="K79" s="172"/>
      <c r="L79" s="172"/>
      <c r="BQ79" s="82" t="s">
        <v>1790</v>
      </c>
      <c r="CS79" s="165" t="s">
        <v>1790</v>
      </c>
    </row>
    <row r="80" spans="1:101" ht="38.25" x14ac:dyDescent="0.2">
      <c r="A80" s="176" t="str">
        <f t="shared" si="1"/>
        <v>Arena</v>
      </c>
      <c r="B80" s="11" t="s">
        <v>2129</v>
      </c>
      <c r="C80" s="173"/>
      <c r="D80" s="22" t="s">
        <v>2128</v>
      </c>
      <c r="E80" s="15" t="s">
        <v>2130</v>
      </c>
      <c r="F80" s="15" t="s">
        <v>2131</v>
      </c>
      <c r="G80" s="174"/>
      <c r="H80" s="37">
        <v>111411</v>
      </c>
      <c r="I80" s="25" t="str">
        <f>CONCATENATE(Cover!$D$6,"fdd/view?i=",H80)</f>
        <v>https://www.dgiwg.org/FAD/fdd/view?i=111411</v>
      </c>
      <c r="J80" s="13" t="s">
        <v>2128</v>
      </c>
      <c r="K80" s="172"/>
      <c r="L80" s="172"/>
      <c r="AL80" s="83" t="s">
        <v>1790</v>
      </c>
    </row>
    <row r="81" spans="1:95" ht="25.5" x14ac:dyDescent="0.2">
      <c r="A81" s="176" t="str">
        <f t="shared" si="1"/>
        <v>ArmisticeLine</v>
      </c>
      <c r="B81" s="11" t="s">
        <v>2133</v>
      </c>
      <c r="C81" s="173"/>
      <c r="D81" s="22" t="s">
        <v>2134</v>
      </c>
      <c r="E81" s="15" t="s">
        <v>2135</v>
      </c>
      <c r="F81" s="174"/>
      <c r="G81" s="174"/>
      <c r="H81" s="37">
        <v>100458</v>
      </c>
      <c r="I81" s="25" t="str">
        <f>CONCATENATE(Cover!$D$6,"fdd/view?i=",H81)</f>
        <v>https://www.dgiwg.org/FAD/fdd/view?i=100458</v>
      </c>
      <c r="J81" s="13" t="s">
        <v>2132</v>
      </c>
      <c r="K81" s="172"/>
      <c r="L81" s="172"/>
      <c r="AM81" s="83" t="s">
        <v>1790</v>
      </c>
      <c r="CC81" s="81" t="s">
        <v>1790</v>
      </c>
      <c r="CK81" s="82" t="s">
        <v>1790</v>
      </c>
    </row>
    <row r="82" spans="1:95" ht="38.25" x14ac:dyDescent="0.2">
      <c r="A82" s="176" t="str">
        <f t="shared" si="1"/>
        <v>ArrestingSystem</v>
      </c>
      <c r="B82" s="11" t="s">
        <v>2137</v>
      </c>
      <c r="C82" s="173"/>
      <c r="D82" s="22" t="s">
        <v>2138</v>
      </c>
      <c r="E82" s="15" t="s">
        <v>2139</v>
      </c>
      <c r="F82" s="15" t="s">
        <v>2140</v>
      </c>
      <c r="G82" s="15" t="s">
        <v>2141</v>
      </c>
      <c r="H82" s="37">
        <v>114590</v>
      </c>
      <c r="I82" s="25" t="str">
        <f>CONCATENATE(Cover!$D$6,"fdd/view?i=",H82)</f>
        <v>https://www.dgiwg.org/FAD/fdd/view?i=114590</v>
      </c>
      <c r="J82" s="13" t="s">
        <v>2136</v>
      </c>
      <c r="K82" s="172"/>
      <c r="L82" s="172"/>
      <c r="CE82" s="87" t="s">
        <v>1790</v>
      </c>
    </row>
    <row r="83" spans="1:95" ht="25.5" x14ac:dyDescent="0.2">
      <c r="A83" s="176" t="str">
        <f t="shared" si="1"/>
        <v>ArrivalSegment</v>
      </c>
      <c r="B83" s="11" t="s">
        <v>2143</v>
      </c>
      <c r="C83" s="173"/>
      <c r="D83" s="22" t="s">
        <v>2144</v>
      </c>
      <c r="E83" s="15" t="s">
        <v>2145</v>
      </c>
      <c r="F83" s="15" t="s">
        <v>2146</v>
      </c>
      <c r="G83" s="174"/>
      <c r="H83" s="37">
        <v>114630</v>
      </c>
      <c r="I83" s="25" t="str">
        <f>CONCATENATE(Cover!$D$6,"fdd/view?i=",H83)</f>
        <v>https://www.dgiwg.org/FAD/fdd/view?i=114630</v>
      </c>
      <c r="J83" s="13" t="s">
        <v>2142</v>
      </c>
      <c r="K83" s="172"/>
      <c r="L83" s="172"/>
      <c r="CI83" s="89" t="s">
        <v>1790</v>
      </c>
    </row>
    <row r="84" spans="1:95" x14ac:dyDescent="0.2">
      <c r="A84" s="176" t="str">
        <f t="shared" si="1"/>
        <v>AsphaltLake</v>
      </c>
      <c r="B84" s="11" t="s">
        <v>2148</v>
      </c>
      <c r="C84" s="173"/>
      <c r="D84" s="22" t="s">
        <v>2149</v>
      </c>
      <c r="E84" s="15" t="s">
        <v>2150</v>
      </c>
      <c r="F84" s="174"/>
      <c r="G84" s="174"/>
      <c r="H84" s="37">
        <v>100400</v>
      </c>
      <c r="I84" s="25" t="str">
        <f>CONCATENATE(Cover!$D$6,"fdd/view?i=",H84)</f>
        <v>https://www.dgiwg.org/FAD/fdd/view?i=100400</v>
      </c>
      <c r="J84" s="13" t="s">
        <v>2147</v>
      </c>
      <c r="K84" s="172"/>
      <c r="L84" s="172"/>
      <c r="BO84" s="82" t="s">
        <v>1790</v>
      </c>
      <c r="BP84" s="82" t="s">
        <v>1790</v>
      </c>
    </row>
    <row r="85" spans="1:95" ht="25.5" x14ac:dyDescent="0.2">
      <c r="A85" s="176" t="str">
        <f t="shared" si="1"/>
        <v>AssemblyPlant</v>
      </c>
      <c r="B85" s="11" t="s">
        <v>2152</v>
      </c>
      <c r="C85" s="173"/>
      <c r="D85" s="22" t="s">
        <v>2153</v>
      </c>
      <c r="E85" s="15" t="s">
        <v>2154</v>
      </c>
      <c r="F85" s="174"/>
      <c r="G85" s="174"/>
      <c r="H85" s="37">
        <v>100027</v>
      </c>
      <c r="I85" s="25" t="str">
        <f>CONCATENATE(Cover!$D$6,"fdd/view?i=",H85)</f>
        <v>https://www.dgiwg.org/FAD/fdd/view?i=100027</v>
      </c>
      <c r="J85" s="13" t="s">
        <v>2151</v>
      </c>
      <c r="K85" s="172"/>
      <c r="L85" s="172"/>
      <c r="AB85" s="82" t="s">
        <v>1790</v>
      </c>
    </row>
    <row r="86" spans="1:95" ht="25.5" x14ac:dyDescent="0.2">
      <c r="A86" s="176" t="str">
        <f t="shared" si="1"/>
        <v>AssemblyPoint</v>
      </c>
      <c r="B86" s="11" t="s">
        <v>2156</v>
      </c>
      <c r="C86" s="173"/>
      <c r="D86" s="22" t="s">
        <v>2157</v>
      </c>
      <c r="E86" s="15" t="s">
        <v>2158</v>
      </c>
      <c r="F86" s="174"/>
      <c r="G86" s="174"/>
      <c r="H86" s="37">
        <v>118439</v>
      </c>
      <c r="I86" s="25" t="str">
        <f>CONCATENATE(Cover!$D$6,"fdd/view?i=",H86)</f>
        <v>https://www.dgiwg.org/FAD/fdd/view?i=118439</v>
      </c>
      <c r="J86" s="13" t="s">
        <v>2155</v>
      </c>
      <c r="K86" s="172"/>
      <c r="L86" s="172"/>
      <c r="AJ86" s="83" t="s">
        <v>1790</v>
      </c>
      <c r="AW86" s="82" t="s">
        <v>1790</v>
      </c>
      <c r="CL86" s="85" t="s">
        <v>1790</v>
      </c>
    </row>
    <row r="87" spans="1:95" ht="38.25" x14ac:dyDescent="0.2">
      <c r="A87" s="176" t="str">
        <f t="shared" si="1"/>
        <v>AstronomicalObservatory</v>
      </c>
      <c r="B87" s="11" t="s">
        <v>2160</v>
      </c>
      <c r="C87" s="173"/>
      <c r="D87" s="22" t="s">
        <v>2161</v>
      </c>
      <c r="E87" s="15" t="s">
        <v>2162</v>
      </c>
      <c r="F87" s="15" t="s">
        <v>2163</v>
      </c>
      <c r="G87" s="174"/>
      <c r="H87" s="37">
        <v>111420</v>
      </c>
      <c r="I87" s="25" t="str">
        <f>CONCATENATE(Cover!$D$6,"fdd/view?i=",H87)</f>
        <v>https://www.dgiwg.org/FAD/fdd/view?i=111420</v>
      </c>
      <c r="J87" s="13" t="s">
        <v>2159</v>
      </c>
      <c r="K87" s="172"/>
      <c r="L87" s="172"/>
      <c r="AN87" s="83" t="s">
        <v>1790</v>
      </c>
    </row>
    <row r="88" spans="1:95" ht="25.5" x14ac:dyDescent="0.2">
      <c r="A88" s="176" t="str">
        <f t="shared" si="1"/>
        <v>AtmosphericHumidityZone</v>
      </c>
      <c r="B88" s="11" t="s">
        <v>2165</v>
      </c>
      <c r="C88" s="173"/>
      <c r="D88" s="22" t="s">
        <v>2166</v>
      </c>
      <c r="E88" s="15" t="s">
        <v>2167</v>
      </c>
      <c r="F88" s="174"/>
      <c r="G88" s="174"/>
      <c r="H88" s="37">
        <v>111384</v>
      </c>
      <c r="I88" s="25" t="str">
        <f>CONCATENATE(Cover!$D$6,"fdd/view?i=",H88)</f>
        <v>https://www.dgiwg.org/FAD/fdd/view?i=111384</v>
      </c>
      <c r="J88" s="13" t="s">
        <v>2164</v>
      </c>
      <c r="K88" s="172"/>
      <c r="L88" s="172"/>
      <c r="BZ88" s="83" t="s">
        <v>1790</v>
      </c>
      <c r="CQ88" s="165" t="s">
        <v>1790</v>
      </c>
    </row>
    <row r="89" spans="1:95" ht="25.5" x14ac:dyDescent="0.2">
      <c r="A89" s="176" t="str">
        <f t="shared" si="1"/>
        <v>AtmosphericPressureZone</v>
      </c>
      <c r="B89" s="11" t="s">
        <v>2169</v>
      </c>
      <c r="C89" s="173"/>
      <c r="D89" s="22" t="s">
        <v>2170</v>
      </c>
      <c r="E89" s="15" t="s">
        <v>2171</v>
      </c>
      <c r="F89" s="174"/>
      <c r="G89" s="174"/>
      <c r="H89" s="37">
        <v>111390</v>
      </c>
      <c r="I89" s="25" t="str">
        <f>CONCATENATE(Cover!$D$6,"fdd/view?i=",H89)</f>
        <v>https://www.dgiwg.org/FAD/fdd/view?i=111390</v>
      </c>
      <c r="J89" s="13" t="s">
        <v>2168</v>
      </c>
      <c r="K89" s="172"/>
      <c r="L89" s="172"/>
      <c r="BZ89" s="83" t="s">
        <v>1790</v>
      </c>
    </row>
    <row r="90" spans="1:95" ht="38.25" x14ac:dyDescent="0.2">
      <c r="A90" s="176" t="str">
        <f t="shared" si="1"/>
        <v>AutoAerodromeWeatherStation</v>
      </c>
      <c r="B90" s="11" t="s">
        <v>2173</v>
      </c>
      <c r="C90" s="173"/>
      <c r="D90" s="22" t="s">
        <v>2174</v>
      </c>
      <c r="E90" s="15" t="s">
        <v>2175</v>
      </c>
      <c r="F90" s="174"/>
      <c r="G90" s="174"/>
      <c r="H90" s="37">
        <v>119703</v>
      </c>
      <c r="I90" s="25" t="str">
        <f>CONCATENATE(Cover!$D$6,"fdd/view?i=",H90)</f>
        <v>https://www.dgiwg.org/FAD/fdd/view?i=119703</v>
      </c>
      <c r="J90" s="13" t="s">
        <v>2172</v>
      </c>
      <c r="K90" s="172"/>
      <c r="L90" s="172"/>
      <c r="AT90" s="82" t="s">
        <v>1790</v>
      </c>
      <c r="CG90" s="83" t="s">
        <v>1790</v>
      </c>
      <c r="CH90" s="83" t="s">
        <v>1790</v>
      </c>
    </row>
    <row r="91" spans="1:95" ht="38.25" x14ac:dyDescent="0.2">
      <c r="A91" s="176" t="str">
        <f t="shared" si="1"/>
        <v>DesignatedPoint</v>
      </c>
      <c r="B91" s="11" t="s">
        <v>2177</v>
      </c>
      <c r="C91" s="173"/>
      <c r="D91" s="22" t="s">
        <v>2178</v>
      </c>
      <c r="E91" s="15" t="s">
        <v>2179</v>
      </c>
      <c r="F91" s="174"/>
      <c r="G91" s="174"/>
      <c r="H91" s="37">
        <v>114501</v>
      </c>
      <c r="I91" s="25" t="str">
        <f>CONCATENATE(Cover!$D$6,"fdd/view?i=",H91)</f>
        <v>https://www.dgiwg.org/FAD/fdd/view?i=114501</v>
      </c>
      <c r="J91" s="13" t="s">
        <v>2176</v>
      </c>
      <c r="K91" s="172"/>
      <c r="L91" s="172"/>
      <c r="CG91" s="83" t="s">
        <v>1790</v>
      </c>
    </row>
    <row r="92" spans="1:95" ht="25.5" x14ac:dyDescent="0.2">
      <c r="A92" s="176" t="str">
        <f t="shared" si="1"/>
        <v>AviationHydMaintService</v>
      </c>
      <c r="B92" s="11" t="s">
        <v>2181</v>
      </c>
      <c r="C92" s="173"/>
      <c r="D92" s="22" t="s">
        <v>2182</v>
      </c>
      <c r="E92" s="15" t="s">
        <v>2183</v>
      </c>
      <c r="F92" s="174"/>
      <c r="G92" s="174"/>
      <c r="H92" s="37">
        <v>119568</v>
      </c>
      <c r="I92" s="25" t="str">
        <f>CONCATENATE(Cover!$D$6,"fdd/view?i=",H92)</f>
        <v>https://www.dgiwg.org/FAD/fdd/view?i=119568</v>
      </c>
      <c r="J92" s="13" t="s">
        <v>2180</v>
      </c>
      <c r="K92" s="172"/>
      <c r="L92" s="172"/>
      <c r="AT92" s="82" t="s">
        <v>1790</v>
      </c>
      <c r="CE92" s="87" t="s">
        <v>1790</v>
      </c>
      <c r="CH92" s="83" t="s">
        <v>1790</v>
      </c>
    </row>
    <row r="93" spans="1:95" ht="25.5" x14ac:dyDescent="0.2">
      <c r="A93" s="176" t="str">
        <f t="shared" si="1"/>
        <v>AviationNitMaintService</v>
      </c>
      <c r="B93" s="11" t="s">
        <v>2185</v>
      </c>
      <c r="C93" s="173"/>
      <c r="D93" s="22" t="s">
        <v>2186</v>
      </c>
      <c r="E93" s="15" t="s">
        <v>2187</v>
      </c>
      <c r="F93" s="174"/>
      <c r="G93" s="174"/>
      <c r="H93" s="37">
        <v>119569</v>
      </c>
      <c r="I93" s="25" t="str">
        <f>CONCATENATE(Cover!$D$6,"fdd/view?i=",H93)</f>
        <v>https://www.dgiwg.org/FAD/fdd/view?i=119569</v>
      </c>
      <c r="J93" s="13" t="s">
        <v>2184</v>
      </c>
      <c r="K93" s="172"/>
      <c r="L93" s="172"/>
      <c r="AT93" s="82" t="s">
        <v>1790</v>
      </c>
      <c r="CE93" s="87" t="s">
        <v>1790</v>
      </c>
      <c r="CH93" s="83" t="s">
        <v>1790</v>
      </c>
    </row>
    <row r="94" spans="1:95" ht="25.5" x14ac:dyDescent="0.2">
      <c r="A94" s="176" t="str">
        <f t="shared" si="1"/>
        <v>AviationOilMaintService</v>
      </c>
      <c r="B94" s="11" t="s">
        <v>2189</v>
      </c>
      <c r="C94" s="173"/>
      <c r="D94" s="22" t="s">
        <v>2190</v>
      </c>
      <c r="E94" s="15" t="s">
        <v>2191</v>
      </c>
      <c r="F94" s="174"/>
      <c r="G94" s="174"/>
      <c r="H94" s="37">
        <v>119570</v>
      </c>
      <c r="I94" s="25" t="str">
        <f>CONCATENATE(Cover!$D$6,"fdd/view?i=",H94)</f>
        <v>https://www.dgiwg.org/FAD/fdd/view?i=119570</v>
      </c>
      <c r="J94" s="13" t="s">
        <v>2188</v>
      </c>
      <c r="K94" s="172"/>
      <c r="L94" s="172"/>
      <c r="AT94" s="82" t="s">
        <v>1790</v>
      </c>
      <c r="CE94" s="87" t="s">
        <v>1790</v>
      </c>
      <c r="CH94" s="83" t="s">
        <v>1790</v>
      </c>
    </row>
    <row r="95" spans="1:95" ht="38.25" x14ac:dyDescent="0.2">
      <c r="A95" s="176" t="str">
        <f t="shared" si="1"/>
        <v>AviationOxyMaintService</v>
      </c>
      <c r="B95" s="11" t="s">
        <v>2193</v>
      </c>
      <c r="C95" s="173"/>
      <c r="D95" s="22" t="s">
        <v>2194</v>
      </c>
      <c r="E95" s="15" t="s">
        <v>2195</v>
      </c>
      <c r="F95" s="174"/>
      <c r="G95" s="174"/>
      <c r="H95" s="37">
        <v>119571</v>
      </c>
      <c r="I95" s="25" t="str">
        <f>CONCATENATE(Cover!$D$6,"fdd/view?i=",H95)</f>
        <v>https://www.dgiwg.org/FAD/fdd/view?i=119571</v>
      </c>
      <c r="J95" s="13" t="s">
        <v>2192</v>
      </c>
      <c r="K95" s="172"/>
      <c r="L95" s="172"/>
      <c r="AT95" s="82" t="s">
        <v>1790</v>
      </c>
      <c r="CE95" s="87" t="s">
        <v>1790</v>
      </c>
      <c r="CH95" s="83" t="s">
        <v>1790</v>
      </c>
    </row>
    <row r="96" spans="1:95" ht="25.5" x14ac:dyDescent="0.2">
      <c r="A96" s="176" t="str">
        <f t="shared" si="1"/>
        <v>Backshore</v>
      </c>
      <c r="B96" s="11" t="s">
        <v>2197</v>
      </c>
      <c r="C96" s="173"/>
      <c r="D96" s="22" t="s">
        <v>2196</v>
      </c>
      <c r="E96" s="15" t="s">
        <v>2198</v>
      </c>
      <c r="F96" s="174"/>
      <c r="G96" s="15" t="s">
        <v>2199</v>
      </c>
      <c r="H96" s="37">
        <v>100208</v>
      </c>
      <c r="I96" s="25" t="str">
        <f>CONCATENATE(Cover!$D$6,"fdd/view?i=",H96)</f>
        <v>https://www.dgiwg.org/FAD/fdd/view?i=100208</v>
      </c>
      <c r="J96" s="13" t="s">
        <v>2196</v>
      </c>
      <c r="K96" s="172"/>
      <c r="L96" s="172"/>
      <c r="AZ96" s="87" t="s">
        <v>1790</v>
      </c>
    </row>
    <row r="97" spans="1:97" ht="38.25" x14ac:dyDescent="0.2">
      <c r="A97" s="176" t="str">
        <f t="shared" si="1"/>
        <v>Bandshell</v>
      </c>
      <c r="B97" s="11" t="s">
        <v>2201</v>
      </c>
      <c r="C97" s="173"/>
      <c r="D97" s="22" t="s">
        <v>2200</v>
      </c>
      <c r="E97" s="15" t="s">
        <v>2202</v>
      </c>
      <c r="F97" s="15" t="s">
        <v>2203</v>
      </c>
      <c r="G97" s="174"/>
      <c r="H97" s="37">
        <v>114176</v>
      </c>
      <c r="I97" s="25" t="str">
        <f>CONCATENATE(Cover!$D$6,"fdd/view?i=",H97)</f>
        <v>https://www.dgiwg.org/FAD/fdd/view?i=114176</v>
      </c>
      <c r="J97" s="13" t="s">
        <v>2200</v>
      </c>
      <c r="K97" s="172"/>
      <c r="L97" s="172"/>
      <c r="AJ97" s="83" t="s">
        <v>1790</v>
      </c>
      <c r="AL97" s="83" t="s">
        <v>1790</v>
      </c>
    </row>
    <row r="98" spans="1:97" ht="38.25" x14ac:dyDescent="0.2">
      <c r="A98" s="176" t="str">
        <f t="shared" si="1"/>
        <v>BankVegetationZone</v>
      </c>
      <c r="B98" s="11" t="s">
        <v>2205</v>
      </c>
      <c r="C98" s="173"/>
      <c r="D98" s="22" t="s">
        <v>2206</v>
      </c>
      <c r="E98" s="15" t="s">
        <v>2207</v>
      </c>
      <c r="F98" s="15" t="s">
        <v>2208</v>
      </c>
      <c r="G98" s="174"/>
      <c r="H98" s="37">
        <v>114185</v>
      </c>
      <c r="I98" s="25" t="str">
        <f>CONCATENATE(Cover!$D$6,"fdd/view?i=",H98)</f>
        <v>https://www.dgiwg.org/FAD/fdd/view?i=114185</v>
      </c>
      <c r="J98" s="13" t="s">
        <v>2204</v>
      </c>
      <c r="K98" s="172"/>
      <c r="L98" s="172"/>
      <c r="BJ98" s="83" t="s">
        <v>1790</v>
      </c>
      <c r="CB98" s="89" t="s">
        <v>1790</v>
      </c>
    </row>
    <row r="99" spans="1:97" ht="38.25" x14ac:dyDescent="0.2">
      <c r="A99" s="176" t="str">
        <f t="shared" si="1"/>
        <v>Barn</v>
      </c>
      <c r="B99" s="11" t="s">
        <v>2210</v>
      </c>
      <c r="C99" s="173"/>
      <c r="D99" s="22" t="s">
        <v>2209</v>
      </c>
      <c r="E99" s="15" t="s">
        <v>2211</v>
      </c>
      <c r="F99" s="174"/>
      <c r="G99" s="174"/>
      <c r="H99" s="37">
        <v>114175</v>
      </c>
      <c r="I99" s="25" t="str">
        <f>CONCATENATE(Cover!$D$6,"fdd/view?i=",H99)</f>
        <v>https://www.dgiwg.org/FAD/fdd/view?i=114175</v>
      </c>
      <c r="J99" s="13" t="s">
        <v>2209</v>
      </c>
      <c r="K99" s="172"/>
      <c r="L99" s="172"/>
      <c r="AC99" s="82" t="s">
        <v>1790</v>
      </c>
      <c r="AJ99" s="83" t="s">
        <v>1790</v>
      </c>
    </row>
    <row r="100" spans="1:97" ht="38.25" x14ac:dyDescent="0.2">
      <c r="A100" s="176" t="str">
        <f t="shared" si="1"/>
        <v>BarrenGround</v>
      </c>
      <c r="B100" s="11" t="s">
        <v>2213</v>
      </c>
      <c r="C100" s="173"/>
      <c r="D100" s="22" t="s">
        <v>2214</v>
      </c>
      <c r="E100" s="15" t="s">
        <v>2215</v>
      </c>
      <c r="F100" s="15" t="s">
        <v>2216</v>
      </c>
      <c r="G100" s="174"/>
      <c r="H100" s="37">
        <v>100403</v>
      </c>
      <c r="I100" s="25" t="str">
        <f>CONCATENATE(Cover!$D$6,"fdd/view?i=",H100)</f>
        <v>https://www.dgiwg.org/FAD/fdd/view?i=100403</v>
      </c>
      <c r="J100" s="13" t="s">
        <v>2212</v>
      </c>
      <c r="K100" s="172"/>
      <c r="L100" s="172"/>
      <c r="BO100" s="82" t="s">
        <v>1790</v>
      </c>
    </row>
    <row r="101" spans="1:97" ht="51" x14ac:dyDescent="0.2">
      <c r="A101" s="176" t="str">
        <f t="shared" si="1"/>
        <v>BaselinePoint</v>
      </c>
      <c r="B101" s="11" t="s">
        <v>2218</v>
      </c>
      <c r="C101" s="173"/>
      <c r="D101" s="22" t="s">
        <v>2219</v>
      </c>
      <c r="E101" s="15" t="s">
        <v>2220</v>
      </c>
      <c r="F101" s="15" t="s">
        <v>2221</v>
      </c>
      <c r="G101" s="174"/>
      <c r="H101" s="37">
        <v>100565</v>
      </c>
      <c r="I101" s="25" t="str">
        <f>CONCATENATE(Cover!$D$6,"fdd/view?i=",H101)</f>
        <v>https://www.dgiwg.org/FAD/fdd/view?i=100565</v>
      </c>
      <c r="J101" s="13" t="s">
        <v>2217</v>
      </c>
      <c r="K101" s="172"/>
      <c r="L101" s="172"/>
      <c r="AM101" s="83" t="s">
        <v>1790</v>
      </c>
      <c r="CC101" s="81" t="s">
        <v>1790</v>
      </c>
      <c r="CD101" s="85" t="s">
        <v>1790</v>
      </c>
    </row>
    <row r="102" spans="1:97" x14ac:dyDescent="0.2">
      <c r="A102" s="176" t="str">
        <f t="shared" si="1"/>
        <v>BasinGate</v>
      </c>
      <c r="B102" s="11" t="s">
        <v>2223</v>
      </c>
      <c r="C102" s="173"/>
      <c r="D102" s="22" t="s">
        <v>2224</v>
      </c>
      <c r="E102" s="15" t="s">
        <v>2225</v>
      </c>
      <c r="F102" s="15" t="s">
        <v>2226</v>
      </c>
      <c r="G102" s="174"/>
      <c r="H102" s="37">
        <v>117764</v>
      </c>
      <c r="I102" s="25" t="str">
        <f>CONCATENATE(Cover!$D$6,"fdd/view?i=",H102)</f>
        <v>https://www.dgiwg.org/FAD/fdd/view?i=117764</v>
      </c>
      <c r="J102" s="13" t="s">
        <v>2222</v>
      </c>
      <c r="K102" s="172"/>
      <c r="L102" s="172"/>
      <c r="BA102" s="83" t="s">
        <v>1790</v>
      </c>
      <c r="BJ102" s="83" t="s">
        <v>1790</v>
      </c>
    </row>
    <row r="103" spans="1:97" ht="25.5" x14ac:dyDescent="0.2">
      <c r="A103" s="176" t="str">
        <f t="shared" si="1"/>
        <v>Beach</v>
      </c>
      <c r="B103" s="11" t="s">
        <v>2228</v>
      </c>
      <c r="C103" s="173"/>
      <c r="D103" s="22" t="s">
        <v>2227</v>
      </c>
      <c r="E103" s="15" t="s">
        <v>2229</v>
      </c>
      <c r="F103" s="15" t="s">
        <v>2230</v>
      </c>
      <c r="G103" s="174"/>
      <c r="H103" s="37">
        <v>100214</v>
      </c>
      <c r="I103" s="25" t="str">
        <f>CONCATENATE(Cover!$D$6,"fdd/view?i=",H103)</f>
        <v>https://www.dgiwg.org/FAD/fdd/view?i=100214</v>
      </c>
      <c r="J103" s="13" t="s">
        <v>2227</v>
      </c>
      <c r="K103" s="172"/>
      <c r="L103" s="172"/>
      <c r="AZ103" s="87" t="s">
        <v>1790</v>
      </c>
    </row>
    <row r="104" spans="1:97" x14ac:dyDescent="0.2">
      <c r="A104" s="176" t="str">
        <f t="shared" si="1"/>
        <v>BeachExit</v>
      </c>
      <c r="B104" s="11" t="s">
        <v>2232</v>
      </c>
      <c r="C104" s="173"/>
      <c r="D104" s="22" t="s">
        <v>2233</v>
      </c>
      <c r="E104" s="15" t="s">
        <v>2234</v>
      </c>
      <c r="F104" s="174"/>
      <c r="G104" s="174"/>
      <c r="H104" s="37">
        <v>114312</v>
      </c>
      <c r="I104" s="25" t="str">
        <f>CONCATENATE(Cover!$D$6,"fdd/view?i=",H104)</f>
        <v>https://www.dgiwg.org/FAD/fdd/view?i=114312</v>
      </c>
      <c r="J104" s="13" t="s">
        <v>2231</v>
      </c>
      <c r="K104" s="172"/>
      <c r="L104" s="172"/>
      <c r="AZ104" s="87" t="s">
        <v>1790</v>
      </c>
      <c r="CS104" s="165" t="s">
        <v>1790</v>
      </c>
    </row>
    <row r="105" spans="1:97" x14ac:dyDescent="0.2">
      <c r="A105" s="176" t="str">
        <f t="shared" si="1"/>
        <v>BeachLandingSite</v>
      </c>
      <c r="B105" s="11" t="s">
        <v>2236</v>
      </c>
      <c r="C105" s="173"/>
      <c r="D105" s="22" t="s">
        <v>2237</v>
      </c>
      <c r="E105" s="15" t="s">
        <v>2238</v>
      </c>
      <c r="F105" s="174"/>
      <c r="G105" s="174"/>
      <c r="H105" s="37">
        <v>100242</v>
      </c>
      <c r="I105" s="25" t="str">
        <f>CONCATENATE(Cover!$D$6,"fdd/view?i=",H105)</f>
        <v>https://www.dgiwg.org/FAD/fdd/view?i=100242</v>
      </c>
      <c r="J105" s="13" t="s">
        <v>2235</v>
      </c>
      <c r="K105" s="172"/>
      <c r="L105" s="172"/>
      <c r="AZ105" s="87" t="s">
        <v>1790</v>
      </c>
      <c r="CJ105" s="81" t="s">
        <v>1790</v>
      </c>
    </row>
    <row r="106" spans="1:97" ht="25.5" x14ac:dyDescent="0.2">
      <c r="A106" s="176" t="str">
        <f t="shared" si="1"/>
        <v>BeachProfile</v>
      </c>
      <c r="B106" s="11" t="s">
        <v>2240</v>
      </c>
      <c r="C106" s="173"/>
      <c r="D106" s="22" t="s">
        <v>2241</v>
      </c>
      <c r="E106" s="15" t="s">
        <v>2242</v>
      </c>
      <c r="F106" s="174"/>
      <c r="G106" s="174"/>
      <c r="H106" s="37">
        <v>100320</v>
      </c>
      <c r="I106" s="25" t="str">
        <f>CONCATENATE(Cover!$D$6,"fdd/view?i=",H106)</f>
        <v>https://www.dgiwg.org/FAD/fdd/view?i=100320</v>
      </c>
      <c r="J106" s="13" t="s">
        <v>2239</v>
      </c>
      <c r="K106" s="172"/>
      <c r="L106" s="172"/>
      <c r="AZ106" s="87" t="s">
        <v>1790</v>
      </c>
    </row>
    <row r="107" spans="1:97" x14ac:dyDescent="0.2">
      <c r="A107" s="176" t="str">
        <f t="shared" si="1"/>
        <v>Bench</v>
      </c>
      <c r="B107" s="11" t="s">
        <v>2244</v>
      </c>
      <c r="C107" s="173"/>
      <c r="D107" s="22" t="s">
        <v>2243</v>
      </c>
      <c r="E107" s="15" t="s">
        <v>2245</v>
      </c>
      <c r="F107" s="15" t="s">
        <v>2246</v>
      </c>
      <c r="G107" s="174"/>
      <c r="H107" s="37">
        <v>100067</v>
      </c>
      <c r="I107" s="25" t="str">
        <f>CONCATENATE(Cover!$D$6,"fdd/view?i=",H107)</f>
        <v>https://www.dgiwg.org/FAD/fdd/view?i=100067</v>
      </c>
      <c r="J107" s="13" t="s">
        <v>2243</v>
      </c>
      <c r="K107" s="172"/>
      <c r="L107" s="172"/>
      <c r="AJ107" s="83" t="s">
        <v>1790</v>
      </c>
      <c r="AL107" s="83" t="s">
        <v>1790</v>
      </c>
    </row>
    <row r="108" spans="1:97" ht="25.5" x14ac:dyDescent="0.2">
      <c r="A108" s="176" t="str">
        <f t="shared" si="1"/>
        <v>Benchmark</v>
      </c>
      <c r="B108" s="11" t="s">
        <v>2248</v>
      </c>
      <c r="C108" s="173"/>
      <c r="D108" s="22" t="s">
        <v>2247</v>
      </c>
      <c r="E108" s="15" t="s">
        <v>2249</v>
      </c>
      <c r="F108" s="174"/>
      <c r="G108" s="174"/>
      <c r="H108" s="37">
        <v>100562</v>
      </c>
      <c r="I108" s="25" t="str">
        <f>CONCATENATE(Cover!$D$6,"fdd/view?i=",H108)</f>
        <v>https://www.dgiwg.org/FAD/fdd/view?i=100562</v>
      </c>
      <c r="J108" s="13" t="s">
        <v>2247</v>
      </c>
      <c r="K108" s="172"/>
      <c r="L108" s="172"/>
      <c r="BL108" s="81" t="s">
        <v>1790</v>
      </c>
      <c r="CD108" s="85" t="s">
        <v>1790</v>
      </c>
    </row>
    <row r="109" spans="1:97" x14ac:dyDescent="0.2">
      <c r="A109" s="176" t="str">
        <f t="shared" si="1"/>
        <v>Berth</v>
      </c>
      <c r="B109" s="11" t="s">
        <v>2251</v>
      </c>
      <c r="C109" s="173"/>
      <c r="D109" s="22" t="s">
        <v>2250</v>
      </c>
      <c r="E109" s="15" t="s">
        <v>2252</v>
      </c>
      <c r="F109" s="174"/>
      <c r="G109" s="174"/>
      <c r="H109" s="37">
        <v>103044</v>
      </c>
      <c r="I109" s="25" t="str">
        <f>CONCATENATE(Cover!$D$6,"fdd/view?i=",H109)</f>
        <v>https://www.dgiwg.org/FAD/fdd/view?i=103044</v>
      </c>
      <c r="J109" s="13" t="s">
        <v>2250</v>
      </c>
      <c r="K109" s="172"/>
      <c r="L109" s="172"/>
      <c r="AS109" s="82" t="s">
        <v>1790</v>
      </c>
      <c r="BA109" s="83" t="s">
        <v>1790</v>
      </c>
    </row>
    <row r="110" spans="1:97" ht="38.25" x14ac:dyDescent="0.2">
      <c r="A110" s="176" t="str">
        <f t="shared" si="1"/>
        <v>BerthingStructure</v>
      </c>
      <c r="B110" s="11" t="s">
        <v>2254</v>
      </c>
      <c r="C110" s="173"/>
      <c r="D110" s="22" t="s">
        <v>2255</v>
      </c>
      <c r="E110" s="15" t="s">
        <v>2256</v>
      </c>
      <c r="F110" s="15" t="s">
        <v>2257</v>
      </c>
      <c r="G110" s="174"/>
      <c r="H110" s="37">
        <v>100248</v>
      </c>
      <c r="I110" s="25" t="str">
        <f>CONCATENATE(Cover!$D$6,"fdd/view?i=",H110)</f>
        <v>https://www.dgiwg.org/FAD/fdd/view?i=100248</v>
      </c>
      <c r="J110" s="13" t="s">
        <v>2253</v>
      </c>
      <c r="K110" s="172"/>
      <c r="L110" s="172"/>
      <c r="AS110" s="82" t="s">
        <v>1790</v>
      </c>
      <c r="BA110" s="83" t="s">
        <v>1790</v>
      </c>
    </row>
    <row r="111" spans="1:97" ht="25.5" x14ac:dyDescent="0.2">
      <c r="A111" s="176" t="str">
        <f t="shared" si="1"/>
        <v>Bikeway</v>
      </c>
      <c r="B111" s="11" t="s">
        <v>2259</v>
      </c>
      <c r="C111" s="173"/>
      <c r="D111" s="22" t="s">
        <v>2258</v>
      </c>
      <c r="E111" s="15" t="s">
        <v>2260</v>
      </c>
      <c r="F111" s="174"/>
      <c r="G111" s="15" t="s">
        <v>2261</v>
      </c>
      <c r="H111" s="37">
        <v>119175</v>
      </c>
      <c r="I111" s="25" t="str">
        <f>CONCATENATE(Cover!$D$6,"fdd/view?i=",H111)</f>
        <v>https://www.dgiwg.org/FAD/fdd/view?i=119175</v>
      </c>
      <c r="J111" s="13" t="s">
        <v>2258</v>
      </c>
      <c r="K111" s="172"/>
      <c r="L111" s="172"/>
      <c r="AQ111" s="82" t="s">
        <v>1790</v>
      </c>
      <c r="AW111" s="82" t="s">
        <v>1790</v>
      </c>
    </row>
    <row r="112" spans="1:97" ht="25.5" x14ac:dyDescent="0.2">
      <c r="A112" s="176" t="str">
        <f t="shared" si="1"/>
        <v>Billboard</v>
      </c>
      <c r="B112" s="11" t="s">
        <v>2263</v>
      </c>
      <c r="C112" s="173"/>
      <c r="D112" s="22" t="s">
        <v>2262</v>
      </c>
      <c r="E112" s="15" t="s">
        <v>2264</v>
      </c>
      <c r="F112" s="15" t="s">
        <v>2265</v>
      </c>
      <c r="G112" s="174"/>
      <c r="H112" s="37">
        <v>114173</v>
      </c>
      <c r="I112" s="25" t="str">
        <f>CONCATENATE(Cover!$D$6,"fdd/view?i=",H112)</f>
        <v>https://www.dgiwg.org/FAD/fdd/view?i=114173</v>
      </c>
      <c r="J112" s="13" t="s">
        <v>2262</v>
      </c>
      <c r="K112" s="172"/>
      <c r="L112" s="172"/>
      <c r="AI112" s="87" t="s">
        <v>1790</v>
      </c>
      <c r="AJ112" s="83" t="s">
        <v>1790</v>
      </c>
      <c r="AK112" s="83" t="s">
        <v>1790</v>
      </c>
      <c r="AQ112" s="82" t="s">
        <v>1790</v>
      </c>
    </row>
    <row r="113" spans="1:83" x14ac:dyDescent="0.2">
      <c r="A113" s="176" t="str">
        <f t="shared" si="1"/>
        <v>BlastBarrier</v>
      </c>
      <c r="B113" s="11" t="s">
        <v>2267</v>
      </c>
      <c r="C113" s="173"/>
      <c r="D113" s="22" t="s">
        <v>2268</v>
      </c>
      <c r="E113" s="15" t="s">
        <v>2269</v>
      </c>
      <c r="F113" s="174"/>
      <c r="G113" s="15" t="s">
        <v>2270</v>
      </c>
      <c r="H113" s="37">
        <v>114631</v>
      </c>
      <c r="I113" s="25" t="str">
        <f>CONCATENATE(Cover!$D$6,"fdd/view?i=",H113)</f>
        <v>https://www.dgiwg.org/FAD/fdd/view?i=114631</v>
      </c>
      <c r="J113" s="13" t="s">
        <v>2266</v>
      </c>
      <c r="K113" s="172"/>
      <c r="L113" s="172"/>
      <c r="CE113" s="87" t="s">
        <v>1790</v>
      </c>
    </row>
    <row r="114" spans="1:83" ht="25.5" x14ac:dyDescent="0.2">
      <c r="A114" s="176" t="str">
        <f t="shared" si="1"/>
        <v>BlastFurnace</v>
      </c>
      <c r="B114" s="11" t="s">
        <v>2272</v>
      </c>
      <c r="C114" s="173"/>
      <c r="D114" s="22" t="s">
        <v>2273</v>
      </c>
      <c r="E114" s="15" t="s">
        <v>2274</v>
      </c>
      <c r="F114" s="174"/>
      <c r="G114" s="174"/>
      <c r="H114" s="37">
        <v>100016</v>
      </c>
      <c r="I114" s="25" t="str">
        <f>CONCATENATE(Cover!$D$6,"fdd/view?i=",H114)</f>
        <v>https://www.dgiwg.org/FAD/fdd/view?i=100016</v>
      </c>
      <c r="J114" s="13" t="s">
        <v>2271</v>
      </c>
      <c r="K114" s="172"/>
      <c r="L114" s="172"/>
      <c r="AB114" s="82" t="s">
        <v>1790</v>
      </c>
    </row>
    <row r="115" spans="1:83" ht="25.5" x14ac:dyDescent="0.2">
      <c r="A115" s="176" t="str">
        <f t="shared" si="1"/>
        <v>BoatLanding</v>
      </c>
      <c r="B115" s="11" t="s">
        <v>2276</v>
      </c>
      <c r="C115" s="173"/>
      <c r="D115" s="22" t="s">
        <v>2277</v>
      </c>
      <c r="E115" s="15" t="s">
        <v>2278</v>
      </c>
      <c r="F115" s="174"/>
      <c r="G115" s="174"/>
      <c r="H115" s="37">
        <v>111438</v>
      </c>
      <c r="I115" s="25" t="str">
        <f>CONCATENATE(Cover!$D$6,"fdd/view?i=",H115)</f>
        <v>https://www.dgiwg.org/FAD/fdd/view?i=111438</v>
      </c>
      <c r="J115" s="13" t="s">
        <v>2275</v>
      </c>
      <c r="K115" s="172"/>
      <c r="L115" s="172"/>
      <c r="AS115" s="82" t="s">
        <v>1790</v>
      </c>
      <c r="BA115" s="83" t="s">
        <v>1790</v>
      </c>
    </row>
    <row r="116" spans="1:83" ht="25.5" x14ac:dyDescent="0.2">
      <c r="A116" s="176" t="str">
        <f t="shared" si="1"/>
        <v>Bog</v>
      </c>
      <c r="B116" s="11" t="s">
        <v>2280</v>
      </c>
      <c r="C116" s="173"/>
      <c r="D116" s="22" t="s">
        <v>2279</v>
      </c>
      <c r="E116" s="15" t="s">
        <v>2281</v>
      </c>
      <c r="F116" s="15" t="s">
        <v>2282</v>
      </c>
      <c r="G116" s="174"/>
      <c r="H116" s="37">
        <v>100332</v>
      </c>
      <c r="I116" s="25" t="str">
        <f>CONCATENATE(Cover!$D$6,"fdd/view?i=",H116)</f>
        <v>https://www.dgiwg.org/FAD/fdd/view?i=100332</v>
      </c>
      <c r="J116" s="13" t="s">
        <v>2279</v>
      </c>
      <c r="K116" s="172"/>
      <c r="L116" s="172"/>
      <c r="BJ116" s="83" t="s">
        <v>1790</v>
      </c>
      <c r="BX116" s="83" t="s">
        <v>1790</v>
      </c>
    </row>
    <row r="117" spans="1:83" ht="89.25" x14ac:dyDescent="0.2">
      <c r="A117" s="176" t="str">
        <f t="shared" si="1"/>
        <v>Bollard</v>
      </c>
      <c r="B117" s="11" t="s">
        <v>2284</v>
      </c>
      <c r="C117" s="173"/>
      <c r="D117" s="22" t="s">
        <v>2283</v>
      </c>
      <c r="E117" s="15" t="s">
        <v>2285</v>
      </c>
      <c r="F117" s="15" t="s">
        <v>2286</v>
      </c>
      <c r="G117" s="174"/>
      <c r="H117" s="37">
        <v>100226</v>
      </c>
      <c r="I117" s="25" t="str">
        <f>CONCATENATE(Cover!$D$6,"fdd/view?i=",H117)</f>
        <v>https://www.dgiwg.org/FAD/fdd/view?i=100226</v>
      </c>
      <c r="J117" s="13" t="s">
        <v>2283</v>
      </c>
      <c r="K117" s="172"/>
      <c r="L117" s="172"/>
      <c r="AS117" s="82" t="s">
        <v>1790</v>
      </c>
      <c r="BA117" s="83" t="s">
        <v>1790</v>
      </c>
    </row>
    <row r="118" spans="1:83" ht="51" x14ac:dyDescent="0.2">
      <c r="A118" s="176" t="str">
        <f t="shared" si="1"/>
        <v>BoomingGround</v>
      </c>
      <c r="B118" s="11" t="s">
        <v>2288</v>
      </c>
      <c r="C118" s="173"/>
      <c r="D118" s="22" t="s">
        <v>2289</v>
      </c>
      <c r="E118" s="15" t="s">
        <v>2290</v>
      </c>
      <c r="F118" s="15" t="s">
        <v>2291</v>
      </c>
      <c r="G118" s="15" t="s">
        <v>2292</v>
      </c>
      <c r="H118" s="37">
        <v>101327</v>
      </c>
      <c r="I118" s="25" t="str">
        <f>CONCATENATE(Cover!$D$6,"fdd/view?i=",H118)</f>
        <v>https://www.dgiwg.org/FAD/fdd/view?i=101327</v>
      </c>
      <c r="J118" s="13" t="s">
        <v>2287</v>
      </c>
      <c r="K118" s="172"/>
      <c r="L118" s="172"/>
      <c r="BD118" s="83" t="s">
        <v>1790</v>
      </c>
      <c r="BG118" s="83" t="s">
        <v>1790</v>
      </c>
    </row>
    <row r="119" spans="1:83" ht="51" x14ac:dyDescent="0.2">
      <c r="A119" s="176" t="str">
        <f t="shared" si="1"/>
        <v>BorderCrossing</v>
      </c>
      <c r="B119" s="11" t="s">
        <v>2294</v>
      </c>
      <c r="C119" s="173"/>
      <c r="D119" s="22" t="s">
        <v>2295</v>
      </c>
      <c r="E119" s="15" t="s">
        <v>2296</v>
      </c>
      <c r="F119" s="174"/>
      <c r="G119" s="174"/>
      <c r="H119" s="37">
        <v>118444</v>
      </c>
      <c r="I119" s="25" t="str">
        <f>CONCATENATE(Cover!$D$6,"fdd/view?i=",H119)</f>
        <v>https://www.dgiwg.org/FAD/fdd/view?i=118444</v>
      </c>
      <c r="J119" s="13" t="s">
        <v>2293</v>
      </c>
      <c r="K119" s="172"/>
      <c r="L119" s="172"/>
      <c r="CC119" s="81" t="s">
        <v>1790</v>
      </c>
    </row>
    <row r="120" spans="1:83" ht="38.25" x14ac:dyDescent="0.2">
      <c r="A120" s="176" t="str">
        <f t="shared" si="1"/>
        <v>Borehole</v>
      </c>
      <c r="B120" s="11" t="s">
        <v>2298</v>
      </c>
      <c r="C120" s="173"/>
      <c r="D120" s="22" t="s">
        <v>2297</v>
      </c>
      <c r="E120" s="15" t="s">
        <v>2299</v>
      </c>
      <c r="F120" s="15" t="s">
        <v>2300</v>
      </c>
      <c r="G120" s="174"/>
      <c r="H120" s="37">
        <v>114169</v>
      </c>
      <c r="I120" s="25" t="str">
        <f>CONCATENATE(Cover!$D$6,"fdd/view?i=",H120)</f>
        <v>https://www.dgiwg.org/FAD/fdd/view?i=114169</v>
      </c>
      <c r="J120" s="13" t="s">
        <v>2297</v>
      </c>
      <c r="K120" s="172"/>
      <c r="L120" s="172"/>
      <c r="AA120" s="81" t="s">
        <v>1790</v>
      </c>
      <c r="AH120" s="85" t="s">
        <v>1790</v>
      </c>
      <c r="BM120" s="82" t="s">
        <v>1790</v>
      </c>
    </row>
    <row r="121" spans="1:83" x14ac:dyDescent="0.2">
      <c r="A121" s="176" t="str">
        <f t="shared" si="1"/>
        <v>BotanicGarden</v>
      </c>
      <c r="B121" s="11" t="s">
        <v>2302</v>
      </c>
      <c r="C121" s="173"/>
      <c r="D121" s="22" t="s">
        <v>2303</v>
      </c>
      <c r="E121" s="15" t="s">
        <v>2304</v>
      </c>
      <c r="F121" s="174"/>
      <c r="G121" s="174"/>
      <c r="H121" s="37">
        <v>100435</v>
      </c>
      <c r="I121" s="25" t="str">
        <f>CONCATENATE(Cover!$D$6,"fdd/view?i=",H121)</f>
        <v>https://www.dgiwg.org/FAD/fdd/view?i=100435</v>
      </c>
      <c r="J121" s="13" t="s">
        <v>2301</v>
      </c>
      <c r="K121" s="172"/>
      <c r="L121" s="172"/>
      <c r="AL121" s="83" t="s">
        <v>1790</v>
      </c>
      <c r="BU121" s="87" t="s">
        <v>1790</v>
      </c>
    </row>
    <row r="122" spans="1:83" ht="38.25" x14ac:dyDescent="0.2">
      <c r="A122" s="176" t="str">
        <f t="shared" si="1"/>
        <v>BottomCharacterRegion</v>
      </c>
      <c r="B122" s="11" t="s">
        <v>2306</v>
      </c>
      <c r="C122" s="173"/>
      <c r="D122" s="22" t="s">
        <v>2307</v>
      </c>
      <c r="E122" s="15" t="s">
        <v>2308</v>
      </c>
      <c r="F122" s="174"/>
      <c r="G122" s="15" t="s">
        <v>2309</v>
      </c>
      <c r="H122" s="37">
        <v>100321</v>
      </c>
      <c r="I122" s="25" t="str">
        <f>CONCATENATE(Cover!$D$6,"fdd/view?i=",H122)</f>
        <v>https://www.dgiwg.org/FAD/fdd/view?i=100321</v>
      </c>
      <c r="J122" s="13" t="s">
        <v>2305</v>
      </c>
      <c r="K122" s="172"/>
      <c r="L122" s="172"/>
      <c r="BC122" s="83" t="s">
        <v>1790</v>
      </c>
      <c r="BG122" s="83" t="s">
        <v>1790</v>
      </c>
    </row>
    <row r="123" spans="1:83" ht="25.5" x14ac:dyDescent="0.2">
      <c r="A123" s="176" t="str">
        <f t="shared" si="1"/>
        <v>BottomTopographicRegion</v>
      </c>
      <c r="B123" s="11" t="s">
        <v>2311</v>
      </c>
      <c r="C123" s="173"/>
      <c r="D123" s="22" t="s">
        <v>2312</v>
      </c>
      <c r="E123" s="15" t="s">
        <v>2313</v>
      </c>
      <c r="F123" s="174"/>
      <c r="G123" s="174"/>
      <c r="H123" s="37">
        <v>100322</v>
      </c>
      <c r="I123" s="25" t="str">
        <f>CONCATENATE(Cover!$D$6,"fdd/view?i=",H123)</f>
        <v>https://www.dgiwg.org/FAD/fdd/view?i=100322</v>
      </c>
      <c r="J123" s="13" t="s">
        <v>2310</v>
      </c>
      <c r="K123" s="172"/>
      <c r="L123" s="172"/>
      <c r="BC123" s="83" t="s">
        <v>1790</v>
      </c>
      <c r="BG123" s="83" t="s">
        <v>1790</v>
      </c>
    </row>
    <row r="124" spans="1:83" x14ac:dyDescent="0.2">
      <c r="A124" s="176" t="str">
        <f t="shared" si="1"/>
        <v>Boundary</v>
      </c>
      <c r="B124" s="11" t="s">
        <v>2315</v>
      </c>
      <c r="C124" s="173"/>
      <c r="D124" s="22" t="s">
        <v>2314</v>
      </c>
      <c r="E124" s="15" t="s">
        <v>2316</v>
      </c>
      <c r="F124" s="174"/>
      <c r="G124" s="174"/>
      <c r="H124" s="37">
        <v>111351</v>
      </c>
      <c r="I124" s="25" t="str">
        <f>CONCATENATE(Cover!$D$6,"fdd/view?i=",H124)</f>
        <v>https://www.dgiwg.org/FAD/fdd/view?i=111351</v>
      </c>
      <c r="J124" s="13" t="s">
        <v>2314</v>
      </c>
      <c r="K124" s="172"/>
      <c r="L124" s="172"/>
      <c r="CC124" s="81" t="s">
        <v>1790</v>
      </c>
      <c r="CD124" s="85" t="s">
        <v>1790</v>
      </c>
    </row>
    <row r="125" spans="1:83" x14ac:dyDescent="0.2">
      <c r="A125" s="176" t="str">
        <f t="shared" si="1"/>
        <v>BoundaryMonument</v>
      </c>
      <c r="B125" s="11" t="s">
        <v>2318</v>
      </c>
      <c r="C125" s="173"/>
      <c r="D125" s="22" t="s">
        <v>2319</v>
      </c>
      <c r="E125" s="15" t="s">
        <v>2320</v>
      </c>
      <c r="F125" s="174"/>
      <c r="G125" s="15" t="s">
        <v>2321</v>
      </c>
      <c r="H125" s="37">
        <v>100563</v>
      </c>
      <c r="I125" s="25" t="str">
        <f>CONCATENATE(Cover!$D$6,"fdd/view?i=",H125)</f>
        <v>https://www.dgiwg.org/FAD/fdd/view?i=100563</v>
      </c>
      <c r="J125" s="13" t="s">
        <v>2317</v>
      </c>
      <c r="K125" s="172"/>
      <c r="L125" s="172"/>
      <c r="CD125" s="85" t="s">
        <v>1790</v>
      </c>
    </row>
    <row r="126" spans="1:83" x14ac:dyDescent="0.2">
      <c r="A126" s="176" t="str">
        <f t="shared" si="1"/>
        <v>BreakLine</v>
      </c>
      <c r="B126" s="11" t="s">
        <v>2323</v>
      </c>
      <c r="C126" s="173"/>
      <c r="D126" s="22" t="s">
        <v>2324</v>
      </c>
      <c r="E126" s="15" t="s">
        <v>2325</v>
      </c>
      <c r="F126" s="174"/>
      <c r="G126" s="174"/>
      <c r="H126" s="37">
        <v>100395</v>
      </c>
      <c r="I126" s="25" t="str">
        <f>CONCATENATE(Cover!$D$6,"fdd/view?i=",H126)</f>
        <v>https://www.dgiwg.org/FAD/fdd/view?i=100395</v>
      </c>
      <c r="J126" s="13" t="s">
        <v>2322</v>
      </c>
      <c r="K126" s="172"/>
      <c r="L126" s="172"/>
      <c r="BL126" s="81" t="s">
        <v>1790</v>
      </c>
      <c r="BM126" s="82" t="s">
        <v>1790</v>
      </c>
    </row>
    <row r="127" spans="1:83" x14ac:dyDescent="0.2">
      <c r="A127" s="176" t="str">
        <f t="shared" si="1"/>
        <v>Breakers</v>
      </c>
      <c r="B127" s="11" t="s">
        <v>2327</v>
      </c>
      <c r="C127" s="173"/>
      <c r="D127" s="22" t="s">
        <v>2326</v>
      </c>
      <c r="E127" s="15" t="s">
        <v>2328</v>
      </c>
      <c r="F127" s="174"/>
      <c r="G127" s="174"/>
      <c r="H127" s="37">
        <v>100283</v>
      </c>
      <c r="I127" s="25" t="str">
        <f>CONCATENATE(Cover!$D$6,"fdd/view?i=",H127)</f>
        <v>https://www.dgiwg.org/FAD/fdd/view?i=100283</v>
      </c>
      <c r="J127" s="13" t="s">
        <v>2326</v>
      </c>
      <c r="K127" s="172"/>
      <c r="L127" s="172"/>
      <c r="BG127" s="83" t="s">
        <v>1790</v>
      </c>
    </row>
    <row r="128" spans="1:83" ht="38.25" x14ac:dyDescent="0.2">
      <c r="A128" s="176" t="str">
        <f t="shared" si="1"/>
        <v>Breakwater</v>
      </c>
      <c r="B128" s="11" t="s">
        <v>2330</v>
      </c>
      <c r="C128" s="173"/>
      <c r="D128" s="22" t="s">
        <v>2329</v>
      </c>
      <c r="E128" s="15" t="s">
        <v>2331</v>
      </c>
      <c r="F128" s="174"/>
      <c r="G128" s="174"/>
      <c r="H128" s="37">
        <v>100228</v>
      </c>
      <c r="I128" s="25" t="str">
        <f>CONCATENATE(Cover!$D$6,"fdd/view?i=",H128)</f>
        <v>https://www.dgiwg.org/FAD/fdd/view?i=100228</v>
      </c>
      <c r="J128" s="13" t="s">
        <v>2329</v>
      </c>
      <c r="K128" s="172"/>
      <c r="L128" s="172"/>
      <c r="AS128" s="82" t="s">
        <v>1790</v>
      </c>
      <c r="BA128" s="83" t="s">
        <v>1790</v>
      </c>
    </row>
    <row r="129" spans="1:82" ht="63.75" x14ac:dyDescent="0.2">
      <c r="A129" s="176" t="str">
        <f t="shared" si="1"/>
        <v>Bridge</v>
      </c>
      <c r="B129" s="11" t="s">
        <v>2333</v>
      </c>
      <c r="C129" s="173"/>
      <c r="D129" s="22" t="s">
        <v>2332</v>
      </c>
      <c r="E129" s="15" t="s">
        <v>2334</v>
      </c>
      <c r="F129" s="15" t="s">
        <v>2335</v>
      </c>
      <c r="G129" s="174"/>
      <c r="H129" s="37">
        <v>100156</v>
      </c>
      <c r="I129" s="25" t="str">
        <f>CONCATENATE(Cover!$D$6,"fdd/view?i=",H129)</f>
        <v>https://www.dgiwg.org/FAD/fdd/view?i=100156</v>
      </c>
      <c r="J129" s="13" t="s">
        <v>2332</v>
      </c>
      <c r="K129" s="172"/>
      <c r="L129" s="172"/>
      <c r="AU129" s="82" t="s">
        <v>1790</v>
      </c>
      <c r="AV129" s="82" t="s">
        <v>1790</v>
      </c>
      <c r="BG129" s="83" t="s">
        <v>1790</v>
      </c>
    </row>
    <row r="130" spans="1:82" x14ac:dyDescent="0.2">
      <c r="A130" s="176" t="str">
        <f t="shared" si="1"/>
        <v>BridgePier</v>
      </c>
      <c r="B130" s="11" t="s">
        <v>2337</v>
      </c>
      <c r="C130" s="173"/>
      <c r="D130" s="22" t="s">
        <v>2338</v>
      </c>
      <c r="E130" s="15" t="s">
        <v>2339</v>
      </c>
      <c r="F130" s="174"/>
      <c r="G130" s="174"/>
      <c r="H130" s="37">
        <v>100160</v>
      </c>
      <c r="I130" s="25" t="str">
        <f>CONCATENATE(Cover!$D$6,"fdd/view?i=",H130)</f>
        <v>https://www.dgiwg.org/FAD/fdd/view?i=100160</v>
      </c>
      <c r="J130" s="13" t="s">
        <v>2336</v>
      </c>
      <c r="K130" s="172"/>
      <c r="L130" s="172"/>
      <c r="AV130" s="82" t="s">
        <v>1790</v>
      </c>
    </row>
    <row r="131" spans="1:82" x14ac:dyDescent="0.2">
      <c r="A131" s="176" t="str">
        <f t="shared" ref="A131:A194" si="2">HYPERLINK(I131,J131)</f>
        <v>BridgeSpan</v>
      </c>
      <c r="B131" s="11" t="s">
        <v>2341</v>
      </c>
      <c r="C131" s="173"/>
      <c r="D131" s="22" t="s">
        <v>2342</v>
      </c>
      <c r="E131" s="15" t="s">
        <v>2343</v>
      </c>
      <c r="F131" s="174"/>
      <c r="G131" s="174"/>
      <c r="H131" s="37">
        <v>100157</v>
      </c>
      <c r="I131" s="25" t="str">
        <f>CONCATENATE(Cover!$D$6,"fdd/view?i=",H131)</f>
        <v>https://www.dgiwg.org/FAD/fdd/view?i=100157</v>
      </c>
      <c r="J131" s="13" t="s">
        <v>2340</v>
      </c>
      <c r="K131" s="172"/>
      <c r="L131" s="172"/>
      <c r="AV131" s="82" t="s">
        <v>1790</v>
      </c>
      <c r="BG131" s="83" t="s">
        <v>1790</v>
      </c>
    </row>
    <row r="132" spans="1:82" ht="25.5" x14ac:dyDescent="0.2">
      <c r="A132" s="176" t="str">
        <f t="shared" si="2"/>
        <v>BridgeSuperstructure</v>
      </c>
      <c r="B132" s="11" t="s">
        <v>2345</v>
      </c>
      <c r="C132" s="173"/>
      <c r="D132" s="22" t="s">
        <v>2346</v>
      </c>
      <c r="E132" s="15" t="s">
        <v>2347</v>
      </c>
      <c r="F132" s="174"/>
      <c r="G132" s="174"/>
      <c r="H132" s="37">
        <v>100158</v>
      </c>
      <c r="I132" s="25" t="str">
        <f>CONCATENATE(Cover!$D$6,"fdd/view?i=",H132)</f>
        <v>https://www.dgiwg.org/FAD/fdd/view?i=100158</v>
      </c>
      <c r="J132" s="13" t="s">
        <v>2344</v>
      </c>
      <c r="K132" s="172"/>
      <c r="L132" s="172"/>
      <c r="AV132" s="82" t="s">
        <v>1790</v>
      </c>
    </row>
    <row r="133" spans="1:82" x14ac:dyDescent="0.2">
      <c r="A133" s="176" t="str">
        <f t="shared" si="2"/>
        <v>BridgeTower</v>
      </c>
      <c r="B133" s="11" t="s">
        <v>2349</v>
      </c>
      <c r="C133" s="173"/>
      <c r="D133" s="22" t="s">
        <v>2350</v>
      </c>
      <c r="E133" s="15" t="s">
        <v>2351</v>
      </c>
      <c r="F133" s="174"/>
      <c r="G133" s="174"/>
      <c r="H133" s="37">
        <v>100159</v>
      </c>
      <c r="I133" s="25" t="str">
        <f>CONCATENATE(Cover!$D$6,"fdd/view?i=",H133)</f>
        <v>https://www.dgiwg.org/FAD/fdd/view?i=100159</v>
      </c>
      <c r="J133" s="13" t="s">
        <v>2348</v>
      </c>
      <c r="K133" s="172"/>
      <c r="L133" s="172"/>
      <c r="AV133" s="82" t="s">
        <v>1790</v>
      </c>
    </row>
    <row r="134" spans="1:82" ht="51" x14ac:dyDescent="0.2">
      <c r="A134" s="176" t="str">
        <f t="shared" si="2"/>
        <v>Brush</v>
      </c>
      <c r="B134" s="11" t="s">
        <v>2353</v>
      </c>
      <c r="C134" s="173"/>
      <c r="D134" s="22" t="s">
        <v>2352</v>
      </c>
      <c r="E134" s="15" t="s">
        <v>2354</v>
      </c>
      <c r="F134" s="15" t="s">
        <v>2355</v>
      </c>
      <c r="G134" s="15" t="s">
        <v>2356</v>
      </c>
      <c r="H134" s="37">
        <v>110673</v>
      </c>
      <c r="I134" s="25" t="str">
        <f>CONCATENATE(Cover!$D$6,"fdd/view?i=",H134)</f>
        <v>https://www.dgiwg.org/FAD/fdd/view?i=110673</v>
      </c>
      <c r="J134" s="13" t="s">
        <v>2352</v>
      </c>
      <c r="K134" s="172"/>
      <c r="L134" s="172"/>
      <c r="BV134" s="83" t="s">
        <v>1790</v>
      </c>
    </row>
    <row r="135" spans="1:82" ht="38.25" x14ac:dyDescent="0.2">
      <c r="A135" s="176" t="str">
        <f t="shared" si="2"/>
        <v>Building</v>
      </c>
      <c r="B135" s="11" t="s">
        <v>2358</v>
      </c>
      <c r="C135" s="173"/>
      <c r="D135" s="22" t="s">
        <v>2357</v>
      </c>
      <c r="E135" s="15" t="s">
        <v>2359</v>
      </c>
      <c r="F135" s="15" t="s">
        <v>2360</v>
      </c>
      <c r="G135" s="174"/>
      <c r="H135" s="37">
        <v>111415</v>
      </c>
      <c r="I135" s="25" t="str">
        <f>CONCATENATE(Cover!$D$6,"fdd/view?i=",H135)</f>
        <v>https://www.dgiwg.org/FAD/fdd/view?i=111415</v>
      </c>
      <c r="J135" s="13" t="s">
        <v>2357</v>
      </c>
      <c r="K135" s="172"/>
      <c r="L135" s="172"/>
      <c r="AI135" s="87" t="s">
        <v>1790</v>
      </c>
    </row>
    <row r="136" spans="1:82" ht="25.5" x14ac:dyDescent="0.2">
      <c r="A136" s="176" t="str">
        <f t="shared" si="2"/>
        <v>BuildingOverhang</v>
      </c>
      <c r="B136" s="11" t="s">
        <v>2362</v>
      </c>
      <c r="C136" s="173"/>
      <c r="D136" s="22" t="s">
        <v>2363</v>
      </c>
      <c r="E136" s="15" t="s">
        <v>2364</v>
      </c>
      <c r="F136" s="174"/>
      <c r="G136" s="174"/>
      <c r="H136" s="37">
        <v>100081</v>
      </c>
      <c r="I136" s="25" t="str">
        <f>CONCATENATE(Cover!$D$6,"fdd/view?i=",H136)</f>
        <v>https://www.dgiwg.org/FAD/fdd/view?i=100081</v>
      </c>
      <c r="J136" s="13" t="s">
        <v>2361</v>
      </c>
      <c r="K136" s="172"/>
      <c r="L136" s="172"/>
      <c r="AI136" s="87" t="s">
        <v>1790</v>
      </c>
    </row>
    <row r="137" spans="1:82" ht="25.5" x14ac:dyDescent="0.2">
      <c r="A137" s="176" t="str">
        <f t="shared" si="2"/>
        <v>BuildingSuperstructure</v>
      </c>
      <c r="B137" s="11" t="s">
        <v>2366</v>
      </c>
      <c r="C137" s="173"/>
      <c r="D137" s="22" t="s">
        <v>2367</v>
      </c>
      <c r="E137" s="15" t="s">
        <v>2368</v>
      </c>
      <c r="F137" s="174"/>
      <c r="G137" s="174"/>
      <c r="H137" s="37">
        <v>100083</v>
      </c>
      <c r="I137" s="25" t="str">
        <f>CONCATENATE(Cover!$D$6,"fdd/view?i=",H137)</f>
        <v>https://www.dgiwg.org/FAD/fdd/view?i=100083</v>
      </c>
      <c r="J137" s="13" t="s">
        <v>2365</v>
      </c>
      <c r="K137" s="172"/>
      <c r="L137" s="172"/>
      <c r="AI137" s="87" t="s">
        <v>1790</v>
      </c>
    </row>
    <row r="138" spans="1:82" x14ac:dyDescent="0.2">
      <c r="A138" s="176" t="str">
        <f t="shared" si="2"/>
        <v>BuiltUpArea</v>
      </c>
      <c r="B138" s="11" t="s">
        <v>2370</v>
      </c>
      <c r="C138" s="173"/>
      <c r="D138" s="22" t="s">
        <v>2371</v>
      </c>
      <c r="E138" s="15" t="s">
        <v>2372</v>
      </c>
      <c r="F138" s="174"/>
      <c r="G138" s="174"/>
      <c r="H138" s="37">
        <v>100085</v>
      </c>
      <c r="I138" s="25" t="str">
        <f>CONCATENATE(Cover!$D$6,"fdd/view?i=",H138)</f>
        <v>https://www.dgiwg.org/FAD/fdd/view?i=100085</v>
      </c>
      <c r="J138" s="13" t="s">
        <v>2369</v>
      </c>
      <c r="K138" s="172"/>
      <c r="L138" s="172"/>
      <c r="AI138" s="87" t="s">
        <v>1790</v>
      </c>
      <c r="AL138" s="83" t="s">
        <v>1790</v>
      </c>
    </row>
    <row r="139" spans="1:82" ht="25.5" x14ac:dyDescent="0.2">
      <c r="A139" s="176" t="str">
        <f t="shared" si="2"/>
        <v>Buoy</v>
      </c>
      <c r="B139" s="11" t="s">
        <v>2374</v>
      </c>
      <c r="C139" s="173"/>
      <c r="D139" s="22" t="s">
        <v>2373</v>
      </c>
      <c r="E139" s="15" t="s">
        <v>2375</v>
      </c>
      <c r="F139" s="174"/>
      <c r="G139" s="174"/>
      <c r="H139" s="37">
        <v>100262</v>
      </c>
      <c r="I139" s="25" t="str">
        <f>CONCATENATE(Cover!$D$6,"fdd/view?i=",H139)</f>
        <v>https://www.dgiwg.org/FAD/fdd/view?i=100262</v>
      </c>
      <c r="J139" s="13" t="s">
        <v>2373</v>
      </c>
      <c r="K139" s="172"/>
      <c r="L139" s="172"/>
      <c r="AS139" s="82" t="s">
        <v>1790</v>
      </c>
      <c r="BF139" s="83" t="s">
        <v>1790</v>
      </c>
    </row>
    <row r="140" spans="1:82" ht="38.25" x14ac:dyDescent="0.2">
      <c r="A140" s="176" t="str">
        <f t="shared" si="2"/>
        <v>BuriedUtility</v>
      </c>
      <c r="B140" s="11" t="s">
        <v>2377</v>
      </c>
      <c r="C140" s="173"/>
      <c r="D140" s="22" t="s">
        <v>2378</v>
      </c>
      <c r="E140" s="15" t="s">
        <v>2379</v>
      </c>
      <c r="F140" s="15" t="s">
        <v>2380</v>
      </c>
      <c r="G140" s="174"/>
      <c r="H140" s="37">
        <v>114372</v>
      </c>
      <c r="I140" s="25" t="str">
        <f>CONCATENATE(Cover!$D$6,"fdd/view?i=",H140)</f>
        <v>https://www.dgiwg.org/FAD/fdd/view?i=114372</v>
      </c>
      <c r="J140" s="13" t="s">
        <v>2376</v>
      </c>
      <c r="K140" s="172"/>
      <c r="L140" s="172"/>
      <c r="AB140" s="82" t="s">
        <v>1790</v>
      </c>
      <c r="AD140" s="82" t="s">
        <v>1790</v>
      </c>
      <c r="AE140" s="82" t="s">
        <v>1790</v>
      </c>
      <c r="AF140" s="82" t="s">
        <v>1790</v>
      </c>
      <c r="AG140" s="82" t="s">
        <v>1790</v>
      </c>
      <c r="AH140" s="85" t="s">
        <v>1790</v>
      </c>
      <c r="AY140" s="85" t="s">
        <v>1790</v>
      </c>
    </row>
    <row r="141" spans="1:82" ht="63.75" x14ac:dyDescent="0.2">
      <c r="A141" s="176" t="str">
        <f t="shared" si="2"/>
        <v>Cable</v>
      </c>
      <c r="B141" s="11" t="s">
        <v>2382</v>
      </c>
      <c r="C141" s="173"/>
      <c r="D141" s="22" t="s">
        <v>2381</v>
      </c>
      <c r="E141" s="15" t="s">
        <v>2383</v>
      </c>
      <c r="F141" s="15" t="s">
        <v>2384</v>
      </c>
      <c r="G141" s="174"/>
      <c r="H141" s="37">
        <v>102875</v>
      </c>
      <c r="I141" s="25" t="str">
        <f>CONCATENATE(Cover!$D$6,"fdd/view?i=",H141)</f>
        <v>https://www.dgiwg.org/FAD/fdd/view?i=102875</v>
      </c>
      <c r="J141" s="13" t="s">
        <v>2381</v>
      </c>
      <c r="K141" s="172"/>
      <c r="L141" s="172"/>
      <c r="AE141" s="82" t="s">
        <v>1790</v>
      </c>
      <c r="AF141" s="82" t="s">
        <v>1790</v>
      </c>
      <c r="BG141" s="83" t="s">
        <v>1790</v>
      </c>
    </row>
    <row r="142" spans="1:82" ht="38.25" x14ac:dyDescent="0.2">
      <c r="A142" s="176" t="str">
        <f t="shared" si="2"/>
        <v>Cableway</v>
      </c>
      <c r="B142" s="11" t="s">
        <v>2386</v>
      </c>
      <c r="C142" s="173"/>
      <c r="D142" s="22" t="s">
        <v>2385</v>
      </c>
      <c r="E142" s="15" t="s">
        <v>2387</v>
      </c>
      <c r="F142" s="15" t="s">
        <v>2388</v>
      </c>
      <c r="G142" s="15" t="s">
        <v>2389</v>
      </c>
      <c r="H142" s="37">
        <v>100198</v>
      </c>
      <c r="I142" s="25" t="str">
        <f>CONCATENATE(Cover!$D$6,"fdd/view?i=",H142)</f>
        <v>https://www.dgiwg.org/FAD/fdd/view?i=100198</v>
      </c>
      <c r="J142" s="13" t="s">
        <v>2385</v>
      </c>
      <c r="K142" s="172"/>
      <c r="L142" s="172"/>
      <c r="AF142" s="82" t="s">
        <v>1790</v>
      </c>
      <c r="AR142" s="82" t="s">
        <v>1790</v>
      </c>
    </row>
    <row r="143" spans="1:82" x14ac:dyDescent="0.2">
      <c r="A143" s="176" t="str">
        <f t="shared" si="2"/>
        <v>CadastralControlPoint</v>
      </c>
      <c r="B143" s="11" t="s">
        <v>2391</v>
      </c>
      <c r="C143" s="173"/>
      <c r="D143" s="22" t="s">
        <v>2392</v>
      </c>
      <c r="E143" s="15" t="s">
        <v>2393</v>
      </c>
      <c r="F143" s="174"/>
      <c r="G143" s="174"/>
      <c r="H143" s="37">
        <v>100548</v>
      </c>
      <c r="I143" s="25" t="str">
        <f>CONCATENATE(Cover!$D$6,"fdd/view?i=",H143)</f>
        <v>https://www.dgiwg.org/FAD/fdd/view?i=100548</v>
      </c>
      <c r="J143" s="13" t="s">
        <v>2390</v>
      </c>
      <c r="K143" s="172"/>
      <c r="L143" s="172"/>
      <c r="CD143" s="85" t="s">
        <v>1790</v>
      </c>
    </row>
    <row r="144" spans="1:82" x14ac:dyDescent="0.2">
      <c r="A144" s="176" t="str">
        <f t="shared" si="2"/>
        <v>Cairn</v>
      </c>
      <c r="B144" s="11" t="s">
        <v>2395</v>
      </c>
      <c r="C144" s="173"/>
      <c r="D144" s="22" t="s">
        <v>2394</v>
      </c>
      <c r="E144" s="15" t="s">
        <v>2396</v>
      </c>
      <c r="F144" s="174"/>
      <c r="G144" s="174"/>
      <c r="H144" s="37">
        <v>100087</v>
      </c>
      <c r="I144" s="25" t="str">
        <f>CONCATENATE(Cover!$D$6,"fdd/view?i=",H144)</f>
        <v>https://www.dgiwg.org/FAD/fdd/view?i=100087</v>
      </c>
      <c r="J144" s="13" t="s">
        <v>2394</v>
      </c>
      <c r="K144" s="172"/>
      <c r="L144" s="172"/>
      <c r="CD144" s="85" t="s">
        <v>1790</v>
      </c>
    </row>
    <row r="145" spans="1:107" ht="25.5" x14ac:dyDescent="0.2">
      <c r="A145" s="176" t="str">
        <f t="shared" si="2"/>
        <v>CallingInPoint</v>
      </c>
      <c r="B145" s="11" t="s">
        <v>2398</v>
      </c>
      <c r="C145" s="173"/>
      <c r="D145" s="22" t="s">
        <v>2399</v>
      </c>
      <c r="E145" s="15" t="s">
        <v>2400</v>
      </c>
      <c r="F145" s="15" t="s">
        <v>2401</v>
      </c>
      <c r="G145" s="174"/>
      <c r="H145" s="37">
        <v>100231</v>
      </c>
      <c r="I145" s="25" t="str">
        <f>CONCATENATE(Cover!$D$6,"fdd/view?i=",H145)</f>
        <v>https://www.dgiwg.org/FAD/fdd/view?i=100231</v>
      </c>
      <c r="J145" s="13" t="s">
        <v>2397</v>
      </c>
      <c r="K145" s="172"/>
      <c r="L145" s="172"/>
      <c r="AS145" s="82" t="s">
        <v>1790</v>
      </c>
      <c r="BA145" s="83" t="s">
        <v>1790</v>
      </c>
      <c r="BF145" s="83" t="s">
        <v>1790</v>
      </c>
    </row>
    <row r="146" spans="1:107" ht="38.25" x14ac:dyDescent="0.2">
      <c r="A146" s="176" t="str">
        <f t="shared" si="2"/>
        <v>CalvaryCross</v>
      </c>
      <c r="B146" s="11" t="s">
        <v>2403</v>
      </c>
      <c r="C146" s="173"/>
      <c r="D146" s="22" t="s">
        <v>2404</v>
      </c>
      <c r="E146" s="15" t="s">
        <v>2405</v>
      </c>
      <c r="F146" s="174"/>
      <c r="G146" s="174"/>
      <c r="H146" s="37">
        <v>100104</v>
      </c>
      <c r="I146" s="25" t="str">
        <f>CONCATENATE(Cover!$D$6,"fdd/view?i=",H146)</f>
        <v>https://www.dgiwg.org/FAD/fdd/view?i=100104</v>
      </c>
      <c r="J146" s="13" t="s">
        <v>2402</v>
      </c>
      <c r="K146" s="172"/>
      <c r="L146" s="172"/>
      <c r="AJ146" s="83" t="s">
        <v>1790</v>
      </c>
    </row>
    <row r="147" spans="1:107" ht="25.5" x14ac:dyDescent="0.2">
      <c r="A147" s="176" t="str">
        <f t="shared" si="2"/>
        <v>Camp</v>
      </c>
      <c r="B147" s="11" t="s">
        <v>2407</v>
      </c>
      <c r="C147" s="173"/>
      <c r="D147" s="22" t="s">
        <v>2406</v>
      </c>
      <c r="E147" s="15" t="s">
        <v>2408</v>
      </c>
      <c r="F147" s="174"/>
      <c r="G147" s="174"/>
      <c r="H147" s="37">
        <v>100044</v>
      </c>
      <c r="I147" s="25" t="str">
        <f>CONCATENATE(Cover!$D$6,"fdd/view?i=",H147)</f>
        <v>https://www.dgiwg.org/FAD/fdd/view?i=100044</v>
      </c>
      <c r="J147" s="13" t="s">
        <v>2406</v>
      </c>
      <c r="K147" s="172"/>
      <c r="L147" s="172"/>
      <c r="AI147" s="87" t="s">
        <v>1790</v>
      </c>
      <c r="AL147" s="83" t="s">
        <v>1790</v>
      </c>
      <c r="CJ147" s="81" t="s">
        <v>1790</v>
      </c>
    </row>
    <row r="148" spans="1:107" x14ac:dyDescent="0.2">
      <c r="A148" s="176" t="str">
        <f t="shared" si="2"/>
        <v>CampSite</v>
      </c>
      <c r="B148" s="11" t="s">
        <v>2410</v>
      </c>
      <c r="C148" s="173"/>
      <c r="D148" s="22" t="s">
        <v>2411</v>
      </c>
      <c r="E148" s="15" t="s">
        <v>2412</v>
      </c>
      <c r="F148" s="174"/>
      <c r="G148" s="15" t="s">
        <v>2413</v>
      </c>
      <c r="H148" s="37">
        <v>100055</v>
      </c>
      <c r="I148" s="25" t="str">
        <f>CONCATENATE(Cover!$D$6,"fdd/view?i=",H148)</f>
        <v>https://www.dgiwg.org/FAD/fdd/view?i=100055</v>
      </c>
      <c r="J148" s="13" t="s">
        <v>2409</v>
      </c>
      <c r="K148" s="172"/>
      <c r="L148" s="172"/>
      <c r="AL148" s="83" t="s">
        <v>1790</v>
      </c>
    </row>
    <row r="149" spans="1:107" ht="25.5" x14ac:dyDescent="0.2">
      <c r="A149" s="176" t="str">
        <f t="shared" si="2"/>
        <v>Canal</v>
      </c>
      <c r="B149" s="11" t="s">
        <v>2415</v>
      </c>
      <c r="C149" s="173"/>
      <c r="D149" s="22" t="s">
        <v>2414</v>
      </c>
      <c r="E149" s="15" t="s">
        <v>2416</v>
      </c>
      <c r="F149" s="174"/>
      <c r="G149" s="174"/>
      <c r="H149" s="37">
        <v>100333</v>
      </c>
      <c r="I149" s="25" t="str">
        <f>CONCATENATE(Cover!$D$6,"fdd/view?i=",H149)</f>
        <v>https://www.dgiwg.org/FAD/fdd/view?i=100333</v>
      </c>
      <c r="J149" s="13" t="s">
        <v>2414</v>
      </c>
      <c r="K149" s="172"/>
      <c r="L149" s="172"/>
      <c r="BJ149" s="83" t="s">
        <v>1790</v>
      </c>
    </row>
    <row r="150" spans="1:107" x14ac:dyDescent="0.2">
      <c r="A150" s="176" t="str">
        <f t="shared" si="2"/>
        <v>Cane</v>
      </c>
      <c r="B150" s="11" t="s">
        <v>2418</v>
      </c>
      <c r="C150" s="173"/>
      <c r="D150" s="22" t="s">
        <v>2417</v>
      </c>
      <c r="E150" s="15" t="s">
        <v>2419</v>
      </c>
      <c r="F150" s="15" t="s">
        <v>2420</v>
      </c>
      <c r="G150" s="174"/>
      <c r="H150" s="37">
        <v>100443</v>
      </c>
      <c r="I150" s="25" t="str">
        <f>CONCATENATE(Cover!$D$6,"fdd/view?i=",H150)</f>
        <v>https://www.dgiwg.org/FAD/fdd/view?i=100443</v>
      </c>
      <c r="J150" s="13" t="s">
        <v>2417</v>
      </c>
      <c r="K150" s="172"/>
      <c r="L150" s="172"/>
      <c r="BU150" s="87" t="s">
        <v>1790</v>
      </c>
    </row>
    <row r="151" spans="1:107" ht="51" x14ac:dyDescent="0.2">
      <c r="A151" s="176" t="str">
        <f t="shared" si="2"/>
        <v>CantonmentArea</v>
      </c>
      <c r="B151" s="11" t="s">
        <v>2422</v>
      </c>
      <c r="C151" s="173"/>
      <c r="D151" s="22" t="s">
        <v>2423</v>
      </c>
      <c r="E151" s="15" t="s">
        <v>2424</v>
      </c>
      <c r="F151" s="15" t="s">
        <v>2425</v>
      </c>
      <c r="G151" s="174"/>
      <c r="H151" s="37">
        <v>119396</v>
      </c>
      <c r="I151" s="25" t="str">
        <f>CONCATENATE(Cover!$D$6,"fdd/view?i=",H151)</f>
        <v>https://www.dgiwg.org/FAD/fdd/view?i=119396</v>
      </c>
      <c r="J151" s="13" t="s">
        <v>2421</v>
      </c>
      <c r="K151" s="172"/>
      <c r="L151" s="172"/>
      <c r="AJ151" s="83" t="s">
        <v>1790</v>
      </c>
      <c r="CJ151" s="81" t="s">
        <v>1790</v>
      </c>
    </row>
    <row r="152" spans="1:107" ht="63.75" x14ac:dyDescent="0.2">
      <c r="A152" s="176" t="str">
        <f t="shared" si="2"/>
        <v>CaravanPark</v>
      </c>
      <c r="B152" s="11" t="s">
        <v>2427</v>
      </c>
      <c r="C152" s="173"/>
      <c r="D152" s="22" t="s">
        <v>2428</v>
      </c>
      <c r="E152" s="15" t="s">
        <v>2429</v>
      </c>
      <c r="F152" s="15" t="s">
        <v>2430</v>
      </c>
      <c r="G152" s="15" t="s">
        <v>2431</v>
      </c>
      <c r="H152" s="37">
        <v>100043</v>
      </c>
      <c r="I152" s="25" t="str">
        <f>CONCATENATE(Cover!$D$6,"fdd/view?i=",H152)</f>
        <v>https://www.dgiwg.org/FAD/fdd/view?i=100043</v>
      </c>
      <c r="J152" s="13" t="s">
        <v>2426</v>
      </c>
      <c r="K152" s="172"/>
      <c r="L152" s="172"/>
      <c r="AI152" s="87" t="s">
        <v>1790</v>
      </c>
      <c r="AL152" s="83" t="s">
        <v>1790</v>
      </c>
    </row>
    <row r="153" spans="1:107" ht="25.5" x14ac:dyDescent="0.2">
      <c r="A153" s="176" t="str">
        <f t="shared" si="2"/>
        <v>CartTrack</v>
      </c>
      <c r="B153" s="11" t="s">
        <v>2433</v>
      </c>
      <c r="C153" s="173"/>
      <c r="D153" s="22" t="s">
        <v>2434</v>
      </c>
      <c r="E153" s="15" t="s">
        <v>2435</v>
      </c>
      <c r="F153" s="15" t="s">
        <v>2436</v>
      </c>
      <c r="G153" s="174"/>
      <c r="H153" s="37">
        <v>100141</v>
      </c>
      <c r="I153" s="25" t="str">
        <f>CONCATENATE(Cover!$D$6,"fdd/view?i=",H153)</f>
        <v>https://www.dgiwg.org/FAD/fdd/view?i=100141</v>
      </c>
      <c r="J153" s="13" t="s">
        <v>2432</v>
      </c>
      <c r="K153" s="172"/>
      <c r="L153" s="172"/>
      <c r="AQ153" s="82" t="s">
        <v>1790</v>
      </c>
    </row>
    <row r="154" spans="1:107" ht="114.75" x14ac:dyDescent="0.2">
      <c r="A154" s="176" t="str">
        <f t="shared" si="2"/>
        <v>Castle</v>
      </c>
      <c r="B154" s="11" t="s">
        <v>2438</v>
      </c>
      <c r="C154" s="173"/>
      <c r="D154" s="22" t="s">
        <v>2437</v>
      </c>
      <c r="E154" s="15" t="s">
        <v>2439</v>
      </c>
      <c r="F154" s="15" t="s">
        <v>2440</v>
      </c>
      <c r="G154" s="174"/>
      <c r="H154" s="37">
        <v>111424</v>
      </c>
      <c r="I154" s="25" t="str">
        <f>CONCATENATE(Cover!$D$6,"fdd/view?i=",H154)</f>
        <v>https://www.dgiwg.org/FAD/fdd/view?i=111424</v>
      </c>
      <c r="J154" s="13" t="s">
        <v>2437</v>
      </c>
      <c r="K154" s="172"/>
      <c r="L154" s="172"/>
      <c r="AI154" s="87" t="s">
        <v>1790</v>
      </c>
      <c r="CJ154" s="81" t="s">
        <v>1790</v>
      </c>
    </row>
    <row r="155" spans="1:107" ht="102" x14ac:dyDescent="0.2">
      <c r="A155" s="176" t="str">
        <f t="shared" si="2"/>
        <v>CastleComplex</v>
      </c>
      <c r="B155" s="11" t="s">
        <v>2442</v>
      </c>
      <c r="C155" s="173"/>
      <c r="D155" s="22" t="s">
        <v>2443</v>
      </c>
      <c r="E155" s="15" t="s">
        <v>2444</v>
      </c>
      <c r="F155" s="15" t="s">
        <v>2445</v>
      </c>
      <c r="G155" s="174"/>
      <c r="H155" s="37">
        <v>117990</v>
      </c>
      <c r="I155" s="25" t="str">
        <f>CONCATENATE(Cover!$D$6,"fdd/view?i=",H155)</f>
        <v>https://www.dgiwg.org/FAD/fdd/view?i=117990</v>
      </c>
      <c r="J155" s="13" t="s">
        <v>2441</v>
      </c>
      <c r="K155" s="172"/>
      <c r="L155" s="172"/>
      <c r="AJ155" s="83" t="s">
        <v>1790</v>
      </c>
      <c r="AL155" s="83" t="s">
        <v>1790</v>
      </c>
      <c r="AO155" s="89" t="s">
        <v>1790</v>
      </c>
      <c r="CJ155" s="81" t="s">
        <v>1790</v>
      </c>
    </row>
    <row r="156" spans="1:107" ht="25.5" x14ac:dyDescent="0.2">
      <c r="A156" s="176" t="str">
        <f t="shared" si="2"/>
        <v>CatalyticCracker</v>
      </c>
      <c r="B156" s="11" t="s">
        <v>2447</v>
      </c>
      <c r="C156" s="173"/>
      <c r="D156" s="22" t="s">
        <v>2448</v>
      </c>
      <c r="E156" s="15" t="s">
        <v>2449</v>
      </c>
      <c r="F156" s="174"/>
      <c r="G156" s="174"/>
      <c r="H156" s="37">
        <v>100017</v>
      </c>
      <c r="I156" s="25" t="str">
        <f>CONCATENATE(Cover!$D$6,"fdd/view?i=",H156)</f>
        <v>https://www.dgiwg.org/FAD/fdd/view?i=100017</v>
      </c>
      <c r="J156" s="13" t="s">
        <v>2446</v>
      </c>
      <c r="K156" s="172"/>
      <c r="L156" s="172"/>
      <c r="AB156" s="82" t="s">
        <v>1790</v>
      </c>
      <c r="AF156" s="82" t="s">
        <v>1790</v>
      </c>
    </row>
    <row r="157" spans="1:107" ht="25.5" x14ac:dyDescent="0.2">
      <c r="A157" s="176" t="str">
        <f t="shared" si="2"/>
        <v>CattleDippingTank</v>
      </c>
      <c r="B157" s="11" t="s">
        <v>2451</v>
      </c>
      <c r="C157" s="173"/>
      <c r="D157" s="22" t="s">
        <v>2452</v>
      </c>
      <c r="E157" s="15" t="s">
        <v>2453</v>
      </c>
      <c r="F157" s="174"/>
      <c r="G157" s="15" t="s">
        <v>2454</v>
      </c>
      <c r="H157" s="37">
        <v>111406</v>
      </c>
      <c r="I157" s="25" t="str">
        <f>CONCATENATE(Cover!$D$6,"fdd/view?i=",H157)</f>
        <v>https://www.dgiwg.org/FAD/fdd/view?i=111406</v>
      </c>
      <c r="J157" s="13" t="s">
        <v>2450</v>
      </c>
      <c r="K157" s="172"/>
      <c r="L157" s="172"/>
      <c r="AC157" s="82" t="s">
        <v>1790</v>
      </c>
      <c r="AF157" s="82" t="s">
        <v>1790</v>
      </c>
    </row>
    <row r="158" spans="1:107" ht="102" x14ac:dyDescent="0.2">
      <c r="A158" s="176" t="str">
        <f t="shared" si="2"/>
        <v>CausewayStructure</v>
      </c>
      <c r="B158" s="11" t="s">
        <v>2456</v>
      </c>
      <c r="C158" s="173"/>
      <c r="D158" s="22" t="s">
        <v>2457</v>
      </c>
      <c r="E158" s="15" t="s">
        <v>2458</v>
      </c>
      <c r="F158" s="15" t="s">
        <v>2459</v>
      </c>
      <c r="G158" s="174"/>
      <c r="H158" s="37">
        <v>117755</v>
      </c>
      <c r="I158" s="25" t="str">
        <f>CONCATENATE(Cover!$D$6,"fdd/view?i=",H158)</f>
        <v>https://www.dgiwg.org/FAD/fdd/view?i=117755</v>
      </c>
      <c r="J158" s="13" t="s">
        <v>2455</v>
      </c>
      <c r="K158" s="172"/>
      <c r="L158" s="172"/>
      <c r="AW158" s="82" t="s">
        <v>1790</v>
      </c>
    </row>
    <row r="159" spans="1:107" ht="38.25" x14ac:dyDescent="0.2">
      <c r="A159" s="176" t="str">
        <f t="shared" si="2"/>
        <v>CaveChamber</v>
      </c>
      <c r="B159" s="11" t="s">
        <v>2461</v>
      </c>
      <c r="C159" s="173"/>
      <c r="D159" s="22" t="s">
        <v>2462</v>
      </c>
      <c r="E159" s="15" t="s">
        <v>2463</v>
      </c>
      <c r="F159" s="15" t="s">
        <v>2464</v>
      </c>
      <c r="G159" s="174"/>
      <c r="H159" s="37">
        <v>118295</v>
      </c>
      <c r="I159" s="25" t="str">
        <f>CONCATENATE(Cover!$D$6,"fdd/view?i=",H159)</f>
        <v>https://www.dgiwg.org/FAD/fdd/view?i=118295</v>
      </c>
      <c r="J159" s="13" t="s">
        <v>2460</v>
      </c>
      <c r="K159" s="172"/>
      <c r="L159" s="172"/>
      <c r="BM159" s="82" t="s">
        <v>1790</v>
      </c>
      <c r="BN159" s="82" t="s">
        <v>1790</v>
      </c>
    </row>
    <row r="160" spans="1:107" ht="25.5" x14ac:dyDescent="0.2">
      <c r="A160" s="176" t="str">
        <f t="shared" si="2"/>
        <v>CaveInfo</v>
      </c>
      <c r="B160" s="11" t="s">
        <v>2466</v>
      </c>
      <c r="C160" s="173"/>
      <c r="D160" s="22" t="s">
        <v>2467</v>
      </c>
      <c r="E160" s="15" t="s">
        <v>2468</v>
      </c>
      <c r="F160" s="174"/>
      <c r="G160" s="174"/>
      <c r="H160" s="37">
        <v>119169</v>
      </c>
      <c r="I160" s="25" t="str">
        <f>CONCATENATE(Cover!$D$6,"fdd/view?i=",H160)</f>
        <v>https://www.dgiwg.org/FAD/fdd/view?i=119169</v>
      </c>
      <c r="J160" s="13" t="s">
        <v>2465</v>
      </c>
      <c r="K160" s="172"/>
      <c r="L160" s="172"/>
      <c r="BM160" s="82" t="s">
        <v>1790</v>
      </c>
      <c r="BN160" s="82" t="s">
        <v>1790</v>
      </c>
      <c r="CS160" s="165" t="s">
        <v>1790</v>
      </c>
      <c r="CT160" s="166" t="s">
        <v>1790</v>
      </c>
      <c r="DC160" s="87" t="s">
        <v>1790</v>
      </c>
    </row>
    <row r="161" spans="1:93" ht="38.25" x14ac:dyDescent="0.2">
      <c r="A161" s="176" t="str">
        <f t="shared" si="2"/>
        <v>CaveMouth</v>
      </c>
      <c r="B161" s="11" t="s">
        <v>2470</v>
      </c>
      <c r="C161" s="173"/>
      <c r="D161" s="22" t="s">
        <v>2471</v>
      </c>
      <c r="E161" s="15" t="s">
        <v>2472</v>
      </c>
      <c r="F161" s="15" t="s">
        <v>2473</v>
      </c>
      <c r="G161" s="174"/>
      <c r="H161" s="37">
        <v>118364</v>
      </c>
      <c r="I161" s="25" t="str">
        <f>CONCATENATE(Cover!$D$6,"fdd/view?i=",H161)</f>
        <v>https://www.dgiwg.org/FAD/fdd/view?i=118364</v>
      </c>
      <c r="J161" s="13" t="s">
        <v>2469</v>
      </c>
      <c r="K161" s="172"/>
      <c r="L161" s="172"/>
      <c r="BM161" s="82" t="s">
        <v>1790</v>
      </c>
      <c r="BN161" s="82" t="s">
        <v>1790</v>
      </c>
    </row>
    <row r="162" spans="1:93" ht="25.5" x14ac:dyDescent="0.2">
      <c r="A162" s="176" t="str">
        <f t="shared" si="2"/>
        <v>Cay</v>
      </c>
      <c r="B162" s="11" t="s">
        <v>2475</v>
      </c>
      <c r="C162" s="173"/>
      <c r="D162" s="22" t="s">
        <v>2474</v>
      </c>
      <c r="E162" s="15" t="s">
        <v>2476</v>
      </c>
      <c r="F162" s="15" t="s">
        <v>2477</v>
      </c>
      <c r="G162" s="174"/>
      <c r="H162" s="37">
        <v>100303</v>
      </c>
      <c r="I162" s="25" t="str">
        <f>CONCATENATE(Cover!$D$6,"fdd/view?i=",H162)</f>
        <v>https://www.dgiwg.org/FAD/fdd/view?i=100303</v>
      </c>
      <c r="J162" s="13" t="s">
        <v>2474</v>
      </c>
      <c r="K162" s="172"/>
      <c r="L162" s="172"/>
      <c r="BG162" s="83" t="s">
        <v>1790</v>
      </c>
    </row>
    <row r="163" spans="1:93" x14ac:dyDescent="0.2">
      <c r="A163" s="176" t="str">
        <f t="shared" si="2"/>
        <v>CeaseFireLine</v>
      </c>
      <c r="B163" s="11" t="s">
        <v>2479</v>
      </c>
      <c r="C163" s="173"/>
      <c r="D163" s="22" t="s">
        <v>2480</v>
      </c>
      <c r="E163" s="15" t="s">
        <v>2481</v>
      </c>
      <c r="F163" s="174"/>
      <c r="G163" s="174"/>
      <c r="H163" s="37">
        <v>100459</v>
      </c>
      <c r="I163" s="25" t="str">
        <f>CONCATENATE(Cover!$D$6,"fdd/view?i=",H163)</f>
        <v>https://www.dgiwg.org/FAD/fdd/view?i=100459</v>
      </c>
      <c r="J163" s="13" t="s">
        <v>2478</v>
      </c>
      <c r="K163" s="172"/>
      <c r="L163" s="172"/>
      <c r="AM163" s="83" t="s">
        <v>1790</v>
      </c>
      <c r="CC163" s="81" t="s">
        <v>1790</v>
      </c>
      <c r="CK163" s="82" t="s">
        <v>1790</v>
      </c>
    </row>
    <row r="164" spans="1:93" x14ac:dyDescent="0.2">
      <c r="A164" s="176" t="str">
        <f t="shared" si="2"/>
        <v>Cemetery</v>
      </c>
      <c r="B164" s="11" t="s">
        <v>2483</v>
      </c>
      <c r="C164" s="173"/>
      <c r="D164" s="22" t="s">
        <v>2482</v>
      </c>
      <c r="E164" s="15" t="s">
        <v>2484</v>
      </c>
      <c r="F164" s="174"/>
      <c r="G164" s="15" t="s">
        <v>2485</v>
      </c>
      <c r="H164" s="37">
        <v>100088</v>
      </c>
      <c r="I164" s="25" t="str">
        <f>CONCATENATE(Cover!$D$6,"fdd/view?i=",H164)</f>
        <v>https://www.dgiwg.org/FAD/fdd/view?i=100088</v>
      </c>
      <c r="J164" s="13" t="s">
        <v>2482</v>
      </c>
      <c r="K164" s="172"/>
      <c r="L164" s="172"/>
      <c r="AJ164" s="83" t="s">
        <v>1790</v>
      </c>
    </row>
    <row r="165" spans="1:93" ht="38.25" x14ac:dyDescent="0.2">
      <c r="A165" s="176" t="str">
        <f t="shared" si="2"/>
        <v>Channel</v>
      </c>
      <c r="B165" s="11" t="s">
        <v>2487</v>
      </c>
      <c r="C165" s="173"/>
      <c r="D165" s="22" t="s">
        <v>2486</v>
      </c>
      <c r="E165" s="15" t="s">
        <v>2488</v>
      </c>
      <c r="F165" s="15" t="s">
        <v>2489</v>
      </c>
      <c r="G165" s="174"/>
      <c r="H165" s="37">
        <v>100362</v>
      </c>
      <c r="I165" s="25" t="str">
        <f>CONCATENATE(Cover!$D$6,"fdd/view?i=",H165)</f>
        <v>https://www.dgiwg.org/FAD/fdd/view?i=100362</v>
      </c>
      <c r="J165" s="13" t="s">
        <v>2486</v>
      </c>
      <c r="K165" s="172"/>
      <c r="L165" s="172"/>
      <c r="AS165" s="82" t="s">
        <v>1790</v>
      </c>
      <c r="BF165" s="83" t="s">
        <v>1790</v>
      </c>
    </row>
    <row r="166" spans="1:93" ht="25.5" x14ac:dyDescent="0.2">
      <c r="A166" s="176" t="str">
        <f t="shared" si="2"/>
        <v>Checkpoint</v>
      </c>
      <c r="B166" s="11" t="s">
        <v>2490</v>
      </c>
      <c r="C166" s="173"/>
      <c r="D166" s="22" t="s">
        <v>1940</v>
      </c>
      <c r="E166" s="15" t="s">
        <v>2491</v>
      </c>
      <c r="F166" s="174"/>
      <c r="G166" s="174"/>
      <c r="H166" s="37">
        <v>100042</v>
      </c>
      <c r="I166" s="25" t="str">
        <f>CONCATENATE(Cover!$D$6,"fdd/view?i=",H166)</f>
        <v>https://www.dgiwg.org/FAD/fdd/view?i=100042</v>
      </c>
      <c r="J166" s="13" t="s">
        <v>1940</v>
      </c>
      <c r="K166" s="172"/>
      <c r="L166" s="172"/>
      <c r="AU166" s="82" t="s">
        <v>1790</v>
      </c>
      <c r="CJ166" s="81" t="s">
        <v>1790</v>
      </c>
    </row>
    <row r="167" spans="1:93" ht="51" x14ac:dyDescent="0.2">
      <c r="A167" s="176" t="str">
        <f t="shared" si="2"/>
        <v>ChokePoint</v>
      </c>
      <c r="B167" s="11" t="s">
        <v>2493</v>
      </c>
      <c r="C167" s="173"/>
      <c r="D167" s="22" t="s">
        <v>2494</v>
      </c>
      <c r="E167" s="15" t="s">
        <v>2495</v>
      </c>
      <c r="F167" s="174"/>
      <c r="G167" s="174"/>
      <c r="H167" s="37">
        <v>118121</v>
      </c>
      <c r="I167" s="25" t="str">
        <f>CONCATENATE(Cover!$D$6,"fdd/view?i=",H167)</f>
        <v>https://www.dgiwg.org/FAD/fdd/view?i=118121</v>
      </c>
      <c r="J167" s="13" t="s">
        <v>2492</v>
      </c>
      <c r="K167" s="172"/>
      <c r="L167" s="172"/>
      <c r="AP167" s="81" t="s">
        <v>1790</v>
      </c>
      <c r="AQ167" s="82" t="s">
        <v>1790</v>
      </c>
      <c r="AS167" s="82" t="s">
        <v>1790</v>
      </c>
      <c r="AU167" s="82" t="s">
        <v>1790</v>
      </c>
      <c r="AV167" s="82" t="s">
        <v>1790</v>
      </c>
      <c r="BF167" s="83" t="s">
        <v>1790</v>
      </c>
      <c r="BG167" s="83" t="s">
        <v>1790</v>
      </c>
      <c r="CL167" s="85" t="s">
        <v>1790</v>
      </c>
    </row>
    <row r="168" spans="1:93" x14ac:dyDescent="0.2">
      <c r="A168" s="176" t="str">
        <f t="shared" si="2"/>
        <v>CircularIrrigationSystem</v>
      </c>
      <c r="B168" s="11" t="s">
        <v>2497</v>
      </c>
      <c r="C168" s="173"/>
      <c r="D168" s="22" t="s">
        <v>2498</v>
      </c>
      <c r="E168" s="15" t="s">
        <v>2499</v>
      </c>
      <c r="F168" s="174"/>
      <c r="G168" s="174"/>
      <c r="H168" s="37">
        <v>100045</v>
      </c>
      <c r="I168" s="25" t="str">
        <f>CONCATENATE(Cover!$D$6,"fdd/view?i=",H168)</f>
        <v>https://www.dgiwg.org/FAD/fdd/view?i=100045</v>
      </c>
      <c r="J168" s="13" t="s">
        <v>2496</v>
      </c>
      <c r="K168" s="172"/>
      <c r="L168" s="172"/>
      <c r="AC168" s="82" t="s">
        <v>1790</v>
      </c>
      <c r="BJ168" s="83" t="s">
        <v>1790</v>
      </c>
    </row>
    <row r="169" spans="1:93" x14ac:dyDescent="0.2">
      <c r="A169" s="176" t="str">
        <f t="shared" si="2"/>
        <v>Cistern</v>
      </c>
      <c r="B169" s="11" t="s">
        <v>2501</v>
      </c>
      <c r="C169" s="173"/>
      <c r="D169" s="22" t="s">
        <v>2500</v>
      </c>
      <c r="E169" s="15" t="s">
        <v>2502</v>
      </c>
      <c r="F169" s="174"/>
      <c r="G169" s="174"/>
      <c r="H169" s="37">
        <v>100367</v>
      </c>
      <c r="I169" s="25" t="str">
        <f>CONCATENATE(Cover!$D$6,"fdd/view?i=",H169)</f>
        <v>https://www.dgiwg.org/FAD/fdd/view?i=100367</v>
      </c>
      <c r="J169" s="13" t="s">
        <v>2500</v>
      </c>
      <c r="K169" s="172"/>
      <c r="L169" s="172"/>
      <c r="BJ169" s="83" t="s">
        <v>1790</v>
      </c>
    </row>
    <row r="170" spans="1:93" ht="25.5" x14ac:dyDescent="0.2">
      <c r="A170" s="176" t="str">
        <f t="shared" si="2"/>
        <v>ClaimLine</v>
      </c>
      <c r="B170" s="11" t="s">
        <v>2504</v>
      </c>
      <c r="C170" s="173"/>
      <c r="D170" s="22" t="s">
        <v>2505</v>
      </c>
      <c r="E170" s="15" t="s">
        <v>2506</v>
      </c>
      <c r="F170" s="174"/>
      <c r="G170" s="174"/>
      <c r="H170" s="37">
        <v>100460</v>
      </c>
      <c r="I170" s="25" t="str">
        <f>CONCATENATE(Cover!$D$6,"fdd/view?i=",H170)</f>
        <v>https://www.dgiwg.org/FAD/fdd/view?i=100460</v>
      </c>
      <c r="J170" s="13" t="s">
        <v>2503</v>
      </c>
      <c r="K170" s="172"/>
      <c r="L170" s="172"/>
      <c r="AM170" s="83" t="s">
        <v>1790</v>
      </c>
      <c r="CC170" s="81" t="s">
        <v>1790</v>
      </c>
      <c r="CK170" s="82" t="s">
        <v>1790</v>
      </c>
    </row>
    <row r="171" spans="1:93" ht="51" x14ac:dyDescent="0.2">
      <c r="A171" s="176" t="str">
        <f t="shared" si="2"/>
        <v>ClearedWay</v>
      </c>
      <c r="B171" s="11" t="s">
        <v>2508</v>
      </c>
      <c r="C171" s="173"/>
      <c r="D171" s="22" t="s">
        <v>2509</v>
      </c>
      <c r="E171" s="15" t="s">
        <v>2510</v>
      </c>
      <c r="F171" s="15" t="s">
        <v>2511</v>
      </c>
      <c r="G171" s="15" t="s">
        <v>2512</v>
      </c>
      <c r="H171" s="37">
        <v>100447</v>
      </c>
      <c r="I171" s="25" t="str">
        <f>CONCATENATE(Cover!$D$6,"fdd/view?i=",H171)</f>
        <v>https://www.dgiwg.org/FAD/fdd/view?i=100447</v>
      </c>
      <c r="J171" s="13" t="s">
        <v>2507</v>
      </c>
      <c r="K171" s="172"/>
      <c r="L171" s="172"/>
      <c r="BV171" s="83" t="s">
        <v>1790</v>
      </c>
      <c r="BW171" s="83" t="s">
        <v>1790</v>
      </c>
    </row>
    <row r="172" spans="1:93" ht="51" x14ac:dyDescent="0.2">
      <c r="A172" s="176" t="str">
        <f t="shared" si="2"/>
        <v>Clearway</v>
      </c>
      <c r="B172" s="11" t="s">
        <v>2514</v>
      </c>
      <c r="C172" s="173"/>
      <c r="D172" s="22" t="s">
        <v>2513</v>
      </c>
      <c r="E172" s="15" t="s">
        <v>2515</v>
      </c>
      <c r="F172" s="15" t="s">
        <v>2516</v>
      </c>
      <c r="G172" s="15" t="s">
        <v>2517</v>
      </c>
      <c r="H172" s="37">
        <v>114591</v>
      </c>
      <c r="I172" s="25" t="str">
        <f>CONCATENATE(Cover!$D$6,"fdd/view?i=",H172)</f>
        <v>https://www.dgiwg.org/FAD/fdd/view?i=114591</v>
      </c>
      <c r="J172" s="13" t="s">
        <v>2513</v>
      </c>
      <c r="K172" s="172"/>
      <c r="L172" s="172"/>
      <c r="CE172" s="87" t="s">
        <v>1790</v>
      </c>
    </row>
    <row r="173" spans="1:93" x14ac:dyDescent="0.2">
      <c r="A173" s="176" t="str">
        <f t="shared" si="2"/>
        <v>CliffBottomEdge</v>
      </c>
      <c r="B173" s="11" t="s">
        <v>2519</v>
      </c>
      <c r="C173" s="173"/>
      <c r="D173" s="22" t="s">
        <v>2520</v>
      </c>
      <c r="E173" s="15" t="s">
        <v>2521</v>
      </c>
      <c r="F173" s="174"/>
      <c r="G173" s="174"/>
      <c r="H173" s="37">
        <v>100430</v>
      </c>
      <c r="I173" s="25" t="str">
        <f>CONCATENATE(Cover!$D$6,"fdd/view?i=",H173)</f>
        <v>https://www.dgiwg.org/FAD/fdd/view?i=100430</v>
      </c>
      <c r="J173" s="13" t="s">
        <v>2518</v>
      </c>
      <c r="K173" s="172"/>
      <c r="L173" s="172"/>
      <c r="BM173" s="82" t="s">
        <v>1790</v>
      </c>
    </row>
    <row r="174" spans="1:93" x14ac:dyDescent="0.2">
      <c r="A174" s="176" t="str">
        <f t="shared" si="2"/>
        <v>CliffDwelling</v>
      </c>
      <c r="B174" s="11" t="s">
        <v>2523</v>
      </c>
      <c r="C174" s="173"/>
      <c r="D174" s="22" t="s">
        <v>2524</v>
      </c>
      <c r="E174" s="15" t="s">
        <v>2525</v>
      </c>
      <c r="F174" s="174"/>
      <c r="G174" s="174"/>
      <c r="H174" s="37">
        <v>100089</v>
      </c>
      <c r="I174" s="25" t="str">
        <f>CONCATENATE(Cover!$D$6,"fdd/view?i=",H174)</f>
        <v>https://www.dgiwg.org/FAD/fdd/view?i=100089</v>
      </c>
      <c r="J174" s="13" t="s">
        <v>2522</v>
      </c>
      <c r="K174" s="172"/>
      <c r="L174" s="172"/>
      <c r="AI174" s="87" t="s">
        <v>1790</v>
      </c>
    </row>
    <row r="175" spans="1:93" x14ac:dyDescent="0.2">
      <c r="A175" s="176" t="str">
        <f t="shared" si="2"/>
        <v>CliffTopEdge</v>
      </c>
      <c r="B175" s="11" t="s">
        <v>2527</v>
      </c>
      <c r="C175" s="173"/>
      <c r="D175" s="22" t="s">
        <v>2528</v>
      </c>
      <c r="E175" s="15" t="s">
        <v>2529</v>
      </c>
      <c r="F175" s="174"/>
      <c r="G175" s="174"/>
      <c r="H175" s="37">
        <v>100431</v>
      </c>
      <c r="I175" s="25" t="str">
        <f>CONCATENATE(Cover!$D$6,"fdd/view?i=",H175)</f>
        <v>https://www.dgiwg.org/FAD/fdd/view?i=100431</v>
      </c>
      <c r="J175" s="13" t="s">
        <v>2526</v>
      </c>
      <c r="K175" s="172"/>
      <c r="L175" s="172"/>
      <c r="BM175" s="82" t="s">
        <v>1790</v>
      </c>
    </row>
    <row r="176" spans="1:93" x14ac:dyDescent="0.2">
      <c r="A176" s="176" t="str">
        <f t="shared" si="2"/>
        <v>ClimateClassRegion</v>
      </c>
      <c r="B176" s="11" t="s">
        <v>2531</v>
      </c>
      <c r="C176" s="173"/>
      <c r="D176" s="22" t="s">
        <v>2532</v>
      </c>
      <c r="E176" s="15" t="s">
        <v>2533</v>
      </c>
      <c r="F176" s="174"/>
      <c r="G176" s="174"/>
      <c r="H176" s="37">
        <v>118438</v>
      </c>
      <c r="I176" s="25" t="str">
        <f>CONCATENATE(Cover!$D$6,"fdd/view?i=",H176)</f>
        <v>https://www.dgiwg.org/FAD/fdd/view?i=118438</v>
      </c>
      <c r="J176" s="13" t="s">
        <v>2530</v>
      </c>
      <c r="K176" s="172"/>
      <c r="L176" s="172"/>
      <c r="CO176" s="89" t="s">
        <v>1790</v>
      </c>
    </row>
    <row r="177" spans="1:89" ht="51" x14ac:dyDescent="0.2">
      <c r="A177" s="176" t="str">
        <f t="shared" si="2"/>
        <v>Coastline</v>
      </c>
      <c r="B177" s="11" t="s">
        <v>2535</v>
      </c>
      <c r="C177" s="173"/>
      <c r="D177" s="22" t="s">
        <v>2534</v>
      </c>
      <c r="E177" s="15" t="s">
        <v>2536</v>
      </c>
      <c r="F177" s="15" t="s">
        <v>2537</v>
      </c>
      <c r="G177" s="174"/>
      <c r="H177" s="37">
        <v>100205</v>
      </c>
      <c r="I177" s="25" t="str">
        <f>CONCATENATE(Cover!$D$6,"fdd/view?i=",H177)</f>
        <v>https://www.dgiwg.org/FAD/fdd/view?i=100205</v>
      </c>
      <c r="J177" s="13" t="s">
        <v>2534</v>
      </c>
      <c r="K177" s="172"/>
      <c r="L177" s="172"/>
      <c r="AZ177" s="87" t="s">
        <v>1790</v>
      </c>
    </row>
    <row r="178" spans="1:89" ht="25.5" x14ac:dyDescent="0.2">
      <c r="A178" s="176" t="str">
        <f t="shared" si="2"/>
        <v>CommShippingActivityRegion</v>
      </c>
      <c r="B178" s="11" t="s">
        <v>2539</v>
      </c>
      <c r="C178" s="173"/>
      <c r="D178" s="22" t="s">
        <v>2540</v>
      </c>
      <c r="E178" s="15" t="s">
        <v>2541</v>
      </c>
      <c r="F178" s="15" t="s">
        <v>2542</v>
      </c>
      <c r="G178" s="174"/>
      <c r="H178" s="37">
        <v>119165</v>
      </c>
      <c r="I178" s="25" t="str">
        <f>CONCATENATE(Cover!$D$6,"fdd/view?i=",H178)</f>
        <v>https://www.dgiwg.org/FAD/fdd/view?i=119165</v>
      </c>
      <c r="J178" s="13" t="s">
        <v>2538</v>
      </c>
      <c r="K178" s="172"/>
      <c r="L178" s="172"/>
      <c r="AS178" s="82" t="s">
        <v>1790</v>
      </c>
      <c r="AZ178" s="87" t="s">
        <v>1790</v>
      </c>
      <c r="BA178" s="83" t="s">
        <v>1790</v>
      </c>
      <c r="BF178" s="83" t="s">
        <v>1790</v>
      </c>
    </row>
    <row r="179" spans="1:89" x14ac:dyDescent="0.2">
      <c r="A179" s="176" t="str">
        <f t="shared" si="2"/>
        <v>CommunicationLine</v>
      </c>
      <c r="B179" s="11" t="s">
        <v>2544</v>
      </c>
      <c r="C179" s="173"/>
      <c r="D179" s="22" t="s">
        <v>2545</v>
      </c>
      <c r="E179" s="15" t="s">
        <v>2546</v>
      </c>
      <c r="F179" s="15" t="s">
        <v>2547</v>
      </c>
      <c r="G179" s="174"/>
      <c r="H179" s="37">
        <v>102880</v>
      </c>
      <c r="I179" s="25" t="str">
        <f>CONCATENATE(Cover!$D$6,"fdd/view?i=",H179)</f>
        <v>https://www.dgiwg.org/FAD/fdd/view?i=102880</v>
      </c>
      <c r="J179" s="13" t="s">
        <v>2543</v>
      </c>
      <c r="K179" s="172"/>
      <c r="L179" s="172"/>
      <c r="AE179" s="82" t="s">
        <v>1790</v>
      </c>
    </row>
    <row r="180" spans="1:89" ht="63.75" x14ac:dyDescent="0.2">
      <c r="A180" s="176" t="str">
        <f t="shared" si="2"/>
        <v>CommunicationLinePylon</v>
      </c>
      <c r="B180" s="11" t="s">
        <v>2549</v>
      </c>
      <c r="C180" s="173"/>
      <c r="D180" s="22" t="s">
        <v>2550</v>
      </c>
      <c r="E180" s="15" t="s">
        <v>2551</v>
      </c>
      <c r="F180" s="15" t="s">
        <v>2552</v>
      </c>
      <c r="G180" s="15" t="s">
        <v>2553</v>
      </c>
      <c r="H180" s="37">
        <v>102881</v>
      </c>
      <c r="I180" s="25" t="str">
        <f>CONCATENATE(Cover!$D$6,"fdd/view?i=",H180)</f>
        <v>https://www.dgiwg.org/FAD/fdd/view?i=102881</v>
      </c>
      <c r="J180" s="13" t="s">
        <v>2548</v>
      </c>
      <c r="K180" s="172"/>
      <c r="L180" s="172"/>
      <c r="AE180" s="82" t="s">
        <v>1790</v>
      </c>
    </row>
    <row r="181" spans="1:89" ht="38.25" x14ac:dyDescent="0.2">
      <c r="A181" s="176" t="str">
        <f t="shared" si="2"/>
        <v>CommunicationStation</v>
      </c>
      <c r="B181" s="11" t="s">
        <v>2555</v>
      </c>
      <c r="C181" s="173"/>
      <c r="D181" s="22" t="s">
        <v>2556</v>
      </c>
      <c r="E181" s="15" t="s">
        <v>2557</v>
      </c>
      <c r="F181" s="15" t="s">
        <v>2558</v>
      </c>
      <c r="G181" s="174"/>
      <c r="H181" s="37">
        <v>100200</v>
      </c>
      <c r="I181" s="25" t="str">
        <f>CONCATENATE(Cover!$D$6,"fdd/view?i=",H181)</f>
        <v>https://www.dgiwg.org/FAD/fdd/view?i=100200</v>
      </c>
      <c r="J181" s="13" t="s">
        <v>2554</v>
      </c>
      <c r="K181" s="172"/>
      <c r="L181" s="172"/>
      <c r="AE181" s="82" t="s">
        <v>1790</v>
      </c>
    </row>
    <row r="182" spans="1:89" ht="25.5" x14ac:dyDescent="0.2">
      <c r="A182" s="176" t="str">
        <f t="shared" si="2"/>
        <v>CommunicationTower</v>
      </c>
      <c r="B182" s="11" t="s">
        <v>2560</v>
      </c>
      <c r="C182" s="173"/>
      <c r="D182" s="22" t="s">
        <v>2561</v>
      </c>
      <c r="E182" s="15" t="s">
        <v>2562</v>
      </c>
      <c r="F182" s="174"/>
      <c r="G182" s="174"/>
      <c r="H182" s="37">
        <v>100203</v>
      </c>
      <c r="I182" s="25" t="str">
        <f>CONCATENATE(Cover!$D$6,"fdd/view?i=",H182)</f>
        <v>https://www.dgiwg.org/FAD/fdd/view?i=100203</v>
      </c>
      <c r="J182" s="13" t="s">
        <v>2559</v>
      </c>
      <c r="K182" s="172"/>
      <c r="L182" s="172"/>
      <c r="AE182" s="82" t="s">
        <v>1790</v>
      </c>
      <c r="AJ182" s="83" t="s">
        <v>1790</v>
      </c>
    </row>
    <row r="183" spans="1:89" ht="25.5" x14ac:dyDescent="0.2">
      <c r="A183" s="176" t="str">
        <f t="shared" si="2"/>
        <v>CompactSurface</v>
      </c>
      <c r="B183" s="11" t="s">
        <v>2564</v>
      </c>
      <c r="C183" s="173"/>
      <c r="D183" s="22" t="s">
        <v>2565</v>
      </c>
      <c r="E183" s="15" t="s">
        <v>2566</v>
      </c>
      <c r="F183" s="174"/>
      <c r="G183" s="174"/>
      <c r="H183" s="37">
        <v>118429</v>
      </c>
      <c r="I183" s="25" t="str">
        <f>CONCATENATE(Cover!$D$6,"fdd/view?i=",H183)</f>
        <v>https://www.dgiwg.org/FAD/fdd/view?i=118429</v>
      </c>
      <c r="J183" s="13" t="s">
        <v>2563</v>
      </c>
      <c r="K183" s="172"/>
      <c r="L183" s="172"/>
      <c r="BO183" s="82" t="s">
        <v>1790</v>
      </c>
    </row>
    <row r="184" spans="1:89" ht="25.5" x14ac:dyDescent="0.2">
      <c r="A184" s="176" t="str">
        <f t="shared" si="2"/>
        <v>CompassLocator</v>
      </c>
      <c r="B184" s="11" t="s">
        <v>2568</v>
      </c>
      <c r="C184" s="173"/>
      <c r="D184" s="22" t="s">
        <v>2569</v>
      </c>
      <c r="E184" s="15" t="s">
        <v>2570</v>
      </c>
      <c r="F184" s="15" t="s">
        <v>2571</v>
      </c>
      <c r="G184" s="15" t="s">
        <v>2572</v>
      </c>
      <c r="H184" s="37">
        <v>114500</v>
      </c>
      <c r="I184" s="25" t="str">
        <f>CONCATENATE(Cover!$D$6,"fdd/view?i=",H184)</f>
        <v>https://www.dgiwg.org/FAD/fdd/view?i=114500</v>
      </c>
      <c r="J184" s="13" t="s">
        <v>2567</v>
      </c>
      <c r="K184" s="172"/>
      <c r="L184" s="172"/>
      <c r="CG184" s="83" t="s">
        <v>1790</v>
      </c>
    </row>
    <row r="185" spans="1:89" ht="38.25" x14ac:dyDescent="0.2">
      <c r="A185" s="176" t="str">
        <f t="shared" si="2"/>
        <v>ConservationArea</v>
      </c>
      <c r="B185" s="11" t="s">
        <v>2574</v>
      </c>
      <c r="C185" s="173"/>
      <c r="D185" s="22" t="s">
        <v>2575</v>
      </c>
      <c r="E185" s="15" t="s">
        <v>2576</v>
      </c>
      <c r="F185" s="15" t="s">
        <v>2577</v>
      </c>
      <c r="G185" s="174"/>
      <c r="H185" s="37">
        <v>111297</v>
      </c>
      <c r="I185" s="25" t="str">
        <f>CONCATENATE(Cover!$D$6,"fdd/view?i=",H185)</f>
        <v>https://www.dgiwg.org/FAD/fdd/view?i=111297</v>
      </c>
      <c r="J185" s="13" t="s">
        <v>2573</v>
      </c>
      <c r="K185" s="172"/>
      <c r="L185" s="172"/>
      <c r="AL185" s="83" t="s">
        <v>1790</v>
      </c>
      <c r="AU185" s="82" t="s">
        <v>1790</v>
      </c>
      <c r="BI185" s="83" t="s">
        <v>1790</v>
      </c>
      <c r="BZ185" s="83" t="s">
        <v>1790</v>
      </c>
    </row>
    <row r="186" spans="1:89" ht="25.5" x14ac:dyDescent="0.2">
      <c r="A186" s="176" t="str">
        <f t="shared" si="2"/>
        <v>ConstructionZone</v>
      </c>
      <c r="B186" s="11" t="s">
        <v>2579</v>
      </c>
      <c r="C186" s="173"/>
      <c r="D186" s="22" t="s">
        <v>2580</v>
      </c>
      <c r="E186" s="15" t="s">
        <v>2581</v>
      </c>
      <c r="F186" s="15" t="s">
        <v>2582</v>
      </c>
      <c r="G186" s="174"/>
      <c r="H186" s="37">
        <v>119390</v>
      </c>
      <c r="I186" s="25" t="str">
        <f>CONCATENATE(Cover!$D$6,"fdd/view?i=",H186)</f>
        <v>https://www.dgiwg.org/FAD/fdd/view?i=119390</v>
      </c>
      <c r="J186" s="13" t="s">
        <v>2578</v>
      </c>
      <c r="K186" s="172"/>
      <c r="L186" s="172"/>
      <c r="AP186" s="81" t="s">
        <v>1790</v>
      </c>
      <c r="AQ186" s="82" t="s">
        <v>1790</v>
      </c>
      <c r="AS186" s="82" t="s">
        <v>1790</v>
      </c>
      <c r="AU186" s="82" t="s">
        <v>1790</v>
      </c>
    </row>
    <row r="187" spans="1:89" ht="25.5" x14ac:dyDescent="0.2">
      <c r="A187" s="176" t="str">
        <f t="shared" si="2"/>
        <v>ContactZone</v>
      </c>
      <c r="B187" s="11" t="s">
        <v>2584</v>
      </c>
      <c r="C187" s="173"/>
      <c r="D187" s="22" t="s">
        <v>2585</v>
      </c>
      <c r="E187" s="15" t="s">
        <v>2586</v>
      </c>
      <c r="F187" s="174"/>
      <c r="G187" s="174"/>
      <c r="H187" s="37">
        <v>100461</v>
      </c>
      <c r="I187" s="25" t="str">
        <f>CONCATENATE(Cover!$D$6,"fdd/view?i=",H187)</f>
        <v>https://www.dgiwg.org/FAD/fdd/view?i=100461</v>
      </c>
      <c r="J187" s="13" t="s">
        <v>2583</v>
      </c>
      <c r="K187" s="172"/>
      <c r="L187" s="172"/>
      <c r="CC187" s="81" t="s">
        <v>1790</v>
      </c>
      <c r="CK187" s="82" t="s">
        <v>1790</v>
      </c>
    </row>
    <row r="188" spans="1:89" ht="25.5" x14ac:dyDescent="0.2">
      <c r="A188" s="176" t="str">
        <f t="shared" si="2"/>
        <v>ContactZoneStanag2256</v>
      </c>
      <c r="B188" s="11" t="s">
        <v>2588</v>
      </c>
      <c r="C188" s="173"/>
      <c r="D188" s="22" t="s">
        <v>2589</v>
      </c>
      <c r="E188" s="15" t="s">
        <v>2590</v>
      </c>
      <c r="F188" s="174"/>
      <c r="G188" s="174"/>
      <c r="H188" s="37">
        <v>100462</v>
      </c>
      <c r="I188" s="25" t="str">
        <f>CONCATENATE(Cover!$D$6,"fdd/view?i=",H188)</f>
        <v>https://www.dgiwg.org/FAD/fdd/view?i=100462</v>
      </c>
      <c r="J188" s="13" t="s">
        <v>2587</v>
      </c>
      <c r="K188" s="172"/>
      <c r="L188" s="172"/>
      <c r="CC188" s="81" t="s">
        <v>1790</v>
      </c>
      <c r="CK188" s="82" t="s">
        <v>1790</v>
      </c>
    </row>
    <row r="189" spans="1:89" ht="63.75" x14ac:dyDescent="0.2">
      <c r="A189" s="176" t="str">
        <f t="shared" si="2"/>
        <v>ContaminatedRegion</v>
      </c>
      <c r="B189" s="11" t="s">
        <v>2592</v>
      </c>
      <c r="C189" s="173"/>
      <c r="D189" s="22" t="s">
        <v>2593</v>
      </c>
      <c r="E189" s="15" t="s">
        <v>2594</v>
      </c>
      <c r="F189" s="15" t="s">
        <v>2595</v>
      </c>
      <c r="G189" s="174"/>
      <c r="H189" s="37">
        <v>100456</v>
      </c>
      <c r="I189" s="25" t="str">
        <f>CONCATENATE(Cover!$D$6,"fdd/view?i=",H189)</f>
        <v>https://www.dgiwg.org/FAD/fdd/view?i=100456</v>
      </c>
      <c r="J189" s="13" t="s">
        <v>2591</v>
      </c>
      <c r="K189" s="172"/>
      <c r="L189" s="172"/>
      <c r="BZ189" s="83" t="s">
        <v>1790</v>
      </c>
      <c r="CC189" s="81" t="s">
        <v>1790</v>
      </c>
      <c r="CK189" s="82" t="s">
        <v>1790</v>
      </c>
    </row>
    <row r="190" spans="1:89" ht="25.5" x14ac:dyDescent="0.2">
      <c r="A190" s="176" t="str">
        <f t="shared" si="2"/>
        <v>ContaminatedSite</v>
      </c>
      <c r="B190" s="11" t="s">
        <v>2597</v>
      </c>
      <c r="C190" s="173"/>
      <c r="D190" s="22" t="s">
        <v>2598</v>
      </c>
      <c r="E190" s="15" t="s">
        <v>2599</v>
      </c>
      <c r="F190" s="174"/>
      <c r="G190" s="174"/>
      <c r="H190" s="37">
        <v>111380</v>
      </c>
      <c r="I190" s="25" t="str">
        <f>CONCATENATE(Cover!$D$6,"fdd/view?i=",H190)</f>
        <v>https://www.dgiwg.org/FAD/fdd/view?i=111380</v>
      </c>
      <c r="J190" s="13" t="s">
        <v>2596</v>
      </c>
      <c r="K190" s="172"/>
      <c r="L190" s="172"/>
      <c r="AH190" s="85" t="s">
        <v>1790</v>
      </c>
      <c r="BZ190" s="83" t="s">
        <v>1790</v>
      </c>
    </row>
    <row r="191" spans="1:89" ht="38.25" x14ac:dyDescent="0.2">
      <c r="A191" s="176" t="str">
        <f t="shared" si="2"/>
        <v>ContinentalShelf</v>
      </c>
      <c r="B191" s="11" t="s">
        <v>2601</v>
      </c>
      <c r="C191" s="173"/>
      <c r="D191" s="22" t="s">
        <v>2602</v>
      </c>
      <c r="E191" s="15" t="s">
        <v>2603</v>
      </c>
      <c r="F191" s="174"/>
      <c r="G191" s="174"/>
      <c r="H191" s="37">
        <v>118433</v>
      </c>
      <c r="I191" s="25" t="str">
        <f>CONCATENATE(Cover!$D$6,"fdd/view?i=",H191)</f>
        <v>https://www.dgiwg.org/FAD/fdd/view?i=118433</v>
      </c>
      <c r="J191" s="13" t="s">
        <v>2600</v>
      </c>
      <c r="K191" s="172"/>
      <c r="L191" s="172"/>
      <c r="BO191" s="82" t="s">
        <v>1790</v>
      </c>
    </row>
    <row r="192" spans="1:89" ht="25.5" x14ac:dyDescent="0.2">
      <c r="A192" s="176" t="str">
        <f t="shared" si="2"/>
        <v>ControlPoint</v>
      </c>
      <c r="B192" s="11" t="s">
        <v>2605</v>
      </c>
      <c r="C192" s="173"/>
      <c r="D192" s="22" t="s">
        <v>2606</v>
      </c>
      <c r="E192" s="15" t="s">
        <v>2607</v>
      </c>
      <c r="F192" s="15" t="s">
        <v>2608</v>
      </c>
      <c r="G192" s="15" t="s">
        <v>2609</v>
      </c>
      <c r="H192" s="37">
        <v>100566</v>
      </c>
      <c r="I192" s="25" t="str">
        <f>CONCATENATE(Cover!$D$6,"fdd/view?i=",H192)</f>
        <v>https://www.dgiwg.org/FAD/fdd/view?i=100566</v>
      </c>
      <c r="J192" s="13" t="s">
        <v>2604</v>
      </c>
      <c r="K192" s="172"/>
      <c r="L192" s="172"/>
      <c r="CD192" s="85" t="s">
        <v>1790</v>
      </c>
    </row>
    <row r="193" spans="1:107" ht="25.5" x14ac:dyDescent="0.2">
      <c r="A193" s="176" t="str">
        <f t="shared" si="2"/>
        <v>ControlTower</v>
      </c>
      <c r="B193" s="11" t="s">
        <v>2611</v>
      </c>
      <c r="C193" s="173"/>
      <c r="D193" s="22" t="s">
        <v>2612</v>
      </c>
      <c r="E193" s="15" t="s">
        <v>2613</v>
      </c>
      <c r="F193" s="15" t="s">
        <v>2614</v>
      </c>
      <c r="G193" s="174"/>
      <c r="H193" s="37">
        <v>114632</v>
      </c>
      <c r="I193" s="25" t="str">
        <f>CONCATENATE(Cover!$D$6,"fdd/view?i=",H193)</f>
        <v>https://www.dgiwg.org/FAD/fdd/view?i=114632</v>
      </c>
      <c r="J193" s="13" t="s">
        <v>2610</v>
      </c>
      <c r="K193" s="172"/>
      <c r="L193" s="172"/>
      <c r="AP193" s="81" t="s">
        <v>1790</v>
      </c>
      <c r="AQ193" s="82" t="s">
        <v>1790</v>
      </c>
      <c r="AS193" s="82" t="s">
        <v>1790</v>
      </c>
      <c r="AT193" s="82" t="s">
        <v>1790</v>
      </c>
      <c r="AW193" s="82" t="s">
        <v>1790</v>
      </c>
      <c r="CE193" s="87" t="s">
        <v>1790</v>
      </c>
      <c r="CH193" s="83" t="s">
        <v>1790</v>
      </c>
    </row>
    <row r="194" spans="1:107" ht="25.5" x14ac:dyDescent="0.2">
      <c r="A194" s="176" t="str">
        <f t="shared" si="2"/>
        <v>ConventionLine</v>
      </c>
      <c r="B194" s="11" t="s">
        <v>2616</v>
      </c>
      <c r="C194" s="173"/>
      <c r="D194" s="22" t="s">
        <v>2617</v>
      </c>
      <c r="E194" s="15" t="s">
        <v>2618</v>
      </c>
      <c r="F194" s="174"/>
      <c r="G194" s="15" t="s">
        <v>2619</v>
      </c>
      <c r="H194" s="37">
        <v>100463</v>
      </c>
      <c r="I194" s="25" t="str">
        <f>CONCATENATE(Cover!$D$6,"fdd/view?i=",H194)</f>
        <v>https://www.dgiwg.org/FAD/fdd/view?i=100463</v>
      </c>
      <c r="J194" s="13" t="s">
        <v>2615</v>
      </c>
      <c r="K194" s="172"/>
      <c r="L194" s="172"/>
      <c r="AM194" s="83" t="s">
        <v>1790</v>
      </c>
      <c r="CC194" s="81" t="s">
        <v>1790</v>
      </c>
      <c r="CK194" s="82" t="s">
        <v>1790</v>
      </c>
    </row>
    <row r="195" spans="1:107" ht="178.5" x14ac:dyDescent="0.2">
      <c r="A195" s="176" t="str">
        <f t="shared" ref="A195:A258" si="3">HYPERLINK(I195,J195)</f>
        <v>Conveyor</v>
      </c>
      <c r="B195" s="11" t="s">
        <v>2621</v>
      </c>
      <c r="C195" s="173"/>
      <c r="D195" s="22" t="s">
        <v>2620</v>
      </c>
      <c r="E195" s="15" t="s">
        <v>2622</v>
      </c>
      <c r="F195" s="15" t="s">
        <v>2623</v>
      </c>
      <c r="G195" s="174"/>
      <c r="H195" s="37">
        <v>100029</v>
      </c>
      <c r="I195" s="25" t="str">
        <f>CONCATENATE(Cover!$D$6,"fdd/view?i=",H195)</f>
        <v>https://www.dgiwg.org/FAD/fdd/view?i=100029</v>
      </c>
      <c r="J195" s="13" t="s">
        <v>2620</v>
      </c>
      <c r="K195" s="172"/>
      <c r="L195" s="172"/>
      <c r="AF195" s="82" t="s">
        <v>1790</v>
      </c>
      <c r="AR195" s="82" t="s">
        <v>1790</v>
      </c>
    </row>
    <row r="196" spans="1:107" ht="25.5" x14ac:dyDescent="0.2">
      <c r="A196" s="176" t="str">
        <f t="shared" si="3"/>
        <v>CoolingFacility</v>
      </c>
      <c r="B196" s="11" t="s">
        <v>2625</v>
      </c>
      <c r="C196" s="173"/>
      <c r="D196" s="22" t="s">
        <v>2626</v>
      </c>
      <c r="E196" s="15" t="s">
        <v>2627</v>
      </c>
      <c r="F196" s="174"/>
      <c r="G196" s="174"/>
      <c r="H196" s="37">
        <v>114171</v>
      </c>
      <c r="I196" s="25" t="str">
        <f>CONCATENATE(Cover!$D$6,"fdd/view?i=",H196)</f>
        <v>https://www.dgiwg.org/FAD/fdd/view?i=114171</v>
      </c>
      <c r="J196" s="13" t="s">
        <v>2624</v>
      </c>
      <c r="K196" s="172"/>
      <c r="L196" s="172"/>
      <c r="AF196" s="82" t="s">
        <v>1790</v>
      </c>
    </row>
    <row r="197" spans="1:107" x14ac:dyDescent="0.2">
      <c r="A197" s="176" t="str">
        <f t="shared" si="3"/>
        <v>CoolingTower</v>
      </c>
      <c r="B197" s="11" t="s">
        <v>2629</v>
      </c>
      <c r="C197" s="173"/>
      <c r="D197" s="22" t="s">
        <v>2630</v>
      </c>
      <c r="E197" s="15" t="s">
        <v>2631</v>
      </c>
      <c r="F197" s="174"/>
      <c r="G197" s="174"/>
      <c r="H197" s="37">
        <v>100031</v>
      </c>
      <c r="I197" s="25" t="str">
        <f>CONCATENATE(Cover!$D$6,"fdd/view?i=",H197)</f>
        <v>https://www.dgiwg.org/FAD/fdd/view?i=100031</v>
      </c>
      <c r="J197" s="13" t="s">
        <v>2628</v>
      </c>
      <c r="K197" s="172"/>
      <c r="L197" s="172"/>
      <c r="AB197" s="82" t="s">
        <v>1790</v>
      </c>
      <c r="AF197" s="82" t="s">
        <v>1790</v>
      </c>
    </row>
    <row r="198" spans="1:107" ht="51" x14ac:dyDescent="0.2">
      <c r="A198" s="176" t="str">
        <f t="shared" si="3"/>
        <v>Courtyard</v>
      </c>
      <c r="B198" s="11" t="s">
        <v>2633</v>
      </c>
      <c r="C198" s="173"/>
      <c r="D198" s="22" t="s">
        <v>2632</v>
      </c>
      <c r="E198" s="15" t="s">
        <v>2634</v>
      </c>
      <c r="F198" s="15" t="s">
        <v>2635</v>
      </c>
      <c r="G198" s="174"/>
      <c r="H198" s="37">
        <v>114179</v>
      </c>
      <c r="I198" s="25" t="str">
        <f>CONCATENATE(Cover!$D$6,"fdd/view?i=",H198)</f>
        <v>https://www.dgiwg.org/FAD/fdd/view?i=114179</v>
      </c>
      <c r="J198" s="13" t="s">
        <v>2632</v>
      </c>
      <c r="K198" s="172"/>
      <c r="L198" s="172"/>
      <c r="AB198" s="82" t="s">
        <v>1790</v>
      </c>
      <c r="AJ198" s="83" t="s">
        <v>1790</v>
      </c>
      <c r="AK198" s="83" t="s">
        <v>1790</v>
      </c>
    </row>
    <row r="199" spans="1:107" ht="25.5" x14ac:dyDescent="0.2">
      <c r="A199" s="176" t="str">
        <f t="shared" si="3"/>
        <v>CoveredWatercourse</v>
      </c>
      <c r="B199" s="11" t="s">
        <v>2637</v>
      </c>
      <c r="C199" s="173"/>
      <c r="D199" s="22" t="s">
        <v>2638</v>
      </c>
      <c r="E199" s="15" t="s">
        <v>2639</v>
      </c>
      <c r="F199" s="15" t="s">
        <v>2640</v>
      </c>
      <c r="G199" s="174"/>
      <c r="H199" s="37">
        <v>100558</v>
      </c>
      <c r="I199" s="25" t="str">
        <f>CONCATENATE(Cover!$D$6,"fdd/view?i=",H199)</f>
        <v>https://www.dgiwg.org/FAD/fdd/view?i=100558</v>
      </c>
      <c r="J199" s="13" t="s">
        <v>2636</v>
      </c>
      <c r="K199" s="172"/>
      <c r="L199" s="172"/>
      <c r="BJ199" s="83" t="s">
        <v>1790</v>
      </c>
    </row>
    <row r="200" spans="1:107" ht="25.5" x14ac:dyDescent="0.2">
      <c r="A200" s="176" t="str">
        <f t="shared" si="3"/>
        <v>Crane</v>
      </c>
      <c r="B200" s="11" t="s">
        <v>2642</v>
      </c>
      <c r="C200" s="173"/>
      <c r="D200" s="22" t="s">
        <v>2641</v>
      </c>
      <c r="E200" s="15" t="s">
        <v>2643</v>
      </c>
      <c r="F200" s="174"/>
      <c r="G200" s="174"/>
      <c r="H200" s="37">
        <v>100032</v>
      </c>
      <c r="I200" s="25" t="str">
        <f>CONCATENATE(Cover!$D$6,"fdd/view?i=",H200)</f>
        <v>https://www.dgiwg.org/FAD/fdd/view?i=100032</v>
      </c>
      <c r="J200" s="13" t="s">
        <v>2641</v>
      </c>
      <c r="K200" s="172"/>
      <c r="L200" s="172"/>
      <c r="AF200" s="82" t="s">
        <v>1790</v>
      </c>
    </row>
    <row r="201" spans="1:107" ht="63.75" x14ac:dyDescent="0.2">
      <c r="A201" s="176" t="str">
        <f t="shared" si="3"/>
        <v>Crater</v>
      </c>
      <c r="B201" s="11" t="s">
        <v>2645</v>
      </c>
      <c r="C201" s="173"/>
      <c r="D201" s="22" t="s">
        <v>2644</v>
      </c>
      <c r="E201" s="15" t="s">
        <v>2646</v>
      </c>
      <c r="F201" s="15" t="s">
        <v>2647</v>
      </c>
      <c r="G201" s="174"/>
      <c r="H201" s="37">
        <v>100423</v>
      </c>
      <c r="I201" s="25" t="str">
        <f>CONCATENATE(Cover!$D$6,"fdd/view?i=",H201)</f>
        <v>https://www.dgiwg.org/FAD/fdd/view?i=100423</v>
      </c>
      <c r="J201" s="13" t="s">
        <v>2644</v>
      </c>
      <c r="K201" s="172"/>
      <c r="L201" s="172"/>
      <c r="BQ201" s="82" t="s">
        <v>1790</v>
      </c>
    </row>
    <row r="202" spans="1:107" x14ac:dyDescent="0.2">
      <c r="A202" s="176" t="str">
        <f t="shared" si="3"/>
        <v>Crevasse</v>
      </c>
      <c r="B202" s="11" t="s">
        <v>2649</v>
      </c>
      <c r="C202" s="173"/>
      <c r="D202" s="22" t="s">
        <v>2648</v>
      </c>
      <c r="E202" s="15" t="s">
        <v>2650</v>
      </c>
      <c r="F202" s="174"/>
      <c r="G202" s="174"/>
      <c r="H202" s="37">
        <v>101908</v>
      </c>
      <c r="I202" s="25" t="str">
        <f>CONCATENATE(Cover!$D$6,"fdd/view?i=",H202)</f>
        <v>https://www.dgiwg.org/FAD/fdd/view?i=101908</v>
      </c>
      <c r="J202" s="13" t="s">
        <v>2648</v>
      </c>
      <c r="K202" s="172"/>
      <c r="L202" s="172"/>
      <c r="BR202" s="82" t="s">
        <v>1790</v>
      </c>
    </row>
    <row r="203" spans="1:107" ht="25.5" x14ac:dyDescent="0.2">
      <c r="A203" s="176" t="str">
        <f t="shared" si="3"/>
        <v>Crevice</v>
      </c>
      <c r="B203" s="11" t="s">
        <v>2652</v>
      </c>
      <c r="C203" s="173"/>
      <c r="D203" s="22" t="s">
        <v>2651</v>
      </c>
      <c r="E203" s="15" t="s">
        <v>2653</v>
      </c>
      <c r="F203" s="15" t="s">
        <v>2654</v>
      </c>
      <c r="G203" s="15" t="s">
        <v>2655</v>
      </c>
      <c r="H203" s="37">
        <v>101912</v>
      </c>
      <c r="I203" s="25" t="str">
        <f>CONCATENATE(Cover!$D$6,"fdd/view?i=",H203)</f>
        <v>https://www.dgiwg.org/FAD/fdd/view?i=101912</v>
      </c>
      <c r="J203" s="13" t="s">
        <v>2651</v>
      </c>
      <c r="K203" s="172"/>
      <c r="L203" s="172"/>
      <c r="BM203" s="82" t="s">
        <v>1790</v>
      </c>
      <c r="BN203" s="82" t="s">
        <v>1790</v>
      </c>
      <c r="BQ203" s="82" t="s">
        <v>1790</v>
      </c>
    </row>
    <row r="204" spans="1:107" ht="38.25" x14ac:dyDescent="0.2">
      <c r="A204" s="176" t="str">
        <f t="shared" si="3"/>
        <v>Crib</v>
      </c>
      <c r="B204" s="11" t="s">
        <v>2657</v>
      </c>
      <c r="C204" s="173"/>
      <c r="D204" s="22" t="s">
        <v>2656</v>
      </c>
      <c r="E204" s="15" t="s">
        <v>2658</v>
      </c>
      <c r="F204" s="15" t="s">
        <v>2659</v>
      </c>
      <c r="G204" s="174"/>
      <c r="H204" s="37">
        <v>100284</v>
      </c>
      <c r="I204" s="25" t="str">
        <f>CONCATENATE(Cover!$D$6,"fdd/view?i=",H204)</f>
        <v>https://www.dgiwg.org/FAD/fdd/view?i=100284</v>
      </c>
      <c r="J204" s="13" t="s">
        <v>2656</v>
      </c>
      <c r="K204" s="172"/>
      <c r="L204" s="172"/>
      <c r="BD204" s="83" t="s">
        <v>1790</v>
      </c>
      <c r="BG204" s="83" t="s">
        <v>1790</v>
      </c>
    </row>
    <row r="205" spans="1:107" ht="51" x14ac:dyDescent="0.2">
      <c r="A205" s="176" t="str">
        <f t="shared" si="3"/>
        <v>CropInfo</v>
      </c>
      <c r="B205" s="11" t="s">
        <v>2661</v>
      </c>
      <c r="C205" s="173"/>
      <c r="D205" s="22" t="s">
        <v>2662</v>
      </c>
      <c r="E205" s="15" t="s">
        <v>2663</v>
      </c>
      <c r="F205" s="15" t="s">
        <v>2664</v>
      </c>
      <c r="G205" s="174"/>
      <c r="H205" s="37">
        <v>114197</v>
      </c>
      <c r="I205" s="25" t="str">
        <f>CONCATENATE(Cover!$D$6,"fdd/view?i=",H205)</f>
        <v>https://www.dgiwg.org/FAD/fdd/view?i=114197</v>
      </c>
      <c r="J205" s="13" t="s">
        <v>2660</v>
      </c>
      <c r="K205" s="172"/>
      <c r="L205" s="172"/>
      <c r="DC205" s="87" t="s">
        <v>1790</v>
      </c>
    </row>
    <row r="206" spans="1:107" x14ac:dyDescent="0.2">
      <c r="A206" s="176" t="str">
        <f t="shared" si="3"/>
        <v>CropLand</v>
      </c>
      <c r="B206" s="11" t="s">
        <v>2666</v>
      </c>
      <c r="C206" s="173"/>
      <c r="D206" s="22" t="s">
        <v>2667</v>
      </c>
      <c r="E206" s="15" t="s">
        <v>2668</v>
      </c>
      <c r="F206" s="174"/>
      <c r="G206" s="174"/>
      <c r="H206" s="37">
        <v>100432</v>
      </c>
      <c r="I206" s="25" t="str">
        <f>CONCATENATE(Cover!$D$6,"fdd/view?i=",H206)</f>
        <v>https://www.dgiwg.org/FAD/fdd/view?i=100432</v>
      </c>
      <c r="J206" s="13" t="s">
        <v>2665</v>
      </c>
      <c r="K206" s="172"/>
      <c r="L206" s="172"/>
      <c r="BU206" s="87" t="s">
        <v>1790</v>
      </c>
    </row>
    <row r="207" spans="1:107" ht="25.5" x14ac:dyDescent="0.2">
      <c r="A207" s="176" t="str">
        <f t="shared" si="3"/>
        <v>Crossing</v>
      </c>
      <c r="B207" s="11" t="s">
        <v>2670</v>
      </c>
      <c r="C207" s="173"/>
      <c r="D207" s="22" t="s">
        <v>2669</v>
      </c>
      <c r="E207" s="15" t="s">
        <v>2671</v>
      </c>
      <c r="F207" s="15" t="s">
        <v>2672</v>
      </c>
      <c r="G207" s="174"/>
      <c r="H207" s="37">
        <v>100163</v>
      </c>
      <c r="I207" s="25" t="str">
        <f>CONCATENATE(Cover!$D$6,"fdd/view?i=",H207)</f>
        <v>https://www.dgiwg.org/FAD/fdd/view?i=100163</v>
      </c>
      <c r="J207" s="13" t="s">
        <v>2669</v>
      </c>
      <c r="K207" s="172"/>
      <c r="L207" s="172"/>
      <c r="AV207" s="82" t="s">
        <v>1790</v>
      </c>
      <c r="AW207" s="82" t="s">
        <v>1790</v>
      </c>
    </row>
    <row r="208" spans="1:107" ht="25.5" x14ac:dyDescent="0.2">
      <c r="A208" s="176" t="str">
        <f t="shared" si="3"/>
        <v>CultivationLimit</v>
      </c>
      <c r="B208" s="11" t="s">
        <v>2674</v>
      </c>
      <c r="C208" s="173"/>
      <c r="D208" s="22" t="s">
        <v>2675</v>
      </c>
      <c r="E208" s="15" t="s">
        <v>2676</v>
      </c>
      <c r="F208" s="15" t="s">
        <v>2677</v>
      </c>
      <c r="G208" s="174"/>
      <c r="H208" s="37">
        <v>111374</v>
      </c>
      <c r="I208" s="25" t="str">
        <f>CONCATENATE(Cover!$D$6,"fdd/view?i=",H208)</f>
        <v>https://www.dgiwg.org/FAD/fdd/view?i=111374</v>
      </c>
      <c r="J208" s="13" t="s">
        <v>2673</v>
      </c>
      <c r="K208" s="172"/>
      <c r="L208" s="172"/>
      <c r="BO208" s="82" t="s">
        <v>1790</v>
      </c>
      <c r="BU208" s="87" t="s">
        <v>1790</v>
      </c>
    </row>
    <row r="209" spans="1:108" ht="25.5" x14ac:dyDescent="0.2">
      <c r="A209" s="176" t="str">
        <f t="shared" si="3"/>
        <v>CulturalConservationArea</v>
      </c>
      <c r="B209" s="11" t="s">
        <v>2679</v>
      </c>
      <c r="C209" s="173"/>
      <c r="D209" s="22" t="s">
        <v>2680</v>
      </c>
      <c r="E209" s="15" t="s">
        <v>2681</v>
      </c>
      <c r="F209" s="15" t="s">
        <v>2682</v>
      </c>
      <c r="G209" s="174"/>
      <c r="H209" s="37">
        <v>118125</v>
      </c>
      <c r="I209" s="25" t="str">
        <f>CONCATENATE(Cover!$D$6,"fdd/view?i=",H209)</f>
        <v>https://www.dgiwg.org/FAD/fdd/view?i=118125</v>
      </c>
      <c r="J209" s="13" t="s">
        <v>2678</v>
      </c>
      <c r="K209" s="172"/>
      <c r="L209" s="172"/>
      <c r="AJ209" s="83" t="s">
        <v>1790</v>
      </c>
      <c r="AO209" s="89" t="s">
        <v>1790</v>
      </c>
    </row>
    <row r="210" spans="1:108" ht="38.25" x14ac:dyDescent="0.2">
      <c r="A210" s="176" t="str">
        <f t="shared" si="3"/>
        <v>CulturalContextLocation</v>
      </c>
      <c r="B210" s="11" t="s">
        <v>2684</v>
      </c>
      <c r="C210" s="173"/>
      <c r="D210" s="22" t="s">
        <v>2685</v>
      </c>
      <c r="E210" s="15" t="s">
        <v>2686</v>
      </c>
      <c r="F210" s="174"/>
      <c r="G210" s="174"/>
      <c r="H210" s="37">
        <v>111461</v>
      </c>
      <c r="I210" s="25" t="str">
        <f>CONCATENATE(Cover!$D$6,"fdd/view?i=",H210)</f>
        <v>https://www.dgiwg.org/FAD/fdd/view?i=111461</v>
      </c>
      <c r="J210" s="13" t="s">
        <v>2683</v>
      </c>
      <c r="K210" s="172"/>
      <c r="L210" s="172"/>
      <c r="AO210" s="89" t="s">
        <v>1790</v>
      </c>
    </row>
    <row r="211" spans="1:108" ht="25.5" x14ac:dyDescent="0.2">
      <c r="A211" s="176" t="str">
        <f t="shared" si="3"/>
        <v>Culvert</v>
      </c>
      <c r="B211" s="11" t="s">
        <v>2688</v>
      </c>
      <c r="C211" s="173"/>
      <c r="D211" s="22" t="s">
        <v>2687</v>
      </c>
      <c r="E211" s="15" t="s">
        <v>2689</v>
      </c>
      <c r="F211" s="15" t="s">
        <v>2690</v>
      </c>
      <c r="G211" s="174"/>
      <c r="H211" s="37">
        <v>100165</v>
      </c>
      <c r="I211" s="25" t="str">
        <f>CONCATENATE(Cover!$D$6,"fdd/view?i=",H211)</f>
        <v>https://www.dgiwg.org/FAD/fdd/view?i=100165</v>
      </c>
      <c r="J211" s="13" t="s">
        <v>2687</v>
      </c>
      <c r="K211" s="172"/>
      <c r="L211" s="172"/>
      <c r="AW211" s="82" t="s">
        <v>1790</v>
      </c>
      <c r="BJ211" s="83" t="s">
        <v>1790</v>
      </c>
    </row>
    <row r="212" spans="1:108" ht="38.25" x14ac:dyDescent="0.2">
      <c r="A212" s="176" t="str">
        <f t="shared" si="3"/>
        <v>CulvertTube</v>
      </c>
      <c r="B212" s="11" t="s">
        <v>2692</v>
      </c>
      <c r="C212" s="173"/>
      <c r="D212" s="22" t="s">
        <v>2693</v>
      </c>
      <c r="E212" s="15" t="s">
        <v>2694</v>
      </c>
      <c r="F212" s="15" t="s">
        <v>2690</v>
      </c>
      <c r="G212" s="174"/>
      <c r="H212" s="37">
        <v>119173</v>
      </c>
      <c r="I212" s="25" t="str">
        <f>CONCATENATE(Cover!$D$6,"fdd/view?i=",H212)</f>
        <v>https://www.dgiwg.org/FAD/fdd/view?i=119173</v>
      </c>
      <c r="J212" s="13" t="s">
        <v>2691</v>
      </c>
      <c r="K212" s="172"/>
      <c r="L212" s="172"/>
      <c r="AJ212" s="83" t="s">
        <v>1790</v>
      </c>
      <c r="AY212" s="85" t="s">
        <v>1790</v>
      </c>
    </row>
    <row r="213" spans="1:108" ht="25.5" x14ac:dyDescent="0.2">
      <c r="A213" s="176" t="str">
        <f t="shared" si="3"/>
        <v>Curb</v>
      </c>
      <c r="B213" s="11" t="s">
        <v>2696</v>
      </c>
      <c r="C213" s="173"/>
      <c r="D213" s="22" t="s">
        <v>2695</v>
      </c>
      <c r="E213" s="15" t="s">
        <v>2697</v>
      </c>
      <c r="F213" s="174"/>
      <c r="G213" s="174"/>
      <c r="H213" s="37">
        <v>100155</v>
      </c>
      <c r="I213" s="25" t="str">
        <f>CONCATENATE(Cover!$D$6,"fdd/view?i=",H213)</f>
        <v>https://www.dgiwg.org/FAD/fdd/view?i=100155</v>
      </c>
      <c r="J213" s="13" t="s">
        <v>2695</v>
      </c>
      <c r="K213" s="172"/>
      <c r="L213" s="172"/>
      <c r="AJ213" s="83" t="s">
        <v>1790</v>
      </c>
      <c r="AQ213" s="82" t="s">
        <v>1790</v>
      </c>
      <c r="AW213" s="82" t="s">
        <v>1790</v>
      </c>
    </row>
    <row r="214" spans="1:108" ht="25.5" x14ac:dyDescent="0.2">
      <c r="A214" s="176" t="str">
        <f t="shared" si="3"/>
        <v>CurveGeometryInfo</v>
      </c>
      <c r="B214" s="11" t="s">
        <v>2699</v>
      </c>
      <c r="C214" s="173"/>
      <c r="D214" s="22" t="s">
        <v>2700</v>
      </c>
      <c r="E214" s="15" t="s">
        <v>2701</v>
      </c>
      <c r="F214" s="15" t="s">
        <v>2702</v>
      </c>
      <c r="G214" s="174"/>
      <c r="H214" s="37">
        <v>114192</v>
      </c>
      <c r="I214" s="25" t="str">
        <f>CONCATENATE(Cover!$D$6,"fdd/view?i=",H214)</f>
        <v>https://www.dgiwg.org/FAD/fdd/view?i=114192</v>
      </c>
      <c r="J214" s="13" t="s">
        <v>2698</v>
      </c>
      <c r="K214" s="172"/>
      <c r="L214" s="172"/>
      <c r="DC214" s="87" t="s">
        <v>1790</v>
      </c>
    </row>
    <row r="215" spans="1:108" ht="25.5" x14ac:dyDescent="0.2">
      <c r="A215" s="176" t="str">
        <f t="shared" si="3"/>
        <v>CustomsImmigrationService</v>
      </c>
      <c r="B215" s="11" t="s">
        <v>2704</v>
      </c>
      <c r="C215" s="173"/>
      <c r="D215" s="22" t="s">
        <v>2705</v>
      </c>
      <c r="E215" s="15" t="s">
        <v>2706</v>
      </c>
      <c r="F215" s="174"/>
      <c r="G215" s="174"/>
      <c r="H215" s="37">
        <v>119572</v>
      </c>
      <c r="I215" s="25" t="str">
        <f>CONCATENATE(Cover!$D$6,"fdd/view?i=",H215)</f>
        <v>https://www.dgiwg.org/FAD/fdd/view?i=119572</v>
      </c>
      <c r="J215" s="13" t="s">
        <v>2703</v>
      </c>
      <c r="K215" s="172"/>
      <c r="L215" s="172"/>
      <c r="AM215" s="83" t="s">
        <v>1790</v>
      </c>
      <c r="CH215" s="83" t="s">
        <v>1790</v>
      </c>
    </row>
    <row r="216" spans="1:108" ht="25.5" x14ac:dyDescent="0.2">
      <c r="A216" s="176" t="str">
        <f t="shared" si="3"/>
        <v>Cut</v>
      </c>
      <c r="B216" s="11" t="s">
        <v>2708</v>
      </c>
      <c r="C216" s="173"/>
      <c r="D216" s="22" t="s">
        <v>2707</v>
      </c>
      <c r="E216" s="15" t="s">
        <v>2709</v>
      </c>
      <c r="F216" s="174"/>
      <c r="G216" s="174"/>
      <c r="H216" s="37">
        <v>100410</v>
      </c>
      <c r="I216" s="25" t="str">
        <f>CONCATENATE(Cover!$D$6,"fdd/view?i=",H216)</f>
        <v>https://www.dgiwg.org/FAD/fdd/view?i=100410</v>
      </c>
      <c r="J216" s="13" t="s">
        <v>2707</v>
      </c>
      <c r="K216" s="172"/>
      <c r="L216" s="172"/>
      <c r="AW216" s="82" t="s">
        <v>1790</v>
      </c>
      <c r="BM216" s="82" t="s">
        <v>1790</v>
      </c>
    </row>
    <row r="217" spans="1:108" x14ac:dyDescent="0.2">
      <c r="A217" s="176" t="str">
        <f t="shared" si="3"/>
        <v>CutFace</v>
      </c>
      <c r="B217" s="11" t="s">
        <v>2711</v>
      </c>
      <c r="C217" s="173"/>
      <c r="D217" s="22" t="s">
        <v>2712</v>
      </c>
      <c r="E217" s="15" t="s">
        <v>2713</v>
      </c>
      <c r="F217" s="174"/>
      <c r="G217" s="174"/>
      <c r="H217" s="37">
        <v>107624</v>
      </c>
      <c r="I217" s="25" t="str">
        <f>CONCATENATE(Cover!$D$6,"fdd/view?i=",H217)</f>
        <v>https://www.dgiwg.org/FAD/fdd/view?i=107624</v>
      </c>
      <c r="J217" s="13" t="s">
        <v>2710</v>
      </c>
      <c r="K217" s="172"/>
      <c r="L217" s="172"/>
      <c r="BM217" s="82" t="s">
        <v>1790</v>
      </c>
    </row>
    <row r="218" spans="1:108" x14ac:dyDescent="0.2">
      <c r="A218" s="176" t="str">
        <f t="shared" si="3"/>
        <v>CutLine</v>
      </c>
      <c r="B218" s="11" t="s">
        <v>2715</v>
      </c>
      <c r="C218" s="173"/>
      <c r="D218" s="22" t="s">
        <v>2512</v>
      </c>
      <c r="E218" s="15" t="s">
        <v>2716</v>
      </c>
      <c r="F218" s="174"/>
      <c r="G218" s="174"/>
      <c r="H218" s="37">
        <v>105314</v>
      </c>
      <c r="I218" s="25" t="str">
        <f>CONCATENATE(Cover!$D$6,"fdd/view?i=",H218)</f>
        <v>https://www.dgiwg.org/FAD/fdd/view?i=105314</v>
      </c>
      <c r="J218" s="13" t="s">
        <v>2714</v>
      </c>
      <c r="K218" s="172"/>
      <c r="L218" s="172"/>
      <c r="BM218" s="82" t="s">
        <v>1790</v>
      </c>
    </row>
    <row r="219" spans="1:108" ht="25.5" x14ac:dyDescent="0.2">
      <c r="A219" s="176" t="str">
        <f t="shared" si="3"/>
        <v>Dam</v>
      </c>
      <c r="B219" s="11" t="s">
        <v>2718</v>
      </c>
      <c r="C219" s="173"/>
      <c r="D219" s="22" t="s">
        <v>2717</v>
      </c>
      <c r="E219" s="15" t="s">
        <v>2719</v>
      </c>
      <c r="F219" s="174"/>
      <c r="G219" s="15" t="s">
        <v>2720</v>
      </c>
      <c r="H219" s="37">
        <v>100368</v>
      </c>
      <c r="I219" s="25" t="str">
        <f>CONCATENATE(Cover!$D$6,"fdd/view?i=",H219)</f>
        <v>https://www.dgiwg.org/FAD/fdd/view?i=100368</v>
      </c>
      <c r="J219" s="13" t="s">
        <v>2717</v>
      </c>
      <c r="K219" s="172"/>
      <c r="L219" s="172"/>
      <c r="BJ219" s="83" t="s">
        <v>1790</v>
      </c>
    </row>
    <row r="220" spans="1:108" ht="38.25" x14ac:dyDescent="0.2">
      <c r="A220" s="176" t="str">
        <f t="shared" si="3"/>
        <v>Dataset</v>
      </c>
      <c r="B220" s="11" t="s">
        <v>2722</v>
      </c>
      <c r="C220" s="173"/>
      <c r="D220" s="22" t="s">
        <v>2721</v>
      </c>
      <c r="E220" s="15" t="s">
        <v>2723</v>
      </c>
      <c r="F220" s="15" t="s">
        <v>2724</v>
      </c>
      <c r="G220" s="174"/>
      <c r="H220" s="37">
        <v>114212</v>
      </c>
      <c r="I220" s="25" t="str">
        <f>CONCATENATE(Cover!$D$6,"fdd/view?i=",H220)</f>
        <v>https://www.dgiwg.org/FAD/fdd/view?i=114212</v>
      </c>
      <c r="J220" s="13" t="s">
        <v>2721</v>
      </c>
      <c r="K220" s="172"/>
      <c r="L220" s="172"/>
      <c r="DD220" s="83" t="s">
        <v>1790</v>
      </c>
    </row>
    <row r="221" spans="1:108" x14ac:dyDescent="0.2">
      <c r="A221" s="176" t="str">
        <f t="shared" si="3"/>
        <v>DeFactoBoundary</v>
      </c>
      <c r="B221" s="11" t="s">
        <v>2726</v>
      </c>
      <c r="C221" s="173"/>
      <c r="D221" s="22" t="s">
        <v>2727</v>
      </c>
      <c r="E221" s="15" t="s">
        <v>2728</v>
      </c>
      <c r="F221" s="174"/>
      <c r="G221" s="174"/>
      <c r="H221" s="37">
        <v>100464</v>
      </c>
      <c r="I221" s="25" t="str">
        <f>CONCATENATE(Cover!$D$6,"fdd/view?i=",H221)</f>
        <v>https://www.dgiwg.org/FAD/fdd/view?i=100464</v>
      </c>
      <c r="J221" s="13" t="s">
        <v>2725</v>
      </c>
      <c r="K221" s="172"/>
      <c r="L221" s="172"/>
      <c r="AM221" s="83" t="s">
        <v>1790</v>
      </c>
      <c r="CC221" s="81" t="s">
        <v>1790</v>
      </c>
      <c r="CK221" s="82" t="s">
        <v>1790</v>
      </c>
    </row>
    <row r="222" spans="1:108" ht="76.5" x14ac:dyDescent="0.2">
      <c r="A222" s="176" t="str">
        <f t="shared" si="3"/>
        <v>DefensiveRevetment</v>
      </c>
      <c r="B222" s="11" t="s">
        <v>2730</v>
      </c>
      <c r="C222" s="173"/>
      <c r="D222" s="22" t="s">
        <v>2731</v>
      </c>
      <c r="E222" s="15" t="s">
        <v>2732</v>
      </c>
      <c r="F222" s="15" t="s">
        <v>2733</v>
      </c>
      <c r="G222" s="174"/>
      <c r="H222" s="37">
        <v>114629</v>
      </c>
      <c r="I222" s="25" t="str">
        <f>CONCATENATE(Cover!$D$6,"fdd/view?i=",H222)</f>
        <v>https://www.dgiwg.org/FAD/fdd/view?i=114629</v>
      </c>
      <c r="J222" s="13" t="s">
        <v>2729</v>
      </c>
      <c r="K222" s="172"/>
      <c r="L222" s="172"/>
      <c r="CE222" s="87" t="s">
        <v>1790</v>
      </c>
    </row>
    <row r="223" spans="1:108" ht="38.25" x14ac:dyDescent="0.2">
      <c r="A223" s="176" t="str">
        <f t="shared" si="3"/>
        <v>DeIcingAntiIcingArea</v>
      </c>
      <c r="B223" s="11" t="s">
        <v>2735</v>
      </c>
      <c r="C223" s="173"/>
      <c r="D223" s="22" t="s">
        <v>2736</v>
      </c>
      <c r="E223" s="15" t="s">
        <v>2737</v>
      </c>
      <c r="F223" s="174"/>
      <c r="G223" s="15" t="s">
        <v>2738</v>
      </c>
      <c r="H223" s="37">
        <v>114592</v>
      </c>
      <c r="I223" s="25" t="str">
        <f>CONCATENATE(Cover!$D$6,"fdd/view?i=",H223)</f>
        <v>https://www.dgiwg.org/FAD/fdd/view?i=114592</v>
      </c>
      <c r="J223" s="13" t="s">
        <v>2734</v>
      </c>
      <c r="K223" s="172"/>
      <c r="L223" s="172"/>
      <c r="CE223" s="87" t="s">
        <v>1790</v>
      </c>
    </row>
    <row r="224" spans="1:108" x14ac:dyDescent="0.2">
      <c r="A224" s="176" t="str">
        <f t="shared" si="3"/>
        <v>DemilitarizedZone</v>
      </c>
      <c r="B224" s="11" t="s">
        <v>2740</v>
      </c>
      <c r="C224" s="173"/>
      <c r="D224" s="22" t="s">
        <v>2741</v>
      </c>
      <c r="E224" s="15" t="s">
        <v>2742</v>
      </c>
      <c r="F224" s="174"/>
      <c r="G224" s="174"/>
      <c r="H224" s="37">
        <v>100465</v>
      </c>
      <c r="I224" s="25" t="str">
        <f>CONCATENATE(Cover!$D$6,"fdd/view?i=",H224)</f>
        <v>https://www.dgiwg.org/FAD/fdd/view?i=100465</v>
      </c>
      <c r="J224" s="13" t="s">
        <v>2739</v>
      </c>
      <c r="K224" s="172"/>
      <c r="L224" s="172"/>
      <c r="AM224" s="83" t="s">
        <v>1790</v>
      </c>
      <c r="CC224" s="81" t="s">
        <v>1790</v>
      </c>
      <c r="CK224" s="82" t="s">
        <v>1790</v>
      </c>
    </row>
    <row r="225" spans="1:87" ht="25.5" x14ac:dyDescent="0.2">
      <c r="A225" s="176" t="str">
        <f t="shared" si="3"/>
        <v>DepartureSegment</v>
      </c>
      <c r="B225" s="11" t="s">
        <v>2744</v>
      </c>
      <c r="C225" s="173"/>
      <c r="D225" s="22" t="s">
        <v>2745</v>
      </c>
      <c r="E225" s="15" t="s">
        <v>2746</v>
      </c>
      <c r="F225" s="15" t="s">
        <v>2146</v>
      </c>
      <c r="G225" s="174"/>
      <c r="H225" s="37">
        <v>114633</v>
      </c>
      <c r="I225" s="25" t="str">
        <f>CONCATENATE(Cover!$D$6,"fdd/view?i=",H225)</f>
        <v>https://www.dgiwg.org/FAD/fdd/view?i=114633</v>
      </c>
      <c r="J225" s="13" t="s">
        <v>2743</v>
      </c>
      <c r="K225" s="172"/>
      <c r="L225" s="172"/>
      <c r="CI225" s="89" t="s">
        <v>1790</v>
      </c>
    </row>
    <row r="226" spans="1:87" x14ac:dyDescent="0.2">
      <c r="A226" s="176" t="str">
        <f t="shared" si="3"/>
        <v>Depression</v>
      </c>
      <c r="B226" s="11" t="s">
        <v>2748</v>
      </c>
      <c r="C226" s="173"/>
      <c r="D226" s="22" t="s">
        <v>2747</v>
      </c>
      <c r="E226" s="15" t="s">
        <v>2749</v>
      </c>
      <c r="F226" s="174"/>
      <c r="G226" s="174"/>
      <c r="H226" s="37">
        <v>100411</v>
      </c>
      <c r="I226" s="25" t="str">
        <f>CONCATENATE(Cover!$D$6,"fdd/view?i=",H226)</f>
        <v>https://www.dgiwg.org/FAD/fdd/view?i=100411</v>
      </c>
      <c r="J226" s="13" t="s">
        <v>2747</v>
      </c>
      <c r="K226" s="172"/>
      <c r="L226" s="172"/>
      <c r="BM226" s="82" t="s">
        <v>1790</v>
      </c>
    </row>
    <row r="227" spans="1:87" x14ac:dyDescent="0.2">
      <c r="A227" s="176" t="str">
        <f t="shared" si="3"/>
        <v>DepthArea</v>
      </c>
      <c r="B227" s="11" t="s">
        <v>2751</v>
      </c>
      <c r="C227" s="173"/>
      <c r="D227" s="22" t="s">
        <v>2752</v>
      </c>
      <c r="E227" s="15" t="s">
        <v>2753</v>
      </c>
      <c r="F227" s="174"/>
      <c r="G227" s="174"/>
      <c r="H227" s="37">
        <v>100312</v>
      </c>
      <c r="I227" s="25" t="str">
        <f>CONCATENATE(Cover!$D$6,"fdd/view?i=",H227)</f>
        <v>https://www.dgiwg.org/FAD/fdd/view?i=100312</v>
      </c>
      <c r="J227" s="13" t="s">
        <v>2750</v>
      </c>
      <c r="K227" s="172"/>
      <c r="L227" s="172"/>
      <c r="BB227" s="83" t="s">
        <v>1790</v>
      </c>
    </row>
    <row r="228" spans="1:87" ht="51" x14ac:dyDescent="0.2">
      <c r="A228" s="176" t="str">
        <f t="shared" si="3"/>
        <v>DepthContour</v>
      </c>
      <c r="B228" s="11" t="s">
        <v>2755</v>
      </c>
      <c r="C228" s="173"/>
      <c r="D228" s="22" t="s">
        <v>2756</v>
      </c>
      <c r="E228" s="15" t="s">
        <v>2757</v>
      </c>
      <c r="F228" s="15" t="s">
        <v>2758</v>
      </c>
      <c r="G228" s="174"/>
      <c r="H228" s="37">
        <v>100311</v>
      </c>
      <c r="I228" s="25" t="str">
        <f>CONCATENATE(Cover!$D$6,"fdd/view?i=",H228)</f>
        <v>https://www.dgiwg.org/FAD/fdd/view?i=100311</v>
      </c>
      <c r="J228" s="13" t="s">
        <v>2754</v>
      </c>
      <c r="K228" s="172"/>
      <c r="L228" s="172"/>
      <c r="BB228" s="83" t="s">
        <v>1790</v>
      </c>
    </row>
    <row r="229" spans="1:87" ht="63.75" x14ac:dyDescent="0.2">
      <c r="A229" s="176" t="str">
        <f t="shared" si="3"/>
        <v>DepthCurve</v>
      </c>
      <c r="B229" s="11" t="s">
        <v>2760</v>
      </c>
      <c r="C229" s="173"/>
      <c r="D229" s="22" t="s">
        <v>2761</v>
      </c>
      <c r="E229" s="15" t="s">
        <v>2762</v>
      </c>
      <c r="F229" s="15" t="s">
        <v>2763</v>
      </c>
      <c r="G229" s="174"/>
      <c r="H229" s="37">
        <v>100310</v>
      </c>
      <c r="I229" s="25" t="str">
        <f>CONCATENATE(Cover!$D$6,"fdd/view?i=",H229)</f>
        <v>https://www.dgiwg.org/FAD/fdd/view?i=100310</v>
      </c>
      <c r="J229" s="13" t="s">
        <v>2759</v>
      </c>
      <c r="K229" s="172"/>
      <c r="L229" s="172"/>
      <c r="BB229" s="83" t="s">
        <v>1790</v>
      </c>
    </row>
    <row r="230" spans="1:87" x14ac:dyDescent="0.2">
      <c r="A230" s="176" t="str">
        <f t="shared" si="3"/>
        <v>Desert</v>
      </c>
      <c r="B230" s="11" t="s">
        <v>2765</v>
      </c>
      <c r="C230" s="173"/>
      <c r="D230" s="22" t="s">
        <v>2764</v>
      </c>
      <c r="E230" s="15" t="s">
        <v>2766</v>
      </c>
      <c r="F230" s="174"/>
      <c r="G230" s="174"/>
      <c r="H230" s="37">
        <v>110679</v>
      </c>
      <c r="I230" s="25" t="str">
        <f>CONCATENATE(Cover!$D$6,"fdd/view?i=",H230)</f>
        <v>https://www.dgiwg.org/FAD/fdd/view?i=110679</v>
      </c>
      <c r="J230" s="13" t="s">
        <v>2764</v>
      </c>
      <c r="K230" s="172"/>
      <c r="L230" s="172"/>
      <c r="BM230" s="82" t="s">
        <v>1790</v>
      </c>
      <c r="BY230" s="83" t="s">
        <v>1790</v>
      </c>
    </row>
    <row r="231" spans="1:87" ht="38.25" x14ac:dyDescent="0.2">
      <c r="A231" s="176" t="str">
        <f t="shared" si="3"/>
        <v>DesertificationArea</v>
      </c>
      <c r="B231" s="11" t="s">
        <v>2768</v>
      </c>
      <c r="C231" s="173"/>
      <c r="D231" s="22" t="s">
        <v>2769</v>
      </c>
      <c r="E231" s="15" t="s">
        <v>2770</v>
      </c>
      <c r="F231" s="15" t="s">
        <v>2771</v>
      </c>
      <c r="G231" s="15" t="s">
        <v>2772</v>
      </c>
      <c r="H231" s="37">
        <v>111376</v>
      </c>
      <c r="I231" s="25" t="str">
        <f>CONCATENATE(Cover!$D$6,"fdd/view?i=",H231)</f>
        <v>https://www.dgiwg.org/FAD/fdd/view?i=111376</v>
      </c>
      <c r="J231" s="13" t="s">
        <v>2767</v>
      </c>
      <c r="K231" s="172"/>
      <c r="L231" s="172"/>
      <c r="BM231" s="82" t="s">
        <v>1790</v>
      </c>
      <c r="BY231" s="83" t="s">
        <v>1790</v>
      </c>
    </row>
    <row r="232" spans="1:87" ht="51" x14ac:dyDescent="0.2">
      <c r="A232" s="176" t="str">
        <f t="shared" si="3"/>
        <v>DisasterSite</v>
      </c>
      <c r="B232" s="11" t="s">
        <v>2774</v>
      </c>
      <c r="C232" s="173"/>
      <c r="D232" s="22" t="s">
        <v>2775</v>
      </c>
      <c r="E232" s="15" t="s">
        <v>2776</v>
      </c>
      <c r="F232" s="174"/>
      <c r="G232" s="174"/>
      <c r="H232" s="37">
        <v>118445</v>
      </c>
      <c r="I232" s="25" t="str">
        <f>CONCATENATE(Cover!$D$6,"fdd/view?i=",H232)</f>
        <v>https://www.dgiwg.org/FAD/fdd/view?i=118445</v>
      </c>
      <c r="J232" s="13" t="s">
        <v>2773</v>
      </c>
      <c r="K232" s="172"/>
      <c r="L232" s="172"/>
      <c r="BG232" s="83" t="s">
        <v>1790</v>
      </c>
      <c r="BQ232" s="82" t="s">
        <v>1790</v>
      </c>
    </row>
    <row r="233" spans="1:87" ht="25.5" x14ac:dyDescent="0.2">
      <c r="A233" s="176" t="str">
        <f t="shared" si="3"/>
        <v>DiscolouredWater</v>
      </c>
      <c r="B233" s="11" t="s">
        <v>2778</v>
      </c>
      <c r="C233" s="173"/>
      <c r="D233" s="22" t="s">
        <v>2779</v>
      </c>
      <c r="E233" s="15" t="s">
        <v>2780</v>
      </c>
      <c r="F233" s="174"/>
      <c r="G233" s="15" t="s">
        <v>2781</v>
      </c>
      <c r="H233" s="37">
        <v>100285</v>
      </c>
      <c r="I233" s="25" t="str">
        <f>CONCATENATE(Cover!$D$6,"fdd/view?i=",H233)</f>
        <v>https://www.dgiwg.org/FAD/fdd/view?i=100285</v>
      </c>
      <c r="J233" s="13" t="s">
        <v>2777</v>
      </c>
      <c r="K233" s="172"/>
      <c r="L233" s="172"/>
      <c r="BG233" s="83" t="s">
        <v>1790</v>
      </c>
      <c r="BK233" s="89" t="s">
        <v>1790</v>
      </c>
    </row>
    <row r="234" spans="1:87" ht="38.25" x14ac:dyDescent="0.2">
      <c r="A234" s="176" t="str">
        <f t="shared" si="3"/>
        <v>DishAerial</v>
      </c>
      <c r="B234" s="11" t="s">
        <v>2783</v>
      </c>
      <c r="C234" s="173"/>
      <c r="D234" s="22" t="s">
        <v>2784</v>
      </c>
      <c r="E234" s="15" t="s">
        <v>2785</v>
      </c>
      <c r="F234" s="15" t="s">
        <v>2786</v>
      </c>
      <c r="G234" s="15" t="s">
        <v>2787</v>
      </c>
      <c r="H234" s="37">
        <v>100194</v>
      </c>
      <c r="I234" s="25" t="str">
        <f>CONCATENATE(Cover!$D$6,"fdd/view?i=",H234)</f>
        <v>https://www.dgiwg.org/FAD/fdd/view?i=100194</v>
      </c>
      <c r="J234" s="13" t="s">
        <v>2782</v>
      </c>
      <c r="K234" s="172"/>
      <c r="L234" s="172"/>
      <c r="AE234" s="82" t="s">
        <v>1790</v>
      </c>
    </row>
    <row r="235" spans="1:87" x14ac:dyDescent="0.2">
      <c r="A235" s="176" t="str">
        <f t="shared" si="3"/>
        <v>DisplaySign</v>
      </c>
      <c r="B235" s="11" t="s">
        <v>2789</v>
      </c>
      <c r="C235" s="173"/>
      <c r="D235" s="22" t="s">
        <v>2790</v>
      </c>
      <c r="E235" s="15" t="s">
        <v>2791</v>
      </c>
      <c r="F235" s="174"/>
      <c r="G235" s="15" t="s">
        <v>2792</v>
      </c>
      <c r="H235" s="37">
        <v>100091</v>
      </c>
      <c r="I235" s="25" t="str">
        <f>CONCATENATE(Cover!$D$6,"fdd/view?i=",H235)</f>
        <v>https://www.dgiwg.org/FAD/fdd/view?i=100091</v>
      </c>
      <c r="J235" s="13" t="s">
        <v>2788</v>
      </c>
      <c r="K235" s="172"/>
      <c r="L235" s="172"/>
      <c r="AJ235" s="83" t="s">
        <v>1790</v>
      </c>
      <c r="AW235" s="82" t="s">
        <v>1790</v>
      </c>
    </row>
    <row r="236" spans="1:87" ht="25.5" x14ac:dyDescent="0.2">
      <c r="A236" s="176" t="str">
        <f t="shared" si="3"/>
        <v>DisposalSite</v>
      </c>
      <c r="B236" s="11" t="s">
        <v>2794</v>
      </c>
      <c r="C236" s="173"/>
      <c r="D236" s="22" t="s">
        <v>2795</v>
      </c>
      <c r="E236" s="15" t="s">
        <v>2796</v>
      </c>
      <c r="F236" s="174"/>
      <c r="G236" s="15" t="s">
        <v>2797</v>
      </c>
      <c r="H236" s="37">
        <v>100010</v>
      </c>
      <c r="I236" s="25" t="str">
        <f>CONCATENATE(Cover!$D$6,"fdd/view?i=",H236)</f>
        <v>https://www.dgiwg.org/FAD/fdd/view?i=100010</v>
      </c>
      <c r="J236" s="13" t="s">
        <v>2793</v>
      </c>
      <c r="K236" s="172"/>
      <c r="L236" s="172"/>
      <c r="AF236" s="82" t="s">
        <v>1790</v>
      </c>
      <c r="AH236" s="85" t="s">
        <v>1790</v>
      </c>
    </row>
    <row r="237" spans="1:87" ht="25.5" x14ac:dyDescent="0.2">
      <c r="A237" s="176" t="str">
        <f t="shared" si="3"/>
        <v>DistanceMark</v>
      </c>
      <c r="B237" s="11" t="s">
        <v>2799</v>
      </c>
      <c r="C237" s="173"/>
      <c r="D237" s="22" t="s">
        <v>2800</v>
      </c>
      <c r="E237" s="15" t="s">
        <v>2801</v>
      </c>
      <c r="F237" s="15" t="s">
        <v>2802</v>
      </c>
      <c r="G237" s="174"/>
      <c r="H237" s="37">
        <v>100567</v>
      </c>
      <c r="I237" s="25" t="str">
        <f>CONCATENATE(Cover!$D$6,"fdd/view?i=",H237)</f>
        <v>https://www.dgiwg.org/FAD/fdd/view?i=100567</v>
      </c>
      <c r="J237" s="13" t="s">
        <v>2798</v>
      </c>
      <c r="K237" s="172"/>
      <c r="L237" s="172"/>
      <c r="CD237" s="85" t="s">
        <v>1790</v>
      </c>
    </row>
    <row r="238" spans="1:87" ht="63.75" x14ac:dyDescent="0.2">
      <c r="A238" s="176" t="str">
        <f t="shared" si="3"/>
        <v>DistanceMeasuringEquipment</v>
      </c>
      <c r="B238" s="11" t="s">
        <v>2804</v>
      </c>
      <c r="C238" s="173"/>
      <c r="D238" s="22" t="s">
        <v>2805</v>
      </c>
      <c r="E238" s="15" t="s">
        <v>2806</v>
      </c>
      <c r="F238" s="15" t="s">
        <v>2807</v>
      </c>
      <c r="G238" s="15" t="s">
        <v>2808</v>
      </c>
      <c r="H238" s="37">
        <v>114502</v>
      </c>
      <c r="I238" s="25" t="str">
        <f>CONCATENATE(Cover!$D$6,"fdd/view?i=",H238)</f>
        <v>https://www.dgiwg.org/FAD/fdd/view?i=114502</v>
      </c>
      <c r="J238" s="13" t="s">
        <v>2803</v>
      </c>
      <c r="K238" s="172"/>
      <c r="L238" s="172"/>
      <c r="CG238" s="83" t="s">
        <v>1790</v>
      </c>
    </row>
    <row r="239" spans="1:87" ht="25.5" x14ac:dyDescent="0.2">
      <c r="A239" s="176" t="str">
        <f t="shared" si="3"/>
        <v>DistancePost</v>
      </c>
      <c r="B239" s="11" t="s">
        <v>2810</v>
      </c>
      <c r="C239" s="173"/>
      <c r="D239" s="22" t="s">
        <v>2811</v>
      </c>
      <c r="E239" s="15" t="s">
        <v>2812</v>
      </c>
      <c r="F239" s="174"/>
      <c r="G239" s="15" t="s">
        <v>2813</v>
      </c>
      <c r="H239" s="37">
        <v>100170</v>
      </c>
      <c r="I239" s="25" t="str">
        <f>CONCATENATE(Cover!$D$6,"fdd/view?i=",H239)</f>
        <v>https://www.dgiwg.org/FAD/fdd/view?i=100170</v>
      </c>
      <c r="J239" s="13" t="s">
        <v>2809</v>
      </c>
      <c r="K239" s="172"/>
      <c r="L239" s="172"/>
      <c r="AW239" s="82" t="s">
        <v>1790</v>
      </c>
      <c r="CD239" s="85" t="s">
        <v>1790</v>
      </c>
    </row>
    <row r="240" spans="1:87" ht="25.5" x14ac:dyDescent="0.2">
      <c r="A240" s="176" t="str">
        <f t="shared" si="3"/>
        <v>DisturbedSoil</v>
      </c>
      <c r="B240" s="11" t="s">
        <v>2815</v>
      </c>
      <c r="C240" s="173"/>
      <c r="D240" s="22" t="s">
        <v>2816</v>
      </c>
      <c r="E240" s="15" t="s">
        <v>2817</v>
      </c>
      <c r="F240" s="15" t="s">
        <v>2818</v>
      </c>
      <c r="G240" s="174"/>
      <c r="H240" s="37">
        <v>100554</v>
      </c>
      <c r="I240" s="25" t="str">
        <f>CONCATENATE(Cover!$D$6,"fdd/view?i=",H240)</f>
        <v>https://www.dgiwg.org/FAD/fdd/view?i=100554</v>
      </c>
      <c r="J240" s="13" t="s">
        <v>2814</v>
      </c>
      <c r="K240" s="172"/>
      <c r="L240" s="172"/>
      <c r="BO240" s="82" t="s">
        <v>1790</v>
      </c>
    </row>
    <row r="241" spans="1:88" ht="25.5" x14ac:dyDescent="0.2">
      <c r="A241" s="176" t="str">
        <f t="shared" si="3"/>
        <v>Ditch</v>
      </c>
      <c r="B241" s="11" t="s">
        <v>2820</v>
      </c>
      <c r="C241" s="173"/>
      <c r="D241" s="22" t="s">
        <v>2819</v>
      </c>
      <c r="E241" s="15" t="s">
        <v>2821</v>
      </c>
      <c r="F241" s="174"/>
      <c r="G241" s="174"/>
      <c r="H241" s="37">
        <v>100334</v>
      </c>
      <c r="I241" s="25" t="str">
        <f>CONCATENATE(Cover!$D$6,"fdd/view?i=",H241)</f>
        <v>https://www.dgiwg.org/FAD/fdd/view?i=100334</v>
      </c>
      <c r="J241" s="13" t="s">
        <v>2819</v>
      </c>
      <c r="K241" s="172"/>
      <c r="L241" s="172"/>
      <c r="AC241" s="82" t="s">
        <v>1790</v>
      </c>
      <c r="BJ241" s="83" t="s">
        <v>1790</v>
      </c>
    </row>
    <row r="242" spans="1:88" x14ac:dyDescent="0.2">
      <c r="A242" s="176" t="str">
        <f t="shared" si="3"/>
        <v>DivingLocation</v>
      </c>
      <c r="B242" s="11" t="s">
        <v>2823</v>
      </c>
      <c r="C242" s="173"/>
      <c r="D242" s="22" t="s">
        <v>2824</v>
      </c>
      <c r="E242" s="15" t="s">
        <v>2825</v>
      </c>
      <c r="F242" s="15" t="s">
        <v>2826</v>
      </c>
      <c r="G242" s="174"/>
      <c r="H242" s="37">
        <v>114461</v>
      </c>
      <c r="I242" s="25" t="str">
        <f>CONCATENATE(Cover!$D$6,"fdd/view?i=",H242)</f>
        <v>https://www.dgiwg.org/FAD/fdd/view?i=114461</v>
      </c>
      <c r="J242" s="13" t="s">
        <v>2822</v>
      </c>
      <c r="K242" s="172"/>
      <c r="L242" s="172"/>
      <c r="AZ242" s="87" t="s">
        <v>1790</v>
      </c>
      <c r="BB242" s="83" t="s">
        <v>1790</v>
      </c>
      <c r="BI242" s="83" t="s">
        <v>1790</v>
      </c>
    </row>
    <row r="243" spans="1:88" ht="25.5" x14ac:dyDescent="0.2">
      <c r="A243" s="176" t="str">
        <f t="shared" si="3"/>
        <v>Dock</v>
      </c>
      <c r="B243" s="11" t="s">
        <v>2828</v>
      </c>
      <c r="C243" s="173"/>
      <c r="D243" s="22" t="s">
        <v>2827</v>
      </c>
      <c r="E243" s="15" t="s">
        <v>2829</v>
      </c>
      <c r="F243" s="174"/>
      <c r="G243" s="174"/>
      <c r="H243" s="37">
        <v>110906</v>
      </c>
      <c r="I243" s="25" t="str">
        <f>CONCATENATE(Cover!$D$6,"fdd/view?i=",H243)</f>
        <v>https://www.dgiwg.org/FAD/fdd/view?i=110906</v>
      </c>
      <c r="J243" s="13" t="s">
        <v>2827</v>
      </c>
      <c r="K243" s="172"/>
      <c r="L243" s="172"/>
      <c r="AS243" s="82" t="s">
        <v>1790</v>
      </c>
      <c r="BA243" s="83" t="s">
        <v>1790</v>
      </c>
    </row>
    <row r="244" spans="1:88" ht="25.5" x14ac:dyDescent="0.2">
      <c r="A244" s="176" t="str">
        <f t="shared" si="3"/>
        <v>Dolphin</v>
      </c>
      <c r="B244" s="11" t="s">
        <v>2831</v>
      </c>
      <c r="C244" s="173"/>
      <c r="D244" s="22" t="s">
        <v>2830</v>
      </c>
      <c r="E244" s="15" t="s">
        <v>2832</v>
      </c>
      <c r="F244" s="174"/>
      <c r="G244" s="174"/>
      <c r="H244" s="37">
        <v>100233</v>
      </c>
      <c r="I244" s="25" t="str">
        <f>CONCATENATE(Cover!$D$6,"fdd/view?i=",H244)</f>
        <v>https://www.dgiwg.org/FAD/fdd/view?i=100233</v>
      </c>
      <c r="J244" s="13" t="s">
        <v>2830</v>
      </c>
      <c r="K244" s="172"/>
      <c r="L244" s="172"/>
      <c r="BA244" s="83" t="s">
        <v>1790</v>
      </c>
      <c r="BG244" s="83" t="s">
        <v>1790</v>
      </c>
    </row>
    <row r="245" spans="1:88" ht="25.5" x14ac:dyDescent="0.2">
      <c r="A245" s="176" t="str">
        <f t="shared" si="3"/>
        <v>DpreCamp</v>
      </c>
      <c r="B245" s="11" t="s">
        <v>2834</v>
      </c>
      <c r="C245" s="173"/>
      <c r="D245" s="22" t="s">
        <v>2835</v>
      </c>
      <c r="E245" s="15" t="s">
        <v>2836</v>
      </c>
      <c r="F245" s="15" t="s">
        <v>2837</v>
      </c>
      <c r="G245" s="174"/>
      <c r="H245" s="37">
        <v>119424</v>
      </c>
      <c r="I245" s="25" t="str">
        <f>CONCATENATE(Cover!$D$6,"fdd/view?i=",H245)</f>
        <v>https://www.dgiwg.org/FAD/fdd/view?i=119424</v>
      </c>
      <c r="J245" s="13" t="s">
        <v>2833</v>
      </c>
      <c r="K245" s="172"/>
      <c r="L245" s="172"/>
      <c r="AI245" s="87" t="s">
        <v>1790</v>
      </c>
    </row>
    <row r="246" spans="1:88" ht="25.5" x14ac:dyDescent="0.2">
      <c r="A246" s="176" t="str">
        <f t="shared" si="3"/>
        <v>DragonsTeeth</v>
      </c>
      <c r="B246" s="11" t="s">
        <v>2839</v>
      </c>
      <c r="C246" s="173"/>
      <c r="D246" s="22" t="s">
        <v>2840</v>
      </c>
      <c r="E246" s="15" t="s">
        <v>2841</v>
      </c>
      <c r="F246" s="15" t="s">
        <v>2842</v>
      </c>
      <c r="G246" s="174"/>
      <c r="H246" s="37">
        <v>100092</v>
      </c>
      <c r="I246" s="25" t="str">
        <f>CONCATENATE(Cover!$D$6,"fdd/view?i=",H246)</f>
        <v>https://www.dgiwg.org/FAD/fdd/view?i=100092</v>
      </c>
      <c r="J246" s="13" t="s">
        <v>2838</v>
      </c>
      <c r="K246" s="172"/>
      <c r="L246" s="172"/>
      <c r="AU246" s="82" t="s">
        <v>1790</v>
      </c>
      <c r="AW246" s="82" t="s">
        <v>1790</v>
      </c>
      <c r="CJ246" s="81" t="s">
        <v>1790</v>
      </c>
    </row>
    <row r="247" spans="1:88" ht="25.5" x14ac:dyDescent="0.2">
      <c r="A247" s="176" t="str">
        <f t="shared" si="3"/>
        <v>DrainageBasin</v>
      </c>
      <c r="B247" s="11" t="s">
        <v>2844</v>
      </c>
      <c r="C247" s="173"/>
      <c r="D247" s="22" t="s">
        <v>2845</v>
      </c>
      <c r="E247" s="15" t="s">
        <v>2846</v>
      </c>
      <c r="F247" s="174"/>
      <c r="G247" s="15" t="s">
        <v>2847</v>
      </c>
      <c r="H247" s="37">
        <v>111375</v>
      </c>
      <c r="I247" s="25" t="str">
        <f>CONCATENATE(Cover!$D$6,"fdd/view?i=",H247)</f>
        <v>https://www.dgiwg.org/FAD/fdd/view?i=111375</v>
      </c>
      <c r="J247" s="13" t="s">
        <v>2843</v>
      </c>
      <c r="K247" s="172"/>
      <c r="L247" s="172"/>
      <c r="BO247" s="82" t="s">
        <v>1790</v>
      </c>
      <c r="BP247" s="82" t="s">
        <v>1790</v>
      </c>
    </row>
    <row r="248" spans="1:88" ht="38.25" x14ac:dyDescent="0.2">
      <c r="A248" s="176" t="str">
        <f t="shared" si="3"/>
        <v>DrainageLimit</v>
      </c>
      <c r="B248" s="11" t="s">
        <v>2849</v>
      </c>
      <c r="C248" s="173"/>
      <c r="D248" s="22" t="s">
        <v>2850</v>
      </c>
      <c r="E248" s="15" t="s">
        <v>2851</v>
      </c>
      <c r="F248" s="174"/>
      <c r="G248" s="15" t="s">
        <v>2852</v>
      </c>
      <c r="H248" s="37">
        <v>118437</v>
      </c>
      <c r="I248" s="25" t="str">
        <f>CONCATENATE(Cover!$D$6,"fdd/view?i=",H248)</f>
        <v>https://www.dgiwg.org/FAD/fdd/view?i=118437</v>
      </c>
      <c r="J248" s="13" t="s">
        <v>2848</v>
      </c>
      <c r="K248" s="172"/>
      <c r="L248" s="172"/>
      <c r="BJ248" s="83" t="s">
        <v>1790</v>
      </c>
      <c r="BO248" s="82" t="s">
        <v>1790</v>
      </c>
      <c r="BP248" s="82" t="s">
        <v>1790</v>
      </c>
    </row>
    <row r="249" spans="1:88" ht="25.5" x14ac:dyDescent="0.2">
      <c r="A249" s="176" t="str">
        <f t="shared" si="3"/>
        <v>DredgedArea</v>
      </c>
      <c r="B249" s="11" t="s">
        <v>2854</v>
      </c>
      <c r="C249" s="173"/>
      <c r="D249" s="22" t="s">
        <v>2855</v>
      </c>
      <c r="E249" s="15" t="s">
        <v>2856</v>
      </c>
      <c r="F249" s="174"/>
      <c r="G249" s="174"/>
      <c r="H249" s="37">
        <v>111102</v>
      </c>
      <c r="I249" s="25" t="str">
        <f>CONCATENATE(Cover!$D$6,"fdd/view?i=",H249)</f>
        <v>https://www.dgiwg.org/FAD/fdd/view?i=111102</v>
      </c>
      <c r="J249" s="13" t="s">
        <v>2853</v>
      </c>
      <c r="K249" s="172"/>
      <c r="L249" s="172"/>
      <c r="AS249" s="82" t="s">
        <v>1790</v>
      </c>
      <c r="BA249" s="83" t="s">
        <v>1790</v>
      </c>
      <c r="BB249" s="83" t="s">
        <v>1790</v>
      </c>
      <c r="BF249" s="83" t="s">
        <v>1790</v>
      </c>
    </row>
    <row r="250" spans="1:88" x14ac:dyDescent="0.2">
      <c r="A250" s="176" t="str">
        <f t="shared" si="3"/>
        <v>DrinkingTrough</v>
      </c>
      <c r="B250" s="11" t="s">
        <v>2858</v>
      </c>
      <c r="C250" s="173"/>
      <c r="D250" s="22" t="s">
        <v>2859</v>
      </c>
      <c r="E250" s="15" t="s">
        <v>2860</v>
      </c>
      <c r="F250" s="174"/>
      <c r="G250" s="174"/>
      <c r="H250" s="37">
        <v>100359</v>
      </c>
      <c r="I250" s="25" t="str">
        <f>CONCATENATE(Cover!$D$6,"fdd/view?i=",H250)</f>
        <v>https://www.dgiwg.org/FAD/fdd/view?i=100359</v>
      </c>
      <c r="J250" s="13" t="s">
        <v>2857</v>
      </c>
      <c r="K250" s="172"/>
      <c r="L250" s="172"/>
      <c r="AC250" s="82" t="s">
        <v>1790</v>
      </c>
      <c r="BJ250" s="83" t="s">
        <v>1790</v>
      </c>
      <c r="CA250" s="83" t="s">
        <v>1790</v>
      </c>
    </row>
    <row r="251" spans="1:88" x14ac:dyDescent="0.2">
      <c r="A251" s="176" t="str">
        <f t="shared" si="3"/>
        <v>DriveInTheatre</v>
      </c>
      <c r="B251" s="11" t="s">
        <v>2862</v>
      </c>
      <c r="C251" s="173"/>
      <c r="D251" s="22" t="s">
        <v>2863</v>
      </c>
      <c r="E251" s="15" t="s">
        <v>2864</v>
      </c>
      <c r="F251" s="174"/>
      <c r="G251" s="15" t="s">
        <v>2865</v>
      </c>
      <c r="H251" s="37">
        <v>100057</v>
      </c>
      <c r="I251" s="25" t="str">
        <f>CONCATENATE(Cover!$D$6,"fdd/view?i=",H251)</f>
        <v>https://www.dgiwg.org/FAD/fdd/view?i=100057</v>
      </c>
      <c r="J251" s="13" t="s">
        <v>2861</v>
      </c>
      <c r="K251" s="172"/>
      <c r="L251" s="172"/>
      <c r="AL251" s="83" t="s">
        <v>1790</v>
      </c>
    </row>
    <row r="252" spans="1:88" x14ac:dyDescent="0.2">
      <c r="A252" s="176" t="str">
        <f t="shared" si="3"/>
        <v>Drove</v>
      </c>
      <c r="B252" s="11" t="s">
        <v>2867</v>
      </c>
      <c r="C252" s="173"/>
      <c r="D252" s="22" t="s">
        <v>2866</v>
      </c>
      <c r="E252" s="15" t="s">
        <v>2868</v>
      </c>
      <c r="F252" s="15" t="s">
        <v>2869</v>
      </c>
      <c r="G252" s="174"/>
      <c r="H252" s="37">
        <v>100149</v>
      </c>
      <c r="I252" s="25" t="str">
        <f>CONCATENATE(Cover!$D$6,"fdd/view?i=",H252)</f>
        <v>https://www.dgiwg.org/FAD/fdd/view?i=100149</v>
      </c>
      <c r="J252" s="13" t="s">
        <v>2866</v>
      </c>
      <c r="K252" s="172"/>
      <c r="L252" s="172"/>
      <c r="AC252" s="82" t="s">
        <v>1790</v>
      </c>
      <c r="AQ252" s="82" t="s">
        <v>1790</v>
      </c>
    </row>
    <row r="253" spans="1:88" ht="25.5" x14ac:dyDescent="0.2">
      <c r="A253" s="176" t="str">
        <f t="shared" si="3"/>
        <v>DryArea</v>
      </c>
      <c r="B253" s="11" t="s">
        <v>2871</v>
      </c>
      <c r="C253" s="173"/>
      <c r="D253" s="22" t="s">
        <v>2872</v>
      </c>
      <c r="E253" s="15" t="s">
        <v>2873</v>
      </c>
      <c r="F253" s="174"/>
      <c r="G253" s="174"/>
      <c r="H253" s="37">
        <v>111377</v>
      </c>
      <c r="I253" s="25" t="str">
        <f>CONCATENATE(Cover!$D$6,"fdd/view?i=",H253)</f>
        <v>https://www.dgiwg.org/FAD/fdd/view?i=111377</v>
      </c>
      <c r="J253" s="13" t="s">
        <v>2870</v>
      </c>
      <c r="K253" s="172"/>
      <c r="L253" s="172"/>
      <c r="BY253" s="83" t="s">
        <v>1790</v>
      </c>
    </row>
    <row r="254" spans="1:88" ht="25.5" x14ac:dyDescent="0.2">
      <c r="A254" s="176" t="str">
        <f t="shared" si="3"/>
        <v>DryDock</v>
      </c>
      <c r="B254" s="11" t="s">
        <v>2875</v>
      </c>
      <c r="C254" s="173"/>
      <c r="D254" s="22" t="s">
        <v>2876</v>
      </c>
      <c r="E254" s="15" t="s">
        <v>2877</v>
      </c>
      <c r="F254" s="174"/>
      <c r="G254" s="15" t="s">
        <v>2878</v>
      </c>
      <c r="H254" s="37">
        <v>100235</v>
      </c>
      <c r="I254" s="25" t="str">
        <f>CONCATENATE(Cover!$D$6,"fdd/view?i=",H254)</f>
        <v>https://www.dgiwg.org/FAD/fdd/view?i=100235</v>
      </c>
      <c r="J254" s="13" t="s">
        <v>2874</v>
      </c>
      <c r="K254" s="172"/>
      <c r="L254" s="172"/>
      <c r="AS254" s="82" t="s">
        <v>1790</v>
      </c>
      <c r="BA254" s="83" t="s">
        <v>1790</v>
      </c>
    </row>
    <row r="255" spans="1:88" x14ac:dyDescent="0.2">
      <c r="A255" s="176" t="str">
        <f t="shared" si="3"/>
        <v>DryDockBasin</v>
      </c>
      <c r="B255" s="11" t="s">
        <v>2880</v>
      </c>
      <c r="C255" s="173"/>
      <c r="D255" s="22" t="s">
        <v>2881</v>
      </c>
      <c r="E255" s="15" t="s">
        <v>2882</v>
      </c>
      <c r="F255" s="174"/>
      <c r="G255" s="174"/>
      <c r="H255" s="37">
        <v>101069</v>
      </c>
      <c r="I255" s="25" t="str">
        <f>CONCATENATE(Cover!$D$6,"fdd/view?i=",H255)</f>
        <v>https://www.dgiwg.org/FAD/fdd/view?i=101069</v>
      </c>
      <c r="J255" s="13" t="s">
        <v>2879</v>
      </c>
      <c r="K255" s="172"/>
      <c r="L255" s="172"/>
      <c r="AS255" s="82" t="s">
        <v>1790</v>
      </c>
      <c r="BA255" s="83" t="s">
        <v>1790</v>
      </c>
    </row>
    <row r="256" spans="1:88" ht="25.5" x14ac:dyDescent="0.2">
      <c r="A256" s="176" t="str">
        <f t="shared" si="3"/>
        <v>DryDockGate</v>
      </c>
      <c r="B256" s="11" t="s">
        <v>2884</v>
      </c>
      <c r="C256" s="173"/>
      <c r="D256" s="22" t="s">
        <v>2885</v>
      </c>
      <c r="E256" s="15" t="s">
        <v>2886</v>
      </c>
      <c r="F256" s="15" t="s">
        <v>2887</v>
      </c>
      <c r="G256" s="15" t="s">
        <v>2888</v>
      </c>
      <c r="H256" s="37">
        <v>100374</v>
      </c>
      <c r="I256" s="25" t="str">
        <f>CONCATENATE(Cover!$D$6,"fdd/view?i=",H256)</f>
        <v>https://www.dgiwg.org/FAD/fdd/view?i=100374</v>
      </c>
      <c r="J256" s="13" t="s">
        <v>2883</v>
      </c>
      <c r="K256" s="172"/>
      <c r="L256" s="172"/>
      <c r="AS256" s="82" t="s">
        <v>1790</v>
      </c>
      <c r="BA256" s="83" t="s">
        <v>1790</v>
      </c>
    </row>
    <row r="257" spans="1:88" x14ac:dyDescent="0.2">
      <c r="A257" s="176" t="str">
        <f t="shared" si="3"/>
        <v>DryDockWall</v>
      </c>
      <c r="B257" s="11" t="s">
        <v>2890</v>
      </c>
      <c r="C257" s="173"/>
      <c r="D257" s="22" t="s">
        <v>2891</v>
      </c>
      <c r="E257" s="15" t="s">
        <v>2892</v>
      </c>
      <c r="F257" s="15" t="s">
        <v>2893</v>
      </c>
      <c r="G257" s="174"/>
      <c r="H257" s="37">
        <v>101104</v>
      </c>
      <c r="I257" s="25" t="str">
        <f>CONCATENATE(Cover!$D$6,"fdd/view?i=",H257)</f>
        <v>https://www.dgiwg.org/FAD/fdd/view?i=101104</v>
      </c>
      <c r="J257" s="13" t="s">
        <v>2889</v>
      </c>
      <c r="K257" s="172"/>
      <c r="L257" s="172"/>
      <c r="AS257" s="82" t="s">
        <v>1790</v>
      </c>
      <c r="BA257" s="83" t="s">
        <v>1790</v>
      </c>
    </row>
    <row r="258" spans="1:88" x14ac:dyDescent="0.2">
      <c r="A258" s="176" t="str">
        <f t="shared" si="3"/>
        <v>DryLand</v>
      </c>
      <c r="B258" s="11" t="s">
        <v>2895</v>
      </c>
      <c r="C258" s="173"/>
      <c r="D258" s="22" t="s">
        <v>2896</v>
      </c>
      <c r="E258" s="15" t="s">
        <v>2897</v>
      </c>
      <c r="F258" s="174"/>
      <c r="G258" s="174"/>
      <c r="H258" s="37">
        <v>100404</v>
      </c>
      <c r="I258" s="25" t="str">
        <f>CONCATENATE(Cover!$D$6,"fdd/view?i=",H258)</f>
        <v>https://www.dgiwg.org/FAD/fdd/view?i=100404</v>
      </c>
      <c r="J258" s="13" t="s">
        <v>2894</v>
      </c>
      <c r="K258" s="172"/>
      <c r="L258" s="172"/>
      <c r="BM258" s="82" t="s">
        <v>1790</v>
      </c>
      <c r="BT258" s="85" t="s">
        <v>1790</v>
      </c>
    </row>
    <row r="259" spans="1:88" ht="25.5" x14ac:dyDescent="0.2">
      <c r="A259" s="176" t="str">
        <f t="shared" ref="A259:A322" si="4">HYPERLINK(I259,J259)</f>
        <v>DumpingGround</v>
      </c>
      <c r="B259" s="11" t="s">
        <v>2899</v>
      </c>
      <c r="C259" s="173"/>
      <c r="D259" s="22" t="s">
        <v>2900</v>
      </c>
      <c r="E259" s="15" t="s">
        <v>2901</v>
      </c>
      <c r="F259" s="174"/>
      <c r="G259" s="174"/>
      <c r="H259" s="37">
        <v>111101</v>
      </c>
      <c r="I259" s="25" t="str">
        <f>CONCATENATE(Cover!$D$6,"fdd/view?i=",H259)</f>
        <v>https://www.dgiwg.org/FAD/fdd/view?i=111101</v>
      </c>
      <c r="J259" s="13" t="s">
        <v>2898</v>
      </c>
      <c r="K259" s="172"/>
      <c r="L259" s="172"/>
      <c r="AH259" s="85" t="s">
        <v>1790</v>
      </c>
      <c r="BC259" s="83" t="s">
        <v>1790</v>
      </c>
      <c r="BI259" s="83" t="s">
        <v>1790</v>
      </c>
    </row>
    <row r="260" spans="1:88" x14ac:dyDescent="0.2">
      <c r="A260" s="176" t="str">
        <f t="shared" si="4"/>
        <v>Dunes</v>
      </c>
      <c r="B260" s="11" t="s">
        <v>2903</v>
      </c>
      <c r="C260" s="173"/>
      <c r="D260" s="22" t="s">
        <v>2902</v>
      </c>
      <c r="E260" s="15" t="s">
        <v>2904</v>
      </c>
      <c r="F260" s="15" t="s">
        <v>2905</v>
      </c>
      <c r="G260" s="174"/>
      <c r="H260" s="37">
        <v>118431</v>
      </c>
      <c r="I260" s="25" t="str">
        <f>CONCATENATE(Cover!$D$6,"fdd/view?i=",H260)</f>
        <v>https://www.dgiwg.org/FAD/fdd/view?i=118431</v>
      </c>
      <c r="J260" s="13" t="s">
        <v>2902</v>
      </c>
      <c r="K260" s="172"/>
      <c r="L260" s="172"/>
      <c r="BM260" s="82" t="s">
        <v>1790</v>
      </c>
      <c r="BO260" s="82" t="s">
        <v>1790</v>
      </c>
      <c r="BY260" s="83" t="s">
        <v>1790</v>
      </c>
    </row>
    <row r="261" spans="1:88" x14ac:dyDescent="0.2">
      <c r="A261" s="176" t="str">
        <f t="shared" si="4"/>
        <v>Dyke</v>
      </c>
      <c r="B261" s="11" t="s">
        <v>2907</v>
      </c>
      <c r="C261" s="173"/>
      <c r="D261" s="22" t="s">
        <v>2906</v>
      </c>
      <c r="E261" s="15" t="s">
        <v>2908</v>
      </c>
      <c r="F261" s="174"/>
      <c r="G261" s="15" t="s">
        <v>2909</v>
      </c>
      <c r="H261" s="37">
        <v>102882</v>
      </c>
      <c r="I261" s="25" t="str">
        <f>CONCATENATE(Cover!$D$6,"fdd/view?i=",H261)</f>
        <v>https://www.dgiwg.org/FAD/fdd/view?i=102882</v>
      </c>
      <c r="J261" s="13" t="s">
        <v>2906</v>
      </c>
      <c r="K261" s="172"/>
      <c r="L261" s="172"/>
      <c r="AS261" s="82" t="s">
        <v>1790</v>
      </c>
      <c r="BA261" s="83" t="s">
        <v>1790</v>
      </c>
      <c r="BM261" s="82" t="s">
        <v>1790</v>
      </c>
    </row>
    <row r="262" spans="1:88" x14ac:dyDescent="0.2">
      <c r="A262" s="176" t="str">
        <f t="shared" si="4"/>
        <v>EarlyWarningRadarStation</v>
      </c>
      <c r="B262" s="11" t="s">
        <v>2911</v>
      </c>
      <c r="C262" s="173"/>
      <c r="D262" s="22" t="s">
        <v>2912</v>
      </c>
      <c r="E262" s="15" t="s">
        <v>2913</v>
      </c>
      <c r="F262" s="174"/>
      <c r="G262" s="174"/>
      <c r="H262" s="37">
        <v>100195</v>
      </c>
      <c r="I262" s="25" t="str">
        <f>CONCATENATE(Cover!$D$6,"fdd/view?i=",H262)</f>
        <v>https://www.dgiwg.org/FAD/fdd/view?i=100195</v>
      </c>
      <c r="J262" s="13" t="s">
        <v>2910</v>
      </c>
      <c r="K262" s="172"/>
      <c r="L262" s="172"/>
      <c r="CJ262" s="81" t="s">
        <v>1790</v>
      </c>
    </row>
    <row r="263" spans="1:88" ht="25.5" x14ac:dyDescent="0.2">
      <c r="A263" s="176" t="str">
        <f t="shared" si="4"/>
        <v>EarthquakeDamageArea</v>
      </c>
      <c r="B263" s="11" t="s">
        <v>2915</v>
      </c>
      <c r="C263" s="173"/>
      <c r="D263" s="22" t="s">
        <v>2916</v>
      </c>
      <c r="E263" s="15" t="s">
        <v>2917</v>
      </c>
      <c r="F263" s="15" t="s">
        <v>2918</v>
      </c>
      <c r="G263" s="174"/>
      <c r="H263" s="37">
        <v>111367</v>
      </c>
      <c r="I263" s="25" t="str">
        <f>CONCATENATE(Cover!$D$6,"fdd/view?i=",H263)</f>
        <v>https://www.dgiwg.org/FAD/fdd/view?i=111367</v>
      </c>
      <c r="J263" s="13" t="s">
        <v>2914</v>
      </c>
      <c r="K263" s="172"/>
      <c r="L263" s="172"/>
      <c r="BQ263" s="82" t="s">
        <v>1790</v>
      </c>
    </row>
    <row r="264" spans="1:88" ht="25.5" x14ac:dyDescent="0.2">
      <c r="A264" s="176" t="str">
        <f t="shared" si="4"/>
        <v>EcologicalCrisisArea</v>
      </c>
      <c r="B264" s="11" t="s">
        <v>2920</v>
      </c>
      <c r="C264" s="173"/>
      <c r="D264" s="22" t="s">
        <v>2921</v>
      </c>
      <c r="E264" s="15" t="s">
        <v>2922</v>
      </c>
      <c r="F264" s="174"/>
      <c r="G264" s="15" t="s">
        <v>2923</v>
      </c>
      <c r="H264" s="37">
        <v>111379</v>
      </c>
      <c r="I264" s="25" t="str">
        <f>CONCATENATE(Cover!$D$6,"fdd/view?i=",H264)</f>
        <v>https://www.dgiwg.org/FAD/fdd/view?i=111379</v>
      </c>
      <c r="J264" s="13" t="s">
        <v>2919</v>
      </c>
      <c r="K264" s="172"/>
      <c r="L264" s="172"/>
      <c r="BZ264" s="83" t="s">
        <v>1790</v>
      </c>
    </row>
    <row r="265" spans="1:88" ht="25.5" x14ac:dyDescent="0.2">
      <c r="A265" s="176" t="str">
        <f t="shared" si="4"/>
        <v>EconomicReserve</v>
      </c>
      <c r="B265" s="11" t="s">
        <v>2925</v>
      </c>
      <c r="C265" s="173"/>
      <c r="D265" s="22" t="s">
        <v>2926</v>
      </c>
      <c r="E265" s="15" t="s">
        <v>2927</v>
      </c>
      <c r="F265" s="15" t="s">
        <v>2928</v>
      </c>
      <c r="G265" s="174"/>
      <c r="H265" s="37">
        <v>111452</v>
      </c>
      <c r="I265" s="25" t="str">
        <f>CONCATENATE(Cover!$D$6,"fdd/view?i=",H265)</f>
        <v>https://www.dgiwg.org/FAD/fdd/view?i=111452</v>
      </c>
      <c r="J265" s="13" t="s">
        <v>2924</v>
      </c>
      <c r="K265" s="172"/>
      <c r="L265" s="172"/>
      <c r="BP265" s="82" t="s">
        <v>1790</v>
      </c>
      <c r="BZ265" s="83" t="s">
        <v>1790</v>
      </c>
    </row>
    <row r="266" spans="1:88" ht="38.25" x14ac:dyDescent="0.2">
      <c r="A266" s="176" t="str">
        <f t="shared" si="4"/>
        <v>Eddies</v>
      </c>
      <c r="B266" s="11" t="s">
        <v>2930</v>
      </c>
      <c r="C266" s="173"/>
      <c r="D266" s="22" t="s">
        <v>2929</v>
      </c>
      <c r="E266" s="15" t="s">
        <v>2931</v>
      </c>
      <c r="F266" s="174"/>
      <c r="G266" s="174"/>
      <c r="H266" s="37">
        <v>100286</v>
      </c>
      <c r="I266" s="25" t="str">
        <f>CONCATENATE(Cover!$D$6,"fdd/view?i=",H266)</f>
        <v>https://www.dgiwg.org/FAD/fdd/view?i=100286</v>
      </c>
      <c r="J266" s="13" t="s">
        <v>2929</v>
      </c>
      <c r="K266" s="172"/>
      <c r="L266" s="172"/>
      <c r="BE266" s="83" t="s">
        <v>1790</v>
      </c>
      <c r="BG266" s="83" t="s">
        <v>1790</v>
      </c>
    </row>
    <row r="267" spans="1:88" ht="25.5" x14ac:dyDescent="0.2">
      <c r="A267" s="176" t="str">
        <f t="shared" si="4"/>
        <v>ElecPowerManagementRegion</v>
      </c>
      <c r="B267" s="11" t="s">
        <v>2933</v>
      </c>
      <c r="C267" s="173"/>
      <c r="D267" s="22" t="s">
        <v>2934</v>
      </c>
      <c r="E267" s="15" t="s">
        <v>2935</v>
      </c>
      <c r="F267" s="174"/>
      <c r="G267" s="174"/>
      <c r="H267" s="37">
        <v>119089</v>
      </c>
      <c r="I267" s="25" t="str">
        <f>CONCATENATE(Cover!$D$6,"fdd/view?i=",H267)</f>
        <v>https://www.dgiwg.org/FAD/fdd/view?i=119089</v>
      </c>
      <c r="J267" s="13" t="s">
        <v>2932</v>
      </c>
      <c r="K267" s="172"/>
      <c r="L267" s="172"/>
      <c r="AD267" s="82" t="s">
        <v>1790</v>
      </c>
    </row>
    <row r="268" spans="1:88" ht="102" x14ac:dyDescent="0.2">
      <c r="A268" s="176" t="str">
        <f t="shared" si="4"/>
        <v>ElectricPowerStation</v>
      </c>
      <c r="B268" s="11" t="s">
        <v>2937</v>
      </c>
      <c r="C268" s="173"/>
      <c r="D268" s="22" t="s">
        <v>2938</v>
      </c>
      <c r="E268" s="15" t="s">
        <v>2939</v>
      </c>
      <c r="F268" s="15" t="s">
        <v>2940</v>
      </c>
      <c r="G268" s="174"/>
      <c r="H268" s="37">
        <v>118991</v>
      </c>
      <c r="I268" s="25" t="str">
        <f>CONCATENATE(Cover!$D$6,"fdd/view?i=",H268)</f>
        <v>https://www.dgiwg.org/FAD/fdd/view?i=118991</v>
      </c>
      <c r="J268" s="13" t="s">
        <v>2936</v>
      </c>
      <c r="K268" s="172"/>
      <c r="L268" s="172"/>
      <c r="AD268" s="82" t="s">
        <v>1790</v>
      </c>
      <c r="AF268" s="82" t="s">
        <v>1790</v>
      </c>
    </row>
    <row r="269" spans="1:88" ht="25.5" x14ac:dyDescent="0.2">
      <c r="A269" s="176" t="str">
        <f t="shared" si="4"/>
        <v>ElevationContour</v>
      </c>
      <c r="B269" s="11" t="s">
        <v>2942</v>
      </c>
      <c r="C269" s="173"/>
      <c r="D269" s="22" t="s">
        <v>2943</v>
      </c>
      <c r="E269" s="15" t="s">
        <v>2944</v>
      </c>
      <c r="F269" s="174"/>
      <c r="G269" s="174"/>
      <c r="H269" s="37">
        <v>100392</v>
      </c>
      <c r="I269" s="25" t="str">
        <f>CONCATENATE(Cover!$D$6,"fdd/view?i=",H269)</f>
        <v>https://www.dgiwg.org/FAD/fdd/view?i=100392</v>
      </c>
      <c r="J269" s="13" t="s">
        <v>2941</v>
      </c>
      <c r="K269" s="172"/>
      <c r="L269" s="172"/>
      <c r="BL269" s="81" t="s">
        <v>1790</v>
      </c>
    </row>
    <row r="270" spans="1:88" ht="25.5" x14ac:dyDescent="0.2">
      <c r="A270" s="176" t="str">
        <f t="shared" si="4"/>
        <v>ElevationContourPolygon</v>
      </c>
      <c r="B270" s="11" t="s">
        <v>2946</v>
      </c>
      <c r="C270" s="173"/>
      <c r="D270" s="22" t="s">
        <v>2947</v>
      </c>
      <c r="E270" s="15" t="s">
        <v>2948</v>
      </c>
      <c r="F270" s="174"/>
      <c r="G270" s="174"/>
      <c r="H270" s="37">
        <v>100398</v>
      </c>
      <c r="I270" s="25" t="str">
        <f>CONCATENATE(Cover!$D$6,"fdd/view?i=",H270)</f>
        <v>https://www.dgiwg.org/FAD/fdd/view?i=100398</v>
      </c>
      <c r="J270" s="13" t="s">
        <v>2945</v>
      </c>
      <c r="K270" s="172"/>
      <c r="L270" s="172"/>
      <c r="BL270" s="81" t="s">
        <v>1790</v>
      </c>
    </row>
    <row r="271" spans="1:88" x14ac:dyDescent="0.2">
      <c r="A271" s="176" t="str">
        <f t="shared" si="4"/>
        <v>Embankment</v>
      </c>
      <c r="B271" s="11" t="s">
        <v>2950</v>
      </c>
      <c r="C271" s="173"/>
      <c r="D271" s="22" t="s">
        <v>2949</v>
      </c>
      <c r="E271" s="15" t="s">
        <v>2951</v>
      </c>
      <c r="F271" s="174"/>
      <c r="G271" s="15" t="s">
        <v>2952</v>
      </c>
      <c r="H271" s="37">
        <v>100412</v>
      </c>
      <c r="I271" s="25" t="str">
        <f>CONCATENATE(Cover!$D$6,"fdd/view?i=",H271)</f>
        <v>https://www.dgiwg.org/FAD/fdd/view?i=100412</v>
      </c>
      <c r="J271" s="13" t="s">
        <v>2949</v>
      </c>
      <c r="K271" s="172"/>
      <c r="L271" s="172"/>
      <c r="AW271" s="82" t="s">
        <v>1790</v>
      </c>
      <c r="BM271" s="82" t="s">
        <v>1790</v>
      </c>
    </row>
    <row r="272" spans="1:88" ht="51" x14ac:dyDescent="0.2">
      <c r="A272" s="176" t="str">
        <f t="shared" si="4"/>
        <v>EmergencyPlanningZone</v>
      </c>
      <c r="B272" s="11" t="s">
        <v>2954</v>
      </c>
      <c r="C272" s="173"/>
      <c r="D272" s="22" t="s">
        <v>2955</v>
      </c>
      <c r="E272" s="15" t="s">
        <v>2956</v>
      </c>
      <c r="F272" s="174"/>
      <c r="G272" s="174"/>
      <c r="H272" s="37">
        <v>119091</v>
      </c>
      <c r="I272" s="25" t="str">
        <f>CONCATENATE(Cover!$D$6,"fdd/view?i=",H272)</f>
        <v>https://www.dgiwg.org/FAD/fdd/view?i=119091</v>
      </c>
      <c r="J272" s="13" t="s">
        <v>2953</v>
      </c>
      <c r="K272" s="172"/>
      <c r="L272" s="172"/>
      <c r="AM272" s="83" t="s">
        <v>1790</v>
      </c>
    </row>
    <row r="273" spans="1:107" ht="76.5" x14ac:dyDescent="0.2">
      <c r="A273" s="176" t="str">
        <f t="shared" si="4"/>
        <v>EngineTestCell</v>
      </c>
      <c r="B273" s="11" t="s">
        <v>2958</v>
      </c>
      <c r="C273" s="173"/>
      <c r="D273" s="22" t="s">
        <v>2959</v>
      </c>
      <c r="E273" s="15" t="s">
        <v>2960</v>
      </c>
      <c r="F273" s="15" t="s">
        <v>2961</v>
      </c>
      <c r="G273" s="174"/>
      <c r="H273" s="37">
        <v>100035</v>
      </c>
      <c r="I273" s="25" t="str">
        <f>CONCATENATE(Cover!$D$6,"fdd/view?i=",H273)</f>
        <v>https://www.dgiwg.org/FAD/fdd/view?i=100035</v>
      </c>
      <c r="J273" s="13" t="s">
        <v>2957</v>
      </c>
      <c r="K273" s="172"/>
      <c r="L273" s="172"/>
      <c r="AF273" s="82" t="s">
        <v>1790</v>
      </c>
    </row>
    <row r="274" spans="1:107" ht="38.25" x14ac:dyDescent="0.2">
      <c r="A274" s="176" t="str">
        <f t="shared" si="4"/>
        <v>EngineeredEarthwork</v>
      </c>
      <c r="B274" s="11" t="s">
        <v>2963</v>
      </c>
      <c r="C274" s="173"/>
      <c r="D274" s="22" t="s">
        <v>2964</v>
      </c>
      <c r="E274" s="15" t="s">
        <v>2965</v>
      </c>
      <c r="F274" s="15" t="s">
        <v>2966</v>
      </c>
      <c r="G274" s="174"/>
      <c r="H274" s="37">
        <v>117988</v>
      </c>
      <c r="I274" s="25" t="str">
        <f>CONCATENATE(Cover!$D$6,"fdd/view?i=",H274)</f>
        <v>https://www.dgiwg.org/FAD/fdd/view?i=117988</v>
      </c>
      <c r="J274" s="13" t="s">
        <v>2962</v>
      </c>
      <c r="K274" s="172"/>
      <c r="L274" s="172"/>
      <c r="CJ274" s="81" t="s">
        <v>1790</v>
      </c>
      <c r="CL274" s="85" t="s">
        <v>1790</v>
      </c>
    </row>
    <row r="275" spans="1:107" ht="178.5" x14ac:dyDescent="0.2">
      <c r="A275" s="176" t="str">
        <f t="shared" si="4"/>
        <v>EngineeredTurnaroundSite</v>
      </c>
      <c r="B275" s="11" t="s">
        <v>2968</v>
      </c>
      <c r="C275" s="173"/>
      <c r="D275" s="22" t="s">
        <v>2969</v>
      </c>
      <c r="E275" s="15" t="s">
        <v>2970</v>
      </c>
      <c r="F275" s="15" t="s">
        <v>2971</v>
      </c>
      <c r="G275" s="174"/>
      <c r="H275" s="37">
        <v>119839</v>
      </c>
      <c r="I275" s="25" t="str">
        <f>CONCATENATE(Cover!$D$6,"fdd/view?i=",H275)</f>
        <v>https://www.dgiwg.org/FAD/fdd/view?i=119839</v>
      </c>
      <c r="J275" s="13" t="s">
        <v>2967</v>
      </c>
      <c r="K275" s="172"/>
      <c r="L275" s="172"/>
      <c r="AQ275" s="82" t="s">
        <v>1790</v>
      </c>
      <c r="AU275" s="82" t="s">
        <v>1790</v>
      </c>
    </row>
    <row r="276" spans="1:107" ht="38.25" x14ac:dyDescent="0.2">
      <c r="A276" s="176" t="str">
        <f t="shared" si="4"/>
        <v>EnrouteAtsRoute</v>
      </c>
      <c r="B276" s="11" t="s">
        <v>2973</v>
      </c>
      <c r="C276" s="173"/>
      <c r="D276" s="22" t="s">
        <v>2974</v>
      </c>
      <c r="E276" s="15" t="s">
        <v>2975</v>
      </c>
      <c r="F276" s="174"/>
      <c r="G276" s="15" t="s">
        <v>2976</v>
      </c>
      <c r="H276" s="37">
        <v>114521</v>
      </c>
      <c r="I276" s="25" t="str">
        <f>CONCATENATE(Cover!$D$6,"fdd/view?i=",H276)</f>
        <v>https://www.dgiwg.org/FAD/fdd/view?i=114521</v>
      </c>
      <c r="J276" s="13" t="s">
        <v>2972</v>
      </c>
      <c r="K276" s="172"/>
      <c r="L276" s="172"/>
      <c r="CF276" s="83" t="s">
        <v>1790</v>
      </c>
    </row>
    <row r="277" spans="1:107" ht="51" x14ac:dyDescent="0.2">
      <c r="A277" s="176" t="str">
        <f t="shared" si="4"/>
        <v>Entity</v>
      </c>
      <c r="B277" s="11" t="s">
        <v>2978</v>
      </c>
      <c r="C277" s="173"/>
      <c r="D277" s="22" t="s">
        <v>2977</v>
      </c>
      <c r="E277" s="15" t="s">
        <v>2979</v>
      </c>
      <c r="F277" s="15" t="s">
        <v>2980</v>
      </c>
      <c r="G277" s="174"/>
      <c r="H277" s="37">
        <v>117766</v>
      </c>
      <c r="I277" s="25" t="str">
        <f>CONCATENATE(Cover!$D$6,"fdd/view?i=",H277)</f>
        <v>https://www.dgiwg.org/FAD/fdd/view?i=117766</v>
      </c>
      <c r="J277" s="13" t="s">
        <v>2977</v>
      </c>
      <c r="K277" s="172"/>
      <c r="L277" s="172"/>
      <c r="DC277" s="87" t="s">
        <v>1790</v>
      </c>
    </row>
    <row r="278" spans="1:107" ht="38.25" x14ac:dyDescent="0.2">
      <c r="A278" s="176" t="str">
        <f t="shared" si="4"/>
        <v>EntityCollection</v>
      </c>
      <c r="B278" s="11" t="s">
        <v>2982</v>
      </c>
      <c r="C278" s="173"/>
      <c r="D278" s="22" t="s">
        <v>2983</v>
      </c>
      <c r="E278" s="15" t="s">
        <v>2984</v>
      </c>
      <c r="F278" s="15" t="s">
        <v>2985</v>
      </c>
      <c r="G278" s="174"/>
      <c r="H278" s="37">
        <v>117767</v>
      </c>
      <c r="I278" s="25" t="str">
        <f>CONCATENATE(Cover!$D$6,"fdd/view?i=",H278)</f>
        <v>https://www.dgiwg.org/FAD/fdd/view?i=117767</v>
      </c>
      <c r="J278" s="13" t="s">
        <v>2981</v>
      </c>
      <c r="K278" s="172"/>
      <c r="L278" s="172"/>
      <c r="DC278" s="87" t="s">
        <v>1790</v>
      </c>
    </row>
    <row r="279" spans="1:107" x14ac:dyDescent="0.2">
      <c r="A279" s="176" t="str">
        <f t="shared" si="4"/>
        <v>EntranceExit</v>
      </c>
      <c r="B279" s="11" t="s">
        <v>2987</v>
      </c>
      <c r="C279" s="173"/>
      <c r="D279" s="22" t="s">
        <v>2988</v>
      </c>
      <c r="E279" s="15" t="s">
        <v>2989</v>
      </c>
      <c r="F279" s="15" t="s">
        <v>2990</v>
      </c>
      <c r="G279" s="174"/>
      <c r="H279" s="37">
        <v>100169</v>
      </c>
      <c r="I279" s="25" t="str">
        <f>CONCATENATE(Cover!$D$6,"fdd/view?i=",H279)</f>
        <v>https://www.dgiwg.org/FAD/fdd/view?i=100169</v>
      </c>
      <c r="J279" s="13" t="s">
        <v>2986</v>
      </c>
      <c r="K279" s="172"/>
      <c r="L279" s="172"/>
      <c r="AA279" s="81" t="s">
        <v>1790</v>
      </c>
      <c r="AJ279" s="83" t="s">
        <v>1790</v>
      </c>
      <c r="AV279" s="82" t="s">
        <v>1790</v>
      </c>
    </row>
    <row r="280" spans="1:107" ht="25.5" x14ac:dyDescent="0.2">
      <c r="A280" s="176" t="str">
        <f t="shared" si="4"/>
        <v>Epicentre</v>
      </c>
      <c r="B280" s="11" t="s">
        <v>2992</v>
      </c>
      <c r="C280" s="173"/>
      <c r="D280" s="22" t="s">
        <v>2991</v>
      </c>
      <c r="E280" s="15" t="s">
        <v>2993</v>
      </c>
      <c r="F280" s="174"/>
      <c r="G280" s="174"/>
      <c r="H280" s="37">
        <v>111366</v>
      </c>
      <c r="I280" s="25" t="str">
        <f>CONCATENATE(Cover!$D$6,"fdd/view?i=",H280)</f>
        <v>https://www.dgiwg.org/FAD/fdd/view?i=111366</v>
      </c>
      <c r="J280" s="13" t="s">
        <v>2991</v>
      </c>
      <c r="K280" s="172"/>
      <c r="L280" s="172"/>
      <c r="BQ280" s="82" t="s">
        <v>1790</v>
      </c>
    </row>
    <row r="281" spans="1:107" ht="51" x14ac:dyDescent="0.2">
      <c r="A281" s="176" t="str">
        <f t="shared" si="4"/>
        <v>ErosionArea</v>
      </c>
      <c r="B281" s="11" t="s">
        <v>2995</v>
      </c>
      <c r="C281" s="173"/>
      <c r="D281" s="22" t="s">
        <v>2996</v>
      </c>
      <c r="E281" s="15" t="s">
        <v>2997</v>
      </c>
      <c r="F281" s="174"/>
      <c r="G281" s="15" t="s">
        <v>2998</v>
      </c>
      <c r="H281" s="37">
        <v>111359</v>
      </c>
      <c r="I281" s="25" t="str">
        <f>CONCATENATE(Cover!$D$6,"fdd/view?i=",H281)</f>
        <v>https://www.dgiwg.org/FAD/fdd/view?i=111359</v>
      </c>
      <c r="J281" s="13" t="s">
        <v>2994</v>
      </c>
      <c r="K281" s="172"/>
      <c r="L281" s="172"/>
      <c r="BM281" s="82" t="s">
        <v>1790</v>
      </c>
    </row>
    <row r="282" spans="1:107" x14ac:dyDescent="0.2">
      <c r="A282" s="176" t="str">
        <f t="shared" si="4"/>
        <v>Esker</v>
      </c>
      <c r="B282" s="11" t="s">
        <v>3000</v>
      </c>
      <c r="C282" s="173"/>
      <c r="D282" s="22" t="s">
        <v>2999</v>
      </c>
      <c r="E282" s="15" t="s">
        <v>3001</v>
      </c>
      <c r="F282" s="174"/>
      <c r="G282" s="174"/>
      <c r="H282" s="37">
        <v>100413</v>
      </c>
      <c r="I282" s="25" t="str">
        <f>CONCATENATE(Cover!$D$6,"fdd/view?i=",H282)</f>
        <v>https://www.dgiwg.org/FAD/fdd/view?i=100413</v>
      </c>
      <c r="J282" s="13" t="s">
        <v>2999</v>
      </c>
      <c r="K282" s="172"/>
      <c r="L282" s="172"/>
      <c r="BM282" s="82" t="s">
        <v>1790</v>
      </c>
      <c r="BO282" s="82" t="s">
        <v>1790</v>
      </c>
    </row>
    <row r="283" spans="1:107" ht="38.25" x14ac:dyDescent="0.2">
      <c r="A283" s="176" t="str">
        <f t="shared" si="4"/>
        <v>EventEntity</v>
      </c>
      <c r="B283" s="11" t="s">
        <v>3003</v>
      </c>
      <c r="C283" s="173"/>
      <c r="D283" s="22" t="s">
        <v>3004</v>
      </c>
      <c r="E283" s="15" t="s">
        <v>3005</v>
      </c>
      <c r="F283" s="15" t="s">
        <v>3006</v>
      </c>
      <c r="G283" s="174"/>
      <c r="H283" s="37">
        <v>114211</v>
      </c>
      <c r="I283" s="25" t="str">
        <f>CONCATENATE(Cover!$D$6,"fdd/view?i=",H283)</f>
        <v>https://www.dgiwg.org/FAD/fdd/view?i=114211</v>
      </c>
      <c r="J283" s="13" t="s">
        <v>3002</v>
      </c>
      <c r="K283" s="172"/>
      <c r="L283" s="172"/>
      <c r="DC283" s="87" t="s">
        <v>1790</v>
      </c>
    </row>
    <row r="284" spans="1:107" x14ac:dyDescent="0.2">
      <c r="A284" s="176" t="str">
        <f t="shared" si="4"/>
        <v>ExcavatingMachine</v>
      </c>
      <c r="B284" s="11" t="s">
        <v>3008</v>
      </c>
      <c r="C284" s="173"/>
      <c r="D284" s="22" t="s">
        <v>3009</v>
      </c>
      <c r="E284" s="15" t="s">
        <v>3010</v>
      </c>
      <c r="F284" s="15" t="s">
        <v>3011</v>
      </c>
      <c r="G284" s="174"/>
      <c r="H284" s="37">
        <v>100034</v>
      </c>
      <c r="I284" s="25" t="str">
        <f>CONCATENATE(Cover!$D$6,"fdd/view?i=",H284)</f>
        <v>https://www.dgiwg.org/FAD/fdd/view?i=100034</v>
      </c>
      <c r="J284" s="13" t="s">
        <v>3007</v>
      </c>
      <c r="K284" s="172"/>
      <c r="L284" s="172"/>
      <c r="AA284" s="81" t="s">
        <v>1790</v>
      </c>
      <c r="AF284" s="82" t="s">
        <v>1790</v>
      </c>
    </row>
    <row r="285" spans="1:107" x14ac:dyDescent="0.2">
      <c r="A285" s="176" t="str">
        <f t="shared" si="4"/>
        <v>ExplosiveNavalMine</v>
      </c>
      <c r="B285" s="11" t="s">
        <v>3013</v>
      </c>
      <c r="C285" s="173"/>
      <c r="D285" s="22" t="s">
        <v>3014</v>
      </c>
      <c r="E285" s="15" t="s">
        <v>3015</v>
      </c>
      <c r="F285" s="174"/>
      <c r="G285" s="174"/>
      <c r="H285" s="37">
        <v>100281</v>
      </c>
      <c r="I285" s="25" t="str">
        <f>CONCATENATE(Cover!$D$6,"fdd/view?i=",H285)</f>
        <v>https://www.dgiwg.org/FAD/fdd/view?i=100281</v>
      </c>
      <c r="J285" s="13" t="s">
        <v>3012</v>
      </c>
      <c r="K285" s="172"/>
      <c r="L285" s="172"/>
      <c r="BG285" s="83" t="s">
        <v>1790</v>
      </c>
    </row>
    <row r="286" spans="1:107" ht="25.5" x14ac:dyDescent="0.2">
      <c r="A286" s="176" t="str">
        <f t="shared" si="4"/>
        <v>ExposedBedrock</v>
      </c>
      <c r="B286" s="11" t="s">
        <v>3017</v>
      </c>
      <c r="C286" s="173"/>
      <c r="D286" s="22" t="s">
        <v>3018</v>
      </c>
      <c r="E286" s="15" t="s">
        <v>3019</v>
      </c>
      <c r="F286" s="15" t="s">
        <v>3020</v>
      </c>
      <c r="G286" s="174"/>
      <c r="H286" s="37">
        <v>100555</v>
      </c>
      <c r="I286" s="25" t="str">
        <f>CONCATENATE(Cover!$D$6,"fdd/view?i=",H286)</f>
        <v>https://www.dgiwg.org/FAD/fdd/view?i=100555</v>
      </c>
      <c r="J286" s="13" t="s">
        <v>3016</v>
      </c>
      <c r="K286" s="172"/>
      <c r="L286" s="172"/>
      <c r="BN286" s="82" t="s">
        <v>1790</v>
      </c>
    </row>
    <row r="287" spans="1:107" ht="25.5" x14ac:dyDescent="0.2">
      <c r="A287" s="176" t="str">
        <f t="shared" si="4"/>
        <v>ExtractionMine</v>
      </c>
      <c r="B287" s="11" t="s">
        <v>3022</v>
      </c>
      <c r="C287" s="173"/>
      <c r="D287" s="22" t="s">
        <v>3023</v>
      </c>
      <c r="E287" s="15" t="s">
        <v>3024</v>
      </c>
      <c r="F287" s="174"/>
      <c r="G287" s="174"/>
      <c r="H287" s="37">
        <v>100001</v>
      </c>
      <c r="I287" s="25" t="str">
        <f>CONCATENATE(Cover!$D$6,"fdd/view?i=",H287)</f>
        <v>https://www.dgiwg.org/FAD/fdd/view?i=100001</v>
      </c>
      <c r="J287" s="13" t="s">
        <v>3021</v>
      </c>
      <c r="K287" s="172"/>
      <c r="L287" s="172"/>
      <c r="AA287" s="81" t="s">
        <v>1790</v>
      </c>
      <c r="BP287" s="82" t="s">
        <v>1790</v>
      </c>
    </row>
    <row r="288" spans="1:107" ht="51" x14ac:dyDescent="0.2">
      <c r="A288" s="176" t="str">
        <f t="shared" si="4"/>
        <v>ExtremeWindZone</v>
      </c>
      <c r="B288" s="11" t="s">
        <v>3026</v>
      </c>
      <c r="C288" s="173"/>
      <c r="D288" s="22" t="s">
        <v>3027</v>
      </c>
      <c r="E288" s="15" t="s">
        <v>3028</v>
      </c>
      <c r="F288" s="15" t="s">
        <v>3029</v>
      </c>
      <c r="G288" s="174"/>
      <c r="H288" s="37">
        <v>111391</v>
      </c>
      <c r="I288" s="25" t="str">
        <f>CONCATENATE(Cover!$D$6,"fdd/view?i=",H288)</f>
        <v>https://www.dgiwg.org/FAD/fdd/view?i=111391</v>
      </c>
      <c r="J288" s="13" t="s">
        <v>3025</v>
      </c>
      <c r="K288" s="172"/>
      <c r="L288" s="172"/>
      <c r="BZ288" s="83" t="s">
        <v>1790</v>
      </c>
    </row>
    <row r="289" spans="1:107" ht="63.75" x14ac:dyDescent="0.2">
      <c r="A289" s="176" t="str">
        <f t="shared" si="4"/>
        <v>Facility</v>
      </c>
      <c r="B289" s="11" t="s">
        <v>3031</v>
      </c>
      <c r="C289" s="173"/>
      <c r="D289" s="22" t="s">
        <v>3030</v>
      </c>
      <c r="E289" s="15" t="s">
        <v>3032</v>
      </c>
      <c r="F289" s="15" t="s">
        <v>3033</v>
      </c>
      <c r="G289" s="174"/>
      <c r="H289" s="37">
        <v>111413</v>
      </c>
      <c r="I289" s="25" t="str">
        <f>CONCATENATE(Cover!$D$6,"fdd/view?i=",H289)</f>
        <v>https://www.dgiwg.org/FAD/fdd/view?i=111413</v>
      </c>
      <c r="J289" s="13" t="s">
        <v>3030</v>
      </c>
      <c r="K289" s="172"/>
      <c r="L289" s="172"/>
      <c r="AK289" s="83" t="s">
        <v>1790</v>
      </c>
    </row>
    <row r="290" spans="1:107" ht="25.5" x14ac:dyDescent="0.2">
      <c r="A290" s="176" t="str">
        <f t="shared" si="4"/>
        <v>Fairground</v>
      </c>
      <c r="B290" s="11" t="s">
        <v>3035</v>
      </c>
      <c r="C290" s="173"/>
      <c r="D290" s="22" t="s">
        <v>3034</v>
      </c>
      <c r="E290" s="15" t="s">
        <v>3036</v>
      </c>
      <c r="F290" s="174"/>
      <c r="G290" s="15" t="s">
        <v>3037</v>
      </c>
      <c r="H290" s="37">
        <v>100059</v>
      </c>
      <c r="I290" s="25" t="str">
        <f>CONCATENATE(Cover!$D$6,"fdd/view?i=",H290)</f>
        <v>https://www.dgiwg.org/FAD/fdd/view?i=100059</v>
      </c>
      <c r="J290" s="13" t="s">
        <v>3034</v>
      </c>
      <c r="K290" s="172"/>
      <c r="L290" s="172"/>
      <c r="AL290" s="83" t="s">
        <v>1790</v>
      </c>
    </row>
    <row r="291" spans="1:107" ht="102" x14ac:dyDescent="0.2">
      <c r="A291" s="176" t="str">
        <f t="shared" si="4"/>
        <v>Farm</v>
      </c>
      <c r="B291" s="11" t="s">
        <v>3039</v>
      </c>
      <c r="C291" s="173"/>
      <c r="D291" s="22" t="s">
        <v>3038</v>
      </c>
      <c r="E291" s="15" t="s">
        <v>3040</v>
      </c>
      <c r="F291" s="15" t="s">
        <v>3041</v>
      </c>
      <c r="G291" s="174"/>
      <c r="H291" s="37">
        <v>111403</v>
      </c>
      <c r="I291" s="25" t="str">
        <f>CONCATENATE(Cover!$D$6,"fdd/view?i=",H291)</f>
        <v>https://www.dgiwg.org/FAD/fdd/view?i=111403</v>
      </c>
      <c r="J291" s="13" t="s">
        <v>3038</v>
      </c>
      <c r="K291" s="172"/>
      <c r="L291" s="172"/>
      <c r="AC291" s="82" t="s">
        <v>1790</v>
      </c>
    </row>
    <row r="292" spans="1:107" ht="38.25" x14ac:dyDescent="0.2">
      <c r="A292" s="176" t="str">
        <f t="shared" si="4"/>
        <v>FeatureAggregate</v>
      </c>
      <c r="B292" s="11" t="s">
        <v>3043</v>
      </c>
      <c r="C292" s="173"/>
      <c r="D292" s="22" t="s">
        <v>3044</v>
      </c>
      <c r="E292" s="15" t="s">
        <v>3045</v>
      </c>
      <c r="F292" s="15" t="s">
        <v>3046</v>
      </c>
      <c r="G292" s="174"/>
      <c r="H292" s="37">
        <v>100090</v>
      </c>
      <c r="I292" s="25" t="str">
        <f>CONCATENATE(Cover!$D$6,"fdd/view?i=",H292)</f>
        <v>https://www.dgiwg.org/FAD/fdd/view?i=100090</v>
      </c>
      <c r="J292" s="13" t="s">
        <v>3042</v>
      </c>
      <c r="K292" s="172"/>
      <c r="L292" s="172"/>
      <c r="CW292" s="164" t="s">
        <v>1790</v>
      </c>
    </row>
    <row r="293" spans="1:107" ht="38.25" x14ac:dyDescent="0.2">
      <c r="A293" s="176" t="str">
        <f t="shared" si="4"/>
        <v>FeatureAttGAMetadata</v>
      </c>
      <c r="B293" s="11" t="s">
        <v>3048</v>
      </c>
      <c r="C293" s="173"/>
      <c r="D293" s="22" t="s">
        <v>3049</v>
      </c>
      <c r="E293" s="15" t="s">
        <v>3050</v>
      </c>
      <c r="F293" s="15" t="s">
        <v>3051</v>
      </c>
      <c r="G293" s="174"/>
      <c r="H293" s="37">
        <v>114208</v>
      </c>
      <c r="I293" s="25" t="str">
        <f>CONCATENATE(Cover!$D$6,"fdd/view?i=",H293)</f>
        <v>https://www.dgiwg.org/FAD/fdd/view?i=114208</v>
      </c>
      <c r="J293" s="13" t="s">
        <v>3047</v>
      </c>
      <c r="K293" s="172"/>
      <c r="L293" s="172"/>
      <c r="DC293" s="87" t="s">
        <v>1790</v>
      </c>
    </row>
    <row r="294" spans="1:107" ht="51" x14ac:dyDescent="0.2">
      <c r="A294" s="176" t="str">
        <f t="shared" si="4"/>
        <v>FeatureEntity</v>
      </c>
      <c r="B294" s="11" t="s">
        <v>3053</v>
      </c>
      <c r="C294" s="173"/>
      <c r="D294" s="22" t="s">
        <v>3054</v>
      </c>
      <c r="E294" s="15" t="s">
        <v>3055</v>
      </c>
      <c r="F294" s="15" t="s">
        <v>3056</v>
      </c>
      <c r="G294" s="174"/>
      <c r="H294" s="37">
        <v>114209</v>
      </c>
      <c r="I294" s="25" t="str">
        <f>CONCATENATE(Cover!$D$6,"fdd/view?i=",H294)</f>
        <v>https://www.dgiwg.org/FAD/fdd/view?i=114209</v>
      </c>
      <c r="J294" s="13" t="s">
        <v>3052</v>
      </c>
      <c r="K294" s="172"/>
      <c r="L294" s="172"/>
      <c r="DC294" s="87" t="s">
        <v>1790</v>
      </c>
    </row>
    <row r="295" spans="1:107" ht="38.25" x14ac:dyDescent="0.2">
      <c r="A295" s="176" t="str">
        <f t="shared" si="4"/>
        <v>FeatureGAMetadata</v>
      </c>
      <c r="B295" s="11" t="s">
        <v>3058</v>
      </c>
      <c r="C295" s="173"/>
      <c r="D295" s="22" t="s">
        <v>3059</v>
      </c>
      <c r="E295" s="15" t="s">
        <v>3060</v>
      </c>
      <c r="F295" s="15" t="s">
        <v>3061</v>
      </c>
      <c r="G295" s="174"/>
      <c r="H295" s="37">
        <v>114207</v>
      </c>
      <c r="I295" s="25" t="str">
        <f>CONCATENATE(Cover!$D$6,"fdd/view?i=",H295)</f>
        <v>https://www.dgiwg.org/FAD/fdd/view?i=114207</v>
      </c>
      <c r="J295" s="13" t="s">
        <v>3057</v>
      </c>
      <c r="K295" s="172"/>
      <c r="L295" s="172"/>
      <c r="DC295" s="87" t="s">
        <v>1790</v>
      </c>
    </row>
    <row r="296" spans="1:107" ht="25.5" x14ac:dyDescent="0.2">
      <c r="A296" s="176" t="str">
        <f t="shared" si="4"/>
        <v>Fence</v>
      </c>
      <c r="B296" s="11" t="s">
        <v>3063</v>
      </c>
      <c r="C296" s="173"/>
      <c r="D296" s="22" t="s">
        <v>3062</v>
      </c>
      <c r="E296" s="15" t="s">
        <v>3064</v>
      </c>
      <c r="F296" s="15" t="s">
        <v>3065</v>
      </c>
      <c r="G296" s="174"/>
      <c r="H296" s="37">
        <v>100094</v>
      </c>
      <c r="I296" s="25" t="str">
        <f>CONCATENATE(Cover!$D$6,"fdd/view?i=",H296)</f>
        <v>https://www.dgiwg.org/FAD/fdd/view?i=100094</v>
      </c>
      <c r="J296" s="13" t="s">
        <v>3062</v>
      </c>
      <c r="K296" s="172"/>
      <c r="L296" s="172"/>
      <c r="AC296" s="82" t="s">
        <v>1790</v>
      </c>
      <c r="AJ296" s="83" t="s">
        <v>1790</v>
      </c>
    </row>
    <row r="297" spans="1:107" x14ac:dyDescent="0.2">
      <c r="A297" s="176" t="str">
        <f t="shared" si="4"/>
        <v>FerryCrossing</v>
      </c>
      <c r="B297" s="11" t="s">
        <v>3067</v>
      </c>
      <c r="C297" s="173"/>
      <c r="D297" s="22" t="s">
        <v>3068</v>
      </c>
      <c r="E297" s="15" t="s">
        <v>3069</v>
      </c>
      <c r="F297" s="174"/>
      <c r="G297" s="174"/>
      <c r="H297" s="37">
        <v>100167</v>
      </c>
      <c r="I297" s="25" t="str">
        <f>CONCATENATE(Cover!$D$6,"fdd/view?i=",H297)</f>
        <v>https://www.dgiwg.org/FAD/fdd/view?i=100167</v>
      </c>
      <c r="J297" s="13" t="s">
        <v>3066</v>
      </c>
      <c r="K297" s="172"/>
      <c r="L297" s="172"/>
      <c r="AV297" s="82" t="s">
        <v>1790</v>
      </c>
    </row>
    <row r="298" spans="1:107" x14ac:dyDescent="0.2">
      <c r="A298" s="176" t="str">
        <f t="shared" si="4"/>
        <v>FerryStation</v>
      </c>
      <c r="B298" s="11" t="s">
        <v>3071</v>
      </c>
      <c r="C298" s="173"/>
      <c r="D298" s="22" t="s">
        <v>3072</v>
      </c>
      <c r="E298" s="15" t="s">
        <v>3073</v>
      </c>
      <c r="F298" s="174"/>
      <c r="G298" s="15" t="s">
        <v>3074</v>
      </c>
      <c r="H298" s="37">
        <v>100168</v>
      </c>
      <c r="I298" s="25" t="str">
        <f>CONCATENATE(Cover!$D$6,"fdd/view?i=",H298)</f>
        <v>https://www.dgiwg.org/FAD/fdd/view?i=100168</v>
      </c>
      <c r="J298" s="13" t="s">
        <v>3070</v>
      </c>
      <c r="K298" s="172"/>
      <c r="L298" s="172"/>
      <c r="AV298" s="82" t="s">
        <v>1790</v>
      </c>
      <c r="AW298" s="82" t="s">
        <v>1790</v>
      </c>
    </row>
    <row r="299" spans="1:107" ht="38.25" x14ac:dyDescent="0.2">
      <c r="A299" s="176" t="str">
        <f t="shared" si="4"/>
        <v>FinalApproachTakeOffArea</v>
      </c>
      <c r="B299" s="11" t="s">
        <v>3076</v>
      </c>
      <c r="C299" s="173"/>
      <c r="D299" s="22" t="s">
        <v>3077</v>
      </c>
      <c r="E299" s="15" t="s">
        <v>3078</v>
      </c>
      <c r="F299" s="15" t="s">
        <v>3079</v>
      </c>
      <c r="G299" s="15" t="s">
        <v>3080</v>
      </c>
      <c r="H299" s="37">
        <v>114593</v>
      </c>
      <c r="I299" s="25" t="str">
        <f>CONCATENATE(Cover!$D$6,"fdd/view?i=",H299)</f>
        <v>https://www.dgiwg.org/FAD/fdd/view?i=114593</v>
      </c>
      <c r="J299" s="13" t="s">
        <v>3075</v>
      </c>
      <c r="K299" s="172"/>
      <c r="L299" s="172"/>
      <c r="CE299" s="87" t="s">
        <v>1790</v>
      </c>
    </row>
    <row r="300" spans="1:107" ht="38.25" x14ac:dyDescent="0.2">
      <c r="A300" s="176" t="str">
        <f t="shared" si="4"/>
        <v>FinalAppTakeOffAreaSafety</v>
      </c>
      <c r="B300" s="11" t="s">
        <v>3082</v>
      </c>
      <c r="C300" s="173"/>
      <c r="D300" s="22" t="s">
        <v>3083</v>
      </c>
      <c r="E300" s="15" t="s">
        <v>3084</v>
      </c>
      <c r="F300" s="174"/>
      <c r="G300" s="15" t="s">
        <v>3085</v>
      </c>
      <c r="H300" s="37">
        <v>114625</v>
      </c>
      <c r="I300" s="25" t="str">
        <f>CONCATENATE(Cover!$D$6,"fdd/view?i=",H300)</f>
        <v>https://www.dgiwg.org/FAD/fdd/view?i=114625</v>
      </c>
      <c r="J300" s="13" t="s">
        <v>3081</v>
      </c>
      <c r="K300" s="172"/>
      <c r="L300" s="172"/>
      <c r="CE300" s="87" t="s">
        <v>1790</v>
      </c>
    </row>
    <row r="301" spans="1:107" ht="25.5" x14ac:dyDescent="0.2">
      <c r="A301" s="176" t="str">
        <f t="shared" si="4"/>
        <v>FinalApproachSegment</v>
      </c>
      <c r="B301" s="11" t="s">
        <v>3087</v>
      </c>
      <c r="C301" s="173"/>
      <c r="D301" s="22" t="s">
        <v>3088</v>
      </c>
      <c r="E301" s="15" t="s">
        <v>3089</v>
      </c>
      <c r="F301" s="15" t="s">
        <v>2146</v>
      </c>
      <c r="G301" s="174"/>
      <c r="H301" s="37">
        <v>114634</v>
      </c>
      <c r="I301" s="25" t="str">
        <f>CONCATENATE(Cover!$D$6,"fdd/view?i=",H301)</f>
        <v>https://www.dgiwg.org/FAD/fdd/view?i=114634</v>
      </c>
      <c r="J301" s="13" t="s">
        <v>3086</v>
      </c>
      <c r="K301" s="172"/>
      <c r="L301" s="172"/>
      <c r="CI301" s="89" t="s">
        <v>1790</v>
      </c>
    </row>
    <row r="302" spans="1:107" ht="38.25" x14ac:dyDescent="0.2">
      <c r="A302" s="176" t="str">
        <f t="shared" si="4"/>
        <v>FinalApproachSegDataBlock</v>
      </c>
      <c r="B302" s="11" t="s">
        <v>3091</v>
      </c>
      <c r="C302" s="173"/>
      <c r="D302" s="22" t="s">
        <v>3092</v>
      </c>
      <c r="E302" s="15" t="s">
        <v>3093</v>
      </c>
      <c r="F302" s="174"/>
      <c r="G302" s="174"/>
      <c r="H302" s="37">
        <v>119560</v>
      </c>
      <c r="I302" s="25" t="str">
        <f>CONCATENATE(Cover!$D$6,"fdd/view?i=",H302)</f>
        <v>https://www.dgiwg.org/FAD/fdd/view?i=119560</v>
      </c>
      <c r="J302" s="13" t="s">
        <v>3090</v>
      </c>
      <c r="K302" s="172"/>
      <c r="L302" s="172"/>
      <c r="AT302" s="82" t="s">
        <v>1790</v>
      </c>
      <c r="CF302" s="83" t="s">
        <v>1790</v>
      </c>
    </row>
    <row r="303" spans="1:107" ht="38.25" x14ac:dyDescent="0.2">
      <c r="A303" s="176" t="str">
        <f t="shared" si="4"/>
        <v>FireHydrant</v>
      </c>
      <c r="B303" s="11" t="s">
        <v>3095</v>
      </c>
      <c r="C303" s="173"/>
      <c r="D303" s="22" t="s">
        <v>3096</v>
      </c>
      <c r="E303" s="15" t="s">
        <v>3097</v>
      </c>
      <c r="F303" s="174"/>
      <c r="G303" s="174"/>
      <c r="H303" s="37">
        <v>100082</v>
      </c>
      <c r="I303" s="25" t="str">
        <f>CONCATENATE(Cover!$D$6,"fdd/view?i=",H303)</f>
        <v>https://www.dgiwg.org/FAD/fdd/view?i=100082</v>
      </c>
      <c r="J303" s="13" t="s">
        <v>3094</v>
      </c>
      <c r="K303" s="172"/>
      <c r="L303" s="172"/>
      <c r="AJ303" s="83" t="s">
        <v>1790</v>
      </c>
      <c r="BJ303" s="83" t="s">
        <v>1790</v>
      </c>
    </row>
    <row r="304" spans="1:107" ht="25.5" x14ac:dyDescent="0.2">
      <c r="A304" s="176" t="str">
        <f t="shared" si="4"/>
        <v>FiringRange</v>
      </c>
      <c r="B304" s="11" t="s">
        <v>3099</v>
      </c>
      <c r="C304" s="173"/>
      <c r="D304" s="22" t="s">
        <v>3100</v>
      </c>
      <c r="E304" s="15" t="s">
        <v>3101</v>
      </c>
      <c r="F304" s="174"/>
      <c r="G304" s="15" t="s">
        <v>3102</v>
      </c>
      <c r="H304" s="37">
        <v>100457</v>
      </c>
      <c r="I304" s="25" t="str">
        <f>CONCATENATE(Cover!$D$6,"fdd/view?i=",H304)</f>
        <v>https://www.dgiwg.org/FAD/fdd/view?i=100457</v>
      </c>
      <c r="J304" s="13" t="s">
        <v>3098</v>
      </c>
      <c r="K304" s="172"/>
      <c r="L304" s="172"/>
      <c r="CK304" s="82" t="s">
        <v>1790</v>
      </c>
    </row>
    <row r="305" spans="1:79" ht="38.25" x14ac:dyDescent="0.2">
      <c r="A305" s="176" t="str">
        <f t="shared" si="4"/>
        <v>FishFarmFacility</v>
      </c>
      <c r="B305" s="11" t="s">
        <v>3104</v>
      </c>
      <c r="C305" s="173"/>
      <c r="D305" s="22" t="s">
        <v>3105</v>
      </c>
      <c r="E305" s="15" t="s">
        <v>3106</v>
      </c>
      <c r="F305" s="15" t="s">
        <v>3107</v>
      </c>
      <c r="G305" s="174"/>
      <c r="H305" s="37">
        <v>113621</v>
      </c>
      <c r="I305" s="25" t="str">
        <f>CONCATENATE(Cover!$D$6,"fdd/view?i=",H305)</f>
        <v>https://www.dgiwg.org/FAD/fdd/view?i=113621</v>
      </c>
      <c r="J305" s="13" t="s">
        <v>3103</v>
      </c>
      <c r="K305" s="172"/>
      <c r="L305" s="172"/>
      <c r="AC305" s="82" t="s">
        <v>1790</v>
      </c>
      <c r="BJ305" s="83" t="s">
        <v>1790</v>
      </c>
      <c r="CA305" s="83" t="s">
        <v>1790</v>
      </c>
    </row>
    <row r="306" spans="1:79" ht="51" x14ac:dyDescent="0.2">
      <c r="A306" s="176" t="str">
        <f t="shared" si="4"/>
        <v>FishHaven</v>
      </c>
      <c r="B306" s="11" t="s">
        <v>3109</v>
      </c>
      <c r="C306" s="173"/>
      <c r="D306" s="22" t="s">
        <v>3110</v>
      </c>
      <c r="E306" s="15" t="s">
        <v>3111</v>
      </c>
      <c r="F306" s="15" t="s">
        <v>3112</v>
      </c>
      <c r="G306" s="15" t="s">
        <v>3113</v>
      </c>
      <c r="H306" s="37">
        <v>111293</v>
      </c>
      <c r="I306" s="25" t="str">
        <f>CONCATENATE(Cover!$D$6,"fdd/view?i=",H306)</f>
        <v>https://www.dgiwg.org/FAD/fdd/view?i=111293</v>
      </c>
      <c r="J306" s="13" t="s">
        <v>3108</v>
      </c>
      <c r="K306" s="172"/>
      <c r="L306" s="172"/>
      <c r="AK306" s="83" t="s">
        <v>1790</v>
      </c>
      <c r="AS306" s="82" t="s">
        <v>1790</v>
      </c>
      <c r="AZ306" s="87" t="s">
        <v>1790</v>
      </c>
      <c r="BA306" s="83" t="s">
        <v>1790</v>
      </c>
      <c r="BG306" s="83" t="s">
        <v>1790</v>
      </c>
      <c r="BI306" s="83" t="s">
        <v>1790</v>
      </c>
      <c r="CA306" s="83" t="s">
        <v>1790</v>
      </c>
    </row>
    <row r="307" spans="1:79" ht="25.5" x14ac:dyDescent="0.2">
      <c r="A307" s="176" t="str">
        <f t="shared" si="4"/>
        <v>FishLadder</v>
      </c>
      <c r="B307" s="11" t="s">
        <v>3115</v>
      </c>
      <c r="C307" s="173"/>
      <c r="D307" s="22" t="s">
        <v>3116</v>
      </c>
      <c r="E307" s="15" t="s">
        <v>3117</v>
      </c>
      <c r="F307" s="174"/>
      <c r="G307" s="174"/>
      <c r="H307" s="37">
        <v>100377</v>
      </c>
      <c r="I307" s="25" t="str">
        <f>CONCATENATE(Cover!$D$6,"fdd/view?i=",H307)</f>
        <v>https://www.dgiwg.org/FAD/fdd/view?i=100377</v>
      </c>
      <c r="J307" s="13" t="s">
        <v>3114</v>
      </c>
      <c r="K307" s="172"/>
      <c r="L307" s="172"/>
      <c r="BJ307" s="83" t="s">
        <v>1790</v>
      </c>
      <c r="CA307" s="83" t="s">
        <v>1790</v>
      </c>
    </row>
    <row r="308" spans="1:79" x14ac:dyDescent="0.2">
      <c r="A308" s="176" t="str">
        <f t="shared" si="4"/>
        <v>FishTrapArea</v>
      </c>
      <c r="B308" s="11" t="s">
        <v>3119</v>
      </c>
      <c r="C308" s="173"/>
      <c r="D308" s="22" t="s">
        <v>3120</v>
      </c>
      <c r="E308" s="15" t="s">
        <v>3121</v>
      </c>
      <c r="F308" s="174"/>
      <c r="G308" s="174"/>
      <c r="H308" s="37">
        <v>111100</v>
      </c>
      <c r="I308" s="25" t="str">
        <f>CONCATENATE(Cover!$D$6,"fdd/view?i=",H308)</f>
        <v>https://www.dgiwg.org/FAD/fdd/view?i=111100</v>
      </c>
      <c r="J308" s="13" t="s">
        <v>3118</v>
      </c>
      <c r="K308" s="172"/>
      <c r="L308" s="172"/>
      <c r="AS308" s="82" t="s">
        <v>1790</v>
      </c>
      <c r="BF308" s="83" t="s">
        <v>1790</v>
      </c>
      <c r="BG308" s="83" t="s">
        <v>1790</v>
      </c>
      <c r="BI308" s="83" t="s">
        <v>1790</v>
      </c>
      <c r="CA308" s="83" t="s">
        <v>1790</v>
      </c>
    </row>
    <row r="309" spans="1:79" ht="76.5" x14ac:dyDescent="0.2">
      <c r="A309" s="176" t="str">
        <f t="shared" si="4"/>
        <v>FishWeir</v>
      </c>
      <c r="B309" s="11" t="s">
        <v>3123</v>
      </c>
      <c r="C309" s="173"/>
      <c r="D309" s="22" t="s">
        <v>3124</v>
      </c>
      <c r="E309" s="15" t="s">
        <v>3125</v>
      </c>
      <c r="F309" s="15" t="s">
        <v>3126</v>
      </c>
      <c r="G309" s="174"/>
      <c r="H309" s="37">
        <v>100238</v>
      </c>
      <c r="I309" s="25" t="str">
        <f>CONCATENATE(Cover!$D$6,"fdd/view?i=",H309)</f>
        <v>https://www.dgiwg.org/FAD/fdd/view?i=100238</v>
      </c>
      <c r="J309" s="13" t="s">
        <v>3122</v>
      </c>
      <c r="K309" s="172"/>
      <c r="L309" s="172"/>
      <c r="BG309" s="83" t="s">
        <v>1790</v>
      </c>
      <c r="CA309" s="83" t="s">
        <v>1790</v>
      </c>
    </row>
    <row r="310" spans="1:79" ht="25.5" x14ac:dyDescent="0.2">
      <c r="A310" s="176" t="str">
        <f t="shared" si="4"/>
        <v>FisherySpeciesDistribution</v>
      </c>
      <c r="B310" s="11" t="s">
        <v>3128</v>
      </c>
      <c r="C310" s="173"/>
      <c r="D310" s="22" t="s">
        <v>3129</v>
      </c>
      <c r="E310" s="15" t="s">
        <v>3130</v>
      </c>
      <c r="F310" s="15" t="s">
        <v>3131</v>
      </c>
      <c r="G310" s="174"/>
      <c r="H310" s="37">
        <v>119167</v>
      </c>
      <c r="I310" s="25" t="str">
        <f>CONCATENATE(Cover!$D$6,"fdd/view?i=",H310)</f>
        <v>https://www.dgiwg.org/FAD/fdd/view?i=119167</v>
      </c>
      <c r="J310" s="13" t="s">
        <v>3127</v>
      </c>
      <c r="K310" s="172"/>
      <c r="L310" s="172"/>
      <c r="AZ310" s="87" t="s">
        <v>1790</v>
      </c>
      <c r="BI310" s="83" t="s">
        <v>1790</v>
      </c>
    </row>
    <row r="311" spans="1:79" x14ac:dyDescent="0.2">
      <c r="A311" s="176" t="str">
        <f t="shared" si="4"/>
        <v>FishingHarbour</v>
      </c>
      <c r="B311" s="11" t="s">
        <v>3133</v>
      </c>
      <c r="C311" s="173"/>
      <c r="D311" s="22" t="s">
        <v>3134</v>
      </c>
      <c r="E311" s="15" t="s">
        <v>3135</v>
      </c>
      <c r="F311" s="174"/>
      <c r="G311" s="15" t="s">
        <v>3136</v>
      </c>
      <c r="H311" s="37">
        <v>100237</v>
      </c>
      <c r="I311" s="25" t="str">
        <f>CONCATENATE(Cover!$D$6,"fdd/view?i=",H311)</f>
        <v>https://www.dgiwg.org/FAD/fdd/view?i=100237</v>
      </c>
      <c r="J311" s="13" t="s">
        <v>3132</v>
      </c>
      <c r="K311" s="172"/>
      <c r="L311" s="172"/>
      <c r="AS311" s="82" t="s">
        <v>1790</v>
      </c>
      <c r="BA311" s="83" t="s">
        <v>1790</v>
      </c>
    </row>
    <row r="312" spans="1:79" ht="25.5" x14ac:dyDescent="0.2">
      <c r="A312" s="176" t="str">
        <f t="shared" si="4"/>
        <v>FishingStakes</v>
      </c>
      <c r="B312" s="11" t="s">
        <v>3138</v>
      </c>
      <c r="C312" s="173"/>
      <c r="D312" s="22" t="s">
        <v>3139</v>
      </c>
      <c r="E312" s="15" t="s">
        <v>3140</v>
      </c>
      <c r="F312" s="174"/>
      <c r="G312" s="15" t="s">
        <v>3141</v>
      </c>
      <c r="H312" s="37">
        <v>100236</v>
      </c>
      <c r="I312" s="25" t="str">
        <f>CONCATENATE(Cover!$D$6,"fdd/view?i=",H312)</f>
        <v>https://www.dgiwg.org/FAD/fdd/view?i=100236</v>
      </c>
      <c r="J312" s="13" t="s">
        <v>3137</v>
      </c>
      <c r="K312" s="172"/>
      <c r="L312" s="172"/>
      <c r="BG312" s="83" t="s">
        <v>1790</v>
      </c>
      <c r="CA312" s="83" t="s">
        <v>1790</v>
      </c>
    </row>
    <row r="313" spans="1:79" ht="25.5" x14ac:dyDescent="0.2">
      <c r="A313" s="176" t="str">
        <f t="shared" si="4"/>
        <v>FishingStructure</v>
      </c>
      <c r="B313" s="11" t="s">
        <v>3143</v>
      </c>
      <c r="C313" s="173"/>
      <c r="D313" s="22" t="s">
        <v>3144</v>
      </c>
      <c r="E313" s="15" t="s">
        <v>3145</v>
      </c>
      <c r="F313" s="15" t="s">
        <v>3146</v>
      </c>
      <c r="G313" s="174"/>
      <c r="H313" s="37">
        <v>100294</v>
      </c>
      <c r="I313" s="25" t="str">
        <f>CONCATENATE(Cover!$D$6,"fdd/view?i=",H313)</f>
        <v>https://www.dgiwg.org/FAD/fdd/view?i=100294</v>
      </c>
      <c r="J313" s="13" t="s">
        <v>3142</v>
      </c>
      <c r="K313" s="172"/>
      <c r="L313" s="172"/>
      <c r="BD313" s="83" t="s">
        <v>1790</v>
      </c>
      <c r="BG313" s="83" t="s">
        <v>1790</v>
      </c>
    </row>
    <row r="314" spans="1:79" ht="38.25" x14ac:dyDescent="0.2">
      <c r="A314" s="176" t="str">
        <f t="shared" si="4"/>
        <v>FishingVesselActivityRegion</v>
      </c>
      <c r="B314" s="11" t="s">
        <v>3148</v>
      </c>
      <c r="C314" s="173"/>
      <c r="D314" s="22" t="s">
        <v>3149</v>
      </c>
      <c r="E314" s="15" t="s">
        <v>3150</v>
      </c>
      <c r="F314" s="15" t="s">
        <v>3151</v>
      </c>
      <c r="G314" s="174"/>
      <c r="H314" s="37">
        <v>119166</v>
      </c>
      <c r="I314" s="25" t="str">
        <f>CONCATENATE(Cover!$D$6,"fdd/view?i=",H314)</f>
        <v>https://www.dgiwg.org/FAD/fdd/view?i=119166</v>
      </c>
      <c r="J314" s="13" t="s">
        <v>3147</v>
      </c>
      <c r="K314" s="172"/>
      <c r="L314" s="172"/>
      <c r="AS314" s="82" t="s">
        <v>1790</v>
      </c>
      <c r="AZ314" s="87" t="s">
        <v>1790</v>
      </c>
      <c r="BA314" s="83" t="s">
        <v>1790</v>
      </c>
      <c r="BF314" s="83" t="s">
        <v>1790</v>
      </c>
    </row>
    <row r="315" spans="1:79" x14ac:dyDescent="0.2">
      <c r="A315" s="176" t="str">
        <f t="shared" si="4"/>
        <v>Flagpole</v>
      </c>
      <c r="B315" s="11" t="s">
        <v>3153</v>
      </c>
      <c r="C315" s="173"/>
      <c r="D315" s="22" t="s">
        <v>3152</v>
      </c>
      <c r="E315" s="15" t="s">
        <v>3154</v>
      </c>
      <c r="F315" s="174"/>
      <c r="G315" s="15" t="s">
        <v>3155</v>
      </c>
      <c r="H315" s="37">
        <v>100095</v>
      </c>
      <c r="I315" s="25" t="str">
        <f>CONCATENATE(Cover!$D$6,"fdd/view?i=",H315)</f>
        <v>https://www.dgiwg.org/FAD/fdd/view?i=100095</v>
      </c>
      <c r="J315" s="13" t="s">
        <v>3152</v>
      </c>
      <c r="K315" s="172"/>
      <c r="L315" s="172"/>
      <c r="AJ315" s="83" t="s">
        <v>1790</v>
      </c>
    </row>
    <row r="316" spans="1:79" x14ac:dyDescent="0.2">
      <c r="A316" s="176" t="str">
        <f t="shared" si="4"/>
        <v>FlarePipe</v>
      </c>
      <c r="B316" s="11" t="s">
        <v>3157</v>
      </c>
      <c r="C316" s="173"/>
      <c r="D316" s="22" t="s">
        <v>3158</v>
      </c>
      <c r="E316" s="15" t="s">
        <v>3159</v>
      </c>
      <c r="F316" s="174"/>
      <c r="G316" s="174"/>
      <c r="H316" s="37">
        <v>100036</v>
      </c>
      <c r="I316" s="25" t="str">
        <f>CONCATENATE(Cover!$D$6,"fdd/view?i=",H316)</f>
        <v>https://www.dgiwg.org/FAD/fdd/view?i=100036</v>
      </c>
      <c r="J316" s="13" t="s">
        <v>3156</v>
      </c>
      <c r="K316" s="172"/>
      <c r="L316" s="172"/>
      <c r="AF316" s="82" t="s">
        <v>1790</v>
      </c>
      <c r="AH316" s="85" t="s">
        <v>1790</v>
      </c>
    </row>
    <row r="317" spans="1:79" ht="25.5" x14ac:dyDescent="0.2">
      <c r="A317" s="176" t="str">
        <f t="shared" si="4"/>
        <v>FlareStack</v>
      </c>
      <c r="B317" s="11" t="s">
        <v>3161</v>
      </c>
      <c r="C317" s="173"/>
      <c r="D317" s="22" t="s">
        <v>3162</v>
      </c>
      <c r="E317" s="15" t="s">
        <v>3163</v>
      </c>
      <c r="F317" s="174"/>
      <c r="G317" s="15" t="s">
        <v>3164</v>
      </c>
      <c r="H317" s="37">
        <v>100012</v>
      </c>
      <c r="I317" s="25" t="str">
        <f>CONCATENATE(Cover!$D$6,"fdd/view?i=",H317)</f>
        <v>https://www.dgiwg.org/FAD/fdd/view?i=100012</v>
      </c>
      <c r="J317" s="13" t="s">
        <v>3160</v>
      </c>
      <c r="K317" s="172"/>
      <c r="L317" s="172"/>
      <c r="AF317" s="82" t="s">
        <v>1790</v>
      </c>
      <c r="AH317" s="85" t="s">
        <v>1790</v>
      </c>
    </row>
    <row r="318" spans="1:79" ht="38.25" x14ac:dyDescent="0.2">
      <c r="A318" s="176" t="str">
        <f t="shared" si="4"/>
        <v>FloatingBarrier</v>
      </c>
      <c r="B318" s="11" t="s">
        <v>3166</v>
      </c>
      <c r="C318" s="173"/>
      <c r="D318" s="22" t="s">
        <v>3167</v>
      </c>
      <c r="E318" s="15" t="s">
        <v>3168</v>
      </c>
      <c r="F318" s="15" t="s">
        <v>3169</v>
      </c>
      <c r="G318" s="174"/>
      <c r="H318" s="37">
        <v>100304</v>
      </c>
      <c r="I318" s="25" t="str">
        <f>CONCATENATE(Cover!$D$6,"fdd/view?i=",H318)</f>
        <v>https://www.dgiwg.org/FAD/fdd/view?i=100304</v>
      </c>
      <c r="J318" s="13" t="s">
        <v>3165</v>
      </c>
      <c r="K318" s="172"/>
      <c r="L318" s="172"/>
      <c r="BD318" s="83" t="s">
        <v>1790</v>
      </c>
      <c r="BG318" s="83" t="s">
        <v>1790</v>
      </c>
    </row>
    <row r="319" spans="1:79" ht="38.25" x14ac:dyDescent="0.2">
      <c r="A319" s="176" t="str">
        <f t="shared" si="4"/>
        <v>FloatingDryDock</v>
      </c>
      <c r="B319" s="11" t="s">
        <v>3171</v>
      </c>
      <c r="C319" s="173"/>
      <c r="D319" s="22" t="s">
        <v>3172</v>
      </c>
      <c r="E319" s="15" t="s">
        <v>3173</v>
      </c>
      <c r="F319" s="174"/>
      <c r="G319" s="174"/>
      <c r="H319" s="37">
        <v>100250</v>
      </c>
      <c r="I319" s="25" t="str">
        <f>CONCATENATE(Cover!$D$6,"fdd/view?i=",H319)</f>
        <v>https://www.dgiwg.org/FAD/fdd/view?i=100250</v>
      </c>
      <c r="J319" s="13" t="s">
        <v>3170</v>
      </c>
      <c r="K319" s="172"/>
      <c r="L319" s="172"/>
      <c r="AS319" s="82" t="s">
        <v>1790</v>
      </c>
      <c r="BA319" s="83" t="s">
        <v>1790</v>
      </c>
    </row>
    <row r="320" spans="1:79" ht="25.5" x14ac:dyDescent="0.2">
      <c r="A320" s="176" t="str">
        <f t="shared" si="4"/>
        <v>FloodBarrage</v>
      </c>
      <c r="B320" s="11" t="s">
        <v>3175</v>
      </c>
      <c r="C320" s="173"/>
      <c r="D320" s="22" t="s">
        <v>3176</v>
      </c>
      <c r="E320" s="15" t="s">
        <v>3177</v>
      </c>
      <c r="F320" s="174"/>
      <c r="G320" s="174"/>
      <c r="H320" s="37">
        <v>100375</v>
      </c>
      <c r="I320" s="25" t="str">
        <f>CONCATENATE(Cover!$D$6,"fdd/view?i=",H320)</f>
        <v>https://www.dgiwg.org/FAD/fdd/view?i=100375</v>
      </c>
      <c r="J320" s="13" t="s">
        <v>3174</v>
      </c>
      <c r="K320" s="172"/>
      <c r="L320" s="172"/>
      <c r="BJ320" s="83" t="s">
        <v>1790</v>
      </c>
    </row>
    <row r="321" spans="1:88" ht="38.25" x14ac:dyDescent="0.2">
      <c r="A321" s="176" t="str">
        <f t="shared" si="4"/>
        <v>FloodControlStructure</v>
      </c>
      <c r="B321" s="11" t="s">
        <v>3179</v>
      </c>
      <c r="C321" s="173"/>
      <c r="D321" s="22" t="s">
        <v>3180</v>
      </c>
      <c r="E321" s="15" t="s">
        <v>3181</v>
      </c>
      <c r="F321" s="15" t="s">
        <v>3182</v>
      </c>
      <c r="G321" s="174"/>
      <c r="H321" s="37">
        <v>117763</v>
      </c>
      <c r="I321" s="25" t="str">
        <f>CONCATENATE(Cover!$D$6,"fdd/view?i=",H321)</f>
        <v>https://www.dgiwg.org/FAD/fdd/view?i=117763</v>
      </c>
      <c r="J321" s="13" t="s">
        <v>3178</v>
      </c>
      <c r="K321" s="172"/>
      <c r="L321" s="172"/>
      <c r="BA321" s="83" t="s">
        <v>1790</v>
      </c>
      <c r="BJ321" s="83" t="s">
        <v>1790</v>
      </c>
    </row>
    <row r="322" spans="1:88" ht="25.5" x14ac:dyDescent="0.2">
      <c r="A322" s="176" t="str">
        <f t="shared" si="4"/>
        <v>FloodedArea</v>
      </c>
      <c r="B322" s="11" t="s">
        <v>3184</v>
      </c>
      <c r="C322" s="173"/>
      <c r="D322" s="22" t="s">
        <v>3185</v>
      </c>
      <c r="E322" s="15" t="s">
        <v>3186</v>
      </c>
      <c r="F322" s="15" t="s">
        <v>3187</v>
      </c>
      <c r="G322" s="174"/>
      <c r="H322" s="37">
        <v>100343</v>
      </c>
      <c r="I322" s="25" t="str">
        <f>CONCATENATE(Cover!$D$6,"fdd/view?i=",H322)</f>
        <v>https://www.dgiwg.org/FAD/fdd/view?i=100343</v>
      </c>
      <c r="J322" s="13" t="s">
        <v>3183</v>
      </c>
      <c r="K322" s="172"/>
      <c r="L322" s="172"/>
      <c r="BJ322" s="83" t="s">
        <v>1790</v>
      </c>
      <c r="BX322" s="83" t="s">
        <v>1790</v>
      </c>
    </row>
    <row r="323" spans="1:88" ht="25.5" x14ac:dyDescent="0.2">
      <c r="A323" s="176" t="str">
        <f t="shared" ref="A323:A386" si="5">HYPERLINK(I323,J323)</f>
        <v>Flume</v>
      </c>
      <c r="B323" s="11" t="s">
        <v>3189</v>
      </c>
      <c r="C323" s="173"/>
      <c r="D323" s="22" t="s">
        <v>3188</v>
      </c>
      <c r="E323" s="15" t="s">
        <v>3190</v>
      </c>
      <c r="F323" s="15" t="s">
        <v>3191</v>
      </c>
      <c r="G323" s="174"/>
      <c r="H323" s="37">
        <v>100337</v>
      </c>
      <c r="I323" s="25" t="str">
        <f>CONCATENATE(Cover!$D$6,"fdd/view?i=",H323)</f>
        <v>https://www.dgiwg.org/FAD/fdd/view?i=100337</v>
      </c>
      <c r="J323" s="13" t="s">
        <v>3188</v>
      </c>
      <c r="K323" s="172"/>
      <c r="L323" s="172"/>
      <c r="BJ323" s="83" t="s">
        <v>1790</v>
      </c>
    </row>
    <row r="324" spans="1:88" ht="25.5" x14ac:dyDescent="0.2">
      <c r="A324" s="176" t="str">
        <f t="shared" si="5"/>
        <v>FogSignal</v>
      </c>
      <c r="B324" s="11" t="s">
        <v>3193</v>
      </c>
      <c r="C324" s="173"/>
      <c r="D324" s="22" t="s">
        <v>3194</v>
      </c>
      <c r="E324" s="15" t="s">
        <v>3195</v>
      </c>
      <c r="F324" s="174"/>
      <c r="G324" s="174"/>
      <c r="H324" s="37">
        <v>100277</v>
      </c>
      <c r="I324" s="25" t="str">
        <f>CONCATENATE(Cover!$D$6,"fdd/view?i=",H324)</f>
        <v>https://www.dgiwg.org/FAD/fdd/view?i=100277</v>
      </c>
      <c r="J324" s="13" t="s">
        <v>3192</v>
      </c>
      <c r="K324" s="172"/>
      <c r="L324" s="172"/>
      <c r="AS324" s="82" t="s">
        <v>1790</v>
      </c>
      <c r="BF324" s="83" t="s">
        <v>1790</v>
      </c>
    </row>
    <row r="325" spans="1:88" ht="25.5" x14ac:dyDescent="0.2">
      <c r="A325" s="176" t="str">
        <f t="shared" si="5"/>
        <v>FogZone</v>
      </c>
      <c r="B325" s="11" t="s">
        <v>3197</v>
      </c>
      <c r="C325" s="173"/>
      <c r="D325" s="22" t="s">
        <v>3198</v>
      </c>
      <c r="E325" s="15" t="s">
        <v>3199</v>
      </c>
      <c r="F325" s="15" t="s">
        <v>3200</v>
      </c>
      <c r="G325" s="174"/>
      <c r="H325" s="37">
        <v>111387</v>
      </c>
      <c r="I325" s="25" t="str">
        <f>CONCATENATE(Cover!$D$6,"fdd/view?i=",H325)</f>
        <v>https://www.dgiwg.org/FAD/fdd/view?i=111387</v>
      </c>
      <c r="J325" s="13" t="s">
        <v>3196</v>
      </c>
      <c r="K325" s="172"/>
      <c r="L325" s="172"/>
      <c r="BZ325" s="83" t="s">
        <v>1790</v>
      </c>
    </row>
    <row r="326" spans="1:88" x14ac:dyDescent="0.2">
      <c r="A326" s="176" t="str">
        <f t="shared" si="5"/>
        <v>Ford</v>
      </c>
      <c r="B326" s="11" t="s">
        <v>3202</v>
      </c>
      <c r="C326" s="173"/>
      <c r="D326" s="22" t="s">
        <v>3201</v>
      </c>
      <c r="E326" s="15" t="s">
        <v>3203</v>
      </c>
      <c r="F326" s="174"/>
      <c r="G326" s="174"/>
      <c r="H326" s="37">
        <v>100338</v>
      </c>
      <c r="I326" s="25" t="str">
        <f>CONCATENATE(Cover!$D$6,"fdd/view?i=",H326)</f>
        <v>https://www.dgiwg.org/FAD/fdd/view?i=100338</v>
      </c>
      <c r="J326" s="13" t="s">
        <v>3201</v>
      </c>
      <c r="K326" s="172"/>
      <c r="L326" s="172"/>
      <c r="AQ326" s="82" t="s">
        <v>1790</v>
      </c>
      <c r="AU326" s="82" t="s">
        <v>1790</v>
      </c>
      <c r="AV326" s="82" t="s">
        <v>1790</v>
      </c>
      <c r="BJ326" s="83" t="s">
        <v>1790</v>
      </c>
    </row>
    <row r="327" spans="1:88" ht="25.5" x14ac:dyDescent="0.2">
      <c r="A327" s="176" t="str">
        <f t="shared" si="5"/>
        <v>Foreshore</v>
      </c>
      <c r="B327" s="11" t="s">
        <v>3205</v>
      </c>
      <c r="C327" s="173"/>
      <c r="D327" s="22" t="s">
        <v>3204</v>
      </c>
      <c r="E327" s="15" t="s">
        <v>3206</v>
      </c>
      <c r="F327" s="174"/>
      <c r="G327" s="174"/>
      <c r="H327" s="37">
        <v>100209</v>
      </c>
      <c r="I327" s="25" t="str">
        <f>CONCATENATE(Cover!$D$6,"fdd/view?i=",H327)</f>
        <v>https://www.dgiwg.org/FAD/fdd/view?i=100209</v>
      </c>
      <c r="J327" s="13" t="s">
        <v>3204</v>
      </c>
      <c r="K327" s="172"/>
      <c r="L327" s="172"/>
      <c r="AZ327" s="87" t="s">
        <v>1790</v>
      </c>
    </row>
    <row r="328" spans="1:88" x14ac:dyDescent="0.2">
      <c r="A328" s="176" t="str">
        <f t="shared" si="5"/>
        <v>Forest</v>
      </c>
      <c r="B328" s="11" t="s">
        <v>3208</v>
      </c>
      <c r="C328" s="173"/>
      <c r="D328" s="22" t="s">
        <v>3207</v>
      </c>
      <c r="E328" s="15" t="s">
        <v>3209</v>
      </c>
      <c r="F328" s="15" t="s">
        <v>3210</v>
      </c>
      <c r="G328" s="174"/>
      <c r="H328" s="37">
        <v>111298</v>
      </c>
      <c r="I328" s="25" t="str">
        <f>CONCATENATE(Cover!$D$6,"fdd/view?i=",H328)</f>
        <v>https://www.dgiwg.org/FAD/fdd/view?i=111298</v>
      </c>
      <c r="J328" s="13" t="s">
        <v>3207</v>
      </c>
      <c r="K328" s="172"/>
      <c r="L328" s="172"/>
      <c r="BW328" s="83" t="s">
        <v>1790</v>
      </c>
      <c r="BZ328" s="83" t="s">
        <v>1790</v>
      </c>
    </row>
    <row r="329" spans="1:88" ht="25.5" x14ac:dyDescent="0.2">
      <c r="A329" s="176" t="str">
        <f t="shared" si="5"/>
        <v>ForestClearing</v>
      </c>
      <c r="B329" s="11" t="s">
        <v>3212</v>
      </c>
      <c r="C329" s="173"/>
      <c r="D329" s="22" t="s">
        <v>3213</v>
      </c>
      <c r="E329" s="15" t="s">
        <v>3214</v>
      </c>
      <c r="F329" s="15" t="s">
        <v>3215</v>
      </c>
      <c r="G329" s="174"/>
      <c r="H329" s="37">
        <v>110675</v>
      </c>
      <c r="I329" s="25" t="str">
        <f>CONCATENATE(Cover!$D$6,"fdd/view?i=",H329)</f>
        <v>https://www.dgiwg.org/FAD/fdd/view?i=110675</v>
      </c>
      <c r="J329" s="13" t="s">
        <v>3211</v>
      </c>
      <c r="K329" s="172"/>
      <c r="L329" s="172"/>
      <c r="BW329" s="83" t="s">
        <v>1790</v>
      </c>
    </row>
    <row r="330" spans="1:88" x14ac:dyDescent="0.2">
      <c r="A330" s="176" t="str">
        <f t="shared" si="5"/>
        <v>Fortification</v>
      </c>
      <c r="B330" s="11" t="s">
        <v>3217</v>
      </c>
      <c r="C330" s="173"/>
      <c r="D330" s="22" t="s">
        <v>3216</v>
      </c>
      <c r="E330" s="15" t="s">
        <v>3218</v>
      </c>
      <c r="F330" s="15" t="s">
        <v>3219</v>
      </c>
      <c r="G330" s="174"/>
      <c r="H330" s="37">
        <v>100040</v>
      </c>
      <c r="I330" s="25" t="str">
        <f>CONCATENATE(Cover!$D$6,"fdd/view?i=",H330)</f>
        <v>https://www.dgiwg.org/FAD/fdd/view?i=100040</v>
      </c>
      <c r="J330" s="13" t="s">
        <v>3216</v>
      </c>
      <c r="K330" s="172"/>
      <c r="L330" s="172"/>
      <c r="CJ330" s="81" t="s">
        <v>1790</v>
      </c>
    </row>
    <row r="331" spans="1:88" ht="25.5" x14ac:dyDescent="0.2">
      <c r="A331" s="176" t="str">
        <f t="shared" si="5"/>
        <v>FortifiedBuilding</v>
      </c>
      <c r="B331" s="11" t="s">
        <v>3221</v>
      </c>
      <c r="C331" s="173"/>
      <c r="D331" s="22" t="s">
        <v>3222</v>
      </c>
      <c r="E331" s="15" t="s">
        <v>3223</v>
      </c>
      <c r="F331" s="174"/>
      <c r="G331" s="174"/>
      <c r="H331" s="37">
        <v>117989</v>
      </c>
      <c r="I331" s="25" t="str">
        <f>CONCATENATE(Cover!$D$6,"fdd/view?i=",H331)</f>
        <v>https://www.dgiwg.org/FAD/fdd/view?i=117989</v>
      </c>
      <c r="J331" s="13" t="s">
        <v>3220</v>
      </c>
      <c r="K331" s="172"/>
      <c r="L331" s="172"/>
      <c r="AJ331" s="83" t="s">
        <v>1790</v>
      </c>
      <c r="CJ331" s="81" t="s">
        <v>1790</v>
      </c>
    </row>
    <row r="332" spans="1:88" ht="25.5" x14ac:dyDescent="0.2">
      <c r="A332" s="176" t="str">
        <f t="shared" si="5"/>
        <v>FoulGround</v>
      </c>
      <c r="B332" s="11" t="s">
        <v>3225</v>
      </c>
      <c r="C332" s="173"/>
      <c r="D332" s="22" t="s">
        <v>3226</v>
      </c>
      <c r="E332" s="15" t="s">
        <v>3227</v>
      </c>
      <c r="F332" s="174"/>
      <c r="G332" s="174"/>
      <c r="H332" s="37">
        <v>100287</v>
      </c>
      <c r="I332" s="25" t="str">
        <f>CONCATENATE(Cover!$D$6,"fdd/view?i=",H332)</f>
        <v>https://www.dgiwg.org/FAD/fdd/view?i=100287</v>
      </c>
      <c r="J332" s="13" t="s">
        <v>3224</v>
      </c>
      <c r="K332" s="172"/>
      <c r="L332" s="172"/>
      <c r="BC332" s="83" t="s">
        <v>1790</v>
      </c>
      <c r="BG332" s="83" t="s">
        <v>1790</v>
      </c>
    </row>
    <row r="333" spans="1:88" ht="25.5" x14ac:dyDescent="0.2">
      <c r="A333" s="176" t="str">
        <f t="shared" si="5"/>
        <v>Fountain</v>
      </c>
      <c r="B333" s="11" t="s">
        <v>3229</v>
      </c>
      <c r="C333" s="173"/>
      <c r="D333" s="22" t="s">
        <v>3228</v>
      </c>
      <c r="E333" s="15" t="s">
        <v>3230</v>
      </c>
      <c r="F333" s="15" t="s">
        <v>3231</v>
      </c>
      <c r="G333" s="174"/>
      <c r="H333" s="37">
        <v>100339</v>
      </c>
      <c r="I333" s="25" t="str">
        <f>CONCATENATE(Cover!$D$6,"fdd/view?i=",H333)</f>
        <v>https://www.dgiwg.org/FAD/fdd/view?i=100339</v>
      </c>
      <c r="J333" s="13" t="s">
        <v>3228</v>
      </c>
      <c r="K333" s="172"/>
      <c r="L333" s="172"/>
      <c r="AJ333" s="83" t="s">
        <v>1790</v>
      </c>
      <c r="BJ333" s="83" t="s">
        <v>1790</v>
      </c>
    </row>
    <row r="334" spans="1:88" ht="25.5" x14ac:dyDescent="0.2">
      <c r="A334" s="176" t="str">
        <f t="shared" si="5"/>
        <v>Frostand/orSnowZone</v>
      </c>
      <c r="B334" s="11" t="s">
        <v>3233</v>
      </c>
      <c r="C334" s="173"/>
      <c r="D334" s="22" t="s">
        <v>3234</v>
      </c>
      <c r="E334" s="15" t="s">
        <v>3235</v>
      </c>
      <c r="F334" s="15" t="s">
        <v>3200</v>
      </c>
      <c r="G334" s="174"/>
      <c r="H334" s="37">
        <v>111386</v>
      </c>
      <c r="I334" s="25" t="str">
        <f>CONCATENATE(Cover!$D$6,"fdd/view?i=",H334)</f>
        <v>https://www.dgiwg.org/FAD/fdd/view?i=111386</v>
      </c>
      <c r="J334" s="13" t="s">
        <v>3232</v>
      </c>
      <c r="K334" s="172"/>
      <c r="L334" s="172"/>
      <c r="BZ334" s="83" t="s">
        <v>1790</v>
      </c>
    </row>
    <row r="335" spans="1:88" ht="89.25" x14ac:dyDescent="0.2">
      <c r="A335" s="176" t="str">
        <f t="shared" si="5"/>
        <v>FuelStorageFacility</v>
      </c>
      <c r="B335" s="11" t="s">
        <v>3237</v>
      </c>
      <c r="C335" s="173"/>
      <c r="D335" s="22" t="s">
        <v>3238</v>
      </c>
      <c r="E335" s="15" t="s">
        <v>3239</v>
      </c>
      <c r="F335" s="15" t="s">
        <v>3240</v>
      </c>
      <c r="G335" s="174"/>
      <c r="H335" s="37">
        <v>111427</v>
      </c>
      <c r="I335" s="25" t="str">
        <f>CONCATENATE(Cover!$D$6,"fdd/view?i=",H335)</f>
        <v>https://www.dgiwg.org/FAD/fdd/view?i=111427</v>
      </c>
      <c r="J335" s="13" t="s">
        <v>3236</v>
      </c>
      <c r="K335" s="172"/>
      <c r="L335" s="172"/>
      <c r="AW335" s="82" t="s">
        <v>1790</v>
      </c>
      <c r="CJ335" s="81" t="s">
        <v>1790</v>
      </c>
    </row>
    <row r="336" spans="1:88" ht="25.5" x14ac:dyDescent="0.2">
      <c r="A336" s="176" t="str">
        <f t="shared" si="5"/>
        <v>Gallery</v>
      </c>
      <c r="B336" s="11" t="s">
        <v>3242</v>
      </c>
      <c r="C336" s="173"/>
      <c r="D336" s="22" t="s">
        <v>3241</v>
      </c>
      <c r="E336" s="15" t="s">
        <v>3243</v>
      </c>
      <c r="F336" s="15" t="s">
        <v>3244</v>
      </c>
      <c r="G336" s="174"/>
      <c r="H336" s="37">
        <v>100096</v>
      </c>
      <c r="I336" s="25" t="str">
        <f>CONCATENATE(Cover!$D$6,"fdd/view?i=",H336)</f>
        <v>https://www.dgiwg.org/FAD/fdd/view?i=100096</v>
      </c>
      <c r="J336" s="13" t="s">
        <v>3241</v>
      </c>
      <c r="K336" s="172"/>
      <c r="L336" s="172"/>
      <c r="AW336" s="82" t="s">
        <v>1790</v>
      </c>
      <c r="BM336" s="82" t="s">
        <v>1790</v>
      </c>
    </row>
    <row r="337" spans="1:107" ht="63.75" x14ac:dyDescent="0.2">
      <c r="A337" s="176" t="str">
        <f t="shared" si="5"/>
        <v>Gantry</v>
      </c>
      <c r="B337" s="11" t="s">
        <v>3246</v>
      </c>
      <c r="C337" s="173"/>
      <c r="D337" s="22" t="s">
        <v>3245</v>
      </c>
      <c r="E337" s="15" t="s">
        <v>3247</v>
      </c>
      <c r="F337" s="15" t="s">
        <v>3248</v>
      </c>
      <c r="G337" s="174"/>
      <c r="H337" s="37">
        <v>100097</v>
      </c>
      <c r="I337" s="25" t="str">
        <f>CONCATENATE(Cover!$D$6,"fdd/view?i=",H337)</f>
        <v>https://www.dgiwg.org/FAD/fdd/view?i=100097</v>
      </c>
      <c r="J337" s="13" t="s">
        <v>3245</v>
      </c>
      <c r="K337" s="172"/>
      <c r="L337" s="172"/>
      <c r="AF337" s="82" t="s">
        <v>1790</v>
      </c>
    </row>
    <row r="338" spans="1:107" ht="25.5" x14ac:dyDescent="0.2">
      <c r="A338" s="176" t="str">
        <f t="shared" si="5"/>
        <v>Garden</v>
      </c>
      <c r="B338" s="11" t="s">
        <v>3250</v>
      </c>
      <c r="C338" s="173"/>
      <c r="D338" s="22" t="s">
        <v>3249</v>
      </c>
      <c r="E338" s="15" t="s">
        <v>3251</v>
      </c>
      <c r="F338" s="15" t="s">
        <v>3252</v>
      </c>
      <c r="G338" s="174"/>
      <c r="H338" s="37">
        <v>110680</v>
      </c>
      <c r="I338" s="25" t="str">
        <f>CONCATENATE(Cover!$D$6,"fdd/view?i=",H338)</f>
        <v>https://www.dgiwg.org/FAD/fdd/view?i=110680</v>
      </c>
      <c r="J338" s="13" t="s">
        <v>3249</v>
      </c>
      <c r="K338" s="172"/>
      <c r="L338" s="172"/>
      <c r="AL338" s="83" t="s">
        <v>1790</v>
      </c>
      <c r="BU338" s="87" t="s">
        <v>1790</v>
      </c>
    </row>
    <row r="339" spans="1:107" ht="25.5" x14ac:dyDescent="0.2">
      <c r="A339" s="176" t="str">
        <f t="shared" si="5"/>
        <v>Gate</v>
      </c>
      <c r="B339" s="11" t="s">
        <v>3254</v>
      </c>
      <c r="C339" s="173"/>
      <c r="D339" s="22" t="s">
        <v>3253</v>
      </c>
      <c r="E339" s="15" t="s">
        <v>3255</v>
      </c>
      <c r="F339" s="174"/>
      <c r="G339" s="174"/>
      <c r="H339" s="37">
        <v>100146</v>
      </c>
      <c r="I339" s="25" t="str">
        <f>CONCATENATE(Cover!$D$6,"fdd/view?i=",H339)</f>
        <v>https://www.dgiwg.org/FAD/fdd/view?i=100146</v>
      </c>
      <c r="J339" s="13" t="s">
        <v>3253</v>
      </c>
      <c r="K339" s="172"/>
      <c r="L339" s="172"/>
      <c r="AU339" s="82" t="s">
        <v>1790</v>
      </c>
      <c r="AW339" s="82" t="s">
        <v>1790</v>
      </c>
    </row>
    <row r="340" spans="1:107" ht="25.5" x14ac:dyDescent="0.2">
      <c r="A340" s="176" t="str">
        <f t="shared" si="5"/>
        <v>GaugingStation</v>
      </c>
      <c r="B340" s="11" t="s">
        <v>3257</v>
      </c>
      <c r="C340" s="173"/>
      <c r="D340" s="22" t="s">
        <v>3258</v>
      </c>
      <c r="E340" s="15" t="s">
        <v>3259</v>
      </c>
      <c r="F340" s="174"/>
      <c r="G340" s="174"/>
      <c r="H340" s="37">
        <v>100378</v>
      </c>
      <c r="I340" s="25" t="str">
        <f>CONCATENATE(Cover!$D$6,"fdd/view?i=",H340)</f>
        <v>https://www.dgiwg.org/FAD/fdd/view?i=100378</v>
      </c>
      <c r="J340" s="13" t="s">
        <v>3256</v>
      </c>
      <c r="K340" s="172"/>
      <c r="L340" s="172"/>
      <c r="BJ340" s="83" t="s">
        <v>1790</v>
      </c>
    </row>
    <row r="341" spans="1:107" ht="25.5" x14ac:dyDescent="0.2">
      <c r="A341" s="176" t="str">
        <f t="shared" si="5"/>
        <v>GeneralBuilding</v>
      </c>
      <c r="B341" s="11" t="s">
        <v>3261</v>
      </c>
      <c r="C341" s="173"/>
      <c r="D341" s="22" t="s">
        <v>3262</v>
      </c>
      <c r="E341" s="15" t="s">
        <v>3263</v>
      </c>
      <c r="F341" s="174"/>
      <c r="G341" s="174"/>
      <c r="H341" s="37">
        <v>100080</v>
      </c>
      <c r="I341" s="25" t="str">
        <f>CONCATENATE(Cover!$D$6,"fdd/view?i=",H341)</f>
        <v>https://www.dgiwg.org/FAD/fdd/view?i=100080</v>
      </c>
      <c r="J341" s="13" t="s">
        <v>3260</v>
      </c>
      <c r="K341" s="172"/>
      <c r="L341" s="172"/>
      <c r="AI341" s="87" t="s">
        <v>1790</v>
      </c>
    </row>
    <row r="342" spans="1:107" ht="25.5" x14ac:dyDescent="0.2">
      <c r="A342" s="176" t="str">
        <f t="shared" si="5"/>
        <v>GeodeticPoint</v>
      </c>
      <c r="B342" s="11" t="s">
        <v>3265</v>
      </c>
      <c r="C342" s="173"/>
      <c r="D342" s="22" t="s">
        <v>3266</v>
      </c>
      <c r="E342" s="15" t="s">
        <v>3267</v>
      </c>
      <c r="F342" s="15" t="s">
        <v>3268</v>
      </c>
      <c r="G342" s="174"/>
      <c r="H342" s="37">
        <v>100569</v>
      </c>
      <c r="I342" s="25" t="str">
        <f>CONCATENATE(Cover!$D$6,"fdd/view?i=",H342)</f>
        <v>https://www.dgiwg.org/FAD/fdd/view?i=100569</v>
      </c>
      <c r="J342" s="13" t="s">
        <v>3264</v>
      </c>
      <c r="K342" s="172"/>
      <c r="L342" s="172"/>
      <c r="CD342" s="85" t="s">
        <v>1790</v>
      </c>
    </row>
    <row r="343" spans="1:107" ht="25.5" x14ac:dyDescent="0.2">
      <c r="A343" s="176" t="str">
        <f t="shared" si="5"/>
        <v>GeographicInfoLocation</v>
      </c>
      <c r="B343" s="11" t="s">
        <v>3270</v>
      </c>
      <c r="C343" s="173"/>
      <c r="D343" s="22" t="s">
        <v>3271</v>
      </c>
      <c r="E343" s="15" t="s">
        <v>3272</v>
      </c>
      <c r="F343" s="174"/>
      <c r="G343" s="174"/>
      <c r="H343" s="37">
        <v>100575</v>
      </c>
      <c r="I343" s="25" t="str">
        <f>CONCATENATE(Cover!$D$6,"fdd/view?i=",H343)</f>
        <v>https://www.dgiwg.org/FAD/fdd/view?i=100575</v>
      </c>
      <c r="J343" s="13" t="s">
        <v>3269</v>
      </c>
      <c r="K343" s="172"/>
      <c r="L343" s="172"/>
      <c r="CW343" s="164" t="s">
        <v>1790</v>
      </c>
    </row>
    <row r="344" spans="1:107" ht="25.5" x14ac:dyDescent="0.2">
      <c r="A344" s="176" t="str">
        <f t="shared" si="5"/>
        <v>GeoNameCollection</v>
      </c>
      <c r="B344" s="11" t="s">
        <v>3274</v>
      </c>
      <c r="C344" s="173"/>
      <c r="D344" s="22" t="s">
        <v>3275</v>
      </c>
      <c r="E344" s="15" t="s">
        <v>3276</v>
      </c>
      <c r="F344" s="174"/>
      <c r="G344" s="174"/>
      <c r="H344" s="37">
        <v>111463</v>
      </c>
      <c r="I344" s="25" t="str">
        <f>CONCATENATE(Cover!$D$6,"fdd/view?i=",H344)</f>
        <v>https://www.dgiwg.org/FAD/fdd/view?i=111463</v>
      </c>
      <c r="J344" s="13" t="s">
        <v>3273</v>
      </c>
      <c r="K344" s="172"/>
      <c r="L344" s="172"/>
      <c r="CU344" s="87" t="s">
        <v>1790</v>
      </c>
    </row>
    <row r="345" spans="1:107" ht="25.5" x14ac:dyDescent="0.2">
      <c r="A345" s="176" t="str">
        <f t="shared" si="5"/>
        <v>GeoNameInfo</v>
      </c>
      <c r="B345" s="11" t="s">
        <v>3278</v>
      </c>
      <c r="C345" s="173"/>
      <c r="D345" s="22" t="s">
        <v>3279</v>
      </c>
      <c r="E345" s="15" t="s">
        <v>3280</v>
      </c>
      <c r="F345" s="174"/>
      <c r="G345" s="174"/>
      <c r="H345" s="37">
        <v>111462</v>
      </c>
      <c r="I345" s="25" t="str">
        <f>CONCATENATE(Cover!$D$6,"fdd/view?i=",H345)</f>
        <v>https://www.dgiwg.org/FAD/fdd/view?i=111462</v>
      </c>
      <c r="J345" s="13" t="s">
        <v>3277</v>
      </c>
      <c r="K345" s="172"/>
      <c r="L345" s="172"/>
      <c r="CU345" s="87" t="s">
        <v>1790</v>
      </c>
    </row>
    <row r="346" spans="1:107" ht="76.5" x14ac:dyDescent="0.2">
      <c r="A346" s="176" t="str">
        <f t="shared" si="5"/>
        <v>GeologicFault</v>
      </c>
      <c r="B346" s="11" t="s">
        <v>3282</v>
      </c>
      <c r="C346" s="173"/>
      <c r="D346" s="22" t="s">
        <v>3283</v>
      </c>
      <c r="E346" s="15" t="s">
        <v>3284</v>
      </c>
      <c r="F346" s="15" t="s">
        <v>3285</v>
      </c>
      <c r="G346" s="174"/>
      <c r="H346" s="37">
        <v>100414</v>
      </c>
      <c r="I346" s="25" t="str">
        <f>CONCATENATE(Cover!$D$6,"fdd/view?i=",H346)</f>
        <v>https://www.dgiwg.org/FAD/fdd/view?i=100414</v>
      </c>
      <c r="J346" s="13" t="s">
        <v>3281</v>
      </c>
      <c r="K346" s="172"/>
      <c r="L346" s="172"/>
      <c r="BM346" s="82" t="s">
        <v>1790</v>
      </c>
      <c r="BQ346" s="82" t="s">
        <v>1790</v>
      </c>
    </row>
    <row r="347" spans="1:107" ht="25.5" x14ac:dyDescent="0.2">
      <c r="A347" s="176" t="str">
        <f t="shared" si="5"/>
        <v>GeologicMappingUnit</v>
      </c>
      <c r="B347" s="11" t="s">
        <v>3287</v>
      </c>
      <c r="C347" s="173"/>
      <c r="D347" s="22" t="s">
        <v>3288</v>
      </c>
      <c r="E347" s="15" t="s">
        <v>3289</v>
      </c>
      <c r="F347" s="174"/>
      <c r="G347" s="174"/>
      <c r="H347" s="37">
        <v>111368</v>
      </c>
      <c r="I347" s="25" t="str">
        <f>CONCATENATE(Cover!$D$6,"fdd/view?i=",H347)</f>
        <v>https://www.dgiwg.org/FAD/fdd/view?i=111368</v>
      </c>
      <c r="J347" s="13" t="s">
        <v>3286</v>
      </c>
      <c r="K347" s="172"/>
      <c r="L347" s="172"/>
      <c r="BT347" s="85" t="s">
        <v>1790</v>
      </c>
    </row>
    <row r="348" spans="1:107" ht="25.5" x14ac:dyDescent="0.2">
      <c r="A348" s="176" t="str">
        <f t="shared" si="5"/>
        <v>GeologicMassMovement</v>
      </c>
      <c r="B348" s="11" t="s">
        <v>3291</v>
      </c>
      <c r="C348" s="173"/>
      <c r="D348" s="22" t="s">
        <v>3292</v>
      </c>
      <c r="E348" s="15" t="s">
        <v>3293</v>
      </c>
      <c r="F348" s="15" t="s">
        <v>3294</v>
      </c>
      <c r="G348" s="174"/>
      <c r="H348" s="37">
        <v>111360</v>
      </c>
      <c r="I348" s="25" t="str">
        <f>CONCATENATE(Cover!$D$6,"fdd/view?i=",H348)</f>
        <v>https://www.dgiwg.org/FAD/fdd/view?i=111360</v>
      </c>
      <c r="J348" s="13" t="s">
        <v>3290</v>
      </c>
      <c r="K348" s="172"/>
      <c r="L348" s="172"/>
      <c r="BM348" s="82" t="s">
        <v>1790</v>
      </c>
    </row>
    <row r="349" spans="1:107" x14ac:dyDescent="0.2">
      <c r="A349" s="176" t="str">
        <f t="shared" si="5"/>
        <v>GeologicStructureLine</v>
      </c>
      <c r="B349" s="11" t="s">
        <v>3296</v>
      </c>
      <c r="C349" s="173"/>
      <c r="D349" s="22" t="s">
        <v>3297</v>
      </c>
      <c r="E349" s="15" t="s">
        <v>3298</v>
      </c>
      <c r="F349" s="174"/>
      <c r="G349" s="174"/>
      <c r="H349" s="37">
        <v>111361</v>
      </c>
      <c r="I349" s="25" t="str">
        <f>CONCATENATE(Cover!$D$6,"fdd/view?i=",H349)</f>
        <v>https://www.dgiwg.org/FAD/fdd/view?i=111361</v>
      </c>
      <c r="J349" s="13" t="s">
        <v>3295</v>
      </c>
      <c r="K349" s="172"/>
      <c r="L349" s="172"/>
      <c r="BL349" s="81" t="s">
        <v>1790</v>
      </c>
      <c r="BQ349" s="82" t="s">
        <v>1790</v>
      </c>
    </row>
    <row r="350" spans="1:107" ht="38.25" x14ac:dyDescent="0.2">
      <c r="A350" s="176" t="str">
        <f t="shared" si="5"/>
        <v>GeometryInfo</v>
      </c>
      <c r="B350" s="11" t="s">
        <v>3300</v>
      </c>
      <c r="C350" s="173"/>
      <c r="D350" s="22" t="s">
        <v>3301</v>
      </c>
      <c r="E350" s="15" t="s">
        <v>3302</v>
      </c>
      <c r="F350" s="15" t="s">
        <v>3303</v>
      </c>
      <c r="G350" s="174"/>
      <c r="H350" s="37">
        <v>114210</v>
      </c>
      <c r="I350" s="25" t="str">
        <f>CONCATENATE(Cover!$D$6,"fdd/view?i=",H350)</f>
        <v>https://www.dgiwg.org/FAD/fdd/view?i=114210</v>
      </c>
      <c r="J350" s="13" t="s">
        <v>3299</v>
      </c>
      <c r="K350" s="172"/>
      <c r="L350" s="172"/>
      <c r="DC350" s="87" t="s">
        <v>1790</v>
      </c>
    </row>
    <row r="351" spans="1:107" ht="38.25" x14ac:dyDescent="0.2">
      <c r="A351" s="176" t="str">
        <f t="shared" si="5"/>
        <v>GeomorphicBreakline</v>
      </c>
      <c r="B351" s="11" t="s">
        <v>3305</v>
      </c>
      <c r="C351" s="173"/>
      <c r="D351" s="22" t="s">
        <v>3306</v>
      </c>
      <c r="E351" s="15" t="s">
        <v>3307</v>
      </c>
      <c r="F351" s="15" t="s">
        <v>3308</v>
      </c>
      <c r="G351" s="174"/>
      <c r="H351" s="37">
        <v>119163</v>
      </c>
      <c r="I351" s="25" t="str">
        <f>CONCATENATE(Cover!$D$6,"fdd/view?i=",H351)</f>
        <v>https://www.dgiwg.org/FAD/fdd/view?i=119163</v>
      </c>
      <c r="J351" s="13" t="s">
        <v>3304</v>
      </c>
      <c r="K351" s="172"/>
      <c r="L351" s="172"/>
      <c r="BM351" s="82" t="s">
        <v>1790</v>
      </c>
    </row>
    <row r="352" spans="1:107" ht="38.25" x14ac:dyDescent="0.2">
      <c r="A352" s="176" t="str">
        <f t="shared" si="5"/>
        <v>GeomorphicExtreme</v>
      </c>
      <c r="B352" s="11" t="s">
        <v>3310</v>
      </c>
      <c r="C352" s="173"/>
      <c r="D352" s="22" t="s">
        <v>3311</v>
      </c>
      <c r="E352" s="15" t="s">
        <v>3312</v>
      </c>
      <c r="F352" s="15" t="s">
        <v>3313</v>
      </c>
      <c r="G352" s="174"/>
      <c r="H352" s="37">
        <v>119162</v>
      </c>
      <c r="I352" s="25" t="str">
        <f>CONCATENATE(Cover!$D$6,"fdd/view?i=",H352)</f>
        <v>https://www.dgiwg.org/FAD/fdd/view?i=119162</v>
      </c>
      <c r="J352" s="13" t="s">
        <v>3309</v>
      </c>
      <c r="K352" s="172"/>
      <c r="L352" s="172"/>
      <c r="BM352" s="82" t="s">
        <v>1790</v>
      </c>
    </row>
    <row r="353" spans="1:107" ht="25.5" x14ac:dyDescent="0.2">
      <c r="A353" s="176" t="str">
        <f t="shared" si="5"/>
        <v>GeophysicalAnomaly</v>
      </c>
      <c r="B353" s="11" t="s">
        <v>3315</v>
      </c>
      <c r="C353" s="173"/>
      <c r="D353" s="22" t="s">
        <v>3316</v>
      </c>
      <c r="E353" s="15" t="s">
        <v>3317</v>
      </c>
      <c r="F353" s="174"/>
      <c r="G353" s="174"/>
      <c r="H353" s="37">
        <v>111393</v>
      </c>
      <c r="I353" s="25" t="str">
        <f>CONCATENATE(Cover!$D$6,"fdd/view?i=",H353)</f>
        <v>https://www.dgiwg.org/FAD/fdd/view?i=111393</v>
      </c>
      <c r="J353" s="13" t="s">
        <v>3314</v>
      </c>
      <c r="K353" s="172"/>
      <c r="L353" s="172"/>
      <c r="BS353" s="82" t="s">
        <v>1790</v>
      </c>
    </row>
    <row r="354" spans="1:107" x14ac:dyDescent="0.2">
      <c r="A354" s="176" t="str">
        <f t="shared" si="5"/>
        <v>GeophysicalDataTrackLine</v>
      </c>
      <c r="B354" s="11" t="s">
        <v>3319</v>
      </c>
      <c r="C354" s="173"/>
      <c r="D354" s="22" t="s">
        <v>3320</v>
      </c>
      <c r="E354" s="15" t="s">
        <v>3321</v>
      </c>
      <c r="F354" s="174"/>
      <c r="G354" s="174"/>
      <c r="H354" s="37">
        <v>111455</v>
      </c>
      <c r="I354" s="25" t="str">
        <f>CONCATENATE(Cover!$D$6,"fdd/view?i=",H354)</f>
        <v>https://www.dgiwg.org/FAD/fdd/view?i=111455</v>
      </c>
      <c r="J354" s="13" t="s">
        <v>3318</v>
      </c>
      <c r="K354" s="172"/>
      <c r="L354" s="172"/>
      <c r="BP354" s="82" t="s">
        <v>1790</v>
      </c>
      <c r="CD354" s="85" t="s">
        <v>1790</v>
      </c>
    </row>
    <row r="355" spans="1:107" ht="38.25" x14ac:dyDescent="0.2">
      <c r="A355" s="176" t="str">
        <f t="shared" si="5"/>
        <v>GeophysicalProspectGrid</v>
      </c>
      <c r="B355" s="11" t="s">
        <v>3323</v>
      </c>
      <c r="C355" s="173"/>
      <c r="D355" s="22" t="s">
        <v>3324</v>
      </c>
      <c r="E355" s="15" t="s">
        <v>3325</v>
      </c>
      <c r="F355" s="15" t="s">
        <v>3326</v>
      </c>
      <c r="G355" s="174"/>
      <c r="H355" s="37">
        <v>100469</v>
      </c>
      <c r="I355" s="25" t="str">
        <f>CONCATENATE(Cover!$D$6,"fdd/view?i=",H355)</f>
        <v>https://www.dgiwg.org/FAD/fdd/view?i=100469</v>
      </c>
      <c r="J355" s="13" t="s">
        <v>3322</v>
      </c>
      <c r="K355" s="172"/>
      <c r="L355" s="172"/>
      <c r="BP355" s="82" t="s">
        <v>1790</v>
      </c>
      <c r="CD355" s="85" t="s">
        <v>1790</v>
      </c>
    </row>
    <row r="356" spans="1:107" ht="51" x14ac:dyDescent="0.2">
      <c r="A356" s="176" t="str">
        <f t="shared" si="5"/>
        <v>GeopoliticalEntity</v>
      </c>
      <c r="B356" s="11" t="s">
        <v>3328</v>
      </c>
      <c r="C356" s="173"/>
      <c r="D356" s="22" t="s">
        <v>3329</v>
      </c>
      <c r="E356" s="15" t="s">
        <v>3330</v>
      </c>
      <c r="F356" s="15" t="s">
        <v>3331</v>
      </c>
      <c r="G356" s="174"/>
      <c r="H356" s="37">
        <v>111453</v>
      </c>
      <c r="I356" s="25" t="str">
        <f>CONCATENATE(Cover!$D$6,"fdd/view?i=",H356)</f>
        <v>https://www.dgiwg.org/FAD/fdd/view?i=111453</v>
      </c>
      <c r="J356" s="13" t="s">
        <v>3327</v>
      </c>
      <c r="K356" s="172"/>
      <c r="L356" s="172"/>
      <c r="AM356" s="83" t="s">
        <v>1790</v>
      </c>
      <c r="CC356" s="81" t="s">
        <v>1790</v>
      </c>
    </row>
    <row r="357" spans="1:107" ht="25.5" x14ac:dyDescent="0.2">
      <c r="A357" s="176" t="str">
        <f t="shared" si="5"/>
        <v>GeopoliticalEntityDesig</v>
      </c>
      <c r="B357" s="11" t="s">
        <v>3333</v>
      </c>
      <c r="C357" s="173"/>
      <c r="D357" s="22" t="s">
        <v>3334</v>
      </c>
      <c r="E357" s="15" t="s">
        <v>3335</v>
      </c>
      <c r="F357" s="174"/>
      <c r="G357" s="174"/>
      <c r="H357" s="37">
        <v>114203</v>
      </c>
      <c r="I357" s="25" t="str">
        <f>CONCATENATE(Cover!$D$6,"fdd/view?i=",H357)</f>
        <v>https://www.dgiwg.org/FAD/fdd/view?i=114203</v>
      </c>
      <c r="J357" s="13" t="s">
        <v>3332</v>
      </c>
      <c r="K357" s="172"/>
      <c r="L357" s="172"/>
      <c r="DC357" s="87" t="s">
        <v>1790</v>
      </c>
    </row>
    <row r="358" spans="1:107" ht="63.75" x14ac:dyDescent="0.2">
      <c r="A358" s="176" t="str">
        <f t="shared" si="5"/>
        <v>GeopoliticalLine</v>
      </c>
      <c r="B358" s="11" t="s">
        <v>3337</v>
      </c>
      <c r="C358" s="173"/>
      <c r="D358" s="22" t="s">
        <v>3338</v>
      </c>
      <c r="E358" s="15" t="s">
        <v>3339</v>
      </c>
      <c r="F358" s="15" t="s">
        <v>3340</v>
      </c>
      <c r="G358" s="174"/>
      <c r="H358" s="37">
        <v>119394</v>
      </c>
      <c r="I358" s="25" t="str">
        <f>CONCATENATE(Cover!$D$6,"fdd/view?i=",H358)</f>
        <v>https://www.dgiwg.org/FAD/fdd/view?i=119394</v>
      </c>
      <c r="J358" s="13" t="s">
        <v>3336</v>
      </c>
      <c r="K358" s="172"/>
      <c r="L358" s="172"/>
      <c r="AM358" s="83" t="s">
        <v>1790</v>
      </c>
      <c r="CC358" s="81" t="s">
        <v>1790</v>
      </c>
    </row>
    <row r="359" spans="1:107" ht="25.5" x14ac:dyDescent="0.2">
      <c r="A359" s="176" t="str">
        <f t="shared" si="5"/>
        <v>GeothermalOutlet</v>
      </c>
      <c r="B359" s="11" t="s">
        <v>3342</v>
      </c>
      <c r="C359" s="173"/>
      <c r="D359" s="22" t="s">
        <v>3343</v>
      </c>
      <c r="E359" s="15" t="s">
        <v>3344</v>
      </c>
      <c r="F359" s="15" t="s">
        <v>3345</v>
      </c>
      <c r="G359" s="174"/>
      <c r="H359" s="37">
        <v>100415</v>
      </c>
      <c r="I359" s="25" t="str">
        <f>CONCATENATE(Cover!$D$6,"fdd/view?i=",H359)</f>
        <v>https://www.dgiwg.org/FAD/fdd/view?i=100415</v>
      </c>
      <c r="J359" s="13" t="s">
        <v>3341</v>
      </c>
      <c r="K359" s="172"/>
      <c r="L359" s="172"/>
      <c r="BP359" s="82" t="s">
        <v>1790</v>
      </c>
      <c r="BQ359" s="82" t="s">
        <v>1790</v>
      </c>
    </row>
    <row r="360" spans="1:107" ht="38.25" x14ac:dyDescent="0.2">
      <c r="A360" s="176" t="str">
        <f t="shared" si="5"/>
        <v>Glacier</v>
      </c>
      <c r="B360" s="11" t="s">
        <v>3347</v>
      </c>
      <c r="C360" s="173"/>
      <c r="D360" s="22" t="s">
        <v>3346</v>
      </c>
      <c r="E360" s="15" t="s">
        <v>3348</v>
      </c>
      <c r="F360" s="174"/>
      <c r="G360" s="174"/>
      <c r="H360" s="37">
        <v>100381</v>
      </c>
      <c r="I360" s="25" t="str">
        <f>CONCATENATE(Cover!$D$6,"fdd/view?i=",H360)</f>
        <v>https://www.dgiwg.org/FAD/fdd/view?i=100381</v>
      </c>
      <c r="J360" s="13" t="s">
        <v>3346</v>
      </c>
      <c r="K360" s="172"/>
      <c r="L360" s="172"/>
      <c r="BR360" s="82" t="s">
        <v>1790</v>
      </c>
    </row>
    <row r="361" spans="1:107" ht="51" x14ac:dyDescent="0.2">
      <c r="A361" s="176" t="str">
        <f t="shared" si="5"/>
        <v>GlobalNavSatelliteSystem</v>
      </c>
      <c r="B361" s="11" t="s">
        <v>3350</v>
      </c>
      <c r="C361" s="173"/>
      <c r="D361" s="22" t="s">
        <v>3351</v>
      </c>
      <c r="E361" s="15" t="s">
        <v>3352</v>
      </c>
      <c r="F361" s="15" t="s">
        <v>3353</v>
      </c>
      <c r="G361" s="15" t="s">
        <v>3354</v>
      </c>
      <c r="H361" s="37">
        <v>114503</v>
      </c>
      <c r="I361" s="25" t="str">
        <f>CONCATENATE(Cover!$D$6,"fdd/view?i=",H361)</f>
        <v>https://www.dgiwg.org/FAD/fdd/view?i=114503</v>
      </c>
      <c r="J361" s="13" t="s">
        <v>3349</v>
      </c>
      <c r="K361" s="172"/>
      <c r="L361" s="172"/>
      <c r="CG361" s="83" t="s">
        <v>1790</v>
      </c>
    </row>
    <row r="362" spans="1:107" ht="25.5" x14ac:dyDescent="0.2">
      <c r="A362" s="176" t="str">
        <f t="shared" si="5"/>
        <v>GlobalWindBelt</v>
      </c>
      <c r="B362" s="11" t="s">
        <v>3356</v>
      </c>
      <c r="C362" s="173"/>
      <c r="D362" s="22" t="s">
        <v>3357</v>
      </c>
      <c r="E362" s="15" t="s">
        <v>3358</v>
      </c>
      <c r="F362" s="174"/>
      <c r="G362" s="174"/>
      <c r="H362" s="37">
        <v>111388</v>
      </c>
      <c r="I362" s="25" t="str">
        <f>CONCATENATE(Cover!$D$6,"fdd/view?i=",H362)</f>
        <v>https://www.dgiwg.org/FAD/fdd/view?i=111388</v>
      </c>
      <c r="J362" s="13" t="s">
        <v>3355</v>
      </c>
      <c r="K362" s="172"/>
      <c r="L362" s="172"/>
      <c r="BZ362" s="83" t="s">
        <v>1790</v>
      </c>
    </row>
    <row r="363" spans="1:107" x14ac:dyDescent="0.2">
      <c r="A363" s="176" t="str">
        <f t="shared" si="5"/>
        <v>GolfCourse</v>
      </c>
      <c r="B363" s="11" t="s">
        <v>3360</v>
      </c>
      <c r="C363" s="173"/>
      <c r="D363" s="22" t="s">
        <v>3361</v>
      </c>
      <c r="E363" s="15" t="s">
        <v>3362</v>
      </c>
      <c r="F363" s="174"/>
      <c r="G363" s="174"/>
      <c r="H363" s="37">
        <v>100061</v>
      </c>
      <c r="I363" s="25" t="str">
        <f>CONCATENATE(Cover!$D$6,"fdd/view?i=",H363)</f>
        <v>https://www.dgiwg.org/FAD/fdd/view?i=100061</v>
      </c>
      <c r="J363" s="13" t="s">
        <v>3359</v>
      </c>
      <c r="K363" s="172"/>
      <c r="L363" s="172"/>
      <c r="AL363" s="83" t="s">
        <v>1790</v>
      </c>
    </row>
    <row r="364" spans="1:107" x14ac:dyDescent="0.2">
      <c r="A364" s="176" t="str">
        <f t="shared" si="5"/>
        <v>GolfDrivingRange</v>
      </c>
      <c r="B364" s="11" t="s">
        <v>3364</v>
      </c>
      <c r="C364" s="173"/>
      <c r="D364" s="22" t="s">
        <v>3365</v>
      </c>
      <c r="E364" s="15" t="s">
        <v>3366</v>
      </c>
      <c r="F364" s="174"/>
      <c r="G364" s="174"/>
      <c r="H364" s="37">
        <v>100062</v>
      </c>
      <c r="I364" s="25" t="str">
        <f>CONCATENATE(Cover!$D$6,"fdd/view?i=",H364)</f>
        <v>https://www.dgiwg.org/FAD/fdd/view?i=100062</v>
      </c>
      <c r="J364" s="13" t="s">
        <v>3363</v>
      </c>
      <c r="K364" s="172"/>
      <c r="L364" s="172"/>
      <c r="AL364" s="83" t="s">
        <v>1790</v>
      </c>
    </row>
    <row r="365" spans="1:107" ht="25.5" x14ac:dyDescent="0.2">
      <c r="A365" s="176" t="str">
        <f t="shared" si="5"/>
        <v>GradationWorks</v>
      </c>
      <c r="B365" s="11" t="s">
        <v>3368</v>
      </c>
      <c r="C365" s="173"/>
      <c r="D365" s="22" t="s">
        <v>3369</v>
      </c>
      <c r="E365" s="15" t="s">
        <v>3370</v>
      </c>
      <c r="F365" s="174"/>
      <c r="G365" s="174"/>
      <c r="H365" s="37">
        <v>100009</v>
      </c>
      <c r="I365" s="25" t="str">
        <f>CONCATENATE(Cover!$D$6,"fdd/view?i=",H365)</f>
        <v>https://www.dgiwg.org/FAD/fdd/view?i=100009</v>
      </c>
      <c r="J365" s="13" t="s">
        <v>3367</v>
      </c>
      <c r="K365" s="172"/>
      <c r="L365" s="172"/>
      <c r="AB365" s="82" t="s">
        <v>1790</v>
      </c>
      <c r="BJ365" s="83" t="s">
        <v>1790</v>
      </c>
    </row>
    <row r="366" spans="1:107" x14ac:dyDescent="0.2">
      <c r="A366" s="176" t="str">
        <f t="shared" si="5"/>
        <v>GrainElevator</v>
      </c>
      <c r="B366" s="11" t="s">
        <v>3372</v>
      </c>
      <c r="C366" s="173"/>
      <c r="D366" s="22" t="s">
        <v>3373</v>
      </c>
      <c r="E366" s="15" t="s">
        <v>3374</v>
      </c>
      <c r="F366" s="174"/>
      <c r="G366" s="174"/>
      <c r="H366" s="37">
        <v>100128</v>
      </c>
      <c r="I366" s="25" t="str">
        <f>CONCATENATE(Cover!$D$6,"fdd/view?i=",H366)</f>
        <v>https://www.dgiwg.org/FAD/fdd/view?i=100128</v>
      </c>
      <c r="J366" s="13" t="s">
        <v>3371</v>
      </c>
      <c r="K366" s="172"/>
      <c r="L366" s="172"/>
      <c r="AC366" s="82" t="s">
        <v>1790</v>
      </c>
      <c r="AG366" s="82" t="s">
        <v>1790</v>
      </c>
    </row>
    <row r="367" spans="1:107" x14ac:dyDescent="0.2">
      <c r="A367" s="176" t="str">
        <f t="shared" si="5"/>
        <v>GrainStorageStructure</v>
      </c>
      <c r="B367" s="11" t="s">
        <v>3376</v>
      </c>
      <c r="C367" s="173"/>
      <c r="D367" s="22" t="s">
        <v>3377</v>
      </c>
      <c r="E367" s="15" t="s">
        <v>3378</v>
      </c>
      <c r="F367" s="174"/>
      <c r="G367" s="15" t="s">
        <v>3379</v>
      </c>
      <c r="H367" s="37">
        <v>100127</v>
      </c>
      <c r="I367" s="25" t="str">
        <f>CONCATENATE(Cover!$D$6,"fdd/view?i=",H367)</f>
        <v>https://www.dgiwg.org/FAD/fdd/view?i=100127</v>
      </c>
      <c r="J367" s="13" t="s">
        <v>3375</v>
      </c>
      <c r="K367" s="172"/>
      <c r="L367" s="172"/>
      <c r="AC367" s="82" t="s">
        <v>1790</v>
      </c>
      <c r="AG367" s="82" t="s">
        <v>1790</v>
      </c>
    </row>
    <row r="368" spans="1:107" ht="25.5" x14ac:dyDescent="0.2">
      <c r="A368" s="176" t="str">
        <f t="shared" si="5"/>
        <v>Grandstand</v>
      </c>
      <c r="B368" s="11" t="s">
        <v>3381</v>
      </c>
      <c r="C368" s="173"/>
      <c r="D368" s="22" t="s">
        <v>3380</v>
      </c>
      <c r="E368" s="15" t="s">
        <v>3382</v>
      </c>
      <c r="F368" s="174"/>
      <c r="G368" s="174"/>
      <c r="H368" s="37">
        <v>100063</v>
      </c>
      <c r="I368" s="25" t="str">
        <f>CONCATENATE(Cover!$D$6,"fdd/view?i=",H368)</f>
        <v>https://www.dgiwg.org/FAD/fdd/view?i=100063</v>
      </c>
      <c r="J368" s="13" t="s">
        <v>3380</v>
      </c>
      <c r="K368" s="172"/>
      <c r="L368" s="172"/>
      <c r="AL368" s="83" t="s">
        <v>1790</v>
      </c>
    </row>
    <row r="369" spans="1:83" ht="25.5" x14ac:dyDescent="0.2">
      <c r="A369" s="176" t="str">
        <f t="shared" si="5"/>
        <v>Grange</v>
      </c>
      <c r="B369" s="11" t="s">
        <v>3384</v>
      </c>
      <c r="C369" s="173"/>
      <c r="D369" s="22" t="s">
        <v>3383</v>
      </c>
      <c r="E369" s="15" t="s">
        <v>3385</v>
      </c>
      <c r="F369" s="174"/>
      <c r="G369" s="174"/>
      <c r="H369" s="37">
        <v>111346</v>
      </c>
      <c r="I369" s="25" t="str">
        <f>CONCATENATE(Cover!$D$6,"fdd/view?i=",H369)</f>
        <v>https://www.dgiwg.org/FAD/fdd/view?i=111346</v>
      </c>
      <c r="J369" s="13" t="s">
        <v>3383</v>
      </c>
      <c r="K369" s="172"/>
      <c r="L369" s="172"/>
      <c r="AI369" s="87" t="s">
        <v>1790</v>
      </c>
    </row>
    <row r="370" spans="1:83" x14ac:dyDescent="0.2">
      <c r="A370" s="176" t="str">
        <f t="shared" si="5"/>
        <v>Grassland</v>
      </c>
      <c r="B370" s="11" t="s">
        <v>3387</v>
      </c>
      <c r="C370" s="173"/>
      <c r="D370" s="22" t="s">
        <v>3386</v>
      </c>
      <c r="E370" s="15" t="s">
        <v>3388</v>
      </c>
      <c r="F370" s="15" t="s">
        <v>3389</v>
      </c>
      <c r="G370" s="174"/>
      <c r="H370" s="37">
        <v>100439</v>
      </c>
      <c r="I370" s="25" t="str">
        <f>CONCATENATE(Cover!$D$6,"fdd/view?i=",H370)</f>
        <v>https://www.dgiwg.org/FAD/fdd/view?i=100439</v>
      </c>
      <c r="J370" s="13" t="s">
        <v>3386</v>
      </c>
      <c r="K370" s="172"/>
      <c r="L370" s="172"/>
      <c r="BV370" s="83" t="s">
        <v>1790</v>
      </c>
    </row>
    <row r="371" spans="1:83" ht="38.25" x14ac:dyDescent="0.2">
      <c r="A371" s="176" t="str">
        <f t="shared" si="5"/>
        <v>Grave</v>
      </c>
      <c r="B371" s="11" t="s">
        <v>3391</v>
      </c>
      <c r="C371" s="173"/>
      <c r="D371" s="22" t="s">
        <v>3390</v>
      </c>
      <c r="E371" s="15" t="s">
        <v>3392</v>
      </c>
      <c r="F371" s="15" t="s">
        <v>3393</v>
      </c>
      <c r="G371" s="174"/>
      <c r="H371" s="37">
        <v>111418</v>
      </c>
      <c r="I371" s="25" t="str">
        <f>CONCATENATE(Cover!$D$6,"fdd/view?i=",H371)</f>
        <v>https://www.dgiwg.org/FAD/fdd/view?i=111418</v>
      </c>
      <c r="J371" s="13" t="s">
        <v>3390</v>
      </c>
      <c r="K371" s="172"/>
      <c r="L371" s="172"/>
      <c r="AJ371" s="83" t="s">
        <v>1790</v>
      </c>
    </row>
    <row r="372" spans="1:83" x14ac:dyDescent="0.2">
      <c r="A372" s="176" t="str">
        <f t="shared" si="5"/>
        <v>GraveMarker</v>
      </c>
      <c r="B372" s="11" t="s">
        <v>3395</v>
      </c>
      <c r="C372" s="173"/>
      <c r="D372" s="22" t="s">
        <v>3396</v>
      </c>
      <c r="E372" s="15" t="s">
        <v>3397</v>
      </c>
      <c r="F372" s="15" t="s">
        <v>3398</v>
      </c>
      <c r="G372" s="15" t="s">
        <v>3399</v>
      </c>
      <c r="H372" s="37">
        <v>100098</v>
      </c>
      <c r="I372" s="25" t="str">
        <f>CONCATENATE(Cover!$D$6,"fdd/view?i=",H372)</f>
        <v>https://www.dgiwg.org/FAD/fdd/view?i=100098</v>
      </c>
      <c r="J372" s="13" t="s">
        <v>3394</v>
      </c>
      <c r="K372" s="172"/>
      <c r="L372" s="172"/>
      <c r="AJ372" s="83" t="s">
        <v>1790</v>
      </c>
    </row>
    <row r="373" spans="1:83" ht="25.5" x14ac:dyDescent="0.2">
      <c r="A373" s="176" t="str">
        <f t="shared" si="5"/>
        <v>GreenSpace</v>
      </c>
      <c r="B373" s="11" t="s">
        <v>3401</v>
      </c>
      <c r="C373" s="173"/>
      <c r="D373" s="22" t="s">
        <v>3402</v>
      </c>
      <c r="E373" s="15" t="s">
        <v>3403</v>
      </c>
      <c r="F373" s="15" t="s">
        <v>3404</v>
      </c>
      <c r="G373" s="174"/>
      <c r="H373" s="37">
        <v>100066</v>
      </c>
      <c r="I373" s="25" t="str">
        <f>CONCATENATE(Cover!$D$6,"fdd/view?i=",H373)</f>
        <v>https://www.dgiwg.org/FAD/fdd/view?i=100066</v>
      </c>
      <c r="J373" s="13" t="s">
        <v>3400</v>
      </c>
      <c r="K373" s="172"/>
      <c r="L373" s="172"/>
      <c r="AL373" s="83" t="s">
        <v>1790</v>
      </c>
    </row>
    <row r="374" spans="1:83" ht="127.5" x14ac:dyDescent="0.2">
      <c r="A374" s="176" t="str">
        <f t="shared" si="5"/>
        <v>Greenhouse</v>
      </c>
      <c r="B374" s="11" t="s">
        <v>3406</v>
      </c>
      <c r="C374" s="173"/>
      <c r="D374" s="22" t="s">
        <v>3405</v>
      </c>
      <c r="E374" s="15" t="s">
        <v>3407</v>
      </c>
      <c r="F374" s="15" t="s">
        <v>3408</v>
      </c>
      <c r="G374" s="174"/>
      <c r="H374" s="37">
        <v>111408</v>
      </c>
      <c r="I374" s="25" t="str">
        <f>CONCATENATE(Cover!$D$6,"fdd/view?i=",H374)</f>
        <v>https://www.dgiwg.org/FAD/fdd/view?i=111408</v>
      </c>
      <c r="J374" s="13" t="s">
        <v>3405</v>
      </c>
      <c r="K374" s="172"/>
      <c r="L374" s="172"/>
      <c r="AC374" s="82" t="s">
        <v>1790</v>
      </c>
    </row>
    <row r="375" spans="1:83" ht="25.5" x14ac:dyDescent="0.2">
      <c r="A375" s="176" t="str">
        <f t="shared" si="5"/>
        <v>Gridiron</v>
      </c>
      <c r="B375" s="11" t="s">
        <v>3410</v>
      </c>
      <c r="C375" s="173"/>
      <c r="D375" s="22" t="s">
        <v>3409</v>
      </c>
      <c r="E375" s="15" t="s">
        <v>3411</v>
      </c>
      <c r="F375" s="174"/>
      <c r="G375" s="15" t="s">
        <v>3412</v>
      </c>
      <c r="H375" s="37">
        <v>100240</v>
      </c>
      <c r="I375" s="25" t="str">
        <f>CONCATENATE(Cover!$D$6,"fdd/view?i=",H375)</f>
        <v>https://www.dgiwg.org/FAD/fdd/view?i=100240</v>
      </c>
      <c r="J375" s="13" t="s">
        <v>3409</v>
      </c>
      <c r="K375" s="172"/>
      <c r="L375" s="172"/>
      <c r="AS375" s="82" t="s">
        <v>1790</v>
      </c>
      <c r="BA375" s="83" t="s">
        <v>1790</v>
      </c>
    </row>
    <row r="376" spans="1:83" ht="25.5" x14ac:dyDescent="0.2">
      <c r="A376" s="176" t="str">
        <f t="shared" si="5"/>
        <v>Groin</v>
      </c>
      <c r="B376" s="11" t="s">
        <v>3414</v>
      </c>
      <c r="C376" s="173"/>
      <c r="D376" s="22" t="s">
        <v>3413</v>
      </c>
      <c r="E376" s="15" t="s">
        <v>3415</v>
      </c>
      <c r="F376" s="174"/>
      <c r="G376" s="174"/>
      <c r="H376" s="37">
        <v>100230</v>
      </c>
      <c r="I376" s="25" t="str">
        <f>CONCATENATE(Cover!$D$6,"fdd/view?i=",H376)</f>
        <v>https://www.dgiwg.org/FAD/fdd/view?i=100230</v>
      </c>
      <c r="J376" s="13" t="s">
        <v>3413</v>
      </c>
      <c r="K376" s="172"/>
      <c r="L376" s="172"/>
      <c r="AS376" s="82" t="s">
        <v>1790</v>
      </c>
      <c r="BA376" s="83" t="s">
        <v>1790</v>
      </c>
    </row>
    <row r="377" spans="1:83" ht="63.75" x14ac:dyDescent="0.2">
      <c r="A377" s="176" t="str">
        <f t="shared" si="5"/>
        <v>GroundMovementArea</v>
      </c>
      <c r="B377" s="11" t="s">
        <v>3417</v>
      </c>
      <c r="C377" s="173"/>
      <c r="D377" s="22" t="s">
        <v>3418</v>
      </c>
      <c r="E377" s="15" t="s">
        <v>3419</v>
      </c>
      <c r="F377" s="15" t="s">
        <v>3420</v>
      </c>
      <c r="G377" s="174"/>
      <c r="H377" s="37">
        <v>111348</v>
      </c>
      <c r="I377" s="25" t="str">
        <f>CONCATENATE(Cover!$D$6,"fdd/view?i=",H377)</f>
        <v>https://www.dgiwg.org/FAD/fdd/view?i=111348</v>
      </c>
      <c r="J377" s="13" t="s">
        <v>3416</v>
      </c>
      <c r="K377" s="172"/>
      <c r="L377" s="172"/>
      <c r="BM377" s="82" t="s">
        <v>1790</v>
      </c>
    </row>
    <row r="378" spans="1:83" ht="51" x14ac:dyDescent="0.2">
      <c r="A378" s="176" t="str">
        <f t="shared" si="5"/>
        <v>GroundPowerEquipmentInfo</v>
      </c>
      <c r="B378" s="11" t="s">
        <v>3422</v>
      </c>
      <c r="C378" s="173"/>
      <c r="D378" s="22" t="s">
        <v>3423</v>
      </c>
      <c r="E378" s="15" t="s">
        <v>3424</v>
      </c>
      <c r="F378" s="15" t="s">
        <v>3425</v>
      </c>
      <c r="G378" s="174"/>
      <c r="H378" s="37">
        <v>119576</v>
      </c>
      <c r="I378" s="25" t="str">
        <f>CONCATENATE(Cover!$D$6,"fdd/view?i=",H378)</f>
        <v>https://www.dgiwg.org/FAD/fdd/view?i=119576</v>
      </c>
      <c r="J378" s="13" t="s">
        <v>3421</v>
      </c>
      <c r="K378" s="172"/>
      <c r="L378" s="172"/>
      <c r="AD378" s="82" t="s">
        <v>1790</v>
      </c>
      <c r="CE378" s="87" t="s">
        <v>1790</v>
      </c>
    </row>
    <row r="379" spans="1:83" ht="25.5" x14ac:dyDescent="0.2">
      <c r="A379" s="176" t="str">
        <f t="shared" si="5"/>
        <v>Groundwater</v>
      </c>
      <c r="B379" s="11" t="s">
        <v>3427</v>
      </c>
      <c r="C379" s="173"/>
      <c r="D379" s="22" t="s">
        <v>3426</v>
      </c>
      <c r="E379" s="15" t="s">
        <v>3428</v>
      </c>
      <c r="F379" s="174"/>
      <c r="G379" s="174"/>
      <c r="H379" s="37">
        <v>100347</v>
      </c>
      <c r="I379" s="25" t="str">
        <f>CONCATENATE(Cover!$D$6,"fdd/view?i=",H379)</f>
        <v>https://www.dgiwg.org/FAD/fdd/view?i=100347</v>
      </c>
      <c r="J379" s="13" t="s">
        <v>3426</v>
      </c>
      <c r="K379" s="172"/>
      <c r="L379" s="172"/>
      <c r="BP379" s="82" t="s">
        <v>1790</v>
      </c>
    </row>
    <row r="380" spans="1:83" ht="38.25" x14ac:dyDescent="0.2">
      <c r="A380" s="176" t="str">
        <f t="shared" si="5"/>
        <v>Grove</v>
      </c>
      <c r="B380" s="11" t="s">
        <v>3430</v>
      </c>
      <c r="C380" s="173"/>
      <c r="D380" s="22" t="s">
        <v>3429</v>
      </c>
      <c r="E380" s="15" t="s">
        <v>3431</v>
      </c>
      <c r="F380" s="15" t="s">
        <v>3432</v>
      </c>
      <c r="G380" s="174"/>
      <c r="H380" s="37">
        <v>110674</v>
      </c>
      <c r="I380" s="25" t="str">
        <f>CONCATENATE(Cover!$D$6,"fdd/view?i=",H380)</f>
        <v>https://www.dgiwg.org/FAD/fdd/view?i=110674</v>
      </c>
      <c r="J380" s="13" t="s">
        <v>3429</v>
      </c>
      <c r="K380" s="172"/>
      <c r="L380" s="172"/>
      <c r="BW380" s="83" t="s">
        <v>1790</v>
      </c>
    </row>
    <row r="381" spans="1:83" ht="25.5" x14ac:dyDescent="0.2">
      <c r="A381" s="176" t="str">
        <f t="shared" si="5"/>
        <v>Gully</v>
      </c>
      <c r="B381" s="11" t="s">
        <v>3434</v>
      </c>
      <c r="C381" s="173"/>
      <c r="D381" s="22" t="s">
        <v>3433</v>
      </c>
      <c r="E381" s="15" t="s">
        <v>3435</v>
      </c>
      <c r="F381" s="174"/>
      <c r="G381" s="15" t="s">
        <v>3436</v>
      </c>
      <c r="H381" s="37">
        <v>100425</v>
      </c>
      <c r="I381" s="25" t="str">
        <f>CONCATENATE(Cover!$D$6,"fdd/view?i=",H381)</f>
        <v>https://www.dgiwg.org/FAD/fdd/view?i=100425</v>
      </c>
      <c r="J381" s="13" t="s">
        <v>3433</v>
      </c>
      <c r="K381" s="172"/>
      <c r="L381" s="172"/>
      <c r="BM381" s="82" t="s">
        <v>1790</v>
      </c>
    </row>
    <row r="382" spans="1:83" ht="25.5" x14ac:dyDescent="0.2">
      <c r="A382" s="176" t="str">
        <f t="shared" si="5"/>
        <v>Harbour</v>
      </c>
      <c r="B382" s="11" t="s">
        <v>3438</v>
      </c>
      <c r="C382" s="173"/>
      <c r="D382" s="22" t="s">
        <v>3437</v>
      </c>
      <c r="E382" s="15" t="s">
        <v>3439</v>
      </c>
      <c r="F382" s="15" t="s">
        <v>3440</v>
      </c>
      <c r="G382" s="15" t="s">
        <v>3441</v>
      </c>
      <c r="H382" s="37">
        <v>100216</v>
      </c>
      <c r="I382" s="25" t="str">
        <f>CONCATENATE(Cover!$D$6,"fdd/view?i=",H382)</f>
        <v>https://www.dgiwg.org/FAD/fdd/view?i=100216</v>
      </c>
      <c r="J382" s="13" t="s">
        <v>3437</v>
      </c>
      <c r="K382" s="172"/>
      <c r="L382" s="172"/>
      <c r="AS382" s="82" t="s">
        <v>1790</v>
      </c>
      <c r="BA382" s="83" t="s">
        <v>1790</v>
      </c>
      <c r="BF382" s="83" t="s">
        <v>1790</v>
      </c>
    </row>
    <row r="383" spans="1:83" ht="25.5" x14ac:dyDescent="0.2">
      <c r="A383" s="176" t="str">
        <f t="shared" si="5"/>
        <v>HarbourWaters</v>
      </c>
      <c r="B383" s="11" t="s">
        <v>3443</v>
      </c>
      <c r="C383" s="173"/>
      <c r="D383" s="22" t="s">
        <v>3444</v>
      </c>
      <c r="E383" s="15" t="s">
        <v>3445</v>
      </c>
      <c r="F383" s="15" t="s">
        <v>3446</v>
      </c>
      <c r="G383" s="174"/>
      <c r="H383" s="37">
        <v>100760</v>
      </c>
      <c r="I383" s="25" t="str">
        <f>CONCATENATE(Cover!$D$6,"fdd/view?i=",H383)</f>
        <v>https://www.dgiwg.org/FAD/fdd/view?i=100760</v>
      </c>
      <c r="J383" s="13" t="s">
        <v>3442</v>
      </c>
      <c r="K383" s="172"/>
      <c r="L383" s="172"/>
      <c r="AS383" s="82" t="s">
        <v>1790</v>
      </c>
      <c r="BA383" s="83" t="s">
        <v>1790</v>
      </c>
    </row>
    <row r="384" spans="1:83" ht="51" x14ac:dyDescent="0.2">
      <c r="A384" s="176" t="str">
        <f t="shared" si="5"/>
        <v>HardenedAircraftShelter</v>
      </c>
      <c r="B384" s="11" t="s">
        <v>3448</v>
      </c>
      <c r="C384" s="173"/>
      <c r="D384" s="22" t="s">
        <v>3449</v>
      </c>
      <c r="E384" s="15" t="s">
        <v>3450</v>
      </c>
      <c r="F384" s="15" t="s">
        <v>3451</v>
      </c>
      <c r="G384" s="15" t="s">
        <v>3452</v>
      </c>
      <c r="H384" s="37">
        <v>114635</v>
      </c>
      <c r="I384" s="25" t="str">
        <f>CONCATENATE(Cover!$D$6,"fdd/view?i=",H384)</f>
        <v>https://www.dgiwg.org/FAD/fdd/view?i=114635</v>
      </c>
      <c r="J384" s="13" t="s">
        <v>3447</v>
      </c>
      <c r="K384" s="172"/>
      <c r="L384" s="172"/>
      <c r="CE384" s="87" t="s">
        <v>1790</v>
      </c>
    </row>
    <row r="385" spans="1:106" ht="51" x14ac:dyDescent="0.2">
      <c r="A385" s="176" t="str">
        <f t="shared" si="5"/>
        <v>HazardShelter</v>
      </c>
      <c r="B385" s="11" t="s">
        <v>3454</v>
      </c>
      <c r="C385" s="173"/>
      <c r="D385" s="22" t="s">
        <v>3455</v>
      </c>
      <c r="E385" s="15" t="s">
        <v>3456</v>
      </c>
      <c r="F385" s="15" t="s">
        <v>3457</v>
      </c>
      <c r="G385" s="174"/>
      <c r="H385" s="37">
        <v>114174</v>
      </c>
      <c r="I385" s="25" t="str">
        <f>CONCATENATE(Cover!$D$6,"fdd/view?i=",H385)</f>
        <v>https://www.dgiwg.org/FAD/fdd/view?i=114174</v>
      </c>
      <c r="J385" s="13" t="s">
        <v>3453</v>
      </c>
      <c r="K385" s="172"/>
      <c r="L385" s="172"/>
      <c r="AJ385" s="83" t="s">
        <v>1790</v>
      </c>
      <c r="CJ385" s="81" t="s">
        <v>1790</v>
      </c>
    </row>
    <row r="386" spans="1:106" ht="25.5" x14ac:dyDescent="0.2">
      <c r="A386" s="176" t="str">
        <f t="shared" si="5"/>
        <v>HazardousBiomeZone</v>
      </c>
      <c r="B386" s="11" t="s">
        <v>3459</v>
      </c>
      <c r="C386" s="173"/>
      <c r="D386" s="22" t="s">
        <v>3460</v>
      </c>
      <c r="E386" s="15" t="s">
        <v>3461</v>
      </c>
      <c r="F386" s="174"/>
      <c r="G386" s="174"/>
      <c r="H386" s="37">
        <v>111382</v>
      </c>
      <c r="I386" s="25" t="str">
        <f>CONCATENATE(Cover!$D$6,"fdd/view?i=",H386)</f>
        <v>https://www.dgiwg.org/FAD/fdd/view?i=111382</v>
      </c>
      <c r="J386" s="13" t="s">
        <v>3458</v>
      </c>
      <c r="K386" s="172"/>
      <c r="L386" s="172"/>
      <c r="BZ386" s="83" t="s">
        <v>1790</v>
      </c>
    </row>
    <row r="387" spans="1:106" ht="25.5" x14ac:dyDescent="0.2">
      <c r="A387" s="176" t="str">
        <f t="shared" ref="A387:A450" si="6">HYPERLINK(I387,J387)</f>
        <v>HazardousRock</v>
      </c>
      <c r="B387" s="11" t="s">
        <v>3463</v>
      </c>
      <c r="C387" s="173"/>
      <c r="D387" s="22" t="s">
        <v>3464</v>
      </c>
      <c r="E387" s="15" t="s">
        <v>3465</v>
      </c>
      <c r="F387" s="15" t="s">
        <v>3466</v>
      </c>
      <c r="G387" s="174"/>
      <c r="H387" s="37">
        <v>100306</v>
      </c>
      <c r="I387" s="25" t="str">
        <f>CONCATENATE(Cover!$D$6,"fdd/view?i=",H387)</f>
        <v>https://www.dgiwg.org/FAD/fdd/view?i=100306</v>
      </c>
      <c r="J387" s="13" t="s">
        <v>3462</v>
      </c>
      <c r="K387" s="172"/>
      <c r="L387" s="172"/>
      <c r="BG387" s="83" t="s">
        <v>1790</v>
      </c>
    </row>
    <row r="388" spans="1:106" ht="25.5" x14ac:dyDescent="0.2">
      <c r="A388" s="176" t="str">
        <f t="shared" si="6"/>
        <v>Heathland</v>
      </c>
      <c r="B388" s="11" t="s">
        <v>3468</v>
      </c>
      <c r="C388" s="173"/>
      <c r="D388" s="22" t="s">
        <v>3467</v>
      </c>
      <c r="E388" s="15" t="s">
        <v>3469</v>
      </c>
      <c r="F388" s="174"/>
      <c r="G388" s="174"/>
      <c r="H388" s="37">
        <v>110672</v>
      </c>
      <c r="I388" s="25" t="str">
        <f>CONCATENATE(Cover!$D$6,"fdd/view?i=",H388)</f>
        <v>https://www.dgiwg.org/FAD/fdd/view?i=110672</v>
      </c>
      <c r="J388" s="13" t="s">
        <v>3467</v>
      </c>
      <c r="K388" s="172"/>
      <c r="L388" s="172"/>
      <c r="BV388" s="83" t="s">
        <v>1790</v>
      </c>
    </row>
    <row r="389" spans="1:106" x14ac:dyDescent="0.2">
      <c r="A389" s="176" t="str">
        <f t="shared" si="6"/>
        <v>HeatingFacility</v>
      </c>
      <c r="B389" s="11" t="s">
        <v>3471</v>
      </c>
      <c r="C389" s="173"/>
      <c r="D389" s="22" t="s">
        <v>3472</v>
      </c>
      <c r="E389" s="15" t="s">
        <v>3473</v>
      </c>
      <c r="F389" s="174"/>
      <c r="G389" s="174"/>
      <c r="H389" s="37">
        <v>100026</v>
      </c>
      <c r="I389" s="25" t="str">
        <f>CONCATENATE(Cover!$D$6,"fdd/view?i=",H389)</f>
        <v>https://www.dgiwg.org/FAD/fdd/view?i=100026</v>
      </c>
      <c r="J389" s="13" t="s">
        <v>3470</v>
      </c>
      <c r="K389" s="172"/>
      <c r="L389" s="172"/>
      <c r="AD389" s="82" t="s">
        <v>1790</v>
      </c>
    </row>
    <row r="390" spans="1:106" ht="25.5" x14ac:dyDescent="0.2">
      <c r="A390" s="176" t="str">
        <f t="shared" si="6"/>
        <v>Hedgerow</v>
      </c>
      <c r="B390" s="11" t="s">
        <v>3475</v>
      </c>
      <c r="C390" s="173"/>
      <c r="D390" s="22" t="s">
        <v>3474</v>
      </c>
      <c r="E390" s="15" t="s">
        <v>3476</v>
      </c>
      <c r="F390" s="174"/>
      <c r="G390" s="174"/>
      <c r="H390" s="37">
        <v>100433</v>
      </c>
      <c r="I390" s="25" t="str">
        <f>CONCATENATE(Cover!$D$6,"fdd/view?i=",H390)</f>
        <v>https://www.dgiwg.org/FAD/fdd/view?i=100433</v>
      </c>
      <c r="J390" s="13" t="s">
        <v>3474</v>
      </c>
      <c r="K390" s="172"/>
      <c r="L390" s="172"/>
      <c r="BV390" s="83" t="s">
        <v>1790</v>
      </c>
      <c r="CC390" s="81" t="s">
        <v>1790</v>
      </c>
    </row>
    <row r="391" spans="1:106" ht="51" x14ac:dyDescent="0.2">
      <c r="A391" s="176" t="str">
        <f t="shared" si="6"/>
        <v>Helipad</v>
      </c>
      <c r="B391" s="11" t="s">
        <v>3478</v>
      </c>
      <c r="C391" s="173"/>
      <c r="D391" s="22" t="s">
        <v>3477</v>
      </c>
      <c r="E391" s="15" t="s">
        <v>3479</v>
      </c>
      <c r="F391" s="15" t="s">
        <v>3480</v>
      </c>
      <c r="G391" s="15" t="s">
        <v>3481</v>
      </c>
      <c r="H391" s="37">
        <v>114594</v>
      </c>
      <c r="I391" s="25" t="str">
        <f>CONCATENATE(Cover!$D$6,"fdd/view?i=",H391)</f>
        <v>https://www.dgiwg.org/FAD/fdd/view?i=114594</v>
      </c>
      <c r="J391" s="13" t="s">
        <v>3477</v>
      </c>
      <c r="K391" s="172"/>
      <c r="L391" s="172"/>
      <c r="CE391" s="87" t="s">
        <v>1790</v>
      </c>
    </row>
    <row r="392" spans="1:106" ht="25.5" x14ac:dyDescent="0.2">
      <c r="A392" s="176" t="str">
        <f t="shared" si="6"/>
        <v>Heliport</v>
      </c>
      <c r="B392" s="11" t="s">
        <v>3483</v>
      </c>
      <c r="C392" s="173"/>
      <c r="D392" s="22" t="s">
        <v>3482</v>
      </c>
      <c r="E392" s="15" t="s">
        <v>3484</v>
      </c>
      <c r="F392" s="174"/>
      <c r="G392" s="174"/>
      <c r="H392" s="37">
        <v>114595</v>
      </c>
      <c r="I392" s="25" t="str">
        <f>CONCATENATE(Cover!$D$6,"fdd/view?i=",H392)</f>
        <v>https://www.dgiwg.org/FAD/fdd/view?i=114595</v>
      </c>
      <c r="J392" s="13" t="s">
        <v>3482</v>
      </c>
      <c r="K392" s="172"/>
      <c r="L392" s="172"/>
      <c r="CE392" s="87" t="s">
        <v>1790</v>
      </c>
    </row>
    <row r="393" spans="1:106" ht="25.5" x14ac:dyDescent="0.2">
      <c r="A393" s="176" t="str">
        <f t="shared" si="6"/>
        <v>HerbandBrush</v>
      </c>
      <c r="B393" s="11" t="s">
        <v>3486</v>
      </c>
      <c r="C393" s="173"/>
      <c r="D393" s="22" t="s">
        <v>3487</v>
      </c>
      <c r="E393" s="15" t="s">
        <v>3488</v>
      </c>
      <c r="F393" s="15" t="s">
        <v>3489</v>
      </c>
      <c r="G393" s="174"/>
      <c r="H393" s="37">
        <v>100440</v>
      </c>
      <c r="I393" s="25" t="str">
        <f>CONCATENATE(Cover!$D$6,"fdd/view?i=",H393)</f>
        <v>https://www.dgiwg.org/FAD/fdd/view?i=100440</v>
      </c>
      <c r="J393" s="13" t="s">
        <v>3485</v>
      </c>
      <c r="K393" s="172"/>
      <c r="L393" s="172"/>
      <c r="BV393" s="83" t="s">
        <v>1790</v>
      </c>
    </row>
    <row r="394" spans="1:106" ht="25.5" x14ac:dyDescent="0.2">
      <c r="A394" s="176" t="str">
        <f t="shared" si="6"/>
        <v>HighWaterLine</v>
      </c>
      <c r="B394" s="11" t="s">
        <v>3491</v>
      </c>
      <c r="C394" s="173"/>
      <c r="D394" s="22" t="s">
        <v>3492</v>
      </c>
      <c r="E394" s="15" t="s">
        <v>3493</v>
      </c>
      <c r="F394" s="174"/>
      <c r="G394" s="174"/>
      <c r="H394" s="37">
        <v>100577</v>
      </c>
      <c r="I394" s="25" t="str">
        <f>CONCATENATE(Cover!$D$6,"fdd/view?i=",H394)</f>
        <v>https://www.dgiwg.org/FAD/fdd/view?i=100577</v>
      </c>
      <c r="J394" s="13" t="s">
        <v>3490</v>
      </c>
      <c r="K394" s="172"/>
      <c r="L394" s="172"/>
      <c r="AZ394" s="87" t="s">
        <v>1790</v>
      </c>
    </row>
    <row r="395" spans="1:106" x14ac:dyDescent="0.2">
      <c r="A395" s="176" t="str">
        <f t="shared" si="6"/>
        <v>Hill</v>
      </c>
      <c r="B395" s="11" t="s">
        <v>3495</v>
      </c>
      <c r="C395" s="173"/>
      <c r="D395" s="22" t="s">
        <v>3494</v>
      </c>
      <c r="E395" s="15" t="s">
        <v>3496</v>
      </c>
      <c r="F395" s="15" t="s">
        <v>3497</v>
      </c>
      <c r="G395" s="174"/>
      <c r="H395" s="37">
        <v>100408</v>
      </c>
      <c r="I395" s="25" t="str">
        <f>CONCATENATE(Cover!$D$6,"fdd/view?i=",H395)</f>
        <v>https://www.dgiwg.org/FAD/fdd/view?i=100408</v>
      </c>
      <c r="J395" s="13" t="s">
        <v>3494</v>
      </c>
      <c r="K395" s="172"/>
      <c r="L395" s="172"/>
      <c r="BM395" s="82" t="s">
        <v>1790</v>
      </c>
    </row>
    <row r="396" spans="1:106" ht="25.5" x14ac:dyDescent="0.2">
      <c r="A396" s="176" t="str">
        <f t="shared" si="6"/>
        <v>HistoricalBuiltUpSite</v>
      </c>
      <c r="B396" s="11" t="s">
        <v>3499</v>
      </c>
      <c r="C396" s="173"/>
      <c r="D396" s="22" t="s">
        <v>3500</v>
      </c>
      <c r="E396" s="15" t="s">
        <v>3501</v>
      </c>
      <c r="F396" s="174"/>
      <c r="G396" s="174"/>
      <c r="H396" s="37">
        <v>100086</v>
      </c>
      <c r="I396" s="25" t="str">
        <f>CONCATENATE(Cover!$D$6,"fdd/view?i=",H396)</f>
        <v>https://www.dgiwg.org/FAD/fdd/view?i=100086</v>
      </c>
      <c r="J396" s="13" t="s">
        <v>3498</v>
      </c>
      <c r="K396" s="172"/>
      <c r="L396" s="172"/>
      <c r="AI396" s="87" t="s">
        <v>1790</v>
      </c>
      <c r="AL396" s="83" t="s">
        <v>1790</v>
      </c>
    </row>
    <row r="397" spans="1:106" ht="38.25" x14ac:dyDescent="0.2">
      <c r="A397" s="176" t="str">
        <f t="shared" si="6"/>
        <v>HoldingPen</v>
      </c>
      <c r="B397" s="11" t="s">
        <v>3503</v>
      </c>
      <c r="C397" s="173"/>
      <c r="D397" s="22" t="s">
        <v>3504</v>
      </c>
      <c r="E397" s="15" t="s">
        <v>3505</v>
      </c>
      <c r="F397" s="15" t="s">
        <v>3506</v>
      </c>
      <c r="G397" s="174"/>
      <c r="H397" s="37">
        <v>100047</v>
      </c>
      <c r="I397" s="25" t="str">
        <f>CONCATENATE(Cover!$D$6,"fdd/view?i=",H397)</f>
        <v>https://www.dgiwg.org/FAD/fdd/view?i=100047</v>
      </c>
      <c r="J397" s="13" t="s">
        <v>3502</v>
      </c>
      <c r="K397" s="172"/>
      <c r="L397" s="172"/>
      <c r="AC397" s="82" t="s">
        <v>1790</v>
      </c>
    </row>
    <row r="398" spans="1:106" ht="25.5" x14ac:dyDescent="0.2">
      <c r="A398" s="176" t="str">
        <f t="shared" si="6"/>
        <v>HoldingProcedure</v>
      </c>
      <c r="B398" s="11" t="s">
        <v>3508</v>
      </c>
      <c r="C398" s="173"/>
      <c r="D398" s="22" t="s">
        <v>3509</v>
      </c>
      <c r="E398" s="15" t="s">
        <v>3510</v>
      </c>
      <c r="F398" s="174"/>
      <c r="G398" s="174"/>
      <c r="H398" s="37">
        <v>114522</v>
      </c>
      <c r="I398" s="25" t="str">
        <f>CONCATENATE(Cover!$D$6,"fdd/view?i=",H398)</f>
        <v>https://www.dgiwg.org/FAD/fdd/view?i=114522</v>
      </c>
      <c r="J398" s="13" t="s">
        <v>3507</v>
      </c>
      <c r="K398" s="172"/>
      <c r="L398" s="172"/>
      <c r="CI398" s="89" t="s">
        <v>1790</v>
      </c>
    </row>
    <row r="399" spans="1:106" x14ac:dyDescent="0.2">
      <c r="A399" s="176" t="str">
        <f t="shared" si="6"/>
        <v>HomogeneousMetadataArea</v>
      </c>
      <c r="B399" s="11" t="s">
        <v>3512</v>
      </c>
      <c r="C399" s="173"/>
      <c r="D399" s="22" t="s">
        <v>3513</v>
      </c>
      <c r="E399" s="15" t="s">
        <v>3514</v>
      </c>
      <c r="F399" s="174"/>
      <c r="G399" s="174"/>
      <c r="H399" s="37">
        <v>118446</v>
      </c>
      <c r="I399" s="25" t="str">
        <f>CONCATENATE(Cover!$D$6,"fdd/view?i=",H399)</f>
        <v>https://www.dgiwg.org/FAD/fdd/view?i=118446</v>
      </c>
      <c r="J399" s="13" t="s">
        <v>3511</v>
      </c>
      <c r="K399" s="172"/>
      <c r="L399" s="172"/>
      <c r="CS399" s="165" t="s">
        <v>1790</v>
      </c>
      <c r="CT399" s="166" t="s">
        <v>1790</v>
      </c>
      <c r="CY399" s="165" t="s">
        <v>1790</v>
      </c>
      <c r="CZ399" s="165" t="s">
        <v>1790</v>
      </c>
      <c r="DA399" s="165" t="s">
        <v>1790</v>
      </c>
      <c r="DB399" s="166" t="s">
        <v>1790</v>
      </c>
    </row>
    <row r="400" spans="1:106" ht="25.5" x14ac:dyDescent="0.2">
      <c r="A400" s="176" t="str">
        <f t="shared" si="6"/>
        <v>HomogeneousRadarSigArea</v>
      </c>
      <c r="B400" s="11" t="s">
        <v>3516</v>
      </c>
      <c r="C400" s="173"/>
      <c r="D400" s="22" t="s">
        <v>3517</v>
      </c>
      <c r="E400" s="15" t="s">
        <v>3518</v>
      </c>
      <c r="F400" s="174"/>
      <c r="G400" s="174"/>
      <c r="H400" s="37">
        <v>100099</v>
      </c>
      <c r="I400" s="25" t="str">
        <f>CONCATENATE(Cover!$D$6,"fdd/view?i=",H400)</f>
        <v>https://www.dgiwg.org/FAD/fdd/view?i=100099</v>
      </c>
      <c r="J400" s="13" t="s">
        <v>3515</v>
      </c>
      <c r="K400" s="172"/>
      <c r="L400" s="172"/>
      <c r="CJ400" s="81" t="s">
        <v>1790</v>
      </c>
    </row>
    <row r="401" spans="1:107" x14ac:dyDescent="0.2">
      <c r="A401" s="176" t="str">
        <f t="shared" si="6"/>
        <v>HopField</v>
      </c>
      <c r="B401" s="11" t="s">
        <v>3520</v>
      </c>
      <c r="C401" s="173"/>
      <c r="D401" s="22" t="s">
        <v>3521</v>
      </c>
      <c r="E401" s="15" t="s">
        <v>3522</v>
      </c>
      <c r="F401" s="174"/>
      <c r="G401" s="174"/>
      <c r="H401" s="37">
        <v>100438</v>
      </c>
      <c r="I401" s="25" t="str">
        <f>CONCATENATE(Cover!$D$6,"fdd/view?i=",H401)</f>
        <v>https://www.dgiwg.org/FAD/fdd/view?i=100438</v>
      </c>
      <c r="J401" s="13" t="s">
        <v>3519</v>
      </c>
      <c r="K401" s="172"/>
      <c r="L401" s="172"/>
      <c r="BU401" s="87" t="s">
        <v>1790</v>
      </c>
    </row>
    <row r="402" spans="1:107" ht="25.5" x14ac:dyDescent="0.2">
      <c r="A402" s="176" t="str">
        <f t="shared" si="6"/>
        <v>Hopper</v>
      </c>
      <c r="B402" s="11" t="s">
        <v>3524</v>
      </c>
      <c r="C402" s="173"/>
      <c r="D402" s="22" t="s">
        <v>3523</v>
      </c>
      <c r="E402" s="15" t="s">
        <v>3525</v>
      </c>
      <c r="F402" s="174"/>
      <c r="G402" s="174"/>
      <c r="H402" s="37">
        <v>100037</v>
      </c>
      <c r="I402" s="25" t="str">
        <f>CONCATENATE(Cover!$D$6,"fdd/view?i=",H402)</f>
        <v>https://www.dgiwg.org/FAD/fdd/view?i=100037</v>
      </c>
      <c r="J402" s="13" t="s">
        <v>3523</v>
      </c>
      <c r="K402" s="172"/>
      <c r="L402" s="172"/>
      <c r="AF402" s="82" t="s">
        <v>1790</v>
      </c>
      <c r="AG402" s="82" t="s">
        <v>1790</v>
      </c>
    </row>
    <row r="403" spans="1:107" ht="38.25" x14ac:dyDescent="0.2">
      <c r="A403" s="176" t="str">
        <f t="shared" si="6"/>
        <v>HorizCoordMetadata</v>
      </c>
      <c r="B403" s="11" t="s">
        <v>3527</v>
      </c>
      <c r="C403" s="173"/>
      <c r="D403" s="22" t="s">
        <v>3528</v>
      </c>
      <c r="E403" s="15" t="s">
        <v>3529</v>
      </c>
      <c r="F403" s="15" t="s">
        <v>3530</v>
      </c>
      <c r="G403" s="174"/>
      <c r="H403" s="37">
        <v>114194</v>
      </c>
      <c r="I403" s="25" t="str">
        <f>CONCATENATE(Cover!$D$6,"fdd/view?i=",H403)</f>
        <v>https://www.dgiwg.org/FAD/fdd/view?i=114194</v>
      </c>
      <c r="J403" s="13" t="s">
        <v>3526</v>
      </c>
      <c r="K403" s="172"/>
      <c r="L403" s="172"/>
      <c r="DC403" s="87" t="s">
        <v>1790</v>
      </c>
    </row>
    <row r="404" spans="1:107" ht="25.5" x14ac:dyDescent="0.2">
      <c r="A404" s="176" t="str">
        <f t="shared" si="6"/>
        <v>HorticulturalArea</v>
      </c>
      <c r="B404" s="11" t="s">
        <v>3532</v>
      </c>
      <c r="C404" s="173"/>
      <c r="D404" s="22" t="s">
        <v>3533</v>
      </c>
      <c r="E404" s="15" t="s">
        <v>3534</v>
      </c>
      <c r="F404" s="174"/>
      <c r="G404" s="174"/>
      <c r="H404" s="37">
        <v>111350</v>
      </c>
      <c r="I404" s="25" t="str">
        <f>CONCATENATE(Cover!$D$6,"fdd/view?i=",H404)</f>
        <v>https://www.dgiwg.org/FAD/fdd/view?i=111350</v>
      </c>
      <c r="J404" s="13" t="s">
        <v>3531</v>
      </c>
      <c r="K404" s="172"/>
      <c r="L404" s="172"/>
      <c r="AC404" s="82" t="s">
        <v>1790</v>
      </c>
      <c r="BU404" s="87" t="s">
        <v>1790</v>
      </c>
    </row>
    <row r="405" spans="1:107" ht="25.5" x14ac:dyDescent="0.2">
      <c r="A405" s="176" t="str">
        <f t="shared" si="6"/>
        <v>Hulk</v>
      </c>
      <c r="B405" s="11" t="s">
        <v>3536</v>
      </c>
      <c r="C405" s="173"/>
      <c r="D405" s="22" t="s">
        <v>3535</v>
      </c>
      <c r="E405" s="15" t="s">
        <v>3537</v>
      </c>
      <c r="F405" s="174"/>
      <c r="G405" s="174"/>
      <c r="H405" s="37">
        <v>100309</v>
      </c>
      <c r="I405" s="25" t="str">
        <f>CONCATENATE(Cover!$D$6,"fdd/view?i=",H405)</f>
        <v>https://www.dgiwg.org/FAD/fdd/view?i=100309</v>
      </c>
      <c r="J405" s="13" t="s">
        <v>3535</v>
      </c>
      <c r="K405" s="172"/>
      <c r="L405" s="172"/>
      <c r="BG405" s="83" t="s">
        <v>1790</v>
      </c>
    </row>
    <row r="406" spans="1:107" ht="51" x14ac:dyDescent="0.2">
      <c r="A406" s="176" t="str">
        <f t="shared" si="6"/>
        <v>HumReliefAdminRegion</v>
      </c>
      <c r="B406" s="11" t="s">
        <v>3539</v>
      </c>
      <c r="C406" s="173"/>
      <c r="D406" s="22" t="s">
        <v>3540</v>
      </c>
      <c r="E406" s="15" t="s">
        <v>3541</v>
      </c>
      <c r="F406" s="15" t="s">
        <v>3542</v>
      </c>
      <c r="G406" s="174"/>
      <c r="H406" s="37">
        <v>119088</v>
      </c>
      <c r="I406" s="25" t="str">
        <f>CONCATENATE(Cover!$D$6,"fdd/view?i=",H406)</f>
        <v>https://www.dgiwg.org/FAD/fdd/view?i=119088</v>
      </c>
      <c r="J406" s="13" t="s">
        <v>3538</v>
      </c>
      <c r="K406" s="172"/>
      <c r="L406" s="172"/>
      <c r="AM406" s="83" t="s">
        <v>1790</v>
      </c>
    </row>
    <row r="407" spans="1:107" ht="25.5" x14ac:dyDescent="0.2">
      <c r="A407" s="176" t="str">
        <f t="shared" si="6"/>
        <v>Hummock</v>
      </c>
      <c r="B407" s="11" t="s">
        <v>3544</v>
      </c>
      <c r="C407" s="173"/>
      <c r="D407" s="22" t="s">
        <v>3543</v>
      </c>
      <c r="E407" s="15" t="s">
        <v>3545</v>
      </c>
      <c r="F407" s="174"/>
      <c r="G407" s="174"/>
      <c r="H407" s="37">
        <v>100340</v>
      </c>
      <c r="I407" s="25" t="str">
        <f>CONCATENATE(Cover!$D$6,"fdd/view?i=",H407)</f>
        <v>https://www.dgiwg.org/FAD/fdd/view?i=100340</v>
      </c>
      <c r="J407" s="13" t="s">
        <v>3543</v>
      </c>
      <c r="K407" s="172"/>
      <c r="L407" s="172"/>
      <c r="BM407" s="82" t="s">
        <v>1790</v>
      </c>
      <c r="BX407" s="83" t="s">
        <v>1790</v>
      </c>
    </row>
    <row r="408" spans="1:107" ht="76.5" x14ac:dyDescent="0.2">
      <c r="A408" s="176" t="str">
        <f t="shared" si="6"/>
        <v>Hut</v>
      </c>
      <c r="B408" s="11" t="s">
        <v>3547</v>
      </c>
      <c r="C408" s="173"/>
      <c r="D408" s="22" t="s">
        <v>3546</v>
      </c>
      <c r="E408" s="15" t="s">
        <v>3548</v>
      </c>
      <c r="F408" s="15" t="s">
        <v>3549</v>
      </c>
      <c r="G408" s="174"/>
      <c r="H408" s="37">
        <v>114178</v>
      </c>
      <c r="I408" s="25" t="str">
        <f>CONCATENATE(Cover!$D$6,"fdd/view?i=",H408)</f>
        <v>https://www.dgiwg.org/FAD/fdd/view?i=114178</v>
      </c>
      <c r="J408" s="13" t="s">
        <v>3546</v>
      </c>
      <c r="K408" s="172"/>
      <c r="L408" s="172"/>
      <c r="AJ408" s="83" t="s">
        <v>1790</v>
      </c>
    </row>
    <row r="409" spans="1:107" ht="25.5" x14ac:dyDescent="0.2">
      <c r="A409" s="176" t="str">
        <f t="shared" si="6"/>
        <v>HydrocarbonProdFacility</v>
      </c>
      <c r="B409" s="11" t="s">
        <v>3551</v>
      </c>
      <c r="C409" s="173"/>
      <c r="D409" s="22" t="s">
        <v>3552</v>
      </c>
      <c r="E409" s="15" t="s">
        <v>3553</v>
      </c>
      <c r="F409" s="174"/>
      <c r="G409" s="174"/>
      <c r="H409" s="37">
        <v>100019</v>
      </c>
      <c r="I409" s="25" t="str">
        <f>CONCATENATE(Cover!$D$6,"fdd/view?i=",H409)</f>
        <v>https://www.dgiwg.org/FAD/fdd/view?i=100019</v>
      </c>
      <c r="J409" s="13" t="s">
        <v>3550</v>
      </c>
      <c r="K409" s="172"/>
      <c r="L409" s="172"/>
      <c r="AB409" s="82" t="s">
        <v>1790</v>
      </c>
    </row>
    <row r="410" spans="1:107" ht="25.5" x14ac:dyDescent="0.2">
      <c r="A410" s="176" t="str">
        <f t="shared" si="6"/>
        <v>HydrocarbonsField</v>
      </c>
      <c r="B410" s="11" t="s">
        <v>3555</v>
      </c>
      <c r="C410" s="173"/>
      <c r="D410" s="22" t="s">
        <v>3556</v>
      </c>
      <c r="E410" s="15" t="s">
        <v>3557</v>
      </c>
      <c r="F410" s="15" t="s">
        <v>3558</v>
      </c>
      <c r="G410" s="174"/>
      <c r="H410" s="37">
        <v>117996</v>
      </c>
      <c r="I410" s="25" t="str">
        <f>CONCATENATE(Cover!$D$6,"fdd/view?i=",H410)</f>
        <v>https://www.dgiwg.org/FAD/fdd/view?i=117996</v>
      </c>
      <c r="J410" s="13" t="s">
        <v>3554</v>
      </c>
      <c r="K410" s="172"/>
      <c r="L410" s="172"/>
      <c r="AA410" s="81" t="s">
        <v>1790</v>
      </c>
      <c r="BP410" s="82" t="s">
        <v>1790</v>
      </c>
    </row>
    <row r="411" spans="1:107" ht="38.25" x14ac:dyDescent="0.2">
      <c r="A411" s="176" t="str">
        <f t="shared" si="6"/>
        <v>HydrogeologicArea</v>
      </c>
      <c r="B411" s="11" t="s">
        <v>3560</v>
      </c>
      <c r="C411" s="173"/>
      <c r="D411" s="22" t="s">
        <v>3561</v>
      </c>
      <c r="E411" s="15" t="s">
        <v>3562</v>
      </c>
      <c r="F411" s="15" t="s">
        <v>3563</v>
      </c>
      <c r="G411" s="174"/>
      <c r="H411" s="37">
        <v>111364</v>
      </c>
      <c r="I411" s="25" t="str">
        <f>CONCATENATE(Cover!$D$6,"fdd/view?i=",H411)</f>
        <v>https://www.dgiwg.org/FAD/fdd/view?i=111364</v>
      </c>
      <c r="J411" s="13" t="s">
        <v>3559</v>
      </c>
      <c r="K411" s="172"/>
      <c r="L411" s="172"/>
      <c r="BP411" s="82" t="s">
        <v>1790</v>
      </c>
    </row>
    <row r="412" spans="1:107" ht="38.25" x14ac:dyDescent="0.2">
      <c r="A412" s="176" t="str">
        <f t="shared" si="6"/>
        <v>HydrogeologicMappingUnit</v>
      </c>
      <c r="B412" s="11" t="s">
        <v>3565</v>
      </c>
      <c r="C412" s="173"/>
      <c r="D412" s="22" t="s">
        <v>3566</v>
      </c>
      <c r="E412" s="15" t="s">
        <v>3567</v>
      </c>
      <c r="F412" s="174"/>
      <c r="G412" s="174"/>
      <c r="H412" s="37">
        <v>111369</v>
      </c>
      <c r="I412" s="25" t="str">
        <f>CONCATENATE(Cover!$D$6,"fdd/view?i=",H412)</f>
        <v>https://www.dgiwg.org/FAD/fdd/view?i=111369</v>
      </c>
      <c r="J412" s="13" t="s">
        <v>3564</v>
      </c>
      <c r="K412" s="172"/>
      <c r="L412" s="172"/>
      <c r="BO412" s="82" t="s">
        <v>1790</v>
      </c>
    </row>
    <row r="413" spans="1:107" ht="38.25" x14ac:dyDescent="0.2">
      <c r="A413" s="176" t="str">
        <f t="shared" si="6"/>
        <v>HydroVertPositioningInfo</v>
      </c>
      <c r="B413" s="11" t="s">
        <v>3569</v>
      </c>
      <c r="C413" s="173"/>
      <c r="D413" s="22" t="s">
        <v>3570</v>
      </c>
      <c r="E413" s="15" t="s">
        <v>3571</v>
      </c>
      <c r="F413" s="174"/>
      <c r="G413" s="174"/>
      <c r="H413" s="37">
        <v>114206</v>
      </c>
      <c r="I413" s="25" t="str">
        <f>CONCATENATE(Cover!$D$6,"fdd/view?i=",H413)</f>
        <v>https://www.dgiwg.org/FAD/fdd/view?i=114206</v>
      </c>
      <c r="J413" s="13" t="s">
        <v>3568</v>
      </c>
      <c r="K413" s="172"/>
      <c r="L413" s="172"/>
      <c r="DC413" s="87" t="s">
        <v>1790</v>
      </c>
    </row>
    <row r="414" spans="1:107" ht="38.25" x14ac:dyDescent="0.2">
      <c r="A414" s="176" t="str">
        <f t="shared" si="6"/>
        <v>IceBoom</v>
      </c>
      <c r="B414" s="11" t="s">
        <v>3573</v>
      </c>
      <c r="C414" s="173"/>
      <c r="D414" s="22" t="s">
        <v>3574</v>
      </c>
      <c r="E414" s="15" t="s">
        <v>3575</v>
      </c>
      <c r="F414" s="174"/>
      <c r="G414" s="174"/>
      <c r="H414" s="37">
        <v>100253</v>
      </c>
      <c r="I414" s="25" t="str">
        <f>CONCATENATE(Cover!$D$6,"fdd/view?i=",H414)</f>
        <v>https://www.dgiwg.org/FAD/fdd/view?i=100253</v>
      </c>
      <c r="J414" s="13" t="s">
        <v>3572</v>
      </c>
      <c r="K414" s="172"/>
      <c r="L414" s="172"/>
      <c r="BD414" s="83" t="s">
        <v>1790</v>
      </c>
      <c r="BG414" s="83" t="s">
        <v>1790</v>
      </c>
      <c r="BH414" s="83" t="s">
        <v>1790</v>
      </c>
    </row>
    <row r="415" spans="1:107" x14ac:dyDescent="0.2">
      <c r="A415" s="176" t="str">
        <f t="shared" si="6"/>
        <v>IceCliff</v>
      </c>
      <c r="B415" s="11" t="s">
        <v>3577</v>
      </c>
      <c r="C415" s="173"/>
      <c r="D415" s="22" t="s">
        <v>3578</v>
      </c>
      <c r="E415" s="15" t="s">
        <v>3579</v>
      </c>
      <c r="F415" s="174"/>
      <c r="G415" s="174"/>
      <c r="H415" s="37">
        <v>100382</v>
      </c>
      <c r="I415" s="25" t="str">
        <f>CONCATENATE(Cover!$D$6,"fdd/view?i=",H415)</f>
        <v>https://www.dgiwg.org/FAD/fdd/view?i=100382</v>
      </c>
      <c r="J415" s="13" t="s">
        <v>3576</v>
      </c>
      <c r="K415" s="172"/>
      <c r="L415" s="172"/>
      <c r="BR415" s="82" t="s">
        <v>1790</v>
      </c>
    </row>
    <row r="416" spans="1:107" ht="25.5" x14ac:dyDescent="0.2">
      <c r="A416" s="176" t="str">
        <f t="shared" si="6"/>
        <v>IcePeak</v>
      </c>
      <c r="B416" s="11" t="s">
        <v>3581</v>
      </c>
      <c r="C416" s="173"/>
      <c r="D416" s="22" t="s">
        <v>3582</v>
      </c>
      <c r="E416" s="15" t="s">
        <v>3583</v>
      </c>
      <c r="F416" s="174"/>
      <c r="G416" s="15" t="s">
        <v>3584</v>
      </c>
      <c r="H416" s="37">
        <v>100383</v>
      </c>
      <c r="I416" s="25" t="str">
        <f>CONCATENATE(Cover!$D$6,"fdd/view?i=",H416)</f>
        <v>https://www.dgiwg.org/FAD/fdd/view?i=100383</v>
      </c>
      <c r="J416" s="13" t="s">
        <v>3580</v>
      </c>
      <c r="K416" s="172"/>
      <c r="L416" s="172"/>
      <c r="BN416" s="82" t="s">
        <v>1790</v>
      </c>
      <c r="BR416" s="82" t="s">
        <v>1790</v>
      </c>
    </row>
    <row r="417" spans="1:107" ht="38.25" x14ac:dyDescent="0.2">
      <c r="A417" s="176" t="str">
        <f t="shared" si="6"/>
        <v>IceRoute</v>
      </c>
      <c r="B417" s="11" t="s">
        <v>3586</v>
      </c>
      <c r="C417" s="173"/>
      <c r="D417" s="22" t="s">
        <v>3587</v>
      </c>
      <c r="E417" s="15" t="s">
        <v>3588</v>
      </c>
      <c r="F417" s="15" t="s">
        <v>3589</v>
      </c>
      <c r="G417" s="174"/>
      <c r="H417" s="37">
        <v>100177</v>
      </c>
      <c r="I417" s="25" t="str">
        <f>CONCATENATE(Cover!$D$6,"fdd/view?i=",H417)</f>
        <v>https://www.dgiwg.org/FAD/fdd/view?i=100177</v>
      </c>
      <c r="J417" s="13" t="s">
        <v>3585</v>
      </c>
      <c r="K417" s="172"/>
      <c r="L417" s="172"/>
      <c r="AQ417" s="82" t="s">
        <v>1790</v>
      </c>
      <c r="AV417" s="82" t="s">
        <v>1790</v>
      </c>
      <c r="BR417" s="82" t="s">
        <v>1790</v>
      </c>
    </row>
    <row r="418" spans="1:107" ht="76.5" x14ac:dyDescent="0.2">
      <c r="A418" s="176" t="str">
        <f t="shared" si="6"/>
        <v>IceShelf</v>
      </c>
      <c r="B418" s="11" t="s">
        <v>3591</v>
      </c>
      <c r="C418" s="173"/>
      <c r="D418" s="22" t="s">
        <v>3592</v>
      </c>
      <c r="E418" s="15" t="s">
        <v>3593</v>
      </c>
      <c r="F418" s="15" t="s">
        <v>3594</v>
      </c>
      <c r="G418" s="174"/>
      <c r="H418" s="37">
        <v>100384</v>
      </c>
      <c r="I418" s="25" t="str">
        <f>CONCATENATE(Cover!$D$6,"fdd/view?i=",H418)</f>
        <v>https://www.dgiwg.org/FAD/fdd/view?i=100384</v>
      </c>
      <c r="J418" s="13" t="s">
        <v>3590</v>
      </c>
      <c r="K418" s="172"/>
      <c r="L418" s="172"/>
      <c r="BH418" s="83" t="s">
        <v>1790</v>
      </c>
    </row>
    <row r="419" spans="1:107" ht="25.5" x14ac:dyDescent="0.2">
      <c r="A419" s="176" t="str">
        <f t="shared" si="6"/>
        <v>IceCap</v>
      </c>
      <c r="B419" s="11" t="s">
        <v>3596</v>
      </c>
      <c r="C419" s="173"/>
      <c r="D419" s="22" t="s">
        <v>3597</v>
      </c>
      <c r="E419" s="15" t="s">
        <v>3598</v>
      </c>
      <c r="F419" s="15" t="s">
        <v>3599</v>
      </c>
      <c r="G419" s="174"/>
      <c r="H419" s="37">
        <v>111448</v>
      </c>
      <c r="I419" s="25" t="str">
        <f>CONCATENATE(Cover!$D$6,"fdd/view?i=",H419)</f>
        <v>https://www.dgiwg.org/FAD/fdd/view?i=111448</v>
      </c>
      <c r="J419" s="13" t="s">
        <v>3595</v>
      </c>
      <c r="K419" s="172"/>
      <c r="L419" s="172"/>
      <c r="BM419" s="82" t="s">
        <v>1790</v>
      </c>
    </row>
    <row r="420" spans="1:107" ht="25.5" x14ac:dyDescent="0.2">
      <c r="A420" s="176" t="str">
        <f t="shared" si="6"/>
        <v>IdentificationInfo</v>
      </c>
      <c r="B420" s="11" t="s">
        <v>3601</v>
      </c>
      <c r="C420" s="173"/>
      <c r="D420" s="22" t="s">
        <v>3602</v>
      </c>
      <c r="E420" s="15" t="s">
        <v>3603</v>
      </c>
      <c r="F420" s="15" t="s">
        <v>3604</v>
      </c>
      <c r="G420" s="174"/>
      <c r="H420" s="37">
        <v>114188</v>
      </c>
      <c r="I420" s="25" t="str">
        <f>CONCATENATE(Cover!$D$6,"fdd/view?i=",H420)</f>
        <v>https://www.dgiwg.org/FAD/fdd/view?i=114188</v>
      </c>
      <c r="J420" s="13" t="s">
        <v>3600</v>
      </c>
      <c r="K420" s="172"/>
      <c r="L420" s="172"/>
      <c r="DC420" s="87" t="s">
        <v>1790</v>
      </c>
    </row>
    <row r="421" spans="1:107" ht="25.5" x14ac:dyDescent="0.2">
      <c r="A421" s="176" t="str">
        <f t="shared" si="6"/>
        <v>IncidentSite</v>
      </c>
      <c r="B421" s="11" t="s">
        <v>3606</v>
      </c>
      <c r="C421" s="173"/>
      <c r="D421" s="22" t="s">
        <v>3607</v>
      </c>
      <c r="E421" s="15" t="s">
        <v>3608</v>
      </c>
      <c r="F421" s="15" t="s">
        <v>3609</v>
      </c>
      <c r="G421" s="174"/>
      <c r="H421" s="37">
        <v>118122</v>
      </c>
      <c r="I421" s="25" t="str">
        <f>CONCATENATE(Cover!$D$6,"fdd/view?i=",H421)</f>
        <v>https://www.dgiwg.org/FAD/fdd/view?i=118122</v>
      </c>
      <c r="J421" s="13" t="s">
        <v>3605</v>
      </c>
      <c r="K421" s="172"/>
      <c r="L421" s="172"/>
      <c r="CL421" s="85" t="s">
        <v>1790</v>
      </c>
    </row>
    <row r="422" spans="1:107" x14ac:dyDescent="0.2">
      <c r="A422" s="176" t="str">
        <f t="shared" si="6"/>
        <v>Incinerator</v>
      </c>
      <c r="B422" s="11" t="s">
        <v>3611</v>
      </c>
      <c r="C422" s="173"/>
      <c r="D422" s="22" t="s">
        <v>3610</v>
      </c>
      <c r="E422" s="15" t="s">
        <v>3612</v>
      </c>
      <c r="F422" s="174"/>
      <c r="G422" s="174"/>
      <c r="H422" s="37">
        <v>100020</v>
      </c>
      <c r="I422" s="25" t="str">
        <f>CONCATENATE(Cover!$D$6,"fdd/view?i=",H422)</f>
        <v>https://www.dgiwg.org/FAD/fdd/view?i=100020</v>
      </c>
      <c r="J422" s="13" t="s">
        <v>3610</v>
      </c>
      <c r="K422" s="172"/>
      <c r="L422" s="172"/>
      <c r="AF422" s="82" t="s">
        <v>1790</v>
      </c>
      <c r="AH422" s="85" t="s">
        <v>1790</v>
      </c>
    </row>
    <row r="423" spans="1:107" ht="63.75" x14ac:dyDescent="0.2">
      <c r="A423" s="176" t="str">
        <f t="shared" si="6"/>
        <v>IndustrialFarm</v>
      </c>
      <c r="B423" s="11" t="s">
        <v>3614</v>
      </c>
      <c r="C423" s="173"/>
      <c r="D423" s="22" t="s">
        <v>3615</v>
      </c>
      <c r="E423" s="15" t="s">
        <v>3616</v>
      </c>
      <c r="F423" s="15" t="s">
        <v>3617</v>
      </c>
      <c r="G423" s="174"/>
      <c r="H423" s="37">
        <v>100131</v>
      </c>
      <c r="I423" s="25" t="str">
        <f>CONCATENATE(Cover!$D$6,"fdd/view?i=",H423)</f>
        <v>https://www.dgiwg.org/FAD/fdd/view?i=100131</v>
      </c>
      <c r="J423" s="13" t="s">
        <v>3613</v>
      </c>
      <c r="K423" s="172"/>
      <c r="L423" s="172"/>
      <c r="AC423" s="82" t="s">
        <v>1790</v>
      </c>
    </row>
    <row r="424" spans="1:107" ht="51" x14ac:dyDescent="0.2">
      <c r="A424" s="176" t="str">
        <f t="shared" si="6"/>
        <v>IndustrialFurnace</v>
      </c>
      <c r="B424" s="11" t="s">
        <v>3619</v>
      </c>
      <c r="C424" s="173"/>
      <c r="D424" s="22" t="s">
        <v>3620</v>
      </c>
      <c r="E424" s="15" t="s">
        <v>3621</v>
      </c>
      <c r="F424" s="15" t="s">
        <v>3622</v>
      </c>
      <c r="G424" s="15" t="s">
        <v>3623</v>
      </c>
      <c r="H424" s="37">
        <v>111397</v>
      </c>
      <c r="I424" s="25" t="str">
        <f>CONCATENATE(Cover!$D$6,"fdd/view?i=",H424)</f>
        <v>https://www.dgiwg.org/FAD/fdd/view?i=111397</v>
      </c>
      <c r="J424" s="13" t="s">
        <v>3618</v>
      </c>
      <c r="K424" s="172"/>
      <c r="L424" s="172"/>
      <c r="AB424" s="82" t="s">
        <v>1790</v>
      </c>
    </row>
    <row r="425" spans="1:107" ht="89.25" x14ac:dyDescent="0.2">
      <c r="A425" s="176" t="str">
        <f t="shared" si="6"/>
        <v>IndustrialPark</v>
      </c>
      <c r="B425" s="11" t="s">
        <v>3625</v>
      </c>
      <c r="C425" s="173"/>
      <c r="D425" s="22" t="s">
        <v>3626</v>
      </c>
      <c r="E425" s="15" t="s">
        <v>3627</v>
      </c>
      <c r="F425" s="15" t="s">
        <v>3628</v>
      </c>
      <c r="G425" s="174"/>
      <c r="H425" s="37">
        <v>111398</v>
      </c>
      <c r="I425" s="25" t="str">
        <f>CONCATENATE(Cover!$D$6,"fdd/view?i=",H425)</f>
        <v>https://www.dgiwg.org/FAD/fdd/view?i=111398</v>
      </c>
      <c r="J425" s="13" t="s">
        <v>3624</v>
      </c>
      <c r="K425" s="172"/>
      <c r="L425" s="172"/>
      <c r="AB425" s="82" t="s">
        <v>1790</v>
      </c>
      <c r="AK425" s="83" t="s">
        <v>1790</v>
      </c>
    </row>
    <row r="426" spans="1:107" ht="25.5" x14ac:dyDescent="0.2">
      <c r="A426" s="176" t="str">
        <f t="shared" si="6"/>
        <v>IndustrialWorks</v>
      </c>
      <c r="B426" s="11" t="s">
        <v>3630</v>
      </c>
      <c r="C426" s="173"/>
      <c r="D426" s="22" t="s">
        <v>3631</v>
      </c>
      <c r="E426" s="15" t="s">
        <v>3632</v>
      </c>
      <c r="F426" s="15" t="s">
        <v>3633</v>
      </c>
      <c r="G426" s="174"/>
      <c r="H426" s="37">
        <v>100021</v>
      </c>
      <c r="I426" s="25" t="str">
        <f>CONCATENATE(Cover!$D$6,"fdd/view?i=",H426)</f>
        <v>https://www.dgiwg.org/FAD/fdd/view?i=100021</v>
      </c>
      <c r="J426" s="13" t="s">
        <v>3629</v>
      </c>
      <c r="K426" s="172"/>
      <c r="L426" s="172"/>
      <c r="AB426" s="82" t="s">
        <v>1790</v>
      </c>
    </row>
    <row r="427" spans="1:107" x14ac:dyDescent="0.2">
      <c r="A427" s="176" t="str">
        <f t="shared" si="6"/>
        <v>InfectionArea</v>
      </c>
      <c r="B427" s="11" t="s">
        <v>3635</v>
      </c>
      <c r="C427" s="173"/>
      <c r="D427" s="22" t="s">
        <v>3636</v>
      </c>
      <c r="E427" s="15" t="s">
        <v>3637</v>
      </c>
      <c r="F427" s="174"/>
      <c r="G427" s="174"/>
      <c r="H427" s="37">
        <v>111381</v>
      </c>
      <c r="I427" s="25" t="str">
        <f>CONCATENATE(Cover!$D$6,"fdd/view?i=",H427)</f>
        <v>https://www.dgiwg.org/FAD/fdd/view?i=111381</v>
      </c>
      <c r="J427" s="13" t="s">
        <v>3634</v>
      </c>
      <c r="K427" s="172"/>
      <c r="L427" s="172"/>
      <c r="AI427" s="87" t="s">
        <v>1790</v>
      </c>
      <c r="BZ427" s="83" t="s">
        <v>1790</v>
      </c>
    </row>
    <row r="428" spans="1:107" ht="51" x14ac:dyDescent="0.2">
      <c r="A428" s="176" t="str">
        <f t="shared" si="6"/>
        <v>InformationEntity</v>
      </c>
      <c r="B428" s="11" t="s">
        <v>3639</v>
      </c>
      <c r="C428" s="173"/>
      <c r="D428" s="22" t="s">
        <v>3640</v>
      </c>
      <c r="E428" s="15" t="s">
        <v>3641</v>
      </c>
      <c r="F428" s="15" t="s">
        <v>3642</v>
      </c>
      <c r="G428" s="174"/>
      <c r="H428" s="37">
        <v>117768</v>
      </c>
      <c r="I428" s="25" t="str">
        <f>CONCATENATE(Cover!$D$6,"fdd/view?i=",H428)</f>
        <v>https://www.dgiwg.org/FAD/fdd/view?i=117768</v>
      </c>
      <c r="J428" s="13" t="s">
        <v>3638</v>
      </c>
      <c r="K428" s="172"/>
      <c r="L428" s="172"/>
      <c r="DC428" s="87" t="s">
        <v>1790</v>
      </c>
    </row>
    <row r="429" spans="1:107" ht="25.5" x14ac:dyDescent="0.2">
      <c r="A429" s="176" t="str">
        <f t="shared" si="6"/>
        <v>InitialApproachSegment</v>
      </c>
      <c r="B429" s="11" t="s">
        <v>3644</v>
      </c>
      <c r="C429" s="173"/>
      <c r="D429" s="22" t="s">
        <v>3645</v>
      </c>
      <c r="E429" s="15" t="s">
        <v>3646</v>
      </c>
      <c r="F429" s="15" t="s">
        <v>2146</v>
      </c>
      <c r="G429" s="174"/>
      <c r="H429" s="37">
        <v>114636</v>
      </c>
      <c r="I429" s="25" t="str">
        <f>CONCATENATE(Cover!$D$6,"fdd/view?i=",H429)</f>
        <v>https://www.dgiwg.org/FAD/fdd/view?i=114636</v>
      </c>
      <c r="J429" s="13" t="s">
        <v>3643</v>
      </c>
      <c r="K429" s="172"/>
      <c r="L429" s="172"/>
      <c r="CI429" s="89" t="s">
        <v>1790</v>
      </c>
    </row>
    <row r="430" spans="1:107" ht="25.5" x14ac:dyDescent="0.2">
      <c r="A430" s="176" t="str">
        <f t="shared" si="6"/>
        <v>InlandWater</v>
      </c>
      <c r="B430" s="11" t="s">
        <v>3648</v>
      </c>
      <c r="C430" s="173"/>
      <c r="D430" s="22" t="s">
        <v>3649</v>
      </c>
      <c r="E430" s="15" t="s">
        <v>3650</v>
      </c>
      <c r="F430" s="15" t="s">
        <v>3651</v>
      </c>
      <c r="G430" s="174"/>
      <c r="H430" s="37">
        <v>100329</v>
      </c>
      <c r="I430" s="25" t="str">
        <f>CONCATENATE(Cover!$D$6,"fdd/view?i=",H430)</f>
        <v>https://www.dgiwg.org/FAD/fdd/view?i=100329</v>
      </c>
      <c r="J430" s="13" t="s">
        <v>3647</v>
      </c>
      <c r="K430" s="172"/>
      <c r="L430" s="172"/>
      <c r="BJ430" s="83" t="s">
        <v>1790</v>
      </c>
    </row>
    <row r="431" spans="1:107" ht="25.5" x14ac:dyDescent="0.2">
      <c r="A431" s="176" t="str">
        <f t="shared" si="6"/>
        <v>InlandWaterElevation</v>
      </c>
      <c r="B431" s="11" t="s">
        <v>3653</v>
      </c>
      <c r="C431" s="173"/>
      <c r="D431" s="22" t="s">
        <v>3654</v>
      </c>
      <c r="E431" s="15" t="s">
        <v>3655</v>
      </c>
      <c r="F431" s="174"/>
      <c r="G431" s="174"/>
      <c r="H431" s="37">
        <v>100397</v>
      </c>
      <c r="I431" s="25" t="str">
        <f>CONCATENATE(Cover!$D$6,"fdd/view?i=",H431)</f>
        <v>https://www.dgiwg.org/FAD/fdd/view?i=100397</v>
      </c>
      <c r="J431" s="13" t="s">
        <v>3652</v>
      </c>
      <c r="K431" s="172"/>
      <c r="L431" s="172"/>
      <c r="BL431" s="81" t="s">
        <v>1790</v>
      </c>
    </row>
    <row r="432" spans="1:107" ht="89.25" x14ac:dyDescent="0.2">
      <c r="A432" s="176" t="str">
        <f t="shared" si="6"/>
        <v>InlandWaterbody</v>
      </c>
      <c r="B432" s="11" t="s">
        <v>3657</v>
      </c>
      <c r="C432" s="173"/>
      <c r="D432" s="22" t="s">
        <v>3658</v>
      </c>
      <c r="E432" s="15" t="s">
        <v>3659</v>
      </c>
      <c r="F432" s="15" t="s">
        <v>3660</v>
      </c>
      <c r="G432" s="174"/>
      <c r="H432" s="37">
        <v>117762</v>
      </c>
      <c r="I432" s="25" t="str">
        <f>CONCATENATE(Cover!$D$6,"fdd/view?i=",H432)</f>
        <v>https://www.dgiwg.org/FAD/fdd/view?i=117762</v>
      </c>
      <c r="J432" s="13" t="s">
        <v>3656</v>
      </c>
      <c r="K432" s="172"/>
      <c r="L432" s="172"/>
      <c r="BJ432" s="83" t="s">
        <v>1790</v>
      </c>
    </row>
    <row r="433" spans="1:98" ht="25.5" x14ac:dyDescent="0.2">
      <c r="A433" s="176" t="str">
        <f t="shared" si="6"/>
        <v>InlandWaterbodyBank</v>
      </c>
      <c r="B433" s="11" t="s">
        <v>3662</v>
      </c>
      <c r="C433" s="173"/>
      <c r="D433" s="22" t="s">
        <v>3663</v>
      </c>
      <c r="E433" s="15" t="s">
        <v>3664</v>
      </c>
      <c r="F433" s="174"/>
      <c r="G433" s="174"/>
      <c r="H433" s="37">
        <v>114373</v>
      </c>
      <c r="I433" s="25" t="str">
        <f>CONCATENATE(Cover!$D$6,"fdd/view?i=",H433)</f>
        <v>https://www.dgiwg.org/FAD/fdd/view?i=114373</v>
      </c>
      <c r="J433" s="13" t="s">
        <v>3661</v>
      </c>
      <c r="K433" s="172"/>
      <c r="L433" s="172"/>
      <c r="BJ433" s="83" t="s">
        <v>1790</v>
      </c>
    </row>
    <row r="434" spans="1:98" ht="51" x14ac:dyDescent="0.2">
      <c r="A434" s="176" t="str">
        <f t="shared" si="6"/>
        <v>InshoreTrafficZone</v>
      </c>
      <c r="B434" s="11" t="s">
        <v>3666</v>
      </c>
      <c r="C434" s="173"/>
      <c r="D434" s="22" t="s">
        <v>3667</v>
      </c>
      <c r="E434" s="15" t="s">
        <v>3668</v>
      </c>
      <c r="F434" s="174"/>
      <c r="G434" s="174"/>
      <c r="H434" s="37">
        <v>111104</v>
      </c>
      <c r="I434" s="25" t="str">
        <f>CONCATENATE(Cover!$D$6,"fdd/view?i=",H434)</f>
        <v>https://www.dgiwg.org/FAD/fdd/view?i=111104</v>
      </c>
      <c r="J434" s="13" t="s">
        <v>3665</v>
      </c>
      <c r="K434" s="172"/>
      <c r="L434" s="172"/>
      <c r="AS434" s="82" t="s">
        <v>1790</v>
      </c>
      <c r="AZ434" s="87" t="s">
        <v>1790</v>
      </c>
      <c r="BF434" s="83" t="s">
        <v>1790</v>
      </c>
    </row>
    <row r="435" spans="1:98" ht="25.5" x14ac:dyDescent="0.2">
      <c r="A435" s="176" t="str">
        <f t="shared" si="6"/>
        <v>Installation</v>
      </c>
      <c r="B435" s="11" t="s">
        <v>3670</v>
      </c>
      <c r="C435" s="173"/>
      <c r="D435" s="22" t="s">
        <v>3669</v>
      </c>
      <c r="E435" s="15" t="s">
        <v>3671</v>
      </c>
      <c r="F435" s="174"/>
      <c r="G435" s="174"/>
      <c r="H435" s="37">
        <v>111414</v>
      </c>
      <c r="I435" s="25" t="str">
        <f>CONCATENATE(Cover!$D$6,"fdd/view?i=",H435)</f>
        <v>https://www.dgiwg.org/FAD/fdd/view?i=111414</v>
      </c>
      <c r="J435" s="13" t="s">
        <v>3669</v>
      </c>
      <c r="K435" s="172"/>
      <c r="L435" s="172"/>
      <c r="AK435" s="83" t="s">
        <v>1790</v>
      </c>
    </row>
    <row r="436" spans="1:98" ht="89.25" x14ac:dyDescent="0.2">
      <c r="A436" s="176" t="str">
        <f t="shared" si="6"/>
        <v>InstallationBoundary</v>
      </c>
      <c r="B436" s="11" t="s">
        <v>3673</v>
      </c>
      <c r="C436" s="173"/>
      <c r="D436" s="22" t="s">
        <v>3674</v>
      </c>
      <c r="E436" s="15" t="s">
        <v>3675</v>
      </c>
      <c r="F436" s="15" t="s">
        <v>3676</v>
      </c>
      <c r="G436" s="174"/>
      <c r="H436" s="37">
        <v>119944</v>
      </c>
      <c r="I436" s="25" t="str">
        <f>CONCATENATE(Cover!$D$6,"fdd/view?i=",H436)</f>
        <v>https://www.dgiwg.org/FAD/fdd/view?i=119944</v>
      </c>
      <c r="J436" s="13" t="s">
        <v>3672</v>
      </c>
      <c r="K436" s="172"/>
      <c r="L436" s="172"/>
      <c r="CC436" s="81" t="s">
        <v>1790</v>
      </c>
      <c r="CT436" s="166" t="s">
        <v>1790</v>
      </c>
    </row>
    <row r="437" spans="1:98" ht="153" x14ac:dyDescent="0.2">
      <c r="A437" s="176" t="str">
        <f t="shared" si="6"/>
        <v>InstrumentApproachProc</v>
      </c>
      <c r="B437" s="11" t="s">
        <v>3678</v>
      </c>
      <c r="C437" s="173"/>
      <c r="D437" s="22" t="s">
        <v>3679</v>
      </c>
      <c r="E437" s="15" t="s">
        <v>3680</v>
      </c>
      <c r="F437" s="15" t="s">
        <v>3681</v>
      </c>
      <c r="G437" s="15" t="s">
        <v>3682</v>
      </c>
      <c r="H437" s="37">
        <v>114623</v>
      </c>
      <c r="I437" s="25" t="str">
        <f>CONCATENATE(Cover!$D$6,"fdd/view?i=",H437)</f>
        <v>https://www.dgiwg.org/FAD/fdd/view?i=114623</v>
      </c>
      <c r="J437" s="13" t="s">
        <v>3677</v>
      </c>
      <c r="K437" s="172"/>
      <c r="L437" s="172"/>
      <c r="CI437" s="89" t="s">
        <v>1790</v>
      </c>
    </row>
    <row r="438" spans="1:98" ht="25.5" x14ac:dyDescent="0.2">
      <c r="A438" s="176" t="str">
        <f t="shared" si="6"/>
        <v>InstrumentApproachProcSeg</v>
      </c>
      <c r="B438" s="11" t="s">
        <v>3684</v>
      </c>
      <c r="C438" s="173"/>
      <c r="D438" s="22" t="s">
        <v>3685</v>
      </c>
      <c r="E438" s="15" t="s">
        <v>3686</v>
      </c>
      <c r="F438" s="15" t="s">
        <v>3687</v>
      </c>
      <c r="G438" s="174"/>
      <c r="H438" s="37">
        <v>119556</v>
      </c>
      <c r="I438" s="25" t="str">
        <f>CONCATENATE(Cover!$D$6,"fdd/view?i=",H438)</f>
        <v>https://www.dgiwg.org/FAD/fdd/view?i=119556</v>
      </c>
      <c r="J438" s="13" t="s">
        <v>3683</v>
      </c>
      <c r="K438" s="172"/>
      <c r="L438" s="172"/>
      <c r="AT438" s="82" t="s">
        <v>1790</v>
      </c>
      <c r="CF438" s="83" t="s">
        <v>1790</v>
      </c>
    </row>
    <row r="439" spans="1:98" ht="51" x14ac:dyDescent="0.2">
      <c r="A439" s="176" t="str">
        <f t="shared" si="6"/>
        <v>IfrTakeoffMinInfo</v>
      </c>
      <c r="B439" s="11" t="s">
        <v>3689</v>
      </c>
      <c r="C439" s="173"/>
      <c r="D439" s="22" t="s">
        <v>3690</v>
      </c>
      <c r="E439" s="15" t="s">
        <v>3691</v>
      </c>
      <c r="F439" s="15" t="s">
        <v>3692</v>
      </c>
      <c r="G439" s="174"/>
      <c r="H439" s="37">
        <v>119574</v>
      </c>
      <c r="I439" s="25" t="str">
        <f>CONCATENATE(Cover!$D$6,"fdd/view?i=",H439)</f>
        <v>https://www.dgiwg.org/FAD/fdd/view?i=119574</v>
      </c>
      <c r="J439" s="13" t="s">
        <v>3688</v>
      </c>
      <c r="K439" s="172"/>
      <c r="L439" s="172"/>
      <c r="AT439" s="82" t="s">
        <v>1790</v>
      </c>
      <c r="CF439" s="83" t="s">
        <v>1790</v>
      </c>
    </row>
    <row r="440" spans="1:98" ht="38.25" x14ac:dyDescent="0.2">
      <c r="A440" s="176" t="str">
        <f t="shared" si="6"/>
        <v>InstrumentLandingSystem</v>
      </c>
      <c r="B440" s="11" t="s">
        <v>3694</v>
      </c>
      <c r="C440" s="173"/>
      <c r="D440" s="22" t="s">
        <v>3695</v>
      </c>
      <c r="E440" s="15" t="s">
        <v>3696</v>
      </c>
      <c r="F440" s="15" t="s">
        <v>3697</v>
      </c>
      <c r="G440" s="15" t="s">
        <v>3698</v>
      </c>
      <c r="H440" s="37">
        <v>114504</v>
      </c>
      <c r="I440" s="25" t="str">
        <f>CONCATENATE(Cover!$D$6,"fdd/view?i=",H440)</f>
        <v>https://www.dgiwg.org/FAD/fdd/view?i=114504</v>
      </c>
      <c r="J440" s="13" t="s">
        <v>3693</v>
      </c>
      <c r="K440" s="172"/>
      <c r="L440" s="172"/>
      <c r="CG440" s="83" t="s">
        <v>1790</v>
      </c>
    </row>
    <row r="441" spans="1:98" ht="38.25" x14ac:dyDescent="0.2">
      <c r="A441" s="176" t="str">
        <f t="shared" si="6"/>
        <v>InstLandingSysCriticalArea</v>
      </c>
      <c r="B441" s="11" t="s">
        <v>3700</v>
      </c>
      <c r="C441" s="173"/>
      <c r="D441" s="22" t="s">
        <v>3701</v>
      </c>
      <c r="E441" s="15" t="s">
        <v>3702</v>
      </c>
      <c r="F441" s="15" t="s">
        <v>3703</v>
      </c>
      <c r="G441" s="174"/>
      <c r="H441" s="37">
        <v>114596</v>
      </c>
      <c r="I441" s="25" t="str">
        <f>CONCATENATE(Cover!$D$6,"fdd/view?i=",H441)</f>
        <v>https://www.dgiwg.org/FAD/fdd/view?i=114596</v>
      </c>
      <c r="J441" s="13" t="s">
        <v>3699</v>
      </c>
      <c r="K441" s="172"/>
      <c r="L441" s="172"/>
      <c r="CE441" s="87" t="s">
        <v>1790</v>
      </c>
    </row>
    <row r="442" spans="1:98" ht="63.75" x14ac:dyDescent="0.2">
      <c r="A442" s="176" t="str">
        <f t="shared" si="6"/>
        <v>InstLandingSysGlidePath</v>
      </c>
      <c r="B442" s="11" t="s">
        <v>3705</v>
      </c>
      <c r="C442" s="173"/>
      <c r="D442" s="22" t="s">
        <v>3706</v>
      </c>
      <c r="E442" s="15" t="s">
        <v>3707</v>
      </c>
      <c r="F442" s="15" t="s">
        <v>3708</v>
      </c>
      <c r="G442" s="174"/>
      <c r="H442" s="37">
        <v>114505</v>
      </c>
      <c r="I442" s="25" t="str">
        <f>CONCATENATE(Cover!$D$6,"fdd/view?i=",H442)</f>
        <v>https://www.dgiwg.org/FAD/fdd/view?i=114505</v>
      </c>
      <c r="J442" s="13" t="s">
        <v>3704</v>
      </c>
      <c r="K442" s="172"/>
      <c r="L442" s="172"/>
      <c r="CG442" s="83" t="s">
        <v>1790</v>
      </c>
    </row>
    <row r="443" spans="1:98" ht="51" x14ac:dyDescent="0.2">
      <c r="A443" s="176" t="str">
        <f t="shared" si="6"/>
        <v>InstLandingSysLocalizer</v>
      </c>
      <c r="B443" s="11" t="s">
        <v>3710</v>
      </c>
      <c r="C443" s="173"/>
      <c r="D443" s="22" t="s">
        <v>3711</v>
      </c>
      <c r="E443" s="15" t="s">
        <v>3712</v>
      </c>
      <c r="F443" s="174"/>
      <c r="G443" s="174"/>
      <c r="H443" s="37">
        <v>114506</v>
      </c>
      <c r="I443" s="25" t="str">
        <f>CONCATENATE(Cover!$D$6,"fdd/view?i=",H443)</f>
        <v>https://www.dgiwg.org/FAD/fdd/view?i=114506</v>
      </c>
      <c r="J443" s="13" t="s">
        <v>3709</v>
      </c>
      <c r="K443" s="172"/>
      <c r="L443" s="172"/>
      <c r="CG443" s="83" t="s">
        <v>1790</v>
      </c>
    </row>
    <row r="444" spans="1:98" ht="51" x14ac:dyDescent="0.2">
      <c r="A444" s="176" t="str">
        <f t="shared" si="6"/>
        <v>InstLandingSysSensArea</v>
      </c>
      <c r="B444" s="11" t="s">
        <v>3714</v>
      </c>
      <c r="C444" s="173"/>
      <c r="D444" s="22" t="s">
        <v>3715</v>
      </c>
      <c r="E444" s="15" t="s">
        <v>3716</v>
      </c>
      <c r="F444" s="15" t="s">
        <v>3717</v>
      </c>
      <c r="G444" s="174"/>
      <c r="H444" s="37">
        <v>114597</v>
      </c>
      <c r="I444" s="25" t="str">
        <f>CONCATENATE(Cover!$D$6,"fdd/view?i=",H444)</f>
        <v>https://www.dgiwg.org/FAD/fdd/view?i=114597</v>
      </c>
      <c r="J444" s="13" t="s">
        <v>3713</v>
      </c>
      <c r="K444" s="172"/>
      <c r="L444" s="172"/>
      <c r="CE444" s="87" t="s">
        <v>1790</v>
      </c>
    </row>
    <row r="445" spans="1:98" ht="25.5" x14ac:dyDescent="0.2">
      <c r="A445" s="176" t="str">
        <f t="shared" si="6"/>
        <v>InsubstantialNavMark</v>
      </c>
      <c r="B445" s="11" t="s">
        <v>3719</v>
      </c>
      <c r="C445" s="173"/>
      <c r="D445" s="22" t="s">
        <v>3720</v>
      </c>
      <c r="E445" s="15" t="s">
        <v>3721</v>
      </c>
      <c r="F445" s="15" t="s">
        <v>3722</v>
      </c>
      <c r="G445" s="15" t="s">
        <v>3723</v>
      </c>
      <c r="H445" s="37">
        <v>100273</v>
      </c>
      <c r="I445" s="25" t="str">
        <f>CONCATENATE(Cover!$D$6,"fdd/view?i=",H445)</f>
        <v>https://www.dgiwg.org/FAD/fdd/view?i=100273</v>
      </c>
      <c r="J445" s="13" t="s">
        <v>3718</v>
      </c>
      <c r="K445" s="172"/>
      <c r="L445" s="172"/>
      <c r="AS445" s="82" t="s">
        <v>1790</v>
      </c>
      <c r="BF445" s="83" t="s">
        <v>1790</v>
      </c>
    </row>
    <row r="446" spans="1:98" x14ac:dyDescent="0.2">
      <c r="A446" s="176" t="str">
        <f t="shared" si="6"/>
        <v>Intake</v>
      </c>
      <c r="B446" s="11" t="s">
        <v>3725</v>
      </c>
      <c r="C446" s="173"/>
      <c r="D446" s="22" t="s">
        <v>3724</v>
      </c>
      <c r="E446" s="15" t="s">
        <v>3726</v>
      </c>
      <c r="F446" s="15" t="s">
        <v>3727</v>
      </c>
      <c r="G446" s="174"/>
      <c r="H446" s="37">
        <v>100331</v>
      </c>
      <c r="I446" s="25" t="str">
        <f>CONCATENATE(Cover!$D$6,"fdd/view?i=",H446)</f>
        <v>https://www.dgiwg.org/FAD/fdd/view?i=100331</v>
      </c>
      <c r="J446" s="13" t="s">
        <v>3724</v>
      </c>
      <c r="K446" s="172"/>
      <c r="L446" s="172"/>
      <c r="BJ446" s="83" t="s">
        <v>1790</v>
      </c>
    </row>
    <row r="447" spans="1:98" ht="25.5" x14ac:dyDescent="0.2">
      <c r="A447" s="176" t="str">
        <f t="shared" si="6"/>
        <v>InterestSite</v>
      </c>
      <c r="B447" s="11" t="s">
        <v>3729</v>
      </c>
      <c r="C447" s="173"/>
      <c r="D447" s="22" t="s">
        <v>3730</v>
      </c>
      <c r="E447" s="15" t="s">
        <v>3731</v>
      </c>
      <c r="F447" s="174"/>
      <c r="G447" s="174"/>
      <c r="H447" s="37">
        <v>100116</v>
      </c>
      <c r="I447" s="25" t="str">
        <f>CONCATENATE(Cover!$D$6,"fdd/view?i=",H447)</f>
        <v>https://www.dgiwg.org/FAD/fdd/view?i=100116</v>
      </c>
      <c r="J447" s="13" t="s">
        <v>3728</v>
      </c>
      <c r="K447" s="172"/>
      <c r="L447" s="172"/>
      <c r="AI447" s="87" t="s">
        <v>1790</v>
      </c>
      <c r="AL447" s="83" t="s">
        <v>1790</v>
      </c>
    </row>
    <row r="448" spans="1:98" ht="51" x14ac:dyDescent="0.2">
      <c r="A448" s="176" t="str">
        <f t="shared" si="6"/>
        <v>IntermediateApproachSeg</v>
      </c>
      <c r="B448" s="11" t="s">
        <v>3733</v>
      </c>
      <c r="C448" s="173"/>
      <c r="D448" s="22" t="s">
        <v>3734</v>
      </c>
      <c r="E448" s="15" t="s">
        <v>3735</v>
      </c>
      <c r="F448" s="15" t="s">
        <v>2146</v>
      </c>
      <c r="G448" s="174"/>
      <c r="H448" s="37">
        <v>114637</v>
      </c>
      <c r="I448" s="25" t="str">
        <f>CONCATENATE(Cover!$D$6,"fdd/view?i=",H448)</f>
        <v>https://www.dgiwg.org/FAD/fdd/view?i=114637</v>
      </c>
      <c r="J448" s="13" t="s">
        <v>3732</v>
      </c>
      <c r="K448" s="172"/>
      <c r="L448" s="172"/>
      <c r="CI448" s="89" t="s">
        <v>1790</v>
      </c>
    </row>
    <row r="449" spans="1:99" ht="38.25" x14ac:dyDescent="0.2">
      <c r="A449" s="176" t="str">
        <f t="shared" si="6"/>
        <v>IntermediateHoldingPos</v>
      </c>
      <c r="B449" s="11" t="s">
        <v>3737</v>
      </c>
      <c r="C449" s="173"/>
      <c r="D449" s="22" t="s">
        <v>3738</v>
      </c>
      <c r="E449" s="15" t="s">
        <v>3739</v>
      </c>
      <c r="F449" s="174"/>
      <c r="G449" s="15" t="s">
        <v>3740</v>
      </c>
      <c r="H449" s="37">
        <v>114598</v>
      </c>
      <c r="I449" s="25" t="str">
        <f>CONCATENATE(Cover!$D$6,"fdd/view?i=",H449)</f>
        <v>https://www.dgiwg.org/FAD/fdd/view?i=114598</v>
      </c>
      <c r="J449" s="13" t="s">
        <v>3736</v>
      </c>
      <c r="K449" s="172"/>
      <c r="L449" s="172"/>
      <c r="CE449" s="87" t="s">
        <v>1790</v>
      </c>
    </row>
    <row r="450" spans="1:99" ht="25.5" x14ac:dyDescent="0.2">
      <c r="A450" s="176" t="str">
        <f t="shared" si="6"/>
        <v>InternationalDateLine</v>
      </c>
      <c r="B450" s="11" t="s">
        <v>3742</v>
      </c>
      <c r="C450" s="173"/>
      <c r="D450" s="22" t="s">
        <v>3743</v>
      </c>
      <c r="E450" s="15" t="s">
        <v>3744</v>
      </c>
      <c r="F450" s="15" t="s">
        <v>3745</v>
      </c>
      <c r="G450" s="174"/>
      <c r="H450" s="37">
        <v>100471</v>
      </c>
      <c r="I450" s="25" t="str">
        <f>CONCATENATE(Cover!$D$6,"fdd/view?i=",H450)</f>
        <v>https://www.dgiwg.org/FAD/fdd/view?i=100471</v>
      </c>
      <c r="J450" s="13" t="s">
        <v>3741</v>
      </c>
      <c r="K450" s="172"/>
      <c r="L450" s="172"/>
      <c r="CC450" s="81" t="s">
        <v>1790</v>
      </c>
      <c r="CR450" s="165" t="s">
        <v>1790</v>
      </c>
    </row>
    <row r="451" spans="1:99" ht="63.75" x14ac:dyDescent="0.2">
      <c r="A451" s="176" t="str">
        <f t="shared" ref="A451:A514" si="7">HYPERLINK(I451,J451)</f>
        <v>InundatedLand</v>
      </c>
      <c r="B451" s="11" t="s">
        <v>3747</v>
      </c>
      <c r="C451" s="173"/>
      <c r="D451" s="22" t="s">
        <v>3748</v>
      </c>
      <c r="E451" s="15" t="s">
        <v>3749</v>
      </c>
      <c r="F451" s="15" t="s">
        <v>3750</v>
      </c>
      <c r="G451" s="174"/>
      <c r="H451" s="37">
        <v>117993</v>
      </c>
      <c r="I451" s="25" t="str">
        <f>CONCATENATE(Cover!$D$6,"fdd/view?i=",H451)</f>
        <v>https://www.dgiwg.org/FAD/fdd/view?i=117993</v>
      </c>
      <c r="J451" s="13" t="s">
        <v>3746</v>
      </c>
      <c r="K451" s="172"/>
      <c r="L451" s="172"/>
      <c r="BJ451" s="83" t="s">
        <v>1790</v>
      </c>
      <c r="BM451" s="82" t="s">
        <v>1790</v>
      </c>
      <c r="BX451" s="83" t="s">
        <v>1790</v>
      </c>
    </row>
    <row r="452" spans="1:99" ht="38.25" x14ac:dyDescent="0.2">
      <c r="A452" s="176" t="str">
        <f t="shared" si="7"/>
        <v>IrrigationSystem</v>
      </c>
      <c r="B452" s="11" t="s">
        <v>3752</v>
      </c>
      <c r="C452" s="173"/>
      <c r="D452" s="22" t="s">
        <v>3753</v>
      </c>
      <c r="E452" s="15" t="s">
        <v>3754</v>
      </c>
      <c r="F452" s="15" t="s">
        <v>3755</v>
      </c>
      <c r="G452" s="174"/>
      <c r="H452" s="37">
        <v>111447</v>
      </c>
      <c r="I452" s="25" t="str">
        <f>CONCATENATE(Cover!$D$6,"fdd/view?i=",H452)</f>
        <v>https://www.dgiwg.org/FAD/fdd/view?i=111447</v>
      </c>
      <c r="J452" s="13" t="s">
        <v>3751</v>
      </c>
      <c r="K452" s="172"/>
      <c r="L452" s="172"/>
      <c r="AC452" s="82" t="s">
        <v>1790</v>
      </c>
    </row>
    <row r="453" spans="1:99" x14ac:dyDescent="0.2">
      <c r="A453" s="176" t="str">
        <f t="shared" si="7"/>
        <v>Island</v>
      </c>
      <c r="B453" s="11" t="s">
        <v>3757</v>
      </c>
      <c r="C453" s="173"/>
      <c r="D453" s="22" t="s">
        <v>3756</v>
      </c>
      <c r="E453" s="15" t="s">
        <v>3758</v>
      </c>
      <c r="F453" s="174"/>
      <c r="G453" s="174"/>
      <c r="H453" s="37">
        <v>100212</v>
      </c>
      <c r="I453" s="25" t="str">
        <f>CONCATENATE(Cover!$D$6,"fdd/view?i=",H453)</f>
        <v>https://www.dgiwg.org/FAD/fdd/view?i=100212</v>
      </c>
      <c r="J453" s="13" t="s">
        <v>3756</v>
      </c>
      <c r="K453" s="172"/>
      <c r="L453" s="172"/>
      <c r="AZ453" s="87" t="s">
        <v>1790</v>
      </c>
      <c r="BJ453" s="83" t="s">
        <v>1790</v>
      </c>
    </row>
    <row r="454" spans="1:99" x14ac:dyDescent="0.2">
      <c r="A454" s="176" t="str">
        <f t="shared" si="7"/>
        <v>IsogonicLine</v>
      </c>
      <c r="B454" s="11" t="s">
        <v>3760</v>
      </c>
      <c r="C454" s="173"/>
      <c r="D454" s="22" t="s">
        <v>3761</v>
      </c>
      <c r="E454" s="15" t="s">
        <v>3762</v>
      </c>
      <c r="F454" s="174"/>
      <c r="G454" s="174"/>
      <c r="H454" s="37">
        <v>100571</v>
      </c>
      <c r="I454" s="25" t="str">
        <f>CONCATENATE(Cover!$D$6,"fdd/view?i=",H454)</f>
        <v>https://www.dgiwg.org/FAD/fdd/view?i=100571</v>
      </c>
      <c r="J454" s="13" t="s">
        <v>3759</v>
      </c>
      <c r="K454" s="172"/>
      <c r="L454" s="172"/>
      <c r="BS454" s="82" t="s">
        <v>1790</v>
      </c>
    </row>
    <row r="455" spans="1:99" ht="38.25" x14ac:dyDescent="0.2">
      <c r="A455" s="176" t="str">
        <f t="shared" si="7"/>
        <v>IsolatedAircraftParkPos</v>
      </c>
      <c r="B455" s="11" t="s">
        <v>3764</v>
      </c>
      <c r="C455" s="173"/>
      <c r="D455" s="22" t="s">
        <v>3765</v>
      </c>
      <c r="E455" s="15" t="s">
        <v>3766</v>
      </c>
      <c r="F455" s="174"/>
      <c r="G455" s="174"/>
      <c r="H455" s="37">
        <v>114646</v>
      </c>
      <c r="I455" s="25" t="str">
        <f>CONCATENATE(Cover!$D$6,"fdd/view?i=",H455)</f>
        <v>https://www.dgiwg.org/FAD/fdd/view?i=114646</v>
      </c>
      <c r="J455" s="13" t="s">
        <v>3763</v>
      </c>
      <c r="K455" s="172"/>
      <c r="L455" s="172"/>
      <c r="CE455" s="87" t="s">
        <v>1790</v>
      </c>
    </row>
    <row r="456" spans="1:99" ht="38.25" x14ac:dyDescent="0.2">
      <c r="A456" s="176" t="str">
        <f t="shared" si="7"/>
        <v>JetAircraftStartUnitServ</v>
      </c>
      <c r="B456" s="11" t="s">
        <v>3768</v>
      </c>
      <c r="C456" s="173"/>
      <c r="D456" s="22" t="s">
        <v>3769</v>
      </c>
      <c r="E456" s="15" t="s">
        <v>3770</v>
      </c>
      <c r="F456" s="174"/>
      <c r="G456" s="174"/>
      <c r="H456" s="37">
        <v>119575</v>
      </c>
      <c r="I456" s="25" t="str">
        <f>CONCATENATE(Cover!$D$6,"fdd/view?i=",H456)</f>
        <v>https://www.dgiwg.org/FAD/fdd/view?i=119575</v>
      </c>
      <c r="J456" s="13" t="s">
        <v>3767</v>
      </c>
      <c r="K456" s="172"/>
      <c r="L456" s="172"/>
      <c r="AT456" s="82" t="s">
        <v>1790</v>
      </c>
      <c r="CH456" s="83" t="s">
        <v>1790</v>
      </c>
    </row>
    <row r="457" spans="1:99" ht="25.5" x14ac:dyDescent="0.2">
      <c r="A457" s="176" t="str">
        <f t="shared" si="7"/>
        <v>Lagoon</v>
      </c>
      <c r="B457" s="11" t="s">
        <v>3772</v>
      </c>
      <c r="C457" s="173"/>
      <c r="D457" s="22" t="s">
        <v>3771</v>
      </c>
      <c r="E457" s="15" t="s">
        <v>3773</v>
      </c>
      <c r="F457" s="15" t="s">
        <v>3774</v>
      </c>
      <c r="G457" s="15" t="s">
        <v>3775</v>
      </c>
      <c r="H457" s="37">
        <v>100361</v>
      </c>
      <c r="I457" s="25" t="str">
        <f>CONCATENATE(Cover!$D$6,"fdd/view?i=",H457)</f>
        <v>https://www.dgiwg.org/FAD/fdd/view?i=100361</v>
      </c>
      <c r="J457" s="13" t="s">
        <v>3771</v>
      </c>
      <c r="K457" s="172"/>
      <c r="L457" s="172"/>
      <c r="AZ457" s="87" t="s">
        <v>1790</v>
      </c>
    </row>
    <row r="458" spans="1:99" x14ac:dyDescent="0.2">
      <c r="A458" s="176" t="str">
        <f t="shared" si="7"/>
        <v>Lake</v>
      </c>
      <c r="B458" s="11" t="s">
        <v>3777</v>
      </c>
      <c r="C458" s="173"/>
      <c r="D458" s="22" t="s">
        <v>3776</v>
      </c>
      <c r="E458" s="15" t="s">
        <v>3778</v>
      </c>
      <c r="F458" s="174"/>
      <c r="G458" s="174"/>
      <c r="H458" s="37">
        <v>103047</v>
      </c>
      <c r="I458" s="25" t="str">
        <f>CONCATENATE(Cover!$D$6,"fdd/view?i=",H458)</f>
        <v>https://www.dgiwg.org/FAD/fdd/view?i=103047</v>
      </c>
      <c r="J458" s="13" t="s">
        <v>3776</v>
      </c>
      <c r="K458" s="172"/>
      <c r="L458" s="172"/>
      <c r="BJ458" s="83" t="s">
        <v>1790</v>
      </c>
    </row>
    <row r="459" spans="1:99" ht="25.5" x14ac:dyDescent="0.2">
      <c r="A459" s="176" t="str">
        <f t="shared" si="7"/>
        <v>LandAerodrome</v>
      </c>
      <c r="B459" s="11" t="s">
        <v>3780</v>
      </c>
      <c r="C459" s="173"/>
      <c r="D459" s="22" t="s">
        <v>3781</v>
      </c>
      <c r="E459" s="15" t="s">
        <v>3782</v>
      </c>
      <c r="F459" s="174"/>
      <c r="G459" s="15" t="s">
        <v>3783</v>
      </c>
      <c r="H459" s="37">
        <v>114599</v>
      </c>
      <c r="I459" s="25" t="str">
        <f>CONCATENATE(Cover!$D$6,"fdd/view?i=",H459)</f>
        <v>https://www.dgiwg.org/FAD/fdd/view?i=114599</v>
      </c>
      <c r="J459" s="13" t="s">
        <v>3779</v>
      </c>
      <c r="K459" s="172"/>
      <c r="L459" s="172"/>
      <c r="CE459" s="87" t="s">
        <v>1790</v>
      </c>
    </row>
    <row r="460" spans="1:99" ht="51" x14ac:dyDescent="0.2">
      <c r="A460" s="176" t="str">
        <f t="shared" si="7"/>
        <v>LandHoldShortOpHoldPoint</v>
      </c>
      <c r="B460" s="11" t="s">
        <v>3785</v>
      </c>
      <c r="C460" s="173"/>
      <c r="D460" s="22" t="s">
        <v>3786</v>
      </c>
      <c r="E460" s="15" t="s">
        <v>3787</v>
      </c>
      <c r="F460" s="15" t="s">
        <v>3788</v>
      </c>
      <c r="G460" s="174"/>
      <c r="H460" s="37">
        <v>114649</v>
      </c>
      <c r="I460" s="25" t="str">
        <f>CONCATENATE(Cover!$D$6,"fdd/view?i=",H460)</f>
        <v>https://www.dgiwg.org/FAD/fdd/view?i=114649</v>
      </c>
      <c r="J460" s="13" t="s">
        <v>3784</v>
      </c>
      <c r="K460" s="172"/>
      <c r="L460" s="172"/>
      <c r="CE460" s="87" t="s">
        <v>1790</v>
      </c>
    </row>
    <row r="461" spans="1:99" ht="25.5" x14ac:dyDescent="0.2">
      <c r="A461" s="176" t="str">
        <f t="shared" si="7"/>
        <v>LandArea</v>
      </c>
      <c r="B461" s="11" t="s">
        <v>3790</v>
      </c>
      <c r="C461" s="173"/>
      <c r="D461" s="22" t="s">
        <v>3791</v>
      </c>
      <c r="E461" s="15" t="s">
        <v>3792</v>
      </c>
      <c r="F461" s="15" t="s">
        <v>3793</v>
      </c>
      <c r="G461" s="174"/>
      <c r="H461" s="37">
        <v>111449</v>
      </c>
      <c r="I461" s="25" t="str">
        <f>CONCATENATE(Cover!$D$6,"fdd/view?i=",H461)</f>
        <v>https://www.dgiwg.org/FAD/fdd/view?i=111449</v>
      </c>
      <c r="J461" s="13" t="s">
        <v>3789</v>
      </c>
      <c r="K461" s="172"/>
      <c r="L461" s="172"/>
      <c r="BM461" s="82" t="s">
        <v>1790</v>
      </c>
      <c r="CU461" s="87" t="s">
        <v>1790</v>
      </c>
    </row>
    <row r="462" spans="1:99" ht="25.5" x14ac:dyDescent="0.2">
      <c r="A462" s="176" t="str">
        <f t="shared" si="7"/>
        <v>LandCover</v>
      </c>
      <c r="B462" s="11" t="s">
        <v>3795</v>
      </c>
      <c r="C462" s="173"/>
      <c r="D462" s="22" t="s">
        <v>3796</v>
      </c>
      <c r="E462" s="15" t="s">
        <v>3797</v>
      </c>
      <c r="F462" s="174"/>
      <c r="G462" s="174"/>
      <c r="H462" s="37">
        <v>100442</v>
      </c>
      <c r="I462" s="25" t="str">
        <f>CONCATENATE(Cover!$D$6,"fdd/view?i=",H462)</f>
        <v>https://www.dgiwg.org/FAD/fdd/view?i=100442</v>
      </c>
      <c r="J462" s="13" t="s">
        <v>3794</v>
      </c>
      <c r="K462" s="172"/>
      <c r="L462" s="172"/>
      <c r="BT462" s="85" t="s">
        <v>1790</v>
      </c>
    </row>
    <row r="463" spans="1:99" x14ac:dyDescent="0.2">
      <c r="A463" s="176" t="str">
        <f t="shared" si="7"/>
        <v>LandMorphologyArea</v>
      </c>
      <c r="B463" s="11" t="s">
        <v>3799</v>
      </c>
      <c r="C463" s="173"/>
      <c r="D463" s="22" t="s">
        <v>3800</v>
      </c>
      <c r="E463" s="15" t="s">
        <v>3801</v>
      </c>
      <c r="F463" s="15" t="s">
        <v>3802</v>
      </c>
      <c r="G463" s="174"/>
      <c r="H463" s="37">
        <v>111450</v>
      </c>
      <c r="I463" s="25" t="str">
        <f>CONCATENATE(Cover!$D$6,"fdd/view?i=",H463)</f>
        <v>https://www.dgiwg.org/FAD/fdd/view?i=111450</v>
      </c>
      <c r="J463" s="13" t="s">
        <v>3798</v>
      </c>
      <c r="K463" s="172"/>
      <c r="L463" s="172"/>
      <c r="BM463" s="82" t="s">
        <v>1790</v>
      </c>
    </row>
    <row r="464" spans="1:99" ht="165.75" x14ac:dyDescent="0.2">
      <c r="A464" s="176" t="str">
        <f t="shared" si="7"/>
        <v>Parcel</v>
      </c>
      <c r="B464" s="11" t="s">
        <v>3804</v>
      </c>
      <c r="C464" s="173"/>
      <c r="D464" s="22" t="s">
        <v>3805</v>
      </c>
      <c r="E464" s="15" t="s">
        <v>3806</v>
      </c>
      <c r="F464" s="15" t="s">
        <v>3807</v>
      </c>
      <c r="G464" s="174"/>
      <c r="H464" s="37">
        <v>100546</v>
      </c>
      <c r="I464" s="25" t="str">
        <f>CONCATENATE(Cover!$D$6,"fdd/view?i=",H464)</f>
        <v>https://www.dgiwg.org/FAD/fdd/view?i=100546</v>
      </c>
      <c r="J464" s="13" t="s">
        <v>3803</v>
      </c>
      <c r="K464" s="172"/>
      <c r="L464" s="172"/>
      <c r="CD464" s="85" t="s">
        <v>1790</v>
      </c>
    </row>
    <row r="465" spans="1:88" ht="25.5" x14ac:dyDescent="0.2">
      <c r="A465" s="176" t="str">
        <f t="shared" si="7"/>
        <v>LandReclamationArea</v>
      </c>
      <c r="B465" s="11" t="s">
        <v>3809</v>
      </c>
      <c r="C465" s="173"/>
      <c r="D465" s="22" t="s">
        <v>3810</v>
      </c>
      <c r="E465" s="15" t="s">
        <v>3811</v>
      </c>
      <c r="F465" s="15" t="s">
        <v>3812</v>
      </c>
      <c r="G465" s="174"/>
      <c r="H465" s="37">
        <v>111356</v>
      </c>
      <c r="I465" s="25" t="str">
        <f>CONCATENATE(Cover!$D$6,"fdd/view?i=",H465)</f>
        <v>https://www.dgiwg.org/FAD/fdd/view?i=111356</v>
      </c>
      <c r="J465" s="13" t="s">
        <v>3808</v>
      </c>
      <c r="K465" s="172"/>
      <c r="L465" s="172"/>
      <c r="AZ465" s="87" t="s">
        <v>1790</v>
      </c>
      <c r="BJ465" s="83" t="s">
        <v>1790</v>
      </c>
    </row>
    <row r="466" spans="1:88" ht="25.5" x14ac:dyDescent="0.2">
      <c r="A466" s="176" t="str">
        <f t="shared" si="7"/>
        <v>LandSnowIceField</v>
      </c>
      <c r="B466" s="11" t="s">
        <v>3814</v>
      </c>
      <c r="C466" s="173"/>
      <c r="D466" s="22" t="s">
        <v>3815</v>
      </c>
      <c r="E466" s="15" t="s">
        <v>3816</v>
      </c>
      <c r="F466" s="15" t="s">
        <v>3817</v>
      </c>
      <c r="G466" s="174"/>
      <c r="H466" s="37">
        <v>110646</v>
      </c>
      <c r="I466" s="25" t="str">
        <f>CONCATENATE(Cover!$D$6,"fdd/view?i=",H466)</f>
        <v>https://www.dgiwg.org/FAD/fdd/view?i=110646</v>
      </c>
      <c r="J466" s="13" t="s">
        <v>3813</v>
      </c>
      <c r="K466" s="172"/>
      <c r="L466" s="172"/>
      <c r="BR466" s="82" t="s">
        <v>1790</v>
      </c>
    </row>
    <row r="467" spans="1:88" x14ac:dyDescent="0.2">
      <c r="A467" s="176" t="str">
        <f t="shared" si="7"/>
        <v>LandSubjectToInundation</v>
      </c>
      <c r="B467" s="11" t="s">
        <v>3819</v>
      </c>
      <c r="C467" s="173"/>
      <c r="D467" s="22" t="s">
        <v>3820</v>
      </c>
      <c r="E467" s="15" t="s">
        <v>3821</v>
      </c>
      <c r="F467" s="174"/>
      <c r="G467" s="174"/>
      <c r="H467" s="37">
        <v>100342</v>
      </c>
      <c r="I467" s="25" t="str">
        <f>CONCATENATE(Cover!$D$6,"fdd/view?i=",H467)</f>
        <v>https://www.dgiwg.org/FAD/fdd/view?i=100342</v>
      </c>
      <c r="J467" s="13" t="s">
        <v>3818</v>
      </c>
      <c r="K467" s="172"/>
      <c r="L467" s="172"/>
      <c r="BJ467" s="83" t="s">
        <v>1790</v>
      </c>
      <c r="BX467" s="83" t="s">
        <v>1790</v>
      </c>
    </row>
    <row r="468" spans="1:88" ht="38.25" x14ac:dyDescent="0.2">
      <c r="A468" s="176" t="str">
        <f t="shared" si="7"/>
        <v>LandWaterBoundary</v>
      </c>
      <c r="B468" s="11" t="s">
        <v>3823</v>
      </c>
      <c r="C468" s="173"/>
      <c r="D468" s="22" t="s">
        <v>3824</v>
      </c>
      <c r="E468" s="15" t="s">
        <v>3825</v>
      </c>
      <c r="F468" s="15" t="s">
        <v>3826</v>
      </c>
      <c r="G468" s="15" t="s">
        <v>3827</v>
      </c>
      <c r="H468" s="37">
        <v>100204</v>
      </c>
      <c r="I468" s="25" t="str">
        <f>CONCATENATE(Cover!$D$6,"fdd/view?i=",H468)</f>
        <v>https://www.dgiwg.org/FAD/fdd/view?i=100204</v>
      </c>
      <c r="J468" s="13" t="s">
        <v>3822</v>
      </c>
      <c r="K468" s="172"/>
      <c r="L468" s="172"/>
      <c r="AZ468" s="87" t="s">
        <v>1790</v>
      </c>
      <c r="CC468" s="81" t="s">
        <v>1790</v>
      </c>
    </row>
    <row r="469" spans="1:88" ht="25.5" x14ac:dyDescent="0.2">
      <c r="A469" s="176" t="str">
        <f t="shared" si="7"/>
        <v>LandingDirectionIndicator</v>
      </c>
      <c r="B469" s="11" t="s">
        <v>3829</v>
      </c>
      <c r="C469" s="173"/>
      <c r="D469" s="22" t="s">
        <v>3830</v>
      </c>
      <c r="E469" s="15" t="s">
        <v>3831</v>
      </c>
      <c r="F469" s="174"/>
      <c r="G469" s="15" t="s">
        <v>3832</v>
      </c>
      <c r="H469" s="37">
        <v>114600</v>
      </c>
      <c r="I469" s="25" t="str">
        <f>CONCATENATE(Cover!$D$6,"fdd/view?i=",H469)</f>
        <v>https://www.dgiwg.org/FAD/fdd/view?i=114600</v>
      </c>
      <c r="J469" s="13" t="s">
        <v>3828</v>
      </c>
      <c r="K469" s="172"/>
      <c r="L469" s="172"/>
      <c r="CE469" s="87" t="s">
        <v>1790</v>
      </c>
    </row>
    <row r="470" spans="1:88" ht="25.5" x14ac:dyDescent="0.2">
      <c r="A470" s="176" t="str">
        <f t="shared" si="7"/>
        <v>LandingSteps</v>
      </c>
      <c r="B470" s="11" t="s">
        <v>3834</v>
      </c>
      <c r="C470" s="173"/>
      <c r="D470" s="22" t="s">
        <v>3835</v>
      </c>
      <c r="E470" s="15" t="s">
        <v>3836</v>
      </c>
      <c r="F470" s="174"/>
      <c r="G470" s="15" t="s">
        <v>3837</v>
      </c>
      <c r="H470" s="37">
        <v>100243</v>
      </c>
      <c r="I470" s="25" t="str">
        <f>CONCATENATE(Cover!$D$6,"fdd/view?i=",H470)</f>
        <v>https://www.dgiwg.org/FAD/fdd/view?i=100243</v>
      </c>
      <c r="J470" s="13" t="s">
        <v>3833</v>
      </c>
      <c r="K470" s="172"/>
      <c r="L470" s="172"/>
      <c r="AS470" s="82" t="s">
        <v>1790</v>
      </c>
      <c r="BA470" s="83" t="s">
        <v>1790</v>
      </c>
      <c r="CJ470" s="81" t="s">
        <v>1790</v>
      </c>
    </row>
    <row r="471" spans="1:88" x14ac:dyDescent="0.2">
      <c r="A471" s="176" t="str">
        <f t="shared" si="7"/>
        <v>LandslideMass</v>
      </c>
      <c r="B471" s="11" t="s">
        <v>3839</v>
      </c>
      <c r="C471" s="173"/>
      <c r="D471" s="22" t="s">
        <v>3840</v>
      </c>
      <c r="E471" s="15" t="s">
        <v>3841</v>
      </c>
      <c r="F471" s="174"/>
      <c r="G471" s="174"/>
      <c r="H471" s="37">
        <v>100427</v>
      </c>
      <c r="I471" s="25" t="str">
        <f>CONCATENATE(Cover!$D$6,"fdd/view?i=",H471)</f>
        <v>https://www.dgiwg.org/FAD/fdd/view?i=100427</v>
      </c>
      <c r="J471" s="13" t="s">
        <v>3838</v>
      </c>
      <c r="K471" s="172"/>
      <c r="L471" s="172"/>
      <c r="BM471" s="82" t="s">
        <v>1790</v>
      </c>
      <c r="BO471" s="82" t="s">
        <v>1790</v>
      </c>
    </row>
    <row r="472" spans="1:88" ht="51" x14ac:dyDescent="0.2">
      <c r="A472" s="176" t="str">
        <f t="shared" si="7"/>
        <v>LargeBottomObject</v>
      </c>
      <c r="B472" s="11" t="s">
        <v>3843</v>
      </c>
      <c r="C472" s="173"/>
      <c r="D472" s="22" t="s">
        <v>3844</v>
      </c>
      <c r="E472" s="15" t="s">
        <v>3845</v>
      </c>
      <c r="F472" s="15" t="s">
        <v>3846</v>
      </c>
      <c r="G472" s="174"/>
      <c r="H472" s="37">
        <v>111443</v>
      </c>
      <c r="I472" s="25" t="str">
        <f>CONCATENATE(Cover!$D$6,"fdd/view?i=",H472)</f>
        <v>https://www.dgiwg.org/FAD/fdd/view?i=111443</v>
      </c>
      <c r="J472" s="13" t="s">
        <v>3842</v>
      </c>
      <c r="K472" s="172"/>
      <c r="L472" s="172"/>
      <c r="BG472" s="83" t="s">
        <v>1790</v>
      </c>
    </row>
    <row r="473" spans="1:88" x14ac:dyDescent="0.2">
      <c r="A473" s="176" t="str">
        <f t="shared" si="7"/>
        <v>LateralBuoy</v>
      </c>
      <c r="B473" s="11" t="s">
        <v>3848</v>
      </c>
      <c r="C473" s="173"/>
      <c r="D473" s="22" t="s">
        <v>3849</v>
      </c>
      <c r="E473" s="15" t="s">
        <v>3850</v>
      </c>
      <c r="F473" s="174"/>
      <c r="G473" s="174"/>
      <c r="H473" s="37">
        <v>101105</v>
      </c>
      <c r="I473" s="25" t="str">
        <f>CONCATENATE(Cover!$D$6,"fdd/view?i=",H473)</f>
        <v>https://www.dgiwg.org/FAD/fdd/view?i=101105</v>
      </c>
      <c r="J473" s="13" t="s">
        <v>3847</v>
      </c>
      <c r="K473" s="172"/>
      <c r="L473" s="172"/>
      <c r="AS473" s="82" t="s">
        <v>1790</v>
      </c>
      <c r="BF473" s="83" t="s">
        <v>1790</v>
      </c>
    </row>
    <row r="474" spans="1:88" x14ac:dyDescent="0.2">
      <c r="A474" s="176" t="str">
        <f t="shared" si="7"/>
        <v>LaunchPad</v>
      </c>
      <c r="B474" s="11" t="s">
        <v>3852</v>
      </c>
      <c r="C474" s="173"/>
      <c r="D474" s="22" t="s">
        <v>3853</v>
      </c>
      <c r="E474" s="15" t="s">
        <v>3854</v>
      </c>
      <c r="F474" s="174"/>
      <c r="G474" s="174"/>
      <c r="H474" s="37">
        <v>100524</v>
      </c>
      <c r="I474" s="25" t="str">
        <f>CONCATENATE(Cover!$D$6,"fdd/view?i=",H474)</f>
        <v>https://www.dgiwg.org/FAD/fdd/view?i=100524</v>
      </c>
      <c r="J474" s="13" t="s">
        <v>3851</v>
      </c>
      <c r="K474" s="172"/>
      <c r="L474" s="172"/>
      <c r="AT474" s="82" t="s">
        <v>1790</v>
      </c>
      <c r="CE474" s="87" t="s">
        <v>1790</v>
      </c>
    </row>
    <row r="475" spans="1:88" x14ac:dyDescent="0.2">
      <c r="A475" s="176" t="str">
        <f t="shared" si="7"/>
        <v>LeadingLights</v>
      </c>
      <c r="B475" s="11" t="s">
        <v>3856</v>
      </c>
      <c r="C475" s="173"/>
      <c r="D475" s="22" t="s">
        <v>3857</v>
      </c>
      <c r="E475" s="15" t="s">
        <v>3858</v>
      </c>
      <c r="F475" s="174"/>
      <c r="G475" s="174"/>
      <c r="H475" s="37">
        <v>100263</v>
      </c>
      <c r="I475" s="25" t="str">
        <f>CONCATENATE(Cover!$D$6,"fdd/view?i=",H475)</f>
        <v>https://www.dgiwg.org/FAD/fdd/view?i=100263</v>
      </c>
      <c r="J475" s="13" t="s">
        <v>3855</v>
      </c>
      <c r="K475" s="172"/>
      <c r="L475" s="172"/>
      <c r="AS475" s="82" t="s">
        <v>1790</v>
      </c>
      <c r="BF475" s="83" t="s">
        <v>1790</v>
      </c>
    </row>
    <row r="476" spans="1:88" ht="25.5" x14ac:dyDescent="0.2">
      <c r="A476" s="176" t="str">
        <f t="shared" si="7"/>
        <v>LeadingLine</v>
      </c>
      <c r="B476" s="11" t="s">
        <v>3860</v>
      </c>
      <c r="C476" s="173"/>
      <c r="D476" s="22" t="s">
        <v>3861</v>
      </c>
      <c r="E476" s="15" t="s">
        <v>3862</v>
      </c>
      <c r="F476" s="174"/>
      <c r="G476" s="174"/>
      <c r="H476" s="37">
        <v>100276</v>
      </c>
      <c r="I476" s="25" t="str">
        <f>CONCATENATE(Cover!$D$6,"fdd/view?i=",H476)</f>
        <v>https://www.dgiwg.org/FAD/fdd/view?i=100276</v>
      </c>
      <c r="J476" s="13" t="s">
        <v>3859</v>
      </c>
      <c r="K476" s="172"/>
      <c r="L476" s="172"/>
      <c r="AS476" s="82" t="s">
        <v>1790</v>
      </c>
      <c r="BF476" s="83" t="s">
        <v>1790</v>
      </c>
    </row>
    <row r="477" spans="1:88" ht="25.5" x14ac:dyDescent="0.2">
      <c r="A477" s="176" t="str">
        <f t="shared" si="7"/>
        <v>LightSector</v>
      </c>
      <c r="B477" s="11" t="s">
        <v>3864</v>
      </c>
      <c r="C477" s="173"/>
      <c r="D477" s="22" t="s">
        <v>3865</v>
      </c>
      <c r="E477" s="15" t="s">
        <v>3866</v>
      </c>
      <c r="F477" s="174"/>
      <c r="G477" s="174"/>
      <c r="H477" s="37">
        <v>100271</v>
      </c>
      <c r="I477" s="25" t="str">
        <f>CONCATENATE(Cover!$D$6,"fdd/view?i=",H477)</f>
        <v>https://www.dgiwg.org/FAD/fdd/view?i=100271</v>
      </c>
      <c r="J477" s="13" t="s">
        <v>3863</v>
      </c>
      <c r="K477" s="172"/>
      <c r="L477" s="172"/>
      <c r="AS477" s="82" t="s">
        <v>1790</v>
      </c>
      <c r="BF477" s="83" t="s">
        <v>1790</v>
      </c>
    </row>
    <row r="478" spans="1:88" x14ac:dyDescent="0.2">
      <c r="A478" s="176" t="str">
        <f t="shared" si="7"/>
        <v>LightSupportStructure</v>
      </c>
      <c r="B478" s="11" t="s">
        <v>3868</v>
      </c>
      <c r="C478" s="173"/>
      <c r="D478" s="22" t="s">
        <v>3869</v>
      </c>
      <c r="E478" s="15" t="s">
        <v>3870</v>
      </c>
      <c r="F478" s="15" t="s">
        <v>3871</v>
      </c>
      <c r="G478" s="174"/>
      <c r="H478" s="37">
        <v>100103</v>
      </c>
      <c r="I478" s="25" t="str">
        <f>CONCATENATE(Cover!$D$6,"fdd/view?i=",H478)</f>
        <v>https://www.dgiwg.org/FAD/fdd/view?i=100103</v>
      </c>
      <c r="J478" s="13" t="s">
        <v>3867</v>
      </c>
      <c r="K478" s="172"/>
      <c r="L478" s="172"/>
      <c r="AJ478" s="83" t="s">
        <v>1790</v>
      </c>
    </row>
    <row r="479" spans="1:88" ht="38.25" x14ac:dyDescent="0.2">
      <c r="A479" s="176" t="str">
        <f t="shared" si="7"/>
        <v>LightVessel</v>
      </c>
      <c r="B479" s="11" t="s">
        <v>3873</v>
      </c>
      <c r="C479" s="173"/>
      <c r="D479" s="22" t="s">
        <v>3874</v>
      </c>
      <c r="E479" s="15" t="s">
        <v>3875</v>
      </c>
      <c r="F479" s="15" t="s">
        <v>3876</v>
      </c>
      <c r="G479" s="15" t="s">
        <v>3877</v>
      </c>
      <c r="H479" s="37">
        <v>100272</v>
      </c>
      <c r="I479" s="25" t="str">
        <f>CONCATENATE(Cover!$D$6,"fdd/view?i=",H479)</f>
        <v>https://www.dgiwg.org/FAD/fdd/view?i=100272</v>
      </c>
      <c r="J479" s="13" t="s">
        <v>3872</v>
      </c>
      <c r="K479" s="172"/>
      <c r="L479" s="172"/>
      <c r="AS479" s="82" t="s">
        <v>1790</v>
      </c>
      <c r="BF479" s="83" t="s">
        <v>1790</v>
      </c>
    </row>
    <row r="480" spans="1:88" ht="25.5" x14ac:dyDescent="0.2">
      <c r="A480" s="176" t="str">
        <f t="shared" si="7"/>
        <v>Lighthouse</v>
      </c>
      <c r="B480" s="11" t="s">
        <v>3879</v>
      </c>
      <c r="C480" s="173"/>
      <c r="D480" s="22" t="s">
        <v>3878</v>
      </c>
      <c r="E480" s="15" t="s">
        <v>3880</v>
      </c>
      <c r="F480" s="174"/>
      <c r="G480" s="174"/>
      <c r="H480" s="37">
        <v>100269</v>
      </c>
      <c r="I480" s="25" t="str">
        <f>CONCATENATE(Cover!$D$6,"fdd/view?i=",H480)</f>
        <v>https://www.dgiwg.org/FAD/fdd/view?i=100269</v>
      </c>
      <c r="J480" s="13" t="s">
        <v>3878</v>
      </c>
      <c r="K480" s="172"/>
      <c r="L480" s="172"/>
      <c r="AJ480" s="83" t="s">
        <v>1790</v>
      </c>
      <c r="AS480" s="82" t="s">
        <v>1790</v>
      </c>
      <c r="BF480" s="83" t="s">
        <v>1790</v>
      </c>
    </row>
    <row r="481" spans="1:85" ht="25.5" x14ac:dyDescent="0.2">
      <c r="A481" s="176" t="str">
        <f t="shared" si="7"/>
        <v>LightsInLine</v>
      </c>
      <c r="B481" s="11" t="s">
        <v>3882</v>
      </c>
      <c r="C481" s="173"/>
      <c r="D481" s="22" t="s">
        <v>3883</v>
      </c>
      <c r="E481" s="15" t="s">
        <v>3884</v>
      </c>
      <c r="F481" s="174"/>
      <c r="G481" s="174"/>
      <c r="H481" s="37">
        <v>100267</v>
      </c>
      <c r="I481" s="25" t="str">
        <f>CONCATENATE(Cover!$D$6,"fdd/view?i=",H481)</f>
        <v>https://www.dgiwg.org/FAD/fdd/view?i=100267</v>
      </c>
      <c r="J481" s="13" t="s">
        <v>3881</v>
      </c>
      <c r="K481" s="172"/>
      <c r="L481" s="172"/>
      <c r="AS481" s="82" t="s">
        <v>1790</v>
      </c>
      <c r="BF481" s="83" t="s">
        <v>1790</v>
      </c>
    </row>
    <row r="482" spans="1:85" ht="25.5" x14ac:dyDescent="0.2">
      <c r="A482" s="176" t="str">
        <f t="shared" si="7"/>
        <v>LiquidDiffuser</v>
      </c>
      <c r="B482" s="11" t="s">
        <v>3886</v>
      </c>
      <c r="C482" s="173"/>
      <c r="D482" s="22" t="s">
        <v>3887</v>
      </c>
      <c r="E482" s="15" t="s">
        <v>3888</v>
      </c>
      <c r="F482" s="174"/>
      <c r="G482" s="174"/>
      <c r="H482" s="37">
        <v>100013</v>
      </c>
      <c r="I482" s="25" t="str">
        <f>CONCATENATE(Cover!$D$6,"fdd/view?i=",H482)</f>
        <v>https://www.dgiwg.org/FAD/fdd/view?i=100013</v>
      </c>
      <c r="J482" s="13" t="s">
        <v>3885</v>
      </c>
      <c r="K482" s="172"/>
      <c r="L482" s="172"/>
      <c r="AF482" s="82" t="s">
        <v>1790</v>
      </c>
      <c r="BD482" s="83" t="s">
        <v>1790</v>
      </c>
    </row>
    <row r="483" spans="1:85" ht="38.25" x14ac:dyDescent="0.2">
      <c r="A483" s="176" t="str">
        <f t="shared" si="7"/>
        <v>LithosphericPlate</v>
      </c>
      <c r="B483" s="11" t="s">
        <v>3890</v>
      </c>
      <c r="C483" s="173"/>
      <c r="D483" s="22" t="s">
        <v>3891</v>
      </c>
      <c r="E483" s="15" t="s">
        <v>3892</v>
      </c>
      <c r="F483" s="15" t="s">
        <v>3893</v>
      </c>
      <c r="G483" s="174"/>
      <c r="H483" s="37">
        <v>111365</v>
      </c>
      <c r="I483" s="25" t="str">
        <f>CONCATENATE(Cover!$D$6,"fdd/view?i=",H483)</f>
        <v>https://www.dgiwg.org/FAD/fdd/view?i=111365</v>
      </c>
      <c r="J483" s="13" t="s">
        <v>3889</v>
      </c>
      <c r="K483" s="172"/>
      <c r="L483" s="172"/>
      <c r="BQ483" s="82" t="s">
        <v>1790</v>
      </c>
    </row>
    <row r="484" spans="1:85" ht="25.5" x14ac:dyDescent="0.2">
      <c r="A484" s="176" t="str">
        <f t="shared" si="7"/>
        <v>LocalMagneticAnomaly</v>
      </c>
      <c r="B484" s="11" t="s">
        <v>3895</v>
      </c>
      <c r="C484" s="173"/>
      <c r="D484" s="22" t="s">
        <v>3896</v>
      </c>
      <c r="E484" s="15" t="s">
        <v>3897</v>
      </c>
      <c r="F484" s="174"/>
      <c r="G484" s="15" t="s">
        <v>3898</v>
      </c>
      <c r="H484" s="37">
        <v>100570</v>
      </c>
      <c r="I484" s="25" t="str">
        <f>CONCATENATE(Cover!$D$6,"fdd/view?i=",H484)</f>
        <v>https://www.dgiwg.org/FAD/fdd/view?i=100570</v>
      </c>
      <c r="J484" s="13" t="s">
        <v>3894</v>
      </c>
      <c r="K484" s="172"/>
      <c r="L484" s="172"/>
      <c r="BS484" s="82" t="s">
        <v>1790</v>
      </c>
    </row>
    <row r="485" spans="1:85" ht="89.25" x14ac:dyDescent="0.2">
      <c r="A485" s="176" t="str">
        <f t="shared" si="7"/>
        <v>LocalizerDirectionalAid</v>
      </c>
      <c r="B485" s="11" t="s">
        <v>3900</v>
      </c>
      <c r="C485" s="173"/>
      <c r="D485" s="22" t="s">
        <v>3901</v>
      </c>
      <c r="E485" s="15" t="s">
        <v>3902</v>
      </c>
      <c r="F485" s="15" t="s">
        <v>3903</v>
      </c>
      <c r="G485" s="15" t="s">
        <v>3904</v>
      </c>
      <c r="H485" s="37">
        <v>119557</v>
      </c>
      <c r="I485" s="25" t="str">
        <f>CONCATENATE(Cover!$D$6,"fdd/view?i=",H485)</f>
        <v>https://www.dgiwg.org/FAD/fdd/view?i=119557</v>
      </c>
      <c r="J485" s="13" t="s">
        <v>3899</v>
      </c>
      <c r="K485" s="172"/>
      <c r="L485" s="172"/>
      <c r="AT485" s="82" t="s">
        <v>1790</v>
      </c>
      <c r="CG485" s="83" t="s">
        <v>1790</v>
      </c>
    </row>
    <row r="486" spans="1:85" ht="25.5" x14ac:dyDescent="0.2">
      <c r="A486" s="176" t="str">
        <f t="shared" si="7"/>
        <v>Lock</v>
      </c>
      <c r="B486" s="11" t="s">
        <v>3906</v>
      </c>
      <c r="C486" s="173"/>
      <c r="D486" s="22" t="s">
        <v>3905</v>
      </c>
      <c r="E486" s="15" t="s">
        <v>3907</v>
      </c>
      <c r="F486" s="174"/>
      <c r="G486" s="174"/>
      <c r="H486" s="37">
        <v>100369</v>
      </c>
      <c r="I486" s="25" t="str">
        <f>CONCATENATE(Cover!$D$6,"fdd/view?i=",H486)</f>
        <v>https://www.dgiwg.org/FAD/fdd/view?i=100369</v>
      </c>
      <c r="J486" s="13" t="s">
        <v>3905</v>
      </c>
      <c r="K486" s="172"/>
      <c r="L486" s="172"/>
      <c r="AS486" s="82" t="s">
        <v>1790</v>
      </c>
      <c r="BA486" s="83" t="s">
        <v>1790</v>
      </c>
    </row>
    <row r="487" spans="1:85" x14ac:dyDescent="0.2">
      <c r="A487" s="176" t="str">
        <f t="shared" si="7"/>
        <v>LockBasin</v>
      </c>
      <c r="B487" s="11" t="s">
        <v>3909</v>
      </c>
      <c r="C487" s="173"/>
      <c r="D487" s="22" t="s">
        <v>3910</v>
      </c>
      <c r="E487" s="15" t="s">
        <v>3911</v>
      </c>
      <c r="F487" s="174"/>
      <c r="G487" s="174"/>
      <c r="H487" s="37">
        <v>100370</v>
      </c>
      <c r="I487" s="25" t="str">
        <f>CONCATENATE(Cover!$D$6,"fdd/view?i=",H487)</f>
        <v>https://www.dgiwg.org/FAD/fdd/view?i=100370</v>
      </c>
      <c r="J487" s="13" t="s">
        <v>3908</v>
      </c>
      <c r="K487" s="172"/>
      <c r="L487" s="172"/>
      <c r="AS487" s="82" t="s">
        <v>1790</v>
      </c>
      <c r="BA487" s="83" t="s">
        <v>1790</v>
      </c>
    </row>
    <row r="488" spans="1:85" x14ac:dyDescent="0.2">
      <c r="A488" s="176" t="str">
        <f t="shared" si="7"/>
        <v>LockGate</v>
      </c>
      <c r="B488" s="11" t="s">
        <v>3913</v>
      </c>
      <c r="C488" s="173"/>
      <c r="D488" s="22" t="s">
        <v>3914</v>
      </c>
      <c r="E488" s="15" t="s">
        <v>3915</v>
      </c>
      <c r="F488" s="174"/>
      <c r="G488" s="174"/>
      <c r="H488" s="37">
        <v>101606</v>
      </c>
      <c r="I488" s="25" t="str">
        <f>CONCATENATE(Cover!$D$6,"fdd/view?i=",H488)</f>
        <v>https://www.dgiwg.org/FAD/fdd/view?i=101606</v>
      </c>
      <c r="J488" s="13" t="s">
        <v>3912</v>
      </c>
      <c r="K488" s="172"/>
      <c r="L488" s="172"/>
      <c r="AS488" s="82" t="s">
        <v>1790</v>
      </c>
      <c r="BA488" s="83" t="s">
        <v>1790</v>
      </c>
    </row>
    <row r="489" spans="1:85" ht="25.5" x14ac:dyDescent="0.2">
      <c r="A489" s="176" t="str">
        <f t="shared" si="7"/>
        <v>LockWall</v>
      </c>
      <c r="B489" s="11" t="s">
        <v>3917</v>
      </c>
      <c r="C489" s="173"/>
      <c r="D489" s="22" t="s">
        <v>3918</v>
      </c>
      <c r="E489" s="15" t="s">
        <v>3919</v>
      </c>
      <c r="F489" s="174"/>
      <c r="G489" s="174"/>
      <c r="H489" s="37">
        <v>101861</v>
      </c>
      <c r="I489" s="25" t="str">
        <f>CONCATENATE(Cover!$D$6,"fdd/view?i=",H489)</f>
        <v>https://www.dgiwg.org/FAD/fdd/view?i=101861</v>
      </c>
      <c r="J489" s="13" t="s">
        <v>3916</v>
      </c>
      <c r="K489" s="172"/>
      <c r="L489" s="172"/>
      <c r="AS489" s="82" t="s">
        <v>1790</v>
      </c>
      <c r="BA489" s="83" t="s">
        <v>1790</v>
      </c>
    </row>
    <row r="490" spans="1:85" x14ac:dyDescent="0.2">
      <c r="A490" s="176" t="str">
        <f t="shared" si="7"/>
        <v>LogBoom</v>
      </c>
      <c r="B490" s="11" t="s">
        <v>3921</v>
      </c>
      <c r="C490" s="173"/>
      <c r="D490" s="22" t="s">
        <v>3922</v>
      </c>
      <c r="E490" s="15" t="s">
        <v>3923</v>
      </c>
      <c r="F490" s="174"/>
      <c r="G490" s="174"/>
      <c r="H490" s="37">
        <v>101258</v>
      </c>
      <c r="I490" s="25" t="str">
        <f>CONCATENATE(Cover!$D$6,"fdd/view?i=",H490)</f>
        <v>https://www.dgiwg.org/FAD/fdd/view?i=101258</v>
      </c>
      <c r="J490" s="13" t="s">
        <v>3920</v>
      </c>
      <c r="K490" s="172"/>
      <c r="L490" s="172"/>
      <c r="BD490" s="83" t="s">
        <v>1790</v>
      </c>
      <c r="BG490" s="83" t="s">
        <v>1790</v>
      </c>
    </row>
    <row r="491" spans="1:85" ht="25.5" x14ac:dyDescent="0.2">
      <c r="A491" s="176" t="str">
        <f t="shared" si="7"/>
        <v>LogRamp</v>
      </c>
      <c r="B491" s="11" t="s">
        <v>3925</v>
      </c>
      <c r="C491" s="173"/>
      <c r="D491" s="22" t="s">
        <v>3926</v>
      </c>
      <c r="E491" s="15" t="s">
        <v>3927</v>
      </c>
      <c r="F491" s="174"/>
      <c r="G491" s="174"/>
      <c r="H491" s="37">
        <v>100255</v>
      </c>
      <c r="I491" s="25" t="str">
        <f>CONCATENATE(Cover!$D$6,"fdd/view?i=",H491)</f>
        <v>https://www.dgiwg.org/FAD/fdd/view?i=100255</v>
      </c>
      <c r="J491" s="13" t="s">
        <v>3924</v>
      </c>
      <c r="K491" s="172"/>
      <c r="L491" s="172"/>
      <c r="AS491" s="82" t="s">
        <v>1790</v>
      </c>
      <c r="BA491" s="83" t="s">
        <v>1790</v>
      </c>
    </row>
    <row r="492" spans="1:85" x14ac:dyDescent="0.2">
      <c r="A492" s="176" t="str">
        <f t="shared" si="7"/>
        <v>LoggingSite</v>
      </c>
      <c r="B492" s="11" t="s">
        <v>3929</v>
      </c>
      <c r="C492" s="173"/>
      <c r="D492" s="22" t="s">
        <v>3930</v>
      </c>
      <c r="E492" s="15" t="s">
        <v>3931</v>
      </c>
      <c r="F492" s="174"/>
      <c r="G492" s="174"/>
      <c r="H492" s="37">
        <v>100451</v>
      </c>
      <c r="I492" s="25" t="str">
        <f>CONCATENATE(Cover!$D$6,"fdd/view?i=",H492)</f>
        <v>https://www.dgiwg.org/FAD/fdd/view?i=100451</v>
      </c>
      <c r="J492" s="13" t="s">
        <v>3928</v>
      </c>
      <c r="K492" s="172"/>
      <c r="L492" s="172"/>
      <c r="AC492" s="82" t="s">
        <v>1790</v>
      </c>
      <c r="BW492" s="83" t="s">
        <v>1790</v>
      </c>
    </row>
    <row r="493" spans="1:85" ht="38.25" x14ac:dyDescent="0.2">
      <c r="A493" s="176" t="str">
        <f t="shared" si="7"/>
        <v>Lookout</v>
      </c>
      <c r="B493" s="11" t="s">
        <v>3933</v>
      </c>
      <c r="C493" s="173"/>
      <c r="D493" s="22" t="s">
        <v>3932</v>
      </c>
      <c r="E493" s="15" t="s">
        <v>3934</v>
      </c>
      <c r="F493" s="15" t="s">
        <v>3935</v>
      </c>
      <c r="G493" s="174"/>
      <c r="H493" s="37">
        <v>100065</v>
      </c>
      <c r="I493" s="25" t="str">
        <f>CONCATENATE(Cover!$D$6,"fdd/view?i=",H493)</f>
        <v>https://www.dgiwg.org/FAD/fdd/view?i=100065</v>
      </c>
      <c r="J493" s="13" t="s">
        <v>3932</v>
      </c>
      <c r="K493" s="172"/>
      <c r="L493" s="172"/>
      <c r="AL493" s="83" t="s">
        <v>1790</v>
      </c>
    </row>
    <row r="494" spans="1:85" ht="51" x14ac:dyDescent="0.2">
      <c r="A494" s="176" t="str">
        <f t="shared" si="7"/>
        <v>LowAirManeuverPylon</v>
      </c>
      <c r="B494" s="11" t="s">
        <v>3937</v>
      </c>
      <c r="C494" s="173"/>
      <c r="D494" s="22" t="s">
        <v>3938</v>
      </c>
      <c r="E494" s="15" t="s">
        <v>3939</v>
      </c>
      <c r="F494" s="15" t="s">
        <v>3940</v>
      </c>
      <c r="G494" s="174"/>
      <c r="H494" s="37">
        <v>114375</v>
      </c>
      <c r="I494" s="25" t="str">
        <f>CONCATENATE(Cover!$D$6,"fdd/view?i=",H494)</f>
        <v>https://www.dgiwg.org/FAD/fdd/view?i=114375</v>
      </c>
      <c r="J494" s="13" t="s">
        <v>3936</v>
      </c>
      <c r="K494" s="172"/>
      <c r="L494" s="172"/>
      <c r="AT494" s="82" t="s">
        <v>1790</v>
      </c>
      <c r="CE494" s="87" t="s">
        <v>1790</v>
      </c>
      <c r="CG494" s="83" t="s">
        <v>1790</v>
      </c>
    </row>
    <row r="495" spans="1:85" ht="25.5" x14ac:dyDescent="0.2">
      <c r="A495" s="176" t="str">
        <f t="shared" si="7"/>
        <v>LowWaterLine</v>
      </c>
      <c r="B495" s="11" t="s">
        <v>3942</v>
      </c>
      <c r="C495" s="173"/>
      <c r="D495" s="22" t="s">
        <v>3943</v>
      </c>
      <c r="E495" s="15" t="s">
        <v>3944</v>
      </c>
      <c r="F495" s="174"/>
      <c r="G495" s="15" t="s">
        <v>3945</v>
      </c>
      <c r="H495" s="37">
        <v>100314</v>
      </c>
      <c r="I495" s="25" t="str">
        <f>CONCATENATE(Cover!$D$6,"fdd/view?i=",H495)</f>
        <v>https://www.dgiwg.org/FAD/fdd/view?i=100314</v>
      </c>
      <c r="J495" s="13" t="s">
        <v>3941</v>
      </c>
      <c r="K495" s="172"/>
      <c r="L495" s="172"/>
      <c r="AZ495" s="87" t="s">
        <v>1790</v>
      </c>
      <c r="BE495" s="83" t="s">
        <v>1790</v>
      </c>
    </row>
    <row r="496" spans="1:85" ht="25.5" x14ac:dyDescent="0.2">
      <c r="A496" s="176" t="str">
        <f t="shared" si="7"/>
        <v>MagneticPole</v>
      </c>
      <c r="B496" s="11" t="s">
        <v>3947</v>
      </c>
      <c r="C496" s="173"/>
      <c r="D496" s="22" t="s">
        <v>3948</v>
      </c>
      <c r="E496" s="15" t="s">
        <v>3949</v>
      </c>
      <c r="F496" s="174"/>
      <c r="G496" s="174"/>
      <c r="H496" s="37">
        <v>100572</v>
      </c>
      <c r="I496" s="25" t="str">
        <f>CONCATENATE(Cover!$D$6,"fdd/view?i=",H496)</f>
        <v>https://www.dgiwg.org/FAD/fdd/view?i=100572</v>
      </c>
      <c r="J496" s="13" t="s">
        <v>3946</v>
      </c>
      <c r="K496" s="172"/>
      <c r="L496" s="172"/>
      <c r="BS496" s="82" t="s">
        <v>1790</v>
      </c>
    </row>
    <row r="497" spans="1:107" x14ac:dyDescent="0.2">
      <c r="A497" s="176" t="str">
        <f t="shared" si="7"/>
        <v>MagneticStation</v>
      </c>
      <c r="B497" s="11" t="s">
        <v>3951</v>
      </c>
      <c r="C497" s="173"/>
      <c r="D497" s="22" t="s">
        <v>3952</v>
      </c>
      <c r="E497" s="15" t="s">
        <v>3953</v>
      </c>
      <c r="F497" s="174"/>
      <c r="G497" s="174"/>
      <c r="H497" s="37">
        <v>100390</v>
      </c>
      <c r="I497" s="25" t="str">
        <f>CONCATENATE(Cover!$D$6,"fdd/view?i=",H497)</f>
        <v>https://www.dgiwg.org/FAD/fdd/view?i=100390</v>
      </c>
      <c r="J497" s="13" t="s">
        <v>3950</v>
      </c>
      <c r="K497" s="172"/>
      <c r="L497" s="172"/>
      <c r="AN497" s="83" t="s">
        <v>1790</v>
      </c>
      <c r="AS497" s="82" t="s">
        <v>1790</v>
      </c>
      <c r="BF497" s="83" t="s">
        <v>1790</v>
      </c>
    </row>
    <row r="498" spans="1:107" ht="25.5" x14ac:dyDescent="0.2">
      <c r="A498" s="176" t="str">
        <f t="shared" si="7"/>
        <v>MainSupplyRoute</v>
      </c>
      <c r="B498" s="11" t="s">
        <v>3955</v>
      </c>
      <c r="C498" s="173"/>
      <c r="D498" s="22" t="s">
        <v>3956</v>
      </c>
      <c r="E498" s="15" t="s">
        <v>3957</v>
      </c>
      <c r="F498" s="15" t="s">
        <v>3958</v>
      </c>
      <c r="G498" s="174"/>
      <c r="H498" s="37">
        <v>119425</v>
      </c>
      <c r="I498" s="25" t="str">
        <f>CONCATENATE(Cover!$D$6,"fdd/view?i=",H498)</f>
        <v>https://www.dgiwg.org/FAD/fdd/view?i=119425</v>
      </c>
      <c r="J498" s="13" t="s">
        <v>3954</v>
      </c>
      <c r="K498" s="172"/>
      <c r="L498" s="172"/>
      <c r="AQ498" s="82" t="s">
        <v>1790</v>
      </c>
      <c r="CJ498" s="81" t="s">
        <v>1790</v>
      </c>
    </row>
    <row r="499" spans="1:107" ht="25.5" x14ac:dyDescent="0.2">
      <c r="A499" s="176" t="str">
        <f t="shared" si="7"/>
        <v>MangroveSwamp</v>
      </c>
      <c r="B499" s="11" t="s">
        <v>3960</v>
      </c>
      <c r="C499" s="173"/>
      <c r="D499" s="22" t="s">
        <v>3961</v>
      </c>
      <c r="E499" s="15" t="s">
        <v>3962</v>
      </c>
      <c r="F499" s="174"/>
      <c r="G499" s="174"/>
      <c r="H499" s="37">
        <v>110677</v>
      </c>
      <c r="I499" s="25" t="str">
        <f>CONCATENATE(Cover!$D$6,"fdd/view?i=",H499)</f>
        <v>https://www.dgiwg.org/FAD/fdd/view?i=110677</v>
      </c>
      <c r="J499" s="13" t="s">
        <v>3959</v>
      </c>
      <c r="K499" s="172"/>
      <c r="L499" s="172"/>
      <c r="BX499" s="83" t="s">
        <v>1790</v>
      </c>
    </row>
    <row r="500" spans="1:107" ht="165.75" x14ac:dyDescent="0.2">
      <c r="A500" s="176" t="str">
        <f t="shared" si="7"/>
        <v>ManorHouse</v>
      </c>
      <c r="B500" s="11" t="s">
        <v>3964</v>
      </c>
      <c r="C500" s="173"/>
      <c r="D500" s="22" t="s">
        <v>3965</v>
      </c>
      <c r="E500" s="15" t="s">
        <v>3966</v>
      </c>
      <c r="F500" s="15" t="s">
        <v>3967</v>
      </c>
      <c r="G500" s="15" t="s">
        <v>3968</v>
      </c>
      <c r="H500" s="37">
        <v>119969</v>
      </c>
      <c r="I500" s="25" t="str">
        <f>CONCATENATE(Cover!$D$6,"fdd/view?i=",H500)</f>
        <v>https://www.dgiwg.org/FAD/fdd/view?i=119969</v>
      </c>
      <c r="J500" s="13" t="s">
        <v>3963</v>
      </c>
      <c r="K500" s="172"/>
      <c r="L500" s="172"/>
      <c r="AI500" s="87" t="s">
        <v>1790</v>
      </c>
      <c r="AJ500" s="83" t="s">
        <v>1790</v>
      </c>
    </row>
    <row r="501" spans="1:107" ht="114.75" x14ac:dyDescent="0.2">
      <c r="A501" s="176" t="str">
        <f t="shared" si="7"/>
        <v>ManufacturedHomePark</v>
      </c>
      <c r="B501" s="11" t="s">
        <v>3970</v>
      </c>
      <c r="C501" s="173"/>
      <c r="D501" s="22" t="s">
        <v>3971</v>
      </c>
      <c r="E501" s="15" t="s">
        <v>3972</v>
      </c>
      <c r="F501" s="15" t="s">
        <v>3973</v>
      </c>
      <c r="G501" s="15" t="s">
        <v>3974</v>
      </c>
      <c r="H501" s="37">
        <v>117986</v>
      </c>
      <c r="I501" s="25" t="str">
        <f>CONCATENATE(Cover!$D$6,"fdd/view?i=",H501)</f>
        <v>https://www.dgiwg.org/FAD/fdd/view?i=117986</v>
      </c>
      <c r="J501" s="13" t="s">
        <v>3969</v>
      </c>
      <c r="K501" s="172"/>
      <c r="L501" s="172"/>
      <c r="AI501" s="87" t="s">
        <v>1790</v>
      </c>
      <c r="AL501" s="83" t="s">
        <v>1790</v>
      </c>
    </row>
    <row r="502" spans="1:107" ht="63.75" x14ac:dyDescent="0.2">
      <c r="A502" s="176" t="str">
        <f t="shared" si="7"/>
        <v>ManufacturingInfo</v>
      </c>
      <c r="B502" s="11" t="s">
        <v>3976</v>
      </c>
      <c r="C502" s="173"/>
      <c r="D502" s="22" t="s">
        <v>3977</v>
      </c>
      <c r="E502" s="15" t="s">
        <v>3978</v>
      </c>
      <c r="F502" s="15" t="s">
        <v>3979</v>
      </c>
      <c r="G502" s="174"/>
      <c r="H502" s="37">
        <v>114198</v>
      </c>
      <c r="I502" s="25" t="str">
        <f>CONCATENATE(Cover!$D$6,"fdd/view?i=",H502)</f>
        <v>https://www.dgiwg.org/FAD/fdd/view?i=114198</v>
      </c>
      <c r="J502" s="13" t="s">
        <v>3975</v>
      </c>
      <c r="K502" s="172"/>
      <c r="L502" s="172"/>
      <c r="DC502" s="87" t="s">
        <v>1790</v>
      </c>
    </row>
    <row r="503" spans="1:107" ht="51" x14ac:dyDescent="0.2">
      <c r="A503" s="176" t="str">
        <f t="shared" si="7"/>
        <v>MaricultureSite</v>
      </c>
      <c r="B503" s="11" t="s">
        <v>3981</v>
      </c>
      <c r="C503" s="173"/>
      <c r="D503" s="22" t="s">
        <v>3982</v>
      </c>
      <c r="E503" s="15" t="s">
        <v>3983</v>
      </c>
      <c r="F503" s="174"/>
      <c r="G503" s="174"/>
      <c r="H503" s="37">
        <v>114168</v>
      </c>
      <c r="I503" s="25" t="str">
        <f>CONCATENATE(Cover!$D$6,"fdd/view?i=",H503)</f>
        <v>https://www.dgiwg.org/FAD/fdd/view?i=114168</v>
      </c>
      <c r="J503" s="13" t="s">
        <v>3980</v>
      </c>
      <c r="K503" s="172"/>
      <c r="L503" s="172"/>
      <c r="AC503" s="82" t="s">
        <v>1790</v>
      </c>
      <c r="AS503" s="82" t="s">
        <v>1790</v>
      </c>
      <c r="BG503" s="83" t="s">
        <v>1790</v>
      </c>
      <c r="BI503" s="83" t="s">
        <v>1790</v>
      </c>
      <c r="CA503" s="83" t="s">
        <v>1790</v>
      </c>
    </row>
    <row r="504" spans="1:107" x14ac:dyDescent="0.2">
      <c r="A504" s="176" t="str">
        <f t="shared" si="7"/>
        <v>MarineDataCollectDevice</v>
      </c>
      <c r="B504" s="11" t="s">
        <v>3985</v>
      </c>
      <c r="C504" s="173"/>
      <c r="D504" s="22" t="s">
        <v>3986</v>
      </c>
      <c r="E504" s="15" t="s">
        <v>3987</v>
      </c>
      <c r="F504" s="174"/>
      <c r="G504" s="174"/>
      <c r="H504" s="37">
        <v>100391</v>
      </c>
      <c r="I504" s="25" t="str">
        <f>CONCATENATE(Cover!$D$6,"fdd/view?i=",H504)</f>
        <v>https://www.dgiwg.org/FAD/fdd/view?i=100391</v>
      </c>
      <c r="J504" s="13" t="s">
        <v>3984</v>
      </c>
      <c r="K504" s="172"/>
      <c r="L504" s="172"/>
      <c r="AN504" s="83" t="s">
        <v>1790</v>
      </c>
      <c r="AS504" s="82" t="s">
        <v>1790</v>
      </c>
      <c r="BF504" s="83" t="s">
        <v>1790</v>
      </c>
    </row>
    <row r="505" spans="1:107" ht="25.5" x14ac:dyDescent="0.2">
      <c r="A505" s="176" t="str">
        <f t="shared" si="7"/>
        <v>MarineObstruction</v>
      </c>
      <c r="B505" s="11" t="s">
        <v>3989</v>
      </c>
      <c r="C505" s="173"/>
      <c r="D505" s="22" t="s">
        <v>3990</v>
      </c>
      <c r="E505" s="15" t="s">
        <v>3991</v>
      </c>
      <c r="F505" s="15" t="s">
        <v>3992</v>
      </c>
      <c r="G505" s="174"/>
      <c r="H505" s="37">
        <v>100289</v>
      </c>
      <c r="I505" s="25" t="str">
        <f>CONCATENATE(Cover!$D$6,"fdd/view?i=",H505)</f>
        <v>https://www.dgiwg.org/FAD/fdd/view?i=100289</v>
      </c>
      <c r="J505" s="13" t="s">
        <v>3988</v>
      </c>
      <c r="K505" s="172"/>
      <c r="L505" s="172"/>
      <c r="BG505" s="83" t="s">
        <v>1790</v>
      </c>
    </row>
    <row r="506" spans="1:107" ht="38.25" x14ac:dyDescent="0.2">
      <c r="A506" s="176" t="str">
        <f t="shared" si="7"/>
        <v>MarineRamp</v>
      </c>
      <c r="B506" s="11" t="s">
        <v>3994</v>
      </c>
      <c r="C506" s="173"/>
      <c r="D506" s="22" t="s">
        <v>3995</v>
      </c>
      <c r="E506" s="15" t="s">
        <v>3996</v>
      </c>
      <c r="F506" s="15" t="s">
        <v>3997</v>
      </c>
      <c r="G506" s="174"/>
      <c r="H506" s="37">
        <v>100254</v>
      </c>
      <c r="I506" s="25" t="str">
        <f>CONCATENATE(Cover!$D$6,"fdd/view?i=",H506)</f>
        <v>https://www.dgiwg.org/FAD/fdd/view?i=100254</v>
      </c>
      <c r="J506" s="13" t="s">
        <v>3993</v>
      </c>
      <c r="K506" s="172"/>
      <c r="L506" s="172"/>
      <c r="AS506" s="82" t="s">
        <v>1790</v>
      </c>
      <c r="BA506" s="83" t="s">
        <v>1790</v>
      </c>
    </row>
    <row r="507" spans="1:107" x14ac:dyDescent="0.2">
      <c r="A507" s="176" t="str">
        <f t="shared" si="7"/>
        <v>MarineRangeCentreLine</v>
      </c>
      <c r="B507" s="11" t="s">
        <v>3999</v>
      </c>
      <c r="C507" s="173"/>
      <c r="D507" s="22" t="s">
        <v>4000</v>
      </c>
      <c r="E507" s="15" t="s">
        <v>4001</v>
      </c>
      <c r="F507" s="15" t="s">
        <v>4002</v>
      </c>
      <c r="G507" s="174"/>
      <c r="H507" s="37">
        <v>100482</v>
      </c>
      <c r="I507" s="25" t="str">
        <f>CONCATENATE(Cover!$D$6,"fdd/view?i=",H507)</f>
        <v>https://www.dgiwg.org/FAD/fdd/view?i=100482</v>
      </c>
      <c r="J507" s="13" t="s">
        <v>3998</v>
      </c>
      <c r="K507" s="172"/>
      <c r="L507" s="172"/>
      <c r="AS507" s="82" t="s">
        <v>1790</v>
      </c>
      <c r="BF507" s="83" t="s">
        <v>1790</v>
      </c>
    </row>
    <row r="508" spans="1:107" ht="38.25" x14ac:dyDescent="0.2">
      <c r="A508" s="176" t="str">
        <f t="shared" si="7"/>
        <v>MarineRevetment</v>
      </c>
      <c r="B508" s="11" t="s">
        <v>4004</v>
      </c>
      <c r="C508" s="173"/>
      <c r="D508" s="22" t="s">
        <v>4005</v>
      </c>
      <c r="E508" s="15" t="s">
        <v>4006</v>
      </c>
      <c r="F508" s="174"/>
      <c r="G508" s="174"/>
      <c r="H508" s="37">
        <v>100257</v>
      </c>
      <c r="I508" s="25" t="str">
        <f>CONCATENATE(Cover!$D$6,"fdd/view?i=",H508)</f>
        <v>https://www.dgiwg.org/FAD/fdd/view?i=100257</v>
      </c>
      <c r="J508" s="13" t="s">
        <v>4003</v>
      </c>
      <c r="K508" s="172"/>
      <c r="L508" s="172"/>
      <c r="AS508" s="82" t="s">
        <v>1790</v>
      </c>
      <c r="BA508" s="83" t="s">
        <v>1790</v>
      </c>
    </row>
    <row r="509" spans="1:107" ht="25.5" x14ac:dyDescent="0.2">
      <c r="A509" s="176" t="str">
        <f t="shared" si="7"/>
        <v>MaritimeArea</v>
      </c>
      <c r="B509" s="11" t="s">
        <v>4008</v>
      </c>
      <c r="C509" s="173"/>
      <c r="D509" s="22" t="s">
        <v>4009</v>
      </c>
      <c r="E509" s="15" t="s">
        <v>4010</v>
      </c>
      <c r="F509" s="174"/>
      <c r="G509" s="174"/>
      <c r="H509" s="37">
        <v>100475</v>
      </c>
      <c r="I509" s="25" t="str">
        <f>CONCATENATE(Cover!$D$6,"fdd/view?i=",H509)</f>
        <v>https://www.dgiwg.org/FAD/fdd/view?i=100475</v>
      </c>
      <c r="J509" s="13" t="s">
        <v>4007</v>
      </c>
      <c r="K509" s="172"/>
      <c r="L509" s="172"/>
      <c r="AS509" s="82" t="s">
        <v>1790</v>
      </c>
      <c r="BI509" s="83" t="s">
        <v>1790</v>
      </c>
      <c r="CK509" s="82" t="s">
        <v>1790</v>
      </c>
    </row>
    <row r="510" spans="1:107" ht="51" x14ac:dyDescent="0.2">
      <c r="A510" s="176" t="str">
        <f t="shared" si="7"/>
        <v>MaritimeCautionArea</v>
      </c>
      <c r="B510" s="11" t="s">
        <v>4012</v>
      </c>
      <c r="C510" s="173"/>
      <c r="D510" s="22" t="s">
        <v>4013</v>
      </c>
      <c r="E510" s="15" t="s">
        <v>4014</v>
      </c>
      <c r="F510" s="15" t="s">
        <v>4015</v>
      </c>
      <c r="G510" s="174"/>
      <c r="H510" s="37">
        <v>111103</v>
      </c>
      <c r="I510" s="25" t="str">
        <f>CONCATENATE(Cover!$D$6,"fdd/view?i=",H510)</f>
        <v>https://www.dgiwg.org/FAD/fdd/view?i=111103</v>
      </c>
      <c r="J510" s="13" t="s">
        <v>4011</v>
      </c>
      <c r="K510" s="172"/>
      <c r="L510" s="172"/>
      <c r="AS510" s="82" t="s">
        <v>1790</v>
      </c>
      <c r="BF510" s="83" t="s">
        <v>1790</v>
      </c>
      <c r="BI510" s="83" t="s">
        <v>1790</v>
      </c>
    </row>
    <row r="511" spans="1:107" ht="25.5" x14ac:dyDescent="0.2">
      <c r="A511" s="176" t="str">
        <f t="shared" si="7"/>
        <v>MaritimeLimit</v>
      </c>
      <c r="B511" s="11" t="s">
        <v>4017</v>
      </c>
      <c r="C511" s="173"/>
      <c r="D511" s="22" t="s">
        <v>4018</v>
      </c>
      <c r="E511" s="15" t="s">
        <v>4019</v>
      </c>
      <c r="F511" s="174"/>
      <c r="G511" s="174"/>
      <c r="H511" s="37">
        <v>100474</v>
      </c>
      <c r="I511" s="25" t="str">
        <f>CONCATENATE(Cover!$D$6,"fdd/view?i=",H511)</f>
        <v>https://www.dgiwg.org/FAD/fdd/view?i=100474</v>
      </c>
      <c r="J511" s="13" t="s">
        <v>4016</v>
      </c>
      <c r="K511" s="172"/>
      <c r="L511" s="172"/>
      <c r="AS511" s="82" t="s">
        <v>1790</v>
      </c>
      <c r="BI511" s="83" t="s">
        <v>1790</v>
      </c>
      <c r="CC511" s="81" t="s">
        <v>1790</v>
      </c>
      <c r="CK511" s="82" t="s">
        <v>1790</v>
      </c>
    </row>
    <row r="512" spans="1:107" ht="25.5" x14ac:dyDescent="0.2">
      <c r="A512" s="176" t="str">
        <f t="shared" si="7"/>
        <v>MaritimeNavigationBeacon</v>
      </c>
      <c r="B512" s="11" t="s">
        <v>4021</v>
      </c>
      <c r="C512" s="173"/>
      <c r="D512" s="22" t="s">
        <v>4022</v>
      </c>
      <c r="E512" s="15" t="s">
        <v>4023</v>
      </c>
      <c r="F512" s="174"/>
      <c r="G512" s="174"/>
      <c r="H512" s="37">
        <v>100261</v>
      </c>
      <c r="I512" s="25" t="str">
        <f>CONCATENATE(Cover!$D$6,"fdd/view?i=",H512)</f>
        <v>https://www.dgiwg.org/FAD/fdd/view?i=100261</v>
      </c>
      <c r="J512" s="13" t="s">
        <v>4020</v>
      </c>
      <c r="K512" s="172"/>
      <c r="L512" s="172"/>
      <c r="AS512" s="82" t="s">
        <v>1790</v>
      </c>
      <c r="BF512" s="83" t="s">
        <v>1790</v>
      </c>
    </row>
    <row r="513" spans="1:85" ht="38.25" x14ac:dyDescent="0.2">
      <c r="A513" s="176" t="str">
        <f t="shared" si="7"/>
        <v>MaritimeNavigationLight</v>
      </c>
      <c r="B513" s="11" t="s">
        <v>4025</v>
      </c>
      <c r="C513" s="173"/>
      <c r="D513" s="22" t="s">
        <v>4026</v>
      </c>
      <c r="E513" s="15" t="s">
        <v>4027</v>
      </c>
      <c r="F513" s="15" t="s">
        <v>4028</v>
      </c>
      <c r="G513" s="174"/>
      <c r="H513" s="37">
        <v>100268</v>
      </c>
      <c r="I513" s="25" t="str">
        <f>CONCATENATE(Cover!$D$6,"fdd/view?i=",H513)</f>
        <v>https://www.dgiwg.org/FAD/fdd/view?i=100268</v>
      </c>
      <c r="J513" s="13" t="s">
        <v>4024</v>
      </c>
      <c r="K513" s="172"/>
      <c r="L513" s="172"/>
      <c r="AS513" s="82" t="s">
        <v>1790</v>
      </c>
      <c r="BF513" s="83" t="s">
        <v>1790</v>
      </c>
    </row>
    <row r="514" spans="1:85" ht="25.5" x14ac:dyDescent="0.2">
      <c r="A514" s="176" t="str">
        <f t="shared" si="7"/>
        <v>MaritimeNavLightSupport</v>
      </c>
      <c r="B514" s="11" t="s">
        <v>4030</v>
      </c>
      <c r="C514" s="173"/>
      <c r="D514" s="22" t="s">
        <v>4031</v>
      </c>
      <c r="E514" s="15" t="s">
        <v>4032</v>
      </c>
      <c r="F514" s="15" t="s">
        <v>4033</v>
      </c>
      <c r="G514" s="174"/>
      <c r="H514" s="37">
        <v>118124</v>
      </c>
      <c r="I514" s="25" t="str">
        <f>CONCATENATE(Cover!$D$6,"fdd/view?i=",H514)</f>
        <v>https://www.dgiwg.org/FAD/fdd/view?i=118124</v>
      </c>
      <c r="J514" s="13" t="s">
        <v>4029</v>
      </c>
      <c r="K514" s="172"/>
      <c r="L514" s="172"/>
      <c r="AS514" s="82" t="s">
        <v>1790</v>
      </c>
      <c r="AZ514" s="87" t="s">
        <v>1790</v>
      </c>
      <c r="BA514" s="83" t="s">
        <v>1790</v>
      </c>
      <c r="BF514" s="83" t="s">
        <v>1790</v>
      </c>
      <c r="BG514" s="83" t="s">
        <v>1790</v>
      </c>
    </row>
    <row r="515" spans="1:85" ht="25.5" x14ac:dyDescent="0.2">
      <c r="A515" s="176" t="str">
        <f t="shared" ref="A515:A578" si="8">HYPERLINK(I515,J515)</f>
        <v>Marker</v>
      </c>
      <c r="B515" s="11" t="s">
        <v>4035</v>
      </c>
      <c r="C515" s="173"/>
      <c r="D515" s="22" t="s">
        <v>4036</v>
      </c>
      <c r="E515" s="15" t="s">
        <v>4037</v>
      </c>
      <c r="F515" s="174"/>
      <c r="G515" s="174"/>
      <c r="H515" s="37">
        <v>100270</v>
      </c>
      <c r="I515" s="25" t="str">
        <f>CONCATENATE(Cover!$D$6,"fdd/view?i=",H515)</f>
        <v>https://www.dgiwg.org/FAD/fdd/view?i=100270</v>
      </c>
      <c r="J515" s="13" t="s">
        <v>4034</v>
      </c>
      <c r="K515" s="172"/>
      <c r="L515" s="172"/>
      <c r="AS515" s="82" t="s">
        <v>1790</v>
      </c>
      <c r="BF515" s="83" t="s">
        <v>1790</v>
      </c>
    </row>
    <row r="516" spans="1:85" ht="76.5" x14ac:dyDescent="0.2">
      <c r="A516" s="176" t="str">
        <f t="shared" si="8"/>
        <v xml:space="preserve">MaritimeNavRetroReflector </v>
      </c>
      <c r="B516" s="11" t="s">
        <v>4039</v>
      </c>
      <c r="C516" s="173"/>
      <c r="D516" s="22" t="s">
        <v>4040</v>
      </c>
      <c r="E516" s="15" t="s">
        <v>4041</v>
      </c>
      <c r="F516" s="15" t="s">
        <v>4042</v>
      </c>
      <c r="G516" s="174"/>
      <c r="H516" s="37">
        <v>119701</v>
      </c>
      <c r="I516" s="25" t="str">
        <f>CONCATENATE(Cover!$D$6,"fdd/view?i=",H516)</f>
        <v>https://www.dgiwg.org/FAD/fdd/view?i=119701</v>
      </c>
      <c r="J516" s="13" t="s">
        <v>4038</v>
      </c>
      <c r="K516" s="172"/>
      <c r="L516" s="172"/>
      <c r="AS516" s="82" t="s">
        <v>1790</v>
      </c>
      <c r="BF516" s="83" t="s">
        <v>1790</v>
      </c>
    </row>
    <row r="517" spans="1:85" ht="25.5" x14ac:dyDescent="0.2">
      <c r="A517" s="176" t="str">
        <f t="shared" si="8"/>
        <v>MaritimeNoticeBoard</v>
      </c>
      <c r="B517" s="11" t="s">
        <v>4044</v>
      </c>
      <c r="C517" s="173"/>
      <c r="D517" s="22" t="s">
        <v>4045</v>
      </c>
      <c r="E517" s="15" t="s">
        <v>4046</v>
      </c>
      <c r="F517" s="174"/>
      <c r="G517" s="174"/>
      <c r="H517" s="37">
        <v>117992</v>
      </c>
      <c r="I517" s="25" t="str">
        <f>CONCATENATE(Cover!$D$6,"fdd/view?i=",H517)</f>
        <v>https://www.dgiwg.org/FAD/fdd/view?i=117992</v>
      </c>
      <c r="J517" s="13" t="s">
        <v>4043</v>
      </c>
      <c r="K517" s="172"/>
      <c r="L517" s="172"/>
      <c r="AS517" s="82" t="s">
        <v>1790</v>
      </c>
      <c r="AZ517" s="87" t="s">
        <v>1790</v>
      </c>
      <c r="BA517" s="83" t="s">
        <v>1790</v>
      </c>
      <c r="BF517" s="83" t="s">
        <v>1790</v>
      </c>
      <c r="BI517" s="83" t="s">
        <v>1790</v>
      </c>
    </row>
    <row r="518" spans="1:85" ht="25.5" x14ac:dyDescent="0.2">
      <c r="A518" s="176" t="str">
        <f t="shared" si="8"/>
        <v>MaritimeRadarRefLine</v>
      </c>
      <c r="B518" s="11" t="s">
        <v>4048</v>
      </c>
      <c r="C518" s="173"/>
      <c r="D518" s="22" t="s">
        <v>4049</v>
      </c>
      <c r="E518" s="15" t="s">
        <v>4050</v>
      </c>
      <c r="F518" s="174"/>
      <c r="G518" s="15" t="s">
        <v>4051</v>
      </c>
      <c r="H518" s="37">
        <v>100483</v>
      </c>
      <c r="I518" s="25" t="str">
        <f>CONCATENATE(Cover!$D$6,"fdd/view?i=",H518)</f>
        <v>https://www.dgiwg.org/FAD/fdd/view?i=100483</v>
      </c>
      <c r="J518" s="13" t="s">
        <v>4047</v>
      </c>
      <c r="K518" s="172"/>
      <c r="L518" s="172"/>
      <c r="AS518" s="82" t="s">
        <v>1790</v>
      </c>
      <c r="BF518" s="83" t="s">
        <v>1790</v>
      </c>
    </row>
    <row r="519" spans="1:85" ht="25.5" x14ac:dyDescent="0.2">
      <c r="A519" s="176" t="str">
        <f t="shared" si="8"/>
        <v>MaritimeRadiobeacon</v>
      </c>
      <c r="B519" s="11" t="s">
        <v>4053</v>
      </c>
      <c r="C519" s="173"/>
      <c r="D519" s="22" t="s">
        <v>4054</v>
      </c>
      <c r="E519" s="15" t="s">
        <v>4055</v>
      </c>
      <c r="F519" s="174"/>
      <c r="G519" s="174"/>
      <c r="H519" s="37">
        <v>111440</v>
      </c>
      <c r="I519" s="25" t="str">
        <f>CONCATENATE(Cover!$D$6,"fdd/view?i=",H519)</f>
        <v>https://www.dgiwg.org/FAD/fdd/view?i=111440</v>
      </c>
      <c r="J519" s="13" t="s">
        <v>4052</v>
      </c>
      <c r="K519" s="172"/>
      <c r="L519" s="172"/>
      <c r="AS519" s="82" t="s">
        <v>1790</v>
      </c>
      <c r="BA519" s="83" t="s">
        <v>1790</v>
      </c>
    </row>
    <row r="520" spans="1:85" x14ac:dyDescent="0.2">
      <c r="A520" s="176" t="str">
        <f t="shared" si="8"/>
        <v>MaritimeRoute</v>
      </c>
      <c r="B520" s="11" t="s">
        <v>4057</v>
      </c>
      <c r="C520" s="173"/>
      <c r="D520" s="22" t="s">
        <v>4058</v>
      </c>
      <c r="E520" s="15" t="s">
        <v>4059</v>
      </c>
      <c r="F520" s="174"/>
      <c r="G520" s="174"/>
      <c r="H520" s="37">
        <v>100484</v>
      </c>
      <c r="I520" s="25" t="str">
        <f>CONCATENATE(Cover!$D$6,"fdd/view?i=",H520)</f>
        <v>https://www.dgiwg.org/FAD/fdd/view?i=100484</v>
      </c>
      <c r="J520" s="13" t="s">
        <v>4056</v>
      </c>
      <c r="K520" s="172"/>
      <c r="L520" s="172"/>
      <c r="AS520" s="82" t="s">
        <v>1790</v>
      </c>
      <c r="BF520" s="83" t="s">
        <v>1790</v>
      </c>
    </row>
    <row r="521" spans="1:85" x14ac:dyDescent="0.2">
      <c r="A521" s="176" t="str">
        <f t="shared" si="8"/>
        <v>MaritimeSignalStation</v>
      </c>
      <c r="B521" s="11" t="s">
        <v>4061</v>
      </c>
      <c r="C521" s="173"/>
      <c r="D521" s="22" t="s">
        <v>4062</v>
      </c>
      <c r="E521" s="15" t="s">
        <v>4063</v>
      </c>
      <c r="F521" s="174"/>
      <c r="G521" s="174"/>
      <c r="H521" s="37">
        <v>100244</v>
      </c>
      <c r="I521" s="25" t="str">
        <f>CONCATENATE(Cover!$D$6,"fdd/view?i=",H521)</f>
        <v>https://www.dgiwg.org/FAD/fdd/view?i=100244</v>
      </c>
      <c r="J521" s="13" t="s">
        <v>4060</v>
      </c>
      <c r="K521" s="172"/>
      <c r="L521" s="172"/>
      <c r="AS521" s="82" t="s">
        <v>1790</v>
      </c>
      <c r="AZ521" s="87" t="s">
        <v>1790</v>
      </c>
      <c r="BF521" s="83" t="s">
        <v>1790</v>
      </c>
    </row>
    <row r="522" spans="1:85" ht="38.25" x14ac:dyDescent="0.2">
      <c r="A522" s="176" t="str">
        <f t="shared" si="8"/>
        <v>MarkerRadioBeacon</v>
      </c>
      <c r="B522" s="11" t="s">
        <v>4065</v>
      </c>
      <c r="C522" s="173"/>
      <c r="D522" s="22" t="s">
        <v>4066</v>
      </c>
      <c r="E522" s="15" t="s">
        <v>4067</v>
      </c>
      <c r="F522" s="15" t="s">
        <v>4068</v>
      </c>
      <c r="G522" s="15" t="s">
        <v>4069</v>
      </c>
      <c r="H522" s="37">
        <v>114507</v>
      </c>
      <c r="I522" s="25" t="str">
        <f>CONCATENATE(Cover!$D$6,"fdd/view?i=",H522)</f>
        <v>https://www.dgiwg.org/FAD/fdd/view?i=114507</v>
      </c>
      <c r="J522" s="13" t="s">
        <v>4064</v>
      </c>
      <c r="K522" s="172"/>
      <c r="L522" s="172"/>
      <c r="CG522" s="83" t="s">
        <v>1790</v>
      </c>
    </row>
    <row r="523" spans="1:85" ht="38.25" x14ac:dyDescent="0.2">
      <c r="A523" s="176" t="str">
        <f t="shared" si="8"/>
        <v>Marsh</v>
      </c>
      <c r="B523" s="11" t="s">
        <v>4071</v>
      </c>
      <c r="C523" s="173"/>
      <c r="D523" s="22" t="s">
        <v>4070</v>
      </c>
      <c r="E523" s="15" t="s">
        <v>4072</v>
      </c>
      <c r="F523" s="15" t="s">
        <v>4073</v>
      </c>
      <c r="G523" s="174"/>
      <c r="H523" s="37">
        <v>100448</v>
      </c>
      <c r="I523" s="25" t="str">
        <f>CONCATENATE(Cover!$D$6,"fdd/view?i=",H523)</f>
        <v>https://www.dgiwg.org/FAD/fdd/view?i=100448</v>
      </c>
      <c r="J523" s="13" t="s">
        <v>4070</v>
      </c>
      <c r="K523" s="172"/>
      <c r="L523" s="172"/>
      <c r="BX523" s="83" t="s">
        <v>1790</v>
      </c>
    </row>
    <row r="524" spans="1:85" ht="51" x14ac:dyDescent="0.2">
      <c r="A524" s="176" t="str">
        <f t="shared" si="8"/>
        <v>MassGrave</v>
      </c>
      <c r="B524" s="11" t="s">
        <v>4075</v>
      </c>
      <c r="C524" s="173"/>
      <c r="D524" s="22" t="s">
        <v>4076</v>
      </c>
      <c r="E524" s="15" t="s">
        <v>4077</v>
      </c>
      <c r="F524" s="15" t="s">
        <v>4078</v>
      </c>
      <c r="G524" s="174"/>
      <c r="H524" s="37">
        <v>119393</v>
      </c>
      <c r="I524" s="25" t="str">
        <f>CONCATENATE(Cover!$D$6,"fdd/view?i=",H524)</f>
        <v>https://www.dgiwg.org/FAD/fdd/view?i=119393</v>
      </c>
      <c r="J524" s="13" t="s">
        <v>4074</v>
      </c>
      <c r="K524" s="172"/>
      <c r="L524" s="172"/>
      <c r="AJ524" s="83" t="s">
        <v>1790</v>
      </c>
    </row>
    <row r="525" spans="1:85" x14ac:dyDescent="0.2">
      <c r="A525" s="176" t="str">
        <f t="shared" si="8"/>
        <v>Mast</v>
      </c>
      <c r="B525" s="11" t="s">
        <v>4080</v>
      </c>
      <c r="C525" s="173"/>
      <c r="D525" s="22" t="s">
        <v>4079</v>
      </c>
      <c r="E525" s="15" t="s">
        <v>4081</v>
      </c>
      <c r="F525" s="174"/>
      <c r="G525" s="174"/>
      <c r="H525" s="37">
        <v>100152</v>
      </c>
      <c r="I525" s="25" t="str">
        <f>CONCATENATE(Cover!$D$6,"fdd/view?i=",H525)</f>
        <v>https://www.dgiwg.org/FAD/fdd/view?i=100152</v>
      </c>
      <c r="J525" s="13" t="s">
        <v>4079</v>
      </c>
      <c r="K525" s="172"/>
      <c r="L525" s="172"/>
      <c r="AF525" s="82" t="s">
        <v>1790</v>
      </c>
    </row>
    <row r="526" spans="1:85" x14ac:dyDescent="0.2">
      <c r="A526" s="176" t="str">
        <f t="shared" si="8"/>
        <v>MaterialPile</v>
      </c>
      <c r="B526" s="11" t="s">
        <v>4083</v>
      </c>
      <c r="C526" s="173"/>
      <c r="D526" s="22" t="s">
        <v>4084</v>
      </c>
      <c r="E526" s="15" t="s">
        <v>4085</v>
      </c>
      <c r="F526" s="174"/>
      <c r="G526" s="174"/>
      <c r="H526" s="37">
        <v>117757</v>
      </c>
      <c r="I526" s="25" t="str">
        <f>CONCATENATE(Cover!$D$6,"fdd/view?i=",H526)</f>
        <v>https://www.dgiwg.org/FAD/fdd/view?i=117757</v>
      </c>
      <c r="J526" s="13" t="s">
        <v>4082</v>
      </c>
      <c r="K526" s="172"/>
      <c r="L526" s="172"/>
      <c r="AA526" s="81" t="s">
        <v>1790</v>
      </c>
      <c r="AB526" s="82" t="s">
        <v>1790</v>
      </c>
      <c r="AC526" s="82" t="s">
        <v>1790</v>
      </c>
      <c r="AD526" s="82" t="s">
        <v>1790</v>
      </c>
      <c r="AG526" s="82" t="s">
        <v>1790</v>
      </c>
      <c r="AH526" s="85" t="s">
        <v>1790</v>
      </c>
    </row>
    <row r="527" spans="1:85" ht="25.5" x14ac:dyDescent="0.2">
      <c r="A527" s="176" t="str">
        <f t="shared" si="8"/>
        <v>MeasuredDistanceLine</v>
      </c>
      <c r="B527" s="11" t="s">
        <v>4087</v>
      </c>
      <c r="C527" s="173"/>
      <c r="D527" s="22" t="s">
        <v>4088</v>
      </c>
      <c r="E527" s="15" t="s">
        <v>4089</v>
      </c>
      <c r="F527" s="15" t="s">
        <v>4090</v>
      </c>
      <c r="G527" s="174"/>
      <c r="H527" s="37">
        <v>100480</v>
      </c>
      <c r="I527" s="25" t="str">
        <f>CONCATENATE(Cover!$D$6,"fdd/view?i=",H527)</f>
        <v>https://www.dgiwg.org/FAD/fdd/view?i=100480</v>
      </c>
      <c r="J527" s="13" t="s">
        <v>4086</v>
      </c>
      <c r="K527" s="172"/>
      <c r="L527" s="172"/>
      <c r="AS527" s="82" t="s">
        <v>1790</v>
      </c>
      <c r="BF527" s="83" t="s">
        <v>1790</v>
      </c>
    </row>
    <row r="528" spans="1:85" x14ac:dyDescent="0.2">
      <c r="A528" s="176" t="str">
        <f t="shared" si="8"/>
        <v>MemorialMonument</v>
      </c>
      <c r="B528" s="11" t="s">
        <v>4092</v>
      </c>
      <c r="C528" s="173"/>
      <c r="D528" s="22" t="s">
        <v>4093</v>
      </c>
      <c r="E528" s="15" t="s">
        <v>4094</v>
      </c>
      <c r="F528" s="174"/>
      <c r="G528" s="15" t="s">
        <v>4095</v>
      </c>
      <c r="H528" s="37">
        <v>100107</v>
      </c>
      <c r="I528" s="25" t="str">
        <f>CONCATENATE(Cover!$D$6,"fdd/view?i=",H528)</f>
        <v>https://www.dgiwg.org/FAD/fdd/view?i=100107</v>
      </c>
      <c r="J528" s="13" t="s">
        <v>4091</v>
      </c>
      <c r="K528" s="172"/>
      <c r="L528" s="172"/>
      <c r="AJ528" s="83" t="s">
        <v>1790</v>
      </c>
    </row>
    <row r="529" spans="1:101" ht="25.5" x14ac:dyDescent="0.2">
      <c r="A529" s="176" t="str">
        <f t="shared" si="8"/>
        <v>MicrowaveLandingSystem</v>
      </c>
      <c r="B529" s="11" t="s">
        <v>4097</v>
      </c>
      <c r="C529" s="173"/>
      <c r="D529" s="22" t="s">
        <v>4098</v>
      </c>
      <c r="E529" s="15" t="s">
        <v>4099</v>
      </c>
      <c r="F529" s="15" t="s">
        <v>4100</v>
      </c>
      <c r="G529" s="15" t="s">
        <v>4101</v>
      </c>
      <c r="H529" s="37">
        <v>114508</v>
      </c>
      <c r="I529" s="25" t="str">
        <f>CONCATENATE(Cover!$D$6,"fdd/view?i=",H529)</f>
        <v>https://www.dgiwg.org/FAD/fdd/view?i=114508</v>
      </c>
      <c r="J529" s="13" t="s">
        <v>4096</v>
      </c>
      <c r="K529" s="172"/>
      <c r="L529" s="172"/>
      <c r="CG529" s="83" t="s">
        <v>1790</v>
      </c>
    </row>
    <row r="530" spans="1:101" ht="63.75" x14ac:dyDescent="0.2">
      <c r="A530" s="176" t="str">
        <f t="shared" si="8"/>
        <v>MicrowaveLandingSysAzim</v>
      </c>
      <c r="B530" s="11" t="s">
        <v>4103</v>
      </c>
      <c r="C530" s="173"/>
      <c r="D530" s="22" t="s">
        <v>4104</v>
      </c>
      <c r="E530" s="15" t="s">
        <v>4105</v>
      </c>
      <c r="F530" s="15" t="s">
        <v>4106</v>
      </c>
      <c r="G530" s="174"/>
      <c r="H530" s="37">
        <v>114509</v>
      </c>
      <c r="I530" s="25" t="str">
        <f>CONCATENATE(Cover!$D$6,"fdd/view?i=",H530)</f>
        <v>https://www.dgiwg.org/FAD/fdd/view?i=114509</v>
      </c>
      <c r="J530" s="13" t="s">
        <v>4102</v>
      </c>
      <c r="K530" s="172"/>
      <c r="L530" s="172"/>
      <c r="CG530" s="83" t="s">
        <v>1790</v>
      </c>
    </row>
    <row r="531" spans="1:101" ht="63.75" x14ac:dyDescent="0.2">
      <c r="A531" s="176" t="str">
        <f t="shared" si="8"/>
        <v>MicrowaveLandingSysElev</v>
      </c>
      <c r="B531" s="11" t="s">
        <v>4108</v>
      </c>
      <c r="C531" s="173"/>
      <c r="D531" s="22" t="s">
        <v>4109</v>
      </c>
      <c r="E531" s="15" t="s">
        <v>4110</v>
      </c>
      <c r="F531" s="15" t="s">
        <v>4111</v>
      </c>
      <c r="G531" s="174"/>
      <c r="H531" s="37">
        <v>114510</v>
      </c>
      <c r="I531" s="25" t="str">
        <f>CONCATENATE(Cover!$D$6,"fdd/view?i=",H531)</f>
        <v>https://www.dgiwg.org/FAD/fdd/view?i=114510</v>
      </c>
      <c r="J531" s="13" t="s">
        <v>4107</v>
      </c>
      <c r="K531" s="172"/>
      <c r="L531" s="172"/>
      <c r="CG531" s="83" t="s">
        <v>1790</v>
      </c>
    </row>
    <row r="532" spans="1:101" x14ac:dyDescent="0.2">
      <c r="A532" s="176" t="str">
        <f t="shared" si="8"/>
        <v>MilitaryAdministrativeUnit</v>
      </c>
      <c r="B532" s="11" t="s">
        <v>4113</v>
      </c>
      <c r="C532" s="173"/>
      <c r="D532" s="22" t="s">
        <v>4114</v>
      </c>
      <c r="E532" s="15" t="s">
        <v>4115</v>
      </c>
      <c r="F532" s="174"/>
      <c r="G532" s="174"/>
      <c r="H532" s="37">
        <v>114460</v>
      </c>
      <c r="I532" s="25" t="str">
        <f>CONCATENATE(Cover!$D$6,"fdd/view?i=",H532)</f>
        <v>https://www.dgiwg.org/FAD/fdd/view?i=114460</v>
      </c>
      <c r="J532" s="13" t="s">
        <v>4112</v>
      </c>
      <c r="K532" s="172"/>
      <c r="L532" s="172"/>
      <c r="AM532" s="83" t="s">
        <v>1790</v>
      </c>
      <c r="CK532" s="82" t="s">
        <v>1790</v>
      </c>
    </row>
    <row r="533" spans="1:101" ht="38.25" x14ac:dyDescent="0.2">
      <c r="A533" s="176" t="str">
        <f t="shared" si="8"/>
        <v>MilitaryInstallation</v>
      </c>
      <c r="B533" s="11" t="s">
        <v>4117</v>
      </c>
      <c r="C533" s="173"/>
      <c r="D533" s="22" t="s">
        <v>4118</v>
      </c>
      <c r="E533" s="15" t="s">
        <v>4119</v>
      </c>
      <c r="F533" s="15" t="s">
        <v>4120</v>
      </c>
      <c r="G533" s="174"/>
      <c r="H533" s="37">
        <v>100559</v>
      </c>
      <c r="I533" s="25" t="str">
        <f>CONCATENATE(Cover!$D$6,"fdd/view?i=",H533)</f>
        <v>https://www.dgiwg.org/FAD/fdd/view?i=100559</v>
      </c>
      <c r="J533" s="13" t="s">
        <v>4116</v>
      </c>
      <c r="K533" s="172"/>
      <c r="L533" s="172"/>
      <c r="CJ533" s="81" t="s">
        <v>1790</v>
      </c>
    </row>
    <row r="534" spans="1:101" x14ac:dyDescent="0.2">
      <c r="A534" s="176" t="str">
        <f t="shared" si="8"/>
        <v>MilitarySubArea</v>
      </c>
      <c r="B534" s="11" t="s">
        <v>4122</v>
      </c>
      <c r="C534" s="173"/>
      <c r="D534" s="22" t="s">
        <v>4123</v>
      </c>
      <c r="E534" s="15" t="s">
        <v>4124</v>
      </c>
      <c r="F534" s="174"/>
      <c r="G534" s="174"/>
      <c r="H534" s="37">
        <v>119710</v>
      </c>
      <c r="I534" s="25" t="str">
        <f>CONCATENATE(Cover!$D$6,"fdd/view?i=",H534)</f>
        <v>https://www.dgiwg.org/FAD/fdd/view?i=119710</v>
      </c>
      <c r="J534" s="13" t="s">
        <v>4121</v>
      </c>
      <c r="K534" s="172"/>
      <c r="L534" s="172"/>
      <c r="CJ534" s="81" t="s">
        <v>1790</v>
      </c>
      <c r="CK534" s="82" t="s">
        <v>1790</v>
      </c>
    </row>
    <row r="535" spans="1:101" x14ac:dyDescent="0.2">
      <c r="A535" s="176" t="str">
        <f t="shared" si="8"/>
        <v>MilitaryTrench</v>
      </c>
      <c r="B535" s="11" t="s">
        <v>4126</v>
      </c>
      <c r="C535" s="173"/>
      <c r="D535" s="22" t="s">
        <v>4127</v>
      </c>
      <c r="E535" s="15" t="s">
        <v>4128</v>
      </c>
      <c r="F535" s="174"/>
      <c r="G535" s="174"/>
      <c r="H535" s="37">
        <v>100039</v>
      </c>
      <c r="I535" s="25" t="str">
        <f>CONCATENATE(Cover!$D$6,"fdd/view?i=",H535)</f>
        <v>https://www.dgiwg.org/FAD/fdd/view?i=100039</v>
      </c>
      <c r="J535" s="13" t="s">
        <v>4125</v>
      </c>
      <c r="K535" s="172"/>
      <c r="L535" s="172"/>
      <c r="CJ535" s="81" t="s">
        <v>1790</v>
      </c>
    </row>
    <row r="536" spans="1:101" ht="25.5" x14ac:dyDescent="0.2">
      <c r="A536" s="176" t="str">
        <f t="shared" si="8"/>
        <v>MineCounterMeasureArea</v>
      </c>
      <c r="B536" s="11" t="s">
        <v>4130</v>
      </c>
      <c r="C536" s="173"/>
      <c r="D536" s="22" t="s">
        <v>4131</v>
      </c>
      <c r="E536" s="15" t="s">
        <v>4132</v>
      </c>
      <c r="F536" s="15" t="s">
        <v>4133</v>
      </c>
      <c r="G536" s="174"/>
      <c r="H536" s="37">
        <v>114462</v>
      </c>
      <c r="I536" s="25" t="str">
        <f>CONCATENATE(Cover!$D$6,"fdd/view?i=",H536)</f>
        <v>https://www.dgiwg.org/FAD/fdd/view?i=114462</v>
      </c>
      <c r="J536" s="13" t="s">
        <v>4129</v>
      </c>
      <c r="K536" s="172"/>
      <c r="L536" s="172"/>
      <c r="AS536" s="82" t="s">
        <v>1790</v>
      </c>
      <c r="BF536" s="83" t="s">
        <v>1790</v>
      </c>
      <c r="BG536" s="83" t="s">
        <v>1790</v>
      </c>
      <c r="CK536" s="82" t="s">
        <v>1790</v>
      </c>
    </row>
    <row r="537" spans="1:101" ht="38.25" x14ac:dyDescent="0.2">
      <c r="A537" s="176" t="str">
        <f t="shared" si="8"/>
        <v>MineShaftSuperstructure</v>
      </c>
      <c r="B537" s="11" t="s">
        <v>4135</v>
      </c>
      <c r="C537" s="173"/>
      <c r="D537" s="22" t="s">
        <v>4136</v>
      </c>
      <c r="E537" s="15" t="s">
        <v>4137</v>
      </c>
      <c r="F537" s="15" t="s">
        <v>4138</v>
      </c>
      <c r="G537" s="15" t="s">
        <v>4139</v>
      </c>
      <c r="H537" s="37">
        <v>111395</v>
      </c>
      <c r="I537" s="25" t="str">
        <f>CONCATENATE(Cover!$D$6,"fdd/view?i=",H537)</f>
        <v>https://www.dgiwg.org/FAD/fdd/view?i=111395</v>
      </c>
      <c r="J537" s="13" t="s">
        <v>4134</v>
      </c>
      <c r="K537" s="172"/>
      <c r="L537" s="172"/>
      <c r="AA537" s="81" t="s">
        <v>1790</v>
      </c>
      <c r="BP537" s="82" t="s">
        <v>1790</v>
      </c>
    </row>
    <row r="538" spans="1:101" x14ac:dyDescent="0.2">
      <c r="A538" s="176" t="str">
        <f t="shared" si="8"/>
        <v>Minefield</v>
      </c>
      <c r="B538" s="11" t="s">
        <v>4141</v>
      </c>
      <c r="C538" s="173"/>
      <c r="D538" s="22" t="s">
        <v>4140</v>
      </c>
      <c r="E538" s="15" t="s">
        <v>4142</v>
      </c>
      <c r="F538" s="174"/>
      <c r="G538" s="174"/>
      <c r="H538" s="37">
        <v>100093</v>
      </c>
      <c r="I538" s="25" t="str">
        <f>CONCATENATE(Cover!$D$6,"fdd/view?i=",H538)</f>
        <v>https://www.dgiwg.org/FAD/fdd/view?i=100093</v>
      </c>
      <c r="J538" s="13" t="s">
        <v>4140</v>
      </c>
      <c r="K538" s="172"/>
      <c r="L538" s="172"/>
      <c r="CK538" s="82" t="s">
        <v>1790</v>
      </c>
    </row>
    <row r="539" spans="1:101" ht="38.25" x14ac:dyDescent="0.2">
      <c r="A539" s="176" t="str">
        <f t="shared" si="8"/>
        <v>MineralOccurrenceArea</v>
      </c>
      <c r="B539" s="11" t="s">
        <v>4144</v>
      </c>
      <c r="C539" s="173"/>
      <c r="D539" s="22" t="s">
        <v>4145</v>
      </c>
      <c r="E539" s="15" t="s">
        <v>4146</v>
      </c>
      <c r="F539" s="15" t="s">
        <v>4147</v>
      </c>
      <c r="G539" s="174"/>
      <c r="H539" s="37">
        <v>111363</v>
      </c>
      <c r="I539" s="25" t="str">
        <f>CONCATENATE(Cover!$D$6,"fdd/view?i=",H539)</f>
        <v>https://www.dgiwg.org/FAD/fdd/view?i=111363</v>
      </c>
      <c r="J539" s="13" t="s">
        <v>4143</v>
      </c>
      <c r="K539" s="172"/>
      <c r="L539" s="172"/>
      <c r="AA539" s="81" t="s">
        <v>1790</v>
      </c>
      <c r="BP539" s="82" t="s">
        <v>1790</v>
      </c>
    </row>
    <row r="540" spans="1:101" ht="25.5" x14ac:dyDescent="0.2">
      <c r="A540" s="176" t="str">
        <f t="shared" si="8"/>
        <v>MineralPile</v>
      </c>
      <c r="B540" s="11" t="s">
        <v>4149</v>
      </c>
      <c r="C540" s="173"/>
      <c r="D540" s="22" t="s">
        <v>4150</v>
      </c>
      <c r="E540" s="15" t="s">
        <v>4151</v>
      </c>
      <c r="F540" s="15" t="s">
        <v>4152</v>
      </c>
      <c r="G540" s="15" t="s">
        <v>4153</v>
      </c>
      <c r="H540" s="37">
        <v>100130</v>
      </c>
      <c r="I540" s="25" t="str">
        <f>CONCATENATE(Cover!$D$6,"fdd/view?i=",H540)</f>
        <v>https://www.dgiwg.org/FAD/fdd/view?i=100130</v>
      </c>
      <c r="J540" s="13" t="s">
        <v>4148</v>
      </c>
      <c r="K540" s="172"/>
      <c r="L540" s="172"/>
      <c r="AA540" s="81" t="s">
        <v>1790</v>
      </c>
      <c r="AG540" s="82" t="s">
        <v>1790</v>
      </c>
      <c r="BP540" s="82" t="s">
        <v>1790</v>
      </c>
    </row>
    <row r="541" spans="1:101" ht="63.75" x14ac:dyDescent="0.2">
      <c r="A541" s="176" t="str">
        <f t="shared" si="8"/>
        <v>MiscFeatureType</v>
      </c>
      <c r="B541" s="11" t="s">
        <v>4155</v>
      </c>
      <c r="C541" s="173"/>
      <c r="D541" s="22" t="s">
        <v>4156</v>
      </c>
      <c r="E541" s="15" t="s">
        <v>4157</v>
      </c>
      <c r="F541" s="15" t="s">
        <v>4158</v>
      </c>
      <c r="G541" s="174"/>
      <c r="H541" s="37">
        <v>100579</v>
      </c>
      <c r="I541" s="25" t="str">
        <f>CONCATENATE(Cover!$D$6,"fdd/view?i=",H541)</f>
        <v>https://www.dgiwg.org/FAD/fdd/view?i=100579</v>
      </c>
      <c r="J541" s="13" t="s">
        <v>4154</v>
      </c>
      <c r="K541" s="172"/>
      <c r="L541" s="172"/>
      <c r="CW541" s="164" t="s">
        <v>1790</v>
      </c>
    </row>
    <row r="542" spans="1:101" ht="25.5" x14ac:dyDescent="0.2">
      <c r="A542" s="176" t="str">
        <f t="shared" si="8"/>
        <v>MissedApproachInfo</v>
      </c>
      <c r="B542" s="11" t="s">
        <v>4160</v>
      </c>
      <c r="C542" s="173"/>
      <c r="D542" s="22" t="s">
        <v>4161</v>
      </c>
      <c r="E542" s="15" t="s">
        <v>4162</v>
      </c>
      <c r="F542" s="174"/>
      <c r="G542" s="174"/>
      <c r="H542" s="37">
        <v>119561</v>
      </c>
      <c r="I542" s="25" t="str">
        <f>CONCATENATE(Cover!$D$6,"fdd/view?i=",H542)</f>
        <v>https://www.dgiwg.org/FAD/fdd/view?i=119561</v>
      </c>
      <c r="J542" s="13" t="s">
        <v>4159</v>
      </c>
      <c r="K542" s="172"/>
      <c r="L542" s="172"/>
      <c r="AT542" s="82" t="s">
        <v>1790</v>
      </c>
      <c r="CF542" s="83" t="s">
        <v>1790</v>
      </c>
    </row>
    <row r="543" spans="1:101" ht="51" x14ac:dyDescent="0.2">
      <c r="A543" s="176" t="str">
        <f t="shared" si="8"/>
        <v>MissedApproachSegment</v>
      </c>
      <c r="B543" s="11" t="s">
        <v>4164</v>
      </c>
      <c r="C543" s="173"/>
      <c r="D543" s="22" t="s">
        <v>4165</v>
      </c>
      <c r="E543" s="15" t="s">
        <v>4166</v>
      </c>
      <c r="F543" s="15" t="s">
        <v>2146</v>
      </c>
      <c r="G543" s="174"/>
      <c r="H543" s="37">
        <v>114638</v>
      </c>
      <c r="I543" s="25" t="str">
        <f>CONCATENATE(Cover!$D$6,"fdd/view?i=",H543)</f>
        <v>https://www.dgiwg.org/FAD/fdd/view?i=114638</v>
      </c>
      <c r="J543" s="13" t="s">
        <v>4163</v>
      </c>
      <c r="K543" s="172"/>
      <c r="L543" s="172"/>
      <c r="CI543" s="89" t="s">
        <v>1790</v>
      </c>
    </row>
    <row r="544" spans="1:101" x14ac:dyDescent="0.2">
      <c r="A544" s="176" t="str">
        <f t="shared" si="8"/>
        <v>MissileEquipment</v>
      </c>
      <c r="B544" s="11" t="s">
        <v>4168</v>
      </c>
      <c r="C544" s="173"/>
      <c r="D544" s="22" t="s">
        <v>4169</v>
      </c>
      <c r="E544" s="15" t="s">
        <v>4170</v>
      </c>
      <c r="F544" s="174"/>
      <c r="G544" s="174"/>
      <c r="H544" s="37">
        <v>119712</v>
      </c>
      <c r="I544" s="25" t="str">
        <f>CONCATENATE(Cover!$D$6,"fdd/view?i=",H544)</f>
        <v>https://www.dgiwg.org/FAD/fdd/view?i=119712</v>
      </c>
      <c r="J544" s="13" t="s">
        <v>4167</v>
      </c>
      <c r="K544" s="172"/>
      <c r="L544" s="172"/>
      <c r="CJ544" s="81" t="s">
        <v>1790</v>
      </c>
      <c r="CK544" s="82" t="s">
        <v>1790</v>
      </c>
    </row>
    <row r="545" spans="1:89" x14ac:dyDescent="0.2">
      <c r="A545" s="176" t="str">
        <f t="shared" si="8"/>
        <v>MissileSite</v>
      </c>
      <c r="B545" s="11" t="s">
        <v>4172</v>
      </c>
      <c r="C545" s="173"/>
      <c r="D545" s="22" t="s">
        <v>4173</v>
      </c>
      <c r="E545" s="15" t="s">
        <v>4174</v>
      </c>
      <c r="F545" s="174"/>
      <c r="G545" s="174"/>
      <c r="H545" s="37">
        <v>100105</v>
      </c>
      <c r="I545" s="25" t="str">
        <f>CONCATENATE(Cover!$D$6,"fdd/view?i=",H545)</f>
        <v>https://www.dgiwg.org/FAD/fdd/view?i=100105</v>
      </c>
      <c r="J545" s="13" t="s">
        <v>4171</v>
      </c>
      <c r="K545" s="172"/>
      <c r="L545" s="172"/>
      <c r="CJ545" s="81" t="s">
        <v>1790</v>
      </c>
    </row>
    <row r="546" spans="1:89" x14ac:dyDescent="0.2">
      <c r="A546" s="176" t="str">
        <f t="shared" si="8"/>
        <v>MissileTestSite</v>
      </c>
      <c r="B546" s="11" t="s">
        <v>4176</v>
      </c>
      <c r="C546" s="173"/>
      <c r="D546" s="22" t="s">
        <v>4177</v>
      </c>
      <c r="E546" s="15" t="s">
        <v>4178</v>
      </c>
      <c r="F546" s="174"/>
      <c r="G546" s="174"/>
      <c r="H546" s="37">
        <v>119713</v>
      </c>
      <c r="I546" s="25" t="str">
        <f>CONCATENATE(Cover!$D$6,"fdd/view?i=",H546)</f>
        <v>https://www.dgiwg.org/FAD/fdd/view?i=119713</v>
      </c>
      <c r="J546" s="13" t="s">
        <v>4175</v>
      </c>
      <c r="K546" s="172"/>
      <c r="L546" s="172"/>
      <c r="CJ546" s="81" t="s">
        <v>1790</v>
      </c>
      <c r="CK546" s="82" t="s">
        <v>1790</v>
      </c>
    </row>
    <row r="547" spans="1:89" x14ac:dyDescent="0.2">
      <c r="A547" s="176" t="str">
        <f t="shared" si="8"/>
        <v>Moat</v>
      </c>
      <c r="B547" s="11" t="s">
        <v>4180</v>
      </c>
      <c r="C547" s="173"/>
      <c r="D547" s="22" t="s">
        <v>4179</v>
      </c>
      <c r="E547" s="15" t="s">
        <v>4181</v>
      </c>
      <c r="F547" s="15" t="s">
        <v>4182</v>
      </c>
      <c r="G547" s="174"/>
      <c r="H547" s="37">
        <v>100345</v>
      </c>
      <c r="I547" s="25" t="str">
        <f>CONCATENATE(Cover!$D$6,"fdd/view?i=",H547)</f>
        <v>https://www.dgiwg.org/FAD/fdd/view?i=100345</v>
      </c>
      <c r="J547" s="13" t="s">
        <v>4179</v>
      </c>
      <c r="K547" s="172"/>
      <c r="L547" s="172"/>
      <c r="BJ547" s="83" t="s">
        <v>1790</v>
      </c>
    </row>
    <row r="548" spans="1:89" ht="25.5" x14ac:dyDescent="0.2">
      <c r="A548" s="176" t="str">
        <f t="shared" si="8"/>
        <v>MobileOffshoreDrillUnit</v>
      </c>
      <c r="B548" s="11" t="s">
        <v>4184</v>
      </c>
      <c r="C548" s="173"/>
      <c r="D548" s="22" t="s">
        <v>4185</v>
      </c>
      <c r="E548" s="15" t="s">
        <v>4186</v>
      </c>
      <c r="F548" s="15" t="s">
        <v>4187</v>
      </c>
      <c r="G548" s="174"/>
      <c r="H548" s="37">
        <v>110911</v>
      </c>
      <c r="I548" s="25" t="str">
        <f>CONCATENATE(Cover!$D$6,"fdd/view?i=",H548)</f>
        <v>https://www.dgiwg.org/FAD/fdd/view?i=110911</v>
      </c>
      <c r="J548" s="13" t="s">
        <v>4183</v>
      </c>
      <c r="K548" s="172"/>
      <c r="L548" s="172"/>
      <c r="BD548" s="83" t="s">
        <v>1790</v>
      </c>
      <c r="BG548" s="83" t="s">
        <v>1790</v>
      </c>
    </row>
    <row r="549" spans="1:89" ht="51" x14ac:dyDescent="0.2">
      <c r="A549" s="176" t="str">
        <f t="shared" si="8"/>
        <v>Mole</v>
      </c>
      <c r="B549" s="11" t="s">
        <v>4188</v>
      </c>
      <c r="C549" s="173"/>
      <c r="D549" s="22" t="s">
        <v>394</v>
      </c>
      <c r="E549" s="15" t="s">
        <v>4189</v>
      </c>
      <c r="F549" s="15" t="s">
        <v>4190</v>
      </c>
      <c r="G549" s="174"/>
      <c r="H549" s="37">
        <v>100229</v>
      </c>
      <c r="I549" s="25" t="str">
        <f>CONCATENATE(Cover!$D$6,"fdd/view?i=",H549)</f>
        <v>https://www.dgiwg.org/FAD/fdd/view?i=100229</v>
      </c>
      <c r="J549" s="13" t="s">
        <v>394</v>
      </c>
      <c r="K549" s="172"/>
      <c r="L549" s="172"/>
      <c r="AS549" s="82" t="s">
        <v>1790</v>
      </c>
      <c r="BA549" s="83" t="s">
        <v>1790</v>
      </c>
    </row>
    <row r="550" spans="1:89" ht="38.25" x14ac:dyDescent="0.2">
      <c r="A550" s="176" t="str">
        <f t="shared" si="8"/>
        <v>Monument</v>
      </c>
      <c r="B550" s="11" t="s">
        <v>4192</v>
      </c>
      <c r="C550" s="173"/>
      <c r="D550" s="22" t="s">
        <v>4191</v>
      </c>
      <c r="E550" s="15" t="s">
        <v>4193</v>
      </c>
      <c r="F550" s="15" t="s">
        <v>4194</v>
      </c>
      <c r="G550" s="174"/>
      <c r="H550" s="37">
        <v>111355</v>
      </c>
      <c r="I550" s="25" t="str">
        <f>CONCATENATE(Cover!$D$6,"fdd/view?i=",H550)</f>
        <v>https://www.dgiwg.org/FAD/fdd/view?i=111355</v>
      </c>
      <c r="J550" s="13" t="s">
        <v>4191</v>
      </c>
      <c r="K550" s="172"/>
      <c r="L550" s="172"/>
      <c r="AL550" s="83" t="s">
        <v>1790</v>
      </c>
      <c r="AN550" s="83" t="s">
        <v>1790</v>
      </c>
    </row>
    <row r="551" spans="1:89" ht="25.5" x14ac:dyDescent="0.2">
      <c r="A551" s="176" t="str">
        <f t="shared" si="8"/>
        <v>MooringChain</v>
      </c>
      <c r="B551" s="11" t="s">
        <v>4196</v>
      </c>
      <c r="C551" s="173"/>
      <c r="D551" s="22" t="s">
        <v>4197</v>
      </c>
      <c r="E551" s="15" t="s">
        <v>4198</v>
      </c>
      <c r="F551" s="15" t="s">
        <v>4199</v>
      </c>
      <c r="G551" s="174"/>
      <c r="H551" s="37">
        <v>100293</v>
      </c>
      <c r="I551" s="25" t="str">
        <f>CONCATENATE(Cover!$D$6,"fdd/view?i=",H551)</f>
        <v>https://www.dgiwg.org/FAD/fdd/view?i=100293</v>
      </c>
      <c r="J551" s="13" t="s">
        <v>4195</v>
      </c>
      <c r="K551" s="172"/>
      <c r="L551" s="172"/>
      <c r="AS551" s="82" t="s">
        <v>1790</v>
      </c>
      <c r="BA551" s="83" t="s">
        <v>1790</v>
      </c>
      <c r="BG551" s="83" t="s">
        <v>1790</v>
      </c>
    </row>
    <row r="552" spans="1:89" x14ac:dyDescent="0.2">
      <c r="A552" s="176" t="str">
        <f t="shared" si="8"/>
        <v>MooringFacility</v>
      </c>
      <c r="B552" s="11" t="s">
        <v>4201</v>
      </c>
      <c r="C552" s="173"/>
      <c r="D552" s="22" t="s">
        <v>4202</v>
      </c>
      <c r="E552" s="15" t="s">
        <v>4203</v>
      </c>
      <c r="F552" s="174"/>
      <c r="G552" s="174"/>
      <c r="H552" s="37">
        <v>100232</v>
      </c>
      <c r="I552" s="25" t="str">
        <f>CONCATENATE(Cover!$D$6,"fdd/view?i=",H552)</f>
        <v>https://www.dgiwg.org/FAD/fdd/view?i=100232</v>
      </c>
      <c r="J552" s="13" t="s">
        <v>4200</v>
      </c>
      <c r="K552" s="172"/>
      <c r="L552" s="172"/>
      <c r="AS552" s="82" t="s">
        <v>1790</v>
      </c>
      <c r="BA552" s="83" t="s">
        <v>1790</v>
      </c>
    </row>
    <row r="553" spans="1:89" x14ac:dyDescent="0.2">
      <c r="A553" s="176" t="str">
        <f t="shared" si="8"/>
        <v>MooringMast</v>
      </c>
      <c r="B553" s="11" t="s">
        <v>4205</v>
      </c>
      <c r="C553" s="173"/>
      <c r="D553" s="22" t="s">
        <v>4206</v>
      </c>
      <c r="E553" s="15" t="s">
        <v>4207</v>
      </c>
      <c r="F553" s="174"/>
      <c r="G553" s="174"/>
      <c r="H553" s="37">
        <v>100171</v>
      </c>
      <c r="I553" s="25" t="str">
        <f>CONCATENATE(Cover!$D$6,"fdd/view?i=",H553)</f>
        <v>https://www.dgiwg.org/FAD/fdd/view?i=100171</v>
      </c>
      <c r="J553" s="13" t="s">
        <v>4204</v>
      </c>
      <c r="K553" s="172"/>
      <c r="L553" s="172"/>
      <c r="AT553" s="82" t="s">
        <v>1790</v>
      </c>
      <c r="CE553" s="87" t="s">
        <v>1790</v>
      </c>
    </row>
    <row r="554" spans="1:89" x14ac:dyDescent="0.2">
      <c r="A554" s="176" t="str">
        <f t="shared" si="8"/>
        <v>MooringRing</v>
      </c>
      <c r="B554" s="11" t="s">
        <v>4209</v>
      </c>
      <c r="C554" s="173"/>
      <c r="D554" s="22" t="s">
        <v>4210</v>
      </c>
      <c r="E554" s="15" t="s">
        <v>4211</v>
      </c>
      <c r="F554" s="174"/>
      <c r="G554" s="174"/>
      <c r="H554" s="37">
        <v>100245</v>
      </c>
      <c r="I554" s="25" t="str">
        <f>CONCATENATE(Cover!$D$6,"fdd/view?i=",H554)</f>
        <v>https://www.dgiwg.org/FAD/fdd/view?i=100245</v>
      </c>
      <c r="J554" s="13" t="s">
        <v>4208</v>
      </c>
      <c r="K554" s="172"/>
      <c r="L554" s="172"/>
      <c r="AS554" s="82" t="s">
        <v>1790</v>
      </c>
      <c r="BA554" s="83" t="s">
        <v>1790</v>
      </c>
    </row>
    <row r="555" spans="1:89" x14ac:dyDescent="0.2">
      <c r="A555" s="176" t="str">
        <f t="shared" si="8"/>
        <v>MooringTrot</v>
      </c>
      <c r="B555" s="11" t="s">
        <v>4213</v>
      </c>
      <c r="C555" s="173"/>
      <c r="D555" s="22" t="s">
        <v>4214</v>
      </c>
      <c r="E555" s="15" t="s">
        <v>4215</v>
      </c>
      <c r="F555" s="174"/>
      <c r="G555" s="174"/>
      <c r="H555" s="37">
        <v>100224</v>
      </c>
      <c r="I555" s="25" t="str">
        <f>CONCATENATE(Cover!$D$6,"fdd/view?i=",H555)</f>
        <v>https://www.dgiwg.org/FAD/fdd/view?i=100224</v>
      </c>
      <c r="J555" s="13" t="s">
        <v>4212</v>
      </c>
      <c r="K555" s="172"/>
      <c r="L555" s="172"/>
      <c r="AS555" s="82" t="s">
        <v>1790</v>
      </c>
      <c r="BA555" s="83" t="s">
        <v>1790</v>
      </c>
    </row>
    <row r="556" spans="1:89" x14ac:dyDescent="0.2">
      <c r="A556" s="176" t="str">
        <f t="shared" si="8"/>
        <v>Moraine</v>
      </c>
      <c r="B556" s="11" t="s">
        <v>4217</v>
      </c>
      <c r="C556" s="173"/>
      <c r="D556" s="22" t="s">
        <v>4216</v>
      </c>
      <c r="E556" s="15" t="s">
        <v>4218</v>
      </c>
      <c r="F556" s="174"/>
      <c r="G556" s="174"/>
      <c r="H556" s="37">
        <v>100380</v>
      </c>
      <c r="I556" s="25" t="str">
        <f>CONCATENATE(Cover!$D$6,"fdd/view?i=",H556)</f>
        <v>https://www.dgiwg.org/FAD/fdd/view?i=100380</v>
      </c>
      <c r="J556" s="13" t="s">
        <v>4216</v>
      </c>
      <c r="K556" s="172"/>
      <c r="L556" s="172"/>
      <c r="BN556" s="82" t="s">
        <v>1790</v>
      </c>
      <c r="BR556" s="82" t="s">
        <v>1790</v>
      </c>
    </row>
    <row r="557" spans="1:89" ht="25.5" x14ac:dyDescent="0.2">
      <c r="A557" s="176" t="str">
        <f t="shared" si="8"/>
        <v>MotorVehicleStation</v>
      </c>
      <c r="B557" s="11" t="s">
        <v>4220</v>
      </c>
      <c r="C557" s="173"/>
      <c r="D557" s="22" t="s">
        <v>4221</v>
      </c>
      <c r="E557" s="15" t="s">
        <v>4222</v>
      </c>
      <c r="F557" s="15" t="s">
        <v>4223</v>
      </c>
      <c r="G557" s="15" t="s">
        <v>4224</v>
      </c>
      <c r="H557" s="37">
        <v>111431</v>
      </c>
      <c r="I557" s="25" t="str">
        <f>CONCATENATE(Cover!$D$6,"fdd/view?i=",H557)</f>
        <v>https://www.dgiwg.org/FAD/fdd/view?i=111431</v>
      </c>
      <c r="J557" s="13" t="s">
        <v>4219</v>
      </c>
      <c r="K557" s="172"/>
      <c r="L557" s="172"/>
      <c r="AQ557" s="82" t="s">
        <v>1790</v>
      </c>
    </row>
    <row r="558" spans="1:89" ht="25.5" x14ac:dyDescent="0.2">
      <c r="A558" s="176" t="str">
        <f t="shared" si="8"/>
        <v>Mountain</v>
      </c>
      <c r="B558" s="11" t="s">
        <v>4226</v>
      </c>
      <c r="C558" s="173"/>
      <c r="D558" s="22" t="s">
        <v>4225</v>
      </c>
      <c r="E558" s="15" t="s">
        <v>4227</v>
      </c>
      <c r="F558" s="15" t="s">
        <v>4228</v>
      </c>
      <c r="G558" s="174"/>
      <c r="H558" s="37">
        <v>118434</v>
      </c>
      <c r="I558" s="25" t="str">
        <f>CONCATENATE(Cover!$D$6,"fdd/view?i=",H558)</f>
        <v>https://www.dgiwg.org/FAD/fdd/view?i=118434</v>
      </c>
      <c r="J558" s="13" t="s">
        <v>4225</v>
      </c>
      <c r="K558" s="172"/>
      <c r="L558" s="172"/>
      <c r="BO558" s="82" t="s">
        <v>1790</v>
      </c>
    </row>
    <row r="559" spans="1:89" x14ac:dyDescent="0.2">
      <c r="A559" s="176" t="str">
        <f t="shared" si="8"/>
        <v>MountainPass</v>
      </c>
      <c r="B559" s="11" t="s">
        <v>4230</v>
      </c>
      <c r="C559" s="173"/>
      <c r="D559" s="22" t="s">
        <v>4231</v>
      </c>
      <c r="E559" s="15" t="s">
        <v>4232</v>
      </c>
      <c r="F559" s="174"/>
      <c r="G559" s="174"/>
      <c r="H559" s="37">
        <v>100417</v>
      </c>
      <c r="I559" s="25" t="str">
        <f>CONCATENATE(Cover!$D$6,"fdd/view?i=",H559)</f>
        <v>https://www.dgiwg.org/FAD/fdd/view?i=100417</v>
      </c>
      <c r="J559" s="13" t="s">
        <v>4229</v>
      </c>
      <c r="K559" s="172"/>
      <c r="L559" s="172"/>
      <c r="AU559" s="82" t="s">
        <v>1790</v>
      </c>
      <c r="BM559" s="82" t="s">
        <v>1790</v>
      </c>
    </row>
    <row r="560" spans="1:89" ht="38.25" x14ac:dyDescent="0.2">
      <c r="A560" s="176" t="str">
        <f t="shared" si="8"/>
        <v>MovementAreaShoulder</v>
      </c>
      <c r="B560" s="11" t="s">
        <v>4234</v>
      </c>
      <c r="C560" s="173"/>
      <c r="D560" s="22" t="s">
        <v>4235</v>
      </c>
      <c r="E560" s="15" t="s">
        <v>4236</v>
      </c>
      <c r="F560" s="15" t="s">
        <v>4237</v>
      </c>
      <c r="G560" s="174"/>
      <c r="H560" s="37">
        <v>114647</v>
      </c>
      <c r="I560" s="25" t="str">
        <f>CONCATENATE(Cover!$D$6,"fdd/view?i=",H560)</f>
        <v>https://www.dgiwg.org/FAD/fdd/view?i=114647</v>
      </c>
      <c r="J560" s="13" t="s">
        <v>4233</v>
      </c>
      <c r="K560" s="172"/>
      <c r="L560" s="172"/>
      <c r="CE560" s="87" t="s">
        <v>1790</v>
      </c>
    </row>
    <row r="561" spans="1:99" ht="102" x14ac:dyDescent="0.2">
      <c r="A561" s="176" t="str">
        <f t="shared" si="8"/>
        <v>MunitionStorageFacility</v>
      </c>
      <c r="B561" s="11" t="s">
        <v>4239</v>
      </c>
      <c r="C561" s="173"/>
      <c r="D561" s="22" t="s">
        <v>4240</v>
      </c>
      <c r="E561" s="15" t="s">
        <v>4241</v>
      </c>
      <c r="F561" s="15" t="s">
        <v>4242</v>
      </c>
      <c r="G561" s="174"/>
      <c r="H561" s="37">
        <v>111426</v>
      </c>
      <c r="I561" s="25" t="str">
        <f>CONCATENATE(Cover!$D$6,"fdd/view?i=",H561)</f>
        <v>https://www.dgiwg.org/FAD/fdd/view?i=111426</v>
      </c>
      <c r="J561" s="13" t="s">
        <v>4238</v>
      </c>
      <c r="K561" s="172"/>
      <c r="L561" s="172"/>
      <c r="CJ561" s="81" t="s">
        <v>1790</v>
      </c>
    </row>
    <row r="562" spans="1:99" ht="25.5" x14ac:dyDescent="0.2">
      <c r="A562" s="176" t="str">
        <f t="shared" si="8"/>
        <v>NamedLandTract</v>
      </c>
      <c r="B562" s="11" t="s">
        <v>4244</v>
      </c>
      <c r="C562" s="173"/>
      <c r="D562" s="22" t="s">
        <v>4245</v>
      </c>
      <c r="E562" s="15" t="s">
        <v>4246</v>
      </c>
      <c r="F562" s="15" t="s">
        <v>4247</v>
      </c>
      <c r="G562" s="174"/>
      <c r="H562" s="37">
        <v>100405</v>
      </c>
      <c r="I562" s="25" t="str">
        <f>CONCATENATE(Cover!$D$6,"fdd/view?i=",H562)</f>
        <v>https://www.dgiwg.org/FAD/fdd/view?i=100405</v>
      </c>
      <c r="J562" s="13" t="s">
        <v>4243</v>
      </c>
      <c r="K562" s="172"/>
      <c r="L562" s="172"/>
      <c r="CU562" s="87" t="s">
        <v>1790</v>
      </c>
    </row>
    <row r="563" spans="1:99" ht="25.5" x14ac:dyDescent="0.2">
      <c r="A563" s="176" t="str">
        <f t="shared" si="8"/>
        <v>NamedLocation</v>
      </c>
      <c r="B563" s="11" t="s">
        <v>4249</v>
      </c>
      <c r="C563" s="173"/>
      <c r="D563" s="22" t="s">
        <v>4250</v>
      </c>
      <c r="E563" s="15" t="s">
        <v>4251</v>
      </c>
      <c r="F563" s="15" t="s">
        <v>4252</v>
      </c>
      <c r="G563" s="174"/>
      <c r="H563" s="37">
        <v>100581</v>
      </c>
      <c r="I563" s="25" t="str">
        <f>CONCATENATE(Cover!$D$6,"fdd/view?i=",H563)</f>
        <v>https://www.dgiwg.org/FAD/fdd/view?i=100581</v>
      </c>
      <c r="J563" s="13" t="s">
        <v>4248</v>
      </c>
      <c r="K563" s="172"/>
      <c r="L563" s="172"/>
      <c r="CU563" s="87" t="s">
        <v>1790</v>
      </c>
    </row>
    <row r="564" spans="1:99" ht="25.5" x14ac:dyDescent="0.2">
      <c r="A564" s="176" t="str">
        <f t="shared" si="8"/>
        <v>NaturalEnvironLimit</v>
      </c>
      <c r="B564" s="11" t="s">
        <v>4254</v>
      </c>
      <c r="C564" s="173"/>
      <c r="D564" s="22" t="s">
        <v>4255</v>
      </c>
      <c r="E564" s="15" t="s">
        <v>4256</v>
      </c>
      <c r="F564" s="15" t="s">
        <v>4257</v>
      </c>
      <c r="G564" s="174"/>
      <c r="H564" s="37">
        <v>118436</v>
      </c>
      <c r="I564" s="25" t="str">
        <f>CONCATENATE(Cover!$D$6,"fdd/view?i=",H564)</f>
        <v>https://www.dgiwg.org/FAD/fdd/view?i=118436</v>
      </c>
      <c r="J564" s="13" t="s">
        <v>4253</v>
      </c>
      <c r="K564" s="172"/>
      <c r="L564" s="172"/>
      <c r="BT564" s="85" t="s">
        <v>1790</v>
      </c>
      <c r="BZ564" s="83" t="s">
        <v>1790</v>
      </c>
      <c r="CA564" s="83" t="s">
        <v>1790</v>
      </c>
      <c r="CB564" s="89" t="s">
        <v>1790</v>
      </c>
      <c r="CC564" s="81" t="s">
        <v>1790</v>
      </c>
      <c r="CN564" s="83" t="s">
        <v>1790</v>
      </c>
      <c r="CO564" s="89" t="s">
        <v>1790</v>
      </c>
    </row>
    <row r="565" spans="1:99" ht="25.5" x14ac:dyDescent="0.2">
      <c r="A565" s="176" t="str">
        <f t="shared" si="8"/>
        <v>NaturalEnvironRegion</v>
      </c>
      <c r="B565" s="11" t="s">
        <v>4259</v>
      </c>
      <c r="C565" s="173"/>
      <c r="D565" s="22" t="s">
        <v>4260</v>
      </c>
      <c r="E565" s="15" t="s">
        <v>4261</v>
      </c>
      <c r="F565" s="174"/>
      <c r="G565" s="174"/>
      <c r="H565" s="37">
        <v>118435</v>
      </c>
      <c r="I565" s="25" t="str">
        <f>CONCATENATE(Cover!$D$6,"fdd/view?i=",H565)</f>
        <v>https://www.dgiwg.org/FAD/fdd/view?i=118435</v>
      </c>
      <c r="J565" s="13" t="s">
        <v>4258</v>
      </c>
      <c r="K565" s="172"/>
      <c r="L565" s="172"/>
      <c r="BT565" s="85" t="s">
        <v>1790</v>
      </c>
      <c r="BZ565" s="83" t="s">
        <v>1790</v>
      </c>
      <c r="CA565" s="83" t="s">
        <v>1790</v>
      </c>
      <c r="CB565" s="89" t="s">
        <v>1790</v>
      </c>
      <c r="CC565" s="81" t="s">
        <v>1790</v>
      </c>
      <c r="CN565" s="83" t="s">
        <v>1790</v>
      </c>
      <c r="CO565" s="89" t="s">
        <v>1790</v>
      </c>
    </row>
    <row r="566" spans="1:99" ht="38.25" x14ac:dyDescent="0.2">
      <c r="A566" s="176" t="str">
        <f t="shared" si="8"/>
        <v>NaturalPool</v>
      </c>
      <c r="B566" s="11" t="s">
        <v>4263</v>
      </c>
      <c r="C566" s="173"/>
      <c r="D566" s="22" t="s">
        <v>4264</v>
      </c>
      <c r="E566" s="15" t="s">
        <v>4265</v>
      </c>
      <c r="F566" s="15" t="s">
        <v>4266</v>
      </c>
      <c r="G566" s="174"/>
      <c r="H566" s="37">
        <v>100358</v>
      </c>
      <c r="I566" s="25" t="str">
        <f>CONCATENATE(Cover!$D$6,"fdd/view?i=",H566)</f>
        <v>https://www.dgiwg.org/FAD/fdd/view?i=100358</v>
      </c>
      <c r="J566" s="13" t="s">
        <v>4262</v>
      </c>
      <c r="K566" s="172"/>
      <c r="L566" s="172"/>
      <c r="BJ566" s="83" t="s">
        <v>1790</v>
      </c>
    </row>
    <row r="567" spans="1:99" ht="25.5" x14ac:dyDescent="0.2">
      <c r="A567" s="176" t="str">
        <f t="shared" si="8"/>
        <v>NavalFiringPracticeArea</v>
      </c>
      <c r="B567" s="11" t="s">
        <v>4268</v>
      </c>
      <c r="C567" s="173"/>
      <c r="D567" s="22" t="s">
        <v>4269</v>
      </c>
      <c r="E567" s="15" t="s">
        <v>4270</v>
      </c>
      <c r="F567" s="15" t="s">
        <v>4271</v>
      </c>
      <c r="G567" s="174"/>
      <c r="H567" s="37">
        <v>111105</v>
      </c>
      <c r="I567" s="25" t="str">
        <f>CONCATENATE(Cover!$D$6,"fdd/view?i=",H567)</f>
        <v>https://www.dgiwg.org/FAD/fdd/view?i=111105</v>
      </c>
      <c r="J567" s="13" t="s">
        <v>4267</v>
      </c>
      <c r="K567" s="172"/>
      <c r="L567" s="172"/>
      <c r="AS567" s="82" t="s">
        <v>1790</v>
      </c>
      <c r="BI567" s="83" t="s">
        <v>1790</v>
      </c>
      <c r="CK567" s="82" t="s">
        <v>1790</v>
      </c>
      <c r="CL567" s="85" t="s">
        <v>1790</v>
      </c>
    </row>
    <row r="568" spans="1:99" ht="25.5" x14ac:dyDescent="0.2">
      <c r="A568" s="176" t="str">
        <f t="shared" si="8"/>
        <v>NavalOperationsArea</v>
      </c>
      <c r="B568" s="11" t="s">
        <v>4273</v>
      </c>
      <c r="C568" s="173"/>
      <c r="D568" s="22" t="s">
        <v>4274</v>
      </c>
      <c r="E568" s="15" t="s">
        <v>4275</v>
      </c>
      <c r="F568" s="15" t="s">
        <v>4276</v>
      </c>
      <c r="G568" s="174"/>
      <c r="H568" s="37">
        <v>111106</v>
      </c>
      <c r="I568" s="25" t="str">
        <f>CONCATENATE(Cover!$D$6,"fdd/view?i=",H568)</f>
        <v>https://www.dgiwg.org/FAD/fdd/view?i=111106</v>
      </c>
      <c r="J568" s="13" t="s">
        <v>4272</v>
      </c>
      <c r="K568" s="172"/>
      <c r="L568" s="172"/>
      <c r="AS568" s="82" t="s">
        <v>1790</v>
      </c>
      <c r="BI568" s="83" t="s">
        <v>1790</v>
      </c>
      <c r="CK568" s="82" t="s">
        <v>1790</v>
      </c>
      <c r="CL568" s="85" t="s">
        <v>1790</v>
      </c>
    </row>
    <row r="569" spans="1:99" ht="25.5" x14ac:dyDescent="0.2">
      <c r="A569" s="176" t="str">
        <f t="shared" si="8"/>
        <v>NavigationLine</v>
      </c>
      <c r="B569" s="11" t="s">
        <v>4278</v>
      </c>
      <c r="C569" s="173"/>
      <c r="D569" s="22" t="s">
        <v>4279</v>
      </c>
      <c r="E569" s="15" t="s">
        <v>4280</v>
      </c>
      <c r="F569" s="174"/>
      <c r="G569" s="174"/>
      <c r="H569" s="37">
        <v>100264</v>
      </c>
      <c r="I569" s="25" t="str">
        <f>CONCATENATE(Cover!$D$6,"fdd/view?i=",H569)</f>
        <v>https://www.dgiwg.org/FAD/fdd/view?i=100264</v>
      </c>
      <c r="J569" s="13" t="s">
        <v>4277</v>
      </c>
      <c r="K569" s="172"/>
      <c r="L569" s="172"/>
      <c r="AS569" s="82" t="s">
        <v>1790</v>
      </c>
      <c r="BF569" s="83" t="s">
        <v>1790</v>
      </c>
    </row>
    <row r="570" spans="1:99" ht="25.5" x14ac:dyDescent="0.2">
      <c r="A570" s="176" t="str">
        <f t="shared" si="8"/>
        <v>Nearshore</v>
      </c>
      <c r="B570" s="11" t="s">
        <v>4282</v>
      </c>
      <c r="C570" s="173"/>
      <c r="D570" s="22" t="s">
        <v>4281</v>
      </c>
      <c r="E570" s="15" t="s">
        <v>4283</v>
      </c>
      <c r="F570" s="174"/>
      <c r="G570" s="174"/>
      <c r="H570" s="37">
        <v>100207</v>
      </c>
      <c r="I570" s="25" t="str">
        <f>CONCATENATE(Cover!$D$6,"fdd/view?i=",H570)</f>
        <v>https://www.dgiwg.org/FAD/fdd/view?i=100207</v>
      </c>
      <c r="J570" s="13" t="s">
        <v>4281</v>
      </c>
      <c r="K570" s="172"/>
      <c r="L570" s="172"/>
      <c r="AZ570" s="87" t="s">
        <v>1790</v>
      </c>
    </row>
    <row r="571" spans="1:99" ht="51" x14ac:dyDescent="0.2">
      <c r="A571" s="176" t="str">
        <f t="shared" si="8"/>
        <v>NoiseControlArea</v>
      </c>
      <c r="B571" s="11" t="s">
        <v>4285</v>
      </c>
      <c r="C571" s="173"/>
      <c r="D571" s="22" t="s">
        <v>4286</v>
      </c>
      <c r="E571" s="15" t="s">
        <v>4287</v>
      </c>
      <c r="F571" s="174"/>
      <c r="G571" s="174"/>
      <c r="H571" s="37">
        <v>111352</v>
      </c>
      <c r="I571" s="25" t="str">
        <f>CONCATENATE(Cover!$D$6,"fdd/view?i=",H571)</f>
        <v>https://www.dgiwg.org/FAD/fdd/view?i=111352</v>
      </c>
      <c r="J571" s="13" t="s">
        <v>4284</v>
      </c>
      <c r="K571" s="172"/>
      <c r="L571" s="172"/>
      <c r="AT571" s="82" t="s">
        <v>1790</v>
      </c>
      <c r="AW571" s="82" t="s">
        <v>1790</v>
      </c>
      <c r="CE571" s="87" t="s">
        <v>1790</v>
      </c>
    </row>
    <row r="572" spans="1:99" ht="76.5" x14ac:dyDescent="0.2">
      <c r="A572" s="176" t="str">
        <f t="shared" si="8"/>
        <v>NonBuildingStructure</v>
      </c>
      <c r="B572" s="11" t="s">
        <v>4289</v>
      </c>
      <c r="C572" s="173"/>
      <c r="D572" s="22" t="s">
        <v>4290</v>
      </c>
      <c r="E572" s="15" t="s">
        <v>4291</v>
      </c>
      <c r="F572" s="15" t="s">
        <v>4292</v>
      </c>
      <c r="G572" s="174"/>
      <c r="H572" s="37">
        <v>111416</v>
      </c>
      <c r="I572" s="25" t="str">
        <f>CONCATENATE(Cover!$D$6,"fdd/view?i=",H572)</f>
        <v>https://www.dgiwg.org/FAD/fdd/view?i=111416</v>
      </c>
      <c r="J572" s="13" t="s">
        <v>4288</v>
      </c>
      <c r="K572" s="172"/>
      <c r="L572" s="172"/>
      <c r="AK572" s="83" t="s">
        <v>1790</v>
      </c>
    </row>
    <row r="573" spans="1:99" x14ac:dyDescent="0.2">
      <c r="A573" s="176" t="str">
        <f t="shared" si="8"/>
        <v>NonCommunicationTower</v>
      </c>
      <c r="B573" s="11" t="s">
        <v>4294</v>
      </c>
      <c r="C573" s="173"/>
      <c r="D573" s="22" t="s">
        <v>4295</v>
      </c>
      <c r="E573" s="15" t="s">
        <v>4296</v>
      </c>
      <c r="F573" s="15" t="s">
        <v>4297</v>
      </c>
      <c r="G573" s="174"/>
      <c r="H573" s="37">
        <v>100121</v>
      </c>
      <c r="I573" s="25" t="str">
        <f>CONCATENATE(Cover!$D$6,"fdd/view?i=",H573)</f>
        <v>https://www.dgiwg.org/FAD/fdd/view?i=100121</v>
      </c>
      <c r="J573" s="13" t="s">
        <v>4293</v>
      </c>
      <c r="K573" s="172"/>
      <c r="L573" s="172"/>
      <c r="AJ573" s="83" t="s">
        <v>1790</v>
      </c>
    </row>
    <row r="574" spans="1:99" ht="38.25" x14ac:dyDescent="0.2">
      <c r="A574" s="176" t="str">
        <f t="shared" si="8"/>
        <v>NonDirectionalRadioBeacon</v>
      </c>
      <c r="B574" s="11" t="s">
        <v>4299</v>
      </c>
      <c r="C574" s="173"/>
      <c r="D574" s="22" t="s">
        <v>4300</v>
      </c>
      <c r="E574" s="15" t="s">
        <v>4301</v>
      </c>
      <c r="F574" s="15" t="s">
        <v>4302</v>
      </c>
      <c r="G574" s="15" t="s">
        <v>4303</v>
      </c>
      <c r="H574" s="37">
        <v>114511</v>
      </c>
      <c r="I574" s="25" t="str">
        <f>CONCATENATE(Cover!$D$6,"fdd/view?i=",H574)</f>
        <v>https://www.dgiwg.org/FAD/fdd/view?i=114511</v>
      </c>
      <c r="J574" s="13" t="s">
        <v>4298</v>
      </c>
      <c r="K574" s="172"/>
      <c r="L574" s="172"/>
      <c r="CG574" s="83" t="s">
        <v>1790</v>
      </c>
    </row>
    <row r="575" spans="1:99" ht="38.25" x14ac:dyDescent="0.2">
      <c r="A575" s="176" t="str">
        <f t="shared" si="8"/>
        <v>NonSubmarineContact</v>
      </c>
      <c r="B575" s="11" t="s">
        <v>4305</v>
      </c>
      <c r="C575" s="173"/>
      <c r="D575" s="22" t="s">
        <v>4306</v>
      </c>
      <c r="E575" s="15" t="s">
        <v>4307</v>
      </c>
      <c r="F575" s="174"/>
      <c r="G575" s="174"/>
      <c r="H575" s="37">
        <v>110760</v>
      </c>
      <c r="I575" s="25" t="str">
        <f>CONCATENATE(Cover!$D$6,"fdd/view?i=",H575)</f>
        <v>https://www.dgiwg.org/FAD/fdd/view?i=110760</v>
      </c>
      <c r="J575" s="13" t="s">
        <v>4304</v>
      </c>
      <c r="K575" s="172"/>
      <c r="L575" s="172"/>
      <c r="BC575" s="83" t="s">
        <v>1790</v>
      </c>
      <c r="BG575" s="83" t="s">
        <v>1790</v>
      </c>
    </row>
    <row r="576" spans="1:99" ht="51" x14ac:dyDescent="0.2">
      <c r="A576" s="176" t="str">
        <f t="shared" si="8"/>
        <v>NonWaterWell</v>
      </c>
      <c r="B576" s="11" t="s">
        <v>4309</v>
      </c>
      <c r="C576" s="173"/>
      <c r="D576" s="22" t="s">
        <v>4310</v>
      </c>
      <c r="E576" s="15" t="s">
        <v>4311</v>
      </c>
      <c r="F576" s="15" t="s">
        <v>4312</v>
      </c>
      <c r="G576" s="174"/>
      <c r="H576" s="37">
        <v>118442</v>
      </c>
      <c r="I576" s="25" t="str">
        <f>CONCATENATE(Cover!$D$6,"fdd/view?i=",H576)</f>
        <v>https://www.dgiwg.org/FAD/fdd/view?i=118442</v>
      </c>
      <c r="J576" s="13" t="s">
        <v>4308</v>
      </c>
      <c r="K576" s="172"/>
      <c r="L576" s="172"/>
      <c r="AG576" s="82" t="s">
        <v>1790</v>
      </c>
      <c r="AY576" s="85" t="s">
        <v>1790</v>
      </c>
      <c r="BJ576" s="83" t="s">
        <v>1790</v>
      </c>
      <c r="BP576" s="82" t="s">
        <v>1790</v>
      </c>
    </row>
    <row r="577" spans="1:107" ht="25.5" x14ac:dyDescent="0.2">
      <c r="A577" s="176" t="str">
        <f t="shared" si="8"/>
        <v>Note</v>
      </c>
      <c r="B577" s="11" t="s">
        <v>4313</v>
      </c>
      <c r="C577" s="173"/>
      <c r="D577" s="22" t="s">
        <v>45</v>
      </c>
      <c r="E577" s="15" t="s">
        <v>4314</v>
      </c>
      <c r="F577" s="174"/>
      <c r="G577" s="174"/>
      <c r="H577" s="37">
        <v>114190</v>
      </c>
      <c r="I577" s="25" t="str">
        <f>CONCATENATE(Cover!$D$6,"fdd/view?i=",H577)</f>
        <v>https://www.dgiwg.org/FAD/fdd/view?i=114190</v>
      </c>
      <c r="J577" s="13" t="s">
        <v>45</v>
      </c>
      <c r="K577" s="172"/>
      <c r="L577" s="172"/>
      <c r="DC577" s="87" t="s">
        <v>1790</v>
      </c>
    </row>
    <row r="578" spans="1:107" ht="25.5" x14ac:dyDescent="0.2">
      <c r="A578" s="176" t="str">
        <f t="shared" si="8"/>
        <v>NuclearReactor</v>
      </c>
      <c r="B578" s="11" t="s">
        <v>4316</v>
      </c>
      <c r="C578" s="173"/>
      <c r="D578" s="22" t="s">
        <v>4317</v>
      </c>
      <c r="E578" s="15" t="s">
        <v>4318</v>
      </c>
      <c r="F578" s="15" t="s">
        <v>4319</v>
      </c>
      <c r="G578" s="174"/>
      <c r="H578" s="37">
        <v>100025</v>
      </c>
      <c r="I578" s="25" t="str">
        <f>CONCATENATE(Cover!$D$6,"fdd/view?i=",H578)</f>
        <v>https://www.dgiwg.org/FAD/fdd/view?i=100025</v>
      </c>
      <c r="J578" s="13" t="s">
        <v>4315</v>
      </c>
      <c r="K578" s="172"/>
      <c r="L578" s="172"/>
      <c r="AD578" s="82" t="s">
        <v>1790</v>
      </c>
    </row>
    <row r="579" spans="1:107" ht="51" x14ac:dyDescent="0.2">
      <c r="A579" s="176" t="str">
        <f t="shared" ref="A579:A642" si="9">HYPERLINK(I579,J579)</f>
        <v>NuclearReactorContainment</v>
      </c>
      <c r="B579" s="11" t="s">
        <v>4321</v>
      </c>
      <c r="C579" s="173"/>
      <c r="D579" s="22" t="s">
        <v>4322</v>
      </c>
      <c r="E579" s="15" t="s">
        <v>4323</v>
      </c>
      <c r="F579" s="15" t="s">
        <v>4324</v>
      </c>
      <c r="G579" s="174"/>
      <c r="H579" s="37">
        <v>114170</v>
      </c>
      <c r="I579" s="25" t="str">
        <f>CONCATENATE(Cover!$D$6,"fdd/view?i=",H579)</f>
        <v>https://www.dgiwg.org/FAD/fdd/view?i=114170</v>
      </c>
      <c r="J579" s="13" t="s">
        <v>4320</v>
      </c>
      <c r="K579" s="172"/>
      <c r="L579" s="172"/>
      <c r="AD579" s="82" t="s">
        <v>1790</v>
      </c>
      <c r="AF579" s="82" t="s">
        <v>1790</v>
      </c>
    </row>
    <row r="580" spans="1:107" ht="38.25" x14ac:dyDescent="0.2">
      <c r="A580" s="176" t="str">
        <f t="shared" si="9"/>
        <v>Oasis</v>
      </c>
      <c r="B580" s="11" t="s">
        <v>4326</v>
      </c>
      <c r="C580" s="173"/>
      <c r="D580" s="22" t="s">
        <v>4325</v>
      </c>
      <c r="E580" s="15" t="s">
        <v>4327</v>
      </c>
      <c r="F580" s="15" t="s">
        <v>4328</v>
      </c>
      <c r="G580" s="174"/>
      <c r="H580" s="37">
        <v>100445</v>
      </c>
      <c r="I580" s="25" t="str">
        <f>CONCATENATE(Cover!$D$6,"fdd/view?i=",H580)</f>
        <v>https://www.dgiwg.org/FAD/fdd/view?i=100445</v>
      </c>
      <c r="J580" s="13" t="s">
        <v>4325</v>
      </c>
      <c r="K580" s="172"/>
      <c r="L580" s="172"/>
      <c r="BY580" s="83" t="s">
        <v>1790</v>
      </c>
    </row>
    <row r="581" spans="1:107" ht="51" x14ac:dyDescent="0.2">
      <c r="A581" s="176" t="str">
        <f t="shared" si="9"/>
        <v>ObstacleFreeZone</v>
      </c>
      <c r="B581" s="11" t="s">
        <v>4330</v>
      </c>
      <c r="C581" s="173"/>
      <c r="D581" s="22" t="s">
        <v>4331</v>
      </c>
      <c r="E581" s="15" t="s">
        <v>4332</v>
      </c>
      <c r="F581" s="174"/>
      <c r="G581" s="15" t="s">
        <v>4333</v>
      </c>
      <c r="H581" s="37">
        <v>114601</v>
      </c>
      <c r="I581" s="25" t="str">
        <f>CONCATENATE(Cover!$D$6,"fdd/view?i=",H581)</f>
        <v>https://www.dgiwg.org/FAD/fdd/view?i=114601</v>
      </c>
      <c r="J581" s="13" t="s">
        <v>4329</v>
      </c>
      <c r="K581" s="172"/>
      <c r="L581" s="172"/>
      <c r="CG581" s="83" t="s">
        <v>1790</v>
      </c>
    </row>
    <row r="582" spans="1:107" x14ac:dyDescent="0.2">
      <c r="A582" s="176" t="str">
        <f t="shared" si="9"/>
        <v>OccupationZone</v>
      </c>
      <c r="B582" s="11" t="s">
        <v>4335</v>
      </c>
      <c r="C582" s="173"/>
      <c r="D582" s="22" t="s">
        <v>4336</v>
      </c>
      <c r="E582" s="15" t="s">
        <v>4337</v>
      </c>
      <c r="F582" s="174"/>
      <c r="G582" s="174"/>
      <c r="H582" s="37">
        <v>100473</v>
      </c>
      <c r="I582" s="25" t="str">
        <f>CONCATENATE(Cover!$D$6,"fdd/view?i=",H582)</f>
        <v>https://www.dgiwg.org/FAD/fdd/view?i=100473</v>
      </c>
      <c r="J582" s="13" t="s">
        <v>4334</v>
      </c>
      <c r="K582" s="172"/>
      <c r="L582" s="172"/>
      <c r="CC582" s="81" t="s">
        <v>1790</v>
      </c>
      <c r="CK582" s="82" t="s">
        <v>1790</v>
      </c>
    </row>
    <row r="583" spans="1:107" ht="25.5" x14ac:dyDescent="0.2">
      <c r="A583" s="176" t="str">
        <f t="shared" si="9"/>
        <v>OceanRegion</v>
      </c>
      <c r="B583" s="11" t="s">
        <v>4339</v>
      </c>
      <c r="C583" s="173"/>
      <c r="D583" s="22" t="s">
        <v>4340</v>
      </c>
      <c r="E583" s="15" t="s">
        <v>4341</v>
      </c>
      <c r="F583" s="15" t="s">
        <v>4342</v>
      </c>
      <c r="G583" s="174"/>
      <c r="H583" s="37">
        <v>111392</v>
      </c>
      <c r="I583" s="25" t="str">
        <f>CONCATENATE(Cover!$D$6,"fdd/view?i=",H583)</f>
        <v>https://www.dgiwg.org/FAD/fdd/view?i=111392</v>
      </c>
      <c r="J583" s="13" t="s">
        <v>4338</v>
      </c>
      <c r="K583" s="172"/>
      <c r="L583" s="172"/>
      <c r="BZ583" s="83" t="s">
        <v>1790</v>
      </c>
    </row>
    <row r="584" spans="1:107" ht="25.5" x14ac:dyDescent="0.2">
      <c r="A584" s="176" t="str">
        <f t="shared" si="9"/>
        <v>OceanographicFront</v>
      </c>
      <c r="B584" s="11" t="s">
        <v>4344</v>
      </c>
      <c r="C584" s="173"/>
      <c r="D584" s="22" t="s">
        <v>4345</v>
      </c>
      <c r="E584" s="15" t="s">
        <v>4346</v>
      </c>
      <c r="F584" s="174"/>
      <c r="G584" s="174"/>
      <c r="H584" s="37">
        <v>119168</v>
      </c>
      <c r="I584" s="25" t="str">
        <f>CONCATENATE(Cover!$D$6,"fdd/view?i=",H584)</f>
        <v>https://www.dgiwg.org/FAD/fdd/view?i=119168</v>
      </c>
      <c r="J584" s="13" t="s">
        <v>4343</v>
      </c>
      <c r="K584" s="172"/>
      <c r="L584" s="172"/>
      <c r="BK584" s="89" t="s">
        <v>1790</v>
      </c>
    </row>
    <row r="585" spans="1:107" ht="76.5" x14ac:dyDescent="0.2">
      <c r="A585" s="176" t="str">
        <f t="shared" si="9"/>
        <v>OfficePark</v>
      </c>
      <c r="B585" s="11" t="s">
        <v>4348</v>
      </c>
      <c r="C585" s="173"/>
      <c r="D585" s="22" t="s">
        <v>4349</v>
      </c>
      <c r="E585" s="15" t="s">
        <v>4350</v>
      </c>
      <c r="F585" s="15" t="s">
        <v>4351</v>
      </c>
      <c r="G585" s="174"/>
      <c r="H585" s="37">
        <v>111401</v>
      </c>
      <c r="I585" s="25" t="str">
        <f>CONCATENATE(Cover!$D$6,"fdd/view?i=",H585)</f>
        <v>https://www.dgiwg.org/FAD/fdd/view?i=111401</v>
      </c>
      <c r="J585" s="13" t="s">
        <v>4347</v>
      </c>
      <c r="K585" s="172"/>
      <c r="L585" s="172"/>
      <c r="AK585" s="83" t="s">
        <v>1790</v>
      </c>
    </row>
    <row r="586" spans="1:107" ht="25.5" x14ac:dyDescent="0.2">
      <c r="A586" s="176" t="str">
        <f t="shared" si="9"/>
        <v>Offshore</v>
      </c>
      <c r="B586" s="11" t="s">
        <v>4353</v>
      </c>
      <c r="C586" s="173"/>
      <c r="D586" s="22" t="s">
        <v>4352</v>
      </c>
      <c r="E586" s="15" t="s">
        <v>4354</v>
      </c>
      <c r="F586" s="174"/>
      <c r="G586" s="174"/>
      <c r="H586" s="37">
        <v>100211</v>
      </c>
      <c r="I586" s="25" t="str">
        <f>CONCATENATE(Cover!$D$6,"fdd/view?i=",H586)</f>
        <v>https://www.dgiwg.org/FAD/fdd/view?i=100211</v>
      </c>
      <c r="J586" s="13" t="s">
        <v>4352</v>
      </c>
      <c r="K586" s="172"/>
      <c r="L586" s="172"/>
      <c r="AZ586" s="87" t="s">
        <v>1790</v>
      </c>
      <c r="BD586" s="83" t="s">
        <v>1790</v>
      </c>
    </row>
    <row r="587" spans="1:107" ht="51" x14ac:dyDescent="0.2">
      <c r="A587" s="176" t="str">
        <f t="shared" si="9"/>
        <v>OffshoreConstruction</v>
      </c>
      <c r="B587" s="11" t="s">
        <v>4356</v>
      </c>
      <c r="C587" s="173"/>
      <c r="D587" s="22" t="s">
        <v>4357</v>
      </c>
      <c r="E587" s="15" t="s">
        <v>4358</v>
      </c>
      <c r="F587" s="15" t="s">
        <v>4359</v>
      </c>
      <c r="G587" s="174"/>
      <c r="H587" s="37">
        <v>111095</v>
      </c>
      <c r="I587" s="25" t="str">
        <f>CONCATENATE(Cover!$D$6,"fdd/view?i=",H587)</f>
        <v>https://www.dgiwg.org/FAD/fdd/view?i=111095</v>
      </c>
      <c r="J587" s="13" t="s">
        <v>4355</v>
      </c>
      <c r="K587" s="172"/>
      <c r="L587" s="172"/>
      <c r="AA587" s="81" t="s">
        <v>1790</v>
      </c>
      <c r="AZ587" s="87" t="s">
        <v>1790</v>
      </c>
      <c r="BD587" s="83" t="s">
        <v>1790</v>
      </c>
    </row>
    <row r="588" spans="1:107" ht="25.5" x14ac:dyDescent="0.2">
      <c r="A588" s="176" t="str">
        <f t="shared" si="9"/>
        <v>OffshorePlatform</v>
      </c>
      <c r="B588" s="11" t="s">
        <v>4361</v>
      </c>
      <c r="C588" s="173"/>
      <c r="D588" s="22" t="s">
        <v>4362</v>
      </c>
      <c r="E588" s="15" t="s">
        <v>4363</v>
      </c>
      <c r="F588" s="15" t="s">
        <v>4364</v>
      </c>
      <c r="G588" s="174"/>
      <c r="H588" s="37">
        <v>100297</v>
      </c>
      <c r="I588" s="25" t="str">
        <f>CONCATENATE(Cover!$D$6,"fdd/view?i=",H588)</f>
        <v>https://www.dgiwg.org/FAD/fdd/view?i=100297</v>
      </c>
      <c r="J588" s="13" t="s">
        <v>4360</v>
      </c>
      <c r="K588" s="172"/>
      <c r="L588" s="172"/>
      <c r="BD588" s="83" t="s">
        <v>1790</v>
      </c>
      <c r="BG588" s="83" t="s">
        <v>1790</v>
      </c>
    </row>
    <row r="589" spans="1:107" x14ac:dyDescent="0.2">
      <c r="A589" s="176" t="str">
        <f t="shared" si="9"/>
        <v>OilBarrier</v>
      </c>
      <c r="B589" s="11" t="s">
        <v>4366</v>
      </c>
      <c r="C589" s="173"/>
      <c r="D589" s="22" t="s">
        <v>4367</v>
      </c>
      <c r="E589" s="15" t="s">
        <v>4368</v>
      </c>
      <c r="F589" s="174"/>
      <c r="G589" s="174"/>
      <c r="H589" s="37">
        <v>100292</v>
      </c>
      <c r="I589" s="25" t="str">
        <f>CONCATENATE(Cover!$D$6,"fdd/view?i=",H589)</f>
        <v>https://www.dgiwg.org/FAD/fdd/view?i=100292</v>
      </c>
      <c r="J589" s="13" t="s">
        <v>4365</v>
      </c>
      <c r="K589" s="172"/>
      <c r="L589" s="172"/>
      <c r="BD589" s="83" t="s">
        <v>1790</v>
      </c>
      <c r="BG589" s="83" t="s">
        <v>1790</v>
      </c>
    </row>
    <row r="590" spans="1:107" ht="25.5" x14ac:dyDescent="0.2">
      <c r="A590" s="176" t="str">
        <f t="shared" si="9"/>
        <v>OpenAirBath</v>
      </c>
      <c r="B590" s="11" t="s">
        <v>4370</v>
      </c>
      <c r="C590" s="173"/>
      <c r="D590" s="22" t="s">
        <v>4371</v>
      </c>
      <c r="E590" s="15" t="s">
        <v>4372</v>
      </c>
      <c r="F590" s="174"/>
      <c r="G590" s="174"/>
      <c r="H590" s="37">
        <v>111347</v>
      </c>
      <c r="I590" s="25" t="str">
        <f>CONCATENATE(Cover!$D$6,"fdd/view?i=",H590)</f>
        <v>https://www.dgiwg.org/FAD/fdd/view?i=111347</v>
      </c>
      <c r="J590" s="13" t="s">
        <v>4369</v>
      </c>
      <c r="K590" s="172"/>
      <c r="L590" s="172"/>
      <c r="AL590" s="83" t="s">
        <v>1790</v>
      </c>
    </row>
    <row r="591" spans="1:107" ht="25.5" x14ac:dyDescent="0.2">
      <c r="A591" s="176" t="str">
        <f t="shared" si="9"/>
        <v>OpenWater</v>
      </c>
      <c r="B591" s="11" t="s">
        <v>4374</v>
      </c>
      <c r="C591" s="173"/>
      <c r="D591" s="22" t="s">
        <v>4375</v>
      </c>
      <c r="E591" s="15" t="s">
        <v>4376</v>
      </c>
      <c r="F591" s="15" t="s">
        <v>4377</v>
      </c>
      <c r="G591" s="174"/>
      <c r="H591" s="37">
        <v>100553</v>
      </c>
      <c r="I591" s="25" t="str">
        <f>CONCATENATE(Cover!$D$6,"fdd/view?i=",H591)</f>
        <v>https://www.dgiwg.org/FAD/fdd/view?i=100553</v>
      </c>
      <c r="J591" s="13" t="s">
        <v>4373</v>
      </c>
      <c r="K591" s="172"/>
      <c r="L591" s="172"/>
      <c r="BT591" s="85" t="s">
        <v>1790</v>
      </c>
    </row>
    <row r="592" spans="1:107" x14ac:dyDescent="0.2">
      <c r="A592" s="176" t="str">
        <f t="shared" si="9"/>
        <v>Orchard</v>
      </c>
      <c r="B592" s="11" t="s">
        <v>4379</v>
      </c>
      <c r="C592" s="173"/>
      <c r="D592" s="22" t="s">
        <v>4378</v>
      </c>
      <c r="E592" s="15" t="s">
        <v>4380</v>
      </c>
      <c r="F592" s="174"/>
      <c r="G592" s="174"/>
      <c r="H592" s="37">
        <v>100436</v>
      </c>
      <c r="I592" s="25" t="str">
        <f>CONCATENATE(Cover!$D$6,"fdd/view?i=",H592)</f>
        <v>https://www.dgiwg.org/FAD/fdd/view?i=100436</v>
      </c>
      <c r="J592" s="13" t="s">
        <v>4378</v>
      </c>
      <c r="K592" s="172"/>
      <c r="L592" s="172"/>
      <c r="BU592" s="87" t="s">
        <v>1790</v>
      </c>
    </row>
    <row r="593" spans="1:73" x14ac:dyDescent="0.2">
      <c r="A593" s="176" t="str">
        <f t="shared" si="9"/>
        <v>OutdoorTheatreScreen</v>
      </c>
      <c r="B593" s="11" t="s">
        <v>4382</v>
      </c>
      <c r="C593" s="173"/>
      <c r="D593" s="22" t="s">
        <v>4383</v>
      </c>
      <c r="E593" s="15" t="s">
        <v>4384</v>
      </c>
      <c r="F593" s="174"/>
      <c r="G593" s="15" t="s">
        <v>4385</v>
      </c>
      <c r="H593" s="37">
        <v>100058</v>
      </c>
      <c r="I593" s="25" t="str">
        <f>CONCATENATE(Cover!$D$6,"fdd/view?i=",H593)</f>
        <v>https://www.dgiwg.org/FAD/fdd/view?i=100058</v>
      </c>
      <c r="J593" s="13" t="s">
        <v>4381</v>
      </c>
      <c r="K593" s="172"/>
      <c r="L593" s="172"/>
      <c r="AL593" s="83" t="s">
        <v>1790</v>
      </c>
    </row>
    <row r="594" spans="1:73" ht="25.5" x14ac:dyDescent="0.2">
      <c r="A594" s="176" t="str">
        <f t="shared" si="9"/>
        <v>OverheadObstruction</v>
      </c>
      <c r="B594" s="11" t="s">
        <v>4387</v>
      </c>
      <c r="C594" s="173"/>
      <c r="D594" s="22" t="s">
        <v>4388</v>
      </c>
      <c r="E594" s="15" t="s">
        <v>4389</v>
      </c>
      <c r="F594" s="174"/>
      <c r="G594" s="174"/>
      <c r="H594" s="37">
        <v>100111</v>
      </c>
      <c r="I594" s="25" t="str">
        <f>CONCATENATE(Cover!$D$6,"fdd/view?i=",H594)</f>
        <v>https://www.dgiwg.org/FAD/fdd/view?i=100111</v>
      </c>
      <c r="J594" s="13" t="s">
        <v>4386</v>
      </c>
      <c r="K594" s="172"/>
      <c r="L594" s="172"/>
      <c r="AU594" s="82" t="s">
        <v>1790</v>
      </c>
    </row>
    <row r="595" spans="1:73" ht="25.5" x14ac:dyDescent="0.2">
      <c r="A595" s="176" t="str">
        <f t="shared" si="9"/>
        <v>OverheadWalkway</v>
      </c>
      <c r="B595" s="11" t="s">
        <v>4391</v>
      </c>
      <c r="C595" s="173"/>
      <c r="D595" s="22" t="s">
        <v>4392</v>
      </c>
      <c r="E595" s="15" t="s">
        <v>4393</v>
      </c>
      <c r="F595" s="15" t="s">
        <v>4394</v>
      </c>
      <c r="G595" s="174"/>
      <c r="H595" s="37">
        <v>100188</v>
      </c>
      <c r="I595" s="25" t="str">
        <f>CONCATENATE(Cover!$D$6,"fdd/view?i=",H595)</f>
        <v>https://www.dgiwg.org/FAD/fdd/view?i=100188</v>
      </c>
      <c r="J595" s="13" t="s">
        <v>4390</v>
      </c>
      <c r="K595" s="172"/>
      <c r="L595" s="172"/>
      <c r="AJ595" s="83" t="s">
        <v>1790</v>
      </c>
      <c r="AV595" s="82" t="s">
        <v>1790</v>
      </c>
      <c r="AW595" s="82" t="s">
        <v>1790</v>
      </c>
    </row>
    <row r="596" spans="1:73" ht="89.25" x14ac:dyDescent="0.2">
      <c r="A596" s="176" t="str">
        <f t="shared" si="9"/>
        <v>PackIce</v>
      </c>
      <c r="B596" s="11" t="s">
        <v>4396</v>
      </c>
      <c r="C596" s="173"/>
      <c r="D596" s="22" t="s">
        <v>4397</v>
      </c>
      <c r="E596" s="15" t="s">
        <v>4398</v>
      </c>
      <c r="F596" s="15" t="s">
        <v>4399</v>
      </c>
      <c r="G596" s="174"/>
      <c r="H596" s="37">
        <v>100385</v>
      </c>
      <c r="I596" s="25" t="str">
        <f>CONCATENATE(Cover!$D$6,"fdd/view?i=",H596)</f>
        <v>https://www.dgiwg.org/FAD/fdd/view?i=100385</v>
      </c>
      <c r="J596" s="13" t="s">
        <v>4395</v>
      </c>
      <c r="K596" s="172"/>
      <c r="L596" s="172"/>
      <c r="BH596" s="83" t="s">
        <v>1790</v>
      </c>
    </row>
    <row r="597" spans="1:73" ht="51" x14ac:dyDescent="0.2">
      <c r="A597" s="176" t="str">
        <f t="shared" si="9"/>
        <v>Park</v>
      </c>
      <c r="B597" s="11" t="s">
        <v>4401</v>
      </c>
      <c r="C597" s="173"/>
      <c r="D597" s="22" t="s">
        <v>4400</v>
      </c>
      <c r="E597" s="15" t="s">
        <v>4402</v>
      </c>
      <c r="F597" s="15" t="s">
        <v>4403</v>
      </c>
      <c r="G597" s="174"/>
      <c r="H597" s="37">
        <v>100064</v>
      </c>
      <c r="I597" s="25" t="str">
        <f>CONCATENATE(Cover!$D$6,"fdd/view?i=",H597)</f>
        <v>https://www.dgiwg.org/FAD/fdd/view?i=100064</v>
      </c>
      <c r="J597" s="13" t="s">
        <v>4400</v>
      </c>
      <c r="K597" s="172"/>
      <c r="L597" s="172"/>
      <c r="AL597" s="83" t="s">
        <v>1790</v>
      </c>
    </row>
    <row r="598" spans="1:73" x14ac:dyDescent="0.2">
      <c r="A598" s="176" t="str">
        <f t="shared" si="9"/>
        <v>ParkingGarage</v>
      </c>
      <c r="B598" s="11" t="s">
        <v>4405</v>
      </c>
      <c r="C598" s="173"/>
      <c r="D598" s="22" t="s">
        <v>4406</v>
      </c>
      <c r="E598" s="15" t="s">
        <v>4407</v>
      </c>
      <c r="F598" s="15" t="s">
        <v>4408</v>
      </c>
      <c r="G598" s="174"/>
      <c r="H598" s="37">
        <v>100185</v>
      </c>
      <c r="I598" s="25" t="str">
        <f>CONCATENATE(Cover!$D$6,"fdd/view?i=",H598)</f>
        <v>https://www.dgiwg.org/FAD/fdd/view?i=100185</v>
      </c>
      <c r="J598" s="13" t="s">
        <v>4404</v>
      </c>
      <c r="K598" s="172"/>
      <c r="L598" s="172"/>
      <c r="AG598" s="82" t="s">
        <v>1790</v>
      </c>
      <c r="AJ598" s="83" t="s">
        <v>1790</v>
      </c>
      <c r="AW598" s="82" t="s">
        <v>1790</v>
      </c>
    </row>
    <row r="599" spans="1:73" x14ac:dyDescent="0.2">
      <c r="A599" s="176" t="str">
        <f t="shared" si="9"/>
        <v>ParticleAccelerator</v>
      </c>
      <c r="B599" s="11" t="s">
        <v>4410</v>
      </c>
      <c r="C599" s="173"/>
      <c r="D599" s="22" t="s">
        <v>4411</v>
      </c>
      <c r="E599" s="15" t="s">
        <v>4412</v>
      </c>
      <c r="F599" s="174"/>
      <c r="G599" s="174"/>
      <c r="H599" s="37">
        <v>100109</v>
      </c>
      <c r="I599" s="25" t="str">
        <f>CONCATENATE(Cover!$D$6,"fdd/view?i=",H599)</f>
        <v>https://www.dgiwg.org/FAD/fdd/view?i=100109</v>
      </c>
      <c r="J599" s="13" t="s">
        <v>4409</v>
      </c>
      <c r="K599" s="172"/>
      <c r="L599" s="172"/>
      <c r="AN599" s="83" t="s">
        <v>1790</v>
      </c>
    </row>
    <row r="600" spans="1:73" ht="25.5" x14ac:dyDescent="0.2">
      <c r="A600" s="176" t="str">
        <f t="shared" si="9"/>
        <v>Penstock</v>
      </c>
      <c r="B600" s="11" t="s">
        <v>4414</v>
      </c>
      <c r="C600" s="173"/>
      <c r="D600" s="22" t="s">
        <v>4413</v>
      </c>
      <c r="E600" s="15" t="s">
        <v>4415</v>
      </c>
      <c r="F600" s="174"/>
      <c r="G600" s="174"/>
      <c r="H600" s="37">
        <v>100346</v>
      </c>
      <c r="I600" s="25" t="str">
        <f>CONCATENATE(Cover!$D$6,"fdd/view?i=",H600)</f>
        <v>https://www.dgiwg.org/FAD/fdd/view?i=100346</v>
      </c>
      <c r="J600" s="13" t="s">
        <v>4413</v>
      </c>
      <c r="K600" s="172"/>
      <c r="L600" s="172"/>
      <c r="BJ600" s="83" t="s">
        <v>1790</v>
      </c>
    </row>
    <row r="601" spans="1:73" x14ac:dyDescent="0.2">
      <c r="A601" s="176" t="str">
        <f t="shared" si="9"/>
        <v>PermanentSnowfield</v>
      </c>
      <c r="B601" s="11" t="s">
        <v>4417</v>
      </c>
      <c r="C601" s="173"/>
      <c r="D601" s="22" t="s">
        <v>4418</v>
      </c>
      <c r="E601" s="15" t="s">
        <v>4419</v>
      </c>
      <c r="F601" s="15" t="s">
        <v>4420</v>
      </c>
      <c r="G601" s="174"/>
      <c r="H601" s="37">
        <v>100556</v>
      </c>
      <c r="I601" s="25" t="str">
        <f>CONCATENATE(Cover!$D$6,"fdd/view?i=",H601)</f>
        <v>https://www.dgiwg.org/FAD/fdd/view?i=100556</v>
      </c>
      <c r="J601" s="13" t="s">
        <v>4416</v>
      </c>
      <c r="K601" s="172"/>
      <c r="L601" s="172"/>
      <c r="BR601" s="82" t="s">
        <v>1790</v>
      </c>
    </row>
    <row r="602" spans="1:73" x14ac:dyDescent="0.2">
      <c r="A602" s="176" t="str">
        <f t="shared" si="9"/>
        <v>PicnicSite</v>
      </c>
      <c r="B602" s="11" t="s">
        <v>4422</v>
      </c>
      <c r="C602" s="173"/>
      <c r="D602" s="22" t="s">
        <v>4423</v>
      </c>
      <c r="E602" s="15" t="s">
        <v>4424</v>
      </c>
      <c r="F602" s="15" t="s">
        <v>4425</v>
      </c>
      <c r="G602" s="174"/>
      <c r="H602" s="37">
        <v>100056</v>
      </c>
      <c r="I602" s="25" t="str">
        <f>CONCATENATE(Cover!$D$6,"fdd/view?i=",H602)</f>
        <v>https://www.dgiwg.org/FAD/fdd/view?i=100056</v>
      </c>
      <c r="J602" s="13" t="s">
        <v>4421</v>
      </c>
      <c r="K602" s="172"/>
      <c r="L602" s="172"/>
      <c r="AL602" s="83" t="s">
        <v>1790</v>
      </c>
    </row>
    <row r="603" spans="1:73" x14ac:dyDescent="0.2">
      <c r="A603" s="176" t="str">
        <f t="shared" si="9"/>
        <v>PicnicTable</v>
      </c>
      <c r="B603" s="11" t="s">
        <v>4427</v>
      </c>
      <c r="C603" s="173"/>
      <c r="D603" s="22" t="s">
        <v>4428</v>
      </c>
      <c r="E603" s="15" t="s">
        <v>4429</v>
      </c>
      <c r="F603" s="15" t="s">
        <v>4430</v>
      </c>
      <c r="G603" s="174"/>
      <c r="H603" s="37">
        <v>100068</v>
      </c>
      <c r="I603" s="25" t="str">
        <f>CONCATENATE(Cover!$D$6,"fdd/view?i=",H603)</f>
        <v>https://www.dgiwg.org/FAD/fdd/view?i=100068</v>
      </c>
      <c r="J603" s="13" t="s">
        <v>4426</v>
      </c>
      <c r="K603" s="172"/>
      <c r="L603" s="172"/>
      <c r="AJ603" s="83" t="s">
        <v>1790</v>
      </c>
      <c r="AL603" s="83" t="s">
        <v>1790</v>
      </c>
    </row>
    <row r="604" spans="1:73" ht="38.25" x14ac:dyDescent="0.2">
      <c r="A604" s="176" t="str">
        <f t="shared" si="9"/>
        <v>PilotBoardingPlace</v>
      </c>
      <c r="B604" s="11" t="s">
        <v>4432</v>
      </c>
      <c r="C604" s="173"/>
      <c r="D604" s="22" t="s">
        <v>4433</v>
      </c>
      <c r="E604" s="15" t="s">
        <v>4434</v>
      </c>
      <c r="F604" s="15" t="s">
        <v>4435</v>
      </c>
      <c r="G604" s="174"/>
      <c r="H604" s="37">
        <v>111292</v>
      </c>
      <c r="I604" s="25" t="str">
        <f>CONCATENATE(Cover!$D$6,"fdd/view?i=",H604)</f>
        <v>https://www.dgiwg.org/FAD/fdd/view?i=111292</v>
      </c>
      <c r="J604" s="13" t="s">
        <v>4431</v>
      </c>
      <c r="K604" s="172"/>
      <c r="L604" s="172"/>
      <c r="AS604" s="82" t="s">
        <v>1790</v>
      </c>
      <c r="AZ604" s="87" t="s">
        <v>1790</v>
      </c>
      <c r="BA604" s="83" t="s">
        <v>1790</v>
      </c>
      <c r="BF604" s="83" t="s">
        <v>1790</v>
      </c>
    </row>
    <row r="605" spans="1:73" ht="25.5" x14ac:dyDescent="0.2">
      <c r="A605" s="176" t="str">
        <f t="shared" si="9"/>
        <v>Pingo</v>
      </c>
      <c r="B605" s="11" t="s">
        <v>4437</v>
      </c>
      <c r="C605" s="173"/>
      <c r="D605" s="22" t="s">
        <v>4436</v>
      </c>
      <c r="E605" s="15" t="s">
        <v>4438</v>
      </c>
      <c r="F605" s="15" t="s">
        <v>4439</v>
      </c>
      <c r="G605" s="174"/>
      <c r="H605" s="37">
        <v>100302</v>
      </c>
      <c r="I605" s="25" t="str">
        <f>CONCATENATE(Cover!$D$6,"fdd/view?i=",H605)</f>
        <v>https://www.dgiwg.org/FAD/fdd/view?i=100302</v>
      </c>
      <c r="J605" s="13" t="s">
        <v>4436</v>
      </c>
      <c r="K605" s="172"/>
      <c r="L605" s="172"/>
      <c r="BM605" s="82" t="s">
        <v>1790</v>
      </c>
      <c r="BO605" s="82" t="s">
        <v>1790</v>
      </c>
      <c r="BR605" s="82" t="s">
        <v>1790</v>
      </c>
    </row>
    <row r="606" spans="1:73" x14ac:dyDescent="0.2">
      <c r="A606" s="176" t="str">
        <f t="shared" si="9"/>
        <v>Pipeline</v>
      </c>
      <c r="B606" s="11" t="s">
        <v>4441</v>
      </c>
      <c r="C606" s="173"/>
      <c r="D606" s="22" t="s">
        <v>4440</v>
      </c>
      <c r="E606" s="15" t="s">
        <v>4442</v>
      </c>
      <c r="F606" s="15" t="s">
        <v>4443</v>
      </c>
      <c r="G606" s="174"/>
      <c r="H606" s="37">
        <v>100173</v>
      </c>
      <c r="I606" s="25" t="str">
        <f>CONCATENATE(Cover!$D$6,"fdd/view?i=",H606)</f>
        <v>https://www.dgiwg.org/FAD/fdd/view?i=100173</v>
      </c>
      <c r="J606" s="13" t="s">
        <v>4440</v>
      </c>
      <c r="K606" s="172"/>
      <c r="L606" s="172"/>
      <c r="AF606" s="82" t="s">
        <v>1790</v>
      </c>
      <c r="BD606" s="83" t="s">
        <v>1790</v>
      </c>
      <c r="BG606" s="83" t="s">
        <v>1790</v>
      </c>
    </row>
    <row r="607" spans="1:73" ht="25.5" x14ac:dyDescent="0.2">
      <c r="A607" s="176" t="str">
        <f t="shared" si="9"/>
        <v>PipelineCrossingPoint</v>
      </c>
      <c r="B607" s="11" t="s">
        <v>4445</v>
      </c>
      <c r="C607" s="173"/>
      <c r="D607" s="22" t="s">
        <v>4446</v>
      </c>
      <c r="E607" s="15" t="s">
        <v>4447</v>
      </c>
      <c r="F607" s="174"/>
      <c r="G607" s="174"/>
      <c r="H607" s="37">
        <v>100112</v>
      </c>
      <c r="I607" s="25" t="str">
        <f>CONCATENATE(Cover!$D$6,"fdd/view?i=",H607)</f>
        <v>https://www.dgiwg.org/FAD/fdd/view?i=100112</v>
      </c>
      <c r="J607" s="13" t="s">
        <v>4444</v>
      </c>
      <c r="K607" s="172"/>
      <c r="L607" s="172"/>
      <c r="AV607" s="82" t="s">
        <v>1790</v>
      </c>
      <c r="AW607" s="82" t="s">
        <v>1790</v>
      </c>
    </row>
    <row r="608" spans="1:73" ht="25.5" x14ac:dyDescent="0.2">
      <c r="A608" s="176" t="str">
        <f t="shared" si="9"/>
        <v>PlantNursery</v>
      </c>
      <c r="B608" s="11" t="s">
        <v>4449</v>
      </c>
      <c r="C608" s="173"/>
      <c r="D608" s="22" t="s">
        <v>4450</v>
      </c>
      <c r="E608" s="15" t="s">
        <v>4451</v>
      </c>
      <c r="F608" s="174"/>
      <c r="G608" s="174"/>
      <c r="H608" s="37">
        <v>100434</v>
      </c>
      <c r="I608" s="25" t="str">
        <f>CONCATENATE(Cover!$D$6,"fdd/view?i=",H608)</f>
        <v>https://www.dgiwg.org/FAD/fdd/view?i=100434</v>
      </c>
      <c r="J608" s="13" t="s">
        <v>4448</v>
      </c>
      <c r="K608" s="172"/>
      <c r="L608" s="172"/>
      <c r="BU608" s="87" t="s">
        <v>1790</v>
      </c>
    </row>
    <row r="609" spans="1:107" x14ac:dyDescent="0.2">
      <c r="A609" s="176" t="str">
        <f t="shared" si="9"/>
        <v>Planter</v>
      </c>
      <c r="B609" s="11" t="s">
        <v>4453</v>
      </c>
      <c r="C609" s="173"/>
      <c r="D609" s="22" t="s">
        <v>4452</v>
      </c>
      <c r="E609" s="15" t="s">
        <v>4454</v>
      </c>
      <c r="F609" s="174"/>
      <c r="G609" s="174"/>
      <c r="H609" s="37">
        <v>100070</v>
      </c>
      <c r="I609" s="25" t="str">
        <f>CONCATENATE(Cover!$D$6,"fdd/view?i=",H609)</f>
        <v>https://www.dgiwg.org/FAD/fdd/view?i=100070</v>
      </c>
      <c r="J609" s="13" t="s">
        <v>4452</v>
      </c>
      <c r="K609" s="172"/>
      <c r="L609" s="172"/>
      <c r="AJ609" s="83" t="s">
        <v>1790</v>
      </c>
    </row>
    <row r="610" spans="1:107" ht="38.25" x14ac:dyDescent="0.2">
      <c r="A610" s="176" t="str">
        <f t="shared" si="9"/>
        <v>PointAbeam</v>
      </c>
      <c r="B610" s="11" t="s">
        <v>4456</v>
      </c>
      <c r="C610" s="173"/>
      <c r="D610" s="22" t="s">
        <v>4457</v>
      </c>
      <c r="E610" s="15" t="s">
        <v>4458</v>
      </c>
      <c r="F610" s="15" t="s">
        <v>4459</v>
      </c>
      <c r="G610" s="174"/>
      <c r="H610" s="37">
        <v>114648</v>
      </c>
      <c r="I610" s="25" t="str">
        <f>CONCATENATE(Cover!$D$6,"fdd/view?i=",H610)</f>
        <v>https://www.dgiwg.org/FAD/fdd/view?i=114648</v>
      </c>
      <c r="J610" s="13" t="s">
        <v>4455</v>
      </c>
      <c r="K610" s="172"/>
      <c r="L610" s="172"/>
      <c r="CE610" s="87" t="s">
        <v>1790</v>
      </c>
    </row>
    <row r="611" spans="1:107" ht="25.5" x14ac:dyDescent="0.2">
      <c r="A611" s="176" t="str">
        <f t="shared" si="9"/>
        <v>PointGeometryInfo</v>
      </c>
      <c r="B611" s="11" t="s">
        <v>4461</v>
      </c>
      <c r="C611" s="173"/>
      <c r="D611" s="22" t="s">
        <v>4462</v>
      </c>
      <c r="E611" s="15" t="s">
        <v>4463</v>
      </c>
      <c r="F611" s="15" t="s">
        <v>4464</v>
      </c>
      <c r="G611" s="174"/>
      <c r="H611" s="37">
        <v>114191</v>
      </c>
      <c r="I611" s="25" t="str">
        <f>CONCATENATE(Cover!$D$6,"fdd/view?i=",H611)</f>
        <v>https://www.dgiwg.org/FAD/fdd/view?i=114191</v>
      </c>
      <c r="J611" s="13" t="s">
        <v>4460</v>
      </c>
      <c r="K611" s="172"/>
      <c r="L611" s="172"/>
      <c r="DC611" s="87" t="s">
        <v>1790</v>
      </c>
    </row>
    <row r="612" spans="1:107" ht="25.5" x14ac:dyDescent="0.2">
      <c r="A612" s="176" t="str">
        <f t="shared" si="9"/>
        <v>PointOfChange</v>
      </c>
      <c r="B612" s="11" t="s">
        <v>4466</v>
      </c>
      <c r="C612" s="173"/>
      <c r="D612" s="22" t="s">
        <v>4467</v>
      </c>
      <c r="E612" s="15" t="s">
        <v>4468</v>
      </c>
      <c r="F612" s="15" t="s">
        <v>4469</v>
      </c>
      <c r="G612" s="174"/>
      <c r="H612" s="37">
        <v>100578</v>
      </c>
      <c r="I612" s="25" t="str">
        <f>CONCATENATE(Cover!$D$6,"fdd/view?i=",H612)</f>
        <v>https://www.dgiwg.org/FAD/fdd/view?i=100578</v>
      </c>
      <c r="J612" s="13" t="s">
        <v>4465</v>
      </c>
      <c r="K612" s="172"/>
      <c r="L612" s="172"/>
      <c r="CS612" s="165" t="s">
        <v>1790</v>
      </c>
      <c r="CW612" s="164" t="s">
        <v>1790</v>
      </c>
    </row>
    <row r="613" spans="1:107" x14ac:dyDescent="0.2">
      <c r="A613" s="176" t="str">
        <f t="shared" si="9"/>
        <v>PolarIce</v>
      </c>
      <c r="B613" s="11" t="s">
        <v>4471</v>
      </c>
      <c r="C613" s="173"/>
      <c r="D613" s="22" t="s">
        <v>4472</v>
      </c>
      <c r="E613" s="15" t="s">
        <v>4473</v>
      </c>
      <c r="F613" s="15" t="s">
        <v>4474</v>
      </c>
      <c r="G613" s="174"/>
      <c r="H613" s="37">
        <v>100386</v>
      </c>
      <c r="I613" s="25" t="str">
        <f>CONCATENATE(Cover!$D$6,"fdd/view?i=",H613)</f>
        <v>https://www.dgiwg.org/FAD/fdd/view?i=100386</v>
      </c>
      <c r="J613" s="13" t="s">
        <v>4470</v>
      </c>
      <c r="K613" s="172"/>
      <c r="L613" s="172"/>
      <c r="BH613" s="83" t="s">
        <v>1790</v>
      </c>
    </row>
    <row r="614" spans="1:107" ht="102" x14ac:dyDescent="0.2">
      <c r="A614" s="176" t="str">
        <f t="shared" si="9"/>
        <v>PollutantDischargeLoc</v>
      </c>
      <c r="B614" s="11" t="s">
        <v>4476</v>
      </c>
      <c r="C614" s="173"/>
      <c r="D614" s="22" t="s">
        <v>4477</v>
      </c>
      <c r="E614" s="15" t="s">
        <v>4478</v>
      </c>
      <c r="F614" s="15" t="s">
        <v>4479</v>
      </c>
      <c r="G614" s="174"/>
      <c r="H614" s="37">
        <v>118998</v>
      </c>
      <c r="I614" s="25" t="str">
        <f>CONCATENATE(Cover!$D$6,"fdd/view?i=",H614)</f>
        <v>https://www.dgiwg.org/FAD/fdd/view?i=118998</v>
      </c>
      <c r="J614" s="13" t="s">
        <v>4475</v>
      </c>
      <c r="K614" s="172"/>
      <c r="L614" s="172"/>
      <c r="AH614" s="85" t="s">
        <v>1790</v>
      </c>
      <c r="AY614" s="85" t="s">
        <v>1790</v>
      </c>
    </row>
    <row r="615" spans="1:107" ht="25.5" x14ac:dyDescent="0.2">
      <c r="A615" s="176" t="str">
        <f t="shared" si="9"/>
        <v>Pond</v>
      </c>
      <c r="B615" s="11" t="s">
        <v>4481</v>
      </c>
      <c r="C615" s="173"/>
      <c r="D615" s="22" t="s">
        <v>4480</v>
      </c>
      <c r="E615" s="15" t="s">
        <v>4482</v>
      </c>
      <c r="F615" s="15" t="s">
        <v>4483</v>
      </c>
      <c r="G615" s="174"/>
      <c r="H615" s="37">
        <v>101328</v>
      </c>
      <c r="I615" s="25" t="str">
        <f>CONCATENATE(Cover!$D$6,"fdd/view?i=",H615)</f>
        <v>https://www.dgiwg.org/FAD/fdd/view?i=101328</v>
      </c>
      <c r="J615" s="13" t="s">
        <v>4480</v>
      </c>
      <c r="K615" s="172"/>
      <c r="L615" s="172"/>
      <c r="BJ615" s="83" t="s">
        <v>1790</v>
      </c>
    </row>
    <row r="616" spans="1:107" ht="38.25" x14ac:dyDescent="0.2">
      <c r="A616" s="176" t="str">
        <f t="shared" si="9"/>
        <v>Pontoon</v>
      </c>
      <c r="B616" s="11" t="s">
        <v>4485</v>
      </c>
      <c r="C616" s="173"/>
      <c r="D616" s="22" t="s">
        <v>4484</v>
      </c>
      <c r="E616" s="15" t="s">
        <v>4486</v>
      </c>
      <c r="F616" s="15" t="s">
        <v>4487</v>
      </c>
      <c r="G616" s="174"/>
      <c r="H616" s="37">
        <v>100291</v>
      </c>
      <c r="I616" s="25" t="str">
        <f>CONCATENATE(Cover!$D$6,"fdd/view?i=",H616)</f>
        <v>https://www.dgiwg.org/FAD/fdd/view?i=100291</v>
      </c>
      <c r="J616" s="13" t="s">
        <v>4484</v>
      </c>
      <c r="K616" s="172"/>
      <c r="L616" s="172"/>
      <c r="AS616" s="82" t="s">
        <v>1790</v>
      </c>
      <c r="AV616" s="82" t="s">
        <v>1790</v>
      </c>
      <c r="BA616" s="83" t="s">
        <v>1790</v>
      </c>
      <c r="BG616" s="83" t="s">
        <v>1790</v>
      </c>
    </row>
    <row r="617" spans="1:107" x14ac:dyDescent="0.2">
      <c r="A617" s="176" t="str">
        <f t="shared" si="9"/>
        <v>PopulatedPlace</v>
      </c>
      <c r="B617" s="11" t="s">
        <v>4489</v>
      </c>
      <c r="C617" s="173"/>
      <c r="D617" s="22" t="s">
        <v>4490</v>
      </c>
      <c r="E617" s="15" t="s">
        <v>4491</v>
      </c>
      <c r="F617" s="15" t="s">
        <v>4492</v>
      </c>
      <c r="G617" s="174"/>
      <c r="H617" s="37">
        <v>111417</v>
      </c>
      <c r="I617" s="25" t="str">
        <f>CONCATENATE(Cover!$D$6,"fdd/view?i=",H617)</f>
        <v>https://www.dgiwg.org/FAD/fdd/view?i=111417</v>
      </c>
      <c r="J617" s="13" t="s">
        <v>4488</v>
      </c>
      <c r="K617" s="172"/>
      <c r="L617" s="172"/>
      <c r="AI617" s="87" t="s">
        <v>1790</v>
      </c>
    </row>
    <row r="618" spans="1:107" ht="25.5" x14ac:dyDescent="0.2">
      <c r="A618" s="176" t="str">
        <f t="shared" si="9"/>
        <v>Port</v>
      </c>
      <c r="B618" s="11" t="s">
        <v>4494</v>
      </c>
      <c r="C618" s="173"/>
      <c r="D618" s="22" t="s">
        <v>4493</v>
      </c>
      <c r="E618" s="15" t="s">
        <v>4495</v>
      </c>
      <c r="F618" s="15" t="s">
        <v>4496</v>
      </c>
      <c r="G618" s="174"/>
      <c r="H618" s="37">
        <v>101063</v>
      </c>
      <c r="I618" s="25" t="str">
        <f>CONCATENATE(Cover!$D$6,"fdd/view?i=",H618)</f>
        <v>https://www.dgiwg.org/FAD/fdd/view?i=101063</v>
      </c>
      <c r="J618" s="13" t="s">
        <v>4493</v>
      </c>
      <c r="K618" s="172"/>
      <c r="L618" s="172"/>
      <c r="AS618" s="82" t="s">
        <v>1790</v>
      </c>
      <c r="BA618" s="83" t="s">
        <v>1790</v>
      </c>
    </row>
    <row r="619" spans="1:107" ht="25.5" x14ac:dyDescent="0.2">
      <c r="A619" s="176" t="str">
        <f t="shared" si="9"/>
        <v>PotentialLandslideZone</v>
      </c>
      <c r="B619" s="11" t="s">
        <v>4498</v>
      </c>
      <c r="C619" s="173"/>
      <c r="D619" s="22" t="s">
        <v>4499</v>
      </c>
      <c r="E619" s="15" t="s">
        <v>4500</v>
      </c>
      <c r="F619" s="174"/>
      <c r="G619" s="15" t="s">
        <v>4501</v>
      </c>
      <c r="H619" s="37">
        <v>100426</v>
      </c>
      <c r="I619" s="25" t="str">
        <f>CONCATENATE(Cover!$D$6,"fdd/view?i=",H619)</f>
        <v>https://www.dgiwg.org/FAD/fdd/view?i=100426</v>
      </c>
      <c r="J619" s="13" t="s">
        <v>4497</v>
      </c>
      <c r="K619" s="172"/>
      <c r="L619" s="172"/>
      <c r="BM619" s="82" t="s">
        <v>1790</v>
      </c>
    </row>
    <row r="620" spans="1:107" ht="114.75" x14ac:dyDescent="0.2">
      <c r="A620" s="176" t="str">
        <f t="shared" si="9"/>
        <v>PowerGeneratingUnit</v>
      </c>
      <c r="B620" s="11" t="s">
        <v>4503</v>
      </c>
      <c r="C620" s="173"/>
      <c r="D620" s="22" t="s">
        <v>4504</v>
      </c>
      <c r="E620" s="15" t="s">
        <v>4505</v>
      </c>
      <c r="F620" s="15" t="s">
        <v>4506</v>
      </c>
      <c r="G620" s="174"/>
      <c r="H620" s="37">
        <v>118443</v>
      </c>
      <c r="I620" s="25" t="str">
        <f>CONCATENATE(Cover!$D$6,"fdd/view?i=",H620)</f>
        <v>https://www.dgiwg.org/FAD/fdd/view?i=118443</v>
      </c>
      <c r="J620" s="13" t="s">
        <v>4502</v>
      </c>
      <c r="K620" s="172"/>
      <c r="L620" s="172"/>
      <c r="AD620" s="82" t="s">
        <v>1790</v>
      </c>
      <c r="AY620" s="85" t="s">
        <v>1790</v>
      </c>
    </row>
    <row r="621" spans="1:107" ht="51" x14ac:dyDescent="0.2">
      <c r="A621" s="176" t="str">
        <f t="shared" si="9"/>
        <v>PowerLine</v>
      </c>
      <c r="B621" s="11" t="s">
        <v>4508</v>
      </c>
      <c r="C621" s="173"/>
      <c r="D621" s="22" t="s">
        <v>4509</v>
      </c>
      <c r="E621" s="15" t="s">
        <v>4510</v>
      </c>
      <c r="F621" s="15" t="s">
        <v>4511</v>
      </c>
      <c r="G621" s="174"/>
      <c r="H621" s="37">
        <v>102877</v>
      </c>
      <c r="I621" s="25" t="str">
        <f>CONCATENATE(Cover!$D$6,"fdd/view?i=",H621)</f>
        <v>https://www.dgiwg.org/FAD/fdd/view?i=102877</v>
      </c>
      <c r="J621" s="13" t="s">
        <v>4507</v>
      </c>
      <c r="K621" s="172"/>
      <c r="L621" s="172"/>
      <c r="AD621" s="82" t="s">
        <v>1790</v>
      </c>
    </row>
    <row r="622" spans="1:107" ht="38.25" x14ac:dyDescent="0.2">
      <c r="A622" s="176" t="str">
        <f t="shared" si="9"/>
        <v>PowerLinePylon</v>
      </c>
      <c r="B622" s="11" t="s">
        <v>4513</v>
      </c>
      <c r="C622" s="173"/>
      <c r="D622" s="22" t="s">
        <v>4514</v>
      </c>
      <c r="E622" s="15" t="s">
        <v>4515</v>
      </c>
      <c r="F622" s="15" t="s">
        <v>4516</v>
      </c>
      <c r="G622" s="15" t="s">
        <v>4517</v>
      </c>
      <c r="H622" s="37">
        <v>100197</v>
      </c>
      <c r="I622" s="25" t="str">
        <f>CONCATENATE(Cover!$D$6,"fdd/view?i=",H622)</f>
        <v>https://www.dgiwg.org/FAD/fdd/view?i=100197</v>
      </c>
      <c r="J622" s="13" t="s">
        <v>4512</v>
      </c>
      <c r="K622" s="172"/>
      <c r="L622" s="172"/>
      <c r="AD622" s="82" t="s">
        <v>1790</v>
      </c>
    </row>
    <row r="623" spans="1:107" ht="25.5" x14ac:dyDescent="0.2">
      <c r="A623" s="176" t="str">
        <f t="shared" si="9"/>
        <v>PowerSubstation</v>
      </c>
      <c r="B623" s="11" t="s">
        <v>4519</v>
      </c>
      <c r="C623" s="173"/>
      <c r="D623" s="22" t="s">
        <v>4520</v>
      </c>
      <c r="E623" s="15" t="s">
        <v>4521</v>
      </c>
      <c r="F623" s="174"/>
      <c r="G623" s="15" t="s">
        <v>4522</v>
      </c>
      <c r="H623" s="37">
        <v>100024</v>
      </c>
      <c r="I623" s="25" t="str">
        <f>CONCATENATE(Cover!$D$6,"fdd/view?i=",H623)</f>
        <v>https://www.dgiwg.org/FAD/fdd/view?i=100024</v>
      </c>
      <c r="J623" s="13" t="s">
        <v>4518</v>
      </c>
      <c r="K623" s="172"/>
      <c r="L623" s="172"/>
      <c r="AD623" s="82" t="s">
        <v>1790</v>
      </c>
      <c r="AF623" s="82" t="s">
        <v>1790</v>
      </c>
    </row>
    <row r="624" spans="1:107" ht="25.5" x14ac:dyDescent="0.2">
      <c r="A624" s="176" t="str">
        <f t="shared" si="9"/>
        <v>PrecipitationZone</v>
      </c>
      <c r="B624" s="11" t="s">
        <v>4524</v>
      </c>
      <c r="C624" s="173"/>
      <c r="D624" s="22" t="s">
        <v>4525</v>
      </c>
      <c r="E624" s="15" t="s">
        <v>4526</v>
      </c>
      <c r="F624" s="174"/>
      <c r="G624" s="174"/>
      <c r="H624" s="37">
        <v>111383</v>
      </c>
      <c r="I624" s="25" t="str">
        <f>CONCATENATE(Cover!$D$6,"fdd/view?i=",H624)</f>
        <v>https://www.dgiwg.org/FAD/fdd/view?i=111383</v>
      </c>
      <c r="J624" s="13" t="s">
        <v>4523</v>
      </c>
      <c r="K624" s="172"/>
      <c r="L624" s="172"/>
      <c r="BZ624" s="83" t="s">
        <v>1790</v>
      </c>
      <c r="CQ624" s="165" t="s">
        <v>1790</v>
      </c>
    </row>
    <row r="625" spans="1:107" ht="38.25" x14ac:dyDescent="0.2">
      <c r="A625" s="176" t="str">
        <f t="shared" si="9"/>
        <v>PrecisionApproachRadar</v>
      </c>
      <c r="B625" s="11" t="s">
        <v>4528</v>
      </c>
      <c r="C625" s="173"/>
      <c r="D625" s="22" t="s">
        <v>4529</v>
      </c>
      <c r="E625" s="15" t="s">
        <v>4530</v>
      </c>
      <c r="F625" s="15" t="s">
        <v>4531</v>
      </c>
      <c r="G625" s="15" t="s">
        <v>4532</v>
      </c>
      <c r="H625" s="37">
        <v>114512</v>
      </c>
      <c r="I625" s="25" t="str">
        <f>CONCATENATE(Cover!$D$6,"fdd/view?i=",H625)</f>
        <v>https://www.dgiwg.org/FAD/fdd/view?i=114512</v>
      </c>
      <c r="J625" s="13" t="s">
        <v>4527</v>
      </c>
      <c r="K625" s="172"/>
      <c r="L625" s="172"/>
      <c r="CG625" s="83" t="s">
        <v>1790</v>
      </c>
    </row>
    <row r="626" spans="1:107" ht="38.25" x14ac:dyDescent="0.2">
      <c r="A626" s="176" t="str">
        <f t="shared" si="9"/>
        <v>PreparedWatercourseCross</v>
      </c>
      <c r="B626" s="11" t="s">
        <v>4534</v>
      </c>
      <c r="C626" s="173"/>
      <c r="D626" s="22" t="s">
        <v>4535</v>
      </c>
      <c r="E626" s="15" t="s">
        <v>4536</v>
      </c>
      <c r="F626" s="15" t="s">
        <v>4537</v>
      </c>
      <c r="G626" s="174"/>
      <c r="H626" s="37">
        <v>100172</v>
      </c>
      <c r="I626" s="25" t="str">
        <f>CONCATENATE(Cover!$D$6,"fdd/view?i=",H626)</f>
        <v>https://www.dgiwg.org/FAD/fdd/view?i=100172</v>
      </c>
      <c r="J626" s="13" t="s">
        <v>4533</v>
      </c>
      <c r="K626" s="172"/>
      <c r="L626" s="172"/>
      <c r="AS626" s="82" t="s">
        <v>1790</v>
      </c>
      <c r="AV626" s="82" t="s">
        <v>1790</v>
      </c>
      <c r="BF626" s="83" t="s">
        <v>1790</v>
      </c>
      <c r="BJ626" s="83" t="s">
        <v>1790</v>
      </c>
    </row>
    <row r="627" spans="1:107" ht="25.5" x14ac:dyDescent="0.2">
      <c r="A627" s="176" t="str">
        <f t="shared" si="9"/>
        <v>ProcedureSegmentLeg</v>
      </c>
      <c r="B627" s="11" t="s">
        <v>4539</v>
      </c>
      <c r="C627" s="173"/>
      <c r="D627" s="22" t="s">
        <v>4540</v>
      </c>
      <c r="E627" s="15" t="s">
        <v>4541</v>
      </c>
      <c r="F627" s="174"/>
      <c r="G627" s="15" t="s">
        <v>4542</v>
      </c>
      <c r="H627" s="37">
        <v>114622</v>
      </c>
      <c r="I627" s="25" t="str">
        <f>CONCATENATE(Cover!$D$6,"fdd/view?i=",H627)</f>
        <v>https://www.dgiwg.org/FAD/fdd/view?i=114622</v>
      </c>
      <c r="J627" s="13" t="s">
        <v>4538</v>
      </c>
      <c r="K627" s="172"/>
      <c r="L627" s="172"/>
      <c r="CI627" s="89" t="s">
        <v>1790</v>
      </c>
    </row>
    <row r="628" spans="1:107" ht="25.5" x14ac:dyDescent="0.2">
      <c r="A628" s="176" t="str">
        <f t="shared" si="9"/>
        <v>ProcedureTransitionSeg</v>
      </c>
      <c r="B628" s="11" t="s">
        <v>4544</v>
      </c>
      <c r="C628" s="173"/>
      <c r="D628" s="22" t="s">
        <v>4545</v>
      </c>
      <c r="E628" s="15" t="s">
        <v>4546</v>
      </c>
      <c r="F628" s="15" t="s">
        <v>2146</v>
      </c>
      <c r="G628" s="15" t="s">
        <v>4547</v>
      </c>
      <c r="H628" s="37">
        <v>114639</v>
      </c>
      <c r="I628" s="25" t="str">
        <f>CONCATENATE(Cover!$D$6,"fdd/view?i=",H628)</f>
        <v>https://www.dgiwg.org/FAD/fdd/view?i=114639</v>
      </c>
      <c r="J628" s="13" t="s">
        <v>4543</v>
      </c>
      <c r="K628" s="172"/>
      <c r="L628" s="172"/>
      <c r="CI628" s="89" t="s">
        <v>1790</v>
      </c>
    </row>
    <row r="629" spans="1:107" ht="38.25" x14ac:dyDescent="0.2">
      <c r="A629" s="176" t="str">
        <f t="shared" si="9"/>
        <v>ProcessStepInfo</v>
      </c>
      <c r="B629" s="11" t="s">
        <v>4549</v>
      </c>
      <c r="C629" s="173"/>
      <c r="D629" s="22" t="s">
        <v>4550</v>
      </c>
      <c r="E629" s="15" t="s">
        <v>4551</v>
      </c>
      <c r="F629" s="174"/>
      <c r="G629" s="174"/>
      <c r="H629" s="37">
        <v>114189</v>
      </c>
      <c r="I629" s="25" t="str">
        <f>CONCATENATE(Cover!$D$6,"fdd/view?i=",H629)</f>
        <v>https://www.dgiwg.org/FAD/fdd/view?i=114189</v>
      </c>
      <c r="J629" s="13" t="s">
        <v>4548</v>
      </c>
      <c r="K629" s="172"/>
      <c r="L629" s="172"/>
      <c r="DC629" s="87" t="s">
        <v>1790</v>
      </c>
    </row>
    <row r="630" spans="1:107" x14ac:dyDescent="0.2">
      <c r="A630" s="176" t="str">
        <f t="shared" si="9"/>
        <v>ProcessingFacility</v>
      </c>
      <c r="B630" s="11" t="s">
        <v>4553</v>
      </c>
      <c r="C630" s="173"/>
      <c r="D630" s="22" t="s">
        <v>4554</v>
      </c>
      <c r="E630" s="15" t="s">
        <v>4555</v>
      </c>
      <c r="F630" s="15" t="s">
        <v>4556</v>
      </c>
      <c r="G630" s="15" t="s">
        <v>4557</v>
      </c>
      <c r="H630" s="37">
        <v>100015</v>
      </c>
      <c r="I630" s="25" t="str">
        <f>CONCATENATE(Cover!$D$6,"fdd/view?i=",H630)</f>
        <v>https://www.dgiwg.org/FAD/fdd/view?i=100015</v>
      </c>
      <c r="J630" s="13" t="s">
        <v>4552</v>
      </c>
      <c r="K630" s="172"/>
      <c r="L630" s="172"/>
      <c r="AB630" s="82" t="s">
        <v>1790</v>
      </c>
    </row>
    <row r="631" spans="1:107" ht="38.25" x14ac:dyDescent="0.2">
      <c r="A631" s="176" t="str">
        <f t="shared" si="9"/>
        <v>ProtectWaterGatherGround</v>
      </c>
      <c r="B631" s="11" t="s">
        <v>4559</v>
      </c>
      <c r="C631" s="173"/>
      <c r="D631" s="22" t="s">
        <v>4560</v>
      </c>
      <c r="E631" s="15" t="s">
        <v>4561</v>
      </c>
      <c r="F631" s="174"/>
      <c r="G631" s="174"/>
      <c r="H631" s="37">
        <v>100468</v>
      </c>
      <c r="I631" s="25" t="str">
        <f>CONCATENATE(Cover!$D$6,"fdd/view?i=",H631)</f>
        <v>https://www.dgiwg.org/FAD/fdd/view?i=100468</v>
      </c>
      <c r="J631" s="13" t="s">
        <v>4558</v>
      </c>
      <c r="K631" s="172"/>
      <c r="L631" s="172"/>
      <c r="BP631" s="82" t="s">
        <v>1790</v>
      </c>
      <c r="BZ631" s="83" t="s">
        <v>1790</v>
      </c>
    </row>
    <row r="632" spans="1:107" ht="25.5" x14ac:dyDescent="0.2">
      <c r="A632" s="176" t="str">
        <f t="shared" si="9"/>
        <v>ProtectionShed</v>
      </c>
      <c r="B632" s="11" t="s">
        <v>4563</v>
      </c>
      <c r="C632" s="173"/>
      <c r="D632" s="22" t="s">
        <v>4564</v>
      </c>
      <c r="E632" s="15" t="s">
        <v>4565</v>
      </c>
      <c r="F632" s="15" t="s">
        <v>4566</v>
      </c>
      <c r="G632" s="174"/>
      <c r="H632" s="37">
        <v>100119</v>
      </c>
      <c r="I632" s="25" t="str">
        <f>CONCATENATE(Cover!$D$6,"fdd/view?i=",H632)</f>
        <v>https://www.dgiwg.org/FAD/fdd/view?i=100119</v>
      </c>
      <c r="J632" s="13" t="s">
        <v>4562</v>
      </c>
      <c r="K632" s="172"/>
      <c r="L632" s="172"/>
      <c r="AW632" s="82" t="s">
        <v>1790</v>
      </c>
    </row>
    <row r="633" spans="1:107" x14ac:dyDescent="0.2">
      <c r="A633" s="176" t="str">
        <f t="shared" si="9"/>
        <v>PublicSquare</v>
      </c>
      <c r="B633" s="11" t="s">
        <v>4568</v>
      </c>
      <c r="C633" s="173"/>
      <c r="D633" s="22" t="s">
        <v>4569</v>
      </c>
      <c r="E633" s="15" t="s">
        <v>4570</v>
      </c>
      <c r="F633" s="174"/>
      <c r="G633" s="15" t="s">
        <v>4571</v>
      </c>
      <c r="H633" s="37">
        <v>100113</v>
      </c>
      <c r="I633" s="25" t="str">
        <f>CONCATENATE(Cover!$D$6,"fdd/view?i=",H633)</f>
        <v>https://www.dgiwg.org/FAD/fdd/view?i=100113</v>
      </c>
      <c r="J633" s="13" t="s">
        <v>4567</v>
      </c>
      <c r="K633" s="172"/>
      <c r="L633" s="172"/>
      <c r="AJ633" s="83" t="s">
        <v>1790</v>
      </c>
      <c r="AL633" s="83" t="s">
        <v>1790</v>
      </c>
    </row>
    <row r="634" spans="1:107" x14ac:dyDescent="0.2">
      <c r="A634" s="176" t="str">
        <f t="shared" si="9"/>
        <v>PumpingStation</v>
      </c>
      <c r="B634" s="11" t="s">
        <v>4573</v>
      </c>
      <c r="C634" s="173"/>
      <c r="D634" s="22" t="s">
        <v>4574</v>
      </c>
      <c r="E634" s="15" t="s">
        <v>4575</v>
      </c>
      <c r="F634" s="174"/>
      <c r="G634" s="174"/>
      <c r="H634" s="37">
        <v>100176</v>
      </c>
      <c r="I634" s="25" t="str">
        <f>CONCATENATE(Cover!$D$6,"fdd/view?i=",H634)</f>
        <v>https://www.dgiwg.org/FAD/fdd/view?i=100176</v>
      </c>
      <c r="J634" s="13" t="s">
        <v>4572</v>
      </c>
      <c r="K634" s="172"/>
      <c r="L634" s="172"/>
      <c r="AF634" s="82" t="s">
        <v>1790</v>
      </c>
      <c r="BJ634" s="83" t="s">
        <v>1790</v>
      </c>
    </row>
    <row r="635" spans="1:107" x14ac:dyDescent="0.2">
      <c r="A635" s="176" t="str">
        <f t="shared" si="9"/>
        <v>Pylon</v>
      </c>
      <c r="B635" s="11" t="s">
        <v>4577</v>
      </c>
      <c r="C635" s="173"/>
      <c r="D635" s="22" t="s">
        <v>4576</v>
      </c>
      <c r="E635" s="15" t="s">
        <v>4578</v>
      </c>
      <c r="F635" s="174"/>
      <c r="G635" s="174"/>
      <c r="H635" s="37">
        <v>100576</v>
      </c>
      <c r="I635" s="25" t="str">
        <f>CONCATENATE(Cover!$D$6,"fdd/view?i=",H635)</f>
        <v>https://www.dgiwg.org/FAD/fdd/view?i=100576</v>
      </c>
      <c r="J635" s="13" t="s">
        <v>4576</v>
      </c>
      <c r="K635" s="172"/>
      <c r="L635" s="172"/>
      <c r="AF635" s="82" t="s">
        <v>1790</v>
      </c>
    </row>
    <row r="636" spans="1:107" ht="25.5" x14ac:dyDescent="0.2">
      <c r="A636" s="176" t="str">
        <f t="shared" si="9"/>
        <v>PylonInfo</v>
      </c>
      <c r="B636" s="11" t="s">
        <v>4580</v>
      </c>
      <c r="C636" s="173"/>
      <c r="D636" s="22" t="s">
        <v>4581</v>
      </c>
      <c r="E636" s="15" t="s">
        <v>4582</v>
      </c>
      <c r="F636" s="174"/>
      <c r="G636" s="174"/>
      <c r="H636" s="37">
        <v>114213</v>
      </c>
      <c r="I636" s="25" t="str">
        <f>CONCATENATE(Cover!$D$6,"fdd/view?i=",H636)</f>
        <v>https://www.dgiwg.org/FAD/fdd/view?i=114213</v>
      </c>
      <c r="J636" s="13" t="s">
        <v>4579</v>
      </c>
      <c r="K636" s="172"/>
      <c r="L636" s="172"/>
      <c r="DC636" s="87" t="s">
        <v>1790</v>
      </c>
    </row>
    <row r="637" spans="1:107" ht="63.75" x14ac:dyDescent="0.2">
      <c r="A637" s="176" t="str">
        <f t="shared" si="9"/>
        <v>QanatShaft</v>
      </c>
      <c r="B637" s="11" t="s">
        <v>4584</v>
      </c>
      <c r="C637" s="173"/>
      <c r="D637" s="22" t="s">
        <v>4585</v>
      </c>
      <c r="E637" s="15" t="s">
        <v>4586</v>
      </c>
      <c r="F637" s="15" t="s">
        <v>4587</v>
      </c>
      <c r="G637" s="174"/>
      <c r="H637" s="37">
        <v>117760</v>
      </c>
      <c r="I637" s="25" t="str">
        <f>CONCATENATE(Cover!$D$6,"fdd/view?i=",H637)</f>
        <v>https://www.dgiwg.org/FAD/fdd/view?i=117760</v>
      </c>
      <c r="J637" s="13" t="s">
        <v>4583</v>
      </c>
      <c r="K637" s="172"/>
      <c r="L637" s="172"/>
      <c r="AG637" s="82" t="s">
        <v>1790</v>
      </c>
      <c r="AY637" s="85" t="s">
        <v>1790</v>
      </c>
    </row>
    <row r="638" spans="1:107" x14ac:dyDescent="0.2">
      <c r="A638" s="176" t="str">
        <f t="shared" si="9"/>
        <v>Quarry</v>
      </c>
      <c r="B638" s="11" t="s">
        <v>4589</v>
      </c>
      <c r="C638" s="173"/>
      <c r="D638" s="22" t="s">
        <v>4588</v>
      </c>
      <c r="E638" s="15" t="s">
        <v>4590</v>
      </c>
      <c r="F638" s="174"/>
      <c r="G638" s="174"/>
      <c r="H638" s="37">
        <v>100003</v>
      </c>
      <c r="I638" s="25" t="str">
        <f>CONCATENATE(Cover!$D$6,"fdd/view?i=",H638)</f>
        <v>https://www.dgiwg.org/FAD/fdd/view?i=100003</v>
      </c>
      <c r="J638" s="13" t="s">
        <v>4588</v>
      </c>
      <c r="K638" s="172"/>
      <c r="L638" s="172"/>
      <c r="AA638" s="81" t="s">
        <v>1790</v>
      </c>
      <c r="BM638" s="82" t="s">
        <v>1790</v>
      </c>
      <c r="BP638" s="82" t="s">
        <v>1790</v>
      </c>
    </row>
    <row r="639" spans="1:107" ht="51" x14ac:dyDescent="0.2">
      <c r="A639" s="176" t="str">
        <f t="shared" si="9"/>
        <v>Racetrack</v>
      </c>
      <c r="B639" s="11" t="s">
        <v>4592</v>
      </c>
      <c r="C639" s="173"/>
      <c r="D639" s="22" t="s">
        <v>4591</v>
      </c>
      <c r="E639" s="15" t="s">
        <v>4593</v>
      </c>
      <c r="F639" s="15" t="s">
        <v>4594</v>
      </c>
      <c r="G639" s="15" t="s">
        <v>4595</v>
      </c>
      <c r="H639" s="37">
        <v>100069</v>
      </c>
      <c r="I639" s="25" t="str">
        <f>CONCATENATE(Cover!$D$6,"fdd/view?i=",H639)</f>
        <v>https://www.dgiwg.org/FAD/fdd/view?i=100069</v>
      </c>
      <c r="J639" s="13" t="s">
        <v>4591</v>
      </c>
      <c r="K639" s="172"/>
      <c r="L639" s="172"/>
      <c r="AL639" s="83" t="s">
        <v>1790</v>
      </c>
    </row>
    <row r="640" spans="1:107" ht="25.5" x14ac:dyDescent="0.2">
      <c r="A640" s="176" t="str">
        <f t="shared" si="9"/>
        <v>RadarRange</v>
      </c>
      <c r="B640" s="11" t="s">
        <v>4597</v>
      </c>
      <c r="C640" s="173"/>
      <c r="D640" s="22" t="s">
        <v>4598</v>
      </c>
      <c r="E640" s="15" t="s">
        <v>4599</v>
      </c>
      <c r="F640" s="15" t="s">
        <v>4600</v>
      </c>
      <c r="G640" s="174"/>
      <c r="H640" s="37">
        <v>100266</v>
      </c>
      <c r="I640" s="25" t="str">
        <f>CONCATENATE(Cover!$D$6,"fdd/view?i=",H640)</f>
        <v>https://www.dgiwg.org/FAD/fdd/view?i=100266</v>
      </c>
      <c r="J640" s="13" t="s">
        <v>4596</v>
      </c>
      <c r="K640" s="172"/>
      <c r="L640" s="172"/>
      <c r="AS640" s="82" t="s">
        <v>1790</v>
      </c>
      <c r="BF640" s="83" t="s">
        <v>1790</v>
      </c>
    </row>
    <row r="641" spans="1:88" ht="38.25" x14ac:dyDescent="0.2">
      <c r="A641" s="176" t="str">
        <f t="shared" si="9"/>
        <v>RadarStation</v>
      </c>
      <c r="B641" s="11" t="s">
        <v>4602</v>
      </c>
      <c r="C641" s="173"/>
      <c r="D641" s="22" t="s">
        <v>4603</v>
      </c>
      <c r="E641" s="15" t="s">
        <v>4604</v>
      </c>
      <c r="F641" s="15" t="s">
        <v>4605</v>
      </c>
      <c r="G641" s="174"/>
      <c r="H641" s="37">
        <v>100199</v>
      </c>
      <c r="I641" s="25" t="str">
        <f>CONCATENATE(Cover!$D$6,"fdd/view?i=",H641)</f>
        <v>https://www.dgiwg.org/FAD/fdd/view?i=100199</v>
      </c>
      <c r="J641" s="13" t="s">
        <v>4601</v>
      </c>
      <c r="K641" s="172"/>
      <c r="L641" s="172"/>
      <c r="AS641" s="82" t="s">
        <v>1790</v>
      </c>
      <c r="BF641" s="83" t="s">
        <v>1790</v>
      </c>
      <c r="CJ641" s="81" t="s">
        <v>1790</v>
      </c>
    </row>
    <row r="642" spans="1:88" ht="25.5" x14ac:dyDescent="0.2">
      <c r="A642" s="176" t="str">
        <f t="shared" si="9"/>
        <v>RadioNavServiceCoverage</v>
      </c>
      <c r="B642" s="11" t="s">
        <v>4607</v>
      </c>
      <c r="C642" s="173"/>
      <c r="D642" s="22" t="s">
        <v>4608</v>
      </c>
      <c r="E642" s="15" t="s">
        <v>4609</v>
      </c>
      <c r="F642" s="174"/>
      <c r="G642" s="174"/>
      <c r="H642" s="37">
        <v>114513</v>
      </c>
      <c r="I642" s="25" t="str">
        <f>CONCATENATE(Cover!$D$6,"fdd/view?i=",H642)</f>
        <v>https://www.dgiwg.org/FAD/fdd/view?i=114513</v>
      </c>
      <c r="J642" s="13" t="s">
        <v>4606</v>
      </c>
      <c r="K642" s="172"/>
      <c r="L642" s="172"/>
      <c r="CG642" s="83" t="s">
        <v>1790</v>
      </c>
    </row>
    <row r="643" spans="1:88" ht="25.5" x14ac:dyDescent="0.2">
      <c r="A643" s="176" t="str">
        <f t="shared" ref="A643:A706" si="10">HYPERLINK(I643,J643)</f>
        <v>RadioNavServiceLimit</v>
      </c>
      <c r="B643" s="11" t="s">
        <v>4611</v>
      </c>
      <c r="C643" s="173"/>
      <c r="D643" s="22" t="s">
        <v>4612</v>
      </c>
      <c r="E643" s="15" t="s">
        <v>4613</v>
      </c>
      <c r="F643" s="174"/>
      <c r="G643" s="174"/>
      <c r="H643" s="37">
        <v>114514</v>
      </c>
      <c r="I643" s="25" t="str">
        <f>CONCATENATE(Cover!$D$6,"fdd/view?i=",H643)</f>
        <v>https://www.dgiwg.org/FAD/fdd/view?i=114514</v>
      </c>
      <c r="J643" s="13" t="s">
        <v>4610</v>
      </c>
      <c r="K643" s="172"/>
      <c r="L643" s="172"/>
      <c r="CG643" s="83" t="s">
        <v>1790</v>
      </c>
    </row>
    <row r="644" spans="1:88" ht="25.5" x14ac:dyDescent="0.2">
      <c r="A644" s="176" t="str">
        <f t="shared" si="10"/>
        <v>RailHead</v>
      </c>
      <c r="B644" s="11" t="s">
        <v>4615</v>
      </c>
      <c r="C644" s="173"/>
      <c r="D644" s="22" t="s">
        <v>4616</v>
      </c>
      <c r="E644" s="15" t="s">
        <v>4617</v>
      </c>
      <c r="F644" s="174"/>
      <c r="G644" s="174"/>
      <c r="H644" s="37">
        <v>100138</v>
      </c>
      <c r="I644" s="25" t="str">
        <f>CONCATENATE(Cover!$D$6,"fdd/view?i=",H644)</f>
        <v>https://www.dgiwg.org/FAD/fdd/view?i=100138</v>
      </c>
      <c r="J644" s="13" t="s">
        <v>4614</v>
      </c>
      <c r="K644" s="172"/>
      <c r="L644" s="172"/>
      <c r="AP644" s="81" t="s">
        <v>1790</v>
      </c>
    </row>
    <row r="645" spans="1:88" ht="25.5" x14ac:dyDescent="0.2">
      <c r="A645" s="176" t="str">
        <f t="shared" si="10"/>
        <v>Railway</v>
      </c>
      <c r="B645" s="11" t="s">
        <v>4619</v>
      </c>
      <c r="C645" s="173"/>
      <c r="D645" s="22" t="s">
        <v>4618</v>
      </c>
      <c r="E645" s="15" t="s">
        <v>4620</v>
      </c>
      <c r="F645" s="174"/>
      <c r="G645" s="15" t="s">
        <v>4621</v>
      </c>
      <c r="H645" s="37">
        <v>100135</v>
      </c>
      <c r="I645" s="25" t="str">
        <f>CONCATENATE(Cover!$D$6,"fdd/view?i=",H645)</f>
        <v>https://www.dgiwg.org/FAD/fdd/view?i=100135</v>
      </c>
      <c r="J645" s="13" t="s">
        <v>4618</v>
      </c>
      <c r="K645" s="172"/>
      <c r="L645" s="172"/>
      <c r="AP645" s="81" t="s">
        <v>1790</v>
      </c>
    </row>
    <row r="646" spans="1:88" ht="38.25" x14ac:dyDescent="0.2">
      <c r="A646" s="176" t="str">
        <f t="shared" si="10"/>
        <v>RailwayPlatform</v>
      </c>
      <c r="B646" s="11" t="s">
        <v>4623</v>
      </c>
      <c r="C646" s="173"/>
      <c r="D646" s="22" t="s">
        <v>4624</v>
      </c>
      <c r="E646" s="15" t="s">
        <v>4625</v>
      </c>
      <c r="F646" s="174"/>
      <c r="G646" s="174"/>
      <c r="H646" s="37">
        <v>119709</v>
      </c>
      <c r="I646" s="25" t="str">
        <f>CONCATENATE(Cover!$D$6,"fdd/view?i=",H646)</f>
        <v>https://www.dgiwg.org/FAD/fdd/view?i=119709</v>
      </c>
      <c r="J646" s="13" t="s">
        <v>4622</v>
      </c>
      <c r="K646" s="172"/>
      <c r="L646" s="172"/>
      <c r="AP646" s="81" t="s">
        <v>1790</v>
      </c>
      <c r="AW646" s="82" t="s">
        <v>1790</v>
      </c>
    </row>
    <row r="647" spans="1:88" ht="38.25" x14ac:dyDescent="0.2">
      <c r="A647" s="176" t="str">
        <f t="shared" si="10"/>
        <v>RailwaySidetrack</v>
      </c>
      <c r="B647" s="11" t="s">
        <v>4627</v>
      </c>
      <c r="C647" s="173"/>
      <c r="D647" s="22" t="s">
        <v>4628</v>
      </c>
      <c r="E647" s="15" t="s">
        <v>4629</v>
      </c>
      <c r="F647" s="174"/>
      <c r="G647" s="15" t="s">
        <v>4630</v>
      </c>
      <c r="H647" s="37">
        <v>100136</v>
      </c>
      <c r="I647" s="25" t="str">
        <f>CONCATENATE(Cover!$D$6,"fdd/view?i=",H647)</f>
        <v>https://www.dgiwg.org/FAD/fdd/view?i=100136</v>
      </c>
      <c r="J647" s="13" t="s">
        <v>4626</v>
      </c>
      <c r="K647" s="172"/>
      <c r="L647" s="172"/>
      <c r="AP647" s="81" t="s">
        <v>1790</v>
      </c>
    </row>
    <row r="648" spans="1:88" x14ac:dyDescent="0.2">
      <c r="A648" s="176" t="str">
        <f t="shared" si="10"/>
        <v>RailwaySignal</v>
      </c>
      <c r="B648" s="11" t="s">
        <v>4632</v>
      </c>
      <c r="C648" s="173"/>
      <c r="D648" s="22" t="s">
        <v>4633</v>
      </c>
      <c r="E648" s="15" t="s">
        <v>4634</v>
      </c>
      <c r="F648" s="174"/>
      <c r="G648" s="174"/>
      <c r="H648" s="37">
        <v>111429</v>
      </c>
      <c r="I648" s="25" t="str">
        <f>CONCATENATE(Cover!$D$6,"fdd/view?i=",H648)</f>
        <v>https://www.dgiwg.org/FAD/fdd/view?i=111429</v>
      </c>
      <c r="J648" s="13" t="s">
        <v>4631</v>
      </c>
      <c r="K648" s="172"/>
      <c r="L648" s="172"/>
      <c r="AP648" s="81" t="s">
        <v>1790</v>
      </c>
    </row>
    <row r="649" spans="1:88" ht="25.5" x14ac:dyDescent="0.2">
      <c r="A649" s="176" t="str">
        <f t="shared" si="10"/>
        <v>RailwayStation</v>
      </c>
      <c r="B649" s="11" t="s">
        <v>4636</v>
      </c>
      <c r="C649" s="173"/>
      <c r="D649" s="22" t="s">
        <v>4637</v>
      </c>
      <c r="E649" s="15" t="s">
        <v>4638</v>
      </c>
      <c r="F649" s="174"/>
      <c r="G649" s="174"/>
      <c r="H649" s="37">
        <v>117995</v>
      </c>
      <c r="I649" s="25" t="str">
        <f>CONCATENATE(Cover!$D$6,"fdd/view?i=",H649)</f>
        <v>https://www.dgiwg.org/FAD/fdd/view?i=117995</v>
      </c>
      <c r="J649" s="13" t="s">
        <v>4635</v>
      </c>
      <c r="K649" s="172"/>
      <c r="L649" s="172"/>
      <c r="AJ649" s="83" t="s">
        <v>1790</v>
      </c>
      <c r="AP649" s="81" t="s">
        <v>1790</v>
      </c>
    </row>
    <row r="650" spans="1:88" ht="25.5" x14ac:dyDescent="0.2">
      <c r="A650" s="176" t="str">
        <f t="shared" si="10"/>
        <v>RailwaySwitch</v>
      </c>
      <c r="B650" s="11" t="s">
        <v>4640</v>
      </c>
      <c r="C650" s="173"/>
      <c r="D650" s="22" t="s">
        <v>4641</v>
      </c>
      <c r="E650" s="15" t="s">
        <v>4642</v>
      </c>
      <c r="F650" s="174"/>
      <c r="G650" s="15" t="s">
        <v>4643</v>
      </c>
      <c r="H650" s="37">
        <v>100140</v>
      </c>
      <c r="I650" s="25" t="str">
        <f>CONCATENATE(Cover!$D$6,"fdd/view?i=",H650)</f>
        <v>https://www.dgiwg.org/FAD/fdd/view?i=100140</v>
      </c>
      <c r="J650" s="13" t="s">
        <v>4639</v>
      </c>
      <c r="K650" s="172"/>
      <c r="L650" s="172"/>
      <c r="AP650" s="81" t="s">
        <v>1790</v>
      </c>
      <c r="AV650" s="82" t="s">
        <v>1790</v>
      </c>
    </row>
    <row r="651" spans="1:88" x14ac:dyDescent="0.2">
      <c r="A651" s="176" t="str">
        <f t="shared" si="10"/>
        <v>RailwayTrack</v>
      </c>
      <c r="B651" s="11" t="s">
        <v>4645</v>
      </c>
      <c r="C651" s="173"/>
      <c r="D651" s="22" t="s">
        <v>4646</v>
      </c>
      <c r="E651" s="15" t="s">
        <v>4647</v>
      </c>
      <c r="F651" s="174"/>
      <c r="G651" s="174"/>
      <c r="H651" s="37">
        <v>100144</v>
      </c>
      <c r="I651" s="25" t="str">
        <f>CONCATENATE(Cover!$D$6,"fdd/view?i=",H651)</f>
        <v>https://www.dgiwg.org/FAD/fdd/view?i=100144</v>
      </c>
      <c r="J651" s="13" t="s">
        <v>4644</v>
      </c>
      <c r="K651" s="172"/>
      <c r="L651" s="172"/>
      <c r="AP651" s="81" t="s">
        <v>1790</v>
      </c>
    </row>
    <row r="652" spans="1:88" ht="25.5" x14ac:dyDescent="0.2">
      <c r="A652" s="176" t="str">
        <f t="shared" si="10"/>
        <v>RailwayTraverser</v>
      </c>
      <c r="B652" s="11" t="s">
        <v>4649</v>
      </c>
      <c r="C652" s="173"/>
      <c r="D652" s="22" t="s">
        <v>4650</v>
      </c>
      <c r="E652" s="15" t="s">
        <v>4651</v>
      </c>
      <c r="F652" s="174"/>
      <c r="G652" s="15" t="s">
        <v>4652</v>
      </c>
      <c r="H652" s="37">
        <v>118440</v>
      </c>
      <c r="I652" s="25" t="str">
        <f>CONCATENATE(Cover!$D$6,"fdd/view?i=",H652)</f>
        <v>https://www.dgiwg.org/FAD/fdd/view?i=118440</v>
      </c>
      <c r="J652" s="13" t="s">
        <v>4648</v>
      </c>
      <c r="K652" s="172"/>
      <c r="L652" s="172"/>
      <c r="AP652" s="81" t="s">
        <v>1790</v>
      </c>
    </row>
    <row r="653" spans="1:88" ht="25.5" x14ac:dyDescent="0.2">
      <c r="A653" s="176" t="str">
        <f t="shared" si="10"/>
        <v>RailwayTurntable</v>
      </c>
      <c r="B653" s="11" t="s">
        <v>4654</v>
      </c>
      <c r="C653" s="173"/>
      <c r="D653" s="22" t="s">
        <v>4655</v>
      </c>
      <c r="E653" s="15" t="s">
        <v>4656</v>
      </c>
      <c r="F653" s="15" t="s">
        <v>4657</v>
      </c>
      <c r="G653" s="15" t="s">
        <v>4658</v>
      </c>
      <c r="H653" s="37">
        <v>100139</v>
      </c>
      <c r="I653" s="25" t="str">
        <f>CONCATENATE(Cover!$D$6,"fdd/view?i=",H653)</f>
        <v>https://www.dgiwg.org/FAD/fdd/view?i=100139</v>
      </c>
      <c r="J653" s="13" t="s">
        <v>4653</v>
      </c>
      <c r="K653" s="172"/>
      <c r="L653" s="172"/>
      <c r="AP653" s="81" t="s">
        <v>1790</v>
      </c>
    </row>
    <row r="654" spans="1:88" ht="25.5" x14ac:dyDescent="0.2">
      <c r="A654" s="176" t="str">
        <f t="shared" si="10"/>
        <v>RailwayYard</v>
      </c>
      <c r="B654" s="11" t="s">
        <v>4660</v>
      </c>
      <c r="C654" s="173"/>
      <c r="D654" s="22" t="s">
        <v>4661</v>
      </c>
      <c r="E654" s="15" t="s">
        <v>4662</v>
      </c>
      <c r="F654" s="174"/>
      <c r="G654" s="15" t="s">
        <v>4663</v>
      </c>
      <c r="H654" s="37">
        <v>100137</v>
      </c>
      <c r="I654" s="25" t="str">
        <f>CONCATENATE(Cover!$D$6,"fdd/view?i=",H654)</f>
        <v>https://www.dgiwg.org/FAD/fdd/view?i=100137</v>
      </c>
      <c r="J654" s="13" t="s">
        <v>4659</v>
      </c>
      <c r="K654" s="172"/>
      <c r="L654" s="172"/>
      <c r="AP654" s="81" t="s">
        <v>1790</v>
      </c>
    </row>
    <row r="655" spans="1:88" ht="25.5" x14ac:dyDescent="0.2">
      <c r="A655" s="176" t="str">
        <f t="shared" si="10"/>
        <v>Rainforest</v>
      </c>
      <c r="B655" s="11" t="s">
        <v>4665</v>
      </c>
      <c r="C655" s="173"/>
      <c r="D655" s="22" t="s">
        <v>4664</v>
      </c>
      <c r="E655" s="15" t="s">
        <v>4666</v>
      </c>
      <c r="F655" s="15" t="s">
        <v>4667</v>
      </c>
      <c r="G655" s="174"/>
      <c r="H655" s="37">
        <v>110676</v>
      </c>
      <c r="I655" s="25" t="str">
        <f>CONCATENATE(Cover!$D$6,"fdd/view?i=",H655)</f>
        <v>https://www.dgiwg.org/FAD/fdd/view?i=110676</v>
      </c>
      <c r="J655" s="13" t="s">
        <v>4664</v>
      </c>
      <c r="K655" s="172"/>
      <c r="L655" s="172"/>
      <c r="BW655" s="83" t="s">
        <v>1790</v>
      </c>
    </row>
    <row r="656" spans="1:88" x14ac:dyDescent="0.2">
      <c r="A656" s="176" t="str">
        <f t="shared" si="10"/>
        <v>Ramp</v>
      </c>
      <c r="B656" s="11" t="s">
        <v>4669</v>
      </c>
      <c r="C656" s="173"/>
      <c r="D656" s="22" t="s">
        <v>4668</v>
      </c>
      <c r="E656" s="15" t="s">
        <v>4670</v>
      </c>
      <c r="F656" s="174"/>
      <c r="G656" s="174"/>
      <c r="H656" s="37">
        <v>100114</v>
      </c>
      <c r="I656" s="25" t="str">
        <f>CONCATENATE(Cover!$D$6,"fdd/view?i=",H656)</f>
        <v>https://www.dgiwg.org/FAD/fdd/view?i=100114</v>
      </c>
      <c r="J656" s="13" t="s">
        <v>4668</v>
      </c>
      <c r="K656" s="172"/>
      <c r="L656" s="172"/>
      <c r="AW656" s="82" t="s">
        <v>1790</v>
      </c>
    </row>
    <row r="657" spans="1:107" ht="76.5" x14ac:dyDescent="0.2">
      <c r="A657" s="176" t="str">
        <f t="shared" si="10"/>
        <v>Ranch</v>
      </c>
      <c r="B657" s="11" t="s">
        <v>4672</v>
      </c>
      <c r="C657" s="173"/>
      <c r="D657" s="22" t="s">
        <v>4671</v>
      </c>
      <c r="E657" s="15" t="s">
        <v>4673</v>
      </c>
      <c r="F657" s="15" t="s">
        <v>4674</v>
      </c>
      <c r="G657" s="174"/>
      <c r="H657" s="37">
        <v>111404</v>
      </c>
      <c r="I657" s="25" t="str">
        <f>CONCATENATE(Cover!$D$6,"fdd/view?i=",H657)</f>
        <v>https://www.dgiwg.org/FAD/fdd/view?i=111404</v>
      </c>
      <c r="J657" s="13" t="s">
        <v>4671</v>
      </c>
      <c r="K657" s="172"/>
      <c r="L657" s="172"/>
      <c r="AC657" s="82" t="s">
        <v>1790</v>
      </c>
    </row>
    <row r="658" spans="1:107" ht="25.5" x14ac:dyDescent="0.2">
      <c r="A658" s="176" t="str">
        <f t="shared" si="10"/>
        <v>Rapids</v>
      </c>
      <c r="B658" s="11" t="s">
        <v>4676</v>
      </c>
      <c r="C658" s="173"/>
      <c r="D658" s="22" t="s">
        <v>4675</v>
      </c>
      <c r="E658" s="15" t="s">
        <v>4677</v>
      </c>
      <c r="F658" s="15" t="s">
        <v>4678</v>
      </c>
      <c r="G658" s="15" t="s">
        <v>4679</v>
      </c>
      <c r="H658" s="37">
        <v>100348</v>
      </c>
      <c r="I658" s="25" t="str">
        <f>CONCATENATE(Cover!$D$6,"fdd/view?i=",H658)</f>
        <v>https://www.dgiwg.org/FAD/fdd/view?i=100348</v>
      </c>
      <c r="J658" s="13" t="s">
        <v>4675</v>
      </c>
      <c r="K658" s="172"/>
      <c r="L658" s="172"/>
      <c r="BJ658" s="83" t="s">
        <v>1790</v>
      </c>
    </row>
    <row r="659" spans="1:107" ht="25.5" x14ac:dyDescent="0.2">
      <c r="A659" s="176" t="str">
        <f t="shared" si="10"/>
        <v>RecreationalPier</v>
      </c>
      <c r="B659" s="11" t="s">
        <v>4681</v>
      </c>
      <c r="C659" s="173"/>
      <c r="D659" s="22" t="s">
        <v>4682</v>
      </c>
      <c r="E659" s="15" t="s">
        <v>4683</v>
      </c>
      <c r="F659" s="15" t="s">
        <v>4684</v>
      </c>
      <c r="G659" s="174"/>
      <c r="H659" s="37">
        <v>100077</v>
      </c>
      <c r="I659" s="25" t="str">
        <f>CONCATENATE(Cover!$D$6,"fdd/view?i=",H659)</f>
        <v>https://www.dgiwg.org/FAD/fdd/view?i=100077</v>
      </c>
      <c r="J659" s="13" t="s">
        <v>4680</v>
      </c>
      <c r="K659" s="172"/>
      <c r="L659" s="172"/>
      <c r="AL659" s="83" t="s">
        <v>1790</v>
      </c>
    </row>
    <row r="660" spans="1:107" ht="25.5" x14ac:dyDescent="0.2">
      <c r="A660" s="176" t="str">
        <f t="shared" si="10"/>
        <v>RecyclingSite</v>
      </c>
      <c r="B660" s="11" t="s">
        <v>4686</v>
      </c>
      <c r="C660" s="173"/>
      <c r="D660" s="22" t="s">
        <v>4687</v>
      </c>
      <c r="E660" s="15" t="s">
        <v>4688</v>
      </c>
      <c r="F660" s="15" t="s">
        <v>4689</v>
      </c>
      <c r="G660" s="174"/>
      <c r="H660" s="37">
        <v>100011</v>
      </c>
      <c r="I660" s="25" t="str">
        <f>CONCATENATE(Cover!$D$6,"fdd/view?i=",H660)</f>
        <v>https://www.dgiwg.org/FAD/fdd/view?i=100011</v>
      </c>
      <c r="J660" s="13" t="s">
        <v>4685</v>
      </c>
      <c r="K660" s="172"/>
      <c r="L660" s="172"/>
      <c r="AF660" s="82" t="s">
        <v>1790</v>
      </c>
      <c r="AH660" s="85" t="s">
        <v>1790</v>
      </c>
    </row>
    <row r="661" spans="1:107" ht="25.5" x14ac:dyDescent="0.2">
      <c r="A661" s="176" t="str">
        <f t="shared" si="10"/>
        <v>Reef</v>
      </c>
      <c r="B661" s="11" t="s">
        <v>4691</v>
      </c>
      <c r="C661" s="173"/>
      <c r="D661" s="22" t="s">
        <v>4690</v>
      </c>
      <c r="E661" s="15" t="s">
        <v>4692</v>
      </c>
      <c r="F661" s="174"/>
      <c r="G661" s="174"/>
      <c r="H661" s="37">
        <v>100301</v>
      </c>
      <c r="I661" s="25" t="str">
        <f>CONCATENATE(Cover!$D$6,"fdd/view?i=",H661)</f>
        <v>https://www.dgiwg.org/FAD/fdd/view?i=100301</v>
      </c>
      <c r="J661" s="13" t="s">
        <v>4690</v>
      </c>
      <c r="K661" s="172"/>
      <c r="L661" s="172"/>
      <c r="AZ661" s="87" t="s">
        <v>1790</v>
      </c>
      <c r="BC661" s="83" t="s">
        <v>1790</v>
      </c>
      <c r="BG661" s="83" t="s">
        <v>1790</v>
      </c>
      <c r="CA661" s="83" t="s">
        <v>1790</v>
      </c>
    </row>
    <row r="662" spans="1:107" ht="25.5" x14ac:dyDescent="0.2">
      <c r="A662" s="176" t="str">
        <f t="shared" si="10"/>
        <v>RegionalWindZone</v>
      </c>
      <c r="B662" s="11" t="s">
        <v>4694</v>
      </c>
      <c r="C662" s="173"/>
      <c r="D662" s="22" t="s">
        <v>4695</v>
      </c>
      <c r="E662" s="15" t="s">
        <v>4696</v>
      </c>
      <c r="F662" s="15" t="s">
        <v>4697</v>
      </c>
      <c r="G662" s="174"/>
      <c r="H662" s="37">
        <v>111389</v>
      </c>
      <c r="I662" s="25" t="str">
        <f>CONCATENATE(Cover!$D$6,"fdd/view?i=",H662)</f>
        <v>https://www.dgiwg.org/FAD/fdd/view?i=111389</v>
      </c>
      <c r="J662" s="13" t="s">
        <v>4693</v>
      </c>
      <c r="K662" s="172"/>
      <c r="L662" s="172"/>
      <c r="BZ662" s="83" t="s">
        <v>1790</v>
      </c>
    </row>
    <row r="663" spans="1:107" ht="51" x14ac:dyDescent="0.2">
      <c r="A663" s="176" t="str">
        <f t="shared" si="10"/>
        <v>RegulatorySign</v>
      </c>
      <c r="B663" s="11" t="s">
        <v>4699</v>
      </c>
      <c r="C663" s="173"/>
      <c r="D663" s="22" t="s">
        <v>4700</v>
      </c>
      <c r="E663" s="15" t="s">
        <v>4701</v>
      </c>
      <c r="F663" s="174"/>
      <c r="G663" s="174"/>
      <c r="H663" s="37">
        <v>114181</v>
      </c>
      <c r="I663" s="25" t="str">
        <f>CONCATENATE(Cover!$D$6,"fdd/view?i=",H663)</f>
        <v>https://www.dgiwg.org/FAD/fdd/view?i=114181</v>
      </c>
      <c r="J663" s="13" t="s">
        <v>4698</v>
      </c>
      <c r="K663" s="172"/>
      <c r="L663" s="172"/>
      <c r="AP663" s="81" t="s">
        <v>1790</v>
      </c>
      <c r="AQ663" s="82" t="s">
        <v>1790</v>
      </c>
      <c r="AR663" s="82" t="s">
        <v>1790</v>
      </c>
      <c r="AS663" s="82" t="s">
        <v>1790</v>
      </c>
      <c r="AT663" s="82" t="s">
        <v>1790</v>
      </c>
      <c r="AU663" s="82" t="s">
        <v>1790</v>
      </c>
      <c r="BF663" s="83" t="s">
        <v>1790</v>
      </c>
    </row>
    <row r="664" spans="1:107" ht="76.5" x14ac:dyDescent="0.2">
      <c r="A664" s="176" t="str">
        <f t="shared" si="10"/>
        <v>ReligiousFacility</v>
      </c>
      <c r="B664" s="11" t="s">
        <v>4703</v>
      </c>
      <c r="C664" s="173"/>
      <c r="D664" s="22" t="s">
        <v>4704</v>
      </c>
      <c r="E664" s="15" t="s">
        <v>4705</v>
      </c>
      <c r="F664" s="15" t="s">
        <v>4706</v>
      </c>
      <c r="G664" s="174"/>
      <c r="H664" s="37">
        <v>111421</v>
      </c>
      <c r="I664" s="25" t="str">
        <f>CONCATENATE(Cover!$D$6,"fdd/view?i=",H664)</f>
        <v>https://www.dgiwg.org/FAD/fdd/view?i=111421</v>
      </c>
      <c r="J664" s="13" t="s">
        <v>4702</v>
      </c>
      <c r="K664" s="172"/>
      <c r="L664" s="172"/>
      <c r="AJ664" s="83" t="s">
        <v>1790</v>
      </c>
    </row>
    <row r="665" spans="1:107" ht="25.5" x14ac:dyDescent="0.2">
      <c r="A665" s="176" t="str">
        <f t="shared" si="10"/>
        <v>ReligiousInfo</v>
      </c>
      <c r="B665" s="11" t="s">
        <v>4708</v>
      </c>
      <c r="C665" s="173"/>
      <c r="D665" s="22" t="s">
        <v>4709</v>
      </c>
      <c r="E665" s="15" t="s">
        <v>4710</v>
      </c>
      <c r="F665" s="174"/>
      <c r="G665" s="174"/>
      <c r="H665" s="37">
        <v>117769</v>
      </c>
      <c r="I665" s="25" t="str">
        <f>CONCATENATE(Cover!$D$6,"fdd/view?i=",H665)</f>
        <v>https://www.dgiwg.org/FAD/fdd/view?i=117769</v>
      </c>
      <c r="J665" s="13" t="s">
        <v>4707</v>
      </c>
      <c r="K665" s="172"/>
      <c r="L665" s="172"/>
      <c r="AO665" s="89" t="s">
        <v>1790</v>
      </c>
      <c r="DC665" s="87" t="s">
        <v>1790</v>
      </c>
    </row>
    <row r="666" spans="1:107" ht="25.5" x14ac:dyDescent="0.2">
      <c r="A666" s="176" t="str">
        <f t="shared" si="10"/>
        <v>ResearchFacility</v>
      </c>
      <c r="B666" s="11" t="s">
        <v>4712</v>
      </c>
      <c r="C666" s="173"/>
      <c r="D666" s="22" t="s">
        <v>4713</v>
      </c>
      <c r="E666" s="15" t="s">
        <v>4714</v>
      </c>
      <c r="F666" s="15" t="s">
        <v>4715</v>
      </c>
      <c r="G666" s="174"/>
      <c r="H666" s="37">
        <v>117994</v>
      </c>
      <c r="I666" s="25" t="str">
        <f>CONCATENATE(Cover!$D$6,"fdd/view?i=",H666)</f>
        <v>https://www.dgiwg.org/FAD/fdd/view?i=117994</v>
      </c>
      <c r="J666" s="13" t="s">
        <v>4711</v>
      </c>
      <c r="K666" s="172"/>
      <c r="L666" s="172"/>
      <c r="AJ666" s="83" t="s">
        <v>1790</v>
      </c>
      <c r="AN666" s="83" t="s">
        <v>1790</v>
      </c>
    </row>
    <row r="667" spans="1:107" ht="25.5" x14ac:dyDescent="0.2">
      <c r="A667" s="176" t="str">
        <f t="shared" si="10"/>
        <v>Reservoir</v>
      </c>
      <c r="B667" s="11" t="s">
        <v>4717</v>
      </c>
      <c r="C667" s="173"/>
      <c r="D667" s="22" t="s">
        <v>4716</v>
      </c>
      <c r="E667" s="15" t="s">
        <v>4718</v>
      </c>
      <c r="F667" s="15" t="s">
        <v>4719</v>
      </c>
      <c r="G667" s="174"/>
      <c r="H667" s="37">
        <v>100349</v>
      </c>
      <c r="I667" s="25" t="str">
        <f>CONCATENATE(Cover!$D$6,"fdd/view?i=",H667)</f>
        <v>https://www.dgiwg.org/FAD/fdd/view?i=100349</v>
      </c>
      <c r="J667" s="13" t="s">
        <v>4716</v>
      </c>
      <c r="K667" s="172"/>
      <c r="L667" s="172"/>
      <c r="AG667" s="82" t="s">
        <v>1790</v>
      </c>
      <c r="BJ667" s="83" t="s">
        <v>1790</v>
      </c>
    </row>
    <row r="668" spans="1:107" x14ac:dyDescent="0.2">
      <c r="A668" s="176" t="str">
        <f t="shared" si="10"/>
        <v>RestrictedArea</v>
      </c>
      <c r="B668" s="11" t="s">
        <v>4721</v>
      </c>
      <c r="C668" s="173"/>
      <c r="D668" s="22" t="s">
        <v>4722</v>
      </c>
      <c r="E668" s="15" t="s">
        <v>4723</v>
      </c>
      <c r="F668" s="174"/>
      <c r="G668" s="174"/>
      <c r="H668" s="37">
        <v>100477</v>
      </c>
      <c r="I668" s="25" t="str">
        <f>CONCATENATE(Cover!$D$6,"fdd/view?i=",H668)</f>
        <v>https://www.dgiwg.org/FAD/fdd/view?i=100477</v>
      </c>
      <c r="J668" s="13" t="s">
        <v>4720</v>
      </c>
      <c r="K668" s="172"/>
      <c r="L668" s="172"/>
      <c r="AS668" s="82" t="s">
        <v>1790</v>
      </c>
      <c r="BI668" s="83" t="s">
        <v>1790</v>
      </c>
    </row>
    <row r="669" spans="1:107" ht="38.25" x14ac:dyDescent="0.2">
      <c r="A669" s="176" t="str">
        <f t="shared" si="10"/>
        <v>RestrictionInfo</v>
      </c>
      <c r="B669" s="11" t="s">
        <v>4725</v>
      </c>
      <c r="C669" s="173"/>
      <c r="D669" s="22" t="s">
        <v>4726</v>
      </c>
      <c r="E669" s="15" t="s">
        <v>4727</v>
      </c>
      <c r="F669" s="174"/>
      <c r="G669" s="174"/>
      <c r="H669" s="37">
        <v>114187</v>
      </c>
      <c r="I669" s="25" t="str">
        <f>CONCATENATE(Cover!$D$6,"fdd/view?i=",H669)</f>
        <v>https://www.dgiwg.org/FAD/fdd/view?i=114187</v>
      </c>
      <c r="J669" s="13" t="s">
        <v>4724</v>
      </c>
      <c r="K669" s="172"/>
      <c r="L669" s="172"/>
      <c r="DC669" s="87" t="s">
        <v>1790</v>
      </c>
    </row>
    <row r="670" spans="1:107" ht="25.5" x14ac:dyDescent="0.2">
      <c r="A670" s="176" t="str">
        <f t="shared" si="10"/>
        <v>Resurgence</v>
      </c>
      <c r="B670" s="11" t="s">
        <v>4729</v>
      </c>
      <c r="C670" s="173"/>
      <c r="D670" s="22" t="s">
        <v>4728</v>
      </c>
      <c r="E670" s="15" t="s">
        <v>4730</v>
      </c>
      <c r="F670" s="174"/>
      <c r="G670" s="174"/>
      <c r="H670" s="37">
        <v>101516</v>
      </c>
      <c r="I670" s="25" t="str">
        <f>CONCATENATE(Cover!$D$6,"fdd/view?i=",H670)</f>
        <v>https://www.dgiwg.org/FAD/fdd/view?i=101516</v>
      </c>
      <c r="J670" s="13" t="s">
        <v>4728</v>
      </c>
      <c r="K670" s="172"/>
      <c r="L670" s="172"/>
      <c r="BJ670" s="83" t="s">
        <v>1790</v>
      </c>
    </row>
    <row r="671" spans="1:107" ht="89.25" x14ac:dyDescent="0.2">
      <c r="A671" s="176" t="str">
        <f t="shared" si="10"/>
        <v>RetailStand</v>
      </c>
      <c r="B671" s="11" t="s">
        <v>4732</v>
      </c>
      <c r="C671" s="173"/>
      <c r="D671" s="22" t="s">
        <v>4733</v>
      </c>
      <c r="E671" s="15" t="s">
        <v>4734</v>
      </c>
      <c r="F671" s="15" t="s">
        <v>4735</v>
      </c>
      <c r="G671" s="174"/>
      <c r="H671" s="37">
        <v>114180</v>
      </c>
      <c r="I671" s="25" t="str">
        <f>CONCATENATE(Cover!$D$6,"fdd/view?i=",H671)</f>
        <v>https://www.dgiwg.org/FAD/fdd/view?i=114180</v>
      </c>
      <c r="J671" s="13" t="s">
        <v>4731</v>
      </c>
      <c r="K671" s="172"/>
      <c r="L671" s="172"/>
      <c r="AJ671" s="83" t="s">
        <v>1790</v>
      </c>
      <c r="AK671" s="83" t="s">
        <v>1790</v>
      </c>
    </row>
    <row r="672" spans="1:107" x14ac:dyDescent="0.2">
      <c r="A672" s="176" t="str">
        <f t="shared" si="10"/>
        <v>RiceField</v>
      </c>
      <c r="B672" s="11" t="s">
        <v>4737</v>
      </c>
      <c r="C672" s="173"/>
      <c r="D672" s="22" t="s">
        <v>4738</v>
      </c>
      <c r="E672" s="15" t="s">
        <v>4739</v>
      </c>
      <c r="F672" s="174"/>
      <c r="G672" s="174"/>
      <c r="H672" s="37">
        <v>100350</v>
      </c>
      <c r="I672" s="25" t="str">
        <f>CONCATENATE(Cover!$D$6,"fdd/view?i=",H672)</f>
        <v>https://www.dgiwg.org/FAD/fdd/view?i=100350</v>
      </c>
      <c r="J672" s="13" t="s">
        <v>4736</v>
      </c>
      <c r="K672" s="172"/>
      <c r="L672" s="172"/>
      <c r="BJ672" s="83" t="s">
        <v>1790</v>
      </c>
      <c r="BU672" s="87" t="s">
        <v>1790</v>
      </c>
      <c r="BX672" s="83" t="s">
        <v>1790</v>
      </c>
    </row>
    <row r="673" spans="1:107" x14ac:dyDescent="0.2">
      <c r="A673" s="176" t="str">
        <f t="shared" si="10"/>
        <v>RidgeLine</v>
      </c>
      <c r="B673" s="11" t="s">
        <v>4741</v>
      </c>
      <c r="C673" s="173"/>
      <c r="D673" s="22" t="s">
        <v>4742</v>
      </c>
      <c r="E673" s="15" t="s">
        <v>4743</v>
      </c>
      <c r="F673" s="174"/>
      <c r="G673" s="174"/>
      <c r="H673" s="37">
        <v>100393</v>
      </c>
      <c r="I673" s="25" t="str">
        <f>CONCATENATE(Cover!$D$6,"fdd/view?i=",H673)</f>
        <v>https://www.dgiwg.org/FAD/fdd/view?i=100393</v>
      </c>
      <c r="J673" s="13" t="s">
        <v>4740</v>
      </c>
      <c r="K673" s="172"/>
      <c r="L673" s="172"/>
      <c r="BL673" s="81" t="s">
        <v>1790</v>
      </c>
      <c r="BM673" s="82" t="s">
        <v>1790</v>
      </c>
    </row>
    <row r="674" spans="1:107" ht="25.5" x14ac:dyDescent="0.2">
      <c r="A674" s="176" t="str">
        <f t="shared" si="10"/>
        <v>Rig</v>
      </c>
      <c r="B674" s="11" t="s">
        <v>4745</v>
      </c>
      <c r="C674" s="173"/>
      <c r="D674" s="22" t="s">
        <v>4744</v>
      </c>
      <c r="E674" s="15" t="s">
        <v>4746</v>
      </c>
      <c r="F674" s="174"/>
      <c r="G674" s="174"/>
      <c r="H674" s="37">
        <v>100005</v>
      </c>
      <c r="I674" s="25" t="str">
        <f>CONCATENATE(Cover!$D$6,"fdd/view?i=",H674)</f>
        <v>https://www.dgiwg.org/FAD/fdd/view?i=100005</v>
      </c>
      <c r="J674" s="13" t="s">
        <v>4744</v>
      </c>
      <c r="K674" s="172"/>
      <c r="L674" s="172"/>
      <c r="AA674" s="81" t="s">
        <v>1790</v>
      </c>
      <c r="AF674" s="82" t="s">
        <v>1790</v>
      </c>
    </row>
    <row r="675" spans="1:107" ht="25.5" x14ac:dyDescent="0.2">
      <c r="A675" s="176" t="str">
        <f t="shared" si="10"/>
        <v>Riprap</v>
      </c>
      <c r="B675" s="11" t="s">
        <v>4748</v>
      </c>
      <c r="C675" s="173"/>
      <c r="D675" s="22" t="s">
        <v>4747</v>
      </c>
      <c r="E675" s="15" t="s">
        <v>4749</v>
      </c>
      <c r="F675" s="174"/>
      <c r="G675" s="174"/>
      <c r="H675" s="37">
        <v>100256</v>
      </c>
      <c r="I675" s="25" t="str">
        <f>CONCATENATE(Cover!$D$6,"fdd/view?i=",H675)</f>
        <v>https://www.dgiwg.org/FAD/fdd/view?i=100256</v>
      </c>
      <c r="J675" s="13" t="s">
        <v>4747</v>
      </c>
      <c r="K675" s="172"/>
      <c r="L675" s="172"/>
      <c r="AS675" s="82" t="s">
        <v>1790</v>
      </c>
      <c r="BA675" s="83" t="s">
        <v>1790</v>
      </c>
    </row>
    <row r="676" spans="1:107" x14ac:dyDescent="0.2">
      <c r="A676" s="176" t="str">
        <f t="shared" si="10"/>
        <v>River</v>
      </c>
      <c r="B676" s="11" t="s">
        <v>4751</v>
      </c>
      <c r="C676" s="173"/>
      <c r="D676" s="22" t="s">
        <v>4750</v>
      </c>
      <c r="E676" s="15" t="s">
        <v>4752</v>
      </c>
      <c r="F676" s="174"/>
      <c r="G676" s="15" t="s">
        <v>4753</v>
      </c>
      <c r="H676" s="37">
        <v>100351</v>
      </c>
      <c r="I676" s="25" t="str">
        <f>CONCATENATE(Cover!$D$6,"fdd/view?i=",H676)</f>
        <v>https://www.dgiwg.org/FAD/fdd/view?i=100351</v>
      </c>
      <c r="J676" s="13" t="s">
        <v>4750</v>
      </c>
      <c r="K676" s="172"/>
      <c r="L676" s="172"/>
      <c r="BJ676" s="83" t="s">
        <v>1790</v>
      </c>
    </row>
    <row r="677" spans="1:107" ht="25.5" x14ac:dyDescent="0.2">
      <c r="A677" s="176" t="str">
        <f t="shared" si="10"/>
        <v>Road</v>
      </c>
      <c r="B677" s="11" t="s">
        <v>4755</v>
      </c>
      <c r="C677" s="173"/>
      <c r="D677" s="22" t="s">
        <v>4754</v>
      </c>
      <c r="E677" s="15" t="s">
        <v>4756</v>
      </c>
      <c r="F677" s="174"/>
      <c r="G677" s="174"/>
      <c r="H677" s="37">
        <v>100143</v>
      </c>
      <c r="I677" s="25" t="str">
        <f>CONCATENATE(Cover!$D$6,"fdd/view?i=",H677)</f>
        <v>https://www.dgiwg.org/FAD/fdd/view?i=100143</v>
      </c>
      <c r="J677" s="13" t="s">
        <v>4754</v>
      </c>
      <c r="K677" s="172"/>
      <c r="L677" s="172"/>
      <c r="AQ677" s="82" t="s">
        <v>1790</v>
      </c>
    </row>
    <row r="678" spans="1:107" ht="38.25" x14ac:dyDescent="0.2">
      <c r="A678" s="176" t="str">
        <f t="shared" si="10"/>
        <v>RoadInterchange</v>
      </c>
      <c r="B678" s="11" t="s">
        <v>4758</v>
      </c>
      <c r="C678" s="173"/>
      <c r="D678" s="22" t="s">
        <v>4759</v>
      </c>
      <c r="E678" s="15" t="s">
        <v>4760</v>
      </c>
      <c r="F678" s="15" t="s">
        <v>4761</v>
      </c>
      <c r="G678" s="15" t="s">
        <v>4762</v>
      </c>
      <c r="H678" s="37">
        <v>100142</v>
      </c>
      <c r="I678" s="25" t="str">
        <f>CONCATENATE(Cover!$D$6,"fdd/view?i=",H678)</f>
        <v>https://www.dgiwg.org/FAD/fdd/view?i=100142</v>
      </c>
      <c r="J678" s="13" t="s">
        <v>4757</v>
      </c>
      <c r="K678" s="172"/>
      <c r="L678" s="172"/>
      <c r="AQ678" s="82" t="s">
        <v>1790</v>
      </c>
      <c r="AV678" s="82" t="s">
        <v>1790</v>
      </c>
    </row>
    <row r="679" spans="1:107" ht="25.5" x14ac:dyDescent="0.2">
      <c r="A679" s="176" t="str">
        <f t="shared" si="10"/>
        <v>RoadRamp</v>
      </c>
      <c r="B679" s="11" t="s">
        <v>4764</v>
      </c>
      <c r="C679" s="173"/>
      <c r="D679" s="22" t="s">
        <v>4765</v>
      </c>
      <c r="E679" s="15" t="s">
        <v>4766</v>
      </c>
      <c r="F679" s="174"/>
      <c r="G679" s="15" t="s">
        <v>4767</v>
      </c>
      <c r="H679" s="37">
        <v>100145</v>
      </c>
      <c r="I679" s="25" t="str">
        <f>CONCATENATE(Cover!$D$6,"fdd/view?i=",H679)</f>
        <v>https://www.dgiwg.org/FAD/fdd/view?i=100145</v>
      </c>
      <c r="J679" s="13" t="s">
        <v>4763</v>
      </c>
      <c r="K679" s="172"/>
      <c r="L679" s="172"/>
      <c r="AQ679" s="82" t="s">
        <v>1790</v>
      </c>
    </row>
    <row r="680" spans="1:107" ht="25.5" x14ac:dyDescent="0.2">
      <c r="A680" s="176" t="str">
        <f t="shared" si="10"/>
        <v>RoadsideRestArea</v>
      </c>
      <c r="B680" s="11" t="s">
        <v>4769</v>
      </c>
      <c r="C680" s="173"/>
      <c r="D680" s="22" t="s">
        <v>4770</v>
      </c>
      <c r="E680" s="15" t="s">
        <v>4771</v>
      </c>
      <c r="F680" s="174"/>
      <c r="G680" s="15" t="s">
        <v>4772</v>
      </c>
      <c r="H680" s="37">
        <v>100183</v>
      </c>
      <c r="I680" s="25" t="str">
        <f>CONCATENATE(Cover!$D$6,"fdd/view?i=",H680)</f>
        <v>https://www.dgiwg.org/FAD/fdd/view?i=100183</v>
      </c>
      <c r="J680" s="13" t="s">
        <v>4768</v>
      </c>
      <c r="K680" s="172"/>
      <c r="L680" s="172"/>
      <c r="AQ680" s="82" t="s">
        <v>1790</v>
      </c>
      <c r="AW680" s="82" t="s">
        <v>1790</v>
      </c>
    </row>
    <row r="681" spans="1:107" ht="38.25" x14ac:dyDescent="0.2">
      <c r="A681" s="176" t="str">
        <f t="shared" si="10"/>
        <v>Roadstead</v>
      </c>
      <c r="B681" s="11" t="s">
        <v>4774</v>
      </c>
      <c r="C681" s="173"/>
      <c r="D681" s="22" t="s">
        <v>4773</v>
      </c>
      <c r="E681" s="15" t="s">
        <v>4775</v>
      </c>
      <c r="F681" s="15" t="s">
        <v>4776</v>
      </c>
      <c r="G681" s="174"/>
      <c r="H681" s="37">
        <v>111436</v>
      </c>
      <c r="I681" s="25" t="str">
        <f>CONCATENATE(Cover!$D$6,"fdd/view?i=",H681)</f>
        <v>https://www.dgiwg.org/FAD/fdd/view?i=111436</v>
      </c>
      <c r="J681" s="13" t="s">
        <v>4773</v>
      </c>
      <c r="K681" s="172"/>
      <c r="L681" s="172"/>
      <c r="AS681" s="82" t="s">
        <v>1790</v>
      </c>
      <c r="BA681" s="83" t="s">
        <v>1790</v>
      </c>
    </row>
    <row r="682" spans="1:107" x14ac:dyDescent="0.2">
      <c r="A682" s="176" t="str">
        <f t="shared" si="10"/>
        <v>RockFormation</v>
      </c>
      <c r="B682" s="11" t="s">
        <v>4778</v>
      </c>
      <c r="C682" s="173"/>
      <c r="D682" s="22" t="s">
        <v>4779</v>
      </c>
      <c r="E682" s="15" t="s">
        <v>4780</v>
      </c>
      <c r="F682" s="174"/>
      <c r="G682" s="174"/>
      <c r="H682" s="37">
        <v>100418</v>
      </c>
      <c r="I682" s="25" t="str">
        <f>CONCATENATE(Cover!$D$6,"fdd/view?i=",H682)</f>
        <v>https://www.dgiwg.org/FAD/fdd/view?i=100418</v>
      </c>
      <c r="J682" s="13" t="s">
        <v>4777</v>
      </c>
      <c r="K682" s="172"/>
      <c r="L682" s="172"/>
      <c r="BM682" s="82" t="s">
        <v>1790</v>
      </c>
      <c r="BN682" s="82" t="s">
        <v>1790</v>
      </c>
    </row>
    <row r="683" spans="1:107" ht="38.25" x14ac:dyDescent="0.2">
      <c r="A683" s="176" t="str">
        <f t="shared" si="10"/>
        <v>Roundhouse</v>
      </c>
      <c r="B683" s="11" t="s">
        <v>4782</v>
      </c>
      <c r="C683" s="173"/>
      <c r="D683" s="22" t="s">
        <v>4781</v>
      </c>
      <c r="E683" s="15" t="s">
        <v>4783</v>
      </c>
      <c r="F683" s="15" t="s">
        <v>4784</v>
      </c>
      <c r="G683" s="174"/>
      <c r="H683" s="37">
        <v>111428</v>
      </c>
      <c r="I683" s="25" t="str">
        <f>CONCATENATE(Cover!$D$6,"fdd/view?i=",H683)</f>
        <v>https://www.dgiwg.org/FAD/fdd/view?i=111428</v>
      </c>
      <c r="J683" s="13" t="s">
        <v>4781</v>
      </c>
      <c r="K683" s="172"/>
      <c r="L683" s="172"/>
      <c r="AP683" s="81" t="s">
        <v>1790</v>
      </c>
    </row>
    <row r="684" spans="1:107" ht="25.5" x14ac:dyDescent="0.2">
      <c r="A684" s="176" t="str">
        <f t="shared" si="10"/>
        <v>RouteMarker</v>
      </c>
      <c r="B684" s="11" t="s">
        <v>4786</v>
      </c>
      <c r="C684" s="173"/>
      <c r="D684" s="22" t="s">
        <v>4787</v>
      </c>
      <c r="E684" s="15" t="s">
        <v>4788</v>
      </c>
      <c r="F684" s="15" t="s">
        <v>4789</v>
      </c>
      <c r="G684" s="174"/>
      <c r="H684" s="37">
        <v>100179</v>
      </c>
      <c r="I684" s="25" t="str">
        <f>CONCATENATE(Cover!$D$6,"fdd/view?i=",H684)</f>
        <v>https://www.dgiwg.org/FAD/fdd/view?i=100179</v>
      </c>
      <c r="J684" s="13" t="s">
        <v>4785</v>
      </c>
      <c r="K684" s="172"/>
      <c r="L684" s="172"/>
      <c r="AJ684" s="83" t="s">
        <v>1790</v>
      </c>
      <c r="AQ684" s="82" t="s">
        <v>1790</v>
      </c>
      <c r="AW684" s="82" t="s">
        <v>1790</v>
      </c>
    </row>
    <row r="685" spans="1:107" ht="242.25" x14ac:dyDescent="0.2">
      <c r="A685" s="176" t="str">
        <f t="shared" si="10"/>
        <v>RoutePavementInfo</v>
      </c>
      <c r="B685" s="11" t="s">
        <v>4791</v>
      </c>
      <c r="C685" s="173"/>
      <c r="D685" s="22" t="s">
        <v>4792</v>
      </c>
      <c r="E685" s="15" t="s">
        <v>4793</v>
      </c>
      <c r="F685" s="15" t="s">
        <v>4794</v>
      </c>
      <c r="G685" s="174"/>
      <c r="H685" s="37">
        <v>114199</v>
      </c>
      <c r="I685" s="25" t="str">
        <f>CONCATENATE(Cover!$D$6,"fdd/view?i=",H685)</f>
        <v>https://www.dgiwg.org/FAD/fdd/view?i=114199</v>
      </c>
      <c r="J685" s="13" t="s">
        <v>4790</v>
      </c>
      <c r="K685" s="172"/>
      <c r="L685" s="172"/>
      <c r="DC685" s="87" t="s">
        <v>1790</v>
      </c>
    </row>
    <row r="686" spans="1:107" ht="25.5" x14ac:dyDescent="0.2">
      <c r="A686" s="176" t="str">
        <f t="shared" si="10"/>
        <v>RouteWidthChange</v>
      </c>
      <c r="B686" s="11" t="s">
        <v>4796</v>
      </c>
      <c r="C686" s="173"/>
      <c r="D686" s="22" t="s">
        <v>4797</v>
      </c>
      <c r="E686" s="15" t="s">
        <v>4798</v>
      </c>
      <c r="F686" s="15" t="s">
        <v>4799</v>
      </c>
      <c r="G686" s="174"/>
      <c r="H686" s="37">
        <v>100161</v>
      </c>
      <c r="I686" s="25" t="str">
        <f>CONCATENATE(Cover!$D$6,"fdd/view?i=",H686)</f>
        <v>https://www.dgiwg.org/FAD/fdd/view?i=100161</v>
      </c>
      <c r="J686" s="13" t="s">
        <v>4795</v>
      </c>
      <c r="K686" s="172"/>
      <c r="L686" s="172"/>
      <c r="AU686" s="82" t="s">
        <v>1790</v>
      </c>
    </row>
    <row r="687" spans="1:107" x14ac:dyDescent="0.2">
      <c r="A687" s="176" t="str">
        <f t="shared" si="10"/>
        <v>Ruins</v>
      </c>
      <c r="B687" s="11" t="s">
        <v>4801</v>
      </c>
      <c r="C687" s="173"/>
      <c r="D687" s="22" t="s">
        <v>4800</v>
      </c>
      <c r="E687" s="15" t="s">
        <v>4802</v>
      </c>
      <c r="F687" s="174"/>
      <c r="G687" s="174"/>
      <c r="H687" s="37">
        <v>100115</v>
      </c>
      <c r="I687" s="25" t="str">
        <f>CONCATENATE(Cover!$D$6,"fdd/view?i=",H687)</f>
        <v>https://www.dgiwg.org/FAD/fdd/view?i=100115</v>
      </c>
      <c r="J687" s="13" t="s">
        <v>4800</v>
      </c>
      <c r="K687" s="172"/>
      <c r="L687" s="172"/>
      <c r="AI687" s="87" t="s">
        <v>1790</v>
      </c>
      <c r="AL687" s="83" t="s">
        <v>1790</v>
      </c>
      <c r="BG687" s="83" t="s">
        <v>1790</v>
      </c>
    </row>
    <row r="688" spans="1:107" ht="25.5" x14ac:dyDescent="0.2">
      <c r="A688" s="176" t="str">
        <f t="shared" si="10"/>
        <v>Runway</v>
      </c>
      <c r="B688" s="11" t="s">
        <v>4804</v>
      </c>
      <c r="C688" s="173"/>
      <c r="D688" s="22" t="s">
        <v>4803</v>
      </c>
      <c r="E688" s="15" t="s">
        <v>4805</v>
      </c>
      <c r="F688" s="174"/>
      <c r="G688" s="15" t="s">
        <v>4806</v>
      </c>
      <c r="H688" s="37">
        <v>114602</v>
      </c>
      <c r="I688" s="25" t="str">
        <f>CONCATENATE(Cover!$D$6,"fdd/view?i=",H688)</f>
        <v>https://www.dgiwg.org/FAD/fdd/view?i=114602</v>
      </c>
      <c r="J688" s="13" t="s">
        <v>4803</v>
      </c>
      <c r="K688" s="172"/>
      <c r="L688" s="172"/>
      <c r="CE688" s="87" t="s">
        <v>1790</v>
      </c>
    </row>
    <row r="689" spans="1:98" ht="76.5" x14ac:dyDescent="0.2">
      <c r="A689" s="176" t="str">
        <f t="shared" si="10"/>
        <v>RunwayCentreLinePoint</v>
      </c>
      <c r="B689" s="11" t="s">
        <v>4808</v>
      </c>
      <c r="C689" s="173"/>
      <c r="D689" s="22" t="s">
        <v>4809</v>
      </c>
      <c r="E689" s="15" t="s">
        <v>4810</v>
      </c>
      <c r="F689" s="15" t="s">
        <v>4811</v>
      </c>
      <c r="G689" s="174"/>
      <c r="H689" s="37">
        <v>119706</v>
      </c>
      <c r="I689" s="25" t="str">
        <f>CONCATENATE(Cover!$D$6,"fdd/view?i=",H689)</f>
        <v>https://www.dgiwg.org/FAD/fdd/view?i=119706</v>
      </c>
      <c r="J689" s="13" t="s">
        <v>4807</v>
      </c>
      <c r="K689" s="172"/>
      <c r="L689" s="172"/>
      <c r="AT689" s="82" t="s">
        <v>1790</v>
      </c>
      <c r="CE689" s="87" t="s">
        <v>1790</v>
      </c>
      <c r="CP689" s="164" t="s">
        <v>1790</v>
      </c>
    </row>
    <row r="690" spans="1:98" ht="25.5" x14ac:dyDescent="0.2">
      <c r="A690" s="176" t="str">
        <f t="shared" si="10"/>
        <v>RunwayDeclaredDistInfo</v>
      </c>
      <c r="B690" s="11" t="s">
        <v>4813</v>
      </c>
      <c r="C690" s="173"/>
      <c r="D690" s="22" t="s">
        <v>4814</v>
      </c>
      <c r="E690" s="15" t="s">
        <v>4815</v>
      </c>
      <c r="F690" s="174"/>
      <c r="G690" s="174"/>
      <c r="H690" s="37">
        <v>119171</v>
      </c>
      <c r="I690" s="25" t="str">
        <f>CONCATENATE(Cover!$D$6,"fdd/view?i=",H690)</f>
        <v>https://www.dgiwg.org/FAD/fdd/view?i=119171</v>
      </c>
      <c r="J690" s="13" t="s">
        <v>4812</v>
      </c>
      <c r="K690" s="172"/>
      <c r="L690" s="172"/>
      <c r="AT690" s="82" t="s">
        <v>1790</v>
      </c>
      <c r="CE690" s="87" t="s">
        <v>1790</v>
      </c>
      <c r="CT690" s="166" t="s">
        <v>1790</v>
      </c>
    </row>
    <row r="691" spans="1:98" ht="25.5" x14ac:dyDescent="0.2">
      <c r="A691" s="176" t="str">
        <f t="shared" si="10"/>
        <v>RunwayDirection</v>
      </c>
      <c r="B691" s="11" t="s">
        <v>4817</v>
      </c>
      <c r="C691" s="173"/>
      <c r="D691" s="22" t="s">
        <v>4818</v>
      </c>
      <c r="E691" s="15" t="s">
        <v>4819</v>
      </c>
      <c r="F691" s="15" t="s">
        <v>4820</v>
      </c>
      <c r="G691" s="15" t="s">
        <v>4821</v>
      </c>
      <c r="H691" s="37">
        <v>114603</v>
      </c>
      <c r="I691" s="25" t="str">
        <f>CONCATENATE(Cover!$D$6,"fdd/view?i=",H691)</f>
        <v>https://www.dgiwg.org/FAD/fdd/view?i=114603</v>
      </c>
      <c r="J691" s="13" t="s">
        <v>4816</v>
      </c>
      <c r="K691" s="172"/>
      <c r="L691" s="172"/>
      <c r="CE691" s="87" t="s">
        <v>1790</v>
      </c>
    </row>
    <row r="692" spans="1:98" ht="25.5" x14ac:dyDescent="0.2">
      <c r="A692" s="176" t="str">
        <f t="shared" si="10"/>
        <v>RunwayElement</v>
      </c>
      <c r="B692" s="11" t="s">
        <v>4823</v>
      </c>
      <c r="C692" s="173"/>
      <c r="D692" s="22" t="s">
        <v>4824</v>
      </c>
      <c r="E692" s="15" t="s">
        <v>4825</v>
      </c>
      <c r="F692" s="15" t="s">
        <v>4826</v>
      </c>
      <c r="G692" s="174"/>
      <c r="H692" s="37">
        <v>119093</v>
      </c>
      <c r="I692" s="25" t="str">
        <f>CONCATENATE(Cover!$D$6,"fdd/view?i=",H692)</f>
        <v>https://www.dgiwg.org/FAD/fdd/view?i=119093</v>
      </c>
      <c r="J692" s="13" t="s">
        <v>4822</v>
      </c>
      <c r="K692" s="172"/>
      <c r="L692" s="172"/>
      <c r="CE692" s="87" t="s">
        <v>1790</v>
      </c>
    </row>
    <row r="693" spans="1:98" ht="38.25" x14ac:dyDescent="0.2">
      <c r="A693" s="176" t="str">
        <f t="shared" si="10"/>
        <v>RunwayEndSafetyArea</v>
      </c>
      <c r="B693" s="11" t="s">
        <v>4828</v>
      </c>
      <c r="C693" s="173"/>
      <c r="D693" s="22" t="s">
        <v>4829</v>
      </c>
      <c r="E693" s="15" t="s">
        <v>4830</v>
      </c>
      <c r="F693" s="15" t="s">
        <v>4831</v>
      </c>
      <c r="G693" s="15" t="s">
        <v>4832</v>
      </c>
      <c r="H693" s="37">
        <v>114604</v>
      </c>
      <c r="I693" s="25" t="str">
        <f>CONCATENATE(Cover!$D$6,"fdd/view?i=",H693)</f>
        <v>https://www.dgiwg.org/FAD/fdd/view?i=114604</v>
      </c>
      <c r="J693" s="13" t="s">
        <v>4827</v>
      </c>
      <c r="K693" s="172"/>
      <c r="L693" s="172"/>
      <c r="CE693" s="87" t="s">
        <v>1790</v>
      </c>
    </row>
    <row r="694" spans="1:98" ht="25.5" x14ac:dyDescent="0.2">
      <c r="A694" s="176" t="str">
        <f t="shared" si="10"/>
        <v>RunwayEndpoint</v>
      </c>
      <c r="B694" s="11" t="s">
        <v>4834</v>
      </c>
      <c r="C694" s="173"/>
      <c r="D694" s="22" t="s">
        <v>4835</v>
      </c>
      <c r="E694" s="15" t="s">
        <v>4836</v>
      </c>
      <c r="F694" s="174"/>
      <c r="G694" s="15" t="s">
        <v>4837</v>
      </c>
      <c r="H694" s="37">
        <v>114605</v>
      </c>
      <c r="I694" s="25" t="str">
        <f>CONCATENATE(Cover!$D$6,"fdd/view?i=",H694)</f>
        <v>https://www.dgiwg.org/FAD/fdd/view?i=114605</v>
      </c>
      <c r="J694" s="13" t="s">
        <v>4833</v>
      </c>
      <c r="K694" s="172"/>
      <c r="L694" s="172"/>
      <c r="CE694" s="87" t="s">
        <v>1790</v>
      </c>
    </row>
    <row r="695" spans="1:98" ht="38.25" x14ac:dyDescent="0.2">
      <c r="A695" s="176" t="str">
        <f t="shared" si="10"/>
        <v>RunwayHoldingPosition</v>
      </c>
      <c r="B695" s="11" t="s">
        <v>4839</v>
      </c>
      <c r="C695" s="173"/>
      <c r="D695" s="22" t="s">
        <v>4840</v>
      </c>
      <c r="E695" s="15" t="s">
        <v>4841</v>
      </c>
      <c r="F695" s="174"/>
      <c r="G695" s="174"/>
      <c r="H695" s="37">
        <v>114606</v>
      </c>
      <c r="I695" s="25" t="str">
        <f>CONCATENATE(Cover!$D$6,"fdd/view?i=",H695)</f>
        <v>https://www.dgiwg.org/FAD/fdd/view?i=114606</v>
      </c>
      <c r="J695" s="13" t="s">
        <v>4838</v>
      </c>
      <c r="K695" s="172"/>
      <c r="L695" s="172"/>
      <c r="CE695" s="87" t="s">
        <v>1790</v>
      </c>
    </row>
    <row r="696" spans="1:98" x14ac:dyDescent="0.2">
      <c r="A696" s="176" t="str">
        <f t="shared" si="10"/>
        <v>RunwayIntersection</v>
      </c>
      <c r="B696" s="11" t="s">
        <v>4843</v>
      </c>
      <c r="C696" s="173"/>
      <c r="D696" s="22" t="s">
        <v>4844</v>
      </c>
      <c r="E696" s="15" t="s">
        <v>4845</v>
      </c>
      <c r="F696" s="174"/>
      <c r="G696" s="174"/>
      <c r="H696" s="37">
        <v>119164</v>
      </c>
      <c r="I696" s="25" t="str">
        <f>CONCATENATE(Cover!$D$6,"fdd/view?i=",H696)</f>
        <v>https://www.dgiwg.org/FAD/fdd/view?i=119164</v>
      </c>
      <c r="J696" s="13" t="s">
        <v>4842</v>
      </c>
      <c r="K696" s="172"/>
      <c r="L696" s="172"/>
      <c r="AT696" s="82" t="s">
        <v>1790</v>
      </c>
      <c r="CE696" s="87" t="s">
        <v>1790</v>
      </c>
    </row>
    <row r="697" spans="1:98" ht="25.5" x14ac:dyDescent="0.2">
      <c r="A697" s="176" t="str">
        <f t="shared" si="10"/>
        <v>RunwayRadarReflector</v>
      </c>
      <c r="B697" s="11" t="s">
        <v>4847</v>
      </c>
      <c r="C697" s="173"/>
      <c r="D697" s="22" t="s">
        <v>4848</v>
      </c>
      <c r="E697" s="15" t="s">
        <v>4849</v>
      </c>
      <c r="F697" s="174"/>
      <c r="G697" s="174"/>
      <c r="H697" s="37">
        <v>114640</v>
      </c>
      <c r="I697" s="25" t="str">
        <f>CONCATENATE(Cover!$D$6,"fdd/view?i=",H697)</f>
        <v>https://www.dgiwg.org/FAD/fdd/view?i=114640</v>
      </c>
      <c r="J697" s="13" t="s">
        <v>4846</v>
      </c>
      <c r="K697" s="172"/>
      <c r="L697" s="172"/>
      <c r="CE697" s="87" t="s">
        <v>1790</v>
      </c>
    </row>
    <row r="698" spans="1:98" ht="38.25" x14ac:dyDescent="0.2">
      <c r="A698" s="176" t="str">
        <f t="shared" si="10"/>
        <v>RunwayStrip</v>
      </c>
      <c r="B698" s="11" t="s">
        <v>4851</v>
      </c>
      <c r="C698" s="173"/>
      <c r="D698" s="22" t="s">
        <v>4852</v>
      </c>
      <c r="E698" s="15" t="s">
        <v>4853</v>
      </c>
      <c r="F698" s="174"/>
      <c r="G698" s="174"/>
      <c r="H698" s="37">
        <v>114607</v>
      </c>
      <c r="I698" s="25" t="str">
        <f>CONCATENATE(Cover!$D$6,"fdd/view?i=",H698)</f>
        <v>https://www.dgiwg.org/FAD/fdd/view?i=114607</v>
      </c>
      <c r="J698" s="13" t="s">
        <v>4850</v>
      </c>
      <c r="K698" s="172"/>
      <c r="L698" s="172"/>
      <c r="CE698" s="87" t="s">
        <v>1790</v>
      </c>
    </row>
    <row r="699" spans="1:98" ht="38.25" x14ac:dyDescent="0.2">
      <c r="A699" s="176" t="str">
        <f t="shared" si="10"/>
        <v>RunwayThreshold</v>
      </c>
      <c r="B699" s="11" t="s">
        <v>4855</v>
      </c>
      <c r="C699" s="173"/>
      <c r="D699" s="22" t="s">
        <v>4856</v>
      </c>
      <c r="E699" s="15" t="s">
        <v>4857</v>
      </c>
      <c r="F699" s="15" t="s">
        <v>4858</v>
      </c>
      <c r="G699" s="174"/>
      <c r="H699" s="37">
        <v>114608</v>
      </c>
      <c r="I699" s="25" t="str">
        <f>CONCATENATE(Cover!$D$6,"fdd/view?i=",H699)</f>
        <v>https://www.dgiwg.org/FAD/fdd/view?i=114608</v>
      </c>
      <c r="J699" s="13" t="s">
        <v>4854</v>
      </c>
      <c r="K699" s="172"/>
      <c r="L699" s="172"/>
      <c r="CE699" s="87" t="s">
        <v>1790</v>
      </c>
    </row>
    <row r="700" spans="1:98" ht="25.5" x14ac:dyDescent="0.2">
      <c r="A700" s="176" t="str">
        <f t="shared" si="10"/>
        <v>RunwayTurnPad</v>
      </c>
      <c r="B700" s="11" t="s">
        <v>4860</v>
      </c>
      <c r="C700" s="173"/>
      <c r="D700" s="22" t="s">
        <v>4861</v>
      </c>
      <c r="E700" s="15" t="s">
        <v>4862</v>
      </c>
      <c r="F700" s="174"/>
      <c r="G700" s="174"/>
      <c r="H700" s="37">
        <v>114609</v>
      </c>
      <c r="I700" s="25" t="str">
        <f>CONCATENATE(Cover!$D$6,"fdd/view?i=",H700)</f>
        <v>https://www.dgiwg.org/FAD/fdd/view?i=114609</v>
      </c>
      <c r="J700" s="13" t="s">
        <v>4859</v>
      </c>
      <c r="K700" s="172"/>
      <c r="L700" s="172"/>
      <c r="CE700" s="87" t="s">
        <v>1790</v>
      </c>
    </row>
    <row r="701" spans="1:98" ht="25.5" x14ac:dyDescent="0.2">
      <c r="A701" s="176" t="str">
        <f t="shared" si="10"/>
        <v>Sabkha</v>
      </c>
      <c r="B701" s="11" t="s">
        <v>4864</v>
      </c>
      <c r="C701" s="173"/>
      <c r="D701" s="22" t="s">
        <v>4863</v>
      </c>
      <c r="E701" s="15" t="s">
        <v>4865</v>
      </c>
      <c r="F701" s="15" t="s">
        <v>4866</v>
      </c>
      <c r="G701" s="15" t="s">
        <v>4867</v>
      </c>
      <c r="H701" s="37">
        <v>100356</v>
      </c>
      <c r="I701" s="25" t="str">
        <f>CONCATENATE(Cover!$D$6,"fdd/view?i=",H701)</f>
        <v>https://www.dgiwg.org/FAD/fdd/view?i=100356</v>
      </c>
      <c r="J701" s="13" t="s">
        <v>4863</v>
      </c>
      <c r="K701" s="172"/>
      <c r="L701" s="172"/>
      <c r="BP701" s="82" t="s">
        <v>1790</v>
      </c>
    </row>
    <row r="702" spans="1:98" ht="38.25" x14ac:dyDescent="0.2">
      <c r="A702" s="176" t="str">
        <f t="shared" si="10"/>
        <v>SafeAltitudeArea</v>
      </c>
      <c r="B702" s="11" t="s">
        <v>4869</v>
      </c>
      <c r="C702" s="173"/>
      <c r="D702" s="22" t="s">
        <v>4870</v>
      </c>
      <c r="E702" s="15" t="s">
        <v>4871</v>
      </c>
      <c r="F702" s="174"/>
      <c r="G702" s="174"/>
      <c r="H702" s="37">
        <v>114621</v>
      </c>
      <c r="I702" s="25" t="str">
        <f>CONCATENATE(Cover!$D$6,"fdd/view?i=",H702)</f>
        <v>https://www.dgiwg.org/FAD/fdd/view?i=114621</v>
      </c>
      <c r="J702" s="13" t="s">
        <v>4868</v>
      </c>
      <c r="K702" s="172"/>
      <c r="L702" s="172"/>
      <c r="CI702" s="89" t="s">
        <v>1790</v>
      </c>
    </row>
    <row r="703" spans="1:98" ht="63.75" x14ac:dyDescent="0.2">
      <c r="A703" s="176" t="str">
        <f t="shared" si="10"/>
        <v>SafeAltitudeAreaSector</v>
      </c>
      <c r="B703" s="11" t="s">
        <v>4873</v>
      </c>
      <c r="C703" s="173"/>
      <c r="D703" s="22" t="s">
        <v>4874</v>
      </c>
      <c r="E703" s="15" t="s">
        <v>4875</v>
      </c>
      <c r="F703" s="15" t="s">
        <v>4876</v>
      </c>
      <c r="G703" s="174"/>
      <c r="H703" s="37">
        <v>119551</v>
      </c>
      <c r="I703" s="25" t="str">
        <f>CONCATENATE(Cover!$D$6,"fdd/view?i=",H703)</f>
        <v>https://www.dgiwg.org/FAD/fdd/view?i=119551</v>
      </c>
      <c r="J703" s="13" t="s">
        <v>4872</v>
      </c>
      <c r="K703" s="172"/>
      <c r="L703" s="172"/>
      <c r="AT703" s="82" t="s">
        <v>1790</v>
      </c>
      <c r="CF703" s="83" t="s">
        <v>1790</v>
      </c>
    </row>
    <row r="704" spans="1:98" ht="25.5" x14ac:dyDescent="0.2">
      <c r="A704" s="176" t="str">
        <f t="shared" si="10"/>
        <v>SafetyFairway</v>
      </c>
      <c r="B704" s="11" t="s">
        <v>4878</v>
      </c>
      <c r="C704" s="173"/>
      <c r="D704" s="22" t="s">
        <v>4879</v>
      </c>
      <c r="E704" s="15" t="s">
        <v>4880</v>
      </c>
      <c r="F704" s="174"/>
      <c r="G704" s="174"/>
      <c r="H704" s="37">
        <v>100488</v>
      </c>
      <c r="I704" s="25" t="str">
        <f>CONCATENATE(Cover!$D$6,"fdd/view?i=",H704)</f>
        <v>https://www.dgiwg.org/FAD/fdd/view?i=100488</v>
      </c>
      <c r="J704" s="13" t="s">
        <v>4877</v>
      </c>
      <c r="K704" s="172"/>
      <c r="L704" s="172"/>
      <c r="AM704" s="83" t="s">
        <v>1790</v>
      </c>
      <c r="AS704" s="82" t="s">
        <v>1790</v>
      </c>
      <c r="BF704" s="83" t="s">
        <v>1790</v>
      </c>
    </row>
    <row r="705" spans="1:99" ht="25.5" x14ac:dyDescent="0.2">
      <c r="A705" s="176" t="str">
        <f t="shared" si="10"/>
        <v>SaltEvaporator</v>
      </c>
      <c r="B705" s="11" t="s">
        <v>4882</v>
      </c>
      <c r="C705" s="173"/>
      <c r="D705" s="22" t="s">
        <v>4883</v>
      </c>
      <c r="E705" s="15" t="s">
        <v>4884</v>
      </c>
      <c r="F705" s="174"/>
      <c r="G705" s="174"/>
      <c r="H705" s="37">
        <v>100355</v>
      </c>
      <c r="I705" s="25" t="str">
        <f>CONCATENATE(Cover!$D$6,"fdd/view?i=",H705)</f>
        <v>https://www.dgiwg.org/FAD/fdd/view?i=100355</v>
      </c>
      <c r="J705" s="13" t="s">
        <v>4881</v>
      </c>
      <c r="K705" s="172"/>
      <c r="L705" s="172"/>
      <c r="BD705" s="83" t="s">
        <v>1790</v>
      </c>
      <c r="BJ705" s="83" t="s">
        <v>1790</v>
      </c>
      <c r="BP705" s="82" t="s">
        <v>1790</v>
      </c>
    </row>
    <row r="706" spans="1:99" ht="25.5" x14ac:dyDescent="0.2">
      <c r="A706" s="176" t="str">
        <f t="shared" si="10"/>
        <v>SaltFlat</v>
      </c>
      <c r="B706" s="11" t="s">
        <v>4886</v>
      </c>
      <c r="C706" s="173"/>
      <c r="D706" s="22" t="s">
        <v>4887</v>
      </c>
      <c r="E706" s="15" t="s">
        <v>4888</v>
      </c>
      <c r="F706" s="15" t="s">
        <v>4889</v>
      </c>
      <c r="G706" s="174"/>
      <c r="H706" s="37">
        <v>100354</v>
      </c>
      <c r="I706" s="25" t="str">
        <f>CONCATENATE(Cover!$D$6,"fdd/view?i=",H706)</f>
        <v>https://www.dgiwg.org/FAD/fdd/view?i=100354</v>
      </c>
      <c r="J706" s="13" t="s">
        <v>4885</v>
      </c>
      <c r="K706" s="172"/>
      <c r="L706" s="172"/>
      <c r="BP706" s="82" t="s">
        <v>1790</v>
      </c>
    </row>
    <row r="707" spans="1:99" x14ac:dyDescent="0.2">
      <c r="A707" s="176" t="str">
        <f t="shared" ref="A707:A770" si="11">HYPERLINK(I707,J707)</f>
        <v>SandDunes</v>
      </c>
      <c r="B707" s="11" t="s">
        <v>4891</v>
      </c>
      <c r="C707" s="173"/>
      <c r="D707" s="22" t="s">
        <v>4892</v>
      </c>
      <c r="E707" s="15" t="s">
        <v>4893</v>
      </c>
      <c r="F707" s="174"/>
      <c r="G707" s="15" t="s">
        <v>4894</v>
      </c>
      <c r="H707" s="37">
        <v>100420</v>
      </c>
      <c r="I707" s="25" t="str">
        <f>CONCATENATE(Cover!$D$6,"fdd/view?i=",H707)</f>
        <v>https://www.dgiwg.org/FAD/fdd/view?i=100420</v>
      </c>
      <c r="J707" s="13" t="s">
        <v>4890</v>
      </c>
      <c r="K707" s="172"/>
      <c r="L707" s="172"/>
      <c r="BM707" s="82" t="s">
        <v>1790</v>
      </c>
      <c r="BO707" s="82" t="s">
        <v>1790</v>
      </c>
      <c r="BY707" s="83" t="s">
        <v>1790</v>
      </c>
    </row>
    <row r="708" spans="1:99" ht="38.25" x14ac:dyDescent="0.2">
      <c r="A708" s="176" t="str">
        <f t="shared" si="11"/>
        <v>SatelliteBasedAugSystem</v>
      </c>
      <c r="B708" s="11" t="s">
        <v>4896</v>
      </c>
      <c r="C708" s="173"/>
      <c r="D708" s="22" t="s">
        <v>4897</v>
      </c>
      <c r="E708" s="15" t="s">
        <v>4898</v>
      </c>
      <c r="F708" s="174"/>
      <c r="G708" s="174"/>
      <c r="H708" s="37">
        <v>114520</v>
      </c>
      <c r="I708" s="25" t="str">
        <f>CONCATENATE(Cover!$D$6,"fdd/view?i=",H708)</f>
        <v>https://www.dgiwg.org/FAD/fdd/view?i=114520</v>
      </c>
      <c r="J708" s="13" t="s">
        <v>4895</v>
      </c>
      <c r="K708" s="172"/>
      <c r="L708" s="172"/>
      <c r="CG708" s="83" t="s">
        <v>1790</v>
      </c>
    </row>
    <row r="709" spans="1:99" x14ac:dyDescent="0.2">
      <c r="A709" s="176" t="str">
        <f t="shared" si="11"/>
        <v>Savanna</v>
      </c>
      <c r="B709" s="11" t="s">
        <v>4900</v>
      </c>
      <c r="C709" s="173"/>
      <c r="D709" s="22" t="s">
        <v>4899</v>
      </c>
      <c r="E709" s="15" t="s">
        <v>4901</v>
      </c>
      <c r="F709" s="174"/>
      <c r="G709" s="174"/>
      <c r="H709" s="37">
        <v>110671</v>
      </c>
      <c r="I709" s="25" t="str">
        <f>CONCATENATE(Cover!$D$6,"fdd/view?i=",H709)</f>
        <v>https://www.dgiwg.org/FAD/fdd/view?i=110671</v>
      </c>
      <c r="J709" s="13" t="s">
        <v>4899</v>
      </c>
      <c r="K709" s="172"/>
      <c r="L709" s="172"/>
      <c r="BV709" s="83" t="s">
        <v>1790</v>
      </c>
    </row>
    <row r="710" spans="1:99" x14ac:dyDescent="0.2">
      <c r="A710" s="176" t="str">
        <f t="shared" si="11"/>
        <v>Scoreboard</v>
      </c>
      <c r="B710" s="11" t="s">
        <v>4903</v>
      </c>
      <c r="C710" s="173"/>
      <c r="D710" s="22" t="s">
        <v>4902</v>
      </c>
      <c r="E710" s="15" t="s">
        <v>4904</v>
      </c>
      <c r="F710" s="15" t="s">
        <v>4905</v>
      </c>
      <c r="G710" s="174"/>
      <c r="H710" s="37">
        <v>114177</v>
      </c>
      <c r="I710" s="25" t="str">
        <f>CONCATENATE(Cover!$D$6,"fdd/view?i=",H710)</f>
        <v>https://www.dgiwg.org/FAD/fdd/view?i=114177</v>
      </c>
      <c r="J710" s="13" t="s">
        <v>4902</v>
      </c>
      <c r="K710" s="172"/>
      <c r="L710" s="172"/>
      <c r="AJ710" s="83" t="s">
        <v>1790</v>
      </c>
      <c r="AL710" s="83" t="s">
        <v>1790</v>
      </c>
    </row>
    <row r="711" spans="1:99" ht="38.25" x14ac:dyDescent="0.2">
      <c r="A711" s="176" t="str">
        <f t="shared" si="11"/>
        <v>Scrubland</v>
      </c>
      <c r="B711" s="11" t="s">
        <v>4907</v>
      </c>
      <c r="C711" s="173"/>
      <c r="D711" s="22" t="s">
        <v>4906</v>
      </c>
      <c r="E711" s="15" t="s">
        <v>4908</v>
      </c>
      <c r="F711" s="174"/>
      <c r="G711" s="174"/>
      <c r="H711" s="37">
        <v>111451</v>
      </c>
      <c r="I711" s="25" t="str">
        <f>CONCATENATE(Cover!$D$6,"fdd/view?i=",H711)</f>
        <v>https://www.dgiwg.org/FAD/fdd/view?i=111451</v>
      </c>
      <c r="J711" s="13" t="s">
        <v>4906</v>
      </c>
      <c r="K711" s="172"/>
      <c r="L711" s="172"/>
      <c r="BV711" s="83" t="s">
        <v>1790</v>
      </c>
    </row>
    <row r="712" spans="1:99" ht="25.5" x14ac:dyDescent="0.2">
      <c r="A712" s="176" t="str">
        <f t="shared" si="11"/>
        <v>SeaWaters</v>
      </c>
      <c r="B712" s="11" t="s">
        <v>4910</v>
      </c>
      <c r="C712" s="173"/>
      <c r="D712" s="22" t="s">
        <v>4911</v>
      </c>
      <c r="E712" s="15" t="s">
        <v>4912</v>
      </c>
      <c r="F712" s="15" t="s">
        <v>4913</v>
      </c>
      <c r="G712" s="174"/>
      <c r="H712" s="37">
        <v>118123</v>
      </c>
      <c r="I712" s="25" t="str">
        <f>CONCATENATE(Cover!$D$6,"fdd/view?i=",H712)</f>
        <v>https://www.dgiwg.org/FAD/fdd/view?i=118123</v>
      </c>
      <c r="J712" s="13" t="s">
        <v>4909</v>
      </c>
      <c r="K712" s="172"/>
      <c r="L712" s="172"/>
      <c r="AZ712" s="87" t="s">
        <v>1790</v>
      </c>
      <c r="BI712" s="83" t="s">
        <v>1790</v>
      </c>
      <c r="BT712" s="85" t="s">
        <v>1790</v>
      </c>
    </row>
    <row r="713" spans="1:99" ht="25.5" x14ac:dyDescent="0.2">
      <c r="A713" s="176" t="str">
        <f t="shared" si="11"/>
        <v>SeabedImpactScour</v>
      </c>
      <c r="B713" s="11" t="s">
        <v>4915</v>
      </c>
      <c r="C713" s="173"/>
      <c r="D713" s="22" t="s">
        <v>4916</v>
      </c>
      <c r="E713" s="15" t="s">
        <v>4917</v>
      </c>
      <c r="F713" s="174"/>
      <c r="G713" s="174"/>
      <c r="H713" s="37">
        <v>114311</v>
      </c>
      <c r="I713" s="25" t="str">
        <f>CONCATENATE(Cover!$D$6,"fdd/view?i=",H713)</f>
        <v>https://www.dgiwg.org/FAD/fdd/view?i=114311</v>
      </c>
      <c r="J713" s="13" t="s">
        <v>4914</v>
      </c>
      <c r="K713" s="172"/>
      <c r="L713" s="172"/>
      <c r="BC713" s="83" t="s">
        <v>1790</v>
      </c>
      <c r="BM713" s="82" t="s">
        <v>1790</v>
      </c>
    </row>
    <row r="714" spans="1:99" ht="25.5" x14ac:dyDescent="0.2">
      <c r="A714" s="176" t="str">
        <f t="shared" si="11"/>
        <v>SeaplaneRun</v>
      </c>
      <c r="B714" s="11" t="s">
        <v>4919</v>
      </c>
      <c r="C714" s="173"/>
      <c r="D714" s="22" t="s">
        <v>4920</v>
      </c>
      <c r="E714" s="15" t="s">
        <v>4921</v>
      </c>
      <c r="F714" s="174"/>
      <c r="G714" s="15" t="s">
        <v>4922</v>
      </c>
      <c r="H714" s="37">
        <v>100536</v>
      </c>
      <c r="I714" s="25" t="str">
        <f>CONCATENATE(Cover!$D$6,"fdd/view?i=",H714)</f>
        <v>https://www.dgiwg.org/FAD/fdd/view?i=100536</v>
      </c>
      <c r="J714" s="13" t="s">
        <v>4918</v>
      </c>
      <c r="K714" s="172"/>
      <c r="L714" s="172"/>
      <c r="AS714" s="82" t="s">
        <v>1790</v>
      </c>
      <c r="AT714" s="82" t="s">
        <v>1790</v>
      </c>
      <c r="BI714" s="83" t="s">
        <v>1790</v>
      </c>
      <c r="CE714" s="87" t="s">
        <v>1790</v>
      </c>
    </row>
    <row r="715" spans="1:99" ht="25.5" x14ac:dyDescent="0.2">
      <c r="A715" s="176" t="str">
        <f t="shared" si="11"/>
        <v>SearchRescueRegion</v>
      </c>
      <c r="B715" s="11" t="s">
        <v>4924</v>
      </c>
      <c r="C715" s="173"/>
      <c r="D715" s="22" t="s">
        <v>4925</v>
      </c>
      <c r="E715" s="15" t="s">
        <v>4926</v>
      </c>
      <c r="F715" s="174"/>
      <c r="G715" s="174"/>
      <c r="H715" s="37">
        <v>119565</v>
      </c>
      <c r="I715" s="25" t="str">
        <f>CONCATENATE(Cover!$D$6,"fdd/view?i=",H715)</f>
        <v>https://www.dgiwg.org/FAD/fdd/view?i=119565</v>
      </c>
      <c r="J715" s="13" t="s">
        <v>4923</v>
      </c>
      <c r="K715" s="172"/>
      <c r="L715" s="172"/>
      <c r="AT715" s="82" t="s">
        <v>1790</v>
      </c>
      <c r="CH715" s="83" t="s">
        <v>1790</v>
      </c>
      <c r="CP715" s="164" t="s">
        <v>1790</v>
      </c>
    </row>
    <row r="716" spans="1:99" ht="25.5" x14ac:dyDescent="0.2">
      <c r="A716" s="176" t="str">
        <f t="shared" si="11"/>
        <v>SearchRescueRespOrg</v>
      </c>
      <c r="B716" s="11" t="s">
        <v>4928</v>
      </c>
      <c r="C716" s="173"/>
      <c r="D716" s="22" t="s">
        <v>4929</v>
      </c>
      <c r="E716" s="15" t="s">
        <v>4930</v>
      </c>
      <c r="F716" s="174"/>
      <c r="G716" s="174"/>
      <c r="H716" s="37">
        <v>119564</v>
      </c>
      <c r="I716" s="25" t="str">
        <f>CONCATENATE(Cover!$D$6,"fdd/view?i=",H716)</f>
        <v>https://www.dgiwg.org/FAD/fdd/view?i=119564</v>
      </c>
      <c r="J716" s="13" t="s">
        <v>4927</v>
      </c>
      <c r="K716" s="172"/>
      <c r="L716" s="172"/>
      <c r="AT716" s="82" t="s">
        <v>1790</v>
      </c>
      <c r="CH716" s="83" t="s">
        <v>1790</v>
      </c>
      <c r="CU716" s="87" t="s">
        <v>1790</v>
      </c>
    </row>
    <row r="717" spans="1:99" ht="51" x14ac:dyDescent="0.2">
      <c r="A717" s="176" t="str">
        <f t="shared" si="11"/>
        <v>SearchRescueService</v>
      </c>
      <c r="B717" s="11" t="s">
        <v>4932</v>
      </c>
      <c r="C717" s="173"/>
      <c r="D717" s="22" t="s">
        <v>4933</v>
      </c>
      <c r="E717" s="15" t="s">
        <v>4934</v>
      </c>
      <c r="F717" s="174"/>
      <c r="G717" s="174"/>
      <c r="H717" s="37">
        <v>114653</v>
      </c>
      <c r="I717" s="25" t="str">
        <f>CONCATENATE(Cover!$D$6,"fdd/view?i=",H717)</f>
        <v>https://www.dgiwg.org/FAD/fdd/view?i=114653</v>
      </c>
      <c r="J717" s="13" t="s">
        <v>4931</v>
      </c>
      <c r="K717" s="172"/>
      <c r="L717" s="172"/>
      <c r="CH717" s="83" t="s">
        <v>1790</v>
      </c>
    </row>
    <row r="718" spans="1:99" ht="25.5" x14ac:dyDescent="0.2">
      <c r="A718" s="176" t="str">
        <f t="shared" si="11"/>
        <v>SearchRescueUnit</v>
      </c>
      <c r="B718" s="11" t="s">
        <v>4936</v>
      </c>
      <c r="C718" s="173"/>
      <c r="D718" s="22" t="s">
        <v>4937</v>
      </c>
      <c r="E718" s="15" t="s">
        <v>4938</v>
      </c>
      <c r="F718" s="174"/>
      <c r="G718" s="174"/>
      <c r="H718" s="37">
        <v>119563</v>
      </c>
      <c r="I718" s="25" t="str">
        <f>CONCATENATE(Cover!$D$6,"fdd/view?i=",H718)</f>
        <v>https://www.dgiwg.org/FAD/fdd/view?i=119563</v>
      </c>
      <c r="J718" s="13" t="s">
        <v>4935</v>
      </c>
      <c r="K718" s="172"/>
      <c r="L718" s="172"/>
      <c r="AT718" s="82" t="s">
        <v>1790</v>
      </c>
      <c r="CF718" s="83" t="s">
        <v>1790</v>
      </c>
      <c r="CH718" s="83" t="s">
        <v>1790</v>
      </c>
    </row>
    <row r="719" spans="1:99" ht="25.5" x14ac:dyDescent="0.2">
      <c r="A719" s="176" t="str">
        <f t="shared" si="11"/>
        <v>Seawall</v>
      </c>
      <c r="B719" s="11" t="s">
        <v>4940</v>
      </c>
      <c r="C719" s="173"/>
      <c r="D719" s="22" t="s">
        <v>4939</v>
      </c>
      <c r="E719" s="15" t="s">
        <v>4941</v>
      </c>
      <c r="F719" s="174"/>
      <c r="G719" s="174"/>
      <c r="H719" s="37">
        <v>100258</v>
      </c>
      <c r="I719" s="25" t="str">
        <f>CONCATENATE(Cover!$D$6,"fdd/view?i=",H719)</f>
        <v>https://www.dgiwg.org/FAD/fdd/view?i=100258</v>
      </c>
      <c r="J719" s="13" t="s">
        <v>4939</v>
      </c>
      <c r="K719" s="172"/>
      <c r="L719" s="172"/>
      <c r="AS719" s="82" t="s">
        <v>1790</v>
      </c>
      <c r="BA719" s="83" t="s">
        <v>1790</v>
      </c>
    </row>
    <row r="720" spans="1:99" x14ac:dyDescent="0.2">
      <c r="A720" s="176" t="str">
        <f t="shared" si="11"/>
        <v>SeismicActivityArea</v>
      </c>
      <c r="B720" s="11" t="s">
        <v>4943</v>
      </c>
      <c r="C720" s="173"/>
      <c r="D720" s="22" t="s">
        <v>4944</v>
      </c>
      <c r="E720" s="15" t="s">
        <v>4945</v>
      </c>
      <c r="F720" s="174"/>
      <c r="G720" s="174"/>
      <c r="H720" s="37">
        <v>111394</v>
      </c>
      <c r="I720" s="25" t="str">
        <f>CONCATENATE(Cover!$D$6,"fdd/view?i=",H720)</f>
        <v>https://www.dgiwg.org/FAD/fdd/view?i=111394</v>
      </c>
      <c r="J720" s="13" t="s">
        <v>4942</v>
      </c>
      <c r="K720" s="172"/>
      <c r="L720" s="172"/>
      <c r="AZ720" s="87" t="s">
        <v>1790</v>
      </c>
      <c r="BQ720" s="82" t="s">
        <v>1790</v>
      </c>
    </row>
    <row r="721" spans="1:105" ht="38.25" x14ac:dyDescent="0.2">
      <c r="A721" s="176" t="str">
        <f t="shared" si="11"/>
        <v>SensorCalibrationPoint</v>
      </c>
      <c r="B721" s="11" t="s">
        <v>4947</v>
      </c>
      <c r="C721" s="173"/>
      <c r="D721" s="22" t="s">
        <v>4948</v>
      </c>
      <c r="E721" s="15" t="s">
        <v>4949</v>
      </c>
      <c r="F721" s="15" t="s">
        <v>4950</v>
      </c>
      <c r="G721" s="174"/>
      <c r="H721" s="37">
        <v>119708</v>
      </c>
      <c r="I721" s="25" t="str">
        <f>CONCATENATE(Cover!$D$6,"fdd/view?i=",H721)</f>
        <v>https://www.dgiwg.org/FAD/fdd/view?i=119708</v>
      </c>
      <c r="J721" s="13" t="s">
        <v>4946</v>
      </c>
      <c r="K721" s="172"/>
      <c r="L721" s="172"/>
      <c r="CQ721" s="165" t="s">
        <v>1790</v>
      </c>
    </row>
    <row r="722" spans="1:105" ht="63.75" x14ac:dyDescent="0.2">
      <c r="A722" s="176" t="str">
        <f t="shared" si="11"/>
        <v>Series</v>
      </c>
      <c r="B722" s="11" t="s">
        <v>4952</v>
      </c>
      <c r="C722" s="173"/>
      <c r="D722" s="22" t="s">
        <v>4951</v>
      </c>
      <c r="E722" s="15" t="s">
        <v>4953</v>
      </c>
      <c r="F722" s="15" t="s">
        <v>4954</v>
      </c>
      <c r="G722" s="174"/>
      <c r="H722" s="37">
        <v>117765</v>
      </c>
      <c r="I722" s="25" t="str">
        <f>CONCATENATE(Cover!$D$6,"fdd/view?i=",H722)</f>
        <v>https://www.dgiwg.org/FAD/fdd/view?i=117765</v>
      </c>
      <c r="J722" s="13" t="s">
        <v>4951</v>
      </c>
      <c r="K722" s="172"/>
      <c r="L722" s="172"/>
      <c r="CV722" s="83" t="s">
        <v>1790</v>
      </c>
      <c r="DA722" s="165" t="s">
        <v>1790</v>
      </c>
    </row>
    <row r="723" spans="1:105" ht="25.5" x14ac:dyDescent="0.2">
      <c r="A723" s="176" t="str">
        <f t="shared" si="11"/>
        <v>Settlement</v>
      </c>
      <c r="B723" s="11" t="s">
        <v>4956</v>
      </c>
      <c r="C723" s="173"/>
      <c r="D723" s="22" t="s">
        <v>4955</v>
      </c>
      <c r="E723" s="15" t="s">
        <v>4957</v>
      </c>
      <c r="F723" s="15" t="s">
        <v>4958</v>
      </c>
      <c r="G723" s="174"/>
      <c r="H723" s="37">
        <v>100102</v>
      </c>
      <c r="I723" s="25" t="str">
        <f>CONCATENATE(Cover!$D$6,"fdd/view?i=",H723)</f>
        <v>https://www.dgiwg.org/FAD/fdd/view?i=100102</v>
      </c>
      <c r="J723" s="13" t="s">
        <v>4955</v>
      </c>
      <c r="K723" s="172"/>
      <c r="L723" s="172"/>
      <c r="AI723" s="87" t="s">
        <v>1790</v>
      </c>
    </row>
    <row r="724" spans="1:105" ht="51" x14ac:dyDescent="0.2">
      <c r="A724" s="176" t="str">
        <f t="shared" si="11"/>
        <v>SettlementLimit</v>
      </c>
      <c r="B724" s="11" t="s">
        <v>4960</v>
      </c>
      <c r="C724" s="173"/>
      <c r="D724" s="22" t="s">
        <v>4961</v>
      </c>
      <c r="E724" s="15" t="s">
        <v>4962</v>
      </c>
      <c r="F724" s="15" t="s">
        <v>4963</v>
      </c>
      <c r="G724" s="174"/>
      <c r="H724" s="37">
        <v>111373</v>
      </c>
      <c r="I724" s="25" t="str">
        <f>CONCATENATE(Cover!$D$6,"fdd/view?i=",H724)</f>
        <v>https://www.dgiwg.org/FAD/fdd/view?i=111373</v>
      </c>
      <c r="J724" s="13" t="s">
        <v>4959</v>
      </c>
      <c r="K724" s="172"/>
      <c r="L724" s="172"/>
      <c r="AI724" s="87" t="s">
        <v>1790</v>
      </c>
    </row>
    <row r="725" spans="1:105" ht="25.5" x14ac:dyDescent="0.2">
      <c r="A725" s="176" t="str">
        <f t="shared" si="11"/>
        <v>SettlingPond</v>
      </c>
      <c r="B725" s="11" t="s">
        <v>4965</v>
      </c>
      <c r="C725" s="173"/>
      <c r="D725" s="22" t="s">
        <v>4966</v>
      </c>
      <c r="E725" s="15" t="s">
        <v>4967</v>
      </c>
      <c r="F725" s="174"/>
      <c r="G725" s="15" t="s">
        <v>4968</v>
      </c>
      <c r="H725" s="37">
        <v>100018</v>
      </c>
      <c r="I725" s="25" t="str">
        <f>CONCATENATE(Cover!$D$6,"fdd/view?i=",H725)</f>
        <v>https://www.dgiwg.org/FAD/fdd/view?i=100018</v>
      </c>
      <c r="J725" s="13" t="s">
        <v>4964</v>
      </c>
      <c r="K725" s="172"/>
      <c r="L725" s="172"/>
      <c r="AB725" s="82" t="s">
        <v>1790</v>
      </c>
      <c r="AF725" s="82" t="s">
        <v>1790</v>
      </c>
      <c r="AH725" s="85" t="s">
        <v>1790</v>
      </c>
    </row>
    <row r="726" spans="1:105" ht="25.5" x14ac:dyDescent="0.2">
      <c r="A726" s="176" t="str">
        <f t="shared" si="11"/>
        <v>SewageTreatmentPlant</v>
      </c>
      <c r="B726" s="11" t="s">
        <v>4970</v>
      </c>
      <c r="C726" s="173"/>
      <c r="D726" s="22" t="s">
        <v>4971</v>
      </c>
      <c r="E726" s="15" t="s">
        <v>4972</v>
      </c>
      <c r="F726" s="174"/>
      <c r="G726" s="174"/>
      <c r="H726" s="37">
        <v>111344</v>
      </c>
      <c r="I726" s="25" t="str">
        <f>CONCATENATE(Cover!$D$6,"fdd/view?i=",H726)</f>
        <v>https://www.dgiwg.org/FAD/fdd/view?i=111344</v>
      </c>
      <c r="J726" s="13" t="s">
        <v>4969</v>
      </c>
      <c r="K726" s="172"/>
      <c r="L726" s="172"/>
      <c r="AB726" s="82" t="s">
        <v>1790</v>
      </c>
    </row>
    <row r="727" spans="1:105" ht="25.5" x14ac:dyDescent="0.2">
      <c r="A727" s="176" t="str">
        <f t="shared" si="11"/>
        <v>SeweragePumpOutStation</v>
      </c>
      <c r="B727" s="11" t="s">
        <v>4974</v>
      </c>
      <c r="C727" s="173"/>
      <c r="D727" s="22" t="s">
        <v>4975</v>
      </c>
      <c r="E727" s="15" t="s">
        <v>4976</v>
      </c>
      <c r="F727" s="174"/>
      <c r="G727" s="15" t="s">
        <v>4977</v>
      </c>
      <c r="H727" s="37">
        <v>100251</v>
      </c>
      <c r="I727" s="25" t="str">
        <f>CONCATENATE(Cover!$D$6,"fdd/view?i=",H727)</f>
        <v>https://www.dgiwg.org/FAD/fdd/view?i=100251</v>
      </c>
      <c r="J727" s="13" t="s">
        <v>4973</v>
      </c>
      <c r="K727" s="172"/>
      <c r="L727" s="172"/>
      <c r="BD727" s="83" t="s">
        <v>1790</v>
      </c>
    </row>
    <row r="728" spans="1:105" ht="38.25" x14ac:dyDescent="0.2">
      <c r="A728" s="176" t="str">
        <f t="shared" si="11"/>
        <v>ShallowWaterArea</v>
      </c>
      <c r="B728" s="11" t="s">
        <v>4979</v>
      </c>
      <c r="C728" s="173"/>
      <c r="D728" s="22" t="s">
        <v>4980</v>
      </c>
      <c r="E728" s="15" t="s">
        <v>4981</v>
      </c>
      <c r="F728" s="15" t="s">
        <v>4982</v>
      </c>
      <c r="G728" s="174"/>
      <c r="H728" s="37">
        <v>114183</v>
      </c>
      <c r="I728" s="25" t="str">
        <f>CONCATENATE(Cover!$D$6,"fdd/view?i=",H728)</f>
        <v>https://www.dgiwg.org/FAD/fdd/view?i=114183</v>
      </c>
      <c r="J728" s="13" t="s">
        <v>4978</v>
      </c>
      <c r="K728" s="172"/>
      <c r="L728" s="172"/>
      <c r="AS728" s="82" t="s">
        <v>1790</v>
      </c>
      <c r="AU728" s="82" t="s">
        <v>1790</v>
      </c>
      <c r="BF728" s="83" t="s">
        <v>1790</v>
      </c>
      <c r="BG728" s="83" t="s">
        <v>1790</v>
      </c>
      <c r="BJ728" s="83" t="s">
        <v>1790</v>
      </c>
    </row>
    <row r="729" spans="1:105" ht="25.5" x14ac:dyDescent="0.2">
      <c r="A729" s="176" t="str">
        <f t="shared" si="11"/>
        <v>ShantyTown</v>
      </c>
      <c r="B729" s="11" t="s">
        <v>4984</v>
      </c>
      <c r="C729" s="173"/>
      <c r="D729" s="22" t="s">
        <v>4985</v>
      </c>
      <c r="E729" s="15" t="s">
        <v>4986</v>
      </c>
      <c r="F729" s="15" t="s">
        <v>4987</v>
      </c>
      <c r="G729" s="174"/>
      <c r="H729" s="37">
        <v>100117</v>
      </c>
      <c r="I729" s="25" t="str">
        <f>CONCATENATE(Cover!$D$6,"fdd/view?i=",H729)</f>
        <v>https://www.dgiwg.org/FAD/fdd/view?i=100117</v>
      </c>
      <c r="J729" s="13" t="s">
        <v>4983</v>
      </c>
      <c r="K729" s="172"/>
      <c r="L729" s="172"/>
      <c r="AI729" s="87" t="s">
        <v>1790</v>
      </c>
    </row>
    <row r="730" spans="1:105" ht="25.5" x14ac:dyDescent="0.2">
      <c r="A730" s="176" t="str">
        <f t="shared" si="11"/>
        <v>SharpCurve</v>
      </c>
      <c r="B730" s="11" t="s">
        <v>4989</v>
      </c>
      <c r="C730" s="173"/>
      <c r="D730" s="22" t="s">
        <v>4990</v>
      </c>
      <c r="E730" s="15" t="s">
        <v>4991</v>
      </c>
      <c r="F730" s="174"/>
      <c r="G730" s="15" t="s">
        <v>4992</v>
      </c>
      <c r="H730" s="37">
        <v>100178</v>
      </c>
      <c r="I730" s="25" t="str">
        <f>CONCATENATE(Cover!$D$6,"fdd/view?i=",H730)</f>
        <v>https://www.dgiwg.org/FAD/fdd/view?i=100178</v>
      </c>
      <c r="J730" s="13" t="s">
        <v>4988</v>
      </c>
      <c r="K730" s="172"/>
      <c r="L730" s="172"/>
      <c r="AQ730" s="82" t="s">
        <v>1790</v>
      </c>
      <c r="AU730" s="82" t="s">
        <v>1790</v>
      </c>
    </row>
    <row r="731" spans="1:105" x14ac:dyDescent="0.2">
      <c r="A731" s="176" t="str">
        <f t="shared" si="11"/>
        <v>ShearWall</v>
      </c>
      <c r="B731" s="11" t="s">
        <v>4994</v>
      </c>
      <c r="C731" s="173"/>
      <c r="D731" s="22" t="s">
        <v>4995</v>
      </c>
      <c r="E731" s="15" t="s">
        <v>4996</v>
      </c>
      <c r="F731" s="174"/>
      <c r="G731" s="174"/>
      <c r="H731" s="37">
        <v>100002</v>
      </c>
      <c r="I731" s="25" t="str">
        <f>CONCATENATE(Cover!$D$6,"fdd/view?i=",H731)</f>
        <v>https://www.dgiwg.org/FAD/fdd/view?i=100002</v>
      </c>
      <c r="J731" s="13" t="s">
        <v>4993</v>
      </c>
      <c r="K731" s="172"/>
      <c r="L731" s="172"/>
      <c r="AA731" s="81" t="s">
        <v>1790</v>
      </c>
      <c r="AF731" s="82" t="s">
        <v>1790</v>
      </c>
    </row>
    <row r="732" spans="1:105" ht="25.5" x14ac:dyDescent="0.2">
      <c r="A732" s="176" t="str">
        <f t="shared" si="11"/>
        <v>ShearLegs</v>
      </c>
      <c r="B732" s="11" t="s">
        <v>4998</v>
      </c>
      <c r="C732" s="173"/>
      <c r="D732" s="22" t="s">
        <v>4999</v>
      </c>
      <c r="E732" s="15" t="s">
        <v>5000</v>
      </c>
      <c r="F732" s="174"/>
      <c r="G732" s="174"/>
      <c r="H732" s="37">
        <v>100033</v>
      </c>
      <c r="I732" s="25" t="str">
        <f>CONCATENATE(Cover!$D$6,"fdd/view?i=",H732)</f>
        <v>https://www.dgiwg.org/FAD/fdd/view?i=100033</v>
      </c>
      <c r="J732" s="13" t="s">
        <v>4997</v>
      </c>
      <c r="K732" s="172"/>
      <c r="L732" s="172"/>
      <c r="AF732" s="82" t="s">
        <v>1790</v>
      </c>
    </row>
    <row r="733" spans="1:105" ht="25.5" x14ac:dyDescent="0.2">
      <c r="A733" s="176" t="str">
        <f t="shared" si="11"/>
        <v>Shed</v>
      </c>
      <c r="B733" s="11" t="s">
        <v>5002</v>
      </c>
      <c r="C733" s="173"/>
      <c r="D733" s="22" t="s">
        <v>5001</v>
      </c>
      <c r="E733" s="15" t="s">
        <v>5003</v>
      </c>
      <c r="F733" s="15" t="s">
        <v>5004</v>
      </c>
      <c r="G733" s="174"/>
      <c r="H733" s="37">
        <v>100084</v>
      </c>
      <c r="I733" s="25" t="str">
        <f>CONCATENATE(Cover!$D$6,"fdd/view?i=",H733)</f>
        <v>https://www.dgiwg.org/FAD/fdd/view?i=100084</v>
      </c>
      <c r="J733" s="13" t="s">
        <v>5001</v>
      </c>
      <c r="K733" s="172"/>
      <c r="L733" s="172"/>
      <c r="AC733" s="82" t="s">
        <v>1790</v>
      </c>
      <c r="AG733" s="82" t="s">
        <v>1790</v>
      </c>
      <c r="AJ733" s="83" t="s">
        <v>1790</v>
      </c>
    </row>
    <row r="734" spans="1:105" ht="51" x14ac:dyDescent="0.2">
      <c r="A734" s="176" t="str">
        <f t="shared" si="11"/>
        <v>ShipElevator</v>
      </c>
      <c r="B734" s="11" t="s">
        <v>5006</v>
      </c>
      <c r="C734" s="173"/>
      <c r="D734" s="22" t="s">
        <v>5007</v>
      </c>
      <c r="E734" s="15" t="s">
        <v>5008</v>
      </c>
      <c r="F734" s="15" t="s">
        <v>5009</v>
      </c>
      <c r="G734" s="174"/>
      <c r="H734" s="37">
        <v>114374</v>
      </c>
      <c r="I734" s="25" t="str">
        <f>CONCATENATE(Cover!$D$6,"fdd/view?i=",H734)</f>
        <v>https://www.dgiwg.org/FAD/fdd/view?i=114374</v>
      </c>
      <c r="J734" s="13" t="s">
        <v>5005</v>
      </c>
      <c r="K734" s="172"/>
      <c r="L734" s="172"/>
      <c r="AS734" s="82" t="s">
        <v>1790</v>
      </c>
      <c r="AU734" s="82" t="s">
        <v>1790</v>
      </c>
      <c r="BF734" s="83" t="s">
        <v>1790</v>
      </c>
      <c r="BJ734" s="83" t="s">
        <v>1790</v>
      </c>
    </row>
    <row r="735" spans="1:105" ht="63.75" x14ac:dyDescent="0.2">
      <c r="A735" s="176" t="str">
        <f t="shared" si="11"/>
        <v>ShippingContainer</v>
      </c>
      <c r="B735" s="11" t="s">
        <v>5011</v>
      </c>
      <c r="C735" s="173"/>
      <c r="D735" s="22" t="s">
        <v>5012</v>
      </c>
      <c r="E735" s="15" t="s">
        <v>5013</v>
      </c>
      <c r="F735" s="15" t="s">
        <v>5014</v>
      </c>
      <c r="G735" s="174"/>
      <c r="H735" s="37">
        <v>100126</v>
      </c>
      <c r="I735" s="25" t="str">
        <f>CONCATENATE(Cover!$D$6,"fdd/view?i=",H735)</f>
        <v>https://www.dgiwg.org/FAD/fdd/view?i=100126</v>
      </c>
      <c r="J735" s="13" t="s">
        <v>5010</v>
      </c>
      <c r="K735" s="172"/>
      <c r="L735" s="172"/>
      <c r="AG735" s="82" t="s">
        <v>1790</v>
      </c>
    </row>
    <row r="736" spans="1:105" ht="25.5" x14ac:dyDescent="0.2">
      <c r="A736" s="176" t="str">
        <f t="shared" si="11"/>
        <v>Shipyard</v>
      </c>
      <c r="B736" s="11" t="s">
        <v>5016</v>
      </c>
      <c r="C736" s="173"/>
      <c r="D736" s="22" t="s">
        <v>5015</v>
      </c>
      <c r="E736" s="15" t="s">
        <v>5017</v>
      </c>
      <c r="F736" s="174"/>
      <c r="G736" s="174"/>
      <c r="H736" s="37">
        <v>111439</v>
      </c>
      <c r="I736" s="25" t="str">
        <f>CONCATENATE(Cover!$D$6,"fdd/view?i=",H736)</f>
        <v>https://www.dgiwg.org/FAD/fdd/view?i=111439</v>
      </c>
      <c r="J736" s="13" t="s">
        <v>5015</v>
      </c>
      <c r="K736" s="172"/>
      <c r="L736" s="172"/>
      <c r="AB736" s="82" t="s">
        <v>1790</v>
      </c>
      <c r="BA736" s="83" t="s">
        <v>1790</v>
      </c>
    </row>
    <row r="737" spans="1:85" ht="102" x14ac:dyDescent="0.2">
      <c r="A737" s="176" t="str">
        <f t="shared" si="11"/>
        <v>ShoppingComplex</v>
      </c>
      <c r="B737" s="11" t="s">
        <v>5019</v>
      </c>
      <c r="C737" s="173"/>
      <c r="D737" s="22" t="s">
        <v>5020</v>
      </c>
      <c r="E737" s="15" t="s">
        <v>5021</v>
      </c>
      <c r="F737" s="15" t="s">
        <v>5022</v>
      </c>
      <c r="G737" s="15" t="s">
        <v>5023</v>
      </c>
      <c r="H737" s="37">
        <v>111400</v>
      </c>
      <c r="I737" s="25" t="str">
        <f>CONCATENATE(Cover!$D$6,"fdd/view?i=",H737)</f>
        <v>https://www.dgiwg.org/FAD/fdd/view?i=111400</v>
      </c>
      <c r="J737" s="13" t="s">
        <v>5018</v>
      </c>
      <c r="K737" s="172"/>
      <c r="L737" s="172"/>
      <c r="AK737" s="83" t="s">
        <v>1790</v>
      </c>
      <c r="AL737" s="83" t="s">
        <v>1790</v>
      </c>
    </row>
    <row r="738" spans="1:85" ht="25.5" x14ac:dyDescent="0.2">
      <c r="A738" s="176" t="str">
        <f t="shared" si="11"/>
        <v>Shoreline</v>
      </c>
      <c r="B738" s="11" t="s">
        <v>5025</v>
      </c>
      <c r="C738" s="173"/>
      <c r="D738" s="22" t="s">
        <v>5024</v>
      </c>
      <c r="E738" s="15" t="s">
        <v>5026</v>
      </c>
      <c r="F738" s="15" t="s">
        <v>5027</v>
      </c>
      <c r="G738" s="174"/>
      <c r="H738" s="37">
        <v>100210</v>
      </c>
      <c r="I738" s="25" t="str">
        <f>CONCATENATE(Cover!$D$6,"fdd/view?i=",H738)</f>
        <v>https://www.dgiwg.org/FAD/fdd/view?i=100210</v>
      </c>
      <c r="J738" s="13" t="s">
        <v>5024</v>
      </c>
      <c r="K738" s="172"/>
      <c r="L738" s="172"/>
      <c r="AZ738" s="87" t="s">
        <v>1790</v>
      </c>
    </row>
    <row r="739" spans="1:85" ht="63.75" x14ac:dyDescent="0.2">
      <c r="A739" s="176" t="str">
        <f t="shared" si="11"/>
        <v>ShorelineConstruction</v>
      </c>
      <c r="B739" s="11" t="s">
        <v>5029</v>
      </c>
      <c r="C739" s="173"/>
      <c r="D739" s="22" t="s">
        <v>5030</v>
      </c>
      <c r="E739" s="15" t="s">
        <v>5031</v>
      </c>
      <c r="F739" s="15" t="s">
        <v>5032</v>
      </c>
      <c r="G739" s="174"/>
      <c r="H739" s="37">
        <v>100234</v>
      </c>
      <c r="I739" s="25" t="str">
        <f>CONCATENATE(Cover!$D$6,"fdd/view?i=",H739)</f>
        <v>https://www.dgiwg.org/FAD/fdd/view?i=100234</v>
      </c>
      <c r="J739" s="13" t="s">
        <v>5028</v>
      </c>
      <c r="K739" s="172"/>
      <c r="L739" s="172"/>
      <c r="AZ739" s="87" t="s">
        <v>1790</v>
      </c>
      <c r="BA739" s="83" t="s">
        <v>1790</v>
      </c>
    </row>
    <row r="740" spans="1:85" ht="25.5" x14ac:dyDescent="0.2">
      <c r="A740" s="176" t="str">
        <f t="shared" si="11"/>
        <v>ShorelineRamp</v>
      </c>
      <c r="B740" s="11" t="s">
        <v>5034</v>
      </c>
      <c r="C740" s="173"/>
      <c r="D740" s="22" t="s">
        <v>5035</v>
      </c>
      <c r="E740" s="15" t="s">
        <v>5036</v>
      </c>
      <c r="F740" s="174"/>
      <c r="G740" s="174"/>
      <c r="H740" s="37">
        <v>111437</v>
      </c>
      <c r="I740" s="25" t="str">
        <f>CONCATENATE(Cover!$D$6,"fdd/view?i=",H740)</f>
        <v>https://www.dgiwg.org/FAD/fdd/view?i=111437</v>
      </c>
      <c r="J740" s="13" t="s">
        <v>5033</v>
      </c>
      <c r="K740" s="172"/>
      <c r="L740" s="172"/>
      <c r="AS740" s="82" t="s">
        <v>1790</v>
      </c>
      <c r="BA740" s="83" t="s">
        <v>1790</v>
      </c>
    </row>
    <row r="741" spans="1:85" x14ac:dyDescent="0.2">
      <c r="A741" s="176" t="str">
        <f t="shared" si="11"/>
        <v>SideScanSonarCoverage</v>
      </c>
      <c r="B741" s="11" t="s">
        <v>5038</v>
      </c>
      <c r="C741" s="173"/>
      <c r="D741" s="22" t="s">
        <v>5039</v>
      </c>
      <c r="E741" s="15" t="s">
        <v>5040</v>
      </c>
      <c r="F741" s="174"/>
      <c r="G741" s="174"/>
      <c r="H741" s="37">
        <v>111458</v>
      </c>
      <c r="I741" s="25" t="str">
        <f>CONCATENATE(Cover!$D$6,"fdd/view?i=",H741)</f>
        <v>https://www.dgiwg.org/FAD/fdd/view?i=111458</v>
      </c>
      <c r="J741" s="13" t="s">
        <v>5037</v>
      </c>
      <c r="K741" s="172"/>
      <c r="L741" s="172"/>
      <c r="BB741" s="83" t="s">
        <v>1790</v>
      </c>
    </row>
    <row r="742" spans="1:85" ht="25.5" x14ac:dyDescent="0.2">
      <c r="A742" s="176" t="str">
        <f t="shared" si="11"/>
        <v>Sidewalk</v>
      </c>
      <c r="B742" s="11" t="s">
        <v>5042</v>
      </c>
      <c r="C742" s="173"/>
      <c r="D742" s="22" t="s">
        <v>5041</v>
      </c>
      <c r="E742" s="15" t="s">
        <v>5043</v>
      </c>
      <c r="F742" s="174"/>
      <c r="G742" s="174"/>
      <c r="H742" s="37">
        <v>100154</v>
      </c>
      <c r="I742" s="25" t="str">
        <f>CONCATENATE(Cover!$D$6,"fdd/view?i=",H742)</f>
        <v>https://www.dgiwg.org/FAD/fdd/view?i=100154</v>
      </c>
      <c r="J742" s="13" t="s">
        <v>5041</v>
      </c>
      <c r="K742" s="172"/>
      <c r="L742" s="172"/>
      <c r="AJ742" s="83" t="s">
        <v>1790</v>
      </c>
      <c r="AQ742" s="82" t="s">
        <v>1790</v>
      </c>
      <c r="AW742" s="82" t="s">
        <v>1790</v>
      </c>
    </row>
    <row r="743" spans="1:85" ht="25.5" x14ac:dyDescent="0.2">
      <c r="A743" s="176" t="str">
        <f t="shared" si="11"/>
        <v>SignificantPoint</v>
      </c>
      <c r="B743" s="11" t="s">
        <v>5045</v>
      </c>
      <c r="C743" s="173"/>
      <c r="D743" s="22" t="s">
        <v>5046</v>
      </c>
      <c r="E743" s="15" t="s">
        <v>5047</v>
      </c>
      <c r="F743" s="174"/>
      <c r="G743" s="174"/>
      <c r="H743" s="37">
        <v>114515</v>
      </c>
      <c r="I743" s="25" t="str">
        <f>CONCATENATE(Cover!$D$6,"fdd/view?i=",H743)</f>
        <v>https://www.dgiwg.org/FAD/fdd/view?i=114515</v>
      </c>
      <c r="J743" s="13" t="s">
        <v>5044</v>
      </c>
      <c r="K743" s="172"/>
      <c r="L743" s="172"/>
      <c r="CG743" s="83" t="s">
        <v>1790</v>
      </c>
    </row>
    <row r="744" spans="1:85" ht="38.25" x14ac:dyDescent="0.2">
      <c r="A744" s="176" t="str">
        <f t="shared" si="11"/>
        <v>SigPointAssocToAirspace</v>
      </c>
      <c r="B744" s="11" t="s">
        <v>5049</v>
      </c>
      <c r="C744" s="173"/>
      <c r="D744" s="22" t="s">
        <v>5050</v>
      </c>
      <c r="E744" s="15" t="s">
        <v>5051</v>
      </c>
      <c r="F744" s="15" t="s">
        <v>5052</v>
      </c>
      <c r="G744" s="15" t="s">
        <v>5053</v>
      </c>
      <c r="H744" s="37">
        <v>114497</v>
      </c>
      <c r="I744" s="25" t="str">
        <f>CONCATENATE(Cover!$D$6,"fdd/view?i=",H744)</f>
        <v>https://www.dgiwg.org/FAD/fdd/view?i=114497</v>
      </c>
      <c r="J744" s="13" t="s">
        <v>5048</v>
      </c>
      <c r="K744" s="172"/>
      <c r="L744" s="172"/>
      <c r="CF744" s="83" t="s">
        <v>1790</v>
      </c>
      <c r="CG744" s="83" t="s">
        <v>1790</v>
      </c>
    </row>
    <row r="745" spans="1:85" ht="38.25" x14ac:dyDescent="0.2">
      <c r="A745" s="176" t="str">
        <f t="shared" si="11"/>
        <v>SignificantRock</v>
      </c>
      <c r="B745" s="11" t="s">
        <v>5055</v>
      </c>
      <c r="C745" s="173"/>
      <c r="D745" s="22" t="s">
        <v>5056</v>
      </c>
      <c r="E745" s="15" t="s">
        <v>5057</v>
      </c>
      <c r="F745" s="15" t="s">
        <v>5058</v>
      </c>
      <c r="G745" s="174"/>
      <c r="H745" s="37">
        <v>100419</v>
      </c>
      <c r="I745" s="25" t="str">
        <f>CONCATENATE(Cover!$D$6,"fdd/view?i=",H745)</f>
        <v>https://www.dgiwg.org/FAD/fdd/view?i=100419</v>
      </c>
      <c r="J745" s="13" t="s">
        <v>5054</v>
      </c>
      <c r="K745" s="172"/>
      <c r="L745" s="172"/>
      <c r="BN745" s="82" t="s">
        <v>1790</v>
      </c>
    </row>
    <row r="746" spans="1:85" x14ac:dyDescent="0.2">
      <c r="A746" s="176" t="str">
        <f t="shared" si="11"/>
        <v>Silo</v>
      </c>
      <c r="B746" s="11" t="s">
        <v>5060</v>
      </c>
      <c r="C746" s="173"/>
      <c r="D746" s="22" t="s">
        <v>5059</v>
      </c>
      <c r="E746" s="15" t="s">
        <v>5061</v>
      </c>
      <c r="F746" s="174"/>
      <c r="G746" s="174"/>
      <c r="H746" s="37">
        <v>117758</v>
      </c>
      <c r="I746" s="25" t="str">
        <f>CONCATENATE(Cover!$D$6,"fdd/view?i=",H746)</f>
        <v>https://www.dgiwg.org/FAD/fdd/view?i=117758</v>
      </c>
      <c r="J746" s="13" t="s">
        <v>5059</v>
      </c>
      <c r="K746" s="172"/>
      <c r="L746" s="172"/>
      <c r="AA746" s="81" t="s">
        <v>1790</v>
      </c>
      <c r="AB746" s="82" t="s">
        <v>1790</v>
      </c>
      <c r="AC746" s="82" t="s">
        <v>1790</v>
      </c>
      <c r="AG746" s="82" t="s">
        <v>1790</v>
      </c>
      <c r="AH746" s="85" t="s">
        <v>1790</v>
      </c>
    </row>
    <row r="747" spans="1:85" ht="89.25" x14ac:dyDescent="0.2">
      <c r="A747" s="176" t="str">
        <f t="shared" si="11"/>
        <v>SimplifiedDirectionFacility</v>
      </c>
      <c r="B747" s="11" t="s">
        <v>5063</v>
      </c>
      <c r="C747" s="173"/>
      <c r="D747" s="22" t="s">
        <v>5064</v>
      </c>
      <c r="E747" s="15" t="s">
        <v>5065</v>
      </c>
      <c r="F747" s="15" t="s">
        <v>5066</v>
      </c>
      <c r="G747" s="15" t="s">
        <v>5067</v>
      </c>
      <c r="H747" s="37">
        <v>119558</v>
      </c>
      <c r="I747" s="25" t="str">
        <f>CONCATENATE(Cover!$D$6,"fdd/view?i=",H747)</f>
        <v>https://www.dgiwg.org/FAD/fdd/view?i=119558</v>
      </c>
      <c r="J747" s="13" t="s">
        <v>5062</v>
      </c>
      <c r="K747" s="172"/>
      <c r="L747" s="172"/>
      <c r="AT747" s="82" t="s">
        <v>1790</v>
      </c>
      <c r="CG747" s="83" t="s">
        <v>1790</v>
      </c>
    </row>
    <row r="748" spans="1:85" ht="38.25" x14ac:dyDescent="0.2">
      <c r="A748" s="176" t="str">
        <f t="shared" si="11"/>
        <v>SinglePointMooring</v>
      </c>
      <c r="B748" s="11" t="s">
        <v>5069</v>
      </c>
      <c r="C748" s="173"/>
      <c r="D748" s="22" t="s">
        <v>5070</v>
      </c>
      <c r="E748" s="15" t="s">
        <v>5071</v>
      </c>
      <c r="F748" s="15" t="s">
        <v>5072</v>
      </c>
      <c r="G748" s="15" t="s">
        <v>5073</v>
      </c>
      <c r="H748" s="37">
        <v>100246</v>
      </c>
      <c r="I748" s="25" t="str">
        <f>CONCATENATE(Cover!$D$6,"fdd/view?i=",H748)</f>
        <v>https://www.dgiwg.org/FAD/fdd/view?i=100246</v>
      </c>
      <c r="J748" s="13" t="s">
        <v>5068</v>
      </c>
      <c r="K748" s="172"/>
      <c r="L748" s="172"/>
      <c r="AS748" s="82" t="s">
        <v>1790</v>
      </c>
      <c r="BA748" s="83" t="s">
        <v>1790</v>
      </c>
    </row>
    <row r="749" spans="1:85" ht="38.25" x14ac:dyDescent="0.2">
      <c r="A749" s="176" t="str">
        <f t="shared" si="11"/>
        <v>Siphon</v>
      </c>
      <c r="B749" s="11" t="s">
        <v>5075</v>
      </c>
      <c r="C749" s="173"/>
      <c r="D749" s="22" t="s">
        <v>5074</v>
      </c>
      <c r="E749" s="15" t="s">
        <v>5076</v>
      </c>
      <c r="F749" s="174"/>
      <c r="G749" s="174"/>
      <c r="H749" s="37">
        <v>100046</v>
      </c>
      <c r="I749" s="25" t="str">
        <f>CONCATENATE(Cover!$D$6,"fdd/view?i=",H749)</f>
        <v>https://www.dgiwg.org/FAD/fdd/view?i=100046</v>
      </c>
      <c r="J749" s="13" t="s">
        <v>5074</v>
      </c>
      <c r="K749" s="172"/>
      <c r="L749" s="172"/>
      <c r="BJ749" s="83" t="s">
        <v>1790</v>
      </c>
    </row>
    <row r="750" spans="1:85" ht="25.5" x14ac:dyDescent="0.2">
      <c r="A750" s="176" t="str">
        <f t="shared" si="11"/>
        <v>SkiJump</v>
      </c>
      <c r="B750" s="11" t="s">
        <v>5078</v>
      </c>
      <c r="C750" s="173"/>
      <c r="D750" s="22" t="s">
        <v>5079</v>
      </c>
      <c r="E750" s="15" t="s">
        <v>5080</v>
      </c>
      <c r="F750" s="174"/>
      <c r="G750" s="174"/>
      <c r="H750" s="37">
        <v>100072</v>
      </c>
      <c r="I750" s="25" t="str">
        <f>CONCATENATE(Cover!$D$6,"fdd/view?i=",H750)</f>
        <v>https://www.dgiwg.org/FAD/fdd/view?i=100072</v>
      </c>
      <c r="J750" s="13" t="s">
        <v>5077</v>
      </c>
      <c r="K750" s="172"/>
      <c r="L750" s="172"/>
      <c r="AL750" s="83" t="s">
        <v>1790</v>
      </c>
    </row>
    <row r="751" spans="1:85" x14ac:dyDescent="0.2">
      <c r="A751" s="176" t="str">
        <f t="shared" si="11"/>
        <v>SkiRun</v>
      </c>
      <c r="B751" s="11" t="s">
        <v>5082</v>
      </c>
      <c r="C751" s="173"/>
      <c r="D751" s="22" t="s">
        <v>5083</v>
      </c>
      <c r="E751" s="15" t="s">
        <v>5084</v>
      </c>
      <c r="F751" s="174"/>
      <c r="G751" s="15" t="s">
        <v>5085</v>
      </c>
      <c r="H751" s="37">
        <v>100073</v>
      </c>
      <c r="I751" s="25" t="str">
        <f>CONCATENATE(Cover!$D$6,"fdd/view?i=",H751)</f>
        <v>https://www.dgiwg.org/FAD/fdd/view?i=100073</v>
      </c>
      <c r="J751" s="13" t="s">
        <v>5081</v>
      </c>
      <c r="K751" s="172"/>
      <c r="L751" s="172"/>
      <c r="AL751" s="83" t="s">
        <v>1790</v>
      </c>
    </row>
    <row r="752" spans="1:85" ht="25.5" x14ac:dyDescent="0.2">
      <c r="A752" s="176" t="str">
        <f t="shared" si="11"/>
        <v>Slipway</v>
      </c>
      <c r="B752" s="11" t="s">
        <v>5087</v>
      </c>
      <c r="C752" s="173"/>
      <c r="D752" s="22" t="s">
        <v>5086</v>
      </c>
      <c r="E752" s="15" t="s">
        <v>5088</v>
      </c>
      <c r="F752" s="15" t="s">
        <v>5089</v>
      </c>
      <c r="G752" s="15" t="s">
        <v>5090</v>
      </c>
      <c r="H752" s="37">
        <v>100259</v>
      </c>
      <c r="I752" s="25" t="str">
        <f>CONCATENATE(Cover!$D$6,"fdd/view?i=",H752)</f>
        <v>https://www.dgiwg.org/FAD/fdd/view?i=100259</v>
      </c>
      <c r="J752" s="13" t="s">
        <v>5086</v>
      </c>
      <c r="K752" s="172"/>
      <c r="L752" s="172"/>
      <c r="AS752" s="82" t="s">
        <v>1790</v>
      </c>
      <c r="BA752" s="83" t="s">
        <v>1790</v>
      </c>
    </row>
    <row r="753" spans="1:95" x14ac:dyDescent="0.2">
      <c r="A753" s="176" t="str">
        <f t="shared" si="11"/>
        <v>SlopeRegion</v>
      </c>
      <c r="B753" s="11" t="s">
        <v>5092</v>
      </c>
      <c r="C753" s="173"/>
      <c r="D753" s="22" t="s">
        <v>5093</v>
      </c>
      <c r="E753" s="15" t="s">
        <v>5094</v>
      </c>
      <c r="F753" s="174"/>
      <c r="G753" s="174"/>
      <c r="H753" s="37">
        <v>100557</v>
      </c>
      <c r="I753" s="25" t="str">
        <f>CONCATENATE(Cover!$D$6,"fdd/view?i=",H753)</f>
        <v>https://www.dgiwg.org/FAD/fdd/view?i=100557</v>
      </c>
      <c r="J753" s="13" t="s">
        <v>5091</v>
      </c>
      <c r="K753" s="172"/>
      <c r="L753" s="172"/>
      <c r="BL753" s="81" t="s">
        <v>1790</v>
      </c>
    </row>
    <row r="754" spans="1:95" x14ac:dyDescent="0.2">
      <c r="A754" s="176" t="str">
        <f t="shared" si="11"/>
        <v>Sluice</v>
      </c>
      <c r="B754" s="11" t="s">
        <v>5096</v>
      </c>
      <c r="C754" s="173"/>
      <c r="D754" s="22" t="s">
        <v>5095</v>
      </c>
      <c r="E754" s="15" t="s">
        <v>5097</v>
      </c>
      <c r="F754" s="15" t="s">
        <v>5098</v>
      </c>
      <c r="G754" s="174"/>
      <c r="H754" s="37">
        <v>100371</v>
      </c>
      <c r="I754" s="25" t="str">
        <f>CONCATENATE(Cover!$D$6,"fdd/view?i=",H754)</f>
        <v>https://www.dgiwg.org/FAD/fdd/view?i=100371</v>
      </c>
      <c r="J754" s="13" t="s">
        <v>5095</v>
      </c>
      <c r="K754" s="172"/>
      <c r="L754" s="172"/>
      <c r="BJ754" s="83" t="s">
        <v>1790</v>
      </c>
    </row>
    <row r="755" spans="1:95" ht="127.5" x14ac:dyDescent="0.2">
      <c r="A755" s="176" t="str">
        <f t="shared" si="11"/>
        <v>SluiceGate</v>
      </c>
      <c r="B755" s="11" t="s">
        <v>5100</v>
      </c>
      <c r="C755" s="173"/>
      <c r="D755" s="22" t="s">
        <v>5101</v>
      </c>
      <c r="E755" s="15" t="s">
        <v>5102</v>
      </c>
      <c r="F755" s="15" t="s">
        <v>5103</v>
      </c>
      <c r="G755" s="174"/>
      <c r="H755" s="37">
        <v>100372</v>
      </c>
      <c r="I755" s="25" t="str">
        <f>CONCATENATE(Cover!$D$6,"fdd/view?i=",H755)</f>
        <v>https://www.dgiwg.org/FAD/fdd/view?i=100372</v>
      </c>
      <c r="J755" s="13" t="s">
        <v>5099</v>
      </c>
      <c r="K755" s="172"/>
      <c r="L755" s="172"/>
      <c r="BJ755" s="83" t="s">
        <v>1790</v>
      </c>
    </row>
    <row r="756" spans="1:95" ht="51" x14ac:dyDescent="0.2">
      <c r="A756" s="176" t="str">
        <f t="shared" si="11"/>
        <v>SmallBottomObject</v>
      </c>
      <c r="B756" s="11" t="s">
        <v>5105</v>
      </c>
      <c r="C756" s="173"/>
      <c r="D756" s="22" t="s">
        <v>5106</v>
      </c>
      <c r="E756" s="15" t="s">
        <v>5107</v>
      </c>
      <c r="F756" s="15" t="s">
        <v>5108</v>
      </c>
      <c r="G756" s="174"/>
      <c r="H756" s="37">
        <v>111442</v>
      </c>
      <c r="I756" s="25" t="str">
        <f>CONCATENATE(Cover!$D$6,"fdd/view?i=",H756)</f>
        <v>https://www.dgiwg.org/FAD/fdd/view?i=111442</v>
      </c>
      <c r="J756" s="13" t="s">
        <v>5104</v>
      </c>
      <c r="K756" s="172"/>
      <c r="L756" s="172"/>
      <c r="BG756" s="83" t="s">
        <v>1790</v>
      </c>
    </row>
    <row r="757" spans="1:95" ht="25.5" x14ac:dyDescent="0.2">
      <c r="A757" s="176" t="str">
        <f t="shared" si="11"/>
        <v>SmallCraftFacility</v>
      </c>
      <c r="B757" s="11" t="s">
        <v>5110</v>
      </c>
      <c r="C757" s="173"/>
      <c r="D757" s="22" t="s">
        <v>5111</v>
      </c>
      <c r="E757" s="15" t="s">
        <v>5112</v>
      </c>
      <c r="F757" s="174"/>
      <c r="G757" s="174"/>
      <c r="H757" s="37">
        <v>100252</v>
      </c>
      <c r="I757" s="25" t="str">
        <f>CONCATENATE(Cover!$D$6,"fdd/view?i=",H757)</f>
        <v>https://www.dgiwg.org/FAD/fdd/view?i=100252</v>
      </c>
      <c r="J757" s="13" t="s">
        <v>5109</v>
      </c>
      <c r="K757" s="172"/>
      <c r="L757" s="172"/>
      <c r="AS757" s="82" t="s">
        <v>1790</v>
      </c>
      <c r="BA757" s="83" t="s">
        <v>1790</v>
      </c>
    </row>
    <row r="758" spans="1:95" ht="25.5" x14ac:dyDescent="0.2">
      <c r="A758" s="176" t="str">
        <f t="shared" si="11"/>
        <v>Smokestack</v>
      </c>
      <c r="B758" s="11" t="s">
        <v>5114</v>
      </c>
      <c r="C758" s="173"/>
      <c r="D758" s="22" t="s">
        <v>5113</v>
      </c>
      <c r="E758" s="15" t="s">
        <v>5115</v>
      </c>
      <c r="F758" s="174"/>
      <c r="G758" s="15" t="s">
        <v>5116</v>
      </c>
      <c r="H758" s="37">
        <v>100028</v>
      </c>
      <c r="I758" s="25" t="str">
        <f>CONCATENATE(Cover!$D$6,"fdd/view?i=",H758)</f>
        <v>https://www.dgiwg.org/FAD/fdd/view?i=100028</v>
      </c>
      <c r="J758" s="13" t="s">
        <v>5113</v>
      </c>
      <c r="K758" s="172"/>
      <c r="L758" s="172"/>
      <c r="AF758" s="82" t="s">
        <v>1790</v>
      </c>
    </row>
    <row r="759" spans="1:95" ht="51" x14ac:dyDescent="0.2">
      <c r="A759" s="176" t="str">
        <f t="shared" si="11"/>
        <v>Snag</v>
      </c>
      <c r="B759" s="11" t="s">
        <v>5118</v>
      </c>
      <c r="C759" s="173"/>
      <c r="D759" s="22" t="s">
        <v>5117</v>
      </c>
      <c r="E759" s="15" t="s">
        <v>5119</v>
      </c>
      <c r="F759" s="15" t="s">
        <v>5120</v>
      </c>
      <c r="G759" s="15" t="s">
        <v>5121</v>
      </c>
      <c r="H759" s="37">
        <v>100307</v>
      </c>
      <c r="I759" s="25" t="str">
        <f>CONCATENATE(Cover!$D$6,"fdd/view?i=",H759)</f>
        <v>https://www.dgiwg.org/FAD/fdd/view?i=100307</v>
      </c>
      <c r="J759" s="13" t="s">
        <v>5117</v>
      </c>
      <c r="K759" s="172"/>
      <c r="L759" s="172"/>
      <c r="BG759" s="83" t="s">
        <v>1790</v>
      </c>
    </row>
    <row r="760" spans="1:95" x14ac:dyDescent="0.2">
      <c r="A760" s="176" t="str">
        <f t="shared" si="11"/>
        <v>SnowIceField</v>
      </c>
      <c r="B760" s="11" t="s">
        <v>5123</v>
      </c>
      <c r="C760" s="173"/>
      <c r="D760" s="22" t="s">
        <v>5124</v>
      </c>
      <c r="E760" s="15" t="s">
        <v>5125</v>
      </c>
      <c r="F760" s="15" t="s">
        <v>5126</v>
      </c>
      <c r="G760" s="174"/>
      <c r="H760" s="37">
        <v>100387</v>
      </c>
      <c r="I760" s="25" t="str">
        <f>CONCATENATE(Cover!$D$6,"fdd/view?i=",H760)</f>
        <v>https://www.dgiwg.org/FAD/fdd/view?i=100387</v>
      </c>
      <c r="J760" s="13" t="s">
        <v>5122</v>
      </c>
      <c r="K760" s="172"/>
      <c r="L760" s="172"/>
      <c r="BR760" s="82" t="s">
        <v>1790</v>
      </c>
    </row>
    <row r="761" spans="1:95" ht="25.5" x14ac:dyDescent="0.2">
      <c r="A761" s="176" t="str">
        <f t="shared" si="11"/>
        <v>SoilDeteriorationRegion</v>
      </c>
      <c r="B761" s="11" t="s">
        <v>5128</v>
      </c>
      <c r="C761" s="173"/>
      <c r="D761" s="22" t="s">
        <v>5129</v>
      </c>
      <c r="E761" s="15" t="s">
        <v>5130</v>
      </c>
      <c r="F761" s="174"/>
      <c r="G761" s="174"/>
      <c r="H761" s="37">
        <v>118432</v>
      </c>
      <c r="I761" s="25" t="str">
        <f>CONCATENATE(Cover!$D$6,"fdd/view?i=",H761)</f>
        <v>https://www.dgiwg.org/FAD/fdd/view?i=118432</v>
      </c>
      <c r="J761" s="13" t="s">
        <v>5127</v>
      </c>
      <c r="K761" s="172"/>
      <c r="L761" s="172"/>
      <c r="BO761" s="82" t="s">
        <v>1790</v>
      </c>
    </row>
    <row r="762" spans="1:95" ht="25.5" x14ac:dyDescent="0.2">
      <c r="A762" s="176" t="str">
        <f t="shared" si="11"/>
        <v>SoilSalinizationArea</v>
      </c>
      <c r="B762" s="11" t="s">
        <v>5132</v>
      </c>
      <c r="C762" s="173"/>
      <c r="D762" s="22" t="s">
        <v>5133</v>
      </c>
      <c r="E762" s="15" t="s">
        <v>5134</v>
      </c>
      <c r="F762" s="15" t="s">
        <v>5135</v>
      </c>
      <c r="G762" s="174"/>
      <c r="H762" s="37">
        <v>111362</v>
      </c>
      <c r="I762" s="25" t="str">
        <f>CONCATENATE(Cover!$D$6,"fdd/view?i=",H762)</f>
        <v>https://www.dgiwg.org/FAD/fdd/view?i=111362</v>
      </c>
      <c r="J762" s="13" t="s">
        <v>5131</v>
      </c>
      <c r="K762" s="172"/>
      <c r="L762" s="172"/>
      <c r="AC762" s="82" t="s">
        <v>1790</v>
      </c>
      <c r="BO762" s="82" t="s">
        <v>1790</v>
      </c>
    </row>
    <row r="763" spans="1:95" x14ac:dyDescent="0.2">
      <c r="A763" s="176" t="str">
        <f t="shared" si="11"/>
        <v>SoilSurfaceRegion</v>
      </c>
      <c r="B763" s="11" t="s">
        <v>5137</v>
      </c>
      <c r="C763" s="173"/>
      <c r="D763" s="22" t="s">
        <v>5138</v>
      </c>
      <c r="E763" s="15" t="s">
        <v>5139</v>
      </c>
      <c r="F763" s="174"/>
      <c r="G763" s="174"/>
      <c r="H763" s="37">
        <v>100402</v>
      </c>
      <c r="I763" s="25" t="str">
        <f>CONCATENATE(Cover!$D$6,"fdd/view?i=",H763)</f>
        <v>https://www.dgiwg.org/FAD/fdd/view?i=100402</v>
      </c>
      <c r="J763" s="13" t="s">
        <v>5136</v>
      </c>
      <c r="K763" s="172"/>
      <c r="L763" s="172"/>
      <c r="BO763" s="82" t="s">
        <v>1790</v>
      </c>
    </row>
    <row r="764" spans="1:95" ht="38.25" x14ac:dyDescent="0.2">
      <c r="A764" s="176" t="str">
        <f t="shared" si="11"/>
        <v>SolarFarm</v>
      </c>
      <c r="B764" s="11" t="s">
        <v>5141</v>
      </c>
      <c r="C764" s="173"/>
      <c r="D764" s="22" t="s">
        <v>5142</v>
      </c>
      <c r="E764" s="15" t="s">
        <v>5143</v>
      </c>
      <c r="F764" s="15" t="s">
        <v>5144</v>
      </c>
      <c r="G764" s="174"/>
      <c r="H764" s="37">
        <v>111399</v>
      </c>
      <c r="I764" s="25" t="str">
        <f>CONCATENATE(Cover!$D$6,"fdd/view?i=",H764)</f>
        <v>https://www.dgiwg.org/FAD/fdd/view?i=111399</v>
      </c>
      <c r="J764" s="13" t="s">
        <v>5140</v>
      </c>
      <c r="K764" s="172"/>
      <c r="L764" s="172"/>
      <c r="AD764" s="82" t="s">
        <v>1790</v>
      </c>
    </row>
    <row r="765" spans="1:95" ht="89.25" x14ac:dyDescent="0.2">
      <c r="A765" s="176" t="str">
        <f t="shared" si="11"/>
        <v>SolarIrradianceZone</v>
      </c>
      <c r="B765" s="11" t="s">
        <v>5146</v>
      </c>
      <c r="C765" s="173"/>
      <c r="D765" s="22" t="s">
        <v>5147</v>
      </c>
      <c r="E765" s="15" t="s">
        <v>5148</v>
      </c>
      <c r="F765" s="15" t="s">
        <v>5149</v>
      </c>
      <c r="G765" s="174"/>
      <c r="H765" s="37">
        <v>111385</v>
      </c>
      <c r="I765" s="25" t="str">
        <f>CONCATENATE(Cover!$D$6,"fdd/view?i=",H765)</f>
        <v>https://www.dgiwg.org/FAD/fdd/view?i=111385</v>
      </c>
      <c r="J765" s="13" t="s">
        <v>5145</v>
      </c>
      <c r="K765" s="172"/>
      <c r="L765" s="172"/>
      <c r="BZ765" s="83" t="s">
        <v>1790</v>
      </c>
      <c r="CQ765" s="165" t="s">
        <v>1790</v>
      </c>
    </row>
    <row r="766" spans="1:95" ht="25.5" x14ac:dyDescent="0.2">
      <c r="A766" s="176" t="str">
        <f t="shared" si="11"/>
        <v>SolarPanel</v>
      </c>
      <c r="B766" s="11" t="s">
        <v>5151</v>
      </c>
      <c r="C766" s="173"/>
      <c r="D766" s="22" t="s">
        <v>5152</v>
      </c>
      <c r="E766" s="15" t="s">
        <v>5153</v>
      </c>
      <c r="F766" s="174"/>
      <c r="G766" s="174"/>
      <c r="H766" s="37">
        <v>100023</v>
      </c>
      <c r="I766" s="25" t="str">
        <f>CONCATENATE(Cover!$D$6,"fdd/view?i=",H766)</f>
        <v>https://www.dgiwg.org/FAD/fdd/view?i=100023</v>
      </c>
      <c r="J766" s="13" t="s">
        <v>5150</v>
      </c>
      <c r="K766" s="172"/>
      <c r="L766" s="172"/>
      <c r="AD766" s="82" t="s">
        <v>1790</v>
      </c>
    </row>
    <row r="767" spans="1:95" ht="25.5" x14ac:dyDescent="0.2">
      <c r="A767" s="176" t="str">
        <f t="shared" si="11"/>
        <v>SolidRock</v>
      </c>
      <c r="B767" s="11" t="s">
        <v>5155</v>
      </c>
      <c r="C767" s="173"/>
      <c r="D767" s="22" t="s">
        <v>5156</v>
      </c>
      <c r="E767" s="15" t="s">
        <v>5157</v>
      </c>
      <c r="F767" s="174"/>
      <c r="G767" s="174"/>
      <c r="H767" s="37">
        <v>111358</v>
      </c>
      <c r="I767" s="25" t="str">
        <f>CONCATENATE(Cover!$D$6,"fdd/view?i=",H767)</f>
        <v>https://www.dgiwg.org/FAD/fdd/view?i=111358</v>
      </c>
      <c r="J767" s="13" t="s">
        <v>5154</v>
      </c>
      <c r="K767" s="172"/>
      <c r="L767" s="172"/>
      <c r="BN767" s="82" t="s">
        <v>1790</v>
      </c>
      <c r="BT767" s="85" t="s">
        <v>1790</v>
      </c>
    </row>
    <row r="768" spans="1:95" ht="25.5" x14ac:dyDescent="0.2">
      <c r="A768" s="176" t="str">
        <f t="shared" si="11"/>
        <v>SoundSignalDevice</v>
      </c>
      <c r="B768" s="11" t="s">
        <v>5159</v>
      </c>
      <c r="C768" s="173"/>
      <c r="D768" s="22" t="s">
        <v>5160</v>
      </c>
      <c r="E768" s="15" t="s">
        <v>5161</v>
      </c>
      <c r="F768" s="15" t="s">
        <v>5162</v>
      </c>
      <c r="G768" s="174"/>
      <c r="H768" s="37">
        <v>111441</v>
      </c>
      <c r="I768" s="25" t="str">
        <f>CONCATENATE(Cover!$D$6,"fdd/view?i=",H768)</f>
        <v>https://www.dgiwg.org/FAD/fdd/view?i=111441</v>
      </c>
      <c r="J768" s="13" t="s">
        <v>5158</v>
      </c>
      <c r="K768" s="172"/>
      <c r="L768" s="172"/>
      <c r="AS768" s="82" t="s">
        <v>1790</v>
      </c>
      <c r="BF768" s="83" t="s">
        <v>1790</v>
      </c>
    </row>
    <row r="769" spans="1:107" x14ac:dyDescent="0.2">
      <c r="A769" s="176" t="str">
        <f t="shared" si="11"/>
        <v>Sounding</v>
      </c>
      <c r="B769" s="11" t="s">
        <v>5164</v>
      </c>
      <c r="C769" s="173"/>
      <c r="D769" s="22" t="s">
        <v>5163</v>
      </c>
      <c r="E769" s="15" t="s">
        <v>5165</v>
      </c>
      <c r="F769" s="174"/>
      <c r="G769" s="174"/>
      <c r="H769" s="37">
        <v>100313</v>
      </c>
      <c r="I769" s="25" t="str">
        <f>CONCATENATE(Cover!$D$6,"fdd/view?i=",H769)</f>
        <v>https://www.dgiwg.org/FAD/fdd/view?i=100313</v>
      </c>
      <c r="J769" s="13" t="s">
        <v>5163</v>
      </c>
      <c r="K769" s="172"/>
      <c r="L769" s="172"/>
      <c r="BB769" s="83" t="s">
        <v>1790</v>
      </c>
    </row>
    <row r="770" spans="1:107" ht="38.25" x14ac:dyDescent="0.2">
      <c r="A770" s="176" t="str">
        <f t="shared" si="11"/>
        <v>SoundingMetadata</v>
      </c>
      <c r="B770" s="11" t="s">
        <v>5167</v>
      </c>
      <c r="C770" s="173"/>
      <c r="D770" s="22" t="s">
        <v>5168</v>
      </c>
      <c r="E770" s="15" t="s">
        <v>5169</v>
      </c>
      <c r="F770" s="15" t="s">
        <v>5170</v>
      </c>
      <c r="G770" s="174"/>
      <c r="H770" s="37">
        <v>114196</v>
      </c>
      <c r="I770" s="25" t="str">
        <f>CONCATENATE(Cover!$D$6,"fdd/view?i=",H770)</f>
        <v>https://www.dgiwg.org/FAD/fdd/view?i=114196</v>
      </c>
      <c r="J770" s="13" t="s">
        <v>5166</v>
      </c>
      <c r="K770" s="172"/>
      <c r="L770" s="172"/>
      <c r="DC770" s="87" t="s">
        <v>1790</v>
      </c>
    </row>
    <row r="771" spans="1:107" ht="25.5" x14ac:dyDescent="0.2">
      <c r="A771" s="176" t="str">
        <f t="shared" ref="A771:A834" si="12">HYPERLINK(I771,J771)</f>
        <v>SourceInfo</v>
      </c>
      <c r="B771" s="11" t="s">
        <v>5172</v>
      </c>
      <c r="C771" s="173"/>
      <c r="D771" s="22" t="s">
        <v>5173</v>
      </c>
      <c r="E771" s="15" t="s">
        <v>5174</v>
      </c>
      <c r="F771" s="174"/>
      <c r="G771" s="174"/>
      <c r="H771" s="37">
        <v>114186</v>
      </c>
      <c r="I771" s="25" t="str">
        <f>CONCATENATE(Cover!$D$6,"fdd/view?i=",H771)</f>
        <v>https://www.dgiwg.org/FAD/fdd/view?i=114186</v>
      </c>
      <c r="J771" s="13" t="s">
        <v>5171</v>
      </c>
      <c r="K771" s="172"/>
      <c r="L771" s="172"/>
      <c r="DC771" s="87" t="s">
        <v>1790</v>
      </c>
    </row>
    <row r="772" spans="1:107" ht="25.5" x14ac:dyDescent="0.2">
      <c r="A772" s="176" t="str">
        <f t="shared" si="12"/>
        <v>SovereignState</v>
      </c>
      <c r="B772" s="11" t="s">
        <v>5176</v>
      </c>
      <c r="C772" s="173"/>
      <c r="D772" s="22" t="s">
        <v>5177</v>
      </c>
      <c r="E772" s="15" t="s">
        <v>5178</v>
      </c>
      <c r="F772" s="15" t="s">
        <v>5179</v>
      </c>
      <c r="G772" s="174"/>
      <c r="H772" s="37">
        <v>114458</v>
      </c>
      <c r="I772" s="25" t="str">
        <f>CONCATENATE(Cover!$D$6,"fdd/view?i=",H772)</f>
        <v>https://www.dgiwg.org/FAD/fdd/view?i=114458</v>
      </c>
      <c r="J772" s="13" t="s">
        <v>5175</v>
      </c>
      <c r="K772" s="172"/>
      <c r="L772" s="172"/>
      <c r="AM772" s="83" t="s">
        <v>1790</v>
      </c>
    </row>
    <row r="773" spans="1:107" ht="63.75" x14ac:dyDescent="0.2">
      <c r="A773" s="176" t="str">
        <f t="shared" si="12"/>
        <v>Spa</v>
      </c>
      <c r="B773" s="11" t="s">
        <v>5181</v>
      </c>
      <c r="C773" s="173"/>
      <c r="D773" s="22" t="s">
        <v>5180</v>
      </c>
      <c r="E773" s="15" t="s">
        <v>5182</v>
      </c>
      <c r="F773" s="15" t="s">
        <v>5183</v>
      </c>
      <c r="G773" s="174"/>
      <c r="H773" s="37">
        <v>111412</v>
      </c>
      <c r="I773" s="25" t="str">
        <f>CONCATENATE(Cover!$D$6,"fdd/view?i=",H773)</f>
        <v>https://www.dgiwg.org/FAD/fdd/view?i=111412</v>
      </c>
      <c r="J773" s="13" t="s">
        <v>5180</v>
      </c>
      <c r="K773" s="172"/>
      <c r="L773" s="172"/>
      <c r="AL773" s="83" t="s">
        <v>1790</v>
      </c>
    </row>
    <row r="774" spans="1:107" ht="38.25" x14ac:dyDescent="0.2">
      <c r="A774" s="176" t="str">
        <f t="shared" si="12"/>
        <v>SpaceFacility</v>
      </c>
      <c r="B774" s="11" t="s">
        <v>5185</v>
      </c>
      <c r="C774" s="173"/>
      <c r="D774" s="22" t="s">
        <v>5186</v>
      </c>
      <c r="E774" s="15" t="s">
        <v>5187</v>
      </c>
      <c r="F774" s="174"/>
      <c r="G774" s="174"/>
      <c r="H774" s="37">
        <v>111422</v>
      </c>
      <c r="I774" s="25" t="str">
        <f>CONCATENATE(Cover!$D$6,"fdd/view?i=",H774)</f>
        <v>https://www.dgiwg.org/FAD/fdd/view?i=111422</v>
      </c>
      <c r="J774" s="13" t="s">
        <v>5184</v>
      </c>
      <c r="K774" s="172"/>
      <c r="L774" s="172"/>
      <c r="AN774" s="83" t="s">
        <v>1790</v>
      </c>
    </row>
    <row r="775" spans="1:107" ht="38.25" x14ac:dyDescent="0.2">
      <c r="A775" s="176" t="str">
        <f t="shared" si="12"/>
        <v>SpecialNavigationSystem</v>
      </c>
      <c r="B775" s="11" t="s">
        <v>5189</v>
      </c>
      <c r="C775" s="173"/>
      <c r="D775" s="22" t="s">
        <v>5190</v>
      </c>
      <c r="E775" s="15" t="s">
        <v>5191</v>
      </c>
      <c r="F775" s="15" t="s">
        <v>5192</v>
      </c>
      <c r="G775" s="174"/>
      <c r="H775" s="37">
        <v>114516</v>
      </c>
      <c r="I775" s="25" t="str">
        <f>CONCATENATE(Cover!$D$6,"fdd/view?i=",H775)</f>
        <v>https://www.dgiwg.org/FAD/fdd/view?i=114516</v>
      </c>
      <c r="J775" s="13" t="s">
        <v>5188</v>
      </c>
      <c r="K775" s="172"/>
      <c r="L775" s="172"/>
      <c r="CG775" s="83" t="s">
        <v>1790</v>
      </c>
    </row>
    <row r="776" spans="1:107" ht="25.5" x14ac:dyDescent="0.2">
      <c r="A776" s="176" t="str">
        <f t="shared" si="12"/>
        <v>SpecialNavSystemStation</v>
      </c>
      <c r="B776" s="11" t="s">
        <v>5194</v>
      </c>
      <c r="C776" s="173"/>
      <c r="D776" s="22" t="s">
        <v>5195</v>
      </c>
      <c r="E776" s="15" t="s">
        <v>5196</v>
      </c>
      <c r="F776" s="174"/>
      <c r="G776" s="174"/>
      <c r="H776" s="37">
        <v>114517</v>
      </c>
      <c r="I776" s="25" t="str">
        <f>CONCATENATE(Cover!$D$6,"fdd/view?i=",H776)</f>
        <v>https://www.dgiwg.org/FAD/fdd/view?i=114517</v>
      </c>
      <c r="J776" s="13" t="s">
        <v>5193</v>
      </c>
      <c r="K776" s="172"/>
      <c r="L776" s="172"/>
      <c r="CG776" s="83" t="s">
        <v>1790</v>
      </c>
    </row>
    <row r="777" spans="1:107" x14ac:dyDescent="0.2">
      <c r="A777" s="176" t="str">
        <f t="shared" si="12"/>
        <v>Spillway</v>
      </c>
      <c r="B777" s="11" t="s">
        <v>5198</v>
      </c>
      <c r="C777" s="173"/>
      <c r="D777" s="22" t="s">
        <v>5197</v>
      </c>
      <c r="E777" s="15" t="s">
        <v>5199</v>
      </c>
      <c r="F777" s="174"/>
      <c r="G777" s="174"/>
      <c r="H777" s="37">
        <v>100357</v>
      </c>
      <c r="I777" s="25" t="str">
        <f>CONCATENATE(Cover!$D$6,"fdd/view?i=",H777)</f>
        <v>https://www.dgiwg.org/FAD/fdd/view?i=100357</v>
      </c>
      <c r="J777" s="13" t="s">
        <v>5197</v>
      </c>
      <c r="K777" s="172"/>
      <c r="L777" s="172"/>
      <c r="BJ777" s="83" t="s">
        <v>1790</v>
      </c>
    </row>
    <row r="778" spans="1:107" x14ac:dyDescent="0.2">
      <c r="A778" s="176" t="str">
        <f t="shared" si="12"/>
        <v>SportsGround</v>
      </c>
      <c r="B778" s="11" t="s">
        <v>5201</v>
      </c>
      <c r="C778" s="173"/>
      <c r="D778" s="22" t="s">
        <v>5202</v>
      </c>
      <c r="E778" s="15" t="s">
        <v>5203</v>
      </c>
      <c r="F778" s="15" t="s">
        <v>5204</v>
      </c>
      <c r="G778" s="15" t="s">
        <v>5205</v>
      </c>
      <c r="H778" s="37">
        <v>100053</v>
      </c>
      <c r="I778" s="25" t="str">
        <f>CONCATENATE(Cover!$D$6,"fdd/view?i=",H778)</f>
        <v>https://www.dgiwg.org/FAD/fdd/view?i=100053</v>
      </c>
      <c r="J778" s="13" t="s">
        <v>5200</v>
      </c>
      <c r="K778" s="172"/>
      <c r="L778" s="172"/>
      <c r="AL778" s="83" t="s">
        <v>1790</v>
      </c>
    </row>
    <row r="779" spans="1:107" ht="38.25" x14ac:dyDescent="0.2">
      <c r="A779" s="176" t="str">
        <f t="shared" si="12"/>
        <v>SportsStadium</v>
      </c>
      <c r="B779" s="11" t="s">
        <v>5207</v>
      </c>
      <c r="C779" s="173"/>
      <c r="D779" s="22" t="s">
        <v>5208</v>
      </c>
      <c r="E779" s="15" t="s">
        <v>5209</v>
      </c>
      <c r="F779" s="15" t="s">
        <v>5210</v>
      </c>
      <c r="G779" s="174"/>
      <c r="H779" s="37">
        <v>111410</v>
      </c>
      <c r="I779" s="25" t="str">
        <f>CONCATENATE(Cover!$D$6,"fdd/view?i=",H779)</f>
        <v>https://www.dgiwg.org/FAD/fdd/view?i=111410</v>
      </c>
      <c r="J779" s="13" t="s">
        <v>5206</v>
      </c>
      <c r="K779" s="172"/>
      <c r="L779" s="172"/>
      <c r="AL779" s="83" t="s">
        <v>1790</v>
      </c>
    </row>
    <row r="780" spans="1:107" x14ac:dyDescent="0.2">
      <c r="A780" s="176" t="str">
        <f t="shared" si="12"/>
        <v>SpotElevation</v>
      </c>
      <c r="B780" s="11" t="s">
        <v>5212</v>
      </c>
      <c r="C780" s="173"/>
      <c r="D780" s="22" t="s">
        <v>5213</v>
      </c>
      <c r="E780" s="15" t="s">
        <v>5214</v>
      </c>
      <c r="F780" s="174"/>
      <c r="G780" s="174"/>
      <c r="H780" s="37">
        <v>100396</v>
      </c>
      <c r="I780" s="25" t="str">
        <f>CONCATENATE(Cover!$D$6,"fdd/view?i=",H780)</f>
        <v>https://www.dgiwg.org/FAD/fdd/view?i=100396</v>
      </c>
      <c r="J780" s="13" t="s">
        <v>5211</v>
      </c>
      <c r="K780" s="172"/>
      <c r="L780" s="172"/>
      <c r="BL780" s="81" t="s">
        <v>1790</v>
      </c>
    </row>
    <row r="781" spans="1:107" x14ac:dyDescent="0.2">
      <c r="A781" s="176" t="str">
        <f t="shared" si="12"/>
        <v>Spring</v>
      </c>
      <c r="B781" s="11" t="s">
        <v>5216</v>
      </c>
      <c r="C781" s="173"/>
      <c r="D781" s="22" t="s">
        <v>5215</v>
      </c>
      <c r="E781" s="15" t="s">
        <v>5217</v>
      </c>
      <c r="F781" s="174"/>
      <c r="G781" s="174"/>
      <c r="H781" s="37">
        <v>101377</v>
      </c>
      <c r="I781" s="25" t="str">
        <f>CONCATENATE(Cover!$D$6,"fdd/view?i=",H781)</f>
        <v>https://www.dgiwg.org/FAD/fdd/view?i=101377</v>
      </c>
      <c r="J781" s="13" t="s">
        <v>5215</v>
      </c>
      <c r="K781" s="172"/>
      <c r="L781" s="172"/>
      <c r="BJ781" s="83" t="s">
        <v>1790</v>
      </c>
      <c r="BP781" s="82" t="s">
        <v>1790</v>
      </c>
    </row>
    <row r="782" spans="1:107" ht="38.25" x14ac:dyDescent="0.2">
      <c r="A782" s="176" t="str">
        <f t="shared" si="12"/>
        <v>Stable</v>
      </c>
      <c r="B782" s="11" t="s">
        <v>5219</v>
      </c>
      <c r="C782" s="173"/>
      <c r="D782" s="22" t="s">
        <v>5218</v>
      </c>
      <c r="E782" s="15" t="s">
        <v>5220</v>
      </c>
      <c r="F782" s="15" t="s">
        <v>5221</v>
      </c>
      <c r="G782" s="174"/>
      <c r="H782" s="37">
        <v>111405</v>
      </c>
      <c r="I782" s="25" t="str">
        <f>CONCATENATE(Cover!$D$6,"fdd/view?i=",H782)</f>
        <v>https://www.dgiwg.org/FAD/fdd/view?i=111405</v>
      </c>
      <c r="J782" s="13" t="s">
        <v>5218</v>
      </c>
      <c r="K782" s="172"/>
      <c r="L782" s="172"/>
      <c r="AC782" s="82" t="s">
        <v>1790</v>
      </c>
    </row>
    <row r="783" spans="1:107" ht="63.75" x14ac:dyDescent="0.2">
      <c r="A783" s="176" t="str">
        <f t="shared" si="12"/>
        <v>Stadium</v>
      </c>
      <c r="B783" s="11" t="s">
        <v>5223</v>
      </c>
      <c r="C783" s="173"/>
      <c r="D783" s="22" t="s">
        <v>5222</v>
      </c>
      <c r="E783" s="15" t="s">
        <v>5224</v>
      </c>
      <c r="F783" s="15" t="s">
        <v>5225</v>
      </c>
      <c r="G783" s="15" t="s">
        <v>5226</v>
      </c>
      <c r="H783" s="37">
        <v>100074</v>
      </c>
      <c r="I783" s="25" t="str">
        <f>CONCATENATE(Cover!$D$6,"fdd/view?i=",H783)</f>
        <v>https://www.dgiwg.org/FAD/fdd/view?i=100074</v>
      </c>
      <c r="J783" s="13" t="s">
        <v>5222</v>
      </c>
      <c r="K783" s="172"/>
      <c r="L783" s="172"/>
      <c r="AL783" s="83" t="s">
        <v>1790</v>
      </c>
    </row>
    <row r="784" spans="1:107" ht="25.5" x14ac:dyDescent="0.2">
      <c r="A784" s="176" t="str">
        <f t="shared" si="12"/>
        <v>Stair</v>
      </c>
      <c r="B784" s="11" t="s">
        <v>5228</v>
      </c>
      <c r="C784" s="173"/>
      <c r="D784" s="22" t="s">
        <v>5227</v>
      </c>
      <c r="E784" s="15" t="s">
        <v>5229</v>
      </c>
      <c r="F784" s="15" t="s">
        <v>5230</v>
      </c>
      <c r="G784" s="174"/>
      <c r="H784" s="37">
        <v>100186</v>
      </c>
      <c r="I784" s="25" t="str">
        <f>CONCATENATE(Cover!$D$6,"fdd/view?i=",H784)</f>
        <v>https://www.dgiwg.org/FAD/fdd/view?i=100186</v>
      </c>
      <c r="J784" s="13" t="s">
        <v>5227</v>
      </c>
      <c r="K784" s="172"/>
      <c r="L784" s="172"/>
      <c r="AJ784" s="83" t="s">
        <v>1790</v>
      </c>
    </row>
    <row r="785" spans="1:96" ht="38.25" x14ac:dyDescent="0.2">
      <c r="A785" s="176" t="str">
        <f t="shared" si="12"/>
        <v>StandardInstrumentArrival</v>
      </c>
      <c r="B785" s="11" t="s">
        <v>5232</v>
      </c>
      <c r="C785" s="173"/>
      <c r="D785" s="22" t="s">
        <v>5233</v>
      </c>
      <c r="E785" s="15" t="s">
        <v>5234</v>
      </c>
      <c r="F785" s="174"/>
      <c r="G785" s="15" t="s">
        <v>5235</v>
      </c>
      <c r="H785" s="37">
        <v>114617</v>
      </c>
      <c r="I785" s="25" t="str">
        <f>CONCATENATE(Cover!$D$6,"fdd/view?i=",H785)</f>
        <v>https://www.dgiwg.org/FAD/fdd/view?i=114617</v>
      </c>
      <c r="J785" s="13" t="s">
        <v>5231</v>
      </c>
      <c r="K785" s="172"/>
      <c r="L785" s="172"/>
      <c r="CI785" s="89" t="s">
        <v>1790</v>
      </c>
    </row>
    <row r="786" spans="1:96" ht="51" x14ac:dyDescent="0.2">
      <c r="A786" s="176" t="str">
        <f t="shared" si="12"/>
        <v>StandardInstrumentDepart</v>
      </c>
      <c r="B786" s="11" t="s">
        <v>5237</v>
      </c>
      <c r="C786" s="173"/>
      <c r="D786" s="22" t="s">
        <v>5238</v>
      </c>
      <c r="E786" s="15" t="s">
        <v>5239</v>
      </c>
      <c r="F786" s="15" t="s">
        <v>5240</v>
      </c>
      <c r="G786" s="15" t="s">
        <v>5241</v>
      </c>
      <c r="H786" s="37">
        <v>114618</v>
      </c>
      <c r="I786" s="25" t="str">
        <f>CONCATENATE(Cover!$D$6,"fdd/view?i=",H786)</f>
        <v>https://www.dgiwg.org/FAD/fdd/view?i=114618</v>
      </c>
      <c r="J786" s="13" t="s">
        <v>5236</v>
      </c>
      <c r="K786" s="172"/>
      <c r="L786" s="172"/>
      <c r="CI786" s="89" t="s">
        <v>1790</v>
      </c>
    </row>
    <row r="787" spans="1:96" ht="127.5" x14ac:dyDescent="0.2">
      <c r="A787" s="176" t="str">
        <f t="shared" si="12"/>
        <v>StatisticalGeoArea</v>
      </c>
      <c r="B787" s="11" t="s">
        <v>5243</v>
      </c>
      <c r="C787" s="173"/>
      <c r="D787" s="22" t="s">
        <v>5244</v>
      </c>
      <c r="E787" s="15" t="s">
        <v>5245</v>
      </c>
      <c r="F787" s="15" t="s">
        <v>5246</v>
      </c>
      <c r="G787" s="174"/>
      <c r="H787" s="37">
        <v>118996</v>
      </c>
      <c r="I787" s="25" t="str">
        <f>CONCATENATE(Cover!$D$6,"fdd/view?i=",H787)</f>
        <v>https://www.dgiwg.org/FAD/fdd/view?i=118996</v>
      </c>
      <c r="J787" s="13" t="s">
        <v>5242</v>
      </c>
      <c r="K787" s="172"/>
      <c r="L787" s="172"/>
      <c r="AJ787" s="83" t="s">
        <v>1790</v>
      </c>
      <c r="AK787" s="83" t="s">
        <v>1790</v>
      </c>
      <c r="AM787" s="83" t="s">
        <v>1790</v>
      </c>
      <c r="AO787" s="89" t="s">
        <v>1790</v>
      </c>
      <c r="CQ787" s="165" t="s">
        <v>1790</v>
      </c>
      <c r="CR787" s="165" t="s">
        <v>1790</v>
      </c>
    </row>
    <row r="788" spans="1:96" x14ac:dyDescent="0.2">
      <c r="A788" s="176" t="str">
        <f t="shared" si="12"/>
        <v>StatuePedestal</v>
      </c>
      <c r="B788" s="11" t="s">
        <v>5248</v>
      </c>
      <c r="C788" s="173"/>
      <c r="D788" s="22" t="s">
        <v>5249</v>
      </c>
      <c r="E788" s="15" t="s">
        <v>5250</v>
      </c>
      <c r="F788" s="174"/>
      <c r="G788" s="174"/>
      <c r="H788" s="37">
        <v>100071</v>
      </c>
      <c r="I788" s="25" t="str">
        <f>CONCATENATE(Cover!$D$6,"fdd/view?i=",H788)</f>
        <v>https://www.dgiwg.org/FAD/fdd/view?i=100071</v>
      </c>
      <c r="J788" s="13" t="s">
        <v>5247</v>
      </c>
      <c r="K788" s="172"/>
      <c r="L788" s="172"/>
      <c r="AJ788" s="83" t="s">
        <v>1790</v>
      </c>
    </row>
    <row r="789" spans="1:96" ht="25.5" x14ac:dyDescent="0.2">
      <c r="A789" s="176" t="str">
        <f t="shared" si="12"/>
        <v>SteepGrade</v>
      </c>
      <c r="B789" s="11" t="s">
        <v>5252</v>
      </c>
      <c r="C789" s="173"/>
      <c r="D789" s="22" t="s">
        <v>5253</v>
      </c>
      <c r="E789" s="15" t="s">
        <v>5254</v>
      </c>
      <c r="F789" s="15" t="s">
        <v>5255</v>
      </c>
      <c r="G789" s="174"/>
      <c r="H789" s="37">
        <v>100180</v>
      </c>
      <c r="I789" s="25" t="str">
        <f>CONCATENATE(Cover!$D$6,"fdd/view?i=",H789)</f>
        <v>https://www.dgiwg.org/FAD/fdd/view?i=100180</v>
      </c>
      <c r="J789" s="13" t="s">
        <v>5251</v>
      </c>
      <c r="K789" s="172"/>
      <c r="L789" s="172"/>
      <c r="AP789" s="81" t="s">
        <v>1790</v>
      </c>
      <c r="AQ789" s="82" t="s">
        <v>1790</v>
      </c>
      <c r="AU789" s="82" t="s">
        <v>1790</v>
      </c>
    </row>
    <row r="790" spans="1:96" x14ac:dyDescent="0.2">
      <c r="A790" s="176" t="str">
        <f t="shared" si="12"/>
        <v>SteepTerrainFace</v>
      </c>
      <c r="B790" s="11" t="s">
        <v>5257</v>
      </c>
      <c r="C790" s="173"/>
      <c r="D790" s="22" t="s">
        <v>5258</v>
      </c>
      <c r="E790" s="15" t="s">
        <v>5259</v>
      </c>
      <c r="F790" s="15" t="s">
        <v>5260</v>
      </c>
      <c r="G790" s="174"/>
      <c r="H790" s="37">
        <v>100406</v>
      </c>
      <c r="I790" s="25" t="str">
        <f>CONCATENATE(Cover!$D$6,"fdd/view?i=",H790)</f>
        <v>https://www.dgiwg.org/FAD/fdd/view?i=100406</v>
      </c>
      <c r="J790" s="13" t="s">
        <v>5256</v>
      </c>
      <c r="K790" s="172"/>
      <c r="L790" s="172"/>
      <c r="BM790" s="82" t="s">
        <v>1790</v>
      </c>
    </row>
    <row r="791" spans="1:96" ht="25.5" x14ac:dyDescent="0.2">
      <c r="A791" s="176" t="str">
        <f t="shared" si="12"/>
        <v>Steeple</v>
      </c>
      <c r="B791" s="11" t="s">
        <v>5262</v>
      </c>
      <c r="C791" s="173"/>
      <c r="D791" s="22" t="s">
        <v>5261</v>
      </c>
      <c r="E791" s="15" t="s">
        <v>5263</v>
      </c>
      <c r="F791" s="174"/>
      <c r="G791" s="15" t="s">
        <v>5264</v>
      </c>
      <c r="H791" s="37">
        <v>100120</v>
      </c>
      <c r="I791" s="25" t="str">
        <f>CONCATENATE(Cover!$D$6,"fdd/view?i=",H791)</f>
        <v>https://www.dgiwg.org/FAD/fdd/view?i=100120</v>
      </c>
      <c r="J791" s="13" t="s">
        <v>5261</v>
      </c>
      <c r="K791" s="172"/>
      <c r="L791" s="172"/>
      <c r="AJ791" s="83" t="s">
        <v>1790</v>
      </c>
    </row>
    <row r="792" spans="1:96" x14ac:dyDescent="0.2">
      <c r="A792" s="176" t="str">
        <f t="shared" si="12"/>
        <v>Steppe</v>
      </c>
      <c r="B792" s="11" t="s">
        <v>5266</v>
      </c>
      <c r="C792" s="173"/>
      <c r="D792" s="22" t="s">
        <v>5265</v>
      </c>
      <c r="E792" s="15" t="s">
        <v>5267</v>
      </c>
      <c r="F792" s="15" t="s">
        <v>5268</v>
      </c>
      <c r="G792" s="174"/>
      <c r="H792" s="37">
        <v>110670</v>
      </c>
      <c r="I792" s="25" t="str">
        <f>CONCATENATE(Cover!$D$6,"fdd/view?i=",H792)</f>
        <v>https://www.dgiwg.org/FAD/fdd/view?i=110670</v>
      </c>
      <c r="J792" s="13" t="s">
        <v>5265</v>
      </c>
      <c r="K792" s="172"/>
      <c r="L792" s="172"/>
      <c r="BV792" s="83" t="s">
        <v>1790</v>
      </c>
    </row>
    <row r="793" spans="1:96" ht="38.25" x14ac:dyDescent="0.2">
      <c r="A793" s="176" t="str">
        <f t="shared" si="12"/>
        <v>Stopway</v>
      </c>
      <c r="B793" s="11" t="s">
        <v>5270</v>
      </c>
      <c r="C793" s="173"/>
      <c r="D793" s="22" t="s">
        <v>5269</v>
      </c>
      <c r="E793" s="15" t="s">
        <v>5271</v>
      </c>
      <c r="F793" s="174"/>
      <c r="G793" s="15" t="s">
        <v>5272</v>
      </c>
      <c r="H793" s="37">
        <v>114610</v>
      </c>
      <c r="I793" s="25" t="str">
        <f>CONCATENATE(Cover!$D$6,"fdd/view?i=",H793)</f>
        <v>https://www.dgiwg.org/FAD/fdd/view?i=114610</v>
      </c>
      <c r="J793" s="13" t="s">
        <v>5269</v>
      </c>
      <c r="K793" s="172"/>
      <c r="L793" s="172"/>
      <c r="CE793" s="87" t="s">
        <v>1790</v>
      </c>
    </row>
    <row r="794" spans="1:96" x14ac:dyDescent="0.2">
      <c r="A794" s="176" t="str">
        <f t="shared" si="12"/>
        <v>StopwayEndpoint</v>
      </c>
      <c r="B794" s="11" t="s">
        <v>5274</v>
      </c>
      <c r="C794" s="173"/>
      <c r="D794" s="22" t="s">
        <v>5275</v>
      </c>
      <c r="E794" s="15" t="s">
        <v>5276</v>
      </c>
      <c r="F794" s="174"/>
      <c r="G794" s="174"/>
      <c r="H794" s="37">
        <v>119092</v>
      </c>
      <c r="I794" s="25" t="str">
        <f>CONCATENATE(Cover!$D$6,"fdd/view?i=",H794)</f>
        <v>https://www.dgiwg.org/FAD/fdd/view?i=119092</v>
      </c>
      <c r="J794" s="13" t="s">
        <v>5273</v>
      </c>
      <c r="K794" s="172"/>
      <c r="L794" s="172"/>
      <c r="CE794" s="87" t="s">
        <v>1790</v>
      </c>
    </row>
    <row r="795" spans="1:96" x14ac:dyDescent="0.2">
      <c r="A795" s="176" t="str">
        <f t="shared" si="12"/>
        <v>StorageContainer</v>
      </c>
      <c r="B795" s="11" t="s">
        <v>5278</v>
      </c>
      <c r="C795" s="173"/>
      <c r="D795" s="22" t="s">
        <v>5279</v>
      </c>
      <c r="E795" s="15" t="s">
        <v>5280</v>
      </c>
      <c r="F795" s="15" t="s">
        <v>5281</v>
      </c>
      <c r="G795" s="174"/>
      <c r="H795" s="37">
        <v>119714</v>
      </c>
      <c r="I795" s="25" t="str">
        <f>CONCATENATE(Cover!$D$6,"fdd/view?i=",H795)</f>
        <v>https://www.dgiwg.org/FAD/fdd/view?i=119714</v>
      </c>
      <c r="J795" s="13" t="s">
        <v>5277</v>
      </c>
      <c r="K795" s="172"/>
      <c r="L795" s="172"/>
      <c r="AG795" s="82" t="s">
        <v>1790</v>
      </c>
    </row>
    <row r="796" spans="1:96" x14ac:dyDescent="0.2">
      <c r="A796" s="176" t="str">
        <f t="shared" si="12"/>
        <v>StorageDepot</v>
      </c>
      <c r="B796" s="11" t="s">
        <v>5283</v>
      </c>
      <c r="C796" s="173"/>
      <c r="D796" s="22" t="s">
        <v>5284</v>
      </c>
      <c r="E796" s="15" t="s">
        <v>5285</v>
      </c>
      <c r="F796" s="174"/>
      <c r="G796" s="174"/>
      <c r="H796" s="37">
        <v>100125</v>
      </c>
      <c r="I796" s="25" t="str">
        <f>CONCATENATE(Cover!$D$6,"fdd/view?i=",H796)</f>
        <v>https://www.dgiwg.org/FAD/fdd/view?i=100125</v>
      </c>
      <c r="J796" s="13" t="s">
        <v>5282</v>
      </c>
      <c r="K796" s="172"/>
      <c r="L796" s="172"/>
      <c r="AG796" s="82" t="s">
        <v>1790</v>
      </c>
    </row>
    <row r="797" spans="1:96" ht="25.5" x14ac:dyDescent="0.2">
      <c r="A797" s="176" t="str">
        <f t="shared" si="12"/>
        <v>StorageTank</v>
      </c>
      <c r="B797" s="11" t="s">
        <v>5287</v>
      </c>
      <c r="C797" s="173"/>
      <c r="D797" s="22" t="s">
        <v>5288</v>
      </c>
      <c r="E797" s="15" t="s">
        <v>5289</v>
      </c>
      <c r="F797" s="174"/>
      <c r="G797" s="174"/>
      <c r="H797" s="37">
        <v>100133</v>
      </c>
      <c r="I797" s="25" t="str">
        <f>CONCATENATE(Cover!$D$6,"fdd/view?i=",H797)</f>
        <v>https://www.dgiwg.org/FAD/fdd/view?i=100133</v>
      </c>
      <c r="J797" s="13" t="s">
        <v>5286</v>
      </c>
      <c r="K797" s="172"/>
      <c r="L797" s="172"/>
      <c r="AG797" s="82" t="s">
        <v>1790</v>
      </c>
    </row>
    <row r="798" spans="1:96" ht="25.5" x14ac:dyDescent="0.2">
      <c r="A798" s="176" t="str">
        <f t="shared" si="12"/>
        <v>StormDrain</v>
      </c>
      <c r="B798" s="11" t="s">
        <v>5291</v>
      </c>
      <c r="C798" s="173"/>
      <c r="D798" s="22" t="s">
        <v>5292</v>
      </c>
      <c r="E798" s="15" t="s">
        <v>5293</v>
      </c>
      <c r="F798" s="15" t="s">
        <v>5294</v>
      </c>
      <c r="G798" s="174"/>
      <c r="H798" s="37">
        <v>100174</v>
      </c>
      <c r="I798" s="25" t="str">
        <f>CONCATENATE(Cover!$D$6,"fdd/view?i=",H798)</f>
        <v>https://www.dgiwg.org/FAD/fdd/view?i=100174</v>
      </c>
      <c r="J798" s="13" t="s">
        <v>5290</v>
      </c>
      <c r="K798" s="172"/>
      <c r="L798" s="172"/>
      <c r="AF798" s="82" t="s">
        <v>1790</v>
      </c>
      <c r="BJ798" s="83" t="s">
        <v>1790</v>
      </c>
    </row>
    <row r="799" spans="1:96" ht="25.5" x14ac:dyDescent="0.2">
      <c r="A799" s="176" t="str">
        <f t="shared" si="12"/>
        <v>StreetLamp</v>
      </c>
      <c r="B799" s="11" t="s">
        <v>5296</v>
      </c>
      <c r="C799" s="173"/>
      <c r="D799" s="22" t="s">
        <v>5297</v>
      </c>
      <c r="E799" s="15" t="s">
        <v>5298</v>
      </c>
      <c r="F799" s="15" t="s">
        <v>5299</v>
      </c>
      <c r="G799" s="15" t="s">
        <v>5300</v>
      </c>
      <c r="H799" s="37">
        <v>100190</v>
      </c>
      <c r="I799" s="25" t="str">
        <f>CONCATENATE(Cover!$D$6,"fdd/view?i=",H799)</f>
        <v>https://www.dgiwg.org/FAD/fdd/view?i=100190</v>
      </c>
      <c r="J799" s="13" t="s">
        <v>5295</v>
      </c>
      <c r="K799" s="172"/>
      <c r="L799" s="172"/>
      <c r="AJ799" s="83" t="s">
        <v>1790</v>
      </c>
      <c r="AW799" s="82" t="s">
        <v>1790</v>
      </c>
    </row>
    <row r="800" spans="1:96" ht="25.5" x14ac:dyDescent="0.2">
      <c r="A800" s="176" t="str">
        <f t="shared" si="12"/>
        <v>StreetSign</v>
      </c>
      <c r="B800" s="11" t="s">
        <v>5302</v>
      </c>
      <c r="C800" s="173"/>
      <c r="D800" s="22" t="s">
        <v>5303</v>
      </c>
      <c r="E800" s="15" t="s">
        <v>5304</v>
      </c>
      <c r="F800" s="174"/>
      <c r="G800" s="174"/>
      <c r="H800" s="37">
        <v>100191</v>
      </c>
      <c r="I800" s="25" t="str">
        <f>CONCATENATE(Cover!$D$6,"fdd/view?i=",H800)</f>
        <v>https://www.dgiwg.org/FAD/fdd/view?i=100191</v>
      </c>
      <c r="J800" s="13" t="s">
        <v>5301</v>
      </c>
      <c r="K800" s="172"/>
      <c r="L800" s="172"/>
      <c r="AJ800" s="83" t="s">
        <v>1790</v>
      </c>
      <c r="AW800" s="82" t="s">
        <v>1790</v>
      </c>
    </row>
    <row r="801" spans="1:107" ht="38.25" x14ac:dyDescent="0.2">
      <c r="A801" s="176" t="str">
        <f t="shared" si="12"/>
        <v>StructuralPile</v>
      </c>
      <c r="B801" s="11" t="s">
        <v>5306</v>
      </c>
      <c r="C801" s="173"/>
      <c r="D801" s="22" t="s">
        <v>5307</v>
      </c>
      <c r="E801" s="15" t="s">
        <v>5308</v>
      </c>
      <c r="F801" s="174"/>
      <c r="G801" s="174"/>
      <c r="H801" s="37">
        <v>100296</v>
      </c>
      <c r="I801" s="25" t="str">
        <f>CONCATENATE(Cover!$D$6,"fdd/view?i=",H801)</f>
        <v>https://www.dgiwg.org/FAD/fdd/view?i=100296</v>
      </c>
      <c r="J801" s="13" t="s">
        <v>5305</v>
      </c>
      <c r="K801" s="172"/>
      <c r="L801" s="172"/>
      <c r="BD801" s="83" t="s">
        <v>1790</v>
      </c>
      <c r="BG801" s="83" t="s">
        <v>1790</v>
      </c>
    </row>
    <row r="802" spans="1:107" ht="51" x14ac:dyDescent="0.2">
      <c r="A802" s="176" t="str">
        <f t="shared" si="12"/>
        <v>SubmarineSpring</v>
      </c>
      <c r="B802" s="11" t="s">
        <v>5310</v>
      </c>
      <c r="C802" s="173"/>
      <c r="D802" s="22" t="s">
        <v>5311</v>
      </c>
      <c r="E802" s="15" t="s">
        <v>5312</v>
      </c>
      <c r="F802" s="15" t="s">
        <v>5313</v>
      </c>
      <c r="G802" s="174"/>
      <c r="H802" s="37">
        <v>119545</v>
      </c>
      <c r="I802" s="25" t="str">
        <f>CONCATENATE(Cover!$D$6,"fdd/view?i=",H802)</f>
        <v>https://www.dgiwg.org/FAD/fdd/view?i=119545</v>
      </c>
      <c r="J802" s="13" t="s">
        <v>5309</v>
      </c>
      <c r="K802" s="172"/>
      <c r="L802" s="172"/>
      <c r="BC802" s="83" t="s">
        <v>1790</v>
      </c>
    </row>
    <row r="803" spans="1:107" ht="38.25" x14ac:dyDescent="0.2">
      <c r="A803" s="176" t="str">
        <f t="shared" si="12"/>
        <v>SubmergedVolcano</v>
      </c>
      <c r="B803" s="11" t="s">
        <v>5315</v>
      </c>
      <c r="C803" s="173"/>
      <c r="D803" s="22" t="s">
        <v>5316</v>
      </c>
      <c r="E803" s="15" t="s">
        <v>5317</v>
      </c>
      <c r="F803" s="15" t="s">
        <v>5318</v>
      </c>
      <c r="G803" s="174"/>
      <c r="H803" s="37">
        <v>114184</v>
      </c>
      <c r="I803" s="25" t="str">
        <f>CONCATENATE(Cover!$D$6,"fdd/view?i=",H803)</f>
        <v>https://www.dgiwg.org/FAD/fdd/view?i=114184</v>
      </c>
      <c r="J803" s="13" t="s">
        <v>5314</v>
      </c>
      <c r="K803" s="172"/>
      <c r="L803" s="172"/>
      <c r="BC803" s="83" t="s">
        <v>1790</v>
      </c>
      <c r="BG803" s="83" t="s">
        <v>1790</v>
      </c>
      <c r="BN803" s="82" t="s">
        <v>1790</v>
      </c>
      <c r="BQ803" s="82" t="s">
        <v>1790</v>
      </c>
    </row>
    <row r="804" spans="1:107" ht="25.5" x14ac:dyDescent="0.2">
      <c r="A804" s="176" t="str">
        <f t="shared" si="12"/>
        <v>SurfaceBunker</v>
      </c>
      <c r="B804" s="11" t="s">
        <v>5320</v>
      </c>
      <c r="C804" s="173"/>
      <c r="D804" s="22" t="s">
        <v>5321</v>
      </c>
      <c r="E804" s="15" t="s">
        <v>5322</v>
      </c>
      <c r="F804" s="15" t="s">
        <v>5323</v>
      </c>
      <c r="G804" s="174"/>
      <c r="H804" s="37">
        <v>102874</v>
      </c>
      <c r="I804" s="25" t="str">
        <f>CONCATENATE(Cover!$D$6,"fdd/view?i=",H804)</f>
        <v>https://www.dgiwg.org/FAD/fdd/view?i=102874</v>
      </c>
      <c r="J804" s="13" t="s">
        <v>5319</v>
      </c>
      <c r="K804" s="172"/>
      <c r="L804" s="172"/>
      <c r="AG804" s="82" t="s">
        <v>1790</v>
      </c>
      <c r="CJ804" s="81" t="s">
        <v>1790</v>
      </c>
    </row>
    <row r="805" spans="1:107" ht="25.5" x14ac:dyDescent="0.2">
      <c r="A805" s="176" t="str">
        <f t="shared" si="12"/>
        <v>SurfaceGeometryInfo</v>
      </c>
      <c r="B805" s="11" t="s">
        <v>5325</v>
      </c>
      <c r="C805" s="173"/>
      <c r="D805" s="22" t="s">
        <v>5326</v>
      </c>
      <c r="E805" s="15" t="s">
        <v>5327</v>
      </c>
      <c r="F805" s="15" t="s">
        <v>5328</v>
      </c>
      <c r="G805" s="174"/>
      <c r="H805" s="37">
        <v>114193</v>
      </c>
      <c r="I805" s="25" t="str">
        <f>CONCATENATE(Cover!$D$6,"fdd/view?i=",H805)</f>
        <v>https://www.dgiwg.org/FAD/fdd/view?i=114193</v>
      </c>
      <c r="J805" s="13" t="s">
        <v>5324</v>
      </c>
      <c r="K805" s="172"/>
      <c r="L805" s="172"/>
      <c r="DC805" s="87" t="s">
        <v>1790</v>
      </c>
    </row>
    <row r="806" spans="1:107" ht="38.25" x14ac:dyDescent="0.2">
      <c r="A806" s="176" t="str">
        <f t="shared" si="12"/>
        <v>SurfaceTriangle</v>
      </c>
      <c r="B806" s="11" t="s">
        <v>5330</v>
      </c>
      <c r="C806" s="173"/>
      <c r="D806" s="22" t="s">
        <v>5331</v>
      </c>
      <c r="E806" s="15" t="s">
        <v>5332</v>
      </c>
      <c r="F806" s="15" t="s">
        <v>5333</v>
      </c>
      <c r="G806" s="174"/>
      <c r="H806" s="37">
        <v>100399</v>
      </c>
      <c r="I806" s="25" t="str">
        <f>CONCATENATE(Cover!$D$6,"fdd/view?i=",H806)</f>
        <v>https://www.dgiwg.org/FAD/fdd/view?i=100399</v>
      </c>
      <c r="J806" s="13" t="s">
        <v>5329</v>
      </c>
      <c r="K806" s="172"/>
      <c r="L806" s="172"/>
      <c r="BL806" s="81" t="s">
        <v>1790</v>
      </c>
    </row>
    <row r="807" spans="1:107" ht="38.25" x14ac:dyDescent="0.2">
      <c r="A807" s="176" t="str">
        <f t="shared" si="12"/>
        <v>SurveyPoint</v>
      </c>
      <c r="B807" s="11" t="s">
        <v>5335</v>
      </c>
      <c r="C807" s="173"/>
      <c r="D807" s="22" t="s">
        <v>5336</v>
      </c>
      <c r="E807" s="15" t="s">
        <v>5337</v>
      </c>
      <c r="F807" s="15" t="s">
        <v>5338</v>
      </c>
      <c r="G807" s="174"/>
      <c r="H807" s="37">
        <v>119707</v>
      </c>
      <c r="I807" s="25" t="str">
        <f>CONCATENATE(Cover!$D$6,"fdd/view?i=",H807)</f>
        <v>https://www.dgiwg.org/FAD/fdd/view?i=119707</v>
      </c>
      <c r="J807" s="13" t="s">
        <v>5334</v>
      </c>
      <c r="K807" s="172"/>
      <c r="L807" s="172"/>
      <c r="BL807" s="81" t="s">
        <v>1790</v>
      </c>
      <c r="BM807" s="82" t="s">
        <v>1790</v>
      </c>
      <c r="CD807" s="85" t="s">
        <v>1790</v>
      </c>
      <c r="CP807" s="164" t="s">
        <v>1790</v>
      </c>
      <c r="CQ807" s="165" t="s">
        <v>1790</v>
      </c>
    </row>
    <row r="808" spans="1:107" ht="76.5" x14ac:dyDescent="0.2">
      <c r="A808" s="176" t="str">
        <f t="shared" si="12"/>
        <v>Swamp</v>
      </c>
      <c r="B808" s="11" t="s">
        <v>5340</v>
      </c>
      <c r="C808" s="173"/>
      <c r="D808" s="22" t="s">
        <v>5339</v>
      </c>
      <c r="E808" s="15" t="s">
        <v>5341</v>
      </c>
      <c r="F808" s="15" t="s">
        <v>5342</v>
      </c>
      <c r="G808" s="174"/>
      <c r="H808" s="37">
        <v>100449</v>
      </c>
      <c r="I808" s="25" t="str">
        <f>CONCATENATE(Cover!$D$6,"fdd/view?i=",H808)</f>
        <v>https://www.dgiwg.org/FAD/fdd/view?i=100449</v>
      </c>
      <c r="J808" s="13" t="s">
        <v>5339</v>
      </c>
      <c r="K808" s="172"/>
      <c r="L808" s="172"/>
      <c r="BX808" s="83" t="s">
        <v>1790</v>
      </c>
    </row>
    <row r="809" spans="1:107" ht="25.5" x14ac:dyDescent="0.2">
      <c r="A809" s="176" t="str">
        <f t="shared" si="12"/>
        <v>SweptArea</v>
      </c>
      <c r="B809" s="11" t="s">
        <v>5344</v>
      </c>
      <c r="C809" s="173"/>
      <c r="D809" s="22" t="s">
        <v>5345</v>
      </c>
      <c r="E809" s="15" t="s">
        <v>5346</v>
      </c>
      <c r="F809" s="174"/>
      <c r="G809" s="174"/>
      <c r="H809" s="37">
        <v>100489</v>
      </c>
      <c r="I809" s="25" t="str">
        <f>CONCATENATE(Cover!$D$6,"fdd/view?i=",H809)</f>
        <v>https://www.dgiwg.org/FAD/fdd/view?i=100489</v>
      </c>
      <c r="J809" s="13" t="s">
        <v>5343</v>
      </c>
      <c r="K809" s="172"/>
      <c r="L809" s="172"/>
      <c r="AS809" s="82" t="s">
        <v>1790</v>
      </c>
      <c r="BB809" s="83" t="s">
        <v>1790</v>
      </c>
      <c r="BF809" s="83" t="s">
        <v>1790</v>
      </c>
      <c r="CK809" s="82" t="s">
        <v>1790</v>
      </c>
    </row>
    <row r="810" spans="1:107" x14ac:dyDescent="0.2">
      <c r="A810" s="176" t="str">
        <f t="shared" si="12"/>
        <v>SwimmingPool</v>
      </c>
      <c r="B810" s="11" t="s">
        <v>5348</v>
      </c>
      <c r="C810" s="173"/>
      <c r="D810" s="22" t="s">
        <v>5349</v>
      </c>
      <c r="E810" s="15" t="s">
        <v>5350</v>
      </c>
      <c r="F810" s="174"/>
      <c r="G810" s="174"/>
      <c r="H810" s="37">
        <v>100075</v>
      </c>
      <c r="I810" s="25" t="str">
        <f>CONCATENATE(Cover!$D$6,"fdd/view?i=",H810)</f>
        <v>https://www.dgiwg.org/FAD/fdd/view?i=100075</v>
      </c>
      <c r="J810" s="13" t="s">
        <v>5347</v>
      </c>
      <c r="K810" s="172"/>
      <c r="L810" s="172"/>
      <c r="AL810" s="83" t="s">
        <v>1790</v>
      </c>
    </row>
    <row r="811" spans="1:107" ht="63.75" x14ac:dyDescent="0.2">
      <c r="A811" s="176" t="str">
        <f t="shared" si="12"/>
        <v>TacticalAirNavAidBeacon</v>
      </c>
      <c r="B811" s="11" t="s">
        <v>5352</v>
      </c>
      <c r="C811" s="173"/>
      <c r="D811" s="22" t="s">
        <v>5353</v>
      </c>
      <c r="E811" s="15" t="s">
        <v>5354</v>
      </c>
      <c r="F811" s="15" t="s">
        <v>5355</v>
      </c>
      <c r="G811" s="15" t="s">
        <v>5356</v>
      </c>
      <c r="H811" s="37">
        <v>114518</v>
      </c>
      <c r="I811" s="25" t="str">
        <f>CONCATENATE(Cover!$D$6,"fdd/view?i=",H811)</f>
        <v>https://www.dgiwg.org/FAD/fdd/view?i=114518</v>
      </c>
      <c r="J811" s="13" t="s">
        <v>5351</v>
      </c>
      <c r="K811" s="172"/>
      <c r="L811" s="172"/>
      <c r="CG811" s="83" t="s">
        <v>1790</v>
      </c>
    </row>
    <row r="812" spans="1:107" ht="25.5" x14ac:dyDescent="0.2">
      <c r="A812" s="176" t="str">
        <f t="shared" si="12"/>
        <v>Taiga</v>
      </c>
      <c r="B812" s="11" t="s">
        <v>5358</v>
      </c>
      <c r="C812" s="173"/>
      <c r="D812" s="22" t="s">
        <v>5357</v>
      </c>
      <c r="E812" s="15" t="s">
        <v>5359</v>
      </c>
      <c r="F812" s="174"/>
      <c r="G812" s="174"/>
      <c r="H812" s="37">
        <v>110678</v>
      </c>
      <c r="I812" s="25" t="str">
        <f>CONCATENATE(Cover!$D$6,"fdd/view?i=",H812)</f>
        <v>https://www.dgiwg.org/FAD/fdd/view?i=110678</v>
      </c>
      <c r="J812" s="13" t="s">
        <v>5357</v>
      </c>
      <c r="K812" s="172"/>
      <c r="L812" s="172"/>
      <c r="BW812" s="83" t="s">
        <v>1790</v>
      </c>
    </row>
    <row r="813" spans="1:107" ht="51" x14ac:dyDescent="0.2">
      <c r="A813" s="176" t="str">
        <f t="shared" si="12"/>
        <v>TankCrossing</v>
      </c>
      <c r="B813" s="11" t="s">
        <v>5361</v>
      </c>
      <c r="C813" s="173"/>
      <c r="D813" s="22" t="s">
        <v>5362</v>
      </c>
      <c r="E813" s="15" t="s">
        <v>5363</v>
      </c>
      <c r="F813" s="15" t="s">
        <v>5364</v>
      </c>
      <c r="G813" s="174"/>
      <c r="H813" s="37">
        <v>119838</v>
      </c>
      <c r="I813" s="25" t="str">
        <f>CONCATENATE(Cover!$D$6,"fdd/view?i=",H813)</f>
        <v>https://www.dgiwg.org/FAD/fdd/view?i=119838</v>
      </c>
      <c r="J813" s="13" t="s">
        <v>5360</v>
      </c>
      <c r="K813" s="172"/>
      <c r="L813" s="172"/>
      <c r="AQ813" s="82" t="s">
        <v>1790</v>
      </c>
      <c r="AV813" s="82" t="s">
        <v>1790</v>
      </c>
      <c r="CL813" s="85" t="s">
        <v>1790</v>
      </c>
    </row>
    <row r="814" spans="1:107" ht="38.25" x14ac:dyDescent="0.2">
      <c r="A814" s="176" t="str">
        <f t="shared" si="12"/>
        <v>TankFarm</v>
      </c>
      <c r="B814" s="11" t="s">
        <v>5366</v>
      </c>
      <c r="C814" s="173"/>
      <c r="D814" s="22" t="s">
        <v>5367</v>
      </c>
      <c r="E814" s="15" t="s">
        <v>5368</v>
      </c>
      <c r="F814" s="15" t="s">
        <v>5369</v>
      </c>
      <c r="G814" s="174"/>
      <c r="H814" s="37">
        <v>110863</v>
      </c>
      <c r="I814" s="25" t="str">
        <f>CONCATENATE(Cover!$D$6,"fdd/view?i=",H814)</f>
        <v>https://www.dgiwg.org/FAD/fdd/view?i=110863</v>
      </c>
      <c r="J814" s="13" t="s">
        <v>5365</v>
      </c>
      <c r="K814" s="172"/>
      <c r="L814" s="172"/>
      <c r="AG814" s="82" t="s">
        <v>1790</v>
      </c>
    </row>
    <row r="815" spans="1:107" ht="25.5" x14ac:dyDescent="0.2">
      <c r="A815" s="176" t="str">
        <f t="shared" si="12"/>
        <v>TankTrail</v>
      </c>
      <c r="B815" s="11" t="s">
        <v>5371</v>
      </c>
      <c r="C815" s="173"/>
      <c r="D815" s="22" t="s">
        <v>5372</v>
      </c>
      <c r="E815" s="15" t="s">
        <v>5373</v>
      </c>
      <c r="F815" s="174"/>
      <c r="G815" s="174"/>
      <c r="H815" s="37">
        <v>119837</v>
      </c>
      <c r="I815" s="25" t="str">
        <f>CONCATENATE(Cover!$D$6,"fdd/view?i=",H815)</f>
        <v>https://www.dgiwg.org/FAD/fdd/view?i=119837</v>
      </c>
      <c r="J815" s="13" t="s">
        <v>5370</v>
      </c>
      <c r="K815" s="172"/>
      <c r="L815" s="172"/>
      <c r="AQ815" s="82" t="s">
        <v>1790</v>
      </c>
      <c r="CL815" s="85" t="s">
        <v>1790</v>
      </c>
    </row>
    <row r="816" spans="1:107" ht="38.25" x14ac:dyDescent="0.2">
      <c r="A816" s="176" t="str">
        <f t="shared" si="12"/>
        <v>Taxiway</v>
      </c>
      <c r="B816" s="11" t="s">
        <v>5375</v>
      </c>
      <c r="C816" s="173"/>
      <c r="D816" s="22" t="s">
        <v>5374</v>
      </c>
      <c r="E816" s="15" t="s">
        <v>5376</v>
      </c>
      <c r="F816" s="174"/>
      <c r="G816" s="15" t="s">
        <v>5377</v>
      </c>
      <c r="H816" s="37">
        <v>114611</v>
      </c>
      <c r="I816" s="25" t="str">
        <f>CONCATENATE(Cover!$D$6,"fdd/view?i=",H816)</f>
        <v>https://www.dgiwg.org/FAD/fdd/view?i=114611</v>
      </c>
      <c r="J816" s="13" t="s">
        <v>5374</v>
      </c>
      <c r="K816" s="172"/>
      <c r="L816" s="172"/>
      <c r="CE816" s="87" t="s">
        <v>1790</v>
      </c>
    </row>
    <row r="817" spans="1:97" x14ac:dyDescent="0.2">
      <c r="A817" s="176" t="str">
        <f t="shared" si="12"/>
        <v>TaxiwayElement</v>
      </c>
      <c r="B817" s="11" t="s">
        <v>5379</v>
      </c>
      <c r="C817" s="173"/>
      <c r="D817" s="22" t="s">
        <v>5380</v>
      </c>
      <c r="E817" s="15" t="s">
        <v>5381</v>
      </c>
      <c r="F817" s="174"/>
      <c r="G817" s="174"/>
      <c r="H817" s="37">
        <v>119094</v>
      </c>
      <c r="I817" s="25" t="str">
        <f>CONCATENATE(Cover!$D$6,"fdd/view?i=",H817)</f>
        <v>https://www.dgiwg.org/FAD/fdd/view?i=119094</v>
      </c>
      <c r="J817" s="13" t="s">
        <v>5378</v>
      </c>
      <c r="K817" s="172"/>
      <c r="L817" s="172"/>
      <c r="CE817" s="87" t="s">
        <v>1790</v>
      </c>
    </row>
    <row r="818" spans="1:97" ht="25.5" x14ac:dyDescent="0.2">
      <c r="A818" s="176" t="str">
        <f t="shared" si="12"/>
        <v>TelecomManagementRegion</v>
      </c>
      <c r="B818" s="11" t="s">
        <v>5383</v>
      </c>
      <c r="C818" s="173"/>
      <c r="D818" s="22" t="s">
        <v>5384</v>
      </c>
      <c r="E818" s="15" t="s">
        <v>5385</v>
      </c>
      <c r="F818" s="15" t="s">
        <v>5386</v>
      </c>
      <c r="G818" s="174"/>
      <c r="H818" s="37">
        <v>119090</v>
      </c>
      <c r="I818" s="25" t="str">
        <f>CONCATENATE(Cover!$D$6,"fdd/view?i=",H818)</f>
        <v>https://www.dgiwg.org/FAD/fdd/view?i=119090</v>
      </c>
      <c r="J818" s="13" t="s">
        <v>5382</v>
      </c>
      <c r="K818" s="172"/>
      <c r="L818" s="172"/>
      <c r="AE818" s="82" t="s">
        <v>1790</v>
      </c>
    </row>
    <row r="819" spans="1:97" x14ac:dyDescent="0.2">
      <c r="A819" s="176" t="str">
        <f t="shared" si="12"/>
        <v>Telescope</v>
      </c>
      <c r="B819" s="11" t="s">
        <v>5388</v>
      </c>
      <c r="C819" s="173"/>
      <c r="D819" s="22" t="s">
        <v>5387</v>
      </c>
      <c r="E819" s="15" t="s">
        <v>5389</v>
      </c>
      <c r="F819" s="174"/>
      <c r="G819" s="174"/>
      <c r="H819" s="37">
        <v>100110</v>
      </c>
      <c r="I819" s="25" t="str">
        <f>CONCATENATE(Cover!$D$6,"fdd/view?i=",H819)</f>
        <v>https://www.dgiwg.org/FAD/fdd/view?i=100110</v>
      </c>
      <c r="J819" s="13" t="s">
        <v>5387</v>
      </c>
      <c r="K819" s="172"/>
      <c r="L819" s="172"/>
      <c r="AN819" s="83" t="s">
        <v>1790</v>
      </c>
    </row>
    <row r="820" spans="1:97" x14ac:dyDescent="0.2">
      <c r="A820" s="176" t="str">
        <f t="shared" si="12"/>
        <v>TennisComplex</v>
      </c>
      <c r="B820" s="11" t="s">
        <v>5391</v>
      </c>
      <c r="C820" s="173"/>
      <c r="D820" s="22" t="s">
        <v>5392</v>
      </c>
      <c r="E820" s="15" t="s">
        <v>5393</v>
      </c>
      <c r="F820" s="174"/>
      <c r="G820" s="174"/>
      <c r="H820" s="37">
        <v>100050</v>
      </c>
      <c r="I820" s="25" t="str">
        <f>CONCATENATE(Cover!$D$6,"fdd/view?i=",H820)</f>
        <v>https://www.dgiwg.org/FAD/fdd/view?i=100050</v>
      </c>
      <c r="J820" s="13" t="s">
        <v>5390</v>
      </c>
      <c r="K820" s="172"/>
      <c r="L820" s="172"/>
      <c r="AL820" s="83" t="s">
        <v>1790</v>
      </c>
    </row>
    <row r="821" spans="1:97" x14ac:dyDescent="0.2">
      <c r="A821" s="176" t="str">
        <f t="shared" si="12"/>
        <v>TennisCourt</v>
      </c>
      <c r="B821" s="11" t="s">
        <v>5395</v>
      </c>
      <c r="C821" s="173"/>
      <c r="D821" s="22" t="s">
        <v>5396</v>
      </c>
      <c r="E821" s="15" t="s">
        <v>5397</v>
      </c>
      <c r="F821" s="15" t="s">
        <v>5398</v>
      </c>
      <c r="G821" s="174"/>
      <c r="H821" s="37">
        <v>100054</v>
      </c>
      <c r="I821" s="25" t="str">
        <f>CONCATENATE(Cover!$D$6,"fdd/view?i=",H821)</f>
        <v>https://www.dgiwg.org/FAD/fdd/view?i=100054</v>
      </c>
      <c r="J821" s="13" t="s">
        <v>5394</v>
      </c>
      <c r="K821" s="172"/>
      <c r="L821" s="172"/>
      <c r="AL821" s="83" t="s">
        <v>1790</v>
      </c>
    </row>
    <row r="822" spans="1:97" ht="114.75" x14ac:dyDescent="0.2">
      <c r="A822" s="176" t="str">
        <f t="shared" si="12"/>
        <v>TerminalArrivalAltitude</v>
      </c>
      <c r="B822" s="11" t="s">
        <v>5400</v>
      </c>
      <c r="C822" s="173"/>
      <c r="D822" s="22" t="s">
        <v>5401</v>
      </c>
      <c r="E822" s="15" t="s">
        <v>5402</v>
      </c>
      <c r="F822" s="15" t="s">
        <v>5403</v>
      </c>
      <c r="G822" s="15" t="s">
        <v>5404</v>
      </c>
      <c r="H822" s="37">
        <v>114619</v>
      </c>
      <c r="I822" s="25" t="str">
        <f>CONCATENATE(Cover!$D$6,"fdd/view?i=",H822)</f>
        <v>https://www.dgiwg.org/FAD/fdd/view?i=114619</v>
      </c>
      <c r="J822" s="13" t="s">
        <v>5399</v>
      </c>
      <c r="K822" s="172"/>
      <c r="L822" s="172"/>
      <c r="CI822" s="89" t="s">
        <v>1790</v>
      </c>
    </row>
    <row r="823" spans="1:97" ht="25.5" x14ac:dyDescent="0.2">
      <c r="A823" s="176" t="str">
        <f t="shared" si="12"/>
        <v>TerminalArrivalAltSector</v>
      </c>
      <c r="B823" s="11" t="s">
        <v>5406</v>
      </c>
      <c r="C823" s="173"/>
      <c r="D823" s="22" t="s">
        <v>5407</v>
      </c>
      <c r="E823" s="15" t="s">
        <v>5408</v>
      </c>
      <c r="F823" s="15" t="s">
        <v>5409</v>
      </c>
      <c r="G823" s="15" t="s">
        <v>5410</v>
      </c>
      <c r="H823" s="37">
        <v>114620</v>
      </c>
      <c r="I823" s="25" t="str">
        <f>CONCATENATE(Cover!$D$6,"fdd/view?i=",H823)</f>
        <v>https://www.dgiwg.org/FAD/fdd/view?i=114620</v>
      </c>
      <c r="J823" s="13" t="s">
        <v>5405</v>
      </c>
      <c r="K823" s="172"/>
      <c r="L823" s="172"/>
      <c r="CI823" s="89" t="s">
        <v>1790</v>
      </c>
    </row>
    <row r="824" spans="1:97" ht="38.25" x14ac:dyDescent="0.2">
      <c r="A824" s="176" t="str">
        <f t="shared" si="12"/>
        <v>TerminalInstProcedure</v>
      </c>
      <c r="B824" s="11" t="s">
        <v>5412</v>
      </c>
      <c r="C824" s="173"/>
      <c r="D824" s="22" t="s">
        <v>5413</v>
      </c>
      <c r="E824" s="15" t="s">
        <v>5414</v>
      </c>
      <c r="F824" s="174"/>
      <c r="G824" s="174"/>
      <c r="H824" s="37">
        <v>119552</v>
      </c>
      <c r="I824" s="25" t="str">
        <f>CONCATENATE(Cover!$D$6,"fdd/view?i=",H824)</f>
        <v>https://www.dgiwg.org/FAD/fdd/view?i=119552</v>
      </c>
      <c r="J824" s="13" t="s">
        <v>5411</v>
      </c>
      <c r="K824" s="172"/>
      <c r="L824" s="172"/>
      <c r="AT824" s="82" t="s">
        <v>1790</v>
      </c>
      <c r="CF824" s="83" t="s">
        <v>1790</v>
      </c>
    </row>
    <row r="825" spans="1:97" ht="25.5" x14ac:dyDescent="0.2">
      <c r="A825" s="176" t="str">
        <f t="shared" si="12"/>
        <v>ProcedureMinima</v>
      </c>
      <c r="B825" s="11" t="s">
        <v>5416</v>
      </c>
      <c r="C825" s="173"/>
      <c r="D825" s="22" t="s">
        <v>5417</v>
      </c>
      <c r="E825" s="15" t="s">
        <v>5418</v>
      </c>
      <c r="F825" s="15" t="s">
        <v>5419</v>
      </c>
      <c r="G825" s="174"/>
      <c r="H825" s="37">
        <v>119559</v>
      </c>
      <c r="I825" s="25" t="str">
        <f>CONCATENATE(Cover!$D$6,"fdd/view?i=",H825)</f>
        <v>https://www.dgiwg.org/FAD/fdd/view?i=119559</v>
      </c>
      <c r="J825" s="13" t="s">
        <v>5415</v>
      </c>
      <c r="K825" s="172"/>
      <c r="L825" s="172"/>
      <c r="AT825" s="82" t="s">
        <v>1790</v>
      </c>
      <c r="CF825" s="83" t="s">
        <v>1790</v>
      </c>
      <c r="CM825" s="87" t="s">
        <v>1790</v>
      </c>
      <c r="CS825" s="165" t="s">
        <v>1790</v>
      </c>
    </row>
    <row r="826" spans="1:97" ht="25.5" x14ac:dyDescent="0.2">
      <c r="A826" s="176" t="str">
        <f t="shared" si="12"/>
        <v>TerminalInstProcSegPoint</v>
      </c>
      <c r="B826" s="11" t="s">
        <v>5421</v>
      </c>
      <c r="C826" s="173"/>
      <c r="D826" s="22" t="s">
        <v>5422</v>
      </c>
      <c r="E826" s="15" t="s">
        <v>5423</v>
      </c>
      <c r="F826" s="15" t="s">
        <v>5424</v>
      </c>
      <c r="G826" s="174"/>
      <c r="H826" s="37">
        <v>119554</v>
      </c>
      <c r="I826" s="25" t="str">
        <f>CONCATENATE(Cover!$D$6,"fdd/view?i=",H826)</f>
        <v>https://www.dgiwg.org/FAD/fdd/view?i=119554</v>
      </c>
      <c r="J826" s="13" t="s">
        <v>5420</v>
      </c>
      <c r="K826" s="172"/>
      <c r="L826" s="172"/>
      <c r="AT826" s="82" t="s">
        <v>1790</v>
      </c>
      <c r="CF826" s="83" t="s">
        <v>1790</v>
      </c>
    </row>
    <row r="827" spans="1:97" ht="38.25" x14ac:dyDescent="0.2">
      <c r="A827" s="176" t="str">
        <f t="shared" si="12"/>
        <v>TerminalInstProcTransition</v>
      </c>
      <c r="B827" s="11" t="s">
        <v>5426</v>
      </c>
      <c r="C827" s="173"/>
      <c r="D827" s="22" t="s">
        <v>5427</v>
      </c>
      <c r="E827" s="15" t="s">
        <v>5428</v>
      </c>
      <c r="F827" s="174"/>
      <c r="G827" s="174"/>
      <c r="H827" s="37">
        <v>119553</v>
      </c>
      <c r="I827" s="25" t="str">
        <f>CONCATENATE(Cover!$D$6,"fdd/view?i=",H827)</f>
        <v>https://www.dgiwg.org/FAD/fdd/view?i=119553</v>
      </c>
      <c r="J827" s="13" t="s">
        <v>5425</v>
      </c>
      <c r="K827" s="172"/>
      <c r="L827" s="172"/>
      <c r="AT827" s="82" t="s">
        <v>1790</v>
      </c>
      <c r="CF827" s="83" t="s">
        <v>1790</v>
      </c>
    </row>
    <row r="828" spans="1:97" x14ac:dyDescent="0.2">
      <c r="A828" s="176" t="str">
        <f t="shared" si="12"/>
        <v>TerrainPit</v>
      </c>
      <c r="B828" s="11" t="s">
        <v>5430</v>
      </c>
      <c r="C828" s="173"/>
      <c r="D828" s="22" t="s">
        <v>5431</v>
      </c>
      <c r="E828" s="15" t="s">
        <v>5432</v>
      </c>
      <c r="F828" s="15" t="s">
        <v>5433</v>
      </c>
      <c r="G828" s="174"/>
      <c r="H828" s="37">
        <v>100004</v>
      </c>
      <c r="I828" s="25" t="str">
        <f>CONCATENATE(Cover!$D$6,"fdd/view?i=",H828)</f>
        <v>https://www.dgiwg.org/FAD/fdd/view?i=100004</v>
      </c>
      <c r="J828" s="13" t="s">
        <v>5429</v>
      </c>
      <c r="K828" s="172"/>
      <c r="L828" s="172"/>
      <c r="AA828" s="81" t="s">
        <v>1790</v>
      </c>
      <c r="BM828" s="82" t="s">
        <v>1790</v>
      </c>
    </row>
    <row r="829" spans="1:97" ht="25.5" x14ac:dyDescent="0.2">
      <c r="A829" s="176" t="str">
        <f t="shared" si="12"/>
        <v>TerrainRelief</v>
      </c>
      <c r="B829" s="11" t="s">
        <v>5435</v>
      </c>
      <c r="C829" s="173"/>
      <c r="D829" s="22" t="s">
        <v>5436</v>
      </c>
      <c r="E829" s="15" t="s">
        <v>5437</v>
      </c>
      <c r="F829" s="15" t="s">
        <v>5438</v>
      </c>
      <c r="G829" s="174"/>
      <c r="H829" s="37">
        <v>111370</v>
      </c>
      <c r="I829" s="25" t="str">
        <f>CONCATENATE(Cover!$D$6,"fdd/view?i=",H829)</f>
        <v>https://www.dgiwg.org/FAD/fdd/view?i=111370</v>
      </c>
      <c r="J829" s="13" t="s">
        <v>5434</v>
      </c>
      <c r="K829" s="172"/>
      <c r="L829" s="172"/>
      <c r="BL829" s="81" t="s">
        <v>1790</v>
      </c>
    </row>
    <row r="830" spans="1:97" ht="89.25" x14ac:dyDescent="0.2">
      <c r="A830" s="176" t="str">
        <f t="shared" si="12"/>
        <v>TerritorySpecialStatus</v>
      </c>
      <c r="B830" s="11" t="s">
        <v>5440</v>
      </c>
      <c r="C830" s="173"/>
      <c r="D830" s="22" t="s">
        <v>5441</v>
      </c>
      <c r="E830" s="15" t="s">
        <v>5442</v>
      </c>
      <c r="F830" s="15" t="s">
        <v>5443</v>
      </c>
      <c r="G830" s="174"/>
      <c r="H830" s="37">
        <v>114459</v>
      </c>
      <c r="I830" s="25" t="str">
        <f>CONCATENATE(Cover!$D$6,"fdd/view?i=",H830)</f>
        <v>https://www.dgiwg.org/FAD/fdd/view?i=114459</v>
      </c>
      <c r="J830" s="13" t="s">
        <v>5439</v>
      </c>
      <c r="K830" s="172"/>
      <c r="L830" s="172"/>
      <c r="AM830" s="83" t="s">
        <v>1790</v>
      </c>
    </row>
    <row r="831" spans="1:97" x14ac:dyDescent="0.2">
      <c r="A831" s="176" t="str">
        <f t="shared" si="12"/>
        <v>TestSite</v>
      </c>
      <c r="B831" s="11" t="s">
        <v>5445</v>
      </c>
      <c r="C831" s="173"/>
      <c r="D831" s="22" t="s">
        <v>5446</v>
      </c>
      <c r="E831" s="15" t="s">
        <v>5447</v>
      </c>
      <c r="F831" s="174"/>
      <c r="G831" s="174"/>
      <c r="H831" s="37">
        <v>100470</v>
      </c>
      <c r="I831" s="25" t="str">
        <f>CONCATENATE(Cover!$D$6,"fdd/view?i=",H831)</f>
        <v>https://www.dgiwg.org/FAD/fdd/view?i=100470</v>
      </c>
      <c r="J831" s="13" t="s">
        <v>5444</v>
      </c>
      <c r="K831" s="172"/>
      <c r="L831" s="172"/>
      <c r="AF831" s="82" t="s">
        <v>1790</v>
      </c>
    </row>
    <row r="832" spans="1:97" ht="38.25" x14ac:dyDescent="0.2">
      <c r="A832" s="176" t="str">
        <f t="shared" si="12"/>
        <v>TetheredBalloon</v>
      </c>
      <c r="B832" s="11" t="s">
        <v>5449</v>
      </c>
      <c r="C832" s="173"/>
      <c r="D832" s="22" t="s">
        <v>5450</v>
      </c>
      <c r="E832" s="15" t="s">
        <v>5451</v>
      </c>
      <c r="F832" s="15" t="s">
        <v>5452</v>
      </c>
      <c r="G832" s="174"/>
      <c r="H832" s="37">
        <v>111425</v>
      </c>
      <c r="I832" s="25" t="str">
        <f>CONCATENATE(Cover!$D$6,"fdd/view?i=",H832)</f>
        <v>https://www.dgiwg.org/FAD/fdd/view?i=111425</v>
      </c>
      <c r="J832" s="13" t="s">
        <v>5448</v>
      </c>
      <c r="K832" s="172"/>
      <c r="L832" s="172"/>
      <c r="AN832" s="83" t="s">
        <v>1790</v>
      </c>
    </row>
    <row r="833" spans="1:107" x14ac:dyDescent="0.2">
      <c r="A833" s="176" t="str">
        <f t="shared" si="12"/>
        <v>Thalweg</v>
      </c>
      <c r="B833" s="11" t="s">
        <v>5454</v>
      </c>
      <c r="C833" s="173"/>
      <c r="D833" s="22" t="s">
        <v>5453</v>
      </c>
      <c r="E833" s="15" t="s">
        <v>5455</v>
      </c>
      <c r="F833" s="15" t="s">
        <v>5456</v>
      </c>
      <c r="G833" s="174"/>
      <c r="H833" s="37">
        <v>114456</v>
      </c>
      <c r="I833" s="25" t="str">
        <f>CONCATENATE(Cover!$D$6,"fdd/view?i=",H833)</f>
        <v>https://www.dgiwg.org/FAD/fdd/view?i=114456</v>
      </c>
      <c r="J833" s="13" t="s">
        <v>5453</v>
      </c>
      <c r="K833" s="172"/>
      <c r="L833" s="172"/>
      <c r="BJ833" s="83" t="s">
        <v>1790</v>
      </c>
      <c r="BL833" s="81" t="s">
        <v>1790</v>
      </c>
    </row>
    <row r="834" spans="1:107" ht="25.5" x14ac:dyDescent="0.2">
      <c r="A834" s="176" t="str">
        <f t="shared" si="12"/>
        <v>TheodoliteReferenceLine</v>
      </c>
      <c r="B834" s="11" t="s">
        <v>5458</v>
      </c>
      <c r="C834" s="173"/>
      <c r="D834" s="22" t="s">
        <v>5459</v>
      </c>
      <c r="E834" s="15" t="s">
        <v>5460</v>
      </c>
      <c r="F834" s="174"/>
      <c r="G834" s="174"/>
      <c r="H834" s="37">
        <v>100481</v>
      </c>
      <c r="I834" s="25" t="str">
        <f>CONCATENATE(Cover!$D$6,"fdd/view?i=",H834)</f>
        <v>https://www.dgiwg.org/FAD/fdd/view?i=100481</v>
      </c>
      <c r="J834" s="13" t="s">
        <v>5457</v>
      </c>
      <c r="K834" s="172"/>
      <c r="L834" s="172"/>
      <c r="AS834" s="82" t="s">
        <v>1790</v>
      </c>
      <c r="BF834" s="83" t="s">
        <v>1790</v>
      </c>
    </row>
    <row r="835" spans="1:107" ht="25.5" x14ac:dyDescent="0.2">
      <c r="A835" s="176" t="str">
        <f t="shared" ref="A835:A898" si="13">HYPERLINK(I835,J835)</f>
        <v>Thicket</v>
      </c>
      <c r="B835" s="11" t="s">
        <v>5462</v>
      </c>
      <c r="C835" s="173"/>
      <c r="D835" s="22" t="s">
        <v>5461</v>
      </c>
      <c r="E835" s="15" t="s">
        <v>5463</v>
      </c>
      <c r="F835" s="15" t="s">
        <v>5464</v>
      </c>
      <c r="G835" s="15" t="s">
        <v>5465</v>
      </c>
      <c r="H835" s="37">
        <v>100441</v>
      </c>
      <c r="I835" s="25" t="str">
        <f>CONCATENATE(Cover!$D$6,"fdd/view?i=",H835)</f>
        <v>https://www.dgiwg.org/FAD/fdd/view?i=100441</v>
      </c>
      <c r="J835" s="13" t="s">
        <v>5461</v>
      </c>
      <c r="K835" s="172"/>
      <c r="L835" s="172"/>
      <c r="BV835" s="83" t="s">
        <v>1790</v>
      </c>
    </row>
    <row r="836" spans="1:107" ht="38.25" x14ac:dyDescent="0.2">
      <c r="A836" s="176" t="str">
        <f t="shared" si="13"/>
        <v>TidalStreamObserveStation</v>
      </c>
      <c r="B836" s="11" t="s">
        <v>5467</v>
      </c>
      <c r="C836" s="173"/>
      <c r="D836" s="22" t="s">
        <v>5468</v>
      </c>
      <c r="E836" s="15" t="s">
        <v>5469</v>
      </c>
      <c r="F836" s="15" t="s">
        <v>5470</v>
      </c>
      <c r="G836" s="15" t="s">
        <v>5471</v>
      </c>
      <c r="H836" s="37">
        <v>100327</v>
      </c>
      <c r="I836" s="25" t="str">
        <f>CONCATENATE(Cover!$D$6,"fdd/view?i=",H836)</f>
        <v>https://www.dgiwg.org/FAD/fdd/view?i=100327</v>
      </c>
      <c r="J836" s="13" t="s">
        <v>5466</v>
      </c>
      <c r="K836" s="172"/>
      <c r="L836" s="172"/>
      <c r="BE836" s="83" t="s">
        <v>1790</v>
      </c>
    </row>
    <row r="837" spans="1:107" x14ac:dyDescent="0.2">
      <c r="A837" s="176" t="str">
        <f t="shared" si="13"/>
        <v>TidalWater</v>
      </c>
      <c r="B837" s="11" t="s">
        <v>5473</v>
      </c>
      <c r="C837" s="173"/>
      <c r="D837" s="22" t="s">
        <v>5474</v>
      </c>
      <c r="E837" s="15" t="s">
        <v>5475</v>
      </c>
      <c r="F837" s="174"/>
      <c r="G837" s="15" t="s">
        <v>5476</v>
      </c>
      <c r="H837" s="37">
        <v>100213</v>
      </c>
      <c r="I837" s="25" t="str">
        <f>CONCATENATE(Cover!$D$6,"fdd/view?i=",H837)</f>
        <v>https://www.dgiwg.org/FAD/fdd/view?i=100213</v>
      </c>
      <c r="J837" s="13" t="s">
        <v>5472</v>
      </c>
      <c r="K837" s="172"/>
      <c r="L837" s="172"/>
      <c r="BE837" s="83" t="s">
        <v>1790</v>
      </c>
    </row>
    <row r="838" spans="1:107" x14ac:dyDescent="0.2">
      <c r="A838" s="176" t="str">
        <f t="shared" si="13"/>
        <v>TideGaugeStation</v>
      </c>
      <c r="B838" s="11" t="s">
        <v>5478</v>
      </c>
      <c r="C838" s="173"/>
      <c r="D838" s="22" t="s">
        <v>5479</v>
      </c>
      <c r="E838" s="15" t="s">
        <v>5480</v>
      </c>
      <c r="F838" s="174"/>
      <c r="G838" s="174"/>
      <c r="H838" s="37">
        <v>100326</v>
      </c>
      <c r="I838" s="25" t="str">
        <f>CONCATENATE(Cover!$D$6,"fdd/view?i=",H838)</f>
        <v>https://www.dgiwg.org/FAD/fdd/view?i=100326</v>
      </c>
      <c r="J838" s="13" t="s">
        <v>5477</v>
      </c>
      <c r="K838" s="172"/>
      <c r="L838" s="172"/>
      <c r="BE838" s="83" t="s">
        <v>1790</v>
      </c>
    </row>
    <row r="839" spans="1:107" x14ac:dyDescent="0.2">
      <c r="A839" s="176" t="str">
        <f t="shared" si="13"/>
        <v>Tideway</v>
      </c>
      <c r="B839" s="11" t="s">
        <v>5482</v>
      </c>
      <c r="C839" s="173"/>
      <c r="D839" s="22" t="s">
        <v>5481</v>
      </c>
      <c r="E839" s="15" t="s">
        <v>5483</v>
      </c>
      <c r="F839" s="15" t="s">
        <v>5484</v>
      </c>
      <c r="G839" s="174"/>
      <c r="H839" s="37">
        <v>100324</v>
      </c>
      <c r="I839" s="25" t="str">
        <f>CONCATENATE(Cover!$D$6,"fdd/view?i=",H839)</f>
        <v>https://www.dgiwg.org/FAD/fdd/view?i=100324</v>
      </c>
      <c r="J839" s="13" t="s">
        <v>5481</v>
      </c>
      <c r="K839" s="172"/>
      <c r="L839" s="172"/>
      <c r="BE839" s="83" t="s">
        <v>1790</v>
      </c>
    </row>
    <row r="840" spans="1:107" x14ac:dyDescent="0.2">
      <c r="A840" s="176" t="str">
        <f t="shared" si="13"/>
        <v>TimberYard</v>
      </c>
      <c r="B840" s="11" t="s">
        <v>5486</v>
      </c>
      <c r="C840" s="173"/>
      <c r="D840" s="22" t="s">
        <v>5487</v>
      </c>
      <c r="E840" s="15" t="s">
        <v>5488</v>
      </c>
      <c r="F840" s="174"/>
      <c r="G840" s="174"/>
      <c r="H840" s="37">
        <v>100129</v>
      </c>
      <c r="I840" s="25" t="str">
        <f>CONCATENATE(Cover!$D$6,"fdd/view?i=",H840)</f>
        <v>https://www.dgiwg.org/FAD/fdd/view?i=100129</v>
      </c>
      <c r="J840" s="13" t="s">
        <v>5485</v>
      </c>
      <c r="K840" s="172"/>
      <c r="L840" s="172"/>
      <c r="AG840" s="82" t="s">
        <v>1790</v>
      </c>
      <c r="BW840" s="83" t="s">
        <v>1790</v>
      </c>
    </row>
    <row r="841" spans="1:107" ht="38.25" x14ac:dyDescent="0.2">
      <c r="A841" s="176" t="str">
        <f t="shared" si="13"/>
        <v>TimeZone</v>
      </c>
      <c r="B841" s="11" t="s">
        <v>5490</v>
      </c>
      <c r="C841" s="173"/>
      <c r="D841" s="22" t="s">
        <v>5491</v>
      </c>
      <c r="E841" s="15" t="s">
        <v>5492</v>
      </c>
      <c r="F841" s="174"/>
      <c r="G841" s="174"/>
      <c r="H841" s="37">
        <v>111354</v>
      </c>
      <c r="I841" s="25" t="str">
        <f>CONCATENATE(Cover!$D$6,"fdd/view?i=",H841)</f>
        <v>https://www.dgiwg.org/FAD/fdd/view?i=111354</v>
      </c>
      <c r="J841" s="13" t="s">
        <v>5489</v>
      </c>
      <c r="K841" s="172"/>
      <c r="L841" s="172"/>
      <c r="BZ841" s="83" t="s">
        <v>1790</v>
      </c>
    </row>
    <row r="842" spans="1:107" ht="63.75" x14ac:dyDescent="0.2">
      <c r="A842" s="176" t="str">
        <f t="shared" si="13"/>
        <v>Tomb</v>
      </c>
      <c r="B842" s="11" t="s">
        <v>5494</v>
      </c>
      <c r="C842" s="173"/>
      <c r="D842" s="22" t="s">
        <v>5493</v>
      </c>
      <c r="E842" s="15" t="s">
        <v>5495</v>
      </c>
      <c r="F842" s="15" t="s">
        <v>5496</v>
      </c>
      <c r="G842" s="174"/>
      <c r="H842" s="37">
        <v>111419</v>
      </c>
      <c r="I842" s="25" t="str">
        <f>CONCATENATE(Cover!$D$6,"fdd/view?i=",H842)</f>
        <v>https://www.dgiwg.org/FAD/fdd/view?i=111419</v>
      </c>
      <c r="J842" s="13" t="s">
        <v>5493</v>
      </c>
      <c r="K842" s="172"/>
      <c r="L842" s="172"/>
      <c r="AJ842" s="83" t="s">
        <v>1790</v>
      </c>
    </row>
    <row r="843" spans="1:107" ht="25.5" x14ac:dyDescent="0.2">
      <c r="A843" s="176" t="str">
        <f t="shared" si="13"/>
        <v>Topmark</v>
      </c>
      <c r="B843" s="11" t="s">
        <v>5498</v>
      </c>
      <c r="C843" s="173"/>
      <c r="D843" s="22" t="s">
        <v>5497</v>
      </c>
      <c r="E843" s="15" t="s">
        <v>5499</v>
      </c>
      <c r="F843" s="174"/>
      <c r="G843" s="174"/>
      <c r="H843" s="37">
        <v>100279</v>
      </c>
      <c r="I843" s="25" t="str">
        <f>CONCATENATE(Cover!$D$6,"fdd/view?i=",H843)</f>
        <v>https://www.dgiwg.org/FAD/fdd/view?i=100279</v>
      </c>
      <c r="J843" s="13" t="s">
        <v>5497</v>
      </c>
      <c r="K843" s="172"/>
      <c r="L843" s="172"/>
      <c r="AS843" s="82" t="s">
        <v>1790</v>
      </c>
      <c r="BF843" s="83" t="s">
        <v>1790</v>
      </c>
    </row>
    <row r="844" spans="1:107" ht="25.5" x14ac:dyDescent="0.2">
      <c r="A844" s="176" t="str">
        <f t="shared" si="13"/>
        <v>TouchdownAndLiftOffArea</v>
      </c>
      <c r="B844" s="11" t="s">
        <v>5501</v>
      </c>
      <c r="C844" s="173"/>
      <c r="D844" s="22" t="s">
        <v>5502</v>
      </c>
      <c r="E844" s="15" t="s">
        <v>5503</v>
      </c>
      <c r="F844" s="174"/>
      <c r="G844" s="15" t="s">
        <v>5504</v>
      </c>
      <c r="H844" s="37">
        <v>114612</v>
      </c>
      <c r="I844" s="25" t="str">
        <f>CONCATENATE(Cover!$D$6,"fdd/view?i=",H844)</f>
        <v>https://www.dgiwg.org/FAD/fdd/view?i=114612</v>
      </c>
      <c r="J844" s="13" t="s">
        <v>5500</v>
      </c>
      <c r="K844" s="172"/>
      <c r="L844" s="172"/>
      <c r="CE844" s="87" t="s">
        <v>1790</v>
      </c>
    </row>
    <row r="845" spans="1:107" ht="25.5" x14ac:dyDescent="0.2">
      <c r="A845" s="176" t="str">
        <f t="shared" si="13"/>
        <v>Tower</v>
      </c>
      <c r="B845" s="11" t="s">
        <v>5506</v>
      </c>
      <c r="C845" s="173"/>
      <c r="D845" s="22" t="s">
        <v>5505</v>
      </c>
      <c r="E845" s="15" t="s">
        <v>5507</v>
      </c>
      <c r="F845" s="15" t="s">
        <v>5508</v>
      </c>
      <c r="G845" s="174"/>
      <c r="H845" s="37">
        <v>100122</v>
      </c>
      <c r="I845" s="25" t="str">
        <f>CONCATENATE(Cover!$D$6,"fdd/view?i=",H845)</f>
        <v>https://www.dgiwg.org/FAD/fdd/view?i=100122</v>
      </c>
      <c r="J845" s="13" t="s">
        <v>5505</v>
      </c>
      <c r="K845" s="172"/>
      <c r="L845" s="172"/>
      <c r="AJ845" s="83" t="s">
        <v>1790</v>
      </c>
    </row>
    <row r="846" spans="1:107" ht="114.75" x14ac:dyDescent="0.2">
      <c r="A846" s="176" t="str">
        <f t="shared" si="13"/>
        <v>TrackInfo</v>
      </c>
      <c r="B846" s="11" t="s">
        <v>5510</v>
      </c>
      <c r="C846" s="173"/>
      <c r="D846" s="22" t="s">
        <v>5511</v>
      </c>
      <c r="E846" s="15" t="s">
        <v>5512</v>
      </c>
      <c r="F846" s="15" t="s">
        <v>5513</v>
      </c>
      <c r="G846" s="174"/>
      <c r="H846" s="37">
        <v>114200</v>
      </c>
      <c r="I846" s="25" t="str">
        <f>CONCATENATE(Cover!$D$6,"fdd/view?i=",H846)</f>
        <v>https://www.dgiwg.org/FAD/fdd/view?i=114200</v>
      </c>
      <c r="J846" s="13" t="s">
        <v>5509</v>
      </c>
      <c r="K846" s="172"/>
      <c r="L846" s="172"/>
      <c r="DC846" s="87" t="s">
        <v>1790</v>
      </c>
    </row>
    <row r="847" spans="1:107" ht="25.5" x14ac:dyDescent="0.2">
      <c r="A847" s="176" t="str">
        <f t="shared" si="13"/>
        <v>TrackLine</v>
      </c>
      <c r="B847" s="11" t="s">
        <v>5515</v>
      </c>
      <c r="C847" s="173"/>
      <c r="D847" s="22" t="s">
        <v>5516</v>
      </c>
      <c r="E847" s="15" t="s">
        <v>5517</v>
      </c>
      <c r="F847" s="15" t="s">
        <v>5518</v>
      </c>
      <c r="G847" s="174"/>
      <c r="H847" s="37">
        <v>103045</v>
      </c>
      <c r="I847" s="25" t="str">
        <f>CONCATENATE(Cover!$D$6,"fdd/view?i=",H847)</f>
        <v>https://www.dgiwg.org/FAD/fdd/view?i=103045</v>
      </c>
      <c r="J847" s="13" t="s">
        <v>5514</v>
      </c>
      <c r="K847" s="172"/>
      <c r="L847" s="172"/>
      <c r="AS847" s="82" t="s">
        <v>1790</v>
      </c>
      <c r="BF847" s="83" t="s">
        <v>1790</v>
      </c>
    </row>
    <row r="848" spans="1:107" x14ac:dyDescent="0.2">
      <c r="A848" s="176" t="str">
        <f t="shared" si="13"/>
        <v>TrackSwath</v>
      </c>
      <c r="B848" s="11" t="s">
        <v>5520</v>
      </c>
      <c r="C848" s="173"/>
      <c r="D848" s="22" t="s">
        <v>5521</v>
      </c>
      <c r="E848" s="15" t="s">
        <v>5522</v>
      </c>
      <c r="F848" s="174"/>
      <c r="G848" s="174"/>
      <c r="H848" s="37">
        <v>100318</v>
      </c>
      <c r="I848" s="25" t="str">
        <f>CONCATENATE(Cover!$D$6,"fdd/view?i=",H848)</f>
        <v>https://www.dgiwg.org/FAD/fdd/view?i=100318</v>
      </c>
      <c r="J848" s="13" t="s">
        <v>5519</v>
      </c>
      <c r="K848" s="172"/>
      <c r="L848" s="172"/>
      <c r="AS848" s="82" t="s">
        <v>1790</v>
      </c>
      <c r="BF848" s="83" t="s">
        <v>1790</v>
      </c>
    </row>
    <row r="849" spans="1:97" ht="25.5" x14ac:dyDescent="0.2">
      <c r="A849" s="176" t="str">
        <f t="shared" si="13"/>
        <v>Tract</v>
      </c>
      <c r="B849" s="11" t="s">
        <v>5524</v>
      </c>
      <c r="C849" s="173"/>
      <c r="D849" s="22" t="s">
        <v>5523</v>
      </c>
      <c r="E849" s="15" t="s">
        <v>5525</v>
      </c>
      <c r="F849" s="174"/>
      <c r="G849" s="174"/>
      <c r="H849" s="37">
        <v>101945</v>
      </c>
      <c r="I849" s="25" t="str">
        <f>CONCATENATE(Cover!$D$6,"fdd/view?i=",H849)</f>
        <v>https://www.dgiwg.org/FAD/fdd/view?i=101945</v>
      </c>
      <c r="J849" s="13" t="s">
        <v>5523</v>
      </c>
      <c r="K849" s="172"/>
      <c r="L849" s="172"/>
      <c r="CD849" s="85" t="s">
        <v>1790</v>
      </c>
    </row>
    <row r="850" spans="1:97" ht="25.5" x14ac:dyDescent="0.2">
      <c r="A850" s="176" t="str">
        <f t="shared" si="13"/>
        <v>TraditionalSettlement</v>
      </c>
      <c r="B850" s="11" t="s">
        <v>5527</v>
      </c>
      <c r="C850" s="173"/>
      <c r="D850" s="22" t="s">
        <v>5528</v>
      </c>
      <c r="E850" s="15" t="s">
        <v>5529</v>
      </c>
      <c r="F850" s="174"/>
      <c r="G850" s="174"/>
      <c r="H850" s="37">
        <v>100108</v>
      </c>
      <c r="I850" s="25" t="str">
        <f>CONCATENATE(Cover!$D$6,"fdd/view?i=",H850)</f>
        <v>https://www.dgiwg.org/FAD/fdd/view?i=100108</v>
      </c>
      <c r="J850" s="13" t="s">
        <v>5526</v>
      </c>
      <c r="K850" s="172"/>
      <c r="L850" s="172"/>
      <c r="AI850" s="87" t="s">
        <v>1790</v>
      </c>
    </row>
    <row r="851" spans="1:97" ht="25.5" x14ac:dyDescent="0.2">
      <c r="A851" s="176" t="str">
        <f t="shared" si="13"/>
        <v>TrafficLight</v>
      </c>
      <c r="B851" s="11" t="s">
        <v>5531</v>
      </c>
      <c r="C851" s="173"/>
      <c r="D851" s="22" t="s">
        <v>5532</v>
      </c>
      <c r="E851" s="15" t="s">
        <v>5533</v>
      </c>
      <c r="F851" s="15" t="s">
        <v>5534</v>
      </c>
      <c r="G851" s="174"/>
      <c r="H851" s="37">
        <v>100189</v>
      </c>
      <c r="I851" s="25" t="str">
        <f>CONCATENATE(Cover!$D$6,"fdd/view?i=",H851)</f>
        <v>https://www.dgiwg.org/FAD/fdd/view?i=100189</v>
      </c>
      <c r="J851" s="13" t="s">
        <v>5530</v>
      </c>
      <c r="K851" s="172"/>
      <c r="L851" s="172"/>
      <c r="AJ851" s="83" t="s">
        <v>1790</v>
      </c>
      <c r="AW851" s="82" t="s">
        <v>1790</v>
      </c>
    </row>
    <row r="852" spans="1:97" ht="38.25" x14ac:dyDescent="0.2">
      <c r="A852" s="176" t="str">
        <f t="shared" si="13"/>
        <v>TrafficMonitorSite</v>
      </c>
      <c r="B852" s="11" t="s">
        <v>5536</v>
      </c>
      <c r="C852" s="173"/>
      <c r="D852" s="22" t="s">
        <v>5537</v>
      </c>
      <c r="E852" s="15" t="s">
        <v>5538</v>
      </c>
      <c r="F852" s="15" t="s">
        <v>5539</v>
      </c>
      <c r="G852" s="174"/>
      <c r="H852" s="37">
        <v>118994</v>
      </c>
      <c r="I852" s="25" t="str">
        <f>CONCATENATE(Cover!$D$6,"fdd/view?i=",H852)</f>
        <v>https://www.dgiwg.org/FAD/fdd/view?i=118994</v>
      </c>
      <c r="J852" s="13" t="s">
        <v>5535</v>
      </c>
      <c r="K852" s="172"/>
      <c r="L852" s="172"/>
      <c r="AP852" s="81" t="s">
        <v>1790</v>
      </c>
      <c r="AQ852" s="82" t="s">
        <v>1790</v>
      </c>
      <c r="AR852" s="82" t="s">
        <v>1790</v>
      </c>
      <c r="AS852" s="82" t="s">
        <v>1790</v>
      </c>
      <c r="AT852" s="82" t="s">
        <v>1790</v>
      </c>
      <c r="AW852" s="82" t="s">
        <v>1790</v>
      </c>
      <c r="BA852" s="83" t="s">
        <v>1790</v>
      </c>
      <c r="BF852" s="83" t="s">
        <v>1790</v>
      </c>
      <c r="BJ852" s="83" t="s">
        <v>1790</v>
      </c>
      <c r="CE852" s="87" t="s">
        <v>1790</v>
      </c>
    </row>
    <row r="853" spans="1:97" ht="25.5" x14ac:dyDescent="0.2">
      <c r="A853" s="176" t="str">
        <f t="shared" si="13"/>
        <v>TrafficSeparationScheme</v>
      </c>
      <c r="B853" s="11" t="s">
        <v>5541</v>
      </c>
      <c r="C853" s="173"/>
      <c r="D853" s="22" t="s">
        <v>5542</v>
      </c>
      <c r="E853" s="15" t="s">
        <v>5543</v>
      </c>
      <c r="F853" s="15" t="s">
        <v>5544</v>
      </c>
      <c r="G853" s="174"/>
      <c r="H853" s="37">
        <v>100479</v>
      </c>
      <c r="I853" s="25" t="str">
        <f>CONCATENATE(Cover!$D$6,"fdd/view?i=",H853)</f>
        <v>https://www.dgiwg.org/FAD/fdd/view?i=100479</v>
      </c>
      <c r="J853" s="13" t="s">
        <v>5540</v>
      </c>
      <c r="K853" s="172"/>
      <c r="L853" s="172"/>
      <c r="AS853" s="82" t="s">
        <v>1790</v>
      </c>
      <c r="BF853" s="83" t="s">
        <v>1790</v>
      </c>
    </row>
    <row r="854" spans="1:97" x14ac:dyDescent="0.2">
      <c r="A854" s="176" t="str">
        <f t="shared" si="13"/>
        <v>Trail</v>
      </c>
      <c r="B854" s="11" t="s">
        <v>5546</v>
      </c>
      <c r="C854" s="173"/>
      <c r="D854" s="22" t="s">
        <v>5545</v>
      </c>
      <c r="E854" s="15" t="s">
        <v>5547</v>
      </c>
      <c r="F854" s="174"/>
      <c r="G854" s="15" t="s">
        <v>5548</v>
      </c>
      <c r="H854" s="37">
        <v>100148</v>
      </c>
      <c r="I854" s="25" t="str">
        <f>CONCATENATE(Cover!$D$6,"fdd/view?i=",H854)</f>
        <v>https://www.dgiwg.org/FAD/fdd/view?i=100148</v>
      </c>
      <c r="J854" s="13" t="s">
        <v>5545</v>
      </c>
      <c r="K854" s="172"/>
      <c r="L854" s="172"/>
      <c r="AQ854" s="82" t="s">
        <v>1790</v>
      </c>
    </row>
    <row r="855" spans="1:97" x14ac:dyDescent="0.2">
      <c r="A855" s="176" t="str">
        <f t="shared" si="13"/>
        <v>TrainingSite</v>
      </c>
      <c r="B855" s="11" t="s">
        <v>5550</v>
      </c>
      <c r="C855" s="173"/>
      <c r="D855" s="22" t="s">
        <v>5551</v>
      </c>
      <c r="E855" s="15" t="s">
        <v>5552</v>
      </c>
      <c r="F855" s="174"/>
      <c r="G855" s="174"/>
      <c r="H855" s="37">
        <v>100472</v>
      </c>
      <c r="I855" s="25" t="str">
        <f>CONCATENATE(Cover!$D$6,"fdd/view?i=",H855)</f>
        <v>https://www.dgiwg.org/FAD/fdd/view?i=100472</v>
      </c>
      <c r="J855" s="13" t="s">
        <v>5549</v>
      </c>
      <c r="K855" s="172"/>
      <c r="L855" s="172"/>
      <c r="CK855" s="82" t="s">
        <v>1790</v>
      </c>
    </row>
    <row r="856" spans="1:97" ht="25.5" x14ac:dyDescent="0.2">
      <c r="A856" s="176" t="str">
        <f t="shared" si="13"/>
        <v>TrainingWall</v>
      </c>
      <c r="B856" s="11" t="s">
        <v>5554</v>
      </c>
      <c r="C856" s="173"/>
      <c r="D856" s="22" t="s">
        <v>5555</v>
      </c>
      <c r="E856" s="15" t="s">
        <v>5556</v>
      </c>
      <c r="F856" s="174"/>
      <c r="G856" s="15" t="s">
        <v>5557</v>
      </c>
      <c r="H856" s="37">
        <v>100241</v>
      </c>
      <c r="I856" s="25" t="str">
        <f>CONCATENATE(Cover!$D$6,"fdd/view?i=",H856)</f>
        <v>https://www.dgiwg.org/FAD/fdd/view?i=100241</v>
      </c>
      <c r="J856" s="13" t="s">
        <v>5553</v>
      </c>
      <c r="K856" s="172"/>
      <c r="L856" s="172"/>
      <c r="AS856" s="82" t="s">
        <v>1790</v>
      </c>
      <c r="BA856" s="83" t="s">
        <v>1790</v>
      </c>
    </row>
    <row r="857" spans="1:97" ht="102" x14ac:dyDescent="0.2">
      <c r="A857" s="176" t="str">
        <f t="shared" si="13"/>
        <v>TranspondLandingSysStation</v>
      </c>
      <c r="B857" s="11" t="s">
        <v>5559</v>
      </c>
      <c r="C857" s="173"/>
      <c r="D857" s="22" t="s">
        <v>5560</v>
      </c>
      <c r="E857" s="15" t="s">
        <v>5561</v>
      </c>
      <c r="F857" s="15" t="s">
        <v>5562</v>
      </c>
      <c r="G857" s="174"/>
      <c r="H857" s="37">
        <v>119702</v>
      </c>
      <c r="I857" s="25" t="str">
        <f>CONCATENATE(Cover!$D$6,"fdd/view?i=",H857)</f>
        <v>https://www.dgiwg.org/FAD/fdd/view?i=119702</v>
      </c>
      <c r="J857" s="13" t="s">
        <v>5558</v>
      </c>
      <c r="K857" s="172"/>
      <c r="L857" s="172"/>
      <c r="AT857" s="82" t="s">
        <v>1790</v>
      </c>
      <c r="CG857" s="83" t="s">
        <v>1790</v>
      </c>
    </row>
    <row r="858" spans="1:97" ht="25.5" x14ac:dyDescent="0.2">
      <c r="A858" s="176" t="str">
        <f t="shared" si="13"/>
        <v>TransportLink</v>
      </c>
      <c r="B858" s="11" t="s">
        <v>5564</v>
      </c>
      <c r="C858" s="173"/>
      <c r="D858" s="22" t="s">
        <v>5565</v>
      </c>
      <c r="E858" s="15" t="s">
        <v>5566</v>
      </c>
      <c r="F858" s="15" t="s">
        <v>5567</v>
      </c>
      <c r="G858" s="174"/>
      <c r="H858" s="37">
        <v>111357</v>
      </c>
      <c r="I858" s="25" t="str">
        <f>CONCATENATE(Cover!$D$6,"fdd/view?i=",H858)</f>
        <v>https://www.dgiwg.org/FAD/fdd/view?i=111357</v>
      </c>
      <c r="J858" s="13" t="s">
        <v>5563</v>
      </c>
      <c r="K858" s="172"/>
      <c r="L858" s="172"/>
      <c r="AK858" s="83" t="s">
        <v>1790</v>
      </c>
      <c r="AM858" s="83" t="s">
        <v>1790</v>
      </c>
      <c r="AP858" s="81" t="s">
        <v>1790</v>
      </c>
      <c r="AQ858" s="82" t="s">
        <v>1790</v>
      </c>
      <c r="AS858" s="82" t="s">
        <v>1790</v>
      </c>
      <c r="AT858" s="82" t="s">
        <v>1790</v>
      </c>
    </row>
    <row r="859" spans="1:97" ht="38.25" x14ac:dyDescent="0.2">
      <c r="A859" s="176" t="str">
        <f t="shared" si="13"/>
        <v>TransportationBlock</v>
      </c>
      <c r="B859" s="11" t="s">
        <v>5569</v>
      </c>
      <c r="C859" s="173"/>
      <c r="D859" s="22" t="s">
        <v>5570</v>
      </c>
      <c r="E859" s="15" t="s">
        <v>5571</v>
      </c>
      <c r="F859" s="15" t="s">
        <v>5572</v>
      </c>
      <c r="G859" s="174"/>
      <c r="H859" s="37">
        <v>100166</v>
      </c>
      <c r="I859" s="25" t="str">
        <f>CONCATENATE(Cover!$D$6,"fdd/view?i=",H859)</f>
        <v>https://www.dgiwg.org/FAD/fdd/view?i=100166</v>
      </c>
      <c r="J859" s="13" t="s">
        <v>5568</v>
      </c>
      <c r="K859" s="172"/>
      <c r="L859" s="172"/>
      <c r="AU859" s="82" t="s">
        <v>1790</v>
      </c>
    </row>
    <row r="860" spans="1:97" ht="38.25" x14ac:dyDescent="0.2">
      <c r="A860" s="176" t="str">
        <f t="shared" si="13"/>
        <v>TransRouteCharacterChange</v>
      </c>
      <c r="B860" s="11" t="s">
        <v>5574</v>
      </c>
      <c r="C860" s="173"/>
      <c r="D860" s="22" t="s">
        <v>5575</v>
      </c>
      <c r="E860" s="15" t="s">
        <v>5576</v>
      </c>
      <c r="F860" s="15" t="s">
        <v>5577</v>
      </c>
      <c r="G860" s="174"/>
      <c r="H860" s="37">
        <v>117991</v>
      </c>
      <c r="I860" s="25" t="str">
        <f>CONCATENATE(Cover!$D$6,"fdd/view?i=",H860)</f>
        <v>https://www.dgiwg.org/FAD/fdd/view?i=117991</v>
      </c>
      <c r="J860" s="13" t="s">
        <v>5573</v>
      </c>
      <c r="K860" s="172"/>
      <c r="L860" s="172"/>
      <c r="AP860" s="81" t="s">
        <v>1790</v>
      </c>
      <c r="AQ860" s="82" t="s">
        <v>1790</v>
      </c>
      <c r="AR860" s="82" t="s">
        <v>1790</v>
      </c>
      <c r="AS860" s="82" t="s">
        <v>1790</v>
      </c>
      <c r="AW860" s="82" t="s">
        <v>1790</v>
      </c>
      <c r="AY860" s="85" t="s">
        <v>1790</v>
      </c>
      <c r="CS860" s="165" t="s">
        <v>1790</v>
      </c>
    </row>
    <row r="861" spans="1:97" ht="38.25" x14ac:dyDescent="0.2">
      <c r="A861" s="176" t="str">
        <f t="shared" si="13"/>
        <v>TransRouteProtectStruct</v>
      </c>
      <c r="B861" s="11" t="s">
        <v>5579</v>
      </c>
      <c r="C861" s="173"/>
      <c r="D861" s="22" t="s">
        <v>5580</v>
      </c>
      <c r="E861" s="15" t="s">
        <v>5581</v>
      </c>
      <c r="F861" s="15" t="s">
        <v>5582</v>
      </c>
      <c r="G861" s="174"/>
      <c r="H861" s="37">
        <v>117756</v>
      </c>
      <c r="I861" s="25" t="str">
        <f>CONCATENATE(Cover!$D$6,"fdd/view?i=",H861)</f>
        <v>https://www.dgiwg.org/FAD/fdd/view?i=117756</v>
      </c>
      <c r="J861" s="13" t="s">
        <v>5578</v>
      </c>
      <c r="K861" s="172"/>
      <c r="L861" s="172"/>
      <c r="AP861" s="81" t="s">
        <v>1790</v>
      </c>
      <c r="AQ861" s="82" t="s">
        <v>1790</v>
      </c>
      <c r="AR861" s="82" t="s">
        <v>1790</v>
      </c>
      <c r="AS861" s="82" t="s">
        <v>1790</v>
      </c>
      <c r="AW861" s="82" t="s">
        <v>1790</v>
      </c>
    </row>
    <row r="862" spans="1:97" ht="38.25" x14ac:dyDescent="0.2">
      <c r="A862" s="176" t="str">
        <f t="shared" si="13"/>
        <v>TransportationStation</v>
      </c>
      <c r="B862" s="11" t="s">
        <v>5584</v>
      </c>
      <c r="C862" s="173"/>
      <c r="D862" s="22" t="s">
        <v>5585</v>
      </c>
      <c r="E862" s="15" t="s">
        <v>5586</v>
      </c>
      <c r="F862" s="15" t="s">
        <v>5587</v>
      </c>
      <c r="G862" s="174"/>
      <c r="H862" s="37">
        <v>100181</v>
      </c>
      <c r="I862" s="25" t="str">
        <f>CONCATENATE(Cover!$D$6,"fdd/view?i=",H862)</f>
        <v>https://www.dgiwg.org/FAD/fdd/view?i=100181</v>
      </c>
      <c r="J862" s="13" t="s">
        <v>5583</v>
      </c>
      <c r="K862" s="172"/>
      <c r="L862" s="172"/>
      <c r="AW862" s="82" t="s">
        <v>1790</v>
      </c>
    </row>
    <row r="863" spans="1:97" ht="51" x14ac:dyDescent="0.2">
      <c r="A863" s="176" t="str">
        <f t="shared" si="13"/>
        <v>TransportationStop</v>
      </c>
      <c r="B863" s="11" t="s">
        <v>5589</v>
      </c>
      <c r="C863" s="173"/>
      <c r="D863" s="22" t="s">
        <v>5590</v>
      </c>
      <c r="E863" s="15" t="s">
        <v>5591</v>
      </c>
      <c r="F863" s="15" t="s">
        <v>5592</v>
      </c>
      <c r="G863" s="174"/>
      <c r="H863" s="37">
        <v>119700</v>
      </c>
      <c r="I863" s="25" t="str">
        <f>CONCATENATE(Cover!$D$6,"fdd/view?i=",H863)</f>
        <v>https://www.dgiwg.org/FAD/fdd/view?i=119700</v>
      </c>
      <c r="J863" s="13" t="s">
        <v>5588</v>
      </c>
      <c r="K863" s="172"/>
      <c r="L863" s="172"/>
      <c r="AP863" s="81" t="s">
        <v>1790</v>
      </c>
      <c r="AQ863" s="82" t="s">
        <v>1790</v>
      </c>
      <c r="AR863" s="82" t="s">
        <v>1790</v>
      </c>
      <c r="AS863" s="82" t="s">
        <v>1790</v>
      </c>
      <c r="AY863" s="85" t="s">
        <v>1790</v>
      </c>
    </row>
    <row r="864" spans="1:97" ht="25.5" x14ac:dyDescent="0.2">
      <c r="A864" s="176" t="str">
        <f t="shared" si="13"/>
        <v>TransshipmentStation</v>
      </c>
      <c r="B864" s="11" t="s">
        <v>5594</v>
      </c>
      <c r="C864" s="173"/>
      <c r="D864" s="22" t="s">
        <v>5595</v>
      </c>
      <c r="E864" s="15" t="s">
        <v>5596</v>
      </c>
      <c r="F864" s="174"/>
      <c r="G864" s="174"/>
      <c r="H864" s="37">
        <v>117759</v>
      </c>
      <c r="I864" s="25" t="str">
        <f>CONCATENATE(Cover!$D$6,"fdd/view?i=",H864)</f>
        <v>https://www.dgiwg.org/FAD/fdd/view?i=117759</v>
      </c>
      <c r="J864" s="13" t="s">
        <v>5593</v>
      </c>
      <c r="K864" s="172"/>
      <c r="L864" s="172"/>
      <c r="AG864" s="82" t="s">
        <v>1790</v>
      </c>
      <c r="AP864" s="81" t="s">
        <v>1790</v>
      </c>
      <c r="AQ864" s="82" t="s">
        <v>1790</v>
      </c>
      <c r="AR864" s="82" t="s">
        <v>1790</v>
      </c>
      <c r="AS864" s="82" t="s">
        <v>1790</v>
      </c>
      <c r="AW864" s="82" t="s">
        <v>1790</v>
      </c>
    </row>
    <row r="865" spans="1:89" ht="38.25" x14ac:dyDescent="0.2">
      <c r="A865" s="176" t="str">
        <f t="shared" si="13"/>
        <v>Tree</v>
      </c>
      <c r="B865" s="11" t="s">
        <v>5598</v>
      </c>
      <c r="C865" s="173"/>
      <c r="D865" s="22" t="s">
        <v>5597</v>
      </c>
      <c r="E865" s="15" t="s">
        <v>5599</v>
      </c>
      <c r="F865" s="15" t="s">
        <v>5600</v>
      </c>
      <c r="G865" s="174"/>
      <c r="H865" s="37">
        <v>110647</v>
      </c>
      <c r="I865" s="25" t="str">
        <f>CONCATENATE(Cover!$D$6,"fdd/view?i=",H865)</f>
        <v>https://www.dgiwg.org/FAD/fdd/view?i=110647</v>
      </c>
      <c r="J865" s="13" t="s">
        <v>5597</v>
      </c>
      <c r="K865" s="172"/>
      <c r="L865" s="172"/>
      <c r="BW865" s="83" t="s">
        <v>1790</v>
      </c>
    </row>
    <row r="866" spans="1:89" ht="25.5" x14ac:dyDescent="0.2">
      <c r="A866" s="176" t="str">
        <f t="shared" si="13"/>
        <v>TreeLimit</v>
      </c>
      <c r="B866" s="11" t="s">
        <v>5602</v>
      </c>
      <c r="C866" s="173"/>
      <c r="D866" s="22" t="s">
        <v>5603</v>
      </c>
      <c r="E866" s="15" t="s">
        <v>5604</v>
      </c>
      <c r="F866" s="15" t="s">
        <v>5605</v>
      </c>
      <c r="G866" s="174"/>
      <c r="H866" s="37">
        <v>111372</v>
      </c>
      <c r="I866" s="25" t="str">
        <f>CONCATENATE(Cover!$D$6,"fdd/view?i=",H866)</f>
        <v>https://www.dgiwg.org/FAD/fdd/view?i=111372</v>
      </c>
      <c r="J866" s="13" t="s">
        <v>5601</v>
      </c>
      <c r="K866" s="172"/>
      <c r="L866" s="172"/>
      <c r="BW866" s="83" t="s">
        <v>1790</v>
      </c>
    </row>
    <row r="867" spans="1:89" ht="38.25" x14ac:dyDescent="0.2">
      <c r="A867" s="176" t="str">
        <f t="shared" si="13"/>
        <v>TreeRow</v>
      </c>
      <c r="B867" s="11" t="s">
        <v>5607</v>
      </c>
      <c r="C867" s="173"/>
      <c r="D867" s="22" t="s">
        <v>5608</v>
      </c>
      <c r="E867" s="15" t="s">
        <v>5609</v>
      </c>
      <c r="F867" s="15" t="s">
        <v>5610</v>
      </c>
      <c r="G867" s="174"/>
      <c r="H867" s="37">
        <v>114457</v>
      </c>
      <c r="I867" s="25" t="str">
        <f>CONCATENATE(Cover!$D$6,"fdd/view?i=",H867)</f>
        <v>https://www.dgiwg.org/FAD/fdd/view?i=114457</v>
      </c>
      <c r="J867" s="13" t="s">
        <v>5606</v>
      </c>
      <c r="K867" s="172"/>
      <c r="L867" s="172"/>
      <c r="BW867" s="83" t="s">
        <v>1790</v>
      </c>
      <c r="CB867" s="89" t="s">
        <v>1790</v>
      </c>
    </row>
    <row r="868" spans="1:89" ht="25.5" x14ac:dyDescent="0.2">
      <c r="A868" s="176" t="str">
        <f t="shared" si="13"/>
        <v>Tundra</v>
      </c>
      <c r="B868" s="11" t="s">
        <v>5612</v>
      </c>
      <c r="C868" s="173"/>
      <c r="D868" s="22" t="s">
        <v>5611</v>
      </c>
      <c r="E868" s="15" t="s">
        <v>5613</v>
      </c>
      <c r="F868" s="174"/>
      <c r="G868" s="174"/>
      <c r="H868" s="37">
        <v>100388</v>
      </c>
      <c r="I868" s="25" t="str">
        <f>CONCATENATE(Cover!$D$6,"fdd/view?i=",H868)</f>
        <v>https://www.dgiwg.org/FAD/fdd/view?i=100388</v>
      </c>
      <c r="J868" s="13" t="s">
        <v>5611</v>
      </c>
      <c r="K868" s="172"/>
      <c r="L868" s="172"/>
      <c r="BR868" s="82" t="s">
        <v>1790</v>
      </c>
      <c r="BV868" s="83" t="s">
        <v>1790</v>
      </c>
    </row>
    <row r="869" spans="1:89" ht="25.5" x14ac:dyDescent="0.2">
      <c r="A869" s="176" t="str">
        <f t="shared" si="13"/>
        <v>Tunnel</v>
      </c>
      <c r="B869" s="11" t="s">
        <v>5615</v>
      </c>
      <c r="C869" s="173"/>
      <c r="D869" s="22" t="s">
        <v>5614</v>
      </c>
      <c r="E869" s="15" t="s">
        <v>5616</v>
      </c>
      <c r="F869" s="15" t="s">
        <v>5617</v>
      </c>
      <c r="G869" s="174"/>
      <c r="H869" s="37">
        <v>100182</v>
      </c>
      <c r="I869" s="25" t="str">
        <f>CONCATENATE(Cover!$D$6,"fdd/view?i=",H869)</f>
        <v>https://www.dgiwg.org/FAD/fdd/view?i=100182</v>
      </c>
      <c r="J869" s="13" t="s">
        <v>5614</v>
      </c>
      <c r="K869" s="172"/>
      <c r="L869" s="172"/>
      <c r="AU869" s="82" t="s">
        <v>1790</v>
      </c>
      <c r="AV869" s="82" t="s">
        <v>1790</v>
      </c>
      <c r="AW869" s="82" t="s">
        <v>1790</v>
      </c>
    </row>
    <row r="870" spans="1:89" ht="51" x14ac:dyDescent="0.2">
      <c r="A870" s="176" t="str">
        <f t="shared" si="13"/>
        <v>TunnelMouth</v>
      </c>
      <c r="B870" s="11" t="s">
        <v>5619</v>
      </c>
      <c r="C870" s="173"/>
      <c r="D870" s="22" t="s">
        <v>5620</v>
      </c>
      <c r="E870" s="15" t="s">
        <v>5621</v>
      </c>
      <c r="F870" s="15" t="s">
        <v>5622</v>
      </c>
      <c r="G870" s="174"/>
      <c r="H870" s="37">
        <v>111430</v>
      </c>
      <c r="I870" s="25" t="str">
        <f>CONCATENATE(Cover!$D$6,"fdd/view?i=",H870)</f>
        <v>https://www.dgiwg.org/FAD/fdd/view?i=111430</v>
      </c>
      <c r="J870" s="13" t="s">
        <v>5618</v>
      </c>
      <c r="K870" s="172"/>
      <c r="L870" s="172"/>
      <c r="AU870" s="82" t="s">
        <v>1790</v>
      </c>
      <c r="AV870" s="82" t="s">
        <v>1790</v>
      </c>
      <c r="AW870" s="82" t="s">
        <v>1790</v>
      </c>
    </row>
    <row r="871" spans="1:89" x14ac:dyDescent="0.2">
      <c r="A871" s="176" t="str">
        <f t="shared" si="13"/>
        <v>TunnyNetsArea</v>
      </c>
      <c r="B871" s="11" t="s">
        <v>5624</v>
      </c>
      <c r="C871" s="173"/>
      <c r="D871" s="22" t="s">
        <v>5625</v>
      </c>
      <c r="E871" s="15" t="s">
        <v>5626</v>
      </c>
      <c r="F871" s="174"/>
      <c r="G871" s="15" t="s">
        <v>5627</v>
      </c>
      <c r="H871" s="37">
        <v>100239</v>
      </c>
      <c r="I871" s="25" t="str">
        <f>CONCATENATE(Cover!$D$6,"fdd/view?i=",H871)</f>
        <v>https://www.dgiwg.org/FAD/fdd/view?i=100239</v>
      </c>
      <c r="J871" s="13" t="s">
        <v>5623</v>
      </c>
      <c r="K871" s="172"/>
      <c r="L871" s="172"/>
      <c r="BD871" s="83" t="s">
        <v>1790</v>
      </c>
      <c r="BG871" s="83" t="s">
        <v>1790</v>
      </c>
      <c r="CA871" s="83" t="s">
        <v>1790</v>
      </c>
    </row>
    <row r="872" spans="1:89" ht="38.25" x14ac:dyDescent="0.2">
      <c r="A872" s="176" t="str">
        <f t="shared" si="13"/>
        <v>UndergroundBunker</v>
      </c>
      <c r="B872" s="11" t="s">
        <v>5629</v>
      </c>
      <c r="C872" s="173"/>
      <c r="D872" s="22" t="s">
        <v>5630</v>
      </c>
      <c r="E872" s="15" t="s">
        <v>5631</v>
      </c>
      <c r="F872" s="15" t="s">
        <v>5632</v>
      </c>
      <c r="G872" s="174"/>
      <c r="H872" s="37">
        <v>102872</v>
      </c>
      <c r="I872" s="25" t="str">
        <f>CONCATENATE(Cover!$D$6,"fdd/view?i=",H872)</f>
        <v>https://www.dgiwg.org/FAD/fdd/view?i=102872</v>
      </c>
      <c r="J872" s="13" t="s">
        <v>5628</v>
      </c>
      <c r="K872" s="172"/>
      <c r="L872" s="172"/>
      <c r="CJ872" s="81" t="s">
        <v>1790</v>
      </c>
    </row>
    <row r="873" spans="1:89" x14ac:dyDescent="0.2">
      <c r="A873" s="176" t="str">
        <f t="shared" si="13"/>
        <v>UndergroundDwelling</v>
      </c>
      <c r="B873" s="11" t="s">
        <v>5634</v>
      </c>
      <c r="C873" s="173"/>
      <c r="D873" s="22" t="s">
        <v>5635</v>
      </c>
      <c r="E873" s="15" t="s">
        <v>5636</v>
      </c>
      <c r="F873" s="174"/>
      <c r="G873" s="174"/>
      <c r="H873" s="37">
        <v>100123</v>
      </c>
      <c r="I873" s="25" t="str">
        <f>CONCATENATE(Cover!$D$6,"fdd/view?i=",H873)</f>
        <v>https://www.dgiwg.org/FAD/fdd/view?i=100123</v>
      </c>
      <c r="J873" s="13" t="s">
        <v>5633</v>
      </c>
      <c r="K873" s="172"/>
      <c r="L873" s="172"/>
      <c r="AI873" s="87" t="s">
        <v>1790</v>
      </c>
    </row>
    <row r="874" spans="1:89" ht="25.5" x14ac:dyDescent="0.2">
      <c r="A874" s="176" t="str">
        <f t="shared" si="13"/>
        <v>UndergroundRailway</v>
      </c>
      <c r="B874" s="11" t="s">
        <v>5638</v>
      </c>
      <c r="C874" s="173"/>
      <c r="D874" s="22" t="s">
        <v>5639</v>
      </c>
      <c r="E874" s="15" t="s">
        <v>5640</v>
      </c>
      <c r="F874" s="15" t="s">
        <v>5641</v>
      </c>
      <c r="G874" s="15" t="s">
        <v>5642</v>
      </c>
      <c r="H874" s="37">
        <v>103052</v>
      </c>
      <c r="I874" s="25" t="str">
        <f>CONCATENATE(Cover!$D$6,"fdd/view?i=",H874)</f>
        <v>https://www.dgiwg.org/FAD/fdd/view?i=103052</v>
      </c>
      <c r="J874" s="13" t="s">
        <v>5637</v>
      </c>
      <c r="K874" s="172"/>
      <c r="L874" s="172"/>
      <c r="AP874" s="81" t="s">
        <v>1790</v>
      </c>
    </row>
    <row r="875" spans="1:89" ht="76.5" x14ac:dyDescent="0.2">
      <c r="A875" s="176" t="str">
        <f t="shared" si="13"/>
        <v>UndergroundStorageForm</v>
      </c>
      <c r="B875" s="11" t="s">
        <v>5644</v>
      </c>
      <c r="C875" s="173"/>
      <c r="D875" s="22" t="s">
        <v>5645</v>
      </c>
      <c r="E875" s="15" t="s">
        <v>5646</v>
      </c>
      <c r="F875" s="15" t="s">
        <v>5647</v>
      </c>
      <c r="G875" s="174"/>
      <c r="H875" s="37">
        <v>118993</v>
      </c>
      <c r="I875" s="25" t="str">
        <f>CONCATENATE(Cover!$D$6,"fdd/view?i=",H875)</f>
        <v>https://www.dgiwg.org/FAD/fdd/view?i=118993</v>
      </c>
      <c r="J875" s="13" t="s">
        <v>5643</v>
      </c>
      <c r="K875" s="172"/>
      <c r="L875" s="172"/>
      <c r="AA875" s="81" t="s">
        <v>1790</v>
      </c>
      <c r="AG875" s="82" t="s">
        <v>1790</v>
      </c>
      <c r="BP875" s="82" t="s">
        <v>1790</v>
      </c>
      <c r="CC875" s="81" t="s">
        <v>1790</v>
      </c>
      <c r="CK875" s="82" t="s">
        <v>1790</v>
      </c>
    </row>
    <row r="876" spans="1:89" ht="25.5" x14ac:dyDescent="0.2">
      <c r="A876" s="176" t="str">
        <f t="shared" si="13"/>
        <v>UnderminedLand</v>
      </c>
      <c r="B876" s="11" t="s">
        <v>5649</v>
      </c>
      <c r="C876" s="173"/>
      <c r="D876" s="22" t="s">
        <v>5650</v>
      </c>
      <c r="E876" s="15" t="s">
        <v>5651</v>
      </c>
      <c r="F876" s="174"/>
      <c r="G876" s="174"/>
      <c r="H876" s="37">
        <v>100428</v>
      </c>
      <c r="I876" s="25" t="str">
        <f>CONCATENATE(Cover!$D$6,"fdd/view?i=",H876)</f>
        <v>https://www.dgiwg.org/FAD/fdd/view?i=100428</v>
      </c>
      <c r="J876" s="13" t="s">
        <v>5648</v>
      </c>
      <c r="K876" s="172"/>
      <c r="L876" s="172"/>
      <c r="AA876" s="81" t="s">
        <v>1790</v>
      </c>
      <c r="BM876" s="82" t="s">
        <v>1790</v>
      </c>
    </row>
    <row r="877" spans="1:89" ht="25.5" x14ac:dyDescent="0.2">
      <c r="A877" s="176" t="str">
        <f t="shared" si="13"/>
        <v>UnmonumentedPoint</v>
      </c>
      <c r="B877" s="11" t="s">
        <v>5653</v>
      </c>
      <c r="C877" s="173"/>
      <c r="D877" s="22" t="s">
        <v>5654</v>
      </c>
      <c r="E877" s="15" t="s">
        <v>5655</v>
      </c>
      <c r="F877" s="174"/>
      <c r="G877" s="174"/>
      <c r="H877" s="37">
        <v>100564</v>
      </c>
      <c r="I877" s="25" t="str">
        <f>CONCATENATE(Cover!$D$6,"fdd/view?i=",H877)</f>
        <v>https://www.dgiwg.org/FAD/fdd/view?i=100564</v>
      </c>
      <c r="J877" s="13" t="s">
        <v>5652</v>
      </c>
      <c r="K877" s="172"/>
      <c r="L877" s="172"/>
      <c r="CD877" s="85" t="s">
        <v>1790</v>
      </c>
    </row>
    <row r="878" spans="1:89" x14ac:dyDescent="0.2">
      <c r="A878" s="176" t="str">
        <f t="shared" si="13"/>
        <v>UnsurveyedArea</v>
      </c>
      <c r="B878" s="11" t="s">
        <v>5657</v>
      </c>
      <c r="C878" s="173"/>
      <c r="D878" s="22" t="s">
        <v>5658</v>
      </c>
      <c r="E878" s="15" t="s">
        <v>5659</v>
      </c>
      <c r="F878" s="174"/>
      <c r="G878" s="174"/>
      <c r="H878" s="37">
        <v>111294</v>
      </c>
      <c r="I878" s="25" t="str">
        <f>CONCATENATE(Cover!$D$6,"fdd/view?i=",H878)</f>
        <v>https://www.dgiwg.org/FAD/fdd/view?i=111294</v>
      </c>
      <c r="J878" s="13" t="s">
        <v>5656</v>
      </c>
      <c r="K878" s="172"/>
      <c r="L878" s="172"/>
      <c r="CD878" s="85" t="s">
        <v>1790</v>
      </c>
    </row>
    <row r="879" spans="1:89" ht="38.25" x14ac:dyDescent="0.2">
      <c r="A879" s="176" t="str">
        <f t="shared" si="13"/>
        <v>UnvegetatedLand</v>
      </c>
      <c r="B879" s="11" t="s">
        <v>5661</v>
      </c>
      <c r="C879" s="173"/>
      <c r="D879" s="22" t="s">
        <v>5662</v>
      </c>
      <c r="E879" s="15" t="s">
        <v>5663</v>
      </c>
      <c r="F879" s="15" t="s">
        <v>5664</v>
      </c>
      <c r="G879" s="174"/>
      <c r="H879" s="37">
        <v>100452</v>
      </c>
      <c r="I879" s="25" t="str">
        <f>CONCATENATE(Cover!$D$6,"fdd/view?i=",H879)</f>
        <v>https://www.dgiwg.org/FAD/fdd/view?i=100452</v>
      </c>
      <c r="J879" s="13" t="s">
        <v>5660</v>
      </c>
      <c r="K879" s="172"/>
      <c r="L879" s="172"/>
      <c r="BY879" s="83" t="s">
        <v>1790</v>
      </c>
    </row>
    <row r="880" spans="1:89" ht="25.5" x14ac:dyDescent="0.2">
      <c r="A880" s="176" t="str">
        <f t="shared" si="13"/>
        <v>UtilityCover</v>
      </c>
      <c r="B880" s="11" t="s">
        <v>5666</v>
      </c>
      <c r="C880" s="173"/>
      <c r="D880" s="22" t="s">
        <v>5667</v>
      </c>
      <c r="E880" s="15" t="s">
        <v>5668</v>
      </c>
      <c r="F880" s="15" t="s">
        <v>5669</v>
      </c>
      <c r="G880" s="174"/>
      <c r="H880" s="37">
        <v>100175</v>
      </c>
      <c r="I880" s="25" t="str">
        <f>CONCATENATE(Cover!$D$6,"fdd/view?i=",H880)</f>
        <v>https://www.dgiwg.org/FAD/fdd/view?i=100175</v>
      </c>
      <c r="J880" s="13" t="s">
        <v>5665</v>
      </c>
      <c r="K880" s="172"/>
      <c r="L880" s="172"/>
      <c r="AF880" s="82" t="s">
        <v>1790</v>
      </c>
    </row>
    <row r="881" spans="1:107" x14ac:dyDescent="0.2">
      <c r="A881" s="176" t="str">
        <f t="shared" si="13"/>
        <v>ValleyLine</v>
      </c>
      <c r="B881" s="11" t="s">
        <v>5671</v>
      </c>
      <c r="C881" s="173"/>
      <c r="D881" s="22" t="s">
        <v>5672</v>
      </c>
      <c r="E881" s="15" t="s">
        <v>5673</v>
      </c>
      <c r="F881" s="174"/>
      <c r="G881" s="174"/>
      <c r="H881" s="37">
        <v>100394</v>
      </c>
      <c r="I881" s="25" t="str">
        <f>CONCATENATE(Cover!$D$6,"fdd/view?i=",H881)</f>
        <v>https://www.dgiwg.org/FAD/fdd/view?i=100394</v>
      </c>
      <c r="J881" s="13" t="s">
        <v>5670</v>
      </c>
      <c r="K881" s="172"/>
      <c r="L881" s="172"/>
      <c r="BL881" s="81" t="s">
        <v>1790</v>
      </c>
      <c r="BM881" s="82" t="s">
        <v>1790</v>
      </c>
    </row>
    <row r="882" spans="1:107" ht="25.5" x14ac:dyDescent="0.2">
      <c r="A882" s="176" t="str">
        <f t="shared" si="13"/>
        <v>VanishingPoint</v>
      </c>
      <c r="B882" s="11" t="s">
        <v>5675</v>
      </c>
      <c r="C882" s="173"/>
      <c r="D882" s="22" t="s">
        <v>5676</v>
      </c>
      <c r="E882" s="15" t="s">
        <v>5677</v>
      </c>
      <c r="F882" s="174"/>
      <c r="G882" s="15" t="s">
        <v>5678</v>
      </c>
      <c r="H882" s="37">
        <v>100353</v>
      </c>
      <c r="I882" s="25" t="str">
        <f>CONCATENATE(Cover!$D$6,"fdd/view?i=",H882)</f>
        <v>https://www.dgiwg.org/FAD/fdd/view?i=100353</v>
      </c>
      <c r="J882" s="13" t="s">
        <v>5674</v>
      </c>
      <c r="K882" s="172"/>
      <c r="L882" s="172"/>
      <c r="BJ882" s="83" t="s">
        <v>1790</v>
      </c>
    </row>
    <row r="883" spans="1:107" ht="25.5" x14ac:dyDescent="0.2">
      <c r="A883" s="176" t="str">
        <f t="shared" si="13"/>
        <v>VegetationZone</v>
      </c>
      <c r="B883" s="11" t="s">
        <v>5680</v>
      </c>
      <c r="C883" s="173"/>
      <c r="D883" s="22" t="s">
        <v>5681</v>
      </c>
      <c r="E883" s="15" t="s">
        <v>5682</v>
      </c>
      <c r="F883" s="15" t="s">
        <v>5683</v>
      </c>
      <c r="G883" s="174"/>
      <c r="H883" s="37">
        <v>111371</v>
      </c>
      <c r="I883" s="25" t="str">
        <f>CONCATENATE(Cover!$D$6,"fdd/view?i=",H883)</f>
        <v>https://www.dgiwg.org/FAD/fdd/view?i=111371</v>
      </c>
      <c r="J883" s="13" t="s">
        <v>5679</v>
      </c>
      <c r="K883" s="172"/>
      <c r="L883" s="172"/>
      <c r="BT883" s="85" t="s">
        <v>1790</v>
      </c>
      <c r="BZ883" s="83" t="s">
        <v>1790</v>
      </c>
    </row>
    <row r="884" spans="1:107" ht="114.75" x14ac:dyDescent="0.2">
      <c r="A884" s="176" t="str">
        <f t="shared" si="13"/>
        <v>VehicleBarrier</v>
      </c>
      <c r="B884" s="11" t="s">
        <v>5685</v>
      </c>
      <c r="C884" s="173"/>
      <c r="D884" s="22" t="s">
        <v>5686</v>
      </c>
      <c r="E884" s="15" t="s">
        <v>5687</v>
      </c>
      <c r="F884" s="15" t="s">
        <v>5688</v>
      </c>
      <c r="G884" s="174"/>
      <c r="H884" s="37">
        <v>100147</v>
      </c>
      <c r="I884" s="25" t="str">
        <f>CONCATENATE(Cover!$D$6,"fdd/view?i=",H884)</f>
        <v>https://www.dgiwg.org/FAD/fdd/view?i=100147</v>
      </c>
      <c r="J884" s="13" t="s">
        <v>5684</v>
      </c>
      <c r="K884" s="172"/>
      <c r="L884" s="172"/>
      <c r="AU884" s="82" t="s">
        <v>1790</v>
      </c>
    </row>
    <row r="885" spans="1:107" ht="38.25" x14ac:dyDescent="0.2">
      <c r="A885" s="176" t="str">
        <f t="shared" si="13"/>
        <v>VehicleLot</v>
      </c>
      <c r="B885" s="11" t="s">
        <v>5690</v>
      </c>
      <c r="C885" s="173"/>
      <c r="D885" s="22" t="s">
        <v>5691</v>
      </c>
      <c r="E885" s="15" t="s">
        <v>5692</v>
      </c>
      <c r="F885" s="174"/>
      <c r="G885" s="15" t="s">
        <v>5693</v>
      </c>
      <c r="H885" s="37">
        <v>100184</v>
      </c>
      <c r="I885" s="25" t="str">
        <f>CONCATENATE(Cover!$D$6,"fdd/view?i=",H885)</f>
        <v>https://www.dgiwg.org/FAD/fdd/view?i=100184</v>
      </c>
      <c r="J885" s="13" t="s">
        <v>5689</v>
      </c>
      <c r="K885" s="172"/>
      <c r="L885" s="172"/>
      <c r="AG885" s="82" t="s">
        <v>1790</v>
      </c>
      <c r="AW885" s="82" t="s">
        <v>1790</v>
      </c>
    </row>
    <row r="886" spans="1:107" ht="38.25" x14ac:dyDescent="0.2">
      <c r="A886" s="176" t="str">
        <f t="shared" si="13"/>
        <v>VertCoordMetadata</v>
      </c>
      <c r="B886" s="11" t="s">
        <v>5695</v>
      </c>
      <c r="C886" s="173"/>
      <c r="D886" s="22" t="s">
        <v>5696</v>
      </c>
      <c r="E886" s="15" t="s">
        <v>5697</v>
      </c>
      <c r="F886" s="15" t="s">
        <v>5698</v>
      </c>
      <c r="G886" s="174"/>
      <c r="H886" s="37">
        <v>114195</v>
      </c>
      <c r="I886" s="25" t="str">
        <f>CONCATENATE(Cover!$D$6,"fdd/view?i=",H886)</f>
        <v>https://www.dgiwg.org/FAD/fdd/view?i=114195</v>
      </c>
      <c r="J886" s="13" t="s">
        <v>5694</v>
      </c>
      <c r="K886" s="172"/>
      <c r="L886" s="172"/>
      <c r="DC886" s="87" t="s">
        <v>1790</v>
      </c>
    </row>
    <row r="887" spans="1:107" ht="51" x14ac:dyDescent="0.2">
      <c r="A887" s="176" t="str">
        <f t="shared" si="13"/>
        <v>VesselLift</v>
      </c>
      <c r="B887" s="11" t="s">
        <v>5700</v>
      </c>
      <c r="C887" s="173"/>
      <c r="D887" s="22" t="s">
        <v>5701</v>
      </c>
      <c r="E887" s="15" t="s">
        <v>5702</v>
      </c>
      <c r="F887" s="15" t="s">
        <v>5703</v>
      </c>
      <c r="G887" s="174"/>
      <c r="H887" s="37">
        <v>100366</v>
      </c>
      <c r="I887" s="25" t="str">
        <f>CONCATENATE(Cover!$D$6,"fdd/view?i=",H887)</f>
        <v>https://www.dgiwg.org/FAD/fdd/view?i=100366</v>
      </c>
      <c r="J887" s="13" t="s">
        <v>5699</v>
      </c>
      <c r="K887" s="172"/>
      <c r="L887" s="172"/>
      <c r="AS887" s="82" t="s">
        <v>1790</v>
      </c>
      <c r="BA887" s="83" t="s">
        <v>1790</v>
      </c>
    </row>
    <row r="888" spans="1:107" x14ac:dyDescent="0.2">
      <c r="A888" s="176" t="str">
        <f t="shared" si="13"/>
        <v>VesselTurningBasin</v>
      </c>
      <c r="B888" s="11" t="s">
        <v>5705</v>
      </c>
      <c r="C888" s="173"/>
      <c r="D888" s="22" t="s">
        <v>5706</v>
      </c>
      <c r="E888" s="15" t="s">
        <v>5707</v>
      </c>
      <c r="F888" s="174"/>
      <c r="G888" s="15" t="s">
        <v>5708</v>
      </c>
      <c r="H888" s="37">
        <v>100379</v>
      </c>
      <c r="I888" s="25" t="str">
        <f>CONCATENATE(Cover!$D$6,"fdd/view?i=",H888)</f>
        <v>https://www.dgiwg.org/FAD/fdd/view?i=100379</v>
      </c>
      <c r="J888" s="13" t="s">
        <v>5704</v>
      </c>
      <c r="K888" s="172"/>
      <c r="L888" s="172"/>
      <c r="AS888" s="82" t="s">
        <v>1790</v>
      </c>
      <c r="BF888" s="83" t="s">
        <v>1790</v>
      </c>
    </row>
    <row r="889" spans="1:107" ht="25.5" x14ac:dyDescent="0.2">
      <c r="A889" s="176" t="str">
        <f t="shared" si="13"/>
        <v>VhfOmniRadioBeacon</v>
      </c>
      <c r="B889" s="11" t="s">
        <v>5710</v>
      </c>
      <c r="C889" s="173"/>
      <c r="D889" s="22" t="s">
        <v>5711</v>
      </c>
      <c r="E889" s="15" t="s">
        <v>5712</v>
      </c>
      <c r="F889" s="15" t="s">
        <v>5713</v>
      </c>
      <c r="G889" s="15" t="s">
        <v>5714</v>
      </c>
      <c r="H889" s="37">
        <v>114519</v>
      </c>
      <c r="I889" s="25" t="str">
        <f>CONCATENATE(Cover!$D$6,"fdd/view?i=",H889)</f>
        <v>https://www.dgiwg.org/FAD/fdd/view?i=114519</v>
      </c>
      <c r="J889" s="13" t="s">
        <v>5709</v>
      </c>
      <c r="K889" s="172"/>
      <c r="L889" s="172"/>
      <c r="CG889" s="83" t="s">
        <v>1790</v>
      </c>
    </row>
    <row r="890" spans="1:107" x14ac:dyDescent="0.2">
      <c r="A890" s="176" t="str">
        <f t="shared" si="13"/>
        <v>Vineyard</v>
      </c>
      <c r="B890" s="11" t="s">
        <v>5716</v>
      </c>
      <c r="C890" s="173"/>
      <c r="D890" s="22" t="s">
        <v>5715</v>
      </c>
      <c r="E890" s="15" t="s">
        <v>5717</v>
      </c>
      <c r="F890" s="174"/>
      <c r="G890" s="174"/>
      <c r="H890" s="37">
        <v>100437</v>
      </c>
      <c r="I890" s="25" t="str">
        <f>CONCATENATE(Cover!$D$6,"fdd/view?i=",H890)</f>
        <v>https://www.dgiwg.org/FAD/fdd/view?i=100437</v>
      </c>
      <c r="J890" s="13" t="s">
        <v>5715</v>
      </c>
      <c r="K890" s="172"/>
      <c r="L890" s="172"/>
      <c r="BU890" s="87" t="s">
        <v>1790</v>
      </c>
    </row>
    <row r="891" spans="1:107" ht="51" x14ac:dyDescent="0.2">
      <c r="A891" s="176" t="str">
        <f t="shared" si="13"/>
        <v>VisualAppSlopeIndSystem</v>
      </c>
      <c r="B891" s="11" t="s">
        <v>5719</v>
      </c>
      <c r="C891" s="173"/>
      <c r="D891" s="22" t="s">
        <v>5720</v>
      </c>
      <c r="E891" s="15" t="s">
        <v>5721</v>
      </c>
      <c r="F891" s="15" t="s">
        <v>5722</v>
      </c>
      <c r="G891" s="15" t="s">
        <v>5723</v>
      </c>
      <c r="H891" s="37">
        <v>114613</v>
      </c>
      <c r="I891" s="25" t="str">
        <f>CONCATENATE(Cover!$D$6,"fdd/view?i=",H891)</f>
        <v>https://www.dgiwg.org/FAD/fdd/view?i=114613</v>
      </c>
      <c r="J891" s="13" t="s">
        <v>5718</v>
      </c>
      <c r="K891" s="172"/>
      <c r="L891" s="172"/>
      <c r="CE891" s="87" t="s">
        <v>1790</v>
      </c>
    </row>
    <row r="892" spans="1:107" ht="25.5" x14ac:dyDescent="0.2">
      <c r="A892" s="176" t="str">
        <f t="shared" si="13"/>
        <v>VoidCollectionArea</v>
      </c>
      <c r="B892" s="11" t="s">
        <v>5725</v>
      </c>
      <c r="C892" s="173"/>
      <c r="D892" s="22" t="s">
        <v>5726</v>
      </c>
      <c r="E892" s="15" t="s">
        <v>5727</v>
      </c>
      <c r="F892" s="174"/>
      <c r="G892" s="174"/>
      <c r="H892" s="37">
        <v>100580</v>
      </c>
      <c r="I892" s="25" t="str">
        <f>CONCATENATE(Cover!$D$6,"fdd/view?i=",H892)</f>
        <v>https://www.dgiwg.org/FAD/fdd/view?i=100580</v>
      </c>
      <c r="J892" s="13" t="s">
        <v>5724</v>
      </c>
      <c r="K892" s="172"/>
      <c r="L892" s="172"/>
      <c r="BT892" s="85" t="s">
        <v>1790</v>
      </c>
      <c r="CZ892" s="165" t="s">
        <v>1790</v>
      </c>
    </row>
    <row r="893" spans="1:107" ht="51" x14ac:dyDescent="0.2">
      <c r="A893" s="176" t="str">
        <f t="shared" si="13"/>
        <v>VolcanicAppearance</v>
      </c>
      <c r="B893" s="11" t="s">
        <v>5729</v>
      </c>
      <c r="C893" s="173"/>
      <c r="D893" s="22" t="s">
        <v>5730</v>
      </c>
      <c r="E893" s="15" t="s">
        <v>5731</v>
      </c>
      <c r="F893" s="15" t="s">
        <v>5732</v>
      </c>
      <c r="G893" s="174"/>
      <c r="H893" s="37">
        <v>111349</v>
      </c>
      <c r="I893" s="25" t="str">
        <f>CONCATENATE(Cover!$D$6,"fdd/view?i=",H893)</f>
        <v>https://www.dgiwg.org/FAD/fdd/view?i=111349</v>
      </c>
      <c r="J893" s="13" t="s">
        <v>5728</v>
      </c>
      <c r="K893" s="172"/>
      <c r="L893" s="172"/>
      <c r="BQ893" s="82" t="s">
        <v>1790</v>
      </c>
    </row>
    <row r="894" spans="1:107" ht="25.5" x14ac:dyDescent="0.2">
      <c r="A894" s="176" t="str">
        <f t="shared" si="13"/>
        <v>VolcanicDyke</v>
      </c>
      <c r="B894" s="11" t="s">
        <v>5734</v>
      </c>
      <c r="C894" s="173"/>
      <c r="D894" s="22" t="s">
        <v>5735</v>
      </c>
      <c r="E894" s="15" t="s">
        <v>5736</v>
      </c>
      <c r="F894" s="15" t="s">
        <v>5737</v>
      </c>
      <c r="G894" s="15" t="s">
        <v>5738</v>
      </c>
      <c r="H894" s="37">
        <v>100424</v>
      </c>
      <c r="I894" s="25" t="str">
        <f>CONCATENATE(Cover!$D$6,"fdd/view?i=",H894)</f>
        <v>https://www.dgiwg.org/FAD/fdd/view?i=100424</v>
      </c>
      <c r="J894" s="13" t="s">
        <v>5733</v>
      </c>
      <c r="K894" s="172"/>
      <c r="L894" s="172"/>
      <c r="BN894" s="82" t="s">
        <v>1790</v>
      </c>
      <c r="BQ894" s="82" t="s">
        <v>1790</v>
      </c>
    </row>
    <row r="895" spans="1:107" ht="25.5" x14ac:dyDescent="0.2">
      <c r="A895" s="176" t="str">
        <f t="shared" si="13"/>
        <v>Volcano</v>
      </c>
      <c r="B895" s="11" t="s">
        <v>5740</v>
      </c>
      <c r="C895" s="173"/>
      <c r="D895" s="22" t="s">
        <v>5739</v>
      </c>
      <c r="E895" s="15" t="s">
        <v>5741</v>
      </c>
      <c r="F895" s="174"/>
      <c r="G895" s="174"/>
      <c r="H895" s="37">
        <v>100422</v>
      </c>
      <c r="I895" s="25" t="str">
        <f>CONCATENATE(Cover!$D$6,"fdd/view?i=",H895)</f>
        <v>https://www.dgiwg.org/FAD/fdd/view?i=100422</v>
      </c>
      <c r="J895" s="13" t="s">
        <v>5739</v>
      </c>
      <c r="K895" s="172"/>
      <c r="L895" s="172"/>
      <c r="BM895" s="82" t="s">
        <v>1790</v>
      </c>
      <c r="BN895" s="82" t="s">
        <v>1790</v>
      </c>
      <c r="BQ895" s="82" t="s">
        <v>1790</v>
      </c>
    </row>
    <row r="896" spans="1:107" ht="25.5" x14ac:dyDescent="0.2">
      <c r="A896" s="176" t="str">
        <f t="shared" si="13"/>
        <v>Wall</v>
      </c>
      <c r="B896" s="11" t="s">
        <v>5743</v>
      </c>
      <c r="C896" s="173"/>
      <c r="D896" s="22" t="s">
        <v>5742</v>
      </c>
      <c r="E896" s="15" t="s">
        <v>5744</v>
      </c>
      <c r="F896" s="174"/>
      <c r="G896" s="174"/>
      <c r="H896" s="37">
        <v>100124</v>
      </c>
      <c r="I896" s="25" t="str">
        <f>CONCATENATE(Cover!$D$6,"fdd/view?i=",H896)</f>
        <v>https://www.dgiwg.org/FAD/fdd/view?i=100124</v>
      </c>
      <c r="J896" s="13" t="s">
        <v>5742</v>
      </c>
      <c r="K896" s="172"/>
      <c r="L896" s="172"/>
      <c r="AJ896" s="83" t="s">
        <v>1790</v>
      </c>
      <c r="AW896" s="82" t="s">
        <v>1790</v>
      </c>
    </row>
    <row r="897" spans="1:107" ht="76.5" x14ac:dyDescent="0.2">
      <c r="A897" s="176" t="str">
        <f t="shared" si="13"/>
        <v>WasteHeap</v>
      </c>
      <c r="B897" s="11" t="s">
        <v>5746</v>
      </c>
      <c r="C897" s="173"/>
      <c r="D897" s="22" t="s">
        <v>5747</v>
      </c>
      <c r="E897" s="15" t="s">
        <v>5748</v>
      </c>
      <c r="F897" s="15" t="s">
        <v>5749</v>
      </c>
      <c r="G897" s="174"/>
      <c r="H897" s="37">
        <v>111343</v>
      </c>
      <c r="I897" s="25" t="str">
        <f>CONCATENATE(Cover!$D$6,"fdd/view?i=",H897)</f>
        <v>https://www.dgiwg.org/FAD/fdd/view?i=111343</v>
      </c>
      <c r="J897" s="13" t="s">
        <v>5745</v>
      </c>
      <c r="K897" s="172"/>
      <c r="L897" s="172"/>
      <c r="AH897" s="85" t="s">
        <v>1790</v>
      </c>
      <c r="BL897" s="81" t="s">
        <v>1790</v>
      </c>
    </row>
    <row r="898" spans="1:107" ht="25.5" x14ac:dyDescent="0.2">
      <c r="A898" s="176" t="str">
        <f t="shared" si="13"/>
        <v>WasteProcessingFacility</v>
      </c>
      <c r="B898" s="11" t="s">
        <v>5751</v>
      </c>
      <c r="C898" s="173"/>
      <c r="D898" s="22" t="s">
        <v>5752</v>
      </c>
      <c r="E898" s="15" t="s">
        <v>5753</v>
      </c>
      <c r="F898" s="174"/>
      <c r="G898" s="174"/>
      <c r="H898" s="37">
        <v>100014</v>
      </c>
      <c r="I898" s="25" t="str">
        <f>CONCATENATE(Cover!$D$6,"fdd/view?i=",H898)</f>
        <v>https://www.dgiwg.org/FAD/fdd/view?i=100014</v>
      </c>
      <c r="J898" s="13" t="s">
        <v>5750</v>
      </c>
      <c r="K898" s="172"/>
      <c r="L898" s="172"/>
      <c r="AH898" s="85" t="s">
        <v>1790</v>
      </c>
    </row>
    <row r="899" spans="1:107" ht="25.5" x14ac:dyDescent="0.2">
      <c r="A899" s="176" t="str">
        <f t="shared" ref="A899:A937" si="14">HYPERLINK(I899,J899)</f>
        <v>WaterAerodrome</v>
      </c>
      <c r="B899" s="11" t="s">
        <v>5755</v>
      </c>
      <c r="C899" s="173"/>
      <c r="D899" s="22" t="s">
        <v>5756</v>
      </c>
      <c r="E899" s="15" t="s">
        <v>5757</v>
      </c>
      <c r="F899" s="174"/>
      <c r="G899" s="15" t="s">
        <v>5758</v>
      </c>
      <c r="H899" s="37">
        <v>114614</v>
      </c>
      <c r="I899" s="25" t="str">
        <f>CONCATENATE(Cover!$D$6,"fdd/view?i=",H899)</f>
        <v>https://www.dgiwg.org/FAD/fdd/view?i=114614</v>
      </c>
      <c r="J899" s="13" t="s">
        <v>5754</v>
      </c>
      <c r="K899" s="172"/>
      <c r="L899" s="172"/>
      <c r="CE899" s="87" t="s">
        <v>1790</v>
      </c>
    </row>
    <row r="900" spans="1:107" x14ac:dyDescent="0.2">
      <c r="A900" s="176" t="str">
        <f t="shared" si="14"/>
        <v>WaterCurrentRegion</v>
      </c>
      <c r="B900" s="11" t="s">
        <v>5760</v>
      </c>
      <c r="C900" s="173"/>
      <c r="D900" s="22" t="s">
        <v>5761</v>
      </c>
      <c r="E900" s="15" t="s">
        <v>5762</v>
      </c>
      <c r="F900" s="15" t="s">
        <v>5763</v>
      </c>
      <c r="G900" s="174"/>
      <c r="H900" s="37">
        <v>111444</v>
      </c>
      <c r="I900" s="25" t="str">
        <f>CONCATENATE(Cover!$D$6,"fdd/view?i=",H900)</f>
        <v>https://www.dgiwg.org/FAD/fdd/view?i=111444</v>
      </c>
      <c r="J900" s="13" t="s">
        <v>5759</v>
      </c>
      <c r="K900" s="172"/>
      <c r="L900" s="172"/>
      <c r="BE900" s="83" t="s">
        <v>1790</v>
      </c>
    </row>
    <row r="901" spans="1:107" ht="25.5" x14ac:dyDescent="0.2">
      <c r="A901" s="176" t="str">
        <f t="shared" si="14"/>
        <v>WaterGate</v>
      </c>
      <c r="B901" s="11" t="s">
        <v>5765</v>
      </c>
      <c r="C901" s="173"/>
      <c r="D901" s="22" t="s">
        <v>5766</v>
      </c>
      <c r="E901" s="15" t="s">
        <v>5767</v>
      </c>
      <c r="F901" s="174"/>
      <c r="G901" s="174"/>
      <c r="H901" s="37">
        <v>100373</v>
      </c>
      <c r="I901" s="25" t="str">
        <f>CONCATENATE(Cover!$D$6,"fdd/view?i=",H901)</f>
        <v>https://www.dgiwg.org/FAD/fdd/view?i=100373</v>
      </c>
      <c r="J901" s="13" t="s">
        <v>5764</v>
      </c>
      <c r="K901" s="172"/>
      <c r="L901" s="172"/>
      <c r="BJ901" s="83" t="s">
        <v>1790</v>
      </c>
    </row>
    <row r="902" spans="1:107" ht="25.5" x14ac:dyDescent="0.2">
      <c r="A902" s="176" t="str">
        <f t="shared" si="14"/>
        <v>WaterIntakeTower</v>
      </c>
      <c r="B902" s="11" t="s">
        <v>5769</v>
      </c>
      <c r="C902" s="173"/>
      <c r="D902" s="22" t="s">
        <v>5770</v>
      </c>
      <c r="E902" s="15" t="s">
        <v>5771</v>
      </c>
      <c r="F902" s="174"/>
      <c r="G902" s="174"/>
      <c r="H902" s="37">
        <v>100376</v>
      </c>
      <c r="I902" s="25" t="str">
        <f>CONCATENATE(Cover!$D$6,"fdd/view?i=",H902)</f>
        <v>https://www.dgiwg.org/FAD/fdd/view?i=100376</v>
      </c>
      <c r="J902" s="13" t="s">
        <v>5768</v>
      </c>
      <c r="K902" s="172"/>
      <c r="L902" s="172"/>
      <c r="AF902" s="82" t="s">
        <v>1790</v>
      </c>
      <c r="BJ902" s="83" t="s">
        <v>1790</v>
      </c>
    </row>
    <row r="903" spans="1:107" ht="25.5" x14ac:dyDescent="0.2">
      <c r="A903" s="176" t="str">
        <f t="shared" si="14"/>
        <v>WaterLine</v>
      </c>
      <c r="B903" s="11" t="s">
        <v>5773</v>
      </c>
      <c r="C903" s="173"/>
      <c r="D903" s="22" t="s">
        <v>5774</v>
      </c>
      <c r="E903" s="15" t="s">
        <v>5775</v>
      </c>
      <c r="F903" s="15" t="s">
        <v>5776</v>
      </c>
      <c r="G903" s="174"/>
      <c r="H903" s="37">
        <v>118995</v>
      </c>
      <c r="I903" s="25" t="str">
        <f>CONCATENATE(Cover!$D$6,"fdd/view?i=",H903)</f>
        <v>https://www.dgiwg.org/FAD/fdd/view?i=118995</v>
      </c>
      <c r="J903" s="13" t="s">
        <v>5772</v>
      </c>
      <c r="K903" s="172"/>
      <c r="L903" s="172"/>
      <c r="AZ903" s="87" t="s">
        <v>1790</v>
      </c>
      <c r="BJ903" s="83" t="s">
        <v>1790</v>
      </c>
    </row>
    <row r="904" spans="1:107" ht="38.25" x14ac:dyDescent="0.2">
      <c r="A904" s="176" t="str">
        <f t="shared" si="14"/>
        <v>WaterMeasurementLocation</v>
      </c>
      <c r="B904" s="11" t="s">
        <v>5778</v>
      </c>
      <c r="C904" s="173"/>
      <c r="D904" s="22" t="s">
        <v>5779</v>
      </c>
      <c r="E904" s="15" t="s">
        <v>5780</v>
      </c>
      <c r="F904" s="15" t="s">
        <v>5781</v>
      </c>
      <c r="G904" s="174"/>
      <c r="H904" s="37">
        <v>119395</v>
      </c>
      <c r="I904" s="25" t="str">
        <f>CONCATENATE(Cover!$D$6,"fdd/view?i=",H904)</f>
        <v>https://www.dgiwg.org/FAD/fdd/view?i=119395</v>
      </c>
      <c r="J904" s="13" t="s">
        <v>5777</v>
      </c>
      <c r="K904" s="172"/>
      <c r="L904" s="172"/>
      <c r="BE904" s="83" t="s">
        <v>1790</v>
      </c>
      <c r="BJ904" s="83" t="s">
        <v>1790</v>
      </c>
      <c r="BK904" s="89" t="s">
        <v>1790</v>
      </c>
    </row>
    <row r="905" spans="1:107" ht="38.25" x14ac:dyDescent="0.2">
      <c r="A905" s="176" t="str">
        <f t="shared" si="14"/>
        <v>WaterMill</v>
      </c>
      <c r="B905" s="11" t="s">
        <v>5783</v>
      </c>
      <c r="C905" s="173"/>
      <c r="D905" s="22" t="s">
        <v>5784</v>
      </c>
      <c r="E905" s="15" t="s">
        <v>5785</v>
      </c>
      <c r="F905" s="15" t="s">
        <v>5786</v>
      </c>
      <c r="G905" s="174"/>
      <c r="H905" s="37">
        <v>111402</v>
      </c>
      <c r="I905" s="25" t="str">
        <f>CONCATENATE(Cover!$D$6,"fdd/view?i=",H905)</f>
        <v>https://www.dgiwg.org/FAD/fdd/view?i=111402</v>
      </c>
      <c r="J905" s="13" t="s">
        <v>5782</v>
      </c>
      <c r="K905" s="172"/>
      <c r="L905" s="172"/>
      <c r="AD905" s="82" t="s">
        <v>1790</v>
      </c>
    </row>
    <row r="906" spans="1:107" ht="25.5" x14ac:dyDescent="0.2">
      <c r="A906" s="176" t="str">
        <f t="shared" si="14"/>
        <v>WaterMovementDataLocation</v>
      </c>
      <c r="B906" s="11" t="s">
        <v>5788</v>
      </c>
      <c r="C906" s="173"/>
      <c r="D906" s="22" t="s">
        <v>5789</v>
      </c>
      <c r="E906" s="15" t="s">
        <v>5790</v>
      </c>
      <c r="F906" s="174"/>
      <c r="G906" s="15" t="s">
        <v>5791</v>
      </c>
      <c r="H906" s="37">
        <v>100323</v>
      </c>
      <c r="I906" s="25" t="str">
        <f>CONCATENATE(Cover!$D$6,"fdd/view?i=",H906)</f>
        <v>https://www.dgiwg.org/FAD/fdd/view?i=100323</v>
      </c>
      <c r="J906" s="13" t="s">
        <v>5787</v>
      </c>
      <c r="K906" s="172"/>
      <c r="L906" s="172"/>
      <c r="AS906" s="82" t="s">
        <v>1790</v>
      </c>
      <c r="BF906" s="83" t="s">
        <v>1790</v>
      </c>
    </row>
    <row r="907" spans="1:107" ht="25.5" x14ac:dyDescent="0.2">
      <c r="A907" s="176" t="str">
        <f t="shared" si="14"/>
        <v>WaterRace</v>
      </c>
      <c r="B907" s="11" t="s">
        <v>5793</v>
      </c>
      <c r="C907" s="173"/>
      <c r="D907" s="22" t="s">
        <v>5794</v>
      </c>
      <c r="E907" s="15" t="s">
        <v>5795</v>
      </c>
      <c r="F907" s="15" t="s">
        <v>5796</v>
      </c>
      <c r="G907" s="174"/>
      <c r="H907" s="37">
        <v>117761</v>
      </c>
      <c r="I907" s="25" t="str">
        <f>CONCATENATE(Cover!$D$6,"fdd/view?i=",H907)</f>
        <v>https://www.dgiwg.org/FAD/fdd/view?i=117761</v>
      </c>
      <c r="J907" s="13" t="s">
        <v>5792</v>
      </c>
      <c r="K907" s="172"/>
      <c r="L907" s="172"/>
      <c r="BJ907" s="83" t="s">
        <v>1790</v>
      </c>
    </row>
    <row r="908" spans="1:107" ht="25.5" x14ac:dyDescent="0.2">
      <c r="A908" s="176" t="str">
        <f t="shared" si="14"/>
        <v>WaterResourceInfo</v>
      </c>
      <c r="B908" s="11" t="s">
        <v>5798</v>
      </c>
      <c r="C908" s="173"/>
      <c r="D908" s="22" t="s">
        <v>5799</v>
      </c>
      <c r="E908" s="15" t="s">
        <v>5800</v>
      </c>
      <c r="F908" s="174"/>
      <c r="G908" s="174"/>
      <c r="H908" s="37">
        <v>114205</v>
      </c>
      <c r="I908" s="25" t="str">
        <f>CONCATENATE(Cover!$D$6,"fdd/view?i=",H908)</f>
        <v>https://www.dgiwg.org/FAD/fdd/view?i=114205</v>
      </c>
      <c r="J908" s="13" t="s">
        <v>5797</v>
      </c>
      <c r="K908" s="172"/>
      <c r="L908" s="172"/>
      <c r="DC908" s="87" t="s">
        <v>1790</v>
      </c>
    </row>
    <row r="909" spans="1:107" x14ac:dyDescent="0.2">
      <c r="A909" s="176" t="str">
        <f t="shared" si="14"/>
        <v>WaterTower</v>
      </c>
      <c r="B909" s="11" t="s">
        <v>5802</v>
      </c>
      <c r="C909" s="173"/>
      <c r="D909" s="22" t="s">
        <v>5803</v>
      </c>
      <c r="E909" s="15" t="s">
        <v>5804</v>
      </c>
      <c r="F909" s="174"/>
      <c r="G909" s="174"/>
      <c r="H909" s="37">
        <v>100134</v>
      </c>
      <c r="I909" s="25" t="str">
        <f>CONCATENATE(Cover!$D$6,"fdd/view?i=",H909)</f>
        <v>https://www.dgiwg.org/FAD/fdd/view?i=100134</v>
      </c>
      <c r="J909" s="13" t="s">
        <v>5801</v>
      </c>
      <c r="K909" s="172"/>
      <c r="L909" s="172"/>
      <c r="AG909" s="82" t="s">
        <v>1790</v>
      </c>
      <c r="AJ909" s="83" t="s">
        <v>1790</v>
      </c>
      <c r="BJ909" s="83" t="s">
        <v>1790</v>
      </c>
    </row>
    <row r="910" spans="1:107" ht="25.5" x14ac:dyDescent="0.2">
      <c r="A910" s="176" t="str">
        <f t="shared" si="14"/>
        <v>WaterTreatmentBed</v>
      </c>
      <c r="B910" s="11" t="s">
        <v>5806</v>
      </c>
      <c r="C910" s="173"/>
      <c r="D910" s="22" t="s">
        <v>5807</v>
      </c>
      <c r="E910" s="15" t="s">
        <v>5808</v>
      </c>
      <c r="F910" s="174"/>
      <c r="G910" s="174"/>
      <c r="H910" s="37">
        <v>100335</v>
      </c>
      <c r="I910" s="25" t="str">
        <f>CONCATENATE(Cover!$D$6,"fdd/view?i=",H910)</f>
        <v>https://www.dgiwg.org/FAD/fdd/view?i=100335</v>
      </c>
      <c r="J910" s="13" t="s">
        <v>5805</v>
      </c>
      <c r="K910" s="172"/>
      <c r="L910" s="172"/>
      <c r="AB910" s="82" t="s">
        <v>1790</v>
      </c>
      <c r="AH910" s="85" t="s">
        <v>1790</v>
      </c>
      <c r="BJ910" s="83" t="s">
        <v>1790</v>
      </c>
    </row>
    <row r="911" spans="1:107" ht="25.5" x14ac:dyDescent="0.2">
      <c r="A911" s="176" t="str">
        <f t="shared" si="14"/>
        <v>WaterTurbulence</v>
      </c>
      <c r="B911" s="11" t="s">
        <v>5810</v>
      </c>
      <c r="C911" s="173"/>
      <c r="D911" s="22" t="s">
        <v>5811</v>
      </c>
      <c r="E911" s="15" t="s">
        <v>5812</v>
      </c>
      <c r="F911" s="174"/>
      <c r="G911" s="174"/>
      <c r="H911" s="37">
        <v>100325</v>
      </c>
      <c r="I911" s="25" t="str">
        <f>CONCATENATE(Cover!$D$6,"fdd/view?i=",H911)</f>
        <v>https://www.dgiwg.org/FAD/fdd/view?i=100325</v>
      </c>
      <c r="J911" s="13" t="s">
        <v>5809</v>
      </c>
      <c r="K911" s="172"/>
      <c r="L911" s="172"/>
      <c r="BE911" s="83" t="s">
        <v>1790</v>
      </c>
    </row>
    <row r="912" spans="1:107" ht="51" x14ac:dyDescent="0.2">
      <c r="A912" s="176" t="str">
        <f t="shared" si="14"/>
        <v>WaterWell</v>
      </c>
      <c r="B912" s="11" t="s">
        <v>5814</v>
      </c>
      <c r="C912" s="173"/>
      <c r="D912" s="22" t="s">
        <v>5815</v>
      </c>
      <c r="E912" s="15" t="s">
        <v>5816</v>
      </c>
      <c r="F912" s="15" t="s">
        <v>5817</v>
      </c>
      <c r="G912" s="174"/>
      <c r="H912" s="37">
        <v>111446</v>
      </c>
      <c r="I912" s="25" t="str">
        <f>CONCATENATE(Cover!$D$6,"fdd/view?i=",H912)</f>
        <v>https://www.dgiwg.org/FAD/fdd/view?i=111446</v>
      </c>
      <c r="J912" s="13" t="s">
        <v>5813</v>
      </c>
      <c r="K912" s="172"/>
      <c r="L912" s="172"/>
      <c r="AJ912" s="83" t="s">
        <v>1790</v>
      </c>
    </row>
    <row r="913" spans="1:99" ht="63.75" x14ac:dyDescent="0.2">
      <c r="A913" s="176" t="str">
        <f t="shared" si="14"/>
        <v>WaterWheel</v>
      </c>
      <c r="B913" s="11" t="s">
        <v>5819</v>
      </c>
      <c r="C913" s="173"/>
      <c r="D913" s="22" t="s">
        <v>5820</v>
      </c>
      <c r="E913" s="15" t="s">
        <v>5821</v>
      </c>
      <c r="F913" s="15" t="s">
        <v>5822</v>
      </c>
      <c r="G913" s="174"/>
      <c r="H913" s="37">
        <v>111345</v>
      </c>
      <c r="I913" s="25" t="str">
        <f>CONCATENATE(Cover!$D$6,"fdd/view?i=",H913)</f>
        <v>https://www.dgiwg.org/FAD/fdd/view?i=111345</v>
      </c>
      <c r="J913" s="13" t="s">
        <v>5818</v>
      </c>
      <c r="K913" s="172"/>
      <c r="L913" s="172"/>
      <c r="AA913" s="81" t="s">
        <v>1790</v>
      </c>
    </row>
    <row r="914" spans="1:99" ht="25.5" x14ac:dyDescent="0.2">
      <c r="A914" s="176" t="str">
        <f t="shared" si="14"/>
        <v>WaterbodyArea</v>
      </c>
      <c r="B914" s="11" t="s">
        <v>5824</v>
      </c>
      <c r="C914" s="173"/>
      <c r="D914" s="22" t="s">
        <v>5825</v>
      </c>
      <c r="E914" s="15" t="s">
        <v>5826</v>
      </c>
      <c r="F914" s="15" t="s">
        <v>5827</v>
      </c>
      <c r="G914" s="174"/>
      <c r="H914" s="37">
        <v>111456</v>
      </c>
      <c r="I914" s="25" t="str">
        <f>CONCATENATE(Cover!$D$6,"fdd/view?i=",H914)</f>
        <v>https://www.dgiwg.org/FAD/fdd/view?i=111456</v>
      </c>
      <c r="J914" s="13" t="s">
        <v>5823</v>
      </c>
      <c r="K914" s="172"/>
      <c r="L914" s="172"/>
      <c r="AZ914" s="87" t="s">
        <v>1790</v>
      </c>
      <c r="CU914" s="87" t="s">
        <v>1790</v>
      </c>
    </row>
    <row r="915" spans="1:99" ht="38.25" x14ac:dyDescent="0.2">
      <c r="A915" s="176" t="str">
        <f t="shared" si="14"/>
        <v>WaterbodyBar</v>
      </c>
      <c r="B915" s="11" t="s">
        <v>5829</v>
      </c>
      <c r="C915" s="173"/>
      <c r="D915" s="22" t="s">
        <v>5830</v>
      </c>
      <c r="E915" s="15" t="s">
        <v>5831</v>
      </c>
      <c r="F915" s="174"/>
      <c r="G915" s="174"/>
      <c r="H915" s="37">
        <v>111435</v>
      </c>
      <c r="I915" s="25" t="str">
        <f>CONCATENATE(Cover!$D$6,"fdd/view?i=",H915)</f>
        <v>https://www.dgiwg.org/FAD/fdd/view?i=111435</v>
      </c>
      <c r="J915" s="13" t="s">
        <v>5828</v>
      </c>
      <c r="K915" s="172"/>
      <c r="L915" s="172"/>
      <c r="BJ915" s="83" t="s">
        <v>1790</v>
      </c>
    </row>
    <row r="916" spans="1:99" ht="51" x14ac:dyDescent="0.2">
      <c r="A916" s="176" t="str">
        <f t="shared" si="14"/>
        <v>WaterbodyDivider</v>
      </c>
      <c r="B916" s="11" t="s">
        <v>5833</v>
      </c>
      <c r="C916" s="173"/>
      <c r="D916" s="22" t="s">
        <v>5834</v>
      </c>
      <c r="E916" s="15" t="s">
        <v>5835</v>
      </c>
      <c r="F916" s="15" t="s">
        <v>5836</v>
      </c>
      <c r="G916" s="174"/>
      <c r="H916" s="37">
        <v>100476</v>
      </c>
      <c r="I916" s="25" t="str">
        <f>CONCATENATE(Cover!$D$6,"fdd/view?i=",H916)</f>
        <v>https://www.dgiwg.org/FAD/fdd/view?i=100476</v>
      </c>
      <c r="J916" s="13" t="s">
        <v>5832</v>
      </c>
      <c r="K916" s="172"/>
      <c r="L916" s="172"/>
      <c r="AS916" s="82" t="s">
        <v>1790</v>
      </c>
      <c r="BI916" s="83" t="s">
        <v>1790</v>
      </c>
    </row>
    <row r="917" spans="1:99" ht="25.5" x14ac:dyDescent="0.2">
      <c r="A917" s="176" t="str">
        <f t="shared" si="14"/>
        <v>WaterbodyMorphologyArea</v>
      </c>
      <c r="B917" s="11" t="s">
        <v>5838</v>
      </c>
      <c r="C917" s="173"/>
      <c r="D917" s="22" t="s">
        <v>5839</v>
      </c>
      <c r="E917" s="15" t="s">
        <v>5840</v>
      </c>
      <c r="F917" s="15" t="s">
        <v>5841</v>
      </c>
      <c r="G917" s="174"/>
      <c r="H917" s="37">
        <v>111457</v>
      </c>
      <c r="I917" s="25" t="str">
        <f>CONCATENATE(Cover!$D$6,"fdd/view?i=",H917)</f>
        <v>https://www.dgiwg.org/FAD/fdd/view?i=111457</v>
      </c>
      <c r="J917" s="13" t="s">
        <v>5837</v>
      </c>
      <c r="K917" s="172"/>
      <c r="L917" s="172"/>
      <c r="BM917" s="82" t="s">
        <v>1790</v>
      </c>
    </row>
    <row r="918" spans="1:99" ht="25.5" x14ac:dyDescent="0.2">
      <c r="A918" s="176" t="str">
        <f t="shared" si="14"/>
        <v>Waterfall</v>
      </c>
      <c r="B918" s="11" t="s">
        <v>5843</v>
      </c>
      <c r="C918" s="173"/>
      <c r="D918" s="22" t="s">
        <v>5842</v>
      </c>
      <c r="E918" s="15" t="s">
        <v>5844</v>
      </c>
      <c r="F918" s="15" t="s">
        <v>5845</v>
      </c>
      <c r="G918" s="15" t="s">
        <v>5846</v>
      </c>
      <c r="H918" s="37">
        <v>100360</v>
      </c>
      <c r="I918" s="25" t="str">
        <f>CONCATENATE(Cover!$D$6,"fdd/view?i=",H918)</f>
        <v>https://www.dgiwg.org/FAD/fdd/view?i=100360</v>
      </c>
      <c r="J918" s="13" t="s">
        <v>5842</v>
      </c>
      <c r="K918" s="172"/>
      <c r="L918" s="172"/>
      <c r="BJ918" s="83" t="s">
        <v>1790</v>
      </c>
    </row>
    <row r="919" spans="1:99" ht="25.5" x14ac:dyDescent="0.2">
      <c r="A919" s="176" t="str">
        <f t="shared" si="14"/>
        <v>WaterHole</v>
      </c>
      <c r="B919" s="11" t="s">
        <v>5848</v>
      </c>
      <c r="C919" s="173"/>
      <c r="D919" s="22" t="s">
        <v>5849</v>
      </c>
      <c r="E919" s="15" t="s">
        <v>5850</v>
      </c>
      <c r="F919" s="174"/>
      <c r="G919" s="174"/>
      <c r="H919" s="37">
        <v>101340</v>
      </c>
      <c r="I919" s="25" t="str">
        <f>CONCATENATE(Cover!$D$6,"fdd/view?i=",H919)</f>
        <v>https://www.dgiwg.org/FAD/fdd/view?i=101340</v>
      </c>
      <c r="J919" s="13" t="s">
        <v>5847</v>
      </c>
      <c r="K919" s="172"/>
      <c r="L919" s="172"/>
      <c r="BJ919" s="83" t="s">
        <v>1790</v>
      </c>
    </row>
    <row r="920" spans="1:99" x14ac:dyDescent="0.2">
      <c r="A920" s="176" t="str">
        <f t="shared" si="14"/>
        <v>Waterwork</v>
      </c>
      <c r="B920" s="11" t="s">
        <v>5852</v>
      </c>
      <c r="C920" s="173"/>
      <c r="D920" s="22" t="s">
        <v>5851</v>
      </c>
      <c r="E920" s="15" t="s">
        <v>5853</v>
      </c>
      <c r="F920" s="174"/>
      <c r="G920" s="174"/>
      <c r="H920" s="37">
        <v>111445</v>
      </c>
      <c r="I920" s="25" t="str">
        <f>CONCATENATE(Cover!$D$6,"fdd/view?i=",H920)</f>
        <v>https://www.dgiwg.org/FAD/fdd/view?i=111445</v>
      </c>
      <c r="J920" s="13" t="s">
        <v>5851</v>
      </c>
      <c r="K920" s="172"/>
      <c r="L920" s="172"/>
      <c r="AB920" s="82" t="s">
        <v>1790</v>
      </c>
    </row>
    <row r="921" spans="1:99" ht="25.5" x14ac:dyDescent="0.2">
      <c r="A921" s="176" t="str">
        <f t="shared" si="14"/>
        <v>WayPoint</v>
      </c>
      <c r="B921" s="11" t="s">
        <v>5855</v>
      </c>
      <c r="C921" s="173"/>
      <c r="D921" s="22" t="s">
        <v>5856</v>
      </c>
      <c r="E921" s="15" t="s">
        <v>5857</v>
      </c>
      <c r="F921" s="174"/>
      <c r="G921" s="15" t="s">
        <v>5858</v>
      </c>
      <c r="H921" s="37">
        <v>114626</v>
      </c>
      <c r="I921" s="25" t="str">
        <f>CONCATENATE(Cover!$D$6,"fdd/view?i=",H921)</f>
        <v>https://www.dgiwg.org/FAD/fdd/view?i=114626</v>
      </c>
      <c r="J921" s="13" t="s">
        <v>5854</v>
      </c>
      <c r="K921" s="172"/>
      <c r="L921" s="172"/>
      <c r="CF921" s="83" t="s">
        <v>1790</v>
      </c>
      <c r="CG921" s="83" t="s">
        <v>1790</v>
      </c>
    </row>
    <row r="922" spans="1:99" ht="25.5" x14ac:dyDescent="0.2">
      <c r="A922" s="176" t="str">
        <f t="shared" si="14"/>
        <v>WeaponLaunchSite</v>
      </c>
      <c r="B922" s="11" t="s">
        <v>5860</v>
      </c>
      <c r="C922" s="173"/>
      <c r="D922" s="22" t="s">
        <v>5861</v>
      </c>
      <c r="E922" s="15" t="s">
        <v>5862</v>
      </c>
      <c r="F922" s="174"/>
      <c r="G922" s="174"/>
      <c r="H922" s="37">
        <v>119711</v>
      </c>
      <c r="I922" s="25" t="str">
        <f>CONCATENATE(Cover!$D$6,"fdd/view?i=",H922)</f>
        <v>https://www.dgiwg.org/FAD/fdd/view?i=119711</v>
      </c>
      <c r="J922" s="13" t="s">
        <v>5859</v>
      </c>
      <c r="K922" s="172"/>
      <c r="L922" s="172"/>
      <c r="CJ922" s="81" t="s">
        <v>1790</v>
      </c>
      <c r="CK922" s="82" t="s">
        <v>1790</v>
      </c>
    </row>
    <row r="923" spans="1:99" ht="51" x14ac:dyDescent="0.2">
      <c r="A923" s="176" t="str">
        <f t="shared" si="14"/>
        <v>WeighStation</v>
      </c>
      <c r="B923" s="11" t="s">
        <v>5864</v>
      </c>
      <c r="C923" s="173"/>
      <c r="D923" s="22" t="s">
        <v>5865</v>
      </c>
      <c r="E923" s="15" t="s">
        <v>5866</v>
      </c>
      <c r="F923" s="15" t="s">
        <v>5867</v>
      </c>
      <c r="G923" s="15" t="s">
        <v>5868</v>
      </c>
      <c r="H923" s="37">
        <v>111432</v>
      </c>
      <c r="I923" s="25" t="str">
        <f>CONCATENATE(Cover!$D$6,"fdd/view?i=",H923)</f>
        <v>https://www.dgiwg.org/FAD/fdd/view?i=111432</v>
      </c>
      <c r="J923" s="13" t="s">
        <v>5863</v>
      </c>
      <c r="K923" s="172"/>
      <c r="L923" s="172"/>
      <c r="AQ923" s="82" t="s">
        <v>1790</v>
      </c>
    </row>
    <row r="924" spans="1:99" ht="38.25" x14ac:dyDescent="0.2">
      <c r="A924" s="176" t="str">
        <f t="shared" si="14"/>
        <v>WeightBearingRestriction</v>
      </c>
      <c r="B924" s="11" t="s">
        <v>5870</v>
      </c>
      <c r="C924" s="173"/>
      <c r="D924" s="22" t="s">
        <v>5871</v>
      </c>
      <c r="E924" s="15" t="s">
        <v>5872</v>
      </c>
      <c r="F924" s="15" t="s">
        <v>5873</v>
      </c>
      <c r="G924" s="174"/>
      <c r="H924" s="37">
        <v>118441</v>
      </c>
      <c r="I924" s="25" t="str">
        <f>CONCATENATE(Cover!$D$6,"fdd/view?i=",H924)</f>
        <v>https://www.dgiwg.org/FAD/fdd/view?i=118441</v>
      </c>
      <c r="J924" s="13" t="s">
        <v>5869</v>
      </c>
      <c r="K924" s="172"/>
      <c r="L924" s="172"/>
      <c r="AP924" s="81" t="s">
        <v>1790</v>
      </c>
      <c r="AQ924" s="82" t="s">
        <v>1790</v>
      </c>
      <c r="AU924" s="82" t="s">
        <v>1790</v>
      </c>
    </row>
    <row r="925" spans="1:99" ht="25.5" x14ac:dyDescent="0.2">
      <c r="A925" s="176" t="str">
        <f t="shared" si="14"/>
        <v>Well</v>
      </c>
      <c r="B925" s="11" t="s">
        <v>5875</v>
      </c>
      <c r="C925" s="173"/>
      <c r="D925" s="22" t="s">
        <v>5874</v>
      </c>
      <c r="E925" s="15" t="s">
        <v>5876</v>
      </c>
      <c r="F925" s="174"/>
      <c r="G925" s="174"/>
      <c r="H925" s="37">
        <v>100006</v>
      </c>
      <c r="I925" s="25" t="str">
        <f>CONCATENATE(Cover!$D$6,"fdd/view?i=",H925)</f>
        <v>https://www.dgiwg.org/FAD/fdd/view?i=100006</v>
      </c>
      <c r="J925" s="13" t="s">
        <v>5874</v>
      </c>
      <c r="K925" s="172"/>
      <c r="L925" s="172"/>
      <c r="AA925" s="81" t="s">
        <v>1790</v>
      </c>
      <c r="AC925" s="82" t="s">
        <v>1790</v>
      </c>
      <c r="AF925" s="82" t="s">
        <v>1790</v>
      </c>
      <c r="BJ925" s="83" t="s">
        <v>1790</v>
      </c>
      <c r="BP925" s="82" t="s">
        <v>1790</v>
      </c>
    </row>
    <row r="926" spans="1:99" ht="51" x14ac:dyDescent="0.2">
      <c r="A926" s="176" t="str">
        <f t="shared" si="14"/>
        <v>WellHead</v>
      </c>
      <c r="B926" s="11" t="s">
        <v>5878</v>
      </c>
      <c r="C926" s="173"/>
      <c r="D926" s="22" t="s">
        <v>5879</v>
      </c>
      <c r="E926" s="15" t="s">
        <v>5880</v>
      </c>
      <c r="F926" s="15" t="s">
        <v>5881</v>
      </c>
      <c r="G926" s="174"/>
      <c r="H926" s="37">
        <v>100007</v>
      </c>
      <c r="I926" s="25" t="str">
        <f>CONCATENATE(Cover!$D$6,"fdd/view?i=",H926)</f>
        <v>https://www.dgiwg.org/FAD/fdd/view?i=100007</v>
      </c>
      <c r="J926" s="13" t="s">
        <v>5877</v>
      </c>
      <c r="K926" s="172"/>
      <c r="L926" s="172"/>
      <c r="AA926" s="81" t="s">
        <v>1790</v>
      </c>
      <c r="AF926" s="82" t="s">
        <v>1790</v>
      </c>
    </row>
    <row r="927" spans="1:99" x14ac:dyDescent="0.2">
      <c r="A927" s="176" t="str">
        <f t="shared" si="14"/>
        <v>Wetland</v>
      </c>
      <c r="B927" s="11" t="s">
        <v>5883</v>
      </c>
      <c r="C927" s="173"/>
      <c r="D927" s="22" t="s">
        <v>5882</v>
      </c>
      <c r="E927" s="15" t="s">
        <v>5884</v>
      </c>
      <c r="F927" s="174"/>
      <c r="G927" s="174"/>
      <c r="H927" s="37">
        <v>100344</v>
      </c>
      <c r="I927" s="25" t="str">
        <f>CONCATENATE(Cover!$D$6,"fdd/view?i=",H927)</f>
        <v>https://www.dgiwg.org/FAD/fdd/view?i=100344</v>
      </c>
      <c r="J927" s="13" t="s">
        <v>5882</v>
      </c>
      <c r="K927" s="172"/>
      <c r="L927" s="172"/>
      <c r="BJ927" s="83" t="s">
        <v>1790</v>
      </c>
      <c r="BX927" s="83" t="s">
        <v>1790</v>
      </c>
    </row>
    <row r="928" spans="1:99" ht="76.5" x14ac:dyDescent="0.2">
      <c r="A928" s="176" t="str">
        <f t="shared" si="14"/>
        <v>WildlandFirePerimeter</v>
      </c>
      <c r="B928" s="11" t="s">
        <v>5886</v>
      </c>
      <c r="C928" s="173"/>
      <c r="D928" s="22" t="s">
        <v>5887</v>
      </c>
      <c r="E928" s="15" t="s">
        <v>5888</v>
      </c>
      <c r="F928" s="15" t="s">
        <v>5889</v>
      </c>
      <c r="G928" s="174"/>
      <c r="H928" s="37">
        <v>118997</v>
      </c>
      <c r="I928" s="25" t="str">
        <f>CONCATENATE(Cover!$D$6,"fdd/view?i=",H928)</f>
        <v>https://www.dgiwg.org/FAD/fdd/view?i=118997</v>
      </c>
      <c r="J928" s="13" t="s">
        <v>5885</v>
      </c>
      <c r="K928" s="172"/>
      <c r="L928" s="172"/>
      <c r="BW928" s="83" t="s">
        <v>1790</v>
      </c>
      <c r="BZ928" s="83" t="s">
        <v>1790</v>
      </c>
    </row>
    <row r="929" spans="1:109" ht="25.5" x14ac:dyDescent="0.2">
      <c r="A929" s="176" t="str">
        <f t="shared" si="14"/>
        <v>WindDirectionIndicator</v>
      </c>
      <c r="B929" s="11" t="s">
        <v>5891</v>
      </c>
      <c r="C929" s="173"/>
      <c r="D929" s="22" t="s">
        <v>5892</v>
      </c>
      <c r="E929" s="15" t="s">
        <v>5893</v>
      </c>
      <c r="F929" s="174"/>
      <c r="G929" s="15" t="s">
        <v>5894</v>
      </c>
      <c r="H929" s="37">
        <v>114615</v>
      </c>
      <c r="I929" s="25" t="str">
        <f>CONCATENATE(Cover!$D$6,"fdd/view?i=",H929)</f>
        <v>https://www.dgiwg.org/FAD/fdd/view?i=114615</v>
      </c>
      <c r="J929" s="13" t="s">
        <v>5890</v>
      </c>
      <c r="K929" s="172"/>
      <c r="L929" s="172"/>
      <c r="CE929" s="87" t="s">
        <v>1790</v>
      </c>
    </row>
    <row r="930" spans="1:109" ht="25.5" x14ac:dyDescent="0.2">
      <c r="A930" s="176" t="str">
        <f t="shared" si="14"/>
        <v>WindFarm</v>
      </c>
      <c r="B930" s="11" t="s">
        <v>5896</v>
      </c>
      <c r="C930" s="173"/>
      <c r="D930" s="22" t="s">
        <v>5897</v>
      </c>
      <c r="E930" s="15" t="s">
        <v>5898</v>
      </c>
      <c r="F930" s="174"/>
      <c r="G930" s="174"/>
      <c r="H930" s="37">
        <v>114172</v>
      </c>
      <c r="I930" s="25" t="str">
        <f>CONCATENATE(Cover!$D$6,"fdd/view?i=",H930)</f>
        <v>https://www.dgiwg.org/FAD/fdd/view?i=114172</v>
      </c>
      <c r="J930" s="13" t="s">
        <v>5895</v>
      </c>
      <c r="K930" s="172"/>
      <c r="L930" s="172"/>
      <c r="AD930" s="82" t="s">
        <v>1790</v>
      </c>
    </row>
    <row r="931" spans="1:109" x14ac:dyDescent="0.2">
      <c r="A931" s="176" t="str">
        <f t="shared" si="14"/>
        <v>WindTurbine</v>
      </c>
      <c r="B931" s="11" t="s">
        <v>5900</v>
      </c>
      <c r="C931" s="173"/>
      <c r="D931" s="22" t="s">
        <v>5901</v>
      </c>
      <c r="E931" s="15" t="s">
        <v>5902</v>
      </c>
      <c r="F931" s="174"/>
      <c r="G931" s="15" t="s">
        <v>5903</v>
      </c>
      <c r="H931" s="37">
        <v>100049</v>
      </c>
      <c r="I931" s="25" t="str">
        <f>CONCATENATE(Cover!$D$6,"fdd/view?i=",H931)</f>
        <v>https://www.dgiwg.org/FAD/fdd/view?i=100049</v>
      </c>
      <c r="J931" s="13" t="s">
        <v>5899</v>
      </c>
      <c r="K931" s="172"/>
      <c r="L931" s="172"/>
      <c r="AC931" s="82" t="s">
        <v>1790</v>
      </c>
      <c r="AD931" s="82" t="s">
        <v>1790</v>
      </c>
    </row>
    <row r="932" spans="1:109" ht="25.5" x14ac:dyDescent="0.2">
      <c r="A932" s="176" t="str">
        <f t="shared" si="14"/>
        <v>Windmill</v>
      </c>
      <c r="B932" s="11" t="s">
        <v>5905</v>
      </c>
      <c r="C932" s="173"/>
      <c r="D932" s="22" t="s">
        <v>5904</v>
      </c>
      <c r="E932" s="15" t="s">
        <v>5906</v>
      </c>
      <c r="F932" s="174"/>
      <c r="G932" s="174"/>
      <c r="H932" s="37">
        <v>100048</v>
      </c>
      <c r="I932" s="25" t="str">
        <f>CONCATENATE(Cover!$D$6,"fdd/view?i=",H932)</f>
        <v>https://www.dgiwg.org/FAD/fdd/view?i=100048</v>
      </c>
      <c r="J932" s="13" t="s">
        <v>5904</v>
      </c>
      <c r="K932" s="172"/>
      <c r="L932" s="172"/>
      <c r="AC932" s="82" t="s">
        <v>1790</v>
      </c>
    </row>
    <row r="933" spans="1:109" ht="25.5" x14ac:dyDescent="0.2">
      <c r="A933" s="176" t="str">
        <f t="shared" si="14"/>
        <v>WirelessTelecomInfo</v>
      </c>
      <c r="B933" s="11" t="s">
        <v>5908</v>
      </c>
      <c r="C933" s="173"/>
      <c r="D933" s="22" t="s">
        <v>5909</v>
      </c>
      <c r="E933" s="15" t="s">
        <v>5910</v>
      </c>
      <c r="F933" s="174"/>
      <c r="G933" s="174"/>
      <c r="H933" s="37">
        <v>114201</v>
      </c>
      <c r="I933" s="25" t="str">
        <f>CONCATENATE(Cover!$D$6,"fdd/view?i=",H933)</f>
        <v>https://www.dgiwg.org/FAD/fdd/view?i=114201</v>
      </c>
      <c r="J933" s="13" t="s">
        <v>5907</v>
      </c>
      <c r="K933" s="172"/>
      <c r="L933" s="172"/>
      <c r="DC933" s="87" t="s">
        <v>1790</v>
      </c>
    </row>
    <row r="934" spans="1:109" ht="25.5" x14ac:dyDescent="0.2">
      <c r="A934" s="176" t="str">
        <f t="shared" si="14"/>
        <v>Wood</v>
      </c>
      <c r="B934" s="11" t="s">
        <v>5912</v>
      </c>
      <c r="C934" s="173"/>
      <c r="D934" s="22" t="s">
        <v>5911</v>
      </c>
      <c r="E934" s="15" t="s">
        <v>5913</v>
      </c>
      <c r="F934" s="174"/>
      <c r="G934" s="15" t="s">
        <v>5914</v>
      </c>
      <c r="H934" s="37">
        <v>100446</v>
      </c>
      <c r="I934" s="25" t="str">
        <f>CONCATENATE(Cover!$D$6,"fdd/view?i=",H934)</f>
        <v>https://www.dgiwg.org/FAD/fdd/view?i=100446</v>
      </c>
      <c r="J934" s="13" t="s">
        <v>5911</v>
      </c>
      <c r="K934" s="172"/>
      <c r="L934" s="172"/>
      <c r="BW934" s="83" t="s">
        <v>1790</v>
      </c>
    </row>
    <row r="935" spans="1:109" ht="25.5" x14ac:dyDescent="0.2">
      <c r="A935" s="176" t="str">
        <f t="shared" si="14"/>
        <v>WoodenCauseway</v>
      </c>
      <c r="B935" s="11" t="s">
        <v>5916</v>
      </c>
      <c r="C935" s="173"/>
      <c r="D935" s="22" t="s">
        <v>5917</v>
      </c>
      <c r="E935" s="15" t="s">
        <v>5918</v>
      </c>
      <c r="F935" s="174"/>
      <c r="G935" s="15" t="s">
        <v>5919</v>
      </c>
      <c r="H935" s="37">
        <v>100153</v>
      </c>
      <c r="I935" s="25" t="str">
        <f>CONCATENATE(Cover!$D$6,"fdd/view?i=",H935)</f>
        <v>https://www.dgiwg.org/FAD/fdd/view?i=100153</v>
      </c>
      <c r="J935" s="13" t="s">
        <v>5915</v>
      </c>
      <c r="K935" s="172"/>
      <c r="L935" s="172"/>
      <c r="AQ935" s="82" t="s">
        <v>1790</v>
      </c>
      <c r="AW935" s="82" t="s">
        <v>1790</v>
      </c>
    </row>
    <row r="936" spans="1:109" ht="25.5" x14ac:dyDescent="0.2">
      <c r="A936" s="176" t="str">
        <f t="shared" si="14"/>
        <v>Wreck</v>
      </c>
      <c r="B936" s="11" t="s">
        <v>5921</v>
      </c>
      <c r="C936" s="173"/>
      <c r="D936" s="22" t="s">
        <v>5920</v>
      </c>
      <c r="E936" s="15" t="s">
        <v>5922</v>
      </c>
      <c r="F936" s="174"/>
      <c r="G936" s="174"/>
      <c r="H936" s="37">
        <v>100308</v>
      </c>
      <c r="I936" s="25" t="str">
        <f>CONCATENATE(Cover!$D$6,"fdd/view?i=",H936)</f>
        <v>https://www.dgiwg.org/FAD/fdd/view?i=100308</v>
      </c>
      <c r="J936" s="13" t="s">
        <v>5920</v>
      </c>
      <c r="K936" s="172"/>
      <c r="L936" s="172"/>
      <c r="BG936" s="83" t="s">
        <v>1790</v>
      </c>
    </row>
    <row r="937" spans="1:109" ht="25.5" x14ac:dyDescent="0.2">
      <c r="A937" s="177" t="str">
        <f t="shared" si="14"/>
        <v>Zoo</v>
      </c>
      <c r="B937" s="178" t="s">
        <v>5924</v>
      </c>
      <c r="C937" s="179"/>
      <c r="D937" s="180" t="s">
        <v>5923</v>
      </c>
      <c r="E937" s="181" t="s">
        <v>5925</v>
      </c>
      <c r="F937" s="182"/>
      <c r="G937" s="181" t="s">
        <v>5926</v>
      </c>
      <c r="H937" s="183">
        <v>100076</v>
      </c>
      <c r="I937" s="184" t="str">
        <f>CONCATENATE(Cover!$D$6,"fdd/view?i=",H937)</f>
        <v>https://www.dgiwg.org/FAD/fdd/view?i=100076</v>
      </c>
      <c r="J937" s="181" t="s">
        <v>5923</v>
      </c>
      <c r="K937" s="182"/>
      <c r="L937" s="182"/>
      <c r="M937" s="185"/>
      <c r="N937" s="181"/>
      <c r="O937" s="181"/>
      <c r="P937" s="181"/>
      <c r="Q937" s="181"/>
      <c r="R937" s="181"/>
      <c r="S937" s="181"/>
      <c r="T937" s="181"/>
      <c r="U937" s="181"/>
      <c r="V937" s="181"/>
      <c r="W937" s="181"/>
      <c r="X937" s="181"/>
      <c r="Y937" s="181"/>
      <c r="Z937" s="181"/>
      <c r="AA937" s="259"/>
      <c r="AB937" s="260"/>
      <c r="AC937" s="260"/>
      <c r="AD937" s="260"/>
      <c r="AE937" s="260"/>
      <c r="AF937" s="260"/>
      <c r="AG937" s="260"/>
      <c r="AH937" s="261"/>
      <c r="AI937" s="262"/>
      <c r="AJ937" s="263"/>
      <c r="AK937" s="263"/>
      <c r="AL937" s="263" t="s">
        <v>1790</v>
      </c>
      <c r="AM937" s="263"/>
      <c r="AN937" s="263"/>
      <c r="AO937" s="264"/>
      <c r="AP937" s="259"/>
      <c r="AQ937" s="260"/>
      <c r="AR937" s="260"/>
      <c r="AS937" s="260"/>
      <c r="AT937" s="260"/>
      <c r="AU937" s="260"/>
      <c r="AV937" s="260"/>
      <c r="AW937" s="260"/>
      <c r="AX937" s="260"/>
      <c r="AY937" s="261"/>
      <c r="AZ937" s="262"/>
      <c r="BA937" s="263"/>
      <c r="BB937" s="263"/>
      <c r="BC937" s="263"/>
      <c r="BD937" s="263"/>
      <c r="BE937" s="263"/>
      <c r="BF937" s="263"/>
      <c r="BG937" s="263"/>
      <c r="BH937" s="263"/>
      <c r="BI937" s="263"/>
      <c r="BJ937" s="263"/>
      <c r="BK937" s="264"/>
      <c r="BL937" s="259"/>
      <c r="BM937" s="260"/>
      <c r="BN937" s="260"/>
      <c r="BO937" s="260"/>
      <c r="BP937" s="260"/>
      <c r="BQ937" s="260"/>
      <c r="BR937" s="260"/>
      <c r="BS937" s="260"/>
      <c r="BT937" s="261"/>
      <c r="BU937" s="262"/>
      <c r="BV937" s="263"/>
      <c r="BW937" s="263"/>
      <c r="BX937" s="263"/>
      <c r="BY937" s="263"/>
      <c r="BZ937" s="263"/>
      <c r="CA937" s="263" t="s">
        <v>1790</v>
      </c>
      <c r="CB937" s="264"/>
      <c r="CC937" s="259"/>
      <c r="CD937" s="261"/>
      <c r="CE937" s="262"/>
      <c r="CF937" s="263"/>
      <c r="CG937" s="263"/>
      <c r="CH937" s="263"/>
      <c r="CI937" s="264"/>
      <c r="CJ937" s="259"/>
      <c r="CK937" s="260"/>
      <c r="CL937" s="261"/>
      <c r="CM937" s="262"/>
      <c r="CN937" s="263"/>
      <c r="CO937" s="264"/>
      <c r="CP937" s="265"/>
      <c r="CQ937" s="266"/>
      <c r="CR937" s="266"/>
      <c r="CS937" s="266"/>
      <c r="CT937" s="267"/>
      <c r="CU937" s="262"/>
      <c r="CV937" s="263"/>
      <c r="CW937" s="265"/>
      <c r="CX937" s="266"/>
      <c r="CY937" s="266"/>
      <c r="CZ937" s="266"/>
      <c r="DA937" s="266"/>
      <c r="DB937" s="267"/>
      <c r="DC937" s="262"/>
      <c r="DD937" s="263"/>
      <c r="DE937" s="268"/>
    </row>
    <row r="938" spans="1:109" x14ac:dyDescent="0.2">
      <c r="A938" s="68"/>
      <c r="AA938" s="250"/>
      <c r="AB938" s="251"/>
      <c r="AC938" s="251"/>
      <c r="AD938" s="251"/>
      <c r="AE938" s="251"/>
      <c r="AF938" s="251"/>
      <c r="AG938" s="251"/>
      <c r="AH938" s="252"/>
      <c r="AI938" s="253"/>
      <c r="AJ938" s="254"/>
      <c r="AK938" s="254"/>
      <c r="AL938" s="254"/>
      <c r="AM938" s="254"/>
      <c r="AN938" s="254"/>
      <c r="AO938" s="255"/>
      <c r="AP938" s="250"/>
      <c r="AQ938" s="251"/>
      <c r="AR938" s="251"/>
      <c r="AS938" s="251"/>
      <c r="AT938" s="251"/>
      <c r="AU938" s="251"/>
      <c r="AV938" s="251"/>
      <c r="AW938" s="251"/>
      <c r="AX938" s="251"/>
      <c r="AY938" s="252"/>
      <c r="AZ938" s="253"/>
      <c r="BA938" s="254"/>
      <c r="BB938" s="254"/>
      <c r="BC938" s="254"/>
      <c r="BD938" s="254"/>
      <c r="BE938" s="254"/>
      <c r="BF938" s="254"/>
      <c r="BG938" s="254"/>
      <c r="BH938" s="254"/>
      <c r="BI938" s="254"/>
      <c r="BJ938" s="254"/>
      <c r="BK938" s="255"/>
      <c r="BL938" s="250"/>
      <c r="BM938" s="251"/>
      <c r="BN938" s="251"/>
      <c r="BO938" s="251"/>
      <c r="BP938" s="251"/>
      <c r="BQ938" s="251"/>
      <c r="BR938" s="251"/>
      <c r="BS938" s="251"/>
      <c r="BT938" s="252"/>
      <c r="BU938" s="253"/>
      <c r="BV938" s="254"/>
      <c r="BW938" s="254"/>
      <c r="BX938" s="254"/>
      <c r="BY938" s="254"/>
      <c r="BZ938" s="254"/>
      <c r="CA938" s="254"/>
      <c r="CB938" s="255"/>
      <c r="CC938" s="250"/>
      <c r="CD938" s="252"/>
      <c r="CE938" s="253"/>
      <c r="CF938" s="254"/>
      <c r="CG938" s="254"/>
      <c r="CH938" s="254"/>
      <c r="CI938" s="255"/>
      <c r="CJ938" s="250"/>
      <c r="CK938" s="251"/>
      <c r="CL938" s="252"/>
      <c r="CM938" s="253"/>
      <c r="CN938" s="254"/>
      <c r="CO938" s="255"/>
      <c r="CP938" s="256"/>
      <c r="CQ938" s="257"/>
      <c r="CR938" s="257"/>
      <c r="CS938" s="257"/>
      <c r="CT938" s="258"/>
      <c r="CU938" s="253"/>
      <c r="CV938" s="254"/>
      <c r="CW938" s="256"/>
      <c r="CX938" s="257"/>
      <c r="CY938" s="257"/>
      <c r="CZ938" s="257"/>
      <c r="DA938" s="257"/>
      <c r="DB938" s="258"/>
      <c r="DC938" s="253"/>
      <c r="DD938" s="254"/>
    </row>
  </sheetData>
  <autoFilter ref="AA2:DD2"/>
  <mergeCells count="27">
    <mergeCell ref="U1:U2"/>
    <mergeCell ref="V1:V2"/>
    <mergeCell ref="N1:N2"/>
    <mergeCell ref="O1:O2"/>
    <mergeCell ref="P1:P2"/>
    <mergeCell ref="Q1:Q2"/>
    <mergeCell ref="R1:R2"/>
    <mergeCell ref="S1:S2"/>
    <mergeCell ref="T1:T2"/>
    <mergeCell ref="BL1:BT1"/>
    <mergeCell ref="X1:X2"/>
    <mergeCell ref="Y1:Y2"/>
    <mergeCell ref="Z1:Z2"/>
    <mergeCell ref="W1:W2"/>
    <mergeCell ref="AA1:AH1"/>
    <mergeCell ref="AI1:AO1"/>
    <mergeCell ref="AP1:AY1"/>
    <mergeCell ref="AZ1:BK1"/>
    <mergeCell ref="CW1:DB1"/>
    <mergeCell ref="DC1:DD1"/>
    <mergeCell ref="BU1:CB1"/>
    <mergeCell ref="CC1:CD1"/>
    <mergeCell ref="CE1:CI1"/>
    <mergeCell ref="CJ1:CL1"/>
    <mergeCell ref="CM1:CO1"/>
    <mergeCell ref="CU1:CV1"/>
    <mergeCell ref="CP1:CT1"/>
  </mergeCells>
  <phoneticPr fontId="1" type="noConversion"/>
  <pageMargins left="0.53" right="0.39" top="0.56000000000000005" bottom="0.56000000000000005" header="0.43" footer="0.4"/>
  <pageSetup scale="65" orientation="landscape" r:id="rId1"/>
  <headerFooter alignWithMargins="0">
    <oddHeader>&amp;A</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31"/>
  </sheetPr>
  <dimension ref="A1:DE1777"/>
  <sheetViews>
    <sheetView zoomScale="80" zoomScaleNormal="80" workbookViewId="0">
      <pane xSplit="4" ySplit="2" topLeftCell="E3" activePane="bottomRight" state="frozen"/>
      <selection pane="topRight" activeCell="D1" sqref="D1"/>
      <selection pane="bottomLeft" activeCell="A2" sqref="A2"/>
      <selection pane="bottomRight"/>
    </sheetView>
  </sheetViews>
  <sheetFormatPr baseColWidth="10" defaultColWidth="9.140625" defaultRowHeight="12.75" x14ac:dyDescent="0.2"/>
  <cols>
    <col min="1" max="1" width="28.85546875" style="26" customWidth="1"/>
    <col min="2" max="2" width="6.7109375" style="11" customWidth="1"/>
    <col min="3" max="3" width="6.28515625" style="11" hidden="1" customWidth="1"/>
    <col min="4" max="4" width="54.7109375" style="22" customWidth="1"/>
    <col min="5" max="5" width="63.42578125" style="15" customWidth="1"/>
    <col min="6" max="6" width="49.140625" style="15" customWidth="1"/>
    <col min="7" max="7" width="27.140625" style="15" customWidth="1"/>
    <col min="8" max="8" width="5" style="17" customWidth="1"/>
    <col min="9" max="9" width="11" style="17" customWidth="1"/>
    <col min="10" max="10" width="24.7109375" style="15" customWidth="1"/>
    <col min="11" max="11" width="18" style="120" customWidth="1"/>
    <col min="12" max="13" width="18" style="121" customWidth="1"/>
    <col min="14" max="14" width="9.28515625" style="24" customWidth="1"/>
    <col min="15" max="15" width="7.5703125" style="17" customWidth="1"/>
    <col min="16" max="16" width="0" style="37" hidden="1" customWidth="1"/>
    <col min="17" max="17" width="2.5703125" style="36" hidden="1" customWidth="1"/>
    <col min="18" max="19" width="30.7109375" style="13" hidden="1" customWidth="1"/>
    <col min="20" max="20" width="35.7109375" style="13" customWidth="1"/>
    <col min="21" max="21" width="8.140625" style="105" hidden="1" customWidth="1"/>
    <col min="22" max="26" width="2.7109375" style="15" hidden="1" customWidth="1"/>
    <col min="27" max="27" width="3" style="81" customWidth="1"/>
    <col min="28" max="33" width="3" style="82" customWidth="1"/>
    <col min="34" max="34" width="3" style="85" customWidth="1"/>
    <col min="35" max="35" width="3" style="87" customWidth="1"/>
    <col min="36" max="40" width="3" style="83" customWidth="1"/>
    <col min="41" max="41" width="3" style="89" customWidth="1"/>
    <col min="42" max="42" width="3" style="81" customWidth="1"/>
    <col min="43" max="50" width="3" style="82" customWidth="1"/>
    <col min="51" max="51" width="3" style="85" customWidth="1"/>
    <col min="52" max="52" width="3" style="87" customWidth="1"/>
    <col min="53" max="62" width="3" style="83" customWidth="1"/>
    <col min="63" max="63" width="3" style="89" customWidth="1"/>
    <col min="64" max="64" width="3" style="81" customWidth="1"/>
    <col min="65" max="71" width="3" style="82" customWidth="1"/>
    <col min="72" max="72" width="3" style="85" customWidth="1"/>
    <col min="73" max="73" width="3" style="87" customWidth="1"/>
    <col min="74" max="79" width="3" style="83" customWidth="1"/>
    <col min="80" max="80" width="3" style="89" customWidth="1"/>
    <col min="81" max="81" width="3" style="81" customWidth="1"/>
    <col min="82" max="82" width="3" style="85" customWidth="1"/>
    <col min="83" max="83" width="3" style="87" customWidth="1"/>
    <col min="84" max="86" width="3" style="83" customWidth="1"/>
    <col min="87" max="87" width="3" style="89" customWidth="1"/>
    <col min="88" max="88" width="3" style="81" customWidth="1"/>
    <col min="89" max="89" width="3" style="82" customWidth="1"/>
    <col min="90" max="90" width="3" style="85" customWidth="1"/>
    <col min="91" max="91" width="3" style="87" customWidth="1"/>
    <col min="92" max="92" width="3" style="83" customWidth="1"/>
    <col min="93" max="93" width="3" style="89" customWidth="1"/>
    <col min="94" max="94" width="3" style="164" customWidth="1"/>
    <col min="95" max="97" width="3" style="165" customWidth="1"/>
    <col min="98" max="98" width="3" style="166" customWidth="1"/>
    <col min="99" max="99" width="3" style="87" customWidth="1"/>
    <col min="100" max="100" width="3" style="83" customWidth="1"/>
    <col min="101" max="101" width="3" style="164" customWidth="1"/>
    <col min="102" max="105" width="3" style="165" customWidth="1"/>
    <col min="106" max="106" width="3" style="166" customWidth="1"/>
    <col min="107" max="107" width="3" style="87" customWidth="1"/>
    <col min="108" max="108" width="3" style="83" customWidth="1"/>
    <col min="109" max="109" width="9.140625" style="34"/>
    <col min="110" max="16384" width="9.140625" style="15"/>
  </cols>
  <sheetData>
    <row r="1" spans="1:109" ht="83.25" customHeight="1" x14ac:dyDescent="0.2">
      <c r="A1" s="74"/>
      <c r="B1" s="61"/>
      <c r="C1" s="61"/>
      <c r="D1" s="62"/>
      <c r="E1" s="63"/>
      <c r="F1" s="63"/>
      <c r="G1" s="63"/>
      <c r="H1" s="71"/>
      <c r="I1" s="71"/>
      <c r="J1" s="63"/>
      <c r="K1" s="117"/>
      <c r="L1" s="118"/>
      <c r="M1" s="118"/>
      <c r="N1" s="72"/>
      <c r="O1" s="71"/>
      <c r="P1" s="64"/>
      <c r="Q1" s="73"/>
      <c r="R1" s="113"/>
      <c r="S1" s="113"/>
      <c r="T1" s="113"/>
      <c r="U1" s="103"/>
      <c r="V1" s="407"/>
      <c r="W1" s="407"/>
      <c r="X1" s="407"/>
      <c r="Y1" s="407"/>
      <c r="Z1" s="407"/>
      <c r="AA1" s="404" t="str">
        <f>HYPERLINK(CONCATENATE("[#]Groups!$A$",MATCH("01",Groups!$A$1:$A$83,0),":$D$",MATCH("01",Groups!$A$1:$A$83,0)),"Industries &amp; Services")</f>
        <v>Industries &amp; Services</v>
      </c>
      <c r="AB1" s="405"/>
      <c r="AC1" s="405"/>
      <c r="AD1" s="405"/>
      <c r="AE1" s="405"/>
      <c r="AF1" s="405"/>
      <c r="AG1" s="405"/>
      <c r="AH1" s="406"/>
      <c r="AI1" s="392" t="str">
        <f>HYPERLINK(CONCATENATE("[#]Groups!$A$",MATCH("02",Groups!$A$1:$A$83,0),":$D$",MATCH("02",Groups!$A$1:$A$83,0)),"Socio-economic Geography")</f>
        <v>Socio-economic Geography</v>
      </c>
      <c r="AJ1" s="393"/>
      <c r="AK1" s="393"/>
      <c r="AL1" s="393"/>
      <c r="AM1" s="393"/>
      <c r="AN1" s="393"/>
      <c r="AO1" s="393"/>
      <c r="AP1" s="398" t="str">
        <f>HYPERLINK(CONCATENATE("[#]Groups!$A$",MATCH("03",Groups!$A$1:$A$83,0),":$D$",MATCH("03",Groups!$A$1:$A$83,0)),"Transportation")</f>
        <v>Transportation</v>
      </c>
      <c r="AQ1" s="399"/>
      <c r="AR1" s="399"/>
      <c r="AS1" s="399"/>
      <c r="AT1" s="399"/>
      <c r="AU1" s="399"/>
      <c r="AV1" s="399"/>
      <c r="AW1" s="399"/>
      <c r="AX1" s="399"/>
      <c r="AY1" s="399"/>
      <c r="AZ1" s="392" t="str">
        <f>HYPERLINK(CONCATENATE("[#]Groups!$A$",MATCH("04",Groups!$A$1:$A$83,0),":$D$",MATCH("04",Groups!$A$1:$A$83,0)),"Hydrography &amp; Oceanography")</f>
        <v>Hydrography &amp; Oceanography</v>
      </c>
      <c r="BA1" s="393"/>
      <c r="BB1" s="393"/>
      <c r="BC1" s="393"/>
      <c r="BD1" s="393"/>
      <c r="BE1" s="393"/>
      <c r="BF1" s="393"/>
      <c r="BG1" s="393"/>
      <c r="BH1" s="393"/>
      <c r="BI1" s="393"/>
      <c r="BJ1" s="393"/>
      <c r="BK1" s="393"/>
      <c r="BL1" s="398" t="str">
        <f>HYPERLINK(CONCATENATE("[#]Groups!$A$",MATCH("05",Groups!$A$1:$A$83,0),":$D$",MATCH("05",Groups!$A$1:$A$83,0)),"Physiography")</f>
        <v>Physiography</v>
      </c>
      <c r="BM1" s="399"/>
      <c r="BN1" s="399"/>
      <c r="BO1" s="399"/>
      <c r="BP1" s="399"/>
      <c r="BQ1" s="399"/>
      <c r="BR1" s="399"/>
      <c r="BS1" s="399"/>
      <c r="BT1" s="399"/>
      <c r="BU1" s="392" t="str">
        <f>HYPERLINK(CONCATENATE("[#]Groups!$A$",MATCH("06",Groups!$A$1:$A$83,0),":$D$",MATCH("06",Groups!$A$1:$A$83,0)),"Biota")</f>
        <v>Biota</v>
      </c>
      <c r="BV1" s="393"/>
      <c r="BW1" s="393"/>
      <c r="BX1" s="393"/>
      <c r="BY1" s="393"/>
      <c r="BZ1" s="393"/>
      <c r="CA1" s="393"/>
      <c r="CB1" s="393"/>
      <c r="CC1" s="394" t="str">
        <f>HYPERLINK(CONCATENATE("[#]Groups!$A$",MATCH("07",Groups!$A$1:$A$83,0),":$D$",MATCH("07",Groups!$A$1:$A$83,0)),"Demarcation")</f>
        <v>Demarcation</v>
      </c>
      <c r="CD1" s="395"/>
      <c r="CE1" s="396" t="str">
        <f>HYPERLINK(CONCATENATE("[#]Groups!$A$",MATCH("08",Groups!$A$1:$A$83,0),":$D$",MATCH("08",Groups!$A$1:$A$83,0)),"Aeronautical")</f>
        <v>Aeronautical</v>
      </c>
      <c r="CF1" s="397"/>
      <c r="CG1" s="397"/>
      <c r="CH1" s="397"/>
      <c r="CI1" s="397"/>
      <c r="CJ1" s="388" t="str">
        <f>HYPERLINK(CONCATENATE("[#]Groups!$A$",MATCH("09",Groups!$A$1:$A$83,0),":$D$",MATCH("09",Groups!$A$1:$A$83,0)),"Military")</f>
        <v>Military</v>
      </c>
      <c r="CK1" s="389"/>
      <c r="CL1" s="389"/>
      <c r="CM1" s="396" t="str">
        <f>HYPERLINK(CONCATENATE("[#]Groups!$A$",MATCH("10",Groups!$A$1:$A$83,0),":$D$",MATCH("10",Groups!$A$1:$A$83,0)),"Weather &amp; Climate")</f>
        <v>Weather &amp; Climate</v>
      </c>
      <c r="CN1" s="397"/>
      <c r="CO1" s="397"/>
      <c r="CP1" s="388" t="str">
        <f>HYPERLINK(CONCATENATE("[#]Groups!$A$",MATCH("20",Groups!$A$1:$A$83,0),":$D$",MATCH("20",Groups!$A$1:$A$83,0)),"Characteristics")</f>
        <v>Characteristics</v>
      </c>
      <c r="CQ1" s="389"/>
      <c r="CR1" s="389"/>
      <c r="CS1" s="389"/>
      <c r="CT1" s="389"/>
      <c r="CU1" s="390" t="str">
        <f>HYPERLINK(CONCATENATE("[#]Groups!$A$",MATCH("21",Groups!$A$1:$A$83,0),":$D$",MATCH("21",Groups!$A$1:$A$83,0)),"Names &amp; Designations")</f>
        <v>Names &amp; Designations</v>
      </c>
      <c r="CV1" s="391"/>
      <c r="CW1" s="388" t="str">
        <f>HYPERLINK(CONCATENATE("[#]Groups!$A$",MATCH("22",Groups!$A$1:$A$83,0),":$D$",MATCH("22",Groups!$A$1:$A$83,0)),"Metadata &amp; References")</f>
        <v>Metadata &amp; References</v>
      </c>
      <c r="CX1" s="389"/>
      <c r="CY1" s="389"/>
      <c r="CZ1" s="389"/>
      <c r="DA1" s="389"/>
      <c r="DB1" s="389"/>
      <c r="DC1" s="390" t="str">
        <f>HYPERLINK(CONCATENATE("[#]Groups!$A$",MATCH("23",Groups!$A$1:$A$83,0),":$D$",MATCH("23",Groups!$A$1:$A$83,0)),"Abstract")</f>
        <v>Abstract</v>
      </c>
      <c r="DD1" s="391"/>
    </row>
    <row r="2" spans="1:109" s="16" customFormat="1" ht="83.25" customHeight="1" x14ac:dyDescent="0.2">
      <c r="A2" s="69" t="s">
        <v>156</v>
      </c>
      <c r="B2" s="93" t="s">
        <v>1785</v>
      </c>
      <c r="C2" s="93" t="s">
        <v>30</v>
      </c>
      <c r="D2" s="54" t="s">
        <v>32</v>
      </c>
      <c r="E2" s="54" t="s">
        <v>33</v>
      </c>
      <c r="F2" s="54" t="s">
        <v>31</v>
      </c>
      <c r="G2" s="55" t="s">
        <v>29</v>
      </c>
      <c r="H2" s="57" t="s">
        <v>47</v>
      </c>
      <c r="I2" s="57" t="s">
        <v>48</v>
      </c>
      <c r="J2" s="60" t="s">
        <v>1784</v>
      </c>
      <c r="K2" s="119" t="s">
        <v>149</v>
      </c>
      <c r="L2" s="119" t="s">
        <v>148</v>
      </c>
      <c r="M2" s="119" t="s">
        <v>147</v>
      </c>
      <c r="N2" s="131" t="s">
        <v>146</v>
      </c>
      <c r="O2" s="57" t="s">
        <v>80</v>
      </c>
      <c r="P2" s="58" t="s">
        <v>158</v>
      </c>
      <c r="Q2" s="75"/>
      <c r="R2" s="98" t="s">
        <v>42</v>
      </c>
      <c r="S2" s="98" t="s">
        <v>41</v>
      </c>
      <c r="T2" s="98" t="s">
        <v>136</v>
      </c>
      <c r="U2" s="104" t="s">
        <v>134</v>
      </c>
      <c r="V2" s="401"/>
      <c r="W2" s="401"/>
      <c r="X2" s="401"/>
      <c r="Y2" s="401"/>
      <c r="Z2" s="401"/>
      <c r="AA2" s="78" t="str">
        <f>HYPERLINK(CONCATENATE("[#]Subgroups!$B$",MATCH("01.01",Subgroups!$B$1:$B$9915,0),":$E$",MATCH("01.01",Subgroups!$B$1:$B$9915,0)),"      Extraction")</f>
        <v xml:space="preserve">      Extraction</v>
      </c>
      <c r="AB2" s="79" t="str">
        <f>HYPERLINK(CONCATENATE("[#]Subgroups!$B$",MATCH("01.02",Subgroups!$B$1:$B$115,0),":$E$",MATCH("01.02",Subgroups!$B$1:$B$115,0)),"      Fabrication and/or Processing")</f>
        <v xml:space="preserve">      Fabrication and/or Processing</v>
      </c>
      <c r="AC2" s="79" t="str">
        <f>HYPERLINK(CONCATENATE("[#]Subgroups!$B$",MATCH("01.03",Subgroups!$B$1:$B$115,0),":$E$",MATCH("01.03",Subgroups!$B$1:$B$115,0)),"      Agriculture")</f>
        <v xml:space="preserve">      Agriculture</v>
      </c>
      <c r="AD2" s="79" t="str">
        <f>HYPERLINK(CONCATENATE("[#]Subgroups!$B$",MATCH("01.04",Subgroups!$B$1:$B$115,0),":$E$",MATCH("01.04",Subgroups!$B$1:$B$115,0)),"      Power Supplies")</f>
        <v xml:space="preserve">      Power Supplies</v>
      </c>
      <c r="AE2" s="79" t="str">
        <f>HYPERLINK(CONCATENATE("[#]Subgroups!$B$",MATCH("01.05",Subgroups!$B$1:$B$115,0),":$E$",MATCH("01.05",Subgroups!$B$1:$B$115,0)),"      Communication")</f>
        <v xml:space="preserve">      Communication</v>
      </c>
      <c r="AF2" s="79" t="str">
        <f>HYPERLINK(CONCATENATE("[#]Subgroups!$B$",MATCH("01.06",Subgroups!$B$1:$B$115,0),":$E$",MATCH("01.06",Subgroups!$B$1:$B$115,0)),"      Associated Support Structures ")</f>
        <v xml:space="preserve">      Associated Support Structures </v>
      </c>
      <c r="AG2" s="79" t="str">
        <f>HYPERLINK(CONCATENATE("[#]Subgroups!$B$",MATCH("01.07",Subgroups!$B$1:$B$115,0),":$E$",MATCH("01.07",Subgroups!$B$1:$B$115,0)),"      Storage and/or Provision")</f>
        <v xml:space="preserve">      Storage and/or Provision</v>
      </c>
      <c r="AH2" s="84" t="str">
        <f>HYPERLINK(CONCATENATE("[#]Subgroups!$B$",MATCH("01.08",Subgroups!$B$1:$B$115,0),":$E$",MATCH("01.08",Subgroups!$B$1:$B$115,0)),"      Waste Management")</f>
        <v xml:space="preserve">      Waste Management</v>
      </c>
      <c r="AI2" s="86" t="str">
        <f>HYPERLINK(CONCATENATE("[#]Subgroups!$B$",MATCH("02.01",Subgroups!$B$1:$B$115,0),":$E$",MATCH("02.01",Subgroups!$B$1:$B$115,0)),"      Habitats")</f>
        <v xml:space="preserve">      Habitats</v>
      </c>
      <c r="AJ2" s="80" t="str">
        <f>HYPERLINK(CONCATENATE("[#]Subgroups!$B$",MATCH("02.02",Subgroups!$B$1:$B$115,0),":$E$",MATCH("02.02",Subgroups!$B$1:$B$115,0)),"      Settlements-associated")</f>
        <v xml:space="preserve">      Settlements-associated</v>
      </c>
      <c r="AK2" s="80" t="str">
        <f>HYPERLINK(CONCATENATE("[#]Subgroups!$B$",MATCH("02.03",Subgroups!$B$1:$B$115,0),":$E$",MATCH("02.03",Subgroups!$B$1:$B$115,0)),"      Economic and/or Commercial")</f>
        <v xml:space="preserve">      Economic and/or Commercial</v>
      </c>
      <c r="AL2" s="80" t="str">
        <f>HYPERLINK(CONCATENATE("[#]Subgroups!$B$",MATCH("02.04",Subgroups!$B$1:$B$115,0),":$E$",MATCH("02.04",Subgroups!$B$1:$B$115,0)),"      Leisure")</f>
        <v xml:space="preserve">      Leisure</v>
      </c>
      <c r="AM2" s="80" t="str">
        <f>HYPERLINK(CONCATENATE("[#]Subgroups!$B$",MATCH("02.05",Subgroups!$B$1:$B$115,0),":$E$",MATCH("02.05",Subgroups!$B$1:$B$115,0)),"      Politics and/or Administration")</f>
        <v xml:space="preserve">      Politics and/or Administration</v>
      </c>
      <c r="AN2" s="80" t="str">
        <f>HYPERLINK(CONCATENATE("[#]Subgroups!$B$",MATCH("02.06",Subgroups!$B$1:$B$115,0),":$E$",MATCH("02.06",Subgroups!$B$1:$B$115,0)),"      Sciences and/or Education")</f>
        <v xml:space="preserve">      Sciences and/or Education</v>
      </c>
      <c r="AO2" s="88" t="str">
        <f>HYPERLINK(CONCATENATE("[#]Subgroups!$B$",MATCH("02.07",Subgroups!$B$1:$B$115,0),":$E$",MATCH("02.07",Subgroups!$B$1:$B$115,0)),"      Cultural Context")</f>
        <v xml:space="preserve">      Cultural Context</v>
      </c>
      <c r="AP2" s="78" t="str">
        <f>HYPERLINK(CONCATENATE("[#]Subgroups!$B$",MATCH("03.01",Subgroups!$B$1:$B$115,0),":$E$",MATCH("03.01",Subgroups!$B$1:$B$115,0)),"      Railways")</f>
        <v xml:space="preserve">      Railways</v>
      </c>
      <c r="AQ2" s="79" t="str">
        <f>HYPERLINK(CONCATENATE("[#]Subgroups!$B$",MATCH("03.02",Subgroups!$B$1:$B$115,0),":$E$",MATCH("03.02",Subgroups!$B$1:$B$115,0)),"      Roads and/or Tracks")</f>
        <v xml:space="preserve">      Roads and/or Tracks</v>
      </c>
      <c r="AR2" s="79" t="str">
        <f>HYPERLINK(CONCATENATE("[#]Subgroups!$B$",MATCH("03.03",Subgroups!$B$1:$B$115,0),":$E$",MATCH("03.03",Subgroups!$B$1:$B$115,0)),"      Guided Transportation")</f>
        <v xml:space="preserve">      Guided Transportation</v>
      </c>
      <c r="AS2" s="79" t="str">
        <f>HYPERLINK(CONCATENATE("[#]Subgroups!$B$",MATCH("03.04",Subgroups!$B$1:$B$115,0),":$E$",MATCH("03.04",Subgroups!$B$1:$B$115,0)),"      Water-borne Transportation")</f>
        <v xml:space="preserve">      Water-borne Transportation</v>
      </c>
      <c r="AT2" s="79" t="str">
        <f>HYPERLINK(CONCATENATE("[#]Subgroups!$B$",MATCH("03.05",Subgroups!$B$1:$B$115,0),":$E$",MATCH("03.05",Subgroups!$B$1:$B$115,0)),"      Air Transportation")</f>
        <v xml:space="preserve">      Air Transportation</v>
      </c>
      <c r="AU2" s="79" t="str">
        <f>HYPERLINK(CONCATENATE("[#]Subgroups!$B$",MATCH("03.06",Subgroups!$B$1:$B$115,0),":$E$",MATCH("03.06",Subgroups!$B$1:$B$115,0)),"      Restrictions")</f>
        <v xml:space="preserve">      Restrictions</v>
      </c>
      <c r="AV2" s="79" t="str">
        <f>HYPERLINK(CONCATENATE("[#]Subgroups!$B$",MATCH("03.07",Subgroups!$B$1:$B$115,0),":$E$",MATCH("03.07",Subgroups!$B$1:$B$115,0)),"      Crossings and/or Links")</f>
        <v xml:space="preserve">      Crossings and/or Links</v>
      </c>
      <c r="AW2" s="79" t="str">
        <f>HYPERLINK(CONCATENATE("[#]Subgroups!$B$",MATCH("03.08",Subgroups!$B$1:$B$115,0),":$E$",MATCH("03.08",Subgroups!$B$1:$B$115,0)),"      Transportation-associated")</f>
        <v xml:space="preserve">      Transportation-associated</v>
      </c>
      <c r="AX2" s="79" t="str">
        <f>HYPERLINK(CONCATENATE("[#]Subgroups!$B$",MATCH("03.09",Subgroups!$B$1:$B$115,0),":$E$",MATCH("03.09",Subgroups!$B$1:$B$115,0)),"      Space Transportation")</f>
        <v xml:space="preserve">      Space Transportation</v>
      </c>
      <c r="AY2" s="84" t="str">
        <f>HYPERLINK(CONCATENATE("[#]Subgroups!$B$",MATCH("03.10",Subgroups!$B$1:$B$115,0),":$E$",MATCH("03.10",Subgroups!$B$1:$B$115,0)),"      Distribution Networks")</f>
        <v xml:space="preserve">      Distribution Networks</v>
      </c>
      <c r="AZ2" s="86" t="str">
        <f>HYPERLINK(CONCATENATE("[#]Subgroups!$B$",MATCH("04.01",Subgroups!$B$1:$B$115,0),":$E$",MATCH("04.01",Subgroups!$B$1:$B$115,0)),"      Coastal and/or Littoral Zones")</f>
        <v xml:space="preserve">      Coastal and/or Littoral Zones</v>
      </c>
      <c r="BA2" s="80" t="str">
        <f>HYPERLINK(CONCATENATE("[#]Subgroups!$B$",MATCH("04.02",Subgroups!$B$1:$B$115,0),":$E$",MATCH("04.02",Subgroups!$B$1:$B$115,0)),"      Ports and/or Harbours ")</f>
        <v xml:space="preserve">      Ports and/or Harbours </v>
      </c>
      <c r="BB2" s="80" t="str">
        <f>HYPERLINK(CONCATENATE("[#]Subgroups!$B$",MATCH("04.03",Subgroups!$B$1:$B$115,0),":$E$",MATCH("04.03",Subgroups!$B$1:$B$115,0)),"      Depths")</f>
        <v xml:space="preserve">      Depths</v>
      </c>
      <c r="BC2" s="80" t="str">
        <f>HYPERLINK(CONCATENATE("[#]Subgroups!$B$",MATCH("04.04",Subgroups!$B$1:$B$115,0),":$E$",MATCH("04.04",Subgroups!$B$1:$B$115,0)),"      Nature of Seabed")</f>
        <v xml:space="preserve">      Nature of Seabed</v>
      </c>
      <c r="BD2" s="80" t="str">
        <f>HYPERLINK(CONCATENATE("[#]Subgroups!$B$",MATCH("04.05",Subgroups!$B$1:$B$115,0),":$E$",MATCH("04.05",Subgroups!$B$1:$B$115,0)),"      Offshore Constructions and/or Installations")</f>
        <v xml:space="preserve">      Offshore Constructions and/or Installations</v>
      </c>
      <c r="BE2" s="80" t="str">
        <f>HYPERLINK(CONCATENATE("[#]Subgroups!$B$",MATCH("04.06",Subgroups!$B$1:$B$115,0),":$E$",MATCH("04.06",Subgroups!$B$1:$B$115,0)),"      Tides and/or Currents")</f>
        <v xml:space="preserve">      Tides and/or Currents</v>
      </c>
      <c r="BF2" s="80" t="str">
        <f>HYPERLINK(CONCATENATE("[#]Subgroups!$B$",MATCH("04.07",Subgroups!$B$1:$B$115,0),":$E$",MATCH("04.07",Subgroups!$B$1:$B$115,0)),"      Routes and/or Navigation")</f>
        <v xml:space="preserve">      Routes and/or Navigation</v>
      </c>
      <c r="BG2" s="80" t="str">
        <f>HYPERLINK(CONCATENATE("[#]Subgroups!$B$",MATCH("04.08",Subgroups!$B$1:$B$115,0),":$E$",MATCH("04.08",Subgroups!$B$1:$B$115,0)),"      Hazards and/or Obstructions")</f>
        <v xml:space="preserve">      Hazards and/or Obstructions</v>
      </c>
      <c r="BH2" s="80" t="str">
        <f>HYPERLINK(CONCATENATE("[#]Subgroups!$B$",MATCH("04.09",Subgroups!$B$1:$B$115,0),":$E$",MATCH("04.09",Subgroups!$B$1:$B$115,0)),"      Sea Ice")</f>
        <v xml:space="preserve">      Sea Ice</v>
      </c>
      <c r="BI2" s="80" t="str">
        <f>HYPERLINK(CONCATENATE("[#]Subgroups!$B$",MATCH("04.10",Subgroups!$B$1:$B$115,0),":$E$",MATCH("04.10",Subgroups!$B$1:$B$115,0)),"      Regulated and/or Restricted Zones")</f>
        <v xml:space="preserve">      Regulated and/or Restricted Zones</v>
      </c>
      <c r="BJ2" s="80" t="str">
        <f>HYPERLINK(CONCATENATE("[#]Subgroups!$B$",MATCH("04.11",Subgroups!$B$1:$B$115,0),":$E$",MATCH("04.11",Subgroups!$B$1:$B$115,0)),"      Inland Waters")</f>
        <v xml:space="preserve">      Inland Waters</v>
      </c>
      <c r="BK2" s="88" t="str">
        <f>HYPERLINK(CONCATENATE("[#]Subgroups!$B$",MATCH("04.12",Subgroups!$B$1:$B$115,0),":$E$",MATCH("04.12",Subgroups!$B$1:$B$115,0)),"      Physics of Water")</f>
        <v xml:space="preserve">      Physics of Water</v>
      </c>
      <c r="BL2" s="78" t="str">
        <f>HYPERLINK(CONCATENATE("[#]Subgroups!$B$",MATCH("05.01",Subgroups!$B$1:$B$115,0),":$E$",MATCH("05.01",Subgroups!$B$1:$B$115,0)),"      Hypsography")</f>
        <v xml:space="preserve">      Hypsography</v>
      </c>
      <c r="BM2" s="79" t="str">
        <f>HYPERLINK(CONCATENATE("[#]Subgroups!$B$",MATCH("05.02",Subgroups!$B$1:$B$115,0),":$E$",MATCH("05.02",Subgroups!$B$1:$B$115,0)),"      Geomorphology")</f>
        <v xml:space="preserve">      Geomorphology</v>
      </c>
      <c r="BN2" s="79" t="str">
        <f>HYPERLINK(CONCATENATE("[#]Subgroups!$B$",MATCH("05.03",Subgroups!$B$1:$B$115,0),":$E$",MATCH("05.03",Subgroups!$B$1:$B$115,0)),"      Rocks")</f>
        <v xml:space="preserve">      Rocks</v>
      </c>
      <c r="BO2" s="79" t="str">
        <f>HYPERLINK(CONCATENATE("[#]Subgroups!$B$",MATCH("05.04",Subgroups!$B$1:$B$115,0),":$E$",MATCH("05.04",Subgroups!$B$1:$B$115,0)),"      Soils")</f>
        <v xml:space="preserve">      Soils</v>
      </c>
      <c r="BP2" s="79" t="str">
        <f>HYPERLINK(CONCATENATE("[#]Subgroups!$B$",MATCH("05.05",Subgroups!$B$1:$B$115,0),":$E$",MATCH("05.05",Subgroups!$B$1:$B$115,0)),"      Natural Resources")</f>
        <v xml:space="preserve">      Natural Resources</v>
      </c>
      <c r="BQ2" s="79" t="str">
        <f>HYPERLINK(CONCATENATE("[#]Subgroups!$B$",MATCH("05.06",Subgroups!$B$1:$B$115,0),":$E$",MATCH("05.06",Subgroups!$B$1:$B$115,0)),"      Seismology and/or Volcanology")</f>
        <v xml:space="preserve">      Seismology and/or Volcanology</v>
      </c>
      <c r="BR2" s="79" t="str">
        <f>HYPERLINK(CONCATENATE("[#]Subgroups!$B$",MATCH("05.07",Subgroups!$B$1:$B$115,0),":$E$",MATCH("05.07",Subgroups!$B$1:$B$115,0)),"      Glaciers")</f>
        <v xml:space="preserve">      Glaciers</v>
      </c>
      <c r="BS2" s="79" t="str">
        <f>HYPERLINK(CONCATENATE("[#]Subgroups!$B$",MATCH("05.08",Subgroups!$B$1:$B$115,0),":$E$",MATCH("05.08",Subgroups!$B$1:$B$115,0)),"      Anomalies")</f>
        <v xml:space="preserve">      Anomalies</v>
      </c>
      <c r="BT2" s="84" t="str">
        <f>HYPERLINK(CONCATENATE("[#]Subgroups!$B$",MATCH("05.09",Subgroups!$B$1:$B$115,0),":$E$",MATCH("05.09",Subgroups!$B$1:$B$115,0)),"      Global Earth Cover")</f>
        <v xml:space="preserve">      Global Earth Cover</v>
      </c>
      <c r="BU2" s="86" t="str">
        <f>HYPERLINK(CONCATENATE("[#]Subgroups!$B$",MATCH("06.01",Subgroups!$B$1:$B$115,0),":$E$",MATCH("06.01",Subgroups!$B$1:$B$115,0)),"      Cultivated Land")</f>
        <v xml:space="preserve">      Cultivated Land</v>
      </c>
      <c r="BV2" s="80" t="str">
        <f>HYPERLINK(CONCATENATE("[#]Subgroups!$B$",MATCH("06.02",Subgroups!$B$1:$B$115,0),":$E$",MATCH("06.02",Subgroups!$B$1:$B$115,0)),"      Rangeland")</f>
        <v xml:space="preserve">      Rangeland</v>
      </c>
      <c r="BW2" s="80" t="str">
        <f>HYPERLINK(CONCATENATE("[#]Subgroups!$B$",MATCH("06.03",Subgroups!$B$1:$B$115,0),":$E$",MATCH("06.03",Subgroups!$B$1:$B$115,0)),"      Woodland")</f>
        <v xml:space="preserve">      Woodland</v>
      </c>
      <c r="BX2" s="80" t="str">
        <f>HYPERLINK(CONCATENATE("[#]Subgroups!$B$",MATCH("06.04",Subgroups!$B$1:$B$115,0),":$E$",MATCH("06.04",Subgroups!$B$1:$B$115,0)),"      Wetland")</f>
        <v xml:space="preserve">      Wetland</v>
      </c>
      <c r="BY2" s="80" t="str">
        <f>HYPERLINK(CONCATENATE("[#]Subgroups!$B$",MATCH("06.05",Subgroups!$B$1:$B$115,0),":$E$",MATCH("06.05",Subgroups!$B$1:$B$115,0)),"      Arid Areas")</f>
        <v xml:space="preserve">      Arid Areas</v>
      </c>
      <c r="BZ2" s="80" t="str">
        <f>HYPERLINK(CONCATENATE("[#]Subgroups!$B$",MATCH("06.06",Subgroups!$B$1:$B$115,0),":$E$",MATCH("06.06",Subgroups!$B$1:$B$115,0)),"      Regions and/or Restricted Areas")</f>
        <v xml:space="preserve">      Regions and/or Restricted Areas</v>
      </c>
      <c r="CA2" s="80" t="str">
        <f>HYPERLINK(CONCATENATE("[#]Subgroups!$B$",MATCH("06.07",Subgroups!$B$1:$B$115,0),":$E$",MATCH("06.07",Subgroups!$B$1:$B$115,0)),"      Fauna")</f>
        <v xml:space="preserve">      Fauna</v>
      </c>
      <c r="CB2" s="88" t="str">
        <f>HYPERLINK(CONCATENATE("[#]Subgroups!$B$",MATCH("06.08",Subgroups!$B$1:$B$115,0),":$E$",MATCH("06.08",Subgroups!$B$1:$B$115,0)),"      Flora")</f>
        <v xml:space="preserve">      Flora</v>
      </c>
      <c r="CC2" s="78" t="str">
        <f>HYPERLINK(CONCATENATE("[#]Subgroups!$B$",MATCH("07.01",Subgroups!$B$1:$B$115,0),":$E$",MATCH("07.01",Subgroups!$B$1:$B$115,0)),"      Boundaries and/or Limits")</f>
        <v xml:space="preserve">      Boundaries and/or Limits</v>
      </c>
      <c r="CD2" s="84" t="str">
        <f>HYPERLINK(CONCATENATE("[#]Subgroups!$B$",MATCH("07.02",Subgroups!$B$1:$B$115,0),":$E$",MATCH("07.02",Subgroups!$B$1:$B$115,0)),"      Land-survey and/or Real Estate")</f>
        <v xml:space="preserve">      Land-survey and/or Real Estate</v>
      </c>
      <c r="CE2" s="86" t="str">
        <f>HYPERLINK(CONCATENATE("[#]Subgroups!$B$",MATCH("08.01",Subgroups!$B$1:$B$115,0),":$E$",MATCH("08.01",Subgroups!$B$1:$B$115,0)),"      Aerodromes, Movement Surfaces and/or Lighting")</f>
        <v xml:space="preserve">      Aerodromes, Movement Surfaces and/or Lighting</v>
      </c>
      <c r="CF2" s="80" t="str">
        <f>HYPERLINK(CONCATENATE("[#]Subgroups!$B$",MATCH("08.02",Subgroups!$B$1:$B$115,0),":$E$",MATCH("08.02",Subgroups!$B$1:$B$115,0)),"      Airspace and/or Routes ")</f>
        <v xml:space="preserve">      Airspace and/or Routes </v>
      </c>
      <c r="CG2" s="80" t="str">
        <f>HYPERLINK(CONCATENATE("[#]Subgroups!$B$",MATCH("08.03",Subgroups!$B$1:$B$115,0),":$E$",MATCH("08.03",Subgroups!$B$1:$B$115,0)),"      NAVAIDS, Landing Aids, Points and/or Obstacles")</f>
        <v xml:space="preserve">      NAVAIDS, Landing Aids, Points and/or Obstacles</v>
      </c>
      <c r="CH2" s="80" t="str">
        <f>HYPERLINK(CONCATENATE("[#]Subgroups!$B$",MATCH("08.04",Subgroups!$B$1:$B$115,0),":$E$",MATCH("08.04",Subgroups!$B$1:$B$115,0)),"      Services, Organisations and/or Timetables")</f>
        <v xml:space="preserve">      Services, Organisations and/or Timetables</v>
      </c>
      <c r="CI2" s="88" t="str">
        <f>HYPERLINK(CONCATENATE("[#]Subgroups!$B$",MATCH("08.05",Subgroups!$B$1:$B$115,0),":$E$",MATCH("08.05",Subgroups!$B$1:$B$115,0)),"      Terminal Procedures")</f>
        <v xml:space="preserve">      Terminal Procedures</v>
      </c>
      <c r="CJ2" s="78" t="str">
        <f>HYPERLINK(CONCATENATE("[#]Subgroups!$B$",MATCH("09.01",Subgroups!$B$1:$B$115,0),":$E$",MATCH("09.01",Subgroups!$B$1:$B$115,0)),"      Defensive and/or Operational Structures")</f>
        <v xml:space="preserve">      Defensive and/or Operational Structures</v>
      </c>
      <c r="CK2" s="79" t="str">
        <f>HYPERLINK(CONCATENATE("[#]Subgroups!$B$",MATCH("09.02",Subgroups!$B$1:$B$115,0),":$E$",MATCH("09.02",Subgroups!$B$1:$B$115,0)),"      Restricted Areas and/or Boundaries")</f>
        <v xml:space="preserve">      Restricted Areas and/or Boundaries</v>
      </c>
      <c r="CL2" s="84" t="str">
        <f>HYPERLINK(CONCATENATE("[#]Subgroups!$B$",MATCH("09.03",Subgroups!$B$1:$B$115,0),":$E$",MATCH("09.03",Subgroups!$B$1:$B$115,0)),"      Operations and Events")</f>
        <v xml:space="preserve">      Operations and Events</v>
      </c>
      <c r="CM2" s="86" t="str">
        <f>HYPERLINK(CONCATENATE("[#]Subgroups!$B$",MATCH("10.01",Subgroups!$B$1:$B$115,0),":$E$",MATCH("10.01",Subgroups!$B$1:$B$115,0)),"      Weather Phenomena")</f>
        <v xml:space="preserve">      Weather Phenomena</v>
      </c>
      <c r="CN2" s="80" t="str">
        <f>HYPERLINK(CONCATENATE("[#]Subgroups!$B$",MATCH("10.02",Subgroups!$B$1:$B$115,0),":$E$",MATCH("10.02",Subgroups!$B$1:$B$115,0)),"      Climate Conditions")</f>
        <v xml:space="preserve">      Climate Conditions</v>
      </c>
      <c r="CO2" s="88" t="str">
        <f>HYPERLINK(CONCATENATE("[#]Subgroups!$B$",MATCH("10.03",Subgroups!$B$1:$B$115,0),":$E$",MATCH("10.03",Subgroups!$B$1:$B$115,0)),"      Climate Zones and/or Regions")</f>
        <v xml:space="preserve">      Climate Zones and/or Regions</v>
      </c>
      <c r="CP2" s="78" t="str">
        <f>HYPERLINK(CONCATENATE("[#]Subgroups!$B$",MATCH("20.01",Subgroups!$B$1:$B$115,0),":$E$",MATCH("20.01",Subgroups!$B$1:$B$115,0)),"      Position")</f>
        <v xml:space="preserve">      Position</v>
      </c>
      <c r="CQ2" s="79" t="str">
        <f>HYPERLINK(CONCATENATE("[#]Subgroups!$B$",MATCH("20.02",Subgroups!$B$1:$B$115,0),":$E$",MATCH("20.02",Subgroups!$B$1:$B$115,0)),"      Measurable Values")</f>
        <v xml:space="preserve">      Measurable Values</v>
      </c>
      <c r="CR2" s="79" t="str">
        <f>HYPERLINK(CONCATENATE("[#]Subgroups!$B$",MATCH("20.03",Subgroups!$B$1:$B$115,0),":$E$",MATCH("20.03",Subgroups!$B$1:$B$115,0)),"      Dates and/or Durations")</f>
        <v xml:space="preserve">      Dates and/or Durations</v>
      </c>
      <c r="CS2" s="79" t="str">
        <f>HYPERLINK(CONCATENATE("[#]Subgroups!$B$",MATCH("20.04",Subgroups!$B$1:$B$115,0),":$E$",MATCH("20.04",Subgroups!$B$1:$B$115,0)),"      Appearance")</f>
        <v xml:space="preserve">      Appearance</v>
      </c>
      <c r="CT2" s="79" t="str">
        <f>HYPERLINK(CONCATENATE("[#]Subgroups!$B$",MATCH("20.05",Subgroups!$B$1:$B$115,0),":$E$",MATCH("20.05",Subgroups!$B$1:$B$115,0)),"      Function and/or Status")</f>
        <v xml:space="preserve">      Function and/or Status</v>
      </c>
      <c r="CU2" s="86" t="str">
        <f>HYPERLINK(CONCATENATE("[#]Subgroups!$B$",MATCH("21.01",Subgroups!$B$1:$B$115,0),":$E$",MATCH("21.01",Subgroups!$B$1:$B$115,0)),"      Names")</f>
        <v xml:space="preserve">      Names</v>
      </c>
      <c r="CV2" s="80" t="str">
        <f>HYPERLINK(CONCATENATE("[#]Subgroups!$B$",MATCH("21.02",Subgroups!$B$1:$B$115,0),":$E$",MATCH("21.02",Subgroups!$B$1:$B$115,0)),"      Designations")</f>
        <v xml:space="preserve">      Designations</v>
      </c>
      <c r="CW2" s="78" t="str">
        <f>HYPERLINK(CONCATENATE("[#]Subgroups!$B$",MATCH("22.01",Subgroups!$B$1:$B$115,0),":$E$",MATCH("22.01",Subgroups!$B$1:$B$115,0)),"      Annotation")</f>
        <v xml:space="preserve">      Annotation</v>
      </c>
      <c r="CX2" s="79" t="str">
        <f>HYPERLINK(CONCATENATE("[#]Subgroups!$B$",MATCH("22.02",Subgroups!$B$1:$B$115,0),":$E$",MATCH("22.02",Subgroups!$B$1:$B$115,0)),"      Portrayal")</f>
        <v xml:space="preserve">      Portrayal</v>
      </c>
      <c r="CY2" s="79" t="str">
        <f>HYPERLINK(CONCATENATE("[#]Subgroups!$B$",MATCH("22.03",Subgroups!$B$1:$B$115,0),":$E$",MATCH("22.03",Subgroups!$B$1:$B$115,0)),"      Date and/or Currency")</f>
        <v xml:space="preserve">      Date and/or Currency</v>
      </c>
      <c r="CZ2" s="79" t="str">
        <f>HYPERLINK(CONCATENATE("[#]Subgroups!$B$",MATCH("22.04",Subgroups!$B$1:$B$115,0),":$E$",MATCH("22.04",Subgroups!$B$1:$B$115,0)),"      Quality")</f>
        <v xml:space="preserve">      Quality</v>
      </c>
      <c r="DA2" s="79" t="str">
        <f>HYPERLINK(CONCATENATE("[#]Subgroups!$B$",MATCH("22.05",Subgroups!$B$1:$B$115,0),":$E$",MATCH("22.05",Subgroups!$B$1:$B$115,0)),"      References and/or Sources")</f>
        <v xml:space="preserve">      References and/or Sources</v>
      </c>
      <c r="DB2" s="79" t="str">
        <f>HYPERLINK(CONCATENATE("[#]Subgroups!$B$",MATCH("22.06",Subgroups!$B$1:$B$115,0),":$E$",MATCH("22.06",Subgroups!$B$1:$B$115,0)),"      Systems of Classification")</f>
        <v xml:space="preserve">      Systems of Classification</v>
      </c>
      <c r="DC2" s="86" t="str">
        <f>HYPERLINK(CONCATENATE("[#]Subgroups!$B$",MATCH("23.01",Subgroups!$B$1:$B$115,0),":$E$",MATCH("23.01",Subgroups!$B$1:$B$115,0)),"      Information Entity")</f>
        <v xml:space="preserve">      Information Entity</v>
      </c>
      <c r="DD2" s="80" t="str">
        <f>HYPERLINK(CONCATENATE("[#]Subgroups!$B$",MATCH("23.02",Subgroups!$B$1:$B$115,0),":$E$",MATCH("23.02",Subgroups!$B$1:$B$115,0)),"      Dataset")</f>
        <v xml:space="preserve">      Dataset</v>
      </c>
      <c r="DE2" s="35"/>
    </row>
    <row r="3" spans="1:109" ht="51" x14ac:dyDescent="0.2">
      <c r="A3" s="175" t="str">
        <f t="shared" ref="A3:A66" si="0">HYPERLINK(Q3,R3)</f>
        <v>aboveWaterBankSlope</v>
      </c>
      <c r="B3" s="11" t="s">
        <v>5928</v>
      </c>
      <c r="C3" s="173"/>
      <c r="D3" s="22" t="s">
        <v>5929</v>
      </c>
      <c r="E3" s="15" t="s">
        <v>5930</v>
      </c>
      <c r="F3" s="15" t="s">
        <v>5931</v>
      </c>
      <c r="G3" s="174"/>
      <c r="H3" s="17" t="s">
        <v>5932</v>
      </c>
      <c r="I3" s="269"/>
      <c r="J3" s="369" t="str">
        <f>HYPERLINK("[#]Datatypes!B1233:L1233","RealInterval")</f>
        <v>RealInterval</v>
      </c>
      <c r="K3" s="271" t="str">
        <f>HYPERLINK("[#]PhysicalQuantities!A39:N39","Pure Number")</f>
        <v>Pure Number</v>
      </c>
      <c r="L3" s="270" t="str">
        <f>HYPERLINK("[#]UnitsOfMeasure!D215:G215","Percent")</f>
        <v>Percent</v>
      </c>
      <c r="M3" s="272"/>
      <c r="N3" s="273"/>
      <c r="O3" s="269"/>
      <c r="P3" s="37">
        <v>114344</v>
      </c>
      <c r="Q3" s="36" t="str">
        <f>CONCATENATE(Cover!$D$6,"fdd/view?i=",P3)</f>
        <v>https://www.dgiwg.org/FAD/fdd/view?i=114344</v>
      </c>
      <c r="R3" s="13" t="s">
        <v>5927</v>
      </c>
      <c r="S3" s="172"/>
      <c r="T3" s="172"/>
      <c r="BJ3" s="83" t="s">
        <v>1790</v>
      </c>
      <c r="CQ3" s="165" t="s">
        <v>1790</v>
      </c>
    </row>
    <row r="4" spans="1:109" ht="25.5" x14ac:dyDescent="0.2">
      <c r="A4" s="176" t="str">
        <f t="shared" si="0"/>
        <v>absEllipHgtAccRwyHiWgs84</v>
      </c>
      <c r="B4" s="11" t="s">
        <v>5935</v>
      </c>
      <c r="C4" s="173"/>
      <c r="D4" s="22" t="s">
        <v>5936</v>
      </c>
      <c r="E4" s="15" t="s">
        <v>5937</v>
      </c>
      <c r="F4" s="174"/>
      <c r="G4" s="174"/>
      <c r="H4" s="17" t="s">
        <v>5932</v>
      </c>
      <c r="I4" s="269"/>
      <c r="J4" s="369" t="str">
        <f>HYPERLINK("[#]Datatypes!B1231:L1231","Real")</f>
        <v>Real</v>
      </c>
      <c r="K4" s="271" t="str">
        <f>HYPERLINK("[#]PhysicalQuantities!A20:N20","Length")</f>
        <v>Length</v>
      </c>
      <c r="L4" s="270" t="str">
        <f>HYPERLINK("[#]UnitsOfMeasure!D80:G80","Metre")</f>
        <v>Metre</v>
      </c>
      <c r="M4" s="272"/>
      <c r="N4" s="273"/>
      <c r="O4" s="269"/>
      <c r="P4" s="37">
        <v>100593</v>
      </c>
      <c r="Q4" s="36" t="str">
        <f>CONCATENATE(Cover!$D$6,"fdd/view?i=",P4)</f>
        <v>https://www.dgiwg.org/FAD/fdd/view?i=100593</v>
      </c>
      <c r="R4" s="13" t="s">
        <v>5934</v>
      </c>
      <c r="S4" s="172"/>
      <c r="T4" s="172"/>
      <c r="CP4" s="164" t="s">
        <v>1790</v>
      </c>
      <c r="CZ4" s="165" t="s">
        <v>1790</v>
      </c>
    </row>
    <row r="5" spans="1:109" ht="25.5" x14ac:dyDescent="0.2">
      <c r="A5" s="176" t="str">
        <f t="shared" si="0"/>
        <v>absEllipHgtAccRwyLoWgs84</v>
      </c>
      <c r="B5" s="11" t="s">
        <v>5940</v>
      </c>
      <c r="C5" s="173"/>
      <c r="D5" s="22" t="s">
        <v>5941</v>
      </c>
      <c r="E5" s="15" t="s">
        <v>5942</v>
      </c>
      <c r="F5" s="174"/>
      <c r="G5" s="174"/>
      <c r="H5" s="17" t="s">
        <v>5932</v>
      </c>
      <c r="I5" s="269"/>
      <c r="J5" s="369" t="str">
        <f>HYPERLINK("[#]Datatypes!B1231:L1231","Real")</f>
        <v>Real</v>
      </c>
      <c r="K5" s="271" t="str">
        <f>HYPERLINK("[#]PhysicalQuantities!A20:N20","Length")</f>
        <v>Length</v>
      </c>
      <c r="L5" s="270" t="str">
        <f>HYPERLINK("[#]UnitsOfMeasure!D80:G80","Metre")</f>
        <v>Metre</v>
      </c>
      <c r="M5" s="272"/>
      <c r="N5" s="274"/>
      <c r="O5" s="269"/>
      <c r="P5" s="37">
        <v>100594</v>
      </c>
      <c r="Q5" s="36" t="str">
        <f>CONCATENATE(Cover!$D$6,"fdd/view?i=",P5)</f>
        <v>https://www.dgiwg.org/FAD/fdd/view?i=100594</v>
      </c>
      <c r="R5" s="13" t="s">
        <v>5939</v>
      </c>
      <c r="S5" s="172"/>
      <c r="T5" s="172"/>
      <c r="CP5" s="164" t="s">
        <v>1790</v>
      </c>
      <c r="CZ5" s="165" t="s">
        <v>1790</v>
      </c>
    </row>
    <row r="6" spans="1:109" x14ac:dyDescent="0.2">
      <c r="A6" s="176" t="str">
        <f t="shared" si="0"/>
        <v>absEllipHgtAccWgs84</v>
      </c>
      <c r="B6" s="11" t="s">
        <v>5944</v>
      </c>
      <c r="C6" s="173"/>
      <c r="D6" s="22" t="s">
        <v>5945</v>
      </c>
      <c r="E6" s="15" t="s">
        <v>5946</v>
      </c>
      <c r="F6" s="174"/>
      <c r="G6" s="174"/>
      <c r="H6" s="17" t="s">
        <v>5932</v>
      </c>
      <c r="I6" s="269"/>
      <c r="J6" s="369" t="str">
        <f>HYPERLINK("[#]Datatypes!B1231:L1231","Real")</f>
        <v>Real</v>
      </c>
      <c r="K6" s="271" t="str">
        <f>HYPERLINK("[#]PhysicalQuantities!A20:N20","Length")</f>
        <v>Length</v>
      </c>
      <c r="L6" s="270" t="str">
        <f>HYPERLINK("[#]UnitsOfMeasure!D80:G80","Metre")</f>
        <v>Metre</v>
      </c>
      <c r="M6" s="272"/>
      <c r="N6" s="273"/>
      <c r="O6" s="269"/>
      <c r="P6" s="37">
        <v>100595</v>
      </c>
      <c r="Q6" s="36" t="str">
        <f>CONCATENATE(Cover!$D$6,"fdd/view?i=",P6)</f>
        <v>https://www.dgiwg.org/FAD/fdd/view?i=100595</v>
      </c>
      <c r="R6" s="13" t="s">
        <v>5943</v>
      </c>
      <c r="S6" s="172"/>
      <c r="T6" s="172"/>
      <c r="CP6" s="164" t="s">
        <v>1790</v>
      </c>
      <c r="CZ6" s="165" t="s">
        <v>1790</v>
      </c>
    </row>
    <row r="7" spans="1:109" ht="38.25" x14ac:dyDescent="0.2">
      <c r="A7" s="176" t="str">
        <f t="shared" si="0"/>
        <v>absoluteHorizAccuracy90</v>
      </c>
      <c r="B7" s="11" t="s">
        <v>5949</v>
      </c>
      <c r="C7" s="173"/>
      <c r="D7" s="22" t="s">
        <v>5950</v>
      </c>
      <c r="E7" s="15" t="s">
        <v>5951</v>
      </c>
      <c r="F7" s="15" t="s">
        <v>5952</v>
      </c>
      <c r="G7" s="174"/>
      <c r="H7" s="17" t="s">
        <v>5932</v>
      </c>
      <c r="I7" s="269"/>
      <c r="J7" s="369" t="str">
        <f>HYPERLINK("[#]Datatypes!B1231:L1231","Real")</f>
        <v>Real</v>
      </c>
      <c r="K7" s="271" t="str">
        <f>HYPERLINK("[#]PhysicalQuantities!A20:N20","Length")</f>
        <v>Length</v>
      </c>
      <c r="L7" s="270" t="str">
        <f>HYPERLINK("[#]UnitsOfMeasure!D80:G80","Metre")</f>
        <v>Metre</v>
      </c>
      <c r="M7" s="272"/>
      <c r="N7" s="275"/>
      <c r="O7" s="269"/>
      <c r="P7" s="37">
        <v>100600</v>
      </c>
      <c r="Q7" s="36" t="str">
        <f>CONCATENATE(Cover!$D$6,"fdd/view?i=",P7)</f>
        <v>https://www.dgiwg.org/FAD/fdd/view?i=100600</v>
      </c>
      <c r="R7" s="13" t="s">
        <v>5947</v>
      </c>
      <c r="S7" s="172"/>
      <c r="T7" s="13" t="s">
        <v>5948</v>
      </c>
      <c r="CP7" s="164" t="s">
        <v>1790</v>
      </c>
      <c r="CZ7" s="165" t="s">
        <v>1790</v>
      </c>
    </row>
    <row r="8" spans="1:109" ht="140.25" x14ac:dyDescent="0.2">
      <c r="A8" s="176" t="str">
        <f t="shared" si="0"/>
        <v>absoluteHorizAccuracy95</v>
      </c>
      <c r="B8" s="11" t="s">
        <v>5954</v>
      </c>
      <c r="C8" s="173"/>
      <c r="D8" s="22" t="s">
        <v>5955</v>
      </c>
      <c r="E8" s="15" t="s">
        <v>5956</v>
      </c>
      <c r="F8" s="15" t="s">
        <v>5957</v>
      </c>
      <c r="G8" s="15" t="s">
        <v>5958</v>
      </c>
      <c r="H8" s="17" t="s">
        <v>5932</v>
      </c>
      <c r="I8" s="269"/>
      <c r="J8" s="369" t="str">
        <f>HYPERLINK("[#]Datatypes!B1231:L1231","Real")</f>
        <v>Real</v>
      </c>
      <c r="K8" s="271" t="str">
        <f>HYPERLINK("[#]PhysicalQuantities!A20:N20","Length")</f>
        <v>Length</v>
      </c>
      <c r="L8" s="270" t="str">
        <f>HYPERLINK("[#]UnitsOfMeasure!D80:G80","Metre")</f>
        <v>Metre</v>
      </c>
      <c r="M8" s="272"/>
      <c r="N8" s="273"/>
      <c r="O8" s="269"/>
      <c r="P8" s="37">
        <v>117490</v>
      </c>
      <c r="Q8" s="36" t="str">
        <f>CONCATENATE(Cover!$D$6,"fdd/view?i=",P8)</f>
        <v>https://www.dgiwg.org/FAD/fdd/view?i=117490</v>
      </c>
      <c r="R8" s="13" t="s">
        <v>5953</v>
      </c>
      <c r="S8" s="172"/>
      <c r="T8" s="172"/>
      <c r="CG8" s="83" t="s">
        <v>1790</v>
      </c>
    </row>
    <row r="9" spans="1:109" ht="51" x14ac:dyDescent="0.2">
      <c r="A9" s="176" t="str">
        <f t="shared" si="0"/>
        <v>absoluteHorizAccEvalMeth</v>
      </c>
      <c r="B9" s="11" t="s">
        <v>5961</v>
      </c>
      <c r="C9" s="173"/>
      <c r="D9" s="22" t="s">
        <v>5962</v>
      </c>
      <c r="E9" s="15" t="s">
        <v>5963</v>
      </c>
      <c r="F9" s="174"/>
      <c r="G9" s="174"/>
      <c r="H9" s="17" t="s">
        <v>5932</v>
      </c>
      <c r="I9" s="269"/>
      <c r="J9" s="369" t="str">
        <f>HYPERLINK("[#]Datatypes!B2:L2","AhmCode")</f>
        <v>AhmCode</v>
      </c>
      <c r="K9" s="276"/>
      <c r="L9" s="272"/>
      <c r="M9" s="272"/>
      <c r="N9" s="248" t="str">
        <f>HYPERLINK("[#]DatatypeListedValues!A2:H2","&lt;values&gt;")</f>
        <v>&lt;values&gt;</v>
      </c>
      <c r="O9" s="277" t="b">
        <v>0</v>
      </c>
      <c r="P9" s="37">
        <v>109936</v>
      </c>
      <c r="Q9" s="36" t="str">
        <f>CONCATENATE(Cover!$D$6,"fdd/view?i=",P9)</f>
        <v>https://www.dgiwg.org/FAD/fdd/view?i=109936</v>
      </c>
      <c r="R9" s="13" t="s">
        <v>5959</v>
      </c>
      <c r="S9" s="172"/>
      <c r="T9" s="13" t="s">
        <v>5960</v>
      </c>
      <c r="CP9" s="164" t="s">
        <v>1790</v>
      </c>
      <c r="CZ9" s="165" t="s">
        <v>1790</v>
      </c>
    </row>
    <row r="10" spans="1:109" ht="38.25" x14ac:dyDescent="0.2">
      <c r="A10" s="176" t="str">
        <f t="shared" si="0"/>
        <v>absoluteLatitudeAccuracy</v>
      </c>
      <c r="B10" s="11" t="s">
        <v>5966</v>
      </c>
      <c r="C10" s="173"/>
      <c r="D10" s="22" t="s">
        <v>5967</v>
      </c>
      <c r="E10" s="15" t="s">
        <v>5968</v>
      </c>
      <c r="F10" s="174"/>
      <c r="G10" s="174"/>
      <c r="H10" s="17" t="s">
        <v>5932</v>
      </c>
      <c r="I10" s="269"/>
      <c r="J10" s="369" t="str">
        <f t="shared" ref="J10:J18" si="1">HYPERLINK("[#]Datatypes!B1231:L1231","Real")</f>
        <v>Real</v>
      </c>
      <c r="K10" s="271" t="str">
        <f t="shared" ref="K10:K18" si="2">HYPERLINK("[#]PhysicalQuantities!A20:N20","Length")</f>
        <v>Length</v>
      </c>
      <c r="L10" s="270" t="str">
        <f t="shared" ref="L10:L18" si="3">HYPERLINK("[#]UnitsOfMeasure!D80:G80","Metre")</f>
        <v>Metre</v>
      </c>
      <c r="M10" s="272"/>
      <c r="N10" s="273"/>
      <c r="O10" s="269"/>
      <c r="P10" s="37">
        <v>111473</v>
      </c>
      <c r="Q10" s="36" t="str">
        <f>CONCATENATE(Cover!$D$6,"fdd/view?i=",P10)</f>
        <v>https://www.dgiwg.org/FAD/fdd/view?i=111473</v>
      </c>
      <c r="R10" s="13" t="s">
        <v>5965</v>
      </c>
      <c r="S10" s="172"/>
      <c r="T10" s="172"/>
      <c r="CP10" s="164" t="s">
        <v>1790</v>
      </c>
      <c r="CY10" s="165" t="s">
        <v>1790</v>
      </c>
    </row>
    <row r="11" spans="1:109" x14ac:dyDescent="0.2">
      <c r="A11" s="176" t="str">
        <f t="shared" si="0"/>
        <v>absoluteLatAccWgs84</v>
      </c>
      <c r="B11" s="11" t="s">
        <v>5970</v>
      </c>
      <c r="C11" s="173"/>
      <c r="D11" s="22" t="s">
        <v>5971</v>
      </c>
      <c r="E11" s="15" t="s">
        <v>5972</v>
      </c>
      <c r="F11" s="174"/>
      <c r="G11" s="174"/>
      <c r="H11" s="17" t="s">
        <v>5932</v>
      </c>
      <c r="I11" s="269"/>
      <c r="J11" s="369" t="str">
        <f t="shared" si="1"/>
        <v>Real</v>
      </c>
      <c r="K11" s="271" t="str">
        <f t="shared" si="2"/>
        <v>Length</v>
      </c>
      <c r="L11" s="270" t="str">
        <f t="shared" si="3"/>
        <v>Metre</v>
      </c>
      <c r="M11" s="272"/>
      <c r="N11" s="273"/>
      <c r="O11" s="269"/>
      <c r="P11" s="37">
        <v>100605</v>
      </c>
      <c r="Q11" s="36" t="str">
        <f>CONCATENATE(Cover!$D$6,"fdd/view?i=",P11)</f>
        <v>https://www.dgiwg.org/FAD/fdd/view?i=100605</v>
      </c>
      <c r="R11" s="13" t="s">
        <v>5969</v>
      </c>
      <c r="S11" s="172"/>
      <c r="T11" s="172"/>
      <c r="CP11" s="164" t="s">
        <v>1790</v>
      </c>
      <c r="CZ11" s="165" t="s">
        <v>1790</v>
      </c>
    </row>
    <row r="12" spans="1:109" ht="38.25" x14ac:dyDescent="0.2">
      <c r="A12" s="176" t="str">
        <f t="shared" si="0"/>
        <v>absoluteLongitudeAccuracy</v>
      </c>
      <c r="B12" s="11" t="s">
        <v>5974</v>
      </c>
      <c r="C12" s="173"/>
      <c r="D12" s="22" t="s">
        <v>5975</v>
      </c>
      <c r="E12" s="15" t="s">
        <v>5976</v>
      </c>
      <c r="F12" s="174"/>
      <c r="G12" s="174"/>
      <c r="H12" s="17" t="s">
        <v>5932</v>
      </c>
      <c r="I12" s="269"/>
      <c r="J12" s="369" t="str">
        <f t="shared" si="1"/>
        <v>Real</v>
      </c>
      <c r="K12" s="271" t="str">
        <f t="shared" si="2"/>
        <v>Length</v>
      </c>
      <c r="L12" s="270" t="str">
        <f t="shared" si="3"/>
        <v>Metre</v>
      </c>
      <c r="M12" s="272"/>
      <c r="N12" s="273"/>
      <c r="O12" s="269"/>
      <c r="P12" s="37">
        <v>111477</v>
      </c>
      <c r="Q12" s="36" t="str">
        <f>CONCATENATE(Cover!$D$6,"fdd/view?i=",P12)</f>
        <v>https://www.dgiwg.org/FAD/fdd/view?i=111477</v>
      </c>
      <c r="R12" s="13" t="s">
        <v>5973</v>
      </c>
      <c r="S12" s="172"/>
      <c r="T12" s="172"/>
      <c r="CP12" s="164" t="s">
        <v>1790</v>
      </c>
      <c r="CY12" s="165" t="s">
        <v>1790</v>
      </c>
    </row>
    <row r="13" spans="1:109" x14ac:dyDescent="0.2">
      <c r="A13" s="176" t="str">
        <f t="shared" si="0"/>
        <v>absoluteLongAccWgs84</v>
      </c>
      <c r="B13" s="11" t="s">
        <v>5978</v>
      </c>
      <c r="C13" s="173"/>
      <c r="D13" s="22" t="s">
        <v>5979</v>
      </c>
      <c r="E13" s="15" t="s">
        <v>5980</v>
      </c>
      <c r="F13" s="174"/>
      <c r="G13" s="174"/>
      <c r="H13" s="17" t="s">
        <v>5932</v>
      </c>
      <c r="I13" s="269"/>
      <c r="J13" s="369" t="str">
        <f t="shared" si="1"/>
        <v>Real</v>
      </c>
      <c r="K13" s="271" t="str">
        <f t="shared" si="2"/>
        <v>Length</v>
      </c>
      <c r="L13" s="270" t="str">
        <f t="shared" si="3"/>
        <v>Metre</v>
      </c>
      <c r="M13" s="272"/>
      <c r="N13" s="273"/>
      <c r="O13" s="269"/>
      <c r="P13" s="37">
        <v>100609</v>
      </c>
      <c r="Q13" s="36" t="str">
        <f>CONCATENATE(Cover!$D$6,"fdd/view?i=",P13)</f>
        <v>https://www.dgiwg.org/FAD/fdd/view?i=100609</v>
      </c>
      <c r="R13" s="13" t="s">
        <v>5977</v>
      </c>
      <c r="S13" s="172"/>
      <c r="T13" s="172"/>
      <c r="CP13" s="164" t="s">
        <v>1790</v>
      </c>
      <c r="CZ13" s="165" t="s">
        <v>1790</v>
      </c>
    </row>
    <row r="14" spans="1:109" ht="25.5" x14ac:dyDescent="0.2">
      <c r="A14" s="176" t="str">
        <f t="shared" si="0"/>
        <v>absOrthoHgtAccRwyHiWgs84</v>
      </c>
      <c r="B14" s="11" t="s">
        <v>5982</v>
      </c>
      <c r="C14" s="173"/>
      <c r="D14" s="22" t="s">
        <v>5983</v>
      </c>
      <c r="E14" s="15" t="s">
        <v>5984</v>
      </c>
      <c r="F14" s="174"/>
      <c r="G14" s="174"/>
      <c r="H14" s="17" t="s">
        <v>5932</v>
      </c>
      <c r="I14" s="269"/>
      <c r="J14" s="369" t="str">
        <f t="shared" si="1"/>
        <v>Real</v>
      </c>
      <c r="K14" s="271" t="str">
        <f t="shared" si="2"/>
        <v>Length</v>
      </c>
      <c r="L14" s="270" t="str">
        <f t="shared" si="3"/>
        <v>Metre</v>
      </c>
      <c r="M14" s="272"/>
      <c r="N14" s="273"/>
      <c r="O14" s="269"/>
      <c r="P14" s="37">
        <v>100612</v>
      </c>
      <c r="Q14" s="36" t="str">
        <f>CONCATENATE(Cover!$D$6,"fdd/view?i=",P14)</f>
        <v>https://www.dgiwg.org/FAD/fdd/view?i=100612</v>
      </c>
      <c r="R14" s="13" t="s">
        <v>5981</v>
      </c>
      <c r="S14" s="172"/>
      <c r="T14" s="172"/>
      <c r="CP14" s="164" t="s">
        <v>1790</v>
      </c>
      <c r="CZ14" s="165" t="s">
        <v>1790</v>
      </c>
    </row>
    <row r="15" spans="1:109" ht="25.5" x14ac:dyDescent="0.2">
      <c r="A15" s="176" t="str">
        <f t="shared" si="0"/>
        <v>absOrthoHgtAccRwyLoWgs84</v>
      </c>
      <c r="B15" s="11" t="s">
        <v>5986</v>
      </c>
      <c r="C15" s="173"/>
      <c r="D15" s="22" t="s">
        <v>5987</v>
      </c>
      <c r="E15" s="15" t="s">
        <v>5988</v>
      </c>
      <c r="F15" s="174"/>
      <c r="G15" s="174"/>
      <c r="H15" s="17" t="s">
        <v>5932</v>
      </c>
      <c r="I15" s="269"/>
      <c r="J15" s="369" t="str">
        <f t="shared" si="1"/>
        <v>Real</v>
      </c>
      <c r="K15" s="271" t="str">
        <f t="shared" si="2"/>
        <v>Length</v>
      </c>
      <c r="L15" s="270" t="str">
        <f t="shared" si="3"/>
        <v>Metre</v>
      </c>
      <c r="M15" s="272"/>
      <c r="N15" s="273"/>
      <c r="O15" s="269"/>
      <c r="P15" s="37">
        <v>100613</v>
      </c>
      <c r="Q15" s="36" t="str">
        <f>CONCATENATE(Cover!$D$6,"fdd/view?i=",P15)</f>
        <v>https://www.dgiwg.org/FAD/fdd/view?i=100613</v>
      </c>
      <c r="R15" s="13" t="s">
        <v>5985</v>
      </c>
      <c r="S15" s="172"/>
      <c r="T15" s="172"/>
      <c r="CP15" s="164" t="s">
        <v>1790</v>
      </c>
      <c r="CZ15" s="165" t="s">
        <v>1790</v>
      </c>
    </row>
    <row r="16" spans="1:109" x14ac:dyDescent="0.2">
      <c r="A16" s="176" t="str">
        <f t="shared" si="0"/>
        <v>absOrthoHgtAccWgs84</v>
      </c>
      <c r="B16" s="11" t="s">
        <v>5990</v>
      </c>
      <c r="C16" s="173"/>
      <c r="D16" s="22" t="s">
        <v>5991</v>
      </c>
      <c r="E16" s="15" t="s">
        <v>5992</v>
      </c>
      <c r="F16" s="174"/>
      <c r="G16" s="174"/>
      <c r="H16" s="17" t="s">
        <v>5932</v>
      </c>
      <c r="I16" s="269"/>
      <c r="J16" s="369" t="str">
        <f t="shared" si="1"/>
        <v>Real</v>
      </c>
      <c r="K16" s="271" t="str">
        <f t="shared" si="2"/>
        <v>Length</v>
      </c>
      <c r="L16" s="270" t="str">
        <f t="shared" si="3"/>
        <v>Metre</v>
      </c>
      <c r="M16" s="272"/>
      <c r="N16" s="273"/>
      <c r="O16" s="269"/>
      <c r="P16" s="37">
        <v>100614</v>
      </c>
      <c r="Q16" s="36" t="str">
        <f>CONCATENATE(Cover!$D$6,"fdd/view?i=",P16)</f>
        <v>https://www.dgiwg.org/FAD/fdd/view?i=100614</v>
      </c>
      <c r="R16" s="13" t="s">
        <v>5989</v>
      </c>
      <c r="S16" s="172"/>
      <c r="T16" s="172"/>
      <c r="CP16" s="164" t="s">
        <v>1790</v>
      </c>
      <c r="CZ16" s="165" t="s">
        <v>1790</v>
      </c>
    </row>
    <row r="17" spans="1:104" ht="38.25" x14ac:dyDescent="0.2">
      <c r="A17" s="176" t="str">
        <f t="shared" si="0"/>
        <v>absoluteVertAccuracy90</v>
      </c>
      <c r="B17" s="11" t="s">
        <v>5995</v>
      </c>
      <c r="C17" s="173"/>
      <c r="D17" s="22" t="s">
        <v>5996</v>
      </c>
      <c r="E17" s="15" t="s">
        <v>5997</v>
      </c>
      <c r="F17" s="15" t="s">
        <v>5952</v>
      </c>
      <c r="G17" s="174"/>
      <c r="H17" s="17" t="s">
        <v>5932</v>
      </c>
      <c r="I17" s="269"/>
      <c r="J17" s="369" t="str">
        <f t="shared" si="1"/>
        <v>Real</v>
      </c>
      <c r="K17" s="271" t="str">
        <f t="shared" si="2"/>
        <v>Length</v>
      </c>
      <c r="L17" s="270" t="str">
        <f t="shared" si="3"/>
        <v>Metre</v>
      </c>
      <c r="M17" s="272"/>
      <c r="N17" s="273"/>
      <c r="O17" s="269"/>
      <c r="P17" s="37">
        <v>100640</v>
      </c>
      <c r="Q17" s="36" t="str">
        <f>CONCATENATE(Cover!$D$6,"fdd/view?i=",P17)</f>
        <v>https://www.dgiwg.org/FAD/fdd/view?i=100640</v>
      </c>
      <c r="R17" s="13" t="s">
        <v>5993</v>
      </c>
      <c r="S17" s="172"/>
      <c r="T17" s="13" t="s">
        <v>5994</v>
      </c>
      <c r="CP17" s="164" t="s">
        <v>1790</v>
      </c>
      <c r="CZ17" s="165" t="s">
        <v>1790</v>
      </c>
    </row>
    <row r="18" spans="1:104" ht="140.25" x14ac:dyDescent="0.2">
      <c r="A18" s="176" t="str">
        <f t="shared" si="0"/>
        <v>absoluteVertAccuracy95</v>
      </c>
      <c r="B18" s="11" t="s">
        <v>5999</v>
      </c>
      <c r="C18" s="173"/>
      <c r="D18" s="22" t="s">
        <v>6000</v>
      </c>
      <c r="E18" s="15" t="s">
        <v>6001</v>
      </c>
      <c r="F18" s="15" t="s">
        <v>6002</v>
      </c>
      <c r="G18" s="15" t="s">
        <v>6003</v>
      </c>
      <c r="H18" s="17" t="s">
        <v>5932</v>
      </c>
      <c r="I18" s="269"/>
      <c r="J18" s="369" t="str">
        <f t="shared" si="1"/>
        <v>Real</v>
      </c>
      <c r="K18" s="271" t="str">
        <f t="shared" si="2"/>
        <v>Length</v>
      </c>
      <c r="L18" s="270" t="str">
        <f t="shared" si="3"/>
        <v>Metre</v>
      </c>
      <c r="M18" s="272"/>
      <c r="N18" s="273"/>
      <c r="O18" s="269"/>
      <c r="P18" s="37">
        <v>117529</v>
      </c>
      <c r="Q18" s="36" t="str">
        <f>CONCATENATE(Cover!$D$6,"fdd/view?i=",P18)</f>
        <v>https://www.dgiwg.org/FAD/fdd/view?i=117529</v>
      </c>
      <c r="R18" s="13" t="s">
        <v>5998</v>
      </c>
      <c r="S18" s="172"/>
      <c r="T18" s="172"/>
      <c r="CG18" s="83" t="s">
        <v>1790</v>
      </c>
    </row>
    <row r="19" spans="1:104" ht="51" x14ac:dyDescent="0.2">
      <c r="A19" s="176" t="str">
        <f t="shared" si="0"/>
        <v>absoluteVertAccEvalMeth</v>
      </c>
      <c r="B19" s="11" t="s">
        <v>6006</v>
      </c>
      <c r="C19" s="173"/>
      <c r="D19" s="22" t="s">
        <v>6007</v>
      </c>
      <c r="E19" s="15" t="s">
        <v>6008</v>
      </c>
      <c r="F19" s="174"/>
      <c r="G19" s="174"/>
      <c r="H19" s="17" t="s">
        <v>5932</v>
      </c>
      <c r="I19" s="269"/>
      <c r="J19" s="369" t="str">
        <f>HYPERLINK("[#]Datatypes!B4:L4","AvmCode")</f>
        <v>AvmCode</v>
      </c>
      <c r="K19" s="276"/>
      <c r="L19" s="272"/>
      <c r="M19" s="272"/>
      <c r="N19" s="248" t="str">
        <f>HYPERLINK("[#]DatatypeListedValues!A25:H25","&lt;values&gt;")</f>
        <v>&lt;values&gt;</v>
      </c>
      <c r="O19" s="277" t="b">
        <v>0</v>
      </c>
      <c r="P19" s="37">
        <v>109938</v>
      </c>
      <c r="Q19" s="36" t="str">
        <f>CONCATENATE(Cover!$D$6,"fdd/view?i=",P19)</f>
        <v>https://www.dgiwg.org/FAD/fdd/view?i=109938</v>
      </c>
      <c r="R19" s="13" t="s">
        <v>6004</v>
      </c>
      <c r="S19" s="172"/>
      <c r="T19" s="13" t="s">
        <v>6005</v>
      </c>
      <c r="CP19" s="164" t="s">
        <v>1790</v>
      </c>
      <c r="CZ19" s="165" t="s">
        <v>1790</v>
      </c>
    </row>
    <row r="20" spans="1:104" ht="25.5" x14ac:dyDescent="0.2">
      <c r="A20" s="176" t="str">
        <f t="shared" si="0"/>
        <v>accelerateStopDistAvail</v>
      </c>
      <c r="B20" s="11" t="s">
        <v>6011</v>
      </c>
      <c r="C20" s="173"/>
      <c r="D20" s="22" t="s">
        <v>6012</v>
      </c>
      <c r="E20" s="15" t="s">
        <v>6013</v>
      </c>
      <c r="F20" s="174"/>
      <c r="G20" s="15" t="s">
        <v>6014</v>
      </c>
      <c r="H20" s="17" t="s">
        <v>5932</v>
      </c>
      <c r="I20" s="269"/>
      <c r="J20" s="369" t="str">
        <f>HYPERLINK("[#]Datatypes!B1231:L1231","Real")</f>
        <v>Real</v>
      </c>
      <c r="K20" s="271" t="str">
        <f>HYPERLINK("[#]PhysicalQuantities!A20:N20","Length")</f>
        <v>Length</v>
      </c>
      <c r="L20" s="270" t="str">
        <f>HYPERLINK("[#]UnitsOfMeasure!D80:G80","Metre")</f>
        <v>Metre</v>
      </c>
      <c r="M20" s="272"/>
      <c r="N20" s="273"/>
      <c r="O20" s="269"/>
      <c r="P20" s="37">
        <v>117511</v>
      </c>
      <c r="Q20" s="36" t="str">
        <f>CONCATENATE(Cover!$D$6,"fdd/view?i=",P20)</f>
        <v>https://www.dgiwg.org/FAD/fdd/view?i=117511</v>
      </c>
      <c r="R20" s="13" t="s">
        <v>6010</v>
      </c>
      <c r="S20" s="172"/>
      <c r="T20" s="172"/>
      <c r="CE20" s="87" t="s">
        <v>1790</v>
      </c>
    </row>
    <row r="21" spans="1:104" x14ac:dyDescent="0.2">
      <c r="A21" s="176" t="str">
        <f t="shared" si="0"/>
        <v>accessRestriction</v>
      </c>
      <c r="B21" s="11" t="s">
        <v>6016</v>
      </c>
      <c r="C21" s="173"/>
      <c r="D21" s="22" t="s">
        <v>6017</v>
      </c>
      <c r="E21" s="15" t="s">
        <v>6018</v>
      </c>
      <c r="F21" s="174"/>
      <c r="G21" s="174"/>
      <c r="H21" s="17" t="s">
        <v>5932</v>
      </c>
      <c r="I21" s="269"/>
      <c r="J21" s="369" t="str">
        <f>HYPERLINK("[#]Datatypes!B1528:L1528","Text")</f>
        <v>Text</v>
      </c>
      <c r="K21" s="276"/>
      <c r="L21" s="272"/>
      <c r="M21" s="272"/>
      <c r="N21" s="273"/>
      <c r="O21" s="269"/>
      <c r="P21" s="37">
        <v>114409</v>
      </c>
      <c r="Q21" s="36" t="str">
        <f>CONCATENATE(Cover!$D$6,"fdd/view?i=",P21)</f>
        <v>https://www.dgiwg.org/FAD/fdd/view?i=114409</v>
      </c>
      <c r="R21" s="13" t="s">
        <v>6015</v>
      </c>
      <c r="S21" s="172"/>
      <c r="T21" s="172"/>
      <c r="AS21" s="82" t="s">
        <v>1790</v>
      </c>
      <c r="AU21" s="82" t="s">
        <v>1790</v>
      </c>
      <c r="AZ21" s="87" t="s">
        <v>1790</v>
      </c>
    </row>
    <row r="22" spans="1:104" x14ac:dyDescent="0.2">
      <c r="A22" s="176" t="str">
        <f t="shared" si="0"/>
        <v>accessibilityStatus</v>
      </c>
      <c r="B22" s="11" t="s">
        <v>6021</v>
      </c>
      <c r="C22" s="173"/>
      <c r="D22" s="22" t="s">
        <v>6022</v>
      </c>
      <c r="E22" s="15" t="s">
        <v>6023</v>
      </c>
      <c r="F22" s="174"/>
      <c r="G22" s="174"/>
      <c r="H22" s="17" t="s">
        <v>5932</v>
      </c>
      <c r="I22" s="269"/>
      <c r="J22" s="369" t="str">
        <f>HYPERLINK("[#]Datatypes!B6:L6","AcsCode")</f>
        <v>AcsCode</v>
      </c>
      <c r="K22" s="276"/>
      <c r="L22" s="272"/>
      <c r="M22" s="272"/>
      <c r="N22" s="248" t="str">
        <f>HYPERLINK("[#]DatatypeListedValues!A48:H48","&lt;values&gt;")</f>
        <v>&lt;values&gt;</v>
      </c>
      <c r="O22" s="277" t="b">
        <v>0</v>
      </c>
      <c r="P22" s="37">
        <v>100591</v>
      </c>
      <c r="Q22" s="36" t="str">
        <f>CONCATENATE(Cover!$D$6,"fdd/view?i=",P22)</f>
        <v>https://www.dgiwg.org/FAD/fdd/view?i=100591</v>
      </c>
      <c r="R22" s="13" t="s">
        <v>6020</v>
      </c>
      <c r="S22" s="172"/>
      <c r="T22" s="172"/>
      <c r="AU22" s="82" t="s">
        <v>1790</v>
      </c>
    </row>
    <row r="23" spans="1:104" x14ac:dyDescent="0.2">
      <c r="A23" s="176" t="str">
        <f t="shared" si="0"/>
        <v>accessibleUtilityType</v>
      </c>
      <c r="B23" s="11" t="s">
        <v>6026</v>
      </c>
      <c r="C23" s="173"/>
      <c r="D23" s="22" t="s">
        <v>6027</v>
      </c>
      <c r="E23" s="15" t="s">
        <v>6028</v>
      </c>
      <c r="F23" s="174"/>
      <c r="G23" s="174"/>
      <c r="H23" s="17" t="s">
        <v>5932</v>
      </c>
      <c r="I23" s="17" t="s">
        <v>6029</v>
      </c>
      <c r="J23" s="369" t="str">
        <f>HYPERLINK("[#]Datatypes!B8:L8","UtyCode")</f>
        <v>UtyCode</v>
      </c>
      <c r="K23" s="276"/>
      <c r="L23" s="272"/>
      <c r="M23" s="272"/>
      <c r="N23" s="248" t="str">
        <f>HYPERLINK("[#]DatatypeListedValues!A55:H55","&lt;values&gt;")</f>
        <v>&lt;values&gt;</v>
      </c>
      <c r="O23" s="277" t="b">
        <v>0</v>
      </c>
      <c r="P23" s="37">
        <v>118051</v>
      </c>
      <c r="Q23" s="36" t="str">
        <f>CONCATENATE(Cover!$D$6,"fdd/view?i=",P23)</f>
        <v>https://www.dgiwg.org/FAD/fdd/view?i=118051</v>
      </c>
      <c r="R23" s="13" t="s">
        <v>6025</v>
      </c>
      <c r="S23" s="172"/>
      <c r="T23" s="172"/>
      <c r="AD23" s="82" t="s">
        <v>1790</v>
      </c>
      <c r="AE23" s="82" t="s">
        <v>1790</v>
      </c>
      <c r="AG23" s="82" t="s">
        <v>1790</v>
      </c>
      <c r="AH23" s="85" t="s">
        <v>1790</v>
      </c>
      <c r="CT23" s="166" t="s">
        <v>1790</v>
      </c>
    </row>
    <row r="24" spans="1:104" ht="25.5" x14ac:dyDescent="0.2">
      <c r="A24" s="176" t="str">
        <f t="shared" si="0"/>
        <v>accommodationType</v>
      </c>
      <c r="B24" s="11" t="s">
        <v>6032</v>
      </c>
      <c r="C24" s="173"/>
      <c r="D24" s="22" t="s">
        <v>6033</v>
      </c>
      <c r="E24" s="15" t="s">
        <v>6034</v>
      </c>
      <c r="F24" s="174"/>
      <c r="G24" s="174"/>
      <c r="H24" s="17" t="s">
        <v>5932</v>
      </c>
      <c r="I24" s="269"/>
      <c r="J24" s="369" t="str">
        <f>HYPERLINK("[#]Datatypes!B10:L10","BruCode")</f>
        <v>BruCode</v>
      </c>
      <c r="K24" s="276"/>
      <c r="L24" s="272"/>
      <c r="M24" s="272"/>
      <c r="N24" s="248" t="str">
        <f>HYPERLINK("[#]DatatypeListedValues!A68:H68","&lt;values&gt;")</f>
        <v>&lt;values&gt;</v>
      </c>
      <c r="O24" s="17" t="b">
        <v>1</v>
      </c>
      <c r="P24" s="37">
        <v>119865</v>
      </c>
      <c r="Q24" s="36" t="str">
        <f>CONCATENATE(Cover!$D$6,"fdd/view?i=",P24)</f>
        <v>https://www.dgiwg.org/FAD/fdd/view?i=119865</v>
      </c>
      <c r="R24" s="13" t="s">
        <v>6031</v>
      </c>
      <c r="S24" s="172"/>
      <c r="T24" s="172"/>
      <c r="AI24" s="87" t="s">
        <v>1790</v>
      </c>
      <c r="AJ24" s="83" t="s">
        <v>1790</v>
      </c>
      <c r="CT24" s="166" t="s">
        <v>1790</v>
      </c>
    </row>
    <row r="25" spans="1:104" x14ac:dyDescent="0.2">
      <c r="A25" s="176" t="str">
        <f t="shared" si="0"/>
        <v>acousticFrequency</v>
      </c>
      <c r="B25" s="11" t="s">
        <v>6037</v>
      </c>
      <c r="C25" s="173"/>
      <c r="D25" s="22" t="s">
        <v>6038</v>
      </c>
      <c r="E25" s="15" t="s">
        <v>6039</v>
      </c>
      <c r="F25" s="174"/>
      <c r="G25" s="174"/>
      <c r="H25" s="17" t="s">
        <v>5932</v>
      </c>
      <c r="I25" s="269"/>
      <c r="J25" s="369" t="str">
        <f>HYPERLINK("[#]Datatypes!B1233:L1233","RealInterval")</f>
        <v>RealInterval</v>
      </c>
      <c r="K25" s="271" t="str">
        <f>HYPERLINK("[#]PhysicalQuantities!A15:N15","Frequency")</f>
        <v>Frequency</v>
      </c>
      <c r="L25" s="270" t="str">
        <f>HYPERLINK("[#]UnitsOfMeasure!D71:G71","Hertz")</f>
        <v>Hertz</v>
      </c>
      <c r="M25" s="272"/>
      <c r="N25" s="273"/>
      <c r="O25" s="269"/>
      <c r="P25" s="37">
        <v>110705</v>
      </c>
      <c r="Q25" s="36" t="str">
        <f>CONCATENATE(Cover!$D$6,"fdd/view?i=",P25)</f>
        <v>https://www.dgiwg.org/FAD/fdd/view?i=110705</v>
      </c>
      <c r="R25" s="13" t="s">
        <v>6036</v>
      </c>
      <c r="S25" s="172"/>
      <c r="T25" s="172"/>
      <c r="AE25" s="82" t="s">
        <v>1790</v>
      </c>
      <c r="CQ25" s="165" t="s">
        <v>1790</v>
      </c>
    </row>
    <row r="26" spans="1:104" ht="63.75" x14ac:dyDescent="0.2">
      <c r="A26" s="176" t="str">
        <f t="shared" si="0"/>
        <v>activePeriodEndDateTime</v>
      </c>
      <c r="B26" s="11" t="s">
        <v>6041</v>
      </c>
      <c r="C26" s="173"/>
      <c r="D26" s="22" t="s">
        <v>6042</v>
      </c>
      <c r="E26" s="15" t="s">
        <v>6043</v>
      </c>
      <c r="F26" s="15" t="s">
        <v>6044</v>
      </c>
      <c r="G26" s="174"/>
      <c r="H26" s="17" t="s">
        <v>5932</v>
      </c>
      <c r="I26" s="269"/>
      <c r="J26" s="369" t="str">
        <f>HYPERLINK("[#]Datatypes!B12:L12","PdeStrucText")</f>
        <v>PdeStrucText</v>
      </c>
      <c r="K26" s="276"/>
      <c r="L26" s="272"/>
      <c r="M26" s="272"/>
      <c r="N26" s="273"/>
      <c r="O26" s="269"/>
      <c r="P26" s="37">
        <v>101152</v>
      </c>
      <c r="Q26" s="36" t="str">
        <f>CONCATENATE(Cover!$D$6,"fdd/view?i=",P26)</f>
        <v>https://www.dgiwg.org/FAD/fdd/view?i=101152</v>
      </c>
      <c r="R26" s="13" t="s">
        <v>6040</v>
      </c>
      <c r="S26" s="172"/>
      <c r="T26" s="172"/>
      <c r="CR26" s="165" t="s">
        <v>1790</v>
      </c>
      <c r="CT26" s="166" t="s">
        <v>1790</v>
      </c>
    </row>
    <row r="27" spans="1:104" ht="51" x14ac:dyDescent="0.2">
      <c r="A27" s="176" t="str">
        <f t="shared" si="0"/>
        <v>activePeriodInterval</v>
      </c>
      <c r="B27" s="11" t="s">
        <v>6047</v>
      </c>
      <c r="C27" s="173"/>
      <c r="D27" s="22" t="s">
        <v>6048</v>
      </c>
      <c r="E27" s="15" t="s">
        <v>6049</v>
      </c>
      <c r="F27" s="15" t="s">
        <v>6050</v>
      </c>
      <c r="G27" s="174"/>
      <c r="H27" s="17" t="s">
        <v>5932</v>
      </c>
      <c r="I27" s="269"/>
      <c r="J27" s="369" t="str">
        <f>HYPERLINK("[#]Datatypes!B14:L14","PdzStrucText")</f>
        <v>PdzStrucText</v>
      </c>
      <c r="K27" s="276"/>
      <c r="L27" s="272"/>
      <c r="M27" s="272"/>
      <c r="N27" s="273"/>
      <c r="O27" s="269"/>
      <c r="P27" s="37">
        <v>109961</v>
      </c>
      <c r="Q27" s="36" t="str">
        <f>CONCATENATE(Cover!$D$6,"fdd/view?i=",P27)</f>
        <v>https://www.dgiwg.org/FAD/fdd/view?i=109961</v>
      </c>
      <c r="R27" s="13" t="s">
        <v>6046</v>
      </c>
      <c r="S27" s="172"/>
      <c r="T27" s="172"/>
      <c r="CR27" s="165" t="s">
        <v>1790</v>
      </c>
      <c r="CT27" s="166" t="s">
        <v>1790</v>
      </c>
    </row>
    <row r="28" spans="1:104" ht="63.75" x14ac:dyDescent="0.2">
      <c r="A28" s="176" t="str">
        <f t="shared" si="0"/>
        <v>activePeriodStartDateTime</v>
      </c>
      <c r="B28" s="11" t="s">
        <v>6053</v>
      </c>
      <c r="C28" s="173"/>
      <c r="D28" s="22" t="s">
        <v>6054</v>
      </c>
      <c r="E28" s="15" t="s">
        <v>6055</v>
      </c>
      <c r="F28" s="15" t="s">
        <v>6056</v>
      </c>
      <c r="G28" s="174"/>
      <c r="H28" s="17" t="s">
        <v>5932</v>
      </c>
      <c r="I28" s="269"/>
      <c r="J28" s="369" t="str">
        <f>HYPERLINK("[#]Datatypes!B16:L16","PdsStrucText")</f>
        <v>PdsStrucText</v>
      </c>
      <c r="K28" s="276"/>
      <c r="L28" s="272"/>
      <c r="M28" s="272"/>
      <c r="N28" s="273"/>
      <c r="O28" s="269"/>
      <c r="P28" s="37">
        <v>101154</v>
      </c>
      <c r="Q28" s="36" t="str">
        <f>CONCATENATE(Cover!$D$6,"fdd/view?i=",P28)</f>
        <v>https://www.dgiwg.org/FAD/fdd/view?i=101154</v>
      </c>
      <c r="R28" s="13" t="s">
        <v>6052</v>
      </c>
      <c r="S28" s="172"/>
      <c r="T28" s="172"/>
      <c r="CR28" s="165" t="s">
        <v>1790</v>
      </c>
      <c r="CT28" s="166" t="s">
        <v>1790</v>
      </c>
    </row>
    <row r="29" spans="1:104" ht="63.75" x14ac:dyDescent="0.2">
      <c r="A29" s="176" t="str">
        <f t="shared" si="0"/>
        <v>activityDescription</v>
      </c>
      <c r="B29" s="11" t="s">
        <v>6059</v>
      </c>
      <c r="C29" s="173"/>
      <c r="D29" s="22" t="s">
        <v>6060</v>
      </c>
      <c r="E29" s="15" t="s">
        <v>6061</v>
      </c>
      <c r="F29" s="15" t="s">
        <v>6062</v>
      </c>
      <c r="G29" s="174"/>
      <c r="H29" s="17" t="s">
        <v>5932</v>
      </c>
      <c r="I29" s="269"/>
      <c r="J29" s="369" t="str">
        <f>HYPERLINK("[#]Datatypes!B1540:L1540","TextLex4095")</f>
        <v>TextLex4095</v>
      </c>
      <c r="K29" s="276"/>
      <c r="L29" s="272"/>
      <c r="M29" s="272"/>
      <c r="N29" s="273"/>
      <c r="O29" s="269"/>
      <c r="P29" s="37">
        <v>109946</v>
      </c>
      <c r="Q29" s="36" t="str">
        <f>CONCATENATE(Cover!$D$6,"fdd/view?i=",P29)</f>
        <v>https://www.dgiwg.org/FAD/fdd/view?i=109946</v>
      </c>
      <c r="R29" s="13" t="s">
        <v>6058</v>
      </c>
      <c r="S29" s="172"/>
      <c r="T29" s="172"/>
      <c r="CR29" s="165" t="s">
        <v>1790</v>
      </c>
    </row>
    <row r="30" spans="1:104" ht="51" x14ac:dyDescent="0.2">
      <c r="A30" s="176" t="str">
        <f t="shared" si="0"/>
        <v>activityDuration</v>
      </c>
      <c r="B30" s="11" t="s">
        <v>6065</v>
      </c>
      <c r="C30" s="173"/>
      <c r="D30" s="22" t="s">
        <v>6066</v>
      </c>
      <c r="E30" s="15" t="s">
        <v>6067</v>
      </c>
      <c r="F30" s="15" t="s">
        <v>6068</v>
      </c>
      <c r="G30" s="174"/>
      <c r="H30" s="17" t="s">
        <v>5932</v>
      </c>
      <c r="I30" s="269"/>
      <c r="J30" s="369" t="str">
        <f>HYPERLINK("[#]Datatypes!B18:L18","DotStrucText")</f>
        <v>DotStrucText</v>
      </c>
      <c r="K30" s="276"/>
      <c r="L30" s="272"/>
      <c r="M30" s="272"/>
      <c r="N30" s="273"/>
      <c r="O30" s="269"/>
      <c r="P30" s="37">
        <v>109948</v>
      </c>
      <c r="Q30" s="36" t="str">
        <f>CONCATENATE(Cover!$D$6,"fdd/view?i=",P30)</f>
        <v>https://www.dgiwg.org/FAD/fdd/view?i=109948</v>
      </c>
      <c r="R30" s="13" t="s">
        <v>6064</v>
      </c>
      <c r="S30" s="172"/>
      <c r="T30" s="172"/>
      <c r="CR30" s="165" t="s">
        <v>1790</v>
      </c>
      <c r="CT30" s="166" t="s">
        <v>1790</v>
      </c>
    </row>
    <row r="31" spans="1:104" ht="38.25" x14ac:dyDescent="0.2">
      <c r="A31" s="176" t="str">
        <f t="shared" si="0"/>
        <v>actualFlowCapacity</v>
      </c>
      <c r="B31" s="11" t="s">
        <v>6071</v>
      </c>
      <c r="C31" s="173"/>
      <c r="D31" s="22" t="s">
        <v>6072</v>
      </c>
      <c r="E31" s="15" t="s">
        <v>6073</v>
      </c>
      <c r="F31" s="15" t="s">
        <v>6074</v>
      </c>
      <c r="G31" s="174"/>
      <c r="H31" s="17" t="s">
        <v>5932</v>
      </c>
      <c r="I31" s="269"/>
      <c r="J31" s="369" t="str">
        <f>HYPERLINK("[#]Datatypes!B1231:L1231","Real")</f>
        <v>Real</v>
      </c>
      <c r="K31" s="271" t="str">
        <f>HYPERLINK("[#]PhysicalQuantities!A53:N53","Volume Flow Rate")</f>
        <v>Volume Flow Rate</v>
      </c>
      <c r="L31" s="270" t="str">
        <f>HYPERLINK("[#]UnitsOfMeasure!D292:G292","Cubic Metre per Hour")</f>
        <v>Cubic Metre per Hour</v>
      </c>
      <c r="M31" s="272"/>
      <c r="N31" s="273"/>
      <c r="O31" s="269"/>
      <c r="P31" s="37">
        <v>118580</v>
      </c>
      <c r="Q31" s="36" t="str">
        <f>CONCATENATE(Cover!$D$6,"fdd/view?i=",P31)</f>
        <v>https://www.dgiwg.org/FAD/fdd/view?i=118580</v>
      </c>
      <c r="R31" s="13" t="s">
        <v>6070</v>
      </c>
      <c r="S31" s="172"/>
      <c r="T31" s="172"/>
      <c r="AB31" s="82" t="s">
        <v>1790</v>
      </c>
      <c r="AG31" s="82" t="s">
        <v>1790</v>
      </c>
      <c r="AR31" s="82" t="s">
        <v>1790</v>
      </c>
      <c r="AY31" s="85" t="s">
        <v>1790</v>
      </c>
      <c r="CQ31" s="165" t="s">
        <v>1790</v>
      </c>
    </row>
    <row r="32" spans="1:104" ht="25.5" x14ac:dyDescent="0.2">
      <c r="A32" s="176" t="str">
        <f t="shared" si="0"/>
        <v>address</v>
      </c>
      <c r="B32" s="11" t="s">
        <v>6076</v>
      </c>
      <c r="C32" s="173"/>
      <c r="D32" s="22" t="s">
        <v>6077</v>
      </c>
      <c r="E32" s="15" t="s">
        <v>6078</v>
      </c>
      <c r="F32" s="174"/>
      <c r="G32" s="174"/>
      <c r="H32" s="17" t="s">
        <v>5932</v>
      </c>
      <c r="I32" s="269"/>
      <c r="J32" s="369" t="str">
        <f>HYPERLINK("[#]Datatypes!B26:L26","AdrStrucText")</f>
        <v>AdrStrucText</v>
      </c>
      <c r="K32" s="276"/>
      <c r="L32" s="272"/>
      <c r="M32" s="272"/>
      <c r="N32" s="273"/>
      <c r="O32" s="269"/>
      <c r="P32" s="37">
        <v>111466</v>
      </c>
      <c r="Q32" s="36" t="str">
        <f>CONCATENATE(Cover!$D$6,"fdd/view?i=",P32)</f>
        <v>https://www.dgiwg.org/FAD/fdd/view?i=111466</v>
      </c>
      <c r="R32" s="13" t="s">
        <v>6075</v>
      </c>
      <c r="S32" s="172"/>
      <c r="T32" s="172"/>
      <c r="CV32" s="83" t="s">
        <v>1790</v>
      </c>
      <c r="CZ32" s="165" t="s">
        <v>1790</v>
      </c>
    </row>
    <row r="33" spans="1:100" ht="51" x14ac:dyDescent="0.2">
      <c r="A33" s="176" t="str">
        <f t="shared" si="0"/>
        <v>addressDirectionPrefix</v>
      </c>
      <c r="B33" s="11" t="s">
        <v>6081</v>
      </c>
      <c r="C33" s="173"/>
      <c r="D33" s="22" t="s">
        <v>6082</v>
      </c>
      <c r="E33" s="15" t="s">
        <v>6083</v>
      </c>
      <c r="F33" s="15" t="s">
        <v>6084</v>
      </c>
      <c r="G33" s="174"/>
      <c r="H33" s="17" t="s">
        <v>5932</v>
      </c>
      <c r="I33" s="269"/>
      <c r="J33" s="369" t="str">
        <f>HYPERLINK("[#]Datatypes!B20:L20","DipCode")</f>
        <v>DipCode</v>
      </c>
      <c r="K33" s="276"/>
      <c r="L33" s="272"/>
      <c r="M33" s="272"/>
      <c r="N33" s="248" t="str">
        <f>HYPERLINK("[#]DatatypeListedValues!A70:H70","&lt;values&gt;")</f>
        <v>&lt;values&gt;</v>
      </c>
      <c r="O33" s="277" t="b">
        <v>0</v>
      </c>
      <c r="P33" s="37">
        <v>100815</v>
      </c>
      <c r="Q33" s="36" t="str">
        <f>CONCATENATE(Cover!$D$6,"fdd/view?i=",P33)</f>
        <v>https://www.dgiwg.org/FAD/fdd/view?i=100815</v>
      </c>
      <c r="R33" s="13" t="s">
        <v>6080</v>
      </c>
      <c r="S33" s="172"/>
      <c r="T33" s="172"/>
      <c r="AI33" s="87" t="s">
        <v>1790</v>
      </c>
      <c r="CP33" s="164" t="s">
        <v>1790</v>
      </c>
      <c r="CV33" s="83" t="s">
        <v>1790</v>
      </c>
    </row>
    <row r="34" spans="1:100" ht="51" x14ac:dyDescent="0.2">
      <c r="A34" s="176" t="str">
        <f t="shared" si="0"/>
        <v>addressDirectionSuffix</v>
      </c>
      <c r="B34" s="11" t="s">
        <v>6087</v>
      </c>
      <c r="C34" s="173"/>
      <c r="D34" s="22" t="s">
        <v>6088</v>
      </c>
      <c r="E34" s="15" t="s">
        <v>6089</v>
      </c>
      <c r="F34" s="15" t="s">
        <v>6090</v>
      </c>
      <c r="G34" s="174"/>
      <c r="H34" s="17" t="s">
        <v>5932</v>
      </c>
      <c r="I34" s="269"/>
      <c r="J34" s="369" t="str">
        <f>HYPERLINK("[#]Datatypes!B22:L22","DrsCode")</f>
        <v>DrsCode</v>
      </c>
      <c r="K34" s="276"/>
      <c r="L34" s="272"/>
      <c r="M34" s="272"/>
      <c r="N34" s="248" t="str">
        <f>HYPERLINK("[#]DatatypeListedValues!A79:H79","&lt;values&gt;")</f>
        <v>&lt;values&gt;</v>
      </c>
      <c r="O34" s="277" t="b">
        <v>0</v>
      </c>
      <c r="P34" s="37">
        <v>100841</v>
      </c>
      <c r="Q34" s="36" t="str">
        <f>CONCATENATE(Cover!$D$6,"fdd/view?i=",P34)</f>
        <v>https://www.dgiwg.org/FAD/fdd/view?i=100841</v>
      </c>
      <c r="R34" s="13" t="s">
        <v>6086</v>
      </c>
      <c r="S34" s="172"/>
      <c r="T34" s="172"/>
      <c r="AI34" s="87" t="s">
        <v>1790</v>
      </c>
      <c r="AJ34" s="83" t="s">
        <v>1790</v>
      </c>
      <c r="CP34" s="164" t="s">
        <v>1790</v>
      </c>
      <c r="CV34" s="83" t="s">
        <v>1790</v>
      </c>
    </row>
    <row r="35" spans="1:100" ht="76.5" x14ac:dyDescent="0.2">
      <c r="A35" s="176" t="str">
        <f t="shared" si="0"/>
        <v>addressNumber</v>
      </c>
      <c r="B35" s="11" t="s">
        <v>6093</v>
      </c>
      <c r="C35" s="173"/>
      <c r="D35" s="22" t="s">
        <v>6094</v>
      </c>
      <c r="E35" s="15" t="s">
        <v>6095</v>
      </c>
      <c r="F35" s="15" t="s">
        <v>6096</v>
      </c>
      <c r="G35" s="174"/>
      <c r="H35" s="17" t="s">
        <v>5932</v>
      </c>
      <c r="I35" s="269"/>
      <c r="J35" s="369" t="str">
        <f>HYPERLINK("[#]Datatypes!B24:L24","AdnStrucText")</f>
        <v>AdnStrucText</v>
      </c>
      <c r="K35" s="276"/>
      <c r="L35" s="272"/>
      <c r="M35" s="272"/>
      <c r="N35" s="273"/>
      <c r="O35" s="269"/>
      <c r="P35" s="37">
        <v>109935</v>
      </c>
      <c r="Q35" s="36" t="str">
        <f>CONCATENATE(Cover!$D$6,"fdd/view?i=",P35)</f>
        <v>https://www.dgiwg.org/FAD/fdd/view?i=109935</v>
      </c>
      <c r="R35" s="13" t="s">
        <v>6092</v>
      </c>
      <c r="S35" s="172"/>
      <c r="T35" s="172"/>
      <c r="AI35" s="87" t="s">
        <v>1790</v>
      </c>
      <c r="CP35" s="164" t="s">
        <v>1790</v>
      </c>
      <c r="CV35" s="83" t="s">
        <v>1790</v>
      </c>
    </row>
    <row r="36" spans="1:100" ht="25.5" x14ac:dyDescent="0.2">
      <c r="A36" s="176" t="str">
        <f t="shared" si="0"/>
        <v>adminCorporation</v>
      </c>
      <c r="B36" s="11" t="s">
        <v>6099</v>
      </c>
      <c r="C36" s="173"/>
      <c r="D36" s="22" t="s">
        <v>6100</v>
      </c>
      <c r="E36" s="15" t="s">
        <v>6101</v>
      </c>
      <c r="F36" s="15" t="s">
        <v>6102</v>
      </c>
      <c r="G36" s="174"/>
      <c r="H36" s="17" t="s">
        <v>5932</v>
      </c>
      <c r="I36" s="269"/>
      <c r="J36" s="369" t="str">
        <f>HYPERLINK("[#]Datatypes!B240:L240","Boolean")</f>
        <v>Boolean</v>
      </c>
      <c r="K36" s="276"/>
      <c r="L36" s="272"/>
      <c r="M36" s="272"/>
      <c r="N36" s="273"/>
      <c r="O36" s="269"/>
      <c r="P36" s="37">
        <v>114467</v>
      </c>
      <c r="Q36" s="36" t="str">
        <f>CONCATENATE(Cover!$D$6,"fdd/view?i=",P36)</f>
        <v>https://www.dgiwg.org/FAD/fdd/view?i=114467</v>
      </c>
      <c r="R36" s="13" t="s">
        <v>6098</v>
      </c>
      <c r="S36" s="172"/>
      <c r="T36" s="172"/>
      <c r="AM36" s="83" t="s">
        <v>1790</v>
      </c>
      <c r="CT36" s="166" t="s">
        <v>1790</v>
      </c>
    </row>
    <row r="37" spans="1:100" ht="25.5" x14ac:dyDescent="0.2">
      <c r="A37" s="176" t="str">
        <f t="shared" si="0"/>
        <v>adminDivisionLevel</v>
      </c>
      <c r="B37" s="11" t="s">
        <v>6105</v>
      </c>
      <c r="C37" s="173"/>
      <c r="D37" s="22" t="s">
        <v>6106</v>
      </c>
      <c r="E37" s="15" t="s">
        <v>6107</v>
      </c>
      <c r="F37" s="174"/>
      <c r="G37" s="174"/>
      <c r="H37" s="17" t="s">
        <v>5932</v>
      </c>
      <c r="I37" s="269"/>
      <c r="J37" s="369" t="str">
        <f>HYPERLINK("[#]Datatypes!B28:L28","AduCode")</f>
        <v>AduCode</v>
      </c>
      <c r="K37" s="276"/>
      <c r="L37" s="272"/>
      <c r="M37" s="272"/>
      <c r="N37" s="248" t="str">
        <f>HYPERLINK("[#]DatatypeListedValues!A88:H88","&lt;values&gt;")</f>
        <v>&lt;values&gt;</v>
      </c>
      <c r="O37" s="277" t="b">
        <v>0</v>
      </c>
      <c r="P37" s="37">
        <v>114466</v>
      </c>
      <c r="Q37" s="36" t="str">
        <f>CONCATENATE(Cover!$D$6,"fdd/view?i=",P37)</f>
        <v>https://www.dgiwg.org/FAD/fdd/view?i=114466</v>
      </c>
      <c r="R37" s="13" t="s">
        <v>6104</v>
      </c>
      <c r="S37" s="172"/>
      <c r="T37" s="172"/>
      <c r="AM37" s="83" t="s">
        <v>1790</v>
      </c>
      <c r="CV37" s="83" t="s">
        <v>1790</v>
      </c>
    </row>
    <row r="38" spans="1:100" ht="51" x14ac:dyDescent="0.2">
      <c r="A38" s="176" t="str">
        <f t="shared" si="0"/>
        <v>adminName</v>
      </c>
      <c r="B38" s="11" t="s">
        <v>6110</v>
      </c>
      <c r="C38" s="173"/>
      <c r="D38" s="22" t="s">
        <v>6111</v>
      </c>
      <c r="E38" s="15" t="s">
        <v>6112</v>
      </c>
      <c r="F38" s="15" t="s">
        <v>6113</v>
      </c>
      <c r="G38" s="174"/>
      <c r="H38" s="17" t="s">
        <v>5932</v>
      </c>
      <c r="I38" s="269"/>
      <c r="J38" s="369" t="str">
        <f>HYPERLINK("[#]Datatypes!B1534:L1534","TextLex200")</f>
        <v>TextLex200</v>
      </c>
      <c r="K38" s="276"/>
      <c r="L38" s="272"/>
      <c r="M38" s="272"/>
      <c r="N38" s="273"/>
      <c r="O38" s="269"/>
      <c r="P38" s="37">
        <v>114215</v>
      </c>
      <c r="Q38" s="36" t="str">
        <f>CONCATENATE(Cover!$D$6,"fdd/view?i=",P38)</f>
        <v>https://www.dgiwg.org/FAD/fdd/view?i=114215</v>
      </c>
      <c r="R38" s="13" t="s">
        <v>6109</v>
      </c>
      <c r="S38" s="172"/>
      <c r="T38" s="172"/>
      <c r="AM38" s="83" t="s">
        <v>1790</v>
      </c>
      <c r="CU38" s="87" t="s">
        <v>1790</v>
      </c>
    </row>
    <row r="39" spans="1:100" ht="25.5" x14ac:dyDescent="0.2">
      <c r="A39" s="176" t="str">
        <f t="shared" si="0"/>
        <v>adminSubdivisionLevel</v>
      </c>
      <c r="B39" s="11" t="s">
        <v>6116</v>
      </c>
      <c r="C39" s="173"/>
      <c r="D39" s="22" t="s">
        <v>6117</v>
      </c>
      <c r="E39" s="15" t="s">
        <v>6118</v>
      </c>
      <c r="F39" s="174"/>
      <c r="G39" s="174"/>
      <c r="H39" s="17" t="s">
        <v>5932</v>
      </c>
      <c r="I39" s="269"/>
      <c r="J39" s="369" t="str">
        <f>HYPERLINK("[#]Datatypes!B30:L30","AslCode")</f>
        <v>AslCode</v>
      </c>
      <c r="K39" s="276"/>
      <c r="L39" s="272"/>
      <c r="M39" s="272"/>
      <c r="N39" s="248" t="str">
        <f>HYPERLINK("[#]DatatypeListedValues!A96:H96","&lt;values&gt;")</f>
        <v>&lt;values&gt;</v>
      </c>
      <c r="O39" s="277" t="b">
        <v>0</v>
      </c>
      <c r="P39" s="37">
        <v>109937</v>
      </c>
      <c r="Q39" s="36" t="str">
        <f>CONCATENATE(Cover!$D$6,"fdd/view?i=",P39)</f>
        <v>https://www.dgiwg.org/FAD/fdd/view?i=109937</v>
      </c>
      <c r="R39" s="13" t="s">
        <v>6115</v>
      </c>
      <c r="S39" s="172"/>
      <c r="T39" s="172"/>
      <c r="AM39" s="83" t="s">
        <v>1790</v>
      </c>
    </row>
    <row r="40" spans="1:100" x14ac:dyDescent="0.2">
      <c r="A40" s="176" t="str">
        <f t="shared" si="0"/>
        <v>adminUnitParentTypeName</v>
      </c>
      <c r="B40" s="11" t="s">
        <v>6121</v>
      </c>
      <c r="C40" s="173"/>
      <c r="D40" s="22" t="s">
        <v>6122</v>
      </c>
      <c r="E40" s="15" t="s">
        <v>6123</v>
      </c>
      <c r="F40" s="15" t="s">
        <v>6124</v>
      </c>
      <c r="G40" s="174"/>
      <c r="H40" s="17" t="s">
        <v>5932</v>
      </c>
      <c r="I40" s="269"/>
      <c r="J40" s="369" t="str">
        <f>HYPERLINK("[#]Datatypes!B1528:L1528","Text")</f>
        <v>Text</v>
      </c>
      <c r="K40" s="276"/>
      <c r="L40" s="272"/>
      <c r="M40" s="272"/>
      <c r="N40" s="273"/>
      <c r="O40" s="269"/>
      <c r="P40" s="37">
        <v>114470</v>
      </c>
      <c r="Q40" s="36" t="str">
        <f>CONCATENATE(Cover!$D$6,"fdd/view?i=",P40)</f>
        <v>https://www.dgiwg.org/FAD/fdd/view?i=114470</v>
      </c>
      <c r="R40" s="13" t="s">
        <v>6120</v>
      </c>
      <c r="S40" s="172"/>
      <c r="T40" s="172"/>
      <c r="AM40" s="83" t="s">
        <v>1790</v>
      </c>
      <c r="CV40" s="83" t="s">
        <v>1790</v>
      </c>
    </row>
    <row r="41" spans="1:100" x14ac:dyDescent="0.2">
      <c r="A41" s="176" t="str">
        <f t="shared" si="0"/>
        <v>adminUnitTypeName</v>
      </c>
      <c r="B41" s="11" t="s">
        <v>6126</v>
      </c>
      <c r="C41" s="173"/>
      <c r="D41" s="22" t="s">
        <v>6127</v>
      </c>
      <c r="E41" s="15" t="s">
        <v>6128</v>
      </c>
      <c r="F41" s="15" t="s">
        <v>6124</v>
      </c>
      <c r="G41" s="174"/>
      <c r="H41" s="17" t="s">
        <v>5932</v>
      </c>
      <c r="I41" s="269"/>
      <c r="J41" s="369" t="str">
        <f>HYPERLINK("[#]Datatypes!B1528:L1528","Text")</f>
        <v>Text</v>
      </c>
      <c r="K41" s="276"/>
      <c r="L41" s="272"/>
      <c r="M41" s="272"/>
      <c r="N41" s="273"/>
      <c r="O41" s="269"/>
      <c r="P41" s="37">
        <v>114469</v>
      </c>
      <c r="Q41" s="36" t="str">
        <f>CONCATENATE(Cover!$D$6,"fdd/view?i=",P41)</f>
        <v>https://www.dgiwg.org/FAD/fdd/view?i=114469</v>
      </c>
      <c r="R41" s="13" t="s">
        <v>6125</v>
      </c>
      <c r="S41" s="172"/>
      <c r="T41" s="172"/>
      <c r="AM41" s="83" t="s">
        <v>1790</v>
      </c>
      <c r="CV41" s="83" t="s">
        <v>1790</v>
      </c>
    </row>
    <row r="42" spans="1:100" x14ac:dyDescent="0.2">
      <c r="A42" s="176" t="str">
        <f t="shared" si="0"/>
        <v>aerialPresent</v>
      </c>
      <c r="B42" s="11" t="s">
        <v>6130</v>
      </c>
      <c r="C42" s="173"/>
      <c r="D42" s="22" t="s">
        <v>6131</v>
      </c>
      <c r="E42" s="15" t="s">
        <v>6132</v>
      </c>
      <c r="F42" s="174"/>
      <c r="G42" s="174"/>
      <c r="H42" s="17" t="s">
        <v>5932</v>
      </c>
      <c r="I42" s="269"/>
      <c r="J42" s="369" t="str">
        <f>HYPERLINK("[#]Datatypes!B240:L240","Boolean")</f>
        <v>Boolean</v>
      </c>
      <c r="K42" s="276"/>
      <c r="L42" s="272"/>
      <c r="M42" s="272"/>
      <c r="N42" s="273"/>
      <c r="O42" s="269"/>
      <c r="P42" s="37">
        <v>111479</v>
      </c>
      <c r="Q42" s="36" t="str">
        <f>CONCATENATE(Cover!$D$6,"fdd/view?i=",P42)</f>
        <v>https://www.dgiwg.org/FAD/fdd/view?i=111479</v>
      </c>
      <c r="R42" s="13" t="s">
        <v>6129</v>
      </c>
      <c r="S42" s="172"/>
      <c r="T42" s="172"/>
      <c r="AE42" s="82" t="s">
        <v>1790</v>
      </c>
    </row>
    <row r="43" spans="1:100" ht="25.5" x14ac:dyDescent="0.2">
      <c r="A43" s="176" t="str">
        <f t="shared" si="0"/>
        <v>aerialRefuelBaseLevel</v>
      </c>
      <c r="B43" s="11" t="s">
        <v>6134</v>
      </c>
      <c r="C43" s="173"/>
      <c r="D43" s="22" t="s">
        <v>6135</v>
      </c>
      <c r="E43" s="15" t="s">
        <v>6136</v>
      </c>
      <c r="F43" s="174"/>
      <c r="G43" s="174"/>
      <c r="H43" s="17" t="s">
        <v>5932</v>
      </c>
      <c r="I43" s="269"/>
      <c r="J43" s="369" t="str">
        <f>HYPERLINK("[#]Datatypes!B1231:L1231","Real")</f>
        <v>Real</v>
      </c>
      <c r="K43" s="271" t="str">
        <f>HYPERLINK("[#]PhysicalQuantities!A20:N20","Length")</f>
        <v>Length</v>
      </c>
      <c r="L43" s="270" t="str">
        <f>HYPERLINK("[#]UnitsOfMeasure!D103:G103","Foot")</f>
        <v>Foot</v>
      </c>
      <c r="M43" s="270" t="str">
        <f>HYPERLINK("[#]UnitsOfMeasure!D154:G154","Flight Level")</f>
        <v>Flight Level</v>
      </c>
      <c r="N43" s="273"/>
      <c r="O43" s="269"/>
      <c r="P43" s="37">
        <v>117463</v>
      </c>
      <c r="Q43" s="36" t="str">
        <f>CONCATENATE(Cover!$D$6,"fdd/view?i=",P43)</f>
        <v>https://www.dgiwg.org/FAD/fdd/view?i=117463</v>
      </c>
      <c r="R43" s="13" t="s">
        <v>6133</v>
      </c>
      <c r="S43" s="172"/>
      <c r="T43" s="172"/>
      <c r="CF43" s="83" t="s">
        <v>1790</v>
      </c>
    </row>
    <row r="44" spans="1:100" ht="25.5" x14ac:dyDescent="0.2">
      <c r="A44" s="176" t="str">
        <f t="shared" si="0"/>
        <v>aerialRefuelBidirectUse</v>
      </c>
      <c r="B44" s="11" t="s">
        <v>6138</v>
      </c>
      <c r="C44" s="173"/>
      <c r="D44" s="22" t="s">
        <v>6139</v>
      </c>
      <c r="E44" s="15" t="s">
        <v>6140</v>
      </c>
      <c r="F44" s="174"/>
      <c r="G44" s="174"/>
      <c r="H44" s="17" t="s">
        <v>5932</v>
      </c>
      <c r="I44" s="269"/>
      <c r="J44" s="369" t="str">
        <f>HYPERLINK("[#]Datatypes!B240:L240","Boolean")</f>
        <v>Boolean</v>
      </c>
      <c r="K44" s="276"/>
      <c r="L44" s="272"/>
      <c r="M44" s="272"/>
      <c r="N44" s="273"/>
      <c r="O44" s="269"/>
      <c r="P44" s="37">
        <v>117506</v>
      </c>
      <c r="Q44" s="36" t="str">
        <f>CONCATENATE(Cover!$D$6,"fdd/view?i=",P44)</f>
        <v>https://www.dgiwg.org/FAD/fdd/view?i=117506</v>
      </c>
      <c r="R44" s="13" t="s">
        <v>6137</v>
      </c>
      <c r="S44" s="172"/>
      <c r="T44" s="172"/>
      <c r="CF44" s="83" t="s">
        <v>1790</v>
      </c>
    </row>
    <row r="45" spans="1:100" ht="25.5" x14ac:dyDescent="0.2">
      <c r="A45" s="176" t="str">
        <f t="shared" si="0"/>
        <v>aerialRefuelCopterOnly</v>
      </c>
      <c r="B45" s="11" t="s">
        <v>6142</v>
      </c>
      <c r="C45" s="173"/>
      <c r="D45" s="22" t="s">
        <v>6143</v>
      </c>
      <c r="E45" s="15" t="s">
        <v>6144</v>
      </c>
      <c r="F45" s="174"/>
      <c r="G45" s="174"/>
      <c r="H45" s="17" t="s">
        <v>5932</v>
      </c>
      <c r="I45" s="269"/>
      <c r="J45" s="369" t="str">
        <f>HYPERLINK("[#]Datatypes!B240:L240","Boolean")</f>
        <v>Boolean</v>
      </c>
      <c r="K45" s="276"/>
      <c r="L45" s="272"/>
      <c r="M45" s="272"/>
      <c r="N45" s="273"/>
      <c r="O45" s="269"/>
      <c r="P45" s="37">
        <v>117509</v>
      </c>
      <c r="Q45" s="36" t="str">
        <f>CONCATENATE(Cover!$D$6,"fdd/view?i=",P45)</f>
        <v>https://www.dgiwg.org/FAD/fdd/view?i=117509</v>
      </c>
      <c r="R45" s="13" t="s">
        <v>6141</v>
      </c>
      <c r="S45" s="172"/>
      <c r="T45" s="172"/>
      <c r="CF45" s="83" t="s">
        <v>1790</v>
      </c>
    </row>
    <row r="46" spans="1:100" ht="38.25" x14ac:dyDescent="0.2">
      <c r="A46" s="176" t="str">
        <f t="shared" si="0"/>
        <v>aerialRefuelReceiveChan</v>
      </c>
      <c r="B46" s="11" t="s">
        <v>6146</v>
      </c>
      <c r="C46" s="173"/>
      <c r="D46" s="22" t="s">
        <v>6147</v>
      </c>
      <c r="E46" s="15" t="s">
        <v>6148</v>
      </c>
      <c r="F46" s="15" t="s">
        <v>6149</v>
      </c>
      <c r="G46" s="174"/>
      <c r="H46" s="17" t="s">
        <v>5932</v>
      </c>
      <c r="I46" s="269"/>
      <c r="J46" s="369" t="str">
        <f>HYPERLINK("[#]Datatypes!B32:L32","ChxCode")</f>
        <v>ChxCode</v>
      </c>
      <c r="K46" s="276"/>
      <c r="L46" s="272"/>
      <c r="M46" s="272"/>
      <c r="N46" s="248" t="str">
        <f>HYPERLINK("[#]DatatypeListedValues!A102:H102","&lt;values&gt;")</f>
        <v>&lt;values&gt;</v>
      </c>
      <c r="O46" s="17" t="b">
        <v>1</v>
      </c>
      <c r="P46" s="37">
        <v>117536</v>
      </c>
      <c r="Q46" s="36" t="str">
        <f>CONCATENATE(Cover!$D$6,"fdd/view?i=",P46)</f>
        <v>https://www.dgiwg.org/FAD/fdd/view?i=117536</v>
      </c>
      <c r="R46" s="13" t="s">
        <v>6145</v>
      </c>
      <c r="S46" s="172"/>
      <c r="T46" s="172"/>
      <c r="CF46" s="83" t="s">
        <v>1790</v>
      </c>
    </row>
    <row r="47" spans="1:100" ht="38.25" x14ac:dyDescent="0.2">
      <c r="A47" s="176" t="str">
        <f t="shared" si="0"/>
        <v>aerialRefuelTankerChan</v>
      </c>
      <c r="B47" s="11" t="s">
        <v>6152</v>
      </c>
      <c r="C47" s="173"/>
      <c r="D47" s="22" t="s">
        <v>6153</v>
      </c>
      <c r="E47" s="15" t="s">
        <v>6154</v>
      </c>
      <c r="F47" s="15" t="s">
        <v>6149</v>
      </c>
      <c r="G47" s="174"/>
      <c r="H47" s="17" t="s">
        <v>5932</v>
      </c>
      <c r="I47" s="269"/>
      <c r="J47" s="369" t="str">
        <f>HYPERLINK("[#]Datatypes!B34:L34","ChyCode")</f>
        <v>ChyCode</v>
      </c>
      <c r="K47" s="276"/>
      <c r="L47" s="272"/>
      <c r="M47" s="272"/>
      <c r="N47" s="248" t="str">
        <f>HYPERLINK("[#]DatatypeListedValues!A454:H454","&lt;values&gt;")</f>
        <v>&lt;values&gt;</v>
      </c>
      <c r="O47" s="17" t="b">
        <v>1</v>
      </c>
      <c r="P47" s="37">
        <v>117537</v>
      </c>
      <c r="Q47" s="36" t="str">
        <f>CONCATENATE(Cover!$D$6,"fdd/view?i=",P47)</f>
        <v>https://www.dgiwg.org/FAD/fdd/view?i=117537</v>
      </c>
      <c r="R47" s="13" t="s">
        <v>6151</v>
      </c>
      <c r="S47" s="172"/>
      <c r="T47" s="172"/>
      <c r="CF47" s="83" t="s">
        <v>1790</v>
      </c>
    </row>
    <row r="48" spans="1:100" ht="63.75" x14ac:dyDescent="0.2">
      <c r="A48" s="176" t="str">
        <f t="shared" si="0"/>
        <v>aerodromeAltName</v>
      </c>
      <c r="B48" s="11" t="s">
        <v>6157</v>
      </c>
      <c r="C48" s="173"/>
      <c r="D48" s="22" t="s">
        <v>6158</v>
      </c>
      <c r="E48" s="15" t="s">
        <v>6159</v>
      </c>
      <c r="F48" s="15" t="s">
        <v>6160</v>
      </c>
      <c r="G48" s="174"/>
      <c r="H48" s="17" t="s">
        <v>5932</v>
      </c>
      <c r="I48" s="269"/>
      <c r="J48" s="369" t="str">
        <f>HYPERLINK("[#]Datatypes!B1544:L1544","TextLexUnconstrained")</f>
        <v>TextLexUnconstrained</v>
      </c>
      <c r="K48" s="276"/>
      <c r="L48" s="272"/>
      <c r="M48" s="272"/>
      <c r="N48" s="273"/>
      <c r="O48" s="269"/>
      <c r="P48" s="37">
        <v>119176</v>
      </c>
      <c r="Q48" s="36" t="str">
        <f>CONCATENATE(Cover!$D$6,"fdd/view?i=",P48)</f>
        <v>https://www.dgiwg.org/FAD/fdd/view?i=119176</v>
      </c>
      <c r="R48" s="13" t="s">
        <v>6156</v>
      </c>
      <c r="S48" s="172"/>
      <c r="T48" s="172"/>
      <c r="AT48" s="82" t="s">
        <v>1790</v>
      </c>
      <c r="CE48" s="87" t="s">
        <v>1790</v>
      </c>
      <c r="CU48" s="87" t="s">
        <v>1790</v>
      </c>
    </row>
    <row r="49" spans="1:100" ht="25.5" x14ac:dyDescent="0.2">
      <c r="A49" s="176" t="str">
        <f t="shared" si="0"/>
        <v>aerodromeAppLightSysType</v>
      </c>
      <c r="B49" s="11" t="s">
        <v>6163</v>
      </c>
      <c r="C49" s="173"/>
      <c r="D49" s="22" t="s">
        <v>6164</v>
      </c>
      <c r="E49" s="15" t="s">
        <v>6165</v>
      </c>
      <c r="F49" s="174"/>
      <c r="G49" s="174"/>
      <c r="H49" s="17" t="s">
        <v>5932</v>
      </c>
      <c r="I49" s="269"/>
      <c r="J49" s="369" t="str">
        <f>HYPERLINK("[#]Datatypes!B36:L36","RlsCode")</f>
        <v>RlsCode</v>
      </c>
      <c r="K49" s="276"/>
      <c r="L49" s="272"/>
      <c r="M49" s="272"/>
      <c r="N49" s="248" t="str">
        <f>HYPERLINK("[#]DatatypeListedValues!A806:H806","&lt;values&gt;")</f>
        <v>&lt;values&gt;</v>
      </c>
      <c r="O49" s="277" t="b">
        <v>0</v>
      </c>
      <c r="P49" s="37">
        <v>117686</v>
      </c>
      <c r="Q49" s="36" t="str">
        <f>CONCATENATE(Cover!$D$6,"fdd/view?i=",P49)</f>
        <v>https://www.dgiwg.org/FAD/fdd/view?i=117686</v>
      </c>
      <c r="R49" s="13" t="s">
        <v>6162</v>
      </c>
      <c r="S49" s="172"/>
      <c r="T49" s="172"/>
      <c r="CE49" s="87" t="s">
        <v>1790</v>
      </c>
      <c r="CG49" s="83" t="s">
        <v>1790</v>
      </c>
    </row>
    <row r="50" spans="1:100" ht="25.5" x14ac:dyDescent="0.2">
      <c r="A50" s="176" t="str">
        <f t="shared" si="0"/>
        <v>aerodromeCoLocationIdent</v>
      </c>
      <c r="B50" s="11" t="s">
        <v>6168</v>
      </c>
      <c r="C50" s="173"/>
      <c r="D50" s="22" t="s">
        <v>6169</v>
      </c>
      <c r="E50" s="15" t="s">
        <v>6170</v>
      </c>
      <c r="F50" s="174"/>
      <c r="G50" s="174"/>
      <c r="H50" s="17" t="s">
        <v>5932</v>
      </c>
      <c r="I50" s="269"/>
      <c r="J50" s="369" t="str">
        <f>HYPERLINK("[#]Datatypes!B38:L38","AciStrucText")</f>
        <v>AciStrucText</v>
      </c>
      <c r="K50" s="276"/>
      <c r="L50" s="272"/>
      <c r="M50" s="272"/>
      <c r="N50" s="273"/>
      <c r="O50" s="269"/>
      <c r="P50" s="37">
        <v>117469</v>
      </c>
      <c r="Q50" s="36" t="str">
        <f>CONCATENATE(Cover!$D$6,"fdd/view?i=",P50)</f>
        <v>https://www.dgiwg.org/FAD/fdd/view?i=117469</v>
      </c>
      <c r="R50" s="13" t="s">
        <v>6167</v>
      </c>
      <c r="S50" s="172"/>
      <c r="T50" s="172"/>
      <c r="CE50" s="87" t="s">
        <v>1790</v>
      </c>
    </row>
    <row r="51" spans="1:100" ht="38.25" x14ac:dyDescent="0.2">
      <c r="A51" s="176" t="str">
        <f t="shared" si="0"/>
        <v>aerodromeControlStationType</v>
      </c>
      <c r="B51" s="11" t="s">
        <v>6173</v>
      </c>
      <c r="C51" s="173"/>
      <c r="D51" s="22" t="s">
        <v>6174</v>
      </c>
      <c r="E51" s="15" t="s">
        <v>6175</v>
      </c>
      <c r="F51" s="174"/>
      <c r="G51" s="174"/>
      <c r="H51" s="17" t="s">
        <v>5932</v>
      </c>
      <c r="I51" s="269"/>
      <c r="J51" s="369" t="str">
        <f>HYPERLINK("[#]Datatypes!B40:L40","AcyCode")</f>
        <v>AcyCode</v>
      </c>
      <c r="K51" s="276"/>
      <c r="L51" s="272"/>
      <c r="M51" s="272"/>
      <c r="N51" s="248" t="str">
        <f>HYPERLINK("[#]DatatypeListedValues!A829:H829","&lt;values&gt;")</f>
        <v>&lt;values&gt;</v>
      </c>
      <c r="O51" s="277" t="b">
        <v>0</v>
      </c>
      <c r="P51" s="37">
        <v>119800</v>
      </c>
      <c r="Q51" s="36" t="str">
        <f>CONCATENATE(Cover!$D$6,"fdd/view?i=",P51)</f>
        <v>https://www.dgiwg.org/FAD/fdd/view?i=119800</v>
      </c>
      <c r="R51" s="13" t="s">
        <v>6172</v>
      </c>
      <c r="S51" s="172"/>
      <c r="T51" s="172"/>
      <c r="AT51" s="82" t="s">
        <v>1790</v>
      </c>
      <c r="CG51" s="83" t="s">
        <v>1790</v>
      </c>
      <c r="CH51" s="83" t="s">
        <v>1790</v>
      </c>
      <c r="CT51" s="166" t="s">
        <v>1790</v>
      </c>
    </row>
    <row r="52" spans="1:100" ht="25.5" x14ac:dyDescent="0.2">
      <c r="A52" s="176" t="str">
        <f t="shared" si="0"/>
        <v>aerodromeElevation</v>
      </c>
      <c r="B52" s="11" t="s">
        <v>6178</v>
      </c>
      <c r="C52" s="173"/>
      <c r="D52" s="22" t="s">
        <v>6179</v>
      </c>
      <c r="E52" s="15" t="s">
        <v>6180</v>
      </c>
      <c r="F52" s="174"/>
      <c r="G52" s="174"/>
      <c r="H52" s="17" t="s">
        <v>5932</v>
      </c>
      <c r="I52" s="269"/>
      <c r="J52" s="369" t="str">
        <f>HYPERLINK("[#]Datatypes!B1231:L1231","Real")</f>
        <v>Real</v>
      </c>
      <c r="K52" s="271" t="str">
        <f>HYPERLINK("[#]PhysicalQuantities!A20:N20","Length")</f>
        <v>Length</v>
      </c>
      <c r="L52" s="270" t="str">
        <f>HYPERLINK("[#]UnitsOfMeasure!D80:G80","Metre")</f>
        <v>Metre</v>
      </c>
      <c r="M52" s="272"/>
      <c r="N52" s="273"/>
      <c r="O52" s="269"/>
      <c r="P52" s="37">
        <v>117748</v>
      </c>
      <c r="Q52" s="36" t="str">
        <f>CONCATENATE(Cover!$D$6,"fdd/view?i=",P52)</f>
        <v>https://www.dgiwg.org/FAD/fdd/view?i=117748</v>
      </c>
      <c r="R52" s="13" t="s">
        <v>6177</v>
      </c>
      <c r="S52" s="172"/>
      <c r="T52" s="172"/>
      <c r="CE52" s="87" t="s">
        <v>1790</v>
      </c>
    </row>
    <row r="53" spans="1:100" ht="25.5" x14ac:dyDescent="0.2">
      <c r="A53" s="176" t="str">
        <f t="shared" si="0"/>
        <v>aerodromeEmergMedPersCnt</v>
      </c>
      <c r="B53" s="11" t="s">
        <v>6182</v>
      </c>
      <c r="C53" s="173"/>
      <c r="D53" s="22" t="s">
        <v>6183</v>
      </c>
      <c r="E53" s="15" t="s">
        <v>6184</v>
      </c>
      <c r="F53" s="174"/>
      <c r="G53" s="174"/>
      <c r="H53" s="17" t="s">
        <v>5932</v>
      </c>
      <c r="I53" s="269"/>
      <c r="J53" s="369" t="str">
        <f>HYPERLINK("[#]Datatypes!B380:L380","Count")</f>
        <v>Count</v>
      </c>
      <c r="K53" s="276"/>
      <c r="L53" s="272"/>
      <c r="M53" s="272"/>
      <c r="N53" s="273"/>
      <c r="O53" s="269"/>
      <c r="P53" s="37">
        <v>119619</v>
      </c>
      <c r="Q53" s="36" t="str">
        <f>CONCATENATE(Cover!$D$6,"fdd/view?i=",P53)</f>
        <v>https://www.dgiwg.org/FAD/fdd/view?i=119619</v>
      </c>
      <c r="R53" s="13" t="s">
        <v>6181</v>
      </c>
      <c r="S53" s="172"/>
      <c r="T53" s="172"/>
      <c r="AT53" s="82" t="s">
        <v>1790</v>
      </c>
      <c r="CE53" s="87" t="s">
        <v>1790</v>
      </c>
      <c r="CH53" s="83" t="s">
        <v>1790</v>
      </c>
      <c r="CQ53" s="165" t="s">
        <v>1790</v>
      </c>
    </row>
    <row r="54" spans="1:100" ht="38.25" x14ac:dyDescent="0.2">
      <c r="A54" s="176" t="str">
        <f t="shared" si="0"/>
        <v>aerodromeEmergRespVehCnt</v>
      </c>
      <c r="B54" s="11" t="s">
        <v>6187</v>
      </c>
      <c r="C54" s="173"/>
      <c r="D54" s="22" t="s">
        <v>6188</v>
      </c>
      <c r="E54" s="15" t="s">
        <v>6189</v>
      </c>
      <c r="F54" s="174"/>
      <c r="G54" s="174"/>
      <c r="H54" s="17" t="s">
        <v>5932</v>
      </c>
      <c r="I54" s="269"/>
      <c r="J54" s="369" t="str">
        <f>HYPERLINK("[#]Datatypes!B380:L380","Count")</f>
        <v>Count</v>
      </c>
      <c r="K54" s="276"/>
      <c r="L54" s="272"/>
      <c r="M54" s="272"/>
      <c r="N54" s="273"/>
      <c r="O54" s="269"/>
      <c r="P54" s="37">
        <v>119621</v>
      </c>
      <c r="Q54" s="36" t="str">
        <f>CONCATENATE(Cover!$D$6,"fdd/view?i=",P54)</f>
        <v>https://www.dgiwg.org/FAD/fdd/view?i=119621</v>
      </c>
      <c r="R54" s="13" t="s">
        <v>6186</v>
      </c>
      <c r="S54" s="172"/>
      <c r="T54" s="172"/>
      <c r="AT54" s="82" t="s">
        <v>1790</v>
      </c>
      <c r="CE54" s="87" t="s">
        <v>1790</v>
      </c>
      <c r="CH54" s="83" t="s">
        <v>1790</v>
      </c>
      <c r="CQ54" s="165" t="s">
        <v>1790</v>
      </c>
    </row>
    <row r="55" spans="1:100" ht="38.25" x14ac:dyDescent="0.2">
      <c r="A55" s="176" t="str">
        <f t="shared" si="0"/>
        <v>aerodromeFireFightingCat</v>
      </c>
      <c r="B55" s="11" t="s">
        <v>6191</v>
      </c>
      <c r="C55" s="173"/>
      <c r="D55" s="22" t="s">
        <v>6192</v>
      </c>
      <c r="E55" s="15" t="s">
        <v>6193</v>
      </c>
      <c r="F55" s="15" t="s">
        <v>6194</v>
      </c>
      <c r="G55" s="174"/>
      <c r="H55" s="17" t="s">
        <v>5932</v>
      </c>
      <c r="I55" s="269"/>
      <c r="J55" s="369" t="str">
        <f>HYPERLINK("[#]Datatypes!B42:L42","AffCode")</f>
        <v>AffCode</v>
      </c>
      <c r="K55" s="276"/>
      <c r="L55" s="272"/>
      <c r="M55" s="272"/>
      <c r="N55" s="248" t="str">
        <f>HYPERLINK("[#]DatatypeListedValues!A831:H831","&lt;values&gt;")</f>
        <v>&lt;values&gt;</v>
      </c>
      <c r="O55" s="277" t="b">
        <v>0</v>
      </c>
      <c r="P55" s="37">
        <v>117482</v>
      </c>
      <c r="Q55" s="36" t="str">
        <f>CONCATENATE(Cover!$D$6,"fdd/view?i=",P55)</f>
        <v>https://www.dgiwg.org/FAD/fdd/view?i=117482</v>
      </c>
      <c r="R55" s="13" t="s">
        <v>6190</v>
      </c>
      <c r="S55" s="172"/>
      <c r="T55" s="172"/>
      <c r="CE55" s="87" t="s">
        <v>1790</v>
      </c>
    </row>
    <row r="56" spans="1:100" ht="38.25" x14ac:dyDescent="0.2">
      <c r="A56" s="176" t="str">
        <f t="shared" si="0"/>
        <v>aerodromeHotSpotDesig</v>
      </c>
      <c r="B56" s="11" t="s">
        <v>6197</v>
      </c>
      <c r="C56" s="173"/>
      <c r="D56" s="22" t="s">
        <v>6198</v>
      </c>
      <c r="E56" s="15" t="s">
        <v>1865</v>
      </c>
      <c r="F56" s="15" t="s">
        <v>6199</v>
      </c>
      <c r="G56" s="174"/>
      <c r="H56" s="17" t="s">
        <v>5932</v>
      </c>
      <c r="I56" s="269"/>
      <c r="J56" s="369" t="str">
        <f>HYPERLINK("[#]Datatypes!B44:L44","AhsStrucText")</f>
        <v>AhsStrucText</v>
      </c>
      <c r="K56" s="276"/>
      <c r="L56" s="272"/>
      <c r="M56" s="272"/>
      <c r="N56" s="273"/>
      <c r="O56" s="269"/>
      <c r="P56" s="37">
        <v>119000</v>
      </c>
      <c r="Q56" s="36" t="str">
        <f>CONCATENATE(Cover!$D$6,"fdd/view?i=",P56)</f>
        <v>https://www.dgiwg.org/FAD/fdd/view?i=119000</v>
      </c>
      <c r="R56" s="13" t="s">
        <v>6196</v>
      </c>
      <c r="S56" s="172"/>
      <c r="T56" s="172"/>
      <c r="AT56" s="82" t="s">
        <v>1790</v>
      </c>
      <c r="CE56" s="87" t="s">
        <v>1790</v>
      </c>
    </row>
    <row r="57" spans="1:100" ht="76.5" x14ac:dyDescent="0.2">
      <c r="A57" s="176" t="str">
        <f t="shared" si="0"/>
        <v>aerodromeHydroImpact</v>
      </c>
      <c r="B57" s="11" t="s">
        <v>6202</v>
      </c>
      <c r="C57" s="173"/>
      <c r="D57" s="22" t="s">
        <v>6203</v>
      </c>
      <c r="E57" s="15" t="s">
        <v>6204</v>
      </c>
      <c r="F57" s="15" t="s">
        <v>6205</v>
      </c>
      <c r="G57" s="174"/>
      <c r="H57" s="17" t="s">
        <v>5932</v>
      </c>
      <c r="I57" s="269"/>
      <c r="J57" s="369" t="str">
        <f>HYPERLINK("[#]Datatypes!B240:L240","Boolean")</f>
        <v>Boolean</v>
      </c>
      <c r="K57" s="276"/>
      <c r="L57" s="272"/>
      <c r="M57" s="272"/>
      <c r="N57" s="273"/>
      <c r="O57" s="269"/>
      <c r="P57" s="37">
        <v>119207</v>
      </c>
      <c r="Q57" s="36" t="str">
        <f>CONCATENATE(Cover!$D$6,"fdd/view?i=",P57)</f>
        <v>https://www.dgiwg.org/FAD/fdd/view?i=119207</v>
      </c>
      <c r="R57" s="13" t="s">
        <v>6201</v>
      </c>
      <c r="S57" s="172"/>
      <c r="T57" s="172"/>
      <c r="AT57" s="82" t="s">
        <v>1790</v>
      </c>
      <c r="CE57" s="87" t="s">
        <v>1790</v>
      </c>
    </row>
    <row r="58" spans="1:100" ht="51" x14ac:dyDescent="0.2">
      <c r="A58" s="176" t="str">
        <f t="shared" si="0"/>
        <v>aerodromeIdentifier</v>
      </c>
      <c r="B58" s="11" t="s">
        <v>6207</v>
      </c>
      <c r="C58" s="173"/>
      <c r="D58" s="22" t="s">
        <v>6208</v>
      </c>
      <c r="E58" s="15" t="s">
        <v>6209</v>
      </c>
      <c r="F58" s="15" t="s">
        <v>6210</v>
      </c>
      <c r="G58" s="174"/>
      <c r="H58" s="17" t="s">
        <v>5932</v>
      </c>
      <c r="I58" s="269"/>
      <c r="J58" s="369" t="str">
        <f>HYPERLINK("[#]Datatypes!B46:L46","AidKey")</f>
        <v>AidKey</v>
      </c>
      <c r="K58" s="276"/>
      <c r="L58" s="272"/>
      <c r="M58" s="272"/>
      <c r="N58" s="273"/>
      <c r="O58" s="269"/>
      <c r="P58" s="37">
        <v>119002</v>
      </c>
      <c r="Q58" s="36" t="str">
        <f>CONCATENATE(Cover!$D$6,"fdd/view?i=",P58)</f>
        <v>https://www.dgiwg.org/FAD/fdd/view?i=119002</v>
      </c>
      <c r="R58" s="13" t="s">
        <v>6206</v>
      </c>
      <c r="S58" s="172"/>
      <c r="T58" s="172"/>
      <c r="AT58" s="82" t="s">
        <v>1790</v>
      </c>
      <c r="CE58" s="87" t="s">
        <v>1790</v>
      </c>
      <c r="CV58" s="83" t="s">
        <v>1790</v>
      </c>
    </row>
    <row r="59" spans="1:100" ht="25.5" x14ac:dyDescent="0.2">
      <c r="A59" s="176" t="str">
        <f t="shared" si="0"/>
        <v>aerodromeLocationDesc</v>
      </c>
      <c r="B59" s="11" t="s">
        <v>6213</v>
      </c>
      <c r="C59" s="173"/>
      <c r="D59" s="22" t="s">
        <v>6214</v>
      </c>
      <c r="E59" s="15" t="s">
        <v>6215</v>
      </c>
      <c r="F59" s="174"/>
      <c r="G59" s="174"/>
      <c r="H59" s="17" t="s">
        <v>5932</v>
      </c>
      <c r="I59" s="269"/>
      <c r="J59" s="369" t="str">
        <f>HYPERLINK("[#]Datatypes!B1544:L1544","TextLexUnconstrained")</f>
        <v>TextLexUnconstrained</v>
      </c>
      <c r="K59" s="276"/>
      <c r="L59" s="272"/>
      <c r="M59" s="272"/>
      <c r="N59" s="273"/>
      <c r="O59" s="269"/>
      <c r="P59" s="37">
        <v>117571</v>
      </c>
      <c r="Q59" s="36" t="str">
        <f>CONCATENATE(Cover!$D$6,"fdd/view?i=",P59)</f>
        <v>https://www.dgiwg.org/FAD/fdd/view?i=117571</v>
      </c>
      <c r="R59" s="13" t="s">
        <v>6212</v>
      </c>
      <c r="S59" s="172"/>
      <c r="T59" s="172"/>
      <c r="CE59" s="87" t="s">
        <v>1790</v>
      </c>
    </row>
    <row r="60" spans="1:100" ht="25.5" x14ac:dyDescent="0.2">
      <c r="A60" s="176" t="str">
        <f t="shared" si="0"/>
        <v>aerodromeLowestTemp</v>
      </c>
      <c r="B60" s="11" t="s">
        <v>6217</v>
      </c>
      <c r="C60" s="173"/>
      <c r="D60" s="22" t="s">
        <v>6218</v>
      </c>
      <c r="E60" s="15" t="s">
        <v>6219</v>
      </c>
      <c r="F60" s="174"/>
      <c r="G60" s="174"/>
      <c r="H60" s="17" t="s">
        <v>5932</v>
      </c>
      <c r="I60" s="269"/>
      <c r="J60" s="369" t="str">
        <f>HYPERLINK("[#]Datatypes!B1231:L1231","Real")</f>
        <v>Real</v>
      </c>
      <c r="K60" s="271" t="str">
        <f>HYPERLINK("[#]PhysicalQuantities!A50:N50","Thermodynamic Temperature")</f>
        <v>Thermodynamic Temperature</v>
      </c>
      <c r="L60" s="270" t="str">
        <f>HYPERLINK("[#]UnitsOfMeasure!D262:G262","Degree Celsius")</f>
        <v>Degree Celsius</v>
      </c>
      <c r="M60" s="272"/>
      <c r="N60" s="273"/>
      <c r="O60" s="269"/>
      <c r="P60" s="37">
        <v>117480</v>
      </c>
      <c r="Q60" s="36" t="str">
        <f>CONCATENATE(Cover!$D$6,"fdd/view?i=",P60)</f>
        <v>https://www.dgiwg.org/FAD/fdd/view?i=117480</v>
      </c>
      <c r="R60" s="13" t="s">
        <v>6216</v>
      </c>
      <c r="S60" s="172"/>
      <c r="T60" s="172"/>
      <c r="CE60" s="87" t="s">
        <v>1790</v>
      </c>
    </row>
    <row r="61" spans="1:100" ht="25.5" x14ac:dyDescent="0.2">
      <c r="A61" s="176" t="str">
        <f t="shared" si="0"/>
        <v>aeroMoveAreaLightSysType</v>
      </c>
      <c r="B61" s="11" t="s">
        <v>6221</v>
      </c>
      <c r="C61" s="173"/>
      <c r="D61" s="22" t="s">
        <v>6222</v>
      </c>
      <c r="E61" s="15" t="s">
        <v>6223</v>
      </c>
      <c r="F61" s="174"/>
      <c r="G61" s="174"/>
      <c r="H61" s="17" t="s">
        <v>5932</v>
      </c>
      <c r="I61" s="17" t="s">
        <v>6224</v>
      </c>
      <c r="J61" s="369" t="str">
        <f>HYPERLINK("[#]Datatypes!B48:L48","MalCode")</f>
        <v>MalCode</v>
      </c>
      <c r="K61" s="276"/>
      <c r="L61" s="272"/>
      <c r="M61" s="272"/>
      <c r="N61" s="248" t="str">
        <f>HYPERLINK("[#]DatatypeListedValues!A844:H844","&lt;values&gt;")</f>
        <v>&lt;values&gt;</v>
      </c>
      <c r="O61" s="277" t="b">
        <v>0</v>
      </c>
      <c r="P61" s="37">
        <v>117619</v>
      </c>
      <c r="Q61" s="36" t="str">
        <f>CONCATENATE(Cover!$D$6,"fdd/view?i=",P61)</f>
        <v>https://www.dgiwg.org/FAD/fdd/view?i=117619</v>
      </c>
      <c r="R61" s="13" t="s">
        <v>6220</v>
      </c>
      <c r="S61" s="172"/>
      <c r="T61" s="172"/>
      <c r="CE61" s="87" t="s">
        <v>1790</v>
      </c>
    </row>
    <row r="62" spans="1:100" ht="25.5" x14ac:dyDescent="0.2">
      <c r="A62" s="176" t="str">
        <f t="shared" si="0"/>
        <v>aeroMoveAreaPaveCond</v>
      </c>
      <c r="B62" s="11" t="s">
        <v>6227</v>
      </c>
      <c r="C62" s="173"/>
      <c r="D62" s="22" t="s">
        <v>6228</v>
      </c>
      <c r="E62" s="15" t="s">
        <v>6229</v>
      </c>
      <c r="F62" s="15" t="s">
        <v>6230</v>
      </c>
      <c r="G62" s="174"/>
      <c r="H62" s="17" t="s">
        <v>5932</v>
      </c>
      <c r="I62" s="269"/>
      <c r="J62" s="369" t="str">
        <f>HYPERLINK("[#]Datatypes!B50:L50","AszCode")</f>
        <v>AszCode</v>
      </c>
      <c r="K62" s="276"/>
      <c r="L62" s="272"/>
      <c r="M62" s="272"/>
      <c r="N62" s="248" t="str">
        <f>HYPERLINK("[#]DatatypeListedValues!A867:H867","&lt;values&gt;")</f>
        <v>&lt;values&gt;</v>
      </c>
      <c r="O62" s="277" t="b">
        <v>0</v>
      </c>
      <c r="P62" s="37">
        <v>117520</v>
      </c>
      <c r="Q62" s="36" t="str">
        <f>CONCATENATE(Cover!$D$6,"fdd/view?i=",P62)</f>
        <v>https://www.dgiwg.org/FAD/fdd/view?i=117520</v>
      </c>
      <c r="R62" s="13" t="s">
        <v>6226</v>
      </c>
      <c r="S62" s="172"/>
      <c r="T62" s="172"/>
      <c r="CE62" s="87" t="s">
        <v>1790</v>
      </c>
    </row>
    <row r="63" spans="1:100" ht="25.5" x14ac:dyDescent="0.2">
      <c r="A63" s="176" t="str">
        <f t="shared" si="0"/>
        <v>aeroMoveAreaSurfaceCat</v>
      </c>
      <c r="B63" s="11" t="s">
        <v>6233</v>
      </c>
      <c r="C63" s="173"/>
      <c r="D63" s="22" t="s">
        <v>6234</v>
      </c>
      <c r="E63" s="15" t="s">
        <v>6235</v>
      </c>
      <c r="F63" s="15" t="s">
        <v>6236</v>
      </c>
      <c r="G63" s="174"/>
      <c r="H63" s="17" t="s">
        <v>5932</v>
      </c>
      <c r="I63" s="269"/>
      <c r="J63" s="369" t="str">
        <f>HYPERLINK("[#]Datatypes!B52:L52","AsxCode")</f>
        <v>AsxCode</v>
      </c>
      <c r="K63" s="276"/>
      <c r="L63" s="272"/>
      <c r="M63" s="272"/>
      <c r="N63" s="248" t="str">
        <f>HYPERLINK("[#]DatatypeListedValues!A874:H874","&lt;values&gt;")</f>
        <v>&lt;values&gt;</v>
      </c>
      <c r="O63" s="277" t="b">
        <v>0</v>
      </c>
      <c r="P63" s="37">
        <v>117519</v>
      </c>
      <c r="Q63" s="36" t="str">
        <f>CONCATENATE(Cover!$D$6,"fdd/view?i=",P63)</f>
        <v>https://www.dgiwg.org/FAD/fdd/view?i=117519</v>
      </c>
      <c r="R63" s="13" t="s">
        <v>6232</v>
      </c>
      <c r="S63" s="172"/>
      <c r="T63" s="172"/>
      <c r="CE63" s="87" t="s">
        <v>1790</v>
      </c>
    </row>
    <row r="64" spans="1:100" ht="25.5" x14ac:dyDescent="0.2">
      <c r="A64" s="176" t="str">
        <f t="shared" si="0"/>
        <v>aeroMoveAreaSurfaceComp</v>
      </c>
      <c r="B64" s="11" t="s">
        <v>6239</v>
      </c>
      <c r="C64" s="173"/>
      <c r="D64" s="22" t="s">
        <v>6240</v>
      </c>
      <c r="E64" s="15" t="s">
        <v>6241</v>
      </c>
      <c r="F64" s="15" t="s">
        <v>6242</v>
      </c>
      <c r="G64" s="174"/>
      <c r="H64" s="17" t="s">
        <v>5932</v>
      </c>
      <c r="I64" s="17" t="s">
        <v>6029</v>
      </c>
      <c r="J64" s="369" t="str">
        <f>HYPERLINK("[#]Datatypes!B54:L54","AsuCode")</f>
        <v>AsuCode</v>
      </c>
      <c r="K64" s="276"/>
      <c r="L64" s="272"/>
      <c r="M64" s="272"/>
      <c r="N64" s="248" t="str">
        <f>HYPERLINK("[#]DatatypeListedValues!A879:H879","&lt;values&gt;")</f>
        <v>&lt;values&gt;</v>
      </c>
      <c r="O64" s="277" t="b">
        <v>0</v>
      </c>
      <c r="P64" s="37">
        <v>117518</v>
      </c>
      <c r="Q64" s="36" t="str">
        <f>CONCATENATE(Cover!$D$6,"fdd/view?i=",P64)</f>
        <v>https://www.dgiwg.org/FAD/fdd/view?i=117518</v>
      </c>
      <c r="R64" s="13" t="s">
        <v>6238</v>
      </c>
      <c r="S64" s="172"/>
      <c r="T64" s="172"/>
      <c r="CE64" s="87" t="s">
        <v>1790</v>
      </c>
    </row>
    <row r="65" spans="1:99" x14ac:dyDescent="0.2">
      <c r="A65" s="176" t="str">
        <f t="shared" si="0"/>
        <v>aeroMoveAreaSurfacePrep</v>
      </c>
      <c r="B65" s="11" t="s">
        <v>6245</v>
      </c>
      <c r="C65" s="173"/>
      <c r="D65" s="22" t="s">
        <v>6246</v>
      </c>
      <c r="E65" s="15" t="s">
        <v>6247</v>
      </c>
      <c r="F65" s="174"/>
      <c r="G65" s="174"/>
      <c r="H65" s="17" t="s">
        <v>5932</v>
      </c>
      <c r="I65" s="17" t="s">
        <v>6029</v>
      </c>
      <c r="J65" s="369" t="str">
        <f>HYPERLINK("[#]Datatypes!B56:L56","AspCode")</f>
        <v>AspCode</v>
      </c>
      <c r="K65" s="276"/>
      <c r="L65" s="272"/>
      <c r="M65" s="272"/>
      <c r="N65" s="248" t="str">
        <f>HYPERLINK("[#]DatatypeListedValues!A900:H900","&lt;values&gt;")</f>
        <v>&lt;values&gt;</v>
      </c>
      <c r="O65" s="277" t="b">
        <v>0</v>
      </c>
      <c r="P65" s="37">
        <v>117515</v>
      </c>
      <c r="Q65" s="36" t="str">
        <f>CONCATENATE(Cover!$D$6,"fdd/view?i=",P65)</f>
        <v>https://www.dgiwg.org/FAD/fdd/view?i=117515</v>
      </c>
      <c r="R65" s="13" t="s">
        <v>6244</v>
      </c>
      <c r="S65" s="172"/>
      <c r="T65" s="172"/>
      <c r="CE65" s="87" t="s">
        <v>1790</v>
      </c>
    </row>
    <row r="66" spans="1:99" ht="25.5" x14ac:dyDescent="0.2">
      <c r="A66" s="176" t="str">
        <f t="shared" si="0"/>
        <v>aerodromeOfficialName</v>
      </c>
      <c r="B66" s="11" t="s">
        <v>6250</v>
      </c>
      <c r="C66" s="173"/>
      <c r="D66" s="22" t="s">
        <v>6251</v>
      </c>
      <c r="E66" s="15" t="s">
        <v>6252</v>
      </c>
      <c r="F66" s="174"/>
      <c r="G66" s="174"/>
      <c r="H66" s="17" t="s">
        <v>5932</v>
      </c>
      <c r="I66" s="269"/>
      <c r="J66" s="369" t="str">
        <f>HYPERLINK("[#]Datatypes!B1544:L1544","TextLexUnconstrained")</f>
        <v>TextLexUnconstrained</v>
      </c>
      <c r="K66" s="276"/>
      <c r="L66" s="272"/>
      <c r="M66" s="272"/>
      <c r="N66" s="273"/>
      <c r="O66" s="269"/>
      <c r="P66" s="37">
        <v>117754</v>
      </c>
      <c r="Q66" s="36" t="str">
        <f>CONCATENATE(Cover!$D$6,"fdd/view?i=",P66)</f>
        <v>https://www.dgiwg.org/FAD/fdd/view?i=117754</v>
      </c>
      <c r="R66" s="13" t="s">
        <v>6249</v>
      </c>
      <c r="S66" s="172"/>
      <c r="T66" s="172"/>
      <c r="CU66" s="87" t="s">
        <v>1790</v>
      </c>
    </row>
    <row r="67" spans="1:99" ht="38.25" x14ac:dyDescent="0.2">
      <c r="A67" s="176" t="str">
        <f t="shared" ref="A67:A130" si="4">HYPERLINK(Q67,R67)</f>
        <v>aeroPavementFuncStatus</v>
      </c>
      <c r="B67" s="11" t="s">
        <v>6254</v>
      </c>
      <c r="C67" s="173"/>
      <c r="D67" s="22" t="s">
        <v>6255</v>
      </c>
      <c r="E67" s="15" t="s">
        <v>6256</v>
      </c>
      <c r="F67" s="15" t="s">
        <v>6257</v>
      </c>
      <c r="G67" s="174"/>
      <c r="H67" s="17" t="s">
        <v>5932</v>
      </c>
      <c r="I67" s="269"/>
      <c r="J67" s="369" t="str">
        <f>HYPERLINK("[#]Datatypes!B58:L58","SfsCode")</f>
        <v>SfsCode</v>
      </c>
      <c r="K67" s="276"/>
      <c r="L67" s="272"/>
      <c r="M67" s="272"/>
      <c r="N67" s="248" t="str">
        <f>HYPERLINK("[#]DatatypeListedValues!A908:H908","&lt;values&gt;")</f>
        <v>&lt;values&gt;</v>
      </c>
      <c r="O67" s="277" t="b">
        <v>0</v>
      </c>
      <c r="P67" s="37">
        <v>119064</v>
      </c>
      <c r="Q67" s="36" t="str">
        <f>CONCATENATE(Cover!$D$6,"fdd/view?i=",P67)</f>
        <v>https://www.dgiwg.org/FAD/fdd/view?i=119064</v>
      </c>
      <c r="R67" s="13" t="s">
        <v>6253</v>
      </c>
      <c r="S67" s="172"/>
      <c r="T67" s="172"/>
      <c r="AM67" s="83" t="s">
        <v>1790</v>
      </c>
      <c r="CE67" s="87" t="s">
        <v>1790</v>
      </c>
      <c r="CS67" s="165" t="s">
        <v>1790</v>
      </c>
    </row>
    <row r="68" spans="1:99" ht="38.25" x14ac:dyDescent="0.2">
      <c r="A68" s="176" t="str">
        <f t="shared" si="4"/>
        <v>aerodromeReferenceTemp</v>
      </c>
      <c r="B68" s="11" t="s">
        <v>6260</v>
      </c>
      <c r="C68" s="173"/>
      <c r="D68" s="22" t="s">
        <v>6261</v>
      </c>
      <c r="E68" s="15" t="s">
        <v>6262</v>
      </c>
      <c r="F68" s="15" t="s">
        <v>6263</v>
      </c>
      <c r="G68" s="174"/>
      <c r="H68" s="17" t="s">
        <v>5932</v>
      </c>
      <c r="I68" s="269"/>
      <c r="J68" s="369" t="str">
        <f>HYPERLINK("[#]Datatypes!B1231:L1231","Real")</f>
        <v>Real</v>
      </c>
      <c r="K68" s="271" t="str">
        <f>HYPERLINK("[#]PhysicalQuantities!A50:N50","Thermodynamic Temperature")</f>
        <v>Thermodynamic Temperature</v>
      </c>
      <c r="L68" s="270" t="str">
        <f>HYPERLINK("[#]UnitsOfMeasure!D262:G262","Degree Celsius")</f>
        <v>Degree Celsius</v>
      </c>
      <c r="M68" s="272"/>
      <c r="N68" s="273"/>
      <c r="O68" s="269"/>
      <c r="P68" s="37">
        <v>117479</v>
      </c>
      <c r="Q68" s="36" t="str">
        <f>CONCATENATE(Cover!$D$6,"fdd/view?i=",P68)</f>
        <v>https://www.dgiwg.org/FAD/fdd/view?i=117479</v>
      </c>
      <c r="R68" s="13" t="s">
        <v>6259</v>
      </c>
      <c r="S68" s="172"/>
      <c r="T68" s="172"/>
      <c r="CE68" s="87" t="s">
        <v>1790</v>
      </c>
    </row>
    <row r="69" spans="1:99" ht="25.5" x14ac:dyDescent="0.2">
      <c r="A69" s="176" t="str">
        <f t="shared" si="4"/>
        <v>aerodromeSnowPlan</v>
      </c>
      <c r="B69" s="11" t="s">
        <v>6265</v>
      </c>
      <c r="C69" s="173"/>
      <c r="D69" s="22" t="s">
        <v>6266</v>
      </c>
      <c r="E69" s="15" t="s">
        <v>6267</v>
      </c>
      <c r="F69" s="174"/>
      <c r="G69" s="174"/>
      <c r="H69" s="17" t="s">
        <v>5932</v>
      </c>
      <c r="I69" s="269"/>
      <c r="J69" s="369" t="str">
        <f>HYPERLINK("[#]Datatypes!B1562:L1562","TextNonLexUnconstrained")</f>
        <v>TextNonLexUnconstrained</v>
      </c>
      <c r="K69" s="276"/>
      <c r="L69" s="272"/>
      <c r="M69" s="272"/>
      <c r="N69" s="273"/>
      <c r="O69" s="269"/>
      <c r="P69" s="37">
        <v>117481</v>
      </c>
      <c r="Q69" s="36" t="str">
        <f>CONCATENATE(Cover!$D$6,"fdd/view?i=",P69)</f>
        <v>https://www.dgiwg.org/FAD/fdd/view?i=117481</v>
      </c>
      <c r="R69" s="13" t="s">
        <v>6264</v>
      </c>
      <c r="S69" s="172"/>
      <c r="T69" s="172"/>
      <c r="CE69" s="87" t="s">
        <v>1790</v>
      </c>
    </row>
    <row r="70" spans="1:99" ht="25.5" x14ac:dyDescent="0.2">
      <c r="A70" s="176" t="str">
        <f t="shared" si="4"/>
        <v>aerodromeSurfaceStatus</v>
      </c>
      <c r="B70" s="11" t="s">
        <v>6270</v>
      </c>
      <c r="C70" s="173"/>
      <c r="D70" s="22" t="s">
        <v>6271</v>
      </c>
      <c r="E70" s="15" t="s">
        <v>6272</v>
      </c>
      <c r="F70" s="15" t="s">
        <v>6273</v>
      </c>
      <c r="G70" s="174"/>
      <c r="H70" s="17" t="s">
        <v>5932</v>
      </c>
      <c r="I70" s="269"/>
      <c r="J70" s="369" t="str">
        <f>HYPERLINK("[#]Datatypes!B60:L60","AxsCode")</f>
        <v>AxsCode</v>
      </c>
      <c r="K70" s="276"/>
      <c r="L70" s="272"/>
      <c r="M70" s="272"/>
      <c r="N70" s="248" t="str">
        <f>HYPERLINK("[#]DatatypeListedValues!A917:H917","&lt;values&gt;")</f>
        <v>&lt;values&gt;</v>
      </c>
      <c r="O70" s="277" t="b">
        <v>0</v>
      </c>
      <c r="P70" s="37">
        <v>117717</v>
      </c>
      <c r="Q70" s="36" t="str">
        <f>CONCATENATE(Cover!$D$6,"fdd/view?i=",P70)</f>
        <v>https://www.dgiwg.org/FAD/fdd/view?i=117717</v>
      </c>
      <c r="R70" s="13" t="s">
        <v>6269</v>
      </c>
      <c r="S70" s="172"/>
      <c r="T70" s="172"/>
      <c r="CE70" s="87" t="s">
        <v>1790</v>
      </c>
    </row>
    <row r="71" spans="1:99" ht="63.75" x14ac:dyDescent="0.2">
      <c r="A71" s="176" t="str">
        <f t="shared" si="4"/>
        <v>aerodromeTerrainImpact</v>
      </c>
      <c r="B71" s="11" t="s">
        <v>6276</v>
      </c>
      <c r="C71" s="173"/>
      <c r="D71" s="22" t="s">
        <v>6277</v>
      </c>
      <c r="E71" s="15" t="s">
        <v>6278</v>
      </c>
      <c r="F71" s="15" t="s">
        <v>6279</v>
      </c>
      <c r="G71" s="174"/>
      <c r="H71" s="17" t="s">
        <v>5932</v>
      </c>
      <c r="I71" s="269"/>
      <c r="J71" s="369" t="str">
        <f>HYPERLINK("[#]Datatypes!B240:L240","Boolean")</f>
        <v>Boolean</v>
      </c>
      <c r="K71" s="276"/>
      <c r="L71" s="272"/>
      <c r="M71" s="272"/>
      <c r="N71" s="273"/>
      <c r="O71" s="269"/>
      <c r="P71" s="37">
        <v>119140</v>
      </c>
      <c r="Q71" s="36" t="str">
        <f>CONCATENATE(Cover!$D$6,"fdd/view?i=",P71)</f>
        <v>https://www.dgiwg.org/FAD/fdd/view?i=119140</v>
      </c>
      <c r="R71" s="13" t="s">
        <v>6275</v>
      </c>
      <c r="S71" s="172"/>
      <c r="T71" s="172"/>
      <c r="CE71" s="87" t="s">
        <v>1790</v>
      </c>
    </row>
    <row r="72" spans="1:99" ht="25.5" x14ac:dyDescent="0.2">
      <c r="A72" s="176" t="str">
        <f t="shared" si="4"/>
        <v>aeroAdviceInfoServiceType</v>
      </c>
      <c r="B72" s="11" t="s">
        <v>6281</v>
      </c>
      <c r="C72" s="173"/>
      <c r="D72" s="22" t="s">
        <v>6282</v>
      </c>
      <c r="E72" s="15" t="s">
        <v>6283</v>
      </c>
      <c r="F72" s="174"/>
      <c r="G72" s="174"/>
      <c r="H72" s="17" t="s">
        <v>5932</v>
      </c>
      <c r="I72" s="17" t="s">
        <v>6029</v>
      </c>
      <c r="J72" s="369" t="str">
        <f>HYPERLINK("[#]Datatypes!B62:L62","AstCode")</f>
        <v>AstCode</v>
      </c>
      <c r="K72" s="276"/>
      <c r="L72" s="272"/>
      <c r="M72" s="272"/>
      <c r="N72" s="248" t="str">
        <f>HYPERLINK("[#]DatatypeListedValues!A921:H921","&lt;values&gt;")</f>
        <v>&lt;values&gt;</v>
      </c>
      <c r="O72" s="277" t="b">
        <v>0</v>
      </c>
      <c r="P72" s="37">
        <v>117517</v>
      </c>
      <c r="Q72" s="36" t="str">
        <f>CONCATENATE(Cover!$D$6,"fdd/view?i=",P72)</f>
        <v>https://www.dgiwg.org/FAD/fdd/view?i=117517</v>
      </c>
      <c r="R72" s="13" t="s">
        <v>6280</v>
      </c>
      <c r="S72" s="172"/>
      <c r="T72" s="172"/>
      <c r="CH72" s="83" t="s">
        <v>1790</v>
      </c>
    </row>
    <row r="73" spans="1:99" ht="25.5" x14ac:dyDescent="0.2">
      <c r="A73" s="176" t="str">
        <f t="shared" si="4"/>
        <v>aeroBeaconType</v>
      </c>
      <c r="B73" s="11" t="s">
        <v>6286</v>
      </c>
      <c r="C73" s="173"/>
      <c r="D73" s="22" t="s">
        <v>6287</v>
      </c>
      <c r="E73" s="15" t="s">
        <v>6288</v>
      </c>
      <c r="F73" s="15" t="s">
        <v>6289</v>
      </c>
      <c r="G73" s="174"/>
      <c r="H73" s="17" t="s">
        <v>5932</v>
      </c>
      <c r="I73" s="17" t="s">
        <v>6224</v>
      </c>
      <c r="J73" s="369" t="str">
        <f>HYPERLINK("[#]Datatypes!B64:L64","AbtCode")</f>
        <v>AbtCode</v>
      </c>
      <c r="K73" s="276"/>
      <c r="L73" s="272"/>
      <c r="M73" s="272"/>
      <c r="N73" s="248" t="str">
        <f>HYPERLINK("[#]DatatypeListedValues!A942:H942","&lt;values&gt;")</f>
        <v>&lt;values&gt;</v>
      </c>
      <c r="O73" s="277" t="b">
        <v>0</v>
      </c>
      <c r="P73" s="37">
        <v>117464</v>
      </c>
      <c r="Q73" s="36" t="str">
        <f>CONCATENATE(Cover!$D$6,"fdd/view?i=",P73)</f>
        <v>https://www.dgiwg.org/FAD/fdd/view?i=117464</v>
      </c>
      <c r="R73" s="13" t="s">
        <v>6285</v>
      </c>
      <c r="S73" s="172"/>
      <c r="T73" s="172"/>
      <c r="CE73" s="87" t="s">
        <v>1790</v>
      </c>
    </row>
    <row r="74" spans="1:99" x14ac:dyDescent="0.2">
      <c r="A74" s="176" t="str">
        <f t="shared" si="4"/>
        <v>aeroCommChannelMode</v>
      </c>
      <c r="B74" s="11" t="s">
        <v>6292</v>
      </c>
      <c r="C74" s="173"/>
      <c r="D74" s="22" t="s">
        <v>6293</v>
      </c>
      <c r="E74" s="15" t="s">
        <v>6294</v>
      </c>
      <c r="F74" s="174"/>
      <c r="G74" s="174"/>
      <c r="H74" s="17" t="s">
        <v>5932</v>
      </c>
      <c r="I74" s="269"/>
      <c r="J74" s="369" t="str">
        <f>HYPERLINK("[#]Datatypes!B66:L66","AcmCode")</f>
        <v>AcmCode</v>
      </c>
      <c r="K74" s="276"/>
      <c r="L74" s="272"/>
      <c r="M74" s="272"/>
      <c r="N74" s="248" t="str">
        <f>HYPERLINK("[#]DatatypeListedValues!A952:H952","&lt;values&gt;")</f>
        <v>&lt;values&gt;</v>
      </c>
      <c r="O74" s="277" t="b">
        <v>0</v>
      </c>
      <c r="P74" s="37">
        <v>117470</v>
      </c>
      <c r="Q74" s="36" t="str">
        <f>CONCATENATE(Cover!$D$6,"fdd/view?i=",P74)</f>
        <v>https://www.dgiwg.org/FAD/fdd/view?i=117470</v>
      </c>
      <c r="R74" s="13" t="s">
        <v>6291</v>
      </c>
      <c r="S74" s="172"/>
      <c r="T74" s="172"/>
      <c r="CE74" s="87" t="s">
        <v>1790</v>
      </c>
      <c r="CH74" s="83" t="s">
        <v>1790</v>
      </c>
    </row>
    <row r="75" spans="1:99" ht="25.5" x14ac:dyDescent="0.2">
      <c r="A75" s="176" t="str">
        <f t="shared" si="4"/>
        <v>aeroLightFunction</v>
      </c>
      <c r="B75" s="11" t="s">
        <v>6297</v>
      </c>
      <c r="C75" s="173"/>
      <c r="D75" s="22" t="s">
        <v>6298</v>
      </c>
      <c r="E75" s="15" t="s">
        <v>6299</v>
      </c>
      <c r="F75" s="174"/>
      <c r="G75" s="174"/>
      <c r="H75" s="17" t="s">
        <v>5932</v>
      </c>
      <c r="I75" s="269"/>
      <c r="J75" s="369" t="str">
        <f>HYPERLINK("[#]Datatypes!B68:L68","LfaCode")</f>
        <v>LfaCode</v>
      </c>
      <c r="K75" s="276"/>
      <c r="L75" s="272"/>
      <c r="M75" s="272"/>
      <c r="N75" s="248" t="str">
        <f>HYPERLINK("[#]DatatypeListedValues!A963:H963","&lt;values&gt;")</f>
        <v>&lt;values&gt;</v>
      </c>
      <c r="O75" s="277" t="b">
        <v>0</v>
      </c>
      <c r="P75" s="37">
        <v>100997</v>
      </c>
      <c r="Q75" s="36" t="str">
        <f>CONCATENATE(Cover!$D$6,"fdd/view?i=",P75)</f>
        <v>https://www.dgiwg.org/FAD/fdd/view?i=100997</v>
      </c>
      <c r="R75" s="13" t="s">
        <v>6296</v>
      </c>
      <c r="S75" s="172"/>
      <c r="T75" s="172"/>
      <c r="AT75" s="82" t="s">
        <v>1790</v>
      </c>
      <c r="CE75" s="87" t="s">
        <v>1790</v>
      </c>
      <c r="CS75" s="165" t="s">
        <v>1790</v>
      </c>
      <c r="CT75" s="166" t="s">
        <v>1790</v>
      </c>
    </row>
    <row r="76" spans="1:99" ht="25.5" x14ac:dyDescent="0.2">
      <c r="A76" s="176" t="str">
        <f t="shared" si="4"/>
        <v>aeroObstacleLightPresent</v>
      </c>
      <c r="B76" s="11" t="s">
        <v>6302</v>
      </c>
      <c r="C76" s="173"/>
      <c r="D76" s="22" t="s">
        <v>6303</v>
      </c>
      <c r="E76" s="15" t="s">
        <v>6304</v>
      </c>
      <c r="F76" s="174"/>
      <c r="G76" s="15" t="s">
        <v>6305</v>
      </c>
      <c r="H76" s="17" t="s">
        <v>5932</v>
      </c>
      <c r="I76" s="269"/>
      <c r="J76" s="369" t="str">
        <f>HYPERLINK("[#]Datatypes!B240:L240","Boolean")</f>
        <v>Boolean</v>
      </c>
      <c r="K76" s="276"/>
      <c r="L76" s="272"/>
      <c r="M76" s="272"/>
      <c r="N76" s="273"/>
      <c r="O76" s="269"/>
      <c r="P76" s="37">
        <v>117530</v>
      </c>
      <c r="Q76" s="36" t="str">
        <f>CONCATENATE(Cover!$D$6,"fdd/view?i=",P76)</f>
        <v>https://www.dgiwg.org/FAD/fdd/view?i=117530</v>
      </c>
      <c r="R76" s="13" t="s">
        <v>6301</v>
      </c>
      <c r="S76" s="172"/>
      <c r="T76" s="172"/>
      <c r="CG76" s="83" t="s">
        <v>1790</v>
      </c>
    </row>
    <row r="77" spans="1:99" ht="38.25" x14ac:dyDescent="0.2">
      <c r="A77" s="176" t="str">
        <f t="shared" si="4"/>
        <v>aeronauticalOrgIdentifier</v>
      </c>
      <c r="B77" s="11" t="s">
        <v>6307</v>
      </c>
      <c r="C77" s="173"/>
      <c r="D77" s="22" t="s">
        <v>6308</v>
      </c>
      <c r="E77" s="15" t="s">
        <v>6309</v>
      </c>
      <c r="F77" s="15" t="s">
        <v>6310</v>
      </c>
      <c r="G77" s="174"/>
      <c r="H77" s="17" t="s">
        <v>5932</v>
      </c>
      <c r="I77" s="269"/>
      <c r="J77" s="369" t="str">
        <f>HYPERLINK("[#]Datatypes!B1562:L1562","TextNonLexUnconstrained")</f>
        <v>TextNonLexUnconstrained</v>
      </c>
      <c r="K77" s="276"/>
      <c r="L77" s="272"/>
      <c r="M77" s="272"/>
      <c r="N77" s="273"/>
      <c r="O77" s="269"/>
      <c r="P77" s="37">
        <v>117651</v>
      </c>
      <c r="Q77" s="36" t="str">
        <f>CONCATENATE(Cover!$D$6,"fdd/view?i=",P77)</f>
        <v>https://www.dgiwg.org/FAD/fdd/view?i=117651</v>
      </c>
      <c r="R77" s="13" t="s">
        <v>6306</v>
      </c>
      <c r="S77" s="172"/>
      <c r="T77" s="172"/>
      <c r="CH77" s="83" t="s">
        <v>1790</v>
      </c>
    </row>
    <row r="78" spans="1:99" ht="25.5" x14ac:dyDescent="0.2">
      <c r="A78" s="176" t="str">
        <f t="shared" si="4"/>
        <v>aeroRadioNavServiceIdent</v>
      </c>
      <c r="B78" s="11" t="s">
        <v>6312</v>
      </c>
      <c r="C78" s="173"/>
      <c r="D78" s="22" t="s">
        <v>6313</v>
      </c>
      <c r="E78" s="15" t="s">
        <v>6314</v>
      </c>
      <c r="F78" s="174"/>
      <c r="G78" s="15" t="s">
        <v>6315</v>
      </c>
      <c r="H78" s="17" t="s">
        <v>5932</v>
      </c>
      <c r="I78" s="269"/>
      <c r="J78" s="369" t="str">
        <f>HYPERLINK("[#]Datatypes!B70:L70","AniStrucText")</f>
        <v>AniStrucText</v>
      </c>
      <c r="K78" s="276"/>
      <c r="L78" s="272"/>
      <c r="M78" s="272"/>
      <c r="N78" s="273"/>
      <c r="O78" s="269"/>
      <c r="P78" s="37">
        <v>117498</v>
      </c>
      <c r="Q78" s="36" t="str">
        <f>CONCATENATE(Cover!$D$6,"fdd/view?i=",P78)</f>
        <v>https://www.dgiwg.org/FAD/fdd/view?i=117498</v>
      </c>
      <c r="R78" s="13" t="s">
        <v>6311</v>
      </c>
      <c r="S78" s="172"/>
      <c r="T78" s="172"/>
      <c r="CG78" s="83" t="s">
        <v>1790</v>
      </c>
    </row>
    <row r="79" spans="1:99" x14ac:dyDescent="0.2">
      <c r="A79" s="176" t="str">
        <f t="shared" si="4"/>
        <v>aeroRadioNavServiceName</v>
      </c>
      <c r="B79" s="11" t="s">
        <v>6318</v>
      </c>
      <c r="C79" s="173"/>
      <c r="D79" s="22" t="s">
        <v>6319</v>
      </c>
      <c r="E79" s="15" t="s">
        <v>6320</v>
      </c>
      <c r="F79" s="174"/>
      <c r="G79" s="174"/>
      <c r="H79" s="17" t="s">
        <v>5932</v>
      </c>
      <c r="I79" s="269"/>
      <c r="J79" s="369" t="str">
        <f>HYPERLINK("[#]Datatypes!B1544:L1544","TextLexUnconstrained")</f>
        <v>TextLexUnconstrained</v>
      </c>
      <c r="K79" s="276"/>
      <c r="L79" s="272"/>
      <c r="M79" s="272"/>
      <c r="N79" s="273"/>
      <c r="O79" s="269"/>
      <c r="P79" s="37">
        <v>117647</v>
      </c>
      <c r="Q79" s="36" t="str">
        <f>CONCATENATE(Cover!$D$6,"fdd/view?i=",P79)</f>
        <v>https://www.dgiwg.org/FAD/fdd/view?i=117647</v>
      </c>
      <c r="R79" s="13" t="s">
        <v>6317</v>
      </c>
      <c r="S79" s="172"/>
      <c r="T79" s="172"/>
      <c r="CG79" s="83" t="s">
        <v>1790</v>
      </c>
    </row>
    <row r="80" spans="1:99" ht="38.25" x14ac:dyDescent="0.2">
      <c r="A80" s="176" t="str">
        <f t="shared" si="4"/>
        <v>aeroResponsibleAuthority</v>
      </c>
      <c r="B80" s="11" t="s">
        <v>6322</v>
      </c>
      <c r="C80" s="173"/>
      <c r="D80" s="22" t="s">
        <v>6323</v>
      </c>
      <c r="E80" s="15" t="s">
        <v>6324</v>
      </c>
      <c r="F80" s="15" t="s">
        <v>6325</v>
      </c>
      <c r="G80" s="174"/>
      <c r="H80" s="17" t="s">
        <v>5932</v>
      </c>
      <c r="I80" s="269"/>
      <c r="J80" s="369" t="str">
        <f>HYPERLINK("[#]Datatypes!B1544:L1544","TextLexUnconstrained")</f>
        <v>TextLexUnconstrained</v>
      </c>
      <c r="K80" s="276"/>
      <c r="L80" s="272"/>
      <c r="M80" s="272"/>
      <c r="N80" s="273"/>
      <c r="O80" s="269"/>
      <c r="P80" s="37">
        <v>117522</v>
      </c>
      <c r="Q80" s="36" t="str">
        <f>CONCATENATE(Cover!$D$6,"fdd/view?i=",P80)</f>
        <v>https://www.dgiwg.org/FAD/fdd/view?i=117522</v>
      </c>
      <c r="R80" s="13" t="s">
        <v>6321</v>
      </c>
      <c r="S80" s="172"/>
      <c r="T80" s="172"/>
      <c r="CH80" s="83" t="s">
        <v>1790</v>
      </c>
    </row>
    <row r="81" spans="1:98" ht="51" x14ac:dyDescent="0.2">
      <c r="A81" s="176" t="str">
        <f t="shared" si="4"/>
        <v>aeroResponsibleAuthType</v>
      </c>
      <c r="B81" s="11" t="s">
        <v>6327</v>
      </c>
      <c r="C81" s="173"/>
      <c r="D81" s="22" t="s">
        <v>6328</v>
      </c>
      <c r="E81" s="15" t="s">
        <v>6329</v>
      </c>
      <c r="F81" s="15" t="s">
        <v>6330</v>
      </c>
      <c r="G81" s="174"/>
      <c r="H81" s="17" t="s">
        <v>5932</v>
      </c>
      <c r="I81" s="269"/>
      <c r="J81" s="369" t="str">
        <f>HYPERLINK("[#]Datatypes!B72:L72","AauCode")</f>
        <v>AauCode</v>
      </c>
      <c r="K81" s="276"/>
      <c r="L81" s="272"/>
      <c r="M81" s="272"/>
      <c r="N81" s="248" t="str">
        <f>HYPERLINK("[#]DatatypeListedValues!A1053:H1053","&lt;values&gt;")</f>
        <v>&lt;values&gt;</v>
      </c>
      <c r="O81" s="277" t="b">
        <v>0</v>
      </c>
      <c r="P81" s="37">
        <v>117462</v>
      </c>
      <c r="Q81" s="36" t="str">
        <f>CONCATENATE(Cover!$D$6,"fdd/view?i=",P81)</f>
        <v>https://www.dgiwg.org/FAD/fdd/view?i=117462</v>
      </c>
      <c r="R81" s="13" t="s">
        <v>6326</v>
      </c>
      <c r="S81" s="172"/>
      <c r="T81" s="172"/>
      <c r="CH81" s="83" t="s">
        <v>1790</v>
      </c>
    </row>
    <row r="82" spans="1:98" ht="25.5" x14ac:dyDescent="0.2">
      <c r="A82" s="176" t="str">
        <f t="shared" si="4"/>
        <v>aeroRouteCategory</v>
      </c>
      <c r="B82" s="11" t="s">
        <v>6333</v>
      </c>
      <c r="C82" s="173"/>
      <c r="D82" s="22" t="s">
        <v>6334</v>
      </c>
      <c r="E82" s="15" t="s">
        <v>6335</v>
      </c>
      <c r="F82" s="174"/>
      <c r="G82" s="174"/>
      <c r="H82" s="17" t="s">
        <v>5932</v>
      </c>
      <c r="I82" s="269"/>
      <c r="J82" s="369" t="str">
        <f>HYPERLINK("[#]Datatypes!B74:L74","ArtCode")</f>
        <v>ArtCode</v>
      </c>
      <c r="K82" s="276"/>
      <c r="L82" s="272"/>
      <c r="M82" s="272"/>
      <c r="N82" s="248" t="str">
        <f>HYPERLINK("[#]DatatypeListedValues!A1057:H1057","&lt;values&gt;")</f>
        <v>&lt;values&gt;</v>
      </c>
      <c r="O82" s="277" t="b">
        <v>0</v>
      </c>
      <c r="P82" s="37">
        <v>119494</v>
      </c>
      <c r="Q82" s="36" t="str">
        <f>CONCATENATE(Cover!$D$6,"fdd/view?i=",P82)</f>
        <v>https://www.dgiwg.org/FAD/fdd/view?i=119494</v>
      </c>
      <c r="R82" s="13" t="s">
        <v>6332</v>
      </c>
      <c r="S82" s="172"/>
      <c r="T82" s="172"/>
      <c r="AT82" s="82" t="s">
        <v>1790</v>
      </c>
      <c r="CF82" s="83" t="s">
        <v>1790</v>
      </c>
    </row>
    <row r="83" spans="1:98" ht="25.5" x14ac:dyDescent="0.2">
      <c r="A83" s="176" t="str">
        <f t="shared" si="4"/>
        <v>aeronauticalServiceName</v>
      </c>
      <c r="B83" s="11" t="s">
        <v>6338</v>
      </c>
      <c r="C83" s="173"/>
      <c r="D83" s="22" t="s">
        <v>6339</v>
      </c>
      <c r="E83" s="15" t="s">
        <v>6340</v>
      </c>
      <c r="F83" s="174"/>
      <c r="G83" s="174"/>
      <c r="H83" s="17" t="s">
        <v>5932</v>
      </c>
      <c r="I83" s="269"/>
      <c r="J83" s="369" t="str">
        <f>HYPERLINK("[#]Datatypes!B1544:L1544","TextLexUnconstrained")</f>
        <v>TextLexUnconstrained</v>
      </c>
      <c r="K83" s="276"/>
      <c r="L83" s="272"/>
      <c r="M83" s="272"/>
      <c r="N83" s="273"/>
      <c r="O83" s="269"/>
      <c r="P83" s="37">
        <v>117513</v>
      </c>
      <c r="Q83" s="36" t="str">
        <f>CONCATENATE(Cover!$D$6,"fdd/view?i=",P83)</f>
        <v>https://www.dgiwg.org/FAD/fdd/view?i=117513</v>
      </c>
      <c r="R83" s="13" t="s">
        <v>6337</v>
      </c>
      <c r="S83" s="172"/>
      <c r="T83" s="172"/>
      <c r="CH83" s="83" t="s">
        <v>1790</v>
      </c>
    </row>
    <row r="84" spans="1:98" ht="25.5" x14ac:dyDescent="0.2">
      <c r="A84" s="176" t="str">
        <f t="shared" si="4"/>
        <v>aeroServiceOperStatus</v>
      </c>
      <c r="B84" s="11" t="s">
        <v>6342</v>
      </c>
      <c r="C84" s="173"/>
      <c r="D84" s="22" t="s">
        <v>6343</v>
      </c>
      <c r="E84" s="15" t="s">
        <v>6344</v>
      </c>
      <c r="F84" s="174"/>
      <c r="G84" s="174"/>
      <c r="H84" s="17" t="s">
        <v>5932</v>
      </c>
      <c r="I84" s="269"/>
      <c r="J84" s="369" t="str">
        <f>HYPERLINK("[#]Datatypes!B76:L76","AsoCode")</f>
        <v>AsoCode</v>
      </c>
      <c r="K84" s="276"/>
      <c r="L84" s="272"/>
      <c r="M84" s="272"/>
      <c r="N84" s="248" t="str">
        <f>HYPERLINK("[#]DatatypeListedValues!A1060:H1060","&lt;values&gt;")</f>
        <v>&lt;values&gt;</v>
      </c>
      <c r="O84" s="277" t="b">
        <v>0</v>
      </c>
      <c r="P84" s="37">
        <v>117514</v>
      </c>
      <c r="Q84" s="36" t="str">
        <f>CONCATENATE(Cover!$D$6,"fdd/view?i=",P84)</f>
        <v>https://www.dgiwg.org/FAD/fdd/view?i=117514</v>
      </c>
      <c r="R84" s="13" t="s">
        <v>6341</v>
      </c>
      <c r="S84" s="172"/>
      <c r="T84" s="172"/>
      <c r="CH84" s="83" t="s">
        <v>1790</v>
      </c>
    </row>
    <row r="85" spans="1:98" x14ac:dyDescent="0.2">
      <c r="A85" s="176" t="str">
        <f t="shared" si="4"/>
        <v>aeroServiceRanking</v>
      </c>
      <c r="B85" s="11" t="s">
        <v>6347</v>
      </c>
      <c r="C85" s="173"/>
      <c r="D85" s="22" t="s">
        <v>6348</v>
      </c>
      <c r="E85" s="15" t="s">
        <v>6349</v>
      </c>
      <c r="F85" s="15" t="s">
        <v>6350</v>
      </c>
      <c r="G85" s="174"/>
      <c r="H85" s="17" t="s">
        <v>5932</v>
      </c>
      <c r="I85" s="269"/>
      <c r="J85" s="369" t="str">
        <f>HYPERLINK("[#]Datatypes!B78:L78","SerCode")</f>
        <v>SerCode</v>
      </c>
      <c r="K85" s="276"/>
      <c r="L85" s="272"/>
      <c r="M85" s="272"/>
      <c r="N85" s="248" t="str">
        <f>HYPERLINK("[#]DatatypeListedValues!A1077:H1077","&lt;values&gt;")</f>
        <v>&lt;values&gt;</v>
      </c>
      <c r="O85" s="277" t="b">
        <v>0</v>
      </c>
      <c r="P85" s="37">
        <v>117708</v>
      </c>
      <c r="Q85" s="36" t="str">
        <f>CONCATENATE(Cover!$D$6,"fdd/view?i=",P85)</f>
        <v>https://www.dgiwg.org/FAD/fdd/view?i=117708</v>
      </c>
      <c r="R85" s="13" t="s">
        <v>6346</v>
      </c>
      <c r="S85" s="172"/>
      <c r="T85" s="172"/>
      <c r="CH85" s="83" t="s">
        <v>1790</v>
      </c>
    </row>
    <row r="86" spans="1:98" ht="76.5" x14ac:dyDescent="0.2">
      <c r="A86" s="176" t="str">
        <f t="shared" si="4"/>
        <v>aeronauticalUnitDesignator</v>
      </c>
      <c r="B86" s="11" t="s">
        <v>6353</v>
      </c>
      <c r="C86" s="173"/>
      <c r="D86" s="22" t="s">
        <v>6354</v>
      </c>
      <c r="E86" s="15" t="s">
        <v>6355</v>
      </c>
      <c r="F86" s="15" t="s">
        <v>6356</v>
      </c>
      <c r="G86" s="174"/>
      <c r="H86" s="17" t="s">
        <v>5932</v>
      </c>
      <c r="I86" s="269"/>
      <c r="J86" s="369" t="str">
        <f>HYPERLINK("[#]Datatypes!B1562:L1562","TextNonLexUnconstrained")</f>
        <v>TextNonLexUnconstrained</v>
      </c>
      <c r="K86" s="276"/>
      <c r="L86" s="272"/>
      <c r="M86" s="272"/>
      <c r="N86" s="273"/>
      <c r="O86" s="269"/>
      <c r="P86" s="37">
        <v>117526</v>
      </c>
      <c r="Q86" s="36" t="str">
        <f>CONCATENATE(Cover!$D$6,"fdd/view?i=",P86)</f>
        <v>https://www.dgiwg.org/FAD/fdd/view?i=117526</v>
      </c>
      <c r="R86" s="13" t="s">
        <v>6352</v>
      </c>
      <c r="S86" s="172"/>
      <c r="T86" s="172"/>
      <c r="CH86" s="83" t="s">
        <v>1790</v>
      </c>
    </row>
    <row r="87" spans="1:98" ht="51" x14ac:dyDescent="0.2">
      <c r="A87" s="176" t="str">
        <f t="shared" si="4"/>
        <v>aeronauticalUnitName</v>
      </c>
      <c r="B87" s="11" t="s">
        <v>6358</v>
      </c>
      <c r="C87" s="173"/>
      <c r="D87" s="22" t="s">
        <v>6359</v>
      </c>
      <c r="E87" s="15" t="s">
        <v>6360</v>
      </c>
      <c r="F87" s="15" t="s">
        <v>6361</v>
      </c>
      <c r="G87" s="174"/>
      <c r="H87" s="17" t="s">
        <v>5932</v>
      </c>
      <c r="I87" s="269"/>
      <c r="J87" s="369" t="str">
        <f>HYPERLINK("[#]Datatypes!B1544:L1544","TextLexUnconstrained")</f>
        <v>TextLexUnconstrained</v>
      </c>
      <c r="K87" s="276"/>
      <c r="L87" s="272"/>
      <c r="M87" s="272"/>
      <c r="N87" s="273"/>
      <c r="O87" s="269"/>
      <c r="P87" s="37">
        <v>117527</v>
      </c>
      <c r="Q87" s="36" t="str">
        <f>CONCATENATE(Cover!$D$6,"fdd/view?i=",P87)</f>
        <v>https://www.dgiwg.org/FAD/fdd/view?i=117527</v>
      </c>
      <c r="R87" s="13" t="s">
        <v>6357</v>
      </c>
      <c r="S87" s="172"/>
      <c r="T87" s="172"/>
      <c r="CH87" s="83" t="s">
        <v>1790</v>
      </c>
    </row>
    <row r="88" spans="1:98" ht="51" x14ac:dyDescent="0.2">
      <c r="A88" s="176" t="str">
        <f t="shared" si="4"/>
        <v>aeronauticalUnitType</v>
      </c>
      <c r="B88" s="11" t="s">
        <v>6363</v>
      </c>
      <c r="C88" s="173"/>
      <c r="D88" s="22" t="s">
        <v>6364</v>
      </c>
      <c r="E88" s="15" t="s">
        <v>6365</v>
      </c>
      <c r="F88" s="15" t="s">
        <v>6361</v>
      </c>
      <c r="G88" s="174"/>
      <c r="H88" s="17" t="s">
        <v>5932</v>
      </c>
      <c r="I88" s="17" t="s">
        <v>6224</v>
      </c>
      <c r="J88" s="369" t="str">
        <f>HYPERLINK("[#]Datatypes!B80:L80","AtuCode")</f>
        <v>AtuCode</v>
      </c>
      <c r="K88" s="276"/>
      <c r="L88" s="272"/>
      <c r="M88" s="272"/>
      <c r="N88" s="248" t="str">
        <f>HYPERLINK("[#]DatatypeListedValues!A1082:H1082","&lt;values&gt;")</f>
        <v>&lt;values&gt;</v>
      </c>
      <c r="O88" s="277" t="b">
        <v>0</v>
      </c>
      <c r="P88" s="37">
        <v>117523</v>
      </c>
      <c r="Q88" s="36" t="str">
        <f>CONCATENATE(Cover!$D$6,"fdd/view?i=",P88)</f>
        <v>https://www.dgiwg.org/FAD/fdd/view?i=117523</v>
      </c>
      <c r="R88" s="13" t="s">
        <v>6362</v>
      </c>
      <c r="S88" s="172"/>
      <c r="T88" s="172"/>
      <c r="CH88" s="83" t="s">
        <v>1790</v>
      </c>
    </row>
    <row r="89" spans="1:98" ht="25.5" x14ac:dyDescent="0.2">
      <c r="A89" s="176" t="str">
        <f t="shared" si="4"/>
        <v>affiliationStatus</v>
      </c>
      <c r="B89" s="11" t="s">
        <v>6368</v>
      </c>
      <c r="C89" s="173"/>
      <c r="D89" s="22" t="s">
        <v>6369</v>
      </c>
      <c r="E89" s="15" t="s">
        <v>6370</v>
      </c>
      <c r="F89" s="15" t="s">
        <v>6371</v>
      </c>
      <c r="G89" s="174"/>
      <c r="H89" s="17" t="s">
        <v>5932</v>
      </c>
      <c r="I89" s="269"/>
      <c r="J89" s="369" t="str">
        <f>HYPERLINK("[#]Datatypes!B82:L82","FfoCode")</f>
        <v>FfoCode</v>
      </c>
      <c r="K89" s="276"/>
      <c r="L89" s="272"/>
      <c r="M89" s="272"/>
      <c r="N89" s="248" t="str">
        <f>HYPERLINK("[#]DatatypeListedValues!A1119:H1119","&lt;values&gt;")</f>
        <v>&lt;values&gt;</v>
      </c>
      <c r="O89" s="277" t="b">
        <v>0</v>
      </c>
      <c r="P89" s="37">
        <v>118167</v>
      </c>
      <c r="Q89" s="36" t="str">
        <f>CONCATENATE(Cover!$D$6,"fdd/view?i=",P89)</f>
        <v>https://www.dgiwg.org/FAD/fdd/view?i=118167</v>
      </c>
      <c r="R89" s="13" t="s">
        <v>6367</v>
      </c>
      <c r="S89" s="172"/>
      <c r="T89" s="172"/>
      <c r="CL89" s="85" t="s">
        <v>1790</v>
      </c>
      <c r="CT89" s="166" t="s">
        <v>1790</v>
      </c>
    </row>
    <row r="90" spans="1:98" ht="89.25" x14ac:dyDescent="0.2">
      <c r="A90" s="176" t="str">
        <f t="shared" si="4"/>
        <v>aggregation</v>
      </c>
      <c r="B90" s="11" t="s">
        <v>6374</v>
      </c>
      <c r="C90" s="173"/>
      <c r="D90" s="22" t="s">
        <v>6375</v>
      </c>
      <c r="E90" s="15" t="s">
        <v>6376</v>
      </c>
      <c r="F90" s="15" t="s">
        <v>6377</v>
      </c>
      <c r="G90" s="174"/>
      <c r="H90" s="17" t="s">
        <v>5932</v>
      </c>
      <c r="I90" s="269"/>
      <c r="J90" s="369" t="str">
        <f>HYPERLINK("[#]Datatypes!B240:L240","Boolean")</f>
        <v>Boolean</v>
      </c>
      <c r="K90" s="276"/>
      <c r="L90" s="272"/>
      <c r="M90" s="272"/>
      <c r="N90" s="273"/>
      <c r="O90" s="269"/>
      <c r="P90" s="37">
        <v>111468</v>
      </c>
      <c r="Q90" s="36" t="str">
        <f>CONCATENATE(Cover!$D$6,"fdd/view?i=",P90)</f>
        <v>https://www.dgiwg.org/FAD/fdd/view?i=111468</v>
      </c>
      <c r="R90" s="13" t="s">
        <v>6373</v>
      </c>
      <c r="S90" s="172"/>
      <c r="T90" s="172"/>
      <c r="CS90" s="165" t="s">
        <v>1790</v>
      </c>
    </row>
    <row r="91" spans="1:98" x14ac:dyDescent="0.2">
      <c r="A91" s="176" t="str">
        <f t="shared" si="4"/>
        <v>aggressorAffiliation</v>
      </c>
      <c r="B91" s="11" t="s">
        <v>6379</v>
      </c>
      <c r="C91" s="173"/>
      <c r="D91" s="22" t="s">
        <v>6380</v>
      </c>
      <c r="E91" s="15" t="s">
        <v>6381</v>
      </c>
      <c r="F91" s="174"/>
      <c r="G91" s="174"/>
      <c r="H91" s="17" t="s">
        <v>5932</v>
      </c>
      <c r="I91" s="269"/>
      <c r="J91" s="369" t="str">
        <f>HYPERLINK("[#]Datatypes!B84:L84","AgaCode")</f>
        <v>AgaCode</v>
      </c>
      <c r="K91" s="276"/>
      <c r="L91" s="272"/>
      <c r="M91" s="272"/>
      <c r="N91" s="248" t="str">
        <f>HYPERLINK("[#]DatatypeListedValues!A1124:H1124","&lt;values&gt;")</f>
        <v>&lt;values&gt;</v>
      </c>
      <c r="O91" s="277" t="b">
        <v>0</v>
      </c>
      <c r="P91" s="37">
        <v>111467</v>
      </c>
      <c r="Q91" s="36" t="str">
        <f>CONCATENATE(Cover!$D$6,"fdd/view?i=",P91)</f>
        <v>https://www.dgiwg.org/FAD/fdd/view?i=111467</v>
      </c>
      <c r="R91" s="13" t="s">
        <v>6378</v>
      </c>
      <c r="S91" s="172"/>
      <c r="T91" s="172"/>
      <c r="CL91" s="85" t="s">
        <v>1790</v>
      </c>
      <c r="CT91" s="166" t="s">
        <v>1790</v>
      </c>
    </row>
    <row r="92" spans="1:98" ht="25.5" x14ac:dyDescent="0.2">
      <c r="A92" s="176" t="str">
        <f t="shared" si="4"/>
        <v>aggressorCount</v>
      </c>
      <c r="B92" s="11" t="s">
        <v>6384</v>
      </c>
      <c r="C92" s="173"/>
      <c r="D92" s="22" t="s">
        <v>6385</v>
      </c>
      <c r="E92" s="15" t="s">
        <v>6386</v>
      </c>
      <c r="F92" s="174"/>
      <c r="G92" s="174"/>
      <c r="H92" s="17" t="s">
        <v>5932</v>
      </c>
      <c r="I92" s="269"/>
      <c r="J92" s="369" t="str">
        <f>HYPERLINK("[#]Datatypes!B380:L380","Count")</f>
        <v>Count</v>
      </c>
      <c r="K92" s="276"/>
      <c r="L92" s="272"/>
      <c r="M92" s="272"/>
      <c r="N92" s="273"/>
      <c r="O92" s="269"/>
      <c r="P92" s="37">
        <v>111469</v>
      </c>
      <c r="Q92" s="36" t="str">
        <f>CONCATENATE(Cover!$D$6,"fdd/view?i=",P92)</f>
        <v>https://www.dgiwg.org/FAD/fdd/view?i=111469</v>
      </c>
      <c r="R92" s="13" t="s">
        <v>6383</v>
      </c>
      <c r="S92" s="172"/>
      <c r="T92" s="172"/>
      <c r="CL92" s="85" t="s">
        <v>1790</v>
      </c>
      <c r="CQ92" s="165" t="s">
        <v>1790</v>
      </c>
    </row>
    <row r="93" spans="1:98" ht="25.5" x14ac:dyDescent="0.2">
      <c r="A93" s="176" t="str">
        <f t="shared" si="4"/>
        <v>agriculturalFacilityType</v>
      </c>
      <c r="B93" s="11" t="s">
        <v>6388</v>
      </c>
      <c r="C93" s="173"/>
      <c r="D93" s="22" t="s">
        <v>6389</v>
      </c>
      <c r="E93" s="15" t="s">
        <v>6390</v>
      </c>
      <c r="F93" s="174"/>
      <c r="G93" s="174"/>
      <c r="H93" s="17" t="s">
        <v>5932</v>
      </c>
      <c r="I93" s="269"/>
      <c r="J93" s="369" t="str">
        <f>HYPERLINK("[#]Datatypes!B86:L86","AfcCode")</f>
        <v>AfcCode</v>
      </c>
      <c r="K93" s="276"/>
      <c r="L93" s="272"/>
      <c r="M93" s="272"/>
      <c r="N93" s="248" t="str">
        <f>HYPERLINK("[#]DatatypeListedValues!A1134:H1134","&lt;values&gt;")</f>
        <v>&lt;values&gt;</v>
      </c>
      <c r="O93" s="277" t="b">
        <v>0</v>
      </c>
      <c r="P93" s="37">
        <v>100597</v>
      </c>
      <c r="Q93" s="36" t="str">
        <f>CONCATENATE(Cover!$D$6,"fdd/view?i=",P93)</f>
        <v>https://www.dgiwg.org/FAD/fdd/view?i=100597</v>
      </c>
      <c r="R93" s="13" t="s">
        <v>6387</v>
      </c>
      <c r="S93" s="172"/>
      <c r="T93" s="172"/>
      <c r="AC93" s="82" t="s">
        <v>1790</v>
      </c>
      <c r="AJ93" s="83" t="s">
        <v>1790</v>
      </c>
    </row>
    <row r="94" spans="1:98" x14ac:dyDescent="0.2">
      <c r="A94" s="176" t="str">
        <f t="shared" si="4"/>
        <v>agriculturalZoneType</v>
      </c>
      <c r="B94" s="11" t="s">
        <v>6393</v>
      </c>
      <c r="C94" s="173"/>
      <c r="D94" s="22" t="s">
        <v>6394</v>
      </c>
      <c r="E94" s="15" t="s">
        <v>6395</v>
      </c>
      <c r="F94" s="174"/>
      <c r="G94" s="174"/>
      <c r="H94" s="17" t="s">
        <v>5932</v>
      </c>
      <c r="I94" s="269"/>
      <c r="J94" s="369" t="str">
        <f>HYPERLINK("[#]Datatypes!B88:L88","AztCode")</f>
        <v>AztCode</v>
      </c>
      <c r="K94" s="276"/>
      <c r="L94" s="272"/>
      <c r="M94" s="272"/>
      <c r="N94" s="248" t="str">
        <f>HYPERLINK("[#]DatatypeListedValues!A1143:H1143","&lt;values&gt;")</f>
        <v>&lt;values&gt;</v>
      </c>
      <c r="O94" s="277" t="b">
        <v>0</v>
      </c>
      <c r="P94" s="37">
        <v>111485</v>
      </c>
      <c r="Q94" s="36" t="str">
        <f>CONCATENATE(Cover!$D$6,"fdd/view?i=",P94)</f>
        <v>https://www.dgiwg.org/FAD/fdd/view?i=111485</v>
      </c>
      <c r="R94" s="13" t="s">
        <v>6392</v>
      </c>
      <c r="S94" s="172"/>
      <c r="T94" s="172"/>
      <c r="AC94" s="82" t="s">
        <v>1790</v>
      </c>
      <c r="BZ94" s="83" t="s">
        <v>1790</v>
      </c>
      <c r="CS94" s="165" t="s">
        <v>1790</v>
      </c>
    </row>
    <row r="95" spans="1:98" ht="25.5" x14ac:dyDescent="0.2">
      <c r="A95" s="176" t="str">
        <f t="shared" si="4"/>
        <v>airCargoHandlingCapacity</v>
      </c>
      <c r="B95" s="11" t="s">
        <v>6398</v>
      </c>
      <c r="C95" s="173"/>
      <c r="D95" s="22" t="s">
        <v>6399</v>
      </c>
      <c r="E95" s="15" t="s">
        <v>6400</v>
      </c>
      <c r="F95" s="174"/>
      <c r="G95" s="174"/>
      <c r="H95" s="17" t="s">
        <v>5932</v>
      </c>
      <c r="I95" s="269"/>
      <c r="J95" s="369" t="str">
        <f>HYPERLINK("[#]Datatypes!B1048:L1048","RealNonNegative")</f>
        <v>RealNonNegative</v>
      </c>
      <c r="K95" s="271" t="str">
        <f>HYPERLINK("[#]PhysicalQuantities!A31:N31","Mass Rate")</f>
        <v>Mass Rate</v>
      </c>
      <c r="L95" s="270" t="str">
        <f>HYPERLINK("[#]UnitsOfMeasure!D150:G150","Tonne per Day")</f>
        <v>Tonne per Day</v>
      </c>
      <c r="M95" s="272"/>
      <c r="N95" s="273"/>
      <c r="O95" s="269"/>
      <c r="P95" s="37">
        <v>119429</v>
      </c>
      <c r="Q95" s="36" t="str">
        <f>CONCATENATE(Cover!$D$6,"fdd/view?i=",P95)</f>
        <v>https://www.dgiwg.org/FAD/fdd/view?i=119429</v>
      </c>
      <c r="R95" s="13" t="s">
        <v>6397</v>
      </c>
      <c r="S95" s="172"/>
      <c r="T95" s="172"/>
      <c r="AF95" s="82" t="s">
        <v>1790</v>
      </c>
      <c r="AT95" s="82" t="s">
        <v>1790</v>
      </c>
      <c r="CE95" s="87" t="s">
        <v>1790</v>
      </c>
      <c r="CQ95" s="165" t="s">
        <v>1790</v>
      </c>
    </row>
    <row r="96" spans="1:98" ht="38.25" x14ac:dyDescent="0.2">
      <c r="A96" s="176" t="str">
        <f t="shared" si="4"/>
        <v>airCushionVehSuitable</v>
      </c>
      <c r="B96" s="11" t="s">
        <v>6403</v>
      </c>
      <c r="C96" s="173"/>
      <c r="D96" s="22" t="s">
        <v>6404</v>
      </c>
      <c r="E96" s="15" t="s">
        <v>6405</v>
      </c>
      <c r="F96" s="15" t="s">
        <v>6406</v>
      </c>
      <c r="G96" s="174"/>
      <c r="H96" s="17" t="s">
        <v>5932</v>
      </c>
      <c r="I96" s="269"/>
      <c r="J96" s="369" t="str">
        <f>HYPERLINK("[#]Datatypes!B240:L240","Boolean")</f>
        <v>Boolean</v>
      </c>
      <c r="K96" s="276"/>
      <c r="L96" s="272"/>
      <c r="M96" s="272"/>
      <c r="N96" s="273"/>
      <c r="O96" s="269"/>
      <c r="P96" s="37">
        <v>114410</v>
      </c>
      <c r="Q96" s="36" t="str">
        <f>CONCATENATE(Cover!$D$6,"fdd/view?i=",P96)</f>
        <v>https://www.dgiwg.org/FAD/fdd/view?i=114410</v>
      </c>
      <c r="R96" s="13" t="s">
        <v>6402</v>
      </c>
      <c r="S96" s="172"/>
      <c r="T96" s="172"/>
      <c r="AS96" s="82" t="s">
        <v>1790</v>
      </c>
      <c r="AU96" s="82" t="s">
        <v>1790</v>
      </c>
      <c r="AZ96" s="87" t="s">
        <v>1790</v>
      </c>
    </row>
    <row r="97" spans="1:86" ht="25.5" x14ac:dyDescent="0.2">
      <c r="A97" s="176" t="str">
        <f t="shared" si="4"/>
        <v>airRefuelPointUsage</v>
      </c>
      <c r="B97" s="11" t="s">
        <v>6408</v>
      </c>
      <c r="C97" s="173"/>
      <c r="D97" s="22" t="s">
        <v>6409</v>
      </c>
      <c r="E97" s="15" t="s">
        <v>6410</v>
      </c>
      <c r="F97" s="174"/>
      <c r="G97" s="174"/>
      <c r="H97" s="17" t="s">
        <v>5932</v>
      </c>
      <c r="I97" s="17" t="s">
        <v>6029</v>
      </c>
      <c r="J97" s="369" t="str">
        <f>HYPERLINK("[#]Datatypes!B90:L90","RpuCode")</f>
        <v>RpuCode</v>
      </c>
      <c r="K97" s="276"/>
      <c r="L97" s="272"/>
      <c r="M97" s="272"/>
      <c r="N97" s="248" t="str">
        <f>HYPERLINK("[#]DatatypeListedValues!A1153:H1153","&lt;values&gt;")</f>
        <v>&lt;values&gt;</v>
      </c>
      <c r="O97" s="277" t="b">
        <v>0</v>
      </c>
      <c r="P97" s="37">
        <v>117693</v>
      </c>
      <c r="Q97" s="36" t="str">
        <f>CONCATENATE(Cover!$D$6,"fdd/view?i=",P97)</f>
        <v>https://www.dgiwg.org/FAD/fdd/view?i=117693</v>
      </c>
      <c r="R97" s="13" t="s">
        <v>6407</v>
      </c>
      <c r="S97" s="172"/>
      <c r="T97" s="172"/>
      <c r="CF97" s="83" t="s">
        <v>1790</v>
      </c>
    </row>
    <row r="98" spans="1:86" ht="25.5" x14ac:dyDescent="0.2">
      <c r="A98" s="176" t="str">
        <f t="shared" si="4"/>
        <v>airRefuelProcDesignator</v>
      </c>
      <c r="B98" s="11" t="s">
        <v>6413</v>
      </c>
      <c r="C98" s="173"/>
      <c r="D98" s="22" t="s">
        <v>6414</v>
      </c>
      <c r="E98" s="15" t="s">
        <v>6415</v>
      </c>
      <c r="F98" s="15" t="s">
        <v>6416</v>
      </c>
      <c r="G98" s="174"/>
      <c r="H98" s="17" t="s">
        <v>5932</v>
      </c>
      <c r="I98" s="269"/>
      <c r="J98" s="369" t="str">
        <f>HYPERLINK("[#]Datatypes!B1562:L1562","TextNonLexUnconstrained")</f>
        <v>TextNonLexUnconstrained</v>
      </c>
      <c r="K98" s="276"/>
      <c r="L98" s="272"/>
      <c r="M98" s="272"/>
      <c r="N98" s="273"/>
      <c r="O98" s="269"/>
      <c r="P98" s="37">
        <v>117681</v>
      </c>
      <c r="Q98" s="36" t="str">
        <f>CONCATENATE(Cover!$D$6,"fdd/view?i=",P98)</f>
        <v>https://www.dgiwg.org/FAD/fdd/view?i=117681</v>
      </c>
      <c r="R98" s="13" t="s">
        <v>6412</v>
      </c>
      <c r="S98" s="172"/>
      <c r="T98" s="172"/>
      <c r="CF98" s="83" t="s">
        <v>1790</v>
      </c>
    </row>
    <row r="99" spans="1:86" ht="25.5" x14ac:dyDescent="0.2">
      <c r="A99" s="176" t="str">
        <f t="shared" si="4"/>
        <v>airRefuelProcDirection</v>
      </c>
      <c r="B99" s="11" t="s">
        <v>6418</v>
      </c>
      <c r="C99" s="173"/>
      <c r="D99" s="22" t="s">
        <v>6419</v>
      </c>
      <c r="E99" s="15" t="s">
        <v>6420</v>
      </c>
      <c r="F99" s="174"/>
      <c r="G99" s="174"/>
      <c r="H99" s="17" t="s">
        <v>5932</v>
      </c>
      <c r="I99" s="269"/>
      <c r="J99" s="369" t="str">
        <f>HYPERLINK("[#]Datatypes!B92:L92","RdiCode")</f>
        <v>RdiCode</v>
      </c>
      <c r="K99" s="276"/>
      <c r="L99" s="272"/>
      <c r="M99" s="272"/>
      <c r="N99" s="248" t="str">
        <f>HYPERLINK("[#]DatatypeListedValues!A1163:H1163","&lt;values&gt;")</f>
        <v>&lt;values&gt;</v>
      </c>
      <c r="O99" s="277" t="b">
        <v>0</v>
      </c>
      <c r="P99" s="37">
        <v>117682</v>
      </c>
      <c r="Q99" s="36" t="str">
        <f>CONCATENATE(Cover!$D$6,"fdd/view?i=",P99)</f>
        <v>https://www.dgiwg.org/FAD/fdd/view?i=117682</v>
      </c>
      <c r="R99" s="13" t="s">
        <v>6417</v>
      </c>
      <c r="S99" s="172"/>
      <c r="T99" s="172"/>
      <c r="CF99" s="83" t="s">
        <v>1790</v>
      </c>
    </row>
    <row r="100" spans="1:86" x14ac:dyDescent="0.2">
      <c r="A100" s="176" t="str">
        <f t="shared" si="4"/>
        <v>airRefuelProcType</v>
      </c>
      <c r="B100" s="11" t="s">
        <v>6423</v>
      </c>
      <c r="C100" s="173"/>
      <c r="D100" s="22" t="s">
        <v>6424</v>
      </c>
      <c r="E100" s="15" t="s">
        <v>6425</v>
      </c>
      <c r="F100" s="174"/>
      <c r="G100" s="174"/>
      <c r="H100" s="17" t="s">
        <v>5932</v>
      </c>
      <c r="I100" s="269"/>
      <c r="J100" s="369" t="str">
        <f>HYPERLINK("[#]Datatypes!B94:L94","RptCode")</f>
        <v>RptCode</v>
      </c>
      <c r="K100" s="276"/>
      <c r="L100" s="272"/>
      <c r="M100" s="272"/>
      <c r="N100" s="248" t="str">
        <f>HYPERLINK("[#]DatatypeListedValues!A1171:H1171","&lt;values&gt;")</f>
        <v>&lt;values&gt;</v>
      </c>
      <c r="O100" s="277" t="b">
        <v>0</v>
      </c>
      <c r="P100" s="37">
        <v>117692</v>
      </c>
      <c r="Q100" s="36" t="str">
        <f>CONCATENATE(Cover!$D$6,"fdd/view?i=",P100)</f>
        <v>https://www.dgiwg.org/FAD/fdd/view?i=117692</v>
      </c>
      <c r="R100" s="13" t="s">
        <v>6422</v>
      </c>
      <c r="S100" s="172"/>
      <c r="T100" s="172"/>
      <c r="CF100" s="83" t="s">
        <v>1790</v>
      </c>
    </row>
    <row r="101" spans="1:86" ht="51" x14ac:dyDescent="0.2">
      <c r="A101" s="176" t="str">
        <f t="shared" si="4"/>
        <v>airTrafficContingencyRoute</v>
      </c>
      <c r="B101" s="11" t="s">
        <v>6428</v>
      </c>
      <c r="C101" s="173"/>
      <c r="D101" s="22" t="s">
        <v>6429</v>
      </c>
      <c r="E101" s="15" t="s">
        <v>6430</v>
      </c>
      <c r="F101" s="15" t="s">
        <v>6431</v>
      </c>
      <c r="G101" s="174"/>
      <c r="H101" s="17" t="s">
        <v>5932</v>
      </c>
      <c r="I101" s="269"/>
      <c r="J101" s="369" t="str">
        <f>HYPERLINK("[#]Datatypes!B240:L240","Boolean")</f>
        <v>Boolean</v>
      </c>
      <c r="K101" s="276"/>
      <c r="L101" s="272"/>
      <c r="M101" s="272"/>
      <c r="N101" s="273"/>
      <c r="O101" s="269"/>
      <c r="P101" s="37">
        <v>119612</v>
      </c>
      <c r="Q101" s="36" t="str">
        <f>CONCATENATE(Cover!$D$6,"fdd/view?i=",P101)</f>
        <v>https://www.dgiwg.org/FAD/fdd/view?i=119612</v>
      </c>
      <c r="R101" s="13" t="s">
        <v>6427</v>
      </c>
      <c r="S101" s="172"/>
      <c r="T101" s="172"/>
      <c r="AT101" s="82" t="s">
        <v>1790</v>
      </c>
      <c r="CF101" s="83" t="s">
        <v>1790</v>
      </c>
    </row>
    <row r="102" spans="1:86" x14ac:dyDescent="0.2">
      <c r="A102" s="176" t="str">
        <f t="shared" si="4"/>
        <v>atcRequiredReportType</v>
      </c>
      <c r="B102" s="11" t="s">
        <v>6433</v>
      </c>
      <c r="C102" s="173"/>
      <c r="D102" s="22" t="s">
        <v>6434</v>
      </c>
      <c r="E102" s="15" t="s">
        <v>6435</v>
      </c>
      <c r="F102" s="174"/>
      <c r="G102" s="174"/>
      <c r="H102" s="17" t="s">
        <v>5932</v>
      </c>
      <c r="I102" s="269"/>
      <c r="J102" s="369" t="str">
        <f>HYPERLINK("[#]Datatypes!B96:L96","RrtCode")</f>
        <v>RrtCode</v>
      </c>
      <c r="K102" s="276"/>
      <c r="L102" s="272"/>
      <c r="M102" s="272"/>
      <c r="N102" s="248" t="str">
        <f>HYPERLINK("[#]DatatypeListedValues!A1174:H1174","&lt;values&gt;")</f>
        <v>&lt;values&gt;</v>
      </c>
      <c r="O102" s="277" t="b">
        <v>0</v>
      </c>
      <c r="P102" s="37">
        <v>117694</v>
      </c>
      <c r="Q102" s="36" t="str">
        <f>CONCATENATE(Cover!$D$6,"fdd/view?i=",P102)</f>
        <v>https://www.dgiwg.org/FAD/fdd/view?i=117694</v>
      </c>
      <c r="R102" s="13" t="s">
        <v>6432</v>
      </c>
      <c r="S102" s="172"/>
      <c r="T102" s="172"/>
      <c r="CF102" s="83" t="s">
        <v>1790</v>
      </c>
    </row>
    <row r="103" spans="1:86" x14ac:dyDescent="0.2">
      <c r="A103" s="176" t="str">
        <f t="shared" si="4"/>
        <v>airTrafControlServiceType</v>
      </c>
      <c r="B103" s="11" t="s">
        <v>6438</v>
      </c>
      <c r="C103" s="173"/>
      <c r="D103" s="22" t="s">
        <v>6439</v>
      </c>
      <c r="E103" s="15" t="s">
        <v>6440</v>
      </c>
      <c r="F103" s="174"/>
      <c r="G103" s="174"/>
      <c r="H103" s="17" t="s">
        <v>5932</v>
      </c>
      <c r="I103" s="17" t="s">
        <v>6029</v>
      </c>
      <c r="J103" s="369" t="str">
        <f>HYPERLINK("[#]Datatypes!B98:L98","ActCode")</f>
        <v>ActCode</v>
      </c>
      <c r="K103" s="276"/>
      <c r="L103" s="272"/>
      <c r="M103" s="272"/>
      <c r="N103" s="248" t="str">
        <f>HYPERLINK("[#]DatatypeListedValues!A1177:H1177","&lt;values&gt;")</f>
        <v>&lt;values&gt;</v>
      </c>
      <c r="O103" s="277" t="b">
        <v>0</v>
      </c>
      <c r="P103" s="37">
        <v>117472</v>
      </c>
      <c r="Q103" s="36" t="str">
        <f>CONCATENATE(Cover!$D$6,"fdd/view?i=",P103)</f>
        <v>https://www.dgiwg.org/FAD/fdd/view?i=117472</v>
      </c>
      <c r="R103" s="13" t="s">
        <v>6437</v>
      </c>
      <c r="S103" s="172"/>
      <c r="T103" s="172"/>
      <c r="CH103" s="83" t="s">
        <v>1790</v>
      </c>
    </row>
    <row r="104" spans="1:86" x14ac:dyDescent="0.2">
      <c r="A104" s="176" t="str">
        <f t="shared" si="4"/>
        <v>airTrafManageServiceType</v>
      </c>
      <c r="B104" s="11" t="s">
        <v>6443</v>
      </c>
      <c r="C104" s="173"/>
      <c r="D104" s="22" t="s">
        <v>6444</v>
      </c>
      <c r="E104" s="15" t="s">
        <v>6445</v>
      </c>
      <c r="F104" s="174"/>
      <c r="G104" s="174"/>
      <c r="H104" s="17" t="s">
        <v>5932</v>
      </c>
      <c r="I104" s="17" t="s">
        <v>6029</v>
      </c>
      <c r="J104" s="369" t="str">
        <f>HYPERLINK("[#]Datatypes!B100:L100","AmtCode")</f>
        <v>AmtCode</v>
      </c>
      <c r="K104" s="276"/>
      <c r="L104" s="272"/>
      <c r="M104" s="272"/>
      <c r="N104" s="248" t="str">
        <f>HYPERLINK("[#]DatatypeListedValues!A1192:H1192","&lt;values&gt;")</f>
        <v>&lt;values&gt;</v>
      </c>
      <c r="O104" s="277" t="b">
        <v>0</v>
      </c>
      <c r="P104" s="37">
        <v>117496</v>
      </c>
      <c r="Q104" s="36" t="str">
        <f>CONCATENATE(Cover!$D$6,"fdd/view?i=",P104)</f>
        <v>https://www.dgiwg.org/FAD/fdd/view?i=117496</v>
      </c>
      <c r="R104" s="13" t="s">
        <v>6442</v>
      </c>
      <c r="S104" s="172"/>
      <c r="T104" s="172"/>
      <c r="CH104" s="83" t="s">
        <v>1790</v>
      </c>
    </row>
    <row r="105" spans="1:86" x14ac:dyDescent="0.2">
      <c r="A105" s="176" t="str">
        <f t="shared" si="4"/>
        <v>airTrafficTypePermitted</v>
      </c>
      <c r="B105" s="11" t="s">
        <v>6448</v>
      </c>
      <c r="C105" s="173"/>
      <c r="D105" s="22" t="s">
        <v>6449</v>
      </c>
      <c r="E105" s="15" t="s">
        <v>6450</v>
      </c>
      <c r="F105" s="15" t="s">
        <v>6451</v>
      </c>
      <c r="G105" s="174"/>
      <c r="H105" s="17" t="s">
        <v>5932</v>
      </c>
      <c r="I105" s="269"/>
      <c r="J105" s="369" t="str">
        <f>HYPERLINK("[#]Datatypes!B102:L102","AtvCode")</f>
        <v>AtvCode</v>
      </c>
      <c r="K105" s="276"/>
      <c r="L105" s="272"/>
      <c r="M105" s="272"/>
      <c r="N105" s="248" t="str">
        <f>HYPERLINK("[#]DatatypeListedValues!A1197:H1197","&lt;values&gt;")</f>
        <v>&lt;values&gt;</v>
      </c>
      <c r="O105" s="277" t="b">
        <v>0</v>
      </c>
      <c r="P105" s="37">
        <v>117524</v>
      </c>
      <c r="Q105" s="36" t="str">
        <f>CONCATENATE(Cover!$D$6,"fdd/view?i=",P105)</f>
        <v>https://www.dgiwg.org/FAD/fdd/view?i=117524</v>
      </c>
      <c r="R105" s="13" t="s">
        <v>6447</v>
      </c>
      <c r="S105" s="172"/>
      <c r="T105" s="172"/>
      <c r="CE105" s="87" t="s">
        <v>1790</v>
      </c>
      <c r="CF105" s="83" t="s">
        <v>1790</v>
      </c>
    </row>
    <row r="106" spans="1:86" ht="25.5" x14ac:dyDescent="0.2">
      <c r="A106" s="176" t="str">
        <f t="shared" si="4"/>
        <v>atsRouteDesignator</v>
      </c>
      <c r="B106" s="11" t="s">
        <v>6454</v>
      </c>
      <c r="C106" s="173"/>
      <c r="D106" s="22" t="s">
        <v>6455</v>
      </c>
      <c r="E106" s="15" t="s">
        <v>6456</v>
      </c>
      <c r="F106" s="15" t="s">
        <v>6457</v>
      </c>
      <c r="G106" s="174"/>
      <c r="H106" s="17" t="s">
        <v>5932</v>
      </c>
      <c r="I106" s="269"/>
      <c r="J106" s="369" t="str">
        <f>HYPERLINK("[#]Datatypes!B1562:L1562","TextNonLexUnconstrained")</f>
        <v>TextNonLexUnconstrained</v>
      </c>
      <c r="K106" s="276"/>
      <c r="L106" s="272"/>
      <c r="M106" s="272"/>
      <c r="N106" s="273"/>
      <c r="O106" s="269"/>
      <c r="P106" s="37">
        <v>117476</v>
      </c>
      <c r="Q106" s="36" t="str">
        <f>CONCATENATE(Cover!$D$6,"fdd/view?i=",P106)</f>
        <v>https://www.dgiwg.org/FAD/fdd/view?i=117476</v>
      </c>
      <c r="R106" s="13" t="s">
        <v>6453</v>
      </c>
      <c r="S106" s="172"/>
      <c r="T106" s="172"/>
      <c r="CF106" s="83" t="s">
        <v>1790</v>
      </c>
    </row>
    <row r="107" spans="1:86" ht="38.25" x14ac:dyDescent="0.2">
      <c r="A107" s="176" t="str">
        <f t="shared" si="4"/>
        <v>atsRouteEssentialSigPoint</v>
      </c>
      <c r="B107" s="11" t="s">
        <v>6459</v>
      </c>
      <c r="C107" s="173"/>
      <c r="D107" s="22" t="s">
        <v>6460</v>
      </c>
      <c r="E107" s="15" t="s">
        <v>6461</v>
      </c>
      <c r="F107" s="174"/>
      <c r="G107" s="174"/>
      <c r="H107" s="17" t="s">
        <v>5932</v>
      </c>
      <c r="I107" s="269"/>
      <c r="J107" s="369" t="str">
        <f>HYPERLINK("[#]Datatypes!B240:L240","Boolean")</f>
        <v>Boolean</v>
      </c>
      <c r="K107" s="276"/>
      <c r="L107" s="272"/>
      <c r="M107" s="272"/>
      <c r="N107" s="273"/>
      <c r="O107" s="269"/>
      <c r="P107" s="37">
        <v>119602</v>
      </c>
      <c r="Q107" s="36" t="str">
        <f>CONCATENATE(Cover!$D$6,"fdd/view?i=",P107)</f>
        <v>https://www.dgiwg.org/FAD/fdd/view?i=119602</v>
      </c>
      <c r="R107" s="13" t="s">
        <v>6458</v>
      </c>
      <c r="S107" s="172"/>
      <c r="T107" s="172"/>
      <c r="AT107" s="82" t="s">
        <v>1790</v>
      </c>
      <c r="CF107" s="83" t="s">
        <v>1790</v>
      </c>
    </row>
    <row r="108" spans="1:86" ht="25.5" x14ac:dyDescent="0.2">
      <c r="A108" s="176" t="str">
        <f t="shared" si="4"/>
        <v>atsRouteLocDesignator</v>
      </c>
      <c r="B108" s="11" t="s">
        <v>6463</v>
      </c>
      <c r="C108" s="173"/>
      <c r="D108" s="22" t="s">
        <v>6464</v>
      </c>
      <c r="E108" s="15" t="s">
        <v>6465</v>
      </c>
      <c r="F108" s="174"/>
      <c r="G108" s="174"/>
      <c r="H108" s="17" t="s">
        <v>5932</v>
      </c>
      <c r="I108" s="269"/>
      <c r="J108" s="369" t="str">
        <f>HYPERLINK("[#]Datatypes!B104:L104","AdxStrucText")</f>
        <v>AdxStrucText</v>
      </c>
      <c r="K108" s="276"/>
      <c r="L108" s="272"/>
      <c r="M108" s="272"/>
      <c r="N108" s="273"/>
      <c r="O108" s="269"/>
      <c r="P108" s="37">
        <v>117478</v>
      </c>
      <c r="Q108" s="36" t="str">
        <f>CONCATENATE(Cover!$D$6,"fdd/view?i=",P108)</f>
        <v>https://www.dgiwg.org/FAD/fdd/view?i=117478</v>
      </c>
      <c r="R108" s="13" t="s">
        <v>6462</v>
      </c>
      <c r="S108" s="172"/>
      <c r="T108" s="172"/>
      <c r="CF108" s="83" t="s">
        <v>1790</v>
      </c>
    </row>
    <row r="109" spans="1:86" ht="25.5" x14ac:dyDescent="0.2">
      <c r="A109" s="176" t="str">
        <f t="shared" si="4"/>
        <v>atsRouteSegmentAvailable</v>
      </c>
      <c r="B109" s="11" t="s">
        <v>6468</v>
      </c>
      <c r="C109" s="173"/>
      <c r="D109" s="22" t="s">
        <v>6469</v>
      </c>
      <c r="E109" s="15" t="s">
        <v>6470</v>
      </c>
      <c r="F109" s="15" t="s">
        <v>6471</v>
      </c>
      <c r="G109" s="15" t="s">
        <v>6472</v>
      </c>
      <c r="H109" s="17" t="s">
        <v>5932</v>
      </c>
      <c r="I109" s="269"/>
      <c r="J109" s="369" t="str">
        <f>HYPERLINK("[#]Datatypes!B106:L106","RsvCode")</f>
        <v>RsvCode</v>
      </c>
      <c r="K109" s="276"/>
      <c r="L109" s="272"/>
      <c r="M109" s="272"/>
      <c r="N109" s="248" t="str">
        <f>HYPERLINK("[#]DatatypeListedValues!A1206:H1206","&lt;values&gt;")</f>
        <v>&lt;values&gt;</v>
      </c>
      <c r="O109" s="277" t="b">
        <v>0</v>
      </c>
      <c r="P109" s="37">
        <v>117695</v>
      </c>
      <c r="Q109" s="36" t="str">
        <f>CONCATENATE(Cover!$D$6,"fdd/view?i=",P109)</f>
        <v>https://www.dgiwg.org/FAD/fdd/view?i=117695</v>
      </c>
      <c r="R109" s="13" t="s">
        <v>6467</v>
      </c>
      <c r="S109" s="172"/>
      <c r="T109" s="172"/>
      <c r="CF109" s="83" t="s">
        <v>1790</v>
      </c>
    </row>
    <row r="110" spans="1:86" ht="25.5" x14ac:dyDescent="0.2">
      <c r="A110" s="176" t="str">
        <f t="shared" si="4"/>
        <v>atsRouteSegmentLength</v>
      </c>
      <c r="B110" s="11" t="s">
        <v>6475</v>
      </c>
      <c r="C110" s="173"/>
      <c r="D110" s="22" t="s">
        <v>6476</v>
      </c>
      <c r="E110" s="15" t="s">
        <v>6477</v>
      </c>
      <c r="F110" s="15" t="s">
        <v>6478</v>
      </c>
      <c r="G110" s="174"/>
      <c r="H110" s="17" t="s">
        <v>5932</v>
      </c>
      <c r="I110" s="269"/>
      <c r="J110" s="369" t="str">
        <f>HYPERLINK("[#]Datatypes!B1231:L1231","Real")</f>
        <v>Real</v>
      </c>
      <c r="K110" s="271" t="str">
        <f>HYPERLINK("[#]PhysicalQuantities!A20:N20","Length")</f>
        <v>Length</v>
      </c>
      <c r="L110" s="270" t="str">
        <f>HYPERLINK("[#]UnitsOfMeasure!D94:G94","Nautical Mile")</f>
        <v>Nautical Mile</v>
      </c>
      <c r="M110" s="272"/>
      <c r="N110" s="273"/>
      <c r="O110" s="269"/>
      <c r="P110" s="37">
        <v>118916</v>
      </c>
      <c r="Q110" s="36" t="str">
        <f>CONCATENATE(Cover!$D$6,"fdd/view?i=",P110)</f>
        <v>https://www.dgiwg.org/FAD/fdd/view?i=118916</v>
      </c>
      <c r="R110" s="13" t="s">
        <v>6474</v>
      </c>
      <c r="S110" s="172"/>
      <c r="T110" s="172"/>
      <c r="CF110" s="83" t="s">
        <v>1790</v>
      </c>
    </row>
    <row r="111" spans="1:86" ht="25.5" x14ac:dyDescent="0.2">
      <c r="A111" s="176" t="str">
        <f t="shared" si="4"/>
        <v>atsRouteSegmentPathBasis</v>
      </c>
      <c r="B111" s="11" t="s">
        <v>6480</v>
      </c>
      <c r="C111" s="173"/>
      <c r="D111" s="22" t="s">
        <v>6481</v>
      </c>
      <c r="E111" s="15" t="s">
        <v>6482</v>
      </c>
      <c r="F111" s="15" t="s">
        <v>6483</v>
      </c>
      <c r="G111" s="15" t="s">
        <v>6484</v>
      </c>
      <c r="H111" s="17" t="s">
        <v>5932</v>
      </c>
      <c r="I111" s="269"/>
      <c r="J111" s="369" t="str">
        <f>HYPERLINK("[#]Datatypes!B108:L108","ArpCode")</f>
        <v>ArpCode</v>
      </c>
      <c r="K111" s="276"/>
      <c r="L111" s="272"/>
      <c r="M111" s="272"/>
      <c r="N111" s="248" t="str">
        <f>HYPERLINK("[#]DatatypeListedValues!A1215:H1215","&lt;values&gt;")</f>
        <v>&lt;values&gt;</v>
      </c>
      <c r="O111" s="277" t="b">
        <v>0</v>
      </c>
      <c r="P111" s="37">
        <v>117507</v>
      </c>
      <c r="Q111" s="36" t="str">
        <f>CONCATENATE(Cover!$D$6,"fdd/view?i=",P111)</f>
        <v>https://www.dgiwg.org/FAD/fdd/view?i=117507</v>
      </c>
      <c r="R111" s="13" t="s">
        <v>6479</v>
      </c>
      <c r="S111" s="172"/>
      <c r="T111" s="172"/>
      <c r="CF111" s="83" t="s">
        <v>1790</v>
      </c>
    </row>
    <row r="112" spans="1:86" ht="25.5" x14ac:dyDescent="0.2">
      <c r="A112" s="176" t="str">
        <f t="shared" si="4"/>
        <v>atsRouteSegmentUsageDir</v>
      </c>
      <c r="B112" s="11" t="s">
        <v>6487</v>
      </c>
      <c r="C112" s="173"/>
      <c r="D112" s="22" t="s">
        <v>6488</v>
      </c>
      <c r="E112" s="15" t="s">
        <v>6489</v>
      </c>
      <c r="F112" s="15" t="s">
        <v>6490</v>
      </c>
      <c r="G112" s="174"/>
      <c r="H112" s="17" t="s">
        <v>5932</v>
      </c>
      <c r="I112" s="269"/>
      <c r="J112" s="369" t="str">
        <f>HYPERLINK("[#]Datatypes!B110:L110","RsxCode")</f>
        <v>RsxCode</v>
      </c>
      <c r="K112" s="276"/>
      <c r="L112" s="272"/>
      <c r="M112" s="272"/>
      <c r="N112" s="248" t="str">
        <f>HYPERLINK("[#]DatatypeListedValues!A1222:H1222","&lt;values&gt;")</f>
        <v>&lt;values&gt;</v>
      </c>
      <c r="O112" s="277" t="b">
        <v>0</v>
      </c>
      <c r="P112" s="37">
        <v>117696</v>
      </c>
      <c r="Q112" s="36" t="str">
        <f>CONCATENATE(Cover!$D$6,"fdd/view?i=",P112)</f>
        <v>https://www.dgiwg.org/FAD/fdd/view?i=117696</v>
      </c>
      <c r="R112" s="13" t="s">
        <v>6486</v>
      </c>
      <c r="S112" s="172"/>
      <c r="T112" s="172"/>
      <c r="CF112" s="83" t="s">
        <v>1790</v>
      </c>
    </row>
    <row r="113" spans="1:98" ht="25.5" x14ac:dyDescent="0.2">
      <c r="A113" s="176" t="str">
        <f t="shared" si="4"/>
        <v>atsRouteSegmentWidth</v>
      </c>
      <c r="B113" s="11" t="s">
        <v>6493</v>
      </c>
      <c r="C113" s="173"/>
      <c r="D113" s="22" t="s">
        <v>6494</v>
      </c>
      <c r="E113" s="15" t="s">
        <v>6495</v>
      </c>
      <c r="F113" s="174"/>
      <c r="G113" s="174"/>
      <c r="H113" s="17" t="s">
        <v>5932</v>
      </c>
      <c r="I113" s="269"/>
      <c r="J113" s="369" t="str">
        <f>HYPERLINK("[#]Datatypes!B1231:L1231","Real")</f>
        <v>Real</v>
      </c>
      <c r="K113" s="271" t="str">
        <f>HYPERLINK("[#]PhysicalQuantities!A20:N20","Length")</f>
        <v>Length</v>
      </c>
      <c r="L113" s="270" t="str">
        <f>HYPERLINK("[#]UnitsOfMeasure!D94:G94","Nautical Mile")</f>
        <v>Nautical Mile</v>
      </c>
      <c r="M113" s="272"/>
      <c r="N113" s="273"/>
      <c r="O113" s="269"/>
      <c r="P113" s="37">
        <v>117531</v>
      </c>
      <c r="Q113" s="36" t="str">
        <f>CONCATENATE(Cover!$D$6,"fdd/view?i=",P113)</f>
        <v>https://www.dgiwg.org/FAD/fdd/view?i=117531</v>
      </c>
      <c r="R113" s="13" t="s">
        <v>6492</v>
      </c>
      <c r="S113" s="172"/>
      <c r="T113" s="172"/>
      <c r="CF113" s="83" t="s">
        <v>1790</v>
      </c>
    </row>
    <row r="114" spans="1:98" ht="25.5" x14ac:dyDescent="0.2">
      <c r="A114" s="176" t="str">
        <f t="shared" si="4"/>
        <v>atsRouteType</v>
      </c>
      <c r="B114" s="11" t="s">
        <v>6497</v>
      </c>
      <c r="C114" s="173"/>
      <c r="D114" s="22" t="s">
        <v>6498</v>
      </c>
      <c r="E114" s="15" t="s">
        <v>6499</v>
      </c>
      <c r="F114" s="15" t="s">
        <v>6500</v>
      </c>
      <c r="G114" s="174"/>
      <c r="H114" s="17" t="s">
        <v>5932</v>
      </c>
      <c r="I114" s="269"/>
      <c r="J114" s="369" t="str">
        <f>HYPERLINK("[#]Datatypes!B112:L112","AryCode")</f>
        <v>AryCode</v>
      </c>
      <c r="K114" s="276"/>
      <c r="L114" s="272"/>
      <c r="M114" s="272"/>
      <c r="N114" s="248" t="str">
        <f>HYPERLINK("[#]DatatypeListedValues!A1225:H1225","&lt;values&gt;")</f>
        <v>&lt;values&gt;</v>
      </c>
      <c r="O114" s="277" t="b">
        <v>0</v>
      </c>
      <c r="P114" s="37">
        <v>117510</v>
      </c>
      <c r="Q114" s="36" t="str">
        <f>CONCATENATE(Cover!$D$6,"fdd/view?i=",P114)</f>
        <v>https://www.dgiwg.org/FAD/fdd/view?i=117510</v>
      </c>
      <c r="R114" s="13" t="s">
        <v>6496</v>
      </c>
      <c r="S114" s="172"/>
      <c r="T114" s="172"/>
      <c r="CF114" s="83" t="s">
        <v>1790</v>
      </c>
    </row>
    <row r="115" spans="1:98" ht="25.5" x14ac:dyDescent="0.2">
      <c r="A115" s="176" t="str">
        <f t="shared" si="4"/>
        <v>airbIdentRadarBcnCodeApx</v>
      </c>
      <c r="B115" s="11" t="s">
        <v>6503</v>
      </c>
      <c r="C115" s="173"/>
      <c r="D115" s="22" t="s">
        <v>6504</v>
      </c>
      <c r="E115" s="15" t="s">
        <v>6505</v>
      </c>
      <c r="F115" s="174"/>
      <c r="G115" s="15" t="s">
        <v>6506</v>
      </c>
      <c r="H115" s="17" t="s">
        <v>5932</v>
      </c>
      <c r="I115" s="269"/>
      <c r="J115" s="369" t="str">
        <f>HYPERLINK("[#]Datatypes!B114:L114","ApxStrucText")</f>
        <v>ApxStrucText</v>
      </c>
      <c r="K115" s="276"/>
      <c r="L115" s="272"/>
      <c r="M115" s="272"/>
      <c r="N115" s="273"/>
      <c r="O115" s="269"/>
      <c r="P115" s="37">
        <v>117505</v>
      </c>
      <c r="Q115" s="36" t="str">
        <f>CONCATENATE(Cover!$D$6,"fdd/view?i=",P115)</f>
        <v>https://www.dgiwg.org/FAD/fdd/view?i=117505</v>
      </c>
      <c r="R115" s="13" t="s">
        <v>6502</v>
      </c>
      <c r="S115" s="172"/>
      <c r="T115" s="172"/>
      <c r="CF115" s="83" t="s">
        <v>1790</v>
      </c>
    </row>
    <row r="116" spans="1:98" ht="25.5" x14ac:dyDescent="0.2">
      <c r="A116" s="176" t="str">
        <f t="shared" si="4"/>
        <v>airbNavRadarBcnCodeApn</v>
      </c>
      <c r="B116" s="11" t="s">
        <v>6509</v>
      </c>
      <c r="C116" s="173"/>
      <c r="D116" s="22" t="s">
        <v>6510</v>
      </c>
      <c r="E116" s="15" t="s">
        <v>6511</v>
      </c>
      <c r="F116" s="174"/>
      <c r="G116" s="15" t="s">
        <v>6512</v>
      </c>
      <c r="H116" s="17" t="s">
        <v>5932</v>
      </c>
      <c r="I116" s="269"/>
      <c r="J116" s="369" t="str">
        <f>HYPERLINK("[#]Datatypes!B116:L116","ApnStrucText")</f>
        <v>ApnStrucText</v>
      </c>
      <c r="K116" s="276"/>
      <c r="L116" s="272"/>
      <c r="M116" s="272"/>
      <c r="N116" s="273"/>
      <c r="O116" s="269"/>
      <c r="P116" s="37">
        <v>117504</v>
      </c>
      <c r="Q116" s="36" t="str">
        <f>CONCATENATE(Cover!$D$6,"fdd/view?i=",P116)</f>
        <v>https://www.dgiwg.org/FAD/fdd/view?i=117504</v>
      </c>
      <c r="R116" s="13" t="s">
        <v>6508</v>
      </c>
      <c r="S116" s="172"/>
      <c r="T116" s="172"/>
      <c r="CF116" s="83" t="s">
        <v>1790</v>
      </c>
    </row>
    <row r="117" spans="1:98" ht="25.5" x14ac:dyDescent="0.2">
      <c r="A117" s="176" t="str">
        <f t="shared" si="4"/>
        <v>aircraftApproachCategory</v>
      </c>
      <c r="B117" s="11" t="s">
        <v>6515</v>
      </c>
      <c r="C117" s="173"/>
      <c r="D117" s="22" t="s">
        <v>6516</v>
      </c>
      <c r="E117" s="15" t="s">
        <v>6517</v>
      </c>
      <c r="F117" s="174"/>
      <c r="G117" s="15" t="s">
        <v>6518</v>
      </c>
      <c r="H117" s="17" t="s">
        <v>5932</v>
      </c>
      <c r="I117" s="269"/>
      <c r="J117" s="369" t="str">
        <f>HYPERLINK("[#]Datatypes!B118:L118","AacCode")</f>
        <v>AacCode</v>
      </c>
      <c r="K117" s="276"/>
      <c r="L117" s="272"/>
      <c r="M117" s="272"/>
      <c r="N117" s="248" t="str">
        <f>HYPERLINK("[#]DatatypeListedValues!A1233:H1233","&lt;values&gt;")</f>
        <v>&lt;values&gt;</v>
      </c>
      <c r="O117" s="277" t="b">
        <v>0</v>
      </c>
      <c r="P117" s="37">
        <v>117459</v>
      </c>
      <c r="Q117" s="36" t="str">
        <f>CONCATENATE(Cover!$D$6,"fdd/view?i=",P117)</f>
        <v>https://www.dgiwg.org/FAD/fdd/view?i=117459</v>
      </c>
      <c r="R117" s="13" t="s">
        <v>6514</v>
      </c>
      <c r="S117" s="172"/>
      <c r="T117" s="172"/>
      <c r="CI117" s="89" t="s">
        <v>1790</v>
      </c>
    </row>
    <row r="118" spans="1:98" x14ac:dyDescent="0.2">
      <c r="A118" s="176" t="str">
        <f t="shared" si="4"/>
        <v>aircraftBankAngle</v>
      </c>
      <c r="B118" s="11" t="s">
        <v>6521</v>
      </c>
      <c r="C118" s="173"/>
      <c r="D118" s="22" t="s">
        <v>6522</v>
      </c>
      <c r="E118" s="15" t="s">
        <v>6523</v>
      </c>
      <c r="F118" s="174"/>
      <c r="G118" s="174"/>
      <c r="H118" s="17" t="s">
        <v>5932</v>
      </c>
      <c r="I118" s="269"/>
      <c r="J118" s="369" t="str">
        <f>HYPERLINK("[#]Datatypes!B1231:L1231","Real")</f>
        <v>Real</v>
      </c>
      <c r="K118" s="271" t="str">
        <f>HYPERLINK("[#]PhysicalQuantities!A34:N34","Plane Angle")</f>
        <v>Plane Angle</v>
      </c>
      <c r="L118" s="270" t="str">
        <f>HYPERLINK("[#]UnitsOfMeasure!D159:G159","Arc Degree")</f>
        <v>Arc Degree</v>
      </c>
      <c r="M118" s="272"/>
      <c r="N118" s="273"/>
      <c r="O118" s="269"/>
      <c r="P118" s="37">
        <v>117532</v>
      </c>
      <c r="Q118" s="36" t="str">
        <f>CONCATENATE(Cover!$D$6,"fdd/view?i=",P118)</f>
        <v>https://www.dgiwg.org/FAD/fdd/view?i=117532</v>
      </c>
      <c r="R118" s="13" t="s">
        <v>6520</v>
      </c>
      <c r="S118" s="172"/>
      <c r="T118" s="172"/>
      <c r="CI118" s="89" t="s">
        <v>1790</v>
      </c>
    </row>
    <row r="119" spans="1:98" ht="25.5" x14ac:dyDescent="0.2">
      <c r="A119" s="176" t="str">
        <f t="shared" si="4"/>
        <v>aircraftBayCount</v>
      </c>
      <c r="B119" s="11" t="s">
        <v>6525</v>
      </c>
      <c r="C119" s="173"/>
      <c r="D119" s="22" t="s">
        <v>6526</v>
      </c>
      <c r="E119" s="15" t="s">
        <v>6527</v>
      </c>
      <c r="F119" s="174"/>
      <c r="G119" s="174"/>
      <c r="H119" s="17" t="s">
        <v>5932</v>
      </c>
      <c r="I119" s="269"/>
      <c r="J119" s="369" t="str">
        <f>HYPERLINK("[#]Datatypes!B380:L380","Count")</f>
        <v>Count</v>
      </c>
      <c r="K119" s="276"/>
      <c r="L119" s="272"/>
      <c r="M119" s="272"/>
      <c r="N119" s="273"/>
      <c r="O119" s="269"/>
      <c r="P119" s="37">
        <v>119594</v>
      </c>
      <c r="Q119" s="36" t="str">
        <f>CONCATENATE(Cover!$D$6,"fdd/view?i=",P119)</f>
        <v>https://www.dgiwg.org/FAD/fdd/view?i=119594</v>
      </c>
      <c r="R119" s="13" t="s">
        <v>6524</v>
      </c>
      <c r="S119" s="172"/>
      <c r="T119" s="172"/>
      <c r="AT119" s="82" t="s">
        <v>1790</v>
      </c>
    </row>
    <row r="120" spans="1:98" ht="25.5" x14ac:dyDescent="0.2">
      <c r="A120" s="176" t="str">
        <f t="shared" si="4"/>
        <v>aircraftDeIcingFluidType</v>
      </c>
      <c r="B120" s="11" t="s">
        <v>6529</v>
      </c>
      <c r="C120" s="173"/>
      <c r="D120" s="22" t="s">
        <v>6530</v>
      </c>
      <c r="E120" s="15" t="s">
        <v>6531</v>
      </c>
      <c r="F120" s="174"/>
      <c r="G120" s="174"/>
      <c r="H120" s="17" t="s">
        <v>5932</v>
      </c>
      <c r="I120" s="17" t="s">
        <v>6029</v>
      </c>
      <c r="J120" s="369" t="str">
        <f>HYPERLINK("[#]Datatypes!B120:L120","AdfCode")</f>
        <v>AdfCode</v>
      </c>
      <c r="K120" s="276"/>
      <c r="L120" s="272"/>
      <c r="M120" s="272"/>
      <c r="N120" s="248" t="str">
        <f>HYPERLINK("[#]DatatypeListedValues!A1239:H1239","&lt;values&gt;")</f>
        <v>&lt;values&gt;</v>
      </c>
      <c r="O120" s="277" t="b">
        <v>0</v>
      </c>
      <c r="P120" s="37">
        <v>117477</v>
      </c>
      <c r="Q120" s="36" t="str">
        <f>CONCATENATE(Cover!$D$6,"fdd/view?i=",P120)</f>
        <v>https://www.dgiwg.org/FAD/fdd/view?i=117477</v>
      </c>
      <c r="R120" s="13" t="s">
        <v>6528</v>
      </c>
      <c r="S120" s="172"/>
      <c r="T120" s="172"/>
      <c r="CH120" s="83" t="s">
        <v>1790</v>
      </c>
    </row>
    <row r="121" spans="1:98" ht="25.5" x14ac:dyDescent="0.2">
      <c r="A121" s="176" t="str">
        <f t="shared" si="4"/>
        <v>aircraftFuelServiceUnitCnt</v>
      </c>
      <c r="B121" s="11" t="s">
        <v>6534</v>
      </c>
      <c r="C121" s="173"/>
      <c r="D121" s="22" t="s">
        <v>6535</v>
      </c>
      <c r="E121" s="15" t="s">
        <v>6536</v>
      </c>
      <c r="F121" s="174"/>
      <c r="G121" s="174"/>
      <c r="H121" s="17" t="s">
        <v>5932</v>
      </c>
      <c r="I121" s="269"/>
      <c r="J121" s="369" t="str">
        <f>HYPERLINK("[#]Datatypes!B380:L380","Count")</f>
        <v>Count</v>
      </c>
      <c r="K121" s="276"/>
      <c r="L121" s="272"/>
      <c r="M121" s="272"/>
      <c r="N121" s="273"/>
      <c r="O121" s="269"/>
      <c r="P121" s="37">
        <v>119620</v>
      </c>
      <c r="Q121" s="36" t="str">
        <f>CONCATENATE(Cover!$D$6,"fdd/view?i=",P121)</f>
        <v>https://www.dgiwg.org/FAD/fdd/view?i=119620</v>
      </c>
      <c r="R121" s="13" t="s">
        <v>6533</v>
      </c>
      <c r="S121" s="172"/>
      <c r="T121" s="172"/>
      <c r="AT121" s="82" t="s">
        <v>1790</v>
      </c>
      <c r="CE121" s="87" t="s">
        <v>1790</v>
      </c>
      <c r="CH121" s="83" t="s">
        <v>1790</v>
      </c>
      <c r="CQ121" s="165" t="s">
        <v>1790</v>
      </c>
    </row>
    <row r="122" spans="1:98" ht="25.5" x14ac:dyDescent="0.2">
      <c r="A122" s="176" t="str">
        <f t="shared" si="4"/>
        <v>aircraftFuelServiceUnitType</v>
      </c>
      <c r="B122" s="11" t="s">
        <v>6538</v>
      </c>
      <c r="C122" s="173"/>
      <c r="D122" s="22" t="s">
        <v>6539</v>
      </c>
      <c r="E122" s="15" t="s">
        <v>6540</v>
      </c>
      <c r="F122" s="174"/>
      <c r="G122" s="174"/>
      <c r="H122" s="17" t="s">
        <v>5932</v>
      </c>
      <c r="I122" s="17" t="s">
        <v>6029</v>
      </c>
      <c r="J122" s="369" t="str">
        <f>HYPERLINK("[#]Datatypes!B122:L122","FryCode")</f>
        <v>FryCode</v>
      </c>
      <c r="K122" s="276"/>
      <c r="L122" s="272"/>
      <c r="M122" s="272"/>
      <c r="N122" s="248" t="str">
        <f>HYPERLINK("[#]DatatypeListedValues!A1246:H1246","&lt;values&gt;")</f>
        <v>&lt;values&gt;</v>
      </c>
      <c r="O122" s="277" t="b">
        <v>0</v>
      </c>
      <c r="P122" s="37">
        <v>119653</v>
      </c>
      <c r="Q122" s="36" t="str">
        <f>CONCATENATE(Cover!$D$6,"fdd/view?i=",P122)</f>
        <v>https://www.dgiwg.org/FAD/fdd/view?i=119653</v>
      </c>
      <c r="R122" s="13" t="s">
        <v>6537</v>
      </c>
      <c r="S122" s="172"/>
      <c r="T122" s="172"/>
      <c r="AT122" s="82" t="s">
        <v>1790</v>
      </c>
      <c r="CE122" s="87" t="s">
        <v>1790</v>
      </c>
      <c r="CH122" s="83" t="s">
        <v>1790</v>
      </c>
      <c r="CT122" s="166" t="s">
        <v>1790</v>
      </c>
    </row>
    <row r="123" spans="1:98" ht="38.25" x14ac:dyDescent="0.2">
      <c r="A123" s="176" t="str">
        <f t="shared" si="4"/>
        <v>aircraftFuelTransferInf</v>
      </c>
      <c r="B123" s="11" t="s">
        <v>6543</v>
      </c>
      <c r="C123" s="173"/>
      <c r="D123" s="22" t="s">
        <v>6544</v>
      </c>
      <c r="E123" s="15" t="s">
        <v>6545</v>
      </c>
      <c r="F123" s="174"/>
      <c r="G123" s="174"/>
      <c r="H123" s="17" t="s">
        <v>5932</v>
      </c>
      <c r="I123" s="17" t="s">
        <v>6029</v>
      </c>
      <c r="J123" s="369" t="str">
        <f>HYPERLINK("[#]Datatypes!B124:L124","AfiCode")</f>
        <v>AfiCode</v>
      </c>
      <c r="K123" s="276"/>
      <c r="L123" s="272"/>
      <c r="M123" s="272"/>
      <c r="N123" s="248" t="str">
        <f>HYPERLINK("[#]DatatypeListedValues!A1249:H1249","&lt;values&gt;")</f>
        <v>&lt;values&gt;</v>
      </c>
      <c r="O123" s="277" t="b">
        <v>0</v>
      </c>
      <c r="P123" s="37">
        <v>119654</v>
      </c>
      <c r="Q123" s="36" t="str">
        <f>CONCATENATE(Cover!$D$6,"fdd/view?i=",P123)</f>
        <v>https://www.dgiwg.org/FAD/fdd/view?i=119654</v>
      </c>
      <c r="R123" s="13" t="s">
        <v>6542</v>
      </c>
      <c r="S123" s="172"/>
      <c r="T123" s="172"/>
      <c r="AT123" s="82" t="s">
        <v>1790</v>
      </c>
    </row>
    <row r="124" spans="1:98" ht="25.5" x14ac:dyDescent="0.2">
      <c r="A124" s="176" t="str">
        <f t="shared" si="4"/>
        <v>aircraftFuellingRate</v>
      </c>
      <c r="B124" s="11" t="s">
        <v>6548</v>
      </c>
      <c r="C124" s="173"/>
      <c r="D124" s="22" t="s">
        <v>6549</v>
      </c>
      <c r="E124" s="15" t="s">
        <v>6550</v>
      </c>
      <c r="F124" s="174"/>
      <c r="G124" s="174"/>
      <c r="H124" s="17" t="s">
        <v>5932</v>
      </c>
      <c r="I124" s="269"/>
      <c r="J124" s="369" t="str">
        <f>HYPERLINK("[#]Datatypes!B1048:L1048","RealNonNegative")</f>
        <v>RealNonNegative</v>
      </c>
      <c r="K124" s="271" t="str">
        <f>HYPERLINK("[#]PhysicalQuantities!A53:N53","Volume Flow Rate")</f>
        <v>Volume Flow Rate</v>
      </c>
      <c r="L124" s="270" t="str">
        <f>HYPERLINK("[#]UnitsOfMeasure!D291:G291","Litre per Minute")</f>
        <v>Litre per Minute</v>
      </c>
      <c r="M124" s="272"/>
      <c r="N124" s="273"/>
      <c r="O124" s="269"/>
      <c r="P124" s="37">
        <v>119596</v>
      </c>
      <c r="Q124" s="36" t="str">
        <f>CONCATENATE(Cover!$D$6,"fdd/view?i=",P124)</f>
        <v>https://www.dgiwg.org/FAD/fdd/view?i=119596</v>
      </c>
      <c r="R124" s="13" t="s">
        <v>6547</v>
      </c>
      <c r="S124" s="172"/>
      <c r="T124" s="172"/>
      <c r="AT124" s="82" t="s">
        <v>1790</v>
      </c>
      <c r="CE124" s="87" t="s">
        <v>1790</v>
      </c>
      <c r="CH124" s="83" t="s">
        <v>1790</v>
      </c>
      <c r="CQ124" s="165" t="s">
        <v>1790</v>
      </c>
    </row>
    <row r="125" spans="1:98" ht="25.5" x14ac:dyDescent="0.2">
      <c r="A125" s="176" t="str">
        <f t="shared" si="4"/>
        <v>aircraftGroundServiceType</v>
      </c>
      <c r="B125" s="11" t="s">
        <v>6552</v>
      </c>
      <c r="C125" s="173"/>
      <c r="D125" s="22" t="s">
        <v>6553</v>
      </c>
      <c r="E125" s="15" t="s">
        <v>6554</v>
      </c>
      <c r="F125" s="174"/>
      <c r="G125" s="174"/>
      <c r="H125" s="17" t="s">
        <v>5932</v>
      </c>
      <c r="I125" s="17" t="s">
        <v>6029</v>
      </c>
      <c r="J125" s="369" t="str">
        <f>HYPERLINK("[#]Datatypes!B126:L126","AgsCode")</f>
        <v>AgsCode</v>
      </c>
      <c r="K125" s="276"/>
      <c r="L125" s="272"/>
      <c r="M125" s="272"/>
      <c r="N125" s="248" t="str">
        <f>HYPERLINK("[#]DatatypeListedValues!A1252:H1252","&lt;values&gt;")</f>
        <v>&lt;values&gt;</v>
      </c>
      <c r="O125" s="277" t="b">
        <v>0</v>
      </c>
      <c r="P125" s="37">
        <v>117489</v>
      </c>
      <c r="Q125" s="36" t="str">
        <f>CONCATENATE(Cover!$D$6,"fdd/view?i=",P125)</f>
        <v>https://www.dgiwg.org/FAD/fdd/view?i=117489</v>
      </c>
      <c r="R125" s="13" t="s">
        <v>6551</v>
      </c>
      <c r="S125" s="172"/>
      <c r="T125" s="172"/>
      <c r="CH125" s="83" t="s">
        <v>1790</v>
      </c>
    </row>
    <row r="126" spans="1:98" ht="38.25" x14ac:dyDescent="0.2">
      <c r="A126" s="176" t="str">
        <f t="shared" si="4"/>
        <v>aircraftMaxDemoLcnSpan</v>
      </c>
      <c r="B126" s="11" t="s">
        <v>6557</v>
      </c>
      <c r="C126" s="173"/>
      <c r="D126" s="22" t="s">
        <v>6558</v>
      </c>
      <c r="E126" s="15" t="s">
        <v>6559</v>
      </c>
      <c r="F126" s="15" t="s">
        <v>6560</v>
      </c>
      <c r="G126" s="174"/>
      <c r="H126" s="17" t="s">
        <v>5932</v>
      </c>
      <c r="I126" s="269"/>
      <c r="J126" s="369" t="str">
        <f>HYPERLINK("[#]Datatypes!B1546:L1546","TextNonLex10")</f>
        <v>TextNonLex10</v>
      </c>
      <c r="K126" s="276"/>
      <c r="L126" s="272"/>
      <c r="M126" s="272"/>
      <c r="N126" s="273"/>
      <c r="O126" s="269"/>
      <c r="P126" s="37">
        <v>119195</v>
      </c>
      <c r="Q126" s="36" t="str">
        <f>CONCATENATE(Cover!$D$6,"fdd/view?i=",P126)</f>
        <v>https://www.dgiwg.org/FAD/fdd/view?i=119195</v>
      </c>
      <c r="R126" s="13" t="s">
        <v>6556</v>
      </c>
      <c r="S126" s="172"/>
      <c r="T126" s="172"/>
      <c r="AT126" s="82" t="s">
        <v>1790</v>
      </c>
      <c r="CE126" s="87" t="s">
        <v>1790</v>
      </c>
      <c r="CT126" s="166" t="s">
        <v>1790</v>
      </c>
    </row>
    <row r="127" spans="1:98" x14ac:dyDescent="0.2">
      <c r="A127" s="176" t="str">
        <f t="shared" si="4"/>
        <v>aircraftSpeedReference</v>
      </c>
      <c r="B127" s="11" t="s">
        <v>6563</v>
      </c>
      <c r="C127" s="173"/>
      <c r="D127" s="22" t="s">
        <v>6564</v>
      </c>
      <c r="E127" s="15" t="s">
        <v>6565</v>
      </c>
      <c r="F127" s="174"/>
      <c r="G127" s="174"/>
      <c r="H127" s="17" t="s">
        <v>5932</v>
      </c>
      <c r="I127" s="269"/>
      <c r="J127" s="369" t="str">
        <f>HYPERLINK("[#]Datatypes!B128:L128","AsrCode")</f>
        <v>AsrCode</v>
      </c>
      <c r="K127" s="276"/>
      <c r="L127" s="272"/>
      <c r="M127" s="272"/>
      <c r="N127" s="248" t="str">
        <f>HYPERLINK("[#]DatatypeListedValues!A1260:H1260","&lt;values&gt;")</f>
        <v>&lt;values&gt;</v>
      </c>
      <c r="O127" s="277" t="b">
        <v>0</v>
      </c>
      <c r="P127" s="37">
        <v>117516</v>
      </c>
      <c r="Q127" s="36" t="str">
        <f>CONCATENATE(Cover!$D$6,"fdd/view?i=",P127)</f>
        <v>https://www.dgiwg.org/FAD/fdd/view?i=117516</v>
      </c>
      <c r="R127" s="13" t="s">
        <v>6562</v>
      </c>
      <c r="S127" s="172"/>
      <c r="T127" s="172"/>
      <c r="CI127" s="89" t="s">
        <v>1790</v>
      </c>
    </row>
    <row r="128" spans="1:98" ht="25.5" x14ac:dyDescent="0.2">
      <c r="A128" s="176" t="str">
        <f t="shared" si="4"/>
        <v>aircraftStandDesignator</v>
      </c>
      <c r="B128" s="11" t="s">
        <v>6568</v>
      </c>
      <c r="C128" s="173"/>
      <c r="D128" s="22" t="s">
        <v>6569</v>
      </c>
      <c r="E128" s="15" t="s">
        <v>6570</v>
      </c>
      <c r="F128" s="15" t="s">
        <v>6571</v>
      </c>
      <c r="G128" s="174"/>
      <c r="H128" s="17" t="s">
        <v>5932</v>
      </c>
      <c r="I128" s="269"/>
      <c r="J128" s="369" t="str">
        <f>HYPERLINK("[#]Datatypes!B1562:L1562","TextNonLexUnconstrained")</f>
        <v>TextNonLexUnconstrained</v>
      </c>
      <c r="K128" s="276"/>
      <c r="L128" s="272"/>
      <c r="M128" s="272"/>
      <c r="N128" s="273"/>
      <c r="O128" s="269"/>
      <c r="P128" s="37">
        <v>117512</v>
      </c>
      <c r="Q128" s="36" t="str">
        <f>CONCATENATE(Cover!$D$6,"fdd/view?i=",P128)</f>
        <v>https://www.dgiwg.org/FAD/fdd/view?i=117512</v>
      </c>
      <c r="R128" s="13" t="s">
        <v>6567</v>
      </c>
      <c r="S128" s="172"/>
      <c r="T128" s="172"/>
      <c r="CE128" s="87" t="s">
        <v>1790</v>
      </c>
    </row>
    <row r="129" spans="1:98" ht="25.5" x14ac:dyDescent="0.2">
      <c r="A129" s="176" t="str">
        <f t="shared" si="4"/>
        <v>aircraftStandType</v>
      </c>
      <c r="B129" s="11" t="s">
        <v>6573</v>
      </c>
      <c r="C129" s="173"/>
      <c r="D129" s="22" t="s">
        <v>6574</v>
      </c>
      <c r="E129" s="15" t="s">
        <v>6575</v>
      </c>
      <c r="F129" s="15" t="s">
        <v>6576</v>
      </c>
      <c r="G129" s="174"/>
      <c r="H129" s="17" t="s">
        <v>5932</v>
      </c>
      <c r="I129" s="269"/>
      <c r="J129" s="369" t="str">
        <f>HYPERLINK("[#]Datatypes!B130:L130","SatCode")</f>
        <v>SatCode</v>
      </c>
      <c r="K129" s="276"/>
      <c r="L129" s="272"/>
      <c r="M129" s="272"/>
      <c r="N129" s="248" t="str">
        <f>HYPERLINK("[#]DatatypeListedValues!A1265:H1265","&lt;values&gt;")</f>
        <v>&lt;values&gt;</v>
      </c>
      <c r="O129" s="277" t="b">
        <v>0</v>
      </c>
      <c r="P129" s="37">
        <v>117703</v>
      </c>
      <c r="Q129" s="36" t="str">
        <f>CONCATENATE(Cover!$D$6,"fdd/view?i=",P129)</f>
        <v>https://www.dgiwg.org/FAD/fdd/view?i=117703</v>
      </c>
      <c r="R129" s="13" t="s">
        <v>6572</v>
      </c>
      <c r="S129" s="172"/>
      <c r="T129" s="172"/>
      <c r="CE129" s="87" t="s">
        <v>1790</v>
      </c>
    </row>
    <row r="130" spans="1:98" x14ac:dyDescent="0.2">
      <c r="A130" s="176" t="str">
        <f t="shared" si="4"/>
        <v>aircraftWingConfiguration</v>
      </c>
      <c r="B130" s="11" t="s">
        <v>6579</v>
      </c>
      <c r="C130" s="173"/>
      <c r="D130" s="22" t="s">
        <v>6580</v>
      </c>
      <c r="E130" s="15" t="s">
        <v>6581</v>
      </c>
      <c r="F130" s="15" t="s">
        <v>6582</v>
      </c>
      <c r="G130" s="174"/>
      <c r="H130" s="17" t="s">
        <v>5932</v>
      </c>
      <c r="I130" s="269"/>
      <c r="J130" s="369" t="str">
        <f>HYPERLINK("[#]Datatypes!B132:L132","XaaCode")</f>
        <v>XaaCode</v>
      </c>
      <c r="K130" s="276"/>
      <c r="L130" s="272"/>
      <c r="M130" s="272"/>
      <c r="N130" s="248" t="str">
        <f>HYPERLINK("[#]DatatypeListedValues!A1271:H1271","&lt;values&gt;")</f>
        <v>&lt;values&gt;</v>
      </c>
      <c r="O130" s="277" t="b">
        <v>0</v>
      </c>
      <c r="P130" s="37">
        <v>119732</v>
      </c>
      <c r="Q130" s="36" t="str">
        <f>CONCATENATE(Cover!$D$6,"fdd/view?i=",P130)</f>
        <v>https://www.dgiwg.org/FAD/fdd/view?i=119732</v>
      </c>
      <c r="R130" s="13" t="s">
        <v>6578</v>
      </c>
      <c r="S130" s="172"/>
      <c r="T130" s="172"/>
      <c r="AT130" s="82" t="s">
        <v>1790</v>
      </c>
      <c r="CS130" s="165" t="s">
        <v>1790</v>
      </c>
      <c r="CT130" s="166" t="s">
        <v>1790</v>
      </c>
    </row>
    <row r="131" spans="1:98" x14ac:dyDescent="0.2">
      <c r="A131" s="176" t="str">
        <f t="shared" ref="A131:A194" si="5">HYPERLINK(Q131,R131)</f>
        <v>airfieldType</v>
      </c>
      <c r="B131" s="11" t="s">
        <v>6585</v>
      </c>
      <c r="C131" s="173"/>
      <c r="D131" s="22" t="s">
        <v>6586</v>
      </c>
      <c r="E131" s="15" t="s">
        <v>6587</v>
      </c>
      <c r="F131" s="174"/>
      <c r="G131" s="174"/>
      <c r="H131" s="17" t="s">
        <v>5932</v>
      </c>
      <c r="I131" s="269"/>
      <c r="J131" s="369" t="str">
        <f>HYPERLINK("[#]Datatypes!B134:L134","FptCode")</f>
        <v>FptCode</v>
      </c>
      <c r="K131" s="276"/>
      <c r="L131" s="272"/>
      <c r="M131" s="272"/>
      <c r="N131" s="248" t="str">
        <f>HYPERLINK("[#]DatatypeListedValues!A1273:H1273","&lt;values&gt;")</f>
        <v>&lt;values&gt;</v>
      </c>
      <c r="O131" s="277" t="b">
        <v>0</v>
      </c>
      <c r="P131" s="37">
        <v>100897</v>
      </c>
      <c r="Q131" s="36" t="str">
        <f>CONCATENATE(Cover!$D$6,"fdd/view?i=",P131)</f>
        <v>https://www.dgiwg.org/FAD/fdd/view?i=100897</v>
      </c>
      <c r="R131" s="13" t="s">
        <v>6584</v>
      </c>
      <c r="S131" s="172"/>
      <c r="T131" s="172"/>
      <c r="AT131" s="82" t="s">
        <v>1790</v>
      </c>
      <c r="CE131" s="87" t="s">
        <v>1790</v>
      </c>
      <c r="CT131" s="166" t="s">
        <v>1790</v>
      </c>
    </row>
    <row r="132" spans="1:98" x14ac:dyDescent="0.2">
      <c r="A132" s="176" t="str">
        <f t="shared" si="5"/>
        <v>airfieldUse</v>
      </c>
      <c r="B132" s="11" t="s">
        <v>6590</v>
      </c>
      <c r="C132" s="173"/>
      <c r="D132" s="22" t="s">
        <v>6591</v>
      </c>
      <c r="E132" s="15" t="s">
        <v>6592</v>
      </c>
      <c r="F132" s="174"/>
      <c r="G132" s="174"/>
      <c r="H132" s="17" t="s">
        <v>5932</v>
      </c>
      <c r="I132" s="17" t="s">
        <v>6029</v>
      </c>
      <c r="J132" s="369" t="str">
        <f>HYPERLINK("[#]Datatypes!B136:L136","AptCode")</f>
        <v>AptCode</v>
      </c>
      <c r="K132" s="276"/>
      <c r="L132" s="272"/>
      <c r="M132" s="272"/>
      <c r="N132" s="248" t="str">
        <f>HYPERLINK("[#]DatatypeListedValues!A1277:H1277","&lt;values&gt;")</f>
        <v>&lt;values&gt;</v>
      </c>
      <c r="O132" s="277" t="b">
        <v>0</v>
      </c>
      <c r="P132" s="37">
        <v>100618</v>
      </c>
      <c r="Q132" s="36" t="str">
        <f>CONCATENATE(Cover!$D$6,"fdd/view?i=",P132)</f>
        <v>https://www.dgiwg.org/FAD/fdd/view?i=100618</v>
      </c>
      <c r="R132" s="13" t="s">
        <v>6589</v>
      </c>
      <c r="S132" s="172"/>
      <c r="T132" s="172"/>
      <c r="AT132" s="82" t="s">
        <v>1790</v>
      </c>
      <c r="CE132" s="87" t="s">
        <v>1790</v>
      </c>
      <c r="CT132" s="166" t="s">
        <v>1790</v>
      </c>
    </row>
    <row r="133" spans="1:98" ht="25.5" x14ac:dyDescent="0.2">
      <c r="A133" s="176" t="str">
        <f t="shared" si="5"/>
        <v>airspaceActivity</v>
      </c>
      <c r="B133" s="11" t="s">
        <v>6595</v>
      </c>
      <c r="C133" s="173"/>
      <c r="D133" s="22" t="s">
        <v>6596</v>
      </c>
      <c r="E133" s="15" t="s">
        <v>6597</v>
      </c>
      <c r="F133" s="15" t="s">
        <v>6598</v>
      </c>
      <c r="G133" s="15" t="s">
        <v>6599</v>
      </c>
      <c r="H133" s="17" t="s">
        <v>5932</v>
      </c>
      <c r="I133" s="17" t="s">
        <v>6029</v>
      </c>
      <c r="J133" s="369" t="str">
        <f>HYPERLINK("[#]Datatypes!B138:L138","AaaCode")</f>
        <v>AaaCode</v>
      </c>
      <c r="K133" s="276"/>
      <c r="L133" s="272"/>
      <c r="M133" s="272"/>
      <c r="N133" s="248" t="str">
        <f>HYPERLINK("[#]DatatypeListedValues!A1292:H1292","&lt;values&gt;")</f>
        <v>&lt;values&gt;</v>
      </c>
      <c r="O133" s="277" t="b">
        <v>0</v>
      </c>
      <c r="P133" s="37">
        <v>117458</v>
      </c>
      <c r="Q133" s="36" t="str">
        <f>CONCATENATE(Cover!$D$6,"fdd/view?i=",P133)</f>
        <v>https://www.dgiwg.org/FAD/fdd/view?i=117458</v>
      </c>
      <c r="R133" s="13" t="s">
        <v>6594</v>
      </c>
      <c r="S133" s="172"/>
      <c r="T133" s="172"/>
      <c r="CF133" s="83" t="s">
        <v>1790</v>
      </c>
    </row>
    <row r="134" spans="1:98" ht="25.5" x14ac:dyDescent="0.2">
      <c r="A134" s="176" t="str">
        <f t="shared" si="5"/>
        <v>airspaceClass</v>
      </c>
      <c r="B134" s="11" t="s">
        <v>6602</v>
      </c>
      <c r="C134" s="173"/>
      <c r="D134" s="22" t="s">
        <v>6603</v>
      </c>
      <c r="E134" s="15" t="s">
        <v>6604</v>
      </c>
      <c r="F134" s="174"/>
      <c r="G134" s="174"/>
      <c r="H134" s="17" t="s">
        <v>5932</v>
      </c>
      <c r="I134" s="269"/>
      <c r="J134" s="369" t="str">
        <f>HYPERLINK("[#]Datatypes!B140:L140","AcxCode")</f>
        <v>AcxCode</v>
      </c>
      <c r="K134" s="276"/>
      <c r="L134" s="272"/>
      <c r="M134" s="272"/>
      <c r="N134" s="248" t="str">
        <f>HYPERLINK("[#]DatatypeListedValues!A1350:H1350","&lt;values&gt;")</f>
        <v>&lt;values&gt;</v>
      </c>
      <c r="O134" s="277" t="b">
        <v>0</v>
      </c>
      <c r="P134" s="37">
        <v>117473</v>
      </c>
      <c r="Q134" s="36" t="str">
        <f>CONCATENATE(Cover!$D$6,"fdd/view?i=",P134)</f>
        <v>https://www.dgiwg.org/FAD/fdd/view?i=117473</v>
      </c>
      <c r="R134" s="13" t="s">
        <v>6601</v>
      </c>
      <c r="S134" s="172"/>
      <c r="T134" s="172"/>
      <c r="CF134" s="83" t="s">
        <v>1790</v>
      </c>
    </row>
    <row r="135" spans="1:98" ht="25.5" x14ac:dyDescent="0.2">
      <c r="A135" s="176" t="str">
        <f t="shared" si="5"/>
        <v>airspaceControl</v>
      </c>
      <c r="B135" s="11" t="s">
        <v>6607</v>
      </c>
      <c r="C135" s="173"/>
      <c r="D135" s="22" t="s">
        <v>6608</v>
      </c>
      <c r="E135" s="15" t="s">
        <v>6609</v>
      </c>
      <c r="F135" s="15" t="s">
        <v>6610</v>
      </c>
      <c r="G135" s="174"/>
      <c r="H135" s="17" t="s">
        <v>5932</v>
      </c>
      <c r="I135" s="269"/>
      <c r="J135" s="369" t="str">
        <f>HYPERLINK("[#]Datatypes!B142:L142","AcoCode")</f>
        <v>AcoCode</v>
      </c>
      <c r="K135" s="276"/>
      <c r="L135" s="272"/>
      <c r="M135" s="272"/>
      <c r="N135" s="248" t="str">
        <f>HYPERLINK("[#]DatatypeListedValues!A1357:H1357","&lt;values&gt;")</f>
        <v>&lt;values&gt;</v>
      </c>
      <c r="O135" s="277" t="b">
        <v>0</v>
      </c>
      <c r="P135" s="37">
        <v>117471</v>
      </c>
      <c r="Q135" s="36" t="str">
        <f>CONCATENATE(Cover!$D$6,"fdd/view?i=",P135)</f>
        <v>https://www.dgiwg.org/FAD/fdd/view?i=117471</v>
      </c>
      <c r="R135" s="13" t="s">
        <v>6606</v>
      </c>
      <c r="S135" s="172"/>
      <c r="T135" s="172"/>
      <c r="CF135" s="83" t="s">
        <v>1790</v>
      </c>
    </row>
    <row r="136" spans="1:98" ht="25.5" x14ac:dyDescent="0.2">
      <c r="A136" s="176" t="str">
        <f t="shared" si="5"/>
        <v>airspaceIdentifier</v>
      </c>
      <c r="B136" s="11" t="s">
        <v>6613</v>
      </c>
      <c r="C136" s="173"/>
      <c r="D136" s="22" t="s">
        <v>6614</v>
      </c>
      <c r="E136" s="15" t="s">
        <v>6615</v>
      </c>
      <c r="F136" s="15" t="s">
        <v>6616</v>
      </c>
      <c r="G136" s="174"/>
      <c r="H136" s="17" t="s">
        <v>5932</v>
      </c>
      <c r="I136" s="269"/>
      <c r="J136" s="369" t="str">
        <f>HYPERLINK("[#]Datatypes!B1562:L1562","TextNonLexUnconstrained")</f>
        <v>TextNonLexUnconstrained</v>
      </c>
      <c r="K136" s="276"/>
      <c r="L136" s="272"/>
      <c r="M136" s="272"/>
      <c r="N136" s="273"/>
      <c r="O136" s="269"/>
      <c r="P136" s="37">
        <v>117492</v>
      </c>
      <c r="Q136" s="36" t="str">
        <f>CONCATENATE(Cover!$D$6,"fdd/view?i=",P136)</f>
        <v>https://www.dgiwg.org/FAD/fdd/view?i=117492</v>
      </c>
      <c r="R136" s="13" t="s">
        <v>6612</v>
      </c>
      <c r="S136" s="172"/>
      <c r="T136" s="172"/>
      <c r="CF136" s="83" t="s">
        <v>1790</v>
      </c>
    </row>
    <row r="137" spans="1:98" ht="25.5" x14ac:dyDescent="0.2">
      <c r="A137" s="176" t="str">
        <f t="shared" si="5"/>
        <v>airspaceName</v>
      </c>
      <c r="B137" s="11" t="s">
        <v>6618</v>
      </c>
      <c r="C137" s="173"/>
      <c r="D137" s="22" t="s">
        <v>6619</v>
      </c>
      <c r="E137" s="15" t="s">
        <v>6620</v>
      </c>
      <c r="F137" s="15" t="s">
        <v>6621</v>
      </c>
      <c r="G137" s="174"/>
      <c r="H137" s="17" t="s">
        <v>5932</v>
      </c>
      <c r="I137" s="269"/>
      <c r="J137" s="369" t="str">
        <f>HYPERLINK("[#]Datatypes!B1562:L1562","TextNonLexUnconstrained")</f>
        <v>TextNonLexUnconstrained</v>
      </c>
      <c r="K137" s="276"/>
      <c r="L137" s="272"/>
      <c r="M137" s="272"/>
      <c r="N137" s="273"/>
      <c r="O137" s="269"/>
      <c r="P137" s="37">
        <v>117643</v>
      </c>
      <c r="Q137" s="36" t="str">
        <f>CONCATENATE(Cover!$D$6,"fdd/view?i=",P137)</f>
        <v>https://www.dgiwg.org/FAD/fdd/view?i=117643</v>
      </c>
      <c r="R137" s="13" t="s">
        <v>6617</v>
      </c>
      <c r="S137" s="172"/>
      <c r="T137" s="172"/>
      <c r="CF137" s="83" t="s">
        <v>1790</v>
      </c>
    </row>
    <row r="138" spans="1:98" ht="25.5" x14ac:dyDescent="0.2">
      <c r="A138" s="176" t="str">
        <f t="shared" si="5"/>
        <v>airspaceType</v>
      </c>
      <c r="B138" s="11" t="s">
        <v>6623</v>
      </c>
      <c r="C138" s="173"/>
      <c r="D138" s="22" t="s">
        <v>6624</v>
      </c>
      <c r="E138" s="15" t="s">
        <v>6625</v>
      </c>
      <c r="F138" s="174"/>
      <c r="G138" s="174"/>
      <c r="H138" s="17" t="s">
        <v>5932</v>
      </c>
      <c r="I138" s="269"/>
      <c r="J138" s="369" t="str">
        <f>HYPERLINK("[#]Datatypes!B144:L144","AtyCode")</f>
        <v>AtyCode</v>
      </c>
      <c r="K138" s="276"/>
      <c r="L138" s="272"/>
      <c r="M138" s="272"/>
      <c r="N138" s="248" t="str">
        <f>HYPERLINK("[#]DatatypeListedValues!A1360:H1360","&lt;values&gt;")</f>
        <v>&lt;values&gt;</v>
      </c>
      <c r="O138" s="277" t="b">
        <v>0</v>
      </c>
      <c r="P138" s="37">
        <v>117525</v>
      </c>
      <c r="Q138" s="36" t="str">
        <f>CONCATENATE(Cover!$D$6,"fdd/view?i=",P138)</f>
        <v>https://www.dgiwg.org/FAD/fdd/view?i=117525</v>
      </c>
      <c r="R138" s="13" t="s">
        <v>6622</v>
      </c>
      <c r="S138" s="172"/>
      <c r="T138" s="172"/>
      <c r="CF138" s="83" t="s">
        <v>1790</v>
      </c>
    </row>
    <row r="139" spans="1:98" ht="38.25" x14ac:dyDescent="0.2">
      <c r="A139" s="176" t="str">
        <f t="shared" si="5"/>
        <v>allUpWheelWeight</v>
      </c>
      <c r="B139" s="11" t="s">
        <v>6628</v>
      </c>
      <c r="C139" s="173"/>
      <c r="D139" s="22" t="s">
        <v>6629</v>
      </c>
      <c r="E139" s="15" t="s">
        <v>6630</v>
      </c>
      <c r="F139" s="174"/>
      <c r="G139" s="15" t="s">
        <v>6628</v>
      </c>
      <c r="H139" s="17" t="s">
        <v>5932</v>
      </c>
      <c r="I139" s="269"/>
      <c r="J139" s="369" t="str">
        <f>HYPERLINK("[#]Datatypes!B1231:L1231","Real")</f>
        <v>Real</v>
      </c>
      <c r="K139" s="271" t="str">
        <f>HYPERLINK("[#]PhysicalQuantities!A28:N28","Mass")</f>
        <v>Mass</v>
      </c>
      <c r="L139" s="270" t="str">
        <f>HYPERLINK("[#]UnitsOfMeasure!D127:G127","Kilogram")</f>
        <v>Kilogram</v>
      </c>
      <c r="M139" s="272"/>
      <c r="N139" s="273"/>
      <c r="O139" s="269"/>
      <c r="P139" s="37">
        <v>117528</v>
      </c>
      <c r="Q139" s="36" t="str">
        <f>CONCATENATE(Cover!$D$6,"fdd/view?i=",P139)</f>
        <v>https://www.dgiwg.org/FAD/fdd/view?i=117528</v>
      </c>
      <c r="R139" s="13" t="s">
        <v>6627</v>
      </c>
      <c r="S139" s="172"/>
      <c r="T139" s="172"/>
      <c r="CE139" s="87" t="s">
        <v>1790</v>
      </c>
    </row>
    <row r="140" spans="1:98" x14ac:dyDescent="0.2">
      <c r="A140" s="176" t="str">
        <f t="shared" si="5"/>
        <v>allowedAircraftOnRoute</v>
      </c>
      <c r="B140" s="11" t="s">
        <v>6632</v>
      </c>
      <c r="C140" s="173"/>
      <c r="D140" s="22" t="s">
        <v>6633</v>
      </c>
      <c r="E140" s="15" t="s">
        <v>6634</v>
      </c>
      <c r="F140" s="15" t="s">
        <v>6635</v>
      </c>
      <c r="G140" s="174"/>
      <c r="H140" s="17" t="s">
        <v>5932</v>
      </c>
      <c r="I140" s="17" t="s">
        <v>6224</v>
      </c>
      <c r="J140" s="369" t="str">
        <f>HYPERLINK("[#]Datatypes!B146:L146","AarCode")</f>
        <v>AarCode</v>
      </c>
      <c r="K140" s="276"/>
      <c r="L140" s="272"/>
      <c r="M140" s="272"/>
      <c r="N140" s="248" t="str">
        <f>HYPERLINK("[#]DatatypeListedValues!A1397:H1397","&lt;values&gt;")</f>
        <v>&lt;values&gt;</v>
      </c>
      <c r="O140" s="277" t="b">
        <v>0</v>
      </c>
      <c r="P140" s="37">
        <v>117461</v>
      </c>
      <c r="Q140" s="36" t="str">
        <f>CONCATENATE(Cover!$D$6,"fdd/view?i=",P140)</f>
        <v>https://www.dgiwg.org/FAD/fdd/view?i=117461</v>
      </c>
      <c r="R140" s="13" t="s">
        <v>6631</v>
      </c>
      <c r="S140" s="172"/>
      <c r="T140" s="172"/>
      <c r="CF140" s="83" t="s">
        <v>1790</v>
      </c>
    </row>
    <row r="141" spans="1:98" ht="25.5" x14ac:dyDescent="0.2">
      <c r="A141" s="176" t="str">
        <f t="shared" si="5"/>
        <v>alternate</v>
      </c>
      <c r="B141" s="11" t="s">
        <v>6638</v>
      </c>
      <c r="C141" s="173"/>
      <c r="D141" s="22" t="s">
        <v>6639</v>
      </c>
      <c r="E141" s="15" t="s">
        <v>6640</v>
      </c>
      <c r="F141" s="15" t="s">
        <v>6641</v>
      </c>
      <c r="G141" s="174"/>
      <c r="H141" s="17" t="s">
        <v>5932</v>
      </c>
      <c r="I141" s="269"/>
      <c r="J141" s="369" t="str">
        <f>HYPERLINK("[#]Datatypes!B240:L240","Boolean")</f>
        <v>Boolean</v>
      </c>
      <c r="K141" s="276"/>
      <c r="L141" s="272"/>
      <c r="M141" s="272"/>
      <c r="N141" s="273"/>
      <c r="O141" s="269"/>
      <c r="P141" s="37">
        <v>101185</v>
      </c>
      <c r="Q141" s="36" t="str">
        <f>CONCATENATE(Cover!$D$6,"fdd/view?i=",P141)</f>
        <v>https://www.dgiwg.org/FAD/fdd/view?i=101185</v>
      </c>
      <c r="R141" s="13" t="s">
        <v>6637</v>
      </c>
      <c r="S141" s="172"/>
      <c r="T141" s="172"/>
      <c r="CT141" s="166" t="s">
        <v>1790</v>
      </c>
    </row>
    <row r="142" spans="1:98" ht="38.25" x14ac:dyDescent="0.2">
      <c r="A142" s="176" t="str">
        <f t="shared" si="5"/>
        <v>altAircraftDestinationUse</v>
      </c>
      <c r="B142" s="11" t="s">
        <v>6643</v>
      </c>
      <c r="C142" s="173"/>
      <c r="D142" s="22" t="s">
        <v>6644</v>
      </c>
      <c r="E142" s="15" t="s">
        <v>6645</v>
      </c>
      <c r="F142" s="174"/>
      <c r="G142" s="174"/>
      <c r="H142" s="17" t="s">
        <v>5932</v>
      </c>
      <c r="I142" s="269"/>
      <c r="J142" s="369" t="str">
        <f>HYPERLINK("[#]Datatypes!B240:L240","Boolean")</f>
        <v>Boolean</v>
      </c>
      <c r="K142" s="276"/>
      <c r="L142" s="272"/>
      <c r="M142" s="272"/>
      <c r="N142" s="273"/>
      <c r="O142" s="269"/>
      <c r="P142" s="37">
        <v>119593</v>
      </c>
      <c r="Q142" s="36" t="str">
        <f>CONCATENATE(Cover!$D$6,"fdd/view?i=",P142)</f>
        <v>https://www.dgiwg.org/FAD/fdd/view?i=119593</v>
      </c>
      <c r="R142" s="13" t="s">
        <v>6642</v>
      </c>
      <c r="S142" s="172"/>
      <c r="T142" s="172"/>
      <c r="AT142" s="82" t="s">
        <v>1790</v>
      </c>
    </row>
    <row r="143" spans="1:98" x14ac:dyDescent="0.2">
      <c r="A143" s="176" t="str">
        <f t="shared" si="5"/>
        <v>altitudeDescription</v>
      </c>
      <c r="B143" s="11" t="s">
        <v>6647</v>
      </c>
      <c r="C143" s="173"/>
      <c r="D143" s="22" t="s">
        <v>6648</v>
      </c>
      <c r="E143" s="15" t="s">
        <v>6649</v>
      </c>
      <c r="F143" s="174"/>
      <c r="G143" s="15" t="s">
        <v>6650</v>
      </c>
      <c r="H143" s="17" t="s">
        <v>5932</v>
      </c>
      <c r="I143" s="269"/>
      <c r="J143" s="369" t="str">
        <f>HYPERLINK("[#]Datatypes!B148:L148","AldCode")</f>
        <v>AldCode</v>
      </c>
      <c r="K143" s="276"/>
      <c r="L143" s="272"/>
      <c r="M143" s="272"/>
      <c r="N143" s="248" t="str">
        <f>HYPERLINK("[#]DatatypeListedValues!A1403:H1403","&lt;values&gt;")</f>
        <v>&lt;values&gt;</v>
      </c>
      <c r="O143" s="277" t="b">
        <v>0</v>
      </c>
      <c r="P143" s="37">
        <v>117494</v>
      </c>
      <c r="Q143" s="36" t="str">
        <f>CONCATENATE(Cover!$D$6,"fdd/view?i=",P143)</f>
        <v>https://www.dgiwg.org/FAD/fdd/view?i=117494</v>
      </c>
      <c r="R143" s="13" t="s">
        <v>6646</v>
      </c>
      <c r="S143" s="172"/>
      <c r="T143" s="172"/>
      <c r="CF143" s="83" t="s">
        <v>1790</v>
      </c>
      <c r="CI143" s="89" t="s">
        <v>1790</v>
      </c>
    </row>
    <row r="144" spans="1:98" ht="25.5" x14ac:dyDescent="0.2">
      <c r="A144" s="176" t="str">
        <f t="shared" si="5"/>
        <v>amusementAttractionType</v>
      </c>
      <c r="B144" s="11" t="s">
        <v>6653</v>
      </c>
      <c r="C144" s="173"/>
      <c r="D144" s="22" t="s">
        <v>6654</v>
      </c>
      <c r="E144" s="15" t="s">
        <v>6655</v>
      </c>
      <c r="F144" s="174"/>
      <c r="G144" s="174"/>
      <c r="H144" s="17" t="s">
        <v>5932</v>
      </c>
      <c r="I144" s="269"/>
      <c r="J144" s="369" t="str">
        <f>HYPERLINK("[#]Datatypes!B150:L150","AmaCode")</f>
        <v>AmaCode</v>
      </c>
      <c r="K144" s="276"/>
      <c r="L144" s="272"/>
      <c r="M144" s="272"/>
      <c r="N144" s="248" t="str">
        <f>HYPERLINK("[#]DatatypeListedValues!A1410:H1410","&lt;values&gt;")</f>
        <v>&lt;values&gt;</v>
      </c>
      <c r="O144" s="277" t="b">
        <v>0</v>
      </c>
      <c r="P144" s="37">
        <v>103063</v>
      </c>
      <c r="Q144" s="36" t="str">
        <f>CONCATENATE(Cover!$D$6,"fdd/view?i=",P144)</f>
        <v>https://www.dgiwg.org/FAD/fdd/view?i=103063</v>
      </c>
      <c r="R144" s="13" t="s">
        <v>6652</v>
      </c>
      <c r="S144" s="172"/>
      <c r="T144" s="172"/>
      <c r="AL144" s="83" t="s">
        <v>1790</v>
      </c>
    </row>
    <row r="145" spans="1:98" ht="25.5" x14ac:dyDescent="0.2">
      <c r="A145" s="176" t="str">
        <f t="shared" si="5"/>
        <v>anchorageType</v>
      </c>
      <c r="B145" s="11" t="s">
        <v>6658</v>
      </c>
      <c r="C145" s="173"/>
      <c r="D145" s="22" t="s">
        <v>6659</v>
      </c>
      <c r="E145" s="15" t="s">
        <v>6660</v>
      </c>
      <c r="F145" s="174"/>
      <c r="G145" s="174"/>
      <c r="H145" s="17" t="s">
        <v>5932</v>
      </c>
      <c r="I145" s="17" t="s">
        <v>6029</v>
      </c>
      <c r="J145" s="369" t="str">
        <f>HYPERLINK("[#]Datatypes!B152:L152","AchCode")</f>
        <v>AchCode</v>
      </c>
      <c r="K145" s="276"/>
      <c r="L145" s="272"/>
      <c r="M145" s="272"/>
      <c r="N145" s="248" t="str">
        <f>HYPERLINK("[#]DatatypeListedValues!A1416:H1416","&lt;values&gt;")</f>
        <v>&lt;values&gt;</v>
      </c>
      <c r="O145" s="277" t="b">
        <v>0</v>
      </c>
      <c r="P145" s="37">
        <v>111110</v>
      </c>
      <c r="Q145" s="36" t="str">
        <f>CONCATENATE(Cover!$D$6,"fdd/view?i=",P145)</f>
        <v>https://www.dgiwg.org/FAD/fdd/view?i=111110</v>
      </c>
      <c r="R145" s="13" t="s">
        <v>6657</v>
      </c>
      <c r="S145" s="172"/>
      <c r="T145" s="172"/>
      <c r="AS145" s="82" t="s">
        <v>1790</v>
      </c>
      <c r="BF145" s="83" t="s">
        <v>1790</v>
      </c>
      <c r="BI145" s="83" t="s">
        <v>1790</v>
      </c>
      <c r="CK145" s="82" t="s">
        <v>1790</v>
      </c>
    </row>
    <row r="146" spans="1:98" ht="38.25" x14ac:dyDescent="0.2">
      <c r="A146" s="176" t="str">
        <f t="shared" si="5"/>
        <v>angleInitialLimit</v>
      </c>
      <c r="B146" s="11" t="s">
        <v>6663</v>
      </c>
      <c r="C146" s="173"/>
      <c r="D146" s="22" t="s">
        <v>6664</v>
      </c>
      <c r="E146" s="15" t="s">
        <v>6665</v>
      </c>
      <c r="F146" s="15" t="s">
        <v>6666</v>
      </c>
      <c r="G146" s="174"/>
      <c r="H146" s="17" t="s">
        <v>5932</v>
      </c>
      <c r="I146" s="269"/>
      <c r="J146" s="369" t="str">
        <f>HYPERLINK("[#]Datatypes!B1250:L1250","RealNonNeg359r9")</f>
        <v>RealNonNeg359r9</v>
      </c>
      <c r="K146" s="271" t="str">
        <f>HYPERLINK("[#]PhysicalQuantities!A34:N34","Plane Angle")</f>
        <v>Plane Angle</v>
      </c>
      <c r="L146" s="270" t="str">
        <f>HYPERLINK("[#]UnitsOfMeasure!D159:G159","Arc Degree")</f>
        <v>Arc Degree</v>
      </c>
      <c r="M146" s="272"/>
      <c r="N146" s="273"/>
      <c r="O146" s="269"/>
      <c r="P146" s="37">
        <v>119856</v>
      </c>
      <c r="Q146" s="36" t="str">
        <f>CONCATENATE(Cover!$D$6,"fdd/view?i=",P146)</f>
        <v>https://www.dgiwg.org/FAD/fdd/view?i=119856</v>
      </c>
      <c r="R146" s="13" t="s">
        <v>6662</v>
      </c>
      <c r="S146" s="172"/>
      <c r="T146" s="172"/>
      <c r="CQ146" s="165" t="s">
        <v>1790</v>
      </c>
    </row>
    <row r="147" spans="1:98" ht="38.25" x14ac:dyDescent="0.2">
      <c r="A147" s="176" t="str">
        <f t="shared" si="5"/>
        <v>angleOfOrientation</v>
      </c>
      <c r="B147" s="11" t="s">
        <v>6669</v>
      </c>
      <c r="C147" s="173"/>
      <c r="D147" s="22" t="s">
        <v>6670</v>
      </c>
      <c r="E147" s="15" t="s">
        <v>6671</v>
      </c>
      <c r="F147" s="15" t="s">
        <v>6672</v>
      </c>
      <c r="G147" s="174"/>
      <c r="H147" s="17" t="s">
        <v>5932</v>
      </c>
      <c r="I147" s="269"/>
      <c r="J147" s="369" t="str">
        <f>HYPERLINK("[#]Datatypes!B1231:L1231","Real")</f>
        <v>Real</v>
      </c>
      <c r="K147" s="271" t="str">
        <f>HYPERLINK("[#]PhysicalQuantities!A34:N34","Plane Angle")</f>
        <v>Plane Angle</v>
      </c>
      <c r="L147" s="270" t="str">
        <f>HYPERLINK("[#]UnitsOfMeasure!D159:G159","Arc Degree")</f>
        <v>Arc Degree</v>
      </c>
      <c r="M147" s="272"/>
      <c r="N147" s="273"/>
      <c r="O147" s="269"/>
      <c r="P147" s="37">
        <v>100616</v>
      </c>
      <c r="Q147" s="36" t="str">
        <f>CONCATENATE(Cover!$D$6,"fdd/view?i=",P147)</f>
        <v>https://www.dgiwg.org/FAD/fdd/view?i=100616</v>
      </c>
      <c r="R147" s="13" t="s">
        <v>6668</v>
      </c>
      <c r="S147" s="172"/>
      <c r="T147" s="172"/>
      <c r="CP147" s="164" t="s">
        <v>1790</v>
      </c>
    </row>
    <row r="148" spans="1:98" ht="25.5" x14ac:dyDescent="0.2">
      <c r="A148" s="176" t="str">
        <f t="shared" si="5"/>
        <v>angleRadarReflector</v>
      </c>
      <c r="B148" s="11" t="s">
        <v>6674</v>
      </c>
      <c r="C148" s="173"/>
      <c r="D148" s="22" t="s">
        <v>6675</v>
      </c>
      <c r="E148" s="15" t="s">
        <v>6676</v>
      </c>
      <c r="F148" s="174"/>
      <c r="G148" s="174"/>
      <c r="H148" s="17" t="s">
        <v>5932</v>
      </c>
      <c r="I148" s="269"/>
      <c r="J148" s="369" t="str">
        <f>HYPERLINK("[#]Datatypes!B1231:L1231","Real")</f>
        <v>Real</v>
      </c>
      <c r="K148" s="271" t="str">
        <f>HYPERLINK("[#]PhysicalQuantities!A34:N34","Plane Angle")</f>
        <v>Plane Angle</v>
      </c>
      <c r="L148" s="270" t="str">
        <f>HYPERLINK("[#]UnitsOfMeasure!D159:G159","Arc Degree")</f>
        <v>Arc Degree</v>
      </c>
      <c r="M148" s="272"/>
      <c r="N148" s="273"/>
      <c r="O148" s="269"/>
      <c r="P148" s="37">
        <v>117508</v>
      </c>
      <c r="Q148" s="36" t="str">
        <f>CONCATENATE(Cover!$D$6,"fdd/view?i=",P148)</f>
        <v>https://www.dgiwg.org/FAD/fdd/view?i=117508</v>
      </c>
      <c r="R148" s="13" t="s">
        <v>6673</v>
      </c>
      <c r="S148" s="172"/>
      <c r="T148" s="172"/>
      <c r="CG148" s="83" t="s">
        <v>1790</v>
      </c>
    </row>
    <row r="149" spans="1:98" ht="25.5" x14ac:dyDescent="0.2">
      <c r="A149" s="176" t="str">
        <f t="shared" si="5"/>
        <v>angleReferenceType</v>
      </c>
      <c r="B149" s="11" t="s">
        <v>6678</v>
      </c>
      <c r="C149" s="173"/>
      <c r="D149" s="22" t="s">
        <v>6679</v>
      </c>
      <c r="E149" s="15" t="s">
        <v>6680</v>
      </c>
      <c r="F149" s="174"/>
      <c r="G149" s="174"/>
      <c r="H149" s="17" t="s">
        <v>5932</v>
      </c>
      <c r="I149" s="269"/>
      <c r="J149" s="369" t="str">
        <f>HYPERLINK("[#]Datatypes!B154:L154","AntCode")</f>
        <v>AntCode</v>
      </c>
      <c r="K149" s="276"/>
      <c r="L149" s="272"/>
      <c r="M149" s="272"/>
      <c r="N149" s="248" t="str">
        <f>HYPERLINK("[#]DatatypeListedValues!A1429:H1429","&lt;values&gt;")</f>
        <v>&lt;values&gt;</v>
      </c>
      <c r="O149" s="277" t="b">
        <v>0</v>
      </c>
      <c r="P149" s="37">
        <v>117500</v>
      </c>
      <c r="Q149" s="36" t="str">
        <f>CONCATENATE(Cover!$D$6,"fdd/view?i=",P149)</f>
        <v>https://www.dgiwg.org/FAD/fdd/view?i=117500</v>
      </c>
      <c r="R149" s="13" t="s">
        <v>6677</v>
      </c>
      <c r="S149" s="172"/>
      <c r="T149" s="172"/>
      <c r="CG149" s="83" t="s">
        <v>1790</v>
      </c>
    </row>
    <row r="150" spans="1:98" ht="38.25" x14ac:dyDescent="0.2">
      <c r="A150" s="176" t="str">
        <f t="shared" si="5"/>
        <v>angleTerminalLimit</v>
      </c>
      <c r="B150" s="11" t="s">
        <v>6683</v>
      </c>
      <c r="C150" s="173"/>
      <c r="D150" s="22" t="s">
        <v>6684</v>
      </c>
      <c r="E150" s="15" t="s">
        <v>6685</v>
      </c>
      <c r="F150" s="15" t="s">
        <v>6666</v>
      </c>
      <c r="G150" s="174"/>
      <c r="H150" s="17" t="s">
        <v>5932</v>
      </c>
      <c r="I150" s="269"/>
      <c r="J150" s="369" t="str">
        <f>HYPERLINK("[#]Datatypes!B1250:L1250","RealNonNeg359r9")</f>
        <v>RealNonNeg359r9</v>
      </c>
      <c r="K150" s="271" t="str">
        <f>HYPERLINK("[#]PhysicalQuantities!A34:N34","Plane Angle")</f>
        <v>Plane Angle</v>
      </c>
      <c r="L150" s="270" t="str">
        <f>HYPERLINK("[#]UnitsOfMeasure!D159:G159","Arc Degree")</f>
        <v>Arc Degree</v>
      </c>
      <c r="M150" s="272"/>
      <c r="N150" s="273"/>
      <c r="O150" s="269"/>
      <c r="P150" s="37">
        <v>119857</v>
      </c>
      <c r="Q150" s="36" t="str">
        <f>CONCATENATE(Cover!$D$6,"fdd/view?i=",P150)</f>
        <v>https://www.dgiwg.org/FAD/fdd/view?i=119857</v>
      </c>
      <c r="R150" s="13" t="s">
        <v>6682</v>
      </c>
      <c r="S150" s="172"/>
      <c r="T150" s="172"/>
      <c r="AW150" s="82" t="s">
        <v>1790</v>
      </c>
    </row>
    <row r="151" spans="1:98" x14ac:dyDescent="0.2">
      <c r="A151" s="176" t="str">
        <f t="shared" si="5"/>
        <v>animalHusbandryType</v>
      </c>
      <c r="B151" s="11" t="s">
        <v>6687</v>
      </c>
      <c r="C151" s="173"/>
      <c r="D151" s="22" t="s">
        <v>6688</v>
      </c>
      <c r="E151" s="15" t="s">
        <v>6689</v>
      </c>
      <c r="F151" s="174"/>
      <c r="G151" s="174"/>
      <c r="H151" s="17" t="s">
        <v>5932</v>
      </c>
      <c r="I151" s="17" t="s">
        <v>6029</v>
      </c>
      <c r="J151" s="369" t="str">
        <f>HYPERLINK("[#]Datatypes!B156:L156","AnbCode")</f>
        <v>AnbCode</v>
      </c>
      <c r="K151" s="276"/>
      <c r="L151" s="272"/>
      <c r="M151" s="272"/>
      <c r="N151" s="248" t="str">
        <f>HYPERLINK("[#]DatatypeListedValues!A1432:H1432","&lt;values&gt;")</f>
        <v>&lt;values&gt;</v>
      </c>
      <c r="O151" s="277" t="b">
        <v>0</v>
      </c>
      <c r="P151" s="37">
        <v>111476</v>
      </c>
      <c r="Q151" s="36" t="str">
        <f>CONCATENATE(Cover!$D$6,"fdd/view?i=",P151)</f>
        <v>https://www.dgiwg.org/FAD/fdd/view?i=111476</v>
      </c>
      <c r="R151" s="13" t="s">
        <v>6686</v>
      </c>
      <c r="S151" s="172"/>
      <c r="T151" s="172"/>
      <c r="AC151" s="82" t="s">
        <v>1790</v>
      </c>
      <c r="CA151" s="83" t="s">
        <v>1790</v>
      </c>
      <c r="CS151" s="165" t="s">
        <v>1790</v>
      </c>
    </row>
    <row r="152" spans="1:98" x14ac:dyDescent="0.2">
      <c r="A152" s="176" t="str">
        <f t="shared" si="5"/>
        <v>annualChangeMagVariation</v>
      </c>
      <c r="B152" s="11" t="s">
        <v>6692</v>
      </c>
      <c r="C152" s="173"/>
      <c r="D152" s="22" t="s">
        <v>6693</v>
      </c>
      <c r="E152" s="15" t="s">
        <v>6694</v>
      </c>
      <c r="F152" s="174"/>
      <c r="G152" s="174"/>
      <c r="H152" s="17" t="s">
        <v>5932</v>
      </c>
      <c r="I152" s="269"/>
      <c r="J152" s="369" t="str">
        <f>HYPERLINK("[#]Datatypes!B1231:L1231","Real")</f>
        <v>Real</v>
      </c>
      <c r="K152" s="271" t="str">
        <f>HYPERLINK("[#]PhysicalQuantities!A51:N51","Time")</f>
        <v>Time</v>
      </c>
      <c r="L152" s="270" t="str">
        <f>HYPERLINK("[#]UnitsOfMeasure!D269:G269","Minute")</f>
        <v>Minute</v>
      </c>
      <c r="M152" s="272"/>
      <c r="N152" s="273"/>
      <c r="O152" s="269"/>
      <c r="P152" s="37">
        <v>119139</v>
      </c>
      <c r="Q152" s="36" t="str">
        <f>CONCATENATE(Cover!$D$6,"fdd/view?i=",P152)</f>
        <v>https://www.dgiwg.org/FAD/fdd/view?i=119139</v>
      </c>
      <c r="R152" s="13" t="s">
        <v>6691</v>
      </c>
      <c r="S152" s="172"/>
      <c r="T152" s="172"/>
      <c r="CE152" s="87" t="s">
        <v>1790</v>
      </c>
    </row>
    <row r="153" spans="1:98" x14ac:dyDescent="0.2">
      <c r="A153" s="176" t="str">
        <f t="shared" si="5"/>
        <v>antennaConfiguration</v>
      </c>
      <c r="B153" s="11" t="s">
        <v>6696</v>
      </c>
      <c r="C153" s="173"/>
      <c r="D153" s="22" t="s">
        <v>6697</v>
      </c>
      <c r="E153" s="15" t="s">
        <v>6698</v>
      </c>
      <c r="F153" s="15" t="s">
        <v>6582</v>
      </c>
      <c r="G153" s="174"/>
      <c r="H153" s="17" t="s">
        <v>5932</v>
      </c>
      <c r="I153" s="269"/>
      <c r="J153" s="369" t="str">
        <f>HYPERLINK("[#]Datatypes!B158:L158","XesCode")</f>
        <v>XesCode</v>
      </c>
      <c r="K153" s="276"/>
      <c r="L153" s="272"/>
      <c r="M153" s="272"/>
      <c r="N153" s="248" t="str">
        <f>HYPERLINK("[#]DatatypeListedValues!A1450:H1450","&lt;values&gt;")</f>
        <v>&lt;values&gt;</v>
      </c>
      <c r="O153" s="277" t="b">
        <v>0</v>
      </c>
      <c r="P153" s="37">
        <v>119742</v>
      </c>
      <c r="Q153" s="36" t="str">
        <f>CONCATENATE(Cover!$D$6,"fdd/view?i=",P153)</f>
        <v>https://www.dgiwg.org/FAD/fdd/view?i=119742</v>
      </c>
      <c r="R153" s="13" t="s">
        <v>6695</v>
      </c>
      <c r="S153" s="172"/>
      <c r="T153" s="172"/>
      <c r="AE153" s="82" t="s">
        <v>1790</v>
      </c>
      <c r="CS153" s="165" t="s">
        <v>1790</v>
      </c>
      <c r="CT153" s="166" t="s">
        <v>1790</v>
      </c>
    </row>
    <row r="154" spans="1:98" x14ac:dyDescent="0.2">
      <c r="A154" s="176" t="str">
        <f t="shared" si="5"/>
        <v>approachCapMarkings</v>
      </c>
      <c r="B154" s="11" t="s">
        <v>6701</v>
      </c>
      <c r="C154" s="173"/>
      <c r="D154" s="22" t="s">
        <v>6702</v>
      </c>
      <c r="E154" s="15" t="s">
        <v>6703</v>
      </c>
      <c r="F154" s="174"/>
      <c r="G154" s="174"/>
      <c r="H154" s="17" t="s">
        <v>5932</v>
      </c>
      <c r="I154" s="269"/>
      <c r="J154" s="369" t="str">
        <f>HYPERLINK("[#]Datatypes!B160:L160","ApmCode")</f>
        <v>ApmCode</v>
      </c>
      <c r="K154" s="276"/>
      <c r="L154" s="272"/>
      <c r="M154" s="272"/>
      <c r="N154" s="248" t="str">
        <f>HYPERLINK("[#]DatatypeListedValues!A1454:H1454","&lt;values&gt;")</f>
        <v>&lt;values&gt;</v>
      </c>
      <c r="O154" s="277" t="b">
        <v>0</v>
      </c>
      <c r="P154" s="37">
        <v>119009</v>
      </c>
      <c r="Q154" s="36" t="str">
        <f>CONCATENATE(Cover!$D$6,"fdd/view?i=",P154)</f>
        <v>https://www.dgiwg.org/FAD/fdd/view?i=119009</v>
      </c>
      <c r="R154" s="13" t="s">
        <v>6700</v>
      </c>
      <c r="S154" s="172"/>
      <c r="T154" s="172"/>
      <c r="AT154" s="82" t="s">
        <v>1790</v>
      </c>
      <c r="CE154" s="87" t="s">
        <v>1790</v>
      </c>
    </row>
    <row r="155" spans="1:98" x14ac:dyDescent="0.2">
      <c r="A155" s="176" t="str">
        <f t="shared" si="5"/>
        <v>approachDescription</v>
      </c>
      <c r="B155" s="11" t="s">
        <v>6706</v>
      </c>
      <c r="C155" s="173"/>
      <c r="D155" s="22" t="s">
        <v>6707</v>
      </c>
      <c r="E155" s="15" t="s">
        <v>6708</v>
      </c>
      <c r="F155" s="174"/>
      <c r="G155" s="174"/>
      <c r="H155" s="17" t="s">
        <v>5932</v>
      </c>
      <c r="I155" s="269"/>
      <c r="J155" s="369" t="str">
        <f>HYPERLINK("[#]Datatypes!B1528:L1528","Text")</f>
        <v>Text</v>
      </c>
      <c r="K155" s="276"/>
      <c r="L155" s="272"/>
      <c r="M155" s="272"/>
      <c r="N155" s="273"/>
      <c r="O155" s="269"/>
      <c r="P155" s="37">
        <v>114411</v>
      </c>
      <c r="Q155" s="36" t="str">
        <f>CONCATENATE(Cover!$D$6,"fdd/view?i=",P155)</f>
        <v>https://www.dgiwg.org/FAD/fdd/view?i=114411</v>
      </c>
      <c r="R155" s="13" t="s">
        <v>6705</v>
      </c>
      <c r="S155" s="172"/>
      <c r="T155" s="172"/>
      <c r="CS155" s="165" t="s">
        <v>1790</v>
      </c>
    </row>
    <row r="156" spans="1:98" ht="114.75" x14ac:dyDescent="0.2">
      <c r="A156" s="176" t="str">
        <f t="shared" si="5"/>
        <v>approachMinimumVisibility</v>
      </c>
      <c r="B156" s="11" t="s">
        <v>6710</v>
      </c>
      <c r="C156" s="173"/>
      <c r="D156" s="22" t="s">
        <v>6711</v>
      </c>
      <c r="E156" s="15" t="s">
        <v>6712</v>
      </c>
      <c r="F156" s="15" t="s">
        <v>6713</v>
      </c>
      <c r="G156" s="174"/>
      <c r="H156" s="17" t="s">
        <v>5932</v>
      </c>
      <c r="I156" s="269"/>
      <c r="J156" s="369" t="str">
        <f>HYPERLINK("[#]Datatypes!B1231:L1231","Real")</f>
        <v>Real</v>
      </c>
      <c r="K156" s="271" t="str">
        <f>HYPERLINK("[#]PhysicalQuantities!A20:N20","Length")</f>
        <v>Length</v>
      </c>
      <c r="L156" s="270" t="str">
        <f>HYPERLINK("[#]UnitsOfMeasure!D94:G94","Nautical Mile")</f>
        <v>Nautical Mile</v>
      </c>
      <c r="M156" s="272"/>
      <c r="N156" s="273"/>
      <c r="O156" s="269"/>
      <c r="P156" s="37">
        <v>117497</v>
      </c>
      <c r="Q156" s="36" t="str">
        <f>CONCATENATE(Cover!$D$6,"fdd/view?i=",P156)</f>
        <v>https://www.dgiwg.org/FAD/fdd/view?i=117497</v>
      </c>
      <c r="R156" s="13" t="s">
        <v>6709</v>
      </c>
      <c r="S156" s="172"/>
      <c r="T156" s="172"/>
      <c r="CI156" s="89" t="s">
        <v>1790</v>
      </c>
    </row>
    <row r="157" spans="1:98" ht="25.5" x14ac:dyDescent="0.2">
      <c r="A157" s="176" t="str">
        <f t="shared" si="5"/>
        <v>approachPrefix</v>
      </c>
      <c r="B157" s="11" t="s">
        <v>6715</v>
      </c>
      <c r="C157" s="173"/>
      <c r="D157" s="22" t="s">
        <v>6716</v>
      </c>
      <c r="E157" s="15" t="s">
        <v>6717</v>
      </c>
      <c r="F157" s="174"/>
      <c r="G157" s="174"/>
      <c r="H157" s="17" t="s">
        <v>5932</v>
      </c>
      <c r="I157" s="269"/>
      <c r="J157" s="369" t="str">
        <f>HYPERLINK("[#]Datatypes!B162:L162","ApfCode")</f>
        <v>ApfCode</v>
      </c>
      <c r="K157" s="276"/>
      <c r="L157" s="272"/>
      <c r="M157" s="272"/>
      <c r="N157" s="248" t="str">
        <f>HYPERLINK("[#]DatatypeListedValues!A1457:H1457","&lt;values&gt;")</f>
        <v>&lt;values&gt;</v>
      </c>
      <c r="O157" s="277" t="b">
        <v>0</v>
      </c>
      <c r="P157" s="37">
        <v>117503</v>
      </c>
      <c r="Q157" s="36" t="str">
        <f>CONCATENATE(Cover!$D$6,"fdd/view?i=",P157)</f>
        <v>https://www.dgiwg.org/FAD/fdd/view?i=117503</v>
      </c>
      <c r="R157" s="13" t="s">
        <v>6714</v>
      </c>
      <c r="S157" s="172"/>
      <c r="T157" s="172"/>
      <c r="CI157" s="89" t="s">
        <v>1790</v>
      </c>
    </row>
    <row r="158" spans="1:98" ht="25.5" x14ac:dyDescent="0.2">
      <c r="A158" s="176" t="str">
        <f t="shared" si="5"/>
        <v>approachType</v>
      </c>
      <c r="B158" s="11" t="s">
        <v>6720</v>
      </c>
      <c r="C158" s="173"/>
      <c r="D158" s="22" t="s">
        <v>6721</v>
      </c>
      <c r="E158" s="15" t="s">
        <v>6722</v>
      </c>
      <c r="F158" s="15" t="s">
        <v>6723</v>
      </c>
      <c r="G158" s="174"/>
      <c r="H158" s="17" t="s">
        <v>5932</v>
      </c>
      <c r="I158" s="269"/>
      <c r="J158" s="369" t="str">
        <f>HYPERLINK("[#]Datatypes!B164:L164","IatCode")</f>
        <v>IatCode</v>
      </c>
      <c r="K158" s="276"/>
      <c r="L158" s="272"/>
      <c r="M158" s="272"/>
      <c r="N158" s="248" t="str">
        <f>HYPERLINK("[#]DatatypeListedValues!A1460:H1460","&lt;values&gt;")</f>
        <v>&lt;values&gt;</v>
      </c>
      <c r="O158" s="277" t="b">
        <v>0</v>
      </c>
      <c r="P158" s="37">
        <v>117592</v>
      </c>
      <c r="Q158" s="36" t="str">
        <f>CONCATENATE(Cover!$D$6,"fdd/view?i=",P158)</f>
        <v>https://www.dgiwg.org/FAD/fdd/view?i=117592</v>
      </c>
      <c r="R158" s="13" t="s">
        <v>6719</v>
      </c>
      <c r="S158" s="172"/>
      <c r="T158" s="172"/>
      <c r="CI158" s="89" t="s">
        <v>1790</v>
      </c>
    </row>
    <row r="159" spans="1:98" ht="25.5" x14ac:dyDescent="0.2">
      <c r="A159" s="176" t="str">
        <f t="shared" si="5"/>
        <v>apronTieDownAvail</v>
      </c>
      <c r="B159" s="11" t="s">
        <v>6726</v>
      </c>
      <c r="C159" s="173"/>
      <c r="D159" s="22" t="s">
        <v>6727</v>
      </c>
      <c r="E159" s="15" t="s">
        <v>6728</v>
      </c>
      <c r="F159" s="15" t="s">
        <v>6729</v>
      </c>
      <c r="G159" s="174"/>
      <c r="H159" s="17" t="s">
        <v>5932</v>
      </c>
      <c r="I159" s="269"/>
      <c r="J159" s="369" t="str">
        <f>HYPERLINK("[#]Datatypes!B240:L240","Boolean")</f>
        <v>Boolean</v>
      </c>
      <c r="K159" s="276"/>
      <c r="L159" s="272"/>
      <c r="M159" s="272"/>
      <c r="N159" s="273"/>
      <c r="O159" s="269"/>
      <c r="P159" s="37">
        <v>119053</v>
      </c>
      <c r="Q159" s="36" t="str">
        <f>CONCATENATE(Cover!$D$6,"fdd/view?i=",P159)</f>
        <v>https://www.dgiwg.org/FAD/fdd/view?i=119053</v>
      </c>
      <c r="R159" s="13" t="s">
        <v>6725</v>
      </c>
      <c r="S159" s="172"/>
      <c r="T159" s="172"/>
      <c r="AT159" s="82" t="s">
        <v>1790</v>
      </c>
      <c r="CE159" s="87" t="s">
        <v>1790</v>
      </c>
    </row>
    <row r="160" spans="1:98" ht="25.5" x14ac:dyDescent="0.2">
      <c r="A160" s="176" t="str">
        <f t="shared" si="5"/>
        <v>apronType</v>
      </c>
      <c r="B160" s="11" t="s">
        <v>6731</v>
      </c>
      <c r="C160" s="173"/>
      <c r="D160" s="22" t="s">
        <v>6732</v>
      </c>
      <c r="E160" s="15" t="s">
        <v>6733</v>
      </c>
      <c r="F160" s="174"/>
      <c r="G160" s="174"/>
      <c r="H160" s="17" t="s">
        <v>5932</v>
      </c>
      <c r="I160" s="269"/>
      <c r="J160" s="369" t="str">
        <f>HYPERLINK("[#]Datatypes!B166:L166","ApyCode")</f>
        <v>ApyCode</v>
      </c>
      <c r="K160" s="276"/>
      <c r="L160" s="272"/>
      <c r="M160" s="272"/>
      <c r="N160" s="248" t="str">
        <f>HYPERLINK("[#]DatatypeListedValues!A1494:H1494","&lt;values&gt;")</f>
        <v>&lt;values&gt;</v>
      </c>
      <c r="O160" s="277" t="b">
        <v>0</v>
      </c>
      <c r="P160" s="37">
        <v>117576</v>
      </c>
      <c r="Q160" s="36" t="str">
        <f>CONCATENATE(Cover!$D$6,"fdd/view?i=",P160)</f>
        <v>https://www.dgiwg.org/FAD/fdd/view?i=117576</v>
      </c>
      <c r="R160" s="13" t="s">
        <v>6730</v>
      </c>
      <c r="S160" s="172"/>
      <c r="T160" s="172"/>
      <c r="CE160" s="87" t="s">
        <v>1790</v>
      </c>
    </row>
    <row r="161" spans="1:99" x14ac:dyDescent="0.2">
      <c r="A161" s="176" t="str">
        <f t="shared" si="5"/>
        <v>apronUsage</v>
      </c>
      <c r="B161" s="11" t="s">
        <v>6736</v>
      </c>
      <c r="C161" s="173"/>
      <c r="D161" s="22" t="s">
        <v>6737</v>
      </c>
      <c r="E161" s="15" t="s">
        <v>6738</v>
      </c>
      <c r="F161" s="174"/>
      <c r="G161" s="174"/>
      <c r="H161" s="17" t="s">
        <v>5932</v>
      </c>
      <c r="I161" s="17" t="s">
        <v>6029</v>
      </c>
      <c r="J161" s="369" t="str">
        <f>HYPERLINK("[#]Datatypes!B168:L168","ApuCode")</f>
        <v>ApuCode</v>
      </c>
      <c r="K161" s="276"/>
      <c r="L161" s="272"/>
      <c r="M161" s="272"/>
      <c r="N161" s="248" t="str">
        <f>HYPERLINK("[#]DatatypeListedValues!A1502:H1502","&lt;values&gt;")</f>
        <v>&lt;values&gt;</v>
      </c>
      <c r="O161" s="277" t="b">
        <v>0</v>
      </c>
      <c r="P161" s="37">
        <v>117580</v>
      </c>
      <c r="Q161" s="36" t="str">
        <f>CONCATENATE(Cover!$D$6,"fdd/view?i=",P161)</f>
        <v>https://www.dgiwg.org/FAD/fdd/view?i=117580</v>
      </c>
      <c r="R161" s="13" t="s">
        <v>6735</v>
      </c>
      <c r="S161" s="172"/>
      <c r="T161" s="172"/>
      <c r="CE161" s="87" t="s">
        <v>1790</v>
      </c>
    </row>
    <row r="162" spans="1:99" x14ac:dyDescent="0.2">
      <c r="A162" s="176" t="str">
        <f t="shared" si="5"/>
        <v>aquacultureFacilityType</v>
      </c>
      <c r="B162" s="11" t="s">
        <v>6741</v>
      </c>
      <c r="C162" s="173"/>
      <c r="D162" s="22" t="s">
        <v>6742</v>
      </c>
      <c r="E162" s="15" t="s">
        <v>6743</v>
      </c>
      <c r="F162" s="174"/>
      <c r="G162" s="174"/>
      <c r="H162" s="17" t="s">
        <v>5932</v>
      </c>
      <c r="I162" s="269"/>
      <c r="J162" s="369" t="str">
        <f>HYPERLINK("[#]Datatypes!B170:L170","AqfCode")</f>
        <v>AqfCode</v>
      </c>
      <c r="K162" s="276"/>
      <c r="L162" s="272"/>
      <c r="M162" s="272"/>
      <c r="N162" s="248" t="str">
        <f>HYPERLINK("[#]DatatypeListedValues!A1517:H1517","&lt;values&gt;")</f>
        <v>&lt;values&gt;</v>
      </c>
      <c r="O162" s="277" t="b">
        <v>0</v>
      </c>
      <c r="P162" s="37">
        <v>113623</v>
      </c>
      <c r="Q162" s="36" t="str">
        <f>CONCATENATE(Cover!$D$6,"fdd/view?i=",P162)</f>
        <v>https://www.dgiwg.org/FAD/fdd/view?i=113623</v>
      </c>
      <c r="R162" s="13" t="s">
        <v>6740</v>
      </c>
      <c r="S162" s="172"/>
      <c r="T162" s="172"/>
      <c r="AC162" s="82" t="s">
        <v>1790</v>
      </c>
      <c r="AZ162" s="87" t="s">
        <v>1790</v>
      </c>
      <c r="BA162" s="83" t="s">
        <v>1790</v>
      </c>
      <c r="BJ162" s="83" t="s">
        <v>1790</v>
      </c>
      <c r="CA162" s="83" t="s">
        <v>1790</v>
      </c>
      <c r="CB162" s="89" t="s">
        <v>1790</v>
      </c>
      <c r="CT162" s="166" t="s">
        <v>1790</v>
      </c>
    </row>
    <row r="163" spans="1:99" ht="25.5" x14ac:dyDescent="0.2">
      <c r="A163" s="176" t="str">
        <f t="shared" si="5"/>
        <v>aquaticVegCover</v>
      </c>
      <c r="B163" s="11" t="s">
        <v>6746</v>
      </c>
      <c r="C163" s="173"/>
      <c r="D163" s="22" t="s">
        <v>6747</v>
      </c>
      <c r="E163" s="15" t="s">
        <v>6748</v>
      </c>
      <c r="F163" s="174"/>
      <c r="G163" s="174"/>
      <c r="H163" s="17" t="s">
        <v>5932</v>
      </c>
      <c r="I163" s="269"/>
      <c r="J163" s="369" t="str">
        <f>HYPERLINK("[#]Datatypes!B1238:L1238","RealNonNegInterval100")</f>
        <v>RealNonNegInterval100</v>
      </c>
      <c r="K163" s="271" t="str">
        <f>HYPERLINK("[#]PhysicalQuantities!A39:N39","Pure Number")</f>
        <v>Pure Number</v>
      </c>
      <c r="L163" s="270" t="str">
        <f>HYPERLINK("[#]UnitsOfMeasure!D215:G215","Percent")</f>
        <v>Percent</v>
      </c>
      <c r="M163" s="272"/>
      <c r="N163" s="273"/>
      <c r="O163" s="269"/>
      <c r="P163" s="37">
        <v>114343</v>
      </c>
      <c r="Q163" s="36" t="str">
        <f>CONCATENATE(Cover!$D$6,"fdd/view?i=",P163)</f>
        <v>https://www.dgiwg.org/FAD/fdd/view?i=114343</v>
      </c>
      <c r="R163" s="13" t="s">
        <v>6745</v>
      </c>
      <c r="S163" s="172"/>
      <c r="T163" s="172"/>
      <c r="AZ163" s="87" t="s">
        <v>1790</v>
      </c>
      <c r="BG163" s="83" t="s">
        <v>1790</v>
      </c>
      <c r="BJ163" s="83" t="s">
        <v>1790</v>
      </c>
      <c r="CB163" s="89" t="s">
        <v>1790</v>
      </c>
      <c r="CQ163" s="165" t="s">
        <v>1790</v>
      </c>
      <c r="CS163" s="165" t="s">
        <v>1790</v>
      </c>
    </row>
    <row r="164" spans="1:99" x14ac:dyDescent="0.2">
      <c r="A164" s="176" t="str">
        <f t="shared" si="5"/>
        <v>aquaticVegGrowthHabit</v>
      </c>
      <c r="B164" s="11" t="s">
        <v>6751</v>
      </c>
      <c r="C164" s="173"/>
      <c r="D164" s="22" t="s">
        <v>6752</v>
      </c>
      <c r="E164" s="15" t="s">
        <v>6753</v>
      </c>
      <c r="F164" s="174"/>
      <c r="G164" s="174"/>
      <c r="H164" s="17" t="s">
        <v>5932</v>
      </c>
      <c r="I164" s="269"/>
      <c r="J164" s="369" t="str">
        <f>HYPERLINK("[#]Datatypes!B172:L172","AghCode")</f>
        <v>AghCode</v>
      </c>
      <c r="K164" s="276"/>
      <c r="L164" s="272"/>
      <c r="M164" s="272"/>
      <c r="N164" s="248" t="str">
        <f>HYPERLINK("[#]DatatypeListedValues!A1524:H1524","&lt;values&gt;")</f>
        <v>&lt;values&gt;</v>
      </c>
      <c r="O164" s="277" t="b">
        <v>0</v>
      </c>
      <c r="P164" s="37">
        <v>119178</v>
      </c>
      <c r="Q164" s="36" t="str">
        <f>CONCATENATE(Cover!$D$6,"fdd/view?i=",P164)</f>
        <v>https://www.dgiwg.org/FAD/fdd/view?i=119178</v>
      </c>
      <c r="R164" s="13" t="s">
        <v>6750</v>
      </c>
      <c r="S164" s="172"/>
      <c r="T164" s="172"/>
      <c r="AZ164" s="87" t="s">
        <v>1790</v>
      </c>
      <c r="BG164" s="83" t="s">
        <v>1790</v>
      </c>
      <c r="CA164" s="83" t="s">
        <v>1790</v>
      </c>
      <c r="CB164" s="89" t="s">
        <v>1790</v>
      </c>
    </row>
    <row r="165" spans="1:99" x14ac:dyDescent="0.2">
      <c r="A165" s="176" t="str">
        <f t="shared" si="5"/>
        <v>aqueductType</v>
      </c>
      <c r="B165" s="11" t="s">
        <v>6756</v>
      </c>
      <c r="C165" s="173"/>
      <c r="D165" s="22" t="s">
        <v>6757</v>
      </c>
      <c r="E165" s="15" t="s">
        <v>6758</v>
      </c>
      <c r="F165" s="174"/>
      <c r="G165" s="174"/>
      <c r="H165" s="17" t="s">
        <v>5932</v>
      </c>
      <c r="I165" s="269"/>
      <c r="J165" s="369" t="str">
        <f>HYPERLINK("[#]Datatypes!B174:L174","AtcCode")</f>
        <v>AtcCode</v>
      </c>
      <c r="K165" s="276"/>
      <c r="L165" s="272"/>
      <c r="M165" s="272"/>
      <c r="N165" s="248" t="str">
        <f>HYPERLINK("[#]DatatypeListedValues!A1528:H1528","&lt;values&gt;")</f>
        <v>&lt;values&gt;</v>
      </c>
      <c r="O165" s="277" t="b">
        <v>0</v>
      </c>
      <c r="P165" s="37">
        <v>100629</v>
      </c>
      <c r="Q165" s="36" t="str">
        <f>CONCATENATE(Cover!$D$6,"fdd/view?i=",P165)</f>
        <v>https://www.dgiwg.org/FAD/fdd/view?i=100629</v>
      </c>
      <c r="R165" s="13" t="s">
        <v>6755</v>
      </c>
      <c r="S165" s="172"/>
      <c r="T165" s="172"/>
      <c r="AF165" s="82" t="s">
        <v>1790</v>
      </c>
      <c r="BJ165" s="83" t="s">
        <v>1790</v>
      </c>
      <c r="CT165" s="166" t="s">
        <v>1790</v>
      </c>
    </row>
    <row r="166" spans="1:99" ht="25.5" x14ac:dyDescent="0.2">
      <c r="A166" s="176" t="str">
        <f t="shared" si="5"/>
        <v>aquiferComposition</v>
      </c>
      <c r="B166" s="11" t="s">
        <v>6761</v>
      </c>
      <c r="C166" s="173"/>
      <c r="D166" s="22" t="s">
        <v>6762</v>
      </c>
      <c r="E166" s="15" t="s">
        <v>6763</v>
      </c>
      <c r="F166" s="15" t="s">
        <v>6764</v>
      </c>
      <c r="G166" s="174"/>
      <c r="H166" s="17" t="s">
        <v>5932</v>
      </c>
      <c r="I166" s="269"/>
      <c r="J166" s="369" t="str">
        <f>HYPERLINK("[#]Datatypes!B176:L176","AqpCode")</f>
        <v>AqpCode</v>
      </c>
      <c r="K166" s="276"/>
      <c r="L166" s="272"/>
      <c r="M166" s="272"/>
      <c r="N166" s="248" t="str">
        <f>HYPERLINK("[#]DatatypeListedValues!A1532:H1532","&lt;values&gt;")</f>
        <v>&lt;values&gt;</v>
      </c>
      <c r="O166" s="277" t="b">
        <v>0</v>
      </c>
      <c r="P166" s="37">
        <v>119034</v>
      </c>
      <c r="Q166" s="36" t="str">
        <f>CONCATENATE(Cover!$D$6,"fdd/view?i=",P166)</f>
        <v>https://www.dgiwg.org/FAD/fdd/view?i=119034</v>
      </c>
      <c r="R166" s="13" t="s">
        <v>6760</v>
      </c>
      <c r="S166" s="172"/>
      <c r="T166" s="172"/>
      <c r="BN166" s="82" t="s">
        <v>1790</v>
      </c>
      <c r="BP166" s="82" t="s">
        <v>1790</v>
      </c>
    </row>
    <row r="167" spans="1:99" ht="25.5" x14ac:dyDescent="0.2">
      <c r="A167" s="176" t="str">
        <f t="shared" si="5"/>
        <v>aquiferDepth</v>
      </c>
      <c r="B167" s="11" t="s">
        <v>6767</v>
      </c>
      <c r="C167" s="173"/>
      <c r="D167" s="22" t="s">
        <v>6768</v>
      </c>
      <c r="E167" s="15" t="s">
        <v>6769</v>
      </c>
      <c r="F167" s="174"/>
      <c r="G167" s="174"/>
      <c r="H167" s="17" t="s">
        <v>5932</v>
      </c>
      <c r="I167" s="269"/>
      <c r="J167" s="369" t="str">
        <f>HYPERLINK("[#]Datatypes!B1233:L1233","RealInterval")</f>
        <v>RealInterval</v>
      </c>
      <c r="K167" s="271" t="str">
        <f>HYPERLINK("[#]PhysicalQuantities!A20:N20","Length")</f>
        <v>Length</v>
      </c>
      <c r="L167" s="270" t="str">
        <f>HYPERLINK("[#]UnitsOfMeasure!D80:G80","Metre")</f>
        <v>Metre</v>
      </c>
      <c r="M167" s="272"/>
      <c r="N167" s="273"/>
      <c r="O167" s="269"/>
      <c r="P167" s="37">
        <v>118581</v>
      </c>
      <c r="Q167" s="36" t="str">
        <f>CONCATENATE(Cover!$D$6,"fdd/view?i=",P167)</f>
        <v>https://www.dgiwg.org/FAD/fdd/view?i=118581</v>
      </c>
      <c r="R167" s="13" t="s">
        <v>6766</v>
      </c>
      <c r="S167" s="172"/>
      <c r="T167" s="172"/>
      <c r="BP167" s="82" t="s">
        <v>1790</v>
      </c>
      <c r="CP167" s="164" t="s">
        <v>1790</v>
      </c>
    </row>
    <row r="168" spans="1:99" x14ac:dyDescent="0.2">
      <c r="A168" s="176" t="str">
        <f t="shared" si="5"/>
        <v>aquiferName</v>
      </c>
      <c r="B168" s="11" t="s">
        <v>6771</v>
      </c>
      <c r="C168" s="173"/>
      <c r="D168" s="22" t="s">
        <v>6772</v>
      </c>
      <c r="E168" s="15" t="s">
        <v>6773</v>
      </c>
      <c r="F168" s="174"/>
      <c r="G168" s="174"/>
      <c r="H168" s="17" t="s">
        <v>5932</v>
      </c>
      <c r="I168" s="269"/>
      <c r="J168" s="369" t="str">
        <f>HYPERLINK("[#]Datatypes!B1544:L1544","TextLexUnconstrained")</f>
        <v>TextLexUnconstrained</v>
      </c>
      <c r="K168" s="276"/>
      <c r="L168" s="272"/>
      <c r="M168" s="272"/>
      <c r="N168" s="273"/>
      <c r="O168" s="269"/>
      <c r="P168" s="37">
        <v>119397</v>
      </c>
      <c r="Q168" s="36" t="str">
        <f>CONCATENATE(Cover!$D$6,"fdd/view?i=",P168)</f>
        <v>https://www.dgiwg.org/FAD/fdd/view?i=119397</v>
      </c>
      <c r="R168" s="13" t="s">
        <v>6770</v>
      </c>
      <c r="S168" s="172"/>
      <c r="T168" s="172"/>
      <c r="BP168" s="82" t="s">
        <v>1790</v>
      </c>
      <c r="CU168" s="87" t="s">
        <v>1790</v>
      </c>
    </row>
    <row r="169" spans="1:99" ht="25.5" x14ac:dyDescent="0.2">
      <c r="A169" s="176" t="str">
        <f t="shared" si="5"/>
        <v>aquiferOverburden</v>
      </c>
      <c r="B169" s="11" t="s">
        <v>6775</v>
      </c>
      <c r="C169" s="173"/>
      <c r="D169" s="22" t="s">
        <v>6776</v>
      </c>
      <c r="E169" s="15" t="s">
        <v>6777</v>
      </c>
      <c r="F169" s="174"/>
      <c r="G169" s="174"/>
      <c r="H169" s="17" t="s">
        <v>5932</v>
      </c>
      <c r="I169" s="17" t="s">
        <v>6029</v>
      </c>
      <c r="J169" s="369" t="str">
        <f>HYPERLINK("[#]Datatypes!B178:L178","AqoCode")</f>
        <v>AqoCode</v>
      </c>
      <c r="K169" s="276"/>
      <c r="L169" s="272"/>
      <c r="M169" s="272"/>
      <c r="N169" s="248" t="str">
        <f>HYPERLINK("[#]DatatypeListedValues!A1552:H1552","&lt;values&gt;")</f>
        <v>&lt;values&gt;</v>
      </c>
      <c r="O169" s="277" t="b">
        <v>0</v>
      </c>
      <c r="P169" s="37">
        <v>119014</v>
      </c>
      <c r="Q169" s="36" t="str">
        <f>CONCATENATE(Cover!$D$6,"fdd/view?i=",P169)</f>
        <v>https://www.dgiwg.org/FAD/fdd/view?i=119014</v>
      </c>
      <c r="R169" s="13" t="s">
        <v>6774</v>
      </c>
      <c r="S169" s="172"/>
      <c r="T169" s="172"/>
      <c r="BN169" s="82" t="s">
        <v>1790</v>
      </c>
      <c r="BP169" s="82" t="s">
        <v>1790</v>
      </c>
    </row>
    <row r="170" spans="1:99" ht="38.25" x14ac:dyDescent="0.2">
      <c r="A170" s="176" t="str">
        <f t="shared" si="5"/>
        <v>aquiferProductivity</v>
      </c>
      <c r="B170" s="11" t="s">
        <v>6780</v>
      </c>
      <c r="C170" s="173"/>
      <c r="D170" s="22" t="s">
        <v>6781</v>
      </c>
      <c r="E170" s="15" t="s">
        <v>6782</v>
      </c>
      <c r="F170" s="15" t="s">
        <v>6783</v>
      </c>
      <c r="G170" s="174"/>
      <c r="H170" s="17" t="s">
        <v>5932</v>
      </c>
      <c r="I170" s="269"/>
      <c r="J170" s="369" t="str">
        <f>HYPERLINK("[#]Datatypes!B180:L180","AqcCode")</f>
        <v>AqcCode</v>
      </c>
      <c r="K170" s="276"/>
      <c r="L170" s="272"/>
      <c r="M170" s="272"/>
      <c r="N170" s="248" t="str">
        <f>HYPERLINK("[#]DatatypeListedValues!A1572:H1572","&lt;values&gt;")</f>
        <v>&lt;values&gt;</v>
      </c>
      <c r="O170" s="277" t="b">
        <v>0</v>
      </c>
      <c r="P170" s="37">
        <v>111481</v>
      </c>
      <c r="Q170" s="36" t="str">
        <f>CONCATENATE(Cover!$D$6,"fdd/view?i=",P170)</f>
        <v>https://www.dgiwg.org/FAD/fdd/view?i=111481</v>
      </c>
      <c r="R170" s="13" t="s">
        <v>6779</v>
      </c>
      <c r="S170" s="172"/>
      <c r="T170" s="172"/>
      <c r="BP170" s="82" t="s">
        <v>1790</v>
      </c>
      <c r="CS170" s="165" t="s">
        <v>1790</v>
      </c>
    </row>
    <row r="171" spans="1:99" ht="25.5" x14ac:dyDescent="0.2">
      <c r="A171" s="176" t="str">
        <f t="shared" si="5"/>
        <v>aquiferThickness</v>
      </c>
      <c r="B171" s="11" t="s">
        <v>6786</v>
      </c>
      <c r="C171" s="173"/>
      <c r="D171" s="22" t="s">
        <v>6787</v>
      </c>
      <c r="E171" s="15" t="s">
        <v>6788</v>
      </c>
      <c r="F171" s="15" t="s">
        <v>6789</v>
      </c>
      <c r="G171" s="174"/>
      <c r="H171" s="17" t="s">
        <v>5932</v>
      </c>
      <c r="I171" s="269"/>
      <c r="J171" s="369" t="str">
        <f>HYPERLINK("[#]Datatypes!B1233:L1233","RealInterval")</f>
        <v>RealInterval</v>
      </c>
      <c r="K171" s="271" t="str">
        <f>HYPERLINK("[#]PhysicalQuantities!A20:N20","Length")</f>
        <v>Length</v>
      </c>
      <c r="L171" s="270" t="str">
        <f>HYPERLINK("[#]UnitsOfMeasure!D80:G80","Metre")</f>
        <v>Metre</v>
      </c>
      <c r="M171" s="272"/>
      <c r="N171" s="273"/>
      <c r="O171" s="269"/>
      <c r="P171" s="37">
        <v>111482</v>
      </c>
      <c r="Q171" s="36" t="str">
        <f>CONCATENATE(Cover!$D$6,"fdd/view?i=",P171)</f>
        <v>https://www.dgiwg.org/FAD/fdd/view?i=111482</v>
      </c>
      <c r="R171" s="13" t="s">
        <v>6785</v>
      </c>
      <c r="S171" s="172"/>
      <c r="T171" s="172"/>
      <c r="BP171" s="82" t="s">
        <v>1790</v>
      </c>
      <c r="CQ171" s="165" t="s">
        <v>1790</v>
      </c>
    </row>
    <row r="172" spans="1:99" ht="25.5" x14ac:dyDescent="0.2">
      <c r="A172" s="176" t="str">
        <f t="shared" si="5"/>
        <v>aquiferYieldRating</v>
      </c>
      <c r="B172" s="11" t="s">
        <v>6791</v>
      </c>
      <c r="C172" s="173"/>
      <c r="D172" s="22" t="s">
        <v>6792</v>
      </c>
      <c r="E172" s="15" t="s">
        <v>6793</v>
      </c>
      <c r="F172" s="174"/>
      <c r="G172" s="174"/>
      <c r="H172" s="17" t="s">
        <v>5932</v>
      </c>
      <c r="I172" s="269"/>
      <c r="J172" s="369" t="str">
        <f>HYPERLINK("[#]Datatypes!B1233:L1233","RealInterval")</f>
        <v>RealInterval</v>
      </c>
      <c r="K172" s="271" t="str">
        <f>HYPERLINK("[#]PhysicalQuantities!A53:N53","Volume Flow Rate")</f>
        <v>Volume Flow Rate</v>
      </c>
      <c r="L172" s="270" t="str">
        <f>HYPERLINK("[#]UnitsOfMeasure!D291:G291","Litre per Minute")</f>
        <v>Litre per Minute</v>
      </c>
      <c r="M172" s="272"/>
      <c r="N172" s="273"/>
      <c r="O172" s="269"/>
      <c r="P172" s="37">
        <v>119054</v>
      </c>
      <c r="Q172" s="36" t="str">
        <f>CONCATENATE(Cover!$D$6,"fdd/view?i=",P172)</f>
        <v>https://www.dgiwg.org/FAD/fdd/view?i=119054</v>
      </c>
      <c r="R172" s="13" t="s">
        <v>6790</v>
      </c>
      <c r="S172" s="172"/>
      <c r="T172" s="172"/>
      <c r="BP172" s="82" t="s">
        <v>1790</v>
      </c>
      <c r="CQ172" s="165" t="s">
        <v>1790</v>
      </c>
    </row>
    <row r="173" spans="1:99" x14ac:dyDescent="0.2">
      <c r="A173" s="176" t="str">
        <f t="shared" si="5"/>
        <v>area</v>
      </c>
      <c r="B173" s="11" t="s">
        <v>6794</v>
      </c>
      <c r="C173" s="173"/>
      <c r="D173" s="22" t="s">
        <v>216</v>
      </c>
      <c r="E173" s="15" t="s">
        <v>6795</v>
      </c>
      <c r="F173" s="174"/>
      <c r="G173" s="174"/>
      <c r="H173" s="17" t="s">
        <v>5932</v>
      </c>
      <c r="I173" s="269"/>
      <c r="J173" s="369" t="str">
        <f t="shared" ref="J173:J178" si="6">HYPERLINK("[#]Datatypes!B1231:L1231","Real")</f>
        <v>Real</v>
      </c>
      <c r="K173" s="271" t="str">
        <f>HYPERLINK("[#]PhysicalQuantities!A4:N4","Area")</f>
        <v>Area</v>
      </c>
      <c r="L173" s="270" t="str">
        <f>HYPERLINK("[#]UnitsOfMeasure!D7:G7","Square Metre")</f>
        <v>Square Metre</v>
      </c>
      <c r="M173" s="272"/>
      <c r="N173" s="273"/>
      <c r="O173" s="269"/>
      <c r="P173" s="37">
        <v>100620</v>
      </c>
      <c r="Q173" s="36" t="str">
        <f>CONCATENATE(Cover!$D$6,"fdd/view?i=",P173)</f>
        <v>https://www.dgiwg.org/FAD/fdd/view?i=100620</v>
      </c>
      <c r="R173" s="13" t="s">
        <v>215</v>
      </c>
      <c r="S173" s="172"/>
      <c r="T173" s="172"/>
      <c r="CQ173" s="165" t="s">
        <v>1790</v>
      </c>
    </row>
    <row r="174" spans="1:99" ht="25.5" x14ac:dyDescent="0.2">
      <c r="A174" s="176" t="str">
        <f t="shared" si="5"/>
        <v>areaInitialAngle</v>
      </c>
      <c r="B174" s="11" t="s">
        <v>6797</v>
      </c>
      <c r="C174" s="173"/>
      <c r="D174" s="22" t="s">
        <v>6798</v>
      </c>
      <c r="E174" s="15" t="s">
        <v>6799</v>
      </c>
      <c r="F174" s="15" t="s">
        <v>6800</v>
      </c>
      <c r="G174" s="174"/>
      <c r="H174" s="17" t="s">
        <v>5932</v>
      </c>
      <c r="I174" s="269"/>
      <c r="J174" s="369" t="str">
        <f t="shared" si="6"/>
        <v>Real</v>
      </c>
      <c r="K174" s="271" t="str">
        <f>HYPERLINK("[#]PhysicalQuantities!A34:N34","Plane Angle")</f>
        <v>Plane Angle</v>
      </c>
      <c r="L174" s="270" t="str">
        <f>HYPERLINK("[#]UnitsOfMeasure!D159:G159","Arc Degree")</f>
        <v>Arc Degree</v>
      </c>
      <c r="M174" s="272"/>
      <c r="N174" s="273"/>
      <c r="O174" s="269"/>
      <c r="P174" s="37">
        <v>117456</v>
      </c>
      <c r="Q174" s="36" t="str">
        <f>CONCATENATE(Cover!$D$6,"fdd/view?i=",P174)</f>
        <v>https://www.dgiwg.org/FAD/fdd/view?i=117456</v>
      </c>
      <c r="R174" s="13" t="s">
        <v>6796</v>
      </c>
      <c r="S174" s="172"/>
      <c r="T174" s="172"/>
      <c r="CI174" s="89" t="s">
        <v>1790</v>
      </c>
    </row>
    <row r="175" spans="1:99" ht="25.5" x14ac:dyDescent="0.2">
      <c r="A175" s="176" t="str">
        <f t="shared" si="5"/>
        <v>areaInnerBoundaryDistance</v>
      </c>
      <c r="B175" s="11" t="s">
        <v>6802</v>
      </c>
      <c r="C175" s="173"/>
      <c r="D175" s="22" t="s">
        <v>6803</v>
      </c>
      <c r="E175" s="15" t="s">
        <v>6804</v>
      </c>
      <c r="F175" s="15" t="s">
        <v>6800</v>
      </c>
      <c r="G175" s="174"/>
      <c r="H175" s="17" t="s">
        <v>5932</v>
      </c>
      <c r="I175" s="269"/>
      <c r="J175" s="369" t="str">
        <f t="shared" si="6"/>
        <v>Real</v>
      </c>
      <c r="K175" s="271" t="str">
        <f>HYPERLINK("[#]PhysicalQuantities!A20:N20","Length")</f>
        <v>Length</v>
      </c>
      <c r="L175" s="270" t="str">
        <f>HYPERLINK("[#]UnitsOfMeasure!D94:G94","Nautical Mile")</f>
        <v>Nautical Mile</v>
      </c>
      <c r="M175" s="272"/>
      <c r="N175" s="273"/>
      <c r="O175" s="269"/>
      <c r="P175" s="37">
        <v>117474</v>
      </c>
      <c r="Q175" s="36" t="str">
        <f>CONCATENATE(Cover!$D$6,"fdd/view?i=",P175)</f>
        <v>https://www.dgiwg.org/FAD/fdd/view?i=117474</v>
      </c>
      <c r="R175" s="13" t="s">
        <v>6801</v>
      </c>
      <c r="S175" s="172"/>
      <c r="T175" s="172"/>
      <c r="CI175" s="89" t="s">
        <v>1790</v>
      </c>
    </row>
    <row r="176" spans="1:99" ht="38.25" x14ac:dyDescent="0.2">
      <c r="A176" s="176" t="str">
        <f t="shared" si="5"/>
        <v>areaMinimumAltitude</v>
      </c>
      <c r="B176" s="11" t="s">
        <v>6806</v>
      </c>
      <c r="C176" s="173"/>
      <c r="D176" s="22" t="s">
        <v>6807</v>
      </c>
      <c r="E176" s="15" t="s">
        <v>6808</v>
      </c>
      <c r="F176" s="15" t="s">
        <v>6809</v>
      </c>
      <c r="G176" s="15" t="s">
        <v>6653</v>
      </c>
      <c r="H176" s="17" t="s">
        <v>5932</v>
      </c>
      <c r="I176" s="269"/>
      <c r="J176" s="369" t="str">
        <f t="shared" si="6"/>
        <v>Real</v>
      </c>
      <c r="K176" s="271" t="str">
        <f>HYPERLINK("[#]PhysicalQuantities!A20:N20","Length")</f>
        <v>Length</v>
      </c>
      <c r="L176" s="270" t="str">
        <f>HYPERLINK("[#]UnitsOfMeasure!D103:G103","Foot")</f>
        <v>Foot</v>
      </c>
      <c r="M176" s="270" t="str">
        <f>HYPERLINK("[#]UnitsOfMeasure!D154:G154","Flight Level")</f>
        <v>Flight Level</v>
      </c>
      <c r="N176" s="273"/>
      <c r="O176" s="269"/>
      <c r="P176" s="37">
        <v>117460</v>
      </c>
      <c r="Q176" s="36" t="str">
        <f>CONCATENATE(Cover!$D$6,"fdd/view?i=",P176)</f>
        <v>https://www.dgiwg.org/FAD/fdd/view?i=117460</v>
      </c>
      <c r="R176" s="13" t="s">
        <v>6805</v>
      </c>
      <c r="S176" s="172"/>
      <c r="T176" s="172"/>
      <c r="CI176" s="89" t="s">
        <v>1790</v>
      </c>
    </row>
    <row r="177" spans="1:101" ht="25.5" x14ac:dyDescent="0.2">
      <c r="A177" s="176" t="str">
        <f t="shared" si="5"/>
        <v>areaOuterBoundaryDistance</v>
      </c>
      <c r="B177" s="11" t="s">
        <v>6811</v>
      </c>
      <c r="C177" s="173"/>
      <c r="D177" s="22" t="s">
        <v>6812</v>
      </c>
      <c r="E177" s="15" t="s">
        <v>6813</v>
      </c>
      <c r="F177" s="15" t="s">
        <v>6800</v>
      </c>
      <c r="G177" s="174"/>
      <c r="H177" s="17" t="s">
        <v>5932</v>
      </c>
      <c r="I177" s="269"/>
      <c r="J177" s="369" t="str">
        <f t="shared" si="6"/>
        <v>Real</v>
      </c>
      <c r="K177" s="271" t="str">
        <f>HYPERLINK("[#]PhysicalQuantities!A20:N20","Length")</f>
        <v>Length</v>
      </c>
      <c r="L177" s="270" t="str">
        <f>HYPERLINK("[#]UnitsOfMeasure!D94:G94","Nautical Mile")</f>
        <v>Nautical Mile</v>
      </c>
      <c r="M177" s="272"/>
      <c r="N177" s="273"/>
      <c r="O177" s="269"/>
      <c r="P177" s="37">
        <v>117475</v>
      </c>
      <c r="Q177" s="36" t="str">
        <f>CONCATENATE(Cover!$D$6,"fdd/view?i=",P177)</f>
        <v>https://www.dgiwg.org/FAD/fdd/view?i=117475</v>
      </c>
      <c r="R177" s="13" t="s">
        <v>6810</v>
      </c>
      <c r="S177" s="172"/>
      <c r="T177" s="172"/>
      <c r="CI177" s="89" t="s">
        <v>1790</v>
      </c>
    </row>
    <row r="178" spans="1:101" ht="25.5" x14ac:dyDescent="0.2">
      <c r="A178" s="176" t="str">
        <f t="shared" si="5"/>
        <v>areaTerminatingAngle</v>
      </c>
      <c r="B178" s="11" t="s">
        <v>6815</v>
      </c>
      <c r="C178" s="173"/>
      <c r="D178" s="22" t="s">
        <v>6816</v>
      </c>
      <c r="E178" s="15" t="s">
        <v>6817</v>
      </c>
      <c r="F178" s="15" t="s">
        <v>6800</v>
      </c>
      <c r="G178" s="174"/>
      <c r="H178" s="17" t="s">
        <v>5932</v>
      </c>
      <c r="I178" s="269"/>
      <c r="J178" s="369" t="str">
        <f t="shared" si="6"/>
        <v>Real</v>
      </c>
      <c r="K178" s="271" t="str">
        <f>HYPERLINK("[#]PhysicalQuantities!A34:N34","Plane Angle")</f>
        <v>Plane Angle</v>
      </c>
      <c r="L178" s="270" t="str">
        <f>HYPERLINK("[#]UnitsOfMeasure!D159:G159","Arc Degree")</f>
        <v>Arc Degree</v>
      </c>
      <c r="M178" s="272"/>
      <c r="N178" s="273"/>
      <c r="O178" s="269"/>
      <c r="P178" s="37">
        <v>117457</v>
      </c>
      <c r="Q178" s="36" t="str">
        <f>CONCATENATE(Cover!$D$6,"fdd/view?i=",P178)</f>
        <v>https://www.dgiwg.org/FAD/fdd/view?i=117457</v>
      </c>
      <c r="R178" s="13" t="s">
        <v>6814</v>
      </c>
      <c r="S178" s="172"/>
      <c r="T178" s="172"/>
      <c r="CI178" s="89" t="s">
        <v>1790</v>
      </c>
    </row>
    <row r="179" spans="1:101" x14ac:dyDescent="0.2">
      <c r="A179" s="176" t="str">
        <f t="shared" si="5"/>
        <v>aridMonthCount</v>
      </c>
      <c r="B179" s="11" t="s">
        <v>6819</v>
      </c>
      <c r="C179" s="173"/>
      <c r="D179" s="22" t="s">
        <v>6820</v>
      </c>
      <c r="E179" s="15" t="s">
        <v>6821</v>
      </c>
      <c r="F179" s="174"/>
      <c r="G179" s="174"/>
      <c r="H179" s="17" t="s">
        <v>5932</v>
      </c>
      <c r="I179" s="269"/>
      <c r="J179" s="369" t="str">
        <f>HYPERLINK("[#]Datatypes!B380:L380","Count")</f>
        <v>Count</v>
      </c>
      <c r="K179" s="276"/>
      <c r="L179" s="272"/>
      <c r="M179" s="272"/>
      <c r="N179" s="273"/>
      <c r="O179" s="269"/>
      <c r="P179" s="37">
        <v>111475</v>
      </c>
      <c r="Q179" s="36" t="str">
        <f>CONCATENATE(Cover!$D$6,"fdd/view?i=",P179)</f>
        <v>https://www.dgiwg.org/FAD/fdd/view?i=111475</v>
      </c>
      <c r="R179" s="13" t="s">
        <v>6818</v>
      </c>
      <c r="S179" s="172"/>
      <c r="T179" s="172"/>
      <c r="BY179" s="83" t="s">
        <v>1790</v>
      </c>
      <c r="BZ179" s="83" t="s">
        <v>1790</v>
      </c>
      <c r="CR179" s="165" t="s">
        <v>1790</v>
      </c>
    </row>
    <row r="180" spans="1:101" x14ac:dyDescent="0.2">
      <c r="A180" s="176" t="str">
        <f t="shared" si="5"/>
        <v>arrestGearCategory</v>
      </c>
      <c r="B180" s="11" t="s">
        <v>6823</v>
      </c>
      <c r="C180" s="173"/>
      <c r="D180" s="22" t="s">
        <v>6824</v>
      </c>
      <c r="E180" s="15" t="s">
        <v>6825</v>
      </c>
      <c r="F180" s="174"/>
      <c r="G180" s="174"/>
      <c r="H180" s="17" t="s">
        <v>5932</v>
      </c>
      <c r="I180" s="269"/>
      <c r="J180" s="369" t="str">
        <f>HYPERLINK("[#]Datatypes!B182:L182","AgcCode")</f>
        <v>AgcCode</v>
      </c>
      <c r="K180" s="276"/>
      <c r="L180" s="272"/>
      <c r="M180" s="272"/>
      <c r="N180" s="248" t="str">
        <f>HYPERLINK("[#]DatatypeListedValues!A1577:H1577","&lt;values&gt;")</f>
        <v>&lt;values&gt;</v>
      </c>
      <c r="O180" s="277" t="b">
        <v>0</v>
      </c>
      <c r="P180" s="37">
        <v>100598</v>
      </c>
      <c r="Q180" s="36" t="str">
        <f>CONCATENATE(Cover!$D$6,"fdd/view?i=",P180)</f>
        <v>https://www.dgiwg.org/FAD/fdd/view?i=100598</v>
      </c>
      <c r="R180" s="13" t="s">
        <v>6822</v>
      </c>
      <c r="S180" s="172"/>
      <c r="T180" s="172"/>
      <c r="AT180" s="82" t="s">
        <v>1790</v>
      </c>
      <c r="CE180" s="87" t="s">
        <v>1790</v>
      </c>
    </row>
    <row r="181" spans="1:101" ht="38.25" x14ac:dyDescent="0.2">
      <c r="A181" s="176" t="str">
        <f t="shared" si="5"/>
        <v>arrestSysEnergyAbsorbType</v>
      </c>
      <c r="B181" s="11" t="s">
        <v>6828</v>
      </c>
      <c r="C181" s="173"/>
      <c r="D181" s="22" t="s">
        <v>6829</v>
      </c>
      <c r="E181" s="15" t="s">
        <v>6830</v>
      </c>
      <c r="F181" s="15" t="s">
        <v>6831</v>
      </c>
      <c r="G181" s="15" t="s">
        <v>6832</v>
      </c>
      <c r="H181" s="17" t="s">
        <v>5932</v>
      </c>
      <c r="I181" s="269"/>
      <c r="J181" s="369" t="str">
        <f>HYPERLINK("[#]Datatypes!B184:L184","AgbCode")</f>
        <v>AgbCode</v>
      </c>
      <c r="K181" s="276"/>
      <c r="L181" s="272"/>
      <c r="M181" s="272"/>
      <c r="N181" s="248" t="str">
        <f>HYPERLINK("[#]DatatypeListedValues!A1580:H1580","&lt;values&gt;")</f>
        <v>&lt;values&gt;</v>
      </c>
      <c r="O181" s="277" t="b">
        <v>0</v>
      </c>
      <c r="P181" s="37">
        <v>117485</v>
      </c>
      <c r="Q181" s="36" t="str">
        <f>CONCATENATE(Cover!$D$6,"fdd/view?i=",P181)</f>
        <v>https://www.dgiwg.org/FAD/fdd/view?i=117485</v>
      </c>
      <c r="R181" s="13" t="s">
        <v>6827</v>
      </c>
      <c r="S181" s="172"/>
      <c r="T181" s="172"/>
      <c r="CE181" s="87" t="s">
        <v>1790</v>
      </c>
    </row>
    <row r="182" spans="1:101" ht="51" x14ac:dyDescent="0.2">
      <c r="A182" s="176" t="str">
        <f t="shared" si="5"/>
        <v>arrestSysEngageDeviceType</v>
      </c>
      <c r="B182" s="11" t="s">
        <v>6835</v>
      </c>
      <c r="C182" s="173"/>
      <c r="D182" s="22" t="s">
        <v>6836</v>
      </c>
      <c r="E182" s="15" t="s">
        <v>6837</v>
      </c>
      <c r="F182" s="15" t="s">
        <v>6838</v>
      </c>
      <c r="G182" s="15" t="s">
        <v>6839</v>
      </c>
      <c r="H182" s="17" t="s">
        <v>5932</v>
      </c>
      <c r="I182" s="269"/>
      <c r="J182" s="369" t="str">
        <f>HYPERLINK("[#]Datatypes!B186:L186","AgeCode")</f>
        <v>AgeCode</v>
      </c>
      <c r="K182" s="276"/>
      <c r="L182" s="272"/>
      <c r="M182" s="272"/>
      <c r="N182" s="248" t="str">
        <f>HYPERLINK("[#]DatatypeListedValues!A1654:H1654","&lt;values&gt;")</f>
        <v>&lt;values&gt;</v>
      </c>
      <c r="O182" s="277" t="b">
        <v>0</v>
      </c>
      <c r="P182" s="37">
        <v>117487</v>
      </c>
      <c r="Q182" s="36" t="str">
        <f>CONCATENATE(Cover!$D$6,"fdd/view?i=",P182)</f>
        <v>https://www.dgiwg.org/FAD/fdd/view?i=117487</v>
      </c>
      <c r="R182" s="13" t="s">
        <v>6834</v>
      </c>
      <c r="S182" s="172"/>
      <c r="T182" s="172"/>
      <c r="CE182" s="87" t="s">
        <v>1790</v>
      </c>
    </row>
    <row r="183" spans="1:101" ht="25.5" x14ac:dyDescent="0.2">
      <c r="A183" s="176" t="str">
        <f t="shared" si="5"/>
        <v>arrestSysEngageDirect</v>
      </c>
      <c r="B183" s="11" t="s">
        <v>6842</v>
      </c>
      <c r="C183" s="173"/>
      <c r="D183" s="22" t="s">
        <v>6843</v>
      </c>
      <c r="E183" s="15" t="s">
        <v>6844</v>
      </c>
      <c r="F183" s="174"/>
      <c r="G183" s="15" t="s">
        <v>6845</v>
      </c>
      <c r="H183" s="17" t="s">
        <v>5932</v>
      </c>
      <c r="I183" s="269"/>
      <c r="J183" s="369" t="str">
        <f>HYPERLINK("[#]Datatypes!B188:L188","AgdCode")</f>
        <v>AgdCode</v>
      </c>
      <c r="K183" s="276"/>
      <c r="L183" s="272"/>
      <c r="M183" s="272"/>
      <c r="N183" s="248" t="str">
        <f>HYPERLINK("[#]DatatypeListedValues!A1672:H1672","&lt;values&gt;")</f>
        <v>&lt;values&gt;</v>
      </c>
      <c r="O183" s="277" t="b">
        <v>0</v>
      </c>
      <c r="P183" s="37">
        <v>117486</v>
      </c>
      <c r="Q183" s="36" t="str">
        <f>CONCATENATE(Cover!$D$6,"fdd/view?i=",P183)</f>
        <v>https://www.dgiwg.org/FAD/fdd/view?i=117486</v>
      </c>
      <c r="R183" s="13" t="s">
        <v>6841</v>
      </c>
      <c r="S183" s="172"/>
      <c r="T183" s="172"/>
      <c r="CE183" s="87" t="s">
        <v>1790</v>
      </c>
    </row>
    <row r="184" spans="1:101" ht="25.5" x14ac:dyDescent="0.2">
      <c r="A184" s="176" t="str">
        <f t="shared" si="5"/>
        <v>arrestSysLocation</v>
      </c>
      <c r="B184" s="11" t="s">
        <v>6848</v>
      </c>
      <c r="C184" s="173"/>
      <c r="D184" s="22" t="s">
        <v>6849</v>
      </c>
      <c r="E184" s="15" t="s">
        <v>6850</v>
      </c>
      <c r="F184" s="174"/>
      <c r="G184" s="15" t="s">
        <v>6851</v>
      </c>
      <c r="H184" s="17" t="s">
        <v>5932</v>
      </c>
      <c r="I184" s="269"/>
      <c r="J184" s="369" t="str">
        <f>HYPERLINK("[#]Datatypes!B1231:L1231","Real")</f>
        <v>Real</v>
      </c>
      <c r="K184" s="271" t="str">
        <f>HYPERLINK("[#]PhysicalQuantities!A20:N20","Length")</f>
        <v>Length</v>
      </c>
      <c r="L184" s="270" t="str">
        <f>HYPERLINK("[#]UnitsOfMeasure!D80:G80","Metre")</f>
        <v>Metre</v>
      </c>
      <c r="M184" s="272"/>
      <c r="N184" s="273"/>
      <c r="O184" s="269"/>
      <c r="P184" s="37">
        <v>117488</v>
      </c>
      <c r="Q184" s="36" t="str">
        <f>CONCATENATE(Cover!$D$6,"fdd/view?i=",P184)</f>
        <v>https://www.dgiwg.org/FAD/fdd/view?i=117488</v>
      </c>
      <c r="R184" s="13" t="s">
        <v>6847</v>
      </c>
      <c r="S184" s="172"/>
      <c r="T184" s="172"/>
      <c r="CE184" s="87" t="s">
        <v>1790</v>
      </c>
    </row>
    <row r="185" spans="1:101" ht="38.25" x14ac:dyDescent="0.2">
      <c r="A185" s="176" t="str">
        <f t="shared" si="5"/>
        <v>arsenicConcentration</v>
      </c>
      <c r="B185" s="11" t="s">
        <v>6853</v>
      </c>
      <c r="C185" s="173"/>
      <c r="D185" s="22" t="s">
        <v>6854</v>
      </c>
      <c r="E185" s="15" t="s">
        <v>6855</v>
      </c>
      <c r="F185" s="15" t="s">
        <v>6856</v>
      </c>
      <c r="G185" s="174"/>
      <c r="H185" s="17" t="s">
        <v>5932</v>
      </c>
      <c r="I185" s="269"/>
      <c r="J185" s="369" t="str">
        <f>HYPERLINK("[#]Datatypes!B1231:L1231","Real")</f>
        <v>Real</v>
      </c>
      <c r="K185" s="271" t="str">
        <f>HYPERLINK("[#]PhysicalQuantities!A29:N29","Mass Density")</f>
        <v>Mass Density</v>
      </c>
      <c r="L185" s="270" t="str">
        <f>HYPERLINK("[#]UnitsOfMeasure!D140:G140","Gram per cubic Metre")</f>
        <v>Gram per cubic Metre</v>
      </c>
      <c r="M185" s="272"/>
      <c r="N185" s="273"/>
      <c r="O185" s="269"/>
      <c r="P185" s="37">
        <v>119398</v>
      </c>
      <c r="Q185" s="36" t="str">
        <f>CONCATENATE(Cover!$D$6,"fdd/view?i=",P185)</f>
        <v>https://www.dgiwg.org/FAD/fdd/view?i=119398</v>
      </c>
      <c r="R185" s="13" t="s">
        <v>6852</v>
      </c>
      <c r="S185" s="172"/>
      <c r="T185" s="172"/>
      <c r="BK185" s="89" t="s">
        <v>1790</v>
      </c>
      <c r="BP185" s="82" t="s">
        <v>1790</v>
      </c>
      <c r="CQ185" s="165" t="s">
        <v>1790</v>
      </c>
    </row>
    <row r="186" spans="1:101" ht="51" x14ac:dyDescent="0.2">
      <c r="A186" s="176" t="str">
        <f t="shared" si="5"/>
        <v>assignedFrequency</v>
      </c>
      <c r="B186" s="11" t="s">
        <v>6858</v>
      </c>
      <c r="C186" s="173"/>
      <c r="D186" s="22" t="s">
        <v>6859</v>
      </c>
      <c r="E186" s="15" t="s">
        <v>6860</v>
      </c>
      <c r="F186" s="15" t="s">
        <v>6861</v>
      </c>
      <c r="G186" s="174"/>
      <c r="H186" s="17" t="s">
        <v>5932</v>
      </c>
      <c r="I186" s="269"/>
      <c r="J186" s="369" t="str">
        <f>HYPERLINK("[#]Datatypes!B1048:L1048","RealNonNegative")</f>
        <v>RealNonNegative</v>
      </c>
      <c r="K186" s="271" t="str">
        <f>HYPERLINK("[#]PhysicalQuantities!A15:N15","Frequency")</f>
        <v>Frequency</v>
      </c>
      <c r="L186" s="270" t="str">
        <f>HYPERLINK("[#]UnitsOfMeasure!D71:G71","Hertz")</f>
        <v>Hertz</v>
      </c>
      <c r="M186" s="272"/>
      <c r="N186" s="273"/>
      <c r="O186" s="269"/>
      <c r="P186" s="37">
        <v>119855</v>
      </c>
      <c r="Q186" s="36" t="str">
        <f>CONCATENATE(Cover!$D$6,"fdd/view?i=",P186)</f>
        <v>https://www.dgiwg.org/FAD/fdd/view?i=119855</v>
      </c>
      <c r="R186" s="13" t="s">
        <v>6857</v>
      </c>
      <c r="S186" s="172"/>
      <c r="T186" s="172"/>
      <c r="AE186" s="82" t="s">
        <v>1790</v>
      </c>
      <c r="CQ186" s="165" t="s">
        <v>1790</v>
      </c>
    </row>
    <row r="187" spans="1:101" ht="25.5" x14ac:dyDescent="0.2">
      <c r="A187" s="176" t="str">
        <f t="shared" si="5"/>
        <v>associatedText</v>
      </c>
      <c r="B187" s="11" t="s">
        <v>6864</v>
      </c>
      <c r="C187" s="173"/>
      <c r="D187" s="22" t="s">
        <v>6865</v>
      </c>
      <c r="E187" s="15" t="s">
        <v>6866</v>
      </c>
      <c r="F187" s="174"/>
      <c r="G187" s="174"/>
      <c r="H187" s="17" t="s">
        <v>5932</v>
      </c>
      <c r="I187" s="269"/>
      <c r="J187" s="369" t="str">
        <f>HYPERLINK("[#]Datatypes!B1538:L1538","TextLex255")</f>
        <v>TextLex255</v>
      </c>
      <c r="K187" s="276"/>
      <c r="L187" s="272"/>
      <c r="M187" s="272"/>
      <c r="N187" s="273"/>
      <c r="O187" s="269"/>
      <c r="P187" s="37">
        <v>101402</v>
      </c>
      <c r="Q187" s="36" t="str">
        <f>CONCATENATE(Cover!$D$6,"fdd/view?i=",P187)</f>
        <v>https://www.dgiwg.org/FAD/fdd/view?i=101402</v>
      </c>
      <c r="R187" s="13" t="s">
        <v>6862</v>
      </c>
      <c r="S187" s="172"/>
      <c r="T187" s="13" t="s">
        <v>6863</v>
      </c>
      <c r="CW187" s="164" t="s">
        <v>1790</v>
      </c>
    </row>
    <row r="188" spans="1:101" ht="76.5" x14ac:dyDescent="0.2">
      <c r="A188" s="176" t="str">
        <f t="shared" si="5"/>
        <v>astroAzMeridionalComponent</v>
      </c>
      <c r="B188" s="11" t="s">
        <v>6869</v>
      </c>
      <c r="C188" s="173"/>
      <c r="D188" s="22" t="s">
        <v>6870</v>
      </c>
      <c r="E188" s="15" t="s">
        <v>6871</v>
      </c>
      <c r="F188" s="15" t="s">
        <v>6872</v>
      </c>
      <c r="G188" s="174"/>
      <c r="H188" s="17" t="s">
        <v>5932</v>
      </c>
      <c r="I188" s="269"/>
      <c r="J188" s="369" t="str">
        <f>HYPERLINK("[#]Datatypes!B1231:L1231","Real")</f>
        <v>Real</v>
      </c>
      <c r="K188" s="271" t="str">
        <f>HYPERLINK("[#]PhysicalQuantities!A34:N34","Plane Angle")</f>
        <v>Plane Angle</v>
      </c>
      <c r="L188" s="270" t="str">
        <f>HYPERLINK("[#]UnitsOfMeasure!D171:G171","Arc Second")</f>
        <v>Arc Second</v>
      </c>
      <c r="M188" s="272"/>
      <c r="N188" s="273"/>
      <c r="O188" s="269"/>
      <c r="P188" s="37">
        <v>119840</v>
      </c>
      <c r="Q188" s="36" t="str">
        <f>CONCATENATE(Cover!$D$6,"fdd/view?i=",P188)</f>
        <v>https://www.dgiwg.org/FAD/fdd/view?i=119840</v>
      </c>
      <c r="R188" s="13" t="s">
        <v>6868</v>
      </c>
      <c r="S188" s="172"/>
      <c r="T188" s="172"/>
      <c r="BS188" s="82" t="s">
        <v>1790</v>
      </c>
      <c r="CP188" s="164" t="s">
        <v>1790</v>
      </c>
      <c r="CQ188" s="165" t="s">
        <v>1790</v>
      </c>
    </row>
    <row r="189" spans="1:101" ht="76.5" x14ac:dyDescent="0.2">
      <c r="A189" s="176" t="str">
        <f t="shared" si="5"/>
        <v>astroAzPrimeVertComponent</v>
      </c>
      <c r="B189" s="11" t="s">
        <v>6874</v>
      </c>
      <c r="C189" s="173"/>
      <c r="D189" s="22" t="s">
        <v>6875</v>
      </c>
      <c r="E189" s="15" t="s">
        <v>6876</v>
      </c>
      <c r="F189" s="15" t="s">
        <v>6877</v>
      </c>
      <c r="G189" s="174"/>
      <c r="H189" s="17" t="s">
        <v>5932</v>
      </c>
      <c r="I189" s="269"/>
      <c r="J189" s="369" t="str">
        <f>HYPERLINK("[#]Datatypes!B1231:L1231","Real")</f>
        <v>Real</v>
      </c>
      <c r="K189" s="271" t="str">
        <f>HYPERLINK("[#]PhysicalQuantities!A34:N34","Plane Angle")</f>
        <v>Plane Angle</v>
      </c>
      <c r="L189" s="270" t="str">
        <f>HYPERLINK("[#]UnitsOfMeasure!D171:G171","Arc Second")</f>
        <v>Arc Second</v>
      </c>
      <c r="M189" s="272"/>
      <c r="N189" s="273"/>
      <c r="O189" s="269"/>
      <c r="P189" s="37">
        <v>119841</v>
      </c>
      <c r="Q189" s="36" t="str">
        <f>CONCATENATE(Cover!$D$6,"fdd/view?i=",P189)</f>
        <v>https://www.dgiwg.org/FAD/fdd/view?i=119841</v>
      </c>
      <c r="R189" s="13" t="s">
        <v>6873</v>
      </c>
      <c r="S189" s="172"/>
      <c r="T189" s="172"/>
      <c r="BS189" s="82" t="s">
        <v>1790</v>
      </c>
      <c r="CP189" s="164" t="s">
        <v>1790</v>
      </c>
      <c r="CQ189" s="165" t="s">
        <v>1790</v>
      </c>
    </row>
    <row r="190" spans="1:101" ht="63.75" x14ac:dyDescent="0.2">
      <c r="A190" s="176" t="str">
        <f t="shared" si="5"/>
        <v>attachedBuilding</v>
      </c>
      <c r="B190" s="11" t="s">
        <v>6879</v>
      </c>
      <c r="C190" s="173"/>
      <c r="D190" s="22" t="s">
        <v>6880</v>
      </c>
      <c r="E190" s="15" t="s">
        <v>6881</v>
      </c>
      <c r="F190" s="15" t="s">
        <v>6882</v>
      </c>
      <c r="G190" s="174"/>
      <c r="H190" s="17" t="s">
        <v>5932</v>
      </c>
      <c r="I190" s="269"/>
      <c r="J190" s="369" t="str">
        <f>HYPERLINK("[#]Datatypes!B240:L240","Boolean")</f>
        <v>Boolean</v>
      </c>
      <c r="K190" s="276"/>
      <c r="L190" s="272"/>
      <c r="M190" s="272"/>
      <c r="N190" s="273"/>
      <c r="O190" s="269"/>
      <c r="P190" s="37">
        <v>119158</v>
      </c>
      <c r="Q190" s="36" t="str">
        <f>CONCATENATE(Cover!$D$6,"fdd/view?i=",P190)</f>
        <v>https://www.dgiwg.org/FAD/fdd/view?i=119158</v>
      </c>
      <c r="R190" s="13" t="s">
        <v>6878</v>
      </c>
      <c r="S190" s="172"/>
      <c r="T190" s="172"/>
      <c r="AI190" s="87" t="s">
        <v>1790</v>
      </c>
      <c r="CS190" s="165" t="s">
        <v>1790</v>
      </c>
      <c r="CT190" s="166" t="s">
        <v>1790</v>
      </c>
    </row>
    <row r="191" spans="1:101" ht="25.5" x14ac:dyDescent="0.2">
      <c r="A191" s="176" t="str">
        <f t="shared" si="5"/>
        <v>attackThwarted</v>
      </c>
      <c r="B191" s="11" t="s">
        <v>6884</v>
      </c>
      <c r="C191" s="173"/>
      <c r="D191" s="22" t="s">
        <v>6885</v>
      </c>
      <c r="E191" s="15" t="s">
        <v>6886</v>
      </c>
      <c r="F191" s="174"/>
      <c r="G191" s="174"/>
      <c r="H191" s="17" t="s">
        <v>5932</v>
      </c>
      <c r="I191" s="269"/>
      <c r="J191" s="369" t="str">
        <f>HYPERLINK("[#]Datatypes!B240:L240","Boolean")</f>
        <v>Boolean</v>
      </c>
      <c r="K191" s="276"/>
      <c r="L191" s="272"/>
      <c r="M191" s="272"/>
      <c r="N191" s="273"/>
      <c r="O191" s="269"/>
      <c r="P191" s="37">
        <v>111484</v>
      </c>
      <c r="Q191" s="36" t="str">
        <f>CONCATENATE(Cover!$D$6,"fdd/view?i=",P191)</f>
        <v>https://www.dgiwg.org/FAD/fdd/view?i=111484</v>
      </c>
      <c r="R191" s="13" t="s">
        <v>6883</v>
      </c>
      <c r="S191" s="172"/>
      <c r="T191" s="172"/>
      <c r="CL191" s="85" t="s">
        <v>1790</v>
      </c>
      <c r="CS191" s="165" t="s">
        <v>1790</v>
      </c>
    </row>
    <row r="192" spans="1:101" ht="25.5" x14ac:dyDescent="0.2">
      <c r="A192" s="176" t="str">
        <f t="shared" si="5"/>
        <v>availabilityCategory</v>
      </c>
      <c r="B192" s="11" t="s">
        <v>6888</v>
      </c>
      <c r="C192" s="173"/>
      <c r="D192" s="22" t="s">
        <v>6889</v>
      </c>
      <c r="E192" s="15" t="s">
        <v>6890</v>
      </c>
      <c r="F192" s="174"/>
      <c r="G192" s="174"/>
      <c r="H192" s="17" t="s">
        <v>5932</v>
      </c>
      <c r="I192" s="269"/>
      <c r="J192" s="369" t="str">
        <f>HYPERLINK("[#]Datatypes!B190:L190","AcgCode")</f>
        <v>AcgCode</v>
      </c>
      <c r="K192" s="276"/>
      <c r="L192" s="272"/>
      <c r="M192" s="272"/>
      <c r="N192" s="248" t="str">
        <f>HYPERLINK("[#]DatatypeListedValues!A1675:H1675","&lt;values&gt;")</f>
        <v>&lt;values&gt;</v>
      </c>
      <c r="O192" s="277" t="b">
        <v>0</v>
      </c>
      <c r="P192" s="37">
        <v>119177</v>
      </c>
      <c r="Q192" s="36" t="str">
        <f>CONCATENATE(Cover!$D$6,"fdd/view?i=",P192)</f>
        <v>https://www.dgiwg.org/FAD/fdd/view?i=119177</v>
      </c>
      <c r="R192" s="13" t="s">
        <v>6887</v>
      </c>
      <c r="S192" s="172"/>
      <c r="T192" s="172"/>
      <c r="CT192" s="166" t="s">
        <v>1790</v>
      </c>
      <c r="CU192" s="87" t="s">
        <v>1790</v>
      </c>
    </row>
    <row r="193" spans="1:105" ht="51" x14ac:dyDescent="0.2">
      <c r="A193" s="176" t="str">
        <f t="shared" si="5"/>
        <v>availablePol</v>
      </c>
      <c r="B193" s="11" t="s">
        <v>6893</v>
      </c>
      <c r="C193" s="173"/>
      <c r="D193" s="22" t="s">
        <v>6894</v>
      </c>
      <c r="E193" s="15" t="s">
        <v>6895</v>
      </c>
      <c r="F193" s="15" t="s">
        <v>6896</v>
      </c>
      <c r="G193" s="174"/>
      <c r="H193" s="17" t="s">
        <v>5932</v>
      </c>
      <c r="I193" s="17" t="s">
        <v>6029</v>
      </c>
      <c r="J193" s="369" t="str">
        <f>HYPERLINK("[#]Datatypes!B192:L192","FfaCode")</f>
        <v>FfaCode</v>
      </c>
      <c r="K193" s="276"/>
      <c r="L193" s="272"/>
      <c r="M193" s="272"/>
      <c r="N193" s="248" t="str">
        <f>HYPERLINK("[#]DatatypeListedValues!A1678:H1678","&lt;values&gt;")</f>
        <v>&lt;values&gt;</v>
      </c>
      <c r="O193" s="277" t="b">
        <v>0</v>
      </c>
      <c r="P193" s="37">
        <v>100886</v>
      </c>
      <c r="Q193" s="36" t="str">
        <f>CONCATENATE(Cover!$D$6,"fdd/view?i=",P193)</f>
        <v>https://www.dgiwg.org/FAD/fdd/view?i=100886</v>
      </c>
      <c r="R193" s="13" t="s">
        <v>6892</v>
      </c>
      <c r="S193" s="172"/>
      <c r="T193" s="172"/>
      <c r="AG193" s="82" t="s">
        <v>1790</v>
      </c>
      <c r="AW193" s="82" t="s">
        <v>1790</v>
      </c>
    </row>
    <row r="194" spans="1:105" ht="25.5" x14ac:dyDescent="0.2">
      <c r="A194" s="176" t="str">
        <f t="shared" si="5"/>
        <v>availableVehicleMaint</v>
      </c>
      <c r="B194" s="11" t="s">
        <v>6899</v>
      </c>
      <c r="C194" s="173"/>
      <c r="D194" s="22" t="s">
        <v>6900</v>
      </c>
      <c r="E194" s="15" t="s">
        <v>6901</v>
      </c>
      <c r="F194" s="174"/>
      <c r="G194" s="174"/>
      <c r="H194" s="17" t="s">
        <v>5932</v>
      </c>
      <c r="I194" s="17" t="s">
        <v>6029</v>
      </c>
      <c r="J194" s="369" t="str">
        <f>HYPERLINK("[#]Datatypes!B194:L194","MfaCode")</f>
        <v>MfaCode</v>
      </c>
      <c r="K194" s="276"/>
      <c r="L194" s="272"/>
      <c r="M194" s="272"/>
      <c r="N194" s="248" t="str">
        <f>HYPERLINK("[#]DatatypeListedValues!A1700:H1700","&lt;values&gt;")</f>
        <v>&lt;values&gt;</v>
      </c>
      <c r="O194" s="277" t="b">
        <v>0</v>
      </c>
      <c r="P194" s="37">
        <v>101042</v>
      </c>
      <c r="Q194" s="36" t="str">
        <f>CONCATENATE(Cover!$D$6,"fdd/view?i=",P194)</f>
        <v>https://www.dgiwg.org/FAD/fdd/view?i=101042</v>
      </c>
      <c r="R194" s="13" t="s">
        <v>6898</v>
      </c>
      <c r="S194" s="172"/>
      <c r="T194" s="172"/>
      <c r="AW194" s="82" t="s">
        <v>1790</v>
      </c>
    </row>
    <row r="195" spans="1:105" ht="25.5" x14ac:dyDescent="0.2">
      <c r="A195" s="176" t="str">
        <f t="shared" ref="A195:A258" si="7">HYPERLINK(Q195,R195)</f>
        <v>availableVesselService</v>
      </c>
      <c r="B195" s="11" t="s">
        <v>6904</v>
      </c>
      <c r="C195" s="173"/>
      <c r="D195" s="22" t="s">
        <v>6905</v>
      </c>
      <c r="E195" s="15" t="s">
        <v>6906</v>
      </c>
      <c r="F195" s="174"/>
      <c r="G195" s="174"/>
      <c r="H195" s="17" t="s">
        <v>5932</v>
      </c>
      <c r="I195" s="17" t="s">
        <v>6029</v>
      </c>
      <c r="J195" s="369" t="str">
        <f>HYPERLINK("[#]Datatypes!B196:L196","AfaCode")</f>
        <v>AfaCode</v>
      </c>
      <c r="K195" s="276"/>
      <c r="L195" s="272"/>
      <c r="M195" s="272"/>
      <c r="N195" s="248" t="str">
        <f>HYPERLINK("[#]DatatypeListedValues!A1718:H1718","&lt;values&gt;")</f>
        <v>&lt;values&gt;</v>
      </c>
      <c r="O195" s="277" t="b">
        <v>0</v>
      </c>
      <c r="P195" s="37">
        <v>100596</v>
      </c>
      <c r="Q195" s="36" t="str">
        <f>CONCATENATE(Cover!$D$6,"fdd/view?i=",P195)</f>
        <v>https://www.dgiwg.org/FAD/fdd/view?i=100596</v>
      </c>
      <c r="R195" s="13" t="s">
        <v>6903</v>
      </c>
      <c r="S195" s="172"/>
      <c r="T195" s="172"/>
      <c r="AS195" s="82" t="s">
        <v>1790</v>
      </c>
      <c r="BA195" s="83" t="s">
        <v>1790</v>
      </c>
      <c r="BJ195" s="83" t="s">
        <v>1790</v>
      </c>
    </row>
    <row r="196" spans="1:105" ht="38.25" x14ac:dyDescent="0.2">
      <c r="A196" s="176" t="str">
        <f t="shared" si="7"/>
        <v>averageWaterDepth</v>
      </c>
      <c r="B196" s="11" t="s">
        <v>6909</v>
      </c>
      <c r="C196" s="173"/>
      <c r="D196" s="22" t="s">
        <v>6910</v>
      </c>
      <c r="E196" s="15" t="s">
        <v>6911</v>
      </c>
      <c r="F196" s="15" t="s">
        <v>6912</v>
      </c>
      <c r="G196" s="174"/>
      <c r="H196" s="17" t="s">
        <v>5932</v>
      </c>
      <c r="I196" s="269"/>
      <c r="J196" s="369" t="str">
        <f>HYPERLINK("[#]Datatypes!B1233:L1233","RealInterval")</f>
        <v>RealInterval</v>
      </c>
      <c r="K196" s="271" t="str">
        <f>HYPERLINK("[#]PhysicalQuantities!A20:N20","Length")</f>
        <v>Length</v>
      </c>
      <c r="L196" s="270" t="str">
        <f>HYPERLINK("[#]UnitsOfMeasure!D80:G80","Metre")</f>
        <v>Metre</v>
      </c>
      <c r="M196" s="272"/>
      <c r="N196" s="273"/>
      <c r="O196" s="269"/>
      <c r="P196" s="37">
        <v>110734</v>
      </c>
      <c r="Q196" s="36" t="str">
        <f>CONCATENATE(Cover!$D$6,"fdd/view?i=",P196)</f>
        <v>https://www.dgiwg.org/FAD/fdd/view?i=110734</v>
      </c>
      <c r="R196" s="13" t="s">
        <v>6908</v>
      </c>
      <c r="S196" s="172"/>
      <c r="T196" s="172"/>
      <c r="BB196" s="83" t="s">
        <v>1790</v>
      </c>
      <c r="CQ196" s="165" t="s">
        <v>1790</v>
      </c>
    </row>
    <row r="197" spans="1:105" ht="25.5" x14ac:dyDescent="0.2">
      <c r="A197" s="176" t="str">
        <f t="shared" si="7"/>
        <v>aviationFuelType</v>
      </c>
      <c r="B197" s="11" t="s">
        <v>6914</v>
      </c>
      <c r="C197" s="173"/>
      <c r="D197" s="22" t="s">
        <v>6915</v>
      </c>
      <c r="E197" s="15" t="s">
        <v>6916</v>
      </c>
      <c r="F197" s="15" t="s">
        <v>6917</v>
      </c>
      <c r="G197" s="174"/>
      <c r="H197" s="17" t="s">
        <v>5932</v>
      </c>
      <c r="I197" s="17" t="s">
        <v>6224</v>
      </c>
      <c r="J197" s="369" t="str">
        <f>HYPERLINK("[#]Datatypes!B198:L198","AfuCode")</f>
        <v>AfuCode</v>
      </c>
      <c r="K197" s="276"/>
      <c r="L197" s="272"/>
      <c r="M197" s="272"/>
      <c r="N197" s="248" t="str">
        <f>HYPERLINK("[#]DatatypeListedValues!A1756:H1756","&lt;values&gt;")</f>
        <v>&lt;values&gt;</v>
      </c>
      <c r="O197" s="277" t="b">
        <v>0</v>
      </c>
      <c r="P197" s="37">
        <v>117484</v>
      </c>
      <c r="Q197" s="36" t="str">
        <f>CONCATENATE(Cover!$D$6,"fdd/view?i=",P197)</f>
        <v>https://www.dgiwg.org/FAD/fdd/view?i=117484</v>
      </c>
      <c r="R197" s="13" t="s">
        <v>6913</v>
      </c>
      <c r="S197" s="172"/>
      <c r="T197" s="172"/>
      <c r="CH197" s="83" t="s">
        <v>1790</v>
      </c>
    </row>
    <row r="198" spans="1:105" x14ac:dyDescent="0.2">
      <c r="A198" s="176" t="str">
        <f t="shared" si="7"/>
        <v>aviationHydraulicFluidType</v>
      </c>
      <c r="B198" s="11" t="s">
        <v>6920</v>
      </c>
      <c r="C198" s="173"/>
      <c r="D198" s="22" t="s">
        <v>6921</v>
      </c>
      <c r="E198" s="15" t="s">
        <v>6922</v>
      </c>
      <c r="F198" s="174"/>
      <c r="G198" s="174"/>
      <c r="H198" s="17" t="s">
        <v>5932</v>
      </c>
      <c r="I198" s="17" t="s">
        <v>6224</v>
      </c>
      <c r="J198" s="369" t="str">
        <f>HYPERLINK("[#]Datatypes!B200:L200","AhfCode")</f>
        <v>AhfCode</v>
      </c>
      <c r="K198" s="276"/>
      <c r="L198" s="272"/>
      <c r="M198" s="272"/>
      <c r="N198" s="248" t="str">
        <f>HYPERLINK("[#]DatatypeListedValues!A1788:H1788","&lt;values&gt;")</f>
        <v>&lt;values&gt;</v>
      </c>
      <c r="O198" s="277" t="b">
        <v>0</v>
      </c>
      <c r="P198" s="37">
        <v>117491</v>
      </c>
      <c r="Q198" s="36" t="str">
        <f>CONCATENATE(Cover!$D$6,"fdd/view?i=",P198)</f>
        <v>https://www.dgiwg.org/FAD/fdd/view?i=117491</v>
      </c>
      <c r="R198" s="13" t="s">
        <v>6919</v>
      </c>
      <c r="S198" s="172"/>
      <c r="T198" s="172"/>
      <c r="CH198" s="83" t="s">
        <v>1790</v>
      </c>
    </row>
    <row r="199" spans="1:105" x14ac:dyDescent="0.2">
      <c r="A199" s="176" t="str">
        <f t="shared" si="7"/>
        <v>aviationNitrogenSupplyType</v>
      </c>
      <c r="B199" s="11" t="s">
        <v>6925</v>
      </c>
      <c r="C199" s="173"/>
      <c r="D199" s="22" t="s">
        <v>6926</v>
      </c>
      <c r="E199" s="15" t="s">
        <v>6927</v>
      </c>
      <c r="F199" s="174"/>
      <c r="G199" s="174"/>
      <c r="H199" s="17" t="s">
        <v>5932</v>
      </c>
      <c r="I199" s="17" t="s">
        <v>6224</v>
      </c>
      <c r="J199" s="369" t="str">
        <f>HYPERLINK("[#]Datatypes!B202:L202","AnsCode")</f>
        <v>AnsCode</v>
      </c>
      <c r="K199" s="276"/>
      <c r="L199" s="272"/>
      <c r="M199" s="272"/>
      <c r="N199" s="248" t="str">
        <f>HYPERLINK("[#]DatatypeListedValues!A1795:H1795","&lt;values&gt;")</f>
        <v>&lt;values&gt;</v>
      </c>
      <c r="O199" s="277" t="b">
        <v>0</v>
      </c>
      <c r="P199" s="37">
        <v>117499</v>
      </c>
      <c r="Q199" s="36" t="str">
        <f>CONCATENATE(Cover!$D$6,"fdd/view?i=",P199)</f>
        <v>https://www.dgiwg.org/FAD/fdd/view?i=117499</v>
      </c>
      <c r="R199" s="13" t="s">
        <v>6924</v>
      </c>
      <c r="S199" s="172"/>
      <c r="T199" s="172"/>
      <c r="CH199" s="83" t="s">
        <v>1790</v>
      </c>
    </row>
    <row r="200" spans="1:105" x14ac:dyDescent="0.2">
      <c r="A200" s="176" t="str">
        <f t="shared" si="7"/>
        <v>aviationOilType</v>
      </c>
      <c r="B200" s="11" t="s">
        <v>6930</v>
      </c>
      <c r="C200" s="173"/>
      <c r="D200" s="22" t="s">
        <v>6931</v>
      </c>
      <c r="E200" s="15" t="s">
        <v>6932</v>
      </c>
      <c r="F200" s="174"/>
      <c r="G200" s="174"/>
      <c r="H200" s="17" t="s">
        <v>5932</v>
      </c>
      <c r="I200" s="17" t="s">
        <v>6224</v>
      </c>
      <c r="J200" s="369" t="str">
        <f>HYPERLINK("[#]Datatypes!B204:L204","AotCode")</f>
        <v>AotCode</v>
      </c>
      <c r="K200" s="276"/>
      <c r="L200" s="272"/>
      <c r="M200" s="272"/>
      <c r="N200" s="248" t="str">
        <f>HYPERLINK("[#]DatatypeListedValues!A1803:H1803","&lt;values&gt;")</f>
        <v>&lt;values&gt;</v>
      </c>
      <c r="O200" s="277" t="b">
        <v>0</v>
      </c>
      <c r="P200" s="37">
        <v>117502</v>
      </c>
      <c r="Q200" s="36" t="str">
        <f>CONCATENATE(Cover!$D$6,"fdd/view?i=",P200)</f>
        <v>https://www.dgiwg.org/FAD/fdd/view?i=117502</v>
      </c>
      <c r="R200" s="13" t="s">
        <v>6929</v>
      </c>
      <c r="S200" s="172"/>
      <c r="T200" s="172"/>
      <c r="CH200" s="83" t="s">
        <v>1790</v>
      </c>
    </row>
    <row r="201" spans="1:105" x14ac:dyDescent="0.2">
      <c r="A201" s="176" t="str">
        <f t="shared" si="7"/>
        <v>aviationOxygenSupplyType</v>
      </c>
      <c r="B201" s="11" t="s">
        <v>6935</v>
      </c>
      <c r="C201" s="173"/>
      <c r="D201" s="22" t="s">
        <v>6936</v>
      </c>
      <c r="E201" s="15" t="s">
        <v>6937</v>
      </c>
      <c r="F201" s="174"/>
      <c r="G201" s="174"/>
      <c r="H201" s="17" t="s">
        <v>5932</v>
      </c>
      <c r="I201" s="17" t="s">
        <v>6224</v>
      </c>
      <c r="J201" s="369" t="str">
        <f>HYPERLINK("[#]Datatypes!B206:L206","AosCode")</f>
        <v>AosCode</v>
      </c>
      <c r="K201" s="276"/>
      <c r="L201" s="272"/>
      <c r="M201" s="272"/>
      <c r="N201" s="248" t="str">
        <f>HYPERLINK("[#]DatatypeListedValues!A1821:H1821","&lt;values&gt;")</f>
        <v>&lt;values&gt;</v>
      </c>
      <c r="O201" s="277" t="b">
        <v>0</v>
      </c>
      <c r="P201" s="37">
        <v>117501</v>
      </c>
      <c r="Q201" s="36" t="str">
        <f>CONCATENATE(Cover!$D$6,"fdd/view?i=",P201)</f>
        <v>https://www.dgiwg.org/FAD/fdd/view?i=117501</v>
      </c>
      <c r="R201" s="13" t="s">
        <v>6934</v>
      </c>
      <c r="S201" s="172"/>
      <c r="T201" s="172"/>
      <c r="CH201" s="83" t="s">
        <v>1790</v>
      </c>
    </row>
    <row r="202" spans="1:105" ht="51" x14ac:dyDescent="0.2">
      <c r="A202" s="176" t="str">
        <f t="shared" si="7"/>
        <v>aviationPortOfEntryStatus</v>
      </c>
      <c r="B202" s="11" t="s">
        <v>6940</v>
      </c>
      <c r="C202" s="173"/>
      <c r="D202" s="22" t="s">
        <v>6941</v>
      </c>
      <c r="E202" s="15" t="s">
        <v>6942</v>
      </c>
      <c r="F202" s="15" t="s">
        <v>6943</v>
      </c>
      <c r="G202" s="174"/>
      <c r="H202" s="17" t="s">
        <v>5932</v>
      </c>
      <c r="I202" s="269"/>
      <c r="J202" s="369" t="str">
        <f>HYPERLINK("[#]Datatypes!B208:L208","PysCode")</f>
        <v>PysCode</v>
      </c>
      <c r="K202" s="276"/>
      <c r="L202" s="272"/>
      <c r="M202" s="272"/>
      <c r="N202" s="248" t="str">
        <f>HYPERLINK("[#]DatatypeListedValues!A1829:H1829","&lt;values&gt;")</f>
        <v>&lt;values&gt;</v>
      </c>
      <c r="O202" s="277" t="b">
        <v>0</v>
      </c>
      <c r="P202" s="37">
        <v>119863</v>
      </c>
      <c r="Q202" s="36" t="str">
        <f>CONCATENATE(Cover!$D$6,"fdd/view?i=",P202)</f>
        <v>https://www.dgiwg.org/FAD/fdd/view?i=119863</v>
      </c>
      <c r="R202" s="13" t="s">
        <v>6939</v>
      </c>
      <c r="S202" s="172"/>
      <c r="T202" s="172"/>
      <c r="AM202" s="83" t="s">
        <v>1790</v>
      </c>
      <c r="AT202" s="82" t="s">
        <v>1790</v>
      </c>
      <c r="CC202" s="81" t="s">
        <v>1790</v>
      </c>
      <c r="CE202" s="87" t="s">
        <v>1790</v>
      </c>
      <c r="CT202" s="166" t="s">
        <v>1790</v>
      </c>
    </row>
    <row r="203" spans="1:105" ht="25.5" x14ac:dyDescent="0.2">
      <c r="A203" s="176" t="str">
        <f t="shared" si="7"/>
        <v>backcourseLocalizerUseType</v>
      </c>
      <c r="B203" s="11" t="s">
        <v>6946</v>
      </c>
      <c r="C203" s="173"/>
      <c r="D203" s="22" t="s">
        <v>6947</v>
      </c>
      <c r="E203" s="15" t="s">
        <v>6948</v>
      </c>
      <c r="F203" s="174"/>
      <c r="G203" s="15" t="s">
        <v>6947</v>
      </c>
      <c r="H203" s="17" t="s">
        <v>5932</v>
      </c>
      <c r="I203" s="269"/>
      <c r="J203" s="369" t="str">
        <f>HYPERLINK("[#]Datatypes!B210:L210","LbuCode")</f>
        <v>LbuCode</v>
      </c>
      <c r="K203" s="276"/>
      <c r="L203" s="272"/>
      <c r="M203" s="272"/>
      <c r="N203" s="248" t="str">
        <f>HYPERLINK("[#]DatatypeListedValues!A1836:H1836","&lt;values&gt;")</f>
        <v>&lt;values&gt;</v>
      </c>
      <c r="O203" s="277" t="b">
        <v>0</v>
      </c>
      <c r="P203" s="37">
        <v>117603</v>
      </c>
      <c r="Q203" s="36" t="str">
        <f>CONCATENATE(Cover!$D$6,"fdd/view?i=",P203)</f>
        <v>https://www.dgiwg.org/FAD/fdd/view?i=117603</v>
      </c>
      <c r="R203" s="13" t="s">
        <v>6945</v>
      </c>
      <c r="S203" s="172"/>
      <c r="T203" s="172"/>
      <c r="CG203" s="83" t="s">
        <v>1790</v>
      </c>
    </row>
    <row r="204" spans="1:105" x14ac:dyDescent="0.2">
      <c r="A204" s="176" t="str">
        <f t="shared" si="7"/>
        <v>badSoundingIdentifier</v>
      </c>
      <c r="B204" s="11" t="s">
        <v>6951</v>
      </c>
      <c r="C204" s="173"/>
      <c r="D204" s="22" t="s">
        <v>6952</v>
      </c>
      <c r="E204" s="15" t="s">
        <v>6953</v>
      </c>
      <c r="F204" s="174"/>
      <c r="G204" s="174"/>
      <c r="H204" s="17" t="s">
        <v>5932</v>
      </c>
      <c r="I204" s="269"/>
      <c r="J204" s="369" t="str">
        <f>HYPERLINK("[#]Datatypes!B722:L722","Index")</f>
        <v>Index</v>
      </c>
      <c r="K204" s="276"/>
      <c r="L204" s="272"/>
      <c r="M204" s="272"/>
      <c r="N204" s="273"/>
      <c r="O204" s="269"/>
      <c r="P204" s="37">
        <v>101416</v>
      </c>
      <c r="Q204" s="36" t="str">
        <f>CONCATENATE(Cover!$D$6,"fdd/view?i=",P204)</f>
        <v>https://www.dgiwg.org/FAD/fdd/view?i=101416</v>
      </c>
      <c r="R204" s="13" t="s">
        <v>6950</v>
      </c>
      <c r="S204" s="172"/>
      <c r="T204" s="172"/>
      <c r="BB204" s="83" t="s">
        <v>1790</v>
      </c>
      <c r="CV204" s="83" t="s">
        <v>1790</v>
      </c>
      <c r="DA204" s="165" t="s">
        <v>1790</v>
      </c>
    </row>
    <row r="205" spans="1:105" ht="25.5" x14ac:dyDescent="0.2">
      <c r="A205" s="176" t="str">
        <f t="shared" si="7"/>
        <v>bankOrientation</v>
      </c>
      <c r="B205" s="11" t="s">
        <v>6956</v>
      </c>
      <c r="C205" s="173"/>
      <c r="D205" s="22" t="s">
        <v>6957</v>
      </c>
      <c r="E205" s="15" t="s">
        <v>6958</v>
      </c>
      <c r="F205" s="174"/>
      <c r="G205" s="174"/>
      <c r="H205" s="17" t="s">
        <v>5932</v>
      </c>
      <c r="I205" s="269"/>
      <c r="J205" s="369" t="str">
        <f>HYPERLINK("[#]Datatypes!B212:L212","IboCode")</f>
        <v>IboCode</v>
      </c>
      <c r="K205" s="276"/>
      <c r="L205" s="272"/>
      <c r="M205" s="272"/>
      <c r="N205" s="248" t="str">
        <f>HYPERLINK("[#]DatatypeListedValues!A1839:H1839","&lt;values&gt;")</f>
        <v>&lt;values&gt;</v>
      </c>
      <c r="O205" s="277" t="b">
        <v>0</v>
      </c>
      <c r="P205" s="37">
        <v>117788</v>
      </c>
      <c r="Q205" s="36" t="str">
        <f>CONCATENATE(Cover!$D$6,"fdd/view?i=",P205)</f>
        <v>https://www.dgiwg.org/FAD/fdd/view?i=117788</v>
      </c>
      <c r="R205" s="13" t="s">
        <v>6955</v>
      </c>
      <c r="S205" s="172"/>
      <c r="T205" s="172"/>
      <c r="BJ205" s="83" t="s">
        <v>1790</v>
      </c>
    </row>
    <row r="206" spans="1:105" ht="25.5" x14ac:dyDescent="0.2">
      <c r="A206" s="176" t="str">
        <f t="shared" si="7"/>
        <v>bankVegetationCharacter</v>
      </c>
      <c r="B206" s="11" t="s">
        <v>6961</v>
      </c>
      <c r="C206" s="173"/>
      <c r="D206" s="22" t="s">
        <v>6962</v>
      </c>
      <c r="E206" s="15" t="s">
        <v>6963</v>
      </c>
      <c r="F206" s="174"/>
      <c r="G206" s="174"/>
      <c r="H206" s="17" t="s">
        <v>5932</v>
      </c>
      <c r="I206" s="269"/>
      <c r="J206" s="369" t="str">
        <f>HYPERLINK("[#]Datatypes!B214:L214","BvcCode")</f>
        <v>BvcCode</v>
      </c>
      <c r="K206" s="276"/>
      <c r="L206" s="272"/>
      <c r="M206" s="272"/>
      <c r="N206" s="248" t="str">
        <f>HYPERLINK("[#]DatatypeListedValues!A1843:H1843","&lt;values&gt;")</f>
        <v>&lt;values&gt;</v>
      </c>
      <c r="O206" s="277" t="b">
        <v>0</v>
      </c>
      <c r="P206" s="37">
        <v>117772</v>
      </c>
      <c r="Q206" s="36" t="str">
        <f>CONCATENATE(Cover!$D$6,"fdd/view?i=",P206)</f>
        <v>https://www.dgiwg.org/FAD/fdd/view?i=117772</v>
      </c>
      <c r="R206" s="13" t="s">
        <v>6960</v>
      </c>
      <c r="S206" s="172"/>
      <c r="T206" s="172"/>
      <c r="BJ206" s="83" t="s">
        <v>1790</v>
      </c>
      <c r="CB206" s="89" t="s">
        <v>1790</v>
      </c>
      <c r="CR206" s="165" t="s">
        <v>1790</v>
      </c>
    </row>
    <row r="207" spans="1:105" ht="76.5" x14ac:dyDescent="0.2">
      <c r="A207" s="176" t="str">
        <f t="shared" si="7"/>
        <v>bankfullChannelWidth</v>
      </c>
      <c r="B207" s="11" t="s">
        <v>6966</v>
      </c>
      <c r="C207" s="173"/>
      <c r="D207" s="22" t="s">
        <v>6967</v>
      </c>
      <c r="E207" s="15" t="s">
        <v>6968</v>
      </c>
      <c r="F207" s="15" t="s">
        <v>6969</v>
      </c>
      <c r="G207" s="174"/>
      <c r="H207" s="17" t="s">
        <v>5932</v>
      </c>
      <c r="I207" s="269"/>
      <c r="J207" s="369" t="str">
        <f>HYPERLINK("[#]Datatypes!B1048:L1048","RealNonNegative")</f>
        <v>RealNonNegative</v>
      </c>
      <c r="K207" s="271" t="str">
        <f>HYPERLINK("[#]PhysicalQuantities!A20:N20","Length")</f>
        <v>Length</v>
      </c>
      <c r="L207" s="270" t="str">
        <f>HYPERLINK("[#]UnitsOfMeasure!D80:G80","Metre")</f>
        <v>Metre</v>
      </c>
      <c r="M207" s="272"/>
      <c r="N207" s="273"/>
      <c r="O207" s="269"/>
      <c r="P207" s="37">
        <v>119430</v>
      </c>
      <c r="Q207" s="36" t="str">
        <f>CONCATENATE(Cover!$D$6,"fdd/view?i=",P207)</f>
        <v>https://www.dgiwg.org/FAD/fdd/view?i=119430</v>
      </c>
      <c r="R207" s="13" t="s">
        <v>6965</v>
      </c>
      <c r="S207" s="172"/>
      <c r="T207" s="172"/>
      <c r="BA207" s="83" t="s">
        <v>1790</v>
      </c>
      <c r="BJ207" s="83" t="s">
        <v>1790</v>
      </c>
      <c r="CQ207" s="165" t="s">
        <v>1790</v>
      </c>
    </row>
    <row r="208" spans="1:105" ht="25.5" x14ac:dyDescent="0.2">
      <c r="A208" s="176" t="str">
        <f t="shared" si="7"/>
        <v>bargeLoadClass</v>
      </c>
      <c r="B208" s="11" t="s">
        <v>6971</v>
      </c>
      <c r="C208" s="173"/>
      <c r="D208" s="22" t="s">
        <v>6972</v>
      </c>
      <c r="E208" s="15" t="s">
        <v>6973</v>
      </c>
      <c r="F208" s="174"/>
      <c r="G208" s="174"/>
      <c r="H208" s="17" t="s">
        <v>5932</v>
      </c>
      <c r="I208" s="269"/>
      <c r="J208" s="369" t="str">
        <f>HYPERLINK("[#]Datatypes!B1542:L1542","TextLex80")</f>
        <v>TextLex80</v>
      </c>
      <c r="K208" s="276"/>
      <c r="L208" s="272"/>
      <c r="M208" s="272"/>
      <c r="N208" s="273"/>
      <c r="O208" s="269"/>
      <c r="P208" s="37">
        <v>100666</v>
      </c>
      <c r="Q208" s="36" t="str">
        <f>CONCATENATE(Cover!$D$6,"fdd/view?i=",P208)</f>
        <v>https://www.dgiwg.org/FAD/fdd/view?i=100666</v>
      </c>
      <c r="R208" s="13" t="s">
        <v>6970</v>
      </c>
      <c r="S208" s="172"/>
      <c r="T208" s="172"/>
      <c r="AS208" s="82" t="s">
        <v>1790</v>
      </c>
      <c r="BA208" s="83" t="s">
        <v>1790</v>
      </c>
      <c r="BF208" s="83" t="s">
        <v>1790</v>
      </c>
      <c r="BI208" s="83" t="s">
        <v>1790</v>
      </c>
      <c r="BJ208" s="83" t="s">
        <v>1790</v>
      </c>
      <c r="CQ208" s="165" t="s">
        <v>1790</v>
      </c>
    </row>
    <row r="209" spans="1:105" ht="25.5" x14ac:dyDescent="0.2">
      <c r="A209" s="176" t="str">
        <f t="shared" si="7"/>
        <v>barrierTopType</v>
      </c>
      <c r="B209" s="11" t="s">
        <v>6976</v>
      </c>
      <c r="C209" s="173"/>
      <c r="D209" s="22" t="s">
        <v>6977</v>
      </c>
      <c r="E209" s="15" t="s">
        <v>6978</v>
      </c>
      <c r="F209" s="174"/>
      <c r="G209" s="174"/>
      <c r="H209" s="17" t="s">
        <v>5932</v>
      </c>
      <c r="I209" s="269"/>
      <c r="J209" s="369" t="str">
        <f>HYPERLINK("[#]Datatypes!B216:L216","BatCode")</f>
        <v>BatCode</v>
      </c>
      <c r="K209" s="276"/>
      <c r="L209" s="272"/>
      <c r="M209" s="272"/>
      <c r="N209" s="248" t="str">
        <f>HYPERLINK("[#]DatatypeListedValues!A1855:H1855","&lt;values&gt;")</f>
        <v>&lt;values&gt;</v>
      </c>
      <c r="O209" s="277" t="b">
        <v>0</v>
      </c>
      <c r="P209" s="37">
        <v>111487</v>
      </c>
      <c r="Q209" s="36" t="str">
        <f>CONCATENATE(Cover!$D$6,"fdd/view?i=",P209)</f>
        <v>https://www.dgiwg.org/FAD/fdd/view?i=111487</v>
      </c>
      <c r="R209" s="13" t="s">
        <v>6975</v>
      </c>
      <c r="S209" s="172"/>
      <c r="T209" s="172"/>
      <c r="CS209" s="165" t="s">
        <v>1790</v>
      </c>
    </row>
    <row r="210" spans="1:105" ht="102" x14ac:dyDescent="0.2">
      <c r="A210" s="176" t="str">
        <f t="shared" si="7"/>
        <v>baseElevation</v>
      </c>
      <c r="B210" s="11" t="s">
        <v>6981</v>
      </c>
      <c r="C210" s="173"/>
      <c r="D210" s="22" t="s">
        <v>6982</v>
      </c>
      <c r="E210" s="15" t="s">
        <v>6983</v>
      </c>
      <c r="F210" s="15" t="s">
        <v>6984</v>
      </c>
      <c r="G210" s="174"/>
      <c r="H210" s="17" t="s">
        <v>5932</v>
      </c>
      <c r="I210" s="269"/>
      <c r="J210" s="369" t="str">
        <f>HYPERLINK("[#]Datatypes!B1231:L1231","Real")</f>
        <v>Real</v>
      </c>
      <c r="K210" s="271" t="str">
        <f>HYPERLINK("[#]PhysicalQuantities!A20:N20","Length")</f>
        <v>Length</v>
      </c>
      <c r="L210" s="270" t="str">
        <f>HYPERLINK("[#]UnitsOfMeasure!D80:G80","Metre")</f>
        <v>Metre</v>
      </c>
      <c r="M210" s="272"/>
      <c r="N210" s="273"/>
      <c r="O210" s="269"/>
      <c r="P210" s="37">
        <v>117770</v>
      </c>
      <c r="Q210" s="36" t="str">
        <f>CONCATENATE(Cover!$D$6,"fdd/view?i=",P210)</f>
        <v>https://www.dgiwg.org/FAD/fdd/view?i=117770</v>
      </c>
      <c r="R210" s="13" t="s">
        <v>6980</v>
      </c>
      <c r="S210" s="172"/>
      <c r="T210" s="172"/>
      <c r="BL210" s="81" t="s">
        <v>1790</v>
      </c>
    </row>
    <row r="211" spans="1:105" ht="38.25" x14ac:dyDescent="0.2">
      <c r="A211" s="176" t="str">
        <f t="shared" si="7"/>
        <v>basicEncyclopediaNumber</v>
      </c>
      <c r="B211" s="11" t="s">
        <v>6986</v>
      </c>
      <c r="C211" s="173"/>
      <c r="D211" s="22" t="s">
        <v>6987</v>
      </c>
      <c r="E211" s="15" t="s">
        <v>6988</v>
      </c>
      <c r="F211" s="15" t="s">
        <v>6989</v>
      </c>
      <c r="G211" s="174"/>
      <c r="H211" s="17" t="s">
        <v>5932</v>
      </c>
      <c r="I211" s="269"/>
      <c r="J211" s="369" t="str">
        <f>HYPERLINK("[#]Datatypes!B218:L218","BenKey")</f>
        <v>BenKey</v>
      </c>
      <c r="K211" s="276"/>
      <c r="L211" s="272"/>
      <c r="M211" s="272"/>
      <c r="N211" s="273"/>
      <c r="O211" s="269"/>
      <c r="P211" s="37">
        <v>100657</v>
      </c>
      <c r="Q211" s="36" t="str">
        <f>CONCATENATE(Cover!$D$6,"fdd/view?i=",P211)</f>
        <v>https://www.dgiwg.org/FAD/fdd/view?i=100657</v>
      </c>
      <c r="R211" s="13" t="s">
        <v>6985</v>
      </c>
      <c r="S211" s="172"/>
      <c r="T211" s="172"/>
      <c r="DA211" s="165" t="s">
        <v>1790</v>
      </c>
    </row>
    <row r="212" spans="1:105" x14ac:dyDescent="0.2">
      <c r="A212" s="176" t="str">
        <f t="shared" si="7"/>
        <v>basinGateType</v>
      </c>
      <c r="B212" s="11" t="s">
        <v>6992</v>
      </c>
      <c r="C212" s="173"/>
      <c r="D212" s="22" t="s">
        <v>6993</v>
      </c>
      <c r="E212" s="15" t="s">
        <v>6994</v>
      </c>
      <c r="F212" s="174"/>
      <c r="G212" s="174"/>
      <c r="H212" s="17" t="s">
        <v>5932</v>
      </c>
      <c r="I212" s="269"/>
      <c r="J212" s="369" t="str">
        <f>HYPERLINK("[#]Datatypes!B220:L220","BgtCode")</f>
        <v>BgtCode</v>
      </c>
      <c r="K212" s="276"/>
      <c r="L212" s="272"/>
      <c r="M212" s="272"/>
      <c r="N212" s="248" t="str">
        <f>HYPERLINK("[#]DatatypeListedValues!A1860:H1860","&lt;values&gt;")</f>
        <v>&lt;values&gt;</v>
      </c>
      <c r="O212" s="277" t="b">
        <v>0</v>
      </c>
      <c r="P212" s="37">
        <v>117771</v>
      </c>
      <c r="Q212" s="36" t="str">
        <f>CONCATENATE(Cover!$D$6,"fdd/view?i=",P212)</f>
        <v>https://www.dgiwg.org/FAD/fdd/view?i=117771</v>
      </c>
      <c r="R212" s="13" t="s">
        <v>6991</v>
      </c>
      <c r="S212" s="172"/>
      <c r="T212" s="172"/>
      <c r="BA212" s="83" t="s">
        <v>1790</v>
      </c>
      <c r="BJ212" s="83" t="s">
        <v>1790</v>
      </c>
      <c r="CS212" s="165" t="s">
        <v>1790</v>
      </c>
    </row>
    <row r="213" spans="1:105" ht="51" x14ac:dyDescent="0.2">
      <c r="A213" s="176" t="str">
        <f t="shared" si="7"/>
        <v>bathyMeasureQualityCat</v>
      </c>
      <c r="B213" s="11" t="s">
        <v>6997</v>
      </c>
      <c r="C213" s="173"/>
      <c r="D213" s="22" t="s">
        <v>6998</v>
      </c>
      <c r="E213" s="15" t="s">
        <v>6999</v>
      </c>
      <c r="F213" s="15" t="s">
        <v>7000</v>
      </c>
      <c r="G213" s="174"/>
      <c r="H213" s="17" t="s">
        <v>5932</v>
      </c>
      <c r="I213" s="17" t="s">
        <v>6029</v>
      </c>
      <c r="J213" s="369" t="str">
        <f>HYPERLINK("[#]Datatypes!B222:L222","DkcCode")</f>
        <v>DkcCode</v>
      </c>
      <c r="K213" s="276"/>
      <c r="L213" s="272"/>
      <c r="M213" s="272"/>
      <c r="N213" s="248" t="str">
        <f>HYPERLINK("[#]DatatypeListedValues!A1863:H1863","&lt;values&gt;")</f>
        <v>&lt;values&gt;</v>
      </c>
      <c r="O213" s="277" t="b">
        <v>0</v>
      </c>
      <c r="P213" s="37">
        <v>100817</v>
      </c>
      <c r="Q213" s="36" t="str">
        <f>CONCATENATE(Cover!$D$6,"fdd/view?i=",P213)</f>
        <v>https://www.dgiwg.org/FAD/fdd/view?i=100817</v>
      </c>
      <c r="R213" s="13" t="s">
        <v>6996</v>
      </c>
      <c r="S213" s="172"/>
      <c r="T213" s="172"/>
      <c r="BB213" s="83" t="s">
        <v>1790</v>
      </c>
      <c r="CP213" s="164" t="s">
        <v>1790</v>
      </c>
      <c r="CZ213" s="165" t="s">
        <v>1790</v>
      </c>
    </row>
    <row r="214" spans="1:105" x14ac:dyDescent="0.2">
      <c r="A214" s="176" t="str">
        <f t="shared" si="7"/>
        <v>bathyMeasureTechnique</v>
      </c>
      <c r="B214" s="11" t="s">
        <v>7003</v>
      </c>
      <c r="C214" s="173"/>
      <c r="D214" s="22" t="s">
        <v>7004</v>
      </c>
      <c r="E214" s="15" t="s">
        <v>7005</v>
      </c>
      <c r="F214" s="174"/>
      <c r="G214" s="174"/>
      <c r="H214" s="17" t="s">
        <v>5932</v>
      </c>
      <c r="I214" s="17" t="s">
        <v>6029</v>
      </c>
      <c r="J214" s="369" t="str">
        <f>HYPERLINK("[#]Datatypes!B224:L224","TecCode")</f>
        <v>TecCode</v>
      </c>
      <c r="K214" s="276"/>
      <c r="L214" s="272"/>
      <c r="M214" s="272"/>
      <c r="N214" s="248" t="str">
        <f>HYPERLINK("[#]DatatypeListedValues!A1874:H1874","&lt;values&gt;")</f>
        <v>&lt;values&gt;</v>
      </c>
      <c r="O214" s="277" t="b">
        <v>0</v>
      </c>
      <c r="P214" s="37">
        <v>101361</v>
      </c>
      <c r="Q214" s="36" t="str">
        <f>CONCATENATE(Cover!$D$6,"fdd/view?i=",P214)</f>
        <v>https://www.dgiwg.org/FAD/fdd/view?i=101361</v>
      </c>
      <c r="R214" s="13" t="s">
        <v>7002</v>
      </c>
      <c r="S214" s="172"/>
      <c r="T214" s="172"/>
      <c r="BB214" s="83" t="s">
        <v>1790</v>
      </c>
      <c r="CZ214" s="165" t="s">
        <v>1790</v>
      </c>
    </row>
    <row r="215" spans="1:105" ht="51" x14ac:dyDescent="0.2">
      <c r="A215" s="176" t="str">
        <f t="shared" si="7"/>
        <v>batteryRechargeAvail</v>
      </c>
      <c r="B215" s="11" t="s">
        <v>7008</v>
      </c>
      <c r="C215" s="173"/>
      <c r="D215" s="22" t="s">
        <v>7009</v>
      </c>
      <c r="E215" s="15" t="s">
        <v>7010</v>
      </c>
      <c r="F215" s="15" t="s">
        <v>7011</v>
      </c>
      <c r="G215" s="174"/>
      <c r="H215" s="17" t="s">
        <v>5932</v>
      </c>
      <c r="I215" s="269"/>
      <c r="J215" s="369" t="str">
        <f>HYPERLINK("[#]Datatypes!B240:L240","Boolean")</f>
        <v>Boolean</v>
      </c>
      <c r="K215" s="276"/>
      <c r="L215" s="272"/>
      <c r="M215" s="272"/>
      <c r="N215" s="273"/>
      <c r="O215" s="269"/>
      <c r="P215" s="37">
        <v>119858</v>
      </c>
      <c r="Q215" s="36" t="str">
        <f>CONCATENATE(Cover!$D$6,"fdd/view?i=",P215)</f>
        <v>https://www.dgiwg.org/FAD/fdd/view?i=119858</v>
      </c>
      <c r="R215" s="13" t="s">
        <v>7007</v>
      </c>
      <c r="S215" s="172"/>
      <c r="T215" s="172"/>
      <c r="CT215" s="166" t="s">
        <v>1790</v>
      </c>
    </row>
    <row r="216" spans="1:105" x14ac:dyDescent="0.2">
      <c r="A216" s="176" t="str">
        <f t="shared" si="7"/>
        <v>bayType</v>
      </c>
      <c r="B216" s="11" t="s">
        <v>7013</v>
      </c>
      <c r="C216" s="173"/>
      <c r="D216" s="22" t="s">
        <v>7014</v>
      </c>
      <c r="E216" s="15" t="s">
        <v>7015</v>
      </c>
      <c r="F216" s="174"/>
      <c r="G216" s="174"/>
      <c r="H216" s="17" t="s">
        <v>5932</v>
      </c>
      <c r="I216" s="269"/>
      <c r="J216" s="369" t="str">
        <f>HYPERLINK("[#]Datatypes!B226:L226","BycCode")</f>
        <v>BycCode</v>
      </c>
      <c r="K216" s="276"/>
      <c r="L216" s="272"/>
      <c r="M216" s="272"/>
      <c r="N216" s="248" t="str">
        <f>HYPERLINK("[#]DatatypeListedValues!A1890:H1890","&lt;values&gt;")</f>
        <v>&lt;values&gt;</v>
      </c>
      <c r="O216" s="277" t="b">
        <v>0</v>
      </c>
      <c r="P216" s="37">
        <v>111490</v>
      </c>
      <c r="Q216" s="36" t="str">
        <f>CONCATENATE(Cover!$D$6,"fdd/view?i=",P216)</f>
        <v>https://www.dgiwg.org/FAD/fdd/view?i=111490</v>
      </c>
      <c r="R216" s="13" t="s">
        <v>7012</v>
      </c>
      <c r="S216" s="172"/>
      <c r="T216" s="172"/>
      <c r="AZ216" s="87" t="s">
        <v>1790</v>
      </c>
      <c r="CS216" s="165" t="s">
        <v>1790</v>
      </c>
    </row>
    <row r="217" spans="1:105" ht="25.5" x14ac:dyDescent="0.2">
      <c r="A217" s="176" t="str">
        <f t="shared" si="7"/>
        <v>beachConfiguration</v>
      </c>
      <c r="B217" s="11" t="s">
        <v>7018</v>
      </c>
      <c r="C217" s="173"/>
      <c r="D217" s="22" t="s">
        <v>7019</v>
      </c>
      <c r="E217" s="15" t="s">
        <v>7020</v>
      </c>
      <c r="F217" s="174"/>
      <c r="G217" s="174"/>
      <c r="H217" s="17" t="s">
        <v>5932</v>
      </c>
      <c r="I217" s="269"/>
      <c r="J217" s="369" t="str">
        <f>HYPERLINK("[#]Datatypes!B228:L228","BecCode")</f>
        <v>BecCode</v>
      </c>
      <c r="K217" s="276"/>
      <c r="L217" s="272"/>
      <c r="M217" s="272"/>
      <c r="N217" s="248" t="str">
        <f>HYPERLINK("[#]DatatypeListedValues!A1895:H1895","&lt;values&gt;")</f>
        <v>&lt;values&gt;</v>
      </c>
      <c r="O217" s="277" t="b">
        <v>0</v>
      </c>
      <c r="P217" s="37">
        <v>119179</v>
      </c>
      <c r="Q217" s="36" t="str">
        <f>CONCATENATE(Cover!$D$6,"fdd/view?i=",P217)</f>
        <v>https://www.dgiwg.org/FAD/fdd/view?i=119179</v>
      </c>
      <c r="R217" s="13" t="s">
        <v>7017</v>
      </c>
      <c r="S217" s="172"/>
      <c r="T217" s="172"/>
      <c r="AZ217" s="87" t="s">
        <v>1790</v>
      </c>
      <c r="CS217" s="165" t="s">
        <v>1790</v>
      </c>
    </row>
    <row r="218" spans="1:105" x14ac:dyDescent="0.2">
      <c r="A218" s="176" t="str">
        <f t="shared" si="7"/>
        <v>beachExitUsability</v>
      </c>
      <c r="B218" s="11" t="s">
        <v>7023</v>
      </c>
      <c r="C218" s="173"/>
      <c r="D218" s="22" t="s">
        <v>7024</v>
      </c>
      <c r="E218" s="15" t="s">
        <v>7025</v>
      </c>
      <c r="F218" s="174"/>
      <c r="G218" s="174"/>
      <c r="H218" s="17" t="s">
        <v>5932</v>
      </c>
      <c r="I218" s="269"/>
      <c r="J218" s="369" t="str">
        <f>HYPERLINK("[#]Datatypes!B536:L536","ExuCode")</f>
        <v>ExuCode</v>
      </c>
      <c r="K218" s="276"/>
      <c r="L218" s="272"/>
      <c r="M218" s="272"/>
      <c r="N218" s="248" t="str">
        <f>HYPERLINK("[#]DatatypeListedValues!A3530:H3530","&lt;values&gt;")</f>
        <v>&lt;values&gt;</v>
      </c>
      <c r="O218" s="277" t="b">
        <v>0</v>
      </c>
      <c r="P218" s="37">
        <v>114418</v>
      </c>
      <c r="Q218" s="36" t="str">
        <f>CONCATENATE(Cover!$D$6,"fdd/view?i=",P218)</f>
        <v>https://www.dgiwg.org/FAD/fdd/view?i=114418</v>
      </c>
      <c r="R218" s="13" t="s">
        <v>7022</v>
      </c>
      <c r="S218" s="172"/>
      <c r="T218" s="172"/>
      <c r="AQ218" s="82" t="s">
        <v>1790</v>
      </c>
      <c r="AU218" s="82" t="s">
        <v>1790</v>
      </c>
      <c r="AZ218" s="87" t="s">
        <v>1790</v>
      </c>
      <c r="BF218" s="83" t="s">
        <v>1790</v>
      </c>
      <c r="CS218" s="165" t="s">
        <v>1790</v>
      </c>
    </row>
    <row r="219" spans="1:105" ht="25.5" x14ac:dyDescent="0.2">
      <c r="A219" s="176" t="str">
        <f t="shared" si="7"/>
        <v>beaconMinorAxisBearing</v>
      </c>
      <c r="B219" s="11" t="s">
        <v>7028</v>
      </c>
      <c r="C219" s="173"/>
      <c r="D219" s="22" t="s">
        <v>7029</v>
      </c>
      <c r="E219" s="15" t="s">
        <v>7030</v>
      </c>
      <c r="F219" s="174"/>
      <c r="G219" s="15" t="s">
        <v>7031</v>
      </c>
      <c r="H219" s="17" t="s">
        <v>5932</v>
      </c>
      <c r="I219" s="269"/>
      <c r="J219" s="369" t="str">
        <f>HYPERLINK("[#]Datatypes!B1231:L1231","Real")</f>
        <v>Real</v>
      </c>
      <c r="K219" s="271" t="str">
        <f>HYPERLINK("[#]PhysicalQuantities!A34:N34","Plane Angle")</f>
        <v>Plane Angle</v>
      </c>
      <c r="L219" s="270" t="str">
        <f>HYPERLINK("[#]UnitsOfMeasure!D159:G159","Arc Degree")</f>
        <v>Arc Degree</v>
      </c>
      <c r="M219" s="272"/>
      <c r="N219" s="273"/>
      <c r="O219" s="269"/>
      <c r="P219" s="37">
        <v>117617</v>
      </c>
      <c r="Q219" s="36" t="str">
        <f>CONCATENATE(Cover!$D$6,"fdd/view?i=",P219)</f>
        <v>https://www.dgiwg.org/FAD/fdd/view?i=117617</v>
      </c>
      <c r="R219" s="13" t="s">
        <v>7027</v>
      </c>
      <c r="S219" s="172"/>
      <c r="T219" s="172"/>
      <c r="CG219" s="83" t="s">
        <v>1790</v>
      </c>
    </row>
    <row r="220" spans="1:105" ht="51" x14ac:dyDescent="0.2">
      <c r="A220" s="176" t="str">
        <f t="shared" si="7"/>
        <v>beaconSectorInitialLimit</v>
      </c>
      <c r="B220" s="11" t="s">
        <v>7033</v>
      </c>
      <c r="C220" s="173"/>
      <c r="D220" s="22" t="s">
        <v>7034</v>
      </c>
      <c r="E220" s="15" t="s">
        <v>7035</v>
      </c>
      <c r="F220" s="15" t="s">
        <v>7036</v>
      </c>
      <c r="G220" s="174"/>
      <c r="H220" s="17" t="s">
        <v>5932</v>
      </c>
      <c r="I220" s="269"/>
      <c r="J220" s="369" t="str">
        <f>HYPERLINK("[#]Datatypes!B1231:L1231","Real")</f>
        <v>Real</v>
      </c>
      <c r="K220" s="271" t="str">
        <f>HYPERLINK("[#]PhysicalQuantities!A34:N34","Plane Angle")</f>
        <v>Plane Angle</v>
      </c>
      <c r="L220" s="270" t="str">
        <f>HYPERLINK("[#]UnitsOfMeasure!D159:G159","Arc Degree")</f>
        <v>Arc Degree</v>
      </c>
      <c r="M220" s="272"/>
      <c r="N220" s="273"/>
      <c r="O220" s="269"/>
      <c r="P220" s="37">
        <v>101265</v>
      </c>
      <c r="Q220" s="36" t="str">
        <f>CONCATENATE(Cover!$D$6,"fdd/view?i=",P220)</f>
        <v>https://www.dgiwg.org/FAD/fdd/view?i=101265</v>
      </c>
      <c r="R220" s="13" t="s">
        <v>7032</v>
      </c>
      <c r="S220" s="172"/>
      <c r="T220" s="172"/>
      <c r="AS220" s="82" t="s">
        <v>1790</v>
      </c>
      <c r="AT220" s="82" t="s">
        <v>1790</v>
      </c>
      <c r="BF220" s="83" t="s">
        <v>1790</v>
      </c>
      <c r="CE220" s="87" t="s">
        <v>1790</v>
      </c>
      <c r="CQ220" s="165" t="s">
        <v>1790</v>
      </c>
      <c r="DA220" s="165" t="s">
        <v>1790</v>
      </c>
    </row>
    <row r="221" spans="1:105" ht="51" x14ac:dyDescent="0.2">
      <c r="A221" s="176" t="str">
        <f t="shared" si="7"/>
        <v>beaconSectorTerminalLimit</v>
      </c>
      <c r="B221" s="11" t="s">
        <v>7038</v>
      </c>
      <c r="C221" s="173"/>
      <c r="D221" s="22" t="s">
        <v>7039</v>
      </c>
      <c r="E221" s="15" t="s">
        <v>7040</v>
      </c>
      <c r="F221" s="15" t="s">
        <v>7036</v>
      </c>
      <c r="G221" s="174"/>
      <c r="H221" s="17" t="s">
        <v>5932</v>
      </c>
      <c r="I221" s="269"/>
      <c r="J221" s="369" t="str">
        <f>HYPERLINK("[#]Datatypes!B1231:L1231","Real")</f>
        <v>Real</v>
      </c>
      <c r="K221" s="271" t="str">
        <f>HYPERLINK("[#]PhysicalQuantities!A34:N34","Plane Angle")</f>
        <v>Plane Angle</v>
      </c>
      <c r="L221" s="270" t="str">
        <f>HYPERLINK("[#]UnitsOfMeasure!D159:G159","Arc Degree")</f>
        <v>Arc Degree</v>
      </c>
      <c r="M221" s="272"/>
      <c r="N221" s="273"/>
      <c r="O221" s="269"/>
      <c r="P221" s="37">
        <v>101266</v>
      </c>
      <c r="Q221" s="36" t="str">
        <f>CONCATENATE(Cover!$D$6,"fdd/view?i=",P221)</f>
        <v>https://www.dgiwg.org/FAD/fdd/view?i=101266</v>
      </c>
      <c r="R221" s="13" t="s">
        <v>7037</v>
      </c>
      <c r="S221" s="172"/>
      <c r="T221" s="172"/>
      <c r="AS221" s="82" t="s">
        <v>1790</v>
      </c>
      <c r="AT221" s="82" t="s">
        <v>1790</v>
      </c>
      <c r="BF221" s="83" t="s">
        <v>1790</v>
      </c>
      <c r="CE221" s="87" t="s">
        <v>1790</v>
      </c>
      <c r="CQ221" s="165" t="s">
        <v>1790</v>
      </c>
      <c r="DA221" s="165" t="s">
        <v>1790</v>
      </c>
    </row>
    <row r="222" spans="1:105" ht="25.5" x14ac:dyDescent="0.2">
      <c r="A222" s="176" t="str">
        <f t="shared" si="7"/>
        <v>bearingReciprocalCategory</v>
      </c>
      <c r="B222" s="11" t="s">
        <v>7042</v>
      </c>
      <c r="C222" s="173"/>
      <c r="D222" s="22" t="s">
        <v>7043</v>
      </c>
      <c r="E222" s="15" t="s">
        <v>7044</v>
      </c>
      <c r="F222" s="174"/>
      <c r="G222" s="174"/>
      <c r="H222" s="17" t="s">
        <v>5932</v>
      </c>
      <c r="I222" s="269"/>
      <c r="J222" s="369" t="str">
        <f>HYPERLINK("[#]Datatypes!B230:L230","BrrStrucText")</f>
        <v>BrrStrucText</v>
      </c>
      <c r="K222" s="276"/>
      <c r="L222" s="272"/>
      <c r="M222" s="272"/>
      <c r="N222" s="273"/>
      <c r="O222" s="269"/>
      <c r="P222" s="37">
        <v>100679</v>
      </c>
      <c r="Q222" s="36" t="str">
        <f>CONCATENATE(Cover!$D$6,"fdd/view?i=",P222)</f>
        <v>https://www.dgiwg.org/FAD/fdd/view?i=100679</v>
      </c>
      <c r="R222" s="13" t="s">
        <v>7041</v>
      </c>
      <c r="S222" s="172"/>
      <c r="T222" s="172"/>
      <c r="AS222" s="82" t="s">
        <v>1790</v>
      </c>
      <c r="BF222" s="83" t="s">
        <v>1790</v>
      </c>
      <c r="CP222" s="164" t="s">
        <v>1790</v>
      </c>
    </row>
    <row r="223" spans="1:105" ht="25.5" x14ac:dyDescent="0.2">
      <c r="A223" s="176" t="str">
        <f t="shared" si="7"/>
        <v>bearingFromSeaward</v>
      </c>
      <c r="B223" s="11" t="s">
        <v>7047</v>
      </c>
      <c r="C223" s="173"/>
      <c r="D223" s="22" t="s">
        <v>7048</v>
      </c>
      <c r="E223" s="15" t="s">
        <v>7049</v>
      </c>
      <c r="F223" s="174"/>
      <c r="G223" s="174"/>
      <c r="H223" s="17" t="s">
        <v>5932</v>
      </c>
      <c r="I223" s="269"/>
      <c r="J223" s="369" t="str">
        <f>HYPERLINK("[#]Datatypes!B1252:L1252","RealNonNeg360")</f>
        <v>RealNonNeg360</v>
      </c>
      <c r="K223" s="271" t="str">
        <f>HYPERLINK("[#]PhysicalQuantities!A34:N34","Plane Angle")</f>
        <v>Plane Angle</v>
      </c>
      <c r="L223" s="270" t="str">
        <f>HYPERLINK("[#]UnitsOfMeasure!D159:G159","Arc Degree")</f>
        <v>Arc Degree</v>
      </c>
      <c r="M223" s="272"/>
      <c r="N223" s="273"/>
      <c r="O223" s="269"/>
      <c r="P223" s="37">
        <v>100680</v>
      </c>
      <c r="Q223" s="36" t="str">
        <f>CONCATENATE(Cover!$D$6,"fdd/view?i=",P223)</f>
        <v>https://www.dgiwg.org/FAD/fdd/view?i=100680</v>
      </c>
      <c r="R223" s="13" t="s">
        <v>7046</v>
      </c>
      <c r="S223" s="172"/>
      <c r="T223" s="172"/>
      <c r="AS223" s="82" t="s">
        <v>1790</v>
      </c>
      <c r="BF223" s="83" t="s">
        <v>1790</v>
      </c>
      <c r="CP223" s="164" t="s">
        <v>1790</v>
      </c>
    </row>
    <row r="224" spans="1:105" ht="25.5" x14ac:dyDescent="0.2">
      <c r="A224" s="176" t="str">
        <f t="shared" si="7"/>
        <v>bearingOfObject</v>
      </c>
      <c r="B224" s="11" t="s">
        <v>7052</v>
      </c>
      <c r="C224" s="173"/>
      <c r="D224" s="22" t="s">
        <v>7053</v>
      </c>
      <c r="E224" s="15" t="s">
        <v>7054</v>
      </c>
      <c r="F224" s="15" t="s">
        <v>7055</v>
      </c>
      <c r="G224" s="174"/>
      <c r="H224" s="17" t="s">
        <v>5932</v>
      </c>
      <c r="I224" s="269"/>
      <c r="J224" s="369" t="str">
        <f>HYPERLINK("[#]Datatypes!B1250:L1250","RealNonNeg359r9")</f>
        <v>RealNonNeg359r9</v>
      </c>
      <c r="K224" s="271" t="str">
        <f>HYPERLINK("[#]PhysicalQuantities!A34:N34","Plane Angle")</f>
        <v>Plane Angle</v>
      </c>
      <c r="L224" s="270" t="str">
        <f>HYPERLINK("[#]UnitsOfMeasure!D159:G159","Arc Degree")</f>
        <v>Arc Degree</v>
      </c>
      <c r="M224" s="272"/>
      <c r="N224" s="273"/>
      <c r="O224" s="269"/>
      <c r="P224" s="37">
        <v>100675</v>
      </c>
      <c r="Q224" s="36" t="str">
        <f>CONCATENATE(Cover!$D$6,"fdd/view?i=",P224)</f>
        <v>https://www.dgiwg.org/FAD/fdd/view?i=100675</v>
      </c>
      <c r="R224" s="13" t="s">
        <v>7051</v>
      </c>
      <c r="S224" s="172"/>
      <c r="T224" s="172"/>
      <c r="CP224" s="164" t="s">
        <v>1790</v>
      </c>
    </row>
    <row r="225" spans="1:100" ht="38.25" x14ac:dyDescent="0.2">
      <c r="A225" s="176" t="str">
        <f t="shared" si="7"/>
        <v>belowWaterBankSlope</v>
      </c>
      <c r="B225" s="11" t="s">
        <v>7057</v>
      </c>
      <c r="C225" s="173"/>
      <c r="D225" s="22" t="s">
        <v>7058</v>
      </c>
      <c r="E225" s="15" t="s">
        <v>7059</v>
      </c>
      <c r="F225" s="15" t="s">
        <v>5931</v>
      </c>
      <c r="G225" s="174"/>
      <c r="H225" s="17" t="s">
        <v>5932</v>
      </c>
      <c r="I225" s="269"/>
      <c r="J225" s="369" t="str">
        <f>HYPERLINK("[#]Datatypes!B1233:L1233","RealInterval")</f>
        <v>RealInterval</v>
      </c>
      <c r="K225" s="271" t="str">
        <f>HYPERLINK("[#]PhysicalQuantities!A39:N39","Pure Number")</f>
        <v>Pure Number</v>
      </c>
      <c r="L225" s="270" t="str">
        <f>HYPERLINK("[#]UnitsOfMeasure!D215:G215","Percent")</f>
        <v>Percent</v>
      </c>
      <c r="M225" s="272"/>
      <c r="N225" s="273"/>
      <c r="O225" s="269"/>
      <c r="P225" s="37">
        <v>114346</v>
      </c>
      <c r="Q225" s="36" t="str">
        <f>CONCATENATE(Cover!$D$6,"fdd/view?i=",P225)</f>
        <v>https://www.dgiwg.org/FAD/fdd/view?i=114346</v>
      </c>
      <c r="R225" s="13" t="s">
        <v>7056</v>
      </c>
      <c r="S225" s="172"/>
      <c r="T225" s="172"/>
      <c r="BJ225" s="83" t="s">
        <v>1790</v>
      </c>
      <c r="CQ225" s="165" t="s">
        <v>1790</v>
      </c>
    </row>
    <row r="226" spans="1:100" x14ac:dyDescent="0.2">
      <c r="A226" s="176" t="str">
        <f t="shared" si="7"/>
        <v>berthIdentifier</v>
      </c>
      <c r="B226" s="11" t="s">
        <v>7061</v>
      </c>
      <c r="C226" s="173"/>
      <c r="D226" s="22" t="s">
        <v>7062</v>
      </c>
      <c r="E226" s="15" t="s">
        <v>7063</v>
      </c>
      <c r="F226" s="174"/>
      <c r="G226" s="174"/>
      <c r="H226" s="17" t="s">
        <v>5932</v>
      </c>
      <c r="I226" s="269"/>
      <c r="J226" s="369" t="str">
        <f>HYPERLINK("[#]Datatypes!B794:L794","KeyNonLex80")</f>
        <v>KeyNonLex80</v>
      </c>
      <c r="K226" s="276"/>
      <c r="L226" s="272"/>
      <c r="M226" s="272"/>
      <c r="N226" s="273"/>
      <c r="O226" s="269"/>
      <c r="P226" s="37">
        <v>100658</v>
      </c>
      <c r="Q226" s="36" t="str">
        <f>CONCATENATE(Cover!$D$6,"fdd/view?i=",P226)</f>
        <v>https://www.dgiwg.org/FAD/fdd/view?i=100658</v>
      </c>
      <c r="R226" s="13" t="s">
        <v>7060</v>
      </c>
      <c r="S226" s="172"/>
      <c r="T226" s="172"/>
      <c r="AS226" s="82" t="s">
        <v>1790</v>
      </c>
      <c r="BA226" s="83" t="s">
        <v>1790</v>
      </c>
      <c r="CV226" s="83" t="s">
        <v>1790</v>
      </c>
    </row>
    <row r="227" spans="1:100" ht="51" x14ac:dyDescent="0.2">
      <c r="A227" s="176" t="str">
        <f t="shared" si="7"/>
        <v>berthRadius</v>
      </c>
      <c r="B227" s="11" t="s">
        <v>7066</v>
      </c>
      <c r="C227" s="173"/>
      <c r="D227" s="22" t="s">
        <v>7067</v>
      </c>
      <c r="E227" s="15" t="s">
        <v>7068</v>
      </c>
      <c r="F227" s="15" t="s">
        <v>7069</v>
      </c>
      <c r="G227" s="174"/>
      <c r="H227" s="17" t="s">
        <v>5932</v>
      </c>
      <c r="I227" s="269"/>
      <c r="J227" s="369" t="str">
        <f>HYPERLINK("[#]Datatypes!B1233:L1233","RealInterval")</f>
        <v>RealInterval</v>
      </c>
      <c r="K227" s="271" t="str">
        <f>HYPERLINK("[#]PhysicalQuantities!A20:N20","Length")</f>
        <v>Length</v>
      </c>
      <c r="L227" s="270" t="str">
        <f>HYPERLINK("[#]UnitsOfMeasure!D94:G94","Nautical Mile")</f>
        <v>Nautical Mile</v>
      </c>
      <c r="M227" s="272"/>
      <c r="N227" s="273"/>
      <c r="O227" s="269"/>
      <c r="P227" s="37">
        <v>111489</v>
      </c>
      <c r="Q227" s="36" t="str">
        <f>CONCATENATE(Cover!$D$6,"fdd/view?i=",P227)</f>
        <v>https://www.dgiwg.org/FAD/fdd/view?i=111489</v>
      </c>
      <c r="R227" s="13" t="s">
        <v>7065</v>
      </c>
      <c r="S227" s="172"/>
      <c r="T227" s="172"/>
      <c r="BA227" s="83" t="s">
        <v>1790</v>
      </c>
      <c r="BF227" s="83" t="s">
        <v>1790</v>
      </c>
      <c r="CQ227" s="165" t="s">
        <v>1790</v>
      </c>
    </row>
    <row r="228" spans="1:100" x14ac:dyDescent="0.2">
      <c r="A228" s="176" t="str">
        <f t="shared" si="7"/>
        <v>bidirectional</v>
      </c>
      <c r="B228" s="11" t="s">
        <v>7071</v>
      </c>
      <c r="C228" s="173"/>
      <c r="D228" s="22" t="s">
        <v>7072</v>
      </c>
      <c r="E228" s="15" t="s">
        <v>7073</v>
      </c>
      <c r="F228" s="174"/>
      <c r="G228" s="174"/>
      <c r="H228" s="17" t="s">
        <v>5932</v>
      </c>
      <c r="I228" s="269"/>
      <c r="J228" s="369" t="str">
        <f>HYPERLINK("[#]Datatypes!B240:L240","Boolean")</f>
        <v>Boolean</v>
      </c>
      <c r="K228" s="276"/>
      <c r="L228" s="272"/>
      <c r="M228" s="272"/>
      <c r="N228" s="273"/>
      <c r="O228" s="269"/>
      <c r="P228" s="37">
        <v>100654</v>
      </c>
      <c r="Q228" s="36" t="str">
        <f>CONCATENATE(Cover!$D$6,"fdd/view?i=",P228)</f>
        <v>https://www.dgiwg.org/FAD/fdd/view?i=100654</v>
      </c>
      <c r="R228" s="13" t="s">
        <v>7070</v>
      </c>
      <c r="S228" s="172"/>
      <c r="T228" s="172"/>
      <c r="AU228" s="82" t="s">
        <v>1790</v>
      </c>
      <c r="AW228" s="82" t="s">
        <v>1790</v>
      </c>
      <c r="CT228" s="166" t="s">
        <v>1790</v>
      </c>
    </row>
    <row r="229" spans="1:100" x14ac:dyDescent="0.2">
      <c r="A229" s="176" t="str">
        <f t="shared" si="7"/>
        <v>biologicalCondition</v>
      </c>
      <c r="B229" s="11" t="s">
        <v>7075</v>
      </c>
      <c r="C229" s="173"/>
      <c r="D229" s="22" t="s">
        <v>7076</v>
      </c>
      <c r="E229" s="15" t="s">
        <v>7077</v>
      </c>
      <c r="F229" s="174"/>
      <c r="G229" s="174"/>
      <c r="H229" s="17" t="s">
        <v>5932</v>
      </c>
      <c r="I229" s="269"/>
      <c r="J229" s="369" t="str">
        <f>HYPERLINK("[#]Datatypes!B232:L232","BcoCode")</f>
        <v>BcoCode</v>
      </c>
      <c r="K229" s="276"/>
      <c r="L229" s="272"/>
      <c r="M229" s="272"/>
      <c r="N229" s="248" t="str">
        <f>HYPERLINK("[#]DatatypeListedValues!A1899:H1899","&lt;values&gt;")</f>
        <v>&lt;values&gt;</v>
      </c>
      <c r="O229" s="277" t="b">
        <v>0</v>
      </c>
      <c r="P229" s="37">
        <v>118603</v>
      </c>
      <c r="Q229" s="36" t="str">
        <f>CONCATENATE(Cover!$D$6,"fdd/view?i=",P229)</f>
        <v>https://www.dgiwg.org/FAD/fdd/view?i=118603</v>
      </c>
      <c r="R229" s="13" t="s">
        <v>7074</v>
      </c>
      <c r="S229" s="172"/>
      <c r="T229" s="172"/>
      <c r="BZ229" s="83" t="s">
        <v>1790</v>
      </c>
      <c r="CA229" s="83" t="s">
        <v>1790</v>
      </c>
      <c r="CT229" s="166" t="s">
        <v>1790</v>
      </c>
    </row>
    <row r="230" spans="1:100" ht="38.25" x14ac:dyDescent="0.2">
      <c r="A230" s="176" t="str">
        <f t="shared" si="7"/>
        <v>biomeType</v>
      </c>
      <c r="B230" s="11" t="s">
        <v>7080</v>
      </c>
      <c r="C230" s="173"/>
      <c r="D230" s="22" t="s">
        <v>7081</v>
      </c>
      <c r="E230" s="15" t="s">
        <v>7082</v>
      </c>
      <c r="F230" s="15" t="s">
        <v>7083</v>
      </c>
      <c r="G230" s="174"/>
      <c r="H230" s="17" t="s">
        <v>5932</v>
      </c>
      <c r="I230" s="269"/>
      <c r="J230" s="369" t="str">
        <f>HYPERLINK("[#]Datatypes!B234:L234","WwfCode")</f>
        <v>WwfCode</v>
      </c>
      <c r="K230" s="276"/>
      <c r="L230" s="272"/>
      <c r="M230" s="272"/>
      <c r="N230" s="248" t="str">
        <f>HYPERLINK("[#]DatatypeListedValues!A1902:H1902","&lt;values&gt;")</f>
        <v>&lt;values&gt;</v>
      </c>
      <c r="O230" s="277" t="b">
        <v>0</v>
      </c>
      <c r="P230" s="37">
        <v>118617</v>
      </c>
      <c r="Q230" s="36" t="str">
        <f>CONCATENATE(Cover!$D$6,"fdd/view?i=",P230)</f>
        <v>https://www.dgiwg.org/FAD/fdd/view?i=118617</v>
      </c>
      <c r="R230" s="13" t="s">
        <v>7079</v>
      </c>
      <c r="S230" s="172"/>
      <c r="T230" s="172"/>
      <c r="BZ230" s="83" t="s">
        <v>1790</v>
      </c>
      <c r="CA230" s="83" t="s">
        <v>1790</v>
      </c>
      <c r="CB230" s="89" t="s">
        <v>1790</v>
      </c>
      <c r="CT230" s="166" t="s">
        <v>1790</v>
      </c>
    </row>
    <row r="231" spans="1:100" ht="51" x14ac:dyDescent="0.2">
      <c r="A231" s="176" t="str">
        <f t="shared" si="7"/>
        <v>birthRate</v>
      </c>
      <c r="B231" s="11" t="s">
        <v>7086</v>
      </c>
      <c r="C231" s="173"/>
      <c r="D231" s="22" t="s">
        <v>7087</v>
      </c>
      <c r="E231" s="15" t="s">
        <v>7088</v>
      </c>
      <c r="F231" s="174"/>
      <c r="G231" s="174"/>
      <c r="H231" s="17" t="s">
        <v>5932</v>
      </c>
      <c r="I231" s="269"/>
      <c r="J231" s="369" t="str">
        <f>HYPERLINK("[#]Datatypes!B1231:L1231","Real")</f>
        <v>Real</v>
      </c>
      <c r="K231" s="271" t="str">
        <f>HYPERLINK("[#]PhysicalQuantities!A43:N43","Rate")</f>
        <v>Rate</v>
      </c>
      <c r="L231" s="270" t="str">
        <f>HYPERLINK("[#]UnitsOfMeasure!D234:G234","Parts per Thousand per Annum (tropical year)")</f>
        <v>Parts per Thousand per Annum (tropical year)</v>
      </c>
      <c r="M231" s="272"/>
      <c r="N231" s="273"/>
      <c r="O231" s="269"/>
      <c r="P231" s="37">
        <v>111488</v>
      </c>
      <c r="Q231" s="36" t="str">
        <f>CONCATENATE(Cover!$D$6,"fdd/view?i=",P231)</f>
        <v>https://www.dgiwg.org/FAD/fdd/view?i=111488</v>
      </c>
      <c r="R231" s="13" t="s">
        <v>7085</v>
      </c>
      <c r="S231" s="172"/>
      <c r="T231" s="172"/>
      <c r="AO231" s="89" t="s">
        <v>1790</v>
      </c>
      <c r="CQ231" s="165" t="s">
        <v>1790</v>
      </c>
    </row>
    <row r="232" spans="1:100" ht="89.25" x14ac:dyDescent="0.2">
      <c r="A232" s="176" t="str">
        <f t="shared" si="7"/>
        <v>bodyWaveMagnitude</v>
      </c>
      <c r="B232" s="11" t="s">
        <v>7090</v>
      </c>
      <c r="C232" s="173"/>
      <c r="D232" s="22" t="s">
        <v>7091</v>
      </c>
      <c r="E232" s="15" t="s">
        <v>7092</v>
      </c>
      <c r="F232" s="15" t="s">
        <v>7093</v>
      </c>
      <c r="G232" s="174"/>
      <c r="H232" s="17" t="s">
        <v>5932</v>
      </c>
      <c r="I232" s="269"/>
      <c r="J232" s="369" t="str">
        <f>HYPERLINK("[#]Datatypes!B1231:L1231","Real")</f>
        <v>Real</v>
      </c>
      <c r="K232" s="271" t="str">
        <f>HYPERLINK("[#]PhysicalQuantities!A39:N39","Pure Number")</f>
        <v>Pure Number</v>
      </c>
      <c r="L232" s="270" t="str">
        <f>HYPERLINK("[#]UnitsOfMeasure!D213:G213","Unitless")</f>
        <v>Unitless</v>
      </c>
      <c r="M232" s="272"/>
      <c r="N232" s="273"/>
      <c r="O232" s="269"/>
      <c r="P232" s="37">
        <v>118574</v>
      </c>
      <c r="Q232" s="36" t="str">
        <f>CONCATENATE(Cover!$D$6,"fdd/view?i=",P232)</f>
        <v>https://www.dgiwg.org/FAD/fdd/view?i=118574</v>
      </c>
      <c r="R232" s="13" t="s">
        <v>7089</v>
      </c>
      <c r="S232" s="172"/>
      <c r="T232" s="172"/>
      <c r="BQ232" s="82" t="s">
        <v>1790</v>
      </c>
      <c r="CQ232" s="165" t="s">
        <v>1790</v>
      </c>
      <c r="CS232" s="165" t="s">
        <v>1790</v>
      </c>
    </row>
    <row r="233" spans="1:100" ht="63.75" x14ac:dyDescent="0.2">
      <c r="A233" s="176" t="str">
        <f t="shared" si="7"/>
        <v>bogType</v>
      </c>
      <c r="B233" s="11" t="s">
        <v>7095</v>
      </c>
      <c r="C233" s="173"/>
      <c r="D233" s="22" t="s">
        <v>7096</v>
      </c>
      <c r="E233" s="15" t="s">
        <v>7097</v>
      </c>
      <c r="F233" s="15" t="s">
        <v>7098</v>
      </c>
      <c r="G233" s="174"/>
      <c r="H233" s="17" t="s">
        <v>5932</v>
      </c>
      <c r="I233" s="269"/>
      <c r="J233" s="369" t="str">
        <f>HYPERLINK("[#]Datatypes!B236:L236","BocCode")</f>
        <v>BocCode</v>
      </c>
      <c r="K233" s="276"/>
      <c r="L233" s="272"/>
      <c r="M233" s="272"/>
      <c r="N233" s="248" t="str">
        <f>HYPERLINK("[#]DatatypeListedValues!A1928:H1928","&lt;values&gt;")</f>
        <v>&lt;values&gt;</v>
      </c>
      <c r="O233" s="277" t="b">
        <v>0</v>
      </c>
      <c r="P233" s="37">
        <v>100669</v>
      </c>
      <c r="Q233" s="36" t="str">
        <f>CONCATENATE(Cover!$D$6,"fdd/view?i=",P233)</f>
        <v>https://www.dgiwg.org/FAD/fdd/view?i=100669</v>
      </c>
      <c r="R233" s="13" t="s">
        <v>7094</v>
      </c>
      <c r="S233" s="172"/>
      <c r="T233" s="172"/>
      <c r="BJ233" s="83" t="s">
        <v>1790</v>
      </c>
      <c r="BO233" s="82" t="s">
        <v>1790</v>
      </c>
      <c r="BX233" s="83" t="s">
        <v>1790</v>
      </c>
      <c r="CS233" s="165" t="s">
        <v>1790</v>
      </c>
    </row>
    <row r="234" spans="1:100" ht="25.5" x14ac:dyDescent="0.2">
      <c r="A234" s="176" t="str">
        <f t="shared" si="7"/>
        <v>bollardMobile</v>
      </c>
      <c r="B234" s="11" t="s">
        <v>7101</v>
      </c>
      <c r="C234" s="173"/>
      <c r="D234" s="22" t="s">
        <v>7102</v>
      </c>
      <c r="E234" s="15" t="s">
        <v>7103</v>
      </c>
      <c r="F234" s="15" t="s">
        <v>7104</v>
      </c>
      <c r="G234" s="174"/>
      <c r="H234" s="17" t="s">
        <v>5932</v>
      </c>
      <c r="I234" s="269"/>
      <c r="J234" s="369" t="str">
        <f>HYPERLINK("[#]Datatypes!B240:L240","Boolean")</f>
        <v>Boolean</v>
      </c>
      <c r="K234" s="276"/>
      <c r="L234" s="272"/>
      <c r="M234" s="272"/>
      <c r="N234" s="273"/>
      <c r="O234" s="269"/>
      <c r="P234" s="37">
        <v>119579</v>
      </c>
      <c r="Q234" s="36" t="str">
        <f>CONCATENATE(Cover!$D$6,"fdd/view?i=",P234)</f>
        <v>https://www.dgiwg.org/FAD/fdd/view?i=119579</v>
      </c>
      <c r="R234" s="13" t="s">
        <v>7100</v>
      </c>
      <c r="S234" s="172"/>
      <c r="T234" s="172"/>
      <c r="AQ234" s="82" t="s">
        <v>1790</v>
      </c>
      <c r="AU234" s="82" t="s">
        <v>1790</v>
      </c>
      <c r="AZ234" s="87" t="s">
        <v>1790</v>
      </c>
      <c r="BA234" s="83" t="s">
        <v>1790</v>
      </c>
    </row>
    <row r="235" spans="1:100" x14ac:dyDescent="0.2">
      <c r="A235" s="176" t="str">
        <f t="shared" si="7"/>
        <v>bollardType</v>
      </c>
      <c r="B235" s="11" t="s">
        <v>7106</v>
      </c>
      <c r="C235" s="173"/>
      <c r="D235" s="22" t="s">
        <v>7107</v>
      </c>
      <c r="E235" s="15" t="s">
        <v>7108</v>
      </c>
      <c r="F235" s="174"/>
      <c r="G235" s="174"/>
      <c r="H235" s="17" t="s">
        <v>5932</v>
      </c>
      <c r="I235" s="269"/>
      <c r="J235" s="369" t="str">
        <f>HYPERLINK("[#]Datatypes!B238:L238","BrdCode")</f>
        <v>BrdCode</v>
      </c>
      <c r="K235" s="276"/>
      <c r="L235" s="272"/>
      <c r="M235" s="272"/>
      <c r="N235" s="248" t="str">
        <f>HYPERLINK("[#]DatatypeListedValues!A1947:H1947","&lt;values&gt;")</f>
        <v>&lt;values&gt;</v>
      </c>
      <c r="O235" s="277" t="b">
        <v>0</v>
      </c>
      <c r="P235" s="37">
        <v>119644</v>
      </c>
      <c r="Q235" s="36" t="str">
        <f>CONCATENATE(Cover!$D$6,"fdd/view?i=",P235)</f>
        <v>https://www.dgiwg.org/FAD/fdd/view?i=119644</v>
      </c>
      <c r="R235" s="13" t="s">
        <v>7105</v>
      </c>
      <c r="S235" s="172"/>
      <c r="T235" s="172"/>
      <c r="AQ235" s="82" t="s">
        <v>1790</v>
      </c>
      <c r="AU235" s="82" t="s">
        <v>1790</v>
      </c>
      <c r="AZ235" s="87" t="s">
        <v>1790</v>
      </c>
      <c r="BA235" s="83" t="s">
        <v>1790</v>
      </c>
    </row>
    <row r="236" spans="1:100" ht="38.25" x14ac:dyDescent="0.2">
      <c r="A236" s="176" t="str">
        <f t="shared" si="7"/>
        <v>borderCrossingType</v>
      </c>
      <c r="B236" s="11" t="s">
        <v>7111</v>
      </c>
      <c r="C236" s="173"/>
      <c r="D236" s="22" t="s">
        <v>7112</v>
      </c>
      <c r="E236" s="15" t="s">
        <v>7113</v>
      </c>
      <c r="F236" s="174"/>
      <c r="G236" s="174"/>
      <c r="H236" s="17" t="s">
        <v>5932</v>
      </c>
      <c r="I236" s="269"/>
      <c r="J236" s="369" t="str">
        <f>HYPERLINK("[#]Datatypes!B242:L242","BryCode")</f>
        <v>BryCode</v>
      </c>
      <c r="K236" s="276"/>
      <c r="L236" s="272"/>
      <c r="M236" s="272"/>
      <c r="N236" s="248" t="str">
        <f>HYPERLINK("[#]DatatypeListedValues!A1949:H1949","&lt;values&gt;")</f>
        <v>&lt;values&gt;</v>
      </c>
      <c r="O236" s="277" t="b">
        <v>0</v>
      </c>
      <c r="P236" s="37">
        <v>118625</v>
      </c>
      <c r="Q236" s="36" t="str">
        <f>CONCATENATE(Cover!$D$6,"fdd/view?i=",P236)</f>
        <v>https://www.dgiwg.org/FAD/fdd/view?i=118625</v>
      </c>
      <c r="R236" s="13" t="s">
        <v>7110</v>
      </c>
      <c r="S236" s="172"/>
      <c r="T236" s="172"/>
      <c r="CC236" s="81" t="s">
        <v>1790</v>
      </c>
      <c r="CT236" s="166" t="s">
        <v>1790</v>
      </c>
    </row>
    <row r="237" spans="1:100" x14ac:dyDescent="0.2">
      <c r="A237" s="176" t="str">
        <f t="shared" si="7"/>
        <v>borderProtectionType</v>
      </c>
      <c r="B237" s="11" t="s">
        <v>7116</v>
      </c>
      <c r="C237" s="173"/>
      <c r="D237" s="22" t="s">
        <v>7117</v>
      </c>
      <c r="E237" s="15" t="s">
        <v>7118</v>
      </c>
      <c r="F237" s="15" t="s">
        <v>7119</v>
      </c>
      <c r="G237" s="174"/>
      <c r="H237" s="17" t="s">
        <v>5932</v>
      </c>
      <c r="I237" s="269"/>
      <c r="J237" s="369" t="str">
        <f>HYPERLINK("[#]Datatypes!B244:L244","BptCode")</f>
        <v>BptCode</v>
      </c>
      <c r="K237" s="276"/>
      <c r="L237" s="272"/>
      <c r="M237" s="272"/>
      <c r="N237" s="248" t="str">
        <f>HYPERLINK("[#]DatatypeListedValues!A1954:H1954","&lt;values&gt;")</f>
        <v>&lt;values&gt;</v>
      </c>
      <c r="O237" s="277" t="b">
        <v>0</v>
      </c>
      <c r="P237" s="37">
        <v>118618</v>
      </c>
      <c r="Q237" s="36" t="str">
        <f>CONCATENATE(Cover!$D$6,"fdd/view?i=",P237)</f>
        <v>https://www.dgiwg.org/FAD/fdd/view?i=118618</v>
      </c>
      <c r="R237" s="13" t="s">
        <v>7115</v>
      </c>
      <c r="S237" s="172"/>
      <c r="T237" s="172"/>
      <c r="CC237" s="81" t="s">
        <v>1790</v>
      </c>
      <c r="CS237" s="165" t="s">
        <v>1790</v>
      </c>
    </row>
    <row r="238" spans="1:100" ht="25.5" x14ac:dyDescent="0.2">
      <c r="A238" s="176" t="str">
        <f t="shared" si="7"/>
        <v>boreholeAbandonmentDate</v>
      </c>
      <c r="B238" s="11" t="s">
        <v>7122</v>
      </c>
      <c r="C238" s="173"/>
      <c r="D238" s="22" t="s">
        <v>7123</v>
      </c>
      <c r="E238" s="15" t="s">
        <v>7124</v>
      </c>
      <c r="F238" s="15" t="s">
        <v>7125</v>
      </c>
      <c r="G238" s="174"/>
      <c r="H238" s="17" t="s">
        <v>5932</v>
      </c>
      <c r="I238" s="269"/>
      <c r="J238" s="369" t="str">
        <f>HYPERLINK("[#]Datatypes!B246:L246","DtaStrucText")</f>
        <v>DtaStrucText</v>
      </c>
      <c r="K238" s="276"/>
      <c r="L238" s="272"/>
      <c r="M238" s="272"/>
      <c r="N238" s="273"/>
      <c r="O238" s="269"/>
      <c r="P238" s="37">
        <v>111771</v>
      </c>
      <c r="Q238" s="36" t="str">
        <f>CONCATENATE(Cover!$D$6,"fdd/view?i=",P238)</f>
        <v>https://www.dgiwg.org/FAD/fdd/view?i=111771</v>
      </c>
      <c r="R238" s="13" t="s">
        <v>7121</v>
      </c>
      <c r="S238" s="172"/>
      <c r="T238" s="172"/>
      <c r="AA238" s="81" t="s">
        <v>1790</v>
      </c>
      <c r="CR238" s="165" t="s">
        <v>1790</v>
      </c>
    </row>
    <row r="239" spans="1:100" ht="51" x14ac:dyDescent="0.2">
      <c r="A239" s="176" t="str">
        <f t="shared" si="7"/>
        <v>boreholeType</v>
      </c>
      <c r="B239" s="11" t="s">
        <v>7128</v>
      </c>
      <c r="C239" s="173"/>
      <c r="D239" s="22" t="s">
        <v>7129</v>
      </c>
      <c r="E239" s="15" t="s">
        <v>7130</v>
      </c>
      <c r="F239" s="15" t="s">
        <v>2300</v>
      </c>
      <c r="G239" s="174"/>
      <c r="H239" s="17" t="s">
        <v>5932</v>
      </c>
      <c r="I239" s="269"/>
      <c r="J239" s="369" t="str">
        <f>HYPERLINK("[#]Datatypes!B248:L248","PtdCode")</f>
        <v>PtdCode</v>
      </c>
      <c r="K239" s="276"/>
      <c r="L239" s="272"/>
      <c r="M239" s="272"/>
      <c r="N239" s="248" t="str">
        <f>HYPERLINK("[#]DatatypeListedValues!A1958:H1958","&lt;values&gt;")</f>
        <v>&lt;values&gt;</v>
      </c>
      <c r="O239" s="277" t="b">
        <v>0</v>
      </c>
      <c r="P239" s="37">
        <v>111682</v>
      </c>
      <c r="Q239" s="36" t="str">
        <f>CONCATENATE(Cover!$D$6,"fdd/view?i=",P239)</f>
        <v>https://www.dgiwg.org/FAD/fdd/view?i=111682</v>
      </c>
      <c r="R239" s="13" t="s">
        <v>7127</v>
      </c>
      <c r="S239" s="172"/>
      <c r="T239" s="172"/>
      <c r="AA239" s="81" t="s">
        <v>1790</v>
      </c>
      <c r="BP239" s="82" t="s">
        <v>1790</v>
      </c>
      <c r="CT239" s="166" t="s">
        <v>1790</v>
      </c>
    </row>
    <row r="240" spans="1:100" ht="25.5" x14ac:dyDescent="0.2">
      <c r="A240" s="176" t="str">
        <f t="shared" si="7"/>
        <v>bottomContactStatus</v>
      </c>
      <c r="B240" s="11" t="s">
        <v>7133</v>
      </c>
      <c r="C240" s="173"/>
      <c r="D240" s="22" t="s">
        <v>7134</v>
      </c>
      <c r="E240" s="15" t="s">
        <v>7135</v>
      </c>
      <c r="F240" s="174"/>
      <c r="G240" s="174"/>
      <c r="H240" s="17" t="s">
        <v>5932</v>
      </c>
      <c r="I240" s="269"/>
      <c r="J240" s="369" t="str">
        <f>HYPERLINK("[#]Datatypes!B250:L250","BcsCode")</f>
        <v>BcsCode</v>
      </c>
      <c r="K240" s="276"/>
      <c r="L240" s="272"/>
      <c r="M240" s="272"/>
      <c r="N240" s="248" t="str">
        <f>HYPERLINK("[#]DatatypeListedValues!A1972:H1972","&lt;values&gt;")</f>
        <v>&lt;values&gt;</v>
      </c>
      <c r="O240" s="277" t="b">
        <v>0</v>
      </c>
      <c r="P240" s="37">
        <v>111107</v>
      </c>
      <c r="Q240" s="36" t="str">
        <f>CONCATENATE(Cover!$D$6,"fdd/view?i=",P240)</f>
        <v>https://www.dgiwg.org/FAD/fdd/view?i=111107</v>
      </c>
      <c r="R240" s="13" t="s">
        <v>7132</v>
      </c>
      <c r="S240" s="172"/>
      <c r="T240" s="172"/>
      <c r="CJ240" s="81" t="s">
        <v>1790</v>
      </c>
      <c r="CT240" s="166" t="s">
        <v>1790</v>
      </c>
    </row>
    <row r="241" spans="1:105" x14ac:dyDescent="0.2">
      <c r="A241" s="176" t="str">
        <f t="shared" si="7"/>
        <v>bottomMaterialType</v>
      </c>
      <c r="B241" s="11" t="s">
        <v>7138</v>
      </c>
      <c r="C241" s="173"/>
      <c r="D241" s="22" t="s">
        <v>7139</v>
      </c>
      <c r="E241" s="15" t="s">
        <v>7140</v>
      </c>
      <c r="F241" s="174"/>
      <c r="G241" s="174"/>
      <c r="H241" s="17" t="s">
        <v>5932</v>
      </c>
      <c r="I241" s="17" t="s">
        <v>6029</v>
      </c>
      <c r="J241" s="369" t="str">
        <f>HYPERLINK("[#]Datatypes!B252:L252","BmcCode")</f>
        <v>BmcCode</v>
      </c>
      <c r="K241" s="276"/>
      <c r="L241" s="272"/>
      <c r="M241" s="272"/>
      <c r="N241" s="248" t="str">
        <f>HYPERLINK("[#]DatatypeListedValues!A1975:H1975","&lt;values&gt;")</f>
        <v>&lt;values&gt;</v>
      </c>
      <c r="O241" s="277" t="b">
        <v>0</v>
      </c>
      <c r="P241" s="37">
        <v>100667</v>
      </c>
      <c r="Q241" s="36" t="str">
        <f>CONCATENATE(Cover!$D$6,"fdd/view?i=",P241)</f>
        <v>https://www.dgiwg.org/FAD/fdd/view?i=100667</v>
      </c>
      <c r="R241" s="13" t="s">
        <v>7137</v>
      </c>
      <c r="S241" s="172"/>
      <c r="T241" s="172"/>
      <c r="BC241" s="83" t="s">
        <v>1790</v>
      </c>
      <c r="CS241" s="165" t="s">
        <v>1790</v>
      </c>
    </row>
    <row r="242" spans="1:105" ht="102" x14ac:dyDescent="0.2">
      <c r="A242" s="176" t="str">
        <f t="shared" si="7"/>
        <v>bottomObjectType</v>
      </c>
      <c r="B242" s="11" t="s">
        <v>7143</v>
      </c>
      <c r="C242" s="173"/>
      <c r="D242" s="22" t="s">
        <v>7144</v>
      </c>
      <c r="E242" s="15" t="s">
        <v>7145</v>
      </c>
      <c r="F242" s="15" t="s">
        <v>7146</v>
      </c>
      <c r="G242" s="174"/>
      <c r="H242" s="17" t="s">
        <v>5932</v>
      </c>
      <c r="I242" s="269"/>
      <c r="J242" s="369" t="str">
        <f>HYPERLINK("[#]Datatypes!B254:L254","BobCode")</f>
        <v>BobCode</v>
      </c>
      <c r="K242" s="276"/>
      <c r="L242" s="272"/>
      <c r="M242" s="272"/>
      <c r="N242" s="248" t="str">
        <f>HYPERLINK("[#]DatatypeListedValues!A1991:H1991","&lt;values&gt;")</f>
        <v>&lt;values&gt;</v>
      </c>
      <c r="O242" s="277" t="b">
        <v>0</v>
      </c>
      <c r="P242" s="37">
        <v>118162</v>
      </c>
      <c r="Q242" s="36" t="str">
        <f>CONCATENATE(Cover!$D$6,"fdd/view?i=",P242)</f>
        <v>https://www.dgiwg.org/FAD/fdd/view?i=118162</v>
      </c>
      <c r="R242" s="13" t="s">
        <v>7142</v>
      </c>
      <c r="S242" s="172"/>
      <c r="T242" s="172"/>
      <c r="AS242" s="82" t="s">
        <v>1790</v>
      </c>
      <c r="BF242" s="83" t="s">
        <v>1790</v>
      </c>
      <c r="BG242" s="83" t="s">
        <v>1790</v>
      </c>
      <c r="CS242" s="165" t="s">
        <v>1790</v>
      </c>
      <c r="CT242" s="166" t="s">
        <v>1790</v>
      </c>
    </row>
    <row r="243" spans="1:105" ht="38.25" x14ac:dyDescent="0.2">
      <c r="A243" s="176" t="str">
        <f t="shared" si="7"/>
        <v>boundaryDemarcated</v>
      </c>
      <c r="B243" s="11" t="s">
        <v>7149</v>
      </c>
      <c r="C243" s="173"/>
      <c r="D243" s="22" t="s">
        <v>7150</v>
      </c>
      <c r="E243" s="15" t="s">
        <v>7151</v>
      </c>
      <c r="F243" s="15" t="s">
        <v>7152</v>
      </c>
      <c r="G243" s="174"/>
      <c r="H243" s="17" t="s">
        <v>5932</v>
      </c>
      <c r="I243" s="269"/>
      <c r="J243" s="369" t="str">
        <f>HYPERLINK("[#]Datatypes!B240:L240","Boolean")</f>
        <v>Boolean</v>
      </c>
      <c r="K243" s="276"/>
      <c r="L243" s="272"/>
      <c r="M243" s="272"/>
      <c r="N243" s="273"/>
      <c r="O243" s="269"/>
      <c r="P243" s="37">
        <v>100821</v>
      </c>
      <c r="Q243" s="36" t="str">
        <f>CONCATENATE(Cover!$D$6,"fdd/view?i=",P243)</f>
        <v>https://www.dgiwg.org/FAD/fdd/view?i=100821</v>
      </c>
      <c r="R243" s="13" t="s">
        <v>7148</v>
      </c>
      <c r="S243" s="172"/>
      <c r="T243" s="172"/>
      <c r="AM243" s="83" t="s">
        <v>1790</v>
      </c>
      <c r="CC243" s="81" t="s">
        <v>1790</v>
      </c>
    </row>
    <row r="244" spans="1:105" x14ac:dyDescent="0.2">
      <c r="A244" s="176" t="str">
        <f t="shared" si="7"/>
        <v>boundaryDetermineMethod</v>
      </c>
      <c r="B244" s="11" t="s">
        <v>7154</v>
      </c>
      <c r="C244" s="173"/>
      <c r="D244" s="22" t="s">
        <v>7155</v>
      </c>
      <c r="E244" s="15" t="s">
        <v>7156</v>
      </c>
      <c r="F244" s="174"/>
      <c r="G244" s="174"/>
      <c r="H244" s="17" t="s">
        <v>5932</v>
      </c>
      <c r="I244" s="269"/>
      <c r="J244" s="369" t="str">
        <f>HYPERLINK("[#]Datatypes!B256:L256","CftCode")</f>
        <v>CftCode</v>
      </c>
      <c r="K244" s="276"/>
      <c r="L244" s="272"/>
      <c r="M244" s="272"/>
      <c r="N244" s="248" t="str">
        <f>HYPERLINK("[#]DatatypeListedValues!A1998:H1998","&lt;values&gt;")</f>
        <v>&lt;values&gt;</v>
      </c>
      <c r="O244" s="277" t="b">
        <v>0</v>
      </c>
      <c r="P244" s="37">
        <v>100739</v>
      </c>
      <c r="Q244" s="36" t="str">
        <f>CONCATENATE(Cover!$D$6,"fdd/view?i=",P244)</f>
        <v>https://www.dgiwg.org/FAD/fdd/view?i=100739</v>
      </c>
      <c r="R244" s="13" t="s">
        <v>7153</v>
      </c>
      <c r="S244" s="172"/>
      <c r="T244" s="172"/>
      <c r="AM244" s="83" t="s">
        <v>1790</v>
      </c>
      <c r="CC244" s="81" t="s">
        <v>1790</v>
      </c>
      <c r="CT244" s="166" t="s">
        <v>1790</v>
      </c>
    </row>
    <row r="245" spans="1:105" x14ac:dyDescent="0.2">
      <c r="A245" s="176" t="str">
        <f t="shared" si="7"/>
        <v>boundaryDisputeType</v>
      </c>
      <c r="B245" s="11" t="s">
        <v>7159</v>
      </c>
      <c r="C245" s="173"/>
      <c r="D245" s="22" t="s">
        <v>7160</v>
      </c>
      <c r="E245" s="15" t="s">
        <v>7161</v>
      </c>
      <c r="F245" s="174"/>
      <c r="G245" s="174"/>
      <c r="H245" s="17" t="s">
        <v>5932</v>
      </c>
      <c r="I245" s="269"/>
      <c r="J245" s="369" t="str">
        <f>HYPERLINK("[#]Datatypes!B258:L258","DspCode")</f>
        <v>DspCode</v>
      </c>
      <c r="K245" s="276"/>
      <c r="L245" s="272"/>
      <c r="M245" s="272"/>
      <c r="N245" s="248" t="str">
        <f>HYPERLINK("[#]DatatypeListedValues!A2029:H2029","&lt;values&gt;")</f>
        <v>&lt;values&gt;</v>
      </c>
      <c r="O245" s="277" t="b">
        <v>0</v>
      </c>
      <c r="P245" s="37">
        <v>100844</v>
      </c>
      <c r="Q245" s="36" t="str">
        <f>CONCATENATE(Cover!$D$6,"fdd/view?i=",P245)</f>
        <v>https://www.dgiwg.org/FAD/fdd/view?i=100844</v>
      </c>
      <c r="R245" s="13" t="s">
        <v>7158</v>
      </c>
      <c r="S245" s="172"/>
      <c r="T245" s="172"/>
      <c r="AM245" s="83" t="s">
        <v>1790</v>
      </c>
      <c r="CC245" s="81" t="s">
        <v>1790</v>
      </c>
      <c r="CT245" s="166" t="s">
        <v>1790</v>
      </c>
    </row>
    <row r="246" spans="1:105" ht="38.25" x14ac:dyDescent="0.2">
      <c r="A246" s="176" t="str">
        <f t="shared" si="7"/>
        <v>boundaryFirstName</v>
      </c>
      <c r="B246" s="11" t="s">
        <v>7164</v>
      </c>
      <c r="C246" s="173"/>
      <c r="D246" s="22" t="s">
        <v>7165</v>
      </c>
      <c r="E246" s="15" t="s">
        <v>7166</v>
      </c>
      <c r="F246" s="15" t="s">
        <v>7167</v>
      </c>
      <c r="G246" s="174"/>
      <c r="H246" s="17" t="s">
        <v>5932</v>
      </c>
      <c r="I246" s="269"/>
      <c r="J246" s="369" t="str">
        <f>HYPERLINK("[#]Datatypes!B1542:L1542","TextLex80")</f>
        <v>TextLex80</v>
      </c>
      <c r="K246" s="276"/>
      <c r="L246" s="272"/>
      <c r="M246" s="272"/>
      <c r="N246" s="273"/>
      <c r="O246" s="269"/>
      <c r="P246" s="37">
        <v>101098</v>
      </c>
      <c r="Q246" s="36" t="str">
        <f>CONCATENATE(Cover!$D$6,"fdd/view?i=",P246)</f>
        <v>https://www.dgiwg.org/FAD/fdd/view?i=101098</v>
      </c>
      <c r="R246" s="13" t="s">
        <v>7163</v>
      </c>
      <c r="S246" s="172"/>
      <c r="T246" s="172"/>
      <c r="AM246" s="83" t="s">
        <v>1790</v>
      </c>
      <c r="CC246" s="81" t="s">
        <v>1790</v>
      </c>
      <c r="CU246" s="87" t="s">
        <v>1790</v>
      </c>
    </row>
    <row r="247" spans="1:105" x14ac:dyDescent="0.2">
      <c r="A247" s="176" t="str">
        <f t="shared" si="7"/>
        <v>boundaryLightsPresent</v>
      </c>
      <c r="B247" s="11" t="s">
        <v>7169</v>
      </c>
      <c r="C247" s="173"/>
      <c r="D247" s="22" t="s">
        <v>7170</v>
      </c>
      <c r="E247" s="15" t="s">
        <v>7171</v>
      </c>
      <c r="F247" s="174"/>
      <c r="G247" s="174"/>
      <c r="H247" s="17" t="s">
        <v>5932</v>
      </c>
      <c r="I247" s="269"/>
      <c r="J247" s="369" t="str">
        <f>HYPERLINK("[#]Datatypes!B240:L240","Boolean")</f>
        <v>Boolean</v>
      </c>
      <c r="K247" s="276"/>
      <c r="L247" s="272"/>
      <c r="M247" s="272"/>
      <c r="N247" s="273"/>
      <c r="O247" s="269"/>
      <c r="P247" s="37">
        <v>100875</v>
      </c>
      <c r="Q247" s="36" t="str">
        <f>CONCATENATE(Cover!$D$6,"fdd/view?i=",P247)</f>
        <v>https://www.dgiwg.org/FAD/fdd/view?i=100875</v>
      </c>
      <c r="R247" s="13" t="s">
        <v>7168</v>
      </c>
      <c r="S247" s="172"/>
      <c r="T247" s="172"/>
      <c r="AT247" s="82" t="s">
        <v>1790</v>
      </c>
      <c r="CE247" s="87" t="s">
        <v>1790</v>
      </c>
      <c r="CS247" s="165" t="s">
        <v>1790</v>
      </c>
    </row>
    <row r="248" spans="1:105" ht="38.25" x14ac:dyDescent="0.2">
      <c r="A248" s="176" t="str">
        <f t="shared" si="7"/>
        <v>boundaryRepresentatPolicy</v>
      </c>
      <c r="B248" s="11" t="s">
        <v>7173</v>
      </c>
      <c r="C248" s="173"/>
      <c r="D248" s="22" t="s">
        <v>7174</v>
      </c>
      <c r="E248" s="15" t="s">
        <v>7175</v>
      </c>
      <c r="F248" s="174"/>
      <c r="G248" s="174"/>
      <c r="H248" s="17" t="s">
        <v>5932</v>
      </c>
      <c r="I248" s="269"/>
      <c r="J248" s="369" t="str">
        <f>HYPERLINK("[#]Datatypes!B260:L260","RpcCode")</f>
        <v>RpcCode</v>
      </c>
      <c r="K248" s="276"/>
      <c r="L248" s="272"/>
      <c r="M248" s="272"/>
      <c r="N248" s="248" t="str">
        <f>HYPERLINK("[#]DatatypeListedValues!A2033:H2033","&lt;values&gt;")</f>
        <v>&lt;values&gt;</v>
      </c>
      <c r="O248" s="277" t="b">
        <v>0</v>
      </c>
      <c r="P248" s="37">
        <v>101240</v>
      </c>
      <c r="Q248" s="36" t="str">
        <f>CONCATENATE(Cover!$D$6,"fdd/view?i=",P248)</f>
        <v>https://www.dgiwg.org/FAD/fdd/view?i=101240</v>
      </c>
      <c r="R248" s="13" t="s">
        <v>7172</v>
      </c>
      <c r="S248" s="172"/>
      <c r="T248" s="172"/>
      <c r="AM248" s="83" t="s">
        <v>1790</v>
      </c>
      <c r="CC248" s="81" t="s">
        <v>1790</v>
      </c>
    </row>
    <row r="249" spans="1:105" ht="38.25" x14ac:dyDescent="0.2">
      <c r="A249" s="176" t="str">
        <f t="shared" si="7"/>
        <v>boundarySecondName</v>
      </c>
      <c r="B249" s="11" t="s">
        <v>7178</v>
      </c>
      <c r="C249" s="173"/>
      <c r="D249" s="22" t="s">
        <v>7179</v>
      </c>
      <c r="E249" s="15" t="s">
        <v>7180</v>
      </c>
      <c r="F249" s="15" t="s">
        <v>7181</v>
      </c>
      <c r="G249" s="174"/>
      <c r="H249" s="17" t="s">
        <v>5932</v>
      </c>
      <c r="I249" s="269"/>
      <c r="J249" s="369" t="str">
        <f>HYPERLINK("[#]Datatypes!B1542:L1542","TextLex80")</f>
        <v>TextLex80</v>
      </c>
      <c r="K249" s="276"/>
      <c r="L249" s="272"/>
      <c r="M249" s="272"/>
      <c r="N249" s="273"/>
      <c r="O249" s="269"/>
      <c r="P249" s="37">
        <v>101099</v>
      </c>
      <c r="Q249" s="36" t="str">
        <f>CONCATENATE(Cover!$D$6,"fdd/view?i=",P249)</f>
        <v>https://www.dgiwg.org/FAD/fdd/view?i=101099</v>
      </c>
      <c r="R249" s="13" t="s">
        <v>7177</v>
      </c>
      <c r="S249" s="172"/>
      <c r="T249" s="172"/>
      <c r="AM249" s="83" t="s">
        <v>1790</v>
      </c>
      <c r="CC249" s="81" t="s">
        <v>1790</v>
      </c>
      <c r="CU249" s="87" t="s">
        <v>1790</v>
      </c>
    </row>
    <row r="250" spans="1:105" x14ac:dyDescent="0.2">
      <c r="A250" s="176" t="str">
        <f t="shared" si="7"/>
        <v>boundaryStatus</v>
      </c>
      <c r="B250" s="11" t="s">
        <v>7183</v>
      </c>
      <c r="C250" s="173"/>
      <c r="D250" s="22" t="s">
        <v>7184</v>
      </c>
      <c r="E250" s="15" t="s">
        <v>7185</v>
      </c>
      <c r="F250" s="174"/>
      <c r="G250" s="174"/>
      <c r="H250" s="17" t="s">
        <v>5932</v>
      </c>
      <c r="I250" s="269"/>
      <c r="J250" s="369" t="str">
        <f>HYPERLINK("[#]Datatypes!B262:L262","BstCode")</f>
        <v>BstCode</v>
      </c>
      <c r="K250" s="276"/>
      <c r="L250" s="272"/>
      <c r="M250" s="272"/>
      <c r="N250" s="248" t="str">
        <f>HYPERLINK("[#]DatatypeListedValues!A2038:H2038","&lt;values&gt;")</f>
        <v>&lt;values&gt;</v>
      </c>
      <c r="O250" s="277" t="b">
        <v>0</v>
      </c>
      <c r="P250" s="37">
        <v>100690</v>
      </c>
      <c r="Q250" s="36" t="str">
        <f>CONCATENATE(Cover!$D$6,"fdd/view?i=",P250)</f>
        <v>https://www.dgiwg.org/FAD/fdd/view?i=100690</v>
      </c>
      <c r="R250" s="13" t="s">
        <v>7182</v>
      </c>
      <c r="S250" s="172"/>
      <c r="T250" s="172"/>
      <c r="AM250" s="83" t="s">
        <v>1790</v>
      </c>
      <c r="CC250" s="81" t="s">
        <v>1790</v>
      </c>
      <c r="CT250" s="166" t="s">
        <v>1790</v>
      </c>
    </row>
    <row r="251" spans="1:105" x14ac:dyDescent="0.2">
      <c r="A251" s="176" t="str">
        <f t="shared" si="7"/>
        <v>branchRailwayType</v>
      </c>
      <c r="B251" s="11" t="s">
        <v>7188</v>
      </c>
      <c r="C251" s="173"/>
      <c r="D251" s="22" t="s">
        <v>7189</v>
      </c>
      <c r="E251" s="15" t="s">
        <v>7190</v>
      </c>
      <c r="F251" s="174"/>
      <c r="G251" s="174"/>
      <c r="H251" s="17" t="s">
        <v>5932</v>
      </c>
      <c r="I251" s="269"/>
      <c r="J251" s="369" t="str">
        <f>HYPERLINK("[#]Datatypes!B264:L264","RsaCode")</f>
        <v>RsaCode</v>
      </c>
      <c r="K251" s="276"/>
      <c r="L251" s="272"/>
      <c r="M251" s="272"/>
      <c r="N251" s="248" t="str">
        <f>HYPERLINK("[#]DatatypeListedValues!A2045:H2045","&lt;values&gt;")</f>
        <v>&lt;values&gt;</v>
      </c>
      <c r="O251" s="277" t="b">
        <v>0</v>
      </c>
      <c r="P251" s="37">
        <v>101244</v>
      </c>
      <c r="Q251" s="36" t="str">
        <f>CONCATENATE(Cover!$D$6,"fdd/view?i=",P251)</f>
        <v>https://www.dgiwg.org/FAD/fdd/view?i=101244</v>
      </c>
      <c r="R251" s="13" t="s">
        <v>7187</v>
      </c>
      <c r="S251" s="172"/>
      <c r="T251" s="172"/>
      <c r="AP251" s="81" t="s">
        <v>1790</v>
      </c>
      <c r="CT251" s="166" t="s">
        <v>1790</v>
      </c>
    </row>
    <row r="252" spans="1:105" ht="25.5" x14ac:dyDescent="0.2">
      <c r="A252" s="176" t="str">
        <f t="shared" si="7"/>
        <v>bridgeInfoReliability</v>
      </c>
      <c r="B252" s="11" t="s">
        <v>7193</v>
      </c>
      <c r="C252" s="173"/>
      <c r="D252" s="22" t="s">
        <v>7194</v>
      </c>
      <c r="E252" s="15" t="s">
        <v>7195</v>
      </c>
      <c r="F252" s="174"/>
      <c r="G252" s="174"/>
      <c r="H252" s="17" t="s">
        <v>5932</v>
      </c>
      <c r="I252" s="269"/>
      <c r="J252" s="369" t="str">
        <f>HYPERLINK("[#]Datatypes!B266:L266","RbcCode")</f>
        <v>RbcCode</v>
      </c>
      <c r="K252" s="276"/>
      <c r="L252" s="272"/>
      <c r="M252" s="272"/>
      <c r="N252" s="248" t="str">
        <f>HYPERLINK("[#]DatatypeListedValues!A2048:H2048","&lt;values&gt;")</f>
        <v>&lt;values&gt;</v>
      </c>
      <c r="O252" s="277" t="b">
        <v>0</v>
      </c>
      <c r="P252" s="37">
        <v>101209</v>
      </c>
      <c r="Q252" s="36" t="str">
        <f>CONCATENATE(Cover!$D$6,"fdd/view?i=",P252)</f>
        <v>https://www.dgiwg.org/FAD/fdd/view?i=101209</v>
      </c>
      <c r="R252" s="13" t="s">
        <v>7192</v>
      </c>
      <c r="S252" s="172"/>
      <c r="T252" s="172"/>
      <c r="AV252" s="82" t="s">
        <v>1790</v>
      </c>
      <c r="CJ252" s="81" t="s">
        <v>1790</v>
      </c>
      <c r="CZ252" s="165" t="s">
        <v>1790</v>
      </c>
    </row>
    <row r="253" spans="1:105" ht="25.5" x14ac:dyDescent="0.2">
      <c r="A253" s="176" t="str">
        <f t="shared" si="7"/>
        <v>bridgeOpeningType</v>
      </c>
      <c r="B253" s="11" t="s">
        <v>7198</v>
      </c>
      <c r="C253" s="173"/>
      <c r="D253" s="22" t="s">
        <v>7199</v>
      </c>
      <c r="E253" s="15" t="s">
        <v>7200</v>
      </c>
      <c r="F253" s="174"/>
      <c r="G253" s="174"/>
      <c r="H253" s="17" t="s">
        <v>5932</v>
      </c>
      <c r="I253" s="269"/>
      <c r="J253" s="369" t="str">
        <f>HYPERLINK("[#]Datatypes!B268:L268","BotCode")</f>
        <v>BotCode</v>
      </c>
      <c r="K253" s="276"/>
      <c r="L253" s="272"/>
      <c r="M253" s="272"/>
      <c r="N253" s="248" t="str">
        <f>HYPERLINK("[#]DatatypeListedValues!A2050:H2050","&lt;values&gt;")</f>
        <v>&lt;values&gt;</v>
      </c>
      <c r="O253" s="277" t="b">
        <v>0</v>
      </c>
      <c r="P253" s="37">
        <v>100670</v>
      </c>
      <c r="Q253" s="36" t="str">
        <f>CONCATENATE(Cover!$D$6,"fdd/view?i=",P253)</f>
        <v>https://www.dgiwg.org/FAD/fdd/view?i=100670</v>
      </c>
      <c r="R253" s="13" t="s">
        <v>7197</v>
      </c>
      <c r="S253" s="172"/>
      <c r="T253" s="172"/>
      <c r="AS253" s="82" t="s">
        <v>1790</v>
      </c>
      <c r="AU253" s="82" t="s">
        <v>1790</v>
      </c>
      <c r="AV253" s="82" t="s">
        <v>1790</v>
      </c>
      <c r="BA253" s="83" t="s">
        <v>1790</v>
      </c>
      <c r="BF253" s="83" t="s">
        <v>1790</v>
      </c>
      <c r="BG253" s="83" t="s">
        <v>1790</v>
      </c>
      <c r="CT253" s="166" t="s">
        <v>1790</v>
      </c>
    </row>
    <row r="254" spans="1:105" ht="114.75" x14ac:dyDescent="0.2">
      <c r="A254" s="176" t="str">
        <f t="shared" si="7"/>
        <v>bridgeReferenceNumber</v>
      </c>
      <c r="B254" s="11" t="s">
        <v>7203</v>
      </c>
      <c r="C254" s="173"/>
      <c r="D254" s="22" t="s">
        <v>7204</v>
      </c>
      <c r="E254" s="15" t="s">
        <v>7205</v>
      </c>
      <c r="F254" s="15" t="s">
        <v>7206</v>
      </c>
      <c r="G254" s="174"/>
      <c r="H254" s="17" t="s">
        <v>5932</v>
      </c>
      <c r="I254" s="269"/>
      <c r="J254" s="369" t="str">
        <f>HYPERLINK("[#]Datatypes!B784:L784","KeyNonLex24")</f>
        <v>KeyNonLex24</v>
      </c>
      <c r="K254" s="276"/>
      <c r="L254" s="272"/>
      <c r="M254" s="272"/>
      <c r="N254" s="273"/>
      <c r="O254" s="269"/>
      <c r="P254" s="37">
        <v>100677</v>
      </c>
      <c r="Q254" s="36" t="str">
        <f>CONCATENATE(Cover!$D$6,"fdd/view?i=",P254)</f>
        <v>https://www.dgiwg.org/FAD/fdd/view?i=100677</v>
      </c>
      <c r="R254" s="13" t="s">
        <v>7202</v>
      </c>
      <c r="S254" s="172"/>
      <c r="T254" s="172"/>
      <c r="AV254" s="82" t="s">
        <v>1790</v>
      </c>
      <c r="CV254" s="83" t="s">
        <v>1790</v>
      </c>
      <c r="DA254" s="165" t="s">
        <v>1790</v>
      </c>
    </row>
    <row r="255" spans="1:105" ht="63.75" x14ac:dyDescent="0.2">
      <c r="A255" s="176" t="str">
        <f t="shared" si="7"/>
        <v>bridgeSerialNumber</v>
      </c>
      <c r="B255" s="11" t="s">
        <v>7209</v>
      </c>
      <c r="C255" s="173"/>
      <c r="D255" s="22" t="s">
        <v>7210</v>
      </c>
      <c r="E255" s="15" t="s">
        <v>7211</v>
      </c>
      <c r="F255" s="15" t="s">
        <v>7212</v>
      </c>
      <c r="G255" s="174"/>
      <c r="H255" s="17" t="s">
        <v>5932</v>
      </c>
      <c r="I255" s="269"/>
      <c r="J255" s="369" t="str">
        <f>HYPERLINK("[#]Datatypes!B794:L794","KeyNonLex80")</f>
        <v>KeyNonLex80</v>
      </c>
      <c r="K255" s="276"/>
      <c r="L255" s="272"/>
      <c r="M255" s="272"/>
      <c r="N255" s="273"/>
      <c r="O255" s="269"/>
      <c r="P255" s="37">
        <v>100686</v>
      </c>
      <c r="Q255" s="36" t="str">
        <f>CONCATENATE(Cover!$D$6,"fdd/view?i=",P255)</f>
        <v>https://www.dgiwg.org/FAD/fdd/view?i=100686</v>
      </c>
      <c r="R255" s="13" t="s">
        <v>7208</v>
      </c>
      <c r="S255" s="172"/>
      <c r="T255" s="172"/>
      <c r="AV255" s="82" t="s">
        <v>1790</v>
      </c>
      <c r="CT255" s="166" t="s">
        <v>1790</v>
      </c>
      <c r="CV255" s="83" t="s">
        <v>1790</v>
      </c>
      <c r="DA255" s="165" t="s">
        <v>1790</v>
      </c>
    </row>
    <row r="256" spans="1:105" ht="25.5" x14ac:dyDescent="0.2">
      <c r="A256" s="176" t="str">
        <f t="shared" si="7"/>
        <v>bridgeStructureType</v>
      </c>
      <c r="B256" s="11" t="s">
        <v>7214</v>
      </c>
      <c r="C256" s="173"/>
      <c r="D256" s="22" t="s">
        <v>7215</v>
      </c>
      <c r="E256" s="15" t="s">
        <v>7216</v>
      </c>
      <c r="F256" s="174"/>
      <c r="G256" s="174"/>
      <c r="H256" s="17" t="s">
        <v>5932</v>
      </c>
      <c r="I256" s="17" t="s">
        <v>6029</v>
      </c>
      <c r="J256" s="369" t="str">
        <f>HYPERLINK("[#]Datatypes!B270:L270","BscCode")</f>
        <v>BscCode</v>
      </c>
      <c r="K256" s="276"/>
      <c r="L256" s="272"/>
      <c r="M256" s="272"/>
      <c r="N256" s="248" t="str">
        <f>HYPERLINK("[#]DatatypeListedValues!A2058:H2058","&lt;values&gt;")</f>
        <v>&lt;values&gt;</v>
      </c>
      <c r="O256" s="277" t="b">
        <v>0</v>
      </c>
      <c r="P256" s="37">
        <v>100683</v>
      </c>
      <c r="Q256" s="36" t="str">
        <f>CONCATENATE(Cover!$D$6,"fdd/view?i=",P256)</f>
        <v>https://www.dgiwg.org/FAD/fdd/view?i=100683</v>
      </c>
      <c r="R256" s="13" t="s">
        <v>7213</v>
      </c>
      <c r="S256" s="172"/>
      <c r="T256" s="172"/>
      <c r="AV256" s="82" t="s">
        <v>1790</v>
      </c>
      <c r="CS256" s="165" t="s">
        <v>1790</v>
      </c>
      <c r="CT256" s="166" t="s">
        <v>1790</v>
      </c>
    </row>
    <row r="257" spans="1:105" x14ac:dyDescent="0.2">
      <c r="A257" s="176" t="str">
        <f t="shared" si="7"/>
        <v>bridgeSupportType</v>
      </c>
      <c r="B257" s="11" t="s">
        <v>7219</v>
      </c>
      <c r="C257" s="173"/>
      <c r="D257" s="22" t="s">
        <v>7220</v>
      </c>
      <c r="E257" s="15" t="s">
        <v>7221</v>
      </c>
      <c r="F257" s="174"/>
      <c r="G257" s="174"/>
      <c r="H257" s="17" t="s">
        <v>5932</v>
      </c>
      <c r="I257" s="269"/>
      <c r="J257" s="369" t="str">
        <f>HYPERLINK("[#]Datatypes!B272:L272","XbtCode")</f>
        <v>XbtCode</v>
      </c>
      <c r="K257" s="276"/>
      <c r="L257" s="272"/>
      <c r="M257" s="272"/>
      <c r="N257" s="248" t="str">
        <f>HYPERLINK("[#]DatatypeListedValues!A2077:H2077","&lt;values&gt;")</f>
        <v>&lt;values&gt;</v>
      </c>
      <c r="O257" s="277" t="b">
        <v>0</v>
      </c>
      <c r="P257" s="37">
        <v>119738</v>
      </c>
      <c r="Q257" s="36" t="str">
        <f>CONCATENATE(Cover!$D$6,"fdd/view?i=",P257)</f>
        <v>https://www.dgiwg.org/FAD/fdd/view?i=119738</v>
      </c>
      <c r="R257" s="13" t="s">
        <v>7218</v>
      </c>
      <c r="S257" s="172"/>
      <c r="T257" s="172"/>
      <c r="AW257" s="82" t="s">
        <v>1790</v>
      </c>
      <c r="CS257" s="165" t="s">
        <v>1790</v>
      </c>
      <c r="CT257" s="166" t="s">
        <v>1790</v>
      </c>
    </row>
    <row r="258" spans="1:105" ht="25.5" x14ac:dyDescent="0.2">
      <c r="A258" s="176" t="str">
        <f t="shared" si="7"/>
        <v>broadcastFrequency</v>
      </c>
      <c r="B258" s="11" t="s">
        <v>7224</v>
      </c>
      <c r="C258" s="173"/>
      <c r="D258" s="22" t="s">
        <v>7225</v>
      </c>
      <c r="E258" s="15" t="s">
        <v>7226</v>
      </c>
      <c r="F258" s="174"/>
      <c r="G258" s="174"/>
      <c r="H258" s="17" t="s">
        <v>5932</v>
      </c>
      <c r="I258" s="269"/>
      <c r="J258" s="369" t="str">
        <f>HYPERLINK("[#]Datatypes!B742:L742","Integer")</f>
        <v>Integer</v>
      </c>
      <c r="K258" s="271" t="str">
        <f>HYPERLINK("[#]PhysicalQuantities!A15:N15","Frequency")</f>
        <v>Frequency</v>
      </c>
      <c r="L258" s="270" t="str">
        <f>HYPERLINK("[#]UnitsOfMeasure!D71:G71","Hertz")</f>
        <v>Hertz</v>
      </c>
      <c r="M258" s="272"/>
      <c r="N258" s="273"/>
      <c r="O258" s="269"/>
      <c r="P258" s="37">
        <v>100674</v>
      </c>
      <c r="Q258" s="36" t="str">
        <f>CONCATENATE(Cover!$D$6,"fdd/view?i=",P258)</f>
        <v>https://www.dgiwg.org/FAD/fdd/view?i=100674</v>
      </c>
      <c r="R258" s="13" t="s">
        <v>7223</v>
      </c>
      <c r="S258" s="172"/>
      <c r="T258" s="172"/>
      <c r="AE258" s="82" t="s">
        <v>1790</v>
      </c>
      <c r="CQ258" s="165" t="s">
        <v>1790</v>
      </c>
    </row>
    <row r="259" spans="1:105" x14ac:dyDescent="0.2">
      <c r="A259" s="176" t="str">
        <f t="shared" ref="A259:A322" si="8">HYPERLINK(Q259,R259)</f>
        <v>buildingOverhangType</v>
      </c>
      <c r="B259" s="11" t="s">
        <v>7229</v>
      </c>
      <c r="C259" s="173"/>
      <c r="D259" s="22" t="s">
        <v>7230</v>
      </c>
      <c r="E259" s="15" t="s">
        <v>7231</v>
      </c>
      <c r="F259" s="174"/>
      <c r="G259" s="174"/>
      <c r="H259" s="17" t="s">
        <v>5932</v>
      </c>
      <c r="I259" s="269"/>
      <c r="J259" s="369" t="str">
        <f>HYPERLINK("[#]Datatypes!B274:L274","BovCode")</f>
        <v>BovCode</v>
      </c>
      <c r="K259" s="276"/>
      <c r="L259" s="272"/>
      <c r="M259" s="272"/>
      <c r="N259" s="248" t="str">
        <f>HYPERLINK("[#]DatatypeListedValues!A2080:H2080","&lt;values&gt;")</f>
        <v>&lt;values&gt;</v>
      </c>
      <c r="O259" s="277" t="b">
        <v>0</v>
      </c>
      <c r="P259" s="37">
        <v>118604</v>
      </c>
      <c r="Q259" s="36" t="str">
        <f>CONCATENATE(Cover!$D$6,"fdd/view?i=",P259)</f>
        <v>https://www.dgiwg.org/FAD/fdd/view?i=118604</v>
      </c>
      <c r="R259" s="13" t="s">
        <v>7228</v>
      </c>
      <c r="S259" s="172"/>
      <c r="T259" s="172"/>
      <c r="AJ259" s="83" t="s">
        <v>1790</v>
      </c>
      <c r="CS259" s="165" t="s">
        <v>1790</v>
      </c>
    </row>
    <row r="260" spans="1:105" ht="25.5" x14ac:dyDescent="0.2">
      <c r="A260" s="176" t="str">
        <f t="shared" si="8"/>
        <v>buildingSuperstructType</v>
      </c>
      <c r="B260" s="11" t="s">
        <v>7234</v>
      </c>
      <c r="C260" s="173"/>
      <c r="D260" s="22" t="s">
        <v>7235</v>
      </c>
      <c r="E260" s="15" t="s">
        <v>7236</v>
      </c>
      <c r="F260" s="174"/>
      <c r="G260" s="174"/>
      <c r="H260" s="17" t="s">
        <v>5932</v>
      </c>
      <c r="I260" s="269"/>
      <c r="J260" s="369" t="str">
        <f>HYPERLINK("[#]Datatypes!B276:L276","BsuCode")</f>
        <v>BsuCode</v>
      </c>
      <c r="K260" s="276"/>
      <c r="L260" s="272"/>
      <c r="M260" s="272"/>
      <c r="N260" s="248" t="str">
        <f>HYPERLINK("[#]DatatypeListedValues!A2086:H2086","&lt;values&gt;")</f>
        <v>&lt;values&gt;</v>
      </c>
      <c r="O260" s="277" t="b">
        <v>0</v>
      </c>
      <c r="P260" s="37">
        <v>117997</v>
      </c>
      <c r="Q260" s="36" t="str">
        <f>CONCATENATE(Cover!$D$6,"fdd/view?i=",P260)</f>
        <v>https://www.dgiwg.org/FAD/fdd/view?i=117997</v>
      </c>
      <c r="R260" s="13" t="s">
        <v>7233</v>
      </c>
      <c r="S260" s="172"/>
      <c r="T260" s="172"/>
      <c r="AJ260" s="83" t="s">
        <v>1790</v>
      </c>
      <c r="CS260" s="165" t="s">
        <v>1790</v>
      </c>
    </row>
    <row r="261" spans="1:105" x14ac:dyDescent="0.2">
      <c r="A261" s="176" t="str">
        <f t="shared" si="8"/>
        <v>builtUpAreaDensityCat</v>
      </c>
      <c r="B261" s="11" t="s">
        <v>7239</v>
      </c>
      <c r="C261" s="173"/>
      <c r="D261" s="22" t="s">
        <v>7240</v>
      </c>
      <c r="E261" s="15" t="s">
        <v>7241</v>
      </c>
      <c r="F261" s="174"/>
      <c r="G261" s="174"/>
      <c r="H261" s="17" t="s">
        <v>5932</v>
      </c>
      <c r="I261" s="269"/>
      <c r="J261" s="369" t="str">
        <f>HYPERLINK("[#]Datatypes!B278:L278","BacCode")</f>
        <v>BacCode</v>
      </c>
      <c r="K261" s="276"/>
      <c r="L261" s="272"/>
      <c r="M261" s="272"/>
      <c r="N261" s="248" t="str">
        <f>HYPERLINK("[#]DatatypeListedValues!A2103:H2103","&lt;values&gt;")</f>
        <v>&lt;values&gt;</v>
      </c>
      <c r="O261" s="277" t="b">
        <v>0</v>
      </c>
      <c r="P261" s="37">
        <v>100649</v>
      </c>
      <c r="Q261" s="36" t="str">
        <f>CONCATENATE(Cover!$D$6,"fdd/view?i=",P261)</f>
        <v>https://www.dgiwg.org/FAD/fdd/view?i=100649</v>
      </c>
      <c r="R261" s="13" t="s">
        <v>7238</v>
      </c>
      <c r="S261" s="172"/>
      <c r="T261" s="172"/>
      <c r="AI261" s="87" t="s">
        <v>1790</v>
      </c>
      <c r="CQ261" s="165" t="s">
        <v>1790</v>
      </c>
    </row>
    <row r="262" spans="1:105" ht="63.75" x14ac:dyDescent="0.2">
      <c r="A262" s="176" t="str">
        <f t="shared" si="8"/>
        <v>bunkerFunction</v>
      </c>
      <c r="B262" s="11" t="s">
        <v>7244</v>
      </c>
      <c r="C262" s="173"/>
      <c r="D262" s="22" t="s">
        <v>7245</v>
      </c>
      <c r="E262" s="15" t="s">
        <v>7246</v>
      </c>
      <c r="F262" s="15" t="s">
        <v>7247</v>
      </c>
      <c r="G262" s="174"/>
      <c r="H262" s="17" t="s">
        <v>5932</v>
      </c>
      <c r="I262" s="17" t="s">
        <v>6029</v>
      </c>
      <c r="J262" s="369" t="str">
        <f>HYPERLINK("[#]Datatypes!B280:L280","BufCode")</f>
        <v>BufCode</v>
      </c>
      <c r="K262" s="276"/>
      <c r="L262" s="272"/>
      <c r="M262" s="272"/>
      <c r="N262" s="248" t="str">
        <f>HYPERLINK("[#]DatatypeListedValues!A2106:H2106","&lt;values&gt;")</f>
        <v>&lt;values&gt;</v>
      </c>
      <c r="O262" s="277" t="b">
        <v>0</v>
      </c>
      <c r="P262" s="37">
        <v>118619</v>
      </c>
      <c r="Q262" s="36" t="str">
        <f>CONCATENATE(Cover!$D$6,"fdd/view?i=",P262)</f>
        <v>https://www.dgiwg.org/FAD/fdd/view?i=118619</v>
      </c>
      <c r="R262" s="13" t="s">
        <v>7243</v>
      </c>
      <c r="S262" s="172"/>
      <c r="T262" s="172"/>
      <c r="CJ262" s="81" t="s">
        <v>1790</v>
      </c>
      <c r="CT262" s="166" t="s">
        <v>1790</v>
      </c>
    </row>
    <row r="263" spans="1:105" x14ac:dyDescent="0.2">
      <c r="A263" s="176" t="str">
        <f t="shared" si="8"/>
        <v>buoyShape</v>
      </c>
      <c r="B263" s="11" t="s">
        <v>7250</v>
      </c>
      <c r="C263" s="173"/>
      <c r="D263" s="22" t="s">
        <v>7251</v>
      </c>
      <c r="E263" s="15" t="s">
        <v>7252</v>
      </c>
      <c r="F263" s="174"/>
      <c r="G263" s="174"/>
      <c r="H263" s="17" t="s">
        <v>5932</v>
      </c>
      <c r="I263" s="269"/>
      <c r="J263" s="369" t="str">
        <f>HYPERLINK("[#]Datatypes!B282:L282","BusCode")</f>
        <v>BusCode</v>
      </c>
      <c r="K263" s="276"/>
      <c r="L263" s="272"/>
      <c r="M263" s="272"/>
      <c r="N263" s="248" t="str">
        <f>HYPERLINK("[#]DatatypeListedValues!A2115:H2115","&lt;values&gt;")</f>
        <v>&lt;values&gt;</v>
      </c>
      <c r="O263" s="277" t="b">
        <v>0</v>
      </c>
      <c r="P263" s="37">
        <v>103226</v>
      </c>
      <c r="Q263" s="36" t="str">
        <f>CONCATENATE(Cover!$D$6,"fdd/view?i=",P263)</f>
        <v>https://www.dgiwg.org/FAD/fdd/view?i=103226</v>
      </c>
      <c r="R263" s="13" t="s">
        <v>7249</v>
      </c>
      <c r="S263" s="172"/>
      <c r="T263" s="172"/>
      <c r="AS263" s="82" t="s">
        <v>1790</v>
      </c>
      <c r="BF263" s="83" t="s">
        <v>1790</v>
      </c>
      <c r="CS263" s="165" t="s">
        <v>1790</v>
      </c>
    </row>
    <row r="264" spans="1:105" x14ac:dyDescent="0.2">
      <c r="A264" s="176" t="str">
        <f t="shared" si="8"/>
        <v>buoyType</v>
      </c>
      <c r="B264" s="11" t="s">
        <v>7255</v>
      </c>
      <c r="C264" s="173"/>
      <c r="D264" s="22" t="s">
        <v>7256</v>
      </c>
      <c r="E264" s="15" t="s">
        <v>7257</v>
      </c>
      <c r="F264" s="174"/>
      <c r="G264" s="174"/>
      <c r="H264" s="17" t="s">
        <v>5932</v>
      </c>
      <c r="I264" s="17" t="s">
        <v>6029</v>
      </c>
      <c r="J264" s="369" t="str">
        <f>HYPERLINK("[#]Datatypes!B284:L284","ButCode")</f>
        <v>ButCode</v>
      </c>
      <c r="K264" s="276"/>
      <c r="L264" s="272"/>
      <c r="M264" s="272"/>
      <c r="N264" s="248" t="str">
        <f>HYPERLINK("[#]DatatypeListedValues!A2124:H2124","&lt;values&gt;")</f>
        <v>&lt;values&gt;</v>
      </c>
      <c r="O264" s="277" t="b">
        <v>0</v>
      </c>
      <c r="P264" s="37">
        <v>100693</v>
      </c>
      <c r="Q264" s="36" t="str">
        <f>CONCATENATE(Cover!$D$6,"fdd/view?i=",P264)</f>
        <v>https://www.dgiwg.org/FAD/fdd/view?i=100693</v>
      </c>
      <c r="R264" s="13" t="s">
        <v>7254</v>
      </c>
      <c r="S264" s="172"/>
      <c r="T264" s="172"/>
      <c r="AS264" s="82" t="s">
        <v>1790</v>
      </c>
      <c r="BF264" s="83" t="s">
        <v>1790</v>
      </c>
      <c r="CT264" s="166" t="s">
        <v>1790</v>
      </c>
    </row>
    <row r="265" spans="1:105" ht="25.5" x14ac:dyDescent="0.2">
      <c r="A265" s="176" t="str">
        <f t="shared" si="8"/>
        <v>burialPercentage</v>
      </c>
      <c r="B265" s="11" t="s">
        <v>7260</v>
      </c>
      <c r="C265" s="173"/>
      <c r="D265" s="22" t="s">
        <v>7261</v>
      </c>
      <c r="E265" s="15" t="s">
        <v>7262</v>
      </c>
      <c r="F265" s="174"/>
      <c r="G265" s="174"/>
      <c r="H265" s="17" t="s">
        <v>5932</v>
      </c>
      <c r="I265" s="269"/>
      <c r="J265" s="369" t="str">
        <f>HYPERLINK("[#]Datatypes!B1231:L1231","Real")</f>
        <v>Real</v>
      </c>
      <c r="K265" s="271" t="str">
        <f>HYPERLINK("[#]PhysicalQuantities!A39:N39","Pure Number")</f>
        <v>Pure Number</v>
      </c>
      <c r="L265" s="270" t="str">
        <f>HYPERLINK("[#]UnitsOfMeasure!D215:G215","Percent")</f>
        <v>Percent</v>
      </c>
      <c r="M265" s="272"/>
      <c r="N265" s="273"/>
      <c r="O265" s="269"/>
      <c r="P265" s="37">
        <v>114412</v>
      </c>
      <c r="Q265" s="36" t="str">
        <f>CONCATENATE(Cover!$D$6,"fdd/view?i=",P265)</f>
        <v>https://www.dgiwg.org/FAD/fdd/view?i=114412</v>
      </c>
      <c r="R265" s="13" t="s">
        <v>7259</v>
      </c>
      <c r="S265" s="172"/>
      <c r="T265" s="172"/>
      <c r="CP265" s="164" t="s">
        <v>1790</v>
      </c>
      <c r="CS265" s="165" t="s">
        <v>1790</v>
      </c>
    </row>
    <row r="266" spans="1:105" ht="25.5" x14ac:dyDescent="0.2">
      <c r="A266" s="176" t="str">
        <f t="shared" si="8"/>
        <v>buriedUtilityType</v>
      </c>
      <c r="B266" s="11" t="s">
        <v>7264</v>
      </c>
      <c r="C266" s="173"/>
      <c r="D266" s="22" t="s">
        <v>7265</v>
      </c>
      <c r="E266" s="15" t="s">
        <v>7266</v>
      </c>
      <c r="F266" s="174"/>
      <c r="G266" s="174"/>
      <c r="H266" s="17" t="s">
        <v>5932</v>
      </c>
      <c r="I266" s="17" t="s">
        <v>6029</v>
      </c>
      <c r="J266" s="369" t="str">
        <f>HYPERLINK("[#]Datatypes!B286:L286","BurCode")</f>
        <v>BurCode</v>
      </c>
      <c r="K266" s="276"/>
      <c r="L266" s="272"/>
      <c r="M266" s="272"/>
      <c r="N266" s="248" t="str">
        <f>HYPERLINK("[#]DatatypeListedValues!A2221:H2221","&lt;values&gt;")</f>
        <v>&lt;values&gt;</v>
      </c>
      <c r="O266" s="277" t="b">
        <v>0</v>
      </c>
      <c r="P266" s="37">
        <v>114345</v>
      </c>
      <c r="Q266" s="36" t="str">
        <f>CONCATENATE(Cover!$D$6,"fdd/view?i=",P266)</f>
        <v>https://www.dgiwg.org/FAD/fdd/view?i=114345</v>
      </c>
      <c r="R266" s="13" t="s">
        <v>7263</v>
      </c>
      <c r="S266" s="172"/>
      <c r="T266" s="172"/>
      <c r="AB266" s="82" t="s">
        <v>1790</v>
      </c>
      <c r="AD266" s="82" t="s">
        <v>1790</v>
      </c>
      <c r="AG266" s="82" t="s">
        <v>1790</v>
      </c>
      <c r="AH266" s="85" t="s">
        <v>1790</v>
      </c>
      <c r="AY266" s="85" t="s">
        <v>1790</v>
      </c>
      <c r="CS266" s="165" t="s">
        <v>1790</v>
      </c>
    </row>
    <row r="267" spans="1:105" ht="25.5" x14ac:dyDescent="0.2">
      <c r="A267" s="176" t="str">
        <f t="shared" si="8"/>
        <v>bypassCondition</v>
      </c>
      <c r="B267" s="11" t="s">
        <v>7269</v>
      </c>
      <c r="C267" s="173"/>
      <c r="D267" s="22" t="s">
        <v>7270</v>
      </c>
      <c r="E267" s="15" t="s">
        <v>7271</v>
      </c>
      <c r="F267" s="15" t="s">
        <v>7272</v>
      </c>
      <c r="G267" s="174"/>
      <c r="H267" s="17" t="s">
        <v>5932</v>
      </c>
      <c r="I267" s="269"/>
      <c r="J267" s="369" t="str">
        <f>HYPERLINK("[#]Datatypes!B288:L288","BccCode")</f>
        <v>BccCode</v>
      </c>
      <c r="K267" s="276"/>
      <c r="L267" s="272"/>
      <c r="M267" s="272"/>
      <c r="N267" s="248" t="str">
        <f>HYPERLINK("[#]DatatypeListedValues!A2227:H2227","&lt;values&gt;")</f>
        <v>&lt;values&gt;</v>
      </c>
      <c r="O267" s="277" t="b">
        <v>0</v>
      </c>
      <c r="P267" s="37">
        <v>100650</v>
      </c>
      <c r="Q267" s="36" t="str">
        <f>CONCATENATE(Cover!$D$6,"fdd/view?i=",P267)</f>
        <v>https://www.dgiwg.org/FAD/fdd/view?i=100650</v>
      </c>
      <c r="R267" s="13" t="s">
        <v>7268</v>
      </c>
      <c r="S267" s="172"/>
      <c r="T267" s="172"/>
      <c r="AU267" s="82" t="s">
        <v>1790</v>
      </c>
      <c r="AV267" s="82" t="s">
        <v>1790</v>
      </c>
    </row>
    <row r="268" spans="1:105" ht="25.5" x14ac:dyDescent="0.2">
      <c r="A268" s="176" t="str">
        <f t="shared" si="8"/>
        <v>byProduct</v>
      </c>
      <c r="B268" s="11" t="s">
        <v>7275</v>
      </c>
      <c r="C268" s="173"/>
      <c r="D268" s="22" t="s">
        <v>7276</v>
      </c>
      <c r="E268" s="15" t="s">
        <v>7277</v>
      </c>
      <c r="F268" s="15" t="s">
        <v>7278</v>
      </c>
      <c r="G268" s="174"/>
      <c r="H268" s="17" t="s">
        <v>5932</v>
      </c>
      <c r="I268" s="17" t="s">
        <v>6029</v>
      </c>
      <c r="J268" s="369" t="str">
        <f>HYPERLINK("[#]Datatypes!B290:L290","PbyCode")</f>
        <v>PbyCode</v>
      </c>
      <c r="K268" s="276"/>
      <c r="L268" s="272"/>
      <c r="M268" s="272"/>
      <c r="N268" s="248" t="str">
        <f>HYPERLINK("[#]DatatypeListedValues!A2230:H2230","&lt;values&gt;")</f>
        <v>&lt;values&gt;</v>
      </c>
      <c r="O268" s="277" t="b">
        <v>0</v>
      </c>
      <c r="P268" s="37">
        <v>101148</v>
      </c>
      <c r="Q268" s="36" t="str">
        <f>CONCATENATE(Cover!$D$6,"fdd/view?i=",P268)</f>
        <v>https://www.dgiwg.org/FAD/fdd/view?i=101148</v>
      </c>
      <c r="R268" s="13" t="s">
        <v>7274</v>
      </c>
      <c r="S268" s="172"/>
      <c r="T268" s="172"/>
      <c r="AA268" s="81" t="s">
        <v>1790</v>
      </c>
      <c r="AB268" s="82" t="s">
        <v>1790</v>
      </c>
      <c r="AC268" s="82" t="s">
        <v>1790</v>
      </c>
    </row>
    <row r="269" spans="1:105" x14ac:dyDescent="0.2">
      <c r="A269" s="176" t="str">
        <f t="shared" si="8"/>
        <v>cableSuspendedShape</v>
      </c>
      <c r="B269" s="11" t="s">
        <v>7281</v>
      </c>
      <c r="C269" s="173"/>
      <c r="D269" s="22" t="s">
        <v>7282</v>
      </c>
      <c r="E269" s="15" t="s">
        <v>7283</v>
      </c>
      <c r="F269" s="174"/>
      <c r="G269" s="174"/>
      <c r="H269" s="17" t="s">
        <v>5932</v>
      </c>
      <c r="I269" s="269"/>
      <c r="J269" s="369" t="str">
        <f>HYPERLINK("[#]Datatypes!B292:L292","TstCode")</f>
        <v>TstCode</v>
      </c>
      <c r="K269" s="276"/>
      <c r="L269" s="272"/>
      <c r="M269" s="272"/>
      <c r="N269" s="248" t="str">
        <f>HYPERLINK("[#]DatatypeListedValues!A2252:H2252","&lt;values&gt;")</f>
        <v>&lt;values&gt;</v>
      </c>
      <c r="O269" s="277" t="b">
        <v>0</v>
      </c>
      <c r="P269" s="37">
        <v>101397</v>
      </c>
      <c r="Q269" s="36" t="str">
        <f>CONCATENATE(Cover!$D$6,"fdd/view?i=",P269)</f>
        <v>https://www.dgiwg.org/FAD/fdd/view?i=101397</v>
      </c>
      <c r="R269" s="13" t="s">
        <v>7280</v>
      </c>
      <c r="S269" s="172"/>
      <c r="T269" s="172"/>
      <c r="AD269" s="82" t="s">
        <v>1790</v>
      </c>
      <c r="AF269" s="82" t="s">
        <v>1790</v>
      </c>
      <c r="CS269" s="165" t="s">
        <v>1790</v>
      </c>
    </row>
    <row r="270" spans="1:105" x14ac:dyDescent="0.2">
      <c r="A270" s="176" t="str">
        <f t="shared" si="8"/>
        <v>cableType</v>
      </c>
      <c r="B270" s="11" t="s">
        <v>7286</v>
      </c>
      <c r="C270" s="173"/>
      <c r="D270" s="22" t="s">
        <v>7287</v>
      </c>
      <c r="E270" s="15" t="s">
        <v>7288</v>
      </c>
      <c r="F270" s="174"/>
      <c r="G270" s="174"/>
      <c r="H270" s="17" t="s">
        <v>5932</v>
      </c>
      <c r="I270" s="269"/>
      <c r="J270" s="369" t="str">
        <f>HYPERLINK("[#]Datatypes!B294:L294","CabCode")</f>
        <v>CabCode</v>
      </c>
      <c r="K270" s="276"/>
      <c r="L270" s="272"/>
      <c r="M270" s="272"/>
      <c r="N270" s="248" t="str">
        <f>HYPERLINK("[#]DatatypeListedValues!A2255:H2255","&lt;values&gt;")</f>
        <v>&lt;values&gt;</v>
      </c>
      <c r="O270" s="277" t="b">
        <v>0</v>
      </c>
      <c r="P270" s="37">
        <v>100724</v>
      </c>
      <c r="Q270" s="36" t="str">
        <f>CONCATENATE(Cover!$D$6,"fdd/view?i=",P270)</f>
        <v>https://www.dgiwg.org/FAD/fdd/view?i=100724</v>
      </c>
      <c r="R270" s="13" t="s">
        <v>7285</v>
      </c>
      <c r="S270" s="172"/>
      <c r="T270" s="172"/>
      <c r="AD270" s="82" t="s">
        <v>1790</v>
      </c>
      <c r="AE270" s="82" t="s">
        <v>1790</v>
      </c>
      <c r="CT270" s="166" t="s">
        <v>1790</v>
      </c>
    </row>
    <row r="271" spans="1:105" x14ac:dyDescent="0.2">
      <c r="A271" s="176" t="str">
        <f t="shared" si="8"/>
        <v>cablewayType</v>
      </c>
      <c r="B271" s="11" t="s">
        <v>7291</v>
      </c>
      <c r="C271" s="173"/>
      <c r="D271" s="22" t="s">
        <v>7292</v>
      </c>
      <c r="E271" s="15" t="s">
        <v>7293</v>
      </c>
      <c r="F271" s="174"/>
      <c r="G271" s="174"/>
      <c r="H271" s="17" t="s">
        <v>5932</v>
      </c>
      <c r="I271" s="269"/>
      <c r="J271" s="369" t="str">
        <f>HYPERLINK("[#]Datatypes!B296:L296","CatCode")</f>
        <v>CatCode</v>
      </c>
      <c r="K271" s="276"/>
      <c r="L271" s="272"/>
      <c r="M271" s="272"/>
      <c r="N271" s="248" t="str">
        <f>HYPERLINK("[#]DatatypeListedValues!A2269:H2269","&lt;values&gt;")</f>
        <v>&lt;values&gt;</v>
      </c>
      <c r="O271" s="277" t="b">
        <v>0</v>
      </c>
      <c r="P271" s="37">
        <v>103225</v>
      </c>
      <c r="Q271" s="36" t="str">
        <f>CONCATENATE(Cover!$D$6,"fdd/view?i=",P271)</f>
        <v>https://www.dgiwg.org/FAD/fdd/view?i=103225</v>
      </c>
      <c r="R271" s="13" t="s">
        <v>7290</v>
      </c>
      <c r="S271" s="172"/>
      <c r="T271" s="172"/>
      <c r="AR271" s="82" t="s">
        <v>1790</v>
      </c>
      <c r="CT271" s="166" t="s">
        <v>1790</v>
      </c>
    </row>
    <row r="272" spans="1:105" ht="25.5" x14ac:dyDescent="0.2">
      <c r="A272" s="176" t="str">
        <f t="shared" si="8"/>
        <v>cadastralSourceIdentifier</v>
      </c>
      <c r="B272" s="11" t="s">
        <v>7296</v>
      </c>
      <c r="C272" s="173"/>
      <c r="D272" s="22" t="s">
        <v>7297</v>
      </c>
      <c r="E272" s="15" t="s">
        <v>7298</v>
      </c>
      <c r="F272" s="174"/>
      <c r="G272" s="174"/>
      <c r="H272" s="17" t="s">
        <v>5932</v>
      </c>
      <c r="I272" s="269"/>
      <c r="J272" s="369" t="str">
        <f>HYPERLINK("[#]Datatypes!B1562:L1562","TextNonLexUnconstrained")</f>
        <v>TextNonLexUnconstrained</v>
      </c>
      <c r="K272" s="276"/>
      <c r="L272" s="272"/>
      <c r="M272" s="272"/>
      <c r="N272" s="273"/>
      <c r="O272" s="269"/>
      <c r="P272" s="37">
        <v>119844</v>
      </c>
      <c r="Q272" s="36" t="str">
        <f>CONCATENATE(Cover!$D$6,"fdd/view?i=",P272)</f>
        <v>https://www.dgiwg.org/FAD/fdd/view?i=119844</v>
      </c>
      <c r="R272" s="13" t="s">
        <v>7295</v>
      </c>
      <c r="S272" s="172"/>
      <c r="T272" s="172"/>
      <c r="AJ272" s="83" t="s">
        <v>1790</v>
      </c>
      <c r="CD272" s="85" t="s">
        <v>1790</v>
      </c>
      <c r="CV272" s="83" t="s">
        <v>1790</v>
      </c>
      <c r="DA272" s="165" t="s">
        <v>1790</v>
      </c>
    </row>
    <row r="273" spans="1:105" ht="51" x14ac:dyDescent="0.2">
      <c r="A273" s="176" t="str">
        <f t="shared" si="8"/>
        <v>cadastralSourceIdentType</v>
      </c>
      <c r="B273" s="11" t="s">
        <v>7300</v>
      </c>
      <c r="C273" s="173"/>
      <c r="D273" s="22" t="s">
        <v>7301</v>
      </c>
      <c r="E273" s="15" t="s">
        <v>7302</v>
      </c>
      <c r="F273" s="174"/>
      <c r="G273" s="174"/>
      <c r="H273" s="17" t="s">
        <v>5932</v>
      </c>
      <c r="I273" s="269"/>
      <c r="J273" s="369" t="str">
        <f>HYPERLINK("[#]Datatypes!B1544:L1544","TextLexUnconstrained")</f>
        <v>TextLexUnconstrained</v>
      </c>
      <c r="K273" s="276"/>
      <c r="L273" s="272"/>
      <c r="M273" s="272"/>
      <c r="N273" s="273"/>
      <c r="O273" s="269"/>
      <c r="P273" s="37">
        <v>119845</v>
      </c>
      <c r="Q273" s="36" t="str">
        <f>CONCATENATE(Cover!$D$6,"fdd/view?i=",P273)</f>
        <v>https://www.dgiwg.org/FAD/fdd/view?i=119845</v>
      </c>
      <c r="R273" s="13" t="s">
        <v>7299</v>
      </c>
      <c r="S273" s="172"/>
      <c r="T273" s="172"/>
      <c r="AJ273" s="83" t="s">
        <v>1790</v>
      </c>
      <c r="CD273" s="85" t="s">
        <v>1790</v>
      </c>
      <c r="CV273" s="83" t="s">
        <v>1790</v>
      </c>
      <c r="DA273" s="165" t="s">
        <v>1790</v>
      </c>
    </row>
    <row r="274" spans="1:105" ht="51" x14ac:dyDescent="0.2">
      <c r="A274" s="176" t="str">
        <f t="shared" si="8"/>
        <v>cadastralSourceMeasurement</v>
      </c>
      <c r="B274" s="11" t="s">
        <v>7304</v>
      </c>
      <c r="C274" s="173"/>
      <c r="D274" s="22" t="s">
        <v>7305</v>
      </c>
      <c r="E274" s="15" t="s">
        <v>7306</v>
      </c>
      <c r="F274" s="15" t="s">
        <v>7307</v>
      </c>
      <c r="G274" s="174"/>
      <c r="H274" s="17" t="s">
        <v>5932</v>
      </c>
      <c r="I274" s="269"/>
      <c r="J274" s="369" t="str">
        <f>HYPERLINK("[#]Datatypes!B1544:L1544","TextLexUnconstrained")</f>
        <v>TextLexUnconstrained</v>
      </c>
      <c r="K274" s="276"/>
      <c r="L274" s="272"/>
      <c r="M274" s="272"/>
      <c r="N274" s="273"/>
      <c r="O274" s="269"/>
      <c r="P274" s="37">
        <v>119843</v>
      </c>
      <c r="Q274" s="36" t="str">
        <f>CONCATENATE(Cover!$D$6,"fdd/view?i=",P274)</f>
        <v>https://www.dgiwg.org/FAD/fdd/view?i=119843</v>
      </c>
      <c r="R274" s="13" t="s">
        <v>7303</v>
      </c>
      <c r="S274" s="172"/>
      <c r="T274" s="172"/>
      <c r="AJ274" s="83" t="s">
        <v>1790</v>
      </c>
      <c r="CD274" s="85" t="s">
        <v>1790</v>
      </c>
      <c r="CV274" s="83" t="s">
        <v>1790</v>
      </c>
      <c r="DA274" s="165" t="s">
        <v>1790</v>
      </c>
    </row>
    <row r="275" spans="1:105" ht="63.75" x14ac:dyDescent="0.2">
      <c r="A275" s="176" t="str">
        <f t="shared" si="8"/>
        <v>cadastralSourceType</v>
      </c>
      <c r="B275" s="11" t="s">
        <v>7309</v>
      </c>
      <c r="C275" s="173"/>
      <c r="D275" s="22" t="s">
        <v>7310</v>
      </c>
      <c r="E275" s="15" t="s">
        <v>7311</v>
      </c>
      <c r="F275" s="15" t="s">
        <v>7312</v>
      </c>
      <c r="G275" s="174"/>
      <c r="H275" s="17" t="s">
        <v>5932</v>
      </c>
      <c r="I275" s="269"/>
      <c r="J275" s="369" t="str">
        <f>HYPERLINK("[#]Datatypes!B298:L298","CdyCode")</f>
        <v>CdyCode</v>
      </c>
      <c r="K275" s="276"/>
      <c r="L275" s="272"/>
      <c r="M275" s="272"/>
      <c r="N275" s="248" t="str">
        <f>HYPERLINK("[#]DatatypeListedValues!A2276:H2276","&lt;values&gt;")</f>
        <v>&lt;values&gt;</v>
      </c>
      <c r="O275" s="277" t="b">
        <v>0</v>
      </c>
      <c r="P275" s="37">
        <v>119860</v>
      </c>
      <c r="Q275" s="36" t="str">
        <f>CONCATENATE(Cover!$D$6,"fdd/view?i=",P275)</f>
        <v>https://www.dgiwg.org/FAD/fdd/view?i=119860</v>
      </c>
      <c r="R275" s="13" t="s">
        <v>7308</v>
      </c>
      <c r="S275" s="172"/>
      <c r="T275" s="172"/>
      <c r="AJ275" s="83" t="s">
        <v>1790</v>
      </c>
      <c r="CD275" s="85" t="s">
        <v>1790</v>
      </c>
      <c r="CZ275" s="165" t="s">
        <v>1790</v>
      </c>
    </row>
    <row r="276" spans="1:105" ht="51" x14ac:dyDescent="0.2">
      <c r="A276" s="176" t="str">
        <f t="shared" si="8"/>
        <v>camouflageMethod</v>
      </c>
      <c r="B276" s="11" t="s">
        <v>7315</v>
      </c>
      <c r="C276" s="173"/>
      <c r="D276" s="22" t="s">
        <v>7316</v>
      </c>
      <c r="E276" s="15" t="s">
        <v>7317</v>
      </c>
      <c r="F276" s="15" t="s">
        <v>7318</v>
      </c>
      <c r="G276" s="174"/>
      <c r="H276" s="17" t="s">
        <v>5932</v>
      </c>
      <c r="I276" s="269"/>
      <c r="J276" s="369" t="str">
        <f>HYPERLINK("[#]Datatypes!B300:L300","CmeCode")</f>
        <v>CmeCode</v>
      </c>
      <c r="K276" s="276"/>
      <c r="L276" s="272"/>
      <c r="M276" s="272"/>
      <c r="N276" s="248" t="str">
        <f>HYPERLINK("[#]DatatypeListedValues!A2290:H2290","&lt;values&gt;")</f>
        <v>&lt;values&gt;</v>
      </c>
      <c r="O276" s="17" t="b">
        <v>1</v>
      </c>
      <c r="P276" s="37">
        <v>119649</v>
      </c>
      <c r="Q276" s="36" t="str">
        <f>CONCATENATE(Cover!$D$6,"fdd/view?i=",P276)</f>
        <v>https://www.dgiwg.org/FAD/fdd/view?i=119649</v>
      </c>
      <c r="R276" s="13" t="s">
        <v>7314</v>
      </c>
      <c r="S276" s="172"/>
      <c r="T276" s="172"/>
      <c r="CJ276" s="81" t="s">
        <v>1790</v>
      </c>
      <c r="CS276" s="165" t="s">
        <v>1790</v>
      </c>
    </row>
    <row r="277" spans="1:105" ht="25.5" x14ac:dyDescent="0.2">
      <c r="A277" s="176" t="str">
        <f t="shared" si="8"/>
        <v>canopyCover</v>
      </c>
      <c r="B277" s="11" t="s">
        <v>7321</v>
      </c>
      <c r="C277" s="173"/>
      <c r="D277" s="22" t="s">
        <v>7322</v>
      </c>
      <c r="E277" s="15" t="s">
        <v>7323</v>
      </c>
      <c r="F277" s="15" t="s">
        <v>7324</v>
      </c>
      <c r="G277" s="174"/>
      <c r="H277" s="17" t="s">
        <v>5932</v>
      </c>
      <c r="I277" s="269"/>
      <c r="J277" s="369" t="str">
        <f>HYPERLINK("[#]Datatypes!B1238:L1238","RealNonNegInterval100")</f>
        <v>RealNonNegInterval100</v>
      </c>
      <c r="K277" s="271" t="str">
        <f>HYPERLINK("[#]PhysicalQuantities!A39:N39","Pure Number")</f>
        <v>Pure Number</v>
      </c>
      <c r="L277" s="270" t="str">
        <f>HYPERLINK("[#]UnitsOfMeasure!D215:G215","Percent")</f>
        <v>Percent</v>
      </c>
      <c r="M277" s="272"/>
      <c r="N277" s="273"/>
      <c r="O277" s="269"/>
      <c r="P277" s="37">
        <v>110696</v>
      </c>
      <c r="Q277" s="36" t="str">
        <f>CONCATENATE(Cover!$D$6,"fdd/view?i=",P277)</f>
        <v>https://www.dgiwg.org/FAD/fdd/view?i=110696</v>
      </c>
      <c r="R277" s="13" t="s">
        <v>7320</v>
      </c>
      <c r="S277" s="172"/>
      <c r="T277" s="172"/>
      <c r="BW277" s="83" t="s">
        <v>1790</v>
      </c>
      <c r="CQ277" s="165" t="s">
        <v>1790</v>
      </c>
    </row>
    <row r="278" spans="1:105" x14ac:dyDescent="0.2">
      <c r="A278" s="176" t="str">
        <f t="shared" si="8"/>
        <v>canopyLevelCount</v>
      </c>
      <c r="B278" s="11" t="s">
        <v>7326</v>
      </c>
      <c r="C278" s="173"/>
      <c r="D278" s="22" t="s">
        <v>7327</v>
      </c>
      <c r="E278" s="15" t="s">
        <v>7328</v>
      </c>
      <c r="F278" s="174"/>
      <c r="G278" s="174"/>
      <c r="H278" s="17" t="s">
        <v>5932</v>
      </c>
      <c r="I278" s="269"/>
      <c r="J278" s="369" t="str">
        <f>HYPERLINK("[#]Datatypes!B380:L380","Count")</f>
        <v>Count</v>
      </c>
      <c r="K278" s="276"/>
      <c r="L278" s="272"/>
      <c r="M278" s="272"/>
      <c r="N278" s="273"/>
      <c r="O278" s="269"/>
      <c r="P278" s="37">
        <v>101359</v>
      </c>
      <c r="Q278" s="36" t="str">
        <f>CONCATENATE(Cover!$D$6,"fdd/view?i=",P278)</f>
        <v>https://www.dgiwg.org/FAD/fdd/view?i=101359</v>
      </c>
      <c r="R278" s="13" t="s">
        <v>7325</v>
      </c>
      <c r="S278" s="172"/>
      <c r="T278" s="172"/>
      <c r="BW278" s="83" t="s">
        <v>1790</v>
      </c>
      <c r="CQ278" s="165" t="s">
        <v>1790</v>
      </c>
    </row>
    <row r="279" spans="1:105" ht="25.5" x14ac:dyDescent="0.2">
      <c r="A279" s="176" t="str">
        <f t="shared" si="8"/>
        <v>cargoType</v>
      </c>
      <c r="B279" s="11" t="s">
        <v>7330</v>
      </c>
      <c r="C279" s="173"/>
      <c r="D279" s="22" t="s">
        <v>7331</v>
      </c>
      <c r="E279" s="15" t="s">
        <v>7332</v>
      </c>
      <c r="F279" s="174"/>
      <c r="G279" s="174"/>
      <c r="H279" s="17" t="s">
        <v>5932</v>
      </c>
      <c r="I279" s="17" t="s">
        <v>6029</v>
      </c>
      <c r="J279" s="369" t="str">
        <f>HYPERLINK("[#]Datatypes!B302:L302","CtyCode")</f>
        <v>CtyCode</v>
      </c>
      <c r="K279" s="276"/>
      <c r="L279" s="272"/>
      <c r="M279" s="272"/>
      <c r="N279" s="248" t="str">
        <f>HYPERLINK("[#]DatatypeListedValues!A2292:H2292","&lt;values&gt;")</f>
        <v>&lt;values&gt;</v>
      </c>
      <c r="O279" s="277" t="b">
        <v>0</v>
      </c>
      <c r="P279" s="37">
        <v>109924</v>
      </c>
      <c r="Q279" s="36" t="str">
        <f>CONCATENATE(Cover!$D$6,"fdd/view?i=",P279)</f>
        <v>https://www.dgiwg.org/FAD/fdd/view?i=109924</v>
      </c>
      <c r="R279" s="13" t="s">
        <v>7329</v>
      </c>
      <c r="S279" s="172"/>
      <c r="T279" s="172"/>
      <c r="AG279" s="82" t="s">
        <v>1790</v>
      </c>
      <c r="AS279" s="82" t="s">
        <v>1790</v>
      </c>
      <c r="BA279" s="83" t="s">
        <v>1790</v>
      </c>
      <c r="BD279" s="83" t="s">
        <v>1790</v>
      </c>
      <c r="CS279" s="165" t="s">
        <v>1790</v>
      </c>
      <c r="CT279" s="166" t="s">
        <v>1790</v>
      </c>
    </row>
    <row r="280" spans="1:105" ht="38.25" x14ac:dyDescent="0.2">
      <c r="A280" s="176" t="str">
        <f t="shared" si="8"/>
        <v>carrierFrequency</v>
      </c>
      <c r="B280" s="11" t="s">
        <v>7335</v>
      </c>
      <c r="C280" s="173"/>
      <c r="D280" s="22" t="s">
        <v>7336</v>
      </c>
      <c r="E280" s="15" t="s">
        <v>7337</v>
      </c>
      <c r="F280" s="15" t="s">
        <v>7338</v>
      </c>
      <c r="G280" s="174"/>
      <c r="H280" s="17" t="s">
        <v>5932</v>
      </c>
      <c r="I280" s="269"/>
      <c r="J280" s="369" t="str">
        <f>HYPERLINK("[#]Datatypes!B1231:L1231","Real")</f>
        <v>Real</v>
      </c>
      <c r="K280" s="271" t="str">
        <f>HYPERLINK("[#]PhysicalQuantities!A15:N15","Frequency")</f>
        <v>Frequency</v>
      </c>
      <c r="L280" s="270" t="str">
        <f>HYPERLINK("[#]UnitsOfMeasure!D71:G71","Hertz")</f>
        <v>Hertz</v>
      </c>
      <c r="M280" s="272"/>
      <c r="N280" s="273"/>
      <c r="O280" s="269"/>
      <c r="P280" s="37">
        <v>117570</v>
      </c>
      <c r="Q280" s="36" t="str">
        <f>CONCATENATE(Cover!$D$6,"fdd/view?i=",P280)</f>
        <v>https://www.dgiwg.org/FAD/fdd/view?i=117570</v>
      </c>
      <c r="R280" s="13" t="s">
        <v>7334</v>
      </c>
      <c r="S280" s="172"/>
      <c r="T280" s="172"/>
      <c r="CG280" s="83" t="s">
        <v>1790</v>
      </c>
      <c r="CH280" s="83" t="s">
        <v>1790</v>
      </c>
    </row>
    <row r="281" spans="1:105" x14ac:dyDescent="0.2">
      <c r="A281" s="176" t="str">
        <f t="shared" si="8"/>
        <v>caveType</v>
      </c>
      <c r="B281" s="11" t="s">
        <v>7340</v>
      </c>
      <c r="C281" s="173"/>
      <c r="D281" s="22" t="s">
        <v>7341</v>
      </c>
      <c r="E281" s="15" t="s">
        <v>7342</v>
      </c>
      <c r="F281" s="15" t="s">
        <v>7343</v>
      </c>
      <c r="G281" s="174"/>
      <c r="H281" s="17" t="s">
        <v>5932</v>
      </c>
      <c r="I281" s="269"/>
      <c r="J281" s="369" t="str">
        <f>HYPERLINK("[#]Datatypes!B304:L304","CtxCode")</f>
        <v>CtxCode</v>
      </c>
      <c r="K281" s="276"/>
      <c r="L281" s="272"/>
      <c r="M281" s="272"/>
      <c r="N281" s="248" t="str">
        <f>HYPERLINK("[#]DatatypeListedValues!A2298:H2298","&lt;values&gt;")</f>
        <v>&lt;values&gt;</v>
      </c>
      <c r="O281" s="277" t="b">
        <v>0</v>
      </c>
      <c r="P281" s="37">
        <v>119182</v>
      </c>
      <c r="Q281" s="36" t="str">
        <f>CONCATENATE(Cover!$D$6,"fdd/view?i=",P281)</f>
        <v>https://www.dgiwg.org/FAD/fdd/view?i=119182</v>
      </c>
      <c r="R281" s="13" t="s">
        <v>7339</v>
      </c>
      <c r="S281" s="172"/>
      <c r="T281" s="172"/>
      <c r="BM281" s="82" t="s">
        <v>1790</v>
      </c>
      <c r="BP281" s="82" t="s">
        <v>1790</v>
      </c>
      <c r="CS281" s="165" t="s">
        <v>1790</v>
      </c>
    </row>
    <row r="282" spans="1:105" ht="76.5" x14ac:dyDescent="0.2">
      <c r="A282" s="176" t="str">
        <f t="shared" si="8"/>
        <v>cellIdentifier</v>
      </c>
      <c r="B282" s="11" t="s">
        <v>7346</v>
      </c>
      <c r="C282" s="173"/>
      <c r="D282" s="22" t="s">
        <v>7347</v>
      </c>
      <c r="E282" s="15" t="s">
        <v>7348</v>
      </c>
      <c r="F282" s="15" t="s">
        <v>7349</v>
      </c>
      <c r="G282" s="174"/>
      <c r="H282" s="17" t="s">
        <v>5932</v>
      </c>
      <c r="I282" s="269"/>
      <c r="J282" s="369" t="str">
        <f>HYPERLINK("[#]Datatypes!B1552:L1552","TextNonLex22")</f>
        <v>TextNonLex22</v>
      </c>
      <c r="K282" s="276"/>
      <c r="L282" s="272"/>
      <c r="M282" s="272"/>
      <c r="N282" s="273"/>
      <c r="O282" s="269"/>
      <c r="P282" s="37">
        <v>117774</v>
      </c>
      <c r="Q282" s="36" t="str">
        <f>CONCATENATE(Cover!$D$6,"fdd/view?i=",P282)</f>
        <v>https://www.dgiwg.org/FAD/fdd/view?i=117774</v>
      </c>
      <c r="R282" s="13" t="s">
        <v>7345</v>
      </c>
      <c r="S282" s="172"/>
      <c r="T282" s="172"/>
      <c r="CV282" s="83" t="s">
        <v>1790</v>
      </c>
    </row>
    <row r="283" spans="1:105" ht="51" x14ac:dyDescent="0.2">
      <c r="A283" s="176" t="str">
        <f t="shared" si="8"/>
        <v>cellPartitionScheme</v>
      </c>
      <c r="B283" s="11" t="s">
        <v>7352</v>
      </c>
      <c r="C283" s="173"/>
      <c r="D283" s="22" t="s">
        <v>7353</v>
      </c>
      <c r="E283" s="15" t="s">
        <v>7354</v>
      </c>
      <c r="F283" s="15" t="s">
        <v>7355</v>
      </c>
      <c r="G283" s="174"/>
      <c r="H283" s="17" t="s">
        <v>5932</v>
      </c>
      <c r="I283" s="269"/>
      <c r="J283" s="369" t="str">
        <f>HYPERLINK("[#]Datatypes!B306:L306","CpsCode")</f>
        <v>CpsCode</v>
      </c>
      <c r="K283" s="276"/>
      <c r="L283" s="272"/>
      <c r="M283" s="272"/>
      <c r="N283" s="248" t="str">
        <f>HYPERLINK("[#]DatatypeListedValues!A2305:H2305","&lt;values&gt;")</f>
        <v>&lt;values&gt;</v>
      </c>
      <c r="O283" s="277" t="b">
        <v>0</v>
      </c>
      <c r="P283" s="37">
        <v>117775</v>
      </c>
      <c r="Q283" s="36" t="str">
        <f>CONCATENATE(Cover!$D$6,"fdd/view?i=",P283)</f>
        <v>https://www.dgiwg.org/FAD/fdd/view?i=117775</v>
      </c>
      <c r="R283" s="13" t="s">
        <v>7351</v>
      </c>
      <c r="S283" s="172"/>
      <c r="T283" s="172"/>
      <c r="CV283" s="83" t="s">
        <v>1790</v>
      </c>
    </row>
    <row r="284" spans="1:105" ht="25.5" x14ac:dyDescent="0.2">
      <c r="A284" s="176" t="str">
        <f t="shared" si="8"/>
        <v>centerlineSpacing</v>
      </c>
      <c r="B284" s="11" t="s">
        <v>7358</v>
      </c>
      <c r="C284" s="173"/>
      <c r="D284" s="22" t="s">
        <v>7359</v>
      </c>
      <c r="E284" s="15" t="s">
        <v>7360</v>
      </c>
      <c r="F284" s="174"/>
      <c r="G284" s="174"/>
      <c r="H284" s="17" t="s">
        <v>5932</v>
      </c>
      <c r="I284" s="269"/>
      <c r="J284" s="369" t="str">
        <f>HYPERLINK("[#]Datatypes!B1233:L1233","RealInterval")</f>
        <v>RealInterval</v>
      </c>
      <c r="K284" s="271" t="str">
        <f>HYPERLINK("[#]PhysicalQuantities!A20:N20","Length")</f>
        <v>Length</v>
      </c>
      <c r="L284" s="270" t="str">
        <f>HYPERLINK("[#]UnitsOfMeasure!D80:G80","Metre")</f>
        <v>Metre</v>
      </c>
      <c r="M284" s="272"/>
      <c r="N284" s="273"/>
      <c r="O284" s="269"/>
      <c r="P284" s="37">
        <v>101087</v>
      </c>
      <c r="Q284" s="36" t="str">
        <f>CONCATENATE(Cover!$D$6,"fdd/view?i=",P284)</f>
        <v>https://www.dgiwg.org/FAD/fdd/view?i=101087</v>
      </c>
      <c r="R284" s="13" t="s">
        <v>7357</v>
      </c>
      <c r="S284" s="172"/>
      <c r="T284" s="172"/>
      <c r="AQ284" s="82" t="s">
        <v>1790</v>
      </c>
      <c r="AU284" s="82" t="s">
        <v>1790</v>
      </c>
      <c r="CQ284" s="165" t="s">
        <v>1790</v>
      </c>
    </row>
    <row r="285" spans="1:105" ht="76.5" x14ac:dyDescent="0.2">
      <c r="A285" s="176" t="str">
        <f t="shared" si="8"/>
        <v>changeOverPointDistance</v>
      </c>
      <c r="B285" s="11" t="s">
        <v>7362</v>
      </c>
      <c r="C285" s="173"/>
      <c r="D285" s="22" t="s">
        <v>7363</v>
      </c>
      <c r="E285" s="15" t="s">
        <v>7364</v>
      </c>
      <c r="F285" s="15" t="s">
        <v>7365</v>
      </c>
      <c r="G285" s="174"/>
      <c r="H285" s="17" t="s">
        <v>5932</v>
      </c>
      <c r="I285" s="269"/>
      <c r="J285" s="369" t="str">
        <f>HYPERLINK("[#]Datatypes!B1231:L1231","Real")</f>
        <v>Real</v>
      </c>
      <c r="K285" s="271" t="str">
        <f>HYPERLINK("[#]PhysicalQuantities!A20:N20","Length")</f>
        <v>Length</v>
      </c>
      <c r="L285" s="270" t="str">
        <f>HYPERLINK("[#]UnitsOfMeasure!D94:G94","Nautical Mile")</f>
        <v>Nautical Mile</v>
      </c>
      <c r="M285" s="272"/>
      <c r="N285" s="273"/>
      <c r="O285" s="269"/>
      <c r="P285" s="37">
        <v>117543</v>
      </c>
      <c r="Q285" s="36" t="str">
        <f>CONCATENATE(Cover!$D$6,"fdd/view?i=",P285)</f>
        <v>https://www.dgiwg.org/FAD/fdd/view?i=117543</v>
      </c>
      <c r="R285" s="13" t="s">
        <v>7361</v>
      </c>
      <c r="S285" s="172"/>
      <c r="T285" s="172"/>
      <c r="CF285" s="83" t="s">
        <v>1790</v>
      </c>
    </row>
    <row r="286" spans="1:105" ht="25.5" x14ac:dyDescent="0.2">
      <c r="A286" s="176" t="str">
        <f t="shared" si="8"/>
        <v>channelNumber</v>
      </c>
      <c r="B286" s="11" t="s">
        <v>7367</v>
      </c>
      <c r="C286" s="173"/>
      <c r="D286" s="22" t="s">
        <v>7368</v>
      </c>
      <c r="E286" s="15" t="s">
        <v>7369</v>
      </c>
      <c r="F286" s="174"/>
      <c r="G286" s="174"/>
      <c r="H286" s="17" t="s">
        <v>5932</v>
      </c>
      <c r="I286" s="269"/>
      <c r="J286" s="369" t="str">
        <f>HYPERLINK("[#]Datatypes!B742:L742","Integer")</f>
        <v>Integer</v>
      </c>
      <c r="K286" s="271" t="str">
        <f>HYPERLINK("[#]PhysicalQuantities!A15:N15","Frequency")</f>
        <v>Frequency</v>
      </c>
      <c r="L286" s="270" t="str">
        <f>HYPERLINK("[#]UnitsOfMeasure!D71:G71","Hertz")</f>
        <v>Hertz</v>
      </c>
      <c r="M286" s="272"/>
      <c r="N286" s="273"/>
      <c r="O286" s="269"/>
      <c r="P286" s="37">
        <v>117648</v>
      </c>
      <c r="Q286" s="36" t="str">
        <f>CONCATENATE(Cover!$D$6,"fdd/view?i=",P286)</f>
        <v>https://www.dgiwg.org/FAD/fdd/view?i=117648</v>
      </c>
      <c r="R286" s="13" t="s">
        <v>7366</v>
      </c>
      <c r="S286" s="172"/>
      <c r="T286" s="172"/>
      <c r="CH286" s="83" t="s">
        <v>1790</v>
      </c>
    </row>
    <row r="287" spans="1:105" ht="25.5" x14ac:dyDescent="0.2">
      <c r="A287" s="176" t="str">
        <f t="shared" si="8"/>
        <v>channelType</v>
      </c>
      <c r="B287" s="11" t="s">
        <v>7371</v>
      </c>
      <c r="C287" s="173"/>
      <c r="D287" s="22" t="s">
        <v>7372</v>
      </c>
      <c r="E287" s="15" t="s">
        <v>7373</v>
      </c>
      <c r="F287" s="15" t="s">
        <v>7374</v>
      </c>
      <c r="G287" s="174"/>
      <c r="H287" s="17" t="s">
        <v>5932</v>
      </c>
      <c r="I287" s="269"/>
      <c r="J287" s="369" t="str">
        <f>HYPERLINK("[#]Datatypes!B308:L308","ChtCode")</f>
        <v>ChtCode</v>
      </c>
      <c r="K287" s="276"/>
      <c r="L287" s="272"/>
      <c r="M287" s="272"/>
      <c r="N287" s="248" t="str">
        <f>HYPERLINK("[#]DatatypeListedValues!A2310:H2310","&lt;values&gt;")</f>
        <v>&lt;values&gt;</v>
      </c>
      <c r="O287" s="277" t="b">
        <v>0</v>
      </c>
      <c r="P287" s="37">
        <v>100742</v>
      </c>
      <c r="Q287" s="36" t="str">
        <f>CONCATENATE(Cover!$D$6,"fdd/view?i=",P287)</f>
        <v>https://www.dgiwg.org/FAD/fdd/view?i=100742</v>
      </c>
      <c r="R287" s="13" t="s">
        <v>7370</v>
      </c>
      <c r="S287" s="172"/>
      <c r="T287" s="172"/>
      <c r="AS287" s="82" t="s">
        <v>1790</v>
      </c>
      <c r="BF287" s="83" t="s">
        <v>1790</v>
      </c>
      <c r="BI287" s="83" t="s">
        <v>1790</v>
      </c>
      <c r="BJ287" s="83" t="s">
        <v>1790</v>
      </c>
      <c r="CT287" s="166" t="s">
        <v>1790</v>
      </c>
    </row>
    <row r="288" spans="1:105" ht="38.25" x14ac:dyDescent="0.2">
      <c r="A288" s="176" t="str">
        <f t="shared" si="8"/>
        <v>characterOfLight</v>
      </c>
      <c r="B288" s="11" t="s">
        <v>7377</v>
      </c>
      <c r="C288" s="173"/>
      <c r="D288" s="22" t="s">
        <v>7378</v>
      </c>
      <c r="E288" s="15" t="s">
        <v>7379</v>
      </c>
      <c r="F288" s="15" t="s">
        <v>7380</v>
      </c>
      <c r="G288" s="174"/>
      <c r="H288" s="17" t="s">
        <v>5932</v>
      </c>
      <c r="I288" s="269"/>
      <c r="J288" s="369" t="str">
        <f>HYPERLINK("[#]Datatypes!B310:L310","ColStrucText")</f>
        <v>ColStrucText</v>
      </c>
      <c r="K288" s="276"/>
      <c r="L288" s="272"/>
      <c r="M288" s="272"/>
      <c r="N288" s="273"/>
      <c r="O288" s="269"/>
      <c r="P288" s="37">
        <v>100755</v>
      </c>
      <c r="Q288" s="36" t="str">
        <f>CONCATENATE(Cover!$D$6,"fdd/view?i=",P288)</f>
        <v>https://www.dgiwg.org/FAD/fdd/view?i=100755</v>
      </c>
      <c r="R288" s="13" t="s">
        <v>7376</v>
      </c>
      <c r="S288" s="172"/>
      <c r="T288" s="172"/>
      <c r="CS288" s="165" t="s">
        <v>1790</v>
      </c>
    </row>
    <row r="289" spans="1:105" ht="51" x14ac:dyDescent="0.2">
      <c r="A289" s="176" t="str">
        <f t="shared" si="8"/>
        <v>charactersEmitted</v>
      </c>
      <c r="B289" s="11" t="s">
        <v>7383</v>
      </c>
      <c r="C289" s="173"/>
      <c r="D289" s="22" t="s">
        <v>7384</v>
      </c>
      <c r="E289" s="15" t="s">
        <v>7385</v>
      </c>
      <c r="F289" s="15" t="s">
        <v>7386</v>
      </c>
      <c r="G289" s="174"/>
      <c r="H289" s="17" t="s">
        <v>5932</v>
      </c>
      <c r="I289" s="269"/>
      <c r="J289" s="369" t="str">
        <f>HYPERLINK("[#]Datatypes!B1560:L1560","TextNonLex80")</f>
        <v>TextNonLex80</v>
      </c>
      <c r="K289" s="276"/>
      <c r="L289" s="272"/>
      <c r="M289" s="272"/>
      <c r="N289" s="273"/>
      <c r="O289" s="269"/>
      <c r="P289" s="37">
        <v>101030</v>
      </c>
      <c r="Q289" s="36" t="str">
        <f>CONCATENATE(Cover!$D$6,"fdd/view?i=",P289)</f>
        <v>https://www.dgiwg.org/FAD/fdd/view?i=101030</v>
      </c>
      <c r="R289" s="13" t="s">
        <v>7382</v>
      </c>
      <c r="S289" s="172"/>
      <c r="T289" s="172"/>
      <c r="AS289" s="82" t="s">
        <v>1790</v>
      </c>
      <c r="BF289" s="83" t="s">
        <v>1790</v>
      </c>
      <c r="CS289" s="165" t="s">
        <v>1790</v>
      </c>
    </row>
    <row r="290" spans="1:105" ht="25.5" x14ac:dyDescent="0.2">
      <c r="A290" s="176" t="str">
        <f t="shared" si="8"/>
        <v>checkpointType</v>
      </c>
      <c r="B290" s="11" t="s">
        <v>7389</v>
      </c>
      <c r="C290" s="173"/>
      <c r="D290" s="22" t="s">
        <v>7390</v>
      </c>
      <c r="E290" s="15" t="s">
        <v>7391</v>
      </c>
      <c r="F290" s="174"/>
      <c r="G290" s="174"/>
      <c r="H290" s="17" t="s">
        <v>5932</v>
      </c>
      <c r="I290" s="269"/>
      <c r="J290" s="369" t="str">
        <f>HYPERLINK("[#]Datatypes!B312:L312","BcpCode")</f>
        <v>BcpCode</v>
      </c>
      <c r="K290" s="276"/>
      <c r="L290" s="272"/>
      <c r="M290" s="272"/>
      <c r="N290" s="248" t="str">
        <f>HYPERLINK("[#]DatatypeListedValues!A2315:H2315","&lt;values&gt;")</f>
        <v>&lt;values&gt;</v>
      </c>
      <c r="O290" s="277" t="b">
        <v>0</v>
      </c>
      <c r="P290" s="37">
        <v>118161</v>
      </c>
      <c r="Q290" s="36" t="str">
        <f>CONCATENATE(Cover!$D$6,"fdd/view?i=",P290)</f>
        <v>https://www.dgiwg.org/FAD/fdd/view?i=118161</v>
      </c>
      <c r="R290" s="13" t="s">
        <v>7388</v>
      </c>
      <c r="S290" s="172"/>
      <c r="T290" s="172"/>
      <c r="AP290" s="81" t="s">
        <v>1790</v>
      </c>
      <c r="AQ290" s="82" t="s">
        <v>1790</v>
      </c>
      <c r="AR290" s="82" t="s">
        <v>1790</v>
      </c>
      <c r="AU290" s="82" t="s">
        <v>1790</v>
      </c>
      <c r="AV290" s="82" t="s">
        <v>1790</v>
      </c>
      <c r="CK290" s="82" t="s">
        <v>1790</v>
      </c>
      <c r="CL290" s="85" t="s">
        <v>1790</v>
      </c>
      <c r="CT290" s="166" t="s">
        <v>1790</v>
      </c>
    </row>
    <row r="291" spans="1:105" ht="25.5" x14ac:dyDescent="0.2">
      <c r="A291" s="176" t="str">
        <f t="shared" si="8"/>
        <v>chemicalElementName</v>
      </c>
      <c r="B291" s="11" t="s">
        <v>7394</v>
      </c>
      <c r="C291" s="173"/>
      <c r="D291" s="22" t="s">
        <v>7395</v>
      </c>
      <c r="E291" s="15" t="s">
        <v>7396</v>
      </c>
      <c r="F291" s="174"/>
      <c r="G291" s="174"/>
      <c r="H291" s="17" t="s">
        <v>5932</v>
      </c>
      <c r="I291" s="269"/>
      <c r="J291" s="369" t="str">
        <f>HYPERLINK("[#]Datatypes!B314:L314","EleCode")</f>
        <v>EleCode</v>
      </c>
      <c r="K291" s="276"/>
      <c r="L291" s="272"/>
      <c r="M291" s="272"/>
      <c r="N291" s="248" t="str">
        <f>HYPERLINK("[#]DatatypeListedValues!A2323:H2323","&lt;values&gt;")</f>
        <v>&lt;values&gt;</v>
      </c>
      <c r="O291" s="277" t="b">
        <v>0</v>
      </c>
      <c r="P291" s="37">
        <v>111532</v>
      </c>
      <c r="Q291" s="36" t="str">
        <f>CONCATENATE(Cover!$D$6,"fdd/view?i=",P291)</f>
        <v>https://www.dgiwg.org/FAD/fdd/view?i=111532</v>
      </c>
      <c r="R291" s="13" t="s">
        <v>7393</v>
      </c>
      <c r="S291" s="172"/>
      <c r="T291" s="172"/>
      <c r="BP291" s="82" t="s">
        <v>1790</v>
      </c>
      <c r="CU291" s="87" t="s">
        <v>1790</v>
      </c>
    </row>
    <row r="292" spans="1:105" ht="51" x14ac:dyDescent="0.2">
      <c r="A292" s="176" t="str">
        <f t="shared" si="8"/>
        <v>childMortalityRate</v>
      </c>
      <c r="B292" s="11" t="s">
        <v>7399</v>
      </c>
      <c r="C292" s="173"/>
      <c r="D292" s="22" t="s">
        <v>7400</v>
      </c>
      <c r="E292" s="15" t="s">
        <v>7401</v>
      </c>
      <c r="F292" s="174"/>
      <c r="G292" s="174"/>
      <c r="H292" s="17" t="s">
        <v>5932</v>
      </c>
      <c r="I292" s="269"/>
      <c r="J292" s="369" t="str">
        <f>HYPERLINK("[#]Datatypes!B1231:L1231","Real")</f>
        <v>Real</v>
      </c>
      <c r="K292" s="271" t="str">
        <f>HYPERLINK("[#]PhysicalQuantities!A43:N43","Rate")</f>
        <v>Rate</v>
      </c>
      <c r="L292" s="270" t="str">
        <f>HYPERLINK("[#]UnitsOfMeasure!D234:G234","Parts per Thousand per Annum (tropical year)")</f>
        <v>Parts per Thousand per Annum (tropical year)</v>
      </c>
      <c r="M292" s="272"/>
      <c r="N292" s="273"/>
      <c r="O292" s="269"/>
      <c r="P292" s="37">
        <v>111496</v>
      </c>
      <c r="Q292" s="36" t="str">
        <f>CONCATENATE(Cover!$D$6,"fdd/view?i=",P292)</f>
        <v>https://www.dgiwg.org/FAD/fdd/view?i=111496</v>
      </c>
      <c r="R292" s="13" t="s">
        <v>7398</v>
      </c>
      <c r="S292" s="172"/>
      <c r="T292" s="172"/>
      <c r="AO292" s="89" t="s">
        <v>1790</v>
      </c>
      <c r="CQ292" s="165" t="s">
        <v>1790</v>
      </c>
    </row>
    <row r="293" spans="1:105" ht="89.25" x14ac:dyDescent="0.2">
      <c r="A293" s="176" t="str">
        <f t="shared" si="8"/>
        <v>chlorideConcentration</v>
      </c>
      <c r="B293" s="11" t="s">
        <v>7403</v>
      </c>
      <c r="C293" s="173"/>
      <c r="D293" s="22" t="s">
        <v>7404</v>
      </c>
      <c r="E293" s="15" t="s">
        <v>7405</v>
      </c>
      <c r="F293" s="15" t="s">
        <v>7406</v>
      </c>
      <c r="G293" s="174"/>
      <c r="H293" s="17" t="s">
        <v>5932</v>
      </c>
      <c r="I293" s="269"/>
      <c r="J293" s="369" t="str">
        <f>HYPERLINK("[#]Datatypes!B1231:L1231","Real")</f>
        <v>Real</v>
      </c>
      <c r="K293" s="271" t="str">
        <f>HYPERLINK("[#]PhysicalQuantities!A29:N29","Mass Density")</f>
        <v>Mass Density</v>
      </c>
      <c r="L293" s="270" t="str">
        <f>HYPERLINK("[#]UnitsOfMeasure!D140:G140","Gram per cubic Metre")</f>
        <v>Gram per cubic Metre</v>
      </c>
      <c r="M293" s="272"/>
      <c r="N293" s="273"/>
      <c r="O293" s="269"/>
      <c r="P293" s="37">
        <v>119400</v>
      </c>
      <c r="Q293" s="36" t="str">
        <f>CONCATENATE(Cover!$D$6,"fdd/view?i=",P293)</f>
        <v>https://www.dgiwg.org/FAD/fdd/view?i=119400</v>
      </c>
      <c r="R293" s="13" t="s">
        <v>7402</v>
      </c>
      <c r="S293" s="172"/>
      <c r="T293" s="172"/>
      <c r="BK293" s="89" t="s">
        <v>1790</v>
      </c>
      <c r="BP293" s="82" t="s">
        <v>1790</v>
      </c>
      <c r="CQ293" s="165" t="s">
        <v>1790</v>
      </c>
    </row>
    <row r="294" spans="1:105" x14ac:dyDescent="0.2">
      <c r="A294" s="176" t="str">
        <f t="shared" si="8"/>
        <v>chokePointType</v>
      </c>
      <c r="B294" s="11" t="s">
        <v>7408</v>
      </c>
      <c r="C294" s="173"/>
      <c r="D294" s="22" t="s">
        <v>7409</v>
      </c>
      <c r="E294" s="15" t="s">
        <v>7410</v>
      </c>
      <c r="F294" s="174"/>
      <c r="G294" s="174"/>
      <c r="H294" s="17" t="s">
        <v>5932</v>
      </c>
      <c r="I294" s="269"/>
      <c r="J294" s="369" t="str">
        <f>HYPERLINK("[#]Datatypes!B316:L316","ChpCode")</f>
        <v>ChpCode</v>
      </c>
      <c r="K294" s="276"/>
      <c r="L294" s="272"/>
      <c r="M294" s="272"/>
      <c r="N294" s="248" t="str">
        <f>HYPERLINK("[#]DatatypeListedValues!A2384:H2384","&lt;values&gt;")</f>
        <v>&lt;values&gt;</v>
      </c>
      <c r="O294" s="277" t="b">
        <v>0</v>
      </c>
      <c r="P294" s="37">
        <v>118163</v>
      </c>
      <c r="Q294" s="36" t="str">
        <f>CONCATENATE(Cover!$D$6,"fdd/view?i=",P294)</f>
        <v>https://www.dgiwg.org/FAD/fdd/view?i=118163</v>
      </c>
      <c r="R294" s="13" t="s">
        <v>7407</v>
      </c>
      <c r="S294" s="172"/>
      <c r="T294" s="172"/>
      <c r="AP294" s="81" t="s">
        <v>1790</v>
      </c>
      <c r="AQ294" s="82" t="s">
        <v>1790</v>
      </c>
      <c r="AS294" s="82" t="s">
        <v>1790</v>
      </c>
      <c r="AU294" s="82" t="s">
        <v>1790</v>
      </c>
      <c r="AV294" s="82" t="s">
        <v>1790</v>
      </c>
      <c r="BF294" s="83" t="s">
        <v>1790</v>
      </c>
      <c r="BG294" s="83" t="s">
        <v>1790</v>
      </c>
      <c r="CL294" s="85" t="s">
        <v>1790</v>
      </c>
      <c r="CS294" s="165" t="s">
        <v>1790</v>
      </c>
    </row>
    <row r="295" spans="1:105" ht="38.25" x14ac:dyDescent="0.2">
      <c r="A295" s="176" t="str">
        <f t="shared" si="8"/>
        <v>circlingProcedureIdent</v>
      </c>
      <c r="B295" s="11" t="s">
        <v>7413</v>
      </c>
      <c r="C295" s="173"/>
      <c r="D295" s="22" t="s">
        <v>7414</v>
      </c>
      <c r="E295" s="15" t="s">
        <v>7415</v>
      </c>
      <c r="F295" s="15" t="s">
        <v>7416</v>
      </c>
      <c r="G295" s="174"/>
      <c r="H295" s="17" t="s">
        <v>5932</v>
      </c>
      <c r="I295" s="269"/>
      <c r="J295" s="369" t="str">
        <f>HYPERLINK("[#]Datatypes!B318:L318","CpiStrucText")</f>
        <v>CpiStrucText</v>
      </c>
      <c r="K295" s="276"/>
      <c r="L295" s="272"/>
      <c r="M295" s="272"/>
      <c r="N295" s="273"/>
      <c r="O295" s="269"/>
      <c r="P295" s="37">
        <v>117544</v>
      </c>
      <c r="Q295" s="36" t="str">
        <f>CONCATENATE(Cover!$D$6,"fdd/view?i=",P295)</f>
        <v>https://www.dgiwg.org/FAD/fdd/view?i=117544</v>
      </c>
      <c r="R295" s="13" t="s">
        <v>7412</v>
      </c>
      <c r="S295" s="172"/>
      <c r="T295" s="172"/>
      <c r="CI295" s="89" t="s">
        <v>1790</v>
      </c>
    </row>
    <row r="296" spans="1:105" x14ac:dyDescent="0.2">
      <c r="A296" s="176" t="str">
        <f t="shared" si="8"/>
        <v>cityServed</v>
      </c>
      <c r="B296" s="11" t="s">
        <v>7419</v>
      </c>
      <c r="C296" s="173"/>
      <c r="D296" s="22" t="s">
        <v>7420</v>
      </c>
      <c r="E296" s="15" t="s">
        <v>7421</v>
      </c>
      <c r="F296" s="174"/>
      <c r="G296" s="174"/>
      <c r="H296" s="17" t="s">
        <v>5932</v>
      </c>
      <c r="I296" s="269"/>
      <c r="J296" s="369" t="str">
        <f>HYPERLINK("[#]Datatypes!B1544:L1544","TextLexUnconstrained")</f>
        <v>TextLexUnconstrained</v>
      </c>
      <c r="K296" s="276"/>
      <c r="L296" s="272"/>
      <c r="M296" s="272"/>
      <c r="N296" s="273"/>
      <c r="O296" s="269"/>
      <c r="P296" s="37">
        <v>117545</v>
      </c>
      <c r="Q296" s="36" t="str">
        <f>CONCATENATE(Cover!$D$6,"fdd/view?i=",P296)</f>
        <v>https://www.dgiwg.org/FAD/fdd/view?i=117545</v>
      </c>
      <c r="R296" s="13" t="s">
        <v>7418</v>
      </c>
      <c r="S296" s="172"/>
      <c r="T296" s="172"/>
      <c r="CE296" s="87" t="s">
        <v>1790</v>
      </c>
    </row>
    <row r="297" spans="1:105" ht="25.5" x14ac:dyDescent="0.2">
      <c r="A297" s="176" t="str">
        <f t="shared" si="8"/>
        <v>classificationName</v>
      </c>
      <c r="B297" s="11" t="s">
        <v>7423</v>
      </c>
      <c r="C297" s="173"/>
      <c r="D297" s="22" t="s">
        <v>7424</v>
      </c>
      <c r="E297" s="15" t="s">
        <v>7425</v>
      </c>
      <c r="F297" s="174"/>
      <c r="G297" s="174"/>
      <c r="H297" s="17" t="s">
        <v>5932</v>
      </c>
      <c r="I297" s="269"/>
      <c r="J297" s="369" t="str">
        <f>HYPERLINK("[#]Datatypes!B1542:L1542","TextLex80")</f>
        <v>TextLex80</v>
      </c>
      <c r="K297" s="276"/>
      <c r="L297" s="272"/>
      <c r="M297" s="272"/>
      <c r="N297" s="273"/>
      <c r="O297" s="269"/>
      <c r="P297" s="37">
        <v>101089</v>
      </c>
      <c r="Q297" s="36" t="str">
        <f>CONCATENATE(Cover!$D$6,"fdd/view?i=",P297)</f>
        <v>https://www.dgiwg.org/FAD/fdd/view?i=101089</v>
      </c>
      <c r="R297" s="13" t="s">
        <v>7422</v>
      </c>
      <c r="S297" s="172"/>
      <c r="T297" s="172"/>
      <c r="CV297" s="83" t="s">
        <v>1790</v>
      </c>
      <c r="DA297" s="165" t="s">
        <v>1790</v>
      </c>
    </row>
    <row r="298" spans="1:105" ht="25.5" x14ac:dyDescent="0.2">
      <c r="A298" s="176" t="str">
        <f t="shared" si="8"/>
        <v>climateType</v>
      </c>
      <c r="B298" s="11" t="s">
        <v>7427</v>
      </c>
      <c r="C298" s="173"/>
      <c r="D298" s="22" t="s">
        <v>7428</v>
      </c>
      <c r="E298" s="15" t="s">
        <v>7429</v>
      </c>
      <c r="F298" s="174"/>
      <c r="G298" s="174"/>
      <c r="H298" s="17" t="s">
        <v>5932</v>
      </c>
      <c r="I298" s="269"/>
      <c r="J298" s="369" t="str">
        <f>HYPERLINK("[#]Datatypes!B320:L320","ClmCode")</f>
        <v>ClmCode</v>
      </c>
      <c r="K298" s="276"/>
      <c r="L298" s="272"/>
      <c r="M298" s="272"/>
      <c r="N298" s="248" t="str">
        <f>HYPERLINK("[#]DatatypeListedValues!A2396:H2396","&lt;values&gt;")</f>
        <v>&lt;values&gt;</v>
      </c>
      <c r="O298" s="277" t="b">
        <v>0</v>
      </c>
      <c r="P298" s="37">
        <v>111499</v>
      </c>
      <c r="Q298" s="36" t="str">
        <f>CONCATENATE(Cover!$D$6,"fdd/view?i=",P298)</f>
        <v>https://www.dgiwg.org/FAD/fdd/view?i=111499</v>
      </c>
      <c r="R298" s="13" t="s">
        <v>7426</v>
      </c>
      <c r="S298" s="172"/>
      <c r="T298" s="172"/>
      <c r="BZ298" s="83" t="s">
        <v>1790</v>
      </c>
      <c r="CV298" s="83" t="s">
        <v>1790</v>
      </c>
    </row>
    <row r="299" spans="1:105" ht="25.5" x14ac:dyDescent="0.2">
      <c r="A299" s="176" t="str">
        <f t="shared" si="8"/>
        <v>climateZone</v>
      </c>
      <c r="B299" s="11" t="s">
        <v>7432</v>
      </c>
      <c r="C299" s="173"/>
      <c r="D299" s="22" t="s">
        <v>7433</v>
      </c>
      <c r="E299" s="15" t="s">
        <v>7434</v>
      </c>
      <c r="F299" s="174"/>
      <c r="G299" s="174"/>
      <c r="H299" s="17" t="s">
        <v>5932</v>
      </c>
      <c r="I299" s="269"/>
      <c r="J299" s="369" t="str">
        <f>HYPERLINK("[#]Datatypes!B322:L322","ClzCode")</f>
        <v>ClzCode</v>
      </c>
      <c r="K299" s="276"/>
      <c r="L299" s="272"/>
      <c r="M299" s="272"/>
      <c r="N299" s="248" t="str">
        <f>HYPERLINK("[#]DatatypeListedValues!A2430:H2430","&lt;values&gt;")</f>
        <v>&lt;values&gt;</v>
      </c>
      <c r="O299" s="277" t="b">
        <v>0</v>
      </c>
      <c r="P299" s="37">
        <v>111500</v>
      </c>
      <c r="Q299" s="36" t="str">
        <f>CONCATENATE(Cover!$D$6,"fdd/view?i=",P299)</f>
        <v>https://www.dgiwg.org/FAD/fdd/view?i=111500</v>
      </c>
      <c r="R299" s="13" t="s">
        <v>7431</v>
      </c>
      <c r="S299" s="172"/>
      <c r="T299" s="172"/>
      <c r="BZ299" s="83" t="s">
        <v>1790</v>
      </c>
      <c r="CV299" s="83" t="s">
        <v>1790</v>
      </c>
    </row>
    <row r="300" spans="1:105" x14ac:dyDescent="0.2">
      <c r="A300" s="176" t="str">
        <f t="shared" si="8"/>
        <v>closeToContinent</v>
      </c>
      <c r="B300" s="11" t="s">
        <v>7437</v>
      </c>
      <c r="C300" s="173"/>
      <c r="D300" s="22" t="s">
        <v>7438</v>
      </c>
      <c r="E300" s="15" t="s">
        <v>7439</v>
      </c>
      <c r="F300" s="174"/>
      <c r="G300" s="174"/>
      <c r="H300" s="17" t="s">
        <v>5932</v>
      </c>
      <c r="I300" s="269"/>
      <c r="J300" s="369" t="str">
        <f>HYPERLINK("[#]Datatypes!B240:L240","Boolean")</f>
        <v>Boolean</v>
      </c>
      <c r="K300" s="276"/>
      <c r="L300" s="272"/>
      <c r="M300" s="272"/>
      <c r="N300" s="273"/>
      <c r="O300" s="269"/>
      <c r="P300" s="37">
        <v>111680</v>
      </c>
      <c r="Q300" s="36" t="str">
        <f>CONCATENATE(Cover!$D$6,"fdd/view?i=",P300)</f>
        <v>https://www.dgiwg.org/FAD/fdd/view?i=111680</v>
      </c>
      <c r="R300" s="13" t="s">
        <v>7436</v>
      </c>
      <c r="S300" s="172"/>
      <c r="T300" s="172"/>
      <c r="AZ300" s="87" t="s">
        <v>1790</v>
      </c>
      <c r="CP300" s="164" t="s">
        <v>1790</v>
      </c>
    </row>
    <row r="301" spans="1:105" x14ac:dyDescent="0.2">
      <c r="A301" s="176" t="str">
        <f t="shared" si="8"/>
        <v>coastType</v>
      </c>
      <c r="B301" s="11" t="s">
        <v>7441</v>
      </c>
      <c r="C301" s="173"/>
      <c r="D301" s="22" t="s">
        <v>7442</v>
      </c>
      <c r="E301" s="15" t="s">
        <v>7443</v>
      </c>
      <c r="F301" s="174"/>
      <c r="G301" s="174"/>
      <c r="H301" s="17" t="s">
        <v>5932</v>
      </c>
      <c r="I301" s="269"/>
      <c r="J301" s="369" t="str">
        <f>HYPERLINK("[#]Datatypes!B324:L324","ShoCode")</f>
        <v>ShoCode</v>
      </c>
      <c r="K301" s="276"/>
      <c r="L301" s="272"/>
      <c r="M301" s="272"/>
      <c r="N301" s="248" t="str">
        <f>HYPERLINK("[#]DatatypeListedValues!A2437:H2437","&lt;values&gt;")</f>
        <v>&lt;values&gt;</v>
      </c>
      <c r="O301" s="277" t="b">
        <v>0</v>
      </c>
      <c r="P301" s="37">
        <v>101296</v>
      </c>
      <c r="Q301" s="36" t="str">
        <f>CONCATENATE(Cover!$D$6,"fdd/view?i=",P301)</f>
        <v>https://www.dgiwg.org/FAD/fdd/view?i=101296</v>
      </c>
      <c r="R301" s="13" t="s">
        <v>7440</v>
      </c>
      <c r="S301" s="172"/>
      <c r="T301" s="172"/>
      <c r="AZ301" s="87" t="s">
        <v>1790</v>
      </c>
      <c r="BM301" s="82" t="s">
        <v>1790</v>
      </c>
      <c r="BR301" s="82" t="s">
        <v>1790</v>
      </c>
      <c r="CS301" s="165" t="s">
        <v>1790</v>
      </c>
    </row>
    <row r="302" spans="1:105" x14ac:dyDescent="0.2">
      <c r="A302" s="176" t="str">
        <f t="shared" si="8"/>
        <v>coastalWorkType</v>
      </c>
      <c r="B302" s="11" t="s">
        <v>7446</v>
      </c>
      <c r="C302" s="173"/>
      <c r="D302" s="22" t="s">
        <v>7447</v>
      </c>
      <c r="E302" s="15" t="s">
        <v>7448</v>
      </c>
      <c r="F302" s="174"/>
      <c r="G302" s="174"/>
      <c r="H302" s="17" t="s">
        <v>5932</v>
      </c>
      <c r="I302" s="17" t="s">
        <v>6029</v>
      </c>
      <c r="J302" s="369" t="str">
        <f>HYPERLINK("[#]Datatypes!B326:L326","WpcCode")</f>
        <v>WpcCode</v>
      </c>
      <c r="K302" s="276"/>
      <c r="L302" s="272"/>
      <c r="M302" s="272"/>
      <c r="N302" s="248" t="str">
        <f>HYPERLINK("[#]DatatypeListedValues!A2450:H2450","&lt;values&gt;")</f>
        <v>&lt;values&gt;</v>
      </c>
      <c r="O302" s="277" t="b">
        <v>0</v>
      </c>
      <c r="P302" s="37">
        <v>101500</v>
      </c>
      <c r="Q302" s="36" t="str">
        <f>CONCATENATE(Cover!$D$6,"fdd/view?i=",P302)</f>
        <v>https://www.dgiwg.org/FAD/fdd/view?i=101500</v>
      </c>
      <c r="R302" s="13" t="s">
        <v>7445</v>
      </c>
      <c r="S302" s="172"/>
      <c r="T302" s="172"/>
      <c r="AS302" s="82" t="s">
        <v>1790</v>
      </c>
      <c r="AZ302" s="87" t="s">
        <v>1790</v>
      </c>
      <c r="BA302" s="83" t="s">
        <v>1790</v>
      </c>
      <c r="BD302" s="83" t="s">
        <v>1790</v>
      </c>
      <c r="BF302" s="83" t="s">
        <v>1790</v>
      </c>
      <c r="BG302" s="83" t="s">
        <v>1790</v>
      </c>
      <c r="CT302" s="166" t="s">
        <v>1790</v>
      </c>
    </row>
    <row r="303" spans="1:105" ht="76.5" x14ac:dyDescent="0.2">
      <c r="A303" s="176" t="str">
        <f t="shared" si="8"/>
        <v>coliformConcentration</v>
      </c>
      <c r="B303" s="11" t="s">
        <v>7451</v>
      </c>
      <c r="C303" s="173"/>
      <c r="D303" s="22" t="s">
        <v>7452</v>
      </c>
      <c r="E303" s="15" t="s">
        <v>7453</v>
      </c>
      <c r="F303" s="15" t="s">
        <v>7454</v>
      </c>
      <c r="G303" s="174"/>
      <c r="H303" s="17" t="s">
        <v>5932</v>
      </c>
      <c r="I303" s="269"/>
      <c r="J303" s="369" t="str">
        <f>HYPERLINK("[#]Datatypes!B1231:L1231","Real")</f>
        <v>Real</v>
      </c>
      <c r="K303" s="271" t="str">
        <f>HYPERLINK("[#]PhysicalQuantities!A39:N39","Pure Number")</f>
        <v>Pure Number</v>
      </c>
      <c r="L303" s="270" t="str">
        <f>HYPERLINK("[#]UnitsOfMeasure!D213:G213","Unitless")</f>
        <v>Unitless</v>
      </c>
      <c r="M303" s="272"/>
      <c r="N303" s="273"/>
      <c r="O303" s="269"/>
      <c r="P303" s="37">
        <v>119399</v>
      </c>
      <c r="Q303" s="36" t="str">
        <f>CONCATENATE(Cover!$D$6,"fdd/view?i=",P303)</f>
        <v>https://www.dgiwg.org/FAD/fdd/view?i=119399</v>
      </c>
      <c r="R303" s="13" t="s">
        <v>7450</v>
      </c>
      <c r="S303" s="172"/>
      <c r="T303" s="172"/>
      <c r="BK303" s="89" t="s">
        <v>1790</v>
      </c>
      <c r="BP303" s="82" t="s">
        <v>1790</v>
      </c>
      <c r="CQ303" s="165" t="s">
        <v>1790</v>
      </c>
    </row>
    <row r="304" spans="1:105" ht="89.25" x14ac:dyDescent="0.2">
      <c r="A304" s="176" t="str">
        <f t="shared" si="8"/>
        <v>collection</v>
      </c>
      <c r="B304" s="11" t="s">
        <v>7456</v>
      </c>
      <c r="C304" s="173"/>
      <c r="D304" s="22" t="s">
        <v>7457</v>
      </c>
      <c r="E304" s="15" t="s">
        <v>7458</v>
      </c>
      <c r="F304" s="15" t="s">
        <v>7459</v>
      </c>
      <c r="G304" s="174"/>
      <c r="H304" s="17" t="s">
        <v>5932</v>
      </c>
      <c r="I304" s="269"/>
      <c r="J304" s="369" t="str">
        <f>HYPERLINK("[#]Datatypes!B240:L240","Boolean")</f>
        <v>Boolean</v>
      </c>
      <c r="K304" s="276"/>
      <c r="L304" s="272"/>
      <c r="M304" s="272"/>
      <c r="N304" s="273"/>
      <c r="O304" s="269"/>
      <c r="P304" s="37">
        <v>114216</v>
      </c>
      <c r="Q304" s="36" t="str">
        <f>CONCATENATE(Cover!$D$6,"fdd/view?i=",P304)</f>
        <v>https://www.dgiwg.org/FAD/fdd/view?i=114216</v>
      </c>
      <c r="R304" s="13" t="s">
        <v>7455</v>
      </c>
      <c r="S304" s="172"/>
      <c r="T304" s="172"/>
      <c r="CS304" s="165" t="s">
        <v>1790</v>
      </c>
    </row>
    <row r="305" spans="1:106" ht="25.5" x14ac:dyDescent="0.2">
      <c r="A305" s="176" t="str">
        <f t="shared" si="8"/>
        <v>coLocationSharedApron</v>
      </c>
      <c r="B305" s="11" t="s">
        <v>7461</v>
      </c>
      <c r="C305" s="173"/>
      <c r="D305" s="22" t="s">
        <v>7462</v>
      </c>
      <c r="E305" s="15" t="s">
        <v>7463</v>
      </c>
      <c r="F305" s="174"/>
      <c r="G305" s="174"/>
      <c r="H305" s="17" t="s">
        <v>5932</v>
      </c>
      <c r="I305" s="269"/>
      <c r="J305" s="369" t="str">
        <f>HYPERLINK("[#]Datatypes!B240:L240","Boolean")</f>
        <v>Boolean</v>
      </c>
      <c r="K305" s="276"/>
      <c r="L305" s="272"/>
      <c r="M305" s="272"/>
      <c r="N305" s="273"/>
      <c r="O305" s="269"/>
      <c r="P305" s="37">
        <v>117467</v>
      </c>
      <c r="Q305" s="36" t="str">
        <f>CONCATENATE(Cover!$D$6,"fdd/view?i=",P305)</f>
        <v>https://www.dgiwg.org/FAD/fdd/view?i=117467</v>
      </c>
      <c r="R305" s="13" t="s">
        <v>7460</v>
      </c>
      <c r="S305" s="172"/>
      <c r="T305" s="172"/>
      <c r="CE305" s="87" t="s">
        <v>1790</v>
      </c>
    </row>
    <row r="306" spans="1:106" ht="25.5" x14ac:dyDescent="0.2">
      <c r="A306" s="176" t="str">
        <f t="shared" si="8"/>
        <v>coLocationSharedFacilities</v>
      </c>
      <c r="B306" s="11" t="s">
        <v>7465</v>
      </c>
      <c r="C306" s="173"/>
      <c r="D306" s="22" t="s">
        <v>7466</v>
      </c>
      <c r="E306" s="15" t="s">
        <v>7467</v>
      </c>
      <c r="F306" s="174"/>
      <c r="G306" s="174"/>
      <c r="H306" s="17" t="s">
        <v>5932</v>
      </c>
      <c r="I306" s="269"/>
      <c r="J306" s="369" t="str">
        <f>HYPERLINK("[#]Datatypes!B240:L240","Boolean")</f>
        <v>Boolean</v>
      </c>
      <c r="K306" s="276"/>
      <c r="L306" s="272"/>
      <c r="M306" s="272"/>
      <c r="N306" s="273"/>
      <c r="O306" s="269"/>
      <c r="P306" s="37">
        <v>117468</v>
      </c>
      <c r="Q306" s="36" t="str">
        <f>CONCATENATE(Cover!$D$6,"fdd/view?i=",P306)</f>
        <v>https://www.dgiwg.org/FAD/fdd/view?i=117468</v>
      </c>
      <c r="R306" s="13" t="s">
        <v>7464</v>
      </c>
      <c r="S306" s="172"/>
      <c r="T306" s="172"/>
      <c r="CE306" s="87" t="s">
        <v>1790</v>
      </c>
    </row>
    <row r="307" spans="1:106" ht="25.5" x14ac:dyDescent="0.2">
      <c r="A307" s="176" t="str">
        <f t="shared" si="8"/>
        <v>coLocationSharedRunway</v>
      </c>
      <c r="B307" s="11" t="s">
        <v>7469</v>
      </c>
      <c r="C307" s="173"/>
      <c r="D307" s="22" t="s">
        <v>7470</v>
      </c>
      <c r="E307" s="15" t="s">
        <v>7471</v>
      </c>
      <c r="F307" s="174"/>
      <c r="G307" s="174"/>
      <c r="H307" s="17" t="s">
        <v>5932</v>
      </c>
      <c r="I307" s="269"/>
      <c r="J307" s="369" t="str">
        <f>HYPERLINK("[#]Datatypes!B240:L240","Boolean")</f>
        <v>Boolean</v>
      </c>
      <c r="K307" s="276"/>
      <c r="L307" s="272"/>
      <c r="M307" s="272"/>
      <c r="N307" s="273"/>
      <c r="O307" s="269"/>
      <c r="P307" s="37">
        <v>117465</v>
      </c>
      <c r="Q307" s="36" t="str">
        <f>CONCATENATE(Cover!$D$6,"fdd/view?i=",P307)</f>
        <v>https://www.dgiwg.org/FAD/fdd/view?i=117465</v>
      </c>
      <c r="R307" s="13" t="s">
        <v>7468</v>
      </c>
      <c r="S307" s="172"/>
      <c r="T307" s="172"/>
      <c r="CE307" s="87" t="s">
        <v>1790</v>
      </c>
    </row>
    <row r="308" spans="1:106" ht="25.5" x14ac:dyDescent="0.2">
      <c r="A308" s="176" t="str">
        <f t="shared" si="8"/>
        <v>coLocationSharedTaxiway</v>
      </c>
      <c r="B308" s="11" t="s">
        <v>7473</v>
      </c>
      <c r="C308" s="173"/>
      <c r="D308" s="22" t="s">
        <v>7474</v>
      </c>
      <c r="E308" s="15" t="s">
        <v>7475</v>
      </c>
      <c r="F308" s="174"/>
      <c r="G308" s="174"/>
      <c r="H308" s="17" t="s">
        <v>5932</v>
      </c>
      <c r="I308" s="269"/>
      <c r="J308" s="369" t="str">
        <f>HYPERLINK("[#]Datatypes!B240:L240","Boolean")</f>
        <v>Boolean</v>
      </c>
      <c r="K308" s="276"/>
      <c r="L308" s="272"/>
      <c r="M308" s="272"/>
      <c r="N308" s="273"/>
      <c r="O308" s="269"/>
      <c r="P308" s="37">
        <v>117466</v>
      </c>
      <c r="Q308" s="36" t="str">
        <f>CONCATENATE(Cover!$D$6,"fdd/view?i=",P308)</f>
        <v>https://www.dgiwg.org/FAD/fdd/view?i=117466</v>
      </c>
      <c r="R308" s="13" t="s">
        <v>7472</v>
      </c>
      <c r="S308" s="172"/>
      <c r="T308" s="172"/>
      <c r="CE308" s="87" t="s">
        <v>1790</v>
      </c>
    </row>
    <row r="309" spans="1:106" ht="38.25" x14ac:dyDescent="0.2">
      <c r="A309" s="176" t="str">
        <f t="shared" si="8"/>
        <v>colourOfNavMarkDesc</v>
      </c>
      <c r="B309" s="11" t="s">
        <v>7477</v>
      </c>
      <c r="C309" s="173"/>
      <c r="D309" s="22" t="s">
        <v>7478</v>
      </c>
      <c r="E309" s="15" t="s">
        <v>7479</v>
      </c>
      <c r="F309" s="15" t="s">
        <v>7480</v>
      </c>
      <c r="G309" s="174"/>
      <c r="H309" s="17" t="s">
        <v>5932</v>
      </c>
      <c r="I309" s="269"/>
      <c r="J309" s="369" t="str">
        <f>HYPERLINK("[#]Datatypes!B1538:L1538","TextLex255")</f>
        <v>TextLex255</v>
      </c>
      <c r="K309" s="276"/>
      <c r="L309" s="272"/>
      <c r="M309" s="272"/>
      <c r="N309" s="273"/>
      <c r="O309" s="269"/>
      <c r="P309" s="37">
        <v>100729</v>
      </c>
      <c r="Q309" s="36" t="str">
        <f>CONCATENATE(Cover!$D$6,"fdd/view?i=",P309)</f>
        <v>https://www.dgiwg.org/FAD/fdd/view?i=100729</v>
      </c>
      <c r="R309" s="13" t="s">
        <v>7476</v>
      </c>
      <c r="S309" s="172"/>
      <c r="T309" s="172"/>
      <c r="AS309" s="82" t="s">
        <v>1790</v>
      </c>
      <c r="BF309" s="83" t="s">
        <v>1790</v>
      </c>
      <c r="CS309" s="165" t="s">
        <v>1790</v>
      </c>
    </row>
    <row r="310" spans="1:106" ht="38.25" x14ac:dyDescent="0.2">
      <c r="A310" s="176" t="str">
        <f t="shared" si="8"/>
        <v>colourPattern</v>
      </c>
      <c r="B310" s="11" t="s">
        <v>7482</v>
      </c>
      <c r="C310" s="173"/>
      <c r="D310" s="22" t="s">
        <v>7483</v>
      </c>
      <c r="E310" s="15" t="s">
        <v>7484</v>
      </c>
      <c r="F310" s="15" t="s">
        <v>7485</v>
      </c>
      <c r="G310" s="174"/>
      <c r="H310" s="17" t="s">
        <v>5932</v>
      </c>
      <c r="I310" s="269"/>
      <c r="J310" s="369" t="str">
        <f>HYPERLINK("[#]Datatypes!B328:L328","CptCode")</f>
        <v>CptCode</v>
      </c>
      <c r="K310" s="276"/>
      <c r="L310" s="272"/>
      <c r="M310" s="272"/>
      <c r="N310" s="248" t="str">
        <f>HYPERLINK("[#]DatatypeListedValues!A2452:H2452","&lt;values&gt;")</f>
        <v>&lt;values&gt;</v>
      </c>
      <c r="O310" s="277" t="b">
        <v>0</v>
      </c>
      <c r="P310" s="37">
        <v>110823</v>
      </c>
      <c r="Q310" s="36" t="str">
        <f>CONCATENATE(Cover!$D$6,"fdd/view?i=",P310)</f>
        <v>https://www.dgiwg.org/FAD/fdd/view?i=110823</v>
      </c>
      <c r="R310" s="13" t="s">
        <v>7481</v>
      </c>
      <c r="S310" s="172"/>
      <c r="T310" s="172"/>
      <c r="AS310" s="82" t="s">
        <v>1790</v>
      </c>
      <c r="AT310" s="82" t="s">
        <v>1790</v>
      </c>
      <c r="BF310" s="83" t="s">
        <v>1790</v>
      </c>
      <c r="CE310" s="87" t="s">
        <v>1790</v>
      </c>
      <c r="CS310" s="165" t="s">
        <v>1790</v>
      </c>
    </row>
    <row r="311" spans="1:106" ht="102" x14ac:dyDescent="0.2">
      <c r="A311" s="176" t="str">
        <f t="shared" si="8"/>
        <v>commercialCopyrightNotice</v>
      </c>
      <c r="B311" s="11" t="s">
        <v>7489</v>
      </c>
      <c r="C311" s="173"/>
      <c r="D311" s="22" t="s">
        <v>7490</v>
      </c>
      <c r="E311" s="15" t="s">
        <v>7491</v>
      </c>
      <c r="F311" s="15" t="s">
        <v>7492</v>
      </c>
      <c r="G311" s="174"/>
      <c r="H311" s="17" t="s">
        <v>5932</v>
      </c>
      <c r="I311" s="269"/>
      <c r="J311" s="369" t="str">
        <f>HYPERLINK("[#]Datatypes!B1538:L1538","TextLex255")</f>
        <v>TextLex255</v>
      </c>
      <c r="K311" s="276"/>
      <c r="L311" s="272"/>
      <c r="M311" s="272"/>
      <c r="N311" s="273"/>
      <c r="O311" s="269"/>
      <c r="P311" s="37">
        <v>109939</v>
      </c>
      <c r="Q311" s="36" t="str">
        <f>CONCATENATE(Cover!$D$6,"fdd/view?i=",P311)</f>
        <v>https://www.dgiwg.org/FAD/fdd/view?i=109939</v>
      </c>
      <c r="R311" s="13" t="s">
        <v>7487</v>
      </c>
      <c r="S311" s="172"/>
      <c r="T311" s="13" t="s">
        <v>7488</v>
      </c>
      <c r="DB311" s="166" t="s">
        <v>1790</v>
      </c>
    </row>
    <row r="312" spans="1:106" ht="140.25" x14ac:dyDescent="0.2">
      <c r="A312" s="176" t="str">
        <f t="shared" si="8"/>
        <v>commercialDistribRestrict</v>
      </c>
      <c r="B312" s="11" t="s">
        <v>7495</v>
      </c>
      <c r="C312" s="173"/>
      <c r="D312" s="22" t="s">
        <v>7496</v>
      </c>
      <c r="E312" s="15" t="s">
        <v>7497</v>
      </c>
      <c r="F312" s="15" t="s">
        <v>7498</v>
      </c>
      <c r="G312" s="174"/>
      <c r="H312" s="17" t="s">
        <v>5932</v>
      </c>
      <c r="I312" s="269"/>
      <c r="J312" s="369" t="str">
        <f>HYPERLINK("[#]Datatypes!B1538:L1538","TextLex255")</f>
        <v>TextLex255</v>
      </c>
      <c r="K312" s="276"/>
      <c r="L312" s="272"/>
      <c r="M312" s="272"/>
      <c r="N312" s="273"/>
      <c r="O312" s="269"/>
      <c r="P312" s="37">
        <v>109940</v>
      </c>
      <c r="Q312" s="36" t="str">
        <f>CONCATENATE(Cover!$D$6,"fdd/view?i=",P312)</f>
        <v>https://www.dgiwg.org/FAD/fdd/view?i=109940</v>
      </c>
      <c r="R312" s="13" t="s">
        <v>7493</v>
      </c>
      <c r="S312" s="172"/>
      <c r="T312" s="13" t="s">
        <v>7494</v>
      </c>
      <c r="DB312" s="166" t="s">
        <v>1790</v>
      </c>
    </row>
    <row r="313" spans="1:106" x14ac:dyDescent="0.2">
      <c r="A313" s="176" t="str">
        <f t="shared" si="8"/>
        <v>commercialFacilityType</v>
      </c>
      <c r="B313" s="11" t="s">
        <v>7500</v>
      </c>
      <c r="C313" s="173"/>
      <c r="D313" s="22" t="s">
        <v>7501</v>
      </c>
      <c r="E313" s="15" t="s">
        <v>7502</v>
      </c>
      <c r="F313" s="174"/>
      <c r="G313" s="174"/>
      <c r="H313" s="17" t="s">
        <v>5932</v>
      </c>
      <c r="I313" s="269"/>
      <c r="J313" s="369" t="str">
        <f>HYPERLINK("[#]Datatypes!B330:L330","CitCode")</f>
        <v>CitCode</v>
      </c>
      <c r="K313" s="276"/>
      <c r="L313" s="272"/>
      <c r="M313" s="272"/>
      <c r="N313" s="248" t="str">
        <f>HYPERLINK("[#]DatatypeListedValues!A2459:H2459","&lt;values&gt;")</f>
        <v>&lt;values&gt;</v>
      </c>
      <c r="O313" s="277" t="b">
        <v>0</v>
      </c>
      <c r="P313" s="37">
        <v>109941</v>
      </c>
      <c r="Q313" s="36" t="str">
        <f>CONCATENATE(Cover!$D$6,"fdd/view?i=",P313)</f>
        <v>https://www.dgiwg.org/FAD/fdd/view?i=109941</v>
      </c>
      <c r="R313" s="13" t="s">
        <v>7499</v>
      </c>
      <c r="S313" s="172"/>
      <c r="T313" s="172"/>
      <c r="AK313" s="83" t="s">
        <v>1790</v>
      </c>
      <c r="CT313" s="166" t="s">
        <v>1790</v>
      </c>
    </row>
    <row r="314" spans="1:106" x14ac:dyDescent="0.2">
      <c r="A314" s="176" t="str">
        <f t="shared" si="8"/>
        <v>commissionedStatus</v>
      </c>
      <c r="B314" s="11" t="s">
        <v>7505</v>
      </c>
      <c r="C314" s="173"/>
      <c r="D314" s="22" t="s">
        <v>7506</v>
      </c>
      <c r="E314" s="15" t="s">
        <v>7507</v>
      </c>
      <c r="F314" s="174"/>
      <c r="G314" s="174"/>
      <c r="H314" s="17" t="s">
        <v>5932</v>
      </c>
      <c r="I314" s="269"/>
      <c r="J314" s="369" t="str">
        <f>HYPERLINK("[#]Datatypes!B332:L332","CmsCode")</f>
        <v>CmsCode</v>
      </c>
      <c r="K314" s="276"/>
      <c r="L314" s="272"/>
      <c r="M314" s="272"/>
      <c r="N314" s="248" t="str">
        <f>HYPERLINK("[#]DatatypeListedValues!A2475:H2475","&lt;values&gt;")</f>
        <v>&lt;values&gt;</v>
      </c>
      <c r="O314" s="277" t="b">
        <v>0</v>
      </c>
      <c r="P314" s="37">
        <v>100747</v>
      </c>
      <c r="Q314" s="36" t="str">
        <f>CONCATENATE(Cover!$D$6,"fdd/view?i=",P314)</f>
        <v>https://www.dgiwg.org/FAD/fdd/view?i=100747</v>
      </c>
      <c r="R314" s="13" t="s">
        <v>7504</v>
      </c>
      <c r="S314" s="172"/>
      <c r="T314" s="172"/>
      <c r="CT314" s="166" t="s">
        <v>1790</v>
      </c>
    </row>
    <row r="315" spans="1:106" ht="38.25" x14ac:dyDescent="0.2">
      <c r="A315" s="176" t="str">
        <f t="shared" si="8"/>
        <v>commonLanguage</v>
      </c>
      <c r="B315" s="11" t="s">
        <v>7510</v>
      </c>
      <c r="C315" s="173"/>
      <c r="D315" s="22" t="s">
        <v>7511</v>
      </c>
      <c r="E315" s="15" t="s">
        <v>7512</v>
      </c>
      <c r="F315" s="174"/>
      <c r="G315" s="15" t="s">
        <v>7513</v>
      </c>
      <c r="H315" s="17" t="s">
        <v>5932</v>
      </c>
      <c r="I315" s="269"/>
      <c r="J315" s="369" t="str">
        <f>HYPERLINK("[#]Datatypes!B1544:L1544","TextLexUnconstrained")</f>
        <v>TextLexUnconstrained</v>
      </c>
      <c r="K315" s="276"/>
      <c r="L315" s="272"/>
      <c r="M315" s="272"/>
      <c r="N315" s="273"/>
      <c r="O315" s="269"/>
      <c r="P315" s="37">
        <v>111748</v>
      </c>
      <c r="Q315" s="36" t="str">
        <f>CONCATENATE(Cover!$D$6,"fdd/view?i=",P315)</f>
        <v>https://www.dgiwg.org/FAD/fdd/view?i=111748</v>
      </c>
      <c r="R315" s="13" t="s">
        <v>7509</v>
      </c>
      <c r="S315" s="172"/>
      <c r="T315" s="172"/>
      <c r="AM315" s="83" t="s">
        <v>1790</v>
      </c>
      <c r="AO315" s="89" t="s">
        <v>1790</v>
      </c>
      <c r="CU315" s="87" t="s">
        <v>1790</v>
      </c>
    </row>
    <row r="316" spans="1:106" ht="25.5" x14ac:dyDescent="0.2">
      <c r="A316" s="176" t="str">
        <f t="shared" si="8"/>
        <v>communicationChannel</v>
      </c>
      <c r="B316" s="11" t="s">
        <v>7515</v>
      </c>
      <c r="C316" s="173"/>
      <c r="D316" s="22" t="s">
        <v>7516</v>
      </c>
      <c r="E316" s="15" t="s">
        <v>7517</v>
      </c>
      <c r="F316" s="174"/>
      <c r="G316" s="174"/>
      <c r="H316" s="17" t="s">
        <v>5932</v>
      </c>
      <c r="I316" s="269"/>
      <c r="J316" s="369" t="str">
        <f>HYPERLINK("[#]Datatypes!B334:L334","CmcStrucText")</f>
        <v>CmcStrucText</v>
      </c>
      <c r="K316" s="276"/>
      <c r="L316" s="272"/>
      <c r="M316" s="272"/>
      <c r="N316" s="273"/>
      <c r="O316" s="269"/>
      <c r="P316" s="37">
        <v>119181</v>
      </c>
      <c r="Q316" s="36" t="str">
        <f>CONCATENATE(Cover!$D$6,"fdd/view?i=",P316)</f>
        <v>https://www.dgiwg.org/FAD/fdd/view?i=119181</v>
      </c>
      <c r="R316" s="13" t="s">
        <v>7514</v>
      </c>
      <c r="S316" s="172"/>
      <c r="T316" s="172"/>
      <c r="AE316" s="82" t="s">
        <v>1790</v>
      </c>
      <c r="CV316" s="83" t="s">
        <v>1790</v>
      </c>
    </row>
    <row r="317" spans="1:106" ht="25.5" x14ac:dyDescent="0.2">
      <c r="A317" s="176" t="str">
        <f t="shared" si="8"/>
        <v>communicationFacilityType</v>
      </c>
      <c r="B317" s="11" t="s">
        <v>7520</v>
      </c>
      <c r="C317" s="173"/>
      <c r="D317" s="22" t="s">
        <v>7521</v>
      </c>
      <c r="E317" s="15" t="s">
        <v>7522</v>
      </c>
      <c r="F317" s="174"/>
      <c r="G317" s="174"/>
      <c r="H317" s="17" t="s">
        <v>5932</v>
      </c>
      <c r="I317" s="269"/>
      <c r="J317" s="369" t="str">
        <f>HYPERLINK("[#]Datatypes!B336:L336","CusCode")</f>
        <v>CusCode</v>
      </c>
      <c r="K317" s="276"/>
      <c r="L317" s="272"/>
      <c r="M317" s="272"/>
      <c r="N317" s="248" t="str">
        <f>HYPERLINK("[#]DatatypeListedValues!A2481:H2481","&lt;values&gt;")</f>
        <v>&lt;values&gt;</v>
      </c>
      <c r="O317" s="277" t="b">
        <v>0</v>
      </c>
      <c r="P317" s="37">
        <v>109915</v>
      </c>
      <c r="Q317" s="36" t="str">
        <f>CONCATENATE(Cover!$D$6,"fdd/view?i=",P317)</f>
        <v>https://www.dgiwg.org/FAD/fdd/view?i=109915</v>
      </c>
      <c r="R317" s="13" t="s">
        <v>7519</v>
      </c>
      <c r="S317" s="172"/>
      <c r="T317" s="172"/>
      <c r="AE317" s="82" t="s">
        <v>1790</v>
      </c>
      <c r="AI317" s="87" t="s">
        <v>1790</v>
      </c>
      <c r="CT317" s="166" t="s">
        <v>1790</v>
      </c>
    </row>
    <row r="318" spans="1:106" ht="25.5" x14ac:dyDescent="0.2">
      <c r="A318" s="176" t="str">
        <f t="shared" si="8"/>
        <v>commFailureProcedure</v>
      </c>
      <c r="B318" s="11" t="s">
        <v>7525</v>
      </c>
      <c r="C318" s="173"/>
      <c r="D318" s="22" t="s">
        <v>7526</v>
      </c>
      <c r="E318" s="15" t="s">
        <v>7527</v>
      </c>
      <c r="F318" s="174"/>
      <c r="G318" s="15" t="s">
        <v>7528</v>
      </c>
      <c r="H318" s="17" t="s">
        <v>5932</v>
      </c>
      <c r="I318" s="269"/>
      <c r="J318" s="369" t="str">
        <f>HYPERLINK("[#]Datatypes!B1562:L1562","TextNonLexUnconstrained")</f>
        <v>TextNonLexUnconstrained</v>
      </c>
      <c r="K318" s="276"/>
      <c r="L318" s="272"/>
      <c r="M318" s="272"/>
      <c r="N318" s="273"/>
      <c r="O318" s="269"/>
      <c r="P318" s="37">
        <v>117569</v>
      </c>
      <c r="Q318" s="36" t="str">
        <f>CONCATENATE(Cover!$D$6,"fdd/view?i=",P318)</f>
        <v>https://www.dgiwg.org/FAD/fdd/view?i=117569</v>
      </c>
      <c r="R318" s="13" t="s">
        <v>7524</v>
      </c>
      <c r="S318" s="172"/>
      <c r="T318" s="172"/>
      <c r="CF318" s="83" t="s">
        <v>1790</v>
      </c>
      <c r="CI318" s="89" t="s">
        <v>1790</v>
      </c>
    </row>
    <row r="319" spans="1:106" x14ac:dyDescent="0.2">
      <c r="A319" s="176" t="str">
        <f t="shared" si="8"/>
        <v>compilationDate</v>
      </c>
      <c r="B319" s="11" t="s">
        <v>7530</v>
      </c>
      <c r="C319" s="173"/>
      <c r="D319" s="22" t="s">
        <v>7531</v>
      </c>
      <c r="E319" s="15" t="s">
        <v>7532</v>
      </c>
      <c r="F319" s="174"/>
      <c r="G319" s="174"/>
      <c r="H319" s="17" t="s">
        <v>5932</v>
      </c>
      <c r="I319" s="269"/>
      <c r="J319" s="369" t="str">
        <f>HYPERLINK("[#]Datatypes!B338:L338","McdStrucText")</f>
        <v>McdStrucText</v>
      </c>
      <c r="K319" s="276"/>
      <c r="L319" s="272"/>
      <c r="M319" s="272"/>
      <c r="N319" s="273"/>
      <c r="O319" s="269"/>
      <c r="P319" s="37">
        <v>101032</v>
      </c>
      <c r="Q319" s="36" t="str">
        <f>CONCATENATE(Cover!$D$6,"fdd/view?i=",P319)</f>
        <v>https://www.dgiwg.org/FAD/fdd/view?i=101032</v>
      </c>
      <c r="R319" s="13" t="s">
        <v>7529</v>
      </c>
      <c r="S319" s="172"/>
      <c r="T319" s="172"/>
      <c r="CY319" s="165" t="s">
        <v>1790</v>
      </c>
    </row>
    <row r="320" spans="1:106" ht="63.75" x14ac:dyDescent="0.2">
      <c r="A320" s="176" t="str">
        <f t="shared" si="8"/>
        <v>componentFeatureCount</v>
      </c>
      <c r="B320" s="11" t="s">
        <v>7535</v>
      </c>
      <c r="C320" s="173"/>
      <c r="D320" s="22" t="s">
        <v>7536</v>
      </c>
      <c r="E320" s="15" t="s">
        <v>7537</v>
      </c>
      <c r="F320" s="15" t="s">
        <v>7538</v>
      </c>
      <c r="G320" s="174"/>
      <c r="H320" s="17" t="s">
        <v>5932</v>
      </c>
      <c r="I320" s="269"/>
      <c r="J320" s="369" t="str">
        <f>HYPERLINK("[#]Datatypes!B380:L380","Count")</f>
        <v>Count</v>
      </c>
      <c r="K320" s="276"/>
      <c r="L320" s="272"/>
      <c r="M320" s="272"/>
      <c r="N320" s="273"/>
      <c r="O320" s="269"/>
      <c r="P320" s="37">
        <v>111492</v>
      </c>
      <c r="Q320" s="36" t="str">
        <f>CONCATENATE(Cover!$D$6,"fdd/view?i=",P320)</f>
        <v>https://www.dgiwg.org/FAD/fdd/view?i=111492</v>
      </c>
      <c r="R320" s="13" t="s">
        <v>7534</v>
      </c>
      <c r="S320" s="172"/>
      <c r="T320" s="172"/>
      <c r="CQ320" s="165" t="s">
        <v>1790</v>
      </c>
      <c r="CS320" s="165" t="s">
        <v>1790</v>
      </c>
    </row>
    <row r="321" spans="1:100" ht="38.25" x14ac:dyDescent="0.2">
      <c r="A321" s="176" t="str">
        <f t="shared" si="8"/>
        <v>conditionOfFacility</v>
      </c>
      <c r="B321" s="11" t="s">
        <v>7540</v>
      </c>
      <c r="C321" s="173"/>
      <c r="D321" s="22" t="s">
        <v>7541</v>
      </c>
      <c r="E321" s="15" t="s">
        <v>7542</v>
      </c>
      <c r="F321" s="174"/>
      <c r="G321" s="174"/>
      <c r="H321" s="17" t="s">
        <v>5932</v>
      </c>
      <c r="I321" s="269"/>
      <c r="J321" s="369" t="str">
        <f>HYPERLINK("[#]Datatypes!B340:L340","FunCode")</f>
        <v>FunCode</v>
      </c>
      <c r="K321" s="276"/>
      <c r="L321" s="272"/>
      <c r="M321" s="272"/>
      <c r="N321" s="248" t="str">
        <f>HYPERLINK("[#]DatatypeListedValues!A2493:H2493","&lt;values&gt;")</f>
        <v>&lt;values&gt;</v>
      </c>
      <c r="O321" s="277" t="b">
        <v>0</v>
      </c>
      <c r="P321" s="37">
        <v>103234</v>
      </c>
      <c r="Q321" s="36" t="str">
        <f>CONCATENATE(Cover!$D$6,"fdd/view?i=",P321)</f>
        <v>https://www.dgiwg.org/FAD/fdd/view?i=103234</v>
      </c>
      <c r="R321" s="13" t="s">
        <v>7539</v>
      </c>
      <c r="S321" s="172"/>
      <c r="T321" s="172"/>
      <c r="CT321" s="166" t="s">
        <v>1790</v>
      </c>
    </row>
    <row r="322" spans="1:100" ht="89.25" x14ac:dyDescent="0.2">
      <c r="A322" s="176" t="str">
        <f t="shared" si="8"/>
        <v>confined</v>
      </c>
      <c r="B322" s="11" t="s">
        <v>7545</v>
      </c>
      <c r="C322" s="173"/>
      <c r="D322" s="22" t="s">
        <v>7546</v>
      </c>
      <c r="E322" s="15" t="s">
        <v>7547</v>
      </c>
      <c r="F322" s="15" t="s">
        <v>7548</v>
      </c>
      <c r="G322" s="174"/>
      <c r="H322" s="17" t="s">
        <v>5932</v>
      </c>
      <c r="I322" s="269"/>
      <c r="J322" s="369" t="str">
        <f>HYPERLINK("[#]Datatypes!B240:L240","Boolean")</f>
        <v>Boolean</v>
      </c>
      <c r="K322" s="276"/>
      <c r="L322" s="272"/>
      <c r="M322" s="272"/>
      <c r="N322" s="273"/>
      <c r="O322" s="269"/>
      <c r="P322" s="37">
        <v>119601</v>
      </c>
      <c r="Q322" s="36" t="str">
        <f>CONCATENATE(Cover!$D$6,"fdd/view?i=",P322)</f>
        <v>https://www.dgiwg.org/FAD/fdd/view?i=119601</v>
      </c>
      <c r="R322" s="13" t="s">
        <v>7544</v>
      </c>
      <c r="S322" s="172"/>
      <c r="T322" s="172"/>
      <c r="BN322" s="82" t="s">
        <v>1790</v>
      </c>
      <c r="BO322" s="82" t="s">
        <v>1790</v>
      </c>
      <c r="BP322" s="82" t="s">
        <v>1790</v>
      </c>
    </row>
    <row r="323" spans="1:100" x14ac:dyDescent="0.2">
      <c r="A323" s="176" t="str">
        <f t="shared" ref="A323:A386" si="9">HYPERLINK(Q323,R323)</f>
        <v>conflictBasis</v>
      </c>
      <c r="B323" s="11" t="s">
        <v>7550</v>
      </c>
      <c r="C323" s="173"/>
      <c r="D323" s="22" t="s">
        <v>7551</v>
      </c>
      <c r="E323" s="15" t="s">
        <v>7552</v>
      </c>
      <c r="F323" s="174"/>
      <c r="G323" s="174"/>
      <c r="H323" s="17" t="s">
        <v>5932</v>
      </c>
      <c r="I323" s="17" t="s">
        <v>6029</v>
      </c>
      <c r="J323" s="369" t="str">
        <f>HYPERLINK("[#]Datatypes!B342:L342","CfuCode")</f>
        <v>CfuCode</v>
      </c>
      <c r="K323" s="276"/>
      <c r="L323" s="272"/>
      <c r="M323" s="272"/>
      <c r="N323" s="248" t="str">
        <f>HYPERLINK("[#]DatatypeListedValues!A2506:H2506","&lt;values&gt;")</f>
        <v>&lt;values&gt;</v>
      </c>
      <c r="O323" s="277" t="b">
        <v>0</v>
      </c>
      <c r="P323" s="37">
        <v>111494</v>
      </c>
      <c r="Q323" s="36" t="str">
        <f>CONCATENATE(Cover!$D$6,"fdd/view?i=",P323)</f>
        <v>https://www.dgiwg.org/FAD/fdd/view?i=111494</v>
      </c>
      <c r="R323" s="13" t="s">
        <v>7549</v>
      </c>
      <c r="S323" s="172"/>
      <c r="T323" s="172"/>
      <c r="AM323" s="83" t="s">
        <v>1790</v>
      </c>
      <c r="CK323" s="82" t="s">
        <v>1790</v>
      </c>
      <c r="CL323" s="85" t="s">
        <v>1790</v>
      </c>
      <c r="CT323" s="166" t="s">
        <v>1790</v>
      </c>
    </row>
    <row r="324" spans="1:100" x14ac:dyDescent="0.2">
      <c r="A324" s="176" t="str">
        <f t="shared" si="9"/>
        <v>conflictEndDate</v>
      </c>
      <c r="B324" s="11" t="s">
        <v>7555</v>
      </c>
      <c r="C324" s="173"/>
      <c r="D324" s="22" t="s">
        <v>7556</v>
      </c>
      <c r="E324" s="15" t="s">
        <v>7557</v>
      </c>
      <c r="F324" s="174"/>
      <c r="G324" s="174"/>
      <c r="H324" s="17" t="s">
        <v>5932</v>
      </c>
      <c r="I324" s="269"/>
      <c r="J324" s="369" t="str">
        <f>HYPERLINK("[#]Datatypes!B344:L344","CfgStrucText")</f>
        <v>CfgStrucText</v>
      </c>
      <c r="K324" s="276"/>
      <c r="L324" s="272"/>
      <c r="M324" s="272"/>
      <c r="N324" s="273"/>
      <c r="O324" s="269"/>
      <c r="P324" s="37">
        <v>118134</v>
      </c>
      <c r="Q324" s="36" t="str">
        <f>CONCATENATE(Cover!$D$6,"fdd/view?i=",P324)</f>
        <v>https://www.dgiwg.org/FAD/fdd/view?i=118134</v>
      </c>
      <c r="R324" s="13" t="s">
        <v>7554</v>
      </c>
      <c r="S324" s="172"/>
      <c r="T324" s="172"/>
      <c r="AM324" s="83" t="s">
        <v>1790</v>
      </c>
      <c r="CR324" s="165" t="s">
        <v>1790</v>
      </c>
    </row>
    <row r="325" spans="1:100" x14ac:dyDescent="0.2">
      <c r="A325" s="176" t="str">
        <f t="shared" si="9"/>
        <v>conflictParty</v>
      </c>
      <c r="B325" s="11" t="s">
        <v>7560</v>
      </c>
      <c r="C325" s="173"/>
      <c r="D325" s="22" t="s">
        <v>7561</v>
      </c>
      <c r="E325" s="15" t="s">
        <v>7562</v>
      </c>
      <c r="F325" s="174"/>
      <c r="G325" s="174"/>
      <c r="H325" s="17" t="s">
        <v>5932</v>
      </c>
      <c r="I325" s="269"/>
      <c r="J325" s="369" t="str">
        <f>HYPERLINK("[#]Datatypes!B1544:L1544","TextLexUnconstrained")</f>
        <v>TextLexUnconstrained</v>
      </c>
      <c r="K325" s="276"/>
      <c r="L325" s="272"/>
      <c r="M325" s="272"/>
      <c r="N325" s="273"/>
      <c r="O325" s="269"/>
      <c r="P325" s="37">
        <v>111493</v>
      </c>
      <c r="Q325" s="36" t="str">
        <f>CONCATENATE(Cover!$D$6,"fdd/view?i=",P325)</f>
        <v>https://www.dgiwg.org/FAD/fdd/view?i=111493</v>
      </c>
      <c r="R325" s="13" t="s">
        <v>7559</v>
      </c>
      <c r="S325" s="172"/>
      <c r="T325" s="172"/>
      <c r="AM325" s="83" t="s">
        <v>1790</v>
      </c>
      <c r="AO325" s="89" t="s">
        <v>1790</v>
      </c>
      <c r="CU325" s="87" t="s">
        <v>1790</v>
      </c>
    </row>
    <row r="326" spans="1:100" x14ac:dyDescent="0.2">
      <c r="A326" s="176" t="str">
        <f t="shared" si="9"/>
        <v>conflictStartDate</v>
      </c>
      <c r="B326" s="11" t="s">
        <v>7564</v>
      </c>
      <c r="C326" s="173"/>
      <c r="D326" s="22" t="s">
        <v>7565</v>
      </c>
      <c r="E326" s="15" t="s">
        <v>7566</v>
      </c>
      <c r="F326" s="174"/>
      <c r="G326" s="174"/>
      <c r="H326" s="17" t="s">
        <v>5932</v>
      </c>
      <c r="I326" s="269"/>
      <c r="J326" s="369" t="str">
        <f>HYPERLINK("[#]Datatypes!B346:L346","CfbStrucText")</f>
        <v>CfbStrucText</v>
      </c>
      <c r="K326" s="276"/>
      <c r="L326" s="272"/>
      <c r="M326" s="272"/>
      <c r="N326" s="273"/>
      <c r="O326" s="269"/>
      <c r="P326" s="37">
        <v>111491</v>
      </c>
      <c r="Q326" s="36" t="str">
        <f>CONCATENATE(Cover!$D$6,"fdd/view?i=",P326)</f>
        <v>https://www.dgiwg.org/FAD/fdd/view?i=111491</v>
      </c>
      <c r="R326" s="13" t="s">
        <v>7563</v>
      </c>
      <c r="S326" s="172"/>
      <c r="T326" s="172"/>
      <c r="AM326" s="83" t="s">
        <v>1790</v>
      </c>
      <c r="CR326" s="165" t="s">
        <v>1790</v>
      </c>
    </row>
    <row r="327" spans="1:100" ht="63.75" x14ac:dyDescent="0.2">
      <c r="A327" s="176" t="str">
        <f t="shared" si="9"/>
        <v>conservAreaManageBoundCat</v>
      </c>
      <c r="B327" s="11" t="s">
        <v>7569</v>
      </c>
      <c r="C327" s="173"/>
      <c r="D327" s="22" t="s">
        <v>7570</v>
      </c>
      <c r="E327" s="15" t="s">
        <v>7571</v>
      </c>
      <c r="F327" s="174"/>
      <c r="G327" s="174"/>
      <c r="H327" s="17" t="s">
        <v>5932</v>
      </c>
      <c r="I327" s="269"/>
      <c r="J327" s="369" t="str">
        <f>HYPERLINK("[#]Datatypes!B348:L348","CmbCode")</f>
        <v>CmbCode</v>
      </c>
      <c r="K327" s="276"/>
      <c r="L327" s="272"/>
      <c r="M327" s="272"/>
      <c r="N327" s="248" t="str">
        <f>HYPERLINK("[#]DatatypeListedValues!A2513:H2513","&lt;values&gt;")</f>
        <v>&lt;values&gt;</v>
      </c>
      <c r="O327" s="277" t="b">
        <v>0</v>
      </c>
      <c r="P327" s="37">
        <v>111501</v>
      </c>
      <c r="Q327" s="36" t="str">
        <f>CONCATENATE(Cover!$D$6,"fdd/view?i=",P327)</f>
        <v>https://www.dgiwg.org/FAD/fdd/view?i=111501</v>
      </c>
      <c r="R327" s="13" t="s">
        <v>7568</v>
      </c>
      <c r="S327" s="172"/>
      <c r="T327" s="172"/>
      <c r="BZ327" s="83" t="s">
        <v>1790</v>
      </c>
      <c r="CC327" s="81" t="s">
        <v>1790</v>
      </c>
    </row>
    <row r="328" spans="1:100" ht="51" x14ac:dyDescent="0.2">
      <c r="A328" s="176" t="str">
        <f t="shared" si="9"/>
        <v>conservationAreaManageCat</v>
      </c>
      <c r="B328" s="11" t="s">
        <v>7574</v>
      </c>
      <c r="C328" s="173"/>
      <c r="D328" s="22" t="s">
        <v>7575</v>
      </c>
      <c r="E328" s="15" t="s">
        <v>7576</v>
      </c>
      <c r="F328" s="174"/>
      <c r="G328" s="15" t="s">
        <v>7577</v>
      </c>
      <c r="H328" s="17" t="s">
        <v>5932</v>
      </c>
      <c r="I328" s="269"/>
      <c r="J328" s="369" t="str">
        <f>HYPERLINK("[#]Datatypes!B350:L350","CamCode")</f>
        <v>CamCode</v>
      </c>
      <c r="K328" s="276"/>
      <c r="L328" s="272"/>
      <c r="M328" s="272"/>
      <c r="N328" s="248" t="str">
        <f>HYPERLINK("[#]DatatypeListedValues!A2522:H2522","&lt;values&gt;")</f>
        <v>&lt;values&gt;</v>
      </c>
      <c r="O328" s="277" t="b">
        <v>0</v>
      </c>
      <c r="P328" s="37">
        <v>111299</v>
      </c>
      <c r="Q328" s="36" t="str">
        <f>CONCATENATE(Cover!$D$6,"fdd/view?i=",P328)</f>
        <v>https://www.dgiwg.org/FAD/fdd/view?i=111299</v>
      </c>
      <c r="R328" s="13" t="s">
        <v>7573</v>
      </c>
      <c r="S328" s="172"/>
      <c r="T328" s="172"/>
      <c r="BZ328" s="83" t="s">
        <v>1790</v>
      </c>
      <c r="CC328" s="81" t="s">
        <v>1790</v>
      </c>
    </row>
    <row r="329" spans="1:100" ht="51" x14ac:dyDescent="0.2">
      <c r="A329" s="176" t="str">
        <f t="shared" si="9"/>
        <v>conspicuousAirCategory</v>
      </c>
      <c r="B329" s="11" t="s">
        <v>7580</v>
      </c>
      <c r="C329" s="173"/>
      <c r="D329" s="22" t="s">
        <v>7581</v>
      </c>
      <c r="E329" s="15" t="s">
        <v>7582</v>
      </c>
      <c r="F329" s="15" t="s">
        <v>7583</v>
      </c>
      <c r="G329" s="174"/>
      <c r="H329" s="17" t="s">
        <v>5932</v>
      </c>
      <c r="I329" s="269"/>
      <c r="J329" s="369" t="str">
        <f>HYPERLINK("[#]Datatypes!B352:L352","CoaCode")</f>
        <v>CoaCode</v>
      </c>
      <c r="K329" s="276"/>
      <c r="L329" s="272"/>
      <c r="M329" s="272"/>
      <c r="N329" s="248" t="str">
        <f>HYPERLINK("[#]DatatypeListedValues!A2533:H2533","&lt;values&gt;")</f>
        <v>&lt;values&gt;</v>
      </c>
      <c r="O329" s="277" t="b">
        <v>0</v>
      </c>
      <c r="P329" s="37">
        <v>103229</v>
      </c>
      <c r="Q329" s="36" t="str">
        <f>CONCATENATE(Cover!$D$6,"fdd/view?i=",P329)</f>
        <v>https://www.dgiwg.org/FAD/fdd/view?i=103229</v>
      </c>
      <c r="R329" s="13" t="s">
        <v>7579</v>
      </c>
      <c r="S329" s="172"/>
      <c r="T329" s="172"/>
      <c r="CS329" s="165" t="s">
        <v>1790</v>
      </c>
    </row>
    <row r="330" spans="1:100" ht="51" x14ac:dyDescent="0.2">
      <c r="A330" s="176" t="str">
        <f t="shared" si="9"/>
        <v>conspicuousGroundCategory</v>
      </c>
      <c r="B330" s="11" t="s">
        <v>7586</v>
      </c>
      <c r="C330" s="173"/>
      <c r="D330" s="22" t="s">
        <v>7587</v>
      </c>
      <c r="E330" s="15" t="s">
        <v>7588</v>
      </c>
      <c r="F330" s="15" t="s">
        <v>7583</v>
      </c>
      <c r="G330" s="174"/>
      <c r="H330" s="17" t="s">
        <v>5932</v>
      </c>
      <c r="I330" s="269"/>
      <c r="J330" s="369" t="str">
        <f>HYPERLINK("[#]Datatypes!B354:L354","CogCode")</f>
        <v>CogCode</v>
      </c>
      <c r="K330" s="276"/>
      <c r="L330" s="272"/>
      <c r="M330" s="272"/>
      <c r="N330" s="248" t="str">
        <f>HYPERLINK("[#]DatatypeListedValues!A2537:H2537","&lt;values&gt;")</f>
        <v>&lt;values&gt;</v>
      </c>
      <c r="O330" s="277" t="b">
        <v>0</v>
      </c>
      <c r="P330" s="37">
        <v>103227</v>
      </c>
      <c r="Q330" s="36" t="str">
        <f>CONCATENATE(Cover!$D$6,"fdd/view?i=",P330)</f>
        <v>https://www.dgiwg.org/FAD/fdd/view?i=103227</v>
      </c>
      <c r="R330" s="13" t="s">
        <v>7585</v>
      </c>
      <c r="S330" s="172"/>
      <c r="T330" s="172"/>
      <c r="CS330" s="165" t="s">
        <v>1790</v>
      </c>
    </row>
    <row r="331" spans="1:100" ht="51" x14ac:dyDescent="0.2">
      <c r="A331" s="176" t="str">
        <f t="shared" si="9"/>
        <v>conspicuousSeaCategory</v>
      </c>
      <c r="B331" s="11" t="s">
        <v>7591</v>
      </c>
      <c r="C331" s="173"/>
      <c r="D331" s="22" t="s">
        <v>7592</v>
      </c>
      <c r="E331" s="15" t="s">
        <v>7593</v>
      </c>
      <c r="F331" s="15" t="s">
        <v>7583</v>
      </c>
      <c r="G331" s="174"/>
      <c r="H331" s="17" t="s">
        <v>5932</v>
      </c>
      <c r="I331" s="269"/>
      <c r="J331" s="369" t="str">
        <f>HYPERLINK("[#]Datatypes!B356:L356","CocCode")</f>
        <v>CocCode</v>
      </c>
      <c r="K331" s="276"/>
      <c r="L331" s="272"/>
      <c r="M331" s="272"/>
      <c r="N331" s="248" t="str">
        <f>HYPERLINK("[#]DatatypeListedValues!A2541:H2541","&lt;values&gt;")</f>
        <v>&lt;values&gt;</v>
      </c>
      <c r="O331" s="277" t="b">
        <v>0</v>
      </c>
      <c r="P331" s="37">
        <v>103231</v>
      </c>
      <c r="Q331" s="36" t="str">
        <f>CONCATENATE(Cover!$D$6,"fdd/view?i=",P331)</f>
        <v>https://www.dgiwg.org/FAD/fdd/view?i=103231</v>
      </c>
      <c r="R331" s="13" t="s">
        <v>7590</v>
      </c>
      <c r="S331" s="172"/>
      <c r="T331" s="172"/>
      <c r="AS331" s="82" t="s">
        <v>1790</v>
      </c>
      <c r="BF331" s="83" t="s">
        <v>1790</v>
      </c>
      <c r="CS331" s="165" t="s">
        <v>1790</v>
      </c>
    </row>
    <row r="332" spans="1:100" x14ac:dyDescent="0.2">
      <c r="A332" s="176" t="str">
        <f t="shared" si="9"/>
        <v>constructionDate</v>
      </c>
      <c r="B332" s="11" t="s">
        <v>7596</v>
      </c>
      <c r="C332" s="173"/>
      <c r="D332" s="22" t="s">
        <v>7597</v>
      </c>
      <c r="E332" s="15" t="s">
        <v>7598</v>
      </c>
      <c r="F332" s="174"/>
      <c r="G332" s="174"/>
      <c r="H332" s="17" t="s">
        <v>5932</v>
      </c>
      <c r="I332" s="269"/>
      <c r="J332" s="369" t="str">
        <f>HYPERLINK("[#]Datatypes!B358:L358","DctStrucText")</f>
        <v>DctStrucText</v>
      </c>
      <c r="K332" s="276"/>
      <c r="L332" s="272"/>
      <c r="M332" s="272"/>
      <c r="N332" s="273"/>
      <c r="O332" s="269"/>
      <c r="P332" s="37">
        <v>118136</v>
      </c>
      <c r="Q332" s="36" t="str">
        <f>CONCATENATE(Cover!$D$6,"fdd/view?i=",P332)</f>
        <v>https://www.dgiwg.org/FAD/fdd/view?i=118136</v>
      </c>
      <c r="R332" s="13" t="s">
        <v>7595</v>
      </c>
      <c r="S332" s="172"/>
      <c r="T332" s="172"/>
      <c r="CR332" s="165" t="s">
        <v>1790</v>
      </c>
    </row>
    <row r="333" spans="1:100" x14ac:dyDescent="0.2">
      <c r="A333" s="176" t="str">
        <f t="shared" si="9"/>
        <v>contactLayPlatform</v>
      </c>
      <c r="B333" s="11" t="s">
        <v>7601</v>
      </c>
      <c r="C333" s="173"/>
      <c r="D333" s="22" t="s">
        <v>7602</v>
      </c>
      <c r="E333" s="15" t="s">
        <v>7603</v>
      </c>
      <c r="F333" s="174"/>
      <c r="G333" s="174"/>
      <c r="H333" s="17" t="s">
        <v>5932</v>
      </c>
      <c r="I333" s="269"/>
      <c r="J333" s="369" t="str">
        <f>HYPERLINK("[#]Datatypes!B360:L360","ClpCode")</f>
        <v>ClpCode</v>
      </c>
      <c r="K333" s="276"/>
      <c r="L333" s="272"/>
      <c r="M333" s="272"/>
      <c r="N333" s="248" t="str">
        <f>HYPERLINK("[#]DatatypeListedValues!A2549:H2549","&lt;values&gt;")</f>
        <v>&lt;values&gt;</v>
      </c>
      <c r="O333" s="277" t="b">
        <v>0</v>
      </c>
      <c r="P333" s="37">
        <v>114414</v>
      </c>
      <c r="Q333" s="36" t="str">
        <f>CONCATENATE(Cover!$D$6,"fdd/view?i=",P333)</f>
        <v>https://www.dgiwg.org/FAD/fdd/view?i=114414</v>
      </c>
      <c r="R333" s="13" t="s">
        <v>7600</v>
      </c>
      <c r="S333" s="172"/>
      <c r="T333" s="172"/>
      <c r="CJ333" s="81" t="s">
        <v>1790</v>
      </c>
      <c r="CV333" s="83" t="s">
        <v>1790</v>
      </c>
    </row>
    <row r="334" spans="1:100" x14ac:dyDescent="0.2">
      <c r="A334" s="176" t="str">
        <f t="shared" si="9"/>
        <v>contactMineActuation</v>
      </c>
      <c r="B334" s="11" t="s">
        <v>7606</v>
      </c>
      <c r="C334" s="173"/>
      <c r="D334" s="22" t="s">
        <v>7607</v>
      </c>
      <c r="E334" s="15" t="s">
        <v>7608</v>
      </c>
      <c r="F334" s="174"/>
      <c r="G334" s="174"/>
      <c r="H334" s="17" t="s">
        <v>5932</v>
      </c>
      <c r="I334" s="269"/>
      <c r="J334" s="369" t="str">
        <f>HYPERLINK("[#]Datatypes!B362:L362","MicCode")</f>
        <v>MicCode</v>
      </c>
      <c r="K334" s="276"/>
      <c r="L334" s="272"/>
      <c r="M334" s="272"/>
      <c r="N334" s="248" t="str">
        <f>HYPERLINK("[#]DatatypeListedValues!A2551:H2551","&lt;values&gt;")</f>
        <v>&lt;values&gt;</v>
      </c>
      <c r="O334" s="277" t="b">
        <v>0</v>
      </c>
      <c r="P334" s="37">
        <v>101046</v>
      </c>
      <c r="Q334" s="36" t="str">
        <f>CONCATENATE(Cover!$D$6,"fdd/view?i=",P334)</f>
        <v>https://www.dgiwg.org/FAD/fdd/view?i=101046</v>
      </c>
      <c r="R334" s="13" t="s">
        <v>7605</v>
      </c>
      <c r="S334" s="172"/>
      <c r="T334" s="172"/>
      <c r="CJ334" s="81" t="s">
        <v>1790</v>
      </c>
      <c r="CT334" s="166" t="s">
        <v>1790</v>
      </c>
    </row>
    <row r="335" spans="1:100" ht="38.25" x14ac:dyDescent="0.2">
      <c r="A335" s="176" t="str">
        <f t="shared" si="9"/>
        <v>contactStatus</v>
      </c>
      <c r="B335" s="11" t="s">
        <v>7611</v>
      </c>
      <c r="C335" s="173"/>
      <c r="D335" s="22" t="s">
        <v>7612</v>
      </c>
      <c r="E335" s="15" t="s">
        <v>7613</v>
      </c>
      <c r="F335" s="15" t="s">
        <v>7614</v>
      </c>
      <c r="G335" s="174"/>
      <c r="H335" s="17" t="s">
        <v>5932</v>
      </c>
      <c r="I335" s="269"/>
      <c r="J335" s="369" t="str">
        <f>HYPERLINK("[#]Datatypes!B364:L364","SbsCode")</f>
        <v>SbsCode</v>
      </c>
      <c r="K335" s="276"/>
      <c r="L335" s="272"/>
      <c r="M335" s="272"/>
      <c r="N335" s="248" t="str">
        <f>HYPERLINK("[#]DatatypeListedValues!A2554:H2554","&lt;values&gt;")</f>
        <v>&lt;values&gt;</v>
      </c>
      <c r="O335" s="277" t="b">
        <v>0</v>
      </c>
      <c r="P335" s="37">
        <v>111713</v>
      </c>
      <c r="Q335" s="36" t="str">
        <f>CONCATENATE(Cover!$D$6,"fdd/view?i=",P335)</f>
        <v>https://www.dgiwg.org/FAD/fdd/view?i=111713</v>
      </c>
      <c r="R335" s="13" t="s">
        <v>7610</v>
      </c>
      <c r="S335" s="172"/>
      <c r="T335" s="172"/>
      <c r="BC335" s="83" t="s">
        <v>1790</v>
      </c>
      <c r="BG335" s="83" t="s">
        <v>1790</v>
      </c>
      <c r="CL335" s="85" t="s">
        <v>1790</v>
      </c>
    </row>
    <row r="336" spans="1:100" ht="25.5" x14ac:dyDescent="0.2">
      <c r="A336" s="176" t="str">
        <f t="shared" si="9"/>
        <v>containedInServiceTunnel</v>
      </c>
      <c r="B336" s="11" t="s">
        <v>7617</v>
      </c>
      <c r="C336" s="173"/>
      <c r="D336" s="22" t="s">
        <v>7618</v>
      </c>
      <c r="E336" s="15" t="s">
        <v>7619</v>
      </c>
      <c r="F336" s="174"/>
      <c r="G336" s="174"/>
      <c r="H336" s="17" t="s">
        <v>5932</v>
      </c>
      <c r="I336" s="269"/>
      <c r="J336" s="369" t="str">
        <f>HYPERLINK("[#]Datatypes!B240:L240","Boolean")</f>
        <v>Boolean</v>
      </c>
      <c r="K336" s="276"/>
      <c r="L336" s="272"/>
      <c r="M336" s="272"/>
      <c r="N336" s="273"/>
      <c r="O336" s="269"/>
      <c r="P336" s="37">
        <v>109943</v>
      </c>
      <c r="Q336" s="36" t="str">
        <f>CONCATENATE(Cover!$D$6,"fdd/view?i=",P336)</f>
        <v>https://www.dgiwg.org/FAD/fdd/view?i=109943</v>
      </c>
      <c r="R336" s="13" t="s">
        <v>7616</v>
      </c>
      <c r="S336" s="172"/>
      <c r="T336" s="172"/>
      <c r="AV336" s="82" t="s">
        <v>1790</v>
      </c>
      <c r="CP336" s="164" t="s">
        <v>1790</v>
      </c>
    </row>
    <row r="337" spans="1:99" x14ac:dyDescent="0.2">
      <c r="A337" s="176" t="str">
        <f t="shared" si="9"/>
        <v>containedInStructure</v>
      </c>
      <c r="B337" s="11" t="s">
        <v>7621</v>
      </c>
      <c r="C337" s="173"/>
      <c r="D337" s="22" t="s">
        <v>7622</v>
      </c>
      <c r="E337" s="15" t="s">
        <v>7623</v>
      </c>
      <c r="F337" s="15" t="s">
        <v>7624</v>
      </c>
      <c r="G337" s="174"/>
      <c r="H337" s="17" t="s">
        <v>5932</v>
      </c>
      <c r="I337" s="269"/>
      <c r="J337" s="369" t="str">
        <f>HYPERLINK("[#]Datatypes!B240:L240","Boolean")</f>
        <v>Boolean</v>
      </c>
      <c r="K337" s="276"/>
      <c r="L337" s="272"/>
      <c r="M337" s="272"/>
      <c r="N337" s="273"/>
      <c r="O337" s="269"/>
      <c r="P337" s="37">
        <v>109944</v>
      </c>
      <c r="Q337" s="36" t="str">
        <f>CONCATENATE(Cover!$D$6,"fdd/view?i=",P337)</f>
        <v>https://www.dgiwg.org/FAD/fdd/view?i=109944</v>
      </c>
      <c r="R337" s="13" t="s">
        <v>7620</v>
      </c>
      <c r="S337" s="172"/>
      <c r="T337" s="172"/>
      <c r="CP337" s="164" t="s">
        <v>1790</v>
      </c>
    </row>
    <row r="338" spans="1:99" x14ac:dyDescent="0.2">
      <c r="A338" s="176" t="str">
        <f t="shared" si="9"/>
        <v>containedInTunnel</v>
      </c>
      <c r="B338" s="11" t="s">
        <v>7626</v>
      </c>
      <c r="C338" s="173"/>
      <c r="D338" s="22" t="s">
        <v>7627</v>
      </c>
      <c r="E338" s="15" t="s">
        <v>7628</v>
      </c>
      <c r="F338" s="15" t="s">
        <v>7629</v>
      </c>
      <c r="G338" s="174"/>
      <c r="H338" s="17" t="s">
        <v>5932</v>
      </c>
      <c r="I338" s="269"/>
      <c r="J338" s="369" t="str">
        <f>HYPERLINK("[#]Datatypes!B240:L240","Boolean")</f>
        <v>Boolean</v>
      </c>
      <c r="K338" s="276"/>
      <c r="L338" s="272"/>
      <c r="M338" s="272"/>
      <c r="N338" s="273"/>
      <c r="O338" s="269"/>
      <c r="P338" s="37">
        <v>110758</v>
      </c>
      <c r="Q338" s="36" t="str">
        <f>CONCATENATE(Cover!$D$6,"fdd/view?i=",P338)</f>
        <v>https://www.dgiwg.org/FAD/fdd/view?i=110758</v>
      </c>
      <c r="R338" s="13" t="s">
        <v>7625</v>
      </c>
      <c r="S338" s="172"/>
      <c r="T338" s="172"/>
      <c r="AV338" s="82" t="s">
        <v>1790</v>
      </c>
      <c r="CP338" s="164" t="s">
        <v>1790</v>
      </c>
    </row>
    <row r="339" spans="1:99" ht="38.25" x14ac:dyDescent="0.2">
      <c r="A339" s="176" t="str">
        <f t="shared" si="9"/>
        <v>containmentBermPresent</v>
      </c>
      <c r="B339" s="11" t="s">
        <v>7631</v>
      </c>
      <c r="C339" s="173"/>
      <c r="D339" s="22" t="s">
        <v>7632</v>
      </c>
      <c r="E339" s="15" t="s">
        <v>7633</v>
      </c>
      <c r="F339" s="15" t="s">
        <v>7634</v>
      </c>
      <c r="G339" s="15" t="s">
        <v>7635</v>
      </c>
      <c r="H339" s="17" t="s">
        <v>5932</v>
      </c>
      <c r="I339" s="269"/>
      <c r="J339" s="369" t="str">
        <f>HYPERLINK("[#]Datatypes!B240:L240","Boolean")</f>
        <v>Boolean</v>
      </c>
      <c r="K339" s="276"/>
      <c r="L339" s="272"/>
      <c r="M339" s="272"/>
      <c r="N339" s="273"/>
      <c r="O339" s="269"/>
      <c r="P339" s="37">
        <v>117773</v>
      </c>
      <c r="Q339" s="36" t="str">
        <f>CONCATENATE(Cover!$D$6,"fdd/view?i=",P339)</f>
        <v>https://www.dgiwg.org/FAD/fdd/view?i=117773</v>
      </c>
      <c r="R339" s="13" t="s">
        <v>7630</v>
      </c>
      <c r="S339" s="172"/>
      <c r="T339" s="172"/>
      <c r="AA339" s="81" t="s">
        <v>1790</v>
      </c>
      <c r="AB339" s="82" t="s">
        <v>1790</v>
      </c>
      <c r="AD339" s="82" t="s">
        <v>1790</v>
      </c>
      <c r="AG339" s="82" t="s">
        <v>1790</v>
      </c>
      <c r="AH339" s="85" t="s">
        <v>1790</v>
      </c>
      <c r="CR339" s="165" t="s">
        <v>1790</v>
      </c>
    </row>
    <row r="340" spans="1:99" x14ac:dyDescent="0.2">
      <c r="A340" s="176" t="str">
        <f t="shared" si="9"/>
        <v>contaminantSource</v>
      </c>
      <c r="B340" s="11" t="s">
        <v>7637</v>
      </c>
      <c r="C340" s="173"/>
      <c r="D340" s="22" t="s">
        <v>7638</v>
      </c>
      <c r="E340" s="15" t="s">
        <v>7639</v>
      </c>
      <c r="F340" s="174"/>
      <c r="G340" s="174"/>
      <c r="H340" s="17" t="s">
        <v>5932</v>
      </c>
      <c r="I340" s="269"/>
      <c r="J340" s="369" t="str">
        <f>HYPERLINK("[#]Datatypes!B366:L366","CsoCode")</f>
        <v>CsoCode</v>
      </c>
      <c r="K340" s="276"/>
      <c r="L340" s="272"/>
      <c r="M340" s="272"/>
      <c r="N340" s="248" t="str">
        <f>HYPERLINK("[#]DatatypeListedValues!A2560:H2560","&lt;values&gt;")</f>
        <v>&lt;values&gt;</v>
      </c>
      <c r="O340" s="277" t="b">
        <v>0</v>
      </c>
      <c r="P340" s="37">
        <v>118070</v>
      </c>
      <c r="Q340" s="36" t="str">
        <f>CONCATENATE(Cover!$D$6,"fdd/view?i=",P340)</f>
        <v>https://www.dgiwg.org/FAD/fdd/view?i=118070</v>
      </c>
      <c r="R340" s="13" t="s">
        <v>7636</v>
      </c>
      <c r="S340" s="172"/>
      <c r="T340" s="172"/>
      <c r="BZ340" s="83" t="s">
        <v>1790</v>
      </c>
      <c r="CS340" s="165" t="s">
        <v>1790</v>
      </c>
    </row>
    <row r="341" spans="1:99" x14ac:dyDescent="0.2">
      <c r="A341" s="176" t="str">
        <f t="shared" si="9"/>
        <v>contaminatedSiteType</v>
      </c>
      <c r="B341" s="11" t="s">
        <v>7642</v>
      </c>
      <c r="C341" s="173"/>
      <c r="D341" s="22" t="s">
        <v>7643</v>
      </c>
      <c r="E341" s="15" t="s">
        <v>7644</v>
      </c>
      <c r="F341" s="174"/>
      <c r="G341" s="174"/>
      <c r="H341" s="17" t="s">
        <v>5932</v>
      </c>
      <c r="I341" s="269"/>
      <c r="J341" s="369" t="str">
        <f>HYPERLINK("[#]Datatypes!B368:L368","KelCode")</f>
        <v>KelCode</v>
      </c>
      <c r="K341" s="276"/>
      <c r="L341" s="272"/>
      <c r="M341" s="272"/>
      <c r="N341" s="248" t="str">
        <f>HYPERLINK("[#]DatatypeListedValues!A2568:H2568","&lt;values&gt;")</f>
        <v>&lt;values&gt;</v>
      </c>
      <c r="O341" s="277" t="b">
        <v>0</v>
      </c>
      <c r="P341" s="37">
        <v>111606</v>
      </c>
      <c r="Q341" s="36" t="str">
        <f>CONCATENATE(Cover!$D$6,"fdd/view?i=",P341)</f>
        <v>https://www.dgiwg.org/FAD/fdd/view?i=111606</v>
      </c>
      <c r="R341" s="13" t="s">
        <v>7641</v>
      </c>
      <c r="S341" s="172"/>
      <c r="T341" s="172"/>
      <c r="AH341" s="85" t="s">
        <v>1790</v>
      </c>
      <c r="BZ341" s="83" t="s">
        <v>1790</v>
      </c>
      <c r="CS341" s="165" t="s">
        <v>1790</v>
      </c>
    </row>
    <row r="342" spans="1:99" ht="25.5" x14ac:dyDescent="0.2">
      <c r="A342" s="176" t="str">
        <f t="shared" si="9"/>
        <v>contaminationStatus</v>
      </c>
      <c r="B342" s="11" t="s">
        <v>7647</v>
      </c>
      <c r="C342" s="173"/>
      <c r="D342" s="22" t="s">
        <v>7648</v>
      </c>
      <c r="E342" s="15" t="s">
        <v>7649</v>
      </c>
      <c r="F342" s="15" t="s">
        <v>7650</v>
      </c>
      <c r="G342" s="174"/>
      <c r="H342" s="17" t="s">
        <v>5932</v>
      </c>
      <c r="I342" s="269"/>
      <c r="J342" s="369" t="str">
        <f>HYPERLINK("[#]Datatypes!B370:L370","EelCode")</f>
        <v>EelCode</v>
      </c>
      <c r="K342" s="276"/>
      <c r="L342" s="272"/>
      <c r="M342" s="272"/>
      <c r="N342" s="248" t="str">
        <f>HYPERLINK("[#]DatatypeListedValues!A2573:H2573","&lt;values&gt;")</f>
        <v>&lt;values&gt;</v>
      </c>
      <c r="O342" s="277" t="b">
        <v>0</v>
      </c>
      <c r="P342" s="37">
        <v>111531</v>
      </c>
      <c r="Q342" s="36" t="str">
        <f>CONCATENATE(Cover!$D$6,"fdd/view?i=",P342)</f>
        <v>https://www.dgiwg.org/FAD/fdd/view?i=111531</v>
      </c>
      <c r="R342" s="13" t="s">
        <v>7646</v>
      </c>
      <c r="S342" s="172"/>
      <c r="T342" s="172"/>
      <c r="AH342" s="85" t="s">
        <v>1790</v>
      </c>
      <c r="CT342" s="166" t="s">
        <v>1790</v>
      </c>
    </row>
    <row r="343" spans="1:99" ht="25.5" x14ac:dyDescent="0.2">
      <c r="A343" s="176" t="str">
        <f t="shared" si="9"/>
        <v>contourIntervalRelation</v>
      </c>
      <c r="B343" s="11" t="s">
        <v>7653</v>
      </c>
      <c r="C343" s="173"/>
      <c r="D343" s="22" t="s">
        <v>7654</v>
      </c>
      <c r="E343" s="15" t="s">
        <v>7655</v>
      </c>
      <c r="F343" s="15" t="s">
        <v>7656</v>
      </c>
      <c r="G343" s="174"/>
      <c r="H343" s="17" t="s">
        <v>5932</v>
      </c>
      <c r="I343" s="269"/>
      <c r="J343" s="369" t="str">
        <f>HYPERLINK("[#]Datatypes!B372:L372","GliCode")</f>
        <v>GliCode</v>
      </c>
      <c r="K343" s="276"/>
      <c r="L343" s="272"/>
      <c r="M343" s="272"/>
      <c r="N343" s="248" t="str">
        <f>HYPERLINK("[#]DatatypeListedValues!A2575:H2575","&lt;values&gt;")</f>
        <v>&lt;values&gt;</v>
      </c>
      <c r="O343" s="277" t="b">
        <v>0</v>
      </c>
      <c r="P343" s="37">
        <v>100915</v>
      </c>
      <c r="Q343" s="36" t="str">
        <f>CONCATENATE(Cover!$D$6,"fdd/view?i=",P343)</f>
        <v>https://www.dgiwg.org/FAD/fdd/view?i=100915</v>
      </c>
      <c r="R343" s="13" t="s">
        <v>7652</v>
      </c>
      <c r="S343" s="172"/>
      <c r="T343" s="172"/>
      <c r="BL343" s="81" t="s">
        <v>1790</v>
      </c>
      <c r="CP343" s="164" t="s">
        <v>1790</v>
      </c>
    </row>
    <row r="344" spans="1:99" x14ac:dyDescent="0.2">
      <c r="A344" s="176" t="str">
        <f t="shared" si="9"/>
        <v>controlled</v>
      </c>
      <c r="B344" s="11" t="s">
        <v>7659</v>
      </c>
      <c r="C344" s="173"/>
      <c r="D344" s="22" t="s">
        <v>7660</v>
      </c>
      <c r="E344" s="15" t="s">
        <v>7661</v>
      </c>
      <c r="F344" s="15" t="s">
        <v>7662</v>
      </c>
      <c r="G344" s="174"/>
      <c r="H344" s="17" t="s">
        <v>5932</v>
      </c>
      <c r="I344" s="269"/>
      <c r="J344" s="369" t="str">
        <f>HYPERLINK("[#]Datatypes!B240:L240","Boolean")</f>
        <v>Boolean</v>
      </c>
      <c r="K344" s="276"/>
      <c r="L344" s="272"/>
      <c r="M344" s="272"/>
      <c r="N344" s="273"/>
      <c r="O344" s="269"/>
      <c r="P344" s="37">
        <v>100749</v>
      </c>
      <c r="Q344" s="36" t="str">
        <f>CONCATENATE(Cover!$D$6,"fdd/view?i=",P344)</f>
        <v>https://www.dgiwg.org/FAD/fdd/view?i=100749</v>
      </c>
      <c r="R344" s="13" t="s">
        <v>7658</v>
      </c>
      <c r="S344" s="172"/>
      <c r="T344" s="172"/>
      <c r="CT344" s="166" t="s">
        <v>1790</v>
      </c>
    </row>
    <row r="345" spans="1:99" ht="51" x14ac:dyDescent="0.2">
      <c r="A345" s="176" t="str">
        <f t="shared" si="9"/>
        <v>controllingAuthority</v>
      </c>
      <c r="B345" s="11" t="s">
        <v>7664</v>
      </c>
      <c r="C345" s="173"/>
      <c r="D345" s="22" t="s">
        <v>7665</v>
      </c>
      <c r="E345" s="15" t="s">
        <v>7666</v>
      </c>
      <c r="F345" s="15" t="s">
        <v>7667</v>
      </c>
      <c r="G345" s="174"/>
      <c r="H345" s="17" t="s">
        <v>5932</v>
      </c>
      <c r="I345" s="269"/>
      <c r="J345" s="369" t="str">
        <f>HYPERLINK("[#]Datatypes!B374:L374","CaaCode")</f>
        <v>CaaCode</v>
      </c>
      <c r="K345" s="276"/>
      <c r="L345" s="272"/>
      <c r="M345" s="272"/>
      <c r="N345" s="248" t="str">
        <f>HYPERLINK("[#]DatatypeListedValues!A2580:H2580","&lt;values&gt;")</f>
        <v>&lt;values&gt;</v>
      </c>
      <c r="O345" s="277" t="b">
        <v>0</v>
      </c>
      <c r="P345" s="37">
        <v>100723</v>
      </c>
      <c r="Q345" s="36" t="str">
        <f>CONCATENATE(Cover!$D$6,"fdd/view?i=",P345)</f>
        <v>https://www.dgiwg.org/FAD/fdd/view?i=100723</v>
      </c>
      <c r="R345" s="13" t="s">
        <v>7663</v>
      </c>
      <c r="S345" s="172"/>
      <c r="T345" s="172"/>
      <c r="AM345" s="83" t="s">
        <v>1790</v>
      </c>
      <c r="CT345" s="166" t="s">
        <v>1790</v>
      </c>
    </row>
    <row r="346" spans="1:99" ht="25.5" x14ac:dyDescent="0.2">
      <c r="A346" s="176" t="str">
        <f t="shared" si="9"/>
        <v>controllingAuthorityIdent</v>
      </c>
      <c r="B346" s="11" t="s">
        <v>7670</v>
      </c>
      <c r="C346" s="173"/>
      <c r="D346" s="22" t="s">
        <v>7671</v>
      </c>
      <c r="E346" s="15" t="s">
        <v>7672</v>
      </c>
      <c r="F346" s="174"/>
      <c r="G346" s="174"/>
      <c r="H346" s="17" t="s">
        <v>5932</v>
      </c>
      <c r="I346" s="269"/>
      <c r="J346" s="369" t="str">
        <f>HYPERLINK("[#]Datatypes!B1544:L1544","TextLexUnconstrained")</f>
        <v>TextLexUnconstrained</v>
      </c>
      <c r="K346" s="276"/>
      <c r="L346" s="272"/>
      <c r="M346" s="272"/>
      <c r="N346" s="273"/>
      <c r="O346" s="269"/>
      <c r="P346" s="37">
        <v>118133</v>
      </c>
      <c r="Q346" s="36" t="str">
        <f>CONCATENATE(Cover!$D$6,"fdd/view?i=",P346)</f>
        <v>https://www.dgiwg.org/FAD/fdd/view?i=118133</v>
      </c>
      <c r="R346" s="13" t="s">
        <v>7669</v>
      </c>
      <c r="S346" s="172"/>
      <c r="T346" s="172"/>
      <c r="CU346" s="87" t="s">
        <v>1790</v>
      </c>
    </row>
    <row r="347" spans="1:99" x14ac:dyDescent="0.2">
      <c r="A347" s="176" t="str">
        <f t="shared" si="9"/>
        <v>controllingAuthorityName</v>
      </c>
      <c r="B347" s="11" t="s">
        <v>7674</v>
      </c>
      <c r="C347" s="173"/>
      <c r="D347" s="22" t="s">
        <v>7675</v>
      </c>
      <c r="E347" s="15" t="s">
        <v>7676</v>
      </c>
      <c r="F347" s="174"/>
      <c r="G347" s="174"/>
      <c r="H347" s="17" t="s">
        <v>5932</v>
      </c>
      <c r="I347" s="269"/>
      <c r="J347" s="369" t="str">
        <f>HYPERLINK("[#]Datatypes!B1554:L1554","TextNonLex38")</f>
        <v>TextNonLex38</v>
      </c>
      <c r="K347" s="276"/>
      <c r="L347" s="272"/>
      <c r="M347" s="272"/>
      <c r="N347" s="273"/>
      <c r="O347" s="269"/>
      <c r="P347" s="37">
        <v>114473</v>
      </c>
      <c r="Q347" s="36" t="str">
        <f>CONCATENATE(Cover!$D$6,"fdd/view?i=",P347)</f>
        <v>https://www.dgiwg.org/FAD/fdd/view?i=114473</v>
      </c>
      <c r="R347" s="13" t="s">
        <v>7673</v>
      </c>
      <c r="S347" s="172"/>
      <c r="T347" s="172"/>
      <c r="AM347" s="83" t="s">
        <v>1790</v>
      </c>
      <c r="CT347" s="166" t="s">
        <v>1790</v>
      </c>
      <c r="CU347" s="87" t="s">
        <v>1790</v>
      </c>
    </row>
    <row r="348" spans="1:99" ht="38.25" x14ac:dyDescent="0.2">
      <c r="A348" s="176" t="str">
        <f t="shared" si="9"/>
        <v>controllingObstacle</v>
      </c>
      <c r="B348" s="11" t="s">
        <v>7679</v>
      </c>
      <c r="C348" s="173"/>
      <c r="D348" s="22" t="s">
        <v>7680</v>
      </c>
      <c r="E348" s="15" t="s">
        <v>7681</v>
      </c>
      <c r="F348" s="174"/>
      <c r="G348" s="174"/>
      <c r="H348" s="17" t="s">
        <v>5932</v>
      </c>
      <c r="I348" s="269"/>
      <c r="J348" s="369" t="str">
        <f>HYPERLINK("[#]Datatypes!B240:L240","Boolean")</f>
        <v>Boolean</v>
      </c>
      <c r="K348" s="276"/>
      <c r="L348" s="272"/>
      <c r="M348" s="272"/>
      <c r="N348" s="273"/>
      <c r="O348" s="269"/>
      <c r="P348" s="37">
        <v>117541</v>
      </c>
      <c r="Q348" s="36" t="str">
        <f>CONCATENATE(Cover!$D$6,"fdd/view?i=",P348)</f>
        <v>https://www.dgiwg.org/FAD/fdd/view?i=117541</v>
      </c>
      <c r="R348" s="13" t="s">
        <v>7678</v>
      </c>
      <c r="S348" s="172"/>
      <c r="T348" s="172"/>
      <c r="CG348" s="83" t="s">
        <v>1790</v>
      </c>
    </row>
    <row r="349" spans="1:99" ht="76.5" x14ac:dyDescent="0.2">
      <c r="A349" s="176" t="str">
        <f t="shared" si="9"/>
        <v>conveyorType</v>
      </c>
      <c r="B349" s="11" t="s">
        <v>7683</v>
      </c>
      <c r="C349" s="173"/>
      <c r="D349" s="22" t="s">
        <v>7684</v>
      </c>
      <c r="E349" s="15" t="s">
        <v>7685</v>
      </c>
      <c r="F349" s="15" t="s">
        <v>7686</v>
      </c>
      <c r="G349" s="174"/>
      <c r="H349" s="17" t="s">
        <v>5932</v>
      </c>
      <c r="I349" s="17" t="s">
        <v>6224</v>
      </c>
      <c r="J349" s="369" t="str">
        <f>HYPERLINK("[#]Datatypes!B376:L376","CvtCode")</f>
        <v>CvtCode</v>
      </c>
      <c r="K349" s="276"/>
      <c r="L349" s="272"/>
      <c r="M349" s="272"/>
      <c r="N349" s="248" t="str">
        <f>HYPERLINK("[#]DatatypeListedValues!A2602:H2602","&lt;values&gt;")</f>
        <v>&lt;values&gt;</v>
      </c>
      <c r="O349" s="277" t="b">
        <v>0</v>
      </c>
      <c r="P349" s="37">
        <v>119947</v>
      </c>
      <c r="Q349" s="36" t="str">
        <f>CONCATENATE(Cover!$D$6,"fdd/view?i=",P349)</f>
        <v>https://www.dgiwg.org/FAD/fdd/view?i=119947</v>
      </c>
      <c r="R349" s="13" t="s">
        <v>7682</v>
      </c>
      <c r="S349" s="172"/>
      <c r="T349" s="172"/>
      <c r="AW349" s="82" t="s">
        <v>1790</v>
      </c>
      <c r="AY349" s="85" t="s">
        <v>1790</v>
      </c>
      <c r="CS349" s="165" t="s">
        <v>1790</v>
      </c>
      <c r="CT349" s="166" t="s">
        <v>1790</v>
      </c>
    </row>
    <row r="350" spans="1:99" ht="25.5" x14ac:dyDescent="0.2">
      <c r="A350" s="176" t="str">
        <f t="shared" si="9"/>
        <v>copterFinalApproachCourse</v>
      </c>
      <c r="B350" s="11" t="s">
        <v>7689</v>
      </c>
      <c r="C350" s="173"/>
      <c r="D350" s="22" t="s">
        <v>7690</v>
      </c>
      <c r="E350" s="15" t="s">
        <v>7691</v>
      </c>
      <c r="F350" s="15" t="s">
        <v>7692</v>
      </c>
      <c r="G350" s="174"/>
      <c r="H350" s="17" t="s">
        <v>5932</v>
      </c>
      <c r="I350" s="269"/>
      <c r="J350" s="369" t="str">
        <f>HYPERLINK("[#]Datatypes!B1231:L1231","Real")</f>
        <v>Real</v>
      </c>
      <c r="K350" s="271" t="str">
        <f>HYPERLINK("[#]PhysicalQuantities!A34:N34","Plane Angle")</f>
        <v>Plane Angle</v>
      </c>
      <c r="L350" s="270" t="str">
        <f>HYPERLINK("[#]UnitsOfMeasure!D159:G159","Arc Degree")</f>
        <v>Arc Degree</v>
      </c>
      <c r="M350" s="272"/>
      <c r="N350" s="273"/>
      <c r="O350" s="269"/>
      <c r="P350" s="37">
        <v>117534</v>
      </c>
      <c r="Q350" s="36" t="str">
        <f>CONCATENATE(Cover!$D$6,"fdd/view?i=",P350)</f>
        <v>https://www.dgiwg.org/FAD/fdd/view?i=117534</v>
      </c>
      <c r="R350" s="13" t="s">
        <v>7688</v>
      </c>
      <c r="S350" s="172"/>
      <c r="T350" s="172"/>
      <c r="CI350" s="89" t="s">
        <v>1790</v>
      </c>
    </row>
    <row r="351" spans="1:99" ht="51" x14ac:dyDescent="0.2">
      <c r="A351" s="176" t="str">
        <f t="shared" si="9"/>
        <v>correctionsFacilityType</v>
      </c>
      <c r="B351" s="11" t="s">
        <v>7694</v>
      </c>
      <c r="C351" s="173"/>
      <c r="D351" s="22" t="s">
        <v>7695</v>
      </c>
      <c r="E351" s="15" t="s">
        <v>7696</v>
      </c>
      <c r="F351" s="174"/>
      <c r="G351" s="174"/>
      <c r="H351" s="17" t="s">
        <v>5932</v>
      </c>
      <c r="I351" s="269"/>
      <c r="J351" s="369" t="str">
        <f>HYPERLINK("[#]Datatypes!B378:L378","CfcCode")</f>
        <v>CfcCode</v>
      </c>
      <c r="K351" s="276"/>
      <c r="L351" s="272"/>
      <c r="M351" s="272"/>
      <c r="N351" s="248" t="str">
        <f>HYPERLINK("[#]DatatypeListedValues!A2609:H2609","&lt;values&gt;")</f>
        <v>&lt;values&gt;</v>
      </c>
      <c r="O351" s="277" t="b">
        <v>0</v>
      </c>
      <c r="P351" s="37">
        <v>100737</v>
      </c>
      <c r="Q351" s="36" t="str">
        <f>CONCATENATE(Cover!$D$6,"fdd/view?i=",P351)</f>
        <v>https://www.dgiwg.org/FAD/fdd/view?i=100737</v>
      </c>
      <c r="R351" s="13" t="s">
        <v>7693</v>
      </c>
      <c r="S351" s="172"/>
      <c r="T351" s="172"/>
      <c r="AI351" s="87" t="s">
        <v>1790</v>
      </c>
      <c r="AM351" s="83" t="s">
        <v>1790</v>
      </c>
      <c r="CT351" s="166" t="s">
        <v>1790</v>
      </c>
    </row>
    <row r="352" spans="1:99" ht="25.5" x14ac:dyDescent="0.2">
      <c r="A352" s="176" t="str">
        <f t="shared" si="9"/>
        <v>courseReversalDescription</v>
      </c>
      <c r="B352" s="11" t="s">
        <v>7699</v>
      </c>
      <c r="C352" s="173"/>
      <c r="D352" s="22" t="s">
        <v>7700</v>
      </c>
      <c r="E352" s="15" t="s">
        <v>7701</v>
      </c>
      <c r="F352" s="174"/>
      <c r="G352" s="174"/>
      <c r="H352" s="17" t="s">
        <v>5932</v>
      </c>
      <c r="I352" s="269"/>
      <c r="J352" s="369" t="str">
        <f>HYPERLINK("[#]Datatypes!B1562:L1562","TextNonLexUnconstrained")</f>
        <v>TextNonLexUnconstrained</v>
      </c>
      <c r="K352" s="276"/>
      <c r="L352" s="272"/>
      <c r="M352" s="272"/>
      <c r="N352" s="273"/>
      <c r="O352" s="269"/>
      <c r="P352" s="37">
        <v>117699</v>
      </c>
      <c r="Q352" s="36" t="str">
        <f>CONCATENATE(Cover!$D$6,"fdd/view?i=",P352)</f>
        <v>https://www.dgiwg.org/FAD/fdd/view?i=117699</v>
      </c>
      <c r="R352" s="13" t="s">
        <v>7698</v>
      </c>
      <c r="S352" s="172"/>
      <c r="T352" s="172"/>
      <c r="CI352" s="89" t="s">
        <v>1790</v>
      </c>
    </row>
    <row r="353" spans="1:103" ht="25.5" x14ac:dyDescent="0.2">
      <c r="A353" s="176" t="str">
        <f t="shared" si="9"/>
        <v>courseType</v>
      </c>
      <c r="B353" s="11" t="s">
        <v>7703</v>
      </c>
      <c r="C353" s="173"/>
      <c r="D353" s="22" t="s">
        <v>7704</v>
      </c>
      <c r="E353" s="15" t="s">
        <v>7705</v>
      </c>
      <c r="F353" s="15" t="s">
        <v>7706</v>
      </c>
      <c r="G353" s="174"/>
      <c r="H353" s="17" t="s">
        <v>5932</v>
      </c>
      <c r="I353" s="269"/>
      <c r="J353" s="369" t="str">
        <f>HYPERLINK("[#]Datatypes!B382:L382","CouCode")</f>
        <v>CouCode</v>
      </c>
      <c r="K353" s="276"/>
      <c r="L353" s="272"/>
      <c r="M353" s="272"/>
      <c r="N353" s="248" t="str">
        <f>HYPERLINK("[#]DatatypeListedValues!A2615:H2615","&lt;values&gt;")</f>
        <v>&lt;values&gt;</v>
      </c>
      <c r="O353" s="277" t="b">
        <v>0</v>
      </c>
      <c r="P353" s="37">
        <v>117542</v>
      </c>
      <c r="Q353" s="36" t="str">
        <f>CONCATENATE(Cover!$D$6,"fdd/view?i=",P353)</f>
        <v>https://www.dgiwg.org/FAD/fdd/view?i=117542</v>
      </c>
      <c r="R353" s="13" t="s">
        <v>7702</v>
      </c>
      <c r="S353" s="172"/>
      <c r="T353" s="172"/>
      <c r="CF353" s="83" t="s">
        <v>1790</v>
      </c>
      <c r="CI353" s="89" t="s">
        <v>1790</v>
      </c>
    </row>
    <row r="354" spans="1:103" x14ac:dyDescent="0.2">
      <c r="A354" s="176" t="str">
        <f t="shared" si="9"/>
        <v>coverClosureType</v>
      </c>
      <c r="B354" s="11" t="s">
        <v>7709</v>
      </c>
      <c r="C354" s="173"/>
      <c r="D354" s="22" t="s">
        <v>7710</v>
      </c>
      <c r="E354" s="15" t="s">
        <v>7711</v>
      </c>
      <c r="F354" s="174"/>
      <c r="G354" s="174"/>
      <c r="H354" s="17" t="s">
        <v>5932</v>
      </c>
      <c r="I354" s="269"/>
      <c r="J354" s="369" t="str">
        <f>HYPERLINK("[#]Datatypes!B384:L384","CctCode")</f>
        <v>CctCode</v>
      </c>
      <c r="K354" s="276"/>
      <c r="L354" s="272"/>
      <c r="M354" s="272"/>
      <c r="N354" s="248" t="str">
        <f>HYPERLINK("[#]DatatypeListedValues!A2621:H2621","&lt;values&gt;")</f>
        <v>&lt;values&gt;</v>
      </c>
      <c r="O354" s="277" t="b">
        <v>0</v>
      </c>
      <c r="P354" s="37">
        <v>103223</v>
      </c>
      <c r="Q354" s="36" t="str">
        <f>CONCATENATE(Cover!$D$6,"fdd/view?i=",P354)</f>
        <v>https://www.dgiwg.org/FAD/fdd/view?i=103223</v>
      </c>
      <c r="R354" s="13" t="s">
        <v>7708</v>
      </c>
      <c r="S354" s="172"/>
      <c r="T354" s="172"/>
      <c r="AI354" s="87" t="s">
        <v>1790</v>
      </c>
      <c r="AJ354" s="83" t="s">
        <v>1790</v>
      </c>
      <c r="CS354" s="165" t="s">
        <v>1790</v>
      </c>
    </row>
    <row r="355" spans="1:103" ht="25.5" x14ac:dyDescent="0.2">
      <c r="A355" s="176" t="str">
        <f t="shared" si="9"/>
        <v>coveredDrain</v>
      </c>
      <c r="B355" s="11" t="s">
        <v>7714</v>
      </c>
      <c r="C355" s="173"/>
      <c r="D355" s="22" t="s">
        <v>7715</v>
      </c>
      <c r="E355" s="15" t="s">
        <v>7716</v>
      </c>
      <c r="F355" s="174"/>
      <c r="G355" s="174"/>
      <c r="H355" s="17" t="s">
        <v>5932</v>
      </c>
      <c r="I355" s="269"/>
      <c r="J355" s="369" t="str">
        <f>HYPERLINK("[#]Datatypes!B240:L240","Boolean")</f>
        <v>Boolean</v>
      </c>
      <c r="K355" s="276"/>
      <c r="L355" s="272"/>
      <c r="M355" s="272"/>
      <c r="N355" s="273"/>
      <c r="O355" s="269"/>
      <c r="P355" s="37">
        <v>100730</v>
      </c>
      <c r="Q355" s="36" t="str">
        <f>CONCATENATE(Cover!$D$6,"fdd/view?i=",P355)</f>
        <v>https://www.dgiwg.org/FAD/fdd/view?i=100730</v>
      </c>
      <c r="R355" s="13" t="s">
        <v>7713</v>
      </c>
      <c r="S355" s="172"/>
      <c r="T355" s="172"/>
      <c r="BJ355" s="83" t="s">
        <v>1790</v>
      </c>
      <c r="CS355" s="165" t="s">
        <v>1790</v>
      </c>
    </row>
    <row r="356" spans="1:103" ht="25.5" x14ac:dyDescent="0.2">
      <c r="A356" s="176" t="str">
        <f t="shared" si="9"/>
        <v>coveredDrainLength</v>
      </c>
      <c r="B356" s="11" t="s">
        <v>7718</v>
      </c>
      <c r="C356" s="173"/>
      <c r="D356" s="22" t="s">
        <v>7719</v>
      </c>
      <c r="E356" s="15" t="s">
        <v>7720</v>
      </c>
      <c r="F356" s="174"/>
      <c r="G356" s="174"/>
      <c r="H356" s="17" t="s">
        <v>5932</v>
      </c>
      <c r="I356" s="269"/>
      <c r="J356" s="369" t="str">
        <f>HYPERLINK("[#]Datatypes!B1233:L1233","RealInterval")</f>
        <v>RealInterval</v>
      </c>
      <c r="K356" s="271" t="str">
        <f>HYPERLINK("[#]PhysicalQuantities!A20:N20","Length")</f>
        <v>Length</v>
      </c>
      <c r="L356" s="270" t="str">
        <f>HYPERLINK("[#]UnitsOfMeasure!D80:G80","Metre")</f>
        <v>Metre</v>
      </c>
      <c r="M356" s="272"/>
      <c r="N356" s="273"/>
      <c r="O356" s="269"/>
      <c r="P356" s="37">
        <v>110882</v>
      </c>
      <c r="Q356" s="36" t="str">
        <f>CONCATENATE(Cover!$D$6,"fdd/view?i=",P356)</f>
        <v>https://www.dgiwg.org/FAD/fdd/view?i=110882</v>
      </c>
      <c r="R356" s="13" t="s">
        <v>7717</v>
      </c>
      <c r="S356" s="172"/>
      <c r="T356" s="172"/>
      <c r="BJ356" s="83" t="s">
        <v>1790</v>
      </c>
      <c r="CQ356" s="165" t="s">
        <v>1790</v>
      </c>
    </row>
    <row r="357" spans="1:103" ht="25.5" x14ac:dyDescent="0.2">
      <c r="A357" s="176" t="str">
        <f t="shared" si="9"/>
        <v>craneMaxObsClearance</v>
      </c>
      <c r="B357" s="11" t="s">
        <v>7722</v>
      </c>
      <c r="C357" s="173"/>
      <c r="D357" s="22" t="s">
        <v>7723</v>
      </c>
      <c r="E357" s="15" t="s">
        <v>7724</v>
      </c>
      <c r="F357" s="174"/>
      <c r="G357" s="174"/>
      <c r="H357" s="17" t="s">
        <v>5932</v>
      </c>
      <c r="I357" s="269"/>
      <c r="J357" s="369" t="str">
        <f>HYPERLINK("[#]Datatypes!B1231:L1231","Real")</f>
        <v>Real</v>
      </c>
      <c r="K357" s="271" t="str">
        <f>HYPERLINK("[#]PhysicalQuantities!A20:N20","Length")</f>
        <v>Length</v>
      </c>
      <c r="L357" s="270" t="str">
        <f>HYPERLINK("[#]UnitsOfMeasure!D80:G80","Metre")</f>
        <v>Metre</v>
      </c>
      <c r="M357" s="272"/>
      <c r="N357" s="273"/>
      <c r="O357" s="269"/>
      <c r="P357" s="37">
        <v>119580</v>
      </c>
      <c r="Q357" s="36" t="str">
        <f>CONCATENATE(Cover!$D$6,"fdd/view?i=",P357)</f>
        <v>https://www.dgiwg.org/FAD/fdd/view?i=119580</v>
      </c>
      <c r="R357" s="13" t="s">
        <v>7721</v>
      </c>
      <c r="S357" s="172"/>
      <c r="T357" s="172"/>
      <c r="AP357" s="81" t="s">
        <v>1790</v>
      </c>
      <c r="AQ357" s="82" t="s">
        <v>1790</v>
      </c>
      <c r="AR357" s="82" t="s">
        <v>1790</v>
      </c>
      <c r="AS357" s="82" t="s">
        <v>1790</v>
      </c>
      <c r="AT357" s="82" t="s">
        <v>1790</v>
      </c>
      <c r="AU357" s="82" t="s">
        <v>1790</v>
      </c>
      <c r="AW357" s="82" t="s">
        <v>1790</v>
      </c>
      <c r="CQ357" s="165" t="s">
        <v>1790</v>
      </c>
    </row>
    <row r="358" spans="1:103" x14ac:dyDescent="0.2">
      <c r="A358" s="176" t="str">
        <f t="shared" si="9"/>
        <v>craneMaximumReach</v>
      </c>
      <c r="B358" s="11" t="s">
        <v>7726</v>
      </c>
      <c r="C358" s="173"/>
      <c r="D358" s="22" t="s">
        <v>7727</v>
      </c>
      <c r="E358" s="15" t="s">
        <v>7728</v>
      </c>
      <c r="F358" s="174"/>
      <c r="G358" s="174"/>
      <c r="H358" s="17" t="s">
        <v>5932</v>
      </c>
      <c r="I358" s="269"/>
      <c r="J358" s="369" t="str">
        <f>HYPERLINK("[#]Datatypes!B1231:L1231","Real")</f>
        <v>Real</v>
      </c>
      <c r="K358" s="271" t="str">
        <f>HYPERLINK("[#]PhysicalQuantities!A20:N20","Length")</f>
        <v>Length</v>
      </c>
      <c r="L358" s="270" t="str">
        <f>HYPERLINK("[#]UnitsOfMeasure!D80:G80","Metre")</f>
        <v>Metre</v>
      </c>
      <c r="M358" s="272"/>
      <c r="N358" s="273"/>
      <c r="O358" s="269"/>
      <c r="P358" s="37">
        <v>111503</v>
      </c>
      <c r="Q358" s="36" t="str">
        <f>CONCATENATE(Cover!$D$6,"fdd/view?i=",P358)</f>
        <v>https://www.dgiwg.org/FAD/fdd/view?i=111503</v>
      </c>
      <c r="R358" s="13" t="s">
        <v>7725</v>
      </c>
      <c r="S358" s="172"/>
      <c r="T358" s="172"/>
      <c r="AR358" s="82" t="s">
        <v>1790</v>
      </c>
      <c r="CQ358" s="165" t="s">
        <v>1790</v>
      </c>
    </row>
    <row r="359" spans="1:103" x14ac:dyDescent="0.2">
      <c r="A359" s="176" t="str">
        <f t="shared" si="9"/>
        <v>craneMobilityType</v>
      </c>
      <c r="B359" s="11" t="s">
        <v>7730</v>
      </c>
      <c r="C359" s="173"/>
      <c r="D359" s="22" t="s">
        <v>7731</v>
      </c>
      <c r="E359" s="15" t="s">
        <v>7732</v>
      </c>
      <c r="F359" s="174"/>
      <c r="G359" s="174"/>
      <c r="H359" s="17" t="s">
        <v>5932</v>
      </c>
      <c r="I359" s="269"/>
      <c r="J359" s="369" t="str">
        <f>HYPERLINK("[#]Datatypes!B386:L386","CrmCode")</f>
        <v>CrmCode</v>
      </c>
      <c r="K359" s="276"/>
      <c r="L359" s="272"/>
      <c r="M359" s="272"/>
      <c r="N359" s="248" t="str">
        <f>HYPERLINK("[#]DatatypeListedValues!A2625:H2625","&lt;values&gt;")</f>
        <v>&lt;values&gt;</v>
      </c>
      <c r="O359" s="277" t="b">
        <v>0</v>
      </c>
      <c r="P359" s="37">
        <v>100764</v>
      </c>
      <c r="Q359" s="36" t="str">
        <f>CONCATENATE(Cover!$D$6,"fdd/view?i=",P359)</f>
        <v>https://www.dgiwg.org/FAD/fdd/view?i=100764</v>
      </c>
      <c r="R359" s="13" t="s">
        <v>7729</v>
      </c>
      <c r="S359" s="172"/>
      <c r="T359" s="172"/>
      <c r="AF359" s="82" t="s">
        <v>1790</v>
      </c>
      <c r="BE359" s="83" t="s">
        <v>1790</v>
      </c>
      <c r="BJ359" s="83" t="s">
        <v>1790</v>
      </c>
      <c r="CQ359" s="165" t="s">
        <v>1790</v>
      </c>
      <c r="CT359" s="166" t="s">
        <v>1790</v>
      </c>
    </row>
    <row r="360" spans="1:103" x14ac:dyDescent="0.2">
      <c r="A360" s="176" t="str">
        <f t="shared" si="9"/>
        <v>craneSupportDistance</v>
      </c>
      <c r="B360" s="11" t="s">
        <v>7735</v>
      </c>
      <c r="C360" s="173"/>
      <c r="D360" s="22" t="s">
        <v>7736</v>
      </c>
      <c r="E360" s="15" t="s">
        <v>7737</v>
      </c>
      <c r="F360" s="174"/>
      <c r="G360" s="174"/>
      <c r="H360" s="17" t="s">
        <v>5932</v>
      </c>
      <c r="I360" s="269"/>
      <c r="J360" s="369" t="str">
        <f>HYPERLINK("[#]Datatypes!B1231:L1231","Real")</f>
        <v>Real</v>
      </c>
      <c r="K360" s="271" t="str">
        <f>HYPERLINK("[#]PhysicalQuantities!A20:N20","Length")</f>
        <v>Length</v>
      </c>
      <c r="L360" s="270" t="str">
        <f>HYPERLINK("[#]UnitsOfMeasure!D80:G80","Metre")</f>
        <v>Metre</v>
      </c>
      <c r="M360" s="272"/>
      <c r="N360" s="273"/>
      <c r="O360" s="269"/>
      <c r="P360" s="37">
        <v>110690</v>
      </c>
      <c r="Q360" s="36" t="str">
        <f>CONCATENATE(Cover!$D$6,"fdd/view?i=",P360)</f>
        <v>https://www.dgiwg.org/FAD/fdd/view?i=110690</v>
      </c>
      <c r="R360" s="13" t="s">
        <v>7734</v>
      </c>
      <c r="S360" s="172"/>
      <c r="T360" s="172"/>
      <c r="AF360" s="82" t="s">
        <v>1790</v>
      </c>
    </row>
    <row r="361" spans="1:103" x14ac:dyDescent="0.2">
      <c r="A361" s="176" t="str">
        <f t="shared" si="9"/>
        <v>craneType</v>
      </c>
      <c r="B361" s="11" t="s">
        <v>7739</v>
      </c>
      <c r="C361" s="173"/>
      <c r="D361" s="22" t="s">
        <v>7740</v>
      </c>
      <c r="E361" s="15" t="s">
        <v>7741</v>
      </c>
      <c r="F361" s="174"/>
      <c r="G361" s="174"/>
      <c r="H361" s="17" t="s">
        <v>5932</v>
      </c>
      <c r="I361" s="269"/>
      <c r="J361" s="369" t="str">
        <f>HYPERLINK("[#]Datatypes!B388:L388","CraCode")</f>
        <v>CraCode</v>
      </c>
      <c r="K361" s="276"/>
      <c r="L361" s="272"/>
      <c r="M361" s="272"/>
      <c r="N361" s="248" t="str">
        <f>HYPERLINK("[#]DatatypeListedValues!A2629:H2629","&lt;values&gt;")</f>
        <v>&lt;values&gt;</v>
      </c>
      <c r="O361" s="277" t="b">
        <v>0</v>
      </c>
      <c r="P361" s="37">
        <v>100761</v>
      </c>
      <c r="Q361" s="36" t="str">
        <f>CONCATENATE(Cover!$D$6,"fdd/view?i=",P361)</f>
        <v>https://www.dgiwg.org/FAD/fdd/view?i=100761</v>
      </c>
      <c r="R361" s="13" t="s">
        <v>7738</v>
      </c>
      <c r="S361" s="172"/>
      <c r="T361" s="172"/>
      <c r="AF361" s="82" t="s">
        <v>1790</v>
      </c>
      <c r="CS361" s="165" t="s">
        <v>1790</v>
      </c>
      <c r="CT361" s="166" t="s">
        <v>1790</v>
      </c>
    </row>
    <row r="362" spans="1:103" x14ac:dyDescent="0.2">
      <c r="A362" s="176" t="str">
        <f t="shared" si="9"/>
        <v>craterType</v>
      </c>
      <c r="B362" s="11" t="s">
        <v>7744</v>
      </c>
      <c r="C362" s="173"/>
      <c r="D362" s="22" t="s">
        <v>7745</v>
      </c>
      <c r="E362" s="15" t="s">
        <v>7746</v>
      </c>
      <c r="F362" s="174"/>
      <c r="G362" s="174"/>
      <c r="H362" s="17" t="s">
        <v>5932</v>
      </c>
      <c r="I362" s="269"/>
      <c r="J362" s="369" t="str">
        <f>HYPERLINK("[#]Datatypes!B390:L390","CrtCode")</f>
        <v>CrtCode</v>
      </c>
      <c r="K362" s="276"/>
      <c r="L362" s="272"/>
      <c r="M362" s="272"/>
      <c r="N362" s="248" t="str">
        <f>HYPERLINK("[#]DatatypeListedValues!A2634:H2634","&lt;values&gt;")</f>
        <v>&lt;values&gt;</v>
      </c>
      <c r="O362" s="277" t="b">
        <v>0</v>
      </c>
      <c r="P362" s="37">
        <v>100767</v>
      </c>
      <c r="Q362" s="36" t="str">
        <f>CONCATENATE(Cover!$D$6,"fdd/view?i=",P362)</f>
        <v>https://www.dgiwg.org/FAD/fdd/view?i=100767</v>
      </c>
      <c r="R362" s="13" t="s">
        <v>7743</v>
      </c>
      <c r="S362" s="172"/>
      <c r="T362" s="172"/>
      <c r="BM362" s="82" t="s">
        <v>1790</v>
      </c>
      <c r="BQ362" s="82" t="s">
        <v>1790</v>
      </c>
      <c r="CS362" s="165" t="s">
        <v>1790</v>
      </c>
    </row>
    <row r="363" spans="1:103" ht="38.25" x14ac:dyDescent="0.2">
      <c r="A363" s="176" t="str">
        <f t="shared" si="9"/>
        <v>creationDateTime</v>
      </c>
      <c r="B363" s="11" t="s">
        <v>7749</v>
      </c>
      <c r="C363" s="173"/>
      <c r="D363" s="22" t="s">
        <v>7750</v>
      </c>
      <c r="E363" s="15" t="s">
        <v>7751</v>
      </c>
      <c r="F363" s="15" t="s">
        <v>7752</v>
      </c>
      <c r="G363" s="174"/>
      <c r="H363" s="17" t="s">
        <v>5932</v>
      </c>
      <c r="I363" s="269"/>
      <c r="J363" s="369" t="str">
        <f>HYPERLINK("[#]Datatypes!B392:L392","CdtStrucText")</f>
        <v>CdtStrucText</v>
      </c>
      <c r="K363" s="276"/>
      <c r="L363" s="272"/>
      <c r="M363" s="272"/>
      <c r="N363" s="273"/>
      <c r="O363" s="269"/>
      <c r="P363" s="37">
        <v>119180</v>
      </c>
      <c r="Q363" s="36" t="str">
        <f>CONCATENATE(Cover!$D$6,"fdd/view?i=",P363)</f>
        <v>https://www.dgiwg.org/FAD/fdd/view?i=119180</v>
      </c>
      <c r="R363" s="13" t="s">
        <v>7748</v>
      </c>
      <c r="S363" s="172"/>
      <c r="T363" s="172"/>
      <c r="CY363" s="165" t="s">
        <v>1790</v>
      </c>
    </row>
    <row r="364" spans="1:103" ht="51" x14ac:dyDescent="0.2">
      <c r="A364" s="176" t="str">
        <f t="shared" si="9"/>
        <v>creationProcessComplete</v>
      </c>
      <c r="B364" s="11" t="s">
        <v>7756</v>
      </c>
      <c r="C364" s="173"/>
      <c r="D364" s="22" t="s">
        <v>7757</v>
      </c>
      <c r="E364" s="15" t="s">
        <v>7758</v>
      </c>
      <c r="F364" s="174"/>
      <c r="G364" s="174"/>
      <c r="H364" s="17" t="s">
        <v>5932</v>
      </c>
      <c r="I364" s="269"/>
      <c r="J364" s="369" t="str">
        <f>HYPERLINK("[#]Datatypes!B240:L240","Boolean")</f>
        <v>Boolean</v>
      </c>
      <c r="K364" s="276"/>
      <c r="L364" s="272"/>
      <c r="M364" s="272"/>
      <c r="N364" s="273"/>
      <c r="O364" s="269"/>
      <c r="P364" s="37">
        <v>111502</v>
      </c>
      <c r="Q364" s="36" t="str">
        <f>CONCATENATE(Cover!$D$6,"fdd/view?i=",P364)</f>
        <v>https://www.dgiwg.org/FAD/fdd/view?i=111502</v>
      </c>
      <c r="R364" s="13" t="s">
        <v>7754</v>
      </c>
      <c r="S364" s="172"/>
      <c r="T364" s="13" t="s">
        <v>7755</v>
      </c>
      <c r="CW364" s="164" t="s">
        <v>1790</v>
      </c>
    </row>
    <row r="365" spans="1:103" ht="25.5" x14ac:dyDescent="0.2">
      <c r="A365" s="176" t="str">
        <f t="shared" si="9"/>
        <v>crewInjuries</v>
      </c>
      <c r="B365" s="11" t="s">
        <v>7760</v>
      </c>
      <c r="C365" s="173"/>
      <c r="D365" s="22" t="s">
        <v>7761</v>
      </c>
      <c r="E365" s="15" t="s">
        <v>7762</v>
      </c>
      <c r="F365" s="174"/>
      <c r="G365" s="174"/>
      <c r="H365" s="17" t="s">
        <v>5932</v>
      </c>
      <c r="I365" s="17" t="s">
        <v>6029</v>
      </c>
      <c r="J365" s="369" t="str">
        <f>HYPERLINK("[#]Datatypes!B394:L394","CinCode")</f>
        <v>CinCode</v>
      </c>
      <c r="K365" s="276"/>
      <c r="L365" s="272"/>
      <c r="M365" s="272"/>
      <c r="N365" s="248" t="str">
        <f>HYPERLINK("[#]DatatypeListedValues!A2639:H2639","&lt;values&gt;")</f>
        <v>&lt;values&gt;</v>
      </c>
      <c r="O365" s="277" t="b">
        <v>0</v>
      </c>
      <c r="P365" s="37">
        <v>111497</v>
      </c>
      <c r="Q365" s="36" t="str">
        <f>CONCATENATE(Cover!$D$6,"fdd/view?i=",P365)</f>
        <v>https://www.dgiwg.org/FAD/fdd/view?i=111497</v>
      </c>
      <c r="R365" s="13" t="s">
        <v>7759</v>
      </c>
      <c r="S365" s="172"/>
      <c r="T365" s="172"/>
      <c r="CL365" s="85" t="s">
        <v>1790</v>
      </c>
      <c r="CS365" s="165" t="s">
        <v>1790</v>
      </c>
    </row>
    <row r="366" spans="1:103" x14ac:dyDescent="0.2">
      <c r="A366" s="176" t="str">
        <f t="shared" si="9"/>
        <v>cropSpecies</v>
      </c>
      <c r="B366" s="11" t="s">
        <v>7765</v>
      </c>
      <c r="C366" s="173"/>
      <c r="D366" s="22" t="s">
        <v>7766</v>
      </c>
      <c r="E366" s="15" t="s">
        <v>7767</v>
      </c>
      <c r="F366" s="174"/>
      <c r="G366" s="174"/>
      <c r="H366" s="17" t="s">
        <v>5932</v>
      </c>
      <c r="I366" s="17" t="s">
        <v>6029</v>
      </c>
      <c r="J366" s="369" t="str">
        <f>HYPERLINK("[#]Datatypes!B396:L396","CspCode")</f>
        <v>CspCode</v>
      </c>
      <c r="K366" s="276"/>
      <c r="L366" s="272"/>
      <c r="M366" s="272"/>
      <c r="N366" s="248" t="str">
        <f>HYPERLINK("[#]DatatypeListedValues!A2643:H2643","&lt;values&gt;")</f>
        <v>&lt;values&gt;</v>
      </c>
      <c r="O366" s="277" t="b">
        <v>0</v>
      </c>
      <c r="P366" s="37">
        <v>109942</v>
      </c>
      <c r="Q366" s="36" t="str">
        <f>CONCATENATE(Cover!$D$6,"fdd/view?i=",P366)</f>
        <v>https://www.dgiwg.org/FAD/fdd/view?i=109942</v>
      </c>
      <c r="R366" s="13" t="s">
        <v>7764</v>
      </c>
      <c r="S366" s="172"/>
      <c r="T366" s="172"/>
      <c r="AC366" s="82" t="s">
        <v>1790</v>
      </c>
      <c r="BU366" s="87" t="s">
        <v>1790</v>
      </c>
      <c r="CT366" s="166" t="s">
        <v>1790</v>
      </c>
    </row>
    <row r="367" spans="1:103" ht="25.5" x14ac:dyDescent="0.2">
      <c r="A367" s="176" t="str">
        <f t="shared" si="9"/>
        <v>croplandCoverRatio</v>
      </c>
      <c r="B367" s="11" t="s">
        <v>7770</v>
      </c>
      <c r="C367" s="173"/>
      <c r="D367" s="22" t="s">
        <v>7771</v>
      </c>
      <c r="E367" s="15" t="s">
        <v>7772</v>
      </c>
      <c r="F367" s="174"/>
      <c r="G367" s="174"/>
      <c r="H367" s="17" t="s">
        <v>5932</v>
      </c>
      <c r="I367" s="269"/>
      <c r="J367" s="369" t="str">
        <f>HYPERLINK("[#]Datatypes!B1231:L1231","Real")</f>
        <v>Real</v>
      </c>
      <c r="K367" s="271" t="str">
        <f>HYPERLINK("[#]PhysicalQuantities!A39:N39","Pure Number")</f>
        <v>Pure Number</v>
      </c>
      <c r="L367" s="270" t="str">
        <f>HYPERLINK("[#]UnitsOfMeasure!D215:G215","Percent")</f>
        <v>Percent</v>
      </c>
      <c r="M367" s="272"/>
      <c r="N367" s="273"/>
      <c r="O367" s="269"/>
      <c r="P367" s="37">
        <v>111465</v>
      </c>
      <c r="Q367" s="36" t="str">
        <f>CONCATENATE(Cover!$D$6,"fdd/view?i=",P367)</f>
        <v>https://www.dgiwg.org/FAD/fdd/view?i=111465</v>
      </c>
      <c r="R367" s="13" t="s">
        <v>7769</v>
      </c>
      <c r="S367" s="172"/>
      <c r="T367" s="172"/>
      <c r="AM367" s="83" t="s">
        <v>1790</v>
      </c>
      <c r="BU367" s="87" t="s">
        <v>1790</v>
      </c>
      <c r="CQ367" s="165" t="s">
        <v>1790</v>
      </c>
    </row>
    <row r="368" spans="1:103" ht="25.5" x14ac:dyDescent="0.2">
      <c r="A368" s="176" t="str">
        <f t="shared" si="9"/>
        <v>crossCountryMoveIndex</v>
      </c>
      <c r="B368" s="11" t="s">
        <v>7774</v>
      </c>
      <c r="C368" s="173"/>
      <c r="D368" s="22" t="s">
        <v>7775</v>
      </c>
      <c r="E368" s="15" t="s">
        <v>7776</v>
      </c>
      <c r="F368" s="15" t="s">
        <v>7777</v>
      </c>
      <c r="G368" s="174"/>
      <c r="H368" s="17" t="s">
        <v>5932</v>
      </c>
      <c r="I368" s="269"/>
      <c r="J368" s="369" t="str">
        <f>HYPERLINK("[#]Datatypes!B744:L744","Integer0to100")</f>
        <v>Integer0to100</v>
      </c>
      <c r="K368" s="271" t="str">
        <f>HYPERLINK("[#]PhysicalQuantities!A39:N39","Pure Number")</f>
        <v>Pure Number</v>
      </c>
      <c r="L368" s="270" t="str">
        <f>HYPERLINK("[#]UnitsOfMeasure!D213:G213","Unitless")</f>
        <v>Unitless</v>
      </c>
      <c r="M368" s="272"/>
      <c r="N368" s="273"/>
      <c r="O368" s="269"/>
      <c r="P368" s="37">
        <v>114413</v>
      </c>
      <c r="Q368" s="36" t="str">
        <f>CONCATENATE(Cover!$D$6,"fdd/view?i=",P368)</f>
        <v>https://www.dgiwg.org/FAD/fdd/view?i=114413</v>
      </c>
      <c r="R368" s="13" t="s">
        <v>7773</v>
      </c>
      <c r="S368" s="172"/>
      <c r="T368" s="172"/>
      <c r="AQ368" s="82" t="s">
        <v>1790</v>
      </c>
      <c r="AU368" s="82" t="s">
        <v>1790</v>
      </c>
      <c r="CS368" s="165" t="s">
        <v>1790</v>
      </c>
    </row>
    <row r="369" spans="1:99" ht="25.5" x14ac:dyDescent="0.2">
      <c r="A369" s="176" t="str">
        <f t="shared" si="9"/>
        <v>crossSectionalProfile</v>
      </c>
      <c r="B369" s="11" t="s">
        <v>7780</v>
      </c>
      <c r="C369" s="173"/>
      <c r="D369" s="22" t="s">
        <v>7781</v>
      </c>
      <c r="E369" s="15" t="s">
        <v>7782</v>
      </c>
      <c r="F369" s="174"/>
      <c r="G369" s="174"/>
      <c r="H369" s="17" t="s">
        <v>5932</v>
      </c>
      <c r="I369" s="269"/>
      <c r="J369" s="369" t="str">
        <f>HYPERLINK("[#]Datatypes!B398:L398","TcsCode")</f>
        <v>TcsCode</v>
      </c>
      <c r="K369" s="276"/>
      <c r="L369" s="272"/>
      <c r="M369" s="272"/>
      <c r="N369" s="248" t="str">
        <f>HYPERLINK("[#]DatatypeListedValues!A2796:H2796","&lt;values&gt;")</f>
        <v>&lt;values&gt;</v>
      </c>
      <c r="O369" s="277" t="b">
        <v>0</v>
      </c>
      <c r="P369" s="37">
        <v>101360</v>
      </c>
      <c r="Q369" s="36" t="str">
        <f>CONCATENATE(Cover!$D$6,"fdd/view?i=",P369)</f>
        <v>https://www.dgiwg.org/FAD/fdd/view?i=101360</v>
      </c>
      <c r="R369" s="13" t="s">
        <v>7779</v>
      </c>
      <c r="S369" s="172"/>
      <c r="T369" s="172"/>
      <c r="CS369" s="165" t="s">
        <v>1790</v>
      </c>
    </row>
    <row r="370" spans="1:99" x14ac:dyDescent="0.2">
      <c r="A370" s="176" t="str">
        <f t="shared" si="9"/>
        <v>crossSectionalShape</v>
      </c>
      <c r="B370" s="11" t="s">
        <v>7785</v>
      </c>
      <c r="C370" s="173"/>
      <c r="D370" s="22" t="s">
        <v>7786</v>
      </c>
      <c r="E370" s="15" t="s">
        <v>7787</v>
      </c>
      <c r="F370" s="174"/>
      <c r="G370" s="174"/>
      <c r="H370" s="17" t="s">
        <v>5932</v>
      </c>
      <c r="I370" s="269"/>
      <c r="J370" s="369" t="str">
        <f>HYPERLINK("[#]Datatypes!B400:L400","CssCode")</f>
        <v>CssCode</v>
      </c>
      <c r="K370" s="276"/>
      <c r="L370" s="272"/>
      <c r="M370" s="272"/>
      <c r="N370" s="248" t="str">
        <f>HYPERLINK("[#]DatatypeListedValues!A2800:H2800","&lt;values&gt;")</f>
        <v>&lt;values&gt;</v>
      </c>
      <c r="O370" s="277" t="b">
        <v>0</v>
      </c>
      <c r="P370" s="37">
        <v>103057</v>
      </c>
      <c r="Q370" s="36" t="str">
        <f>CONCATENATE(Cover!$D$6,"fdd/view?i=",P370)</f>
        <v>https://www.dgiwg.org/FAD/fdd/view?i=103057</v>
      </c>
      <c r="R370" s="13" t="s">
        <v>7784</v>
      </c>
      <c r="S370" s="172"/>
      <c r="T370" s="172"/>
      <c r="CS370" s="165" t="s">
        <v>1790</v>
      </c>
    </row>
    <row r="371" spans="1:99" ht="153" x14ac:dyDescent="0.2">
      <c r="A371" s="176" t="str">
        <f t="shared" si="9"/>
        <v>crownDiameter</v>
      </c>
      <c r="B371" s="11" t="s">
        <v>7790</v>
      </c>
      <c r="C371" s="173"/>
      <c r="D371" s="22" t="s">
        <v>7791</v>
      </c>
      <c r="E371" s="15" t="s">
        <v>7792</v>
      </c>
      <c r="F371" s="15" t="s">
        <v>7793</v>
      </c>
      <c r="G371" s="174"/>
      <c r="H371" s="17" t="s">
        <v>5932</v>
      </c>
      <c r="I371" s="269"/>
      <c r="J371" s="369" t="str">
        <f>HYPERLINK("[#]Datatypes!B1233:L1233","RealInterval")</f>
        <v>RealInterval</v>
      </c>
      <c r="K371" s="271" t="str">
        <f>HYPERLINK("[#]PhysicalQuantities!A20:N20","Length")</f>
        <v>Length</v>
      </c>
      <c r="L371" s="270" t="str">
        <f>HYPERLINK("[#]UnitsOfMeasure!D80:G80","Metre")</f>
        <v>Metre</v>
      </c>
      <c r="M371" s="272"/>
      <c r="N371" s="273"/>
      <c r="O371" s="269"/>
      <c r="P371" s="37">
        <v>110689</v>
      </c>
      <c r="Q371" s="36" t="str">
        <f>CONCATENATE(Cover!$D$6,"fdd/view?i=",P371)</f>
        <v>https://www.dgiwg.org/FAD/fdd/view?i=110689</v>
      </c>
      <c r="R371" s="13" t="s">
        <v>7789</v>
      </c>
      <c r="S371" s="172"/>
      <c r="T371" s="172"/>
      <c r="BW371" s="83" t="s">
        <v>1790</v>
      </c>
      <c r="CQ371" s="165" t="s">
        <v>1790</v>
      </c>
    </row>
    <row r="372" spans="1:99" ht="25.5" x14ac:dyDescent="0.2">
      <c r="A372" s="176" t="str">
        <f t="shared" si="9"/>
        <v>culturalContextType</v>
      </c>
      <c r="B372" s="11" t="s">
        <v>7795</v>
      </c>
      <c r="C372" s="173"/>
      <c r="D372" s="22" t="s">
        <v>7796</v>
      </c>
      <c r="E372" s="15" t="s">
        <v>7797</v>
      </c>
      <c r="F372" s="174"/>
      <c r="G372" s="174"/>
      <c r="H372" s="17" t="s">
        <v>5932</v>
      </c>
      <c r="I372" s="269"/>
      <c r="J372" s="369" t="str">
        <f>HYPERLINK("[#]Datatypes!B402:L402","CulCode")</f>
        <v>CulCode</v>
      </c>
      <c r="K372" s="276"/>
      <c r="L372" s="272"/>
      <c r="M372" s="272"/>
      <c r="N372" s="248" t="str">
        <f>HYPERLINK("[#]DatatypeListedValues!A2810:H2810","&lt;values&gt;")</f>
        <v>&lt;values&gt;</v>
      </c>
      <c r="O372" s="277" t="b">
        <v>0</v>
      </c>
      <c r="P372" s="37">
        <v>111506</v>
      </c>
      <c r="Q372" s="36" t="str">
        <f>CONCATENATE(Cover!$D$6,"fdd/view?i=",P372)</f>
        <v>https://www.dgiwg.org/FAD/fdd/view?i=111506</v>
      </c>
      <c r="R372" s="13" t="s">
        <v>7794</v>
      </c>
      <c r="S372" s="172"/>
      <c r="T372" s="172"/>
      <c r="AO372" s="89" t="s">
        <v>1790</v>
      </c>
    </row>
    <row r="373" spans="1:99" ht="25.5" x14ac:dyDescent="0.2">
      <c r="A373" s="176" t="str">
        <f t="shared" si="9"/>
        <v>culturalCover</v>
      </c>
      <c r="B373" s="11" t="s">
        <v>7800</v>
      </c>
      <c r="C373" s="173"/>
      <c r="D373" s="22" t="s">
        <v>7801</v>
      </c>
      <c r="E373" s="15" t="s">
        <v>7802</v>
      </c>
      <c r="F373" s="174"/>
      <c r="G373" s="174"/>
      <c r="H373" s="17" t="s">
        <v>5932</v>
      </c>
      <c r="I373" s="269"/>
      <c r="J373" s="369" t="str">
        <f>HYPERLINK("[#]Datatypes!B1238:L1238","RealNonNegInterval100")</f>
        <v>RealNonNegInterval100</v>
      </c>
      <c r="K373" s="271" t="str">
        <f>HYPERLINK("[#]PhysicalQuantities!A39:N39","Pure Number")</f>
        <v>Pure Number</v>
      </c>
      <c r="L373" s="270" t="str">
        <f>HYPERLINK("[#]UnitsOfMeasure!D215:G215","Percent")</f>
        <v>Percent</v>
      </c>
      <c r="M373" s="272"/>
      <c r="N373" s="273"/>
      <c r="O373" s="269"/>
      <c r="P373" s="37">
        <v>110688</v>
      </c>
      <c r="Q373" s="36" t="str">
        <f>CONCATENATE(Cover!$D$6,"fdd/view?i=",P373)</f>
        <v>https://www.dgiwg.org/FAD/fdd/view?i=110688</v>
      </c>
      <c r="R373" s="13" t="s">
        <v>7799</v>
      </c>
      <c r="S373" s="172"/>
      <c r="T373" s="172"/>
      <c r="AI373" s="87" t="s">
        <v>1790</v>
      </c>
      <c r="CQ373" s="165" t="s">
        <v>1790</v>
      </c>
    </row>
    <row r="374" spans="1:99" x14ac:dyDescent="0.2">
      <c r="A374" s="176" t="str">
        <f t="shared" si="9"/>
        <v>culturalEconomicSystem</v>
      </c>
      <c r="B374" s="11" t="s">
        <v>7804</v>
      </c>
      <c r="C374" s="173"/>
      <c r="D374" s="22" t="s">
        <v>7805</v>
      </c>
      <c r="E374" s="15" t="s">
        <v>7806</v>
      </c>
      <c r="F374" s="174"/>
      <c r="G374" s="174"/>
      <c r="H374" s="17" t="s">
        <v>5932</v>
      </c>
      <c r="I374" s="17" t="s">
        <v>6029</v>
      </c>
      <c r="J374" s="369" t="str">
        <f>HYPERLINK("[#]Datatypes!B404:L404","EtuCode")</f>
        <v>EtuCode</v>
      </c>
      <c r="K374" s="276"/>
      <c r="L374" s="272"/>
      <c r="M374" s="272"/>
      <c r="N374" s="248" t="str">
        <f>HYPERLINK("[#]DatatypeListedValues!A2817:H2817","&lt;values&gt;")</f>
        <v>&lt;values&gt;</v>
      </c>
      <c r="O374" s="277" t="b">
        <v>0</v>
      </c>
      <c r="P374" s="37">
        <v>111547</v>
      </c>
      <c r="Q374" s="36" t="str">
        <f>CONCATENATE(Cover!$D$6,"fdd/view?i=",P374)</f>
        <v>https://www.dgiwg.org/FAD/fdd/view?i=111547</v>
      </c>
      <c r="R374" s="13" t="s">
        <v>7803</v>
      </c>
      <c r="S374" s="172"/>
      <c r="T374" s="172"/>
      <c r="AK374" s="83" t="s">
        <v>1790</v>
      </c>
      <c r="AO374" s="89" t="s">
        <v>1790</v>
      </c>
      <c r="CS374" s="165" t="s">
        <v>1790</v>
      </c>
    </row>
    <row r="375" spans="1:99" x14ac:dyDescent="0.2">
      <c r="A375" s="176" t="str">
        <f t="shared" si="9"/>
        <v>culturalFacilityType</v>
      </c>
      <c r="B375" s="11" t="s">
        <v>7809</v>
      </c>
      <c r="C375" s="173"/>
      <c r="D375" s="22" t="s">
        <v>7810</v>
      </c>
      <c r="E375" s="15" t="s">
        <v>7811</v>
      </c>
      <c r="F375" s="174"/>
      <c r="G375" s="174"/>
      <c r="H375" s="17" t="s">
        <v>5932</v>
      </c>
      <c r="I375" s="269"/>
      <c r="J375" s="369" t="str">
        <f>HYPERLINK("[#]Datatypes!B406:L406","CefCode")</f>
        <v>CefCode</v>
      </c>
      <c r="K375" s="276"/>
      <c r="L375" s="272"/>
      <c r="M375" s="272"/>
      <c r="N375" s="248" t="str">
        <f>HYPERLINK("[#]DatatypeListedValues!A2826:H2826","&lt;values&gt;")</f>
        <v>&lt;values&gt;</v>
      </c>
      <c r="O375" s="277" t="b">
        <v>0</v>
      </c>
      <c r="P375" s="37">
        <v>100735</v>
      </c>
      <c r="Q375" s="36" t="str">
        <f>CONCATENATE(Cover!$D$6,"fdd/view?i=",P375)</f>
        <v>https://www.dgiwg.org/FAD/fdd/view?i=100735</v>
      </c>
      <c r="R375" s="13" t="s">
        <v>7808</v>
      </c>
      <c r="S375" s="172"/>
      <c r="T375" s="172"/>
      <c r="AI375" s="87" t="s">
        <v>1790</v>
      </c>
      <c r="AL375" s="83" t="s">
        <v>1790</v>
      </c>
      <c r="AN375" s="83" t="s">
        <v>1790</v>
      </c>
      <c r="CT375" s="166" t="s">
        <v>1790</v>
      </c>
    </row>
    <row r="376" spans="1:99" x14ac:dyDescent="0.2">
      <c r="A376" s="176" t="str">
        <f t="shared" si="9"/>
        <v>culturalGroupAddNames</v>
      </c>
      <c r="B376" s="11" t="s">
        <v>7814</v>
      </c>
      <c r="C376" s="173"/>
      <c r="D376" s="22" t="s">
        <v>7815</v>
      </c>
      <c r="E376" s="15" t="s">
        <v>7816</v>
      </c>
      <c r="F376" s="15" t="s">
        <v>7817</v>
      </c>
      <c r="G376" s="174"/>
      <c r="H376" s="17" t="s">
        <v>5932</v>
      </c>
      <c r="I376" s="269"/>
      <c r="J376" s="369" t="str">
        <f>HYPERLINK("[#]Datatypes!B1544:L1544","TextLexUnconstrained")</f>
        <v>TextLexUnconstrained</v>
      </c>
      <c r="K376" s="276"/>
      <c r="L376" s="272"/>
      <c r="M376" s="272"/>
      <c r="N376" s="273"/>
      <c r="O376" s="269"/>
      <c r="P376" s="37">
        <v>111543</v>
      </c>
      <c r="Q376" s="36" t="str">
        <f>CONCATENATE(Cover!$D$6,"fdd/view?i=",P376)</f>
        <v>https://www.dgiwg.org/FAD/fdd/view?i=111543</v>
      </c>
      <c r="R376" s="13" t="s">
        <v>7813</v>
      </c>
      <c r="S376" s="172"/>
      <c r="T376" s="172"/>
      <c r="AO376" s="89" t="s">
        <v>1790</v>
      </c>
      <c r="CU376" s="87" t="s">
        <v>1790</v>
      </c>
    </row>
    <row r="377" spans="1:99" ht="25.5" x14ac:dyDescent="0.2">
      <c r="A377" s="176" t="str">
        <f t="shared" si="9"/>
        <v>culturalGroupCharacter</v>
      </c>
      <c r="B377" s="11" t="s">
        <v>7819</v>
      </c>
      <c r="C377" s="173"/>
      <c r="D377" s="22" t="s">
        <v>7820</v>
      </c>
      <c r="E377" s="15" t="s">
        <v>7821</v>
      </c>
      <c r="F377" s="174"/>
      <c r="G377" s="174"/>
      <c r="H377" s="17" t="s">
        <v>5932</v>
      </c>
      <c r="I377" s="269"/>
      <c r="J377" s="369" t="str">
        <f>HYPERLINK("[#]Datatypes!B1544:L1544","TextLexUnconstrained")</f>
        <v>TextLexUnconstrained</v>
      </c>
      <c r="K377" s="276"/>
      <c r="L377" s="272"/>
      <c r="M377" s="272"/>
      <c r="N377" s="273"/>
      <c r="O377" s="269"/>
      <c r="P377" s="37">
        <v>111545</v>
      </c>
      <c r="Q377" s="36" t="str">
        <f>CONCATENATE(Cover!$D$6,"fdd/view?i=",P377)</f>
        <v>https://www.dgiwg.org/FAD/fdd/view?i=111545</v>
      </c>
      <c r="R377" s="13" t="s">
        <v>7818</v>
      </c>
      <c r="S377" s="172"/>
      <c r="T377" s="172"/>
      <c r="AO377" s="89" t="s">
        <v>1790</v>
      </c>
      <c r="CS377" s="165" t="s">
        <v>1790</v>
      </c>
    </row>
    <row r="378" spans="1:99" ht="25.5" x14ac:dyDescent="0.2">
      <c r="A378" s="176" t="str">
        <f t="shared" si="9"/>
        <v>culturalGroupFraction</v>
      </c>
      <c r="B378" s="11" t="s">
        <v>7823</v>
      </c>
      <c r="C378" s="173"/>
      <c r="D378" s="22" t="s">
        <v>7824</v>
      </c>
      <c r="E378" s="15" t="s">
        <v>7825</v>
      </c>
      <c r="F378" s="174"/>
      <c r="G378" s="174"/>
      <c r="H378" s="17" t="s">
        <v>5932</v>
      </c>
      <c r="I378" s="269"/>
      <c r="J378" s="369" t="str">
        <f>HYPERLINK("[#]Datatypes!B1231:L1231","Real")</f>
        <v>Real</v>
      </c>
      <c r="K378" s="271" t="str">
        <f>HYPERLINK("[#]PhysicalQuantities!A39:N39","Pure Number")</f>
        <v>Pure Number</v>
      </c>
      <c r="L378" s="270" t="str">
        <f>HYPERLINK("[#]UnitsOfMeasure!D215:G215","Percent")</f>
        <v>Percent</v>
      </c>
      <c r="M378" s="272"/>
      <c r="N378" s="273"/>
      <c r="O378" s="269"/>
      <c r="P378" s="37">
        <v>111544</v>
      </c>
      <c r="Q378" s="36" t="str">
        <f>CONCATENATE(Cover!$D$6,"fdd/view?i=",P378)</f>
        <v>https://www.dgiwg.org/FAD/fdd/view?i=111544</v>
      </c>
      <c r="R378" s="13" t="s">
        <v>7822</v>
      </c>
      <c r="S378" s="172"/>
      <c r="T378" s="172"/>
      <c r="AM378" s="83" t="s">
        <v>1790</v>
      </c>
      <c r="AO378" s="89" t="s">
        <v>1790</v>
      </c>
      <c r="CQ378" s="165" t="s">
        <v>1790</v>
      </c>
    </row>
    <row r="379" spans="1:99" ht="38.25" x14ac:dyDescent="0.2">
      <c r="A379" s="176" t="str">
        <f t="shared" si="9"/>
        <v>culturalGroupGeneralName</v>
      </c>
      <c r="B379" s="11" t="s">
        <v>7827</v>
      </c>
      <c r="C379" s="173"/>
      <c r="D379" s="22" t="s">
        <v>7828</v>
      </c>
      <c r="E379" s="15" t="s">
        <v>7829</v>
      </c>
      <c r="F379" s="174"/>
      <c r="G379" s="174"/>
      <c r="H379" s="17" t="s">
        <v>5932</v>
      </c>
      <c r="I379" s="269"/>
      <c r="J379" s="369" t="str">
        <f>HYPERLINK("[#]Datatypes!B1544:L1544","TextLexUnconstrained")</f>
        <v>TextLexUnconstrained</v>
      </c>
      <c r="K379" s="276"/>
      <c r="L379" s="272"/>
      <c r="M379" s="272"/>
      <c r="N379" s="273"/>
      <c r="O379" s="269"/>
      <c r="P379" s="37">
        <v>111542</v>
      </c>
      <c r="Q379" s="36" t="str">
        <f>CONCATENATE(Cover!$D$6,"fdd/view?i=",P379)</f>
        <v>https://www.dgiwg.org/FAD/fdd/view?i=111542</v>
      </c>
      <c r="R379" s="13" t="s">
        <v>7826</v>
      </c>
      <c r="S379" s="172"/>
      <c r="T379" s="172"/>
      <c r="AO379" s="89" t="s">
        <v>1790</v>
      </c>
      <c r="CU379" s="87" t="s">
        <v>1790</v>
      </c>
    </row>
    <row r="380" spans="1:99" x14ac:dyDescent="0.2">
      <c r="A380" s="176" t="str">
        <f t="shared" si="9"/>
        <v>culturalGroupLeaderName</v>
      </c>
      <c r="B380" s="11" t="s">
        <v>7831</v>
      </c>
      <c r="C380" s="173"/>
      <c r="D380" s="22" t="s">
        <v>7832</v>
      </c>
      <c r="E380" s="15" t="s">
        <v>7833</v>
      </c>
      <c r="F380" s="174"/>
      <c r="G380" s="174"/>
      <c r="H380" s="17" t="s">
        <v>5932</v>
      </c>
      <c r="I380" s="269"/>
      <c r="J380" s="369" t="str">
        <f>HYPERLINK("[#]Datatypes!B1544:L1544","TextLexUnconstrained")</f>
        <v>TextLexUnconstrained</v>
      </c>
      <c r="K380" s="276"/>
      <c r="L380" s="272"/>
      <c r="M380" s="272"/>
      <c r="N380" s="273"/>
      <c r="O380" s="269"/>
      <c r="P380" s="37">
        <v>111646</v>
      </c>
      <c r="Q380" s="36" t="str">
        <f>CONCATENATE(Cover!$D$6,"fdd/view?i=",P380)</f>
        <v>https://www.dgiwg.org/FAD/fdd/view?i=111646</v>
      </c>
      <c r="R380" s="13" t="s">
        <v>7830</v>
      </c>
      <c r="S380" s="172"/>
      <c r="T380" s="172"/>
      <c r="AM380" s="83" t="s">
        <v>1790</v>
      </c>
      <c r="AO380" s="89" t="s">
        <v>1790</v>
      </c>
      <c r="CU380" s="87" t="s">
        <v>1790</v>
      </c>
    </row>
    <row r="381" spans="1:99" ht="25.5" x14ac:dyDescent="0.2">
      <c r="A381" s="176" t="str">
        <f t="shared" si="9"/>
        <v>culturalGroupName</v>
      </c>
      <c r="B381" s="11" t="s">
        <v>7835</v>
      </c>
      <c r="C381" s="173"/>
      <c r="D381" s="22" t="s">
        <v>7836</v>
      </c>
      <c r="E381" s="15" t="s">
        <v>7837</v>
      </c>
      <c r="F381" s="174"/>
      <c r="G381" s="174"/>
      <c r="H381" s="17" t="s">
        <v>5932</v>
      </c>
      <c r="I381" s="269"/>
      <c r="J381" s="369" t="str">
        <f>HYPERLINK("[#]Datatypes!B1544:L1544","TextLexUnconstrained")</f>
        <v>TextLexUnconstrained</v>
      </c>
      <c r="K381" s="276"/>
      <c r="L381" s="272"/>
      <c r="M381" s="272"/>
      <c r="N381" s="273"/>
      <c r="O381" s="269"/>
      <c r="P381" s="37">
        <v>111541</v>
      </c>
      <c r="Q381" s="36" t="str">
        <f>CONCATENATE(Cover!$D$6,"fdd/view?i=",P381)</f>
        <v>https://www.dgiwg.org/FAD/fdd/view?i=111541</v>
      </c>
      <c r="R381" s="13" t="s">
        <v>7834</v>
      </c>
      <c r="S381" s="172"/>
      <c r="T381" s="172"/>
      <c r="AO381" s="89" t="s">
        <v>1790</v>
      </c>
      <c r="CU381" s="87" t="s">
        <v>1790</v>
      </c>
    </row>
    <row r="382" spans="1:99" ht="25.5" x14ac:dyDescent="0.2">
      <c r="A382" s="176" t="str">
        <f t="shared" si="9"/>
        <v>cultureRuleStructure</v>
      </c>
      <c r="B382" s="11" t="s">
        <v>7839</v>
      </c>
      <c r="C382" s="173"/>
      <c r="D382" s="22" t="s">
        <v>7840</v>
      </c>
      <c r="E382" s="15" t="s">
        <v>7841</v>
      </c>
      <c r="F382" s="174"/>
      <c r="G382" s="174"/>
      <c r="H382" s="17" t="s">
        <v>5932</v>
      </c>
      <c r="I382" s="269"/>
      <c r="J382" s="369" t="str">
        <f>HYPERLINK("[#]Datatypes!B408:L408","EtvCode")</f>
        <v>EtvCode</v>
      </c>
      <c r="K382" s="276"/>
      <c r="L382" s="272"/>
      <c r="M382" s="272"/>
      <c r="N382" s="248" t="str">
        <f>HYPERLINK("[#]DatatypeListedValues!A2840:H2840","&lt;values&gt;")</f>
        <v>&lt;values&gt;</v>
      </c>
      <c r="O382" s="277" t="b">
        <v>0</v>
      </c>
      <c r="P382" s="37">
        <v>114476</v>
      </c>
      <c r="Q382" s="36" t="str">
        <f>CONCATENATE(Cover!$D$6,"fdd/view?i=",P382)</f>
        <v>https://www.dgiwg.org/FAD/fdd/view?i=114476</v>
      </c>
      <c r="R382" s="13" t="s">
        <v>7838</v>
      </c>
      <c r="S382" s="172"/>
      <c r="T382" s="172"/>
      <c r="AO382" s="89" t="s">
        <v>1790</v>
      </c>
      <c r="CT382" s="166" t="s">
        <v>1790</v>
      </c>
    </row>
    <row r="383" spans="1:99" x14ac:dyDescent="0.2">
      <c r="A383" s="176" t="str">
        <f t="shared" si="9"/>
        <v>cultureRuleStructureDesc</v>
      </c>
      <c r="B383" s="11" t="s">
        <v>7844</v>
      </c>
      <c r="C383" s="173"/>
      <c r="D383" s="22" t="s">
        <v>7845</v>
      </c>
      <c r="E383" s="15" t="s">
        <v>7846</v>
      </c>
      <c r="F383" s="174"/>
      <c r="G383" s="174"/>
      <c r="H383" s="17" t="s">
        <v>5932</v>
      </c>
      <c r="I383" s="269"/>
      <c r="J383" s="369" t="str">
        <f>HYPERLINK("[#]Datatypes!B1528:L1528","Text")</f>
        <v>Text</v>
      </c>
      <c r="K383" s="276"/>
      <c r="L383" s="272"/>
      <c r="M383" s="272"/>
      <c r="N383" s="273"/>
      <c r="O383" s="269"/>
      <c r="P383" s="37">
        <v>114477</v>
      </c>
      <c r="Q383" s="36" t="str">
        <f>CONCATENATE(Cover!$D$6,"fdd/view?i=",P383)</f>
        <v>https://www.dgiwg.org/FAD/fdd/view?i=114477</v>
      </c>
      <c r="R383" s="13" t="s">
        <v>7843</v>
      </c>
      <c r="S383" s="172"/>
      <c r="T383" s="172"/>
      <c r="AO383" s="89" t="s">
        <v>1790</v>
      </c>
      <c r="CT383" s="166" t="s">
        <v>1790</v>
      </c>
    </row>
    <row r="384" spans="1:99" x14ac:dyDescent="0.2">
      <c r="A384" s="176" t="str">
        <f t="shared" si="9"/>
        <v>culvertType</v>
      </c>
      <c r="B384" s="11" t="s">
        <v>7848</v>
      </c>
      <c r="C384" s="173"/>
      <c r="D384" s="22" t="s">
        <v>7849</v>
      </c>
      <c r="E384" s="15" t="s">
        <v>7850</v>
      </c>
      <c r="F384" s="174"/>
      <c r="G384" s="174"/>
      <c r="H384" s="17" t="s">
        <v>5932</v>
      </c>
      <c r="I384" s="269"/>
      <c r="J384" s="369" t="str">
        <f>HYPERLINK("[#]Datatypes!B410:L410","CtcCode")</f>
        <v>CtcCode</v>
      </c>
      <c r="K384" s="276"/>
      <c r="L384" s="272"/>
      <c r="M384" s="272"/>
      <c r="N384" s="248" t="str">
        <f>HYPERLINK("[#]DatatypeListedValues!A2844:H2844","&lt;values&gt;")</f>
        <v>&lt;values&gt;</v>
      </c>
      <c r="O384" s="277" t="b">
        <v>0</v>
      </c>
      <c r="P384" s="37">
        <v>100773</v>
      </c>
      <c r="Q384" s="36" t="str">
        <f>CONCATENATE(Cover!$D$6,"fdd/view?i=",P384)</f>
        <v>https://www.dgiwg.org/FAD/fdd/view?i=100773</v>
      </c>
      <c r="R384" s="13" t="s">
        <v>7847</v>
      </c>
      <c r="S384" s="172"/>
      <c r="T384" s="172"/>
      <c r="BJ384" s="83" t="s">
        <v>1790</v>
      </c>
      <c r="CS384" s="165" t="s">
        <v>1790</v>
      </c>
    </row>
    <row r="385" spans="1:103" ht="38.25" x14ac:dyDescent="0.2">
      <c r="A385" s="176" t="str">
        <f t="shared" si="9"/>
        <v>cumulativeTrackLength</v>
      </c>
      <c r="B385" s="11" t="s">
        <v>7853</v>
      </c>
      <c r="C385" s="173"/>
      <c r="D385" s="22" t="s">
        <v>7854</v>
      </c>
      <c r="E385" s="15" t="s">
        <v>7855</v>
      </c>
      <c r="F385" s="174"/>
      <c r="G385" s="174"/>
      <c r="H385" s="17" t="s">
        <v>5932</v>
      </c>
      <c r="I385" s="269"/>
      <c r="J385" s="369" t="str">
        <f>HYPERLINK("[#]Datatypes!B1233:L1233","RealInterval")</f>
        <v>RealInterval</v>
      </c>
      <c r="K385" s="271" t="str">
        <f>HYPERLINK("[#]PhysicalQuantities!A20:N20","Length")</f>
        <v>Length</v>
      </c>
      <c r="L385" s="270" t="str">
        <f>HYPERLINK("[#]UnitsOfMeasure!D80:G80","Metre")</f>
        <v>Metre</v>
      </c>
      <c r="M385" s="272"/>
      <c r="N385" s="273"/>
      <c r="O385" s="269"/>
      <c r="P385" s="37">
        <v>110691</v>
      </c>
      <c r="Q385" s="36" t="str">
        <f>CONCATENATE(Cover!$D$6,"fdd/view?i=",P385)</f>
        <v>https://www.dgiwg.org/FAD/fdd/view?i=110691</v>
      </c>
      <c r="R385" s="13" t="s">
        <v>7852</v>
      </c>
      <c r="S385" s="172"/>
      <c r="T385" s="172"/>
      <c r="AW385" s="82" t="s">
        <v>1790</v>
      </c>
      <c r="CQ385" s="165" t="s">
        <v>1790</v>
      </c>
    </row>
    <row r="386" spans="1:103" x14ac:dyDescent="0.2">
      <c r="A386" s="176" t="str">
        <f t="shared" si="9"/>
        <v>currentRate</v>
      </c>
      <c r="B386" s="11" t="s">
        <v>7857</v>
      </c>
      <c r="C386" s="173"/>
      <c r="D386" s="22" t="s">
        <v>7858</v>
      </c>
      <c r="E386" s="15" t="s">
        <v>7859</v>
      </c>
      <c r="F386" s="174"/>
      <c r="G386" s="174"/>
      <c r="H386" s="17" t="s">
        <v>5932</v>
      </c>
      <c r="I386" s="269"/>
      <c r="J386" s="369" t="str">
        <f>HYPERLINK("[#]Datatypes!B1233:L1233","RealInterval")</f>
        <v>RealInterval</v>
      </c>
      <c r="K386" s="271" t="str">
        <f>HYPERLINK("[#]PhysicalQuantities!A48:N48","Speed")</f>
        <v>Speed</v>
      </c>
      <c r="L386" s="270" t="str">
        <f>HYPERLINK("[#]UnitsOfMeasure!D251:G251","Knot")</f>
        <v>Knot</v>
      </c>
      <c r="M386" s="272"/>
      <c r="N386" s="273"/>
      <c r="O386" s="269"/>
      <c r="P386" s="37">
        <v>100766</v>
      </c>
      <c r="Q386" s="36" t="str">
        <f>CONCATENATE(Cover!$D$6,"fdd/view?i=",P386)</f>
        <v>https://www.dgiwg.org/FAD/fdd/view?i=100766</v>
      </c>
      <c r="R386" s="13" t="s">
        <v>7856</v>
      </c>
      <c r="S386" s="172"/>
      <c r="T386" s="172"/>
      <c r="BE386" s="83" t="s">
        <v>1790</v>
      </c>
      <c r="BJ386" s="83" t="s">
        <v>1790</v>
      </c>
      <c r="CQ386" s="165" t="s">
        <v>1790</v>
      </c>
    </row>
    <row r="387" spans="1:103" x14ac:dyDescent="0.2">
      <c r="A387" s="176" t="str">
        <f t="shared" ref="A387:A450" si="10">HYPERLINK(Q387,R387)</f>
        <v>currentRateMaximum</v>
      </c>
      <c r="B387" s="11" t="s">
        <v>7861</v>
      </c>
      <c r="C387" s="173"/>
      <c r="D387" s="22" t="s">
        <v>7862</v>
      </c>
      <c r="E387" s="15" t="s">
        <v>7863</v>
      </c>
      <c r="F387" s="174"/>
      <c r="G387" s="174"/>
      <c r="H387" s="17" t="s">
        <v>5932</v>
      </c>
      <c r="I387" s="269"/>
      <c r="J387" s="369" t="str">
        <f>HYPERLINK("[#]Datatypes!B1231:L1231","Real")</f>
        <v>Real</v>
      </c>
      <c r="K387" s="271" t="str">
        <f>HYPERLINK("[#]PhysicalQuantities!A48:N48","Speed")</f>
        <v>Speed</v>
      </c>
      <c r="L387" s="270" t="str">
        <f>HYPERLINK("[#]UnitsOfMeasure!D251:G251","Knot")</f>
        <v>Knot</v>
      </c>
      <c r="M387" s="272"/>
      <c r="N387" s="273"/>
      <c r="O387" s="269"/>
      <c r="P387" s="37">
        <v>100769</v>
      </c>
      <c r="Q387" s="36" t="str">
        <f>CONCATENATE(Cover!$D$6,"fdd/view?i=",P387)</f>
        <v>https://www.dgiwg.org/FAD/fdd/view?i=100769</v>
      </c>
      <c r="R387" s="13" t="s">
        <v>7860</v>
      </c>
      <c r="S387" s="172"/>
      <c r="T387" s="172"/>
      <c r="BE387" s="83" t="s">
        <v>1790</v>
      </c>
      <c r="BJ387" s="83" t="s">
        <v>1790</v>
      </c>
      <c r="CQ387" s="165" t="s">
        <v>1790</v>
      </c>
    </row>
    <row r="388" spans="1:103" x14ac:dyDescent="0.2">
      <c r="A388" s="176" t="str">
        <f t="shared" si="10"/>
        <v>currentRateMinimum</v>
      </c>
      <c r="B388" s="11" t="s">
        <v>7865</v>
      </c>
      <c r="C388" s="173"/>
      <c r="D388" s="22" t="s">
        <v>7866</v>
      </c>
      <c r="E388" s="15" t="s">
        <v>7867</v>
      </c>
      <c r="F388" s="174"/>
      <c r="G388" s="174"/>
      <c r="H388" s="17" t="s">
        <v>5932</v>
      </c>
      <c r="I388" s="269"/>
      <c r="J388" s="369" t="str">
        <f>HYPERLINK("[#]Datatypes!B1231:L1231","Real")</f>
        <v>Real</v>
      </c>
      <c r="K388" s="271" t="str">
        <f>HYPERLINK("[#]PhysicalQuantities!A48:N48","Speed")</f>
        <v>Speed</v>
      </c>
      <c r="L388" s="270" t="str">
        <f>HYPERLINK("[#]UnitsOfMeasure!D251:G251","Knot")</f>
        <v>Knot</v>
      </c>
      <c r="M388" s="272"/>
      <c r="N388" s="273"/>
      <c r="O388" s="269"/>
      <c r="P388" s="37">
        <v>100765</v>
      </c>
      <c r="Q388" s="36" t="str">
        <f>CONCATENATE(Cover!$D$6,"fdd/view?i=",P388)</f>
        <v>https://www.dgiwg.org/FAD/fdd/view?i=100765</v>
      </c>
      <c r="R388" s="13" t="s">
        <v>7864</v>
      </c>
      <c r="S388" s="172"/>
      <c r="T388" s="172"/>
      <c r="BE388" s="83" t="s">
        <v>1790</v>
      </c>
      <c r="CQ388" s="165" t="s">
        <v>1790</v>
      </c>
    </row>
    <row r="389" spans="1:103" ht="25.5" x14ac:dyDescent="0.2">
      <c r="A389" s="176" t="str">
        <f t="shared" si="10"/>
        <v>currentTypeCategory</v>
      </c>
      <c r="B389" s="11" t="s">
        <v>7869</v>
      </c>
      <c r="C389" s="173"/>
      <c r="D389" s="22" t="s">
        <v>7870</v>
      </c>
      <c r="E389" s="15" t="s">
        <v>7871</v>
      </c>
      <c r="F389" s="174"/>
      <c r="G389" s="174"/>
      <c r="H389" s="17" t="s">
        <v>5932</v>
      </c>
      <c r="I389" s="269"/>
      <c r="J389" s="369" t="str">
        <f>HYPERLINK("[#]Datatypes!B412:L412","CurCode")</f>
        <v>CurCode</v>
      </c>
      <c r="K389" s="276"/>
      <c r="L389" s="272"/>
      <c r="M389" s="272"/>
      <c r="N389" s="248" t="str">
        <f>HYPERLINK("[#]DatatypeListedValues!A2847:H2847","&lt;values&gt;")</f>
        <v>&lt;values&gt;</v>
      </c>
      <c r="O389" s="277" t="b">
        <v>0</v>
      </c>
      <c r="P389" s="37">
        <v>100775</v>
      </c>
      <c r="Q389" s="36" t="str">
        <f>CONCATENATE(Cover!$D$6,"fdd/view?i=",P389)</f>
        <v>https://www.dgiwg.org/FAD/fdd/view?i=100775</v>
      </c>
      <c r="R389" s="13" t="s">
        <v>7868</v>
      </c>
      <c r="S389" s="172"/>
      <c r="T389" s="172"/>
      <c r="BE389" s="83" t="s">
        <v>1790</v>
      </c>
      <c r="BJ389" s="83" t="s">
        <v>1790</v>
      </c>
      <c r="CT389" s="166" t="s">
        <v>1790</v>
      </c>
    </row>
    <row r="390" spans="1:103" ht="25.5" x14ac:dyDescent="0.2">
      <c r="A390" s="176" t="str">
        <f t="shared" si="10"/>
        <v>curveAngle</v>
      </c>
      <c r="B390" s="11" t="s">
        <v>7874</v>
      </c>
      <c r="C390" s="173"/>
      <c r="D390" s="22" t="s">
        <v>7875</v>
      </c>
      <c r="E390" s="15" t="s">
        <v>7876</v>
      </c>
      <c r="F390" s="174"/>
      <c r="G390" s="174"/>
      <c r="H390" s="17" t="s">
        <v>5932</v>
      </c>
      <c r="I390" s="269"/>
      <c r="J390" s="369" t="str">
        <f>HYPERLINK("[#]Datatypes!B1231:L1231","Real")</f>
        <v>Real</v>
      </c>
      <c r="K390" s="271" t="str">
        <f>HYPERLINK("[#]PhysicalQuantities!A34:N34","Plane Angle")</f>
        <v>Plane Angle</v>
      </c>
      <c r="L390" s="270" t="str">
        <f>HYPERLINK("[#]UnitsOfMeasure!D159:G159","Arc Degree")</f>
        <v>Arc Degree</v>
      </c>
      <c r="M390" s="272"/>
      <c r="N390" s="273"/>
      <c r="O390" s="269"/>
      <c r="P390" s="37">
        <v>119515</v>
      </c>
      <c r="Q390" s="36" t="str">
        <f>CONCATENATE(Cover!$D$6,"fdd/view?i=",P390)</f>
        <v>https://www.dgiwg.org/FAD/fdd/view?i=119515</v>
      </c>
      <c r="R390" s="13" t="s">
        <v>7873</v>
      </c>
      <c r="S390" s="172"/>
      <c r="T390" s="172"/>
      <c r="AP390" s="81" t="s">
        <v>1790</v>
      </c>
      <c r="AQ390" s="82" t="s">
        <v>1790</v>
      </c>
      <c r="AR390" s="82" t="s">
        <v>1790</v>
      </c>
      <c r="AS390" s="82" t="s">
        <v>1790</v>
      </c>
      <c r="AT390" s="82" t="s">
        <v>1790</v>
      </c>
      <c r="AU390" s="82" t="s">
        <v>1790</v>
      </c>
      <c r="AY390" s="85" t="s">
        <v>1790</v>
      </c>
      <c r="CQ390" s="165" t="s">
        <v>1790</v>
      </c>
    </row>
    <row r="391" spans="1:103" ht="25.5" x14ac:dyDescent="0.2">
      <c r="A391" s="176" t="str">
        <f t="shared" si="10"/>
        <v>curveRadius</v>
      </c>
      <c r="B391" s="11" t="s">
        <v>7878</v>
      </c>
      <c r="C391" s="173"/>
      <c r="D391" s="22" t="s">
        <v>7879</v>
      </c>
      <c r="E391" s="15" t="s">
        <v>7880</v>
      </c>
      <c r="F391" s="15" t="s">
        <v>7881</v>
      </c>
      <c r="G391" s="174"/>
      <c r="H391" s="17" t="s">
        <v>5932</v>
      </c>
      <c r="I391" s="269"/>
      <c r="J391" s="369" t="str">
        <f>HYPERLINK("[#]Datatypes!B1233:L1233","RealInterval")</f>
        <v>RealInterval</v>
      </c>
      <c r="K391" s="271" t="str">
        <f>HYPERLINK("[#]PhysicalQuantities!A20:N20","Length")</f>
        <v>Length</v>
      </c>
      <c r="L391" s="270" t="str">
        <f>HYPERLINK("[#]UnitsOfMeasure!D80:G80","Metre")</f>
        <v>Metre</v>
      </c>
      <c r="M391" s="272"/>
      <c r="N391" s="273"/>
      <c r="O391" s="269"/>
      <c r="P391" s="37">
        <v>110714</v>
      </c>
      <c r="Q391" s="36" t="str">
        <f>CONCATENATE(Cover!$D$6,"fdd/view?i=",P391)</f>
        <v>https://www.dgiwg.org/FAD/fdd/view?i=110714</v>
      </c>
      <c r="R391" s="13" t="s">
        <v>7877</v>
      </c>
      <c r="S391" s="172"/>
      <c r="T391" s="172"/>
      <c r="CQ391" s="165" t="s">
        <v>1790</v>
      </c>
    </row>
    <row r="392" spans="1:103" ht="38.25" x14ac:dyDescent="0.2">
      <c r="A392" s="176" t="str">
        <f t="shared" si="10"/>
        <v>cyanideConcentration</v>
      </c>
      <c r="B392" s="11" t="s">
        <v>7883</v>
      </c>
      <c r="C392" s="173"/>
      <c r="D392" s="22" t="s">
        <v>7884</v>
      </c>
      <c r="E392" s="15" t="s">
        <v>7885</v>
      </c>
      <c r="F392" s="15" t="s">
        <v>7886</v>
      </c>
      <c r="G392" s="174"/>
      <c r="H392" s="17" t="s">
        <v>5932</v>
      </c>
      <c r="I392" s="269"/>
      <c r="J392" s="369" t="str">
        <f>HYPERLINK("[#]Datatypes!B1231:L1231","Real")</f>
        <v>Real</v>
      </c>
      <c r="K392" s="271" t="str">
        <f>HYPERLINK("[#]PhysicalQuantities!A29:N29","Mass Density")</f>
        <v>Mass Density</v>
      </c>
      <c r="L392" s="270" t="str">
        <f>HYPERLINK("[#]UnitsOfMeasure!D140:G140","Gram per cubic Metre")</f>
        <v>Gram per cubic Metre</v>
      </c>
      <c r="M392" s="272"/>
      <c r="N392" s="273"/>
      <c r="O392" s="269"/>
      <c r="P392" s="37">
        <v>119401</v>
      </c>
      <c r="Q392" s="36" t="str">
        <f>CONCATENATE(Cover!$D$6,"fdd/view?i=",P392)</f>
        <v>https://www.dgiwg.org/FAD/fdd/view?i=119401</v>
      </c>
      <c r="R392" s="13" t="s">
        <v>7882</v>
      </c>
      <c r="S392" s="172"/>
      <c r="T392" s="172"/>
      <c r="BK392" s="89" t="s">
        <v>1790</v>
      </c>
      <c r="BP392" s="82" t="s">
        <v>1790</v>
      </c>
      <c r="CQ392" s="165" t="s">
        <v>1790</v>
      </c>
    </row>
    <row r="393" spans="1:103" ht="114.75" x14ac:dyDescent="0.2">
      <c r="A393" s="176" t="str">
        <f t="shared" si="10"/>
        <v>cyclicRedundancyCheckValue</v>
      </c>
      <c r="B393" s="11" t="s">
        <v>7888</v>
      </c>
      <c r="C393" s="173"/>
      <c r="D393" s="22" t="s">
        <v>7889</v>
      </c>
      <c r="E393" s="15" t="s">
        <v>7890</v>
      </c>
      <c r="F393" s="15" t="s">
        <v>7891</v>
      </c>
      <c r="G393" s="15" t="s">
        <v>7892</v>
      </c>
      <c r="H393" s="17" t="s">
        <v>5932</v>
      </c>
      <c r="I393" s="269"/>
      <c r="J393" s="369" t="str">
        <f>HYPERLINK("[#]Datatypes!B414:L414","CyrStrucText")</f>
        <v>CyrStrucText</v>
      </c>
      <c r="K393" s="276"/>
      <c r="L393" s="272"/>
      <c r="M393" s="272"/>
      <c r="N393" s="273"/>
      <c r="O393" s="269"/>
      <c r="P393" s="37">
        <v>117546</v>
      </c>
      <c r="Q393" s="36" t="str">
        <f>CONCATENATE(Cover!$D$6,"fdd/view?i=",P393)</f>
        <v>https://www.dgiwg.org/FAD/fdd/view?i=117546</v>
      </c>
      <c r="R393" s="13" t="s">
        <v>7887</v>
      </c>
      <c r="S393" s="172"/>
      <c r="T393" s="172"/>
      <c r="CY393" s="165" t="s">
        <v>1790</v>
      </c>
    </row>
    <row r="394" spans="1:103" ht="25.5" x14ac:dyDescent="0.2">
      <c r="A394" s="176" t="str">
        <f t="shared" si="10"/>
        <v>damCrestLength</v>
      </c>
      <c r="B394" s="11" t="s">
        <v>7895</v>
      </c>
      <c r="C394" s="173"/>
      <c r="D394" s="22" t="s">
        <v>7896</v>
      </c>
      <c r="E394" s="15" t="s">
        <v>7897</v>
      </c>
      <c r="F394" s="174"/>
      <c r="G394" s="174"/>
      <c r="H394" s="17" t="s">
        <v>5932</v>
      </c>
      <c r="I394" s="269"/>
      <c r="J394" s="369" t="str">
        <f>HYPERLINK("[#]Datatypes!B1048:L1048","RealNonNegative")</f>
        <v>RealNonNegative</v>
      </c>
      <c r="K394" s="271" t="str">
        <f>HYPERLINK("[#]PhysicalQuantities!A20:N20","Length")</f>
        <v>Length</v>
      </c>
      <c r="L394" s="270" t="str">
        <f>HYPERLINK("[#]UnitsOfMeasure!D80:G80","Metre")</f>
        <v>Metre</v>
      </c>
      <c r="M394" s="272"/>
      <c r="N394" s="273"/>
      <c r="O394" s="269"/>
      <c r="P394" s="37">
        <v>119946</v>
      </c>
      <c r="Q394" s="36" t="str">
        <f>CONCATENATE(Cover!$D$6,"fdd/view?i=",P394)</f>
        <v>https://www.dgiwg.org/FAD/fdd/view?i=119946</v>
      </c>
      <c r="R394" s="13" t="s">
        <v>7894</v>
      </c>
      <c r="S394" s="172"/>
      <c r="T394" s="172"/>
      <c r="AW394" s="82" t="s">
        <v>1790</v>
      </c>
      <c r="BD394" s="83" t="s">
        <v>1790</v>
      </c>
      <c r="BJ394" s="83" t="s">
        <v>1790</v>
      </c>
      <c r="CQ394" s="165" t="s">
        <v>1790</v>
      </c>
    </row>
    <row r="395" spans="1:103" ht="25.5" x14ac:dyDescent="0.2">
      <c r="A395" s="176" t="str">
        <f t="shared" si="10"/>
        <v>damCrestWidth</v>
      </c>
      <c r="B395" s="11" t="s">
        <v>7899</v>
      </c>
      <c r="C395" s="173"/>
      <c r="D395" s="22" t="s">
        <v>7900</v>
      </c>
      <c r="E395" s="15" t="s">
        <v>7901</v>
      </c>
      <c r="F395" s="15" t="s">
        <v>7902</v>
      </c>
      <c r="G395" s="174"/>
      <c r="H395" s="17" t="s">
        <v>5932</v>
      </c>
      <c r="I395" s="269"/>
      <c r="J395" s="369" t="str">
        <f>HYPERLINK("[#]Datatypes!B1231:L1231","Real")</f>
        <v>Real</v>
      </c>
      <c r="K395" s="271" t="str">
        <f>HYPERLINK("[#]PhysicalQuantities!A20:N20","Length")</f>
        <v>Length</v>
      </c>
      <c r="L395" s="270" t="str">
        <f>HYPERLINK("[#]UnitsOfMeasure!D80:G80","Metre")</f>
        <v>Metre</v>
      </c>
      <c r="M395" s="272"/>
      <c r="N395" s="273"/>
      <c r="O395" s="269"/>
      <c r="P395" s="37">
        <v>101499</v>
      </c>
      <c r="Q395" s="36" t="str">
        <f>CONCATENATE(Cover!$D$6,"fdd/view?i=",P395)</f>
        <v>https://www.dgiwg.org/FAD/fdd/view?i=101499</v>
      </c>
      <c r="R395" s="13" t="s">
        <v>7898</v>
      </c>
      <c r="S395" s="172"/>
      <c r="T395" s="172"/>
      <c r="AF395" s="82" t="s">
        <v>1790</v>
      </c>
      <c r="BJ395" s="83" t="s">
        <v>1790</v>
      </c>
      <c r="CQ395" s="165" t="s">
        <v>1790</v>
      </c>
    </row>
    <row r="396" spans="1:103" x14ac:dyDescent="0.2">
      <c r="A396" s="176" t="str">
        <f t="shared" si="10"/>
        <v>damFaceType</v>
      </c>
      <c r="B396" s="11" t="s">
        <v>7904</v>
      </c>
      <c r="C396" s="173"/>
      <c r="D396" s="22" t="s">
        <v>7905</v>
      </c>
      <c r="E396" s="15" t="s">
        <v>7906</v>
      </c>
      <c r="F396" s="174"/>
      <c r="G396" s="174"/>
      <c r="H396" s="17" t="s">
        <v>5932</v>
      </c>
      <c r="I396" s="269"/>
      <c r="J396" s="369" t="str">
        <f>HYPERLINK("[#]Datatypes!B416:L416","DftCode")</f>
        <v>DftCode</v>
      </c>
      <c r="K396" s="276"/>
      <c r="L396" s="272"/>
      <c r="M396" s="272"/>
      <c r="N396" s="248" t="str">
        <f>HYPERLINK("[#]DatatypeListedValues!A2855:H2855","&lt;values&gt;")</f>
        <v>&lt;values&gt;</v>
      </c>
      <c r="O396" s="277" t="b">
        <v>0</v>
      </c>
      <c r="P396" s="37">
        <v>100812</v>
      </c>
      <c r="Q396" s="36" t="str">
        <f>CONCATENATE(Cover!$D$6,"fdd/view?i=",P396)</f>
        <v>https://www.dgiwg.org/FAD/fdd/view?i=100812</v>
      </c>
      <c r="R396" s="13" t="s">
        <v>7903</v>
      </c>
      <c r="S396" s="172"/>
      <c r="T396" s="172"/>
      <c r="BJ396" s="83" t="s">
        <v>1790</v>
      </c>
      <c r="BM396" s="82" t="s">
        <v>1790</v>
      </c>
      <c r="CS396" s="165" t="s">
        <v>1790</v>
      </c>
    </row>
    <row r="397" spans="1:103" x14ac:dyDescent="0.2">
      <c r="A397" s="176" t="str">
        <f t="shared" si="10"/>
        <v>damType</v>
      </c>
      <c r="B397" s="11" t="s">
        <v>7909</v>
      </c>
      <c r="C397" s="173"/>
      <c r="D397" s="22" t="s">
        <v>7910</v>
      </c>
      <c r="E397" s="15" t="s">
        <v>7911</v>
      </c>
      <c r="F397" s="15" t="s">
        <v>7912</v>
      </c>
      <c r="G397" s="174"/>
      <c r="H397" s="17" t="s">
        <v>5932</v>
      </c>
      <c r="I397" s="269"/>
      <c r="J397" s="369" t="str">
        <f>HYPERLINK("[#]Datatypes!B418:L418","DwtCode")</f>
        <v>DwtCode</v>
      </c>
      <c r="K397" s="276"/>
      <c r="L397" s="272"/>
      <c r="M397" s="272"/>
      <c r="N397" s="248" t="str">
        <f>HYPERLINK("[#]DatatypeListedValues!A2857:H2857","&lt;values&gt;")</f>
        <v>&lt;values&gt;</v>
      </c>
      <c r="O397" s="277" t="b">
        <v>0</v>
      </c>
      <c r="P397" s="37">
        <v>100851</v>
      </c>
      <c r="Q397" s="36" t="str">
        <f>CONCATENATE(Cover!$D$6,"fdd/view?i=",P397)</f>
        <v>https://www.dgiwg.org/FAD/fdd/view?i=100851</v>
      </c>
      <c r="R397" s="13" t="s">
        <v>7908</v>
      </c>
      <c r="S397" s="172"/>
      <c r="T397" s="172"/>
      <c r="BJ397" s="83" t="s">
        <v>1790</v>
      </c>
      <c r="CS397" s="165" t="s">
        <v>1790</v>
      </c>
      <c r="CT397" s="166" t="s">
        <v>1790</v>
      </c>
    </row>
    <row r="398" spans="1:103" x14ac:dyDescent="0.2">
      <c r="A398" s="176" t="str">
        <f t="shared" si="10"/>
        <v>damageDescription</v>
      </c>
      <c r="B398" s="11" t="s">
        <v>7915</v>
      </c>
      <c r="C398" s="173"/>
      <c r="D398" s="22" t="s">
        <v>7916</v>
      </c>
      <c r="E398" s="15" t="s">
        <v>7917</v>
      </c>
      <c r="F398" s="174"/>
      <c r="G398" s="174"/>
      <c r="H398" s="17" t="s">
        <v>5932</v>
      </c>
      <c r="I398" s="269"/>
      <c r="J398" s="369" t="str">
        <f>HYPERLINK("[#]Datatypes!B1544:L1544","TextLexUnconstrained")</f>
        <v>TextLexUnconstrained</v>
      </c>
      <c r="K398" s="276"/>
      <c r="L398" s="272"/>
      <c r="M398" s="272"/>
      <c r="N398" s="273"/>
      <c r="O398" s="269"/>
      <c r="P398" s="37">
        <v>118135</v>
      </c>
      <c r="Q398" s="36" t="str">
        <f>CONCATENATE(Cover!$D$6,"fdd/view?i=",P398)</f>
        <v>https://www.dgiwg.org/FAD/fdd/view?i=118135</v>
      </c>
      <c r="R398" s="13" t="s">
        <v>7914</v>
      </c>
      <c r="S398" s="172"/>
      <c r="T398" s="172"/>
      <c r="AP398" s="81" t="s">
        <v>1790</v>
      </c>
      <c r="AU398" s="82" t="s">
        <v>1790</v>
      </c>
      <c r="AV398" s="82" t="s">
        <v>1790</v>
      </c>
      <c r="AW398" s="82" t="s">
        <v>1790</v>
      </c>
    </row>
    <row r="399" spans="1:103" x14ac:dyDescent="0.2">
      <c r="A399" s="176" t="str">
        <f t="shared" si="10"/>
        <v>dammed</v>
      </c>
      <c r="B399" s="11" t="s">
        <v>7919</v>
      </c>
      <c r="C399" s="173"/>
      <c r="D399" s="22" t="s">
        <v>7920</v>
      </c>
      <c r="E399" s="15" t="s">
        <v>7921</v>
      </c>
      <c r="F399" s="174"/>
      <c r="G399" s="174"/>
      <c r="H399" s="17" t="s">
        <v>5932</v>
      </c>
      <c r="I399" s="269"/>
      <c r="J399" s="369" t="str">
        <f>HYPERLINK("[#]Datatypes!B240:L240","Boolean")</f>
        <v>Boolean</v>
      </c>
      <c r="K399" s="276"/>
      <c r="L399" s="272"/>
      <c r="M399" s="272"/>
      <c r="N399" s="273"/>
      <c r="O399" s="269"/>
      <c r="P399" s="37">
        <v>117778</v>
      </c>
      <c r="Q399" s="36" t="str">
        <f>CONCATENATE(Cover!$D$6,"fdd/view?i=",P399)</f>
        <v>https://www.dgiwg.org/FAD/fdd/view?i=117778</v>
      </c>
      <c r="R399" s="13" t="s">
        <v>7918</v>
      </c>
      <c r="S399" s="172"/>
      <c r="T399" s="172"/>
      <c r="BJ399" s="83" t="s">
        <v>1790</v>
      </c>
      <c r="CR399" s="165" t="s">
        <v>1790</v>
      </c>
    </row>
    <row r="400" spans="1:103" ht="51" x14ac:dyDescent="0.2">
      <c r="A400" s="176" t="str">
        <f t="shared" si="10"/>
        <v>dangerousToNavigation</v>
      </c>
      <c r="B400" s="11" t="s">
        <v>7923</v>
      </c>
      <c r="C400" s="173"/>
      <c r="D400" s="22" t="s">
        <v>7924</v>
      </c>
      <c r="E400" s="15" t="s">
        <v>7925</v>
      </c>
      <c r="F400" s="15" t="s">
        <v>7926</v>
      </c>
      <c r="G400" s="174"/>
      <c r="H400" s="17" t="s">
        <v>5932</v>
      </c>
      <c r="I400" s="269"/>
      <c r="J400" s="369" t="str">
        <f>HYPERLINK("[#]Datatypes!B240:L240","Boolean")</f>
        <v>Boolean</v>
      </c>
      <c r="K400" s="276"/>
      <c r="L400" s="272"/>
      <c r="M400" s="272"/>
      <c r="N400" s="273"/>
      <c r="O400" s="269"/>
      <c r="P400" s="37">
        <v>111528</v>
      </c>
      <c r="Q400" s="36" t="str">
        <f>CONCATENATE(Cover!$D$6,"fdd/view?i=",P400)</f>
        <v>https://www.dgiwg.org/FAD/fdd/view?i=111528</v>
      </c>
      <c r="R400" s="13" t="s">
        <v>7922</v>
      </c>
      <c r="S400" s="172"/>
      <c r="T400" s="172"/>
      <c r="AS400" s="82" t="s">
        <v>1790</v>
      </c>
      <c r="BF400" s="83" t="s">
        <v>1790</v>
      </c>
      <c r="BG400" s="83" t="s">
        <v>1790</v>
      </c>
    </row>
    <row r="401" spans="1:105" ht="25.5" x14ac:dyDescent="0.2">
      <c r="A401" s="176" t="str">
        <f t="shared" si="10"/>
        <v>dataCollectionQuality</v>
      </c>
      <c r="B401" s="11" t="s">
        <v>7928</v>
      </c>
      <c r="C401" s="173"/>
      <c r="D401" s="22" t="s">
        <v>7929</v>
      </c>
      <c r="E401" s="15" t="s">
        <v>7930</v>
      </c>
      <c r="F401" s="174"/>
      <c r="G401" s="174"/>
      <c r="H401" s="17" t="s">
        <v>5932</v>
      </c>
      <c r="I401" s="269"/>
      <c r="J401" s="369" t="str">
        <f>HYPERLINK("[#]Datatypes!B420:L420","CacCode")</f>
        <v>CacCode</v>
      </c>
      <c r="K401" s="276"/>
      <c r="L401" s="272"/>
      <c r="M401" s="272"/>
      <c r="N401" s="248" t="str">
        <f>HYPERLINK("[#]DatatypeListedValues!A2862:H2862","&lt;values&gt;")</f>
        <v>&lt;values&gt;</v>
      </c>
      <c r="O401" s="277" t="b">
        <v>0</v>
      </c>
      <c r="P401" s="37">
        <v>100725</v>
      </c>
      <c r="Q401" s="36" t="str">
        <f>CONCATENATE(Cover!$D$6,"fdd/view?i=",P401)</f>
        <v>https://www.dgiwg.org/FAD/fdd/view?i=100725</v>
      </c>
      <c r="R401" s="13" t="s">
        <v>7927</v>
      </c>
      <c r="S401" s="172"/>
      <c r="T401" s="172"/>
      <c r="CZ401" s="165" t="s">
        <v>1790</v>
      </c>
    </row>
    <row r="402" spans="1:105" ht="25.5" x14ac:dyDescent="0.2">
      <c r="A402" s="176" t="str">
        <f t="shared" si="10"/>
        <v>dataLinkChannel</v>
      </c>
      <c r="B402" s="11" t="s">
        <v>7933</v>
      </c>
      <c r="C402" s="173"/>
      <c r="D402" s="22" t="s">
        <v>7934</v>
      </c>
      <c r="E402" s="15" t="s">
        <v>7935</v>
      </c>
      <c r="F402" s="174"/>
      <c r="G402" s="174"/>
      <c r="H402" s="17" t="s">
        <v>5932</v>
      </c>
      <c r="I402" s="269"/>
      <c r="J402" s="369" t="str">
        <f>HYPERLINK("[#]Datatypes!B742:L742","Integer")</f>
        <v>Integer</v>
      </c>
      <c r="K402" s="271" t="str">
        <f>HYPERLINK("[#]PhysicalQuantities!A39:N39","Pure Number")</f>
        <v>Pure Number</v>
      </c>
      <c r="L402" s="270" t="str">
        <f>HYPERLINK("[#]UnitsOfMeasure!D213:G213","Unitless")</f>
        <v>Unitless</v>
      </c>
      <c r="M402" s="272"/>
      <c r="N402" s="273"/>
      <c r="O402" s="269"/>
      <c r="P402" s="37">
        <v>117554</v>
      </c>
      <c r="Q402" s="36" t="str">
        <f>CONCATENATE(Cover!$D$6,"fdd/view?i=",P402)</f>
        <v>https://www.dgiwg.org/FAD/fdd/view?i=117554</v>
      </c>
      <c r="R402" s="13" t="s">
        <v>7932</v>
      </c>
      <c r="S402" s="172"/>
      <c r="T402" s="172"/>
      <c r="CG402" s="83" t="s">
        <v>1790</v>
      </c>
    </row>
    <row r="403" spans="1:105" ht="25.5" x14ac:dyDescent="0.2">
      <c r="A403" s="176" t="str">
        <f t="shared" si="10"/>
        <v>dataLinkEnabled</v>
      </c>
      <c r="B403" s="11" t="s">
        <v>7937</v>
      </c>
      <c r="C403" s="173"/>
      <c r="D403" s="22" t="s">
        <v>7938</v>
      </c>
      <c r="E403" s="15" t="s">
        <v>7939</v>
      </c>
      <c r="F403" s="174"/>
      <c r="G403" s="174"/>
      <c r="H403" s="17" t="s">
        <v>5932</v>
      </c>
      <c r="I403" s="269"/>
      <c r="J403" s="369" t="str">
        <f>HYPERLINK("[#]Datatypes!B240:L240","Boolean")</f>
        <v>Boolean</v>
      </c>
      <c r="K403" s="276"/>
      <c r="L403" s="272"/>
      <c r="M403" s="272"/>
      <c r="N403" s="273"/>
      <c r="O403" s="269"/>
      <c r="P403" s="37">
        <v>117553</v>
      </c>
      <c r="Q403" s="36" t="str">
        <f>CONCATENATE(Cover!$D$6,"fdd/view?i=",P403)</f>
        <v>https://www.dgiwg.org/FAD/fdd/view?i=117553</v>
      </c>
      <c r="R403" s="13" t="s">
        <v>7936</v>
      </c>
      <c r="S403" s="172"/>
      <c r="T403" s="172"/>
      <c r="CG403" s="83" t="s">
        <v>1790</v>
      </c>
    </row>
    <row r="404" spans="1:105" ht="25.5" x14ac:dyDescent="0.2">
      <c r="A404" s="176" t="str">
        <f t="shared" si="10"/>
        <v>dataLinkLogonAddress</v>
      </c>
      <c r="B404" s="11" t="s">
        <v>7941</v>
      </c>
      <c r="C404" s="173"/>
      <c r="D404" s="22" t="s">
        <v>7942</v>
      </c>
      <c r="E404" s="15" t="s">
        <v>7943</v>
      </c>
      <c r="F404" s="174"/>
      <c r="G404" s="174"/>
      <c r="H404" s="17" t="s">
        <v>5932</v>
      </c>
      <c r="I404" s="269"/>
      <c r="J404" s="369" t="str">
        <f>HYPERLINK("[#]Datatypes!B1562:L1562","TextNonLexUnconstrained")</f>
        <v>TextNonLexUnconstrained</v>
      </c>
      <c r="K404" s="276"/>
      <c r="L404" s="272"/>
      <c r="M404" s="272"/>
      <c r="N404" s="273"/>
      <c r="O404" s="269"/>
      <c r="P404" s="37">
        <v>117552</v>
      </c>
      <c r="Q404" s="36" t="str">
        <f>CONCATENATE(Cover!$D$6,"fdd/view?i=",P404)</f>
        <v>https://www.dgiwg.org/FAD/fdd/view?i=117552</v>
      </c>
      <c r="R404" s="13" t="s">
        <v>7940</v>
      </c>
      <c r="S404" s="172"/>
      <c r="T404" s="172"/>
      <c r="CG404" s="83" t="s">
        <v>1790</v>
      </c>
    </row>
    <row r="405" spans="1:105" ht="63.75" x14ac:dyDescent="0.2">
      <c r="A405" s="176" t="str">
        <f t="shared" si="10"/>
        <v>dataQualityStatement</v>
      </c>
      <c r="B405" s="11" t="s">
        <v>7945</v>
      </c>
      <c r="C405" s="173"/>
      <c r="D405" s="22" t="s">
        <v>7946</v>
      </c>
      <c r="E405" s="15" t="s">
        <v>7947</v>
      </c>
      <c r="F405" s="15" t="s">
        <v>7948</v>
      </c>
      <c r="G405" s="174"/>
      <c r="H405" s="17" t="s">
        <v>5932</v>
      </c>
      <c r="I405" s="269"/>
      <c r="J405" s="369" t="str">
        <f>HYPERLINK("[#]Datatypes!B422:L422","DqsStrucText")</f>
        <v>DqsStrucText</v>
      </c>
      <c r="K405" s="276"/>
      <c r="L405" s="272"/>
      <c r="M405" s="272"/>
      <c r="N405" s="273"/>
      <c r="O405" s="269"/>
      <c r="P405" s="37">
        <v>111524</v>
      </c>
      <c r="Q405" s="36" t="str">
        <f>CONCATENATE(Cover!$D$6,"fdd/view?i=",P405)</f>
        <v>https://www.dgiwg.org/FAD/fdd/view?i=111524</v>
      </c>
      <c r="R405" s="13" t="s">
        <v>7944</v>
      </c>
      <c r="S405" s="172"/>
      <c r="T405" s="172"/>
      <c r="CY405" s="165" t="s">
        <v>1790</v>
      </c>
    </row>
    <row r="406" spans="1:105" ht="25.5" x14ac:dyDescent="0.2">
      <c r="A406" s="176" t="str">
        <f t="shared" si="10"/>
        <v>dataSetCitation</v>
      </c>
      <c r="B406" s="11" t="s">
        <v>7951</v>
      </c>
      <c r="C406" s="173"/>
      <c r="D406" s="22" t="s">
        <v>7952</v>
      </c>
      <c r="E406" s="15" t="s">
        <v>7953</v>
      </c>
      <c r="F406" s="174"/>
      <c r="G406" s="174"/>
      <c r="H406" s="17" t="s">
        <v>5932</v>
      </c>
      <c r="I406" s="269"/>
      <c r="J406" s="369" t="str">
        <f>HYPERLINK("[#]Datatypes!B424:L424","DscStrucText")</f>
        <v>DscStrucText</v>
      </c>
      <c r="K406" s="276"/>
      <c r="L406" s="272"/>
      <c r="M406" s="272"/>
      <c r="N406" s="273"/>
      <c r="O406" s="269"/>
      <c r="P406" s="37">
        <v>111526</v>
      </c>
      <c r="Q406" s="36" t="str">
        <f>CONCATENATE(Cover!$D$6,"fdd/view?i=",P406)</f>
        <v>https://www.dgiwg.org/FAD/fdd/view?i=111526</v>
      </c>
      <c r="R406" s="13" t="s">
        <v>7950</v>
      </c>
      <c r="S406" s="172"/>
      <c r="T406" s="172"/>
      <c r="CZ406" s="165" t="s">
        <v>1790</v>
      </c>
    </row>
    <row r="407" spans="1:105" x14ac:dyDescent="0.2">
      <c r="A407" s="176" t="str">
        <f t="shared" si="10"/>
        <v>dateOfLastEarthquake</v>
      </c>
      <c r="B407" s="11" t="s">
        <v>7956</v>
      </c>
      <c r="C407" s="173"/>
      <c r="D407" s="22" t="s">
        <v>7957</v>
      </c>
      <c r="E407" s="15" t="s">
        <v>7958</v>
      </c>
      <c r="F407" s="174"/>
      <c r="G407" s="174"/>
      <c r="H407" s="17" t="s">
        <v>5932</v>
      </c>
      <c r="I407" s="269"/>
      <c r="J407" s="369" t="str">
        <f>HYPERLINK("[#]Datatypes!B426:L426","DeqStrucText")</f>
        <v>DeqStrucText</v>
      </c>
      <c r="K407" s="276"/>
      <c r="L407" s="272"/>
      <c r="M407" s="272"/>
      <c r="N407" s="273"/>
      <c r="O407" s="269"/>
      <c r="P407" s="37">
        <v>111513</v>
      </c>
      <c r="Q407" s="36" t="str">
        <f>CONCATENATE(Cover!$D$6,"fdd/view?i=",P407)</f>
        <v>https://www.dgiwg.org/FAD/fdd/view?i=111513</v>
      </c>
      <c r="R407" s="13" t="s">
        <v>7955</v>
      </c>
      <c r="S407" s="172"/>
      <c r="T407" s="172"/>
      <c r="BQ407" s="82" t="s">
        <v>1790</v>
      </c>
      <c r="CR407" s="165" t="s">
        <v>1790</v>
      </c>
    </row>
    <row r="408" spans="1:105" x14ac:dyDescent="0.2">
      <c r="A408" s="176" t="str">
        <f t="shared" si="10"/>
        <v>dateOfLastTsunami</v>
      </c>
      <c r="B408" s="11" t="s">
        <v>7961</v>
      </c>
      <c r="C408" s="173"/>
      <c r="D408" s="22" t="s">
        <v>7962</v>
      </c>
      <c r="E408" s="15" t="s">
        <v>7963</v>
      </c>
      <c r="F408" s="174"/>
      <c r="G408" s="174"/>
      <c r="H408" s="17" t="s">
        <v>5932</v>
      </c>
      <c r="I408" s="269"/>
      <c r="J408" s="369" t="str">
        <f>HYPERLINK("[#]Datatypes!B428:L428","YltStrucText")</f>
        <v>YltStrucText</v>
      </c>
      <c r="K408" s="276"/>
      <c r="L408" s="272"/>
      <c r="M408" s="272"/>
      <c r="N408" s="273"/>
      <c r="O408" s="269"/>
      <c r="P408" s="37">
        <v>111768</v>
      </c>
      <c r="Q408" s="36" t="str">
        <f>CONCATENATE(Cover!$D$6,"fdd/view?i=",P408)</f>
        <v>https://www.dgiwg.org/FAD/fdd/view?i=111768</v>
      </c>
      <c r="R408" s="13" t="s">
        <v>7960</v>
      </c>
      <c r="S408" s="172"/>
      <c r="T408" s="172"/>
      <c r="AZ408" s="87" t="s">
        <v>1790</v>
      </c>
      <c r="BQ408" s="82" t="s">
        <v>1790</v>
      </c>
      <c r="CR408" s="165" t="s">
        <v>1790</v>
      </c>
    </row>
    <row r="409" spans="1:105" x14ac:dyDescent="0.2">
      <c r="A409" s="176" t="str">
        <f t="shared" si="10"/>
        <v>dateOfSinking</v>
      </c>
      <c r="B409" s="11" t="s">
        <v>7966</v>
      </c>
      <c r="C409" s="173"/>
      <c r="D409" s="22" t="s">
        <v>7967</v>
      </c>
      <c r="E409" s="15" t="s">
        <v>7968</v>
      </c>
      <c r="F409" s="174"/>
      <c r="G409" s="174"/>
      <c r="H409" s="17" t="s">
        <v>5932</v>
      </c>
      <c r="I409" s="269"/>
      <c r="J409" s="369" t="str">
        <f>HYPERLINK("[#]Datatypes!B430:L430","DskStrucText")</f>
        <v>DskStrucText</v>
      </c>
      <c r="K409" s="276"/>
      <c r="L409" s="272"/>
      <c r="M409" s="272"/>
      <c r="N409" s="273"/>
      <c r="O409" s="269"/>
      <c r="P409" s="37">
        <v>118138</v>
      </c>
      <c r="Q409" s="36" t="str">
        <f>CONCATENATE(Cover!$D$6,"fdd/view?i=",P409)</f>
        <v>https://www.dgiwg.org/FAD/fdd/view?i=118138</v>
      </c>
      <c r="R409" s="13" t="s">
        <v>7965</v>
      </c>
      <c r="S409" s="172"/>
      <c r="T409" s="172"/>
      <c r="BG409" s="83" t="s">
        <v>1790</v>
      </c>
      <c r="CR409" s="165" t="s">
        <v>1790</v>
      </c>
    </row>
    <row r="410" spans="1:105" ht="63.75" x14ac:dyDescent="0.2">
      <c r="A410" s="176" t="str">
        <f t="shared" si="10"/>
        <v>daymarkShape</v>
      </c>
      <c r="B410" s="11" t="s">
        <v>7971</v>
      </c>
      <c r="C410" s="173"/>
      <c r="D410" s="22" t="s">
        <v>7972</v>
      </c>
      <c r="E410" s="15" t="s">
        <v>7973</v>
      </c>
      <c r="F410" s="15" t="s">
        <v>7974</v>
      </c>
      <c r="G410" s="174"/>
      <c r="H410" s="17" t="s">
        <v>5932</v>
      </c>
      <c r="I410" s="269"/>
      <c r="J410" s="369" t="str">
        <f>HYPERLINK("[#]Datatypes!B432:L432","DksCode")</f>
        <v>DksCode</v>
      </c>
      <c r="K410" s="276"/>
      <c r="L410" s="272"/>
      <c r="M410" s="272"/>
      <c r="N410" s="248" t="str">
        <f>HYPERLINK("[#]DatatypeListedValues!A2868:H2868","&lt;values&gt;")</f>
        <v>&lt;values&gt;</v>
      </c>
      <c r="O410" s="277" t="b">
        <v>0</v>
      </c>
      <c r="P410" s="37">
        <v>111096</v>
      </c>
      <c r="Q410" s="36" t="str">
        <f>CONCATENATE(Cover!$D$6,"fdd/view?i=",P410)</f>
        <v>https://www.dgiwg.org/FAD/fdd/view?i=111096</v>
      </c>
      <c r="R410" s="13" t="s">
        <v>7970</v>
      </c>
      <c r="S410" s="172"/>
      <c r="T410" s="172"/>
      <c r="AS410" s="82" t="s">
        <v>1790</v>
      </c>
      <c r="BF410" s="83" t="s">
        <v>1790</v>
      </c>
    </row>
    <row r="411" spans="1:105" ht="51" x14ac:dyDescent="0.2">
      <c r="A411" s="176" t="str">
        <f t="shared" si="10"/>
        <v>decisionAltitude</v>
      </c>
      <c r="B411" s="11" t="s">
        <v>7977</v>
      </c>
      <c r="C411" s="173"/>
      <c r="D411" s="22" t="s">
        <v>7978</v>
      </c>
      <c r="E411" s="15" t="s">
        <v>7979</v>
      </c>
      <c r="F411" s="174"/>
      <c r="G411" s="15" t="s">
        <v>7980</v>
      </c>
      <c r="H411" s="17" t="s">
        <v>5932</v>
      </c>
      <c r="I411" s="269"/>
      <c r="J411" s="369" t="str">
        <f>HYPERLINK("[#]Datatypes!B1231:L1231","Real")</f>
        <v>Real</v>
      </c>
      <c r="K411" s="271" t="str">
        <f>HYPERLINK("[#]PhysicalQuantities!A20:N20","Length")</f>
        <v>Length</v>
      </c>
      <c r="L411" s="270" t="str">
        <f>HYPERLINK("[#]UnitsOfMeasure!D103:G103","Foot")</f>
        <v>Foot</v>
      </c>
      <c r="M411" s="272"/>
      <c r="N411" s="273"/>
      <c r="O411" s="269"/>
      <c r="P411" s="37">
        <v>117547</v>
      </c>
      <c r="Q411" s="36" t="str">
        <f>CONCATENATE(Cover!$D$6,"fdd/view?i=",P411)</f>
        <v>https://www.dgiwg.org/FAD/fdd/view?i=117547</v>
      </c>
      <c r="R411" s="13" t="s">
        <v>7976</v>
      </c>
      <c r="S411" s="172"/>
      <c r="T411" s="172"/>
      <c r="CI411" s="89" t="s">
        <v>1790</v>
      </c>
    </row>
    <row r="412" spans="1:105" ht="51" x14ac:dyDescent="0.2">
      <c r="A412" s="176" t="str">
        <f t="shared" si="10"/>
        <v>decisionHeight</v>
      </c>
      <c r="B412" s="11" t="s">
        <v>7982</v>
      </c>
      <c r="C412" s="173"/>
      <c r="D412" s="22" t="s">
        <v>7983</v>
      </c>
      <c r="E412" s="15" t="s">
        <v>7984</v>
      </c>
      <c r="F412" s="174"/>
      <c r="G412" s="15" t="s">
        <v>7985</v>
      </c>
      <c r="H412" s="17" t="s">
        <v>5932</v>
      </c>
      <c r="I412" s="269"/>
      <c r="J412" s="369" t="str">
        <f>HYPERLINK("[#]Datatypes!B1231:L1231","Real")</f>
        <v>Real</v>
      </c>
      <c r="K412" s="271" t="str">
        <f>HYPERLINK("[#]PhysicalQuantities!A20:N20","Length")</f>
        <v>Length</v>
      </c>
      <c r="L412" s="270" t="str">
        <f>HYPERLINK("[#]UnitsOfMeasure!D103:G103","Foot")</f>
        <v>Foot</v>
      </c>
      <c r="M412" s="272"/>
      <c r="N412" s="273"/>
      <c r="O412" s="269"/>
      <c r="P412" s="37">
        <v>117551</v>
      </c>
      <c r="Q412" s="36" t="str">
        <f>CONCATENATE(Cover!$D$6,"fdd/view?i=",P412)</f>
        <v>https://www.dgiwg.org/FAD/fdd/view?i=117551</v>
      </c>
      <c r="R412" s="13" t="s">
        <v>7981</v>
      </c>
      <c r="S412" s="172"/>
      <c r="T412" s="172"/>
      <c r="CI412" s="89" t="s">
        <v>1790</v>
      </c>
    </row>
    <row r="413" spans="1:105" ht="25.5" x14ac:dyDescent="0.2">
      <c r="A413" s="176" t="str">
        <f t="shared" si="10"/>
        <v>deckCount</v>
      </c>
      <c r="B413" s="11" t="s">
        <v>7987</v>
      </c>
      <c r="C413" s="173"/>
      <c r="D413" s="22" t="s">
        <v>7988</v>
      </c>
      <c r="E413" s="15" t="s">
        <v>7989</v>
      </c>
      <c r="F413" s="174"/>
      <c r="G413" s="174"/>
      <c r="H413" s="17" t="s">
        <v>5932</v>
      </c>
      <c r="I413" s="269"/>
      <c r="J413" s="369" t="str">
        <f>HYPERLINK("[#]Datatypes!B380:L380","Count")</f>
        <v>Count</v>
      </c>
      <c r="K413" s="271" t="str">
        <f>HYPERLINK("[#]PhysicalQuantities!A39:N39","Pure Number")</f>
        <v>Pure Number</v>
      </c>
      <c r="L413" s="270" t="str">
        <f>HYPERLINK("[#]UnitsOfMeasure!D213:G213","Unitless")</f>
        <v>Unitless</v>
      </c>
      <c r="M413" s="272"/>
      <c r="N413" s="273"/>
      <c r="O413" s="269"/>
      <c r="P413" s="37">
        <v>118918</v>
      </c>
      <c r="Q413" s="36" t="str">
        <f>CONCATENATE(Cover!$D$6,"fdd/view?i=",P413)</f>
        <v>https://www.dgiwg.org/FAD/fdd/view?i=118918</v>
      </c>
      <c r="R413" s="13" t="s">
        <v>7986</v>
      </c>
      <c r="S413" s="172"/>
      <c r="T413" s="172"/>
      <c r="AG413" s="82" t="s">
        <v>1790</v>
      </c>
      <c r="AW413" s="82" t="s">
        <v>1790</v>
      </c>
      <c r="CP413" s="164" t="s">
        <v>1790</v>
      </c>
      <c r="CR413" s="165" t="s">
        <v>1790</v>
      </c>
    </row>
    <row r="414" spans="1:105" ht="51" x14ac:dyDescent="0.2">
      <c r="A414" s="176" t="str">
        <f t="shared" si="10"/>
        <v>deckLevel</v>
      </c>
      <c r="B414" s="11" t="s">
        <v>7991</v>
      </c>
      <c r="C414" s="173"/>
      <c r="D414" s="22" t="s">
        <v>7992</v>
      </c>
      <c r="E414" s="15" t="s">
        <v>7993</v>
      </c>
      <c r="F414" s="15" t="s">
        <v>7994</v>
      </c>
      <c r="G414" s="174"/>
      <c r="H414" s="17" t="s">
        <v>5932</v>
      </c>
      <c r="I414" s="269"/>
      <c r="J414" s="369" t="str">
        <f>HYPERLINK("[#]Datatypes!B742:L742","Integer")</f>
        <v>Integer</v>
      </c>
      <c r="K414" s="271" t="str">
        <f>HYPERLINK("[#]PhysicalQuantities!A39:N39","Pure Number")</f>
        <v>Pure Number</v>
      </c>
      <c r="L414" s="270" t="str">
        <f>HYPERLINK("[#]UnitsOfMeasure!D213:G213","Unitless")</f>
        <v>Unitless</v>
      </c>
      <c r="M414" s="272"/>
      <c r="N414" s="273"/>
      <c r="O414" s="269"/>
      <c r="P414" s="37">
        <v>117777</v>
      </c>
      <c r="Q414" s="36" t="str">
        <f>CONCATENATE(Cover!$D$6,"fdd/view?i=",P414)</f>
        <v>https://www.dgiwg.org/FAD/fdd/view?i=117777</v>
      </c>
      <c r="R414" s="13" t="s">
        <v>7990</v>
      </c>
      <c r="S414" s="172"/>
      <c r="T414" s="172"/>
      <c r="AG414" s="82" t="s">
        <v>1790</v>
      </c>
      <c r="AW414" s="82" t="s">
        <v>1790</v>
      </c>
    </row>
    <row r="415" spans="1:105" ht="51" x14ac:dyDescent="0.2">
      <c r="A415" s="176" t="str">
        <f t="shared" si="10"/>
        <v>declassBasis</v>
      </c>
      <c r="B415" s="11" t="s">
        <v>7996</v>
      </c>
      <c r="C415" s="173"/>
      <c r="D415" s="22" t="s">
        <v>7997</v>
      </c>
      <c r="E415" s="15" t="s">
        <v>7998</v>
      </c>
      <c r="F415" s="15" t="s">
        <v>7999</v>
      </c>
      <c r="G415" s="174"/>
      <c r="H415" s="17" t="s">
        <v>5932</v>
      </c>
      <c r="I415" s="269"/>
      <c r="J415" s="369" t="str">
        <f>HYPERLINK("[#]Datatypes!B434:L434","DebStrucText")</f>
        <v>DebStrucText</v>
      </c>
      <c r="K415" s="276"/>
      <c r="L415" s="272"/>
      <c r="M415" s="272"/>
      <c r="N415" s="273"/>
      <c r="O415" s="269"/>
      <c r="P415" s="37">
        <v>111512</v>
      </c>
      <c r="Q415" s="36" t="str">
        <f>CONCATENATE(Cover!$D$6,"fdd/view?i=",P415)</f>
        <v>https://www.dgiwg.org/FAD/fdd/view?i=111512</v>
      </c>
      <c r="R415" s="13" t="s">
        <v>7995</v>
      </c>
      <c r="S415" s="172"/>
      <c r="T415" s="172"/>
      <c r="DA415" s="165" t="s">
        <v>1790</v>
      </c>
    </row>
    <row r="416" spans="1:105" ht="127.5" x14ac:dyDescent="0.2">
      <c r="A416" s="176" t="str">
        <f t="shared" si="10"/>
        <v>deepDepthBelowSurfLevel</v>
      </c>
      <c r="B416" s="11" t="s">
        <v>8002</v>
      </c>
      <c r="C416" s="173"/>
      <c r="D416" s="22" t="s">
        <v>8003</v>
      </c>
      <c r="E416" s="15" t="s">
        <v>8004</v>
      </c>
      <c r="F416" s="15" t="s">
        <v>8005</v>
      </c>
      <c r="G416" s="174"/>
      <c r="H416" s="17" t="s">
        <v>5932</v>
      </c>
      <c r="I416" s="269"/>
      <c r="J416" s="369" t="str">
        <f>HYPERLINK("[#]Datatypes!B1231:L1231","Real")</f>
        <v>Real</v>
      </c>
      <c r="K416" s="271" t="str">
        <f>HYPERLINK("[#]PhysicalQuantities!A20:N20","Length")</f>
        <v>Length</v>
      </c>
      <c r="L416" s="270" t="str">
        <f>HYPERLINK("[#]UnitsOfMeasure!D80:G80","Metre")</f>
        <v>Metre</v>
      </c>
      <c r="M416" s="272"/>
      <c r="N416" s="273"/>
      <c r="O416" s="269"/>
      <c r="P416" s="37">
        <v>119160</v>
      </c>
      <c r="Q416" s="36" t="str">
        <f>CONCATENATE(Cover!$D$6,"fdd/view?i=",P416)</f>
        <v>https://www.dgiwg.org/FAD/fdd/view?i=119160</v>
      </c>
      <c r="R416" s="13" t="s">
        <v>8001</v>
      </c>
      <c r="S416" s="172"/>
      <c r="T416" s="172"/>
      <c r="CP416" s="164" t="s">
        <v>1790</v>
      </c>
    </row>
    <row r="417" spans="1:104" ht="25.5" x14ac:dyDescent="0.2">
      <c r="A417" s="176" t="str">
        <f t="shared" si="10"/>
        <v>degreeOfMotorization</v>
      </c>
      <c r="B417" s="11" t="s">
        <v>8007</v>
      </c>
      <c r="C417" s="173"/>
      <c r="D417" s="22" t="s">
        <v>8008</v>
      </c>
      <c r="E417" s="15" t="s">
        <v>8009</v>
      </c>
      <c r="F417" s="174"/>
      <c r="G417" s="174"/>
      <c r="H417" s="17" t="s">
        <v>5932</v>
      </c>
      <c r="I417" s="269"/>
      <c r="J417" s="369" t="str">
        <f>HYPERLINK("[#]Datatypes!B1231:L1231","Real")</f>
        <v>Real</v>
      </c>
      <c r="K417" s="271" t="str">
        <f>HYPERLINK("[#]PhysicalQuantities!A39:N39","Pure Number")</f>
        <v>Pure Number</v>
      </c>
      <c r="L417" s="270" t="str">
        <f>HYPERLINK("[#]UnitsOfMeasure!D215:G215","Percent")</f>
        <v>Percent</v>
      </c>
      <c r="M417" s="272"/>
      <c r="N417" s="273"/>
      <c r="O417" s="269"/>
      <c r="P417" s="37">
        <v>111521</v>
      </c>
      <c r="Q417" s="36" t="str">
        <f>CONCATENATE(Cover!$D$6,"fdd/view?i=",P417)</f>
        <v>https://www.dgiwg.org/FAD/fdd/view?i=111521</v>
      </c>
      <c r="R417" s="13" t="s">
        <v>8006</v>
      </c>
      <c r="S417" s="172"/>
      <c r="T417" s="172"/>
      <c r="AM417" s="83" t="s">
        <v>1790</v>
      </c>
      <c r="CQ417" s="165" t="s">
        <v>1790</v>
      </c>
    </row>
    <row r="418" spans="1:104" ht="25.5" x14ac:dyDescent="0.2">
      <c r="A418" s="176" t="str">
        <f t="shared" si="10"/>
        <v>degreeOfUrbanization</v>
      </c>
      <c r="B418" s="11" t="s">
        <v>8011</v>
      </c>
      <c r="C418" s="173"/>
      <c r="D418" s="22" t="s">
        <v>8012</v>
      </c>
      <c r="E418" s="15" t="s">
        <v>8013</v>
      </c>
      <c r="F418" s="174"/>
      <c r="G418" s="174"/>
      <c r="H418" s="17" t="s">
        <v>5932</v>
      </c>
      <c r="I418" s="269"/>
      <c r="J418" s="369" t="str">
        <f>HYPERLINK("[#]Datatypes!B1231:L1231","Real")</f>
        <v>Real</v>
      </c>
      <c r="K418" s="271" t="str">
        <f>HYPERLINK("[#]PhysicalQuantities!A39:N39","Pure Number")</f>
        <v>Pure Number</v>
      </c>
      <c r="L418" s="270" t="str">
        <f>HYPERLINK("[#]UnitsOfMeasure!D215:G215","Percent")</f>
        <v>Percent</v>
      </c>
      <c r="M418" s="272"/>
      <c r="N418" s="273"/>
      <c r="O418" s="269"/>
      <c r="P418" s="37">
        <v>111519</v>
      </c>
      <c r="Q418" s="36" t="str">
        <f>CONCATENATE(Cover!$D$6,"fdd/view?i=",P418)</f>
        <v>https://www.dgiwg.org/FAD/fdd/view?i=111519</v>
      </c>
      <c r="R418" s="13" t="s">
        <v>8010</v>
      </c>
      <c r="S418" s="172"/>
      <c r="T418" s="172"/>
      <c r="AM418" s="83" t="s">
        <v>1790</v>
      </c>
      <c r="CQ418" s="165" t="s">
        <v>1790</v>
      </c>
    </row>
    <row r="419" spans="1:104" ht="25.5" x14ac:dyDescent="0.2">
      <c r="A419" s="176" t="str">
        <f t="shared" si="10"/>
        <v>deIcingAntiIcingAreaDesig</v>
      </c>
      <c r="B419" s="11" t="s">
        <v>8015</v>
      </c>
      <c r="C419" s="173"/>
      <c r="D419" s="22" t="s">
        <v>8016</v>
      </c>
      <c r="E419" s="15" t="s">
        <v>8017</v>
      </c>
      <c r="F419" s="174"/>
      <c r="G419" s="174"/>
      <c r="H419" s="17" t="s">
        <v>5932</v>
      </c>
      <c r="I419" s="269"/>
      <c r="J419" s="369" t="str">
        <f>HYPERLINK("[#]Datatypes!B1562:L1562","TextNonLexUnconstrained")</f>
        <v>TextNonLexUnconstrained</v>
      </c>
      <c r="K419" s="276"/>
      <c r="L419" s="272"/>
      <c r="M419" s="272"/>
      <c r="N419" s="273"/>
      <c r="O419" s="269"/>
      <c r="P419" s="37">
        <v>119183</v>
      </c>
      <c r="Q419" s="36" t="str">
        <f>CONCATENATE(Cover!$D$6,"fdd/view?i=",P419)</f>
        <v>https://www.dgiwg.org/FAD/fdd/view?i=119183</v>
      </c>
      <c r="R419" s="13" t="s">
        <v>8014</v>
      </c>
      <c r="S419" s="172"/>
      <c r="T419" s="172"/>
      <c r="AT419" s="82" t="s">
        <v>1790</v>
      </c>
      <c r="CE419" s="87" t="s">
        <v>1790</v>
      </c>
      <c r="CH419" s="83" t="s">
        <v>1790</v>
      </c>
    </row>
    <row r="420" spans="1:104" ht="25.5" x14ac:dyDescent="0.2">
      <c r="A420" s="176" t="str">
        <f t="shared" si="10"/>
        <v>delineationKnown</v>
      </c>
      <c r="B420" s="11" t="s">
        <v>8019</v>
      </c>
      <c r="C420" s="173"/>
      <c r="D420" s="22" t="s">
        <v>8020</v>
      </c>
      <c r="E420" s="15" t="s">
        <v>8021</v>
      </c>
      <c r="F420" s="174"/>
      <c r="G420" s="174"/>
      <c r="H420" s="17" t="s">
        <v>5932</v>
      </c>
      <c r="I420" s="269"/>
      <c r="J420" s="369" t="str">
        <f>HYPERLINK("[#]Datatypes!B240:L240","Boolean")</f>
        <v>Boolean</v>
      </c>
      <c r="K420" s="276"/>
      <c r="L420" s="272"/>
      <c r="M420" s="272"/>
      <c r="N420" s="273"/>
      <c r="O420" s="269"/>
      <c r="P420" s="37">
        <v>100751</v>
      </c>
      <c r="Q420" s="36" t="str">
        <f>CONCATENATE(Cover!$D$6,"fdd/view?i=",P420)</f>
        <v>https://www.dgiwg.org/FAD/fdd/view?i=100751</v>
      </c>
      <c r="R420" s="13" t="s">
        <v>8018</v>
      </c>
      <c r="S420" s="172"/>
      <c r="T420" s="172"/>
      <c r="CP420" s="164" t="s">
        <v>1790</v>
      </c>
      <c r="CQ420" s="165" t="s">
        <v>1790</v>
      </c>
      <c r="CZ420" s="165" t="s">
        <v>1790</v>
      </c>
    </row>
    <row r="421" spans="1:104" x14ac:dyDescent="0.2">
      <c r="A421" s="176" t="str">
        <f t="shared" si="10"/>
        <v>depthAtMeanHighWater</v>
      </c>
      <c r="B421" s="11" t="s">
        <v>8023</v>
      </c>
      <c r="C421" s="173"/>
      <c r="D421" s="22" t="s">
        <v>8024</v>
      </c>
      <c r="E421" s="15" t="s">
        <v>8025</v>
      </c>
      <c r="F421" s="174"/>
      <c r="G421" s="174"/>
      <c r="H421" s="17" t="s">
        <v>5932</v>
      </c>
      <c r="I421" s="269"/>
      <c r="J421" s="369" t="str">
        <f>HYPERLINK("[#]Datatypes!B1231:L1231","Real")</f>
        <v>Real</v>
      </c>
      <c r="K421" s="271" t="str">
        <f>HYPERLINK("[#]PhysicalQuantities!A20:N20","Length")</f>
        <v>Length</v>
      </c>
      <c r="L421" s="270" t="str">
        <f>HYPERLINK("[#]UnitsOfMeasure!D80:G80","Metre")</f>
        <v>Metre</v>
      </c>
      <c r="M421" s="272"/>
      <c r="N421" s="273"/>
      <c r="O421" s="269"/>
      <c r="P421" s="37">
        <v>100814</v>
      </c>
      <c r="Q421" s="36" t="str">
        <f>CONCATENATE(Cover!$D$6,"fdd/view?i=",P421)</f>
        <v>https://www.dgiwg.org/FAD/fdd/view?i=100814</v>
      </c>
      <c r="R421" s="13" t="s">
        <v>8022</v>
      </c>
      <c r="S421" s="172"/>
      <c r="T421" s="172"/>
      <c r="BB421" s="83" t="s">
        <v>1790</v>
      </c>
      <c r="BG421" s="83" t="s">
        <v>1790</v>
      </c>
      <c r="CP421" s="164" t="s">
        <v>1790</v>
      </c>
    </row>
    <row r="422" spans="1:104" x14ac:dyDescent="0.2">
      <c r="A422" s="176" t="str">
        <f t="shared" si="10"/>
        <v>depthAtMeanLowWater</v>
      </c>
      <c r="B422" s="11" t="s">
        <v>8027</v>
      </c>
      <c r="C422" s="173"/>
      <c r="D422" s="22" t="s">
        <v>8028</v>
      </c>
      <c r="E422" s="15" t="s">
        <v>8029</v>
      </c>
      <c r="F422" s="174"/>
      <c r="G422" s="174"/>
      <c r="H422" s="17" t="s">
        <v>5932</v>
      </c>
      <c r="I422" s="269"/>
      <c r="J422" s="369" t="str">
        <f>HYPERLINK("[#]Datatypes!B1231:L1231","Real")</f>
        <v>Real</v>
      </c>
      <c r="K422" s="271" t="str">
        <f>HYPERLINK("[#]PhysicalQuantities!A20:N20","Length")</f>
        <v>Length</v>
      </c>
      <c r="L422" s="270" t="str">
        <f>HYPERLINK("[#]UnitsOfMeasure!D80:G80","Metre")</f>
        <v>Metre</v>
      </c>
      <c r="M422" s="272"/>
      <c r="N422" s="273"/>
      <c r="O422" s="269"/>
      <c r="P422" s="37">
        <v>100818</v>
      </c>
      <c r="Q422" s="36" t="str">
        <f>CONCATENATE(Cover!$D$6,"fdd/view?i=",P422)</f>
        <v>https://www.dgiwg.org/FAD/fdd/view?i=100818</v>
      </c>
      <c r="R422" s="13" t="s">
        <v>8026</v>
      </c>
      <c r="S422" s="172"/>
      <c r="T422" s="172"/>
      <c r="BB422" s="83" t="s">
        <v>1790</v>
      </c>
      <c r="CP422" s="164" t="s">
        <v>1790</v>
      </c>
    </row>
    <row r="423" spans="1:104" x14ac:dyDescent="0.2">
      <c r="A423" s="176" t="str">
        <f t="shared" si="10"/>
        <v>depthAtMeanWater</v>
      </c>
      <c r="B423" s="11" t="s">
        <v>8031</v>
      </c>
      <c r="C423" s="173"/>
      <c r="D423" s="22" t="s">
        <v>8032</v>
      </c>
      <c r="E423" s="15" t="s">
        <v>8033</v>
      </c>
      <c r="F423" s="174"/>
      <c r="G423" s="174"/>
      <c r="H423" s="17" t="s">
        <v>5932</v>
      </c>
      <c r="I423" s="269"/>
      <c r="J423" s="369" t="str">
        <f>HYPERLINK("[#]Datatypes!B1231:L1231","Real")</f>
        <v>Real</v>
      </c>
      <c r="K423" s="271" t="str">
        <f>HYPERLINK("[#]PhysicalQuantities!A20:N20","Length")</f>
        <v>Length</v>
      </c>
      <c r="L423" s="270" t="str">
        <f>HYPERLINK("[#]UnitsOfMeasure!D80:G80","Metre")</f>
        <v>Metre</v>
      </c>
      <c r="M423" s="272"/>
      <c r="N423" s="273"/>
      <c r="O423" s="269"/>
      <c r="P423" s="37">
        <v>100827</v>
      </c>
      <c r="Q423" s="36" t="str">
        <f>CONCATENATE(Cover!$D$6,"fdd/view?i=",P423)</f>
        <v>https://www.dgiwg.org/FAD/fdd/view?i=100827</v>
      </c>
      <c r="R423" s="13" t="s">
        <v>8030</v>
      </c>
      <c r="S423" s="172"/>
      <c r="T423" s="172"/>
      <c r="BB423" s="83" t="s">
        <v>1790</v>
      </c>
      <c r="CP423" s="164" t="s">
        <v>1790</v>
      </c>
    </row>
    <row r="424" spans="1:104" x14ac:dyDescent="0.2">
      <c r="A424" s="176" t="str">
        <f t="shared" si="10"/>
        <v>depthCurveOrContourValue</v>
      </c>
      <c r="B424" s="11" t="s">
        <v>8035</v>
      </c>
      <c r="C424" s="173"/>
      <c r="D424" s="22" t="s">
        <v>8036</v>
      </c>
      <c r="E424" s="15" t="s">
        <v>8037</v>
      </c>
      <c r="F424" s="174"/>
      <c r="G424" s="174"/>
      <c r="H424" s="17" t="s">
        <v>5932</v>
      </c>
      <c r="I424" s="269"/>
      <c r="J424" s="369" t="str">
        <f>HYPERLINK("[#]Datatypes!B1231:L1231","Real")</f>
        <v>Real</v>
      </c>
      <c r="K424" s="271" t="str">
        <f>HYPERLINK("[#]PhysicalQuantities!A20:N20","Length")</f>
        <v>Length</v>
      </c>
      <c r="L424" s="270" t="str">
        <f>HYPERLINK("[#]UnitsOfMeasure!D80:G80","Metre")</f>
        <v>Metre</v>
      </c>
      <c r="M424" s="272"/>
      <c r="N424" s="273"/>
      <c r="O424" s="269"/>
      <c r="P424" s="37">
        <v>100768</v>
      </c>
      <c r="Q424" s="36" t="str">
        <f>CONCATENATE(Cover!$D$6,"fdd/view?i=",P424)</f>
        <v>https://www.dgiwg.org/FAD/fdd/view?i=100768</v>
      </c>
      <c r="R424" s="13" t="s">
        <v>8034</v>
      </c>
      <c r="S424" s="172"/>
      <c r="T424" s="172"/>
      <c r="BL424" s="81" t="s">
        <v>1790</v>
      </c>
    </row>
    <row r="425" spans="1:104" ht="25.5" x14ac:dyDescent="0.2">
      <c r="A425" s="176" t="str">
        <f t="shared" si="10"/>
        <v>depthExposition</v>
      </c>
      <c r="B425" s="11" t="s">
        <v>8039</v>
      </c>
      <c r="C425" s="173"/>
      <c r="D425" s="22" t="s">
        <v>8040</v>
      </c>
      <c r="E425" s="15" t="s">
        <v>8041</v>
      </c>
      <c r="F425" s="174"/>
      <c r="G425" s="174"/>
      <c r="H425" s="17" t="s">
        <v>5932</v>
      </c>
      <c r="I425" s="269"/>
      <c r="J425" s="369" t="str">
        <f>HYPERLINK("[#]Datatypes!B436:L436","EodCode")</f>
        <v>EodCode</v>
      </c>
      <c r="K425" s="276"/>
      <c r="L425" s="272"/>
      <c r="M425" s="272"/>
      <c r="N425" s="248" t="str">
        <f>HYPERLINK("[#]DatatypeListedValues!A2875:H2875","&lt;values&gt;")</f>
        <v>&lt;values&gt;</v>
      </c>
      <c r="O425" s="277" t="b">
        <v>0</v>
      </c>
      <c r="P425" s="37">
        <v>100863</v>
      </c>
      <c r="Q425" s="36" t="str">
        <f>CONCATENATE(Cover!$D$6,"fdd/view?i=",P425)</f>
        <v>https://www.dgiwg.org/FAD/fdd/view?i=100863</v>
      </c>
      <c r="R425" s="13" t="s">
        <v>8038</v>
      </c>
      <c r="S425" s="172"/>
      <c r="T425" s="172"/>
      <c r="AS425" s="82" t="s">
        <v>1790</v>
      </c>
      <c r="BB425" s="83" t="s">
        <v>1790</v>
      </c>
      <c r="BF425" s="83" t="s">
        <v>1790</v>
      </c>
      <c r="CQ425" s="165" t="s">
        <v>1790</v>
      </c>
      <c r="CZ425" s="165" t="s">
        <v>1790</v>
      </c>
    </row>
    <row r="426" spans="1:104" ht="38.25" x14ac:dyDescent="0.2">
      <c r="A426" s="176" t="str">
        <f t="shared" si="10"/>
        <v>depthGroundwaterSurface</v>
      </c>
      <c r="B426" s="11" t="s">
        <v>8044</v>
      </c>
      <c r="C426" s="173"/>
      <c r="D426" s="22" t="s">
        <v>8045</v>
      </c>
      <c r="E426" s="15" t="s">
        <v>8046</v>
      </c>
      <c r="F426" s="174"/>
      <c r="G426" s="174"/>
      <c r="H426" s="17" t="s">
        <v>5932</v>
      </c>
      <c r="I426" s="269"/>
      <c r="J426" s="369" t="str">
        <f>HYPERLINK("[#]Datatypes!B1233:L1233","RealInterval")</f>
        <v>RealInterval</v>
      </c>
      <c r="K426" s="271" t="str">
        <f>HYPERLINK("[#]PhysicalQuantities!A20:N20","Length")</f>
        <v>Length</v>
      </c>
      <c r="L426" s="270" t="str">
        <f>HYPERLINK("[#]UnitsOfMeasure!D80:G80","Metre")</f>
        <v>Metre</v>
      </c>
      <c r="M426" s="272"/>
      <c r="N426" s="273"/>
      <c r="O426" s="269"/>
      <c r="P426" s="37">
        <v>118582</v>
      </c>
      <c r="Q426" s="36" t="str">
        <f>CONCATENATE(Cover!$D$6,"fdd/view?i=",P426)</f>
        <v>https://www.dgiwg.org/FAD/fdd/view?i=118582</v>
      </c>
      <c r="R426" s="13" t="s">
        <v>8043</v>
      </c>
      <c r="S426" s="172"/>
      <c r="T426" s="172"/>
      <c r="BP426" s="82" t="s">
        <v>1790</v>
      </c>
      <c r="CP426" s="164" t="s">
        <v>1790</v>
      </c>
    </row>
    <row r="427" spans="1:104" ht="51" x14ac:dyDescent="0.2">
      <c r="A427" s="176" t="str">
        <f t="shared" si="10"/>
        <v>depthRange</v>
      </c>
      <c r="B427" s="11" t="s">
        <v>8048</v>
      </c>
      <c r="C427" s="173"/>
      <c r="D427" s="22" t="s">
        <v>8049</v>
      </c>
      <c r="E427" s="15" t="s">
        <v>8050</v>
      </c>
      <c r="F427" s="15" t="s">
        <v>8051</v>
      </c>
      <c r="G427" s="174"/>
      <c r="H427" s="17" t="s">
        <v>5932</v>
      </c>
      <c r="I427" s="269"/>
      <c r="J427" s="369" t="str">
        <f>HYPERLINK("[#]Datatypes!B1233:L1233","RealInterval")</f>
        <v>RealInterval</v>
      </c>
      <c r="K427" s="271" t="str">
        <f>HYPERLINK("[#]PhysicalQuantities!A20:N20","Length")</f>
        <v>Length</v>
      </c>
      <c r="L427" s="270" t="str">
        <f>HYPERLINK("[#]UnitsOfMeasure!D80:G80","Metre")</f>
        <v>Metre</v>
      </c>
      <c r="M427" s="272"/>
      <c r="N427" s="273"/>
      <c r="O427" s="269"/>
      <c r="P427" s="37">
        <v>109949</v>
      </c>
      <c r="Q427" s="36" t="str">
        <f>CONCATENATE(Cover!$D$6,"fdd/view?i=",P427)</f>
        <v>https://www.dgiwg.org/FAD/fdd/view?i=109949</v>
      </c>
      <c r="R427" s="13" t="s">
        <v>8047</v>
      </c>
      <c r="S427" s="172"/>
      <c r="T427" s="172"/>
      <c r="BB427" s="83" t="s">
        <v>1790</v>
      </c>
      <c r="CP427" s="164" t="s">
        <v>1790</v>
      </c>
    </row>
    <row r="428" spans="1:104" x14ac:dyDescent="0.2">
      <c r="A428" s="176" t="str">
        <f t="shared" si="10"/>
        <v>depthRecorderName</v>
      </c>
      <c r="B428" s="11" t="s">
        <v>8053</v>
      </c>
      <c r="C428" s="173"/>
      <c r="D428" s="22" t="s">
        <v>8054</v>
      </c>
      <c r="E428" s="15" t="s">
        <v>8055</v>
      </c>
      <c r="F428" s="174"/>
      <c r="G428" s="174"/>
      <c r="H428" s="17" t="s">
        <v>5932</v>
      </c>
      <c r="I428" s="269"/>
      <c r="J428" s="369" t="str">
        <f>HYPERLINK("[#]Datatypes!B1542:L1542","TextLex80")</f>
        <v>TextLex80</v>
      </c>
      <c r="K428" s="276"/>
      <c r="L428" s="272"/>
      <c r="M428" s="272"/>
      <c r="N428" s="273"/>
      <c r="O428" s="269"/>
      <c r="P428" s="37">
        <v>100839</v>
      </c>
      <c r="Q428" s="36" t="str">
        <f>CONCATENATE(Cover!$D$6,"fdd/view?i=",P428)</f>
        <v>https://www.dgiwg.org/FAD/fdd/view?i=100839</v>
      </c>
      <c r="R428" s="13" t="s">
        <v>8052</v>
      </c>
      <c r="S428" s="172"/>
      <c r="T428" s="172"/>
      <c r="BB428" s="83" t="s">
        <v>1790</v>
      </c>
      <c r="CP428" s="164" t="s">
        <v>1790</v>
      </c>
      <c r="CU428" s="87" t="s">
        <v>1790</v>
      </c>
    </row>
    <row r="429" spans="1:104" ht="38.25" x14ac:dyDescent="0.2">
      <c r="A429" s="176" t="str">
        <f t="shared" si="10"/>
        <v>derivedAerodromeLocIdent</v>
      </c>
      <c r="B429" s="11" t="s">
        <v>8057</v>
      </c>
      <c r="C429" s="173"/>
      <c r="D429" s="22" t="s">
        <v>8058</v>
      </c>
      <c r="E429" s="15" t="s">
        <v>8059</v>
      </c>
      <c r="F429" s="174"/>
      <c r="G429" s="174"/>
      <c r="H429" s="17" t="s">
        <v>5932</v>
      </c>
      <c r="I429" s="269"/>
      <c r="J429" s="369" t="str">
        <f>HYPERLINK("[#]Datatypes!B438:L438","AixStrucText")</f>
        <v>AixStrucText</v>
      </c>
      <c r="K429" s="276"/>
      <c r="L429" s="272"/>
      <c r="M429" s="272"/>
      <c r="N429" s="273"/>
      <c r="O429" s="269"/>
      <c r="P429" s="37">
        <v>117493</v>
      </c>
      <c r="Q429" s="36" t="str">
        <f>CONCATENATE(Cover!$D$6,"fdd/view?i=",P429)</f>
        <v>https://www.dgiwg.org/FAD/fdd/view?i=117493</v>
      </c>
      <c r="R429" s="13" t="s">
        <v>8056</v>
      </c>
      <c r="S429" s="172"/>
      <c r="T429" s="172"/>
      <c r="CE429" s="87" t="s">
        <v>1790</v>
      </c>
    </row>
    <row r="430" spans="1:104" x14ac:dyDescent="0.2">
      <c r="A430" s="176" t="str">
        <f t="shared" si="10"/>
        <v>descOfAidsToNavigation</v>
      </c>
      <c r="B430" s="11" t="s">
        <v>8062</v>
      </c>
      <c r="C430" s="173"/>
      <c r="D430" s="22" t="s">
        <v>8063</v>
      </c>
      <c r="E430" s="15" t="s">
        <v>8064</v>
      </c>
      <c r="F430" s="15" t="s">
        <v>8065</v>
      </c>
      <c r="G430" s="174"/>
      <c r="H430" s="17" t="s">
        <v>5932</v>
      </c>
      <c r="I430" s="269"/>
      <c r="J430" s="369" t="str">
        <f>HYPERLINK("[#]Datatypes!B1538:L1538","TextLex255")</f>
        <v>TextLex255</v>
      </c>
      <c r="K430" s="276"/>
      <c r="L430" s="272"/>
      <c r="M430" s="272"/>
      <c r="N430" s="273"/>
      <c r="O430" s="269"/>
      <c r="P430" s="37">
        <v>100802</v>
      </c>
      <c r="Q430" s="36" t="str">
        <f>CONCATENATE(Cover!$D$6,"fdd/view?i=",P430)</f>
        <v>https://www.dgiwg.org/FAD/fdd/view?i=100802</v>
      </c>
      <c r="R430" s="13" t="s">
        <v>8061</v>
      </c>
      <c r="S430" s="172"/>
      <c r="T430" s="172"/>
      <c r="AS430" s="82" t="s">
        <v>1790</v>
      </c>
      <c r="BF430" s="83" t="s">
        <v>1790</v>
      </c>
      <c r="CS430" s="165" t="s">
        <v>1790</v>
      </c>
    </row>
    <row r="431" spans="1:104" x14ac:dyDescent="0.2">
      <c r="A431" s="176" t="str">
        <f t="shared" si="10"/>
        <v>descOfReferencePoint</v>
      </c>
      <c r="B431" s="11" t="s">
        <v>8067</v>
      </c>
      <c r="C431" s="173"/>
      <c r="D431" s="22" t="s">
        <v>8068</v>
      </c>
      <c r="E431" s="15" t="s">
        <v>8069</v>
      </c>
      <c r="F431" s="174"/>
      <c r="G431" s="174"/>
      <c r="H431" s="17" t="s">
        <v>5932</v>
      </c>
      <c r="I431" s="269"/>
      <c r="J431" s="369" t="str">
        <f>HYPERLINK("[#]Datatypes!B1538:L1538","TextLex255")</f>
        <v>TextLex255</v>
      </c>
      <c r="K431" s="276"/>
      <c r="L431" s="272"/>
      <c r="M431" s="272"/>
      <c r="N431" s="273"/>
      <c r="O431" s="269"/>
      <c r="P431" s="37">
        <v>100840</v>
      </c>
      <c r="Q431" s="36" t="str">
        <f>CONCATENATE(Cover!$D$6,"fdd/view?i=",P431)</f>
        <v>https://www.dgiwg.org/FAD/fdd/view?i=100840</v>
      </c>
      <c r="R431" s="13" t="s">
        <v>8066</v>
      </c>
      <c r="S431" s="172"/>
      <c r="T431" s="172"/>
      <c r="AS431" s="82" t="s">
        <v>1790</v>
      </c>
      <c r="BF431" s="83" t="s">
        <v>1790</v>
      </c>
      <c r="CD431" s="85" t="s">
        <v>1790</v>
      </c>
      <c r="CP431" s="164" t="s">
        <v>1790</v>
      </c>
    </row>
    <row r="432" spans="1:104" x14ac:dyDescent="0.2">
      <c r="A432" s="176" t="str">
        <f t="shared" si="10"/>
        <v>desertSurfaceType</v>
      </c>
      <c r="B432" s="11" t="s">
        <v>8071</v>
      </c>
      <c r="C432" s="173"/>
      <c r="D432" s="22" t="s">
        <v>8072</v>
      </c>
      <c r="E432" s="15" t="s">
        <v>8073</v>
      </c>
      <c r="F432" s="174"/>
      <c r="G432" s="174"/>
      <c r="H432" s="17" t="s">
        <v>5932</v>
      </c>
      <c r="I432" s="269"/>
      <c r="J432" s="369" t="str">
        <f>HYPERLINK("[#]Datatypes!B440:L440","De1Code")</f>
        <v>De1Code</v>
      </c>
      <c r="K432" s="276"/>
      <c r="L432" s="272"/>
      <c r="M432" s="272"/>
      <c r="N432" s="248" t="str">
        <f>HYPERLINK("[#]DatatypeListedValues!A2878:H2878","&lt;values&gt;")</f>
        <v>&lt;values&gt;</v>
      </c>
      <c r="O432" s="277" t="b">
        <v>0</v>
      </c>
      <c r="P432" s="37">
        <v>111509</v>
      </c>
      <c r="Q432" s="36" t="str">
        <f>CONCATENATE(Cover!$D$6,"fdd/view?i=",P432)</f>
        <v>https://www.dgiwg.org/FAD/fdd/view?i=111509</v>
      </c>
      <c r="R432" s="13" t="s">
        <v>8070</v>
      </c>
      <c r="S432" s="172"/>
      <c r="T432" s="172"/>
      <c r="BO432" s="82" t="s">
        <v>1790</v>
      </c>
      <c r="BY432" s="83" t="s">
        <v>1790</v>
      </c>
      <c r="CS432" s="165" t="s">
        <v>1790</v>
      </c>
    </row>
    <row r="433" spans="1:105" x14ac:dyDescent="0.2">
      <c r="A433" s="176" t="str">
        <f t="shared" si="10"/>
        <v>desertType</v>
      </c>
      <c r="B433" s="11" t="s">
        <v>8076</v>
      </c>
      <c r="C433" s="173"/>
      <c r="D433" s="22" t="s">
        <v>8077</v>
      </c>
      <c r="E433" s="15" t="s">
        <v>8078</v>
      </c>
      <c r="F433" s="174"/>
      <c r="G433" s="174"/>
      <c r="H433" s="17" t="s">
        <v>5932</v>
      </c>
      <c r="I433" s="269"/>
      <c r="J433" s="369" t="str">
        <f>HYPERLINK("[#]Datatypes!B442:L442","De2Code")</f>
        <v>De2Code</v>
      </c>
      <c r="K433" s="276"/>
      <c r="L433" s="272"/>
      <c r="M433" s="272"/>
      <c r="N433" s="248" t="str">
        <f>HYPERLINK("[#]DatatypeListedValues!A2884:H2884","&lt;values&gt;")</f>
        <v>&lt;values&gt;</v>
      </c>
      <c r="O433" s="277" t="b">
        <v>0</v>
      </c>
      <c r="P433" s="37">
        <v>111510</v>
      </c>
      <c r="Q433" s="36" t="str">
        <f>CONCATENATE(Cover!$D$6,"fdd/view?i=",P433)</f>
        <v>https://www.dgiwg.org/FAD/fdd/view?i=111510</v>
      </c>
      <c r="R433" s="13" t="s">
        <v>8075</v>
      </c>
      <c r="S433" s="172"/>
      <c r="T433" s="172"/>
      <c r="BY433" s="83" t="s">
        <v>1790</v>
      </c>
      <c r="CP433" s="164" t="s">
        <v>1790</v>
      </c>
      <c r="CS433" s="165" t="s">
        <v>1790</v>
      </c>
    </row>
    <row r="434" spans="1:105" x14ac:dyDescent="0.2">
      <c r="A434" s="176" t="str">
        <f t="shared" si="10"/>
        <v>designatedPointIdent</v>
      </c>
      <c r="B434" s="11" t="s">
        <v>8081</v>
      </c>
      <c r="C434" s="173"/>
      <c r="D434" s="22" t="s">
        <v>8082</v>
      </c>
      <c r="E434" s="15" t="s">
        <v>8083</v>
      </c>
      <c r="F434" s="174"/>
      <c r="G434" s="174"/>
      <c r="H434" s="17" t="s">
        <v>5932</v>
      </c>
      <c r="I434" s="269"/>
      <c r="J434" s="369" t="str">
        <f>HYPERLINK("[#]Datatypes!B444:L444","DpiStrucText")</f>
        <v>DpiStrucText</v>
      </c>
      <c r="K434" s="276"/>
      <c r="L434" s="272"/>
      <c r="M434" s="272"/>
      <c r="N434" s="273"/>
      <c r="O434" s="269"/>
      <c r="P434" s="37">
        <v>117557</v>
      </c>
      <c r="Q434" s="36" t="str">
        <f>CONCATENATE(Cover!$D$6,"fdd/view?i=",P434)</f>
        <v>https://www.dgiwg.org/FAD/fdd/view?i=117557</v>
      </c>
      <c r="R434" s="13" t="s">
        <v>8080</v>
      </c>
      <c r="S434" s="172"/>
      <c r="T434" s="172"/>
      <c r="CG434" s="83" t="s">
        <v>1790</v>
      </c>
    </row>
    <row r="435" spans="1:105" ht="38.25" x14ac:dyDescent="0.2">
      <c r="A435" s="176" t="str">
        <f t="shared" si="10"/>
        <v>designatedPointType</v>
      </c>
      <c r="B435" s="11" t="s">
        <v>8086</v>
      </c>
      <c r="C435" s="173"/>
      <c r="D435" s="22" t="s">
        <v>8087</v>
      </c>
      <c r="E435" s="15" t="s">
        <v>8088</v>
      </c>
      <c r="F435" s="174"/>
      <c r="G435" s="174"/>
      <c r="H435" s="17" t="s">
        <v>5932</v>
      </c>
      <c r="I435" s="269"/>
      <c r="J435" s="369" t="str">
        <f>HYPERLINK("[#]Datatypes!B446:L446","DptCode")</f>
        <v>DptCode</v>
      </c>
      <c r="K435" s="276"/>
      <c r="L435" s="272"/>
      <c r="M435" s="272"/>
      <c r="N435" s="248" t="str">
        <f>HYPERLINK("[#]DatatypeListedValues!A2886:H2886","&lt;values&gt;")</f>
        <v>&lt;values&gt;</v>
      </c>
      <c r="O435" s="277" t="b">
        <v>0</v>
      </c>
      <c r="P435" s="37">
        <v>117558</v>
      </c>
      <c r="Q435" s="36" t="str">
        <f>CONCATENATE(Cover!$D$6,"fdd/view?i=",P435)</f>
        <v>https://www.dgiwg.org/FAD/fdd/view?i=117558</v>
      </c>
      <c r="R435" s="13" t="s">
        <v>8085</v>
      </c>
      <c r="S435" s="172"/>
      <c r="T435" s="172"/>
      <c r="CG435" s="83" t="s">
        <v>1790</v>
      </c>
    </row>
    <row r="436" spans="1:105" ht="102" x14ac:dyDescent="0.2">
      <c r="A436" s="176" t="str">
        <f t="shared" si="10"/>
        <v>designator</v>
      </c>
      <c r="B436" s="11" t="s">
        <v>8091</v>
      </c>
      <c r="C436" s="173"/>
      <c r="D436" s="22" t="s">
        <v>8092</v>
      </c>
      <c r="E436" s="15" t="s">
        <v>8093</v>
      </c>
      <c r="F436" s="15" t="s">
        <v>8094</v>
      </c>
      <c r="G436" s="174"/>
      <c r="H436" s="17" t="s">
        <v>5932</v>
      </c>
      <c r="I436" s="269"/>
      <c r="J436" s="369" t="str">
        <f>HYPERLINK("[#]Datatypes!B1528:L1528","Text")</f>
        <v>Text</v>
      </c>
      <c r="K436" s="276"/>
      <c r="L436" s="272"/>
      <c r="M436" s="272"/>
      <c r="N436" s="273"/>
      <c r="O436" s="269"/>
      <c r="P436" s="37">
        <v>119184</v>
      </c>
      <c r="Q436" s="36" t="str">
        <f>CONCATENATE(Cover!$D$6,"fdd/view?i=",P436)</f>
        <v>https://www.dgiwg.org/FAD/fdd/view?i=119184</v>
      </c>
      <c r="R436" s="13" t="s">
        <v>8090</v>
      </c>
      <c r="S436" s="172"/>
      <c r="T436" s="172"/>
      <c r="CV436" s="83" t="s">
        <v>1790</v>
      </c>
    </row>
    <row r="437" spans="1:105" x14ac:dyDescent="0.2">
      <c r="A437" s="176" t="str">
        <f t="shared" si="10"/>
        <v>developmentAidReceived</v>
      </c>
      <c r="B437" s="11" t="s">
        <v>8096</v>
      </c>
      <c r="C437" s="173"/>
      <c r="D437" s="22" t="s">
        <v>8097</v>
      </c>
      <c r="E437" s="15" t="s">
        <v>8098</v>
      </c>
      <c r="F437" s="174"/>
      <c r="G437" s="174"/>
      <c r="H437" s="17" t="s">
        <v>5932</v>
      </c>
      <c r="I437" s="269"/>
      <c r="J437" s="369" t="str">
        <f>HYPERLINK("[#]Datatypes!B1231:L1231","Real")</f>
        <v>Real</v>
      </c>
      <c r="K437" s="271" t="str">
        <f>HYPERLINK("[#]PhysicalQuantities!A32:N32","Monetary Unit")</f>
        <v>Monetary Unit</v>
      </c>
      <c r="L437" s="270" t="str">
        <f>HYPERLINK("[#]UnitsOfMeasure!D151:G151","U.S. Dollar")</f>
        <v>U.S. Dollar</v>
      </c>
      <c r="M437" s="272"/>
      <c r="N437" s="273"/>
      <c r="O437" s="269"/>
      <c r="P437" s="37">
        <v>111508</v>
      </c>
      <c r="Q437" s="36" t="str">
        <f>CONCATENATE(Cover!$D$6,"fdd/view?i=",P437)</f>
        <v>https://www.dgiwg.org/FAD/fdd/view?i=111508</v>
      </c>
      <c r="R437" s="13" t="s">
        <v>8095</v>
      </c>
      <c r="S437" s="172"/>
      <c r="T437" s="172"/>
      <c r="AM437" s="83" t="s">
        <v>1790</v>
      </c>
      <c r="CQ437" s="165" t="s">
        <v>1790</v>
      </c>
    </row>
    <row r="438" spans="1:105" ht="25.5" x14ac:dyDescent="0.2">
      <c r="A438" s="176" t="str">
        <f t="shared" si="10"/>
        <v>diameter</v>
      </c>
      <c r="B438" s="11" t="s">
        <v>8100</v>
      </c>
      <c r="C438" s="173"/>
      <c r="D438" s="22" t="s">
        <v>8101</v>
      </c>
      <c r="E438" s="15" t="s">
        <v>8102</v>
      </c>
      <c r="F438" s="174"/>
      <c r="G438" s="174"/>
      <c r="H438" s="17" t="s">
        <v>5932</v>
      </c>
      <c r="I438" s="269"/>
      <c r="J438" s="369" t="str">
        <f>HYPERLINK("[#]Datatypes!B1233:L1233","RealInterval")</f>
        <v>RealInterval</v>
      </c>
      <c r="K438" s="271" t="str">
        <f>HYPERLINK("[#]PhysicalQuantities!A20:N20","Length")</f>
        <v>Length</v>
      </c>
      <c r="L438" s="270" t="str">
        <f>HYPERLINK("[#]UnitsOfMeasure!D80:G80","Metre")</f>
        <v>Metre</v>
      </c>
      <c r="M438" s="272"/>
      <c r="N438" s="273"/>
      <c r="O438" s="269"/>
      <c r="P438" s="37">
        <v>118137</v>
      </c>
      <c r="Q438" s="36" t="str">
        <f>CONCATENATE(Cover!$D$6,"fdd/view?i=",P438)</f>
        <v>https://www.dgiwg.org/FAD/fdd/view?i=118137</v>
      </c>
      <c r="R438" s="13" t="s">
        <v>8099</v>
      </c>
      <c r="S438" s="172"/>
      <c r="T438" s="172"/>
      <c r="CQ438" s="165" t="s">
        <v>1790</v>
      </c>
    </row>
    <row r="439" spans="1:105" ht="38.25" x14ac:dyDescent="0.2">
      <c r="A439" s="176" t="str">
        <f t="shared" si="10"/>
        <v>directionBasis</v>
      </c>
      <c r="B439" s="11" t="s">
        <v>8104</v>
      </c>
      <c r="C439" s="173"/>
      <c r="D439" s="22" t="s">
        <v>8105</v>
      </c>
      <c r="E439" s="15" t="s">
        <v>8106</v>
      </c>
      <c r="F439" s="15" t="s">
        <v>8107</v>
      </c>
      <c r="G439" s="174"/>
      <c r="H439" s="17" t="s">
        <v>5932</v>
      </c>
      <c r="I439" s="269"/>
      <c r="J439" s="369" t="str">
        <f>HYPERLINK("[#]Datatypes!B448:L448","DrbCode")</f>
        <v>DrbCode</v>
      </c>
      <c r="K439" s="276"/>
      <c r="L439" s="272"/>
      <c r="M439" s="272"/>
      <c r="N439" s="248" t="str">
        <f>HYPERLINK("[#]DatatypeListedValues!A2889:H2889","&lt;values&gt;")</f>
        <v>&lt;values&gt;</v>
      </c>
      <c r="O439" s="277" t="b">
        <v>0</v>
      </c>
      <c r="P439" s="37">
        <v>119866</v>
      </c>
      <c r="Q439" s="36" t="str">
        <f>CONCATENATE(Cover!$D$6,"fdd/view?i=",P439)</f>
        <v>https://www.dgiwg.org/FAD/fdd/view?i=119866</v>
      </c>
      <c r="R439" s="13" t="s">
        <v>8103</v>
      </c>
      <c r="S439" s="172"/>
      <c r="T439" s="172"/>
      <c r="AT439" s="82" t="s">
        <v>1790</v>
      </c>
      <c r="CF439" s="83" t="s">
        <v>1790</v>
      </c>
      <c r="CG439" s="83" t="s">
        <v>1790</v>
      </c>
      <c r="CP439" s="164" t="s">
        <v>1790</v>
      </c>
      <c r="CQ439" s="165" t="s">
        <v>1790</v>
      </c>
      <c r="DA439" s="165" t="s">
        <v>1790</v>
      </c>
    </row>
    <row r="440" spans="1:105" x14ac:dyDescent="0.2">
      <c r="A440" s="176" t="str">
        <f t="shared" si="10"/>
        <v>directionOfFlow</v>
      </c>
      <c r="B440" s="11" t="s">
        <v>8110</v>
      </c>
      <c r="C440" s="173"/>
      <c r="D440" s="22" t="s">
        <v>8111</v>
      </c>
      <c r="E440" s="15" t="s">
        <v>8112</v>
      </c>
      <c r="F440" s="174"/>
      <c r="G440" s="174"/>
      <c r="H440" s="17" t="s">
        <v>5932</v>
      </c>
      <c r="I440" s="269"/>
      <c r="J440" s="369" t="str">
        <f>HYPERLINK("[#]Datatypes!B1243:L1243","RealNonNegInterval360")</f>
        <v>RealNonNegInterval360</v>
      </c>
      <c r="K440" s="271" t="str">
        <f>HYPERLINK("[#]PhysicalQuantities!A34:N34","Plane Angle")</f>
        <v>Plane Angle</v>
      </c>
      <c r="L440" s="270" t="str">
        <f>HYPERLINK("[#]UnitsOfMeasure!D159:G159","Arc Degree")</f>
        <v>Arc Degree</v>
      </c>
      <c r="M440" s="272"/>
      <c r="N440" s="273"/>
      <c r="O440" s="269"/>
      <c r="P440" s="37">
        <v>110697</v>
      </c>
      <c r="Q440" s="36" t="str">
        <f>CONCATENATE(Cover!$D$6,"fdd/view?i=",P440)</f>
        <v>https://www.dgiwg.org/FAD/fdd/view?i=110697</v>
      </c>
      <c r="R440" s="13" t="s">
        <v>8109</v>
      </c>
      <c r="S440" s="172"/>
      <c r="T440" s="172"/>
      <c r="CP440" s="164" t="s">
        <v>1790</v>
      </c>
    </row>
    <row r="441" spans="1:105" x14ac:dyDescent="0.2">
      <c r="A441" s="176" t="str">
        <f t="shared" si="10"/>
        <v>directionOfTraffic1</v>
      </c>
      <c r="B441" s="11" t="s">
        <v>8115</v>
      </c>
      <c r="C441" s="173"/>
      <c r="D441" s="22" t="s">
        <v>8116</v>
      </c>
      <c r="E441" s="15" t="s">
        <v>8117</v>
      </c>
      <c r="F441" s="174"/>
      <c r="G441" s="174"/>
      <c r="H441" s="17" t="s">
        <v>5932</v>
      </c>
      <c r="I441" s="269"/>
      <c r="J441" s="369" t="str">
        <f>HYPERLINK("[#]Datatypes!B748:L748","Integer0to359")</f>
        <v>Integer0to359</v>
      </c>
      <c r="K441" s="271" t="str">
        <f>HYPERLINK("[#]PhysicalQuantities!A34:N34","Plane Angle")</f>
        <v>Plane Angle</v>
      </c>
      <c r="L441" s="270" t="str">
        <f>HYPERLINK("[#]UnitsOfMeasure!D159:G159","Arc Degree")</f>
        <v>Arc Degree</v>
      </c>
      <c r="M441" s="272"/>
      <c r="N441" s="273"/>
      <c r="O441" s="269"/>
      <c r="P441" s="37">
        <v>100808</v>
      </c>
      <c r="Q441" s="36" t="str">
        <f>CONCATENATE(Cover!$D$6,"fdd/view?i=",P441)</f>
        <v>https://www.dgiwg.org/FAD/fdd/view?i=100808</v>
      </c>
      <c r="R441" s="13" t="s">
        <v>8114</v>
      </c>
      <c r="S441" s="172"/>
      <c r="T441" s="172"/>
      <c r="AS441" s="82" t="s">
        <v>1790</v>
      </c>
      <c r="AV441" s="82" t="s">
        <v>1790</v>
      </c>
      <c r="AW441" s="82" t="s">
        <v>1790</v>
      </c>
      <c r="BF441" s="83" t="s">
        <v>1790</v>
      </c>
      <c r="BI441" s="83" t="s">
        <v>1790</v>
      </c>
      <c r="CP441" s="164" t="s">
        <v>1790</v>
      </c>
    </row>
    <row r="442" spans="1:105" x14ac:dyDescent="0.2">
      <c r="A442" s="176" t="str">
        <f t="shared" si="10"/>
        <v>directionOfTraffic2</v>
      </c>
      <c r="B442" s="11" t="s">
        <v>8120</v>
      </c>
      <c r="C442" s="173"/>
      <c r="D442" s="22" t="s">
        <v>8121</v>
      </c>
      <c r="E442" s="15" t="s">
        <v>8122</v>
      </c>
      <c r="F442" s="174"/>
      <c r="G442" s="174"/>
      <c r="H442" s="17" t="s">
        <v>5932</v>
      </c>
      <c r="I442" s="269"/>
      <c r="J442" s="369" t="str">
        <f>HYPERLINK("[#]Datatypes!B748:L748","Integer0to359")</f>
        <v>Integer0to359</v>
      </c>
      <c r="K442" s="271" t="str">
        <f>HYPERLINK("[#]PhysicalQuantities!A34:N34","Plane Angle")</f>
        <v>Plane Angle</v>
      </c>
      <c r="L442" s="270" t="str">
        <f>HYPERLINK("[#]UnitsOfMeasure!D159:G159","Arc Degree")</f>
        <v>Arc Degree</v>
      </c>
      <c r="M442" s="272"/>
      <c r="N442" s="273"/>
      <c r="O442" s="269"/>
      <c r="P442" s="37">
        <v>100809</v>
      </c>
      <c r="Q442" s="36" t="str">
        <f>CONCATENATE(Cover!$D$6,"fdd/view?i=",P442)</f>
        <v>https://www.dgiwg.org/FAD/fdd/view?i=100809</v>
      </c>
      <c r="R442" s="13" t="s">
        <v>8119</v>
      </c>
      <c r="S442" s="172"/>
      <c r="T442" s="172"/>
      <c r="AS442" s="82" t="s">
        <v>1790</v>
      </c>
      <c r="AV442" s="82" t="s">
        <v>1790</v>
      </c>
      <c r="AW442" s="82" t="s">
        <v>1790</v>
      </c>
      <c r="BF442" s="83" t="s">
        <v>1790</v>
      </c>
      <c r="BI442" s="83" t="s">
        <v>1790</v>
      </c>
      <c r="CP442" s="164" t="s">
        <v>1790</v>
      </c>
    </row>
    <row r="443" spans="1:105" x14ac:dyDescent="0.2">
      <c r="A443" s="176" t="str">
        <f t="shared" si="10"/>
        <v>directionOfTraffic3</v>
      </c>
      <c r="B443" s="11" t="s">
        <v>8124</v>
      </c>
      <c r="C443" s="173"/>
      <c r="D443" s="22" t="s">
        <v>8125</v>
      </c>
      <c r="E443" s="15" t="s">
        <v>8126</v>
      </c>
      <c r="F443" s="174"/>
      <c r="G443" s="174"/>
      <c r="H443" s="17" t="s">
        <v>5932</v>
      </c>
      <c r="I443" s="269"/>
      <c r="J443" s="369" t="str">
        <f>HYPERLINK("[#]Datatypes!B748:L748","Integer0to359")</f>
        <v>Integer0to359</v>
      </c>
      <c r="K443" s="271" t="str">
        <f>HYPERLINK("[#]PhysicalQuantities!A34:N34","Plane Angle")</f>
        <v>Plane Angle</v>
      </c>
      <c r="L443" s="270" t="str">
        <f>HYPERLINK("[#]UnitsOfMeasure!D159:G159","Arc Degree")</f>
        <v>Arc Degree</v>
      </c>
      <c r="M443" s="272"/>
      <c r="N443" s="273"/>
      <c r="O443" s="269"/>
      <c r="P443" s="37">
        <v>100810</v>
      </c>
      <c r="Q443" s="36" t="str">
        <f>CONCATENATE(Cover!$D$6,"fdd/view?i=",P443)</f>
        <v>https://www.dgiwg.org/FAD/fdd/view?i=100810</v>
      </c>
      <c r="R443" s="13" t="s">
        <v>8123</v>
      </c>
      <c r="S443" s="172"/>
      <c r="T443" s="172"/>
      <c r="AS443" s="82" t="s">
        <v>1790</v>
      </c>
      <c r="AV443" s="82" t="s">
        <v>1790</v>
      </c>
      <c r="AW443" s="82" t="s">
        <v>1790</v>
      </c>
      <c r="BF443" s="83" t="s">
        <v>1790</v>
      </c>
      <c r="BI443" s="83" t="s">
        <v>1790</v>
      </c>
      <c r="CP443" s="164" t="s">
        <v>1790</v>
      </c>
    </row>
    <row r="444" spans="1:105" x14ac:dyDescent="0.2">
      <c r="A444" s="176" t="str">
        <f t="shared" si="10"/>
        <v>directionOfTraffic4</v>
      </c>
      <c r="B444" s="11" t="s">
        <v>8128</v>
      </c>
      <c r="C444" s="173"/>
      <c r="D444" s="22" t="s">
        <v>8129</v>
      </c>
      <c r="E444" s="15" t="s">
        <v>8130</v>
      </c>
      <c r="F444" s="174"/>
      <c r="G444" s="174"/>
      <c r="H444" s="17" t="s">
        <v>5932</v>
      </c>
      <c r="I444" s="269"/>
      <c r="J444" s="369" t="str">
        <f>HYPERLINK("[#]Datatypes!B748:L748","Integer0to359")</f>
        <v>Integer0to359</v>
      </c>
      <c r="K444" s="271" t="str">
        <f>HYPERLINK("[#]PhysicalQuantities!A34:N34","Plane Angle")</f>
        <v>Plane Angle</v>
      </c>
      <c r="L444" s="270" t="str">
        <f>HYPERLINK("[#]UnitsOfMeasure!D159:G159","Arc Degree")</f>
        <v>Arc Degree</v>
      </c>
      <c r="M444" s="272"/>
      <c r="N444" s="273"/>
      <c r="O444" s="269"/>
      <c r="P444" s="37">
        <v>100811</v>
      </c>
      <c r="Q444" s="36" t="str">
        <f>CONCATENATE(Cover!$D$6,"fdd/view?i=",P444)</f>
        <v>https://www.dgiwg.org/FAD/fdd/view?i=100811</v>
      </c>
      <c r="R444" s="13" t="s">
        <v>8127</v>
      </c>
      <c r="S444" s="172"/>
      <c r="T444" s="172"/>
      <c r="AS444" s="82" t="s">
        <v>1790</v>
      </c>
      <c r="AV444" s="82" t="s">
        <v>1790</v>
      </c>
      <c r="AW444" s="82" t="s">
        <v>1790</v>
      </c>
      <c r="BF444" s="83" t="s">
        <v>1790</v>
      </c>
      <c r="BI444" s="83" t="s">
        <v>1790</v>
      </c>
      <c r="CP444" s="164" t="s">
        <v>1790</v>
      </c>
    </row>
    <row r="445" spans="1:105" x14ac:dyDescent="0.2">
      <c r="A445" s="176" t="str">
        <f t="shared" si="10"/>
        <v>directionTrafficFlow</v>
      </c>
      <c r="B445" s="11" t="s">
        <v>8132</v>
      </c>
      <c r="C445" s="173"/>
      <c r="D445" s="22" t="s">
        <v>8133</v>
      </c>
      <c r="E445" s="15" t="s">
        <v>8134</v>
      </c>
      <c r="F445" s="174"/>
      <c r="G445" s="174"/>
      <c r="H445" s="17" t="s">
        <v>5932</v>
      </c>
      <c r="I445" s="269"/>
      <c r="J445" s="369" t="str">
        <f>HYPERLINK("[#]Datatypes!B450:L450","T03Code")</f>
        <v>T03Code</v>
      </c>
      <c r="K445" s="276"/>
      <c r="L445" s="272"/>
      <c r="M445" s="272"/>
      <c r="N445" s="248" t="str">
        <f>HYPERLINK("[#]DatatypeListedValues!A2895:H2895","&lt;values&gt;")</f>
        <v>&lt;values&gt;</v>
      </c>
      <c r="O445" s="277" t="b">
        <v>0</v>
      </c>
      <c r="P445" s="37">
        <v>118629</v>
      </c>
      <c r="Q445" s="36" t="str">
        <f>CONCATENATE(Cover!$D$6,"fdd/view?i=",P445)</f>
        <v>https://www.dgiwg.org/FAD/fdd/view?i=118629</v>
      </c>
      <c r="R445" s="13" t="s">
        <v>8131</v>
      </c>
      <c r="S445" s="172"/>
      <c r="T445" s="172"/>
      <c r="AP445" s="81" t="s">
        <v>1790</v>
      </c>
      <c r="AQ445" s="82" t="s">
        <v>1790</v>
      </c>
      <c r="AR445" s="82" t="s">
        <v>1790</v>
      </c>
      <c r="AS445" s="82" t="s">
        <v>1790</v>
      </c>
      <c r="AU445" s="82" t="s">
        <v>1790</v>
      </c>
      <c r="AY445" s="85" t="s">
        <v>1790</v>
      </c>
      <c r="CT445" s="166" t="s">
        <v>1790</v>
      </c>
    </row>
    <row r="446" spans="1:105" ht="25.5" x14ac:dyDescent="0.2">
      <c r="A446" s="176" t="str">
        <f t="shared" si="10"/>
        <v>directivity</v>
      </c>
      <c r="B446" s="11" t="s">
        <v>8137</v>
      </c>
      <c r="C446" s="173"/>
      <c r="D446" s="22" t="s">
        <v>8138</v>
      </c>
      <c r="E446" s="15" t="s">
        <v>8139</v>
      </c>
      <c r="F446" s="174"/>
      <c r="G446" s="174"/>
      <c r="H446" s="17" t="s">
        <v>5932</v>
      </c>
      <c r="I446" s="269"/>
      <c r="J446" s="369" t="str">
        <f>HYPERLINK("[#]Datatypes!B452:L452","DirCode")</f>
        <v>DirCode</v>
      </c>
      <c r="K446" s="276"/>
      <c r="L446" s="272"/>
      <c r="M446" s="272"/>
      <c r="N446" s="248" t="str">
        <f>HYPERLINK("[#]DatatypeListedValues!A2899:H2899","&lt;values&gt;")</f>
        <v>&lt;values&gt;</v>
      </c>
      <c r="O446" s="277" t="b">
        <v>0</v>
      </c>
      <c r="P446" s="37">
        <v>100816</v>
      </c>
      <c r="Q446" s="36" t="str">
        <f>CONCATENATE(Cover!$D$6,"fdd/view?i=",P446)</f>
        <v>https://www.dgiwg.org/FAD/fdd/view?i=100816</v>
      </c>
      <c r="R446" s="13" t="s">
        <v>8136</v>
      </c>
      <c r="S446" s="172"/>
      <c r="T446" s="172"/>
      <c r="CS446" s="165" t="s">
        <v>1790</v>
      </c>
    </row>
    <row r="447" spans="1:105" ht="25.5" x14ac:dyDescent="0.2">
      <c r="A447" s="176" t="str">
        <f t="shared" si="10"/>
        <v>diseaseLocalization</v>
      </c>
      <c r="B447" s="11" t="s">
        <v>8142</v>
      </c>
      <c r="C447" s="173"/>
      <c r="D447" s="22" t="s">
        <v>8143</v>
      </c>
      <c r="E447" s="15" t="s">
        <v>8144</v>
      </c>
      <c r="F447" s="174"/>
      <c r="G447" s="174"/>
      <c r="H447" s="17" t="s">
        <v>5932</v>
      </c>
      <c r="I447" s="269"/>
      <c r="J447" s="369" t="str">
        <f>HYPERLINK("[#]Datatypes!B454:L454","Si1Code")</f>
        <v>Si1Code</v>
      </c>
      <c r="K447" s="276"/>
      <c r="L447" s="272"/>
      <c r="M447" s="272"/>
      <c r="N447" s="248" t="str">
        <f>HYPERLINK("[#]DatatypeListedValues!A2904:H2904","&lt;values&gt;")</f>
        <v>&lt;values&gt;</v>
      </c>
      <c r="O447" s="277" t="b">
        <v>0</v>
      </c>
      <c r="P447" s="37">
        <v>111717</v>
      </c>
      <c r="Q447" s="36" t="str">
        <f>CONCATENATE(Cover!$D$6,"fdd/view?i=",P447)</f>
        <v>https://www.dgiwg.org/FAD/fdd/view?i=111717</v>
      </c>
      <c r="R447" s="13" t="s">
        <v>8141</v>
      </c>
      <c r="S447" s="172"/>
      <c r="T447" s="172"/>
      <c r="AO447" s="89" t="s">
        <v>1790</v>
      </c>
      <c r="CS447" s="165" t="s">
        <v>1790</v>
      </c>
    </row>
    <row r="448" spans="1:105" ht="38.25" x14ac:dyDescent="0.2">
      <c r="A448" s="176" t="str">
        <f t="shared" si="10"/>
        <v>diseaseReservoirType</v>
      </c>
      <c r="B448" s="11" t="s">
        <v>8147</v>
      </c>
      <c r="C448" s="173"/>
      <c r="D448" s="22" t="s">
        <v>8148</v>
      </c>
      <c r="E448" s="15" t="s">
        <v>8149</v>
      </c>
      <c r="F448" s="174"/>
      <c r="G448" s="174"/>
      <c r="H448" s="17" t="s">
        <v>5932</v>
      </c>
      <c r="I448" s="269"/>
      <c r="J448" s="369" t="str">
        <f>HYPERLINK("[#]Datatypes!B456:L456","DibCode")</f>
        <v>DibCode</v>
      </c>
      <c r="K448" s="276"/>
      <c r="L448" s="272"/>
      <c r="M448" s="272"/>
      <c r="N448" s="248" t="str">
        <f>HYPERLINK("[#]DatatypeListedValues!A2907:H2907","&lt;values&gt;")</f>
        <v>&lt;values&gt;</v>
      </c>
      <c r="O448" s="277" t="b">
        <v>0</v>
      </c>
      <c r="P448" s="37">
        <v>118164</v>
      </c>
      <c r="Q448" s="36" t="str">
        <f>CONCATENATE(Cover!$D$6,"fdd/view?i=",P448)</f>
        <v>https://www.dgiwg.org/FAD/fdd/view?i=118164</v>
      </c>
      <c r="R448" s="13" t="s">
        <v>8146</v>
      </c>
      <c r="S448" s="172"/>
      <c r="T448" s="172"/>
      <c r="AJ448" s="83" t="s">
        <v>1790</v>
      </c>
      <c r="CA448" s="83" t="s">
        <v>1790</v>
      </c>
      <c r="CT448" s="166" t="s">
        <v>1790</v>
      </c>
    </row>
    <row r="449" spans="1:98" ht="38.25" x14ac:dyDescent="0.2">
      <c r="A449" s="176" t="str">
        <f t="shared" si="10"/>
        <v>diseaseTransmissionType</v>
      </c>
      <c r="B449" s="11" t="s">
        <v>8152</v>
      </c>
      <c r="C449" s="173"/>
      <c r="D449" s="22" t="s">
        <v>8153</v>
      </c>
      <c r="E449" s="15" t="s">
        <v>8154</v>
      </c>
      <c r="F449" s="15" t="s">
        <v>8155</v>
      </c>
      <c r="G449" s="174"/>
      <c r="H449" s="17" t="s">
        <v>5932</v>
      </c>
      <c r="I449" s="269"/>
      <c r="J449" s="369" t="str">
        <f>HYPERLINK("[#]Datatypes!B458:L458","DicCode")</f>
        <v>DicCode</v>
      </c>
      <c r="K449" s="276"/>
      <c r="L449" s="272"/>
      <c r="M449" s="272"/>
      <c r="N449" s="248" t="str">
        <f>HYPERLINK("[#]DatatypeListedValues!A2926:H2926","&lt;values&gt;")</f>
        <v>&lt;values&gt;</v>
      </c>
      <c r="O449" s="277" t="b">
        <v>0</v>
      </c>
      <c r="P449" s="37">
        <v>118165</v>
      </c>
      <c r="Q449" s="36" t="str">
        <f>CONCATENATE(Cover!$D$6,"fdd/view?i=",P449)</f>
        <v>https://www.dgiwg.org/FAD/fdd/view?i=118165</v>
      </c>
      <c r="R449" s="13" t="s">
        <v>8151</v>
      </c>
      <c r="S449" s="172"/>
      <c r="T449" s="172"/>
      <c r="AJ449" s="83" t="s">
        <v>1790</v>
      </c>
      <c r="CA449" s="83" t="s">
        <v>1790</v>
      </c>
      <c r="CT449" s="166" t="s">
        <v>1790</v>
      </c>
    </row>
    <row r="450" spans="1:98" ht="25.5" x14ac:dyDescent="0.2">
      <c r="A450" s="176" t="str">
        <f t="shared" si="10"/>
        <v>displacedThresholdLength</v>
      </c>
      <c r="B450" s="11" t="s">
        <v>8158</v>
      </c>
      <c r="C450" s="173"/>
      <c r="D450" s="22" t="s">
        <v>8159</v>
      </c>
      <c r="E450" s="15" t="s">
        <v>8160</v>
      </c>
      <c r="F450" s="174"/>
      <c r="G450" s="174"/>
      <c r="H450" s="17" t="s">
        <v>5932</v>
      </c>
      <c r="I450" s="269"/>
      <c r="J450" s="369" t="str">
        <f>HYPERLINK("[#]Datatypes!B1231:L1231","Real")</f>
        <v>Real</v>
      </c>
      <c r="K450" s="271" t="str">
        <f>HYPERLINK("[#]PhysicalQuantities!A20:N20","Length")</f>
        <v>Length</v>
      </c>
      <c r="L450" s="270" t="str">
        <f>HYPERLINK("[#]UnitsOfMeasure!D80:G80","Metre")</f>
        <v>Metre</v>
      </c>
      <c r="M450" s="272"/>
      <c r="N450" s="273"/>
      <c r="O450" s="269"/>
      <c r="P450" s="37">
        <v>117562</v>
      </c>
      <c r="Q450" s="36" t="str">
        <f>CONCATENATE(Cover!$D$6,"fdd/view?i=",P450)</f>
        <v>https://www.dgiwg.org/FAD/fdd/view?i=117562</v>
      </c>
      <c r="R450" s="13" t="s">
        <v>8157</v>
      </c>
      <c r="S450" s="172"/>
      <c r="T450" s="172"/>
      <c r="CE450" s="87" t="s">
        <v>1790</v>
      </c>
    </row>
    <row r="451" spans="1:98" ht="38.25" x14ac:dyDescent="0.2">
      <c r="A451" s="176" t="str">
        <f t="shared" ref="A451:A514" si="11">HYPERLINK(Q451,R451)</f>
        <v>dissectedTerrain</v>
      </c>
      <c r="B451" s="11" t="s">
        <v>8162</v>
      </c>
      <c r="C451" s="173"/>
      <c r="D451" s="22" t="s">
        <v>8163</v>
      </c>
      <c r="E451" s="15" t="s">
        <v>8164</v>
      </c>
      <c r="F451" s="15" t="s">
        <v>8165</v>
      </c>
      <c r="G451" s="174"/>
      <c r="H451" s="17" t="s">
        <v>5932</v>
      </c>
      <c r="I451" s="269"/>
      <c r="J451" s="369" t="str">
        <f>HYPERLINK("[#]Datatypes!B240:L240","Boolean")</f>
        <v>Boolean</v>
      </c>
      <c r="K451" s="276"/>
      <c r="L451" s="272"/>
      <c r="M451" s="272"/>
      <c r="N451" s="273"/>
      <c r="O451" s="269"/>
      <c r="P451" s="37">
        <v>109947</v>
      </c>
      <c r="Q451" s="36" t="str">
        <f>CONCATENATE(Cover!$D$6,"fdd/view?i=",P451)</f>
        <v>https://www.dgiwg.org/FAD/fdd/view?i=109947</v>
      </c>
      <c r="R451" s="13" t="s">
        <v>8161</v>
      </c>
      <c r="S451" s="172"/>
      <c r="T451" s="172"/>
      <c r="BM451" s="82" t="s">
        <v>1790</v>
      </c>
    </row>
    <row r="452" spans="1:98" ht="25.5" x14ac:dyDescent="0.2">
      <c r="A452" s="176" t="str">
        <f t="shared" si="11"/>
        <v>dmeAntennaElevation</v>
      </c>
      <c r="B452" s="11" t="s">
        <v>8167</v>
      </c>
      <c r="C452" s="173"/>
      <c r="D452" s="22" t="s">
        <v>8168</v>
      </c>
      <c r="E452" s="15" t="s">
        <v>8169</v>
      </c>
      <c r="F452" s="174"/>
      <c r="G452" s="174"/>
      <c r="H452" s="17" t="s">
        <v>5932</v>
      </c>
      <c r="I452" s="269"/>
      <c r="J452" s="369" t="str">
        <f>HYPERLINK("[#]Datatypes!B1231:L1231","Real")</f>
        <v>Real</v>
      </c>
      <c r="K452" s="271" t="str">
        <f>HYPERLINK("[#]PhysicalQuantities!A20:N20","Length")</f>
        <v>Length</v>
      </c>
      <c r="L452" s="270" t="str">
        <f>HYPERLINK("[#]UnitsOfMeasure!D80:G80","Metre")</f>
        <v>Metre</v>
      </c>
      <c r="M452" s="272"/>
      <c r="N452" s="273"/>
      <c r="O452" s="269"/>
      <c r="P452" s="37">
        <v>117548</v>
      </c>
      <c r="Q452" s="36" t="str">
        <f>CONCATENATE(Cover!$D$6,"fdd/view?i=",P452)</f>
        <v>https://www.dgiwg.org/FAD/fdd/view?i=117548</v>
      </c>
      <c r="R452" s="13" t="s">
        <v>8166</v>
      </c>
      <c r="S452" s="172"/>
      <c r="T452" s="172"/>
      <c r="CG452" s="83" t="s">
        <v>1790</v>
      </c>
    </row>
    <row r="453" spans="1:98" ht="51" x14ac:dyDescent="0.2">
      <c r="A453" s="176" t="str">
        <f t="shared" si="11"/>
        <v>dmeChannel</v>
      </c>
      <c r="B453" s="11" t="s">
        <v>8171</v>
      </c>
      <c r="C453" s="173"/>
      <c r="D453" s="22" t="s">
        <v>8172</v>
      </c>
      <c r="E453" s="15" t="s">
        <v>8173</v>
      </c>
      <c r="F453" s="15" t="s">
        <v>8174</v>
      </c>
      <c r="G453" s="174"/>
      <c r="H453" s="17" t="s">
        <v>5932</v>
      </c>
      <c r="I453" s="269"/>
      <c r="J453" s="369" t="str">
        <f>HYPERLINK("[#]Datatypes!B460:L460","DtcCode")</f>
        <v>DtcCode</v>
      </c>
      <c r="K453" s="276"/>
      <c r="L453" s="272"/>
      <c r="M453" s="272"/>
      <c r="N453" s="248" t="str">
        <f>HYPERLINK("[#]DatatypeListedValues!A2934:H2934","&lt;values&gt;")</f>
        <v>&lt;values&gt;</v>
      </c>
      <c r="O453" s="17" t="b">
        <v>1</v>
      </c>
      <c r="P453" s="37">
        <v>117561</v>
      </c>
      <c r="Q453" s="36" t="str">
        <f>CONCATENATE(Cover!$D$6,"fdd/view?i=",P453)</f>
        <v>https://www.dgiwg.org/FAD/fdd/view?i=117561</v>
      </c>
      <c r="R453" s="13" t="s">
        <v>8170</v>
      </c>
      <c r="S453" s="172"/>
      <c r="T453" s="172"/>
      <c r="CG453" s="83" t="s">
        <v>1790</v>
      </c>
    </row>
    <row r="454" spans="1:98" ht="25.5" x14ac:dyDescent="0.2">
      <c r="A454" s="176" t="str">
        <f t="shared" si="11"/>
        <v>dmeDisplacement</v>
      </c>
      <c r="B454" s="11" t="s">
        <v>8177</v>
      </c>
      <c r="C454" s="173"/>
      <c r="D454" s="22" t="s">
        <v>8178</v>
      </c>
      <c r="E454" s="15" t="s">
        <v>8179</v>
      </c>
      <c r="F454" s="174"/>
      <c r="G454" s="174"/>
      <c r="H454" s="17" t="s">
        <v>5932</v>
      </c>
      <c r="I454" s="269"/>
      <c r="J454" s="369" t="str">
        <f>HYPERLINK("[#]Datatypes!B1231:L1231","Real")</f>
        <v>Real</v>
      </c>
      <c r="K454" s="271" t="str">
        <f>HYPERLINK("[#]PhysicalQuantities!A20:N20","Length")</f>
        <v>Length</v>
      </c>
      <c r="L454" s="270" t="str">
        <f>HYPERLINK("[#]UnitsOfMeasure!D80:G80","Metre")</f>
        <v>Metre</v>
      </c>
      <c r="M454" s="272"/>
      <c r="N454" s="273"/>
      <c r="O454" s="269"/>
      <c r="P454" s="37">
        <v>117555</v>
      </c>
      <c r="Q454" s="36" t="str">
        <f>CONCATENATE(Cover!$D$6,"fdd/view?i=",P454)</f>
        <v>https://www.dgiwg.org/FAD/fdd/view?i=117555</v>
      </c>
      <c r="R454" s="13" t="s">
        <v>8176</v>
      </c>
      <c r="S454" s="172"/>
      <c r="T454" s="172"/>
      <c r="CG454" s="83" t="s">
        <v>1790</v>
      </c>
    </row>
    <row r="455" spans="1:98" ht="25.5" x14ac:dyDescent="0.2">
      <c r="A455" s="176" t="str">
        <f t="shared" si="11"/>
        <v>dmeType</v>
      </c>
      <c r="B455" s="11" t="s">
        <v>8181</v>
      </c>
      <c r="C455" s="173"/>
      <c r="D455" s="22" t="s">
        <v>8182</v>
      </c>
      <c r="E455" s="15" t="s">
        <v>8183</v>
      </c>
      <c r="F455" s="15" t="s">
        <v>8184</v>
      </c>
      <c r="G455" s="174"/>
      <c r="H455" s="17" t="s">
        <v>5932</v>
      </c>
      <c r="I455" s="269"/>
      <c r="J455" s="369" t="str">
        <f>HYPERLINK("[#]Datatypes!B462:L462","DmxCode")</f>
        <v>DmxCode</v>
      </c>
      <c r="K455" s="276"/>
      <c r="L455" s="272"/>
      <c r="M455" s="272"/>
      <c r="N455" s="248" t="str">
        <f>HYPERLINK("[#]DatatypeListedValues!A3286:H3286","&lt;values&gt;")</f>
        <v>&lt;values&gt;</v>
      </c>
      <c r="O455" s="277" t="b">
        <v>0</v>
      </c>
      <c r="P455" s="37">
        <v>117556</v>
      </c>
      <c r="Q455" s="36" t="str">
        <f>CONCATENATE(Cover!$D$6,"fdd/view?i=",P455)</f>
        <v>https://www.dgiwg.org/FAD/fdd/view?i=117556</v>
      </c>
      <c r="R455" s="13" t="s">
        <v>8180</v>
      </c>
      <c r="S455" s="172"/>
      <c r="T455" s="172"/>
      <c r="CG455" s="83" t="s">
        <v>1790</v>
      </c>
    </row>
    <row r="456" spans="1:98" x14ac:dyDescent="0.2">
      <c r="A456" s="176" t="str">
        <f t="shared" si="11"/>
        <v>distanceSurfZone</v>
      </c>
      <c r="B456" s="11" t="s">
        <v>8187</v>
      </c>
      <c r="C456" s="173"/>
      <c r="D456" s="22" t="s">
        <v>8188</v>
      </c>
      <c r="E456" s="15" t="s">
        <v>8189</v>
      </c>
      <c r="F456" s="174"/>
      <c r="G456" s="174"/>
      <c r="H456" s="17" t="s">
        <v>5932</v>
      </c>
      <c r="I456" s="269"/>
      <c r="J456" s="369" t="str">
        <f>HYPERLINK("[#]Datatypes!B1231:L1231","Real")</f>
        <v>Real</v>
      </c>
      <c r="K456" s="271" t="str">
        <f>HYPERLINK("[#]PhysicalQuantities!A20:N20","Length")</f>
        <v>Length</v>
      </c>
      <c r="L456" s="270" t="str">
        <f>HYPERLINK("[#]UnitsOfMeasure!D80:G80","Metre")</f>
        <v>Metre</v>
      </c>
      <c r="M456" s="272"/>
      <c r="N456" s="273"/>
      <c r="O456" s="269"/>
      <c r="P456" s="37">
        <v>114417</v>
      </c>
      <c r="Q456" s="36" t="str">
        <f>CONCATENATE(Cover!$D$6,"fdd/view?i=",P456)</f>
        <v>https://www.dgiwg.org/FAD/fdd/view?i=114417</v>
      </c>
      <c r="R456" s="13" t="s">
        <v>8186</v>
      </c>
      <c r="S456" s="172"/>
      <c r="T456" s="172"/>
      <c r="AZ456" s="87" t="s">
        <v>1790</v>
      </c>
      <c r="BA456" s="83" t="s">
        <v>1790</v>
      </c>
      <c r="BE456" s="83" t="s">
        <v>1790</v>
      </c>
      <c r="CP456" s="164" t="s">
        <v>1790</v>
      </c>
    </row>
    <row r="457" spans="1:98" x14ac:dyDescent="0.2">
      <c r="A457" s="176" t="str">
        <f t="shared" si="11"/>
        <v>ditchFunction</v>
      </c>
      <c r="B457" s="11" t="s">
        <v>8191</v>
      </c>
      <c r="C457" s="173"/>
      <c r="D457" s="22" t="s">
        <v>8192</v>
      </c>
      <c r="E457" s="15" t="s">
        <v>8193</v>
      </c>
      <c r="F457" s="174"/>
      <c r="G457" s="174"/>
      <c r="H457" s="17" t="s">
        <v>5932</v>
      </c>
      <c r="I457" s="269"/>
      <c r="J457" s="369" t="str">
        <f>HYPERLINK("[#]Datatypes!B464:L464","DitCode")</f>
        <v>DitCode</v>
      </c>
      <c r="K457" s="276"/>
      <c r="L457" s="272"/>
      <c r="M457" s="272"/>
      <c r="N457" s="248" t="str">
        <f>HYPERLINK("[#]DatatypeListedValues!A3289:H3289","&lt;values&gt;")</f>
        <v>&lt;values&gt;</v>
      </c>
      <c r="O457" s="277" t="b">
        <v>0</v>
      </c>
      <c r="P457" s="37">
        <v>111520</v>
      </c>
      <c r="Q457" s="36" t="str">
        <f>CONCATENATE(Cover!$D$6,"fdd/view?i=",P457)</f>
        <v>https://www.dgiwg.org/FAD/fdd/view?i=111520</v>
      </c>
      <c r="R457" s="13" t="s">
        <v>8190</v>
      </c>
      <c r="S457" s="172"/>
      <c r="T457" s="172"/>
      <c r="AS457" s="82" t="s">
        <v>1790</v>
      </c>
      <c r="BJ457" s="83" t="s">
        <v>1790</v>
      </c>
      <c r="BU457" s="87" t="s">
        <v>1790</v>
      </c>
      <c r="CS457" s="165" t="s">
        <v>1790</v>
      </c>
      <c r="CT457" s="166" t="s">
        <v>1790</v>
      </c>
    </row>
    <row r="458" spans="1:98" ht="89.25" x14ac:dyDescent="0.2">
      <c r="A458" s="176" t="str">
        <f t="shared" si="11"/>
        <v>divided</v>
      </c>
      <c r="B458" s="11" t="s">
        <v>8196</v>
      </c>
      <c r="C458" s="173"/>
      <c r="D458" s="22" t="s">
        <v>8197</v>
      </c>
      <c r="E458" s="15" t="s">
        <v>8198</v>
      </c>
      <c r="F458" s="15" t="s">
        <v>8199</v>
      </c>
      <c r="G458" s="174"/>
      <c r="H458" s="17" t="s">
        <v>5932</v>
      </c>
      <c r="I458" s="269"/>
      <c r="J458" s="369" t="str">
        <f>HYPERLINK("[#]Datatypes!B240:L240","Boolean")</f>
        <v>Boolean</v>
      </c>
      <c r="K458" s="276"/>
      <c r="L458" s="272"/>
      <c r="M458" s="272"/>
      <c r="N458" s="273"/>
      <c r="O458" s="269"/>
      <c r="P458" s="37">
        <v>101284</v>
      </c>
      <c r="Q458" s="36" t="str">
        <f>CONCATENATE(Cover!$D$6,"fdd/view?i=",P458)</f>
        <v>https://www.dgiwg.org/FAD/fdd/view?i=101284</v>
      </c>
      <c r="R458" s="13" t="s">
        <v>8195</v>
      </c>
      <c r="S458" s="172"/>
      <c r="T458" s="172"/>
      <c r="AP458" s="81" t="s">
        <v>1790</v>
      </c>
      <c r="AQ458" s="82" t="s">
        <v>1790</v>
      </c>
      <c r="CS458" s="165" t="s">
        <v>1790</v>
      </c>
    </row>
    <row r="459" spans="1:98" x14ac:dyDescent="0.2">
      <c r="A459" s="176" t="str">
        <f t="shared" si="11"/>
        <v>divingActivity</v>
      </c>
      <c r="B459" s="11" t="s">
        <v>8201</v>
      </c>
      <c r="C459" s="173"/>
      <c r="D459" s="22" t="s">
        <v>8202</v>
      </c>
      <c r="E459" s="15" t="s">
        <v>8203</v>
      </c>
      <c r="F459" s="174"/>
      <c r="G459" s="174"/>
      <c r="H459" s="17" t="s">
        <v>5932</v>
      </c>
      <c r="I459" s="269"/>
      <c r="J459" s="369" t="str">
        <f>HYPERLINK("[#]Datatypes!B466:L466","DacCode")</f>
        <v>DacCode</v>
      </c>
      <c r="K459" s="276"/>
      <c r="L459" s="272"/>
      <c r="M459" s="272"/>
      <c r="N459" s="248" t="str">
        <f>HYPERLINK("[#]DatatypeListedValues!A3292:H3292","&lt;values&gt;")</f>
        <v>&lt;values&gt;</v>
      </c>
      <c r="O459" s="277" t="b">
        <v>0</v>
      </c>
      <c r="P459" s="37">
        <v>114474</v>
      </c>
      <c r="Q459" s="36" t="str">
        <f>CONCATENATE(Cover!$D$6,"fdd/view?i=",P459)</f>
        <v>https://www.dgiwg.org/FAD/fdd/view?i=114474</v>
      </c>
      <c r="R459" s="13" t="s">
        <v>8200</v>
      </c>
      <c r="S459" s="172"/>
      <c r="T459" s="172"/>
      <c r="BB459" s="83" t="s">
        <v>1790</v>
      </c>
      <c r="CT459" s="166" t="s">
        <v>1790</v>
      </c>
    </row>
    <row r="460" spans="1:98" x14ac:dyDescent="0.2">
      <c r="A460" s="176" t="str">
        <f t="shared" si="11"/>
        <v>divingActivityDepth</v>
      </c>
      <c r="B460" s="11" t="s">
        <v>8206</v>
      </c>
      <c r="C460" s="173"/>
      <c r="D460" s="22" t="s">
        <v>8207</v>
      </c>
      <c r="E460" s="15" t="s">
        <v>8208</v>
      </c>
      <c r="F460" s="174"/>
      <c r="G460" s="174"/>
      <c r="H460" s="17" t="s">
        <v>5932</v>
      </c>
      <c r="I460" s="269"/>
      <c r="J460" s="369" t="str">
        <f>HYPERLINK("[#]Datatypes!B1231:L1231","Real")</f>
        <v>Real</v>
      </c>
      <c r="K460" s="271" t="str">
        <f>HYPERLINK("[#]PhysicalQuantities!A20:N20","Length")</f>
        <v>Length</v>
      </c>
      <c r="L460" s="270" t="str">
        <f>HYPERLINK("[#]UnitsOfMeasure!D80:G80","Metre")</f>
        <v>Metre</v>
      </c>
      <c r="M460" s="272"/>
      <c r="N460" s="273"/>
      <c r="O460" s="269"/>
      <c r="P460" s="37">
        <v>114475</v>
      </c>
      <c r="Q460" s="36" t="str">
        <f>CONCATENATE(Cover!$D$6,"fdd/view?i=",P460)</f>
        <v>https://www.dgiwg.org/FAD/fdd/view?i=114475</v>
      </c>
      <c r="R460" s="13" t="s">
        <v>8205</v>
      </c>
      <c r="S460" s="172"/>
      <c r="T460" s="172"/>
      <c r="BB460" s="83" t="s">
        <v>1790</v>
      </c>
      <c r="CP460" s="164" t="s">
        <v>1790</v>
      </c>
    </row>
    <row r="461" spans="1:98" x14ac:dyDescent="0.2">
      <c r="A461" s="176" t="str">
        <f t="shared" si="11"/>
        <v>dmeAntennaMslElevation</v>
      </c>
      <c r="B461" s="11" t="s">
        <v>8210</v>
      </c>
      <c r="C461" s="173"/>
      <c r="D461" s="22" t="s">
        <v>8211</v>
      </c>
      <c r="E461" s="15" t="s">
        <v>8212</v>
      </c>
      <c r="F461" s="174"/>
      <c r="G461" s="174"/>
      <c r="H461" s="17" t="s">
        <v>5932</v>
      </c>
      <c r="I461" s="269"/>
      <c r="J461" s="369" t="str">
        <f>HYPERLINK("[#]Datatypes!B1231:L1231","Real")</f>
        <v>Real</v>
      </c>
      <c r="K461" s="271" t="str">
        <f>HYPERLINK("[#]PhysicalQuantities!A20:N20","Length")</f>
        <v>Length</v>
      </c>
      <c r="L461" s="270" t="str">
        <f>HYPERLINK("[#]UnitsOfMeasure!D80:G80","Metre")</f>
        <v>Metre</v>
      </c>
      <c r="M461" s="272"/>
      <c r="N461" s="273"/>
      <c r="O461" s="269"/>
      <c r="P461" s="37">
        <v>101532</v>
      </c>
      <c r="Q461" s="36" t="str">
        <f>CONCATENATE(Cover!$D$6,"fdd/view?i=",P461)</f>
        <v>https://www.dgiwg.org/FAD/fdd/view?i=101532</v>
      </c>
      <c r="R461" s="13" t="s">
        <v>8209</v>
      </c>
      <c r="S461" s="172"/>
      <c r="T461" s="172"/>
      <c r="AE461" s="82" t="s">
        <v>1790</v>
      </c>
      <c r="AT461" s="82" t="s">
        <v>1790</v>
      </c>
      <c r="CG461" s="83" t="s">
        <v>1790</v>
      </c>
      <c r="CP461" s="164" t="s">
        <v>1790</v>
      </c>
    </row>
    <row r="462" spans="1:98" x14ac:dyDescent="0.2">
      <c r="A462" s="176" t="str">
        <f t="shared" si="11"/>
        <v>dmeAntennaOrthoElev</v>
      </c>
      <c r="B462" s="11" t="s">
        <v>8214</v>
      </c>
      <c r="C462" s="173"/>
      <c r="D462" s="22" t="s">
        <v>8215</v>
      </c>
      <c r="E462" s="15" t="s">
        <v>8216</v>
      </c>
      <c r="F462" s="174"/>
      <c r="G462" s="174"/>
      <c r="H462" s="17" t="s">
        <v>5932</v>
      </c>
      <c r="I462" s="269"/>
      <c r="J462" s="369" t="str">
        <f>HYPERLINK("[#]Datatypes!B1231:L1231","Real")</f>
        <v>Real</v>
      </c>
      <c r="K462" s="271" t="str">
        <f>HYPERLINK("[#]PhysicalQuantities!A20:N20","Length")</f>
        <v>Length</v>
      </c>
      <c r="L462" s="270" t="str">
        <f>HYPERLINK("[#]UnitsOfMeasure!D80:G80","Metre")</f>
        <v>Metre</v>
      </c>
      <c r="M462" s="272"/>
      <c r="N462" s="273"/>
      <c r="O462" s="269"/>
      <c r="P462" s="37">
        <v>101528</v>
      </c>
      <c r="Q462" s="36" t="str">
        <f>CONCATENATE(Cover!$D$6,"fdd/view?i=",P462)</f>
        <v>https://www.dgiwg.org/FAD/fdd/view?i=101528</v>
      </c>
      <c r="R462" s="13" t="s">
        <v>8213</v>
      </c>
      <c r="S462" s="172"/>
      <c r="T462" s="172"/>
      <c r="AE462" s="82" t="s">
        <v>1790</v>
      </c>
      <c r="AT462" s="82" t="s">
        <v>1790</v>
      </c>
      <c r="CG462" s="83" t="s">
        <v>1790</v>
      </c>
      <c r="CP462" s="164" t="s">
        <v>1790</v>
      </c>
    </row>
    <row r="463" spans="1:98" ht="25.5" x14ac:dyDescent="0.2">
      <c r="A463" s="176" t="str">
        <f t="shared" si="11"/>
        <v>dockType</v>
      </c>
      <c r="B463" s="11" t="s">
        <v>8218</v>
      </c>
      <c r="C463" s="173"/>
      <c r="D463" s="22" t="s">
        <v>8219</v>
      </c>
      <c r="E463" s="15" t="s">
        <v>8220</v>
      </c>
      <c r="F463" s="174"/>
      <c r="G463" s="174"/>
      <c r="H463" s="17" t="s">
        <v>5932</v>
      </c>
      <c r="I463" s="269"/>
      <c r="J463" s="369" t="str">
        <f>HYPERLINK("[#]Datatypes!B468:L468","DtyCode")</f>
        <v>DtyCode</v>
      </c>
      <c r="K463" s="276"/>
      <c r="L463" s="272"/>
      <c r="M463" s="272"/>
      <c r="N463" s="248" t="str">
        <f>HYPERLINK("[#]DatatypeListedValues!A3295:H3295","&lt;values&gt;")</f>
        <v>&lt;values&gt;</v>
      </c>
      <c r="O463" s="277" t="b">
        <v>0</v>
      </c>
      <c r="P463" s="37">
        <v>110907</v>
      </c>
      <c r="Q463" s="36" t="str">
        <f>CONCATENATE(Cover!$D$6,"fdd/view?i=",P463)</f>
        <v>https://www.dgiwg.org/FAD/fdd/view?i=110907</v>
      </c>
      <c r="R463" s="13" t="s">
        <v>8217</v>
      </c>
      <c r="S463" s="172"/>
      <c r="T463" s="172"/>
      <c r="AS463" s="82" t="s">
        <v>1790</v>
      </c>
      <c r="AZ463" s="87" t="s">
        <v>1790</v>
      </c>
      <c r="BA463" s="83" t="s">
        <v>1790</v>
      </c>
      <c r="CT463" s="166" t="s">
        <v>1790</v>
      </c>
    </row>
    <row r="464" spans="1:98" x14ac:dyDescent="0.2">
      <c r="A464" s="176" t="str">
        <f t="shared" si="11"/>
        <v>doorStructure</v>
      </c>
      <c r="B464" s="11" t="s">
        <v>8223</v>
      </c>
      <c r="C464" s="173"/>
      <c r="D464" s="22" t="s">
        <v>8224</v>
      </c>
      <c r="E464" s="15" t="s">
        <v>8225</v>
      </c>
      <c r="F464" s="174"/>
      <c r="G464" s="174"/>
      <c r="H464" s="17" t="s">
        <v>5932</v>
      </c>
      <c r="I464" s="269"/>
      <c r="J464" s="369" t="str">
        <f>HYPERLINK("[#]Datatypes!B470:L470","DstCode")</f>
        <v>DstCode</v>
      </c>
      <c r="K464" s="276"/>
      <c r="L464" s="272"/>
      <c r="M464" s="272"/>
      <c r="N464" s="248" t="str">
        <f>HYPERLINK("[#]DatatypeListedValues!A3298:H3298","&lt;values&gt;")</f>
        <v>&lt;values&gt;</v>
      </c>
      <c r="O464" s="277" t="b">
        <v>0</v>
      </c>
      <c r="P464" s="37">
        <v>119647</v>
      </c>
      <c r="Q464" s="36" t="str">
        <f>CONCATENATE(Cover!$D$6,"fdd/view?i=",P464)</f>
        <v>https://www.dgiwg.org/FAD/fdd/view?i=119647</v>
      </c>
      <c r="R464" s="13" t="s">
        <v>8222</v>
      </c>
      <c r="S464" s="172"/>
      <c r="T464" s="172"/>
      <c r="AI464" s="87" t="s">
        <v>1790</v>
      </c>
      <c r="CS464" s="165" t="s">
        <v>1790</v>
      </c>
    </row>
    <row r="465" spans="1:98" ht="51" x14ac:dyDescent="0.2">
      <c r="A465" s="176" t="str">
        <f t="shared" si="11"/>
        <v>doorThickness</v>
      </c>
      <c r="B465" s="11" t="s">
        <v>8228</v>
      </c>
      <c r="C465" s="173"/>
      <c r="D465" s="22" t="s">
        <v>8229</v>
      </c>
      <c r="E465" s="15" t="s">
        <v>8230</v>
      </c>
      <c r="F465" s="15" t="s">
        <v>8231</v>
      </c>
      <c r="G465" s="174"/>
      <c r="H465" s="17" t="s">
        <v>5932</v>
      </c>
      <c r="I465" s="269"/>
      <c r="J465" s="369" t="str">
        <f>HYPERLINK("[#]Datatypes!B1231:L1231","Real")</f>
        <v>Real</v>
      </c>
      <c r="K465" s="271" t="str">
        <f>HYPERLINK("[#]PhysicalQuantities!A20:N20","Length")</f>
        <v>Length</v>
      </c>
      <c r="L465" s="270" t="str">
        <f>HYPERLINK("[#]UnitsOfMeasure!D80:G80","Metre")</f>
        <v>Metre</v>
      </c>
      <c r="M465" s="272"/>
      <c r="N465" s="273"/>
      <c r="O465" s="269"/>
      <c r="P465" s="37">
        <v>119618</v>
      </c>
      <c r="Q465" s="36" t="str">
        <f>CONCATENATE(Cover!$D$6,"fdd/view?i=",P465)</f>
        <v>https://www.dgiwg.org/FAD/fdd/view?i=119618</v>
      </c>
      <c r="R465" s="13" t="s">
        <v>8227</v>
      </c>
      <c r="S465" s="172"/>
      <c r="T465" s="172"/>
      <c r="AI465" s="87" t="s">
        <v>1790</v>
      </c>
      <c r="CQ465" s="165" t="s">
        <v>1790</v>
      </c>
    </row>
    <row r="466" spans="1:98" ht="38.25" x14ac:dyDescent="0.2">
      <c r="A466" s="176" t="str">
        <f t="shared" si="11"/>
        <v>draftDimension</v>
      </c>
      <c r="B466" s="11" t="s">
        <v>8233</v>
      </c>
      <c r="C466" s="173"/>
      <c r="D466" s="22" t="s">
        <v>8234</v>
      </c>
      <c r="E466" s="15" t="s">
        <v>8235</v>
      </c>
      <c r="F466" s="15" t="s">
        <v>8236</v>
      </c>
      <c r="G466" s="174"/>
      <c r="H466" s="17" t="s">
        <v>5932</v>
      </c>
      <c r="I466" s="269"/>
      <c r="J466" s="369" t="str">
        <f>HYPERLINK("[#]Datatypes!B1231:L1231","Real")</f>
        <v>Real</v>
      </c>
      <c r="K466" s="271" t="str">
        <f>HYPERLINK("[#]PhysicalQuantities!A20:N20","Length")</f>
        <v>Length</v>
      </c>
      <c r="L466" s="270" t="str">
        <f>HYPERLINK("[#]UnitsOfMeasure!D80:G80","Metre")</f>
        <v>Metre</v>
      </c>
      <c r="M466" s="272"/>
      <c r="N466" s="273"/>
      <c r="O466" s="269"/>
      <c r="P466" s="37">
        <v>110884</v>
      </c>
      <c r="Q466" s="36" t="str">
        <f>CONCATENATE(Cover!$D$6,"fdd/view?i=",P466)</f>
        <v>https://www.dgiwg.org/FAD/fdd/view?i=110884</v>
      </c>
      <c r="R466" s="13" t="s">
        <v>8232</v>
      </c>
      <c r="S466" s="172"/>
      <c r="T466" s="172"/>
      <c r="CQ466" s="165" t="s">
        <v>1790</v>
      </c>
    </row>
    <row r="467" spans="1:98" ht="25.5" x14ac:dyDescent="0.2">
      <c r="A467" s="176" t="str">
        <f t="shared" si="11"/>
        <v>dredgeType</v>
      </c>
      <c r="B467" s="11" t="s">
        <v>8238</v>
      </c>
      <c r="C467" s="173"/>
      <c r="D467" s="22" t="s">
        <v>8239</v>
      </c>
      <c r="E467" s="15" t="s">
        <v>8240</v>
      </c>
      <c r="F467" s="174"/>
      <c r="G467" s="174"/>
      <c r="H467" s="17" t="s">
        <v>5932</v>
      </c>
      <c r="I467" s="269"/>
      <c r="J467" s="369" t="str">
        <f>HYPERLINK("[#]Datatypes!B472:L472","DrtCode")</f>
        <v>DrtCode</v>
      </c>
      <c r="K467" s="276"/>
      <c r="L467" s="272"/>
      <c r="M467" s="272"/>
      <c r="N467" s="248" t="str">
        <f>HYPERLINK("[#]DatatypeListedValues!A3302:H3302","&lt;values&gt;")</f>
        <v>&lt;values&gt;</v>
      </c>
      <c r="O467" s="277" t="b">
        <v>0</v>
      </c>
      <c r="P467" s="37">
        <v>100842</v>
      </c>
      <c r="Q467" s="36" t="str">
        <f>CONCATENATE(Cover!$D$6,"fdd/view?i=",P467)</f>
        <v>https://www.dgiwg.org/FAD/fdd/view?i=100842</v>
      </c>
      <c r="R467" s="13" t="s">
        <v>8237</v>
      </c>
      <c r="S467" s="172"/>
      <c r="T467" s="172"/>
      <c r="AS467" s="82" t="s">
        <v>1790</v>
      </c>
      <c r="BA467" s="83" t="s">
        <v>1790</v>
      </c>
      <c r="CT467" s="166" t="s">
        <v>1790</v>
      </c>
    </row>
    <row r="468" spans="1:98" ht="25.5" x14ac:dyDescent="0.2">
      <c r="A468" s="176" t="str">
        <f t="shared" si="11"/>
        <v>dredged</v>
      </c>
      <c r="B468" s="11" t="s">
        <v>8243</v>
      </c>
      <c r="C468" s="173"/>
      <c r="D468" s="22" t="s">
        <v>8244</v>
      </c>
      <c r="E468" s="15" t="s">
        <v>8245</v>
      </c>
      <c r="F468" s="174"/>
      <c r="G468" s="174"/>
      <c r="H468" s="17" t="s">
        <v>5932</v>
      </c>
      <c r="I468" s="269"/>
      <c r="J468" s="369" t="str">
        <f>HYPERLINK("[#]Datatypes!B240:L240","Boolean")</f>
        <v>Boolean</v>
      </c>
      <c r="K468" s="276"/>
      <c r="L468" s="272"/>
      <c r="M468" s="272"/>
      <c r="N468" s="273"/>
      <c r="O468" s="269"/>
      <c r="P468" s="37">
        <v>110765</v>
      </c>
      <c r="Q468" s="36" t="str">
        <f>CONCATENATE(Cover!$D$6,"fdd/view?i=",P468)</f>
        <v>https://www.dgiwg.org/FAD/fdd/view?i=110765</v>
      </c>
      <c r="R468" s="13" t="s">
        <v>8242</v>
      </c>
      <c r="S468" s="172"/>
      <c r="T468" s="172"/>
      <c r="AS468" s="82" t="s">
        <v>1790</v>
      </c>
      <c r="AZ468" s="87" t="s">
        <v>1790</v>
      </c>
      <c r="BB468" s="83" t="s">
        <v>1790</v>
      </c>
      <c r="BF468" s="83" t="s">
        <v>1790</v>
      </c>
      <c r="BJ468" s="83" t="s">
        <v>1790</v>
      </c>
      <c r="CT468" s="166" t="s">
        <v>1790</v>
      </c>
    </row>
    <row r="469" spans="1:98" x14ac:dyDescent="0.2">
      <c r="A469" s="176" t="str">
        <f t="shared" si="11"/>
        <v>drillingMethod</v>
      </c>
      <c r="B469" s="11" t="s">
        <v>8247</v>
      </c>
      <c r="C469" s="173"/>
      <c r="D469" s="22" t="s">
        <v>8248</v>
      </c>
      <c r="E469" s="15" t="s">
        <v>8249</v>
      </c>
      <c r="F469" s="174"/>
      <c r="G469" s="174"/>
      <c r="H469" s="17" t="s">
        <v>5932</v>
      </c>
      <c r="I469" s="269"/>
      <c r="J469" s="369" t="str">
        <f>HYPERLINK("[#]Datatypes!B474:L474","WfcCode")</f>
        <v>WfcCode</v>
      </c>
      <c r="K469" s="276"/>
      <c r="L469" s="272"/>
      <c r="M469" s="272"/>
      <c r="N469" s="248" t="str">
        <f>HYPERLINK("[#]DatatypeListedValues!A3307:H3307","&lt;values&gt;")</f>
        <v>&lt;values&gt;</v>
      </c>
      <c r="O469" s="277" t="b">
        <v>0</v>
      </c>
      <c r="P469" s="37">
        <v>111756</v>
      </c>
      <c r="Q469" s="36" t="str">
        <f>CONCATENATE(Cover!$D$6,"fdd/view?i=",P469)</f>
        <v>https://www.dgiwg.org/FAD/fdd/view?i=111756</v>
      </c>
      <c r="R469" s="13" t="s">
        <v>8246</v>
      </c>
      <c r="S469" s="172"/>
      <c r="T469" s="172"/>
      <c r="AA469" s="81" t="s">
        <v>1790</v>
      </c>
      <c r="BP469" s="82" t="s">
        <v>1790</v>
      </c>
      <c r="CT469" s="166" t="s">
        <v>1790</v>
      </c>
    </row>
    <row r="470" spans="1:98" x14ac:dyDescent="0.2">
      <c r="A470" s="176" t="str">
        <f t="shared" si="11"/>
        <v>dumpingGroundType</v>
      </c>
      <c r="B470" s="11" t="s">
        <v>8252</v>
      </c>
      <c r="C470" s="173"/>
      <c r="D470" s="22" t="s">
        <v>8253</v>
      </c>
      <c r="E470" s="15" t="s">
        <v>8254</v>
      </c>
      <c r="F470" s="174"/>
      <c r="G470" s="174"/>
      <c r="H470" s="17" t="s">
        <v>5932</v>
      </c>
      <c r="I470" s="17" t="s">
        <v>6029</v>
      </c>
      <c r="J470" s="369" t="str">
        <f>HYPERLINK("[#]Datatypes!B476:L476","DpgCode")</f>
        <v>DpgCode</v>
      </c>
      <c r="K470" s="276"/>
      <c r="L470" s="272"/>
      <c r="M470" s="272"/>
      <c r="N470" s="248" t="str">
        <f>HYPERLINK("[#]DatatypeListedValues!A3309:H3309","&lt;values&gt;")</f>
        <v>&lt;values&gt;</v>
      </c>
      <c r="O470" s="277" t="b">
        <v>0</v>
      </c>
      <c r="P470" s="37">
        <v>111111</v>
      </c>
      <c r="Q470" s="36" t="str">
        <f>CONCATENATE(Cover!$D$6,"fdd/view?i=",P470)</f>
        <v>https://www.dgiwg.org/FAD/fdd/view?i=111111</v>
      </c>
      <c r="R470" s="13" t="s">
        <v>8251</v>
      </c>
      <c r="S470" s="172"/>
      <c r="T470" s="172"/>
      <c r="AS470" s="82" t="s">
        <v>1790</v>
      </c>
      <c r="BF470" s="83" t="s">
        <v>1790</v>
      </c>
      <c r="BI470" s="83" t="s">
        <v>1790</v>
      </c>
      <c r="CK470" s="82" t="s">
        <v>1790</v>
      </c>
    </row>
    <row r="471" spans="1:98" ht="51" x14ac:dyDescent="0.2">
      <c r="A471" s="176" t="str">
        <f t="shared" si="11"/>
        <v>duplicateProcedureIdent</v>
      </c>
      <c r="B471" s="11" t="s">
        <v>8257</v>
      </c>
      <c r="C471" s="173"/>
      <c r="D471" s="22" t="s">
        <v>8258</v>
      </c>
      <c r="E471" s="15" t="s">
        <v>8259</v>
      </c>
      <c r="F471" s="15" t="s">
        <v>8260</v>
      </c>
      <c r="G471" s="15" t="s">
        <v>8261</v>
      </c>
      <c r="H471" s="17" t="s">
        <v>5932</v>
      </c>
      <c r="I471" s="269"/>
      <c r="J471" s="369" t="str">
        <f>HYPERLINK("[#]Datatypes!B478:L478","DupStrucText")</f>
        <v>DupStrucText</v>
      </c>
      <c r="K471" s="276"/>
      <c r="L471" s="272"/>
      <c r="M471" s="272"/>
      <c r="N471" s="273"/>
      <c r="O471" s="269"/>
      <c r="P471" s="37">
        <v>117563</v>
      </c>
      <c r="Q471" s="36" t="str">
        <f>CONCATENATE(Cover!$D$6,"fdd/view?i=",P471)</f>
        <v>https://www.dgiwg.org/FAD/fdd/view?i=117563</v>
      </c>
      <c r="R471" s="13" t="s">
        <v>8256</v>
      </c>
      <c r="S471" s="172"/>
      <c r="T471" s="172"/>
      <c r="CI471" s="89" t="s">
        <v>1790</v>
      </c>
    </row>
    <row r="472" spans="1:98" ht="25.5" x14ac:dyDescent="0.2">
      <c r="A472" s="176" t="str">
        <f t="shared" si="11"/>
        <v>dwellingType</v>
      </c>
      <c r="B472" s="11" t="s">
        <v>8264</v>
      </c>
      <c r="C472" s="173"/>
      <c r="D472" s="22" t="s">
        <v>8265</v>
      </c>
      <c r="E472" s="15" t="s">
        <v>8266</v>
      </c>
      <c r="F472" s="174"/>
      <c r="G472" s="174"/>
      <c r="H472" s="17" t="s">
        <v>5932</v>
      </c>
      <c r="I472" s="269"/>
      <c r="J472" s="369" t="str">
        <f>HYPERLINK("[#]Datatypes!B480:L480","DdcCode")</f>
        <v>DdcCode</v>
      </c>
      <c r="K472" s="276"/>
      <c r="L472" s="272"/>
      <c r="M472" s="272"/>
      <c r="N472" s="248" t="str">
        <f>HYPERLINK("[#]DatatypeListedValues!A3315:H3315","&lt;values&gt;")</f>
        <v>&lt;values&gt;</v>
      </c>
      <c r="O472" s="277" t="b">
        <v>0</v>
      </c>
      <c r="P472" s="37">
        <v>100805</v>
      </c>
      <c r="Q472" s="36" t="str">
        <f>CONCATENATE(Cover!$D$6,"fdd/view?i=",P472)</f>
        <v>https://www.dgiwg.org/FAD/fdd/view?i=100805</v>
      </c>
      <c r="R472" s="13" t="s">
        <v>8263</v>
      </c>
      <c r="S472" s="172"/>
      <c r="T472" s="172"/>
      <c r="AI472" s="87" t="s">
        <v>1790</v>
      </c>
      <c r="CT472" s="166" t="s">
        <v>1790</v>
      </c>
    </row>
    <row r="473" spans="1:98" ht="51" x14ac:dyDescent="0.2">
      <c r="A473" s="176" t="str">
        <f t="shared" si="11"/>
        <v>dynamicMagVariation</v>
      </c>
      <c r="B473" s="11" t="s">
        <v>8269</v>
      </c>
      <c r="C473" s="173"/>
      <c r="D473" s="22" t="s">
        <v>8270</v>
      </c>
      <c r="E473" s="15" t="s">
        <v>8271</v>
      </c>
      <c r="F473" s="15" t="s">
        <v>8272</v>
      </c>
      <c r="G473" s="174"/>
      <c r="H473" s="17" t="s">
        <v>5932</v>
      </c>
      <c r="I473" s="269"/>
      <c r="J473" s="369" t="str">
        <f>HYPERLINK("[#]Datatypes!B1258:L1258","Realm180to180")</f>
        <v>Realm180to180</v>
      </c>
      <c r="K473" s="271" t="str">
        <f>HYPERLINK("[#]PhysicalQuantities!A34:N34","Plane Angle")</f>
        <v>Plane Angle</v>
      </c>
      <c r="L473" s="270" t="str">
        <f>HYPERLINK("[#]UnitsOfMeasure!D159:G159","Arc Degree")</f>
        <v>Arc Degree</v>
      </c>
      <c r="M473" s="272"/>
      <c r="N473" s="273"/>
      <c r="O473" s="269"/>
      <c r="P473" s="37">
        <v>119590</v>
      </c>
      <c r="Q473" s="36" t="str">
        <f>CONCATENATE(Cover!$D$6,"fdd/view?i=",P473)</f>
        <v>https://www.dgiwg.org/FAD/fdd/view?i=119590</v>
      </c>
      <c r="R473" s="13" t="s">
        <v>8268</v>
      </c>
      <c r="S473" s="172"/>
      <c r="T473" s="172"/>
      <c r="BS473" s="82" t="s">
        <v>1790</v>
      </c>
      <c r="CS473" s="165" t="s">
        <v>1790</v>
      </c>
    </row>
    <row r="474" spans="1:98" ht="38.25" x14ac:dyDescent="0.2">
      <c r="A474" s="176" t="str">
        <f t="shared" si="11"/>
        <v>dynamicMagVariationDateTime</v>
      </c>
      <c r="B474" s="11" t="s">
        <v>8275</v>
      </c>
      <c r="C474" s="173"/>
      <c r="D474" s="22" t="s">
        <v>8276</v>
      </c>
      <c r="E474" s="15" t="s">
        <v>8277</v>
      </c>
      <c r="F474" s="15" t="s">
        <v>7752</v>
      </c>
      <c r="G474" s="174"/>
      <c r="H474" s="17" t="s">
        <v>5932</v>
      </c>
      <c r="I474" s="269"/>
      <c r="J474" s="369" t="str">
        <f>HYPERLINK("[#]Datatypes!B482:L482","YmdStrucText")</f>
        <v>YmdStrucText</v>
      </c>
      <c r="K474" s="276"/>
      <c r="L474" s="272"/>
      <c r="M474" s="272"/>
      <c r="N474" s="273"/>
      <c r="O474" s="269"/>
      <c r="P474" s="37">
        <v>119589</v>
      </c>
      <c r="Q474" s="36" t="str">
        <f>CONCATENATE(Cover!$D$6,"fdd/view?i=",P474)</f>
        <v>https://www.dgiwg.org/FAD/fdd/view?i=119589</v>
      </c>
      <c r="R474" s="13" t="s">
        <v>8274</v>
      </c>
      <c r="S474" s="172"/>
      <c r="T474" s="172"/>
      <c r="AT474" s="82" t="s">
        <v>1790</v>
      </c>
      <c r="BS474" s="82" t="s">
        <v>1790</v>
      </c>
      <c r="CR474" s="165" t="s">
        <v>1790</v>
      </c>
    </row>
    <row r="475" spans="1:98" x14ac:dyDescent="0.2">
      <c r="A475" s="176" t="str">
        <f t="shared" si="11"/>
        <v>earthquakeEffect</v>
      </c>
      <c r="B475" s="11" t="s">
        <v>8280</v>
      </c>
      <c r="C475" s="173"/>
      <c r="D475" s="22" t="s">
        <v>8281</v>
      </c>
      <c r="E475" s="15" t="s">
        <v>8282</v>
      </c>
      <c r="F475" s="174"/>
      <c r="G475" s="174"/>
      <c r="H475" s="17" t="s">
        <v>5932</v>
      </c>
      <c r="I475" s="17" t="s">
        <v>6029</v>
      </c>
      <c r="J475" s="369" t="str">
        <f>HYPERLINK("[#]Datatypes!B484:L484","Es1Code")</f>
        <v>Es1Code</v>
      </c>
      <c r="K475" s="276"/>
      <c r="L475" s="272"/>
      <c r="M475" s="272"/>
      <c r="N475" s="248" t="str">
        <f>HYPERLINK("[#]DatatypeListedValues!A3329:H3329","&lt;values&gt;")</f>
        <v>&lt;values&gt;</v>
      </c>
      <c r="O475" s="277" t="b">
        <v>0</v>
      </c>
      <c r="P475" s="37">
        <v>111538</v>
      </c>
      <c r="Q475" s="36" t="str">
        <f>CONCATENATE(Cover!$D$6,"fdd/view?i=",P475)</f>
        <v>https://www.dgiwg.org/FAD/fdd/view?i=111538</v>
      </c>
      <c r="R475" s="13" t="s">
        <v>8279</v>
      </c>
      <c r="S475" s="172"/>
      <c r="T475" s="172"/>
      <c r="BQ475" s="82" t="s">
        <v>1790</v>
      </c>
      <c r="CS475" s="165" t="s">
        <v>1790</v>
      </c>
    </row>
    <row r="476" spans="1:98" x14ac:dyDescent="0.2">
      <c r="A476" s="176" t="str">
        <f t="shared" si="11"/>
        <v>earthquakeFeltArea</v>
      </c>
      <c r="B476" s="11" t="s">
        <v>8285</v>
      </c>
      <c r="C476" s="173"/>
      <c r="D476" s="22" t="s">
        <v>8286</v>
      </c>
      <c r="E476" s="15" t="s">
        <v>8287</v>
      </c>
      <c r="F476" s="174"/>
      <c r="G476" s="174"/>
      <c r="H476" s="17" t="s">
        <v>5932</v>
      </c>
      <c r="I476" s="269"/>
      <c r="J476" s="369" t="str">
        <f>HYPERLINK("[#]Datatypes!B1231:L1231","Real")</f>
        <v>Real</v>
      </c>
      <c r="K476" s="271" t="str">
        <f>HYPERLINK("[#]PhysicalQuantities!A4:N4","Area")</f>
        <v>Area</v>
      </c>
      <c r="L476" s="270" t="str">
        <f>HYPERLINK("[#]UnitsOfMeasure!D8:G8","Square Kilometre")</f>
        <v>Square Kilometre</v>
      </c>
      <c r="M476" s="272"/>
      <c r="N476" s="273"/>
      <c r="O476" s="269"/>
      <c r="P476" s="37">
        <v>118573</v>
      </c>
      <c r="Q476" s="36" t="str">
        <f>CONCATENATE(Cover!$D$6,"fdd/view?i=",P476)</f>
        <v>https://www.dgiwg.org/FAD/fdd/view?i=118573</v>
      </c>
      <c r="R476" s="13" t="s">
        <v>8284</v>
      </c>
      <c r="S476" s="172"/>
      <c r="T476" s="172"/>
      <c r="BQ476" s="82" t="s">
        <v>1790</v>
      </c>
      <c r="CQ476" s="165" t="s">
        <v>1790</v>
      </c>
      <c r="CS476" s="165" t="s">
        <v>1790</v>
      </c>
    </row>
    <row r="477" spans="1:98" ht="38.25" x14ac:dyDescent="0.2">
      <c r="A477" s="176" t="str">
        <f t="shared" si="11"/>
        <v>earthquakeFocalDepth</v>
      </c>
      <c r="B477" s="11" t="s">
        <v>8289</v>
      </c>
      <c r="C477" s="173"/>
      <c r="D477" s="22" t="s">
        <v>8290</v>
      </c>
      <c r="E477" s="15" t="s">
        <v>8291</v>
      </c>
      <c r="F477" s="15" t="s">
        <v>8292</v>
      </c>
      <c r="G477" s="174"/>
      <c r="H477" s="17" t="s">
        <v>5932</v>
      </c>
      <c r="I477" s="269"/>
      <c r="J477" s="369" t="str">
        <f>HYPERLINK("[#]Datatypes!B1231:L1231","Real")</f>
        <v>Real</v>
      </c>
      <c r="K477" s="271" t="str">
        <f>HYPERLINK("[#]PhysicalQuantities!A20:N20","Length")</f>
        <v>Length</v>
      </c>
      <c r="L477" s="270" t="str">
        <f>HYPERLINK("[#]UnitsOfMeasure!D83:G83","Kilometre")</f>
        <v>Kilometre</v>
      </c>
      <c r="M477" s="272"/>
      <c r="N477" s="273"/>
      <c r="O477" s="269"/>
      <c r="P477" s="37">
        <v>111533</v>
      </c>
      <c r="Q477" s="36" t="str">
        <f>CONCATENATE(Cover!$D$6,"fdd/view?i=",P477)</f>
        <v>https://www.dgiwg.org/FAD/fdd/view?i=111533</v>
      </c>
      <c r="R477" s="13" t="s">
        <v>8288</v>
      </c>
      <c r="S477" s="172"/>
      <c r="T477" s="172"/>
      <c r="BQ477" s="82" t="s">
        <v>1790</v>
      </c>
      <c r="CP477" s="164" t="s">
        <v>1790</v>
      </c>
    </row>
    <row r="478" spans="1:98" ht="25.5" x14ac:dyDescent="0.2">
      <c r="A478" s="176" t="str">
        <f t="shared" si="11"/>
        <v>earthquakeFocusExtendDist</v>
      </c>
      <c r="B478" s="11" t="s">
        <v>8294</v>
      </c>
      <c r="C478" s="173"/>
      <c r="D478" s="22" t="s">
        <v>8295</v>
      </c>
      <c r="E478" s="15" t="s">
        <v>8296</v>
      </c>
      <c r="F478" s="174"/>
      <c r="G478" s="174"/>
      <c r="H478" s="17" t="s">
        <v>5932</v>
      </c>
      <c r="I478" s="269"/>
      <c r="J478" s="369" t="str">
        <f>HYPERLINK("[#]Datatypes!B1231:L1231","Real")</f>
        <v>Real</v>
      </c>
      <c r="K478" s="271" t="str">
        <f>HYPERLINK("[#]PhysicalQuantities!A20:N20","Length")</f>
        <v>Length</v>
      </c>
      <c r="L478" s="270" t="str">
        <f>HYPERLINK("[#]UnitsOfMeasure!D83:G83","Kilometre")</f>
        <v>Kilometre</v>
      </c>
      <c r="M478" s="272"/>
      <c r="N478" s="273"/>
      <c r="O478" s="269"/>
      <c r="P478" s="37">
        <v>111534</v>
      </c>
      <c r="Q478" s="36" t="str">
        <f>CONCATENATE(Cover!$D$6,"fdd/view?i=",P478)</f>
        <v>https://www.dgiwg.org/FAD/fdd/view?i=111534</v>
      </c>
      <c r="R478" s="13" t="s">
        <v>8293</v>
      </c>
      <c r="S478" s="172"/>
      <c r="T478" s="172"/>
      <c r="BQ478" s="82" t="s">
        <v>1790</v>
      </c>
      <c r="CQ478" s="165" t="s">
        <v>1790</v>
      </c>
    </row>
    <row r="479" spans="1:98" ht="127.5" x14ac:dyDescent="0.2">
      <c r="A479" s="176" t="str">
        <f t="shared" si="11"/>
        <v>earthquakeMagnitude</v>
      </c>
      <c r="B479" s="11" t="s">
        <v>8298</v>
      </c>
      <c r="C479" s="173"/>
      <c r="D479" s="22" t="s">
        <v>8299</v>
      </c>
      <c r="E479" s="15" t="s">
        <v>8300</v>
      </c>
      <c r="F479" s="15" t="s">
        <v>8301</v>
      </c>
      <c r="G479" s="174"/>
      <c r="H479" s="17" t="s">
        <v>5932</v>
      </c>
      <c r="I479" s="269"/>
      <c r="J479" s="369" t="str">
        <f>HYPERLINK("[#]Datatypes!B1231:L1231","Real")</f>
        <v>Real</v>
      </c>
      <c r="K479" s="271" t="str">
        <f>HYPERLINK("[#]PhysicalQuantities!A39:N39","Pure Number")</f>
        <v>Pure Number</v>
      </c>
      <c r="L479" s="270" t="str">
        <f>HYPERLINK("[#]UnitsOfMeasure!D213:G213","Unitless")</f>
        <v>Unitless</v>
      </c>
      <c r="M479" s="272"/>
      <c r="N479" s="273"/>
      <c r="O479" s="269"/>
      <c r="P479" s="37">
        <v>118576</v>
      </c>
      <c r="Q479" s="36" t="str">
        <f>CONCATENATE(Cover!$D$6,"fdd/view?i=",P479)</f>
        <v>https://www.dgiwg.org/FAD/fdd/view?i=118576</v>
      </c>
      <c r="R479" s="13" t="s">
        <v>8297</v>
      </c>
      <c r="S479" s="172"/>
      <c r="T479" s="172"/>
      <c r="BQ479" s="82" t="s">
        <v>1790</v>
      </c>
      <c r="CQ479" s="165" t="s">
        <v>1790</v>
      </c>
      <c r="CS479" s="165" t="s">
        <v>1790</v>
      </c>
    </row>
    <row r="480" spans="1:98" ht="25.5" x14ac:dyDescent="0.2">
      <c r="A480" s="176" t="str">
        <f t="shared" si="11"/>
        <v>earthquakeMagType</v>
      </c>
      <c r="B480" s="11" t="s">
        <v>8303</v>
      </c>
      <c r="C480" s="173"/>
      <c r="D480" s="22" t="s">
        <v>8304</v>
      </c>
      <c r="E480" s="15" t="s">
        <v>8305</v>
      </c>
      <c r="F480" s="174"/>
      <c r="G480" s="174"/>
      <c r="H480" s="17" t="s">
        <v>5932</v>
      </c>
      <c r="I480" s="269"/>
      <c r="J480" s="369" t="str">
        <f>HYPERLINK("[#]Datatypes!B486:L486","EmtCode")</f>
        <v>EmtCode</v>
      </c>
      <c r="K480" s="276"/>
      <c r="L480" s="272"/>
      <c r="M480" s="272"/>
      <c r="N480" s="248" t="str">
        <f>HYPERLINK("[#]DatatypeListedValues!A3337:H3337","&lt;values&gt;")</f>
        <v>&lt;values&gt;</v>
      </c>
      <c r="O480" s="277" t="b">
        <v>0</v>
      </c>
      <c r="P480" s="37">
        <v>118606</v>
      </c>
      <c r="Q480" s="36" t="str">
        <f>CONCATENATE(Cover!$D$6,"fdd/view?i=",P480)</f>
        <v>https://www.dgiwg.org/FAD/fdd/view?i=118606</v>
      </c>
      <c r="R480" s="13" t="s">
        <v>8302</v>
      </c>
      <c r="S480" s="172"/>
      <c r="T480" s="172"/>
      <c r="BQ480" s="82" t="s">
        <v>1790</v>
      </c>
      <c r="CS480" s="165" t="s">
        <v>1790</v>
      </c>
    </row>
    <row r="481" spans="1:104" ht="25.5" x14ac:dyDescent="0.2">
      <c r="A481" s="176" t="str">
        <f t="shared" si="11"/>
        <v>earthquakeSubsoilDamage</v>
      </c>
      <c r="B481" s="11" t="s">
        <v>8308</v>
      </c>
      <c r="C481" s="173"/>
      <c r="D481" s="22" t="s">
        <v>8309</v>
      </c>
      <c r="E481" s="15" t="s">
        <v>8310</v>
      </c>
      <c r="F481" s="15" t="s">
        <v>8311</v>
      </c>
      <c r="G481" s="174"/>
      <c r="H481" s="17" t="s">
        <v>5932</v>
      </c>
      <c r="I481" s="269"/>
      <c r="J481" s="369" t="str">
        <f>HYPERLINK("[#]Datatypes!B488:L488","Ed1Code")</f>
        <v>Ed1Code</v>
      </c>
      <c r="K481" s="276"/>
      <c r="L481" s="272"/>
      <c r="M481" s="272"/>
      <c r="N481" s="248" t="str">
        <f>HYPERLINK("[#]DatatypeListedValues!A3345:H3345","&lt;values&gt;")</f>
        <v>&lt;values&gt;</v>
      </c>
      <c r="O481" s="277" t="b">
        <v>0</v>
      </c>
      <c r="P481" s="37">
        <v>111530</v>
      </c>
      <c r="Q481" s="36" t="str">
        <f>CONCATENATE(Cover!$D$6,"fdd/view?i=",P481)</f>
        <v>https://www.dgiwg.org/FAD/fdd/view?i=111530</v>
      </c>
      <c r="R481" s="13" t="s">
        <v>8307</v>
      </c>
      <c r="S481" s="172"/>
      <c r="T481" s="172"/>
      <c r="BQ481" s="82" t="s">
        <v>1790</v>
      </c>
      <c r="CQ481" s="165" t="s">
        <v>1790</v>
      </c>
      <c r="CS481" s="165" t="s">
        <v>1790</v>
      </c>
    </row>
    <row r="482" spans="1:104" ht="25.5" x14ac:dyDescent="0.2">
      <c r="A482" s="176" t="str">
        <f t="shared" si="11"/>
        <v>economicReserveBasis</v>
      </c>
      <c r="B482" s="11" t="s">
        <v>8314</v>
      </c>
      <c r="C482" s="173"/>
      <c r="D482" s="22" t="s">
        <v>8315</v>
      </c>
      <c r="E482" s="15" t="s">
        <v>8316</v>
      </c>
      <c r="F482" s="15" t="s">
        <v>8317</v>
      </c>
      <c r="G482" s="174"/>
      <c r="H482" s="17" t="s">
        <v>5932</v>
      </c>
      <c r="I482" s="269"/>
      <c r="J482" s="369" t="str">
        <f>HYPERLINK("[#]Datatypes!B490:L490","ErbCode")</f>
        <v>ErbCode</v>
      </c>
      <c r="K482" s="276"/>
      <c r="L482" s="272"/>
      <c r="M482" s="272"/>
      <c r="N482" s="248" t="str">
        <f>HYPERLINK("[#]DatatypeListedValues!A3349:H3349","&lt;values&gt;")</f>
        <v>&lt;values&gt;</v>
      </c>
      <c r="O482" s="277" t="b">
        <v>0</v>
      </c>
      <c r="P482" s="37">
        <v>111536</v>
      </c>
      <c r="Q482" s="36" t="str">
        <f>CONCATENATE(Cover!$D$6,"fdd/view?i=",P482)</f>
        <v>https://www.dgiwg.org/FAD/fdd/view?i=111536</v>
      </c>
      <c r="R482" s="13" t="s">
        <v>8313</v>
      </c>
      <c r="S482" s="172"/>
      <c r="T482" s="172"/>
      <c r="AK482" s="83" t="s">
        <v>1790</v>
      </c>
      <c r="AM482" s="83" t="s">
        <v>1790</v>
      </c>
      <c r="BZ482" s="83" t="s">
        <v>1790</v>
      </c>
      <c r="CT482" s="166" t="s">
        <v>1790</v>
      </c>
    </row>
    <row r="483" spans="1:104" ht="38.25" x14ac:dyDescent="0.2">
      <c r="A483" s="176" t="str">
        <f t="shared" si="11"/>
        <v>ecozone</v>
      </c>
      <c r="B483" s="11" t="s">
        <v>8320</v>
      </c>
      <c r="C483" s="173"/>
      <c r="D483" s="22" t="s">
        <v>8321</v>
      </c>
      <c r="E483" s="15" t="s">
        <v>8322</v>
      </c>
      <c r="F483" s="174"/>
      <c r="G483" s="174"/>
      <c r="H483" s="17" t="s">
        <v>5932</v>
      </c>
      <c r="I483" s="269"/>
      <c r="J483" s="369" t="str">
        <f>HYPERLINK("[#]Datatypes!B492:L492","EcoCode")</f>
        <v>EcoCode</v>
      </c>
      <c r="K483" s="276"/>
      <c r="L483" s="272"/>
      <c r="M483" s="272"/>
      <c r="N483" s="248" t="str">
        <f>HYPERLINK("[#]DatatypeListedValues!A3352:H3352","&lt;values&gt;")</f>
        <v>&lt;values&gt;</v>
      </c>
      <c r="O483" s="277" t="b">
        <v>0</v>
      </c>
      <c r="P483" s="37">
        <v>118605</v>
      </c>
      <c r="Q483" s="36" t="str">
        <f>CONCATENATE(Cover!$D$6,"fdd/view?i=",P483)</f>
        <v>https://www.dgiwg.org/FAD/fdd/view?i=118605</v>
      </c>
      <c r="R483" s="13" t="s">
        <v>8319</v>
      </c>
      <c r="S483" s="172"/>
      <c r="T483" s="172"/>
      <c r="BT483" s="85" t="s">
        <v>1790</v>
      </c>
      <c r="BZ483" s="83" t="s">
        <v>1790</v>
      </c>
      <c r="CA483" s="83" t="s">
        <v>1790</v>
      </c>
      <c r="CB483" s="89" t="s">
        <v>1790</v>
      </c>
      <c r="CO483" s="89" t="s">
        <v>1790</v>
      </c>
      <c r="CS483" s="165" t="s">
        <v>1790</v>
      </c>
    </row>
    <row r="484" spans="1:104" ht="25.5" x14ac:dyDescent="0.2">
      <c r="A484" s="176" t="str">
        <f t="shared" si="11"/>
        <v>educationalFacilityType</v>
      </c>
      <c r="B484" s="11" t="s">
        <v>8325</v>
      </c>
      <c r="C484" s="173"/>
      <c r="D484" s="22" t="s">
        <v>8326</v>
      </c>
      <c r="E484" s="15" t="s">
        <v>8327</v>
      </c>
      <c r="F484" s="174"/>
      <c r="G484" s="174"/>
      <c r="H484" s="17" t="s">
        <v>5932</v>
      </c>
      <c r="I484" s="269"/>
      <c r="J484" s="369" t="str">
        <f>HYPERLINK("[#]Datatypes!B494:L494","EbtCode")</f>
        <v>EbtCode</v>
      </c>
      <c r="K484" s="276"/>
      <c r="L484" s="272"/>
      <c r="M484" s="272"/>
      <c r="N484" s="248" t="str">
        <f>HYPERLINK("[#]DatatypeListedValues!A3360:H3360","&lt;values&gt;")</f>
        <v>&lt;values&gt;</v>
      </c>
      <c r="O484" s="277" t="b">
        <v>0</v>
      </c>
      <c r="P484" s="37">
        <v>100853</v>
      </c>
      <c r="Q484" s="36" t="str">
        <f>CONCATENATE(Cover!$D$6,"fdd/view?i=",P484)</f>
        <v>https://www.dgiwg.org/FAD/fdd/view?i=100853</v>
      </c>
      <c r="R484" s="13" t="s">
        <v>8324</v>
      </c>
      <c r="S484" s="172"/>
      <c r="T484" s="172"/>
      <c r="AI484" s="87" t="s">
        <v>1790</v>
      </c>
      <c r="AJ484" s="83" t="s">
        <v>1790</v>
      </c>
      <c r="AN484" s="83" t="s">
        <v>1790</v>
      </c>
      <c r="CT484" s="166" t="s">
        <v>1790</v>
      </c>
    </row>
    <row r="485" spans="1:104" x14ac:dyDescent="0.2">
      <c r="A485" s="176" t="str">
        <f t="shared" si="11"/>
        <v>electricPowerCarryingCap</v>
      </c>
      <c r="B485" s="11" t="s">
        <v>8330</v>
      </c>
      <c r="C485" s="173"/>
      <c r="D485" s="22" t="s">
        <v>8331</v>
      </c>
      <c r="E485" s="15" t="s">
        <v>8332</v>
      </c>
      <c r="F485" s="174"/>
      <c r="G485" s="174"/>
      <c r="H485" s="17" t="s">
        <v>5932</v>
      </c>
      <c r="I485" s="269"/>
      <c r="J485" s="369" t="str">
        <f>HYPERLINK("[#]Datatypes!B1048:L1048","RealNonNegative")</f>
        <v>RealNonNegative</v>
      </c>
      <c r="K485" s="271" t="str">
        <f>HYPERLINK("[#]PhysicalQuantities!A35:N35","Power")</f>
        <v>Power</v>
      </c>
      <c r="L485" s="270" t="str">
        <f>HYPERLINK("[#]UnitsOfMeasure!D193:G193","Kilovolt-ampere")</f>
        <v>Kilovolt-ampere</v>
      </c>
      <c r="M485" s="272"/>
      <c r="N485" s="273"/>
      <c r="O485" s="269"/>
      <c r="P485" s="37">
        <v>119445</v>
      </c>
      <c r="Q485" s="36" t="str">
        <f>CONCATENATE(Cover!$D$6,"fdd/view?i=",P485)</f>
        <v>https://www.dgiwg.org/FAD/fdd/view?i=119445</v>
      </c>
      <c r="R485" s="13" t="s">
        <v>8329</v>
      </c>
      <c r="S485" s="172"/>
      <c r="T485" s="172"/>
      <c r="AD485" s="82" t="s">
        <v>1790</v>
      </c>
      <c r="CQ485" s="165" t="s">
        <v>1790</v>
      </c>
    </row>
    <row r="486" spans="1:104" ht="38.25" x14ac:dyDescent="0.2">
      <c r="A486" s="176" t="str">
        <f t="shared" si="11"/>
        <v>electricPowerConsumeRate</v>
      </c>
      <c r="B486" s="11" t="s">
        <v>8334</v>
      </c>
      <c r="C486" s="173"/>
      <c r="D486" s="22" t="s">
        <v>8335</v>
      </c>
      <c r="E486" s="15" t="s">
        <v>8336</v>
      </c>
      <c r="F486" s="174"/>
      <c r="G486" s="174"/>
      <c r="H486" s="17" t="s">
        <v>5932</v>
      </c>
      <c r="I486" s="269"/>
      <c r="J486" s="369" t="str">
        <f>HYPERLINK("[#]Datatypes!B1231:L1231","Real")</f>
        <v>Real</v>
      </c>
      <c r="K486" s="271" t="str">
        <f>HYPERLINK("[#]PhysicalQuantities!A35:N35","Power")</f>
        <v>Power</v>
      </c>
      <c r="L486" s="270" t="str">
        <f>HYPERLINK("[#]UnitsOfMeasure!D191:G191","Kilowatt Hour per Annum (tropical year)")</f>
        <v>Kilowatt Hour per Annum (tropical year)</v>
      </c>
      <c r="M486" s="272"/>
      <c r="N486" s="273"/>
      <c r="O486" s="269"/>
      <c r="P486" s="37">
        <v>111529</v>
      </c>
      <c r="Q486" s="36" t="str">
        <f>CONCATENATE(Cover!$D$6,"fdd/view?i=",P486)</f>
        <v>https://www.dgiwg.org/FAD/fdd/view?i=111529</v>
      </c>
      <c r="R486" s="13" t="s">
        <v>8333</v>
      </c>
      <c r="S486" s="172"/>
      <c r="T486" s="172"/>
      <c r="AD486" s="82" t="s">
        <v>1790</v>
      </c>
      <c r="AK486" s="83" t="s">
        <v>1790</v>
      </c>
      <c r="CQ486" s="165" t="s">
        <v>1790</v>
      </c>
    </row>
    <row r="487" spans="1:104" ht="51" x14ac:dyDescent="0.2">
      <c r="A487" s="176" t="str">
        <f t="shared" si="11"/>
        <v>electricPowerRating</v>
      </c>
      <c r="B487" s="11" t="s">
        <v>8338</v>
      </c>
      <c r="C487" s="173"/>
      <c r="D487" s="22" t="s">
        <v>8339</v>
      </c>
      <c r="E487" s="15" t="s">
        <v>8340</v>
      </c>
      <c r="F487" s="15" t="s">
        <v>8341</v>
      </c>
      <c r="G487" s="174"/>
      <c r="H487" s="17" t="s">
        <v>5932</v>
      </c>
      <c r="I487" s="269"/>
      <c r="J487" s="369" t="str">
        <f>HYPERLINK("[#]Datatypes!B1048:L1048","RealNonNegative")</f>
        <v>RealNonNegative</v>
      </c>
      <c r="K487" s="271" t="str">
        <f>HYPERLINK("[#]PhysicalQuantities!A35:N35","Power")</f>
        <v>Power</v>
      </c>
      <c r="L487" s="270" t="str">
        <f>HYPERLINK("[#]UnitsOfMeasure!D181:G181","Kilowatt")</f>
        <v>Kilowatt</v>
      </c>
      <c r="M487" s="272"/>
      <c r="N487" s="273"/>
      <c r="O487" s="269"/>
      <c r="P487" s="37">
        <v>119444</v>
      </c>
      <c r="Q487" s="36" t="str">
        <f>CONCATENATE(Cover!$D$6,"fdd/view?i=",P487)</f>
        <v>https://www.dgiwg.org/FAD/fdd/view?i=119444</v>
      </c>
      <c r="R487" s="13" t="s">
        <v>8337</v>
      </c>
      <c r="S487" s="172"/>
      <c r="T487" s="172"/>
      <c r="AD487" s="82" t="s">
        <v>1790</v>
      </c>
      <c r="CQ487" s="165" t="s">
        <v>1790</v>
      </c>
    </row>
    <row r="488" spans="1:104" x14ac:dyDescent="0.2">
      <c r="A488" s="176" t="str">
        <f t="shared" si="11"/>
        <v>electricPowerGenerateCap</v>
      </c>
      <c r="B488" s="11" t="s">
        <v>8343</v>
      </c>
      <c r="C488" s="173"/>
      <c r="D488" s="22" t="s">
        <v>8344</v>
      </c>
      <c r="E488" s="15" t="s">
        <v>8345</v>
      </c>
      <c r="F488" s="174"/>
      <c r="G488" s="174"/>
      <c r="H488" s="17" t="s">
        <v>5932</v>
      </c>
      <c r="I488" s="269"/>
      <c r="J488" s="369" t="str">
        <f>HYPERLINK("[#]Datatypes!B1231:L1231","Real")</f>
        <v>Real</v>
      </c>
      <c r="K488" s="271" t="str">
        <f>HYPERLINK("[#]PhysicalQuantities!A35:N35","Power")</f>
        <v>Power</v>
      </c>
      <c r="L488" s="270" t="str">
        <f>HYPERLINK("[#]UnitsOfMeasure!D180:G180","Megawatt")</f>
        <v>Megawatt</v>
      </c>
      <c r="M488" s="272"/>
      <c r="N488" s="273"/>
      <c r="O488" s="269"/>
      <c r="P488" s="37">
        <v>110699</v>
      </c>
      <c r="Q488" s="36" t="str">
        <f>CONCATENATE(Cover!$D$6,"fdd/view?i=",P488)</f>
        <v>https://www.dgiwg.org/FAD/fdd/view?i=110699</v>
      </c>
      <c r="R488" s="13" t="s">
        <v>8342</v>
      </c>
      <c r="S488" s="172"/>
      <c r="T488" s="172"/>
      <c r="AD488" s="82" t="s">
        <v>1790</v>
      </c>
      <c r="CQ488" s="165" t="s">
        <v>1790</v>
      </c>
    </row>
    <row r="489" spans="1:104" ht="25.5" x14ac:dyDescent="0.2">
      <c r="A489" s="176" t="str">
        <f t="shared" si="11"/>
        <v>electrificationVoltage</v>
      </c>
      <c r="B489" s="11" t="s">
        <v>8347</v>
      </c>
      <c r="C489" s="173"/>
      <c r="D489" s="22" t="s">
        <v>8348</v>
      </c>
      <c r="E489" s="15" t="s">
        <v>8349</v>
      </c>
      <c r="F489" s="174"/>
      <c r="G489" s="15" t="s">
        <v>8350</v>
      </c>
      <c r="H489" s="17" t="s">
        <v>5932</v>
      </c>
      <c r="I489" s="269"/>
      <c r="J489" s="369" t="str">
        <f>HYPERLINK("[#]Datatypes!B1231:L1231","Real")</f>
        <v>Real</v>
      </c>
      <c r="K489" s="271" t="str">
        <f>HYPERLINK("[#]PhysicalQuantities!A12:N12","Electromotive Force")</f>
        <v>Electromotive Force</v>
      </c>
      <c r="L489" s="270" t="str">
        <f>HYPERLINK("[#]UnitsOfMeasure!D50:G50","Volt")</f>
        <v>Volt</v>
      </c>
      <c r="M489" s="272"/>
      <c r="N489" s="273"/>
      <c r="O489" s="269"/>
      <c r="P489" s="37">
        <v>110700</v>
      </c>
      <c r="Q489" s="36" t="str">
        <f>CONCATENATE(Cover!$D$6,"fdd/view?i=",P489)</f>
        <v>https://www.dgiwg.org/FAD/fdd/view?i=110700</v>
      </c>
      <c r="R489" s="13" t="s">
        <v>8346</v>
      </c>
      <c r="S489" s="172"/>
      <c r="T489" s="172"/>
      <c r="AD489" s="82" t="s">
        <v>1790</v>
      </c>
      <c r="AP489" s="81" t="s">
        <v>1790</v>
      </c>
      <c r="CQ489" s="165" t="s">
        <v>1790</v>
      </c>
    </row>
    <row r="490" spans="1:104" ht="25.5" x14ac:dyDescent="0.2">
      <c r="A490" s="176" t="str">
        <f t="shared" si="11"/>
        <v>elevationMsl</v>
      </c>
      <c r="B490" s="11" t="s">
        <v>8352</v>
      </c>
      <c r="C490" s="173"/>
      <c r="D490" s="22" t="s">
        <v>8353</v>
      </c>
      <c r="E490" s="15" t="s">
        <v>8354</v>
      </c>
      <c r="F490" s="174"/>
      <c r="G490" s="15" t="s">
        <v>8355</v>
      </c>
      <c r="H490" s="17" t="s">
        <v>5932</v>
      </c>
      <c r="I490" s="269"/>
      <c r="J490" s="369" t="str">
        <f>HYPERLINK("[#]Datatypes!B1231:L1231","Real")</f>
        <v>Real</v>
      </c>
      <c r="K490" s="271" t="str">
        <f>HYPERLINK("[#]PhysicalQuantities!A20:N20","Length")</f>
        <v>Length</v>
      </c>
      <c r="L490" s="270" t="str">
        <f>HYPERLINK("[#]UnitsOfMeasure!D80:G80","Metre")</f>
        <v>Metre</v>
      </c>
      <c r="M490" s="272"/>
      <c r="N490" s="273"/>
      <c r="O490" s="269"/>
      <c r="P490" s="37">
        <v>117642</v>
      </c>
      <c r="Q490" s="36" t="str">
        <f>CONCATENATE(Cover!$D$6,"fdd/view?i=",P490)</f>
        <v>https://www.dgiwg.org/FAD/fdd/view?i=117642</v>
      </c>
      <c r="R490" s="13" t="s">
        <v>8351</v>
      </c>
      <c r="S490" s="172"/>
      <c r="T490" s="172"/>
      <c r="CE490" s="87" t="s">
        <v>1790</v>
      </c>
      <c r="CG490" s="83" t="s">
        <v>1790</v>
      </c>
    </row>
    <row r="491" spans="1:104" ht="25.5" x14ac:dyDescent="0.2">
      <c r="A491" s="176" t="str">
        <f t="shared" si="11"/>
        <v>elevationGeneric</v>
      </c>
      <c r="B491" s="11" t="s">
        <v>8357</v>
      </c>
      <c r="C491" s="173"/>
      <c r="D491" s="22" t="s">
        <v>8358</v>
      </c>
      <c r="E491" s="15" t="s">
        <v>8359</v>
      </c>
      <c r="F491" s="174"/>
      <c r="G491" s="174"/>
      <c r="H491" s="17" t="s">
        <v>5932</v>
      </c>
      <c r="I491" s="269"/>
      <c r="J491" s="369" t="str">
        <f>HYPERLINK("[#]Datatypes!B1231:L1231","Real")</f>
        <v>Real</v>
      </c>
      <c r="K491" s="271" t="str">
        <f>HYPERLINK("[#]PhysicalQuantities!A20:N20","Length")</f>
        <v>Length</v>
      </c>
      <c r="L491" s="270" t="str">
        <f>HYPERLINK("[#]UnitsOfMeasure!D80:G80","Metre")</f>
        <v>Metre</v>
      </c>
      <c r="M491" s="272"/>
      <c r="N491" s="273"/>
      <c r="O491" s="269"/>
      <c r="P491" s="37">
        <v>118079</v>
      </c>
      <c r="Q491" s="36" t="str">
        <f>CONCATENATE(Cover!$D$6,"fdd/view?i=",P491)</f>
        <v>https://www.dgiwg.org/FAD/fdd/view?i=118079</v>
      </c>
      <c r="R491" s="13" t="s">
        <v>8356</v>
      </c>
      <c r="S491" s="172"/>
      <c r="T491" s="172"/>
      <c r="CP491" s="164" t="s">
        <v>1790</v>
      </c>
    </row>
    <row r="492" spans="1:104" ht="25.5" x14ac:dyDescent="0.2">
      <c r="A492" s="176" t="str">
        <f t="shared" si="11"/>
        <v>elevationAboveTerrain</v>
      </c>
      <c r="B492" s="11" t="s">
        <v>8361</v>
      </c>
      <c r="C492" s="173"/>
      <c r="D492" s="22" t="s">
        <v>8362</v>
      </c>
      <c r="E492" s="15" t="s">
        <v>8363</v>
      </c>
      <c r="F492" s="174"/>
      <c r="G492" s="174"/>
      <c r="H492" s="17" t="s">
        <v>5932</v>
      </c>
      <c r="I492" s="269"/>
      <c r="J492" s="369" t="str">
        <f>HYPERLINK("[#]Datatypes!B1231:L1231","Real")</f>
        <v>Real</v>
      </c>
      <c r="K492" s="271" t="str">
        <f>HYPERLINK("[#]PhysicalQuantities!A20:N20","Length")</f>
        <v>Length</v>
      </c>
      <c r="L492" s="270" t="str">
        <f>HYPERLINK("[#]UnitsOfMeasure!D80:G80","Metre")</f>
        <v>Metre</v>
      </c>
      <c r="M492" s="272"/>
      <c r="N492" s="273"/>
      <c r="O492" s="269"/>
      <c r="P492" s="37">
        <v>118595</v>
      </c>
      <c r="Q492" s="36" t="str">
        <f>CONCATENATE(Cover!$D$6,"fdd/view?i=",P492)</f>
        <v>https://www.dgiwg.org/FAD/fdd/view?i=118595</v>
      </c>
      <c r="R492" s="13" t="s">
        <v>8360</v>
      </c>
      <c r="S492" s="172"/>
      <c r="T492" s="172"/>
      <c r="CP492" s="164" t="s">
        <v>1790</v>
      </c>
    </row>
    <row r="493" spans="1:104" ht="25.5" x14ac:dyDescent="0.2">
      <c r="A493" s="176" t="str">
        <f t="shared" si="11"/>
        <v>elevationAboveWaterFloor</v>
      </c>
      <c r="B493" s="11" t="s">
        <v>8365</v>
      </c>
      <c r="C493" s="173"/>
      <c r="D493" s="22" t="s">
        <v>8366</v>
      </c>
      <c r="E493" s="15" t="s">
        <v>8367</v>
      </c>
      <c r="F493" s="174"/>
      <c r="G493" s="174"/>
      <c r="H493" s="17" t="s">
        <v>5932</v>
      </c>
      <c r="I493" s="269"/>
      <c r="J493" s="369" t="str">
        <f>HYPERLINK("[#]Datatypes!B1233:L1233","RealInterval")</f>
        <v>RealInterval</v>
      </c>
      <c r="K493" s="271" t="str">
        <f>HYPERLINK("[#]PhysicalQuantities!A20:N20","Length")</f>
        <v>Length</v>
      </c>
      <c r="L493" s="270" t="str">
        <f>HYPERLINK("[#]UnitsOfMeasure!D80:G80","Metre")</f>
        <v>Metre</v>
      </c>
      <c r="M493" s="272"/>
      <c r="N493" s="273"/>
      <c r="O493" s="269"/>
      <c r="P493" s="37">
        <v>100959</v>
      </c>
      <c r="Q493" s="36" t="str">
        <f>CONCATENATE(Cover!$D$6,"fdd/view?i=",P493)</f>
        <v>https://www.dgiwg.org/FAD/fdd/view?i=100959</v>
      </c>
      <c r="R493" s="13" t="s">
        <v>8364</v>
      </c>
      <c r="S493" s="172"/>
      <c r="T493" s="172"/>
      <c r="BJ493" s="83" t="s">
        <v>1790</v>
      </c>
      <c r="CP493" s="164" t="s">
        <v>1790</v>
      </c>
    </row>
    <row r="494" spans="1:104" ht="25.5" x14ac:dyDescent="0.2">
      <c r="A494" s="176" t="str">
        <f t="shared" si="11"/>
        <v>elevationAccuracyCategory</v>
      </c>
      <c r="B494" s="11" t="s">
        <v>8369</v>
      </c>
      <c r="C494" s="173"/>
      <c r="D494" s="22" t="s">
        <v>8370</v>
      </c>
      <c r="E494" s="15" t="s">
        <v>8371</v>
      </c>
      <c r="F494" s="174"/>
      <c r="G494" s="174"/>
      <c r="H494" s="17" t="s">
        <v>5932</v>
      </c>
      <c r="I494" s="269"/>
      <c r="J494" s="369" t="str">
        <f>HYPERLINK("[#]Datatypes!B496:L496","ElaCode")</f>
        <v>ElaCode</v>
      </c>
      <c r="K494" s="276"/>
      <c r="L494" s="272"/>
      <c r="M494" s="272"/>
      <c r="N494" s="248" t="str">
        <f>HYPERLINK("[#]DatatypeListedValues!A3367:H3367","&lt;values&gt;")</f>
        <v>&lt;values&gt;</v>
      </c>
      <c r="O494" s="277" t="b">
        <v>0</v>
      </c>
      <c r="P494" s="37">
        <v>100858</v>
      </c>
      <c r="Q494" s="36" t="str">
        <f>CONCATENATE(Cover!$D$6,"fdd/view?i=",P494)</f>
        <v>https://www.dgiwg.org/FAD/fdd/view?i=100858</v>
      </c>
      <c r="R494" s="13" t="s">
        <v>8368</v>
      </c>
      <c r="S494" s="172"/>
      <c r="T494" s="172"/>
      <c r="CP494" s="164" t="s">
        <v>1790</v>
      </c>
      <c r="CZ494" s="165" t="s">
        <v>1790</v>
      </c>
    </row>
    <row r="495" spans="1:104" ht="25.5" x14ac:dyDescent="0.2">
      <c r="A495" s="176" t="str">
        <f t="shared" si="11"/>
        <v>elevationRange</v>
      </c>
      <c r="B495" s="11" t="s">
        <v>8374</v>
      </c>
      <c r="C495" s="173"/>
      <c r="D495" s="22" t="s">
        <v>8375</v>
      </c>
      <c r="E495" s="15" t="s">
        <v>8376</v>
      </c>
      <c r="F495" s="174"/>
      <c r="G495" s="174"/>
      <c r="H495" s="17" t="s">
        <v>5932</v>
      </c>
      <c r="I495" s="269"/>
      <c r="J495" s="369" t="str">
        <f>HYPERLINK("[#]Datatypes!B1233:L1233","RealInterval")</f>
        <v>RealInterval</v>
      </c>
      <c r="K495" s="271" t="str">
        <f>HYPERLINK("[#]PhysicalQuantities!A20:N20","Length")</f>
        <v>Length</v>
      </c>
      <c r="L495" s="270" t="str">
        <f>HYPERLINK("[#]UnitsOfMeasure!D80:G80","Metre")</f>
        <v>Metre</v>
      </c>
      <c r="M495" s="272"/>
      <c r="N495" s="273"/>
      <c r="O495" s="269"/>
      <c r="P495" s="37">
        <v>111335</v>
      </c>
      <c r="Q495" s="36" t="str">
        <f>CONCATENATE(Cover!$D$6,"fdd/view?i=",P495)</f>
        <v>https://www.dgiwg.org/FAD/fdd/view?i=111335</v>
      </c>
      <c r="R495" s="13" t="s">
        <v>8373</v>
      </c>
      <c r="S495" s="172"/>
      <c r="T495" s="172"/>
      <c r="BL495" s="81" t="s">
        <v>1790</v>
      </c>
    </row>
    <row r="496" spans="1:104" x14ac:dyDescent="0.2">
      <c r="A496" s="176" t="str">
        <f t="shared" si="11"/>
        <v>elevationSurfaceCategory</v>
      </c>
      <c r="B496" s="11" t="s">
        <v>8378</v>
      </c>
      <c r="C496" s="173"/>
      <c r="D496" s="22" t="s">
        <v>8379</v>
      </c>
      <c r="E496" s="15" t="s">
        <v>8380</v>
      </c>
      <c r="F496" s="174"/>
      <c r="G496" s="174"/>
      <c r="H496" s="17" t="s">
        <v>5932</v>
      </c>
      <c r="I496" s="269"/>
      <c r="J496" s="369" t="str">
        <f>HYPERLINK("[#]Datatypes!B498:L498","EscCode")</f>
        <v>EscCode</v>
      </c>
      <c r="K496" s="276"/>
      <c r="L496" s="272"/>
      <c r="M496" s="272"/>
      <c r="N496" s="248" t="str">
        <f>HYPERLINK("[#]DatatypeListedValues!A3369:H3369","&lt;values&gt;")</f>
        <v>&lt;values&gt;</v>
      </c>
      <c r="O496" s="277" t="b">
        <v>0</v>
      </c>
      <c r="P496" s="37">
        <v>111539</v>
      </c>
      <c r="Q496" s="36" t="str">
        <f>CONCATENATE(Cover!$D$6,"fdd/view?i=",P496)</f>
        <v>https://www.dgiwg.org/FAD/fdd/view?i=111539</v>
      </c>
      <c r="R496" s="13" t="s">
        <v>8377</v>
      </c>
      <c r="S496" s="172"/>
      <c r="T496" s="172"/>
      <c r="CP496" s="164" t="s">
        <v>1790</v>
      </c>
      <c r="CS496" s="165" t="s">
        <v>1790</v>
      </c>
    </row>
    <row r="497" spans="1:104" ht="76.5" x14ac:dyDescent="0.2">
      <c r="A497" s="176" t="str">
        <f t="shared" si="11"/>
        <v>elevationVertAccuracy90</v>
      </c>
      <c r="B497" s="11" t="s">
        <v>8383</v>
      </c>
      <c r="C497" s="173"/>
      <c r="D497" s="22" t="s">
        <v>8384</v>
      </c>
      <c r="E497" s="15" t="s">
        <v>8385</v>
      </c>
      <c r="F497" s="15" t="s">
        <v>8386</v>
      </c>
      <c r="G497" s="174"/>
      <c r="H497" s="17" t="s">
        <v>5932</v>
      </c>
      <c r="I497" s="269"/>
      <c r="J497" s="369" t="str">
        <f>HYPERLINK("[#]Datatypes!B1231:L1231","Real")</f>
        <v>Real</v>
      </c>
      <c r="K497" s="271" t="str">
        <f>HYPERLINK("[#]PhysicalQuantities!A20:N20","Length")</f>
        <v>Length</v>
      </c>
      <c r="L497" s="270" t="str">
        <f>HYPERLINK("[#]UnitsOfMeasure!D80:G80","Metre")</f>
        <v>Metre</v>
      </c>
      <c r="M497" s="272"/>
      <c r="N497" s="273"/>
      <c r="O497" s="269"/>
      <c r="P497" s="37">
        <v>118141</v>
      </c>
      <c r="Q497" s="36" t="str">
        <f>CONCATENATE(Cover!$D$6,"fdd/view?i=",P497)</f>
        <v>https://www.dgiwg.org/FAD/fdd/view?i=118141</v>
      </c>
      <c r="R497" s="13" t="s">
        <v>8382</v>
      </c>
      <c r="S497" s="172"/>
      <c r="T497" s="172"/>
      <c r="CZ497" s="165" t="s">
        <v>1790</v>
      </c>
    </row>
    <row r="498" spans="1:104" ht="25.5" x14ac:dyDescent="0.2">
      <c r="A498" s="176" t="str">
        <f t="shared" si="11"/>
        <v>ellipsoidHeight</v>
      </c>
      <c r="B498" s="11" t="s">
        <v>8388</v>
      </c>
      <c r="C498" s="173"/>
      <c r="D498" s="22" t="s">
        <v>8389</v>
      </c>
      <c r="E498" s="15" t="s">
        <v>8390</v>
      </c>
      <c r="F498" s="174"/>
      <c r="G498" s="15" t="s">
        <v>8391</v>
      </c>
      <c r="H498" s="17" t="s">
        <v>5932</v>
      </c>
      <c r="I498" s="269"/>
      <c r="J498" s="369" t="str">
        <f>HYPERLINK("[#]Datatypes!B1231:L1231","Real")</f>
        <v>Real</v>
      </c>
      <c r="K498" s="271" t="str">
        <f>HYPERLINK("[#]PhysicalQuantities!A20:N20","Length")</f>
        <v>Length</v>
      </c>
      <c r="L498" s="270" t="str">
        <f>HYPERLINK("[#]UnitsOfMeasure!D80:G80","Metre")</f>
        <v>Metre</v>
      </c>
      <c r="M498" s="272"/>
      <c r="N498" s="273"/>
      <c r="O498" s="269"/>
      <c r="P498" s="37">
        <v>117747</v>
      </c>
      <c r="Q498" s="36" t="str">
        <f>CONCATENATE(Cover!$D$6,"fdd/view?i=",P498)</f>
        <v>https://www.dgiwg.org/FAD/fdd/view?i=117747</v>
      </c>
      <c r="R498" s="13" t="s">
        <v>8387</v>
      </c>
      <c r="S498" s="172"/>
      <c r="T498" s="172"/>
      <c r="CE498" s="87" t="s">
        <v>1790</v>
      </c>
      <c r="CG498" s="83" t="s">
        <v>1790</v>
      </c>
    </row>
    <row r="499" spans="1:104" x14ac:dyDescent="0.2">
      <c r="A499" s="176" t="str">
        <f t="shared" si="11"/>
        <v>ellipHeightRunwayHighEnd</v>
      </c>
      <c r="B499" s="11" t="s">
        <v>8393</v>
      </c>
      <c r="C499" s="173"/>
      <c r="D499" s="22" t="s">
        <v>8394</v>
      </c>
      <c r="E499" s="15" t="s">
        <v>8395</v>
      </c>
      <c r="F499" s="174"/>
      <c r="G499" s="174"/>
      <c r="H499" s="17" t="s">
        <v>5932</v>
      </c>
      <c r="I499" s="269"/>
      <c r="J499" s="369" t="str">
        <f>HYPERLINK("[#]Datatypes!B1231:L1231","Real")</f>
        <v>Real</v>
      </c>
      <c r="K499" s="271" t="str">
        <f>HYPERLINK("[#]PhysicalQuantities!A20:N20","Length")</f>
        <v>Length</v>
      </c>
      <c r="L499" s="270" t="str">
        <f>HYPERLINK("[#]UnitsOfMeasure!D80:G80","Metre")</f>
        <v>Metre</v>
      </c>
      <c r="M499" s="272"/>
      <c r="N499" s="273"/>
      <c r="O499" s="269"/>
      <c r="P499" s="37">
        <v>100857</v>
      </c>
      <c r="Q499" s="36" t="str">
        <f>CONCATENATE(Cover!$D$6,"fdd/view?i=",P499)</f>
        <v>https://www.dgiwg.org/FAD/fdd/view?i=100857</v>
      </c>
      <c r="R499" s="13" t="s">
        <v>8392</v>
      </c>
      <c r="S499" s="172"/>
      <c r="T499" s="172"/>
      <c r="AT499" s="82" t="s">
        <v>1790</v>
      </c>
      <c r="CE499" s="87" t="s">
        <v>1790</v>
      </c>
      <c r="CP499" s="164" t="s">
        <v>1790</v>
      </c>
    </row>
    <row r="500" spans="1:104" x14ac:dyDescent="0.2">
      <c r="A500" s="176" t="str">
        <f t="shared" si="11"/>
        <v>ellipHeightRunwayLowEnd</v>
      </c>
      <c r="B500" s="11" t="s">
        <v>8397</v>
      </c>
      <c r="C500" s="173"/>
      <c r="D500" s="22" t="s">
        <v>8398</v>
      </c>
      <c r="E500" s="15" t="s">
        <v>8399</v>
      </c>
      <c r="F500" s="174"/>
      <c r="G500" s="174"/>
      <c r="H500" s="17" t="s">
        <v>5932</v>
      </c>
      <c r="I500" s="269"/>
      <c r="J500" s="369" t="str">
        <f>HYPERLINK("[#]Datatypes!B1231:L1231","Real")</f>
        <v>Real</v>
      </c>
      <c r="K500" s="271" t="str">
        <f>HYPERLINK("[#]PhysicalQuantities!A20:N20","Length")</f>
        <v>Length</v>
      </c>
      <c r="L500" s="270" t="str">
        <f>HYPERLINK("[#]UnitsOfMeasure!D80:G80","Metre")</f>
        <v>Metre</v>
      </c>
      <c r="M500" s="272"/>
      <c r="N500" s="273"/>
      <c r="O500" s="269"/>
      <c r="P500" s="37">
        <v>100861</v>
      </c>
      <c r="Q500" s="36" t="str">
        <f>CONCATENATE(Cover!$D$6,"fdd/view?i=",P500)</f>
        <v>https://www.dgiwg.org/FAD/fdd/view?i=100861</v>
      </c>
      <c r="R500" s="13" t="s">
        <v>8396</v>
      </c>
      <c r="S500" s="172"/>
      <c r="T500" s="172"/>
      <c r="AT500" s="82" t="s">
        <v>1790</v>
      </c>
      <c r="CE500" s="87" t="s">
        <v>1790</v>
      </c>
      <c r="CP500" s="164" t="s">
        <v>1790</v>
      </c>
      <c r="CZ500" s="165" t="s">
        <v>1790</v>
      </c>
    </row>
    <row r="501" spans="1:104" ht="25.5" x14ac:dyDescent="0.2">
      <c r="A501" s="176" t="str">
        <f t="shared" si="11"/>
        <v>embankmentType</v>
      </c>
      <c r="B501" s="11" t="s">
        <v>8401</v>
      </c>
      <c r="C501" s="173"/>
      <c r="D501" s="22" t="s">
        <v>8402</v>
      </c>
      <c r="E501" s="15" t="s">
        <v>8403</v>
      </c>
      <c r="F501" s="174"/>
      <c r="G501" s="174"/>
      <c r="H501" s="17" t="s">
        <v>5932</v>
      </c>
      <c r="I501" s="269"/>
      <c r="J501" s="369" t="str">
        <f>HYPERLINK("[#]Datatypes!B500:L500","FicCode")</f>
        <v>FicCode</v>
      </c>
      <c r="K501" s="276"/>
      <c r="L501" s="272"/>
      <c r="M501" s="272"/>
      <c r="N501" s="248" t="str">
        <f>HYPERLINK("[#]DatatypeListedValues!A3375:H3375","&lt;values&gt;")</f>
        <v>&lt;values&gt;</v>
      </c>
      <c r="O501" s="277" t="b">
        <v>0</v>
      </c>
      <c r="P501" s="37">
        <v>100892</v>
      </c>
      <c r="Q501" s="36" t="str">
        <f>CONCATENATE(Cover!$D$6,"fdd/view?i=",P501)</f>
        <v>https://www.dgiwg.org/FAD/fdd/view?i=100892</v>
      </c>
      <c r="R501" s="13" t="s">
        <v>8400</v>
      </c>
      <c r="S501" s="172"/>
      <c r="T501" s="172"/>
      <c r="BM501" s="82" t="s">
        <v>1790</v>
      </c>
      <c r="CS501" s="165" t="s">
        <v>1790</v>
      </c>
    </row>
    <row r="502" spans="1:104" ht="38.25" x14ac:dyDescent="0.2">
      <c r="A502" s="176" t="str">
        <f t="shared" si="11"/>
        <v>emergRespServResponseTime</v>
      </c>
      <c r="B502" s="11" t="s">
        <v>8406</v>
      </c>
      <c r="C502" s="173"/>
      <c r="D502" s="22" t="s">
        <v>8407</v>
      </c>
      <c r="E502" s="15" t="s">
        <v>8408</v>
      </c>
      <c r="F502" s="15" t="s">
        <v>8409</v>
      </c>
      <c r="G502" s="174"/>
      <c r="H502" s="17" t="s">
        <v>5932</v>
      </c>
      <c r="I502" s="269"/>
      <c r="J502" s="369" t="str">
        <f>HYPERLINK("[#]Datatypes!B1048:L1048","RealNonNegative")</f>
        <v>RealNonNegative</v>
      </c>
      <c r="K502" s="271" t="str">
        <f>HYPERLINK("[#]PhysicalQuantities!A51:N51","Time")</f>
        <v>Time</v>
      </c>
      <c r="L502" s="270" t="str">
        <f>HYPERLINK("[#]UnitsOfMeasure!D269:G269","Minute")</f>
        <v>Minute</v>
      </c>
      <c r="M502" s="272"/>
      <c r="N502" s="273"/>
      <c r="O502" s="269"/>
      <c r="P502" s="37">
        <v>119595</v>
      </c>
      <c r="Q502" s="36" t="str">
        <f>CONCATENATE(Cover!$D$6,"fdd/view?i=",P502)</f>
        <v>https://www.dgiwg.org/FAD/fdd/view?i=119595</v>
      </c>
      <c r="R502" s="13" t="s">
        <v>8405</v>
      </c>
      <c r="S502" s="172"/>
      <c r="T502" s="172"/>
      <c r="AT502" s="82" t="s">
        <v>1790</v>
      </c>
      <c r="CE502" s="87" t="s">
        <v>1790</v>
      </c>
      <c r="CH502" s="83" t="s">
        <v>1790</v>
      </c>
    </row>
    <row r="503" spans="1:104" ht="51" x14ac:dyDescent="0.2">
      <c r="A503" s="176" t="str">
        <f t="shared" si="11"/>
        <v>emergencySafeAltitude</v>
      </c>
      <c r="B503" s="11" t="s">
        <v>8411</v>
      </c>
      <c r="C503" s="173"/>
      <c r="D503" s="22" t="s">
        <v>8412</v>
      </c>
      <c r="E503" s="15" t="s">
        <v>8413</v>
      </c>
      <c r="F503" s="174"/>
      <c r="G503" s="174"/>
      <c r="H503" s="17" t="s">
        <v>5932</v>
      </c>
      <c r="I503" s="269"/>
      <c r="J503" s="369" t="str">
        <f>HYPERLINK("[#]Datatypes!B1231:L1231","Real")</f>
        <v>Real</v>
      </c>
      <c r="K503" s="271" t="str">
        <f>HYPERLINK("[#]PhysicalQuantities!A20:N20","Length")</f>
        <v>Length</v>
      </c>
      <c r="L503" s="270" t="str">
        <f>HYPERLINK("[#]UnitsOfMeasure!D103:G103","Foot")</f>
        <v>Foot</v>
      </c>
      <c r="M503" s="270" t="str">
        <f>HYPERLINK("[#]UnitsOfMeasure!D154:G154","Flight Level")</f>
        <v>Flight Level</v>
      </c>
      <c r="N503" s="273"/>
      <c r="O503" s="269"/>
      <c r="P503" s="37">
        <v>117565</v>
      </c>
      <c r="Q503" s="36" t="str">
        <f>CONCATENATE(Cover!$D$6,"fdd/view?i=",P503)</f>
        <v>https://www.dgiwg.org/FAD/fdd/view?i=117565</v>
      </c>
      <c r="R503" s="13" t="s">
        <v>8410</v>
      </c>
      <c r="S503" s="172"/>
      <c r="T503" s="172"/>
      <c r="CI503" s="89" t="s">
        <v>1790</v>
      </c>
    </row>
    <row r="504" spans="1:104" ht="25.5" x14ac:dyDescent="0.2">
      <c r="A504" s="176" t="str">
        <f t="shared" si="11"/>
        <v>endangeredEnvironComp</v>
      </c>
      <c r="B504" s="11" t="s">
        <v>8415</v>
      </c>
      <c r="C504" s="173"/>
      <c r="D504" s="22" t="s">
        <v>8416</v>
      </c>
      <c r="E504" s="15" t="s">
        <v>8417</v>
      </c>
      <c r="F504" s="174"/>
      <c r="G504" s="174"/>
      <c r="H504" s="17" t="s">
        <v>5932</v>
      </c>
      <c r="I504" s="17" t="s">
        <v>6029</v>
      </c>
      <c r="J504" s="369" t="str">
        <f>HYPERLINK("[#]Datatypes!B502:L502","ApoCode")</f>
        <v>ApoCode</v>
      </c>
      <c r="K504" s="276"/>
      <c r="L504" s="272"/>
      <c r="M504" s="272"/>
      <c r="N504" s="248" t="str">
        <f>HYPERLINK("[#]DatatypeListedValues!A3381:H3381","&lt;values&gt;")</f>
        <v>&lt;values&gt;</v>
      </c>
      <c r="O504" s="277" t="b">
        <v>0</v>
      </c>
      <c r="P504" s="37">
        <v>111478</v>
      </c>
      <c r="Q504" s="36" t="str">
        <f>CONCATENATE(Cover!$D$6,"fdd/view?i=",P504)</f>
        <v>https://www.dgiwg.org/FAD/fdd/view?i=111478</v>
      </c>
      <c r="R504" s="13" t="s">
        <v>8414</v>
      </c>
      <c r="S504" s="172"/>
      <c r="T504" s="172"/>
      <c r="AH504" s="85" t="s">
        <v>1790</v>
      </c>
      <c r="CS504" s="165" t="s">
        <v>1790</v>
      </c>
    </row>
    <row r="505" spans="1:104" ht="25.5" x14ac:dyDescent="0.2">
      <c r="A505" s="176" t="str">
        <f t="shared" si="11"/>
        <v>energyRawMaterial</v>
      </c>
      <c r="B505" s="11" t="s">
        <v>8420</v>
      </c>
      <c r="C505" s="173"/>
      <c r="D505" s="22" t="s">
        <v>8421</v>
      </c>
      <c r="E505" s="15" t="s">
        <v>8422</v>
      </c>
      <c r="F505" s="15" t="s">
        <v>8423</v>
      </c>
      <c r="G505" s="174"/>
      <c r="H505" s="17" t="s">
        <v>5932</v>
      </c>
      <c r="I505" s="269"/>
      <c r="J505" s="369" t="str">
        <f>HYPERLINK("[#]Datatypes!B504:L504","ErmCode")</f>
        <v>ErmCode</v>
      </c>
      <c r="K505" s="276"/>
      <c r="L505" s="272"/>
      <c r="M505" s="272"/>
      <c r="N505" s="248" t="str">
        <f>HYPERLINK("[#]DatatypeListedValues!A3387:H3387","&lt;values&gt;")</f>
        <v>&lt;values&gt;</v>
      </c>
      <c r="O505" s="277" t="b">
        <v>0</v>
      </c>
      <c r="P505" s="37">
        <v>111537</v>
      </c>
      <c r="Q505" s="36" t="str">
        <f>CONCATENATE(Cover!$D$6,"fdd/view?i=",P505)</f>
        <v>https://www.dgiwg.org/FAD/fdd/view?i=111537</v>
      </c>
      <c r="R505" s="13" t="s">
        <v>8419</v>
      </c>
      <c r="S505" s="172"/>
      <c r="T505" s="172"/>
      <c r="BP505" s="82" t="s">
        <v>1790</v>
      </c>
      <c r="CU505" s="87" t="s">
        <v>1790</v>
      </c>
    </row>
    <row r="506" spans="1:104" ht="25.5" x14ac:dyDescent="0.2">
      <c r="A506" s="176" t="str">
        <f t="shared" si="11"/>
        <v>engineTestCellType</v>
      </c>
      <c r="B506" s="11" t="s">
        <v>8426</v>
      </c>
      <c r="C506" s="173"/>
      <c r="D506" s="22" t="s">
        <v>8427</v>
      </c>
      <c r="E506" s="15" t="s">
        <v>8428</v>
      </c>
      <c r="F506" s="174"/>
      <c r="G506" s="174"/>
      <c r="H506" s="17" t="s">
        <v>5932</v>
      </c>
      <c r="I506" s="269"/>
      <c r="J506" s="369" t="str">
        <f>HYPERLINK("[#]Datatypes!B506:L506","EtyCode")</f>
        <v>EtyCode</v>
      </c>
      <c r="K506" s="276"/>
      <c r="L506" s="272"/>
      <c r="M506" s="272"/>
      <c r="N506" s="248" t="str">
        <f>HYPERLINK("[#]DatatypeListedValues!A3396:H3396","&lt;values&gt;")</f>
        <v>&lt;values&gt;</v>
      </c>
      <c r="O506" s="277" t="b">
        <v>0</v>
      </c>
      <c r="P506" s="37">
        <v>117820</v>
      </c>
      <c r="Q506" s="36" t="str">
        <f>CONCATENATE(Cover!$D$6,"fdd/view?i=",P506)</f>
        <v>https://www.dgiwg.org/FAD/fdd/view?i=117820</v>
      </c>
      <c r="R506" s="13" t="s">
        <v>8425</v>
      </c>
      <c r="S506" s="172"/>
      <c r="T506" s="172"/>
      <c r="AB506" s="82" t="s">
        <v>1790</v>
      </c>
      <c r="AN506" s="83" t="s">
        <v>1790</v>
      </c>
      <c r="CS506" s="165" t="s">
        <v>1790</v>
      </c>
    </row>
    <row r="507" spans="1:104" ht="25.5" x14ac:dyDescent="0.2">
      <c r="A507" s="176" t="str">
        <f t="shared" si="11"/>
        <v>engineeredEarthworkType</v>
      </c>
      <c r="B507" s="11" t="s">
        <v>8431</v>
      </c>
      <c r="C507" s="173"/>
      <c r="D507" s="22" t="s">
        <v>8432</v>
      </c>
      <c r="E507" s="15" t="s">
        <v>8433</v>
      </c>
      <c r="F507" s="174"/>
      <c r="G507" s="174"/>
      <c r="H507" s="17" t="s">
        <v>5932</v>
      </c>
      <c r="I507" s="269"/>
      <c r="J507" s="369" t="str">
        <f>HYPERLINK("[#]Datatypes!B508:L508","EetCode")</f>
        <v>EetCode</v>
      </c>
      <c r="K507" s="276"/>
      <c r="L507" s="272"/>
      <c r="M507" s="272"/>
      <c r="N507" s="248" t="str">
        <f>HYPERLINK("[#]DatatypeListedValues!A3400:H3400","&lt;values&gt;")</f>
        <v>&lt;values&gt;</v>
      </c>
      <c r="O507" s="277" t="b">
        <v>0</v>
      </c>
      <c r="P507" s="37">
        <v>118015</v>
      </c>
      <c r="Q507" s="36" t="str">
        <f>CONCATENATE(Cover!$D$6,"fdd/view?i=",P507)</f>
        <v>https://www.dgiwg.org/FAD/fdd/view?i=118015</v>
      </c>
      <c r="R507" s="13" t="s">
        <v>8430</v>
      </c>
      <c r="S507" s="172"/>
      <c r="T507" s="172"/>
      <c r="CJ507" s="81" t="s">
        <v>1790</v>
      </c>
      <c r="CL507" s="85" t="s">
        <v>1790</v>
      </c>
      <c r="CS507" s="165" t="s">
        <v>1790</v>
      </c>
      <c r="CT507" s="166" t="s">
        <v>1790</v>
      </c>
    </row>
    <row r="508" spans="1:104" ht="102" x14ac:dyDescent="0.2">
      <c r="A508" s="176" t="str">
        <f t="shared" si="11"/>
        <v>enhFujitaTornadoScale</v>
      </c>
      <c r="B508" s="11" t="s">
        <v>8436</v>
      </c>
      <c r="C508" s="173"/>
      <c r="D508" s="22" t="s">
        <v>8437</v>
      </c>
      <c r="E508" s="15" t="s">
        <v>8438</v>
      </c>
      <c r="F508" s="15" t="s">
        <v>8439</v>
      </c>
      <c r="G508" s="174"/>
      <c r="H508" s="17" t="s">
        <v>5932</v>
      </c>
      <c r="I508" s="269"/>
      <c r="J508" s="369" t="str">
        <f>HYPERLINK("[#]Datatypes!B510:L510","FteCode")</f>
        <v>FteCode</v>
      </c>
      <c r="K508" s="276"/>
      <c r="L508" s="272"/>
      <c r="M508" s="272"/>
      <c r="N508" s="248" t="str">
        <f>HYPERLINK("[#]DatatypeListedValues!A3405:H3405","&lt;values&gt;")</f>
        <v>&lt;values&gt;</v>
      </c>
      <c r="O508" s="277" t="b">
        <v>0</v>
      </c>
      <c r="P508" s="37">
        <v>119056</v>
      </c>
      <c r="Q508" s="36" t="str">
        <f>CONCATENATE(Cover!$D$6,"fdd/view?i=",P508)</f>
        <v>https://www.dgiwg.org/FAD/fdd/view?i=119056</v>
      </c>
      <c r="R508" s="13" t="s">
        <v>8435</v>
      </c>
      <c r="S508" s="172"/>
      <c r="T508" s="172"/>
      <c r="CM508" s="87" t="s">
        <v>1790</v>
      </c>
      <c r="CQ508" s="165" t="s">
        <v>1790</v>
      </c>
    </row>
    <row r="509" spans="1:104" ht="38.25" x14ac:dyDescent="0.2">
      <c r="A509" s="176" t="str">
        <f t="shared" si="11"/>
        <v>entityIdentifierType</v>
      </c>
      <c r="B509" s="11" t="s">
        <v>8442</v>
      </c>
      <c r="C509" s="173"/>
      <c r="D509" s="22" t="s">
        <v>8443</v>
      </c>
      <c r="E509" s="15" t="s">
        <v>8444</v>
      </c>
      <c r="F509" s="15" t="s">
        <v>8445</v>
      </c>
      <c r="G509" s="174"/>
      <c r="H509" s="17" t="s">
        <v>5932</v>
      </c>
      <c r="I509" s="269"/>
      <c r="J509" s="369" t="str">
        <f>HYPERLINK("[#]Datatypes!B512:L512","EitCode")</f>
        <v>EitCode</v>
      </c>
      <c r="K509" s="276"/>
      <c r="L509" s="272"/>
      <c r="M509" s="272"/>
      <c r="N509" s="248" t="str">
        <f>HYPERLINK("[#]DatatypeListedValues!A3411:H3411","&lt;values&gt;")</f>
        <v>&lt;values&gt;</v>
      </c>
      <c r="O509" s="277" t="b">
        <v>0</v>
      </c>
      <c r="P509" s="37">
        <v>114217</v>
      </c>
      <c r="Q509" s="36" t="str">
        <f>CONCATENATE(Cover!$D$6,"fdd/view?i=",P509)</f>
        <v>https://www.dgiwg.org/FAD/fdd/view?i=114217</v>
      </c>
      <c r="R509" s="13" t="s">
        <v>8441</v>
      </c>
      <c r="S509" s="172"/>
      <c r="T509" s="172"/>
      <c r="CV509" s="83" t="s">
        <v>1790</v>
      </c>
    </row>
    <row r="510" spans="1:104" ht="25.5" x14ac:dyDescent="0.2">
      <c r="A510" s="176" t="str">
        <f t="shared" si="11"/>
        <v>entranceExitClosureMethod</v>
      </c>
      <c r="B510" s="11" t="s">
        <v>8448</v>
      </c>
      <c r="C510" s="173"/>
      <c r="D510" s="22" t="s">
        <v>8449</v>
      </c>
      <c r="E510" s="15" t="s">
        <v>8450</v>
      </c>
      <c r="F510" s="174"/>
      <c r="G510" s="174"/>
      <c r="H510" s="17" t="s">
        <v>5932</v>
      </c>
      <c r="I510" s="269"/>
      <c r="J510" s="369" t="str">
        <f>HYPERLINK("[#]Datatypes!B514:L514","EcmCode")</f>
        <v>EcmCode</v>
      </c>
      <c r="K510" s="276"/>
      <c r="L510" s="272"/>
      <c r="M510" s="272"/>
      <c r="N510" s="248" t="str">
        <f>HYPERLINK("[#]DatatypeListedValues!A3417:H3417","&lt;values&gt;")</f>
        <v>&lt;values&gt;</v>
      </c>
      <c r="O510" s="277" t="b">
        <v>0</v>
      </c>
      <c r="P510" s="37">
        <v>119645</v>
      </c>
      <c r="Q510" s="36" t="str">
        <f>CONCATENATE(Cover!$D$6,"fdd/view?i=",P510)</f>
        <v>https://www.dgiwg.org/FAD/fdd/view?i=119645</v>
      </c>
      <c r="R510" s="13" t="s">
        <v>8447</v>
      </c>
      <c r="S510" s="172"/>
      <c r="T510" s="172"/>
      <c r="AI510" s="87" t="s">
        <v>1790</v>
      </c>
      <c r="CS510" s="165" t="s">
        <v>1790</v>
      </c>
      <c r="CT510" s="166" t="s">
        <v>1790</v>
      </c>
    </row>
    <row r="511" spans="1:104" ht="25.5" x14ac:dyDescent="0.2">
      <c r="A511" s="176" t="str">
        <f t="shared" si="11"/>
        <v>entranceExitShielded</v>
      </c>
      <c r="B511" s="11" t="s">
        <v>8453</v>
      </c>
      <c r="C511" s="173"/>
      <c r="D511" s="22" t="s">
        <v>8454</v>
      </c>
      <c r="E511" s="15" t="s">
        <v>8455</v>
      </c>
      <c r="F511" s="15" t="s">
        <v>8456</v>
      </c>
      <c r="G511" s="174"/>
      <c r="H511" s="17" t="s">
        <v>5932</v>
      </c>
      <c r="I511" s="269"/>
      <c r="J511" s="369" t="str">
        <f>HYPERLINK("[#]Datatypes!B240:L240","Boolean")</f>
        <v>Boolean</v>
      </c>
      <c r="K511" s="276"/>
      <c r="L511" s="272"/>
      <c r="M511" s="272"/>
      <c r="N511" s="273"/>
      <c r="O511" s="269"/>
      <c r="P511" s="37">
        <v>119581</v>
      </c>
      <c r="Q511" s="36" t="str">
        <f>CONCATENATE(Cover!$D$6,"fdd/view?i=",P511)</f>
        <v>https://www.dgiwg.org/FAD/fdd/view?i=119581</v>
      </c>
      <c r="R511" s="13" t="s">
        <v>8452</v>
      </c>
      <c r="S511" s="172"/>
      <c r="T511" s="172"/>
      <c r="AI511" s="87" t="s">
        <v>1790</v>
      </c>
      <c r="CS511" s="165" t="s">
        <v>1790</v>
      </c>
      <c r="CT511" s="166" t="s">
        <v>1790</v>
      </c>
    </row>
    <row r="512" spans="1:104" ht="25.5" x14ac:dyDescent="0.2">
      <c r="A512" s="176" t="str">
        <f t="shared" si="11"/>
        <v>entranceExitType</v>
      </c>
      <c r="B512" s="11" t="s">
        <v>8458</v>
      </c>
      <c r="C512" s="173"/>
      <c r="D512" s="22" t="s">
        <v>8459</v>
      </c>
      <c r="E512" s="15" t="s">
        <v>8460</v>
      </c>
      <c r="F512" s="174"/>
      <c r="G512" s="174"/>
      <c r="H512" s="17" t="s">
        <v>5932</v>
      </c>
      <c r="I512" s="269"/>
      <c r="J512" s="369" t="str">
        <f>HYPERLINK("[#]Datatypes!B516:L516","EecCode")</f>
        <v>EecCode</v>
      </c>
      <c r="K512" s="276"/>
      <c r="L512" s="272"/>
      <c r="M512" s="272"/>
      <c r="N512" s="248" t="str">
        <f>HYPERLINK("[#]DatatypeListedValues!A3421:H3421","&lt;values&gt;")</f>
        <v>&lt;values&gt;</v>
      </c>
      <c r="O512" s="277" t="b">
        <v>0</v>
      </c>
      <c r="P512" s="37">
        <v>111311</v>
      </c>
      <c r="Q512" s="36" t="str">
        <f>CONCATENATE(Cover!$D$6,"fdd/view?i=",P512)</f>
        <v>https://www.dgiwg.org/FAD/fdd/view?i=111311</v>
      </c>
      <c r="R512" s="13" t="s">
        <v>8457</v>
      </c>
      <c r="S512" s="172"/>
      <c r="T512" s="172"/>
      <c r="AA512" s="81" t="s">
        <v>1790</v>
      </c>
      <c r="AJ512" s="83" t="s">
        <v>1790</v>
      </c>
      <c r="AV512" s="82" t="s">
        <v>1790</v>
      </c>
    </row>
    <row r="513" spans="1:105" x14ac:dyDescent="0.2">
      <c r="A513" s="176" t="str">
        <f t="shared" si="11"/>
        <v>environmentalDamageType</v>
      </c>
      <c r="B513" s="11" t="s">
        <v>8463</v>
      </c>
      <c r="C513" s="173"/>
      <c r="D513" s="22" t="s">
        <v>8464</v>
      </c>
      <c r="E513" s="15" t="s">
        <v>8465</v>
      </c>
      <c r="F513" s="174"/>
      <c r="G513" s="174"/>
      <c r="H513" s="17" t="s">
        <v>5932</v>
      </c>
      <c r="I513" s="269"/>
      <c r="J513" s="369" t="str">
        <f>HYPERLINK("[#]Datatypes!B518:L518","Kd1Code")</f>
        <v>Kd1Code</v>
      </c>
      <c r="K513" s="276"/>
      <c r="L513" s="272"/>
      <c r="M513" s="272"/>
      <c r="N513" s="248" t="str">
        <f>HYPERLINK("[#]DatatypeListedValues!A3431:H3431","&lt;values&gt;")</f>
        <v>&lt;values&gt;</v>
      </c>
      <c r="O513" s="277" t="b">
        <v>0</v>
      </c>
      <c r="P513" s="37">
        <v>111604</v>
      </c>
      <c r="Q513" s="36" t="str">
        <f>CONCATENATE(Cover!$D$6,"fdd/view?i=",P513)</f>
        <v>https://www.dgiwg.org/FAD/fdd/view?i=111604</v>
      </c>
      <c r="R513" s="13" t="s">
        <v>8462</v>
      </c>
      <c r="S513" s="172"/>
      <c r="T513" s="172"/>
      <c r="CS513" s="165" t="s">
        <v>1790</v>
      </c>
    </row>
    <row r="514" spans="1:105" ht="25.5" x14ac:dyDescent="0.2">
      <c r="A514" s="176" t="str">
        <f t="shared" si="11"/>
        <v>epidemicType</v>
      </c>
      <c r="B514" s="11" t="s">
        <v>8468</v>
      </c>
      <c r="C514" s="173"/>
      <c r="D514" s="22" t="s">
        <v>8469</v>
      </c>
      <c r="E514" s="15" t="s">
        <v>8470</v>
      </c>
      <c r="F514" s="174"/>
      <c r="G514" s="174"/>
      <c r="H514" s="17" t="s">
        <v>5932</v>
      </c>
      <c r="I514" s="269"/>
      <c r="J514" s="369" t="str">
        <f>HYPERLINK("[#]Datatypes!B520:L520","Ke1Code")</f>
        <v>Ke1Code</v>
      </c>
      <c r="K514" s="276"/>
      <c r="L514" s="272"/>
      <c r="M514" s="272"/>
      <c r="N514" s="248" t="str">
        <f>HYPERLINK("[#]DatatypeListedValues!A3447:H3447","&lt;values&gt;")</f>
        <v>&lt;values&gt;</v>
      </c>
      <c r="O514" s="277" t="b">
        <v>0</v>
      </c>
      <c r="P514" s="37">
        <v>111605</v>
      </c>
      <c r="Q514" s="36" t="str">
        <f>CONCATENATE(Cover!$D$6,"fdd/view?i=",P514)</f>
        <v>https://www.dgiwg.org/FAD/fdd/view?i=111605</v>
      </c>
      <c r="R514" s="13" t="s">
        <v>8467</v>
      </c>
      <c r="S514" s="172"/>
      <c r="T514" s="172"/>
      <c r="AO514" s="89" t="s">
        <v>1790</v>
      </c>
      <c r="CS514" s="165" t="s">
        <v>1790</v>
      </c>
    </row>
    <row r="515" spans="1:105" ht="38.25" x14ac:dyDescent="0.2">
      <c r="A515" s="176" t="str">
        <f t="shared" ref="A515:A578" si="12">HYPERLINK(Q515,R515)</f>
        <v>equivalentScale</v>
      </c>
      <c r="B515" s="11" t="s">
        <v>8473</v>
      </c>
      <c r="C515" s="173"/>
      <c r="D515" s="22" t="s">
        <v>8474</v>
      </c>
      <c r="E515" s="15" t="s">
        <v>8475</v>
      </c>
      <c r="F515" s="174"/>
      <c r="G515" s="174"/>
      <c r="H515" s="17" t="s">
        <v>5932</v>
      </c>
      <c r="I515" s="269"/>
      <c r="J515" s="369" t="str">
        <f>HYPERLINK("[#]Datatypes!B742:L742","Integer")</f>
        <v>Integer</v>
      </c>
      <c r="K515" s="271" t="str">
        <f>HYPERLINK("[#]PhysicalQuantities!A39:N39","Pure Number")</f>
        <v>Pure Number</v>
      </c>
      <c r="L515" s="270" t="str">
        <f>HYPERLINK("[#]UnitsOfMeasure!D213:G213","Unitless")</f>
        <v>Unitless</v>
      </c>
      <c r="M515" s="272"/>
      <c r="N515" s="273"/>
      <c r="O515" s="269"/>
      <c r="P515" s="37">
        <v>118140</v>
      </c>
      <c r="Q515" s="36" t="str">
        <f>CONCATENATE(Cover!$D$6,"fdd/view?i=",P515)</f>
        <v>https://www.dgiwg.org/FAD/fdd/view?i=118140</v>
      </c>
      <c r="R515" s="13" t="s">
        <v>8472</v>
      </c>
      <c r="S515" s="172"/>
      <c r="T515" s="172"/>
      <c r="CX515" s="165" t="s">
        <v>1790</v>
      </c>
      <c r="DA515" s="165" t="s">
        <v>1790</v>
      </c>
    </row>
    <row r="516" spans="1:105" ht="25.5" x14ac:dyDescent="0.2">
      <c r="A516" s="176" t="str">
        <f t="shared" si="12"/>
        <v>equivalentScaleCategory</v>
      </c>
      <c r="B516" s="11" t="s">
        <v>8477</v>
      </c>
      <c r="C516" s="173"/>
      <c r="D516" s="22" t="s">
        <v>8478</v>
      </c>
      <c r="E516" s="15" t="s">
        <v>8479</v>
      </c>
      <c r="F516" s="174"/>
      <c r="G516" s="174"/>
      <c r="H516" s="17" t="s">
        <v>5932</v>
      </c>
      <c r="I516" s="269"/>
      <c r="J516" s="369" t="str">
        <f>HYPERLINK("[#]Datatypes!B522:L522","EqcCode")</f>
        <v>EqcCode</v>
      </c>
      <c r="K516" s="276"/>
      <c r="L516" s="272"/>
      <c r="M516" s="272"/>
      <c r="N516" s="248" t="str">
        <f>HYPERLINK("[#]DatatypeListedValues!A3473:H3473","&lt;values&gt;")</f>
        <v>&lt;values&gt;</v>
      </c>
      <c r="O516" s="277" t="b">
        <v>0</v>
      </c>
      <c r="P516" s="37">
        <v>118166</v>
      </c>
      <c r="Q516" s="36" t="str">
        <f>CONCATENATE(Cover!$D$6,"fdd/view?i=",P516)</f>
        <v>https://www.dgiwg.org/FAD/fdd/view?i=118166</v>
      </c>
      <c r="R516" s="13" t="s">
        <v>8476</v>
      </c>
      <c r="S516" s="172"/>
      <c r="T516" s="172"/>
      <c r="CX516" s="165" t="s">
        <v>1790</v>
      </c>
      <c r="DA516" s="165" t="s">
        <v>1790</v>
      </c>
    </row>
    <row r="517" spans="1:105" ht="38.25" x14ac:dyDescent="0.2">
      <c r="A517" s="176" t="str">
        <f t="shared" si="12"/>
        <v>equivalentSingleWheelLoad</v>
      </c>
      <c r="B517" s="11" t="s">
        <v>8482</v>
      </c>
      <c r="C517" s="173"/>
      <c r="D517" s="22" t="s">
        <v>8483</v>
      </c>
      <c r="E517" s="15" t="s">
        <v>8484</v>
      </c>
      <c r="F517" s="174"/>
      <c r="G517" s="15" t="s">
        <v>8485</v>
      </c>
      <c r="H517" s="17" t="s">
        <v>5932</v>
      </c>
      <c r="I517" s="269"/>
      <c r="J517" s="369" t="str">
        <f>HYPERLINK("[#]Datatypes!B1231:L1231","Real")</f>
        <v>Real</v>
      </c>
      <c r="K517" s="271" t="str">
        <f>HYPERLINK("[#]PhysicalQuantities!A28:N28","Mass")</f>
        <v>Mass</v>
      </c>
      <c r="L517" s="270" t="str">
        <f>HYPERLINK("[#]UnitsOfMeasure!D136:G136","Kilopound")</f>
        <v>Kilopound</v>
      </c>
      <c r="M517" s="272"/>
      <c r="N517" s="273"/>
      <c r="O517" s="269"/>
      <c r="P517" s="37">
        <v>117566</v>
      </c>
      <c r="Q517" s="36" t="str">
        <f>CONCATENATE(Cover!$D$6,"fdd/view?i=",P517)</f>
        <v>https://www.dgiwg.org/FAD/fdd/view?i=117566</v>
      </c>
      <c r="R517" s="13" t="s">
        <v>8481</v>
      </c>
      <c r="S517" s="172"/>
      <c r="T517" s="172"/>
      <c r="CE517" s="87" t="s">
        <v>1790</v>
      </c>
    </row>
    <row r="518" spans="1:105" x14ac:dyDescent="0.2">
      <c r="A518" s="176" t="str">
        <f t="shared" si="12"/>
        <v>estimatedAmountLoss</v>
      </c>
      <c r="B518" s="11" t="s">
        <v>8487</v>
      </c>
      <c r="C518" s="173"/>
      <c r="D518" s="22" t="s">
        <v>8488</v>
      </c>
      <c r="E518" s="15" t="s">
        <v>8489</v>
      </c>
      <c r="F518" s="174"/>
      <c r="G518" s="174"/>
      <c r="H518" s="17" t="s">
        <v>5932</v>
      </c>
      <c r="I518" s="269"/>
      <c r="J518" s="369" t="str">
        <f>HYPERLINK("[#]Datatypes!B1231:L1231","Real")</f>
        <v>Real</v>
      </c>
      <c r="K518" s="271" t="str">
        <f>HYPERLINK("[#]PhysicalQuantities!A32:N32","Monetary Unit")</f>
        <v>Monetary Unit</v>
      </c>
      <c r="L518" s="270" t="str">
        <f>HYPERLINK("[#]UnitsOfMeasure!D151:G151","U.S. Dollar")</f>
        <v>U.S. Dollar</v>
      </c>
      <c r="M518" s="272"/>
      <c r="N518" s="273"/>
      <c r="O518" s="269"/>
      <c r="P518" s="37">
        <v>118139</v>
      </c>
      <c r="Q518" s="36" t="str">
        <f>CONCATENATE(Cover!$D$6,"fdd/view?i=",P518)</f>
        <v>https://www.dgiwg.org/FAD/fdd/view?i=118139</v>
      </c>
      <c r="R518" s="13" t="s">
        <v>8486</v>
      </c>
      <c r="S518" s="172"/>
      <c r="T518" s="172"/>
      <c r="AK518" s="83" t="s">
        <v>1790</v>
      </c>
      <c r="BQ518" s="82" t="s">
        <v>1790</v>
      </c>
      <c r="CQ518" s="165" t="s">
        <v>1790</v>
      </c>
    </row>
    <row r="519" spans="1:105" ht="25.5" x14ac:dyDescent="0.2">
      <c r="A519" s="176" t="str">
        <f t="shared" si="12"/>
        <v>estimatedProductionRate</v>
      </c>
      <c r="B519" s="11" t="s">
        <v>8491</v>
      </c>
      <c r="C519" s="173"/>
      <c r="D519" s="22" t="s">
        <v>8492</v>
      </c>
      <c r="E519" s="15" t="s">
        <v>8493</v>
      </c>
      <c r="F519" s="174"/>
      <c r="G519" s="174"/>
      <c r="H519" s="17" t="s">
        <v>5932</v>
      </c>
      <c r="I519" s="269"/>
      <c r="J519" s="369" t="str">
        <f>HYPERLINK("[#]Datatypes!B1233:L1233","RealInterval")</f>
        <v>RealInterval</v>
      </c>
      <c r="K519" s="271" t="str">
        <f>HYPERLINK("[#]PhysicalQuantities!A31:N31","Mass Rate")</f>
        <v>Mass Rate</v>
      </c>
      <c r="L519" s="270" t="str">
        <f>HYPERLINK("[#]UnitsOfMeasure!D149:G149","Tonne per Annum (tropical year)")</f>
        <v>Tonne per Annum (tropical year)</v>
      </c>
      <c r="M519" s="272"/>
      <c r="N519" s="273"/>
      <c r="O519" s="269"/>
      <c r="P519" s="37">
        <v>118081</v>
      </c>
      <c r="Q519" s="36" t="str">
        <f>CONCATENATE(Cover!$D$6,"fdd/view?i=",P519)</f>
        <v>https://www.dgiwg.org/FAD/fdd/view?i=118081</v>
      </c>
      <c r="R519" s="13" t="s">
        <v>8490</v>
      </c>
      <c r="S519" s="172"/>
      <c r="T519" s="172"/>
      <c r="BP519" s="82" t="s">
        <v>1790</v>
      </c>
      <c r="CQ519" s="165" t="s">
        <v>1790</v>
      </c>
    </row>
    <row r="520" spans="1:105" ht="25.5" x14ac:dyDescent="0.2">
      <c r="A520" s="176" t="str">
        <f t="shared" si="12"/>
        <v>estimatedRemainingReserve</v>
      </c>
      <c r="B520" s="11" t="s">
        <v>8495</v>
      </c>
      <c r="C520" s="173"/>
      <c r="D520" s="22" t="s">
        <v>8496</v>
      </c>
      <c r="E520" s="15" t="s">
        <v>8497</v>
      </c>
      <c r="F520" s="15" t="s">
        <v>8498</v>
      </c>
      <c r="G520" s="174"/>
      <c r="H520" s="17" t="s">
        <v>5932</v>
      </c>
      <c r="I520" s="269"/>
      <c r="J520" s="369" t="str">
        <f>HYPERLINK("[#]Datatypes!B1233:L1233","RealInterval")</f>
        <v>RealInterval</v>
      </c>
      <c r="K520" s="271" t="str">
        <f>HYPERLINK("[#]PhysicalQuantities!A28:N28","Mass")</f>
        <v>Mass</v>
      </c>
      <c r="L520" s="270" t="str">
        <f>HYPERLINK("[#]UnitsOfMeasure!D126:G126","Tonne")</f>
        <v>Tonne</v>
      </c>
      <c r="M520" s="272"/>
      <c r="N520" s="273"/>
      <c r="O520" s="269"/>
      <c r="P520" s="37">
        <v>118080</v>
      </c>
      <c r="Q520" s="36" t="str">
        <f>CONCATENATE(Cover!$D$6,"fdd/view?i=",P520)</f>
        <v>https://www.dgiwg.org/FAD/fdd/view?i=118080</v>
      </c>
      <c r="R520" s="13" t="s">
        <v>8494</v>
      </c>
      <c r="S520" s="172"/>
      <c r="T520" s="172"/>
      <c r="BP520" s="82" t="s">
        <v>1790</v>
      </c>
      <c r="CQ520" s="165" t="s">
        <v>1790</v>
      </c>
    </row>
    <row r="521" spans="1:105" x14ac:dyDescent="0.2">
      <c r="A521" s="176" t="str">
        <f t="shared" si="12"/>
        <v>ethnicGroupHierarchy</v>
      </c>
      <c r="B521" s="11" t="s">
        <v>8500</v>
      </c>
      <c r="C521" s="173"/>
      <c r="D521" s="22" t="s">
        <v>8501</v>
      </c>
      <c r="E521" s="15" t="s">
        <v>8502</v>
      </c>
      <c r="F521" s="174"/>
      <c r="G521" s="174"/>
      <c r="H521" s="17" t="s">
        <v>5932</v>
      </c>
      <c r="I521" s="269"/>
      <c r="J521" s="369" t="str">
        <f>HYPERLINK("[#]Datatypes!B524:L524","EtcCode")</f>
        <v>EtcCode</v>
      </c>
      <c r="K521" s="276"/>
      <c r="L521" s="272"/>
      <c r="M521" s="272"/>
      <c r="N521" s="248" t="str">
        <f>HYPERLINK("[#]DatatypeListedValues!A3483:H3483","&lt;values&gt;")</f>
        <v>&lt;values&gt;</v>
      </c>
      <c r="O521" s="277" t="b">
        <v>0</v>
      </c>
      <c r="P521" s="37">
        <v>111540</v>
      </c>
      <c r="Q521" s="36" t="str">
        <f>CONCATENATE(Cover!$D$6,"fdd/view?i=",P521)</f>
        <v>https://www.dgiwg.org/FAD/fdd/view?i=111540</v>
      </c>
      <c r="R521" s="13" t="s">
        <v>8499</v>
      </c>
      <c r="S521" s="172"/>
      <c r="T521" s="172"/>
      <c r="AO521" s="89" t="s">
        <v>1790</v>
      </c>
      <c r="CV521" s="83" t="s">
        <v>1790</v>
      </c>
    </row>
    <row r="522" spans="1:105" ht="51" x14ac:dyDescent="0.2">
      <c r="A522" s="176" t="str">
        <f t="shared" si="12"/>
        <v>evacuationRouteUse</v>
      </c>
      <c r="B522" s="11" t="s">
        <v>8505</v>
      </c>
      <c r="C522" s="173"/>
      <c r="D522" s="22" t="s">
        <v>8506</v>
      </c>
      <c r="E522" s="15" t="s">
        <v>8507</v>
      </c>
      <c r="F522" s="15" t="s">
        <v>8508</v>
      </c>
      <c r="G522" s="174"/>
      <c r="H522" s="17" t="s">
        <v>5932</v>
      </c>
      <c r="I522" s="17" t="s">
        <v>6029</v>
      </c>
      <c r="J522" s="369" t="str">
        <f>HYPERLINK("[#]Datatypes!B526:L526","EruCode")</f>
        <v>EruCode</v>
      </c>
      <c r="K522" s="276"/>
      <c r="L522" s="272"/>
      <c r="M522" s="272"/>
      <c r="N522" s="248" t="str">
        <f>HYPERLINK("[#]DatatypeListedValues!A3492:H3492","&lt;values&gt;")</f>
        <v>&lt;values&gt;</v>
      </c>
      <c r="O522" s="277" t="b">
        <v>0</v>
      </c>
      <c r="P522" s="37">
        <v>119142</v>
      </c>
      <c r="Q522" s="36" t="str">
        <f>CONCATENATE(Cover!$D$6,"fdd/view?i=",P522)</f>
        <v>https://www.dgiwg.org/FAD/fdd/view?i=119142</v>
      </c>
      <c r="R522" s="13" t="s">
        <v>8504</v>
      </c>
      <c r="S522" s="172"/>
      <c r="T522" s="172"/>
      <c r="AM522" s="83" t="s">
        <v>1790</v>
      </c>
    </row>
    <row r="523" spans="1:105" ht="51" x14ac:dyDescent="0.2">
      <c r="A523" s="176" t="str">
        <f t="shared" si="12"/>
        <v>eventDateTime</v>
      </c>
      <c r="B523" s="11" t="s">
        <v>8511</v>
      </c>
      <c r="C523" s="173"/>
      <c r="D523" s="22" t="s">
        <v>8512</v>
      </c>
      <c r="E523" s="15" t="s">
        <v>8513</v>
      </c>
      <c r="F523" s="15" t="s">
        <v>8514</v>
      </c>
      <c r="G523" s="174"/>
      <c r="H523" s="17" t="s">
        <v>5932</v>
      </c>
      <c r="I523" s="269"/>
      <c r="J523" s="369" t="str">
        <f>HYPERLINK("[#]Datatypes!B528:L528","CdvStrucText")</f>
        <v>CdvStrucText</v>
      </c>
      <c r="K523" s="276"/>
      <c r="L523" s="272"/>
      <c r="M523" s="272"/>
      <c r="N523" s="273"/>
      <c r="O523" s="269"/>
      <c r="P523" s="37">
        <v>100734</v>
      </c>
      <c r="Q523" s="36" t="str">
        <f>CONCATENATE(Cover!$D$6,"fdd/view?i=",P523)</f>
        <v>https://www.dgiwg.org/FAD/fdd/view?i=100734</v>
      </c>
      <c r="R523" s="13" t="s">
        <v>8510</v>
      </c>
      <c r="S523" s="172"/>
      <c r="T523" s="172"/>
      <c r="CY523" s="165" t="s">
        <v>1790</v>
      </c>
    </row>
    <row r="524" spans="1:105" x14ac:dyDescent="0.2">
      <c r="A524" s="176" t="str">
        <f t="shared" si="12"/>
        <v>eventLocalTime</v>
      </c>
      <c r="B524" s="11" t="s">
        <v>8517</v>
      </c>
      <c r="C524" s="173"/>
      <c r="D524" s="22" t="s">
        <v>8518</v>
      </c>
      <c r="E524" s="15" t="s">
        <v>8519</v>
      </c>
      <c r="F524" s="174"/>
      <c r="G524" s="174"/>
      <c r="H524" s="17" t="s">
        <v>5932</v>
      </c>
      <c r="I524" s="269"/>
      <c r="J524" s="369" t="str">
        <f>HYPERLINK("[#]Datatypes!B530:L530","CtiStrucText")</f>
        <v>CtiStrucText</v>
      </c>
      <c r="K524" s="276"/>
      <c r="L524" s="272"/>
      <c r="M524" s="272"/>
      <c r="N524" s="273"/>
      <c r="O524" s="269"/>
      <c r="P524" s="37">
        <v>111504</v>
      </c>
      <c r="Q524" s="36" t="str">
        <f>CONCATENATE(Cover!$D$6,"fdd/view?i=",P524)</f>
        <v>https://www.dgiwg.org/FAD/fdd/view?i=111504</v>
      </c>
      <c r="R524" s="13" t="s">
        <v>8516</v>
      </c>
      <c r="S524" s="172"/>
      <c r="T524" s="172"/>
      <c r="CR524" s="165" t="s">
        <v>1790</v>
      </c>
    </row>
    <row r="525" spans="1:105" ht="25.5" x14ac:dyDescent="0.2">
      <c r="A525" s="176" t="str">
        <f t="shared" si="12"/>
        <v>eventType</v>
      </c>
      <c r="B525" s="11" t="s">
        <v>8522</v>
      </c>
      <c r="C525" s="173"/>
      <c r="D525" s="22" t="s">
        <v>8523</v>
      </c>
      <c r="E525" s="15" t="s">
        <v>8524</v>
      </c>
      <c r="F525" s="15" t="s">
        <v>8525</v>
      </c>
      <c r="G525" s="174"/>
      <c r="H525" s="17" t="s">
        <v>5932</v>
      </c>
      <c r="I525" s="269"/>
      <c r="J525" s="369" t="str">
        <f>HYPERLINK("[#]Datatypes!B532:L532","CdpCode")</f>
        <v>CdpCode</v>
      </c>
      <c r="K525" s="276"/>
      <c r="L525" s="272"/>
      <c r="M525" s="272"/>
      <c r="N525" s="248" t="str">
        <f>HYPERLINK("[#]DatatypeListedValues!A3496:H3496","&lt;values&gt;")</f>
        <v>&lt;values&gt;</v>
      </c>
      <c r="O525" s="277" t="b">
        <v>0</v>
      </c>
      <c r="P525" s="37">
        <v>100733</v>
      </c>
      <c r="Q525" s="36" t="str">
        <f>CONCATENATE(Cover!$D$6,"fdd/view?i=",P525)</f>
        <v>https://www.dgiwg.org/FAD/fdd/view?i=100733</v>
      </c>
      <c r="R525" s="13" t="s">
        <v>8521</v>
      </c>
      <c r="S525" s="172"/>
      <c r="T525" s="172"/>
      <c r="CY525" s="165" t="s">
        <v>1790</v>
      </c>
      <c r="DA525" s="165" t="s">
        <v>1790</v>
      </c>
    </row>
    <row r="526" spans="1:105" ht="25.5" x14ac:dyDescent="0.2">
      <c r="A526" s="176" t="str">
        <f t="shared" si="12"/>
        <v>exactPosition</v>
      </c>
      <c r="B526" s="11" t="s">
        <v>8528</v>
      </c>
      <c r="C526" s="173"/>
      <c r="D526" s="22" t="s">
        <v>8529</v>
      </c>
      <c r="E526" s="15" t="s">
        <v>8530</v>
      </c>
      <c r="F526" s="174"/>
      <c r="G526" s="174"/>
      <c r="H526" s="17" t="s">
        <v>5932</v>
      </c>
      <c r="I526" s="269"/>
      <c r="J526" s="369" t="str">
        <f>HYPERLINK("[#]Datatypes!B240:L240","Boolean")</f>
        <v>Boolean</v>
      </c>
      <c r="K526" s="276"/>
      <c r="L526" s="272"/>
      <c r="M526" s="272"/>
      <c r="N526" s="273"/>
      <c r="O526" s="269"/>
      <c r="P526" s="37">
        <v>100866</v>
      </c>
      <c r="Q526" s="36" t="str">
        <f>CONCATENATE(Cover!$D$6,"fdd/view?i=",P526)</f>
        <v>https://www.dgiwg.org/FAD/fdd/view?i=100866</v>
      </c>
      <c r="R526" s="13" t="s">
        <v>8527</v>
      </c>
      <c r="S526" s="172"/>
      <c r="T526" s="172"/>
      <c r="AS526" s="82" t="s">
        <v>1790</v>
      </c>
      <c r="BF526" s="83" t="s">
        <v>1790</v>
      </c>
      <c r="CP526" s="164" t="s">
        <v>1790</v>
      </c>
    </row>
    <row r="527" spans="1:105" ht="38.25" x14ac:dyDescent="0.2">
      <c r="A527" s="176" t="str">
        <f t="shared" si="12"/>
        <v>exchangeRate</v>
      </c>
      <c r="B527" s="11" t="s">
        <v>8532</v>
      </c>
      <c r="C527" s="173"/>
      <c r="D527" s="22" t="s">
        <v>8533</v>
      </c>
      <c r="E527" s="15" t="s">
        <v>8534</v>
      </c>
      <c r="F527" s="174"/>
      <c r="G527" s="174"/>
      <c r="H527" s="17" t="s">
        <v>5932</v>
      </c>
      <c r="I527" s="269"/>
      <c r="J527" s="369" t="str">
        <f>HYPERLINK("[#]Datatypes!B1231:L1231","Real")</f>
        <v>Real</v>
      </c>
      <c r="K527" s="271" t="str">
        <f>HYPERLINK("[#]PhysicalQuantities!A39:N39","Pure Number")</f>
        <v>Pure Number</v>
      </c>
      <c r="L527" s="270" t="str">
        <f>HYPERLINK("[#]UnitsOfMeasure!D213:G213","Unitless")</f>
        <v>Unitless</v>
      </c>
      <c r="M527" s="272"/>
      <c r="N527" s="273"/>
      <c r="O527" s="269"/>
      <c r="P527" s="37">
        <v>118577</v>
      </c>
      <c r="Q527" s="36" t="str">
        <f>CONCATENATE(Cover!$D$6,"fdd/view?i=",P527)</f>
        <v>https://www.dgiwg.org/FAD/fdd/view?i=118577</v>
      </c>
      <c r="R527" s="13" t="s">
        <v>8531</v>
      </c>
      <c r="S527" s="172"/>
      <c r="T527" s="172"/>
      <c r="AK527" s="83" t="s">
        <v>1790</v>
      </c>
      <c r="AM527" s="83" t="s">
        <v>1790</v>
      </c>
      <c r="CQ527" s="165" t="s">
        <v>1790</v>
      </c>
    </row>
    <row r="528" spans="1:105" ht="25.5" x14ac:dyDescent="0.2">
      <c r="A528" s="176" t="str">
        <f t="shared" si="12"/>
        <v>existenceCertaintyCat</v>
      </c>
      <c r="B528" s="11" t="s">
        <v>8536</v>
      </c>
      <c r="C528" s="173"/>
      <c r="D528" s="22" t="s">
        <v>8537</v>
      </c>
      <c r="E528" s="15" t="s">
        <v>8538</v>
      </c>
      <c r="F528" s="174"/>
      <c r="G528" s="174"/>
      <c r="H528" s="17" t="s">
        <v>5932</v>
      </c>
      <c r="I528" s="269"/>
      <c r="J528" s="369" t="str">
        <f>HYPERLINK("[#]Datatypes!B534:L534","CoeCode")</f>
        <v>CoeCode</v>
      </c>
      <c r="K528" s="276"/>
      <c r="L528" s="272"/>
      <c r="M528" s="272"/>
      <c r="N528" s="248" t="str">
        <f>HYPERLINK("[#]DatatypeListedValues!A3527:H3527","&lt;values&gt;")</f>
        <v>&lt;values&gt;</v>
      </c>
      <c r="O528" s="277" t="b">
        <v>0</v>
      </c>
      <c r="P528" s="37">
        <v>100753</v>
      </c>
      <c r="Q528" s="36" t="str">
        <f>CONCATENATE(Cover!$D$6,"fdd/view?i=",P528)</f>
        <v>https://www.dgiwg.org/FAD/fdd/view?i=100753</v>
      </c>
      <c r="R528" s="13" t="s">
        <v>8535</v>
      </c>
      <c r="S528" s="172"/>
      <c r="T528" s="172"/>
      <c r="CZ528" s="165" t="s">
        <v>1790</v>
      </c>
    </row>
    <row r="529" spans="1:105" ht="25.5" x14ac:dyDescent="0.2">
      <c r="A529" s="176" t="str">
        <f t="shared" si="12"/>
        <v>exitDescription</v>
      </c>
      <c r="B529" s="11" t="s">
        <v>8541</v>
      </c>
      <c r="C529" s="173"/>
      <c r="D529" s="22" t="s">
        <v>8542</v>
      </c>
      <c r="E529" s="15" t="s">
        <v>8543</v>
      </c>
      <c r="F529" s="174"/>
      <c r="G529" s="174"/>
      <c r="H529" s="17" t="s">
        <v>5932</v>
      </c>
      <c r="I529" s="269"/>
      <c r="J529" s="369" t="str">
        <f>HYPERLINK("[#]Datatypes!B1528:L1528","Text")</f>
        <v>Text</v>
      </c>
      <c r="K529" s="276"/>
      <c r="L529" s="272"/>
      <c r="M529" s="272"/>
      <c r="N529" s="273"/>
      <c r="O529" s="269"/>
      <c r="P529" s="37">
        <v>114478</v>
      </c>
      <c r="Q529" s="36" t="str">
        <f>CONCATENATE(Cover!$D$6,"fdd/view?i=",P529)</f>
        <v>https://www.dgiwg.org/FAD/fdd/view?i=114478</v>
      </c>
      <c r="R529" s="13" t="s">
        <v>8540</v>
      </c>
      <c r="S529" s="172"/>
      <c r="T529" s="172"/>
      <c r="CS529" s="165" t="s">
        <v>1790</v>
      </c>
    </row>
    <row r="530" spans="1:105" ht="25.5" x14ac:dyDescent="0.2">
      <c r="A530" s="176" t="str">
        <f t="shared" si="12"/>
        <v>exploited</v>
      </c>
      <c r="B530" s="11" t="s">
        <v>8545</v>
      </c>
      <c r="C530" s="173"/>
      <c r="D530" s="22" t="s">
        <v>8546</v>
      </c>
      <c r="E530" s="15" t="s">
        <v>8547</v>
      </c>
      <c r="F530" s="15" t="s">
        <v>8548</v>
      </c>
      <c r="G530" s="174"/>
      <c r="H530" s="17" t="s">
        <v>5932</v>
      </c>
      <c r="I530" s="269"/>
      <c r="J530" s="369" t="str">
        <f>HYPERLINK("[#]Datatypes!B240:L240","Boolean")</f>
        <v>Boolean</v>
      </c>
      <c r="K530" s="276"/>
      <c r="L530" s="272"/>
      <c r="M530" s="272"/>
      <c r="N530" s="273"/>
      <c r="O530" s="269"/>
      <c r="P530" s="37">
        <v>118082</v>
      </c>
      <c r="Q530" s="36" t="str">
        <f>CONCATENATE(Cover!$D$6,"fdd/view?i=",P530)</f>
        <v>https://www.dgiwg.org/FAD/fdd/view?i=118082</v>
      </c>
      <c r="R530" s="13" t="s">
        <v>8544</v>
      </c>
      <c r="S530" s="172"/>
      <c r="T530" s="172"/>
      <c r="BP530" s="82" t="s">
        <v>1790</v>
      </c>
      <c r="CS530" s="165" t="s">
        <v>1790</v>
      </c>
    </row>
    <row r="531" spans="1:105" x14ac:dyDescent="0.2">
      <c r="A531" s="176" t="str">
        <f t="shared" si="12"/>
        <v>extractedRunwayHighId</v>
      </c>
      <c r="B531" s="11" t="s">
        <v>8550</v>
      </c>
      <c r="C531" s="173"/>
      <c r="D531" s="22" t="s">
        <v>8551</v>
      </c>
      <c r="E531" s="15" t="s">
        <v>8552</v>
      </c>
      <c r="F531" s="174"/>
      <c r="G531" s="174"/>
      <c r="H531" s="17" t="s">
        <v>5932</v>
      </c>
      <c r="I531" s="269"/>
      <c r="J531" s="369" t="str">
        <f>HYPERLINK("[#]Datatypes!B790:L790","KeyNonLex4")</f>
        <v>KeyNonLex4</v>
      </c>
      <c r="K531" s="276"/>
      <c r="L531" s="272"/>
      <c r="M531" s="272"/>
      <c r="N531" s="273"/>
      <c r="O531" s="269"/>
      <c r="P531" s="37">
        <v>100856</v>
      </c>
      <c r="Q531" s="36" t="str">
        <f>CONCATENATE(Cover!$D$6,"fdd/view?i=",P531)</f>
        <v>https://www.dgiwg.org/FAD/fdd/view?i=100856</v>
      </c>
      <c r="R531" s="13" t="s">
        <v>8549</v>
      </c>
      <c r="S531" s="172"/>
      <c r="T531" s="172"/>
      <c r="AT531" s="82" t="s">
        <v>1790</v>
      </c>
      <c r="CE531" s="87" t="s">
        <v>1790</v>
      </c>
      <c r="CV531" s="83" t="s">
        <v>1790</v>
      </c>
    </row>
    <row r="532" spans="1:105" x14ac:dyDescent="0.2">
      <c r="A532" s="176" t="str">
        <f t="shared" si="12"/>
        <v>extractedRunwayLowId</v>
      </c>
      <c r="B532" s="11" t="s">
        <v>8555</v>
      </c>
      <c r="C532" s="173"/>
      <c r="D532" s="22" t="s">
        <v>8556</v>
      </c>
      <c r="E532" s="15" t="s">
        <v>8557</v>
      </c>
      <c r="F532" s="174"/>
      <c r="G532" s="174"/>
      <c r="H532" s="17" t="s">
        <v>5932</v>
      </c>
      <c r="I532" s="269"/>
      <c r="J532" s="369" t="str">
        <f>HYPERLINK("[#]Datatypes!B790:L790","KeyNonLex4")</f>
        <v>KeyNonLex4</v>
      </c>
      <c r="K532" s="276"/>
      <c r="L532" s="272"/>
      <c r="M532" s="272"/>
      <c r="N532" s="273"/>
      <c r="O532" s="269"/>
      <c r="P532" s="37">
        <v>100860</v>
      </c>
      <c r="Q532" s="36" t="str">
        <f>CONCATENATE(Cover!$D$6,"fdd/view?i=",P532)</f>
        <v>https://www.dgiwg.org/FAD/fdd/view?i=100860</v>
      </c>
      <c r="R532" s="13" t="s">
        <v>8554</v>
      </c>
      <c r="S532" s="172"/>
      <c r="T532" s="172"/>
      <c r="AT532" s="82" t="s">
        <v>1790</v>
      </c>
      <c r="CE532" s="87" t="s">
        <v>1790</v>
      </c>
      <c r="CV532" s="83" t="s">
        <v>1790</v>
      </c>
    </row>
    <row r="533" spans="1:105" x14ac:dyDescent="0.2">
      <c r="A533" s="176" t="str">
        <f t="shared" si="12"/>
        <v>extractionMineType</v>
      </c>
      <c r="B533" s="11" t="s">
        <v>8559</v>
      </c>
      <c r="C533" s="173"/>
      <c r="D533" s="22" t="s">
        <v>8560</v>
      </c>
      <c r="E533" s="15" t="s">
        <v>8561</v>
      </c>
      <c r="F533" s="174"/>
      <c r="G533" s="174"/>
      <c r="H533" s="17" t="s">
        <v>5932</v>
      </c>
      <c r="I533" s="269"/>
      <c r="J533" s="369" t="str">
        <f>HYPERLINK("[#]Datatypes!B538:L538","MznCode")</f>
        <v>MznCode</v>
      </c>
      <c r="K533" s="276"/>
      <c r="L533" s="272"/>
      <c r="M533" s="272"/>
      <c r="N533" s="248" t="str">
        <f>HYPERLINK("[#]DatatypeListedValues!A3534:H3534","&lt;values&gt;")</f>
        <v>&lt;values&gt;</v>
      </c>
      <c r="O533" s="277" t="b">
        <v>0</v>
      </c>
      <c r="P533" s="37">
        <v>118923</v>
      </c>
      <c r="Q533" s="36" t="str">
        <f>CONCATENATE(Cover!$D$6,"fdd/view?i=",P533)</f>
        <v>https://www.dgiwg.org/FAD/fdd/view?i=118923</v>
      </c>
      <c r="R533" s="13" t="s">
        <v>8558</v>
      </c>
      <c r="S533" s="172"/>
      <c r="T533" s="172"/>
      <c r="AA533" s="81" t="s">
        <v>1790</v>
      </c>
      <c r="CT533" s="166" t="s">
        <v>1790</v>
      </c>
    </row>
    <row r="534" spans="1:105" ht="25.5" x14ac:dyDescent="0.2">
      <c r="A534" s="176" t="str">
        <f t="shared" si="12"/>
        <v>extractionSpec</v>
      </c>
      <c r="B534" s="11" t="s">
        <v>8564</v>
      </c>
      <c r="C534" s="173"/>
      <c r="D534" s="22" t="s">
        <v>8565</v>
      </c>
      <c r="E534" s="15" t="s">
        <v>8566</v>
      </c>
      <c r="F534" s="174"/>
      <c r="G534" s="174"/>
      <c r="H534" s="17" t="s">
        <v>5932</v>
      </c>
      <c r="I534" s="269"/>
      <c r="J534" s="369" t="str">
        <f>HYPERLINK("[#]Datatypes!B540:L540","EtsCode")</f>
        <v>EtsCode</v>
      </c>
      <c r="K534" s="276"/>
      <c r="L534" s="272"/>
      <c r="M534" s="272"/>
      <c r="N534" s="248" t="str">
        <f>HYPERLINK("[#]DatatypeListedValues!A3543:H3543","&lt;values&gt;")</f>
        <v>&lt;values&gt;</v>
      </c>
      <c r="O534" s="277" t="b">
        <v>0</v>
      </c>
      <c r="P534" s="37">
        <v>114218</v>
      </c>
      <c r="Q534" s="36" t="str">
        <f>CONCATENATE(Cover!$D$6,"fdd/view?i=",P534)</f>
        <v>https://www.dgiwg.org/FAD/fdd/view?i=114218</v>
      </c>
      <c r="R534" s="13" t="s">
        <v>8563</v>
      </c>
      <c r="S534" s="172"/>
      <c r="T534" s="172"/>
      <c r="CU534" s="87" t="s">
        <v>1790</v>
      </c>
      <c r="DA534" s="165" t="s">
        <v>1790</v>
      </c>
    </row>
    <row r="535" spans="1:105" ht="25.5" x14ac:dyDescent="0.2">
      <c r="A535" s="176" t="str">
        <f t="shared" si="12"/>
        <v>extractionSpecVersion</v>
      </c>
      <c r="B535" s="11" t="s">
        <v>8569</v>
      </c>
      <c r="C535" s="173"/>
      <c r="D535" s="22" t="s">
        <v>8570</v>
      </c>
      <c r="E535" s="15" t="s">
        <v>8571</v>
      </c>
      <c r="F535" s="174"/>
      <c r="G535" s="174"/>
      <c r="H535" s="17" t="s">
        <v>5932</v>
      </c>
      <c r="I535" s="269"/>
      <c r="J535" s="369" t="str">
        <f>HYPERLINK("[#]Datatypes!B1536:L1536","TextLex24")</f>
        <v>TextLex24</v>
      </c>
      <c r="K535" s="276"/>
      <c r="L535" s="272"/>
      <c r="M535" s="272"/>
      <c r="N535" s="273"/>
      <c r="O535" s="269"/>
      <c r="P535" s="37">
        <v>117779</v>
      </c>
      <c r="Q535" s="36" t="str">
        <f>CONCATENATE(Cover!$D$6,"fdd/view?i=",P535)</f>
        <v>https://www.dgiwg.org/FAD/fdd/view?i=117779</v>
      </c>
      <c r="R535" s="13" t="s">
        <v>8568</v>
      </c>
      <c r="S535" s="172"/>
      <c r="T535" s="172"/>
      <c r="CV535" s="83" t="s">
        <v>1790</v>
      </c>
    </row>
    <row r="536" spans="1:105" ht="25.5" x14ac:dyDescent="0.2">
      <c r="A536" s="176" t="str">
        <f t="shared" si="12"/>
        <v>extractionTimestamp</v>
      </c>
      <c r="B536" s="11" t="s">
        <v>8574</v>
      </c>
      <c r="C536" s="173"/>
      <c r="D536" s="22" t="s">
        <v>8575</v>
      </c>
      <c r="E536" s="15" t="s">
        <v>8576</v>
      </c>
      <c r="F536" s="174"/>
      <c r="G536" s="174"/>
      <c r="H536" s="17" t="s">
        <v>5932</v>
      </c>
      <c r="I536" s="269"/>
      <c r="J536" s="369" t="str">
        <f>HYPERLINK("[#]Datatypes!B542:L542","TmsStrucText")</f>
        <v>TmsStrucText</v>
      </c>
      <c r="K536" s="276"/>
      <c r="L536" s="272"/>
      <c r="M536" s="272"/>
      <c r="N536" s="273"/>
      <c r="O536" s="269"/>
      <c r="P536" s="37">
        <v>101374</v>
      </c>
      <c r="Q536" s="36" t="str">
        <f>CONCATENATE(Cover!$D$6,"fdd/view?i=",P536)</f>
        <v>https://www.dgiwg.org/FAD/fdd/view?i=101374</v>
      </c>
      <c r="R536" s="13" t="s">
        <v>8573</v>
      </c>
      <c r="S536" s="172"/>
      <c r="T536" s="172"/>
      <c r="CY536" s="165" t="s">
        <v>1790</v>
      </c>
    </row>
    <row r="537" spans="1:105" x14ac:dyDescent="0.2">
      <c r="A537" s="176" t="str">
        <f t="shared" si="12"/>
        <v>fabricationFacilityType</v>
      </c>
      <c r="B537" s="11" t="s">
        <v>8579</v>
      </c>
      <c r="C537" s="173"/>
      <c r="D537" s="22" t="s">
        <v>8580</v>
      </c>
      <c r="E537" s="15" t="s">
        <v>8581</v>
      </c>
      <c r="F537" s="174"/>
      <c r="G537" s="174"/>
      <c r="H537" s="17" t="s">
        <v>5932</v>
      </c>
      <c r="I537" s="269"/>
      <c r="J537" s="369" t="str">
        <f>HYPERLINK("[#]Datatypes!B544:L544","FtpCode")</f>
        <v>FtpCode</v>
      </c>
      <c r="K537" s="276"/>
      <c r="L537" s="272"/>
      <c r="M537" s="272"/>
      <c r="N537" s="248" t="str">
        <f>HYPERLINK("[#]DatatypeListedValues!A3594:H3594","&lt;values&gt;")</f>
        <v>&lt;values&gt;</v>
      </c>
      <c r="O537" s="277" t="b">
        <v>0</v>
      </c>
      <c r="P537" s="37">
        <v>100902</v>
      </c>
      <c r="Q537" s="36" t="str">
        <f>CONCATENATE(Cover!$D$6,"fdd/view?i=",P537)</f>
        <v>https://www.dgiwg.org/FAD/fdd/view?i=100902</v>
      </c>
      <c r="R537" s="13" t="s">
        <v>8578</v>
      </c>
      <c r="S537" s="172"/>
      <c r="T537" s="172"/>
      <c r="AB537" s="82" t="s">
        <v>1790</v>
      </c>
      <c r="CT537" s="166" t="s">
        <v>1790</v>
      </c>
    </row>
    <row r="538" spans="1:105" ht="25.5" x14ac:dyDescent="0.2">
      <c r="A538" s="176" t="str">
        <f t="shared" si="12"/>
        <v>facilityOperationalStatus</v>
      </c>
      <c r="B538" s="11" t="s">
        <v>8584</v>
      </c>
      <c r="C538" s="173"/>
      <c r="D538" s="22" t="s">
        <v>8585</v>
      </c>
      <c r="E538" s="15" t="s">
        <v>8586</v>
      </c>
      <c r="F538" s="15" t="s">
        <v>8587</v>
      </c>
      <c r="G538" s="174"/>
      <c r="H538" s="17" t="s">
        <v>5932</v>
      </c>
      <c r="I538" s="269"/>
      <c r="J538" s="369" t="str">
        <f>HYPERLINK("[#]Datatypes!B546:L546","CosCode")</f>
        <v>CosCode</v>
      </c>
      <c r="K538" s="276"/>
      <c r="L538" s="272"/>
      <c r="M538" s="272"/>
      <c r="N538" s="248" t="str">
        <f>HYPERLINK("[#]DatatypeListedValues!A3596:H3596","&lt;values&gt;")</f>
        <v>&lt;values&gt;</v>
      </c>
      <c r="O538" s="277" t="b">
        <v>0</v>
      </c>
      <c r="P538" s="37">
        <v>100757</v>
      </c>
      <c r="Q538" s="36" t="str">
        <f>CONCATENATE(Cover!$D$6,"fdd/view?i=",P538)</f>
        <v>https://www.dgiwg.org/FAD/fdd/view?i=100757</v>
      </c>
      <c r="R538" s="13" t="s">
        <v>8583</v>
      </c>
      <c r="S538" s="172"/>
      <c r="T538" s="172"/>
      <c r="CT538" s="166" t="s">
        <v>1790</v>
      </c>
    </row>
    <row r="539" spans="1:105" ht="38.25" x14ac:dyDescent="0.2">
      <c r="A539" s="176" t="str">
        <f t="shared" si="12"/>
        <v>faoSoilGroup</v>
      </c>
      <c r="B539" s="11" t="s">
        <v>8590</v>
      </c>
      <c r="C539" s="173"/>
      <c r="D539" s="22" t="s">
        <v>8591</v>
      </c>
      <c r="E539" s="15" t="s">
        <v>8592</v>
      </c>
      <c r="F539" s="15" t="s">
        <v>8593</v>
      </c>
      <c r="G539" s="174"/>
      <c r="H539" s="17" t="s">
        <v>5932</v>
      </c>
      <c r="I539" s="269"/>
      <c r="J539" s="369" t="str">
        <f>HYPERLINK("[#]Datatypes!B548:L548","FggCode")</f>
        <v>FggCode</v>
      </c>
      <c r="K539" s="276"/>
      <c r="L539" s="272"/>
      <c r="M539" s="272"/>
      <c r="N539" s="248" t="str">
        <f>HYPERLINK("[#]DatatypeListedValues!A3610:H3610","&lt;values&gt;")</f>
        <v>&lt;values&gt;</v>
      </c>
      <c r="O539" s="277" t="b">
        <v>0</v>
      </c>
      <c r="P539" s="37">
        <v>111552</v>
      </c>
      <c r="Q539" s="36" t="str">
        <f>CONCATENATE(Cover!$D$6,"fdd/view?i=",P539)</f>
        <v>https://www.dgiwg.org/FAD/fdd/view?i=111552</v>
      </c>
      <c r="R539" s="13" t="s">
        <v>8589</v>
      </c>
      <c r="S539" s="172"/>
      <c r="T539" s="172"/>
      <c r="BO539" s="82" t="s">
        <v>1790</v>
      </c>
      <c r="CS539" s="165" t="s">
        <v>1790</v>
      </c>
      <c r="CT539" s="166" t="s">
        <v>1790</v>
      </c>
    </row>
    <row r="540" spans="1:105" x14ac:dyDescent="0.2">
      <c r="A540" s="176" t="str">
        <f t="shared" si="12"/>
        <v>farmingMethod</v>
      </c>
      <c r="B540" s="11" t="s">
        <v>8596</v>
      </c>
      <c r="C540" s="173"/>
      <c r="D540" s="22" t="s">
        <v>8597</v>
      </c>
      <c r="E540" s="15" t="s">
        <v>8598</v>
      </c>
      <c r="F540" s="174"/>
      <c r="G540" s="174"/>
      <c r="H540" s="17" t="s">
        <v>5932</v>
      </c>
      <c r="I540" s="17" t="s">
        <v>6029</v>
      </c>
      <c r="J540" s="369" t="str">
        <f>HYPERLINK("[#]Datatypes!B550:L550","FmmCode")</f>
        <v>FmmCode</v>
      </c>
      <c r="K540" s="276"/>
      <c r="L540" s="272"/>
      <c r="M540" s="272"/>
      <c r="N540" s="248" t="str">
        <f>HYPERLINK("[#]DatatypeListedValues!A3642:H3642","&lt;values&gt;")</f>
        <v>&lt;values&gt;</v>
      </c>
      <c r="O540" s="277" t="b">
        <v>0</v>
      </c>
      <c r="P540" s="37">
        <v>100896</v>
      </c>
      <c r="Q540" s="36" t="str">
        <f>CONCATENATE(Cover!$D$6,"fdd/view?i=",P540)</f>
        <v>https://www.dgiwg.org/FAD/fdd/view?i=100896</v>
      </c>
      <c r="R540" s="13" t="s">
        <v>8595</v>
      </c>
      <c r="S540" s="172"/>
      <c r="T540" s="172"/>
      <c r="AC540" s="82" t="s">
        <v>1790</v>
      </c>
      <c r="BU540" s="87" t="s">
        <v>1790</v>
      </c>
      <c r="CP540" s="164" t="s">
        <v>1790</v>
      </c>
      <c r="CT540" s="166" t="s">
        <v>1790</v>
      </c>
    </row>
    <row r="541" spans="1:105" x14ac:dyDescent="0.2">
      <c r="A541" s="176" t="str">
        <f t="shared" si="12"/>
        <v>farmingPattern</v>
      </c>
      <c r="B541" s="11" t="s">
        <v>8601</v>
      </c>
      <c r="C541" s="173"/>
      <c r="D541" s="22" t="s">
        <v>8602</v>
      </c>
      <c r="E541" s="15" t="s">
        <v>8603</v>
      </c>
      <c r="F541" s="174"/>
      <c r="G541" s="174"/>
      <c r="H541" s="17" t="s">
        <v>5932</v>
      </c>
      <c r="I541" s="17" t="s">
        <v>6029</v>
      </c>
      <c r="J541" s="369" t="str">
        <f>HYPERLINK("[#]Datatypes!B552:L552","FfpCode")</f>
        <v>FfpCode</v>
      </c>
      <c r="K541" s="276"/>
      <c r="L541" s="272"/>
      <c r="M541" s="272"/>
      <c r="N541" s="248" t="str">
        <f>HYPERLINK("[#]DatatypeListedValues!A3646:H3646","&lt;values&gt;")</f>
        <v>&lt;values&gt;</v>
      </c>
      <c r="O541" s="277" t="b">
        <v>0</v>
      </c>
      <c r="P541" s="37">
        <v>100888</v>
      </c>
      <c r="Q541" s="36" t="str">
        <f>CONCATENATE(Cover!$D$6,"fdd/view?i=",P541)</f>
        <v>https://www.dgiwg.org/FAD/fdd/view?i=100888</v>
      </c>
      <c r="R541" s="13" t="s">
        <v>8600</v>
      </c>
      <c r="S541" s="172"/>
      <c r="T541" s="172"/>
      <c r="AC541" s="82" t="s">
        <v>1790</v>
      </c>
      <c r="BU541" s="87" t="s">
        <v>1790</v>
      </c>
      <c r="CS541" s="165" t="s">
        <v>1790</v>
      </c>
    </row>
    <row r="542" spans="1:105" x14ac:dyDescent="0.2">
      <c r="A542" s="176" t="str">
        <f t="shared" si="12"/>
        <v>featureConfiguration</v>
      </c>
      <c r="B542" s="11" t="s">
        <v>8606</v>
      </c>
      <c r="C542" s="173"/>
      <c r="D542" s="22" t="s">
        <v>8607</v>
      </c>
      <c r="E542" s="15" t="s">
        <v>8608</v>
      </c>
      <c r="F542" s="174"/>
      <c r="G542" s="174"/>
      <c r="H542" s="17" t="s">
        <v>5932</v>
      </c>
      <c r="I542" s="269"/>
      <c r="J542" s="369" t="str">
        <f>HYPERLINK("[#]Datatypes!B554:L554","FcoCode")</f>
        <v>FcoCode</v>
      </c>
      <c r="K542" s="276"/>
      <c r="L542" s="272"/>
      <c r="M542" s="272"/>
      <c r="N542" s="248" t="str">
        <f>HYPERLINK("[#]DatatypeListedValues!A3654:H3654","&lt;values&gt;")</f>
        <v>&lt;values&gt;</v>
      </c>
      <c r="O542" s="277" t="b">
        <v>0</v>
      </c>
      <c r="P542" s="37">
        <v>100878</v>
      </c>
      <c r="Q542" s="36" t="str">
        <f>CONCATENATE(Cover!$D$6,"fdd/view?i=",P542)</f>
        <v>https://www.dgiwg.org/FAD/fdd/view?i=100878</v>
      </c>
      <c r="R542" s="13" t="s">
        <v>8605</v>
      </c>
      <c r="S542" s="172"/>
      <c r="T542" s="172"/>
      <c r="CS542" s="165" t="s">
        <v>1790</v>
      </c>
      <c r="CW542" s="164" t="s">
        <v>1790</v>
      </c>
    </row>
    <row r="543" spans="1:105" ht="51" x14ac:dyDescent="0.2">
      <c r="A543" s="176" t="str">
        <f t="shared" si="12"/>
        <v>featureCount</v>
      </c>
      <c r="B543" s="11" t="s">
        <v>8611</v>
      </c>
      <c r="C543" s="173"/>
      <c r="D543" s="22" t="s">
        <v>8612</v>
      </c>
      <c r="E543" s="15" t="s">
        <v>8613</v>
      </c>
      <c r="F543" s="15" t="s">
        <v>8614</v>
      </c>
      <c r="G543" s="174"/>
      <c r="H543" s="17" t="s">
        <v>5932</v>
      </c>
      <c r="I543" s="269"/>
      <c r="J543" s="369" t="str">
        <f>HYPERLINK("[#]Datatypes!B380:L380","Count")</f>
        <v>Count</v>
      </c>
      <c r="K543" s="276"/>
      <c r="L543" s="272"/>
      <c r="M543" s="272"/>
      <c r="N543" s="273"/>
      <c r="O543" s="269"/>
      <c r="P543" s="37">
        <v>100822</v>
      </c>
      <c r="Q543" s="36" t="str">
        <f>CONCATENATE(Cover!$D$6,"fdd/view?i=",P543)</f>
        <v>https://www.dgiwg.org/FAD/fdd/view?i=100822</v>
      </c>
      <c r="R543" s="13" t="s">
        <v>8610</v>
      </c>
      <c r="S543" s="172"/>
      <c r="T543" s="172"/>
      <c r="CW543" s="164" t="s">
        <v>1790</v>
      </c>
    </row>
    <row r="544" spans="1:105" ht="25.5" x14ac:dyDescent="0.2">
      <c r="A544" s="176" t="str">
        <f t="shared" si="12"/>
        <v>featureElementOrientation</v>
      </c>
      <c r="B544" s="11" t="s">
        <v>8616</v>
      </c>
      <c r="C544" s="173"/>
      <c r="D544" s="22" t="s">
        <v>8617</v>
      </c>
      <c r="E544" s="15" t="s">
        <v>8618</v>
      </c>
      <c r="F544" s="174"/>
      <c r="G544" s="174"/>
      <c r="H544" s="17" t="s">
        <v>5932</v>
      </c>
      <c r="I544" s="269"/>
      <c r="J544" s="369" t="str">
        <f>HYPERLINK("[#]Datatypes!B1243:L1243","RealNonNegInterval360")</f>
        <v>RealNonNegInterval360</v>
      </c>
      <c r="K544" s="271" t="str">
        <f>HYPERLINK("[#]PhysicalQuantities!A34:N34","Plane Angle")</f>
        <v>Plane Angle</v>
      </c>
      <c r="L544" s="270" t="str">
        <f>HYPERLINK("[#]UnitsOfMeasure!D159:G159","Arc Degree")</f>
        <v>Arc Degree</v>
      </c>
      <c r="M544" s="272"/>
      <c r="N544" s="273"/>
      <c r="O544" s="269"/>
      <c r="P544" s="37">
        <v>110703</v>
      </c>
      <c r="Q544" s="36" t="str">
        <f>CONCATENATE(Cover!$D$6,"fdd/view?i=",P544)</f>
        <v>https://www.dgiwg.org/FAD/fdd/view?i=110703</v>
      </c>
      <c r="R544" s="13" t="s">
        <v>8615</v>
      </c>
      <c r="S544" s="172"/>
      <c r="T544" s="172"/>
      <c r="CP544" s="164" t="s">
        <v>1790</v>
      </c>
    </row>
    <row r="545" spans="1:100" x14ac:dyDescent="0.2">
      <c r="A545" s="176" t="str">
        <f t="shared" si="12"/>
        <v>featureFunction</v>
      </c>
      <c r="B545" s="11" t="s">
        <v>8620</v>
      </c>
      <c r="C545" s="173"/>
      <c r="D545" s="22" t="s">
        <v>8621</v>
      </c>
      <c r="E545" s="15" t="s">
        <v>8622</v>
      </c>
      <c r="F545" s="174"/>
      <c r="G545" s="174"/>
      <c r="H545" s="17" t="s">
        <v>5932</v>
      </c>
      <c r="I545" s="17" t="s">
        <v>6029</v>
      </c>
      <c r="J545" s="369" t="str">
        <f>HYPERLINK("[#]Datatypes!B556:L556","FfnCode")</f>
        <v>FfnCode</v>
      </c>
      <c r="K545" s="276"/>
      <c r="L545" s="272"/>
      <c r="M545" s="272"/>
      <c r="N545" s="248" t="str">
        <f>HYPERLINK("[#]DatatypeListedValues!A3658:H3658","&lt;values&gt;")</f>
        <v>&lt;values&gt;</v>
      </c>
      <c r="O545" s="277" t="b">
        <v>0</v>
      </c>
      <c r="P545" s="37">
        <v>111550</v>
      </c>
      <c r="Q545" s="36" t="str">
        <f>CONCATENATE(Cover!$D$6,"fdd/view?i=",P545)</f>
        <v>https://www.dgiwg.org/FAD/fdd/view?i=111550</v>
      </c>
      <c r="R545" s="13" t="s">
        <v>8619</v>
      </c>
      <c r="S545" s="172"/>
      <c r="T545" s="172"/>
      <c r="CT545" s="166" t="s">
        <v>1790</v>
      </c>
    </row>
    <row r="546" spans="1:100" ht="76.5" x14ac:dyDescent="0.2">
      <c r="A546" s="176" t="str">
        <f t="shared" si="12"/>
        <v>featurelength</v>
      </c>
      <c r="B546" s="11" t="s">
        <v>8625</v>
      </c>
      <c r="C546" s="173"/>
      <c r="D546" s="22" t="s">
        <v>8626</v>
      </c>
      <c r="E546" s="15" t="s">
        <v>8627</v>
      </c>
      <c r="F546" s="15" t="s">
        <v>8628</v>
      </c>
      <c r="G546" s="174"/>
      <c r="H546" s="17" t="s">
        <v>5932</v>
      </c>
      <c r="I546" s="269"/>
      <c r="J546" s="369" t="str">
        <f>HYPERLINK("[#]Datatypes!B1231:L1231","Real")</f>
        <v>Real</v>
      </c>
      <c r="K546" s="271" t="str">
        <f>HYPERLINK("[#]PhysicalQuantities!A20:N20","Length")</f>
        <v>Length</v>
      </c>
      <c r="L546" s="270" t="str">
        <f>HYPERLINK("[#]UnitsOfMeasure!D80:G80","Metre")</f>
        <v>Metre</v>
      </c>
      <c r="M546" s="272"/>
      <c r="N546" s="273"/>
      <c r="O546" s="269"/>
      <c r="P546" s="37">
        <v>119582</v>
      </c>
      <c r="Q546" s="36" t="str">
        <f>CONCATENATE(Cover!$D$6,"fdd/view?i=",P546)</f>
        <v>https://www.dgiwg.org/FAD/fdd/view?i=119582</v>
      </c>
      <c r="R546" s="13" t="s">
        <v>8624</v>
      </c>
      <c r="S546" s="172"/>
      <c r="T546" s="172"/>
      <c r="CQ546" s="165" t="s">
        <v>1790</v>
      </c>
    </row>
    <row r="547" spans="1:100" ht="25.5" x14ac:dyDescent="0.2">
      <c r="A547" s="176" t="str">
        <f t="shared" si="12"/>
        <v>featureMovementDirection</v>
      </c>
      <c r="B547" s="11" t="s">
        <v>8630</v>
      </c>
      <c r="C547" s="173"/>
      <c r="D547" s="22" t="s">
        <v>8631</v>
      </c>
      <c r="E547" s="15" t="s">
        <v>8632</v>
      </c>
      <c r="F547" s="174"/>
      <c r="G547" s="174"/>
      <c r="H547" s="17" t="s">
        <v>5932</v>
      </c>
      <c r="I547" s="269"/>
      <c r="J547" s="369" t="str">
        <f>HYPERLINK("[#]Datatypes!B748:L748","Integer0to359")</f>
        <v>Integer0to359</v>
      </c>
      <c r="K547" s="271" t="str">
        <f>HYPERLINK("[#]PhysicalQuantities!A34:N34","Plane Angle")</f>
        <v>Plane Angle</v>
      </c>
      <c r="L547" s="270" t="str">
        <f>HYPERLINK("[#]UnitsOfMeasure!D159:G159","Arc Degree")</f>
        <v>Arc Degree</v>
      </c>
      <c r="M547" s="272"/>
      <c r="N547" s="273"/>
      <c r="O547" s="269"/>
      <c r="P547" s="37">
        <v>111769</v>
      </c>
      <c r="Q547" s="36" t="str">
        <f>CONCATENATE(Cover!$D$6,"fdd/view?i=",P547)</f>
        <v>https://www.dgiwg.org/FAD/fdd/view?i=111769</v>
      </c>
      <c r="R547" s="13" t="s">
        <v>8629</v>
      </c>
      <c r="S547" s="172"/>
      <c r="T547" s="172"/>
      <c r="BM547" s="82" t="s">
        <v>1790</v>
      </c>
      <c r="CQ547" s="165" t="s">
        <v>1790</v>
      </c>
    </row>
    <row r="548" spans="1:100" x14ac:dyDescent="0.2">
      <c r="A548" s="176" t="str">
        <f t="shared" si="12"/>
        <v>featureMovementSpeed</v>
      </c>
      <c r="B548" s="11" t="s">
        <v>8634</v>
      </c>
      <c r="C548" s="173"/>
      <c r="D548" s="22" t="s">
        <v>8635</v>
      </c>
      <c r="E548" s="15" t="s">
        <v>8636</v>
      </c>
      <c r="F548" s="174"/>
      <c r="G548" s="174"/>
      <c r="H548" s="17" t="s">
        <v>5932</v>
      </c>
      <c r="I548" s="269"/>
      <c r="J548" s="369" t="str">
        <f>HYPERLINK("[#]Datatypes!B1231:L1231","Real")</f>
        <v>Real</v>
      </c>
      <c r="K548" s="271" t="str">
        <f>HYPERLINK("[#]PhysicalQuantities!A48:N48","Speed")</f>
        <v>Speed</v>
      </c>
      <c r="L548" s="270" t="str">
        <f>HYPERLINK("[#]UnitsOfMeasure!D256:G256","Metre per Day")</f>
        <v>Metre per Day</v>
      </c>
      <c r="M548" s="272"/>
      <c r="N548" s="273"/>
      <c r="O548" s="269"/>
      <c r="P548" s="37">
        <v>111774</v>
      </c>
      <c r="Q548" s="36" t="str">
        <f>CONCATENATE(Cover!$D$6,"fdd/view?i=",P548)</f>
        <v>https://www.dgiwg.org/FAD/fdd/view?i=111774</v>
      </c>
      <c r="R548" s="13" t="s">
        <v>8633</v>
      </c>
      <c r="S548" s="172"/>
      <c r="T548" s="172"/>
      <c r="CQ548" s="165" t="s">
        <v>1790</v>
      </c>
    </row>
    <row r="549" spans="1:100" ht="51" x14ac:dyDescent="0.2">
      <c r="A549" s="176" t="str">
        <f t="shared" si="12"/>
        <v>featureNameIdentifier</v>
      </c>
      <c r="B549" s="11" t="s">
        <v>8638</v>
      </c>
      <c r="C549" s="173"/>
      <c r="D549" s="22" t="s">
        <v>8639</v>
      </c>
      <c r="E549" s="15" t="s">
        <v>8640</v>
      </c>
      <c r="F549" s="15" t="s">
        <v>8641</v>
      </c>
      <c r="G549" s="174"/>
      <c r="H549" s="17" t="s">
        <v>5932</v>
      </c>
      <c r="I549" s="269"/>
      <c r="J549" s="369" t="str">
        <f>HYPERLINK("[#]Datatypes!B1562:L1562","TextNonLexUnconstrained")</f>
        <v>TextNonLexUnconstrained</v>
      </c>
      <c r="K549" s="276"/>
      <c r="L549" s="272"/>
      <c r="M549" s="272"/>
      <c r="N549" s="273"/>
      <c r="O549" s="269"/>
      <c r="P549" s="37">
        <v>118151</v>
      </c>
      <c r="Q549" s="36" t="str">
        <f>CONCATENATE(Cover!$D$6,"fdd/view?i=",P549)</f>
        <v>https://www.dgiwg.org/FAD/fdd/view?i=118151</v>
      </c>
      <c r="R549" s="13" t="s">
        <v>8637</v>
      </c>
      <c r="S549" s="172"/>
      <c r="T549" s="172"/>
      <c r="CU549" s="87" t="s">
        <v>1790</v>
      </c>
      <c r="CV549" s="83" t="s">
        <v>1790</v>
      </c>
    </row>
    <row r="550" spans="1:100" x14ac:dyDescent="0.2">
      <c r="A550" s="176" t="str">
        <f t="shared" si="12"/>
        <v>featureVerticalOrientation</v>
      </c>
      <c r="B550" s="11" t="s">
        <v>8643</v>
      </c>
      <c r="C550" s="173"/>
      <c r="D550" s="22" t="s">
        <v>8644</v>
      </c>
      <c r="E550" s="15" t="s">
        <v>8645</v>
      </c>
      <c r="F550" s="174"/>
      <c r="G550" s="174"/>
      <c r="H550" s="17" t="s">
        <v>5932</v>
      </c>
      <c r="I550" s="269"/>
      <c r="J550" s="369" t="str">
        <f>HYPERLINK("[#]Datatypes!B558:L558","FvoCode")</f>
        <v>FvoCode</v>
      </c>
      <c r="K550" s="276"/>
      <c r="L550" s="272"/>
      <c r="M550" s="272"/>
      <c r="N550" s="248" t="str">
        <f>HYPERLINK("[#]DatatypeListedValues!A3963:H3963","&lt;values&gt;")</f>
        <v>&lt;values&gt;</v>
      </c>
      <c r="O550" s="277" t="b">
        <v>0</v>
      </c>
      <c r="P550" s="37">
        <v>100906</v>
      </c>
      <c r="Q550" s="36" t="str">
        <f>CONCATENATE(Cover!$D$6,"fdd/view?i=",P550)</f>
        <v>https://www.dgiwg.org/FAD/fdd/view?i=100906</v>
      </c>
      <c r="R550" s="13" t="s">
        <v>8642</v>
      </c>
      <c r="S550" s="172"/>
      <c r="T550" s="172"/>
      <c r="CP550" s="164" t="s">
        <v>1790</v>
      </c>
    </row>
    <row r="551" spans="1:100" x14ac:dyDescent="0.2">
      <c r="A551" s="176" t="str">
        <f t="shared" si="12"/>
        <v>femaleLifeExpectancy</v>
      </c>
      <c r="B551" s="11" t="s">
        <v>8648</v>
      </c>
      <c r="C551" s="173"/>
      <c r="D551" s="22" t="s">
        <v>8649</v>
      </c>
      <c r="E551" s="15" t="s">
        <v>8650</v>
      </c>
      <c r="F551" s="174"/>
      <c r="G551" s="174"/>
      <c r="H551" s="17" t="s">
        <v>5932</v>
      </c>
      <c r="I551" s="269"/>
      <c r="J551" s="369" t="str">
        <f>HYPERLINK("[#]Datatypes!B1231:L1231","Real")</f>
        <v>Real</v>
      </c>
      <c r="K551" s="271" t="str">
        <f>HYPERLINK("[#]PhysicalQuantities!A51:N51","Time")</f>
        <v>Time</v>
      </c>
      <c r="L551" s="270" t="str">
        <f>HYPERLINK("[#]UnitsOfMeasure!D264:G264","Tropical Year")</f>
        <v>Tropical Year</v>
      </c>
      <c r="M551" s="272"/>
      <c r="N551" s="273"/>
      <c r="O551" s="269"/>
      <c r="P551" s="37">
        <v>111616</v>
      </c>
      <c r="Q551" s="36" t="str">
        <f>CONCATENATE(Cover!$D$6,"fdd/view?i=",P551)</f>
        <v>https://www.dgiwg.org/FAD/fdd/view?i=111616</v>
      </c>
      <c r="R551" s="13" t="s">
        <v>8647</v>
      </c>
      <c r="S551" s="172"/>
      <c r="T551" s="172"/>
      <c r="AO551" s="89" t="s">
        <v>1790</v>
      </c>
      <c r="CQ551" s="165" t="s">
        <v>1790</v>
      </c>
    </row>
    <row r="552" spans="1:100" x14ac:dyDescent="0.2">
      <c r="A552" s="176" t="str">
        <f t="shared" si="12"/>
        <v>femalePopulation</v>
      </c>
      <c r="B552" s="11" t="s">
        <v>8652</v>
      </c>
      <c r="C552" s="173"/>
      <c r="D552" s="22" t="s">
        <v>8653</v>
      </c>
      <c r="E552" s="15" t="s">
        <v>8654</v>
      </c>
      <c r="F552" s="174"/>
      <c r="G552" s="174"/>
      <c r="H552" s="17" t="s">
        <v>5932</v>
      </c>
      <c r="I552" s="269"/>
      <c r="J552" s="369" t="str">
        <f>HYPERLINK("[#]Datatypes!B380:L380","Count")</f>
        <v>Count</v>
      </c>
      <c r="K552" s="276"/>
      <c r="L552" s="272"/>
      <c r="M552" s="272"/>
      <c r="N552" s="273"/>
      <c r="O552" s="269"/>
      <c r="P552" s="37">
        <v>111670</v>
      </c>
      <c r="Q552" s="36" t="str">
        <f>CONCATENATE(Cover!$D$6,"fdd/view?i=",P552)</f>
        <v>https://www.dgiwg.org/FAD/fdd/view?i=111670</v>
      </c>
      <c r="R552" s="13" t="s">
        <v>8651</v>
      </c>
      <c r="S552" s="172"/>
      <c r="T552" s="172"/>
      <c r="AO552" s="89" t="s">
        <v>1790</v>
      </c>
      <c r="CQ552" s="165" t="s">
        <v>1790</v>
      </c>
    </row>
    <row r="553" spans="1:100" ht="25.5" x14ac:dyDescent="0.2">
      <c r="A553" s="176" t="str">
        <f t="shared" si="12"/>
        <v>femalePopFrac0_14</v>
      </c>
      <c r="B553" s="11" t="s">
        <v>8656</v>
      </c>
      <c r="C553" s="173"/>
      <c r="D553" s="22" t="s">
        <v>8657</v>
      </c>
      <c r="E553" s="15" t="s">
        <v>8658</v>
      </c>
      <c r="F553" s="174"/>
      <c r="G553" s="174"/>
      <c r="H553" s="17" t="s">
        <v>5932</v>
      </c>
      <c r="I553" s="269"/>
      <c r="J553" s="369" t="str">
        <f>HYPERLINK("[#]Datatypes!B1231:L1231","Real")</f>
        <v>Real</v>
      </c>
      <c r="K553" s="271" t="str">
        <f>HYPERLINK("[#]PhysicalQuantities!A39:N39","Pure Number")</f>
        <v>Pure Number</v>
      </c>
      <c r="L553" s="270" t="str">
        <f>HYPERLINK("[#]UnitsOfMeasure!D215:G215","Percent")</f>
        <v>Percent</v>
      </c>
      <c r="M553" s="272"/>
      <c r="N553" s="273"/>
      <c r="O553" s="269"/>
      <c r="P553" s="37">
        <v>111757</v>
      </c>
      <c r="Q553" s="36" t="str">
        <f>CONCATENATE(Cover!$D$6,"fdd/view?i=",P553)</f>
        <v>https://www.dgiwg.org/FAD/fdd/view?i=111757</v>
      </c>
      <c r="R553" s="13" t="s">
        <v>8655</v>
      </c>
      <c r="S553" s="172"/>
      <c r="T553" s="172"/>
      <c r="AO553" s="89" t="s">
        <v>1790</v>
      </c>
      <c r="CQ553" s="165" t="s">
        <v>1790</v>
      </c>
    </row>
    <row r="554" spans="1:100" ht="25.5" x14ac:dyDescent="0.2">
      <c r="A554" s="176" t="str">
        <f t="shared" si="12"/>
        <v>femalePopFrac15_44</v>
      </c>
      <c r="B554" s="11" t="s">
        <v>8660</v>
      </c>
      <c r="C554" s="173"/>
      <c r="D554" s="22" t="s">
        <v>8661</v>
      </c>
      <c r="E554" s="15" t="s">
        <v>8662</v>
      </c>
      <c r="F554" s="174"/>
      <c r="G554" s="174"/>
      <c r="H554" s="17" t="s">
        <v>5932</v>
      </c>
      <c r="I554" s="269"/>
      <c r="J554" s="369" t="str">
        <f>HYPERLINK("[#]Datatypes!B1231:L1231","Real")</f>
        <v>Real</v>
      </c>
      <c r="K554" s="271" t="str">
        <f>HYPERLINK("[#]PhysicalQuantities!A39:N39","Pure Number")</f>
        <v>Pure Number</v>
      </c>
      <c r="L554" s="270" t="str">
        <f>HYPERLINK("[#]UnitsOfMeasure!D215:G215","Percent")</f>
        <v>Percent</v>
      </c>
      <c r="M554" s="272"/>
      <c r="N554" s="273"/>
      <c r="O554" s="269"/>
      <c r="P554" s="37">
        <v>111758</v>
      </c>
      <c r="Q554" s="36" t="str">
        <f>CONCATENATE(Cover!$D$6,"fdd/view?i=",P554)</f>
        <v>https://www.dgiwg.org/FAD/fdd/view?i=111758</v>
      </c>
      <c r="R554" s="13" t="s">
        <v>8659</v>
      </c>
      <c r="S554" s="172"/>
      <c r="T554" s="172"/>
      <c r="AO554" s="89" t="s">
        <v>1790</v>
      </c>
      <c r="CQ554" s="165" t="s">
        <v>1790</v>
      </c>
    </row>
    <row r="555" spans="1:100" ht="25.5" x14ac:dyDescent="0.2">
      <c r="A555" s="176" t="str">
        <f t="shared" si="12"/>
        <v>femalePopFrac45_64</v>
      </c>
      <c r="B555" s="11" t="s">
        <v>8664</v>
      </c>
      <c r="C555" s="173"/>
      <c r="D555" s="22" t="s">
        <v>8665</v>
      </c>
      <c r="E555" s="15" t="s">
        <v>8666</v>
      </c>
      <c r="F555" s="174"/>
      <c r="G555" s="174"/>
      <c r="H555" s="17" t="s">
        <v>5932</v>
      </c>
      <c r="I555" s="269"/>
      <c r="J555" s="369" t="str">
        <f>HYPERLINK("[#]Datatypes!B1231:L1231","Real")</f>
        <v>Real</v>
      </c>
      <c r="K555" s="271" t="str">
        <f>HYPERLINK("[#]PhysicalQuantities!A39:N39","Pure Number")</f>
        <v>Pure Number</v>
      </c>
      <c r="L555" s="270" t="str">
        <f>HYPERLINK("[#]UnitsOfMeasure!D215:G215","Percent")</f>
        <v>Percent</v>
      </c>
      <c r="M555" s="272"/>
      <c r="N555" s="273"/>
      <c r="O555" s="269"/>
      <c r="P555" s="37">
        <v>111759</v>
      </c>
      <c r="Q555" s="36" t="str">
        <f>CONCATENATE(Cover!$D$6,"fdd/view?i=",P555)</f>
        <v>https://www.dgiwg.org/FAD/fdd/view?i=111759</v>
      </c>
      <c r="R555" s="13" t="s">
        <v>8663</v>
      </c>
      <c r="S555" s="172"/>
      <c r="T555" s="172"/>
      <c r="AO555" s="89" t="s">
        <v>1790</v>
      </c>
      <c r="CQ555" s="165" t="s">
        <v>1790</v>
      </c>
    </row>
    <row r="556" spans="1:100" ht="25.5" x14ac:dyDescent="0.2">
      <c r="A556" s="176" t="str">
        <f t="shared" si="12"/>
        <v>femalePopFrac65</v>
      </c>
      <c r="B556" s="11" t="s">
        <v>8668</v>
      </c>
      <c r="C556" s="173"/>
      <c r="D556" s="22" t="s">
        <v>8669</v>
      </c>
      <c r="E556" s="15" t="s">
        <v>8670</v>
      </c>
      <c r="F556" s="174"/>
      <c r="G556" s="174"/>
      <c r="H556" s="17" t="s">
        <v>5932</v>
      </c>
      <c r="I556" s="269"/>
      <c r="J556" s="369" t="str">
        <f>HYPERLINK("[#]Datatypes!B1231:L1231","Real")</f>
        <v>Real</v>
      </c>
      <c r="K556" s="271" t="str">
        <f>HYPERLINK("[#]PhysicalQuantities!A39:N39","Pure Number")</f>
        <v>Pure Number</v>
      </c>
      <c r="L556" s="270" t="str">
        <f>HYPERLINK("[#]UnitsOfMeasure!D215:G215","Percent")</f>
        <v>Percent</v>
      </c>
      <c r="M556" s="272"/>
      <c r="N556" s="273"/>
      <c r="O556" s="269"/>
      <c r="P556" s="37">
        <v>111760</v>
      </c>
      <c r="Q556" s="36" t="str">
        <f>CONCATENATE(Cover!$D$6,"fdd/view?i=",P556)</f>
        <v>https://www.dgiwg.org/FAD/fdd/view?i=111760</v>
      </c>
      <c r="R556" s="13" t="s">
        <v>8667</v>
      </c>
      <c r="S556" s="172"/>
      <c r="T556" s="172"/>
      <c r="AO556" s="89" t="s">
        <v>1790</v>
      </c>
      <c r="CQ556" s="165" t="s">
        <v>1790</v>
      </c>
    </row>
    <row r="557" spans="1:100" x14ac:dyDescent="0.2">
      <c r="A557" s="176" t="str">
        <f t="shared" si="12"/>
        <v>fenceFunction</v>
      </c>
      <c r="B557" s="11" t="s">
        <v>8672</v>
      </c>
      <c r="C557" s="173"/>
      <c r="D557" s="22" t="s">
        <v>8673</v>
      </c>
      <c r="E557" s="15" t="s">
        <v>8674</v>
      </c>
      <c r="F557" s="174"/>
      <c r="G557" s="174"/>
      <c r="H557" s="17" t="s">
        <v>5932</v>
      </c>
      <c r="I557" s="17" t="s">
        <v>6029</v>
      </c>
      <c r="J557" s="369" t="str">
        <f>HYPERLINK("[#]Datatypes!B560:L560","FefCode")</f>
        <v>FefCode</v>
      </c>
      <c r="K557" s="276"/>
      <c r="L557" s="272"/>
      <c r="M557" s="272"/>
      <c r="N557" s="248" t="str">
        <f>HYPERLINK("[#]DatatypeListedValues!A3968:H3968","&lt;values&gt;")</f>
        <v>&lt;values&gt;</v>
      </c>
      <c r="O557" s="277" t="b">
        <v>0</v>
      </c>
      <c r="P557" s="37">
        <v>118624</v>
      </c>
      <c r="Q557" s="36" t="str">
        <f>CONCATENATE(Cover!$D$6,"fdd/view?i=",P557)</f>
        <v>https://www.dgiwg.org/FAD/fdd/view?i=118624</v>
      </c>
      <c r="R557" s="13" t="s">
        <v>8671</v>
      </c>
      <c r="S557" s="172"/>
      <c r="T557" s="172"/>
      <c r="AJ557" s="83" t="s">
        <v>1790</v>
      </c>
      <c r="CT557" s="166" t="s">
        <v>1790</v>
      </c>
    </row>
    <row r="558" spans="1:100" ht="25.5" x14ac:dyDescent="0.2">
      <c r="A558" s="176" t="str">
        <f t="shared" si="12"/>
        <v>fenceType</v>
      </c>
      <c r="B558" s="11" t="s">
        <v>8677</v>
      </c>
      <c r="C558" s="173"/>
      <c r="D558" s="22" t="s">
        <v>8678</v>
      </c>
      <c r="E558" s="15" t="s">
        <v>8679</v>
      </c>
      <c r="F558" s="174"/>
      <c r="G558" s="174"/>
      <c r="H558" s="17" t="s">
        <v>5932</v>
      </c>
      <c r="I558" s="269"/>
      <c r="J558" s="369" t="str">
        <f>HYPERLINK("[#]Datatypes!B562:L562","FtiCode")</f>
        <v>FtiCode</v>
      </c>
      <c r="K558" s="276"/>
      <c r="L558" s="272"/>
      <c r="M558" s="272"/>
      <c r="N558" s="248" t="str">
        <f>HYPERLINK("[#]DatatypeListedValues!A3973:H3973","&lt;values&gt;")</f>
        <v>&lt;values&gt;</v>
      </c>
      <c r="O558" s="277" t="b">
        <v>0</v>
      </c>
      <c r="P558" s="37">
        <v>100901</v>
      </c>
      <c r="Q558" s="36" t="str">
        <f>CONCATENATE(Cover!$D$6,"fdd/view?i=",P558)</f>
        <v>https://www.dgiwg.org/FAD/fdd/view?i=100901</v>
      </c>
      <c r="R558" s="13" t="s">
        <v>8676</v>
      </c>
      <c r="S558" s="172"/>
      <c r="T558" s="172"/>
      <c r="CS558" s="165" t="s">
        <v>1790</v>
      </c>
    </row>
    <row r="559" spans="1:100" ht="25.5" x14ac:dyDescent="0.2">
      <c r="A559" s="176" t="str">
        <f t="shared" si="12"/>
        <v>fenced</v>
      </c>
      <c r="B559" s="11" t="s">
        <v>8682</v>
      </c>
      <c r="C559" s="173"/>
      <c r="D559" s="22" t="s">
        <v>8683</v>
      </c>
      <c r="E559" s="15" t="s">
        <v>8684</v>
      </c>
      <c r="F559" s="15" t="s">
        <v>8685</v>
      </c>
      <c r="G559" s="174"/>
      <c r="H559" s="17" t="s">
        <v>5932</v>
      </c>
      <c r="I559" s="269"/>
      <c r="J559" s="369" t="str">
        <f>HYPERLINK("[#]Datatypes!B240:L240","Boolean")</f>
        <v>Boolean</v>
      </c>
      <c r="K559" s="276"/>
      <c r="L559" s="272"/>
      <c r="M559" s="272"/>
      <c r="N559" s="273"/>
      <c r="O559" s="269"/>
      <c r="P559" s="37">
        <v>114219</v>
      </c>
      <c r="Q559" s="36" t="str">
        <f>CONCATENATE(Cover!$D$6,"fdd/view?i=",P559)</f>
        <v>https://www.dgiwg.org/FAD/fdd/view?i=114219</v>
      </c>
      <c r="R559" s="13" t="s">
        <v>8681</v>
      </c>
      <c r="S559" s="172"/>
      <c r="T559" s="172"/>
      <c r="AF559" s="82" t="s">
        <v>1790</v>
      </c>
      <c r="AI559" s="87" t="s">
        <v>1790</v>
      </c>
      <c r="AJ559" s="83" t="s">
        <v>1790</v>
      </c>
      <c r="AW559" s="82" t="s">
        <v>1790</v>
      </c>
      <c r="BU559" s="87" t="s">
        <v>1790</v>
      </c>
      <c r="BZ559" s="83" t="s">
        <v>1790</v>
      </c>
      <c r="CC559" s="81" t="s">
        <v>1790</v>
      </c>
      <c r="CE559" s="87" t="s">
        <v>1790</v>
      </c>
      <c r="CK559" s="82" t="s">
        <v>1790</v>
      </c>
      <c r="CS559" s="165" t="s">
        <v>1790</v>
      </c>
    </row>
    <row r="560" spans="1:100" ht="38.25" x14ac:dyDescent="0.2">
      <c r="A560" s="176" t="str">
        <f t="shared" si="12"/>
        <v>fenderPres</v>
      </c>
      <c r="B560" s="11" t="s">
        <v>8687</v>
      </c>
      <c r="C560" s="173"/>
      <c r="D560" s="22" t="s">
        <v>8688</v>
      </c>
      <c r="E560" s="15" t="s">
        <v>8689</v>
      </c>
      <c r="F560" s="174"/>
      <c r="G560" s="174"/>
      <c r="H560" s="17" t="s">
        <v>5932</v>
      </c>
      <c r="I560" s="269"/>
      <c r="J560" s="369" t="str">
        <f>HYPERLINK("[#]Datatypes!B240:L240","Boolean")</f>
        <v>Boolean</v>
      </c>
      <c r="K560" s="276"/>
      <c r="L560" s="272"/>
      <c r="M560" s="272"/>
      <c r="N560" s="273"/>
      <c r="O560" s="269"/>
      <c r="P560" s="37">
        <v>119728</v>
      </c>
      <c r="Q560" s="36" t="str">
        <f>CONCATENATE(Cover!$D$6,"fdd/view?i=",P560)</f>
        <v>https://www.dgiwg.org/FAD/fdd/view?i=119728</v>
      </c>
      <c r="R560" s="13" t="s">
        <v>8686</v>
      </c>
      <c r="S560" s="172"/>
      <c r="T560" s="172"/>
      <c r="AS560" s="82" t="s">
        <v>1790</v>
      </c>
      <c r="AZ560" s="87" t="s">
        <v>1790</v>
      </c>
      <c r="BA560" s="83" t="s">
        <v>1790</v>
      </c>
    </row>
    <row r="561" spans="1:103" ht="25.5" x14ac:dyDescent="0.2">
      <c r="A561" s="176" t="str">
        <f t="shared" si="12"/>
        <v>ferryCrossingDistance</v>
      </c>
      <c r="B561" s="11" t="s">
        <v>8691</v>
      </c>
      <c r="C561" s="173"/>
      <c r="D561" s="22" t="s">
        <v>8692</v>
      </c>
      <c r="E561" s="15" t="s">
        <v>8693</v>
      </c>
      <c r="F561" s="174"/>
      <c r="G561" s="174"/>
      <c r="H561" s="17" t="s">
        <v>5932</v>
      </c>
      <c r="I561" s="269"/>
      <c r="J561" s="369" t="str">
        <f>HYPERLINK("[#]Datatypes!B1233:L1233","RealInterval")</f>
        <v>RealInterval</v>
      </c>
      <c r="K561" s="271" t="str">
        <f>HYPERLINK("[#]PhysicalQuantities!A20:N20","Length")</f>
        <v>Length</v>
      </c>
      <c r="L561" s="270" t="str">
        <f>HYPERLINK("[#]UnitsOfMeasure!D80:G80","Metre")</f>
        <v>Metre</v>
      </c>
      <c r="M561" s="272"/>
      <c r="N561" s="273"/>
      <c r="O561" s="269"/>
      <c r="P561" s="37">
        <v>110701</v>
      </c>
      <c r="Q561" s="36" t="str">
        <f>CONCATENATE(Cover!$D$6,"fdd/view?i=",P561)</f>
        <v>https://www.dgiwg.org/FAD/fdd/view?i=110701</v>
      </c>
      <c r="R561" s="13" t="s">
        <v>8690</v>
      </c>
      <c r="S561" s="172"/>
      <c r="T561" s="172"/>
      <c r="AV561" s="82" t="s">
        <v>1790</v>
      </c>
      <c r="CQ561" s="165" t="s">
        <v>1790</v>
      </c>
    </row>
    <row r="562" spans="1:103" ht="25.5" x14ac:dyDescent="0.2">
      <c r="A562" s="176" t="str">
        <f t="shared" si="12"/>
        <v>ferryCrossingDuration</v>
      </c>
      <c r="B562" s="11" t="s">
        <v>8695</v>
      </c>
      <c r="C562" s="173"/>
      <c r="D562" s="22" t="s">
        <v>8696</v>
      </c>
      <c r="E562" s="15" t="s">
        <v>8697</v>
      </c>
      <c r="F562" s="174"/>
      <c r="G562" s="174"/>
      <c r="H562" s="17" t="s">
        <v>5932</v>
      </c>
      <c r="I562" s="269"/>
      <c r="J562" s="369" t="str">
        <f>HYPERLINK("[#]Datatypes!B564:L564","FctStrucText")</f>
        <v>FctStrucText</v>
      </c>
      <c r="K562" s="276"/>
      <c r="L562" s="272"/>
      <c r="M562" s="272"/>
      <c r="N562" s="273"/>
      <c r="O562" s="269"/>
      <c r="P562" s="37">
        <v>110702</v>
      </c>
      <c r="Q562" s="36" t="str">
        <f>CONCATENATE(Cover!$D$6,"fdd/view?i=",P562)</f>
        <v>https://www.dgiwg.org/FAD/fdd/view?i=110702</v>
      </c>
      <c r="R562" s="13" t="s">
        <v>8694</v>
      </c>
      <c r="S562" s="172"/>
      <c r="T562" s="172"/>
      <c r="AV562" s="82" t="s">
        <v>1790</v>
      </c>
      <c r="CR562" s="165" t="s">
        <v>1790</v>
      </c>
    </row>
    <row r="563" spans="1:103" x14ac:dyDescent="0.2">
      <c r="A563" s="176" t="str">
        <f t="shared" si="12"/>
        <v>ferryCrossingType</v>
      </c>
      <c r="B563" s="11" t="s">
        <v>8700</v>
      </c>
      <c r="C563" s="173"/>
      <c r="D563" s="22" t="s">
        <v>8701</v>
      </c>
      <c r="E563" s="15" t="s">
        <v>8702</v>
      </c>
      <c r="F563" s="174"/>
      <c r="G563" s="174"/>
      <c r="H563" s="17" t="s">
        <v>5932</v>
      </c>
      <c r="I563" s="269"/>
      <c r="J563" s="369" t="str">
        <f>HYPERLINK("[#]Datatypes!B566:L566","FerCode")</f>
        <v>FerCode</v>
      </c>
      <c r="K563" s="276"/>
      <c r="L563" s="272"/>
      <c r="M563" s="272"/>
      <c r="N563" s="248" t="str">
        <f>HYPERLINK("[#]DatatypeListedValues!A3982:H3982","&lt;values&gt;")</f>
        <v>&lt;values&gt;</v>
      </c>
      <c r="O563" s="277" t="b">
        <v>0</v>
      </c>
      <c r="P563" s="37">
        <v>100885</v>
      </c>
      <c r="Q563" s="36" t="str">
        <f>CONCATENATE(Cover!$D$6,"fdd/view?i=",P563)</f>
        <v>https://www.dgiwg.org/FAD/fdd/view?i=100885</v>
      </c>
      <c r="R563" s="13" t="s">
        <v>8699</v>
      </c>
      <c r="S563" s="172"/>
      <c r="T563" s="172"/>
      <c r="AV563" s="82" t="s">
        <v>1790</v>
      </c>
      <c r="CT563" s="166" t="s">
        <v>1790</v>
      </c>
    </row>
    <row r="564" spans="1:103" x14ac:dyDescent="0.2">
      <c r="A564" s="176" t="str">
        <f t="shared" si="12"/>
        <v>ferryRampCount</v>
      </c>
      <c r="B564" s="11" t="s">
        <v>8705</v>
      </c>
      <c r="C564" s="173"/>
      <c r="D564" s="22" t="s">
        <v>8706</v>
      </c>
      <c r="E564" s="15" t="s">
        <v>8707</v>
      </c>
      <c r="F564" s="174"/>
      <c r="G564" s="174"/>
      <c r="H564" s="17" t="s">
        <v>5932</v>
      </c>
      <c r="I564" s="269"/>
      <c r="J564" s="369" t="str">
        <f>HYPERLINK("[#]Datatypes!B380:L380","Count")</f>
        <v>Count</v>
      </c>
      <c r="K564" s="276"/>
      <c r="L564" s="272"/>
      <c r="M564" s="272"/>
      <c r="N564" s="273"/>
      <c r="O564" s="269"/>
      <c r="P564" s="37">
        <v>101096</v>
      </c>
      <c r="Q564" s="36" t="str">
        <f>CONCATENATE(Cover!$D$6,"fdd/view?i=",P564)</f>
        <v>https://www.dgiwg.org/FAD/fdd/view?i=101096</v>
      </c>
      <c r="R564" s="13" t="s">
        <v>8704</v>
      </c>
      <c r="S564" s="172"/>
      <c r="T564" s="172"/>
      <c r="AV564" s="82" t="s">
        <v>1790</v>
      </c>
      <c r="CQ564" s="165" t="s">
        <v>1790</v>
      </c>
    </row>
    <row r="565" spans="1:103" ht="25.5" x14ac:dyDescent="0.2">
      <c r="A565" s="176" t="str">
        <f t="shared" si="12"/>
        <v>finalApproachAlignment</v>
      </c>
      <c r="B565" s="11" t="s">
        <v>8709</v>
      </c>
      <c r="C565" s="173"/>
      <c r="D565" s="22" t="s">
        <v>8710</v>
      </c>
      <c r="E565" s="15" t="s">
        <v>8711</v>
      </c>
      <c r="F565" s="174"/>
      <c r="G565" s="174"/>
      <c r="H565" s="17" t="s">
        <v>5932</v>
      </c>
      <c r="I565" s="269"/>
      <c r="J565" s="369" t="str">
        <f>HYPERLINK("[#]Datatypes!B568:L568","FapCode")</f>
        <v>FapCode</v>
      </c>
      <c r="K565" s="276"/>
      <c r="L565" s="272"/>
      <c r="M565" s="272"/>
      <c r="N565" s="248" t="str">
        <f>HYPERLINK("[#]DatatypeListedValues!A3985:H3985","&lt;values&gt;")</f>
        <v>&lt;values&gt;</v>
      </c>
      <c r="O565" s="277" t="b">
        <v>0</v>
      </c>
      <c r="P565" s="37">
        <v>117567</v>
      </c>
      <c r="Q565" s="36" t="str">
        <f>CONCATENATE(Cover!$D$6,"fdd/view?i=",P565)</f>
        <v>https://www.dgiwg.org/FAD/fdd/view?i=117567</v>
      </c>
      <c r="R565" s="13" t="s">
        <v>8708</v>
      </c>
      <c r="S565" s="172"/>
      <c r="T565" s="172"/>
      <c r="CI565" s="89" t="s">
        <v>1790</v>
      </c>
    </row>
    <row r="566" spans="1:103" ht="76.5" x14ac:dyDescent="0.2">
      <c r="A566" s="176" t="str">
        <f t="shared" si="12"/>
        <v>finalApproachCourseFix</v>
      </c>
      <c r="B566" s="11" t="s">
        <v>8714</v>
      </c>
      <c r="C566" s="173"/>
      <c r="D566" s="22" t="s">
        <v>8715</v>
      </c>
      <c r="E566" s="15" t="s">
        <v>8716</v>
      </c>
      <c r="F566" s="15" t="s">
        <v>8717</v>
      </c>
      <c r="G566" s="174"/>
      <c r="H566" s="17" t="s">
        <v>5932</v>
      </c>
      <c r="I566" s="269"/>
      <c r="J566" s="369" t="str">
        <f>HYPERLINK("[#]Datatypes!B240:L240","Boolean")</f>
        <v>Boolean</v>
      </c>
      <c r="K566" s="276"/>
      <c r="L566" s="272"/>
      <c r="M566" s="272"/>
      <c r="N566" s="273"/>
      <c r="O566" s="269"/>
      <c r="P566" s="37">
        <v>119603</v>
      </c>
      <c r="Q566" s="36" t="str">
        <f>CONCATENATE(Cover!$D$6,"fdd/view?i=",P566)</f>
        <v>https://www.dgiwg.org/FAD/fdd/view?i=119603</v>
      </c>
      <c r="R566" s="13" t="s">
        <v>8713</v>
      </c>
      <c r="S566" s="172"/>
      <c r="T566" s="172"/>
      <c r="AT566" s="82" t="s">
        <v>1790</v>
      </c>
      <c r="CF566" s="83" t="s">
        <v>1790</v>
      </c>
    </row>
    <row r="567" spans="1:103" ht="25.5" x14ac:dyDescent="0.2">
      <c r="A567" s="176" t="str">
        <f t="shared" si="12"/>
        <v>finalApproachDescentAngle</v>
      </c>
      <c r="B567" s="11" t="s">
        <v>8719</v>
      </c>
      <c r="C567" s="173"/>
      <c r="D567" s="22" t="s">
        <v>8720</v>
      </c>
      <c r="E567" s="15" t="s">
        <v>8721</v>
      </c>
      <c r="F567" s="174"/>
      <c r="G567" s="15" t="s">
        <v>8722</v>
      </c>
      <c r="H567" s="17" t="s">
        <v>5932</v>
      </c>
      <c r="I567" s="269"/>
      <c r="J567" s="369" t="str">
        <f>HYPERLINK("[#]Datatypes!B1231:L1231","Real")</f>
        <v>Real</v>
      </c>
      <c r="K567" s="271" t="str">
        <f>HYPERLINK("[#]PhysicalQuantities!A34:N34","Plane Angle")</f>
        <v>Plane Angle</v>
      </c>
      <c r="L567" s="270" t="str">
        <f>HYPERLINK("[#]UnitsOfMeasure!D159:G159","Arc Degree")</f>
        <v>Arc Degree</v>
      </c>
      <c r="M567" s="272"/>
      <c r="N567" s="273"/>
      <c r="O567" s="269"/>
      <c r="P567" s="37">
        <v>117568</v>
      </c>
      <c r="Q567" s="36" t="str">
        <f>CONCATENATE(Cover!$D$6,"fdd/view?i=",P567)</f>
        <v>https://www.dgiwg.org/FAD/fdd/view?i=117568</v>
      </c>
      <c r="R567" s="13" t="s">
        <v>8718</v>
      </c>
      <c r="S567" s="172"/>
      <c r="T567" s="172"/>
      <c r="CI567" s="89" t="s">
        <v>1790</v>
      </c>
    </row>
    <row r="568" spans="1:103" ht="38.25" x14ac:dyDescent="0.2">
      <c r="A568" s="176" t="str">
        <f t="shared" si="12"/>
        <v>fips104CountryCode</v>
      </c>
      <c r="B568" s="11" t="s">
        <v>8724</v>
      </c>
      <c r="C568" s="173"/>
      <c r="D568" s="22" t="s">
        <v>8725</v>
      </c>
      <c r="E568" s="15" t="s">
        <v>8726</v>
      </c>
      <c r="F568" s="15" t="s">
        <v>8727</v>
      </c>
      <c r="G568" s="174"/>
      <c r="H568" s="17" t="s">
        <v>5932</v>
      </c>
      <c r="I568" s="269"/>
      <c r="J568" s="369" t="str">
        <f>HYPERLINK("[#]Datatypes!B570:L570","Fi1StrucText")</f>
        <v>Fi1StrucText</v>
      </c>
      <c r="K568" s="276"/>
      <c r="L568" s="272"/>
      <c r="M568" s="272"/>
      <c r="N568" s="273"/>
      <c r="O568" s="269"/>
      <c r="P568" s="37">
        <v>111553</v>
      </c>
      <c r="Q568" s="36" t="str">
        <f>CONCATENATE(Cover!$D$6,"fdd/view?i=",P568)</f>
        <v>https://www.dgiwg.org/FAD/fdd/view?i=111553</v>
      </c>
      <c r="R568" s="13" t="s">
        <v>8723</v>
      </c>
      <c r="S568" s="172"/>
      <c r="T568" s="172"/>
      <c r="AM568" s="83" t="s">
        <v>1790</v>
      </c>
      <c r="CV568" s="83" t="s">
        <v>1790</v>
      </c>
    </row>
    <row r="569" spans="1:103" ht="25.5" x14ac:dyDescent="0.2">
      <c r="A569" s="176" t="str">
        <f t="shared" si="12"/>
        <v>fips104CountryName</v>
      </c>
      <c r="B569" s="11" t="s">
        <v>8730</v>
      </c>
      <c r="C569" s="173"/>
      <c r="D569" s="22" t="s">
        <v>8731</v>
      </c>
      <c r="E569" s="15" t="s">
        <v>8732</v>
      </c>
      <c r="F569" s="15" t="s">
        <v>8733</v>
      </c>
      <c r="G569" s="174"/>
      <c r="H569" s="17" t="s">
        <v>5932</v>
      </c>
      <c r="I569" s="269"/>
      <c r="J569" s="369" t="str">
        <f>HYPERLINK("[#]Datatypes!B1556:L1556","TextNonLex50")</f>
        <v>TextNonLex50</v>
      </c>
      <c r="K569" s="276"/>
      <c r="L569" s="272"/>
      <c r="M569" s="272"/>
      <c r="N569" s="273"/>
      <c r="O569" s="269"/>
      <c r="P569" s="37">
        <v>111554</v>
      </c>
      <c r="Q569" s="36" t="str">
        <f>CONCATENATE(Cover!$D$6,"fdd/view?i=",P569)</f>
        <v>https://www.dgiwg.org/FAD/fdd/view?i=111554</v>
      </c>
      <c r="R569" s="13" t="s">
        <v>8729</v>
      </c>
      <c r="S569" s="172"/>
      <c r="T569" s="172"/>
      <c r="AM569" s="83" t="s">
        <v>1790</v>
      </c>
      <c r="CV569" s="83" t="s">
        <v>1790</v>
      </c>
    </row>
    <row r="570" spans="1:103" ht="63.75" x14ac:dyDescent="0.2">
      <c r="A570" s="176" t="str">
        <f t="shared" si="12"/>
        <v>fips104PrinAdminDivCode</v>
      </c>
      <c r="B570" s="11" t="s">
        <v>8736</v>
      </c>
      <c r="C570" s="173"/>
      <c r="D570" s="22" t="s">
        <v>8737</v>
      </c>
      <c r="E570" s="15" t="s">
        <v>8738</v>
      </c>
      <c r="F570" s="15" t="s">
        <v>8739</v>
      </c>
      <c r="G570" s="174"/>
      <c r="H570" s="17" t="s">
        <v>5932</v>
      </c>
      <c r="I570" s="269"/>
      <c r="J570" s="369" t="str">
        <f>HYPERLINK("[#]Datatypes!B572:L572","Fi5StrucText")</f>
        <v>Fi5StrucText</v>
      </c>
      <c r="K570" s="276"/>
      <c r="L570" s="272"/>
      <c r="M570" s="272"/>
      <c r="N570" s="273"/>
      <c r="O570" s="269"/>
      <c r="P570" s="37">
        <v>111557</v>
      </c>
      <c r="Q570" s="36" t="str">
        <f>CONCATENATE(Cover!$D$6,"fdd/view?i=",P570)</f>
        <v>https://www.dgiwg.org/FAD/fdd/view?i=111557</v>
      </c>
      <c r="R570" s="13" t="s">
        <v>8735</v>
      </c>
      <c r="S570" s="172"/>
      <c r="T570" s="172"/>
      <c r="AM570" s="83" t="s">
        <v>1790</v>
      </c>
      <c r="CV570" s="83" t="s">
        <v>1790</v>
      </c>
    </row>
    <row r="571" spans="1:103" ht="63.75" x14ac:dyDescent="0.2">
      <c r="A571" s="176" t="str">
        <f t="shared" si="12"/>
        <v>fips104PrinAdminDivExtCd</v>
      </c>
      <c r="B571" s="11" t="s">
        <v>8742</v>
      </c>
      <c r="C571" s="173"/>
      <c r="D571" s="22" t="s">
        <v>8743</v>
      </c>
      <c r="E571" s="15" t="s">
        <v>8744</v>
      </c>
      <c r="F571" s="15" t="s">
        <v>8745</v>
      </c>
      <c r="G571" s="174"/>
      <c r="H571" s="17" t="s">
        <v>5932</v>
      </c>
      <c r="I571" s="269"/>
      <c r="J571" s="369" t="str">
        <f>HYPERLINK("[#]Datatypes!B574:L574","Fi3StrucText")</f>
        <v>Fi3StrucText</v>
      </c>
      <c r="K571" s="276"/>
      <c r="L571" s="272"/>
      <c r="M571" s="272"/>
      <c r="N571" s="273"/>
      <c r="O571" s="269"/>
      <c r="P571" s="37">
        <v>111555</v>
      </c>
      <c r="Q571" s="36" t="str">
        <f>CONCATENATE(Cover!$D$6,"fdd/view?i=",P571)</f>
        <v>https://www.dgiwg.org/FAD/fdd/view?i=111555</v>
      </c>
      <c r="R571" s="13" t="s">
        <v>8741</v>
      </c>
      <c r="S571" s="172"/>
      <c r="T571" s="172"/>
      <c r="AM571" s="83" t="s">
        <v>1790</v>
      </c>
      <c r="CV571" s="83" t="s">
        <v>1790</v>
      </c>
    </row>
    <row r="572" spans="1:103" ht="38.25" x14ac:dyDescent="0.2">
      <c r="A572" s="176" t="str">
        <f t="shared" si="12"/>
        <v>fips104PrinAdminDivName</v>
      </c>
      <c r="B572" s="11" t="s">
        <v>8748</v>
      </c>
      <c r="C572" s="173"/>
      <c r="D572" s="22" t="s">
        <v>8749</v>
      </c>
      <c r="E572" s="15" t="s">
        <v>8750</v>
      </c>
      <c r="F572" s="15" t="s">
        <v>8751</v>
      </c>
      <c r="G572" s="174"/>
      <c r="H572" s="17" t="s">
        <v>5932</v>
      </c>
      <c r="I572" s="269"/>
      <c r="J572" s="369" t="str">
        <f>HYPERLINK("[#]Datatypes!B1558:L1558","TextNonLex60")</f>
        <v>TextNonLex60</v>
      </c>
      <c r="K572" s="276"/>
      <c r="L572" s="272"/>
      <c r="M572" s="272"/>
      <c r="N572" s="273"/>
      <c r="O572" s="269"/>
      <c r="P572" s="37">
        <v>111556</v>
      </c>
      <c r="Q572" s="36" t="str">
        <f>CONCATENATE(Cover!$D$6,"fdd/view?i=",P572)</f>
        <v>https://www.dgiwg.org/FAD/fdd/view?i=111556</v>
      </c>
      <c r="R572" s="13" t="s">
        <v>8747</v>
      </c>
      <c r="S572" s="172"/>
      <c r="T572" s="172"/>
      <c r="AM572" s="83" t="s">
        <v>1790</v>
      </c>
      <c r="CV572" s="83" t="s">
        <v>1790</v>
      </c>
    </row>
    <row r="573" spans="1:103" ht="25.5" x14ac:dyDescent="0.2">
      <c r="A573" s="176" t="str">
        <f t="shared" si="12"/>
        <v>firstDetectionDateTime</v>
      </c>
      <c r="B573" s="11" t="s">
        <v>8754</v>
      </c>
      <c r="C573" s="173"/>
      <c r="D573" s="22" t="s">
        <v>8755</v>
      </c>
      <c r="E573" s="15" t="s">
        <v>8756</v>
      </c>
      <c r="F573" s="174"/>
      <c r="G573" s="174"/>
      <c r="H573" s="17" t="s">
        <v>5932</v>
      </c>
      <c r="I573" s="269"/>
      <c r="J573" s="369" t="str">
        <f>HYPERLINK("[#]Datatypes!B576:L576","FddStrucText")</f>
        <v>FddStrucText</v>
      </c>
      <c r="K573" s="276"/>
      <c r="L573" s="272"/>
      <c r="M573" s="272"/>
      <c r="N573" s="273"/>
      <c r="O573" s="269"/>
      <c r="P573" s="37">
        <v>117782</v>
      </c>
      <c r="Q573" s="36" t="str">
        <f>CONCATENATE(Cover!$D$6,"fdd/view?i=",P573)</f>
        <v>https://www.dgiwg.org/FAD/fdd/view?i=117782</v>
      </c>
      <c r="R573" s="13" t="s">
        <v>8753</v>
      </c>
      <c r="S573" s="172"/>
      <c r="T573" s="172"/>
      <c r="CY573" s="165" t="s">
        <v>1790</v>
      </c>
    </row>
    <row r="574" spans="1:103" ht="25.5" x14ac:dyDescent="0.2">
      <c r="A574" s="176" t="str">
        <f t="shared" si="12"/>
        <v>fisheryFleetSize</v>
      </c>
      <c r="B574" s="11" t="s">
        <v>8759</v>
      </c>
      <c r="C574" s="173"/>
      <c r="D574" s="22" t="s">
        <v>8760</v>
      </c>
      <c r="E574" s="15" t="s">
        <v>8761</v>
      </c>
      <c r="F574" s="15" t="s">
        <v>8762</v>
      </c>
      <c r="G574" s="174"/>
      <c r="H574" s="17" t="s">
        <v>5932</v>
      </c>
      <c r="I574" s="269"/>
      <c r="J574" s="369" t="str">
        <f>HYPERLINK("[#]Datatypes!B1231:L1231","Real")</f>
        <v>Real</v>
      </c>
      <c r="K574" s="271" t="str">
        <f>HYPERLINK("[#]PhysicalQuantities!A28:N28","Mass")</f>
        <v>Mass</v>
      </c>
      <c r="L574" s="270" t="str">
        <f>HYPERLINK("[#]UnitsOfMeasure!D126:G126","Tonne")</f>
        <v>Tonne</v>
      </c>
      <c r="M574" s="272"/>
      <c r="N574" s="273"/>
      <c r="O574" s="269"/>
      <c r="P574" s="37">
        <v>111551</v>
      </c>
      <c r="Q574" s="36" t="str">
        <f>CONCATENATE(Cover!$D$6,"fdd/view?i=",P574)</f>
        <v>https://www.dgiwg.org/FAD/fdd/view?i=111551</v>
      </c>
      <c r="R574" s="13" t="s">
        <v>8758</v>
      </c>
      <c r="S574" s="172"/>
      <c r="T574" s="172"/>
      <c r="AK574" s="83" t="s">
        <v>1790</v>
      </c>
      <c r="CQ574" s="165" t="s">
        <v>1790</v>
      </c>
    </row>
    <row r="575" spans="1:103" x14ac:dyDescent="0.2">
      <c r="A575" s="176" t="str">
        <f t="shared" si="12"/>
        <v>fishingFacilityType</v>
      </c>
      <c r="B575" s="11" t="s">
        <v>8764</v>
      </c>
      <c r="C575" s="173"/>
      <c r="D575" s="22" t="s">
        <v>8765</v>
      </c>
      <c r="E575" s="15" t="s">
        <v>8766</v>
      </c>
      <c r="F575" s="174"/>
      <c r="G575" s="174"/>
      <c r="H575" s="17" t="s">
        <v>5932</v>
      </c>
      <c r="I575" s="269"/>
      <c r="J575" s="369" t="str">
        <f>HYPERLINK("[#]Datatypes!B578:L578","FfcCode")</f>
        <v>FfcCode</v>
      </c>
      <c r="K575" s="276"/>
      <c r="L575" s="272"/>
      <c r="M575" s="272"/>
      <c r="N575" s="248" t="str">
        <f>HYPERLINK("[#]DatatypeListedValues!A3988:H3988","&lt;values&gt;")</f>
        <v>&lt;values&gt;</v>
      </c>
      <c r="O575" s="277" t="b">
        <v>0</v>
      </c>
      <c r="P575" s="37">
        <v>100887</v>
      </c>
      <c r="Q575" s="36" t="str">
        <f>CONCATENATE(Cover!$D$6,"fdd/view?i=",P575)</f>
        <v>https://www.dgiwg.org/FAD/fdd/view?i=100887</v>
      </c>
      <c r="R575" s="13" t="s">
        <v>8763</v>
      </c>
      <c r="S575" s="172"/>
      <c r="T575" s="172"/>
      <c r="AC575" s="82" t="s">
        <v>1790</v>
      </c>
      <c r="CA575" s="83" t="s">
        <v>1790</v>
      </c>
      <c r="CT575" s="166" t="s">
        <v>1790</v>
      </c>
    </row>
    <row r="576" spans="1:103" ht="25.5" x14ac:dyDescent="0.2">
      <c r="A576" s="176" t="str">
        <f t="shared" si="12"/>
        <v>fixedMarks</v>
      </c>
      <c r="B576" s="11" t="s">
        <v>8769</v>
      </c>
      <c r="C576" s="173"/>
      <c r="D576" s="22" t="s">
        <v>8770</v>
      </c>
      <c r="E576" s="15" t="s">
        <v>8771</v>
      </c>
      <c r="F576" s="174"/>
      <c r="G576" s="174"/>
      <c r="H576" s="17" t="s">
        <v>5932</v>
      </c>
      <c r="I576" s="269"/>
      <c r="J576" s="369" t="str">
        <f>HYPERLINK("[#]Datatypes!B240:L240","Boolean")</f>
        <v>Boolean</v>
      </c>
      <c r="K576" s="276"/>
      <c r="L576" s="272"/>
      <c r="M576" s="272"/>
      <c r="N576" s="273"/>
      <c r="O576" s="269"/>
      <c r="P576" s="37">
        <v>101381</v>
      </c>
      <c r="Q576" s="36" t="str">
        <f>CONCATENATE(Cover!$D$6,"fdd/view?i=",P576)</f>
        <v>https://www.dgiwg.org/FAD/fdd/view?i=101381</v>
      </c>
      <c r="R576" s="13" t="s">
        <v>8768</v>
      </c>
      <c r="S576" s="172"/>
      <c r="T576" s="172"/>
      <c r="AS576" s="82" t="s">
        <v>1790</v>
      </c>
      <c r="BF576" s="83" t="s">
        <v>1790</v>
      </c>
    </row>
    <row r="577" spans="1:106" ht="25.5" x14ac:dyDescent="0.2">
      <c r="A577" s="176" t="str">
        <f t="shared" si="12"/>
        <v>fpapOffsetLength</v>
      </c>
      <c r="B577" s="11" t="s">
        <v>8773</v>
      </c>
      <c r="C577" s="173"/>
      <c r="D577" s="22" t="s">
        <v>8774</v>
      </c>
      <c r="E577" s="15" t="s">
        <v>8775</v>
      </c>
      <c r="F577" s="174"/>
      <c r="G577" s="174"/>
      <c r="H577" s="17" t="s">
        <v>5932</v>
      </c>
      <c r="I577" s="269"/>
      <c r="J577" s="369" t="str">
        <f>HYPERLINK("[#]Datatypes!B1048:L1048","RealNonNegative")</f>
        <v>RealNonNegative</v>
      </c>
      <c r="K577" s="271" t="str">
        <f>HYPERLINK("[#]PhysicalQuantities!A20:N20","Length")</f>
        <v>Length</v>
      </c>
      <c r="L577" s="270" t="str">
        <f>HYPERLINK("[#]UnitsOfMeasure!D80:G80","Metre")</f>
        <v>Metre</v>
      </c>
      <c r="M577" s="272"/>
      <c r="N577" s="273"/>
      <c r="O577" s="269"/>
      <c r="P577" s="37">
        <v>119604</v>
      </c>
      <c r="Q577" s="36" t="str">
        <f>CONCATENATE(Cover!$D$6,"fdd/view?i=",P577)</f>
        <v>https://www.dgiwg.org/FAD/fdd/view?i=119604</v>
      </c>
      <c r="R577" s="13" t="s">
        <v>8772</v>
      </c>
      <c r="S577" s="172"/>
      <c r="T577" s="172"/>
      <c r="AT577" s="82" t="s">
        <v>1790</v>
      </c>
      <c r="CF577" s="83" t="s">
        <v>1790</v>
      </c>
      <c r="CQ577" s="165" t="s">
        <v>1790</v>
      </c>
    </row>
    <row r="578" spans="1:106" ht="25.5" x14ac:dyDescent="0.2">
      <c r="A578" s="176" t="str">
        <f t="shared" si="12"/>
        <v>procedureTurnNotAuthorised</v>
      </c>
      <c r="B578" s="11" t="s">
        <v>8777</v>
      </c>
      <c r="C578" s="173"/>
      <c r="D578" s="22" t="s">
        <v>8778</v>
      </c>
      <c r="E578" s="15" t="s">
        <v>8779</v>
      </c>
      <c r="F578" s="174"/>
      <c r="G578" s="174"/>
      <c r="H578" s="17" t="s">
        <v>5932</v>
      </c>
      <c r="I578" s="269"/>
      <c r="J578" s="369" t="str">
        <f>HYPERLINK("[#]Datatypes!B240:L240","Boolean")</f>
        <v>Boolean</v>
      </c>
      <c r="K578" s="276"/>
      <c r="L578" s="272"/>
      <c r="M578" s="272"/>
      <c r="N578" s="273"/>
      <c r="O578" s="269"/>
      <c r="P578" s="37">
        <v>119607</v>
      </c>
      <c r="Q578" s="36" t="str">
        <f>CONCATENATE(Cover!$D$6,"fdd/view?i=",P578)</f>
        <v>https://www.dgiwg.org/FAD/fdd/view?i=119607</v>
      </c>
      <c r="R578" s="13" t="s">
        <v>8776</v>
      </c>
      <c r="S578" s="172"/>
      <c r="T578" s="172"/>
      <c r="AT578" s="82" t="s">
        <v>1790</v>
      </c>
      <c r="CF578" s="83" t="s">
        <v>1790</v>
      </c>
      <c r="CT578" s="166" t="s">
        <v>1790</v>
      </c>
    </row>
    <row r="579" spans="1:106" ht="25.5" x14ac:dyDescent="0.2">
      <c r="A579" s="176" t="str">
        <f t="shared" ref="A579:A642" si="13">HYPERLINK(Q579,R579)</f>
        <v>flightRuleType</v>
      </c>
      <c r="B579" s="11" t="s">
        <v>8781</v>
      </c>
      <c r="C579" s="173"/>
      <c r="D579" s="22" t="s">
        <v>8782</v>
      </c>
      <c r="E579" s="15" t="s">
        <v>8783</v>
      </c>
      <c r="F579" s="15" t="s">
        <v>8784</v>
      </c>
      <c r="G579" s="174"/>
      <c r="H579" s="17" t="s">
        <v>5932</v>
      </c>
      <c r="I579" s="269"/>
      <c r="J579" s="369" t="str">
        <f>HYPERLINK("[#]Datatypes!B580:L580","AfrCode")</f>
        <v>AfrCode</v>
      </c>
      <c r="K579" s="276"/>
      <c r="L579" s="272"/>
      <c r="M579" s="272"/>
      <c r="N579" s="248" t="str">
        <f>HYPERLINK("[#]DatatypeListedValues!A3997:H3997","&lt;values&gt;")</f>
        <v>&lt;values&gt;</v>
      </c>
      <c r="O579" s="277" t="b">
        <v>0</v>
      </c>
      <c r="P579" s="37">
        <v>117483</v>
      </c>
      <c r="Q579" s="36" t="str">
        <f>CONCATENATE(Cover!$D$6,"fdd/view?i=",P579)</f>
        <v>https://www.dgiwg.org/FAD/fdd/view?i=117483</v>
      </c>
      <c r="R579" s="13" t="s">
        <v>8780</v>
      </c>
      <c r="S579" s="172"/>
      <c r="T579" s="172"/>
      <c r="CF579" s="83" t="s">
        <v>1790</v>
      </c>
    </row>
    <row r="580" spans="1:106" ht="25.5" x14ac:dyDescent="0.2">
      <c r="A580" s="176" t="str">
        <f t="shared" si="13"/>
        <v>flightStripCapable</v>
      </c>
      <c r="B580" s="11" t="s">
        <v>8787</v>
      </c>
      <c r="C580" s="173"/>
      <c r="D580" s="22" t="s">
        <v>8788</v>
      </c>
      <c r="E580" s="15" t="s">
        <v>8789</v>
      </c>
      <c r="F580" s="15" t="s">
        <v>8790</v>
      </c>
      <c r="G580" s="174"/>
      <c r="H580" s="17" t="s">
        <v>5932</v>
      </c>
      <c r="I580" s="269"/>
      <c r="J580" s="369" t="str">
        <f>HYPERLINK("[#]Datatypes!B240:L240","Boolean")</f>
        <v>Boolean</v>
      </c>
      <c r="K580" s="276"/>
      <c r="L580" s="272"/>
      <c r="M580" s="272"/>
      <c r="N580" s="273"/>
      <c r="O580" s="269"/>
      <c r="P580" s="37">
        <v>103060</v>
      </c>
      <c r="Q580" s="36" t="str">
        <f>CONCATENATE(Cover!$D$6,"fdd/view?i=",P580)</f>
        <v>https://www.dgiwg.org/FAD/fdd/view?i=103060</v>
      </c>
      <c r="R580" s="13" t="s">
        <v>8786</v>
      </c>
      <c r="S580" s="172"/>
      <c r="T580" s="172"/>
      <c r="AQ580" s="82" t="s">
        <v>1790</v>
      </c>
      <c r="AT580" s="82" t="s">
        <v>1790</v>
      </c>
      <c r="CE580" s="87" t="s">
        <v>1790</v>
      </c>
      <c r="CJ580" s="81" t="s">
        <v>1790</v>
      </c>
      <c r="CT580" s="166" t="s">
        <v>1790</v>
      </c>
    </row>
    <row r="581" spans="1:106" x14ac:dyDescent="0.2">
      <c r="A581" s="176" t="str">
        <f t="shared" si="13"/>
        <v>floating</v>
      </c>
      <c r="B581" s="11" t="s">
        <v>8792</v>
      </c>
      <c r="C581" s="173"/>
      <c r="D581" s="22" t="s">
        <v>8793</v>
      </c>
      <c r="E581" s="15" t="s">
        <v>8794</v>
      </c>
      <c r="F581" s="174"/>
      <c r="G581" s="174"/>
      <c r="H581" s="17" t="s">
        <v>5932</v>
      </c>
      <c r="I581" s="269"/>
      <c r="J581" s="369" t="str">
        <f>HYPERLINK("[#]Datatypes!B240:L240","Boolean")</f>
        <v>Boolean</v>
      </c>
      <c r="K581" s="276"/>
      <c r="L581" s="272"/>
      <c r="M581" s="272"/>
      <c r="N581" s="273"/>
      <c r="O581" s="269"/>
      <c r="P581" s="37">
        <v>110761</v>
      </c>
      <c r="Q581" s="36" t="str">
        <f>CONCATENATE(Cover!$D$6,"fdd/view?i=",P581)</f>
        <v>https://www.dgiwg.org/FAD/fdd/view?i=110761</v>
      </c>
      <c r="R581" s="13" t="s">
        <v>8791</v>
      </c>
      <c r="S581" s="172"/>
      <c r="T581" s="172"/>
      <c r="CP581" s="164" t="s">
        <v>1790</v>
      </c>
      <c r="CS581" s="165" t="s">
        <v>1790</v>
      </c>
      <c r="CT581" s="166" t="s">
        <v>1790</v>
      </c>
    </row>
    <row r="582" spans="1:106" x14ac:dyDescent="0.2">
      <c r="A582" s="176" t="str">
        <f t="shared" si="13"/>
        <v>floatingBarrierType</v>
      </c>
      <c r="B582" s="11" t="s">
        <v>8796</v>
      </c>
      <c r="C582" s="173"/>
      <c r="D582" s="22" t="s">
        <v>8797</v>
      </c>
      <c r="E582" s="15" t="s">
        <v>8798</v>
      </c>
      <c r="F582" s="174"/>
      <c r="G582" s="174"/>
      <c r="H582" s="17" t="s">
        <v>5932</v>
      </c>
      <c r="I582" s="269"/>
      <c r="J582" s="369" t="str">
        <f>HYPERLINK("[#]Datatypes!B582:L582","FbtCode")</f>
        <v>FbtCode</v>
      </c>
      <c r="K582" s="276"/>
      <c r="L582" s="272"/>
      <c r="M582" s="272"/>
      <c r="N582" s="248" t="str">
        <f>HYPERLINK("[#]DatatypeListedValues!A4000:H4000","&lt;values&gt;")</f>
        <v>&lt;values&gt;</v>
      </c>
      <c r="O582" s="277" t="b">
        <v>0</v>
      </c>
      <c r="P582" s="37">
        <v>117780</v>
      </c>
      <c r="Q582" s="36" t="str">
        <f>CONCATENATE(Cover!$D$6,"fdd/view?i=",P582)</f>
        <v>https://www.dgiwg.org/FAD/fdd/view?i=117780</v>
      </c>
      <c r="R582" s="13" t="s">
        <v>8795</v>
      </c>
      <c r="S582" s="172"/>
      <c r="T582" s="172"/>
      <c r="AZ582" s="87" t="s">
        <v>1790</v>
      </c>
      <c r="BA582" s="83" t="s">
        <v>1790</v>
      </c>
      <c r="BJ582" s="83" t="s">
        <v>1790</v>
      </c>
      <c r="CS582" s="165" t="s">
        <v>1790</v>
      </c>
      <c r="DA582" s="165" t="s">
        <v>1790</v>
      </c>
    </row>
    <row r="583" spans="1:106" ht="25.5" x14ac:dyDescent="0.2">
      <c r="A583" s="176" t="str">
        <f t="shared" si="13"/>
        <v>floodControlStructureType</v>
      </c>
      <c r="B583" s="11" t="s">
        <v>8801</v>
      </c>
      <c r="C583" s="173"/>
      <c r="D583" s="22" t="s">
        <v>8802</v>
      </c>
      <c r="E583" s="15" t="s">
        <v>8803</v>
      </c>
      <c r="F583" s="174"/>
      <c r="G583" s="174"/>
      <c r="H583" s="17" t="s">
        <v>5932</v>
      </c>
      <c r="I583" s="269"/>
      <c r="J583" s="369" t="str">
        <f>HYPERLINK("[#]Datatypes!B584:L584","FcsCode")</f>
        <v>FcsCode</v>
      </c>
      <c r="K583" s="276"/>
      <c r="L583" s="272"/>
      <c r="M583" s="272"/>
      <c r="N583" s="248" t="str">
        <f>HYPERLINK("[#]DatatypeListedValues!A4004:H4004","&lt;values&gt;")</f>
        <v>&lt;values&gt;</v>
      </c>
      <c r="O583" s="277" t="b">
        <v>0</v>
      </c>
      <c r="P583" s="37">
        <v>117781</v>
      </c>
      <c r="Q583" s="36" t="str">
        <f>CONCATENATE(Cover!$D$6,"fdd/view?i=",P583)</f>
        <v>https://www.dgiwg.org/FAD/fdd/view?i=117781</v>
      </c>
      <c r="R583" s="13" t="s">
        <v>8800</v>
      </c>
      <c r="S583" s="172"/>
      <c r="T583" s="172"/>
      <c r="AZ583" s="87" t="s">
        <v>1790</v>
      </c>
      <c r="BA583" s="83" t="s">
        <v>1790</v>
      </c>
      <c r="BJ583" s="83" t="s">
        <v>1790</v>
      </c>
      <c r="CS583" s="165" t="s">
        <v>1790</v>
      </c>
    </row>
    <row r="584" spans="1:106" x14ac:dyDescent="0.2">
      <c r="A584" s="176" t="str">
        <f t="shared" si="13"/>
        <v>floodlit</v>
      </c>
      <c r="B584" s="11" t="s">
        <v>8806</v>
      </c>
      <c r="C584" s="173"/>
      <c r="D584" s="22" t="s">
        <v>8807</v>
      </c>
      <c r="E584" s="15" t="s">
        <v>8808</v>
      </c>
      <c r="F584" s="174"/>
      <c r="G584" s="174"/>
      <c r="H584" s="17" t="s">
        <v>5932</v>
      </c>
      <c r="I584" s="269"/>
      <c r="J584" s="369" t="str">
        <f>HYPERLINK("[#]Datatypes!B240:L240","Boolean")</f>
        <v>Boolean</v>
      </c>
      <c r="K584" s="276"/>
      <c r="L584" s="272"/>
      <c r="M584" s="272"/>
      <c r="N584" s="273"/>
      <c r="O584" s="269"/>
      <c r="P584" s="37">
        <v>110704</v>
      </c>
      <c r="Q584" s="36" t="str">
        <f>CONCATENATE(Cover!$D$6,"fdd/view?i=",P584)</f>
        <v>https://www.dgiwg.org/FAD/fdd/view?i=110704</v>
      </c>
      <c r="R584" s="13" t="s">
        <v>8805</v>
      </c>
      <c r="S584" s="172"/>
      <c r="T584" s="172"/>
      <c r="CS584" s="165" t="s">
        <v>1790</v>
      </c>
    </row>
    <row r="585" spans="1:106" x14ac:dyDescent="0.2">
      <c r="A585" s="176" t="str">
        <f t="shared" si="13"/>
        <v>floorCount</v>
      </c>
      <c r="B585" s="11" t="s">
        <v>8810</v>
      </c>
      <c r="C585" s="173"/>
      <c r="D585" s="22" t="s">
        <v>8811</v>
      </c>
      <c r="E585" s="15" t="s">
        <v>8812</v>
      </c>
      <c r="F585" s="174"/>
      <c r="G585" s="174"/>
      <c r="H585" s="17" t="s">
        <v>5932</v>
      </c>
      <c r="I585" s="269"/>
      <c r="J585" s="369" t="str">
        <f>HYPERLINK("[#]Datatypes!B380:L380","Count")</f>
        <v>Count</v>
      </c>
      <c r="K585" s="276"/>
      <c r="L585" s="272"/>
      <c r="M585" s="272"/>
      <c r="N585" s="273"/>
      <c r="O585" s="269"/>
      <c r="P585" s="37">
        <v>100668</v>
      </c>
      <c r="Q585" s="36" t="str">
        <f>CONCATENATE(Cover!$D$6,"fdd/view?i=",P585)</f>
        <v>https://www.dgiwg.org/FAD/fdd/view?i=100668</v>
      </c>
      <c r="R585" s="13" t="s">
        <v>8809</v>
      </c>
      <c r="S585" s="172"/>
      <c r="T585" s="172"/>
      <c r="AI585" s="87" t="s">
        <v>1790</v>
      </c>
      <c r="CQ585" s="165" t="s">
        <v>1790</v>
      </c>
    </row>
    <row r="586" spans="1:106" x14ac:dyDescent="0.2">
      <c r="A586" s="176" t="str">
        <f t="shared" si="13"/>
        <v>fogDetectorLightPresent</v>
      </c>
      <c r="B586" s="11" t="s">
        <v>8814</v>
      </c>
      <c r="C586" s="173"/>
      <c r="D586" s="22" t="s">
        <v>8815</v>
      </c>
      <c r="E586" s="15" t="s">
        <v>8816</v>
      </c>
      <c r="F586" s="174"/>
      <c r="G586" s="174"/>
      <c r="H586" s="17" t="s">
        <v>5932</v>
      </c>
      <c r="I586" s="269"/>
      <c r="J586" s="369" t="str">
        <f>HYPERLINK("[#]Datatypes!B240:L240","Boolean")</f>
        <v>Boolean</v>
      </c>
      <c r="K586" s="276"/>
      <c r="L586" s="272"/>
      <c r="M586" s="272"/>
      <c r="N586" s="273"/>
      <c r="O586" s="269"/>
      <c r="P586" s="37">
        <v>100881</v>
      </c>
      <c r="Q586" s="36" t="str">
        <f>CONCATENATE(Cover!$D$6,"fdd/view?i=",P586)</f>
        <v>https://www.dgiwg.org/FAD/fdd/view?i=100881</v>
      </c>
      <c r="R586" s="13" t="s">
        <v>8813</v>
      </c>
      <c r="S586" s="172"/>
      <c r="T586" s="172"/>
      <c r="AS586" s="82" t="s">
        <v>1790</v>
      </c>
      <c r="AT586" s="82" t="s">
        <v>1790</v>
      </c>
      <c r="BF586" s="83" t="s">
        <v>1790</v>
      </c>
      <c r="CE586" s="87" t="s">
        <v>1790</v>
      </c>
      <c r="CH586" s="83" t="s">
        <v>1790</v>
      </c>
    </row>
    <row r="587" spans="1:106" x14ac:dyDescent="0.2">
      <c r="A587" s="176" t="str">
        <f t="shared" si="13"/>
        <v>fogSignalGenerationType</v>
      </c>
      <c r="B587" s="11" t="s">
        <v>8818</v>
      </c>
      <c r="C587" s="173"/>
      <c r="D587" s="22" t="s">
        <v>8819</v>
      </c>
      <c r="E587" s="15" t="s">
        <v>8820</v>
      </c>
      <c r="F587" s="174"/>
      <c r="G587" s="174"/>
      <c r="H587" s="17" t="s">
        <v>5932</v>
      </c>
      <c r="I587" s="269"/>
      <c r="J587" s="369" t="str">
        <f>HYPERLINK("[#]Datatypes!B586:L586","GenCode")</f>
        <v>GenCode</v>
      </c>
      <c r="K587" s="276"/>
      <c r="L587" s="272"/>
      <c r="M587" s="272"/>
      <c r="N587" s="248" t="str">
        <f>HYPERLINK("[#]DatatypeListedValues!A4009:H4009","&lt;values&gt;")</f>
        <v>&lt;values&gt;</v>
      </c>
      <c r="O587" s="277" t="b">
        <v>0</v>
      </c>
      <c r="P587" s="37">
        <v>100911</v>
      </c>
      <c r="Q587" s="36" t="str">
        <f>CONCATENATE(Cover!$D$6,"fdd/view?i=",P587)</f>
        <v>https://www.dgiwg.org/FAD/fdd/view?i=100911</v>
      </c>
      <c r="R587" s="13" t="s">
        <v>8817</v>
      </c>
      <c r="S587" s="172"/>
      <c r="T587" s="172"/>
      <c r="CT587" s="166" t="s">
        <v>1790</v>
      </c>
    </row>
    <row r="588" spans="1:106" ht="25.5" x14ac:dyDescent="0.2">
      <c r="A588" s="176" t="str">
        <f t="shared" si="13"/>
        <v>fogSignalType</v>
      </c>
      <c r="B588" s="11" t="s">
        <v>8823</v>
      </c>
      <c r="C588" s="173"/>
      <c r="D588" s="22" t="s">
        <v>8824</v>
      </c>
      <c r="E588" s="15" t="s">
        <v>8825</v>
      </c>
      <c r="F588" s="174"/>
      <c r="G588" s="174"/>
      <c r="H588" s="17" t="s">
        <v>5932</v>
      </c>
      <c r="I588" s="269"/>
      <c r="J588" s="369" t="str">
        <f>HYPERLINK("[#]Datatypes!B588:L588","SstCode")</f>
        <v>SstCode</v>
      </c>
      <c r="K588" s="276"/>
      <c r="L588" s="272"/>
      <c r="M588" s="272"/>
      <c r="N588" s="248" t="str">
        <f>HYPERLINK("[#]DatatypeListedValues!A4013:H4013","&lt;values&gt;")</f>
        <v>&lt;values&gt;</v>
      </c>
      <c r="O588" s="277" t="b">
        <v>0</v>
      </c>
      <c r="P588" s="37">
        <v>101333</v>
      </c>
      <c r="Q588" s="36" t="str">
        <f>CONCATENATE(Cover!$D$6,"fdd/view?i=",P588)</f>
        <v>https://www.dgiwg.org/FAD/fdd/view?i=101333</v>
      </c>
      <c r="R588" s="13" t="s">
        <v>8822</v>
      </c>
      <c r="S588" s="172"/>
      <c r="T588" s="172"/>
      <c r="AS588" s="82" t="s">
        <v>1790</v>
      </c>
      <c r="BA588" s="83" t="s">
        <v>1790</v>
      </c>
      <c r="BF588" s="83" t="s">
        <v>1790</v>
      </c>
      <c r="CT588" s="166" t="s">
        <v>1790</v>
      </c>
    </row>
    <row r="589" spans="1:106" x14ac:dyDescent="0.2">
      <c r="A589" s="176" t="str">
        <f t="shared" si="13"/>
        <v>foliageType</v>
      </c>
      <c r="B589" s="11" t="s">
        <v>8828</v>
      </c>
      <c r="C589" s="173"/>
      <c r="D589" s="22" t="s">
        <v>8829</v>
      </c>
      <c r="E589" s="15" t="s">
        <v>8830</v>
      </c>
      <c r="F589" s="174"/>
      <c r="G589" s="174"/>
      <c r="H589" s="17" t="s">
        <v>5932</v>
      </c>
      <c r="I589" s="269"/>
      <c r="J589" s="369" t="str">
        <f>HYPERLINK("[#]Datatypes!B590:L590","TreCode")</f>
        <v>TreCode</v>
      </c>
      <c r="K589" s="276"/>
      <c r="L589" s="272"/>
      <c r="M589" s="272"/>
      <c r="N589" s="248" t="str">
        <f>HYPERLINK("[#]DatatypeListedValues!A4026:H4026","&lt;values&gt;")</f>
        <v>&lt;values&gt;</v>
      </c>
      <c r="O589" s="277" t="b">
        <v>0</v>
      </c>
      <c r="P589" s="37">
        <v>101379</v>
      </c>
      <c r="Q589" s="36" t="str">
        <f>CONCATENATE(Cover!$D$6,"fdd/view?i=",P589)</f>
        <v>https://www.dgiwg.org/FAD/fdd/view?i=101379</v>
      </c>
      <c r="R589" s="13" t="s">
        <v>8827</v>
      </c>
      <c r="S589" s="172"/>
      <c r="T589" s="172"/>
      <c r="BW589" s="83" t="s">
        <v>1790</v>
      </c>
      <c r="CS589" s="165" t="s">
        <v>1790</v>
      </c>
    </row>
    <row r="590" spans="1:106" ht="63.75" x14ac:dyDescent="0.2">
      <c r="A590" s="176" t="str">
        <f t="shared" si="13"/>
        <v>foreignGovInfo</v>
      </c>
      <c r="B590" s="11" t="s">
        <v>8833</v>
      </c>
      <c r="C590" s="173"/>
      <c r="D590" s="22" t="s">
        <v>8834</v>
      </c>
      <c r="E590" s="15" t="s">
        <v>8835</v>
      </c>
      <c r="F590" s="15" t="s">
        <v>8836</v>
      </c>
      <c r="G590" s="174"/>
      <c r="H590" s="17" t="s">
        <v>5932</v>
      </c>
      <c r="I590" s="269"/>
      <c r="J590" s="369" t="str">
        <f>HYPERLINK("[#]Datatypes!B592:L592","FgiStrucText")</f>
        <v>FgiStrucText</v>
      </c>
      <c r="K590" s="276"/>
      <c r="L590" s="272"/>
      <c r="M590" s="272"/>
      <c r="N590" s="273"/>
      <c r="O590" s="269"/>
      <c r="P590" s="37">
        <v>114220</v>
      </c>
      <c r="Q590" s="36" t="str">
        <f>CONCATENATE(Cover!$D$6,"fdd/view?i=",P590)</f>
        <v>https://www.dgiwg.org/FAD/fdd/view?i=114220</v>
      </c>
      <c r="R590" s="13" t="s">
        <v>8832</v>
      </c>
      <c r="S590" s="172"/>
      <c r="T590" s="172"/>
      <c r="AM590" s="83" t="s">
        <v>1790</v>
      </c>
      <c r="DA590" s="165" t="s">
        <v>1790</v>
      </c>
      <c r="DB590" s="166" t="s">
        <v>1790</v>
      </c>
    </row>
    <row r="591" spans="1:106" ht="25.5" x14ac:dyDescent="0.2">
      <c r="A591" s="176" t="str">
        <f t="shared" si="13"/>
        <v>forestCondition</v>
      </c>
      <c r="B591" s="11" t="s">
        <v>8839</v>
      </c>
      <c r="C591" s="173"/>
      <c r="D591" s="22" t="s">
        <v>8840</v>
      </c>
      <c r="E591" s="15" t="s">
        <v>8841</v>
      </c>
      <c r="F591" s="174"/>
      <c r="G591" s="174"/>
      <c r="H591" s="17" t="s">
        <v>5932</v>
      </c>
      <c r="I591" s="269"/>
      <c r="J591" s="369" t="str">
        <f>HYPERLINK("[#]Datatypes!B594:L594","FrcCode")</f>
        <v>FrcCode</v>
      </c>
      <c r="K591" s="276"/>
      <c r="L591" s="272"/>
      <c r="M591" s="272"/>
      <c r="N591" s="248" t="str">
        <f>HYPERLINK("[#]DatatypeListedValues!A4031:H4031","&lt;values&gt;")</f>
        <v>&lt;values&gt;</v>
      </c>
      <c r="O591" s="277" t="b">
        <v>0</v>
      </c>
      <c r="P591" s="37">
        <v>111566</v>
      </c>
      <c r="Q591" s="36" t="str">
        <f>CONCATENATE(Cover!$D$6,"fdd/view?i=",P591)</f>
        <v>https://www.dgiwg.org/FAD/fdd/view?i=111566</v>
      </c>
      <c r="R591" s="13" t="s">
        <v>8838</v>
      </c>
      <c r="S591" s="172"/>
      <c r="T591" s="172"/>
      <c r="BW591" s="83" t="s">
        <v>1790</v>
      </c>
      <c r="CS591" s="165" t="s">
        <v>1790</v>
      </c>
    </row>
    <row r="592" spans="1:106" ht="25.5" x14ac:dyDescent="0.2">
      <c r="A592" s="176" t="str">
        <f t="shared" si="13"/>
        <v>forestCoverRatio</v>
      </c>
      <c r="B592" s="11" t="s">
        <v>8844</v>
      </c>
      <c r="C592" s="173"/>
      <c r="D592" s="22" t="s">
        <v>8845</v>
      </c>
      <c r="E592" s="15" t="s">
        <v>8846</v>
      </c>
      <c r="F592" s="174"/>
      <c r="G592" s="174"/>
      <c r="H592" s="17" t="s">
        <v>5932</v>
      </c>
      <c r="I592" s="269"/>
      <c r="J592" s="369" t="str">
        <f>HYPERLINK("[#]Datatypes!B1231:L1231","Real")</f>
        <v>Real</v>
      </c>
      <c r="K592" s="271" t="str">
        <f>HYPERLINK("[#]PhysicalQuantities!A39:N39","Pure Number")</f>
        <v>Pure Number</v>
      </c>
      <c r="L592" s="270" t="str">
        <f>HYPERLINK("[#]UnitsOfMeasure!D215:G215","Percent")</f>
        <v>Percent</v>
      </c>
      <c r="M592" s="272"/>
      <c r="N592" s="273"/>
      <c r="O592" s="269"/>
      <c r="P592" s="37">
        <v>111684</v>
      </c>
      <c r="Q592" s="36" t="str">
        <f>CONCATENATE(Cover!$D$6,"fdd/view?i=",P592)</f>
        <v>https://www.dgiwg.org/FAD/fdd/view?i=111684</v>
      </c>
      <c r="R592" s="13" t="s">
        <v>8843</v>
      </c>
      <c r="S592" s="172"/>
      <c r="T592" s="172"/>
      <c r="AM592" s="83" t="s">
        <v>1790</v>
      </c>
      <c r="BW592" s="83" t="s">
        <v>1790</v>
      </c>
      <c r="CQ592" s="165" t="s">
        <v>1790</v>
      </c>
    </row>
    <row r="593" spans="1:98" x14ac:dyDescent="0.2">
      <c r="A593" s="176" t="str">
        <f t="shared" si="13"/>
        <v>forestFunction</v>
      </c>
      <c r="B593" s="11" t="s">
        <v>8848</v>
      </c>
      <c r="C593" s="173"/>
      <c r="D593" s="22" t="s">
        <v>8849</v>
      </c>
      <c r="E593" s="15" t="s">
        <v>8850</v>
      </c>
      <c r="F593" s="174"/>
      <c r="G593" s="174"/>
      <c r="H593" s="17" t="s">
        <v>5932</v>
      </c>
      <c r="I593" s="269"/>
      <c r="J593" s="369" t="str">
        <f>HYPERLINK("[#]Datatypes!B596:L596","FofCode")</f>
        <v>FofCode</v>
      </c>
      <c r="K593" s="276"/>
      <c r="L593" s="272"/>
      <c r="M593" s="272"/>
      <c r="N593" s="248" t="str">
        <f>HYPERLINK("[#]DatatypeListedValues!A4038:H4038","&lt;values&gt;")</f>
        <v>&lt;values&gt;</v>
      </c>
      <c r="O593" s="277" t="b">
        <v>0</v>
      </c>
      <c r="P593" s="37">
        <v>111564</v>
      </c>
      <c r="Q593" s="36" t="str">
        <f>CONCATENATE(Cover!$D$6,"fdd/view?i=",P593)</f>
        <v>https://www.dgiwg.org/FAD/fdd/view?i=111564</v>
      </c>
      <c r="R593" s="13" t="s">
        <v>8847</v>
      </c>
      <c r="S593" s="172"/>
      <c r="T593" s="172"/>
      <c r="BW593" s="83" t="s">
        <v>1790</v>
      </c>
      <c r="CT593" s="166" t="s">
        <v>1790</v>
      </c>
    </row>
    <row r="594" spans="1:98" x14ac:dyDescent="0.2">
      <c r="A594" s="176" t="str">
        <f t="shared" si="13"/>
        <v>forestHabitat</v>
      </c>
      <c r="B594" s="11" t="s">
        <v>8853</v>
      </c>
      <c r="C594" s="173"/>
      <c r="D594" s="22" t="s">
        <v>8854</v>
      </c>
      <c r="E594" s="15" t="s">
        <v>8855</v>
      </c>
      <c r="F594" s="174"/>
      <c r="G594" s="174"/>
      <c r="H594" s="17" t="s">
        <v>5932</v>
      </c>
      <c r="I594" s="269"/>
      <c r="J594" s="369" t="str">
        <f>HYPERLINK("[#]Datatypes!B598:L598","FtyCode")</f>
        <v>FtyCode</v>
      </c>
      <c r="K594" s="276"/>
      <c r="L594" s="272"/>
      <c r="M594" s="272"/>
      <c r="N594" s="248" t="str">
        <f>HYPERLINK("[#]DatatypeListedValues!A4044:H4044","&lt;values&gt;")</f>
        <v>&lt;values&gt;</v>
      </c>
      <c r="O594" s="277" t="b">
        <v>0</v>
      </c>
      <c r="P594" s="37">
        <v>111567</v>
      </c>
      <c r="Q594" s="36" t="str">
        <f>CONCATENATE(Cover!$D$6,"fdd/view?i=",P594)</f>
        <v>https://www.dgiwg.org/FAD/fdd/view?i=111567</v>
      </c>
      <c r="R594" s="13" t="s">
        <v>8852</v>
      </c>
      <c r="S594" s="172"/>
      <c r="T594" s="172"/>
      <c r="BW594" s="83" t="s">
        <v>1790</v>
      </c>
      <c r="BZ594" s="83" t="s">
        <v>1790</v>
      </c>
      <c r="CP594" s="164" t="s">
        <v>1790</v>
      </c>
      <c r="CS594" s="165" t="s">
        <v>1790</v>
      </c>
    </row>
    <row r="595" spans="1:98" ht="25.5" x14ac:dyDescent="0.2">
      <c r="A595" s="176" t="str">
        <f t="shared" si="13"/>
        <v>forestType</v>
      </c>
      <c r="B595" s="11" t="s">
        <v>8858</v>
      </c>
      <c r="C595" s="173"/>
      <c r="D595" s="22" t="s">
        <v>8859</v>
      </c>
      <c r="E595" s="15" t="s">
        <v>8860</v>
      </c>
      <c r="F595" s="174"/>
      <c r="G595" s="174"/>
      <c r="H595" s="17" t="s">
        <v>5932</v>
      </c>
      <c r="I595" s="269"/>
      <c r="J595" s="369" t="str">
        <f>HYPERLINK("[#]Datatypes!B600:L600","FocCode")</f>
        <v>FocCode</v>
      </c>
      <c r="K595" s="276"/>
      <c r="L595" s="272"/>
      <c r="M595" s="272"/>
      <c r="N595" s="248" t="str">
        <f>HYPERLINK("[#]DatatypeListedValues!A4052:H4052","&lt;values&gt;")</f>
        <v>&lt;values&gt;</v>
      </c>
      <c r="O595" s="277" t="b">
        <v>0</v>
      </c>
      <c r="P595" s="37">
        <v>111562</v>
      </c>
      <c r="Q595" s="36" t="str">
        <f>CONCATENATE(Cover!$D$6,"fdd/view?i=",P595)</f>
        <v>https://www.dgiwg.org/FAD/fdd/view?i=111562</v>
      </c>
      <c r="R595" s="13" t="s">
        <v>8857</v>
      </c>
      <c r="S595" s="172"/>
      <c r="T595" s="172"/>
      <c r="BW595" s="83" t="s">
        <v>1790</v>
      </c>
      <c r="BZ595" s="83" t="s">
        <v>1790</v>
      </c>
      <c r="CB595" s="89" t="s">
        <v>1790</v>
      </c>
    </row>
    <row r="596" spans="1:98" x14ac:dyDescent="0.2">
      <c r="A596" s="176" t="str">
        <f t="shared" si="13"/>
        <v>forestUsageType</v>
      </c>
      <c r="B596" s="11" t="s">
        <v>8863</v>
      </c>
      <c r="C596" s="173"/>
      <c r="D596" s="22" t="s">
        <v>8864</v>
      </c>
      <c r="E596" s="15" t="s">
        <v>8865</v>
      </c>
      <c r="F596" s="174"/>
      <c r="G596" s="174"/>
      <c r="H596" s="17" t="s">
        <v>5932</v>
      </c>
      <c r="I596" s="269"/>
      <c r="J596" s="369" t="str">
        <f>HYPERLINK("[#]Datatypes!B602:L602","FouCode")</f>
        <v>FouCode</v>
      </c>
      <c r="K596" s="276"/>
      <c r="L596" s="272"/>
      <c r="M596" s="272"/>
      <c r="N596" s="248" t="str">
        <f>HYPERLINK("[#]DatatypeListedValues!A4059:H4059","&lt;values&gt;")</f>
        <v>&lt;values&gt;</v>
      </c>
      <c r="O596" s="277" t="b">
        <v>0</v>
      </c>
      <c r="P596" s="37">
        <v>111565</v>
      </c>
      <c r="Q596" s="36" t="str">
        <f>CONCATENATE(Cover!$D$6,"fdd/view?i=",P596)</f>
        <v>https://www.dgiwg.org/FAD/fdd/view?i=111565</v>
      </c>
      <c r="R596" s="13" t="s">
        <v>8862</v>
      </c>
      <c r="S596" s="172"/>
      <c r="T596" s="172"/>
      <c r="AK596" s="83" t="s">
        <v>1790</v>
      </c>
      <c r="BW596" s="83" t="s">
        <v>1790</v>
      </c>
      <c r="CT596" s="166" t="s">
        <v>1790</v>
      </c>
    </row>
    <row r="597" spans="1:98" x14ac:dyDescent="0.2">
      <c r="A597" s="176" t="str">
        <f t="shared" si="13"/>
        <v>forestryForm</v>
      </c>
      <c r="B597" s="11" t="s">
        <v>8868</v>
      </c>
      <c r="C597" s="173"/>
      <c r="D597" s="22" t="s">
        <v>8869</v>
      </c>
      <c r="E597" s="15" t="s">
        <v>8870</v>
      </c>
      <c r="F597" s="174"/>
      <c r="G597" s="174"/>
      <c r="H597" s="17" t="s">
        <v>5932</v>
      </c>
      <c r="I597" s="269"/>
      <c r="J597" s="369" t="str">
        <f>HYPERLINK("[#]Datatypes!B604:L604","FceCode")</f>
        <v>FceCode</v>
      </c>
      <c r="K597" s="276"/>
      <c r="L597" s="272"/>
      <c r="M597" s="272"/>
      <c r="N597" s="248" t="str">
        <f>HYPERLINK("[#]DatatypeListedValues!A4071:H4071","&lt;values&gt;")</f>
        <v>&lt;values&gt;</v>
      </c>
      <c r="O597" s="277" t="b">
        <v>0</v>
      </c>
      <c r="P597" s="37">
        <v>111548</v>
      </c>
      <c r="Q597" s="36" t="str">
        <f>CONCATENATE(Cover!$D$6,"fdd/view?i=",P597)</f>
        <v>https://www.dgiwg.org/FAD/fdd/view?i=111548</v>
      </c>
      <c r="R597" s="13" t="s">
        <v>8867</v>
      </c>
      <c r="S597" s="172"/>
      <c r="T597" s="172"/>
      <c r="AK597" s="83" t="s">
        <v>1790</v>
      </c>
      <c r="BW597" s="83" t="s">
        <v>1790</v>
      </c>
      <c r="CT597" s="166" t="s">
        <v>1790</v>
      </c>
    </row>
    <row r="598" spans="1:98" ht="25.5" x14ac:dyDescent="0.2">
      <c r="A598" s="176" t="str">
        <f t="shared" si="13"/>
        <v>formOfRule</v>
      </c>
      <c r="B598" s="11" t="s">
        <v>8873</v>
      </c>
      <c r="C598" s="173"/>
      <c r="D598" s="22" t="s">
        <v>8874</v>
      </c>
      <c r="E598" s="15" t="s">
        <v>7841</v>
      </c>
      <c r="F598" s="174"/>
      <c r="G598" s="174"/>
      <c r="H598" s="17" t="s">
        <v>5932</v>
      </c>
      <c r="I598" s="269"/>
      <c r="J598" s="369" t="str">
        <f>HYPERLINK("[#]Datatypes!B606:L606","EttCode")</f>
        <v>EttCode</v>
      </c>
      <c r="K598" s="276"/>
      <c r="L598" s="272"/>
      <c r="M598" s="272"/>
      <c r="N598" s="248" t="str">
        <f>HYPERLINK("[#]DatatypeListedValues!A4074:H4074","&lt;values&gt;")</f>
        <v>&lt;values&gt;</v>
      </c>
      <c r="O598" s="277" t="b">
        <v>0</v>
      </c>
      <c r="P598" s="37">
        <v>111546</v>
      </c>
      <c r="Q598" s="36" t="str">
        <f>CONCATENATE(Cover!$D$6,"fdd/view?i=",P598)</f>
        <v>https://www.dgiwg.org/FAD/fdd/view?i=111546</v>
      </c>
      <c r="R598" s="13" t="s">
        <v>8872</v>
      </c>
      <c r="S598" s="172"/>
      <c r="T598" s="172"/>
      <c r="AM598" s="83" t="s">
        <v>1790</v>
      </c>
      <c r="AO598" s="89" t="s">
        <v>1790</v>
      </c>
      <c r="CS598" s="165" t="s">
        <v>1790</v>
      </c>
    </row>
    <row r="599" spans="1:98" ht="38.25" x14ac:dyDescent="0.2">
      <c r="A599" s="176" t="str">
        <f t="shared" si="13"/>
        <v>fortified</v>
      </c>
      <c r="B599" s="11" t="s">
        <v>8877</v>
      </c>
      <c r="C599" s="173"/>
      <c r="D599" s="22" t="s">
        <v>8878</v>
      </c>
      <c r="E599" s="15" t="s">
        <v>8879</v>
      </c>
      <c r="F599" s="174"/>
      <c r="G599" s="174"/>
      <c r="H599" s="17" t="s">
        <v>5932</v>
      </c>
      <c r="I599" s="269"/>
      <c r="J599" s="369" t="str">
        <f>HYPERLINK("[#]Datatypes!B240:L240","Boolean")</f>
        <v>Boolean</v>
      </c>
      <c r="K599" s="276"/>
      <c r="L599" s="272"/>
      <c r="M599" s="272"/>
      <c r="N599" s="273"/>
      <c r="O599" s="269"/>
      <c r="P599" s="37">
        <v>119577</v>
      </c>
      <c r="Q599" s="36" t="str">
        <f>CONCATENATE(Cover!$D$6,"fdd/view?i=",P599)</f>
        <v>https://www.dgiwg.org/FAD/fdd/view?i=119577</v>
      </c>
      <c r="R599" s="13" t="s">
        <v>8876</v>
      </c>
      <c r="S599" s="172"/>
      <c r="T599" s="172"/>
      <c r="AI599" s="87" t="s">
        <v>1790</v>
      </c>
      <c r="CJ599" s="81" t="s">
        <v>1790</v>
      </c>
      <c r="CS599" s="165" t="s">
        <v>1790</v>
      </c>
      <c r="CT599" s="166" t="s">
        <v>1790</v>
      </c>
    </row>
    <row r="600" spans="1:98" ht="25.5" x14ac:dyDescent="0.2">
      <c r="A600" s="176" t="str">
        <f t="shared" si="13"/>
        <v>fortifiedBuildingType</v>
      </c>
      <c r="B600" s="11" t="s">
        <v>8881</v>
      </c>
      <c r="C600" s="173"/>
      <c r="D600" s="22" t="s">
        <v>8882</v>
      </c>
      <c r="E600" s="15" t="s">
        <v>8883</v>
      </c>
      <c r="F600" s="174"/>
      <c r="G600" s="174"/>
      <c r="H600" s="17" t="s">
        <v>5932</v>
      </c>
      <c r="I600" s="269"/>
      <c r="J600" s="369" t="str">
        <f>HYPERLINK("[#]Datatypes!B608:L608","FzrCode")</f>
        <v>FzrCode</v>
      </c>
      <c r="K600" s="276"/>
      <c r="L600" s="272"/>
      <c r="M600" s="272"/>
      <c r="N600" s="248" t="str">
        <f>HYPERLINK("[#]DatatypeListedValues!A4089:H4089","&lt;values&gt;")</f>
        <v>&lt;values&gt;</v>
      </c>
      <c r="O600" s="277" t="b">
        <v>0</v>
      </c>
      <c r="P600" s="37">
        <v>118919</v>
      </c>
      <c r="Q600" s="36" t="str">
        <f>CONCATENATE(Cover!$D$6,"fdd/view?i=",P600)</f>
        <v>https://www.dgiwg.org/FAD/fdd/view?i=118919</v>
      </c>
      <c r="R600" s="13" t="s">
        <v>8880</v>
      </c>
      <c r="S600" s="172"/>
      <c r="T600" s="172"/>
      <c r="AJ600" s="83" t="s">
        <v>1790</v>
      </c>
      <c r="CJ600" s="81" t="s">
        <v>1790</v>
      </c>
      <c r="CS600" s="165" t="s">
        <v>1790</v>
      </c>
      <c r="CT600" s="166" t="s">
        <v>1790</v>
      </c>
    </row>
    <row r="601" spans="1:98" ht="25.5" x14ac:dyDescent="0.2">
      <c r="A601" s="176" t="str">
        <f t="shared" si="13"/>
        <v>frequencyProtectAltitude</v>
      </c>
      <c r="B601" s="11" t="s">
        <v>8886</v>
      </c>
      <c r="C601" s="173"/>
      <c r="D601" s="22" t="s">
        <v>8887</v>
      </c>
      <c r="E601" s="15" t="s">
        <v>8888</v>
      </c>
      <c r="F601" s="174"/>
      <c r="G601" s="174"/>
      <c r="H601" s="17" t="s">
        <v>5932</v>
      </c>
      <c r="I601" s="269"/>
      <c r="J601" s="369" t="str">
        <f>HYPERLINK("[#]Datatypes!B1231:L1231","Real")</f>
        <v>Real</v>
      </c>
      <c r="K601" s="271" t="str">
        <f>HYPERLINK("[#]PhysicalQuantities!A20:N20","Length")</f>
        <v>Length</v>
      </c>
      <c r="L601" s="270" t="str">
        <f>HYPERLINK("[#]UnitsOfMeasure!D103:G103","Foot")</f>
        <v>Foot</v>
      </c>
      <c r="M601" s="270" t="str">
        <f>HYPERLINK("[#]UnitsOfMeasure!D154:G154","Flight Level")</f>
        <v>Flight Level</v>
      </c>
      <c r="N601" s="273"/>
      <c r="O601" s="269"/>
      <c r="P601" s="37">
        <v>119185</v>
      </c>
      <c r="Q601" s="36" t="str">
        <f>CONCATENATE(Cover!$D$6,"fdd/view?i=",P601)</f>
        <v>https://www.dgiwg.org/FAD/fdd/view?i=119185</v>
      </c>
      <c r="R601" s="13" t="s">
        <v>8885</v>
      </c>
      <c r="S601" s="172"/>
      <c r="T601" s="172"/>
      <c r="AE601" s="82" t="s">
        <v>1790</v>
      </c>
      <c r="AT601" s="82" t="s">
        <v>1790</v>
      </c>
      <c r="AW601" s="82" t="s">
        <v>1790</v>
      </c>
      <c r="CP601" s="164" t="s">
        <v>1790</v>
      </c>
    </row>
    <row r="602" spans="1:98" ht="25.5" x14ac:dyDescent="0.2">
      <c r="A602" s="176" t="str">
        <f t="shared" si="13"/>
        <v>frequencyProtectDistance</v>
      </c>
      <c r="B602" s="11" t="s">
        <v>8890</v>
      </c>
      <c r="C602" s="173"/>
      <c r="D602" s="22" t="s">
        <v>8891</v>
      </c>
      <c r="E602" s="15" t="s">
        <v>8892</v>
      </c>
      <c r="F602" s="174"/>
      <c r="G602" s="174"/>
      <c r="H602" s="17" t="s">
        <v>5932</v>
      </c>
      <c r="I602" s="269"/>
      <c r="J602" s="369" t="str">
        <f>HYPERLINK("[#]Datatypes!B1231:L1231","Real")</f>
        <v>Real</v>
      </c>
      <c r="K602" s="271" t="str">
        <f>HYPERLINK("[#]PhysicalQuantities!A20:N20","Length")</f>
        <v>Length</v>
      </c>
      <c r="L602" s="270" t="str">
        <f>HYPERLINK("[#]UnitsOfMeasure!D94:G94","Nautical Mile")</f>
        <v>Nautical Mile</v>
      </c>
      <c r="M602" s="272"/>
      <c r="N602" s="273"/>
      <c r="O602" s="269"/>
      <c r="P602" s="37">
        <v>119186</v>
      </c>
      <c r="Q602" s="36" t="str">
        <f>CONCATENATE(Cover!$D$6,"fdd/view?i=",P602)</f>
        <v>https://www.dgiwg.org/FAD/fdd/view?i=119186</v>
      </c>
      <c r="R602" s="13" t="s">
        <v>8889</v>
      </c>
      <c r="S602" s="172"/>
      <c r="T602" s="172"/>
      <c r="AE602" s="82" t="s">
        <v>1790</v>
      </c>
      <c r="AT602" s="82" t="s">
        <v>1790</v>
      </c>
      <c r="AW602" s="82" t="s">
        <v>1790</v>
      </c>
      <c r="CQ602" s="165" t="s">
        <v>1790</v>
      </c>
    </row>
    <row r="603" spans="1:98" ht="25.5" x14ac:dyDescent="0.2">
      <c r="A603" s="176" t="str">
        <f t="shared" si="13"/>
        <v>frozenCoverType</v>
      </c>
      <c r="B603" s="11" t="s">
        <v>8894</v>
      </c>
      <c r="C603" s="173"/>
      <c r="D603" s="22" t="s">
        <v>8895</v>
      </c>
      <c r="E603" s="15" t="s">
        <v>8896</v>
      </c>
      <c r="F603" s="174"/>
      <c r="G603" s="174"/>
      <c r="H603" s="17" t="s">
        <v>5932</v>
      </c>
      <c r="I603" s="269"/>
      <c r="J603" s="369" t="str">
        <f>HYPERLINK("[#]Datatypes!B610:L610","SicCode")</f>
        <v>SicCode</v>
      </c>
      <c r="K603" s="276"/>
      <c r="L603" s="272"/>
      <c r="M603" s="272"/>
      <c r="N603" s="248" t="str">
        <f>HYPERLINK("[#]DatatypeListedValues!A4095:H4095","&lt;values&gt;")</f>
        <v>&lt;values&gt;</v>
      </c>
      <c r="O603" s="277" t="b">
        <v>0</v>
      </c>
      <c r="P603" s="37">
        <v>101300</v>
      </c>
      <c r="Q603" s="36" t="str">
        <f>CONCATENATE(Cover!$D$6,"fdd/view?i=",P603)</f>
        <v>https://www.dgiwg.org/FAD/fdd/view?i=101300</v>
      </c>
      <c r="R603" s="13" t="s">
        <v>8893</v>
      </c>
      <c r="S603" s="172"/>
      <c r="T603" s="172"/>
      <c r="BH603" s="83" t="s">
        <v>1790</v>
      </c>
      <c r="BO603" s="82" t="s">
        <v>1790</v>
      </c>
      <c r="BR603" s="82" t="s">
        <v>1790</v>
      </c>
      <c r="CS603" s="165" t="s">
        <v>1790</v>
      </c>
    </row>
    <row r="604" spans="1:98" x14ac:dyDescent="0.2">
      <c r="A604" s="176" t="str">
        <f t="shared" si="13"/>
        <v>fuelDispensingMethod</v>
      </c>
      <c r="B604" s="11" t="s">
        <v>8899</v>
      </c>
      <c r="C604" s="173"/>
      <c r="D604" s="22" t="s">
        <v>8900</v>
      </c>
      <c r="E604" s="15" t="s">
        <v>8901</v>
      </c>
      <c r="F604" s="174"/>
      <c r="G604" s="174"/>
      <c r="H604" s="17" t="s">
        <v>5932</v>
      </c>
      <c r="I604" s="17" t="s">
        <v>6029</v>
      </c>
      <c r="J604" s="369" t="str">
        <f>HYPERLINK("[#]Datatypes!B612:L612","FdmCode")</f>
        <v>FdmCode</v>
      </c>
      <c r="K604" s="276"/>
      <c r="L604" s="272"/>
      <c r="M604" s="272"/>
      <c r="N604" s="248" t="str">
        <f>HYPERLINK("[#]DatatypeListedValues!A4097:H4097","&lt;values&gt;")</f>
        <v>&lt;values&gt;</v>
      </c>
      <c r="O604" s="277" t="b">
        <v>0</v>
      </c>
      <c r="P604" s="37">
        <v>100880</v>
      </c>
      <c r="Q604" s="36" t="str">
        <f>CONCATENATE(Cover!$D$6,"fdd/view?i=",P604)</f>
        <v>https://www.dgiwg.org/FAD/fdd/view?i=100880</v>
      </c>
      <c r="R604" s="13" t="s">
        <v>8898</v>
      </c>
      <c r="S604" s="172"/>
      <c r="T604" s="172"/>
      <c r="AF604" s="82" t="s">
        <v>1790</v>
      </c>
      <c r="AG604" s="82" t="s">
        <v>1790</v>
      </c>
      <c r="AW604" s="82" t="s">
        <v>1790</v>
      </c>
      <c r="CT604" s="166" t="s">
        <v>1790</v>
      </c>
    </row>
    <row r="605" spans="1:98" ht="25.5" x14ac:dyDescent="0.2">
      <c r="A605" s="176" t="str">
        <f t="shared" si="13"/>
        <v>fuelFillStandCount</v>
      </c>
      <c r="B605" s="11" t="s">
        <v>8904</v>
      </c>
      <c r="C605" s="173"/>
      <c r="D605" s="22" t="s">
        <v>8905</v>
      </c>
      <c r="E605" s="15" t="s">
        <v>8906</v>
      </c>
      <c r="F605" s="174"/>
      <c r="G605" s="174"/>
      <c r="H605" s="17" t="s">
        <v>5932</v>
      </c>
      <c r="I605" s="269"/>
      <c r="J605" s="369" t="str">
        <f>HYPERLINK("[#]Datatypes!B380:L380","Count")</f>
        <v>Count</v>
      </c>
      <c r="K605" s="276"/>
      <c r="L605" s="272"/>
      <c r="M605" s="272"/>
      <c r="N605" s="273"/>
      <c r="O605" s="269"/>
      <c r="P605" s="37">
        <v>100852</v>
      </c>
      <c r="Q605" s="36" t="str">
        <f>CONCATENATE(Cover!$D$6,"fdd/view?i=",P605)</f>
        <v>https://www.dgiwg.org/FAD/fdd/view?i=100852</v>
      </c>
      <c r="R605" s="13" t="s">
        <v>8903</v>
      </c>
      <c r="S605" s="172"/>
      <c r="T605" s="172"/>
      <c r="AF605" s="82" t="s">
        <v>1790</v>
      </c>
      <c r="AG605" s="82" t="s">
        <v>1790</v>
      </c>
      <c r="AW605" s="82" t="s">
        <v>1790</v>
      </c>
      <c r="CQ605" s="165" t="s">
        <v>1790</v>
      </c>
    </row>
    <row r="606" spans="1:98" ht="25.5" x14ac:dyDescent="0.2">
      <c r="A606" s="176" t="str">
        <f t="shared" si="13"/>
        <v>fuelCapacity</v>
      </c>
      <c r="B606" s="11" t="s">
        <v>8908</v>
      </c>
      <c r="C606" s="173"/>
      <c r="D606" s="22" t="s">
        <v>8909</v>
      </c>
      <c r="E606" s="15" t="s">
        <v>8910</v>
      </c>
      <c r="F606" s="15" t="s">
        <v>8911</v>
      </c>
      <c r="G606" s="174"/>
      <c r="H606" s="17" t="s">
        <v>5932</v>
      </c>
      <c r="I606" s="269"/>
      <c r="J606" s="369" t="str">
        <f>HYPERLINK("[#]Datatypes!B1048:L1048","RealNonNegative")</f>
        <v>RealNonNegative</v>
      </c>
      <c r="K606" s="271" t="str">
        <f>HYPERLINK("[#]PhysicalQuantities!A52:N52","Volume")</f>
        <v>Volume</v>
      </c>
      <c r="L606" s="270" t="str">
        <f>HYPERLINK("[#]UnitsOfMeasure!D272:G272","Cubic Metre")</f>
        <v>Cubic Metre</v>
      </c>
      <c r="M606" s="272"/>
      <c r="N606" s="273"/>
      <c r="O606" s="269"/>
      <c r="P606" s="37">
        <v>119431</v>
      </c>
      <c r="Q606" s="36" t="str">
        <f>CONCATENATE(Cover!$D$6,"fdd/view?i=",P606)</f>
        <v>https://www.dgiwg.org/FAD/fdd/view?i=119431</v>
      </c>
      <c r="R606" s="13" t="s">
        <v>8907</v>
      </c>
      <c r="S606" s="172"/>
      <c r="T606" s="172"/>
      <c r="AG606" s="82" t="s">
        <v>1790</v>
      </c>
      <c r="CQ606" s="165" t="s">
        <v>1790</v>
      </c>
    </row>
    <row r="607" spans="1:98" x14ac:dyDescent="0.2">
      <c r="A607" s="176" t="str">
        <f t="shared" si="13"/>
        <v>fuelStorageMethod</v>
      </c>
      <c r="B607" s="11" t="s">
        <v>8913</v>
      </c>
      <c r="C607" s="173"/>
      <c r="D607" s="22" t="s">
        <v>8914</v>
      </c>
      <c r="E607" s="15" t="s">
        <v>8915</v>
      </c>
      <c r="F607" s="174"/>
      <c r="G607" s="174"/>
      <c r="H607" s="17" t="s">
        <v>5932</v>
      </c>
      <c r="I607" s="17" t="s">
        <v>6029</v>
      </c>
      <c r="J607" s="369" t="str">
        <f>HYPERLINK("[#]Datatypes!B614:L614","B01Code")</f>
        <v>B01Code</v>
      </c>
      <c r="K607" s="276"/>
      <c r="L607" s="272"/>
      <c r="M607" s="272"/>
      <c r="N607" s="248" t="str">
        <f>HYPERLINK("[#]DatatypeListedValues!A4101:H4101","&lt;values&gt;")</f>
        <v>&lt;values&gt;</v>
      </c>
      <c r="O607" s="277" t="b">
        <v>0</v>
      </c>
      <c r="P607" s="37">
        <v>100648</v>
      </c>
      <c r="Q607" s="36" t="str">
        <f>CONCATENATE(Cover!$D$6,"fdd/view?i=",P607)</f>
        <v>https://www.dgiwg.org/FAD/fdd/view?i=100648</v>
      </c>
      <c r="R607" s="13" t="s">
        <v>8912</v>
      </c>
      <c r="S607" s="172"/>
      <c r="T607" s="172"/>
      <c r="AG607" s="82" t="s">
        <v>1790</v>
      </c>
      <c r="AT607" s="82" t="s">
        <v>1790</v>
      </c>
      <c r="AW607" s="82" t="s">
        <v>1790</v>
      </c>
      <c r="CE607" s="87" t="s">
        <v>1790</v>
      </c>
      <c r="CH607" s="83" t="s">
        <v>1790</v>
      </c>
    </row>
    <row r="608" spans="1:98" ht="51" x14ac:dyDescent="0.2">
      <c r="A608" s="176" t="str">
        <f t="shared" si="13"/>
        <v>fujitaTornadoScale</v>
      </c>
      <c r="B608" s="11" t="s">
        <v>8918</v>
      </c>
      <c r="C608" s="173"/>
      <c r="D608" s="22" t="s">
        <v>8919</v>
      </c>
      <c r="E608" s="15" t="s">
        <v>8920</v>
      </c>
      <c r="F608" s="15" t="s">
        <v>8921</v>
      </c>
      <c r="G608" s="174"/>
      <c r="H608" s="17" t="s">
        <v>5932</v>
      </c>
      <c r="I608" s="269"/>
      <c r="J608" s="369" t="str">
        <f>HYPERLINK("[#]Datatypes!B616:L616","FtsCode")</f>
        <v>FtsCode</v>
      </c>
      <c r="K608" s="276"/>
      <c r="L608" s="272"/>
      <c r="M608" s="272"/>
      <c r="N608" s="248" t="str">
        <f>HYPERLINK("[#]DatatypeListedValues!A4111:H4111","&lt;values&gt;")</f>
        <v>&lt;values&gt;</v>
      </c>
      <c r="O608" s="277" t="b">
        <v>0</v>
      </c>
      <c r="P608" s="37">
        <v>119081</v>
      </c>
      <c r="Q608" s="36" t="str">
        <f>CONCATENATE(Cover!$D$6,"fdd/view?i=",P608)</f>
        <v>https://www.dgiwg.org/FAD/fdd/view?i=119081</v>
      </c>
      <c r="R608" s="13" t="s">
        <v>8917</v>
      </c>
      <c r="S608" s="172"/>
      <c r="T608" s="172"/>
      <c r="CM608" s="87" t="s">
        <v>1790</v>
      </c>
      <c r="CQ608" s="165" t="s">
        <v>1790</v>
      </c>
    </row>
    <row r="609" spans="1:101" ht="51" x14ac:dyDescent="0.2">
      <c r="A609" s="176" t="str">
        <f t="shared" si="13"/>
        <v>fullName</v>
      </c>
      <c r="B609" s="11" t="s">
        <v>8924</v>
      </c>
      <c r="C609" s="173"/>
      <c r="D609" s="22" t="s">
        <v>8925</v>
      </c>
      <c r="E609" s="15" t="s">
        <v>8926</v>
      </c>
      <c r="F609" s="15" t="s">
        <v>8927</v>
      </c>
      <c r="G609" s="174"/>
      <c r="H609" s="17" t="s">
        <v>5932</v>
      </c>
      <c r="I609" s="269"/>
      <c r="J609" s="369" t="str">
        <f>HYPERLINK("[#]Datatypes!B1534:L1534","TextLex200")</f>
        <v>TextLex200</v>
      </c>
      <c r="K609" s="276"/>
      <c r="L609" s="272"/>
      <c r="M609" s="272"/>
      <c r="N609" s="273"/>
      <c r="O609" s="269"/>
      <c r="P609" s="37">
        <v>111561</v>
      </c>
      <c r="Q609" s="36" t="str">
        <f>CONCATENATE(Cover!$D$6,"fdd/view?i=",P609)</f>
        <v>https://www.dgiwg.org/FAD/fdd/view?i=111561</v>
      </c>
      <c r="R609" s="13" t="s">
        <v>8923</v>
      </c>
      <c r="S609" s="172"/>
      <c r="T609" s="172"/>
      <c r="CU609" s="87" t="s">
        <v>1790</v>
      </c>
    </row>
    <row r="610" spans="1:101" ht="102" x14ac:dyDescent="0.2">
      <c r="A610" s="176" t="str">
        <f t="shared" si="13"/>
        <v>fullNameOrdered</v>
      </c>
      <c r="B610" s="11" t="s">
        <v>8929</v>
      </c>
      <c r="C610" s="173"/>
      <c r="D610" s="22" t="s">
        <v>8930</v>
      </c>
      <c r="E610" s="15" t="s">
        <v>8931</v>
      </c>
      <c r="F610" s="15" t="s">
        <v>8932</v>
      </c>
      <c r="G610" s="174"/>
      <c r="H610" s="17" t="s">
        <v>5932</v>
      </c>
      <c r="I610" s="269"/>
      <c r="J610" s="369" t="str">
        <f>HYPERLINK("[#]Datatypes!B1534:L1534","TextLex200")</f>
        <v>TextLex200</v>
      </c>
      <c r="K610" s="276"/>
      <c r="L610" s="272"/>
      <c r="M610" s="272"/>
      <c r="N610" s="273"/>
      <c r="O610" s="269"/>
      <c r="P610" s="37">
        <v>111559</v>
      </c>
      <c r="Q610" s="36" t="str">
        <f>CONCATENATE(Cover!$D$6,"fdd/view?i=",P610)</f>
        <v>https://www.dgiwg.org/FAD/fdd/view?i=111559</v>
      </c>
      <c r="R610" s="13" t="s">
        <v>8928</v>
      </c>
      <c r="S610" s="172"/>
      <c r="T610" s="172"/>
      <c r="CU610" s="87" t="s">
        <v>1790</v>
      </c>
    </row>
    <row r="611" spans="1:101" ht="102" x14ac:dyDescent="0.2">
      <c r="A611" s="176" t="str">
        <f t="shared" si="13"/>
        <v>fullNameOrderNoDiacritics</v>
      </c>
      <c r="B611" s="11" t="s">
        <v>8934</v>
      </c>
      <c r="C611" s="173"/>
      <c r="D611" s="22" t="s">
        <v>8935</v>
      </c>
      <c r="E611" s="15" t="s">
        <v>8936</v>
      </c>
      <c r="F611" s="15" t="s">
        <v>8932</v>
      </c>
      <c r="G611" s="174"/>
      <c r="H611" s="17" t="s">
        <v>5932</v>
      </c>
      <c r="I611" s="269"/>
      <c r="J611" s="369" t="str">
        <f>HYPERLINK("[#]Datatypes!B1550:L1550","TextNonLex200")</f>
        <v>TextNonLex200</v>
      </c>
      <c r="K611" s="276"/>
      <c r="L611" s="272"/>
      <c r="M611" s="272"/>
      <c r="N611" s="273"/>
      <c r="O611" s="269"/>
      <c r="P611" s="37">
        <v>111560</v>
      </c>
      <c r="Q611" s="36" t="str">
        <f>CONCATENATE(Cover!$D$6,"fdd/view?i=",P611)</f>
        <v>https://www.dgiwg.org/FAD/fdd/view?i=111560</v>
      </c>
      <c r="R611" s="13" t="s">
        <v>8933</v>
      </c>
      <c r="S611" s="172"/>
      <c r="T611" s="172"/>
      <c r="CU611" s="87" t="s">
        <v>1790</v>
      </c>
    </row>
    <row r="612" spans="1:101" ht="51" x14ac:dyDescent="0.2">
      <c r="A612" s="176" t="str">
        <f t="shared" si="13"/>
        <v>fullNameNoDiacritics</v>
      </c>
      <c r="B612" s="11" t="s">
        <v>8939</v>
      </c>
      <c r="C612" s="173"/>
      <c r="D612" s="22" t="s">
        <v>8940</v>
      </c>
      <c r="E612" s="15" t="s">
        <v>8941</v>
      </c>
      <c r="F612" s="15" t="s">
        <v>8927</v>
      </c>
      <c r="G612" s="174"/>
      <c r="H612" s="17" t="s">
        <v>5932</v>
      </c>
      <c r="I612" s="269"/>
      <c r="J612" s="369" t="str">
        <f>HYPERLINK("[#]Datatypes!B1550:L1550","TextNonLex200")</f>
        <v>TextNonLex200</v>
      </c>
      <c r="K612" s="276"/>
      <c r="L612" s="272"/>
      <c r="M612" s="272"/>
      <c r="N612" s="273"/>
      <c r="O612" s="269"/>
      <c r="P612" s="37">
        <v>111558</v>
      </c>
      <c r="Q612" s="36" t="str">
        <f>CONCATENATE(Cover!$D$6,"fdd/view?i=",P612)</f>
        <v>https://www.dgiwg.org/FAD/fdd/view?i=111558</v>
      </c>
      <c r="R612" s="13" t="s">
        <v>8938</v>
      </c>
      <c r="S612" s="172"/>
      <c r="T612" s="172"/>
      <c r="CU612" s="87" t="s">
        <v>1790</v>
      </c>
    </row>
    <row r="613" spans="1:101" ht="38.25" x14ac:dyDescent="0.2">
      <c r="A613" s="176" t="str">
        <f t="shared" si="13"/>
        <v>functionalUse</v>
      </c>
      <c r="B613" s="11" t="s">
        <v>8943</v>
      </c>
      <c r="C613" s="173"/>
      <c r="D613" s="22" t="s">
        <v>8944</v>
      </c>
      <c r="E613" s="15" t="s">
        <v>8945</v>
      </c>
      <c r="F613" s="15" t="s">
        <v>8946</v>
      </c>
      <c r="G613" s="174"/>
      <c r="H613" s="17" t="s">
        <v>5932</v>
      </c>
      <c r="I613" s="17" t="s">
        <v>6029</v>
      </c>
      <c r="J613" s="369" t="str">
        <f>HYPERLINK("[#]Datatypes!B618:L618","FucCode")</f>
        <v>FucCode</v>
      </c>
      <c r="K613" s="276"/>
      <c r="L613" s="272"/>
      <c r="M613" s="272"/>
      <c r="N613" s="248" t="str">
        <f>HYPERLINK("[#]DatatypeListedValues!A4117:H4117","&lt;values&gt;")</f>
        <v>&lt;values&gt;</v>
      </c>
      <c r="O613" s="277" t="b">
        <v>0</v>
      </c>
      <c r="P613" s="37">
        <v>100904</v>
      </c>
      <c r="Q613" s="36" t="str">
        <f>CONCATENATE(Cover!$D$6,"fdd/view?i=",P613)</f>
        <v>https://www.dgiwg.org/FAD/fdd/view?i=100904</v>
      </c>
      <c r="R613" s="13" t="s">
        <v>8942</v>
      </c>
      <c r="S613" s="172"/>
      <c r="T613" s="172"/>
      <c r="CT613" s="166" t="s">
        <v>1790</v>
      </c>
    </row>
    <row r="614" spans="1:101" x14ac:dyDescent="0.2">
      <c r="A614" s="176" t="str">
        <f t="shared" si="13"/>
        <v>gateUse</v>
      </c>
      <c r="B614" s="11" t="s">
        <v>8949</v>
      </c>
      <c r="C614" s="173"/>
      <c r="D614" s="22" t="s">
        <v>8950</v>
      </c>
      <c r="E614" s="15" t="s">
        <v>8951</v>
      </c>
      <c r="F614" s="174"/>
      <c r="G614" s="174"/>
      <c r="H614" s="17" t="s">
        <v>5932</v>
      </c>
      <c r="I614" s="269"/>
      <c r="J614" s="369" t="str">
        <f>HYPERLINK("[#]Datatypes!B620:L620","GtcCode")</f>
        <v>GtcCode</v>
      </c>
      <c r="K614" s="276"/>
      <c r="L614" s="272"/>
      <c r="M614" s="272"/>
      <c r="N614" s="248" t="str">
        <f>HYPERLINK("[#]DatatypeListedValues!A4146:H4146","&lt;values&gt;")</f>
        <v>&lt;values&gt;</v>
      </c>
      <c r="O614" s="277" t="b">
        <v>0</v>
      </c>
      <c r="P614" s="37">
        <v>100921</v>
      </c>
      <c r="Q614" s="36" t="str">
        <f>CONCATENATE(Cover!$D$6,"fdd/view?i=",P614)</f>
        <v>https://www.dgiwg.org/FAD/fdd/view?i=100921</v>
      </c>
      <c r="R614" s="13" t="s">
        <v>8948</v>
      </c>
      <c r="S614" s="172"/>
      <c r="T614" s="172"/>
      <c r="AM614" s="83" t="s">
        <v>1790</v>
      </c>
      <c r="AU614" s="82" t="s">
        <v>1790</v>
      </c>
      <c r="CC614" s="81" t="s">
        <v>1790</v>
      </c>
      <c r="CT614" s="166" t="s">
        <v>1790</v>
      </c>
    </row>
    <row r="615" spans="1:101" ht="38.25" x14ac:dyDescent="0.2">
      <c r="A615" s="176" t="str">
        <f t="shared" si="13"/>
        <v>gazetteerUse</v>
      </c>
      <c r="B615" s="11" t="s">
        <v>8954</v>
      </c>
      <c r="C615" s="173"/>
      <c r="D615" s="22" t="s">
        <v>8955</v>
      </c>
      <c r="E615" s="15" t="s">
        <v>8956</v>
      </c>
      <c r="F615" s="15" t="s">
        <v>8957</v>
      </c>
      <c r="G615" s="174"/>
      <c r="H615" s="17" t="s">
        <v>5932</v>
      </c>
      <c r="I615" s="269"/>
      <c r="J615" s="369" t="str">
        <f>HYPERLINK("[#]Datatypes!B240:L240","Boolean")</f>
        <v>Boolean</v>
      </c>
      <c r="K615" s="276"/>
      <c r="L615" s="272"/>
      <c r="M615" s="272"/>
      <c r="N615" s="273"/>
      <c r="O615" s="269"/>
      <c r="P615" s="37">
        <v>111570</v>
      </c>
      <c r="Q615" s="36" t="str">
        <f>CONCATENATE(Cover!$D$6,"fdd/view?i=",P615)</f>
        <v>https://www.dgiwg.org/FAD/fdd/view?i=111570</v>
      </c>
      <c r="R615" s="13" t="s">
        <v>8953</v>
      </c>
      <c r="S615" s="172"/>
      <c r="T615" s="172"/>
      <c r="CU615" s="87" t="s">
        <v>1790</v>
      </c>
      <c r="CW615" s="164" t="s">
        <v>1790</v>
      </c>
    </row>
    <row r="616" spans="1:101" ht="25.5" x14ac:dyDescent="0.2">
      <c r="A616" s="176" t="str">
        <f t="shared" si="13"/>
        <v>gdpAgricultureFraction</v>
      </c>
      <c r="B616" s="11" t="s">
        <v>8959</v>
      </c>
      <c r="C616" s="173"/>
      <c r="D616" s="22" t="s">
        <v>8960</v>
      </c>
      <c r="E616" s="15" t="s">
        <v>8961</v>
      </c>
      <c r="F616" s="174"/>
      <c r="G616" s="174"/>
      <c r="H616" s="17" t="s">
        <v>5932</v>
      </c>
      <c r="I616" s="269"/>
      <c r="J616" s="369" t="str">
        <f>HYPERLINK("[#]Datatypes!B1231:L1231","Real")</f>
        <v>Real</v>
      </c>
      <c r="K616" s="271" t="str">
        <f>HYPERLINK("[#]PhysicalQuantities!A39:N39","Pure Number")</f>
        <v>Pure Number</v>
      </c>
      <c r="L616" s="270" t="str">
        <f>HYPERLINK("[#]UnitsOfMeasure!D215:G215","Percent")</f>
        <v>Percent</v>
      </c>
      <c r="M616" s="272"/>
      <c r="N616" s="273"/>
      <c r="O616" s="269"/>
      <c r="P616" s="37">
        <v>111659</v>
      </c>
      <c r="Q616" s="36" t="str">
        <f>CONCATENATE(Cover!$D$6,"fdd/view?i=",P616)</f>
        <v>https://www.dgiwg.org/FAD/fdd/view?i=111659</v>
      </c>
      <c r="R616" s="13" t="s">
        <v>8958</v>
      </c>
      <c r="S616" s="172"/>
      <c r="T616" s="172"/>
      <c r="AK616" s="83" t="s">
        <v>1790</v>
      </c>
      <c r="CQ616" s="165" t="s">
        <v>1790</v>
      </c>
    </row>
    <row r="617" spans="1:101" ht="25.5" x14ac:dyDescent="0.2">
      <c r="A617" s="176" t="str">
        <f t="shared" si="13"/>
        <v>gdpIndustryFraction</v>
      </c>
      <c r="B617" s="11" t="s">
        <v>8963</v>
      </c>
      <c r="C617" s="173"/>
      <c r="D617" s="22" t="s">
        <v>8964</v>
      </c>
      <c r="E617" s="15" t="s">
        <v>8965</v>
      </c>
      <c r="F617" s="174"/>
      <c r="G617" s="174"/>
      <c r="H617" s="17" t="s">
        <v>5932</v>
      </c>
      <c r="I617" s="269"/>
      <c r="J617" s="369" t="str">
        <f>HYPERLINK("[#]Datatypes!B1231:L1231","Real")</f>
        <v>Real</v>
      </c>
      <c r="K617" s="271" t="str">
        <f>HYPERLINK("[#]PhysicalQuantities!A39:N39","Pure Number")</f>
        <v>Pure Number</v>
      </c>
      <c r="L617" s="270" t="str">
        <f>HYPERLINK("[#]UnitsOfMeasure!D215:G215","Percent")</f>
        <v>Percent</v>
      </c>
      <c r="M617" s="272"/>
      <c r="N617" s="273"/>
      <c r="O617" s="269"/>
      <c r="P617" s="37">
        <v>111661</v>
      </c>
      <c r="Q617" s="36" t="str">
        <f>CONCATENATE(Cover!$D$6,"fdd/view?i=",P617)</f>
        <v>https://www.dgiwg.org/FAD/fdd/view?i=111661</v>
      </c>
      <c r="R617" s="13" t="s">
        <v>8962</v>
      </c>
      <c r="S617" s="172"/>
      <c r="T617" s="172"/>
      <c r="AK617" s="83" t="s">
        <v>1790</v>
      </c>
      <c r="CQ617" s="165" t="s">
        <v>1790</v>
      </c>
    </row>
    <row r="618" spans="1:101" ht="25.5" x14ac:dyDescent="0.2">
      <c r="A618" s="176" t="str">
        <f t="shared" si="13"/>
        <v>gdpPrivateFraction</v>
      </c>
      <c r="B618" s="11" t="s">
        <v>8967</v>
      </c>
      <c r="C618" s="173"/>
      <c r="D618" s="22" t="s">
        <v>8968</v>
      </c>
      <c r="E618" s="15" t="s">
        <v>8969</v>
      </c>
      <c r="F618" s="174"/>
      <c r="G618" s="174"/>
      <c r="H618" s="17" t="s">
        <v>5932</v>
      </c>
      <c r="I618" s="269"/>
      <c r="J618" s="369" t="str">
        <f>HYPERLINK("[#]Datatypes!B1231:L1231","Real")</f>
        <v>Real</v>
      </c>
      <c r="K618" s="271" t="str">
        <f>HYPERLINK("[#]PhysicalQuantities!A39:N39","Pure Number")</f>
        <v>Pure Number</v>
      </c>
      <c r="L618" s="270" t="str">
        <f>HYPERLINK("[#]UnitsOfMeasure!D215:G215","Percent")</f>
        <v>Percent</v>
      </c>
      <c r="M618" s="272"/>
      <c r="N618" s="273"/>
      <c r="O618" s="269"/>
      <c r="P618" s="37">
        <v>111662</v>
      </c>
      <c r="Q618" s="36" t="str">
        <f>CONCATENATE(Cover!$D$6,"fdd/view?i=",P618)</f>
        <v>https://www.dgiwg.org/FAD/fdd/view?i=111662</v>
      </c>
      <c r="R618" s="13" t="s">
        <v>8966</v>
      </c>
      <c r="S618" s="172"/>
      <c r="T618" s="172"/>
      <c r="AK618" s="83" t="s">
        <v>1790</v>
      </c>
      <c r="CQ618" s="165" t="s">
        <v>1790</v>
      </c>
    </row>
    <row r="619" spans="1:101" ht="25.5" x14ac:dyDescent="0.2">
      <c r="A619" s="176" t="str">
        <f t="shared" si="13"/>
        <v>gdpServicesFraction</v>
      </c>
      <c r="B619" s="11" t="s">
        <v>8971</v>
      </c>
      <c r="C619" s="173"/>
      <c r="D619" s="22" t="s">
        <v>8972</v>
      </c>
      <c r="E619" s="15" t="s">
        <v>8973</v>
      </c>
      <c r="F619" s="174"/>
      <c r="G619" s="174"/>
      <c r="H619" s="17" t="s">
        <v>5932</v>
      </c>
      <c r="I619" s="269"/>
      <c r="J619" s="369" t="str">
        <f>HYPERLINK("[#]Datatypes!B1231:L1231","Real")</f>
        <v>Real</v>
      </c>
      <c r="K619" s="271" t="str">
        <f>HYPERLINK("[#]PhysicalQuantities!A39:N39","Pure Number")</f>
        <v>Pure Number</v>
      </c>
      <c r="L619" s="270" t="str">
        <f>HYPERLINK("[#]UnitsOfMeasure!D215:G215","Percent")</f>
        <v>Percent</v>
      </c>
      <c r="M619" s="272"/>
      <c r="N619" s="273"/>
      <c r="O619" s="269"/>
      <c r="P619" s="37">
        <v>111660</v>
      </c>
      <c r="Q619" s="36" t="str">
        <f>CONCATENATE(Cover!$D$6,"fdd/view?i=",P619)</f>
        <v>https://www.dgiwg.org/FAD/fdd/view?i=111660</v>
      </c>
      <c r="R619" s="13" t="s">
        <v>8970</v>
      </c>
      <c r="S619" s="172"/>
      <c r="T619" s="172"/>
      <c r="AK619" s="83" t="s">
        <v>1790</v>
      </c>
      <c r="CQ619" s="165" t="s">
        <v>1790</v>
      </c>
    </row>
    <row r="620" spans="1:101" ht="51" x14ac:dyDescent="0.2">
      <c r="A620" s="176" t="str">
        <f t="shared" si="13"/>
        <v>gemstoneType</v>
      </c>
      <c r="B620" s="11" t="s">
        <v>8975</v>
      </c>
      <c r="C620" s="173"/>
      <c r="D620" s="22" t="s">
        <v>8976</v>
      </c>
      <c r="E620" s="15" t="s">
        <v>8977</v>
      </c>
      <c r="F620" s="15" t="s">
        <v>8978</v>
      </c>
      <c r="G620" s="174"/>
      <c r="H620" s="17" t="s">
        <v>5932</v>
      </c>
      <c r="I620" s="269"/>
      <c r="J620" s="369" t="str">
        <f>HYPERLINK("[#]Datatypes!B622:L622","DpsCode")</f>
        <v>DpsCode</v>
      </c>
      <c r="K620" s="276"/>
      <c r="L620" s="272"/>
      <c r="M620" s="272"/>
      <c r="N620" s="248" t="str">
        <f>HYPERLINK("[#]DatatypeListedValues!A4150:H4150","&lt;values&gt;")</f>
        <v>&lt;values&gt;</v>
      </c>
      <c r="O620" s="277" t="b">
        <v>0</v>
      </c>
      <c r="P620" s="37">
        <v>111523</v>
      </c>
      <c r="Q620" s="36" t="str">
        <f>CONCATENATE(Cover!$D$6,"fdd/view?i=",P620)</f>
        <v>https://www.dgiwg.org/FAD/fdd/view?i=111523</v>
      </c>
      <c r="R620" s="13" t="s">
        <v>8974</v>
      </c>
      <c r="S620" s="172"/>
      <c r="T620" s="172"/>
      <c r="BP620" s="82" t="s">
        <v>1790</v>
      </c>
    </row>
    <row r="621" spans="1:101" ht="38.25" x14ac:dyDescent="0.2">
      <c r="A621" s="176" t="str">
        <f t="shared" si="13"/>
        <v>genericEntityIdentifier</v>
      </c>
      <c r="B621" s="11" t="s">
        <v>8981</v>
      </c>
      <c r="C621" s="173"/>
      <c r="D621" s="22" t="s">
        <v>8982</v>
      </c>
      <c r="E621" s="15" t="s">
        <v>8983</v>
      </c>
      <c r="F621" s="15" t="s">
        <v>8984</v>
      </c>
      <c r="G621" s="174"/>
      <c r="H621" s="17" t="s">
        <v>5932</v>
      </c>
      <c r="I621" s="269"/>
      <c r="J621" s="369" t="str">
        <f>HYPERLINK("[#]Datatypes!B1528:L1528","Text")</f>
        <v>Text</v>
      </c>
      <c r="K621" s="276"/>
      <c r="L621" s="272"/>
      <c r="M621" s="272"/>
      <c r="N621" s="273"/>
      <c r="O621" s="269"/>
      <c r="P621" s="37">
        <v>114222</v>
      </c>
      <c r="Q621" s="36" t="str">
        <f>CONCATENATE(Cover!$D$6,"fdd/view?i=",P621)</f>
        <v>https://www.dgiwg.org/FAD/fdd/view?i=114222</v>
      </c>
      <c r="R621" s="13" t="s">
        <v>8980</v>
      </c>
      <c r="S621" s="172"/>
      <c r="T621" s="172"/>
      <c r="CV621" s="83" t="s">
        <v>1790</v>
      </c>
    </row>
    <row r="622" spans="1:101" ht="38.25" x14ac:dyDescent="0.2">
      <c r="A622" s="176" t="str">
        <f t="shared" si="13"/>
        <v>genericName</v>
      </c>
      <c r="B622" s="11" t="s">
        <v>8986</v>
      </c>
      <c r="C622" s="173"/>
      <c r="D622" s="22" t="s">
        <v>8987</v>
      </c>
      <c r="E622" s="15" t="s">
        <v>8988</v>
      </c>
      <c r="F622" s="15" t="s">
        <v>8989</v>
      </c>
      <c r="G622" s="174"/>
      <c r="H622" s="17" t="s">
        <v>5932</v>
      </c>
      <c r="I622" s="269"/>
      <c r="J622" s="369" t="str">
        <f>HYPERLINK("[#]Datatypes!B1530:L1530","TextLex128")</f>
        <v>TextLex128</v>
      </c>
      <c r="K622" s="276"/>
      <c r="L622" s="272"/>
      <c r="M622" s="272"/>
      <c r="N622" s="273"/>
      <c r="O622" s="269"/>
      <c r="P622" s="37">
        <v>111577</v>
      </c>
      <c r="Q622" s="36" t="str">
        <f>CONCATENATE(Cover!$D$6,"fdd/view?i=",P622)</f>
        <v>https://www.dgiwg.org/FAD/fdd/view?i=111577</v>
      </c>
      <c r="R622" s="13" t="s">
        <v>8985</v>
      </c>
      <c r="S622" s="172"/>
      <c r="T622" s="172"/>
      <c r="CU622" s="87" t="s">
        <v>1790</v>
      </c>
    </row>
    <row r="623" spans="1:101" ht="38.25" x14ac:dyDescent="0.2">
      <c r="A623" s="176" t="str">
        <f t="shared" si="13"/>
        <v>genericNameNoDiacritics</v>
      </c>
      <c r="B623" s="11" t="s">
        <v>8992</v>
      </c>
      <c r="C623" s="173"/>
      <c r="D623" s="22" t="s">
        <v>8993</v>
      </c>
      <c r="E623" s="15" t="s">
        <v>8994</v>
      </c>
      <c r="F623" s="15" t="s">
        <v>8989</v>
      </c>
      <c r="G623" s="174"/>
      <c r="H623" s="17" t="s">
        <v>5932</v>
      </c>
      <c r="I623" s="269"/>
      <c r="J623" s="369" t="str">
        <f>HYPERLINK("[#]Datatypes!B1548:L1548","TextNonLex128")</f>
        <v>TextNonLex128</v>
      </c>
      <c r="K623" s="276"/>
      <c r="L623" s="272"/>
      <c r="M623" s="272"/>
      <c r="N623" s="273"/>
      <c r="O623" s="269"/>
      <c r="P623" s="37">
        <v>111576</v>
      </c>
      <c r="Q623" s="36" t="str">
        <f>CONCATENATE(Cover!$D$6,"fdd/view?i=",P623)</f>
        <v>https://www.dgiwg.org/FAD/fdd/view?i=111576</v>
      </c>
      <c r="R623" s="13" t="s">
        <v>8991</v>
      </c>
      <c r="S623" s="172"/>
      <c r="T623" s="172"/>
      <c r="CU623" s="87" t="s">
        <v>1790</v>
      </c>
    </row>
    <row r="624" spans="1:101" ht="38.25" x14ac:dyDescent="0.2">
      <c r="A624" s="176" t="str">
        <f t="shared" si="13"/>
        <v>geodesicDistanceRho</v>
      </c>
      <c r="B624" s="11" t="s">
        <v>8997</v>
      </c>
      <c r="C624" s="173"/>
      <c r="D624" s="22" t="s">
        <v>8998</v>
      </c>
      <c r="E624" s="15" t="s">
        <v>8999</v>
      </c>
      <c r="F624" s="15" t="s">
        <v>9000</v>
      </c>
      <c r="G624" s="15" t="s">
        <v>9001</v>
      </c>
      <c r="H624" s="17" t="s">
        <v>5932</v>
      </c>
      <c r="I624" s="269"/>
      <c r="J624" s="369" t="str">
        <f>HYPERLINK("[#]Datatypes!B1231:L1231","Real")</f>
        <v>Real</v>
      </c>
      <c r="K624" s="271" t="str">
        <f>HYPERLINK("[#]PhysicalQuantities!A20:N20","Length")</f>
        <v>Length</v>
      </c>
      <c r="L624" s="270" t="str">
        <f>HYPERLINK("[#]UnitsOfMeasure!D94:G94","Nautical Mile")</f>
        <v>Nautical Mile</v>
      </c>
      <c r="M624" s="272"/>
      <c r="N624" s="273"/>
      <c r="O624" s="269"/>
      <c r="P624" s="37">
        <v>117683</v>
      </c>
      <c r="Q624" s="36" t="str">
        <f>CONCATENATE(Cover!$D$6,"fdd/view?i=",P624)</f>
        <v>https://www.dgiwg.org/FAD/fdd/view?i=117683</v>
      </c>
      <c r="R624" s="13" t="s">
        <v>8996</v>
      </c>
      <c r="S624" s="172"/>
      <c r="T624" s="172"/>
      <c r="CI624" s="89" t="s">
        <v>1790</v>
      </c>
    </row>
    <row r="625" spans="1:99" ht="51" x14ac:dyDescent="0.2">
      <c r="A625" s="176" t="str">
        <f t="shared" si="13"/>
        <v>geodeticDatum</v>
      </c>
      <c r="B625" s="11" t="s">
        <v>9003</v>
      </c>
      <c r="C625" s="173"/>
      <c r="D625" s="22" t="s">
        <v>9004</v>
      </c>
      <c r="E625" s="15" t="s">
        <v>9005</v>
      </c>
      <c r="F625" s="15" t="s">
        <v>9006</v>
      </c>
      <c r="G625" s="174"/>
      <c r="H625" s="17" t="s">
        <v>5932</v>
      </c>
      <c r="I625" s="269"/>
      <c r="J625" s="369" t="str">
        <f>HYPERLINK("[#]Datatypes!B624:L624","HzdCode")</f>
        <v>HzdCode</v>
      </c>
      <c r="K625" s="276"/>
      <c r="L625" s="272"/>
      <c r="M625" s="272"/>
      <c r="N625" s="248" t="str">
        <f>HYPERLINK("[#]DatatypeListedValues!A4159:H4159","&lt;values&gt;")</f>
        <v>&lt;values&gt;</v>
      </c>
      <c r="O625" s="277" t="b">
        <v>0</v>
      </c>
      <c r="P625" s="37">
        <v>100967</v>
      </c>
      <c r="Q625" s="36" t="str">
        <f>CONCATENATE(Cover!$D$6,"fdd/view?i=",P625)</f>
        <v>https://www.dgiwg.org/FAD/fdd/view?i=100967</v>
      </c>
      <c r="R625" s="13" t="s">
        <v>9002</v>
      </c>
      <c r="S625" s="172"/>
      <c r="T625" s="172"/>
      <c r="CD625" s="85" t="s">
        <v>1790</v>
      </c>
      <c r="CP625" s="164" t="s">
        <v>1790</v>
      </c>
    </row>
    <row r="626" spans="1:99" ht="51" x14ac:dyDescent="0.2">
      <c r="A626" s="176" t="str">
        <f t="shared" si="13"/>
        <v>geoNameClass</v>
      </c>
      <c r="B626" s="11" t="s">
        <v>9009</v>
      </c>
      <c r="C626" s="173"/>
      <c r="D626" s="22" t="s">
        <v>9010</v>
      </c>
      <c r="E626" s="15" t="s">
        <v>9011</v>
      </c>
      <c r="F626" s="15" t="s">
        <v>9012</v>
      </c>
      <c r="G626" s="174"/>
      <c r="H626" s="17" t="s">
        <v>5932</v>
      </c>
      <c r="I626" s="269"/>
      <c r="J626" s="369" t="str">
        <f>HYPERLINK("[#]Datatypes!B626:L626","GnsStrucText")</f>
        <v>GnsStrucText</v>
      </c>
      <c r="K626" s="276"/>
      <c r="L626" s="272"/>
      <c r="M626" s="272"/>
      <c r="N626" s="273"/>
      <c r="O626" s="269"/>
      <c r="P626" s="37">
        <v>111296</v>
      </c>
      <c r="Q626" s="36" t="str">
        <f>CONCATENATE(Cover!$D$6,"fdd/view?i=",P626)</f>
        <v>https://www.dgiwg.org/FAD/fdd/view?i=111296</v>
      </c>
      <c r="R626" s="13" t="s">
        <v>9008</v>
      </c>
      <c r="S626" s="172"/>
      <c r="T626" s="172"/>
      <c r="CU626" s="87" t="s">
        <v>1790</v>
      </c>
    </row>
    <row r="627" spans="1:99" ht="25.5" x14ac:dyDescent="0.2">
      <c r="A627" s="176" t="str">
        <f t="shared" si="13"/>
        <v>geoNameDesignation</v>
      </c>
      <c r="B627" s="11" t="s">
        <v>9015</v>
      </c>
      <c r="C627" s="173"/>
      <c r="D627" s="22" t="s">
        <v>9016</v>
      </c>
      <c r="E627" s="15" t="s">
        <v>9017</v>
      </c>
      <c r="F627" s="15" t="s">
        <v>9018</v>
      </c>
      <c r="G627" s="174"/>
      <c r="H627" s="17" t="s">
        <v>5932</v>
      </c>
      <c r="I627" s="269"/>
      <c r="J627" s="369" t="str">
        <f>HYPERLINK("[#]Datatypes!B628:L628","GndStrucText")</f>
        <v>GndStrucText</v>
      </c>
      <c r="K627" s="276"/>
      <c r="L627" s="272"/>
      <c r="M627" s="272"/>
      <c r="N627" s="273"/>
      <c r="O627" s="269"/>
      <c r="P627" s="37">
        <v>111295</v>
      </c>
      <c r="Q627" s="36" t="str">
        <f>CONCATENATE(Cover!$D$6,"fdd/view?i=",P627)</f>
        <v>https://www.dgiwg.org/FAD/fdd/view?i=111295</v>
      </c>
      <c r="R627" s="13" t="s">
        <v>9014</v>
      </c>
      <c r="S627" s="172"/>
      <c r="T627" s="172"/>
      <c r="CU627" s="87" t="s">
        <v>1790</v>
      </c>
    </row>
    <row r="628" spans="1:99" ht="25.5" x14ac:dyDescent="0.2">
      <c r="A628" s="176" t="str">
        <f t="shared" si="13"/>
        <v>geographicNameType</v>
      </c>
      <c r="B628" s="11" t="s">
        <v>9021</v>
      </c>
      <c r="C628" s="173"/>
      <c r="D628" s="22" t="s">
        <v>9022</v>
      </c>
      <c r="E628" s="15" t="s">
        <v>9023</v>
      </c>
      <c r="F628" s="174"/>
      <c r="G628" s="174"/>
      <c r="H628" s="17" t="s">
        <v>5932</v>
      </c>
      <c r="I628" s="269"/>
      <c r="J628" s="369" t="str">
        <f>HYPERLINK("[#]Datatypes!B630:L630","GntCode")</f>
        <v>GntCode</v>
      </c>
      <c r="K628" s="276"/>
      <c r="L628" s="272"/>
      <c r="M628" s="272"/>
      <c r="N628" s="248" t="str">
        <f>HYPERLINK("[#]DatatypeListedValues!A4472:H4472","&lt;values&gt;")</f>
        <v>&lt;values&gt;</v>
      </c>
      <c r="O628" s="277" t="b">
        <v>0</v>
      </c>
      <c r="P628" s="37">
        <v>111579</v>
      </c>
      <c r="Q628" s="36" t="str">
        <f>CONCATENATE(Cover!$D$6,"fdd/view?i=",P628)</f>
        <v>https://www.dgiwg.org/FAD/fdd/view?i=111579</v>
      </c>
      <c r="R628" s="13" t="s">
        <v>9020</v>
      </c>
      <c r="S628" s="172"/>
      <c r="T628" s="172"/>
      <c r="CT628" s="166" t="s">
        <v>1790</v>
      </c>
      <c r="CU628" s="87" t="s">
        <v>1790</v>
      </c>
    </row>
    <row r="629" spans="1:99" ht="38.25" x14ac:dyDescent="0.2">
      <c r="A629" s="176" t="str">
        <f t="shared" si="13"/>
        <v>geographicRange</v>
      </c>
      <c r="B629" s="11" t="s">
        <v>9026</v>
      </c>
      <c r="C629" s="173"/>
      <c r="D629" s="22" t="s">
        <v>9027</v>
      </c>
      <c r="E629" s="15" t="s">
        <v>9028</v>
      </c>
      <c r="F629" s="15" t="s">
        <v>9029</v>
      </c>
      <c r="G629" s="174"/>
      <c r="H629" s="17" t="s">
        <v>5932</v>
      </c>
      <c r="I629" s="269"/>
      <c r="J629" s="369" t="str">
        <f>HYPERLINK("[#]Datatypes!B742:L742","Integer")</f>
        <v>Integer</v>
      </c>
      <c r="K629" s="271" t="str">
        <f>HYPERLINK("[#]PhysicalQuantities!A20:N20","Length")</f>
        <v>Length</v>
      </c>
      <c r="L629" s="270" t="str">
        <f>HYPERLINK("[#]UnitsOfMeasure!D94:G94","Nautical Mile")</f>
        <v>Nautical Mile</v>
      </c>
      <c r="M629" s="272"/>
      <c r="N629" s="273"/>
      <c r="O629" s="269"/>
      <c r="P629" s="37">
        <v>101016</v>
      </c>
      <c r="Q629" s="36" t="str">
        <f>CONCATENATE(Cover!$D$6,"fdd/view?i=",P629)</f>
        <v>https://www.dgiwg.org/FAD/fdd/view?i=101016</v>
      </c>
      <c r="R629" s="13" t="s">
        <v>9025</v>
      </c>
      <c r="S629" s="172"/>
      <c r="T629" s="172"/>
      <c r="AS629" s="82" t="s">
        <v>1790</v>
      </c>
      <c r="BF629" s="83" t="s">
        <v>1790</v>
      </c>
      <c r="CQ629" s="165" t="s">
        <v>1790</v>
      </c>
    </row>
    <row r="630" spans="1:99" x14ac:dyDescent="0.2">
      <c r="A630" s="176" t="str">
        <f t="shared" si="13"/>
        <v>geographicRegion</v>
      </c>
      <c r="B630" s="11" t="s">
        <v>9031</v>
      </c>
      <c r="C630" s="173"/>
      <c r="D630" s="22" t="s">
        <v>9032</v>
      </c>
      <c r="E630" s="15" t="s">
        <v>9033</v>
      </c>
      <c r="F630" s="174"/>
      <c r="G630" s="174"/>
      <c r="H630" s="17" t="s">
        <v>5932</v>
      </c>
      <c r="I630" s="17" t="s">
        <v>6029</v>
      </c>
      <c r="J630" s="369" t="str">
        <f>HYPERLINK("[#]Datatypes!B632:L632","GeoCode")</f>
        <v>GeoCode</v>
      </c>
      <c r="K630" s="276"/>
      <c r="L630" s="272"/>
      <c r="M630" s="272"/>
      <c r="N630" s="248" t="str">
        <f>HYPERLINK("[#]DatatypeListedValues!A4482:H4482","&lt;values&gt;")</f>
        <v>&lt;values&gt;</v>
      </c>
      <c r="O630" s="277" t="b">
        <v>0</v>
      </c>
      <c r="P630" s="37">
        <v>100912</v>
      </c>
      <c r="Q630" s="36" t="str">
        <f>CONCATENATE(Cover!$D$6,"fdd/view?i=",P630)</f>
        <v>https://www.dgiwg.org/FAD/fdd/view?i=100912</v>
      </c>
      <c r="R630" s="13" t="s">
        <v>9030</v>
      </c>
      <c r="S630" s="172"/>
      <c r="T630" s="172"/>
      <c r="BT630" s="85" t="s">
        <v>1790</v>
      </c>
    </row>
    <row r="631" spans="1:99" ht="51" x14ac:dyDescent="0.2">
      <c r="A631" s="176" t="str">
        <f t="shared" si="13"/>
        <v>geoidUndulation</v>
      </c>
      <c r="B631" s="11" t="s">
        <v>9036</v>
      </c>
      <c r="C631" s="173"/>
      <c r="D631" s="22" t="s">
        <v>9037</v>
      </c>
      <c r="E631" s="15" t="s">
        <v>9038</v>
      </c>
      <c r="F631" s="15" t="s">
        <v>9039</v>
      </c>
      <c r="G631" s="174"/>
      <c r="H631" s="17" t="s">
        <v>5932</v>
      </c>
      <c r="I631" s="269"/>
      <c r="J631" s="369" t="str">
        <f>HYPERLINK("[#]Datatypes!B1231:L1231","Real")</f>
        <v>Real</v>
      </c>
      <c r="K631" s="271" t="str">
        <f>HYPERLINK("[#]PhysicalQuantities!A20:N20","Length")</f>
        <v>Length</v>
      </c>
      <c r="L631" s="270" t="str">
        <f>HYPERLINK("[#]UnitsOfMeasure!D80:G80","Metre")</f>
        <v>Metre</v>
      </c>
      <c r="M631" s="272"/>
      <c r="N631" s="273"/>
      <c r="O631" s="269"/>
      <c r="P631" s="37">
        <v>117572</v>
      </c>
      <c r="Q631" s="36" t="str">
        <f>CONCATENATE(Cover!$D$6,"fdd/view?i=",P631)</f>
        <v>https://www.dgiwg.org/FAD/fdd/view?i=117572</v>
      </c>
      <c r="R631" s="13" t="s">
        <v>9035</v>
      </c>
      <c r="S631" s="172"/>
      <c r="T631" s="172"/>
      <c r="CG631" s="83" t="s">
        <v>1790</v>
      </c>
    </row>
    <row r="632" spans="1:99" x14ac:dyDescent="0.2">
      <c r="A632" s="176" t="str">
        <f t="shared" si="13"/>
        <v>geologicDip</v>
      </c>
      <c r="B632" s="11" t="s">
        <v>9041</v>
      </c>
      <c r="C632" s="173"/>
      <c r="D632" s="22" t="s">
        <v>9042</v>
      </c>
      <c r="E632" s="15" t="s">
        <v>9043</v>
      </c>
      <c r="F632" s="174"/>
      <c r="G632" s="174"/>
      <c r="H632" s="17" t="s">
        <v>5932</v>
      </c>
      <c r="I632" s="269"/>
      <c r="J632" s="369" t="str">
        <f>HYPERLINK("[#]Datatypes!B1231:L1231","Real")</f>
        <v>Real</v>
      </c>
      <c r="K632" s="271" t="str">
        <f>HYPERLINK("[#]PhysicalQuantities!A34:N34","Plane Angle")</f>
        <v>Plane Angle</v>
      </c>
      <c r="L632" s="270" t="str">
        <f>HYPERLINK("[#]UnitsOfMeasure!D159:G159","Arc Degree")</f>
        <v>Arc Degree</v>
      </c>
      <c r="M632" s="272"/>
      <c r="N632" s="273"/>
      <c r="O632" s="269"/>
      <c r="P632" s="37">
        <v>111549</v>
      </c>
      <c r="Q632" s="36" t="str">
        <f>CONCATENATE(Cover!$D$6,"fdd/view?i=",P632)</f>
        <v>https://www.dgiwg.org/FAD/fdd/view?i=111549</v>
      </c>
      <c r="R632" s="13" t="s">
        <v>9040</v>
      </c>
      <c r="S632" s="172"/>
      <c r="T632" s="172"/>
      <c r="BN632" s="82" t="s">
        <v>1790</v>
      </c>
      <c r="BQ632" s="82" t="s">
        <v>1790</v>
      </c>
      <c r="CQ632" s="165" t="s">
        <v>1790</v>
      </c>
    </row>
    <row r="633" spans="1:99" x14ac:dyDescent="0.2">
      <c r="A633" s="176" t="str">
        <f t="shared" si="13"/>
        <v>geoFaultTraceVisible</v>
      </c>
      <c r="B633" s="11" t="s">
        <v>9045</v>
      </c>
      <c r="C633" s="173"/>
      <c r="D633" s="22" t="s">
        <v>9046</v>
      </c>
      <c r="E633" s="15" t="s">
        <v>9047</v>
      </c>
      <c r="F633" s="174"/>
      <c r="G633" s="174"/>
      <c r="H633" s="17" t="s">
        <v>5932</v>
      </c>
      <c r="I633" s="269"/>
      <c r="J633" s="369" t="str">
        <f>HYPERLINK("[#]Datatypes!B240:L240","Boolean")</f>
        <v>Boolean</v>
      </c>
      <c r="K633" s="276"/>
      <c r="L633" s="272"/>
      <c r="M633" s="272"/>
      <c r="N633" s="273"/>
      <c r="O633" s="269"/>
      <c r="P633" s="37">
        <v>118571</v>
      </c>
      <c r="Q633" s="36" t="str">
        <f>CONCATENATE(Cover!$D$6,"fdd/view?i=",P633)</f>
        <v>https://www.dgiwg.org/FAD/fdd/view?i=118571</v>
      </c>
      <c r="R633" s="13" t="s">
        <v>9044</v>
      </c>
      <c r="S633" s="172"/>
      <c r="T633" s="172"/>
      <c r="BN633" s="82" t="s">
        <v>1790</v>
      </c>
      <c r="BQ633" s="82" t="s">
        <v>1790</v>
      </c>
      <c r="CS633" s="165" t="s">
        <v>1790</v>
      </c>
    </row>
    <row r="634" spans="1:99" x14ac:dyDescent="0.2">
      <c r="A634" s="176" t="str">
        <f t="shared" si="13"/>
        <v>geologicMassMoveMotion</v>
      </c>
      <c r="B634" s="11" t="s">
        <v>9049</v>
      </c>
      <c r="C634" s="173"/>
      <c r="D634" s="22" t="s">
        <v>9050</v>
      </c>
      <c r="E634" s="15" t="s">
        <v>9051</v>
      </c>
      <c r="F634" s="174"/>
      <c r="G634" s="174"/>
      <c r="H634" s="17" t="s">
        <v>5932</v>
      </c>
      <c r="I634" s="269"/>
      <c r="J634" s="369" t="str">
        <f>HYPERLINK("[#]Datatypes!B634:L634","GmaCode")</f>
        <v>GmaCode</v>
      </c>
      <c r="K634" s="276"/>
      <c r="L634" s="272"/>
      <c r="M634" s="272"/>
      <c r="N634" s="248" t="str">
        <f>HYPERLINK("[#]DatatypeListedValues!A4502:H4502","&lt;values&gt;")</f>
        <v>&lt;values&gt;</v>
      </c>
      <c r="O634" s="277" t="b">
        <v>0</v>
      </c>
      <c r="P634" s="37">
        <v>111573</v>
      </c>
      <c r="Q634" s="36" t="str">
        <f>CONCATENATE(Cover!$D$6,"fdd/view?i=",P634)</f>
        <v>https://www.dgiwg.org/FAD/fdd/view?i=111573</v>
      </c>
      <c r="R634" s="13" t="s">
        <v>9048</v>
      </c>
      <c r="S634" s="172"/>
      <c r="T634" s="172"/>
      <c r="BM634" s="82" t="s">
        <v>1790</v>
      </c>
      <c r="CQ634" s="165" t="s">
        <v>1790</v>
      </c>
    </row>
    <row r="635" spans="1:99" ht="38.25" x14ac:dyDescent="0.2">
      <c r="A635" s="176" t="str">
        <f t="shared" si="13"/>
        <v>geologicMassMoveType</v>
      </c>
      <c r="B635" s="11" t="s">
        <v>9054</v>
      </c>
      <c r="C635" s="173"/>
      <c r="D635" s="22" t="s">
        <v>9055</v>
      </c>
      <c r="E635" s="15" t="s">
        <v>9056</v>
      </c>
      <c r="F635" s="174"/>
      <c r="G635" s="174"/>
      <c r="H635" s="17" t="s">
        <v>5932</v>
      </c>
      <c r="I635" s="269"/>
      <c r="J635" s="369" t="str">
        <f>HYPERLINK("[#]Datatypes!B636:L636","GmmCode")</f>
        <v>GmmCode</v>
      </c>
      <c r="K635" s="276"/>
      <c r="L635" s="272"/>
      <c r="M635" s="272"/>
      <c r="N635" s="248" t="str">
        <f>HYPERLINK("[#]DatatypeListedValues!A4506:H4506","&lt;values&gt;")</f>
        <v>&lt;values&gt;</v>
      </c>
      <c r="O635" s="277" t="b">
        <v>0</v>
      </c>
      <c r="P635" s="37">
        <v>111575</v>
      </c>
      <c r="Q635" s="36" t="str">
        <f>CONCATENATE(Cover!$D$6,"fdd/view?i=",P635)</f>
        <v>https://www.dgiwg.org/FAD/fdd/view?i=111575</v>
      </c>
      <c r="R635" s="13" t="s">
        <v>9053</v>
      </c>
      <c r="S635" s="172"/>
      <c r="T635" s="172"/>
      <c r="BM635" s="82" t="s">
        <v>1790</v>
      </c>
      <c r="CS635" s="165" t="s">
        <v>1790</v>
      </c>
      <c r="CT635" s="166" t="s">
        <v>1790</v>
      </c>
    </row>
    <row r="636" spans="1:99" ht="51" x14ac:dyDescent="0.2">
      <c r="A636" s="176" t="str">
        <f t="shared" si="13"/>
        <v>geologicStrikeDirection</v>
      </c>
      <c r="B636" s="11" t="s">
        <v>9059</v>
      </c>
      <c r="C636" s="173"/>
      <c r="D636" s="22" t="s">
        <v>9060</v>
      </c>
      <c r="E636" s="15" t="s">
        <v>9061</v>
      </c>
      <c r="F636" s="15" t="s">
        <v>9062</v>
      </c>
      <c r="G636" s="174"/>
      <c r="H636" s="17" t="s">
        <v>5932</v>
      </c>
      <c r="I636" s="269"/>
      <c r="J636" s="369" t="str">
        <f>HYPERLINK("[#]Datatypes!B1231:L1231","Real")</f>
        <v>Real</v>
      </c>
      <c r="K636" s="271" t="str">
        <f>HYPERLINK("[#]PhysicalQuantities!A34:N34","Plane Angle")</f>
        <v>Plane Angle</v>
      </c>
      <c r="L636" s="270" t="str">
        <f>HYPERLINK("[#]UnitsOfMeasure!D159:G159","Arc Degree")</f>
        <v>Arc Degree</v>
      </c>
      <c r="M636" s="272"/>
      <c r="N636" s="273"/>
      <c r="O636" s="269"/>
      <c r="P636" s="37">
        <v>111715</v>
      </c>
      <c r="Q636" s="36" t="str">
        <f>CONCATENATE(Cover!$D$6,"fdd/view?i=",P636)</f>
        <v>https://www.dgiwg.org/FAD/fdd/view?i=111715</v>
      </c>
      <c r="R636" s="13" t="s">
        <v>9058</v>
      </c>
      <c r="S636" s="172"/>
      <c r="T636" s="172"/>
      <c r="BN636" s="82" t="s">
        <v>1790</v>
      </c>
      <c r="BQ636" s="82" t="s">
        <v>1790</v>
      </c>
      <c r="CQ636" s="165" t="s">
        <v>1790</v>
      </c>
    </row>
    <row r="637" spans="1:99" x14ac:dyDescent="0.2">
      <c r="A637" s="176" t="str">
        <f t="shared" si="13"/>
        <v>geologicStructureGeometry</v>
      </c>
      <c r="B637" s="11" t="s">
        <v>9064</v>
      </c>
      <c r="C637" s="173"/>
      <c r="D637" s="22" t="s">
        <v>9065</v>
      </c>
      <c r="E637" s="15" t="s">
        <v>9066</v>
      </c>
      <c r="F637" s="174"/>
      <c r="G637" s="174"/>
      <c r="H637" s="17" t="s">
        <v>5932</v>
      </c>
      <c r="I637" s="269"/>
      <c r="J637" s="369" t="str">
        <f>HYPERLINK("[#]Datatypes!B638:L638","GsgCode")</f>
        <v>GsgCode</v>
      </c>
      <c r="K637" s="276"/>
      <c r="L637" s="272"/>
      <c r="M637" s="272"/>
      <c r="N637" s="248" t="str">
        <f>HYPERLINK("[#]DatatypeListedValues!A4516:H4516","&lt;values&gt;")</f>
        <v>&lt;values&gt;</v>
      </c>
      <c r="O637" s="277" t="b">
        <v>0</v>
      </c>
      <c r="P637" s="37">
        <v>111580</v>
      </c>
      <c r="Q637" s="36" t="str">
        <f>CONCATENATE(Cover!$D$6,"fdd/view?i=",P637)</f>
        <v>https://www.dgiwg.org/FAD/fdd/view?i=111580</v>
      </c>
      <c r="R637" s="13" t="s">
        <v>9063</v>
      </c>
      <c r="S637" s="172"/>
      <c r="T637" s="172"/>
      <c r="BM637" s="82" t="s">
        <v>1790</v>
      </c>
      <c r="BN637" s="82" t="s">
        <v>1790</v>
      </c>
      <c r="BQ637" s="82" t="s">
        <v>1790</v>
      </c>
      <c r="CP637" s="164" t="s">
        <v>1790</v>
      </c>
      <c r="CS637" s="165" t="s">
        <v>1790</v>
      </c>
    </row>
    <row r="638" spans="1:99" x14ac:dyDescent="0.2">
      <c r="A638" s="176" t="str">
        <f t="shared" si="13"/>
        <v>geologicHydroProcessClass</v>
      </c>
      <c r="B638" s="11" t="s">
        <v>9069</v>
      </c>
      <c r="C638" s="173"/>
      <c r="D638" s="22" t="s">
        <v>9070</v>
      </c>
      <c r="E638" s="15" t="s">
        <v>9071</v>
      </c>
      <c r="F638" s="15" t="s">
        <v>9072</v>
      </c>
      <c r="G638" s="174"/>
      <c r="H638" s="17" t="s">
        <v>5932</v>
      </c>
      <c r="I638" s="269"/>
      <c r="J638" s="369" t="str">
        <f>HYPERLINK("[#]Datatypes!B640:L640","GhpCode")</f>
        <v>GhpCode</v>
      </c>
      <c r="K638" s="276"/>
      <c r="L638" s="272"/>
      <c r="M638" s="272"/>
      <c r="N638" s="248" t="str">
        <f>HYPERLINK("[#]DatatypeListedValues!A4522:H4522","&lt;values&gt;")</f>
        <v>&lt;values&gt;</v>
      </c>
      <c r="O638" s="277" t="b">
        <v>0</v>
      </c>
      <c r="P638" s="37">
        <v>111572</v>
      </c>
      <c r="Q638" s="36" t="str">
        <f>CONCATENATE(Cover!$D$6,"fdd/view?i=",P638)</f>
        <v>https://www.dgiwg.org/FAD/fdd/view?i=111572</v>
      </c>
      <c r="R638" s="13" t="s">
        <v>9068</v>
      </c>
      <c r="S638" s="172"/>
      <c r="T638" s="172"/>
      <c r="BM638" s="82" t="s">
        <v>1790</v>
      </c>
      <c r="BN638" s="82" t="s">
        <v>1790</v>
      </c>
      <c r="CS638" s="165" t="s">
        <v>1790</v>
      </c>
      <c r="CT638" s="166" t="s">
        <v>1790</v>
      </c>
    </row>
    <row r="639" spans="1:99" ht="25.5" x14ac:dyDescent="0.2">
      <c r="A639" s="176" t="str">
        <f t="shared" si="13"/>
        <v>geomorphicDepth</v>
      </c>
      <c r="B639" s="11" t="s">
        <v>9075</v>
      </c>
      <c r="C639" s="173"/>
      <c r="D639" s="22" t="s">
        <v>9076</v>
      </c>
      <c r="E639" s="15" t="s">
        <v>9077</v>
      </c>
      <c r="F639" s="15" t="s">
        <v>9078</v>
      </c>
      <c r="G639" s="174"/>
      <c r="H639" s="17" t="s">
        <v>5932</v>
      </c>
      <c r="I639" s="269"/>
      <c r="J639" s="369" t="str">
        <f>HYPERLINK("[#]Datatypes!B1233:L1233","RealInterval")</f>
        <v>RealInterval</v>
      </c>
      <c r="K639" s="271" t="str">
        <f>HYPERLINK("[#]PhysicalQuantities!A20:N20","Length")</f>
        <v>Length</v>
      </c>
      <c r="L639" s="270" t="str">
        <f>HYPERLINK("[#]UnitsOfMeasure!D80:G80","Metre")</f>
        <v>Metre</v>
      </c>
      <c r="M639" s="272"/>
      <c r="N639" s="273"/>
      <c r="O639" s="269"/>
      <c r="P639" s="37">
        <v>100917</v>
      </c>
      <c r="Q639" s="36" t="str">
        <f>CONCATENATE(Cover!$D$6,"fdd/view?i=",P639)</f>
        <v>https://www.dgiwg.org/FAD/fdd/view?i=100917</v>
      </c>
      <c r="R639" s="13" t="s">
        <v>9074</v>
      </c>
      <c r="S639" s="172"/>
      <c r="T639" s="172"/>
      <c r="CP639" s="164" t="s">
        <v>1790</v>
      </c>
    </row>
    <row r="640" spans="1:99" ht="25.5" x14ac:dyDescent="0.2">
      <c r="A640" s="176" t="str">
        <f t="shared" si="13"/>
        <v>geomorphicHeight</v>
      </c>
      <c r="B640" s="11" t="s">
        <v>9080</v>
      </c>
      <c r="C640" s="173"/>
      <c r="D640" s="22" t="s">
        <v>9081</v>
      </c>
      <c r="E640" s="15" t="s">
        <v>9082</v>
      </c>
      <c r="F640" s="174"/>
      <c r="G640" s="174"/>
      <c r="H640" s="17" t="s">
        <v>5932</v>
      </c>
      <c r="I640" s="269"/>
      <c r="J640" s="369" t="str">
        <f>HYPERLINK("[#]Datatypes!B1233:L1233","RealInterval")</f>
        <v>RealInterval</v>
      </c>
      <c r="K640" s="271" t="str">
        <f>HYPERLINK("[#]PhysicalQuantities!A20:N20","Length")</f>
        <v>Length</v>
      </c>
      <c r="L640" s="270" t="str">
        <f>HYPERLINK("[#]UnitsOfMeasure!D80:G80","Metre")</f>
        <v>Metre</v>
      </c>
      <c r="M640" s="272"/>
      <c r="N640" s="273"/>
      <c r="O640" s="269"/>
      <c r="P640" s="37">
        <v>100910</v>
      </c>
      <c r="Q640" s="36" t="str">
        <f>CONCATENATE(Cover!$D$6,"fdd/view?i=",P640)</f>
        <v>https://www.dgiwg.org/FAD/fdd/view?i=100910</v>
      </c>
      <c r="R640" s="13" t="s">
        <v>9079</v>
      </c>
      <c r="S640" s="172"/>
      <c r="T640" s="172"/>
      <c r="BL640" s="81" t="s">
        <v>1790</v>
      </c>
      <c r="CP640" s="164" t="s">
        <v>1790</v>
      </c>
    </row>
    <row r="641" spans="1:98" ht="25.5" x14ac:dyDescent="0.2">
      <c r="A641" s="176" t="str">
        <f t="shared" si="13"/>
        <v>geomorphicType</v>
      </c>
      <c r="B641" s="11" t="s">
        <v>9084</v>
      </c>
      <c r="C641" s="173"/>
      <c r="D641" s="22" t="s">
        <v>9085</v>
      </c>
      <c r="E641" s="15" t="s">
        <v>9086</v>
      </c>
      <c r="F641" s="174"/>
      <c r="G641" s="174"/>
      <c r="H641" s="17" t="s">
        <v>5932</v>
      </c>
      <c r="I641" s="269"/>
      <c r="J641" s="369" t="str">
        <f>HYPERLINK("[#]Datatypes!B642:L642","GztCode")</f>
        <v>GztCode</v>
      </c>
      <c r="K641" s="276"/>
      <c r="L641" s="272"/>
      <c r="M641" s="272"/>
      <c r="N641" s="248" t="str">
        <f>HYPERLINK("[#]DatatypeListedValues!A4534:H4534","&lt;values&gt;")</f>
        <v>&lt;values&gt;</v>
      </c>
      <c r="O641" s="277" t="b">
        <v>0</v>
      </c>
      <c r="P641" s="37">
        <v>118920</v>
      </c>
      <c r="Q641" s="36" t="str">
        <f>CONCATENATE(Cover!$D$6,"fdd/view?i=",P641)</f>
        <v>https://www.dgiwg.org/FAD/fdd/view?i=118920</v>
      </c>
      <c r="R641" s="13" t="s">
        <v>9083</v>
      </c>
      <c r="S641" s="172"/>
      <c r="T641" s="172"/>
      <c r="BL641" s="81" t="s">
        <v>1790</v>
      </c>
      <c r="CS641" s="165" t="s">
        <v>1790</v>
      </c>
    </row>
    <row r="642" spans="1:98" ht="38.25" x14ac:dyDescent="0.2">
      <c r="A642" s="176" t="str">
        <f t="shared" si="13"/>
        <v>geophysicalAnomalyDesc</v>
      </c>
      <c r="B642" s="11" t="s">
        <v>9089</v>
      </c>
      <c r="C642" s="173"/>
      <c r="D642" s="22" t="s">
        <v>9090</v>
      </c>
      <c r="E642" s="15" t="s">
        <v>9091</v>
      </c>
      <c r="F642" s="15" t="s">
        <v>9092</v>
      </c>
      <c r="G642" s="174"/>
      <c r="H642" s="17" t="s">
        <v>5932</v>
      </c>
      <c r="I642" s="269"/>
      <c r="J642" s="369" t="str">
        <f>HYPERLINK("[#]Datatypes!B1528:L1528","Text")</f>
        <v>Text</v>
      </c>
      <c r="K642" s="276"/>
      <c r="L642" s="272"/>
      <c r="M642" s="272"/>
      <c r="N642" s="273"/>
      <c r="O642" s="269"/>
      <c r="P642" s="37">
        <v>118583</v>
      </c>
      <c r="Q642" s="36" t="str">
        <f>CONCATENATE(Cover!$D$6,"fdd/view?i=",P642)</f>
        <v>https://www.dgiwg.org/FAD/fdd/view?i=118583</v>
      </c>
      <c r="R642" s="13" t="s">
        <v>9088</v>
      </c>
      <c r="S642" s="172"/>
      <c r="T642" s="172"/>
      <c r="BS642" s="82" t="s">
        <v>1790</v>
      </c>
      <c r="CS642" s="165" t="s">
        <v>1790</v>
      </c>
    </row>
    <row r="643" spans="1:98" x14ac:dyDescent="0.2">
      <c r="A643" s="176" t="str">
        <f t="shared" ref="A643:A706" si="14">HYPERLINK(Q643,R643)</f>
        <v>geophysicalAnomalyType</v>
      </c>
      <c r="B643" s="11" t="s">
        <v>9094</v>
      </c>
      <c r="C643" s="173"/>
      <c r="D643" s="22" t="s">
        <v>9095</v>
      </c>
      <c r="E643" s="15" t="s">
        <v>9096</v>
      </c>
      <c r="F643" s="174"/>
      <c r="G643" s="174"/>
      <c r="H643" s="17" t="s">
        <v>5932</v>
      </c>
      <c r="I643" s="269"/>
      <c r="J643" s="369" t="str">
        <f>HYPERLINK("[#]Datatypes!B644:L644","Va5Code")</f>
        <v>Va5Code</v>
      </c>
      <c r="K643" s="276"/>
      <c r="L643" s="272"/>
      <c r="M643" s="272"/>
      <c r="N643" s="248" t="str">
        <f>HYPERLINK("[#]DatatypeListedValues!A4544:H4544","&lt;values&gt;")</f>
        <v>&lt;values&gt;</v>
      </c>
      <c r="O643" s="277" t="b">
        <v>0</v>
      </c>
      <c r="P643" s="37">
        <v>111741</v>
      </c>
      <c r="Q643" s="36" t="str">
        <f>CONCATENATE(Cover!$D$6,"fdd/view?i=",P643)</f>
        <v>https://www.dgiwg.org/FAD/fdd/view?i=111741</v>
      </c>
      <c r="R643" s="13" t="s">
        <v>9093</v>
      </c>
      <c r="S643" s="172"/>
      <c r="T643" s="172"/>
      <c r="BS643" s="82" t="s">
        <v>1790</v>
      </c>
      <c r="CS643" s="165" t="s">
        <v>1790</v>
      </c>
    </row>
    <row r="644" spans="1:98" ht="25.5" x14ac:dyDescent="0.2">
      <c r="A644" s="176" t="str">
        <f t="shared" si="14"/>
        <v>geopoliticalEntityBasis</v>
      </c>
      <c r="B644" s="11" t="s">
        <v>9099</v>
      </c>
      <c r="C644" s="173"/>
      <c r="D644" s="22" t="s">
        <v>9100</v>
      </c>
      <c r="E644" s="15" t="s">
        <v>9101</v>
      </c>
      <c r="F644" s="15" t="s">
        <v>9102</v>
      </c>
      <c r="G644" s="174"/>
      <c r="H644" s="17" t="s">
        <v>5932</v>
      </c>
      <c r="I644" s="269"/>
      <c r="J644" s="369" t="str">
        <f>HYPERLINK("[#]Datatypes!B1540:L1540","TextLex4095")</f>
        <v>TextLex4095</v>
      </c>
      <c r="K644" s="276"/>
      <c r="L644" s="272"/>
      <c r="M644" s="272"/>
      <c r="N644" s="273"/>
      <c r="O644" s="269"/>
      <c r="P644" s="37">
        <v>114221</v>
      </c>
      <c r="Q644" s="36" t="str">
        <f>CONCATENATE(Cover!$D$6,"fdd/view?i=",P644)</f>
        <v>https://www.dgiwg.org/FAD/fdd/view?i=114221</v>
      </c>
      <c r="R644" s="13" t="s">
        <v>9098</v>
      </c>
      <c r="S644" s="172"/>
      <c r="T644" s="172"/>
      <c r="AM644" s="83" t="s">
        <v>1790</v>
      </c>
      <c r="CS644" s="165" t="s">
        <v>1790</v>
      </c>
    </row>
    <row r="645" spans="1:98" ht="25.5" x14ac:dyDescent="0.2">
      <c r="A645" s="176" t="str">
        <f t="shared" si="14"/>
        <v>geopoliticalEntityType</v>
      </c>
      <c r="B645" s="11" t="s">
        <v>9104</v>
      </c>
      <c r="C645" s="173"/>
      <c r="D645" s="22" t="s">
        <v>9105</v>
      </c>
      <c r="E645" s="15" t="s">
        <v>9106</v>
      </c>
      <c r="F645" s="174"/>
      <c r="G645" s="174"/>
      <c r="H645" s="17" t="s">
        <v>5932</v>
      </c>
      <c r="I645" s="269"/>
      <c r="J645" s="369" t="str">
        <f>HYPERLINK("[#]Datatypes!B646:L646","GecCode")</f>
        <v>GecCode</v>
      </c>
      <c r="K645" s="276"/>
      <c r="L645" s="272"/>
      <c r="M645" s="272"/>
      <c r="N645" s="248" t="str">
        <f>HYPERLINK("[#]DatatypeListedValues!A4550:H4550","&lt;values&gt;")</f>
        <v>&lt;values&gt;</v>
      </c>
      <c r="O645" s="277" t="b">
        <v>0</v>
      </c>
      <c r="P645" s="37">
        <v>100909</v>
      </c>
      <c r="Q645" s="36" t="str">
        <f>CONCATENATE(Cover!$D$6,"fdd/view?i=",P645)</f>
        <v>https://www.dgiwg.org/FAD/fdd/view?i=100909</v>
      </c>
      <c r="R645" s="13" t="s">
        <v>9103</v>
      </c>
      <c r="S645" s="172"/>
      <c r="T645" s="172"/>
      <c r="AK645" s="83" t="s">
        <v>1790</v>
      </c>
      <c r="AM645" s="83" t="s">
        <v>1790</v>
      </c>
    </row>
    <row r="646" spans="1:98" ht="25.5" x14ac:dyDescent="0.2">
      <c r="A646" s="176" t="str">
        <f t="shared" si="14"/>
        <v>geopoliticalLineType</v>
      </c>
      <c r="B646" s="11" t="s">
        <v>9109</v>
      </c>
      <c r="C646" s="173"/>
      <c r="D646" s="22" t="s">
        <v>9110</v>
      </c>
      <c r="E646" s="15" t="s">
        <v>9111</v>
      </c>
      <c r="F646" s="174"/>
      <c r="G646" s="174"/>
      <c r="H646" s="17" t="s">
        <v>5932</v>
      </c>
      <c r="I646" s="269"/>
      <c r="J646" s="369" t="str">
        <f>HYPERLINK("[#]Datatypes!B648:L648","LspCode")</f>
        <v>LspCode</v>
      </c>
      <c r="K646" s="276"/>
      <c r="L646" s="272"/>
      <c r="M646" s="272"/>
      <c r="N646" s="248" t="str">
        <f>HYPERLINK("[#]DatatypeListedValues!A4563:H4563","&lt;values&gt;")</f>
        <v>&lt;values&gt;</v>
      </c>
      <c r="O646" s="277" t="b">
        <v>0</v>
      </c>
      <c r="P646" s="37">
        <v>101013</v>
      </c>
      <c r="Q646" s="36" t="str">
        <f>CONCATENATE(Cover!$D$6,"fdd/view?i=",P646)</f>
        <v>https://www.dgiwg.org/FAD/fdd/view?i=101013</v>
      </c>
      <c r="R646" s="13" t="s">
        <v>9108</v>
      </c>
      <c r="S646" s="172"/>
      <c r="T646" s="172"/>
      <c r="AM646" s="83" t="s">
        <v>1790</v>
      </c>
      <c r="CC646" s="81" t="s">
        <v>1790</v>
      </c>
      <c r="CT646" s="166" t="s">
        <v>1790</v>
      </c>
    </row>
    <row r="647" spans="1:98" x14ac:dyDescent="0.2">
      <c r="A647" s="176" t="str">
        <f t="shared" si="14"/>
        <v>geothermalOutletType</v>
      </c>
      <c r="B647" s="11" t="s">
        <v>9114</v>
      </c>
      <c r="C647" s="173"/>
      <c r="D647" s="22" t="s">
        <v>9115</v>
      </c>
      <c r="E647" s="15" t="s">
        <v>9116</v>
      </c>
      <c r="F647" s="174"/>
      <c r="G647" s="174"/>
      <c r="H647" s="17" t="s">
        <v>5932</v>
      </c>
      <c r="I647" s="269"/>
      <c r="J647" s="369" t="str">
        <f>HYPERLINK("[#]Datatypes!B650:L650","GotCode")</f>
        <v>GotCode</v>
      </c>
      <c r="K647" s="276"/>
      <c r="L647" s="272"/>
      <c r="M647" s="272"/>
      <c r="N647" s="248" t="str">
        <f>HYPERLINK("[#]DatatypeListedValues!A4580:H4580","&lt;values&gt;")</f>
        <v>&lt;values&gt;</v>
      </c>
      <c r="O647" s="277" t="b">
        <v>0</v>
      </c>
      <c r="P647" s="37">
        <v>109951</v>
      </c>
      <c r="Q647" s="36" t="str">
        <f>CONCATENATE(Cover!$D$6,"fdd/view?i=",P647)</f>
        <v>https://www.dgiwg.org/FAD/fdd/view?i=109951</v>
      </c>
      <c r="R647" s="13" t="s">
        <v>9113</v>
      </c>
      <c r="S647" s="172"/>
      <c r="T647" s="172"/>
      <c r="BM647" s="82" t="s">
        <v>1790</v>
      </c>
      <c r="BQ647" s="82" t="s">
        <v>1790</v>
      </c>
      <c r="CS647" s="165" t="s">
        <v>1790</v>
      </c>
    </row>
    <row r="648" spans="1:98" ht="25.5" x14ac:dyDescent="0.2">
      <c r="A648" s="176" t="str">
        <f t="shared" si="14"/>
        <v>ghostFrequency</v>
      </c>
      <c r="B648" s="11" t="s">
        <v>9119</v>
      </c>
      <c r="C648" s="173"/>
      <c r="D648" s="22" t="s">
        <v>9120</v>
      </c>
      <c r="E648" s="15" t="s">
        <v>9121</v>
      </c>
      <c r="F648" s="15" t="s">
        <v>9122</v>
      </c>
      <c r="G648" s="15" t="s">
        <v>9123</v>
      </c>
      <c r="H648" s="17" t="s">
        <v>5932</v>
      </c>
      <c r="I648" s="269"/>
      <c r="J648" s="369" t="str">
        <f>HYPERLINK("[#]Datatypes!B1231:L1231","Real")</f>
        <v>Real</v>
      </c>
      <c r="K648" s="271" t="str">
        <f>HYPERLINK("[#]PhysicalQuantities!A15:N15","Frequency")</f>
        <v>Frequency</v>
      </c>
      <c r="L648" s="270" t="str">
        <f>HYPERLINK("[#]UnitsOfMeasure!D71:G71","Hertz")</f>
        <v>Hertz</v>
      </c>
      <c r="M648" s="272"/>
      <c r="N648" s="273"/>
      <c r="O648" s="269"/>
      <c r="P648" s="37">
        <v>117550</v>
      </c>
      <c r="Q648" s="36" t="str">
        <f>CONCATENATE(Cover!$D$6,"fdd/view?i=",P648)</f>
        <v>https://www.dgiwg.org/FAD/fdd/view?i=117550</v>
      </c>
      <c r="R648" s="13" t="s">
        <v>9118</v>
      </c>
      <c r="S648" s="172"/>
      <c r="T648" s="172"/>
      <c r="CG648" s="83" t="s">
        <v>1790</v>
      </c>
    </row>
    <row r="649" spans="1:98" x14ac:dyDescent="0.2">
      <c r="A649" s="176" t="str">
        <f t="shared" si="14"/>
        <v>glideSlopeAngle</v>
      </c>
      <c r="B649" s="11" t="s">
        <v>9125</v>
      </c>
      <c r="C649" s="173"/>
      <c r="D649" s="22" t="s">
        <v>9126</v>
      </c>
      <c r="E649" s="15" t="s">
        <v>9127</v>
      </c>
      <c r="F649" s="174"/>
      <c r="G649" s="174"/>
      <c r="H649" s="17" t="s">
        <v>5932</v>
      </c>
      <c r="I649" s="269"/>
      <c r="J649" s="369" t="str">
        <f>HYPERLINK("[#]Datatypes!B1256:L1256","RealNonNeg0r00to4r99")</f>
        <v>RealNonNeg0r00to4r99</v>
      </c>
      <c r="K649" s="271" t="str">
        <f>HYPERLINK("[#]PhysicalQuantities!A34:N34","Plane Angle")</f>
        <v>Plane Angle</v>
      </c>
      <c r="L649" s="270" t="str">
        <f>HYPERLINK("[#]UnitsOfMeasure!D159:G159","Arc Degree")</f>
        <v>Arc Degree</v>
      </c>
      <c r="M649" s="272"/>
      <c r="N649" s="273"/>
      <c r="O649" s="269"/>
      <c r="P649" s="37">
        <v>100919</v>
      </c>
      <c r="Q649" s="36" t="str">
        <f>CONCATENATE(Cover!$D$6,"fdd/view?i=",P649)</f>
        <v>https://www.dgiwg.org/FAD/fdd/view?i=100919</v>
      </c>
      <c r="R649" s="13" t="s">
        <v>9124</v>
      </c>
      <c r="S649" s="172"/>
      <c r="T649" s="172"/>
      <c r="CQ649" s="165" t="s">
        <v>1790</v>
      </c>
    </row>
    <row r="650" spans="1:98" ht="25.5" x14ac:dyDescent="0.2">
      <c r="A650" s="176" t="str">
        <f t="shared" si="14"/>
        <v>gnssChannel</v>
      </c>
      <c r="B650" s="11" t="s">
        <v>9130</v>
      </c>
      <c r="C650" s="173"/>
      <c r="D650" s="22" t="s">
        <v>9131</v>
      </c>
      <c r="E650" s="15" t="s">
        <v>9132</v>
      </c>
      <c r="F650" s="174"/>
      <c r="G650" s="174"/>
      <c r="H650" s="17" t="s">
        <v>5932</v>
      </c>
      <c r="I650" s="269"/>
      <c r="J650" s="369" t="str">
        <f>HYPERLINK("[#]Datatypes!B742:L742","Integer")</f>
        <v>Integer</v>
      </c>
      <c r="K650" s="271" t="str">
        <f>HYPERLINK("[#]PhysicalQuantities!A39:N39","Pure Number")</f>
        <v>Pure Number</v>
      </c>
      <c r="L650" s="270" t="str">
        <f>HYPERLINK("[#]UnitsOfMeasure!D213:G213","Unitless")</f>
        <v>Unitless</v>
      </c>
      <c r="M650" s="272"/>
      <c r="N650" s="273"/>
      <c r="O650" s="269"/>
      <c r="P650" s="37">
        <v>117535</v>
      </c>
      <c r="Q650" s="36" t="str">
        <f>CONCATENATE(Cover!$D$6,"fdd/view?i=",P650)</f>
        <v>https://www.dgiwg.org/FAD/fdd/view?i=117535</v>
      </c>
      <c r="R650" s="13" t="s">
        <v>9129</v>
      </c>
      <c r="S650" s="172"/>
      <c r="T650" s="172"/>
      <c r="CG650" s="83" t="s">
        <v>1790</v>
      </c>
    </row>
    <row r="651" spans="1:98" ht="38.25" x14ac:dyDescent="0.2">
      <c r="A651" s="176" t="str">
        <f t="shared" si="14"/>
        <v>gnssConstellation</v>
      </c>
      <c r="B651" s="11" t="s">
        <v>9134</v>
      </c>
      <c r="C651" s="173"/>
      <c r="D651" s="22" t="s">
        <v>9135</v>
      </c>
      <c r="E651" s="15" t="s">
        <v>9136</v>
      </c>
      <c r="F651" s="174"/>
      <c r="G651" s="174"/>
      <c r="H651" s="17" t="s">
        <v>5932</v>
      </c>
      <c r="I651" s="269"/>
      <c r="J651" s="369" t="str">
        <f>HYPERLINK("[#]Datatypes!B652:L652","CngCode")</f>
        <v>CngCode</v>
      </c>
      <c r="K651" s="276"/>
      <c r="L651" s="272"/>
      <c r="M651" s="272"/>
      <c r="N651" s="248" t="str">
        <f>HYPERLINK("[#]DatatypeListedValues!A4585:H4585","&lt;values&gt;")</f>
        <v>&lt;values&gt;</v>
      </c>
      <c r="O651" s="277" t="b">
        <v>0</v>
      </c>
      <c r="P651" s="37">
        <v>117540</v>
      </c>
      <c r="Q651" s="36" t="str">
        <f>CONCATENATE(Cover!$D$6,"fdd/view?i=",P651)</f>
        <v>https://www.dgiwg.org/FAD/fdd/view?i=117540</v>
      </c>
      <c r="R651" s="13" t="s">
        <v>9133</v>
      </c>
      <c r="S651" s="172"/>
      <c r="T651" s="172"/>
      <c r="CG651" s="83" t="s">
        <v>1790</v>
      </c>
    </row>
    <row r="652" spans="1:98" ht="25.5" x14ac:dyDescent="0.2">
      <c r="A652" s="176" t="str">
        <f t="shared" si="14"/>
        <v>governmentFacilityType</v>
      </c>
      <c r="B652" s="11" t="s">
        <v>9139</v>
      </c>
      <c r="C652" s="173"/>
      <c r="D652" s="22" t="s">
        <v>9140</v>
      </c>
      <c r="E652" s="15" t="s">
        <v>9141</v>
      </c>
      <c r="F652" s="174"/>
      <c r="G652" s="174"/>
      <c r="H652" s="17" t="s">
        <v>5932</v>
      </c>
      <c r="I652" s="269"/>
      <c r="J652" s="369" t="str">
        <f>HYPERLINK("[#]Datatypes!B654:L654","GfcCode")</f>
        <v>GfcCode</v>
      </c>
      <c r="K652" s="276"/>
      <c r="L652" s="272"/>
      <c r="M652" s="272"/>
      <c r="N652" s="248" t="str">
        <f>HYPERLINK("[#]DatatypeListedValues!A4587:H4587","&lt;values&gt;")</f>
        <v>&lt;values&gt;</v>
      </c>
      <c r="O652" s="277" t="b">
        <v>0</v>
      </c>
      <c r="P652" s="37">
        <v>100913</v>
      </c>
      <c r="Q652" s="36" t="str">
        <f>CONCATENATE(Cover!$D$6,"fdd/view?i=",P652)</f>
        <v>https://www.dgiwg.org/FAD/fdd/view?i=100913</v>
      </c>
      <c r="R652" s="13" t="s">
        <v>9138</v>
      </c>
      <c r="S652" s="172"/>
      <c r="T652" s="172"/>
      <c r="AI652" s="87" t="s">
        <v>1790</v>
      </c>
      <c r="AJ652" s="83" t="s">
        <v>1790</v>
      </c>
      <c r="AM652" s="83" t="s">
        <v>1790</v>
      </c>
      <c r="CT652" s="166" t="s">
        <v>1790</v>
      </c>
    </row>
    <row r="653" spans="1:98" ht="38.25" x14ac:dyDescent="0.2">
      <c r="A653" s="176" t="str">
        <f t="shared" si="14"/>
        <v>gradientLength</v>
      </c>
      <c r="B653" s="11" t="s">
        <v>9144</v>
      </c>
      <c r="C653" s="173"/>
      <c r="D653" s="22" t="s">
        <v>9145</v>
      </c>
      <c r="E653" s="15" t="s">
        <v>9146</v>
      </c>
      <c r="F653" s="174"/>
      <c r="G653" s="174"/>
      <c r="H653" s="17" t="s">
        <v>5932</v>
      </c>
      <c r="I653" s="269"/>
      <c r="J653" s="369" t="str">
        <f>HYPERLINK("[#]Datatypes!B1231:L1231","Real")</f>
        <v>Real</v>
      </c>
      <c r="K653" s="271" t="str">
        <f>HYPERLINK("[#]PhysicalQuantities!A20:N20","Length")</f>
        <v>Length</v>
      </c>
      <c r="L653" s="270" t="str">
        <f>HYPERLINK("[#]UnitsOfMeasure!D80:G80","Metre")</f>
        <v>Metre</v>
      </c>
      <c r="M653" s="272"/>
      <c r="N653" s="273"/>
      <c r="O653" s="269"/>
      <c r="P653" s="37">
        <v>110712</v>
      </c>
      <c r="Q653" s="36" t="str">
        <f>CONCATENATE(Cover!$D$6,"fdd/view?i=",P653)</f>
        <v>https://www.dgiwg.org/FAD/fdd/view?i=110712</v>
      </c>
      <c r="R653" s="13" t="s">
        <v>9143</v>
      </c>
      <c r="S653" s="172"/>
      <c r="T653" s="172"/>
      <c r="AP653" s="81" t="s">
        <v>1790</v>
      </c>
      <c r="AQ653" s="82" t="s">
        <v>1790</v>
      </c>
      <c r="AU653" s="82" t="s">
        <v>1790</v>
      </c>
      <c r="CQ653" s="165" t="s">
        <v>1790</v>
      </c>
    </row>
    <row r="654" spans="1:98" ht="38.25" x14ac:dyDescent="0.2">
      <c r="A654" s="176" t="str">
        <f t="shared" si="14"/>
        <v>gradingType</v>
      </c>
      <c r="B654" s="11" t="s">
        <v>9148</v>
      </c>
      <c r="C654" s="173"/>
      <c r="D654" s="22" t="s">
        <v>9149</v>
      </c>
      <c r="E654" s="15" t="s">
        <v>9150</v>
      </c>
      <c r="F654" s="15" t="s">
        <v>9151</v>
      </c>
      <c r="G654" s="174"/>
      <c r="H654" s="17" t="s">
        <v>5932</v>
      </c>
      <c r="I654" s="269"/>
      <c r="J654" s="369" t="str">
        <f>HYPERLINK("[#]Datatypes!B656:L656","CetCode")</f>
        <v>CetCode</v>
      </c>
      <c r="K654" s="276"/>
      <c r="L654" s="272"/>
      <c r="M654" s="272"/>
      <c r="N654" s="248" t="str">
        <f>HYPERLINK("[#]DatatypeListedValues!A4602:H4602","&lt;values&gt;")</f>
        <v>&lt;values&gt;</v>
      </c>
      <c r="O654" s="277" t="b">
        <v>0</v>
      </c>
      <c r="P654" s="37">
        <v>100736</v>
      </c>
      <c r="Q654" s="36" t="str">
        <f>CONCATENATE(Cover!$D$6,"fdd/view?i=",P654)</f>
        <v>https://www.dgiwg.org/FAD/fdd/view?i=100736</v>
      </c>
      <c r="R654" s="13" t="s">
        <v>9147</v>
      </c>
      <c r="S654" s="172"/>
      <c r="T654" s="172"/>
      <c r="BM654" s="82" t="s">
        <v>1790</v>
      </c>
      <c r="CS654" s="165" t="s">
        <v>1790</v>
      </c>
    </row>
    <row r="655" spans="1:98" ht="25.5" x14ac:dyDescent="0.2">
      <c r="A655" s="176" t="str">
        <f t="shared" si="14"/>
        <v>grasslandCoverRatio</v>
      </c>
      <c r="B655" s="11" t="s">
        <v>9154</v>
      </c>
      <c r="C655" s="173"/>
      <c r="D655" s="22" t="s">
        <v>9155</v>
      </c>
      <c r="E655" s="15" t="s">
        <v>9156</v>
      </c>
      <c r="F655" s="174"/>
      <c r="G655" s="174"/>
      <c r="H655" s="17" t="s">
        <v>5932</v>
      </c>
      <c r="I655" s="269"/>
      <c r="J655" s="369" t="str">
        <f>HYPERLINK("[#]Datatypes!B1231:L1231","Real")</f>
        <v>Real</v>
      </c>
      <c r="K655" s="271" t="str">
        <f>HYPERLINK("[#]PhysicalQuantities!A39:N39","Pure Number")</f>
        <v>Pure Number</v>
      </c>
      <c r="L655" s="270" t="str">
        <f>HYPERLINK("[#]UnitsOfMeasure!D215:G215","Percent")</f>
        <v>Percent</v>
      </c>
      <c r="M655" s="272"/>
      <c r="N655" s="273"/>
      <c r="O655" s="269"/>
      <c r="P655" s="37">
        <v>111663</v>
      </c>
      <c r="Q655" s="36" t="str">
        <f>CONCATENATE(Cover!$D$6,"fdd/view?i=",P655)</f>
        <v>https://www.dgiwg.org/FAD/fdd/view?i=111663</v>
      </c>
      <c r="R655" s="13" t="s">
        <v>9153</v>
      </c>
      <c r="S655" s="172"/>
      <c r="T655" s="172"/>
      <c r="AM655" s="83" t="s">
        <v>1790</v>
      </c>
      <c r="BV655" s="83" t="s">
        <v>1790</v>
      </c>
      <c r="CQ655" s="165" t="s">
        <v>1790</v>
      </c>
    </row>
    <row r="656" spans="1:98" ht="51" x14ac:dyDescent="0.2">
      <c r="A656" s="176" t="str">
        <f t="shared" si="14"/>
        <v>gravityStrengthDifference</v>
      </c>
      <c r="B656" s="11" t="s">
        <v>9158</v>
      </c>
      <c r="C656" s="173"/>
      <c r="D656" s="22" t="s">
        <v>9159</v>
      </c>
      <c r="E656" s="15" t="s">
        <v>9160</v>
      </c>
      <c r="F656" s="15" t="s">
        <v>9161</v>
      </c>
      <c r="G656" s="174"/>
      <c r="H656" s="17" t="s">
        <v>5932</v>
      </c>
      <c r="I656" s="269"/>
      <c r="J656" s="369" t="str">
        <f>HYPERLINK("[#]Datatypes!B1231:L1231","Real")</f>
        <v>Real</v>
      </c>
      <c r="K656" s="271" t="str">
        <f>HYPERLINK("[#]PhysicalQuantities!A2:N2","Acceleration")</f>
        <v>Acceleration</v>
      </c>
      <c r="L656" s="270" t="str">
        <f>HYPERLINK("[#]UnitsOfMeasure!D3:G3","Gal")</f>
        <v>Gal</v>
      </c>
      <c r="M656" s="272"/>
      <c r="N656" s="273"/>
      <c r="O656" s="269"/>
      <c r="P656" s="37">
        <v>119842</v>
      </c>
      <c r="Q656" s="36" t="str">
        <f>CONCATENATE(Cover!$D$6,"fdd/view?i=",P656)</f>
        <v>https://www.dgiwg.org/FAD/fdd/view?i=119842</v>
      </c>
      <c r="R656" s="13" t="s">
        <v>9157</v>
      </c>
      <c r="S656" s="172"/>
      <c r="T656" s="172"/>
      <c r="BS656" s="82" t="s">
        <v>1790</v>
      </c>
      <c r="CQ656" s="165" t="s">
        <v>1790</v>
      </c>
    </row>
    <row r="657" spans="1:98" ht="25.5" x14ac:dyDescent="0.2">
      <c r="A657" s="176" t="str">
        <f t="shared" si="14"/>
        <v>greatestHorizontalExtent</v>
      </c>
      <c r="B657" s="11" t="s">
        <v>9163</v>
      </c>
      <c r="C657" s="173"/>
      <c r="D657" s="22" t="s">
        <v>9164</v>
      </c>
      <c r="E657" s="15" t="s">
        <v>9165</v>
      </c>
      <c r="F657" s="174"/>
      <c r="G657" s="174"/>
      <c r="H657" s="17" t="s">
        <v>5932</v>
      </c>
      <c r="I657" s="269"/>
      <c r="J657" s="369" t="str">
        <f>HYPERLINK("[#]Datatypes!B1233:L1233","RealInterval")</f>
        <v>RealInterval</v>
      </c>
      <c r="K657" s="271" t="str">
        <f>HYPERLINK("[#]PhysicalQuantities!A20:N20","Length")</f>
        <v>Length</v>
      </c>
      <c r="L657" s="270" t="str">
        <f>HYPERLINK("[#]UnitsOfMeasure!D80:G80","Metre")</f>
        <v>Metre</v>
      </c>
      <c r="M657" s="272"/>
      <c r="N657" s="273"/>
      <c r="O657" s="269"/>
      <c r="P657" s="37">
        <v>110707</v>
      </c>
      <c r="Q657" s="36" t="str">
        <f>CONCATENATE(Cover!$D$6,"fdd/view?i=",P657)</f>
        <v>https://www.dgiwg.org/FAD/fdd/view?i=110707</v>
      </c>
      <c r="R657" s="13" t="s">
        <v>9162</v>
      </c>
      <c r="S657" s="172"/>
      <c r="T657" s="172"/>
      <c r="CQ657" s="165" t="s">
        <v>1790</v>
      </c>
    </row>
    <row r="658" spans="1:98" ht="25.5" x14ac:dyDescent="0.2">
      <c r="A658" s="176" t="str">
        <f t="shared" si="14"/>
        <v>gridVariation</v>
      </c>
      <c r="B658" s="11" t="s">
        <v>9167</v>
      </c>
      <c r="C658" s="173"/>
      <c r="D658" s="22" t="s">
        <v>9168</v>
      </c>
      <c r="E658" s="15" t="s">
        <v>9169</v>
      </c>
      <c r="F658" s="15" t="s">
        <v>9170</v>
      </c>
      <c r="G658" s="174"/>
      <c r="H658" s="17" t="s">
        <v>5932</v>
      </c>
      <c r="I658" s="269"/>
      <c r="J658" s="369" t="str">
        <f>HYPERLINK("[#]Datatypes!B1258:L1258","Realm180to180")</f>
        <v>Realm180to180</v>
      </c>
      <c r="K658" s="271" t="str">
        <f>HYPERLINK("[#]PhysicalQuantities!A34:N34","Plane Angle")</f>
        <v>Plane Angle</v>
      </c>
      <c r="L658" s="270" t="str">
        <f>HYPERLINK("[#]UnitsOfMeasure!D159:G159","Arc Degree")</f>
        <v>Arc Degree</v>
      </c>
      <c r="M658" s="272"/>
      <c r="N658" s="273"/>
      <c r="O658" s="269"/>
      <c r="P658" s="37">
        <v>119583</v>
      </c>
      <c r="Q658" s="36" t="str">
        <f>CONCATENATE(Cover!$D$6,"fdd/view?i=",P658)</f>
        <v>https://www.dgiwg.org/FAD/fdd/view?i=119583</v>
      </c>
      <c r="R658" s="13" t="s">
        <v>9166</v>
      </c>
      <c r="S658" s="172"/>
      <c r="T658" s="172"/>
      <c r="BS658" s="82" t="s">
        <v>1790</v>
      </c>
      <c r="CQ658" s="165" t="s">
        <v>1790</v>
      </c>
    </row>
    <row r="659" spans="1:98" ht="38.25" x14ac:dyDescent="0.2">
      <c r="A659" s="176" t="str">
        <f t="shared" si="14"/>
        <v>gridVariationDateTime</v>
      </c>
      <c r="B659" s="11" t="s">
        <v>9172</v>
      </c>
      <c r="C659" s="173"/>
      <c r="D659" s="22" t="s">
        <v>9173</v>
      </c>
      <c r="E659" s="15" t="s">
        <v>9174</v>
      </c>
      <c r="F659" s="15" t="s">
        <v>7752</v>
      </c>
      <c r="G659" s="174"/>
      <c r="H659" s="17" t="s">
        <v>5932</v>
      </c>
      <c r="I659" s="269"/>
      <c r="J659" s="369" t="str">
        <f>HYPERLINK("[#]Datatypes!B658:L658","GvdStrucText")</f>
        <v>GvdStrucText</v>
      </c>
      <c r="K659" s="276"/>
      <c r="L659" s="272"/>
      <c r="M659" s="272"/>
      <c r="N659" s="273"/>
      <c r="O659" s="269"/>
      <c r="P659" s="37">
        <v>119584</v>
      </c>
      <c r="Q659" s="36" t="str">
        <f>CONCATENATE(Cover!$D$6,"fdd/view?i=",P659)</f>
        <v>https://www.dgiwg.org/FAD/fdd/view?i=119584</v>
      </c>
      <c r="R659" s="13" t="s">
        <v>9171</v>
      </c>
      <c r="S659" s="172"/>
      <c r="T659" s="172"/>
      <c r="BS659" s="82" t="s">
        <v>1790</v>
      </c>
      <c r="CR659" s="165" t="s">
        <v>1790</v>
      </c>
    </row>
    <row r="660" spans="1:98" ht="51" x14ac:dyDescent="0.2">
      <c r="A660" s="176" t="str">
        <f t="shared" si="14"/>
        <v>grossDomesticProduct</v>
      </c>
      <c r="B660" s="11" t="s">
        <v>9177</v>
      </c>
      <c r="C660" s="173"/>
      <c r="D660" s="22" t="s">
        <v>9178</v>
      </c>
      <c r="E660" s="15" t="s">
        <v>9179</v>
      </c>
      <c r="F660" s="15" t="s">
        <v>9180</v>
      </c>
      <c r="G660" s="174"/>
      <c r="H660" s="17" t="s">
        <v>5932</v>
      </c>
      <c r="I660" s="269"/>
      <c r="J660" s="369" t="str">
        <f>HYPERLINK("[#]Datatypes!B1231:L1231","Real")</f>
        <v>Real</v>
      </c>
      <c r="K660" s="271" t="str">
        <f>HYPERLINK("[#]PhysicalQuantities!A32:N32","Monetary Unit")</f>
        <v>Monetary Unit</v>
      </c>
      <c r="L660" s="270" t="str">
        <f>HYPERLINK("[#]UnitsOfMeasure!D151:G151","U.S. Dollar")</f>
        <v>U.S. Dollar</v>
      </c>
      <c r="M660" s="272"/>
      <c r="N660" s="273"/>
      <c r="O660" s="269"/>
      <c r="P660" s="37">
        <v>111581</v>
      </c>
      <c r="Q660" s="36" t="str">
        <f>CONCATENATE(Cover!$D$6,"fdd/view?i=",P660)</f>
        <v>https://www.dgiwg.org/FAD/fdd/view?i=111581</v>
      </c>
      <c r="R660" s="13" t="s">
        <v>9176</v>
      </c>
      <c r="S660" s="172"/>
      <c r="T660" s="172"/>
      <c r="AK660" s="83" t="s">
        <v>1790</v>
      </c>
      <c r="CQ660" s="165" t="s">
        <v>1790</v>
      </c>
    </row>
    <row r="661" spans="1:98" ht="25.5" x14ac:dyDescent="0.2">
      <c r="A661" s="176" t="str">
        <f t="shared" si="14"/>
        <v>grossNationalProduct</v>
      </c>
      <c r="B661" s="11" t="s">
        <v>9182</v>
      </c>
      <c r="C661" s="173"/>
      <c r="D661" s="22" t="s">
        <v>9183</v>
      </c>
      <c r="E661" s="15" t="s">
        <v>9184</v>
      </c>
      <c r="F661" s="174"/>
      <c r="G661" s="174"/>
      <c r="H661" s="17" t="s">
        <v>5932</v>
      </c>
      <c r="I661" s="269"/>
      <c r="J661" s="369" t="str">
        <f>HYPERLINK("[#]Datatypes!B1231:L1231","Real")</f>
        <v>Real</v>
      </c>
      <c r="K661" s="271" t="str">
        <f>HYPERLINK("[#]PhysicalQuantities!A32:N32","Monetary Unit")</f>
        <v>Monetary Unit</v>
      </c>
      <c r="L661" s="270" t="str">
        <f>HYPERLINK("[#]UnitsOfMeasure!D151:G151","U.S. Dollar")</f>
        <v>U.S. Dollar</v>
      </c>
      <c r="M661" s="272"/>
      <c r="N661" s="273"/>
      <c r="O661" s="269"/>
      <c r="P661" s="37">
        <v>111578</v>
      </c>
      <c r="Q661" s="36" t="str">
        <f>CONCATENATE(Cover!$D$6,"fdd/view?i=",P661)</f>
        <v>https://www.dgiwg.org/FAD/fdd/view?i=111578</v>
      </c>
      <c r="R661" s="13" t="s">
        <v>9181</v>
      </c>
      <c r="S661" s="172"/>
      <c r="T661" s="172"/>
      <c r="AK661" s="83" t="s">
        <v>1790</v>
      </c>
      <c r="CQ661" s="165" t="s">
        <v>1790</v>
      </c>
    </row>
    <row r="662" spans="1:98" ht="25.5" x14ac:dyDescent="0.2">
      <c r="A662" s="176" t="str">
        <f t="shared" si="14"/>
        <v>groundVegCharacter</v>
      </c>
      <c r="B662" s="11" t="s">
        <v>9186</v>
      </c>
      <c r="C662" s="173"/>
      <c r="D662" s="22" t="s">
        <v>9187</v>
      </c>
      <c r="E662" s="15" t="s">
        <v>9188</v>
      </c>
      <c r="F662" s="174"/>
      <c r="G662" s="174"/>
      <c r="H662" s="17" t="s">
        <v>5932</v>
      </c>
      <c r="I662" s="269"/>
      <c r="J662" s="369" t="str">
        <f>HYPERLINK("[#]Datatypes!B660:L660","GvgCode")</f>
        <v>GvgCode</v>
      </c>
      <c r="K662" s="276"/>
      <c r="L662" s="272"/>
      <c r="M662" s="272"/>
      <c r="N662" s="248" t="str">
        <f>HYPERLINK("[#]DatatypeListedValues!A4606:H4606","&lt;values&gt;")</f>
        <v>&lt;values&gt;</v>
      </c>
      <c r="O662" s="277" t="b">
        <v>0</v>
      </c>
      <c r="P662" s="37">
        <v>111582</v>
      </c>
      <c r="Q662" s="36" t="str">
        <f>CONCATENATE(Cover!$D$6,"fdd/view?i=",P662)</f>
        <v>https://www.dgiwg.org/FAD/fdd/view?i=111582</v>
      </c>
      <c r="R662" s="13" t="s">
        <v>9185</v>
      </c>
      <c r="S662" s="172"/>
      <c r="T662" s="172"/>
      <c r="BW662" s="83" t="s">
        <v>1790</v>
      </c>
      <c r="CB662" s="89" t="s">
        <v>1790</v>
      </c>
      <c r="CS662" s="165" t="s">
        <v>1790</v>
      </c>
    </row>
    <row r="663" spans="1:98" ht="25.5" x14ac:dyDescent="0.2">
      <c r="A663" s="176" t="str">
        <f t="shared" si="14"/>
        <v>groundWaterFlowClass</v>
      </c>
      <c r="B663" s="11" t="s">
        <v>9191</v>
      </c>
      <c r="C663" s="173"/>
      <c r="D663" s="22" t="s">
        <v>9192</v>
      </c>
      <c r="E663" s="15" t="s">
        <v>9193</v>
      </c>
      <c r="F663" s="174"/>
      <c r="G663" s="174"/>
      <c r="H663" s="17" t="s">
        <v>5932</v>
      </c>
      <c r="I663" s="269"/>
      <c r="J663" s="369" t="str">
        <f>HYPERLINK("[#]Datatypes!B662:L662","AqaCode")</f>
        <v>AqaCode</v>
      </c>
      <c r="K663" s="276"/>
      <c r="L663" s="272"/>
      <c r="M663" s="272"/>
      <c r="N663" s="248" t="str">
        <f>HYPERLINK("[#]DatatypeListedValues!A4610:H4610","&lt;values&gt;")</f>
        <v>&lt;values&gt;</v>
      </c>
      <c r="O663" s="277" t="b">
        <v>0</v>
      </c>
      <c r="P663" s="37">
        <v>111480</v>
      </c>
      <c r="Q663" s="36" t="str">
        <f>CONCATENATE(Cover!$D$6,"fdd/view?i=",P663)</f>
        <v>https://www.dgiwg.org/FAD/fdd/view?i=111480</v>
      </c>
      <c r="R663" s="13" t="s">
        <v>9190</v>
      </c>
      <c r="S663" s="172"/>
      <c r="T663" s="172"/>
      <c r="BP663" s="82" t="s">
        <v>1790</v>
      </c>
      <c r="CT663" s="166" t="s">
        <v>1790</v>
      </c>
    </row>
    <row r="664" spans="1:98" ht="25.5" x14ac:dyDescent="0.2">
      <c r="A664" s="176" t="str">
        <f t="shared" si="14"/>
        <v>groundWaterFlowDirection</v>
      </c>
      <c r="B664" s="11" t="s">
        <v>9196</v>
      </c>
      <c r="C664" s="173"/>
      <c r="D664" s="22" t="s">
        <v>9197</v>
      </c>
      <c r="E664" s="15" t="s">
        <v>9198</v>
      </c>
      <c r="F664" s="15" t="s">
        <v>9199</v>
      </c>
      <c r="G664" s="174"/>
      <c r="H664" s="17" t="s">
        <v>5932</v>
      </c>
      <c r="I664" s="269"/>
      <c r="J664" s="369" t="str">
        <f>HYPERLINK("[#]Datatypes!B1231:L1231","Real")</f>
        <v>Real</v>
      </c>
      <c r="K664" s="271" t="str">
        <f>HYPERLINK("[#]PhysicalQuantities!A34:N34","Plane Angle")</f>
        <v>Plane Angle</v>
      </c>
      <c r="L664" s="270" t="str">
        <f>HYPERLINK("[#]UnitsOfMeasure!D159:G159","Arc Degree")</f>
        <v>Arc Degree</v>
      </c>
      <c r="M664" s="272"/>
      <c r="N664" s="273"/>
      <c r="O664" s="269"/>
      <c r="P664" s="37">
        <v>111571</v>
      </c>
      <c r="Q664" s="36" t="str">
        <f>CONCATENATE(Cover!$D$6,"fdd/view?i=",P664)</f>
        <v>https://www.dgiwg.org/FAD/fdd/view?i=111571</v>
      </c>
      <c r="R664" s="13" t="s">
        <v>9195</v>
      </c>
      <c r="S664" s="172"/>
      <c r="T664" s="172"/>
      <c r="BP664" s="82" t="s">
        <v>1790</v>
      </c>
      <c r="CQ664" s="165" t="s">
        <v>1790</v>
      </c>
    </row>
    <row r="665" spans="1:98" ht="25.5" x14ac:dyDescent="0.2">
      <c r="A665" s="176" t="str">
        <f t="shared" si="14"/>
        <v>groupedObstacles</v>
      </c>
      <c r="B665" s="11" t="s">
        <v>9201</v>
      </c>
      <c r="C665" s="173"/>
      <c r="D665" s="22" t="s">
        <v>9202</v>
      </c>
      <c r="E665" s="15" t="s">
        <v>9203</v>
      </c>
      <c r="F665" s="15" t="s">
        <v>9204</v>
      </c>
      <c r="G665" s="15" t="s">
        <v>9205</v>
      </c>
      <c r="H665" s="17" t="s">
        <v>5932</v>
      </c>
      <c r="I665" s="269"/>
      <c r="J665" s="369" t="str">
        <f>HYPERLINK("[#]Datatypes!B240:L240","Boolean")</f>
        <v>Boolean</v>
      </c>
      <c r="K665" s="276"/>
      <c r="L665" s="272"/>
      <c r="M665" s="272"/>
      <c r="N665" s="273"/>
      <c r="O665" s="269"/>
      <c r="P665" s="37">
        <v>117574</v>
      </c>
      <c r="Q665" s="36" t="str">
        <f>CONCATENATE(Cover!$D$6,"fdd/view?i=",P665)</f>
        <v>https://www.dgiwg.org/FAD/fdd/view?i=117574</v>
      </c>
      <c r="R665" s="13" t="s">
        <v>9200</v>
      </c>
      <c r="S665" s="172"/>
      <c r="T665" s="172"/>
      <c r="CH665" s="83" t="s">
        <v>1790</v>
      </c>
    </row>
    <row r="666" spans="1:98" ht="51" x14ac:dyDescent="0.2">
      <c r="A666" s="176" t="str">
        <f t="shared" si="14"/>
        <v>guarded</v>
      </c>
      <c r="B666" s="11" t="s">
        <v>9207</v>
      </c>
      <c r="C666" s="173"/>
      <c r="D666" s="22" t="s">
        <v>9208</v>
      </c>
      <c r="E666" s="15" t="s">
        <v>9209</v>
      </c>
      <c r="F666" s="15" t="s">
        <v>9210</v>
      </c>
      <c r="G666" s="174"/>
      <c r="H666" s="17" t="s">
        <v>5932</v>
      </c>
      <c r="I666" s="269"/>
      <c r="J666" s="369" t="str">
        <f>HYPERLINK("[#]Datatypes!B240:L240","Boolean")</f>
        <v>Boolean</v>
      </c>
      <c r="K666" s="276"/>
      <c r="L666" s="272"/>
      <c r="M666" s="272"/>
      <c r="N666" s="273"/>
      <c r="O666" s="269"/>
      <c r="P666" s="37">
        <v>114224</v>
      </c>
      <c r="Q666" s="36" t="str">
        <f>CONCATENATE(Cover!$D$6,"fdd/view?i=",P666)</f>
        <v>https://www.dgiwg.org/FAD/fdd/view?i=114224</v>
      </c>
      <c r="R666" s="13" t="s">
        <v>9206</v>
      </c>
      <c r="S666" s="172"/>
      <c r="T666" s="172"/>
      <c r="AF666" s="82" t="s">
        <v>1790</v>
      </c>
      <c r="AW666" s="82" t="s">
        <v>1790</v>
      </c>
      <c r="BI666" s="83" t="s">
        <v>1790</v>
      </c>
      <c r="BZ666" s="83" t="s">
        <v>1790</v>
      </c>
      <c r="CE666" s="87" t="s">
        <v>1790</v>
      </c>
      <c r="CS666" s="165" t="s">
        <v>1790</v>
      </c>
    </row>
    <row r="667" spans="1:98" x14ac:dyDescent="0.2">
      <c r="A667" s="176" t="str">
        <f t="shared" si="14"/>
        <v>guyed</v>
      </c>
      <c r="B667" s="11" t="s">
        <v>9212</v>
      </c>
      <c r="C667" s="173"/>
      <c r="D667" s="22" t="s">
        <v>9213</v>
      </c>
      <c r="E667" s="15" t="s">
        <v>9214</v>
      </c>
      <c r="F667" s="174"/>
      <c r="G667" s="174"/>
      <c r="H667" s="17" t="s">
        <v>5932</v>
      </c>
      <c r="I667" s="269"/>
      <c r="J667" s="369" t="str">
        <f>HYPERLINK("[#]Datatypes!B240:L240","Boolean")</f>
        <v>Boolean</v>
      </c>
      <c r="K667" s="276"/>
      <c r="L667" s="272"/>
      <c r="M667" s="272"/>
      <c r="N667" s="273"/>
      <c r="O667" s="269"/>
      <c r="P667" s="37">
        <v>100923</v>
      </c>
      <c r="Q667" s="36" t="str">
        <f>CONCATENATE(Cover!$D$6,"fdd/view?i=",P667)</f>
        <v>https://www.dgiwg.org/FAD/fdd/view?i=100923</v>
      </c>
      <c r="R667" s="13" t="s">
        <v>9211</v>
      </c>
      <c r="S667" s="172"/>
      <c r="T667" s="172"/>
      <c r="AV667" s="82" t="s">
        <v>1790</v>
      </c>
      <c r="CT667" s="166" t="s">
        <v>1790</v>
      </c>
    </row>
    <row r="668" spans="1:98" x14ac:dyDescent="0.2">
      <c r="A668" s="176" t="str">
        <f t="shared" si="14"/>
        <v>habitationBuildingType</v>
      </c>
      <c r="B668" s="11" t="s">
        <v>9216</v>
      </c>
      <c r="C668" s="173"/>
      <c r="D668" s="22" t="s">
        <v>9217</v>
      </c>
      <c r="E668" s="15" t="s">
        <v>9218</v>
      </c>
      <c r="F668" s="174"/>
      <c r="G668" s="174"/>
      <c r="H668" s="17" t="s">
        <v>5932</v>
      </c>
      <c r="I668" s="17" t="s">
        <v>6029</v>
      </c>
      <c r="J668" s="369" t="str">
        <f>HYPERLINK("[#]Datatypes!B664:L664","PthCode")</f>
        <v>PthCode</v>
      </c>
      <c r="K668" s="276"/>
      <c r="L668" s="272"/>
      <c r="M668" s="272"/>
      <c r="N668" s="248" t="str">
        <f>HYPERLINK("[#]DatatypeListedValues!A4615:H4615","&lt;values&gt;")</f>
        <v>&lt;values&gt;</v>
      </c>
      <c r="O668" s="277" t="b">
        <v>0</v>
      </c>
      <c r="P668" s="37">
        <v>111683</v>
      </c>
      <c r="Q668" s="36" t="str">
        <f>CONCATENATE(Cover!$D$6,"fdd/view?i=",P668)</f>
        <v>https://www.dgiwg.org/FAD/fdd/view?i=111683</v>
      </c>
      <c r="R668" s="13" t="s">
        <v>9215</v>
      </c>
      <c r="S668" s="172"/>
      <c r="T668" s="172"/>
      <c r="AI668" s="87" t="s">
        <v>1790</v>
      </c>
      <c r="AJ668" s="83" t="s">
        <v>1790</v>
      </c>
      <c r="CS668" s="165" t="s">
        <v>1790</v>
      </c>
    </row>
    <row r="669" spans="1:98" x14ac:dyDescent="0.2">
      <c r="A669" s="176" t="str">
        <f t="shared" si="14"/>
        <v>hangarDoorHeight</v>
      </c>
      <c r="B669" s="11" t="s">
        <v>9221</v>
      </c>
      <c r="C669" s="173"/>
      <c r="D669" s="22" t="s">
        <v>9222</v>
      </c>
      <c r="E669" s="15" t="s">
        <v>9223</v>
      </c>
      <c r="F669" s="174"/>
      <c r="G669" s="174"/>
      <c r="H669" s="17" t="s">
        <v>5932</v>
      </c>
      <c r="I669" s="269"/>
      <c r="J669" s="369" t="str">
        <f>HYPERLINK("[#]Datatypes!B1231:L1231","Real")</f>
        <v>Real</v>
      </c>
      <c r="K669" s="271" t="str">
        <f>HYPERLINK("[#]PhysicalQuantities!A20:N20","Length")</f>
        <v>Length</v>
      </c>
      <c r="L669" s="270" t="str">
        <f>HYPERLINK("[#]UnitsOfMeasure!D80:G80","Metre")</f>
        <v>Metre</v>
      </c>
      <c r="M669" s="272"/>
      <c r="N669" s="273"/>
      <c r="O669" s="269"/>
      <c r="P669" s="37">
        <v>100950</v>
      </c>
      <c r="Q669" s="36" t="str">
        <f>CONCATENATE(Cover!$D$6,"fdd/view?i=",P669)</f>
        <v>https://www.dgiwg.org/FAD/fdd/view?i=100950</v>
      </c>
      <c r="R669" s="13" t="s">
        <v>9220</v>
      </c>
      <c r="S669" s="172"/>
      <c r="T669" s="172"/>
      <c r="AC669" s="82" t="s">
        <v>1790</v>
      </c>
      <c r="AT669" s="82" t="s">
        <v>1790</v>
      </c>
      <c r="CE669" s="87" t="s">
        <v>1790</v>
      </c>
      <c r="CP669" s="164" t="s">
        <v>1790</v>
      </c>
    </row>
    <row r="670" spans="1:98" x14ac:dyDescent="0.2">
      <c r="A670" s="176" t="str">
        <f t="shared" si="14"/>
        <v>hangarDoorWidth</v>
      </c>
      <c r="B670" s="11" t="s">
        <v>9225</v>
      </c>
      <c r="C670" s="173"/>
      <c r="D670" s="22" t="s">
        <v>9226</v>
      </c>
      <c r="E670" s="15" t="s">
        <v>9227</v>
      </c>
      <c r="F670" s="174"/>
      <c r="G670" s="174"/>
      <c r="H670" s="17" t="s">
        <v>5932</v>
      </c>
      <c r="I670" s="269"/>
      <c r="J670" s="369" t="str">
        <f>HYPERLINK("[#]Datatypes!B1231:L1231","Real")</f>
        <v>Real</v>
      </c>
      <c r="K670" s="271" t="str">
        <f>HYPERLINK("[#]PhysicalQuantities!A20:N20","Length")</f>
        <v>Length</v>
      </c>
      <c r="L670" s="270" t="str">
        <f>HYPERLINK("[#]UnitsOfMeasure!D80:G80","Metre")</f>
        <v>Metre</v>
      </c>
      <c r="M670" s="272"/>
      <c r="N670" s="273"/>
      <c r="O670" s="269"/>
      <c r="P670" s="37">
        <v>100936</v>
      </c>
      <c r="Q670" s="36" t="str">
        <f>CONCATENATE(Cover!$D$6,"fdd/view?i=",P670)</f>
        <v>https://www.dgiwg.org/FAD/fdd/view?i=100936</v>
      </c>
      <c r="R670" s="13" t="s">
        <v>9224</v>
      </c>
      <c r="S670" s="172"/>
      <c r="T670" s="172"/>
      <c r="AC670" s="82" t="s">
        <v>1790</v>
      </c>
      <c r="AT670" s="82" t="s">
        <v>1790</v>
      </c>
      <c r="CE670" s="87" t="s">
        <v>1790</v>
      </c>
      <c r="CQ670" s="165" t="s">
        <v>1790</v>
      </c>
    </row>
    <row r="671" spans="1:98" x14ac:dyDescent="0.2">
      <c r="A671" s="176" t="str">
        <f t="shared" si="14"/>
        <v>hangarTypeCategory</v>
      </c>
      <c r="B671" s="11" t="s">
        <v>9229</v>
      </c>
      <c r="C671" s="173"/>
      <c r="D671" s="22" t="s">
        <v>9230</v>
      </c>
      <c r="E671" s="15" t="s">
        <v>9231</v>
      </c>
      <c r="F671" s="174"/>
      <c r="G671" s="174"/>
      <c r="H671" s="17" t="s">
        <v>5932</v>
      </c>
      <c r="I671" s="269"/>
      <c r="J671" s="369" t="str">
        <f>HYPERLINK("[#]Datatypes!B666:L666","HtpCode")</f>
        <v>HtpCode</v>
      </c>
      <c r="K671" s="276"/>
      <c r="L671" s="272"/>
      <c r="M671" s="272"/>
      <c r="N671" s="248" t="str">
        <f>HYPERLINK("[#]DatatypeListedValues!A4629:H4629","&lt;values&gt;")</f>
        <v>&lt;values&gt;</v>
      </c>
      <c r="O671" s="277" t="b">
        <v>0</v>
      </c>
      <c r="P671" s="37">
        <v>100962</v>
      </c>
      <c r="Q671" s="36" t="str">
        <f>CONCATENATE(Cover!$D$6,"fdd/view?i=",P671)</f>
        <v>https://www.dgiwg.org/FAD/fdd/view?i=100962</v>
      </c>
      <c r="R671" s="13" t="s">
        <v>9228</v>
      </c>
      <c r="S671" s="172"/>
      <c r="T671" s="172"/>
      <c r="AT671" s="82" t="s">
        <v>1790</v>
      </c>
      <c r="CE671" s="87" t="s">
        <v>1790</v>
      </c>
      <c r="CT671" s="166" t="s">
        <v>1790</v>
      </c>
    </row>
    <row r="672" spans="1:98" ht="25.5" x14ac:dyDescent="0.2">
      <c r="A672" s="176" t="str">
        <f t="shared" si="14"/>
        <v>harbourFacilityFunction</v>
      </c>
      <c r="B672" s="11" t="s">
        <v>9234</v>
      </c>
      <c r="C672" s="173"/>
      <c r="D672" s="22" t="s">
        <v>9235</v>
      </c>
      <c r="E672" s="15" t="s">
        <v>9236</v>
      </c>
      <c r="F672" s="174"/>
      <c r="G672" s="174"/>
      <c r="H672" s="17" t="s">
        <v>5932</v>
      </c>
      <c r="I672" s="17" t="s">
        <v>6029</v>
      </c>
      <c r="J672" s="369" t="str">
        <f>HYPERLINK("[#]Datatypes!B668:L668","FhcCode")</f>
        <v>FhcCode</v>
      </c>
      <c r="K672" s="276"/>
      <c r="L672" s="272"/>
      <c r="M672" s="272"/>
      <c r="N672" s="248" t="str">
        <f>HYPERLINK("[#]DatatypeListedValues!A4636:H4636","&lt;values&gt;")</f>
        <v>&lt;values&gt;</v>
      </c>
      <c r="O672" s="277" t="b">
        <v>0</v>
      </c>
      <c r="P672" s="37">
        <v>100889</v>
      </c>
      <c r="Q672" s="36" t="str">
        <f>CONCATENATE(Cover!$D$6,"fdd/view?i=",P672)</f>
        <v>https://www.dgiwg.org/FAD/fdd/view?i=100889</v>
      </c>
      <c r="R672" s="13" t="s">
        <v>9233</v>
      </c>
      <c r="S672" s="172"/>
      <c r="T672" s="172"/>
      <c r="AK672" s="83" t="s">
        <v>1790</v>
      </c>
      <c r="AS672" s="82" t="s">
        <v>1790</v>
      </c>
      <c r="AZ672" s="87" t="s">
        <v>1790</v>
      </c>
      <c r="BA672" s="83" t="s">
        <v>1790</v>
      </c>
      <c r="BF672" s="83" t="s">
        <v>1790</v>
      </c>
      <c r="CT672" s="166" t="s">
        <v>1790</v>
      </c>
    </row>
    <row r="673" spans="1:105" ht="25.5" x14ac:dyDescent="0.2">
      <c r="A673" s="176" t="str">
        <f t="shared" si="14"/>
        <v>harbourIdentifier</v>
      </c>
      <c r="B673" s="11" t="s">
        <v>9239</v>
      </c>
      <c r="C673" s="173"/>
      <c r="D673" s="22" t="s">
        <v>9240</v>
      </c>
      <c r="E673" s="15" t="s">
        <v>9241</v>
      </c>
      <c r="F673" s="15" t="s">
        <v>9242</v>
      </c>
      <c r="G673" s="174"/>
      <c r="H673" s="17" t="s">
        <v>5932</v>
      </c>
      <c r="I673" s="269"/>
      <c r="J673" s="369" t="str">
        <f>HYPERLINK("[#]Datatypes!B794:L794","KeyNonLex80")</f>
        <v>KeyNonLex80</v>
      </c>
      <c r="K673" s="276"/>
      <c r="L673" s="272"/>
      <c r="M673" s="272"/>
      <c r="N673" s="273"/>
      <c r="O673" s="269"/>
      <c r="P673" s="37">
        <v>100944</v>
      </c>
      <c r="Q673" s="36" t="str">
        <f>CONCATENATE(Cover!$D$6,"fdd/view?i=",P673)</f>
        <v>https://www.dgiwg.org/FAD/fdd/view?i=100944</v>
      </c>
      <c r="R673" s="13" t="s">
        <v>9238</v>
      </c>
      <c r="S673" s="172"/>
      <c r="T673" s="172"/>
      <c r="AS673" s="82" t="s">
        <v>1790</v>
      </c>
      <c r="BA673" s="83" t="s">
        <v>1790</v>
      </c>
      <c r="CV673" s="83" t="s">
        <v>1790</v>
      </c>
      <c r="DA673" s="165" t="s">
        <v>1790</v>
      </c>
    </row>
    <row r="674" spans="1:105" ht="38.25" x14ac:dyDescent="0.2">
      <c r="A674" s="176" t="str">
        <f t="shared" si="14"/>
        <v>hazardShelterIntendedUse</v>
      </c>
      <c r="B674" s="11" t="s">
        <v>9244</v>
      </c>
      <c r="C674" s="173"/>
      <c r="D674" s="22" t="s">
        <v>9245</v>
      </c>
      <c r="E674" s="15" t="s">
        <v>9246</v>
      </c>
      <c r="F674" s="15" t="s">
        <v>9247</v>
      </c>
      <c r="G674" s="174"/>
      <c r="H674" s="17" t="s">
        <v>5932</v>
      </c>
      <c r="I674" s="17" t="s">
        <v>6029</v>
      </c>
      <c r="J674" s="369" t="str">
        <f>HYPERLINK("[#]Datatypes!B670:L670","HstCode")</f>
        <v>HstCode</v>
      </c>
      <c r="K674" s="276"/>
      <c r="L674" s="272"/>
      <c r="M674" s="272"/>
      <c r="N674" s="248" t="str">
        <f>HYPERLINK("[#]DatatypeListedValues!A4647:H4647","&lt;values&gt;")</f>
        <v>&lt;values&gt;</v>
      </c>
      <c r="O674" s="277" t="b">
        <v>0</v>
      </c>
      <c r="P674" s="37">
        <v>119646</v>
      </c>
      <c r="Q674" s="36" t="str">
        <f>CONCATENATE(Cover!$D$6,"fdd/view?i=",P674)</f>
        <v>https://www.dgiwg.org/FAD/fdd/view?i=119646</v>
      </c>
      <c r="R674" s="13" t="s">
        <v>9243</v>
      </c>
      <c r="S674" s="172"/>
      <c r="T674" s="172"/>
      <c r="AI674" s="87" t="s">
        <v>1790</v>
      </c>
      <c r="CJ674" s="81" t="s">
        <v>1790</v>
      </c>
      <c r="CT674" s="166" t="s">
        <v>1790</v>
      </c>
    </row>
    <row r="675" spans="1:105" ht="25.5" x14ac:dyDescent="0.2">
      <c r="A675" s="176" t="str">
        <f t="shared" si="14"/>
        <v>hazardFaunaCategory</v>
      </c>
      <c r="B675" s="11" t="s">
        <v>9250</v>
      </c>
      <c r="C675" s="173"/>
      <c r="D675" s="22" t="s">
        <v>9251</v>
      </c>
      <c r="E675" s="15" t="s">
        <v>9252</v>
      </c>
      <c r="F675" s="174"/>
      <c r="G675" s="174"/>
      <c r="H675" s="17" t="s">
        <v>5932</v>
      </c>
      <c r="I675" s="17" t="s">
        <v>6029</v>
      </c>
      <c r="J675" s="369" t="str">
        <f>HYPERLINK("[#]Datatypes!B672:L672","If1Code")</f>
        <v>If1Code</v>
      </c>
      <c r="K675" s="276"/>
      <c r="L675" s="272"/>
      <c r="M675" s="272"/>
      <c r="N675" s="248" t="str">
        <f>HYPERLINK("[#]DatatypeListedValues!A4650:H4650","&lt;values&gt;")</f>
        <v>&lt;values&gt;</v>
      </c>
      <c r="O675" s="277" t="b">
        <v>0</v>
      </c>
      <c r="P675" s="37">
        <v>111595</v>
      </c>
      <c r="Q675" s="36" t="str">
        <f>CONCATENATE(Cover!$D$6,"fdd/view?i=",P675)</f>
        <v>https://www.dgiwg.org/FAD/fdd/view?i=111595</v>
      </c>
      <c r="R675" s="13" t="s">
        <v>9249</v>
      </c>
      <c r="S675" s="172"/>
      <c r="T675" s="172"/>
      <c r="CA675" s="83" t="s">
        <v>1790</v>
      </c>
      <c r="CU675" s="87" t="s">
        <v>1790</v>
      </c>
    </row>
    <row r="676" spans="1:105" ht="25.5" x14ac:dyDescent="0.2">
      <c r="A676" s="176" t="str">
        <f t="shared" si="14"/>
        <v>hazardFloraCategory</v>
      </c>
      <c r="B676" s="11" t="s">
        <v>9255</v>
      </c>
      <c r="C676" s="173"/>
      <c r="D676" s="22" t="s">
        <v>9256</v>
      </c>
      <c r="E676" s="15" t="s">
        <v>9257</v>
      </c>
      <c r="F676" s="174"/>
      <c r="G676" s="174"/>
      <c r="H676" s="17" t="s">
        <v>5932</v>
      </c>
      <c r="I676" s="17" t="s">
        <v>6029</v>
      </c>
      <c r="J676" s="369" t="str">
        <f>HYPERLINK("[#]Datatypes!B674:L674","HfsCode")</f>
        <v>HfsCode</v>
      </c>
      <c r="K676" s="276"/>
      <c r="L676" s="272"/>
      <c r="M676" s="272"/>
      <c r="N676" s="248" t="str">
        <f>HYPERLINK("[#]DatatypeListedValues!A4664:H4664","&lt;values&gt;")</f>
        <v>&lt;values&gt;</v>
      </c>
      <c r="O676" s="277" t="b">
        <v>0</v>
      </c>
      <c r="P676" s="37">
        <v>111586</v>
      </c>
      <c r="Q676" s="36" t="str">
        <f>CONCATENATE(Cover!$D$6,"fdd/view?i=",P676)</f>
        <v>https://www.dgiwg.org/FAD/fdd/view?i=111586</v>
      </c>
      <c r="R676" s="13" t="s">
        <v>9254</v>
      </c>
      <c r="S676" s="172"/>
      <c r="T676" s="172"/>
      <c r="CB676" s="89" t="s">
        <v>1790</v>
      </c>
      <c r="CU676" s="87" t="s">
        <v>1790</v>
      </c>
    </row>
    <row r="677" spans="1:105" x14ac:dyDescent="0.2">
      <c r="A677" s="176" t="str">
        <f t="shared" si="14"/>
        <v>hazardFloraPart</v>
      </c>
      <c r="B677" s="11" t="s">
        <v>9260</v>
      </c>
      <c r="C677" s="173"/>
      <c r="D677" s="22" t="s">
        <v>9261</v>
      </c>
      <c r="E677" s="15" t="s">
        <v>9262</v>
      </c>
      <c r="F677" s="174"/>
      <c r="G677" s="174"/>
      <c r="H677" s="17" t="s">
        <v>5932</v>
      </c>
      <c r="I677" s="17" t="s">
        <v>6029</v>
      </c>
      <c r="J677" s="369" t="str">
        <f>HYPERLINK("[#]Datatypes!B676:L676","DfpCode")</f>
        <v>DfpCode</v>
      </c>
      <c r="K677" s="276"/>
      <c r="L677" s="272"/>
      <c r="M677" s="272"/>
      <c r="N677" s="248" t="str">
        <f>HYPERLINK("[#]DatatypeListedValues!A4666:H4666","&lt;values&gt;")</f>
        <v>&lt;values&gt;</v>
      </c>
      <c r="O677" s="277" t="b">
        <v>0</v>
      </c>
      <c r="P677" s="37">
        <v>111517</v>
      </c>
      <c r="Q677" s="36" t="str">
        <f>CONCATENATE(Cover!$D$6,"fdd/view?i=",P677)</f>
        <v>https://www.dgiwg.org/FAD/fdd/view?i=111517</v>
      </c>
      <c r="R677" s="13" t="s">
        <v>9259</v>
      </c>
      <c r="S677" s="172"/>
      <c r="T677" s="172"/>
      <c r="CB677" s="89" t="s">
        <v>1790</v>
      </c>
      <c r="CS677" s="165" t="s">
        <v>1790</v>
      </c>
    </row>
    <row r="678" spans="1:105" ht="25.5" x14ac:dyDescent="0.2">
      <c r="A678" s="176" t="str">
        <f t="shared" si="14"/>
        <v>hazardFloraPoisonousness</v>
      </c>
      <c r="B678" s="11" t="s">
        <v>9265</v>
      </c>
      <c r="C678" s="173"/>
      <c r="D678" s="22" t="s">
        <v>9266</v>
      </c>
      <c r="E678" s="15" t="s">
        <v>9267</v>
      </c>
      <c r="F678" s="174"/>
      <c r="G678" s="174"/>
      <c r="H678" s="17" t="s">
        <v>5932</v>
      </c>
      <c r="I678" s="17" t="s">
        <v>6029</v>
      </c>
      <c r="J678" s="369" t="str">
        <f>HYPERLINK("[#]Datatypes!B678:L678","DfdCode")</f>
        <v>DfdCode</v>
      </c>
      <c r="K678" s="276"/>
      <c r="L678" s="272"/>
      <c r="M678" s="272"/>
      <c r="N678" s="248" t="str">
        <f>HYPERLINK("[#]DatatypeListedValues!A4678:H4678","&lt;values&gt;")</f>
        <v>&lt;values&gt;</v>
      </c>
      <c r="O678" s="277" t="b">
        <v>0</v>
      </c>
      <c r="P678" s="37">
        <v>111514</v>
      </c>
      <c r="Q678" s="36" t="str">
        <f>CONCATENATE(Cover!$D$6,"fdd/view?i=",P678)</f>
        <v>https://www.dgiwg.org/FAD/fdd/view?i=111514</v>
      </c>
      <c r="R678" s="13" t="s">
        <v>9264</v>
      </c>
      <c r="S678" s="172"/>
      <c r="T678" s="172"/>
      <c r="CB678" s="89" t="s">
        <v>1790</v>
      </c>
      <c r="CS678" s="165" t="s">
        <v>1790</v>
      </c>
    </row>
    <row r="679" spans="1:105" x14ac:dyDescent="0.2">
      <c r="A679" s="176" t="str">
        <f t="shared" si="14"/>
        <v>hazardOrganismCommonName</v>
      </c>
      <c r="B679" s="11" t="s">
        <v>9270</v>
      </c>
      <c r="C679" s="173"/>
      <c r="D679" s="22" t="s">
        <v>9271</v>
      </c>
      <c r="E679" s="15" t="s">
        <v>9272</v>
      </c>
      <c r="F679" s="15" t="s">
        <v>9273</v>
      </c>
      <c r="G679" s="174"/>
      <c r="H679" s="17" t="s">
        <v>5932</v>
      </c>
      <c r="I679" s="269"/>
      <c r="J679" s="369" t="str">
        <f>HYPERLINK("[#]Datatypes!B1544:L1544","TextLexUnconstrained")</f>
        <v>TextLexUnconstrained</v>
      </c>
      <c r="K679" s="276"/>
      <c r="L679" s="272"/>
      <c r="M679" s="272"/>
      <c r="N679" s="273"/>
      <c r="O679" s="269"/>
      <c r="P679" s="37">
        <v>118366</v>
      </c>
      <c r="Q679" s="36" t="str">
        <f>CONCATENATE(Cover!$D$6,"fdd/view?i=",P679)</f>
        <v>https://www.dgiwg.org/FAD/fdd/view?i=118366</v>
      </c>
      <c r="R679" s="13" t="s">
        <v>9269</v>
      </c>
      <c r="S679" s="172"/>
      <c r="T679" s="172"/>
      <c r="CU679" s="87" t="s">
        <v>1790</v>
      </c>
    </row>
    <row r="680" spans="1:105" x14ac:dyDescent="0.2">
      <c r="A680" s="176" t="str">
        <f t="shared" si="14"/>
        <v>hazardOrganismLatinName</v>
      </c>
      <c r="B680" s="11" t="s">
        <v>9275</v>
      </c>
      <c r="C680" s="173"/>
      <c r="D680" s="22" t="s">
        <v>9276</v>
      </c>
      <c r="E680" s="15" t="s">
        <v>9277</v>
      </c>
      <c r="F680" s="15" t="s">
        <v>9278</v>
      </c>
      <c r="G680" s="174"/>
      <c r="H680" s="17" t="s">
        <v>5932</v>
      </c>
      <c r="I680" s="269"/>
      <c r="J680" s="369" t="str">
        <f>HYPERLINK("[#]Datatypes!B1544:L1544","TextLexUnconstrained")</f>
        <v>TextLexUnconstrained</v>
      </c>
      <c r="K680" s="276"/>
      <c r="L680" s="272"/>
      <c r="M680" s="272"/>
      <c r="N680" s="273"/>
      <c r="O680" s="269"/>
      <c r="P680" s="37">
        <v>118365</v>
      </c>
      <c r="Q680" s="36" t="str">
        <f>CONCATENATE(Cover!$D$6,"fdd/view?i=",P680)</f>
        <v>https://www.dgiwg.org/FAD/fdd/view?i=118365</v>
      </c>
      <c r="R680" s="13" t="s">
        <v>9274</v>
      </c>
      <c r="S680" s="172"/>
      <c r="T680" s="172"/>
      <c r="CB680" s="89" t="s">
        <v>1790</v>
      </c>
    </row>
    <row r="681" spans="1:105" ht="25.5" x14ac:dyDescent="0.2">
      <c r="A681" s="176" t="str">
        <f t="shared" si="14"/>
        <v>heightAboveAerodrome</v>
      </c>
      <c r="B681" s="11" t="s">
        <v>9280</v>
      </c>
      <c r="C681" s="173"/>
      <c r="D681" s="22" t="s">
        <v>9281</v>
      </c>
      <c r="E681" s="15" t="s">
        <v>9282</v>
      </c>
      <c r="F681" s="15" t="s">
        <v>9283</v>
      </c>
      <c r="G681" s="15" t="s">
        <v>9280</v>
      </c>
      <c r="H681" s="17" t="s">
        <v>5932</v>
      </c>
      <c r="I681" s="269"/>
      <c r="J681" s="369" t="str">
        <f>HYPERLINK("[#]Datatypes!B1231:L1231","Real")</f>
        <v>Real</v>
      </c>
      <c r="K681" s="271" t="str">
        <f t="shared" ref="K681:K692" si="15">HYPERLINK("[#]PhysicalQuantities!A20:N20","Length")</f>
        <v>Length</v>
      </c>
      <c r="L681" s="270" t="str">
        <f>HYPERLINK("[#]UnitsOfMeasure!D103:G103","Foot")</f>
        <v>Foot</v>
      </c>
      <c r="M681" s="272"/>
      <c r="N681" s="273"/>
      <c r="O681" s="269"/>
      <c r="P681" s="37">
        <v>117575</v>
      </c>
      <c r="Q681" s="36" t="str">
        <f>CONCATENATE(Cover!$D$6,"fdd/view?i=",P681)</f>
        <v>https://www.dgiwg.org/FAD/fdd/view?i=117575</v>
      </c>
      <c r="R681" s="13" t="s">
        <v>9279</v>
      </c>
      <c r="S681" s="172"/>
      <c r="T681" s="172"/>
      <c r="CI681" s="89" t="s">
        <v>1790</v>
      </c>
    </row>
    <row r="682" spans="1:105" ht="38.25" x14ac:dyDescent="0.2">
      <c r="A682" s="176" t="str">
        <f t="shared" si="14"/>
        <v>heightAboveLanding</v>
      </c>
      <c r="B682" s="11" t="s">
        <v>9285</v>
      </c>
      <c r="C682" s="173"/>
      <c r="D682" s="22" t="s">
        <v>9286</v>
      </c>
      <c r="E682" s="15" t="s">
        <v>9287</v>
      </c>
      <c r="F682" s="174"/>
      <c r="G682" s="15" t="s">
        <v>9285</v>
      </c>
      <c r="H682" s="17" t="s">
        <v>5932</v>
      </c>
      <c r="I682" s="269"/>
      <c r="J682" s="369" t="str">
        <f>HYPERLINK("[#]Datatypes!B1231:L1231","Real")</f>
        <v>Real</v>
      </c>
      <c r="K682" s="271" t="str">
        <f t="shared" si="15"/>
        <v>Length</v>
      </c>
      <c r="L682" s="270" t="str">
        <f>HYPERLINK("[#]UnitsOfMeasure!D103:G103","Foot")</f>
        <v>Foot</v>
      </c>
      <c r="M682" s="272"/>
      <c r="N682" s="273"/>
      <c r="O682" s="269"/>
      <c r="P682" s="37">
        <v>117577</v>
      </c>
      <c r="Q682" s="36" t="str">
        <f>CONCATENATE(Cover!$D$6,"fdd/view?i=",P682)</f>
        <v>https://www.dgiwg.org/FAD/fdd/view?i=117577</v>
      </c>
      <c r="R682" s="13" t="s">
        <v>9284</v>
      </c>
      <c r="S682" s="172"/>
      <c r="T682" s="172"/>
      <c r="CI682" s="89" t="s">
        <v>1790</v>
      </c>
    </row>
    <row r="683" spans="1:105" ht="38.25" x14ac:dyDescent="0.2">
      <c r="A683" s="176" t="str">
        <f t="shared" si="14"/>
        <v>heightAboveSurface</v>
      </c>
      <c r="B683" s="11" t="s">
        <v>9289</v>
      </c>
      <c r="C683" s="173"/>
      <c r="D683" s="22" t="s">
        <v>9290</v>
      </c>
      <c r="E683" s="15" t="s">
        <v>9291</v>
      </c>
      <c r="F683" s="15" t="s">
        <v>9292</v>
      </c>
      <c r="G683" s="15" t="s">
        <v>9293</v>
      </c>
      <c r="H683" s="17" t="s">
        <v>5932</v>
      </c>
      <c r="I683" s="269"/>
      <c r="J683" s="369" t="str">
        <f>HYPERLINK("[#]Datatypes!B1231:L1231","Real")</f>
        <v>Real</v>
      </c>
      <c r="K683" s="271" t="str">
        <f t="shared" si="15"/>
        <v>Length</v>
      </c>
      <c r="L683" s="270" t="str">
        <f>HYPERLINK("[#]UnitsOfMeasure!D103:G103","Foot")</f>
        <v>Foot</v>
      </c>
      <c r="M683" s="272"/>
      <c r="N683" s="273"/>
      <c r="O683" s="269"/>
      <c r="P683" s="37">
        <v>117578</v>
      </c>
      <c r="Q683" s="36" t="str">
        <f>CONCATENATE(Cover!$D$6,"fdd/view?i=",P683)</f>
        <v>https://www.dgiwg.org/FAD/fdd/view?i=117578</v>
      </c>
      <c r="R683" s="13" t="s">
        <v>9288</v>
      </c>
      <c r="S683" s="172"/>
      <c r="T683" s="172"/>
      <c r="CI683" s="89" t="s">
        <v>1790</v>
      </c>
    </row>
    <row r="684" spans="1:105" ht="89.25" x14ac:dyDescent="0.2">
      <c r="A684" s="176" t="str">
        <f t="shared" si="14"/>
        <v>heightAboveSurfaceLevel</v>
      </c>
      <c r="B684" s="11" t="s">
        <v>9295</v>
      </c>
      <c r="C684" s="173"/>
      <c r="D684" s="22" t="s">
        <v>9296</v>
      </c>
      <c r="E684" s="15" t="s">
        <v>9297</v>
      </c>
      <c r="F684" s="15" t="s">
        <v>9298</v>
      </c>
      <c r="G684" s="174"/>
      <c r="H684" s="17" t="s">
        <v>5932</v>
      </c>
      <c r="I684" s="269"/>
      <c r="J684" s="369" t="str">
        <f>HYPERLINK("[#]Datatypes!B1233:L1233","RealInterval")</f>
        <v>RealInterval</v>
      </c>
      <c r="K684" s="271" t="str">
        <f t="shared" si="15"/>
        <v>Length</v>
      </c>
      <c r="L684" s="270" t="str">
        <f>HYPERLINK("[#]UnitsOfMeasure!D80:G80","Metre")</f>
        <v>Metre</v>
      </c>
      <c r="M684" s="272"/>
      <c r="N684" s="273"/>
      <c r="O684" s="269"/>
      <c r="P684" s="37">
        <v>100942</v>
      </c>
      <c r="Q684" s="36" t="str">
        <f>CONCATENATE(Cover!$D$6,"fdd/view?i=",P684)</f>
        <v>https://www.dgiwg.org/FAD/fdd/view?i=100942</v>
      </c>
      <c r="R684" s="13" t="s">
        <v>9294</v>
      </c>
      <c r="S684" s="172"/>
      <c r="T684" s="172"/>
      <c r="CP684" s="164" t="s">
        <v>1790</v>
      </c>
    </row>
    <row r="685" spans="1:105" ht="38.25" x14ac:dyDescent="0.2">
      <c r="A685" s="176" t="str">
        <f t="shared" si="14"/>
        <v>heightAboveTouchdown</v>
      </c>
      <c r="B685" s="11" t="s">
        <v>9300</v>
      </c>
      <c r="C685" s="173"/>
      <c r="D685" s="22" t="s">
        <v>9301</v>
      </c>
      <c r="E685" s="15" t="s">
        <v>9302</v>
      </c>
      <c r="F685" s="15" t="s">
        <v>9303</v>
      </c>
      <c r="G685" s="15" t="s">
        <v>9300</v>
      </c>
      <c r="H685" s="17" t="s">
        <v>5932</v>
      </c>
      <c r="I685" s="269"/>
      <c r="J685" s="369" t="str">
        <f>HYPERLINK("[#]Datatypes!B1231:L1231","Real")</f>
        <v>Real</v>
      </c>
      <c r="K685" s="271" t="str">
        <f t="shared" si="15"/>
        <v>Length</v>
      </c>
      <c r="L685" s="270" t="str">
        <f>HYPERLINK("[#]UnitsOfMeasure!D103:G103","Foot")</f>
        <v>Foot</v>
      </c>
      <c r="M685" s="272"/>
      <c r="N685" s="273"/>
      <c r="O685" s="269"/>
      <c r="P685" s="37">
        <v>117579</v>
      </c>
      <c r="Q685" s="36" t="str">
        <f>CONCATENATE(Cover!$D$6,"fdd/view?i=",P685)</f>
        <v>https://www.dgiwg.org/FAD/fdd/view?i=117579</v>
      </c>
      <c r="R685" s="13" t="s">
        <v>9299</v>
      </c>
      <c r="S685" s="172"/>
      <c r="T685" s="172"/>
      <c r="CI685" s="89" t="s">
        <v>1790</v>
      </c>
    </row>
    <row r="686" spans="1:105" ht="25.5" x14ac:dyDescent="0.2">
      <c r="A686" s="176" t="str">
        <f t="shared" si="14"/>
        <v>heightAboveWaterbodyFloor</v>
      </c>
      <c r="B686" s="11" t="s">
        <v>9305</v>
      </c>
      <c r="C686" s="173"/>
      <c r="D686" s="22" t="s">
        <v>9306</v>
      </c>
      <c r="E686" s="15" t="s">
        <v>9307</v>
      </c>
      <c r="F686" s="174"/>
      <c r="G686" s="174"/>
      <c r="H686" s="17" t="s">
        <v>5932</v>
      </c>
      <c r="I686" s="269"/>
      <c r="J686" s="369" t="str">
        <f>HYPERLINK("[#]Datatypes!B1233:L1233","RealInterval")</f>
        <v>RealInterval</v>
      </c>
      <c r="K686" s="271" t="str">
        <f t="shared" si="15"/>
        <v>Length</v>
      </c>
      <c r="L686" s="270" t="str">
        <f t="shared" ref="L686:L692" si="16">HYPERLINK("[#]UnitsOfMeasure!D80:G80","Metre")</f>
        <v>Metre</v>
      </c>
      <c r="M686" s="272"/>
      <c r="N686" s="273"/>
      <c r="O686" s="269"/>
      <c r="P686" s="37">
        <v>111583</v>
      </c>
      <c r="Q686" s="36" t="str">
        <f>CONCATENATE(Cover!$D$6,"fdd/view?i=",P686)</f>
        <v>https://www.dgiwg.org/FAD/fdd/view?i=111583</v>
      </c>
      <c r="R686" s="13" t="s">
        <v>9304</v>
      </c>
      <c r="S686" s="172"/>
      <c r="T686" s="172"/>
      <c r="AZ686" s="87" t="s">
        <v>1790</v>
      </c>
      <c r="BA686" s="83" t="s">
        <v>1790</v>
      </c>
      <c r="BJ686" s="83" t="s">
        <v>1790</v>
      </c>
      <c r="CP686" s="164" t="s">
        <v>1790</v>
      </c>
    </row>
    <row r="687" spans="1:105" ht="25.5" x14ac:dyDescent="0.2">
      <c r="A687" s="176" t="str">
        <f t="shared" si="14"/>
        <v>heightAccuracy</v>
      </c>
      <c r="B687" s="11" t="s">
        <v>9309</v>
      </c>
      <c r="C687" s="173"/>
      <c r="D687" s="22" t="s">
        <v>9310</v>
      </c>
      <c r="E687" s="15" t="s">
        <v>9311</v>
      </c>
      <c r="F687" s="174"/>
      <c r="G687" s="174"/>
      <c r="H687" s="17" t="s">
        <v>5932</v>
      </c>
      <c r="I687" s="269"/>
      <c r="J687" s="369" t="str">
        <f>HYPERLINK("[#]Datatypes!B1231:L1231","Real")</f>
        <v>Real</v>
      </c>
      <c r="K687" s="271" t="str">
        <f t="shared" si="15"/>
        <v>Length</v>
      </c>
      <c r="L687" s="270" t="str">
        <f t="shared" si="16"/>
        <v>Metre</v>
      </c>
      <c r="M687" s="272"/>
      <c r="N687" s="273"/>
      <c r="O687" s="269"/>
      <c r="P687" s="37">
        <v>100602</v>
      </c>
      <c r="Q687" s="36" t="str">
        <f>CONCATENATE(Cover!$D$6,"fdd/view?i=",P687)</f>
        <v>https://www.dgiwg.org/FAD/fdd/view?i=100602</v>
      </c>
      <c r="R687" s="13" t="s">
        <v>9308</v>
      </c>
      <c r="S687" s="172"/>
      <c r="T687" s="172"/>
      <c r="BL687" s="81" t="s">
        <v>1790</v>
      </c>
      <c r="CP687" s="164" t="s">
        <v>1790</v>
      </c>
      <c r="CZ687" s="165" t="s">
        <v>1790</v>
      </c>
    </row>
    <row r="688" spans="1:105" ht="38.25" x14ac:dyDescent="0.2">
      <c r="A688" s="176" t="str">
        <f t="shared" si="14"/>
        <v>heightBelowSurroundFeat</v>
      </c>
      <c r="B688" s="11" t="s">
        <v>9293</v>
      </c>
      <c r="C688" s="173"/>
      <c r="D688" s="22" t="s">
        <v>9313</v>
      </c>
      <c r="E688" s="15" t="s">
        <v>9314</v>
      </c>
      <c r="F688" s="174"/>
      <c r="G688" s="174"/>
      <c r="H688" s="17" t="s">
        <v>5932</v>
      </c>
      <c r="I688" s="269"/>
      <c r="J688" s="369" t="str">
        <f>HYPERLINK("[#]Datatypes!B1233:L1233","RealInterval")</f>
        <v>RealInterval</v>
      </c>
      <c r="K688" s="271" t="str">
        <f t="shared" si="15"/>
        <v>Length</v>
      </c>
      <c r="L688" s="270" t="str">
        <f t="shared" si="16"/>
        <v>Metre</v>
      </c>
      <c r="M688" s="272"/>
      <c r="N688" s="273"/>
      <c r="O688" s="269"/>
      <c r="P688" s="37">
        <v>110883</v>
      </c>
      <c r="Q688" s="36" t="str">
        <f>CONCATENATE(Cover!$D$6,"fdd/view?i=",P688)</f>
        <v>https://www.dgiwg.org/FAD/fdd/view?i=110883</v>
      </c>
      <c r="R688" s="13" t="s">
        <v>9312</v>
      </c>
      <c r="S688" s="172"/>
      <c r="T688" s="172"/>
      <c r="CP688" s="164" t="s">
        <v>1790</v>
      </c>
    </row>
    <row r="689" spans="1:104" ht="76.5" x14ac:dyDescent="0.2">
      <c r="A689" s="176" t="str">
        <f t="shared" si="14"/>
        <v>heightOfObject</v>
      </c>
      <c r="B689" s="11" t="s">
        <v>9316</v>
      </c>
      <c r="C689" s="173"/>
      <c r="D689" s="22" t="s">
        <v>9317</v>
      </c>
      <c r="E689" s="15" t="s">
        <v>9318</v>
      </c>
      <c r="F689" s="15" t="s">
        <v>9319</v>
      </c>
      <c r="G689" s="174"/>
      <c r="H689" s="17" t="s">
        <v>5932</v>
      </c>
      <c r="I689" s="269"/>
      <c r="J689" s="369" t="str">
        <f>HYPERLINK("[#]Datatypes!B1233:L1233","RealInterval")</f>
        <v>RealInterval</v>
      </c>
      <c r="K689" s="271" t="str">
        <f t="shared" si="15"/>
        <v>Length</v>
      </c>
      <c r="L689" s="270" t="str">
        <f t="shared" si="16"/>
        <v>Metre</v>
      </c>
      <c r="M689" s="272"/>
      <c r="N689" s="273"/>
      <c r="O689" s="269"/>
      <c r="P689" s="37">
        <v>111584</v>
      </c>
      <c r="Q689" s="36" t="str">
        <f>CONCATENATE(Cover!$D$6,"fdd/view?i=",P689)</f>
        <v>https://www.dgiwg.org/FAD/fdd/view?i=111584</v>
      </c>
      <c r="R689" s="13" t="s">
        <v>9315</v>
      </c>
      <c r="S689" s="172"/>
      <c r="T689" s="172"/>
      <c r="CQ689" s="165" t="s">
        <v>1790</v>
      </c>
    </row>
    <row r="690" spans="1:104" x14ac:dyDescent="0.2">
      <c r="A690" s="176" t="str">
        <f t="shared" si="14"/>
        <v>heightSurf</v>
      </c>
      <c r="B690" s="11" t="s">
        <v>9321</v>
      </c>
      <c r="C690" s="173"/>
      <c r="D690" s="22" t="s">
        <v>9322</v>
      </c>
      <c r="E690" s="15" t="s">
        <v>9323</v>
      </c>
      <c r="F690" s="174"/>
      <c r="G690" s="174"/>
      <c r="H690" s="17" t="s">
        <v>5932</v>
      </c>
      <c r="I690" s="269"/>
      <c r="J690" s="369" t="str">
        <f>HYPERLINK("[#]Datatypes!B1231:L1231","Real")</f>
        <v>Real</v>
      </c>
      <c r="K690" s="271" t="str">
        <f t="shared" si="15"/>
        <v>Length</v>
      </c>
      <c r="L690" s="270" t="str">
        <f t="shared" si="16"/>
        <v>Metre</v>
      </c>
      <c r="M690" s="272"/>
      <c r="N690" s="273"/>
      <c r="O690" s="269"/>
      <c r="P690" s="37">
        <v>114419</v>
      </c>
      <c r="Q690" s="36" t="str">
        <f>CONCATENATE(Cover!$D$6,"fdd/view?i=",P690)</f>
        <v>https://www.dgiwg.org/FAD/fdd/view?i=114419</v>
      </c>
      <c r="R690" s="13" t="s">
        <v>9320</v>
      </c>
      <c r="S690" s="172"/>
      <c r="T690" s="172"/>
      <c r="AZ690" s="87" t="s">
        <v>1790</v>
      </c>
      <c r="BE690" s="83" t="s">
        <v>1790</v>
      </c>
      <c r="CQ690" s="165" t="s">
        <v>1790</v>
      </c>
    </row>
    <row r="691" spans="1:104" x14ac:dyDescent="0.2">
      <c r="A691" s="176" t="str">
        <f t="shared" si="14"/>
        <v>heightSurfSwell</v>
      </c>
      <c r="B691" s="11" t="s">
        <v>9325</v>
      </c>
      <c r="C691" s="173"/>
      <c r="D691" s="22" t="s">
        <v>9326</v>
      </c>
      <c r="E691" s="15" t="s">
        <v>9327</v>
      </c>
      <c r="F691" s="174"/>
      <c r="G691" s="174"/>
      <c r="H691" s="17" t="s">
        <v>5932</v>
      </c>
      <c r="I691" s="269"/>
      <c r="J691" s="369" t="str">
        <f>HYPERLINK("[#]Datatypes!B1231:L1231","Real")</f>
        <v>Real</v>
      </c>
      <c r="K691" s="271" t="str">
        <f t="shared" si="15"/>
        <v>Length</v>
      </c>
      <c r="L691" s="270" t="str">
        <f t="shared" si="16"/>
        <v>Metre</v>
      </c>
      <c r="M691" s="272"/>
      <c r="N691" s="273"/>
      <c r="O691" s="269"/>
      <c r="P691" s="37">
        <v>114420</v>
      </c>
      <c r="Q691" s="36" t="str">
        <f>CONCATENATE(Cover!$D$6,"fdd/view?i=",P691)</f>
        <v>https://www.dgiwg.org/FAD/fdd/view?i=114420</v>
      </c>
      <c r="R691" s="13" t="s">
        <v>9324</v>
      </c>
      <c r="S691" s="172"/>
      <c r="T691" s="172"/>
      <c r="AZ691" s="87" t="s">
        <v>1790</v>
      </c>
      <c r="BE691" s="83" t="s">
        <v>1790</v>
      </c>
      <c r="CQ691" s="165" t="s">
        <v>1790</v>
      </c>
    </row>
    <row r="692" spans="1:104" ht="63.75" x14ac:dyDescent="0.2">
      <c r="A692" s="176" t="str">
        <f t="shared" si="14"/>
        <v>heightVertAccuracy90</v>
      </c>
      <c r="B692" s="11" t="s">
        <v>9329</v>
      </c>
      <c r="C692" s="173"/>
      <c r="D692" s="22" t="s">
        <v>9330</v>
      </c>
      <c r="E692" s="15" t="s">
        <v>9331</v>
      </c>
      <c r="F692" s="15" t="s">
        <v>9332</v>
      </c>
      <c r="G692" s="174"/>
      <c r="H692" s="17" t="s">
        <v>5932</v>
      </c>
      <c r="I692" s="269"/>
      <c r="J692" s="369" t="str">
        <f>HYPERLINK("[#]Datatypes!B1231:L1231","Real")</f>
        <v>Real</v>
      </c>
      <c r="K692" s="271" t="str">
        <f t="shared" si="15"/>
        <v>Length</v>
      </c>
      <c r="L692" s="270" t="str">
        <f t="shared" si="16"/>
        <v>Metre</v>
      </c>
      <c r="M692" s="272"/>
      <c r="N692" s="273"/>
      <c r="O692" s="269"/>
      <c r="P692" s="37">
        <v>118143</v>
      </c>
      <c r="Q692" s="36" t="str">
        <f>CONCATENATE(Cover!$D$6,"fdd/view?i=",P692)</f>
        <v>https://www.dgiwg.org/FAD/fdd/view?i=118143</v>
      </c>
      <c r="R692" s="13" t="s">
        <v>9328</v>
      </c>
      <c r="S692" s="172"/>
      <c r="T692" s="172"/>
      <c r="CZ692" s="165" t="s">
        <v>1790</v>
      </c>
    </row>
    <row r="693" spans="1:104" ht="25.5" x14ac:dyDescent="0.2">
      <c r="A693" s="176" t="str">
        <f t="shared" si="14"/>
        <v>copterPerformanceClass</v>
      </c>
      <c r="B693" s="11" t="s">
        <v>9334</v>
      </c>
      <c r="C693" s="173"/>
      <c r="D693" s="22" t="s">
        <v>9335</v>
      </c>
      <c r="E693" s="15" t="s">
        <v>9336</v>
      </c>
      <c r="F693" s="174"/>
      <c r="G693" s="174"/>
      <c r="H693" s="17" t="s">
        <v>5932</v>
      </c>
      <c r="I693" s="269"/>
      <c r="J693" s="369" t="str">
        <f>HYPERLINK("[#]Datatypes!B680:L680","HpcCode")</f>
        <v>HpcCode</v>
      </c>
      <c r="K693" s="276"/>
      <c r="L693" s="272"/>
      <c r="M693" s="272"/>
      <c r="N693" s="248" t="str">
        <f>HYPERLINK("[#]DatatypeListedValues!A4681:H4681","&lt;values&gt;")</f>
        <v>&lt;values&gt;</v>
      </c>
      <c r="O693" s="277" t="b">
        <v>0</v>
      </c>
      <c r="P693" s="37">
        <v>117583</v>
      </c>
      <c r="Q693" s="36" t="str">
        <f>CONCATENATE(Cover!$D$6,"fdd/view?i=",P693)</f>
        <v>https://www.dgiwg.org/FAD/fdd/view?i=117583</v>
      </c>
      <c r="R693" s="13" t="s">
        <v>9333</v>
      </c>
      <c r="S693" s="172"/>
      <c r="T693" s="172"/>
      <c r="CI693" s="89" t="s">
        <v>1790</v>
      </c>
    </row>
    <row r="694" spans="1:104" ht="25.5" x14ac:dyDescent="0.2">
      <c r="A694" s="176" t="str">
        <f t="shared" si="14"/>
        <v>helipadAssociatedFacility</v>
      </c>
      <c r="B694" s="11" t="s">
        <v>9339</v>
      </c>
      <c r="C694" s="173"/>
      <c r="D694" s="22" t="s">
        <v>9340</v>
      </c>
      <c r="E694" s="15" t="s">
        <v>9341</v>
      </c>
      <c r="F694" s="174"/>
      <c r="G694" s="174"/>
      <c r="H694" s="17" t="s">
        <v>5932</v>
      </c>
      <c r="I694" s="269"/>
      <c r="J694" s="369" t="str">
        <f>HYPERLINK("[#]Datatypes!B682:L682","HafCode")</f>
        <v>HafCode</v>
      </c>
      <c r="K694" s="276"/>
      <c r="L694" s="272"/>
      <c r="M694" s="272"/>
      <c r="N694" s="248" t="str">
        <f>HYPERLINK("[#]DatatypeListedValues!A4684:H4684","&lt;values&gt;")</f>
        <v>&lt;values&gt;</v>
      </c>
      <c r="O694" s="277" t="b">
        <v>0</v>
      </c>
      <c r="P694" s="37">
        <v>100928</v>
      </c>
      <c r="Q694" s="36" t="str">
        <f>CONCATENATE(Cover!$D$6,"fdd/view?i=",P694)</f>
        <v>https://www.dgiwg.org/FAD/fdd/view?i=100928</v>
      </c>
      <c r="R694" s="13" t="s">
        <v>9338</v>
      </c>
      <c r="S694" s="172"/>
      <c r="T694" s="172"/>
      <c r="AT694" s="82" t="s">
        <v>1790</v>
      </c>
      <c r="CE694" s="87" t="s">
        <v>1790</v>
      </c>
      <c r="CT694" s="166" t="s">
        <v>1790</v>
      </c>
    </row>
    <row r="695" spans="1:104" x14ac:dyDescent="0.2">
      <c r="A695" s="176" t="str">
        <f t="shared" si="14"/>
        <v>helipadPresent</v>
      </c>
      <c r="B695" s="11" t="s">
        <v>9344</v>
      </c>
      <c r="C695" s="173"/>
      <c r="D695" s="22" t="s">
        <v>9345</v>
      </c>
      <c r="E695" s="15" t="s">
        <v>9346</v>
      </c>
      <c r="F695" s="174"/>
      <c r="G695" s="174"/>
      <c r="H695" s="17" t="s">
        <v>5932</v>
      </c>
      <c r="I695" s="269"/>
      <c r="J695" s="369" t="str">
        <f>HYPERLINK("[#]Datatypes!B240:L240","Boolean")</f>
        <v>Boolean</v>
      </c>
      <c r="K695" s="276"/>
      <c r="L695" s="272"/>
      <c r="M695" s="272"/>
      <c r="N695" s="273"/>
      <c r="O695" s="269"/>
      <c r="P695" s="37">
        <v>117581</v>
      </c>
      <c r="Q695" s="36" t="str">
        <f>CONCATENATE(Cover!$D$6,"fdd/view?i=",P695)</f>
        <v>https://www.dgiwg.org/FAD/fdd/view?i=117581</v>
      </c>
      <c r="R695" s="13" t="s">
        <v>9343</v>
      </c>
      <c r="S695" s="172"/>
      <c r="T695" s="172"/>
      <c r="CE695" s="87" t="s">
        <v>1790</v>
      </c>
    </row>
    <row r="696" spans="1:104" x14ac:dyDescent="0.2">
      <c r="A696" s="176" t="str">
        <f t="shared" si="14"/>
        <v>highWaterMonthInterval</v>
      </c>
      <c r="B696" s="11" t="s">
        <v>9348</v>
      </c>
      <c r="C696" s="173"/>
      <c r="D696" s="22" t="s">
        <v>9349</v>
      </c>
      <c r="E696" s="15" t="s">
        <v>9350</v>
      </c>
      <c r="F696" s="174"/>
      <c r="G696" s="174"/>
      <c r="H696" s="17" t="s">
        <v>5932</v>
      </c>
      <c r="I696" s="269"/>
      <c r="J696" s="369" t="str">
        <f>HYPERLINK("[#]Datatypes!B684:L684","HwsStrucText")</f>
        <v>HwsStrucText</v>
      </c>
      <c r="K696" s="276"/>
      <c r="L696" s="272"/>
      <c r="M696" s="272"/>
      <c r="N696" s="273"/>
      <c r="O696" s="269"/>
      <c r="P696" s="37">
        <v>117787</v>
      </c>
      <c r="Q696" s="36" t="str">
        <f>CONCATENATE(Cover!$D$6,"fdd/view?i=",P696)</f>
        <v>https://www.dgiwg.org/FAD/fdd/view?i=117787</v>
      </c>
      <c r="R696" s="13" t="s">
        <v>9347</v>
      </c>
      <c r="S696" s="172"/>
      <c r="T696" s="172"/>
      <c r="BA696" s="83" t="s">
        <v>1790</v>
      </c>
      <c r="BJ696" s="83" t="s">
        <v>1790</v>
      </c>
      <c r="CQ696" s="165" t="s">
        <v>1790</v>
      </c>
    </row>
    <row r="697" spans="1:104" ht="114.75" x14ac:dyDescent="0.2">
      <c r="A697" s="176" t="str">
        <f t="shared" si="14"/>
        <v>highestElevation</v>
      </c>
      <c r="B697" s="11" t="s">
        <v>9353</v>
      </c>
      <c r="C697" s="173"/>
      <c r="D697" s="22" t="s">
        <v>9354</v>
      </c>
      <c r="E697" s="15" t="s">
        <v>9355</v>
      </c>
      <c r="F697" s="15" t="s">
        <v>9356</v>
      </c>
      <c r="G697" s="174"/>
      <c r="H697" s="17" t="s">
        <v>5932</v>
      </c>
      <c r="I697" s="269"/>
      <c r="J697" s="369" t="str">
        <f>HYPERLINK("[#]Datatypes!B1231:L1231","Real")</f>
        <v>Real</v>
      </c>
      <c r="K697" s="271" t="str">
        <f>HYPERLINK("[#]PhysicalQuantities!A20:N20","Length")</f>
        <v>Length</v>
      </c>
      <c r="L697" s="270" t="str">
        <f>HYPERLINK("[#]UnitsOfMeasure!D80:G80","Metre")</f>
        <v>Metre</v>
      </c>
      <c r="M697" s="272"/>
      <c r="N697" s="273"/>
      <c r="O697" s="269"/>
      <c r="P697" s="37">
        <v>117749</v>
      </c>
      <c r="Q697" s="36" t="str">
        <f>CONCATENATE(Cover!$D$6,"fdd/view?i=",P697)</f>
        <v>https://www.dgiwg.org/FAD/fdd/view?i=117749</v>
      </c>
      <c r="R697" s="13" t="s">
        <v>9352</v>
      </c>
      <c r="S697" s="172"/>
      <c r="T697" s="172"/>
      <c r="CE697" s="87" t="s">
        <v>1790</v>
      </c>
      <c r="CG697" s="83" t="s">
        <v>1790</v>
      </c>
    </row>
    <row r="698" spans="1:104" x14ac:dyDescent="0.2">
      <c r="A698" s="176" t="str">
        <f t="shared" si="14"/>
        <v>highestLevelGroundWater</v>
      </c>
      <c r="B698" s="11" t="s">
        <v>9358</v>
      </c>
      <c r="C698" s="173"/>
      <c r="D698" s="22" t="s">
        <v>9359</v>
      </c>
      <c r="E698" s="15" t="s">
        <v>9360</v>
      </c>
      <c r="F698" s="15" t="s">
        <v>9361</v>
      </c>
      <c r="G698" s="174"/>
      <c r="H698" s="17" t="s">
        <v>5932</v>
      </c>
      <c r="I698" s="269"/>
      <c r="J698" s="369" t="str">
        <f>HYPERLINK("[#]Datatypes!B1231:L1231","Real")</f>
        <v>Real</v>
      </c>
      <c r="K698" s="271" t="str">
        <f>HYPERLINK("[#]PhysicalQuantities!A20:N20","Length")</f>
        <v>Length</v>
      </c>
      <c r="L698" s="270" t="str">
        <f>HYPERLINK("[#]UnitsOfMeasure!D80:G80","Metre")</f>
        <v>Metre</v>
      </c>
      <c r="M698" s="272"/>
      <c r="N698" s="273"/>
      <c r="O698" s="269"/>
      <c r="P698" s="37">
        <v>110763</v>
      </c>
      <c r="Q698" s="36" t="str">
        <f>CONCATENATE(Cover!$D$6,"fdd/view?i=",P698)</f>
        <v>https://www.dgiwg.org/FAD/fdd/view?i=110763</v>
      </c>
      <c r="R698" s="13" t="s">
        <v>9357</v>
      </c>
      <c r="S698" s="172"/>
      <c r="T698" s="172"/>
      <c r="BP698" s="82" t="s">
        <v>1790</v>
      </c>
      <c r="CP698" s="164" t="s">
        <v>1790</v>
      </c>
    </row>
    <row r="699" spans="1:104" x14ac:dyDescent="0.2">
      <c r="A699" s="176" t="str">
        <f t="shared" si="14"/>
        <v>highestOrthometricZValue</v>
      </c>
      <c r="B699" s="11" t="s">
        <v>9363</v>
      </c>
      <c r="C699" s="173"/>
      <c r="D699" s="22" t="s">
        <v>9364</v>
      </c>
      <c r="E699" s="15" t="s">
        <v>9365</v>
      </c>
      <c r="F699" s="15" t="s">
        <v>9366</v>
      </c>
      <c r="G699" s="174"/>
      <c r="H699" s="17" t="s">
        <v>5932</v>
      </c>
      <c r="I699" s="269"/>
      <c r="J699" s="369" t="str">
        <f>HYPERLINK("[#]Datatypes!B1231:L1231","Real")</f>
        <v>Real</v>
      </c>
      <c r="K699" s="271" t="str">
        <f>HYPERLINK("[#]PhysicalQuantities!A20:N20","Length")</f>
        <v>Length</v>
      </c>
      <c r="L699" s="270" t="str">
        <f>HYPERLINK("[#]UnitsOfMeasure!D80:G80","Metre")</f>
        <v>Metre</v>
      </c>
      <c r="M699" s="272"/>
      <c r="N699" s="273"/>
      <c r="O699" s="269"/>
      <c r="P699" s="37">
        <v>101533</v>
      </c>
      <c r="Q699" s="36" t="str">
        <f>CONCATENATE(Cover!$D$6,"fdd/view?i=",P699)</f>
        <v>https://www.dgiwg.org/FAD/fdd/view?i=101533</v>
      </c>
      <c r="R699" s="13" t="s">
        <v>9362</v>
      </c>
      <c r="S699" s="172"/>
      <c r="T699" s="172"/>
      <c r="BL699" s="81" t="s">
        <v>1790</v>
      </c>
      <c r="CP699" s="164" t="s">
        <v>1790</v>
      </c>
    </row>
    <row r="700" spans="1:104" x14ac:dyDescent="0.2">
      <c r="A700" s="176" t="str">
        <f t="shared" si="14"/>
        <v>historicSignificance</v>
      </c>
      <c r="B700" s="11" t="s">
        <v>9368</v>
      </c>
      <c r="C700" s="173"/>
      <c r="D700" s="22" t="s">
        <v>9369</v>
      </c>
      <c r="E700" s="15" t="s">
        <v>9370</v>
      </c>
      <c r="F700" s="174"/>
      <c r="G700" s="174"/>
      <c r="H700" s="17" t="s">
        <v>5932</v>
      </c>
      <c r="I700" s="269"/>
      <c r="J700" s="369" t="str">
        <f>HYPERLINK("[#]Datatypes!B686:L686","HssCode")</f>
        <v>HssCode</v>
      </c>
      <c r="K700" s="276"/>
      <c r="L700" s="272"/>
      <c r="M700" s="272"/>
      <c r="N700" s="248" t="str">
        <f>HYPERLINK("[#]DatatypeListedValues!A4694:H4694","&lt;values&gt;")</f>
        <v>&lt;values&gt;</v>
      </c>
      <c r="O700" s="277" t="b">
        <v>0</v>
      </c>
      <c r="P700" s="37">
        <v>100961</v>
      </c>
      <c r="Q700" s="36" t="str">
        <f>CONCATENATE(Cover!$D$6,"fdd/view?i=",P700)</f>
        <v>https://www.dgiwg.org/FAD/fdd/view?i=100961</v>
      </c>
      <c r="R700" s="13" t="s">
        <v>9367</v>
      </c>
      <c r="S700" s="172"/>
      <c r="T700" s="172"/>
      <c r="AI700" s="87" t="s">
        <v>1790</v>
      </c>
      <c r="AN700" s="83" t="s">
        <v>1790</v>
      </c>
      <c r="CT700" s="166" t="s">
        <v>1790</v>
      </c>
    </row>
    <row r="701" spans="1:104" ht="38.25" x14ac:dyDescent="0.2">
      <c r="A701" s="176" t="str">
        <f t="shared" si="14"/>
        <v>historicalMonument</v>
      </c>
      <c r="B701" s="11" t="s">
        <v>9373</v>
      </c>
      <c r="C701" s="173"/>
      <c r="D701" s="22" t="s">
        <v>9374</v>
      </c>
      <c r="E701" s="15" t="s">
        <v>9375</v>
      </c>
      <c r="F701" s="15" t="s">
        <v>9376</v>
      </c>
      <c r="G701" s="174"/>
      <c r="H701" s="17" t="s">
        <v>5932</v>
      </c>
      <c r="I701" s="269"/>
      <c r="J701" s="369" t="str">
        <f>HYPERLINK("[#]Datatypes!B240:L240","Boolean")</f>
        <v>Boolean</v>
      </c>
      <c r="K701" s="276"/>
      <c r="L701" s="272"/>
      <c r="M701" s="272"/>
      <c r="N701" s="273"/>
      <c r="O701" s="269"/>
      <c r="P701" s="37">
        <v>118590</v>
      </c>
      <c r="Q701" s="36" t="str">
        <f>CONCATENATE(Cover!$D$6,"fdd/view?i=",P701)</f>
        <v>https://www.dgiwg.org/FAD/fdd/view?i=118590</v>
      </c>
      <c r="R701" s="13" t="s">
        <v>9372</v>
      </c>
      <c r="S701" s="172"/>
      <c r="T701" s="172"/>
      <c r="AJ701" s="83" t="s">
        <v>1790</v>
      </c>
      <c r="CT701" s="166" t="s">
        <v>1790</v>
      </c>
    </row>
    <row r="702" spans="1:104" ht="25.5" x14ac:dyDescent="0.2">
      <c r="A702" s="176" t="str">
        <f t="shared" si="14"/>
        <v>holdingProcDescription</v>
      </c>
      <c r="B702" s="11" t="s">
        <v>9378</v>
      </c>
      <c r="C702" s="173"/>
      <c r="D702" s="22" t="s">
        <v>9379</v>
      </c>
      <c r="E702" s="15" t="s">
        <v>9380</v>
      </c>
      <c r="F702" s="174"/>
      <c r="G702" s="174"/>
      <c r="H702" s="17" t="s">
        <v>5932</v>
      </c>
      <c r="I702" s="269"/>
      <c r="J702" s="369" t="str">
        <f>HYPERLINK("[#]Datatypes!B1562:L1562","TextNonLexUnconstrained")</f>
        <v>TextNonLexUnconstrained</v>
      </c>
      <c r="K702" s="276"/>
      <c r="L702" s="272"/>
      <c r="M702" s="272"/>
      <c r="N702" s="273"/>
      <c r="O702" s="269"/>
      <c r="P702" s="37">
        <v>117584</v>
      </c>
      <c r="Q702" s="36" t="str">
        <f>CONCATENATE(Cover!$D$6,"fdd/view?i=",P702)</f>
        <v>https://www.dgiwg.org/FAD/fdd/view?i=117584</v>
      </c>
      <c r="R702" s="13" t="s">
        <v>9377</v>
      </c>
      <c r="S702" s="172"/>
      <c r="T702" s="172"/>
      <c r="CI702" s="89" t="s">
        <v>1790</v>
      </c>
    </row>
    <row r="703" spans="1:104" ht="25.5" x14ac:dyDescent="0.2">
      <c r="A703" s="176" t="str">
        <f t="shared" si="14"/>
        <v>holdingProcInboundCourse</v>
      </c>
      <c r="B703" s="11" t="s">
        <v>9382</v>
      </c>
      <c r="C703" s="173"/>
      <c r="D703" s="22" t="s">
        <v>9383</v>
      </c>
      <c r="E703" s="15" t="s">
        <v>9384</v>
      </c>
      <c r="F703" s="15" t="s">
        <v>9385</v>
      </c>
      <c r="G703" s="174"/>
      <c r="H703" s="17" t="s">
        <v>5932</v>
      </c>
      <c r="I703" s="269"/>
      <c r="J703" s="369" t="str">
        <f>HYPERLINK("[#]Datatypes!B1231:L1231","Real")</f>
        <v>Real</v>
      </c>
      <c r="K703" s="271" t="str">
        <f>HYPERLINK("[#]PhysicalQuantities!A34:N34","Plane Angle")</f>
        <v>Plane Angle</v>
      </c>
      <c r="L703" s="270" t="str">
        <f>HYPERLINK("[#]UnitsOfMeasure!D159:G159","Arc Degree")</f>
        <v>Arc Degree</v>
      </c>
      <c r="M703" s="272"/>
      <c r="N703" s="273"/>
      <c r="O703" s="269"/>
      <c r="P703" s="37">
        <v>117585</v>
      </c>
      <c r="Q703" s="36" t="str">
        <f>CONCATENATE(Cover!$D$6,"fdd/view?i=",P703)</f>
        <v>https://www.dgiwg.org/FAD/fdd/view?i=117585</v>
      </c>
      <c r="R703" s="13" t="s">
        <v>9381</v>
      </c>
      <c r="S703" s="172"/>
      <c r="T703" s="172"/>
      <c r="CI703" s="89" t="s">
        <v>1790</v>
      </c>
    </row>
    <row r="704" spans="1:104" x14ac:dyDescent="0.2">
      <c r="A704" s="176" t="str">
        <f t="shared" si="14"/>
        <v>holdingProcLength</v>
      </c>
      <c r="B704" s="11" t="s">
        <v>9387</v>
      </c>
      <c r="C704" s="173"/>
      <c r="D704" s="22" t="s">
        <v>9388</v>
      </c>
      <c r="E704" s="15" t="s">
        <v>9389</v>
      </c>
      <c r="F704" s="174"/>
      <c r="G704" s="174"/>
      <c r="H704" s="17" t="s">
        <v>5932</v>
      </c>
      <c r="I704" s="269"/>
      <c r="J704" s="369" t="str">
        <f>HYPERLINK("[#]Datatypes!B1231:L1231","Real")</f>
        <v>Real</v>
      </c>
      <c r="K704" s="271" t="str">
        <f>HYPERLINK("[#]PhysicalQuantities!A20:N20","Length")</f>
        <v>Length</v>
      </c>
      <c r="L704" s="270" t="str">
        <f>HYPERLINK("[#]UnitsOfMeasure!D94:G94","Nautical Mile")</f>
        <v>Nautical Mile</v>
      </c>
      <c r="M704" s="272"/>
      <c r="N704" s="273"/>
      <c r="O704" s="269"/>
      <c r="P704" s="37">
        <v>117586</v>
      </c>
      <c r="Q704" s="36" t="str">
        <f>CONCATENATE(Cover!$D$6,"fdd/view?i=",P704)</f>
        <v>https://www.dgiwg.org/FAD/fdd/view?i=117586</v>
      </c>
      <c r="R704" s="13" t="s">
        <v>9386</v>
      </c>
      <c r="S704" s="172"/>
      <c r="T704" s="172"/>
      <c r="CI704" s="89" t="s">
        <v>1790</v>
      </c>
    </row>
    <row r="705" spans="1:105" ht="25.5" x14ac:dyDescent="0.2">
      <c r="A705" s="176" t="str">
        <f t="shared" si="14"/>
        <v>holdingProcLowerLimit</v>
      </c>
      <c r="B705" s="11" t="s">
        <v>9391</v>
      </c>
      <c r="C705" s="173"/>
      <c r="D705" s="22" t="s">
        <v>9392</v>
      </c>
      <c r="E705" s="15" t="s">
        <v>9393</v>
      </c>
      <c r="F705" s="174"/>
      <c r="G705" s="174"/>
      <c r="H705" s="17" t="s">
        <v>5932</v>
      </c>
      <c r="I705" s="269"/>
      <c r="J705" s="369" t="str">
        <f>HYPERLINK("[#]Datatypes!B1231:L1231","Real")</f>
        <v>Real</v>
      </c>
      <c r="K705" s="271" t="str">
        <f>HYPERLINK("[#]PhysicalQuantities!A20:N20","Length")</f>
        <v>Length</v>
      </c>
      <c r="L705" s="270" t="str">
        <f>HYPERLINK("[#]UnitsOfMeasure!D103:G103","Foot")</f>
        <v>Foot</v>
      </c>
      <c r="M705" s="270" t="str">
        <f>HYPERLINK("[#]UnitsOfMeasure!D154:G154","Flight Level")</f>
        <v>Flight Level</v>
      </c>
      <c r="N705" s="273"/>
      <c r="O705" s="269"/>
      <c r="P705" s="37">
        <v>117582</v>
      </c>
      <c r="Q705" s="36" t="str">
        <f>CONCATENATE(Cover!$D$6,"fdd/view?i=",P705)</f>
        <v>https://www.dgiwg.org/FAD/fdd/view?i=117582</v>
      </c>
      <c r="R705" s="13" t="s">
        <v>9390</v>
      </c>
      <c r="S705" s="172"/>
      <c r="T705" s="172"/>
      <c r="CI705" s="89" t="s">
        <v>1790</v>
      </c>
    </row>
    <row r="706" spans="1:105" ht="38.25" x14ac:dyDescent="0.2">
      <c r="A706" s="176" t="str">
        <f t="shared" si="14"/>
        <v>holdingProcTime</v>
      </c>
      <c r="B706" s="11" t="s">
        <v>9395</v>
      </c>
      <c r="C706" s="173"/>
      <c r="D706" s="22" t="s">
        <v>9396</v>
      </c>
      <c r="E706" s="15" t="s">
        <v>9397</v>
      </c>
      <c r="F706" s="15" t="s">
        <v>9398</v>
      </c>
      <c r="G706" s="174"/>
      <c r="H706" s="17" t="s">
        <v>5932</v>
      </c>
      <c r="I706" s="269"/>
      <c r="J706" s="369" t="str">
        <f>HYPERLINK("[#]Datatypes!B1231:L1231","Real")</f>
        <v>Real</v>
      </c>
      <c r="K706" s="271" t="str">
        <f>HYPERLINK("[#]PhysicalQuantities!A51:N51","Time")</f>
        <v>Time</v>
      </c>
      <c r="L706" s="270" t="str">
        <f>HYPERLINK("[#]UnitsOfMeasure!D269:G269","Minute")</f>
        <v>Minute</v>
      </c>
      <c r="M706" s="272"/>
      <c r="N706" s="273"/>
      <c r="O706" s="269"/>
      <c r="P706" s="37">
        <v>117587</v>
      </c>
      <c r="Q706" s="36" t="str">
        <f>CONCATENATE(Cover!$D$6,"fdd/view?i=",P706)</f>
        <v>https://www.dgiwg.org/FAD/fdd/view?i=117587</v>
      </c>
      <c r="R706" s="13" t="s">
        <v>9394</v>
      </c>
      <c r="S706" s="172"/>
      <c r="T706" s="172"/>
      <c r="CI706" s="89" t="s">
        <v>1790</v>
      </c>
    </row>
    <row r="707" spans="1:105" x14ac:dyDescent="0.2">
      <c r="A707" s="176" t="str">
        <f t="shared" ref="A707:A770" si="17">HYPERLINK(Q707,R707)</f>
        <v>holdingProcType</v>
      </c>
      <c r="B707" s="11" t="s">
        <v>9400</v>
      </c>
      <c r="C707" s="173"/>
      <c r="D707" s="22" t="s">
        <v>9401</v>
      </c>
      <c r="E707" s="15" t="s">
        <v>9402</v>
      </c>
      <c r="F707" s="15" t="s">
        <v>9403</v>
      </c>
      <c r="G707" s="174"/>
      <c r="H707" s="17" t="s">
        <v>5932</v>
      </c>
      <c r="I707" s="17" t="s">
        <v>6224</v>
      </c>
      <c r="J707" s="369" t="str">
        <f>HYPERLINK("[#]Datatypes!B688:L688","HpyCode")</f>
        <v>HpyCode</v>
      </c>
      <c r="K707" s="276"/>
      <c r="L707" s="272"/>
      <c r="M707" s="272"/>
      <c r="N707" s="248" t="str">
        <f>HYPERLINK("[#]DatatypeListedValues!A4702:H4702","&lt;values&gt;")</f>
        <v>&lt;values&gt;</v>
      </c>
      <c r="O707" s="277" t="b">
        <v>0</v>
      </c>
      <c r="P707" s="37">
        <v>117588</v>
      </c>
      <c r="Q707" s="36" t="str">
        <f>CONCATENATE(Cover!$D$6,"fdd/view?i=",P707)</f>
        <v>https://www.dgiwg.org/FAD/fdd/view?i=117588</v>
      </c>
      <c r="R707" s="13" t="s">
        <v>9399</v>
      </c>
      <c r="S707" s="172"/>
      <c r="T707" s="172"/>
      <c r="CI707" s="89" t="s">
        <v>1790</v>
      </c>
    </row>
    <row r="708" spans="1:105" ht="25.5" x14ac:dyDescent="0.2">
      <c r="A708" s="176" t="str">
        <f t="shared" si="17"/>
        <v>holdingProcUpperLimit</v>
      </c>
      <c r="B708" s="11" t="s">
        <v>9406</v>
      </c>
      <c r="C708" s="173"/>
      <c r="D708" s="22" t="s">
        <v>9407</v>
      </c>
      <c r="E708" s="15" t="s">
        <v>9408</v>
      </c>
      <c r="F708" s="174"/>
      <c r="G708" s="174"/>
      <c r="H708" s="17" t="s">
        <v>5932</v>
      </c>
      <c r="I708" s="269"/>
      <c r="J708" s="369" t="str">
        <f>HYPERLINK("[#]Datatypes!B1231:L1231","Real")</f>
        <v>Real</v>
      </c>
      <c r="K708" s="271" t="str">
        <f>HYPERLINK("[#]PhysicalQuantities!A20:N20","Length")</f>
        <v>Length</v>
      </c>
      <c r="L708" s="270" t="str">
        <f>HYPERLINK("[#]UnitsOfMeasure!D103:G103","Foot")</f>
        <v>Foot</v>
      </c>
      <c r="M708" s="270" t="str">
        <f>HYPERLINK("[#]UnitsOfMeasure!D154:G154","Flight Level")</f>
        <v>Flight Level</v>
      </c>
      <c r="N708" s="273"/>
      <c r="O708" s="269"/>
      <c r="P708" s="37">
        <v>117589</v>
      </c>
      <c r="Q708" s="36" t="str">
        <f>CONCATENATE(Cover!$D$6,"fdd/view?i=",P708)</f>
        <v>https://www.dgiwg.org/FAD/fdd/view?i=117589</v>
      </c>
      <c r="R708" s="13" t="s">
        <v>9405</v>
      </c>
      <c r="S708" s="172"/>
      <c r="T708" s="172"/>
      <c r="CI708" s="89" t="s">
        <v>1790</v>
      </c>
    </row>
    <row r="709" spans="1:105" ht="38.25" x14ac:dyDescent="0.2">
      <c r="A709" s="176" t="str">
        <f t="shared" si="17"/>
        <v>homogenHabitDistrib</v>
      </c>
      <c r="B709" s="11" t="s">
        <v>9410</v>
      </c>
      <c r="C709" s="173"/>
      <c r="D709" s="22" t="s">
        <v>9411</v>
      </c>
      <c r="E709" s="15" t="s">
        <v>9412</v>
      </c>
      <c r="F709" s="15" t="s">
        <v>9413</v>
      </c>
      <c r="G709" s="174"/>
      <c r="H709" s="17" t="s">
        <v>5932</v>
      </c>
      <c r="I709" s="269"/>
      <c r="J709" s="369" t="str">
        <f>HYPERLINK("[#]Datatypes!B240:L240","Boolean")</f>
        <v>Boolean</v>
      </c>
      <c r="K709" s="276"/>
      <c r="L709" s="272"/>
      <c r="M709" s="272"/>
      <c r="N709" s="273"/>
      <c r="O709" s="269"/>
      <c r="P709" s="37">
        <v>117786</v>
      </c>
      <c r="Q709" s="36" t="str">
        <f>CONCATENATE(Cover!$D$6,"fdd/view?i=",P709)</f>
        <v>https://www.dgiwg.org/FAD/fdd/view?i=117786</v>
      </c>
      <c r="R709" s="13" t="s">
        <v>9409</v>
      </c>
      <c r="S709" s="172"/>
      <c r="T709" s="172"/>
      <c r="CR709" s="165" t="s">
        <v>1790</v>
      </c>
    </row>
    <row r="710" spans="1:105" ht="25.5" x14ac:dyDescent="0.2">
      <c r="A710" s="176" t="str">
        <f t="shared" si="17"/>
        <v>horizAccuracyCategory</v>
      </c>
      <c r="B710" s="11" t="s">
        <v>9415</v>
      </c>
      <c r="C710" s="173"/>
      <c r="D710" s="22" t="s">
        <v>9416</v>
      </c>
      <c r="E710" s="15" t="s">
        <v>9417</v>
      </c>
      <c r="F710" s="174"/>
      <c r="G710" s="174"/>
      <c r="H710" s="17" t="s">
        <v>5932</v>
      </c>
      <c r="I710" s="269"/>
      <c r="J710" s="369" t="str">
        <f>HYPERLINK("[#]Datatypes!B690:L690","AccCode")</f>
        <v>AccCode</v>
      </c>
      <c r="K710" s="276"/>
      <c r="L710" s="272"/>
      <c r="M710" s="272"/>
      <c r="N710" s="248" t="str">
        <f>HYPERLINK("[#]DatatypeListedValues!A4704:H4704","&lt;values&gt;")</f>
        <v>&lt;values&gt;</v>
      </c>
      <c r="O710" s="277" t="b">
        <v>0</v>
      </c>
      <c r="P710" s="37">
        <v>100588</v>
      </c>
      <c r="Q710" s="36" t="str">
        <f>CONCATENATE(Cover!$D$6,"fdd/view?i=",P710)</f>
        <v>https://www.dgiwg.org/FAD/fdd/view?i=100588</v>
      </c>
      <c r="R710" s="13" t="s">
        <v>9414</v>
      </c>
      <c r="S710" s="172"/>
      <c r="T710" s="172"/>
      <c r="CP710" s="164" t="s">
        <v>1790</v>
      </c>
      <c r="CZ710" s="165" t="s">
        <v>1790</v>
      </c>
    </row>
    <row r="711" spans="1:105" ht="51" x14ac:dyDescent="0.2">
      <c r="A711" s="176" t="str">
        <f t="shared" si="17"/>
        <v>horizontalAlarmLimit</v>
      </c>
      <c r="B711" s="11" t="s">
        <v>9420</v>
      </c>
      <c r="C711" s="173"/>
      <c r="D711" s="22" t="s">
        <v>9421</v>
      </c>
      <c r="E711" s="15" t="s">
        <v>9422</v>
      </c>
      <c r="F711" s="15" t="s">
        <v>9423</v>
      </c>
      <c r="G711" s="174"/>
      <c r="H711" s="17" t="s">
        <v>5932</v>
      </c>
      <c r="I711" s="269"/>
      <c r="J711" s="369" t="str">
        <f>HYPERLINK("[#]Datatypes!B1048:L1048","RealNonNegative")</f>
        <v>RealNonNegative</v>
      </c>
      <c r="K711" s="271" t="str">
        <f>HYPERLINK("[#]PhysicalQuantities!A20:N20","Length")</f>
        <v>Length</v>
      </c>
      <c r="L711" s="270" t="str">
        <f>HYPERLINK("[#]UnitsOfMeasure!D80:G80","Metre")</f>
        <v>Metre</v>
      </c>
      <c r="M711" s="272"/>
      <c r="N711" s="273"/>
      <c r="O711" s="269"/>
      <c r="P711" s="37">
        <v>119605</v>
      </c>
      <c r="Q711" s="36" t="str">
        <f>CONCATENATE(Cover!$D$6,"fdd/view?i=",P711)</f>
        <v>https://www.dgiwg.org/FAD/fdd/view?i=119605</v>
      </c>
      <c r="R711" s="13" t="s">
        <v>9419</v>
      </c>
      <c r="S711" s="172"/>
      <c r="T711" s="172"/>
      <c r="AT711" s="82" t="s">
        <v>1790</v>
      </c>
      <c r="CF711" s="83" t="s">
        <v>1790</v>
      </c>
      <c r="CQ711" s="165" t="s">
        <v>1790</v>
      </c>
    </row>
    <row r="712" spans="1:105" ht="25.5" x14ac:dyDescent="0.2">
      <c r="A712" s="176" t="str">
        <f t="shared" si="17"/>
        <v>horizontalClearance</v>
      </c>
      <c r="B712" s="11" t="s">
        <v>9425</v>
      </c>
      <c r="C712" s="173"/>
      <c r="D712" s="22" t="s">
        <v>9426</v>
      </c>
      <c r="E712" s="15" t="s">
        <v>9427</v>
      </c>
      <c r="F712" s="174"/>
      <c r="G712" s="174"/>
      <c r="H712" s="17" t="s">
        <v>5932</v>
      </c>
      <c r="I712" s="269"/>
      <c r="J712" s="369" t="str">
        <f>HYPERLINK("[#]Datatypes!B1233:L1233","RealInterval")</f>
        <v>RealInterval</v>
      </c>
      <c r="K712" s="271" t="str">
        <f>HYPERLINK("[#]PhysicalQuantities!A20:N20","Length")</f>
        <v>Length</v>
      </c>
      <c r="L712" s="270" t="str">
        <f>HYPERLINK("[#]UnitsOfMeasure!D80:G80","Metre")</f>
        <v>Metre</v>
      </c>
      <c r="M712" s="272"/>
      <c r="N712" s="273"/>
      <c r="O712" s="269"/>
      <c r="P712" s="37">
        <v>110708</v>
      </c>
      <c r="Q712" s="36" t="str">
        <f>CONCATENATE(Cover!$D$6,"fdd/view?i=",P712)</f>
        <v>https://www.dgiwg.org/FAD/fdd/view?i=110708</v>
      </c>
      <c r="R712" s="13" t="s">
        <v>9424</v>
      </c>
      <c r="S712" s="172"/>
      <c r="T712" s="172"/>
      <c r="AU712" s="82" t="s">
        <v>1790</v>
      </c>
      <c r="CQ712" s="165" t="s">
        <v>1790</v>
      </c>
    </row>
    <row r="713" spans="1:105" x14ac:dyDescent="0.2">
      <c r="A713" s="176" t="str">
        <f t="shared" si="17"/>
        <v>hospitalBedCount</v>
      </c>
      <c r="B713" s="11" t="s">
        <v>9429</v>
      </c>
      <c r="C713" s="173"/>
      <c r="D713" s="22" t="s">
        <v>9430</v>
      </c>
      <c r="E713" s="15" t="s">
        <v>9431</v>
      </c>
      <c r="F713" s="174"/>
      <c r="G713" s="174"/>
      <c r="H713" s="17" t="s">
        <v>5932</v>
      </c>
      <c r="I713" s="269"/>
      <c r="J713" s="369" t="str">
        <f>HYPERLINK("[#]Datatypes!B380:L380","Count")</f>
        <v>Count</v>
      </c>
      <c r="K713" s="276"/>
      <c r="L713" s="272"/>
      <c r="M713" s="272"/>
      <c r="N713" s="273"/>
      <c r="O713" s="269"/>
      <c r="P713" s="37">
        <v>100960</v>
      </c>
      <c r="Q713" s="36" t="str">
        <f>CONCATENATE(Cover!$D$6,"fdd/view?i=",P713)</f>
        <v>https://www.dgiwg.org/FAD/fdd/view?i=100960</v>
      </c>
      <c r="R713" s="13" t="s">
        <v>9428</v>
      </c>
      <c r="S713" s="172"/>
      <c r="T713" s="172"/>
      <c r="AI713" s="87" t="s">
        <v>1790</v>
      </c>
      <c r="AJ713" s="83" t="s">
        <v>1790</v>
      </c>
      <c r="AM713" s="83" t="s">
        <v>1790</v>
      </c>
      <c r="CQ713" s="165" t="s">
        <v>1790</v>
      </c>
    </row>
    <row r="714" spans="1:105" x14ac:dyDescent="0.2">
      <c r="A714" s="176" t="str">
        <f t="shared" si="17"/>
        <v>hospitalBedsAvailable</v>
      </c>
      <c r="B714" s="11" t="s">
        <v>9433</v>
      </c>
      <c r="C714" s="173"/>
      <c r="D714" s="22" t="s">
        <v>9434</v>
      </c>
      <c r="E714" s="15" t="s">
        <v>9435</v>
      </c>
      <c r="F714" s="174"/>
      <c r="G714" s="174"/>
      <c r="H714" s="17" t="s">
        <v>5932</v>
      </c>
      <c r="I714" s="269"/>
      <c r="J714" s="369" t="str">
        <f>HYPERLINK("[#]Datatypes!B380:L380","Count")</f>
        <v>Count</v>
      </c>
      <c r="K714" s="276"/>
      <c r="L714" s="272"/>
      <c r="M714" s="272"/>
      <c r="N714" s="273"/>
      <c r="O714" s="269"/>
      <c r="P714" s="37">
        <v>111486</v>
      </c>
      <c r="Q714" s="36" t="str">
        <f>CONCATENATE(Cover!$D$6,"fdd/view?i=",P714)</f>
        <v>https://www.dgiwg.org/FAD/fdd/view?i=111486</v>
      </c>
      <c r="R714" s="13" t="s">
        <v>9432</v>
      </c>
      <c r="S714" s="172"/>
      <c r="T714" s="172"/>
      <c r="AI714" s="87" t="s">
        <v>1790</v>
      </c>
      <c r="AM714" s="83" t="s">
        <v>1790</v>
      </c>
      <c r="CQ714" s="165" t="s">
        <v>1790</v>
      </c>
    </row>
    <row r="715" spans="1:105" x14ac:dyDescent="0.2">
      <c r="A715" s="176" t="str">
        <f t="shared" si="17"/>
        <v>hostileIncidentType</v>
      </c>
      <c r="B715" s="11" t="s">
        <v>9437</v>
      </c>
      <c r="C715" s="173"/>
      <c r="D715" s="22" t="s">
        <v>9438</v>
      </c>
      <c r="E715" s="15" t="s">
        <v>9439</v>
      </c>
      <c r="F715" s="174"/>
      <c r="G715" s="174"/>
      <c r="H715" s="17" t="s">
        <v>5932</v>
      </c>
      <c r="I715" s="269"/>
      <c r="J715" s="369" t="str">
        <f>HYPERLINK("[#]Datatypes!B692:L692","IdtCode")</f>
        <v>IdtCode</v>
      </c>
      <c r="K715" s="276"/>
      <c r="L715" s="272"/>
      <c r="M715" s="272"/>
      <c r="N715" s="248" t="str">
        <f>HYPERLINK("[#]DatatypeListedValues!A4708:H4708","&lt;values&gt;")</f>
        <v>&lt;values&gt;</v>
      </c>
      <c r="O715" s="277" t="b">
        <v>0</v>
      </c>
      <c r="P715" s="37">
        <v>118169</v>
      </c>
      <c r="Q715" s="36" t="str">
        <f>CONCATENATE(Cover!$D$6,"fdd/view?i=",P715)</f>
        <v>https://www.dgiwg.org/FAD/fdd/view?i=118169</v>
      </c>
      <c r="R715" s="13" t="s">
        <v>9436</v>
      </c>
      <c r="S715" s="172"/>
      <c r="T715" s="172"/>
      <c r="CL715" s="85" t="s">
        <v>1790</v>
      </c>
      <c r="CS715" s="165" t="s">
        <v>1790</v>
      </c>
    </row>
    <row r="716" spans="1:105" ht="25.5" x14ac:dyDescent="0.2">
      <c r="A716" s="176" t="str">
        <f t="shared" si="17"/>
        <v>houseOfWorshipType</v>
      </c>
      <c r="B716" s="11" t="s">
        <v>9442</v>
      </c>
      <c r="C716" s="173"/>
      <c r="D716" s="22" t="s">
        <v>9443</v>
      </c>
      <c r="E716" s="15" t="s">
        <v>9444</v>
      </c>
      <c r="F716" s="174"/>
      <c r="G716" s="174"/>
      <c r="H716" s="17" t="s">
        <v>5932</v>
      </c>
      <c r="I716" s="269"/>
      <c r="J716" s="369" t="str">
        <f>HYPERLINK("[#]Datatypes!B694:L694","HwtCode")</f>
        <v>HwtCode</v>
      </c>
      <c r="K716" s="276"/>
      <c r="L716" s="272"/>
      <c r="M716" s="272"/>
      <c r="N716" s="248" t="str">
        <f>HYPERLINK("[#]DatatypeListedValues!A4730:H4730","&lt;values&gt;")</f>
        <v>&lt;values&gt;</v>
      </c>
      <c r="O716" s="277" t="b">
        <v>0</v>
      </c>
      <c r="P716" s="37">
        <v>100964</v>
      </c>
      <c r="Q716" s="36" t="str">
        <f>CONCATENATE(Cover!$D$6,"fdd/view?i=",P716)</f>
        <v>https://www.dgiwg.org/FAD/fdd/view?i=100964</v>
      </c>
      <c r="R716" s="13" t="s">
        <v>9441</v>
      </c>
      <c r="S716" s="172"/>
      <c r="T716" s="172"/>
      <c r="AI716" s="87" t="s">
        <v>1790</v>
      </c>
      <c r="AJ716" s="83" t="s">
        <v>1790</v>
      </c>
      <c r="CT716" s="166" t="s">
        <v>1790</v>
      </c>
    </row>
    <row r="717" spans="1:105" ht="63.75" x14ac:dyDescent="0.2">
      <c r="A717" s="176" t="str">
        <f t="shared" si="17"/>
        <v>hulkType</v>
      </c>
      <c r="B717" s="11" t="s">
        <v>9447</v>
      </c>
      <c r="C717" s="173"/>
      <c r="D717" s="22" t="s">
        <v>9448</v>
      </c>
      <c r="E717" s="15" t="s">
        <v>9449</v>
      </c>
      <c r="F717" s="15" t="s">
        <v>9450</v>
      </c>
      <c r="G717" s="174"/>
      <c r="H717" s="17" t="s">
        <v>5932</v>
      </c>
      <c r="I717" s="17" t="s">
        <v>6029</v>
      </c>
      <c r="J717" s="369" t="str">
        <f>HYPERLINK("[#]Datatypes!B696:L696","HlkCode")</f>
        <v>HlkCode</v>
      </c>
      <c r="K717" s="276"/>
      <c r="L717" s="272"/>
      <c r="M717" s="272"/>
      <c r="N717" s="248" t="str">
        <f>HYPERLINK("[#]DatatypeListedValues!A4743:H4743","&lt;values&gt;")</f>
        <v>&lt;values&gt;</v>
      </c>
      <c r="O717" s="277" t="b">
        <v>0</v>
      </c>
      <c r="P717" s="37">
        <v>100948</v>
      </c>
      <c r="Q717" s="36" t="str">
        <f>CONCATENATE(Cover!$D$6,"fdd/view?i=",P717)</f>
        <v>https://www.dgiwg.org/FAD/fdd/view?i=100948</v>
      </c>
      <c r="R717" s="13" t="s">
        <v>9446</v>
      </c>
      <c r="S717" s="172"/>
      <c r="T717" s="172"/>
      <c r="AG717" s="82" t="s">
        <v>1790</v>
      </c>
      <c r="AS717" s="82" t="s">
        <v>1790</v>
      </c>
      <c r="BA717" s="83" t="s">
        <v>1790</v>
      </c>
      <c r="CT717" s="166" t="s">
        <v>1790</v>
      </c>
    </row>
    <row r="718" spans="1:105" ht="89.25" x14ac:dyDescent="0.2">
      <c r="A718" s="176" t="str">
        <f t="shared" si="17"/>
        <v>humanDevelopmentIndex</v>
      </c>
      <c r="B718" s="11" t="s">
        <v>9453</v>
      </c>
      <c r="C718" s="173"/>
      <c r="D718" s="22" t="s">
        <v>9454</v>
      </c>
      <c r="E718" s="15" t="s">
        <v>9455</v>
      </c>
      <c r="F718" s="15" t="s">
        <v>9456</v>
      </c>
      <c r="G718" s="174"/>
      <c r="H718" s="17" t="s">
        <v>5932</v>
      </c>
      <c r="I718" s="269"/>
      <c r="J718" s="369" t="str">
        <f>HYPERLINK("[#]Datatypes!B698:L698","DneCode")</f>
        <v>DneCode</v>
      </c>
      <c r="K718" s="276"/>
      <c r="L718" s="272"/>
      <c r="M718" s="272"/>
      <c r="N718" s="248" t="str">
        <f>HYPERLINK("[#]DatatypeListedValues!A4754:H4754","&lt;values&gt;")</f>
        <v>&lt;values&gt;</v>
      </c>
      <c r="O718" s="277" t="b">
        <v>0</v>
      </c>
      <c r="P718" s="37">
        <v>111522</v>
      </c>
      <c r="Q718" s="36" t="str">
        <f>CONCATENATE(Cover!$D$6,"fdd/view?i=",P718)</f>
        <v>https://www.dgiwg.org/FAD/fdd/view?i=111522</v>
      </c>
      <c r="R718" s="13" t="s">
        <v>9452</v>
      </c>
      <c r="S718" s="172"/>
      <c r="T718" s="172"/>
      <c r="AK718" s="83" t="s">
        <v>1790</v>
      </c>
      <c r="AM718" s="83" t="s">
        <v>1790</v>
      </c>
      <c r="CS718" s="165" t="s">
        <v>1790</v>
      </c>
    </row>
    <row r="719" spans="1:105" ht="38.25" x14ac:dyDescent="0.2">
      <c r="A719" s="176" t="str">
        <f t="shared" si="17"/>
        <v>humanHazard</v>
      </c>
      <c r="B719" s="11" t="s">
        <v>9459</v>
      </c>
      <c r="C719" s="173"/>
      <c r="D719" s="22" t="s">
        <v>9460</v>
      </c>
      <c r="E719" s="15" t="s">
        <v>9461</v>
      </c>
      <c r="F719" s="174"/>
      <c r="G719" s="174"/>
      <c r="H719" s="17" t="s">
        <v>5932</v>
      </c>
      <c r="I719" s="17" t="s">
        <v>6029</v>
      </c>
      <c r="J719" s="369" t="str">
        <f>HYPERLINK("[#]Datatypes!B700:L700","HhaCode")</f>
        <v>HhaCode</v>
      </c>
      <c r="K719" s="276"/>
      <c r="L719" s="272"/>
      <c r="M719" s="272"/>
      <c r="N719" s="248" t="str">
        <f>HYPERLINK("[#]DatatypeListedValues!A4759:H4759","&lt;values&gt;")</f>
        <v>&lt;values&gt;</v>
      </c>
      <c r="O719" s="277" t="b">
        <v>0</v>
      </c>
      <c r="P719" s="37">
        <v>117785</v>
      </c>
      <c r="Q719" s="36" t="str">
        <f>CONCATENATE(Cover!$D$6,"fdd/view?i=",P719)</f>
        <v>https://www.dgiwg.org/FAD/fdd/view?i=117785</v>
      </c>
      <c r="R719" s="13" t="s">
        <v>9458</v>
      </c>
      <c r="S719" s="172"/>
      <c r="T719" s="172"/>
      <c r="CR719" s="165" t="s">
        <v>1790</v>
      </c>
      <c r="DA719" s="165" t="s">
        <v>1790</v>
      </c>
    </row>
    <row r="720" spans="1:105" ht="38.25" x14ac:dyDescent="0.2">
      <c r="A720" s="176" t="str">
        <f t="shared" si="17"/>
        <v>humReliefAdminRegionType</v>
      </c>
      <c r="B720" s="11" t="s">
        <v>9464</v>
      </c>
      <c r="C720" s="173"/>
      <c r="D720" s="22" t="s">
        <v>9465</v>
      </c>
      <c r="E720" s="15" t="s">
        <v>9466</v>
      </c>
      <c r="F720" s="174"/>
      <c r="G720" s="174"/>
      <c r="H720" s="17" t="s">
        <v>5932</v>
      </c>
      <c r="I720" s="269"/>
      <c r="J720" s="369" t="str">
        <f>HYPERLINK("[#]Datatypes!B702:L702","HraCode")</f>
        <v>HraCode</v>
      </c>
      <c r="K720" s="276"/>
      <c r="L720" s="272"/>
      <c r="M720" s="272"/>
      <c r="N720" s="248" t="str">
        <f>HYPERLINK("[#]DatatypeListedValues!A4765:H4765","&lt;values&gt;")</f>
        <v>&lt;values&gt;</v>
      </c>
      <c r="O720" s="277" t="b">
        <v>0</v>
      </c>
      <c r="P720" s="37">
        <v>119144</v>
      </c>
      <c r="Q720" s="36" t="str">
        <f>CONCATENATE(Cover!$D$6,"fdd/view?i=",P720)</f>
        <v>https://www.dgiwg.org/FAD/fdd/view?i=119144</v>
      </c>
      <c r="R720" s="13" t="s">
        <v>9463</v>
      </c>
      <c r="S720" s="172"/>
      <c r="T720" s="172"/>
      <c r="AM720" s="83" t="s">
        <v>1790</v>
      </c>
    </row>
    <row r="721" spans="1:105" ht="25.5" x14ac:dyDescent="0.2">
      <c r="A721" s="176" t="str">
        <f t="shared" si="17"/>
        <v>hydrographicBaseHeight</v>
      </c>
      <c r="B721" s="11" t="s">
        <v>9469</v>
      </c>
      <c r="C721" s="173"/>
      <c r="D721" s="22" t="s">
        <v>9470</v>
      </c>
      <c r="E721" s="15" t="s">
        <v>9471</v>
      </c>
      <c r="F721" s="174"/>
      <c r="G721" s="174"/>
      <c r="H721" s="17" t="s">
        <v>5932</v>
      </c>
      <c r="I721" s="269"/>
      <c r="J721" s="369" t="str">
        <f>HYPERLINK("[#]Datatypes!B1233:L1233","RealInterval")</f>
        <v>RealInterval</v>
      </c>
      <c r="K721" s="271" t="str">
        <f>HYPERLINK("[#]PhysicalQuantities!A20:N20","Length")</f>
        <v>Length</v>
      </c>
      <c r="L721" s="270" t="str">
        <f>HYPERLINK("[#]UnitsOfMeasure!D80:G80","Metre")</f>
        <v>Metre</v>
      </c>
      <c r="M721" s="272"/>
      <c r="N721" s="273"/>
      <c r="O721" s="269"/>
      <c r="P721" s="37">
        <v>114225</v>
      </c>
      <c r="Q721" s="36" t="str">
        <f>CONCATENATE(Cover!$D$6,"fdd/view?i=",P721)</f>
        <v>https://www.dgiwg.org/FAD/fdd/view?i=114225</v>
      </c>
      <c r="R721" s="13" t="s">
        <v>9468</v>
      </c>
      <c r="S721" s="172"/>
      <c r="T721" s="172"/>
      <c r="AZ721" s="87" t="s">
        <v>1790</v>
      </c>
      <c r="BA721" s="83" t="s">
        <v>1790</v>
      </c>
      <c r="BB721" s="83" t="s">
        <v>1790</v>
      </c>
      <c r="BD721" s="83" t="s">
        <v>1790</v>
      </c>
      <c r="CP721" s="164" t="s">
        <v>1790</v>
      </c>
    </row>
    <row r="722" spans="1:105" ht="25.5" x14ac:dyDescent="0.2">
      <c r="A722" s="176" t="str">
        <f t="shared" si="17"/>
        <v>hydroBaseRef</v>
      </c>
      <c r="B722" s="11" t="s">
        <v>9473</v>
      </c>
      <c r="C722" s="173"/>
      <c r="D722" s="22" t="s">
        <v>9474</v>
      </c>
      <c r="E722" s="15" t="s">
        <v>9475</v>
      </c>
      <c r="F722" s="15" t="s">
        <v>9476</v>
      </c>
      <c r="G722" s="174"/>
      <c r="H722" s="17" t="s">
        <v>5932</v>
      </c>
      <c r="I722" s="269"/>
      <c r="J722" s="369" t="str">
        <f>HYPERLINK("[#]Datatypes!B704:L704","HbrCode")</f>
        <v>HbrCode</v>
      </c>
      <c r="K722" s="276"/>
      <c r="L722" s="272"/>
      <c r="M722" s="272"/>
      <c r="N722" s="248" t="str">
        <f>HYPERLINK("[#]DatatypeListedValues!A4766:H4766","&lt;values&gt;")</f>
        <v>&lt;values&gt;</v>
      </c>
      <c r="O722" s="277" t="b">
        <v>0</v>
      </c>
      <c r="P722" s="37">
        <v>117784</v>
      </c>
      <c r="Q722" s="36" t="str">
        <f>CONCATENATE(Cover!$D$6,"fdd/view?i=",P722)</f>
        <v>https://www.dgiwg.org/FAD/fdd/view?i=117784</v>
      </c>
      <c r="R722" s="13" t="s">
        <v>9472</v>
      </c>
      <c r="S722" s="172"/>
      <c r="T722" s="172"/>
      <c r="BB722" s="83" t="s">
        <v>1790</v>
      </c>
      <c r="BL722" s="81" t="s">
        <v>1790</v>
      </c>
      <c r="DA722" s="165" t="s">
        <v>1790</v>
      </c>
    </row>
    <row r="723" spans="1:105" ht="25.5" x14ac:dyDescent="0.2">
      <c r="A723" s="176" t="str">
        <f t="shared" si="17"/>
        <v>hydroBaseRefName</v>
      </c>
      <c r="B723" s="11" t="s">
        <v>9479</v>
      </c>
      <c r="C723" s="173"/>
      <c r="D723" s="22" t="s">
        <v>9480</v>
      </c>
      <c r="E723" s="15" t="s">
        <v>9481</v>
      </c>
      <c r="F723" s="15" t="s">
        <v>9482</v>
      </c>
      <c r="G723" s="174"/>
      <c r="H723" s="17" t="s">
        <v>5932</v>
      </c>
      <c r="I723" s="269"/>
      <c r="J723" s="369" t="str">
        <f>HYPERLINK("[#]Datatypes!B1542:L1542","TextLex80")</f>
        <v>TextLex80</v>
      </c>
      <c r="K723" s="276"/>
      <c r="L723" s="272"/>
      <c r="M723" s="272"/>
      <c r="N723" s="273"/>
      <c r="O723" s="269"/>
      <c r="P723" s="37">
        <v>117783</v>
      </c>
      <c r="Q723" s="36" t="str">
        <f>CONCATENATE(Cover!$D$6,"fdd/view?i=",P723)</f>
        <v>https://www.dgiwg.org/FAD/fdd/view?i=117783</v>
      </c>
      <c r="R723" s="13" t="s">
        <v>9478</v>
      </c>
      <c r="S723" s="172"/>
      <c r="T723" s="172"/>
      <c r="BB723" s="83" t="s">
        <v>1790</v>
      </c>
      <c r="BL723" s="81" t="s">
        <v>1790</v>
      </c>
    </row>
    <row r="724" spans="1:105" ht="25.5" x14ac:dyDescent="0.2">
      <c r="A724" s="176" t="str">
        <f t="shared" si="17"/>
        <v>hydrographicDepth</v>
      </c>
      <c r="B724" s="11" t="s">
        <v>9484</v>
      </c>
      <c r="C724" s="173"/>
      <c r="D724" s="22" t="s">
        <v>9485</v>
      </c>
      <c r="E724" s="15" t="s">
        <v>9486</v>
      </c>
      <c r="F724" s="15" t="s">
        <v>9487</v>
      </c>
      <c r="G724" s="174"/>
      <c r="H724" s="17" t="s">
        <v>5932</v>
      </c>
      <c r="I724" s="269"/>
      <c r="J724" s="369" t="str">
        <f>HYPERLINK("[#]Datatypes!B1233:L1233","RealInterval")</f>
        <v>RealInterval</v>
      </c>
      <c r="K724" s="271" t="str">
        <f>HYPERLINK("[#]PhysicalQuantities!A20:N20","Length")</f>
        <v>Length</v>
      </c>
      <c r="L724" s="270" t="str">
        <f>HYPERLINK("[#]UnitsOfMeasure!D80:G80","Metre")</f>
        <v>Metre</v>
      </c>
      <c r="M724" s="272"/>
      <c r="N724" s="273"/>
      <c r="O724" s="269"/>
      <c r="P724" s="37">
        <v>100935</v>
      </c>
      <c r="Q724" s="36" t="str">
        <f>CONCATENATE(Cover!$D$6,"fdd/view?i=",P724)</f>
        <v>https://www.dgiwg.org/FAD/fdd/view?i=100935</v>
      </c>
      <c r="R724" s="13" t="s">
        <v>9483</v>
      </c>
      <c r="S724" s="172"/>
      <c r="T724" s="172"/>
      <c r="BB724" s="83" t="s">
        <v>1790</v>
      </c>
      <c r="BJ724" s="83" t="s">
        <v>1790</v>
      </c>
      <c r="CP724" s="164" t="s">
        <v>1790</v>
      </c>
    </row>
    <row r="725" spans="1:105" ht="25.5" x14ac:dyDescent="0.2">
      <c r="A725" s="176" t="str">
        <f t="shared" si="17"/>
        <v>hydrographicDryingHeight</v>
      </c>
      <c r="B725" s="11" t="s">
        <v>9489</v>
      </c>
      <c r="C725" s="173"/>
      <c r="D725" s="22" t="s">
        <v>9490</v>
      </c>
      <c r="E725" s="15" t="s">
        <v>9491</v>
      </c>
      <c r="F725" s="174"/>
      <c r="G725" s="174"/>
      <c r="H725" s="17" t="s">
        <v>5932</v>
      </c>
      <c r="I725" s="269"/>
      <c r="J725" s="369" t="str">
        <f>HYPERLINK("[#]Datatypes!B1233:L1233","RealInterval")</f>
        <v>RealInterval</v>
      </c>
      <c r="K725" s="271" t="str">
        <f>HYPERLINK("[#]PhysicalQuantities!A20:N20","Length")</f>
        <v>Length</v>
      </c>
      <c r="L725" s="270" t="str">
        <f>HYPERLINK("[#]UnitsOfMeasure!D80:G80","Metre")</f>
        <v>Metre</v>
      </c>
      <c r="M725" s="272"/>
      <c r="N725" s="273"/>
      <c r="O725" s="269"/>
      <c r="P725" s="37">
        <v>100933</v>
      </c>
      <c r="Q725" s="36" t="str">
        <f>CONCATENATE(Cover!$D$6,"fdd/view?i=",P725)</f>
        <v>https://www.dgiwg.org/FAD/fdd/view?i=100933</v>
      </c>
      <c r="R725" s="13" t="s">
        <v>9488</v>
      </c>
      <c r="S725" s="172"/>
      <c r="T725" s="172"/>
      <c r="BB725" s="83" t="s">
        <v>1790</v>
      </c>
      <c r="CP725" s="164" t="s">
        <v>1790</v>
      </c>
    </row>
    <row r="726" spans="1:105" ht="25.5" x14ac:dyDescent="0.2">
      <c r="A726" s="176" t="str">
        <f t="shared" si="17"/>
        <v>hydrographicNavaidSystem</v>
      </c>
      <c r="B726" s="11" t="s">
        <v>9493</v>
      </c>
      <c r="C726" s="173"/>
      <c r="D726" s="22" t="s">
        <v>9494</v>
      </c>
      <c r="E726" s="15" t="s">
        <v>9495</v>
      </c>
      <c r="F726" s="174"/>
      <c r="G726" s="174"/>
      <c r="H726" s="17" t="s">
        <v>5932</v>
      </c>
      <c r="I726" s="269"/>
      <c r="J726" s="369" t="str">
        <f>HYPERLINK("[#]Datatypes!B706:L706","NscCode")</f>
        <v>NscCode</v>
      </c>
      <c r="K726" s="276"/>
      <c r="L726" s="272"/>
      <c r="M726" s="272"/>
      <c r="N726" s="248" t="str">
        <f>HYPERLINK("[#]DatatypeListedValues!A4773:H4773","&lt;values&gt;")</f>
        <v>&lt;values&gt;</v>
      </c>
      <c r="O726" s="277" t="b">
        <v>0</v>
      </c>
      <c r="P726" s="37">
        <v>101108</v>
      </c>
      <c r="Q726" s="36" t="str">
        <f>CONCATENATE(Cover!$D$6,"fdd/view?i=",P726)</f>
        <v>https://www.dgiwg.org/FAD/fdd/view?i=101108</v>
      </c>
      <c r="R726" s="13" t="s">
        <v>9492</v>
      </c>
      <c r="S726" s="172"/>
      <c r="T726" s="172"/>
      <c r="AS726" s="82" t="s">
        <v>1790</v>
      </c>
      <c r="BF726" s="83" t="s">
        <v>1790</v>
      </c>
      <c r="CV726" s="83" t="s">
        <v>1790</v>
      </c>
      <c r="DA726" s="165" t="s">
        <v>1790</v>
      </c>
    </row>
    <row r="727" spans="1:105" ht="38.25" x14ac:dyDescent="0.2">
      <c r="A727" s="176" t="str">
        <f t="shared" si="17"/>
        <v>hydrologicOceanFront</v>
      </c>
      <c r="B727" s="11" t="s">
        <v>9498</v>
      </c>
      <c r="C727" s="173"/>
      <c r="D727" s="22" t="s">
        <v>9499</v>
      </c>
      <c r="E727" s="15" t="s">
        <v>9500</v>
      </c>
      <c r="F727" s="15" t="s">
        <v>9501</v>
      </c>
      <c r="G727" s="174"/>
      <c r="H727" s="17" t="s">
        <v>5932</v>
      </c>
      <c r="I727" s="269"/>
      <c r="J727" s="369" t="str">
        <f>HYPERLINK("[#]Datatypes!B240:L240","Boolean")</f>
        <v>Boolean</v>
      </c>
      <c r="K727" s="276"/>
      <c r="L727" s="272"/>
      <c r="M727" s="272"/>
      <c r="N727" s="273"/>
      <c r="O727" s="269"/>
      <c r="P727" s="37">
        <v>119187</v>
      </c>
      <c r="Q727" s="36" t="str">
        <f>CONCATENATE(Cover!$D$6,"fdd/view?i=",P727)</f>
        <v>https://www.dgiwg.org/FAD/fdd/view?i=119187</v>
      </c>
      <c r="R727" s="13" t="s">
        <v>9497</v>
      </c>
      <c r="S727" s="172"/>
      <c r="T727" s="172"/>
      <c r="BK727" s="89" t="s">
        <v>1790</v>
      </c>
      <c r="CS727" s="165" t="s">
        <v>1790</v>
      </c>
    </row>
    <row r="728" spans="1:105" ht="25.5" x14ac:dyDescent="0.2">
      <c r="A728" s="176" t="str">
        <f t="shared" si="17"/>
        <v>hydrologicPersistence</v>
      </c>
      <c r="B728" s="11" t="s">
        <v>9503</v>
      </c>
      <c r="C728" s="173"/>
      <c r="D728" s="22" t="s">
        <v>9504</v>
      </c>
      <c r="E728" s="15" t="s">
        <v>9505</v>
      </c>
      <c r="F728" s="15" t="s">
        <v>9506</v>
      </c>
      <c r="G728" s="174"/>
      <c r="H728" s="17" t="s">
        <v>5932</v>
      </c>
      <c r="I728" s="269"/>
      <c r="J728" s="369" t="str">
        <f>HYPERLINK("[#]Datatypes!B708:L708","HypCode")</f>
        <v>HypCode</v>
      </c>
      <c r="K728" s="276"/>
      <c r="L728" s="272"/>
      <c r="M728" s="272"/>
      <c r="N728" s="248" t="str">
        <f>HYPERLINK("[#]DatatypeListedValues!A4780:H4780","&lt;values&gt;")</f>
        <v>&lt;values&gt;</v>
      </c>
      <c r="O728" s="277" t="b">
        <v>0</v>
      </c>
      <c r="P728" s="37">
        <v>100966</v>
      </c>
      <c r="Q728" s="36" t="str">
        <f>CONCATENATE(Cover!$D$6,"fdd/view?i=",P728)</f>
        <v>https://www.dgiwg.org/FAD/fdd/view?i=100966</v>
      </c>
      <c r="R728" s="13" t="s">
        <v>9502</v>
      </c>
      <c r="S728" s="172"/>
      <c r="T728" s="172"/>
      <c r="BJ728" s="83" t="s">
        <v>1790</v>
      </c>
      <c r="CT728" s="166" t="s">
        <v>1790</v>
      </c>
    </row>
    <row r="729" spans="1:105" ht="293.25" x14ac:dyDescent="0.2">
      <c r="A729" s="176" t="str">
        <f t="shared" si="17"/>
        <v>hyperbolicEchoType</v>
      </c>
      <c r="B729" s="11" t="s">
        <v>9509</v>
      </c>
      <c r="C729" s="173"/>
      <c r="D729" s="22" t="s">
        <v>9510</v>
      </c>
      <c r="E729" s="15" t="s">
        <v>9511</v>
      </c>
      <c r="F729" s="15" t="s">
        <v>9512</v>
      </c>
      <c r="G729" s="174"/>
      <c r="H729" s="17" t="s">
        <v>5932</v>
      </c>
      <c r="I729" s="269"/>
      <c r="J729" s="369" t="str">
        <f>HYPERLINK("[#]Datatypes!B710:L710","RetCode")</f>
        <v>RetCode</v>
      </c>
      <c r="K729" s="276"/>
      <c r="L729" s="272"/>
      <c r="M729" s="272"/>
      <c r="N729" s="248" t="str">
        <f>HYPERLINK("[#]DatatypeListedValues!A4784:H4784","&lt;values&gt;")</f>
        <v>&lt;values&gt;</v>
      </c>
      <c r="O729" s="277" t="b">
        <v>0</v>
      </c>
      <c r="P729" s="37">
        <v>101217</v>
      </c>
      <c r="Q729" s="36" t="str">
        <f>CONCATENATE(Cover!$D$6,"fdd/view?i=",P729)</f>
        <v>https://www.dgiwg.org/FAD/fdd/view?i=101217</v>
      </c>
      <c r="R729" s="13" t="s">
        <v>9508</v>
      </c>
      <c r="S729" s="172"/>
      <c r="T729" s="172"/>
      <c r="AS729" s="82" t="s">
        <v>1790</v>
      </c>
      <c r="BF729" s="83" t="s">
        <v>1790</v>
      </c>
      <c r="CS729" s="165" t="s">
        <v>1790</v>
      </c>
    </row>
    <row r="730" spans="1:105" ht="63.75" x14ac:dyDescent="0.2">
      <c r="A730" s="176" t="str">
        <f t="shared" si="17"/>
        <v>hypsographyPortrayalType</v>
      </c>
      <c r="B730" s="11" t="s">
        <v>9515</v>
      </c>
      <c r="C730" s="173"/>
      <c r="D730" s="22" t="s">
        <v>9516</v>
      </c>
      <c r="E730" s="15" t="s">
        <v>9517</v>
      </c>
      <c r="F730" s="15" t="s">
        <v>9518</v>
      </c>
      <c r="G730" s="174"/>
      <c r="H730" s="17" t="s">
        <v>5932</v>
      </c>
      <c r="I730" s="269"/>
      <c r="J730" s="369" t="str">
        <f>HYPERLINK("[#]Datatypes!B712:L712","HqcCode")</f>
        <v>HqcCode</v>
      </c>
      <c r="K730" s="276"/>
      <c r="L730" s="272"/>
      <c r="M730" s="272"/>
      <c r="N730" s="248" t="str">
        <f>HYPERLINK("[#]DatatypeListedValues!A4787:H4787","&lt;values&gt;")</f>
        <v>&lt;values&gt;</v>
      </c>
      <c r="O730" s="277" t="b">
        <v>0</v>
      </c>
      <c r="P730" s="37">
        <v>100953</v>
      </c>
      <c r="Q730" s="36" t="str">
        <f>CONCATENATE(Cover!$D$6,"fdd/view?i=",P730)</f>
        <v>https://www.dgiwg.org/FAD/fdd/view?i=100953</v>
      </c>
      <c r="R730" s="13" t="s">
        <v>9514</v>
      </c>
      <c r="S730" s="172"/>
      <c r="T730" s="172"/>
      <c r="BL730" s="81" t="s">
        <v>1790</v>
      </c>
      <c r="CX730" s="165" t="s">
        <v>1790</v>
      </c>
    </row>
    <row r="731" spans="1:105" ht="38.25" x14ac:dyDescent="0.2">
      <c r="A731" s="176" t="str">
        <f t="shared" si="17"/>
        <v>ialaAOrBAdopted</v>
      </c>
      <c r="B731" s="11" t="s">
        <v>9521</v>
      </c>
      <c r="C731" s="173"/>
      <c r="D731" s="22" t="s">
        <v>9522</v>
      </c>
      <c r="E731" s="15" t="s">
        <v>9523</v>
      </c>
      <c r="F731" s="174"/>
      <c r="G731" s="174"/>
      <c r="H731" s="17" t="s">
        <v>5932</v>
      </c>
      <c r="I731" s="269"/>
      <c r="J731" s="369" t="str">
        <f>HYPERLINK("[#]Datatypes!B240:L240","Boolean")</f>
        <v>Boolean</v>
      </c>
      <c r="K731" s="276"/>
      <c r="L731" s="272"/>
      <c r="M731" s="272"/>
      <c r="N731" s="273"/>
      <c r="O731" s="269"/>
      <c r="P731" s="37">
        <v>110759</v>
      </c>
      <c r="Q731" s="36" t="str">
        <f>CONCATENATE(Cover!$D$6,"fdd/view?i=",P731)</f>
        <v>https://www.dgiwg.org/FAD/fdd/view?i=110759</v>
      </c>
      <c r="R731" s="13" t="s">
        <v>9520</v>
      </c>
      <c r="S731" s="172"/>
      <c r="T731" s="172"/>
      <c r="AS731" s="82" t="s">
        <v>1790</v>
      </c>
      <c r="BF731" s="83" t="s">
        <v>1790</v>
      </c>
      <c r="CZ731" s="165" t="s">
        <v>1790</v>
      </c>
      <c r="DA731" s="165" t="s">
        <v>1790</v>
      </c>
    </row>
    <row r="732" spans="1:105" ht="38.25" x14ac:dyDescent="0.2">
      <c r="A732" s="176" t="str">
        <f t="shared" si="17"/>
        <v>iataLocationIdentifier</v>
      </c>
      <c r="B732" s="11" t="s">
        <v>9525</v>
      </c>
      <c r="C732" s="173"/>
      <c r="D732" s="22" t="s">
        <v>9526</v>
      </c>
      <c r="E732" s="15" t="s">
        <v>9527</v>
      </c>
      <c r="F732" s="15" t="s">
        <v>9528</v>
      </c>
      <c r="G732" s="174"/>
      <c r="H732" s="17" t="s">
        <v>5932</v>
      </c>
      <c r="I732" s="269"/>
      <c r="J732" s="369" t="str">
        <f>HYPERLINK("[#]Datatypes!B714:L714","ItaStrucText")</f>
        <v>ItaStrucText</v>
      </c>
      <c r="K732" s="276"/>
      <c r="L732" s="272"/>
      <c r="M732" s="272"/>
      <c r="N732" s="273"/>
      <c r="O732" s="269"/>
      <c r="P732" s="37">
        <v>117599</v>
      </c>
      <c r="Q732" s="36" t="str">
        <f>CONCATENATE(Cover!$D$6,"fdd/view?i=",P732)</f>
        <v>https://www.dgiwg.org/FAD/fdd/view?i=117599</v>
      </c>
      <c r="R732" s="13" t="s">
        <v>9524</v>
      </c>
      <c r="S732" s="172"/>
      <c r="T732" s="172"/>
      <c r="CE732" s="87" t="s">
        <v>1790</v>
      </c>
    </row>
    <row r="733" spans="1:105" ht="38.25" x14ac:dyDescent="0.2">
      <c r="A733" s="176" t="str">
        <f t="shared" si="17"/>
        <v>icaoCompliant</v>
      </c>
      <c r="B733" s="11" t="s">
        <v>9531</v>
      </c>
      <c r="C733" s="173"/>
      <c r="D733" s="22" t="s">
        <v>9532</v>
      </c>
      <c r="E733" s="15" t="s">
        <v>9533</v>
      </c>
      <c r="F733" s="174"/>
      <c r="G733" s="174"/>
      <c r="H733" s="17" t="s">
        <v>5932</v>
      </c>
      <c r="I733" s="269"/>
      <c r="J733" s="369" t="str">
        <f>HYPERLINK("[#]Datatypes!B240:L240","Boolean")</f>
        <v>Boolean</v>
      </c>
      <c r="K733" s="276"/>
      <c r="L733" s="272"/>
      <c r="M733" s="272"/>
      <c r="N733" s="273"/>
      <c r="O733" s="269"/>
      <c r="P733" s="37">
        <v>117594</v>
      </c>
      <c r="Q733" s="36" t="str">
        <f>CONCATENATE(Cover!$D$6,"fdd/view?i=",P733)</f>
        <v>https://www.dgiwg.org/FAD/fdd/view?i=117594</v>
      </c>
      <c r="R733" s="13" t="s">
        <v>9530</v>
      </c>
      <c r="S733" s="172"/>
      <c r="T733" s="172"/>
      <c r="CH733" s="83" t="s">
        <v>1790</v>
      </c>
    </row>
    <row r="734" spans="1:105" ht="38.25" x14ac:dyDescent="0.2">
      <c r="A734" s="176" t="str">
        <f t="shared" si="17"/>
        <v>icaoLocationIndicator</v>
      </c>
      <c r="B734" s="11" t="s">
        <v>9535</v>
      </c>
      <c r="C734" s="173"/>
      <c r="D734" s="22" t="s">
        <v>9536</v>
      </c>
      <c r="E734" s="15" t="s">
        <v>9537</v>
      </c>
      <c r="F734" s="15" t="s">
        <v>9538</v>
      </c>
      <c r="G734" s="15" t="s">
        <v>9539</v>
      </c>
      <c r="H734" s="17" t="s">
        <v>5932</v>
      </c>
      <c r="I734" s="269"/>
      <c r="J734" s="369" t="str">
        <f>HYPERLINK("[#]Datatypes!B716:L716","IkoStrucText")</f>
        <v>IkoStrucText</v>
      </c>
      <c r="K734" s="276"/>
      <c r="L734" s="272"/>
      <c r="M734" s="272"/>
      <c r="N734" s="273"/>
      <c r="O734" s="269"/>
      <c r="P734" s="37">
        <v>117595</v>
      </c>
      <c r="Q734" s="36" t="str">
        <f>CONCATENATE(Cover!$D$6,"fdd/view?i=",P734)</f>
        <v>https://www.dgiwg.org/FAD/fdd/view?i=117595</v>
      </c>
      <c r="R734" s="13" t="s">
        <v>9534</v>
      </c>
      <c r="S734" s="172"/>
      <c r="T734" s="172"/>
      <c r="CE734" s="87" t="s">
        <v>1790</v>
      </c>
      <c r="CF734" s="83" t="s">
        <v>1790</v>
      </c>
    </row>
    <row r="735" spans="1:105" ht="127.5" x14ac:dyDescent="0.2">
      <c r="A735" s="176" t="str">
        <f t="shared" si="17"/>
        <v>icaoPathTerminatorType</v>
      </c>
      <c r="B735" s="11" t="s">
        <v>9542</v>
      </c>
      <c r="C735" s="173"/>
      <c r="D735" s="22" t="s">
        <v>9543</v>
      </c>
      <c r="E735" s="15" t="s">
        <v>9544</v>
      </c>
      <c r="F735" s="15" t="s">
        <v>9545</v>
      </c>
      <c r="G735" s="174"/>
      <c r="H735" s="17" t="s">
        <v>5932</v>
      </c>
      <c r="I735" s="17" t="s">
        <v>6029</v>
      </c>
      <c r="J735" s="369" t="str">
        <f>HYPERLINK("[#]Datatypes!B718:L718","IktCode")</f>
        <v>IktCode</v>
      </c>
      <c r="K735" s="276"/>
      <c r="L735" s="272"/>
      <c r="M735" s="272"/>
      <c r="N735" s="248" t="str">
        <f>HYPERLINK("[#]DatatypeListedValues!A4809:H4809","&lt;values&gt;")</f>
        <v>&lt;values&gt;</v>
      </c>
      <c r="O735" s="277" t="b">
        <v>0</v>
      </c>
      <c r="P735" s="37">
        <v>117596</v>
      </c>
      <c r="Q735" s="36" t="str">
        <f>CONCATENATE(Cover!$D$6,"fdd/view?i=",P735)</f>
        <v>https://www.dgiwg.org/FAD/fdd/view?i=117596</v>
      </c>
      <c r="R735" s="13" t="s">
        <v>9541</v>
      </c>
      <c r="S735" s="172"/>
      <c r="T735" s="172"/>
      <c r="CI735" s="89" t="s">
        <v>1790</v>
      </c>
    </row>
    <row r="736" spans="1:105" ht="25.5" x14ac:dyDescent="0.2">
      <c r="A736" s="176" t="str">
        <f t="shared" si="17"/>
        <v>illiteracyRate</v>
      </c>
      <c r="B736" s="11" t="s">
        <v>9548</v>
      </c>
      <c r="C736" s="173"/>
      <c r="D736" s="22" t="s">
        <v>9549</v>
      </c>
      <c r="E736" s="15" t="s">
        <v>9550</v>
      </c>
      <c r="F736" s="174"/>
      <c r="G736" s="174"/>
      <c r="H736" s="17" t="s">
        <v>5932</v>
      </c>
      <c r="I736" s="269"/>
      <c r="J736" s="369" t="str">
        <f>HYPERLINK("[#]Datatypes!B1231:L1231","Real")</f>
        <v>Real</v>
      </c>
      <c r="K736" s="271" t="str">
        <f>HYPERLINK("[#]PhysicalQuantities!A39:N39","Pure Number")</f>
        <v>Pure Number</v>
      </c>
      <c r="L736" s="270" t="str">
        <f>HYPERLINK("[#]UnitsOfMeasure!D215:G215","Percent")</f>
        <v>Percent</v>
      </c>
      <c r="M736" s="272"/>
      <c r="N736" s="273"/>
      <c r="O736" s="269"/>
      <c r="P736" s="37">
        <v>111518</v>
      </c>
      <c r="Q736" s="36" t="str">
        <f>CONCATENATE(Cover!$D$6,"fdd/view?i=",P736)</f>
        <v>https://www.dgiwg.org/FAD/fdd/view?i=111518</v>
      </c>
      <c r="R736" s="13" t="s">
        <v>9547</v>
      </c>
      <c r="S736" s="172"/>
      <c r="T736" s="172"/>
      <c r="AN736" s="83" t="s">
        <v>1790</v>
      </c>
      <c r="AO736" s="89" t="s">
        <v>1790</v>
      </c>
      <c r="CQ736" s="165" t="s">
        <v>1790</v>
      </c>
    </row>
    <row r="737" spans="1:105" ht="38.25" x14ac:dyDescent="0.2">
      <c r="A737" s="176" t="str">
        <f t="shared" si="17"/>
        <v>ilsBearingCourse</v>
      </c>
      <c r="B737" s="11" t="s">
        <v>9552</v>
      </c>
      <c r="C737" s="173"/>
      <c r="D737" s="22" t="s">
        <v>9553</v>
      </c>
      <c r="E737" s="15" t="s">
        <v>9554</v>
      </c>
      <c r="F737" s="15" t="s">
        <v>9555</v>
      </c>
      <c r="G737" s="174"/>
      <c r="H737" s="17" t="s">
        <v>5932</v>
      </c>
      <c r="I737" s="269"/>
      <c r="J737" s="369" t="str">
        <f>HYPERLINK("[#]Datatypes!B1252:L1252","RealNonNeg360")</f>
        <v>RealNonNeg360</v>
      </c>
      <c r="K737" s="271" t="str">
        <f>HYPERLINK("[#]PhysicalQuantities!A34:N34","Plane Angle")</f>
        <v>Plane Angle</v>
      </c>
      <c r="L737" s="270" t="str">
        <f>HYPERLINK("[#]UnitsOfMeasure!D159:G159","Arc Degree")</f>
        <v>Arc Degree</v>
      </c>
      <c r="M737" s="272"/>
      <c r="N737" s="273"/>
      <c r="O737" s="269"/>
      <c r="P737" s="37">
        <v>119003</v>
      </c>
      <c r="Q737" s="36" t="str">
        <f>CONCATENATE(Cover!$D$6,"fdd/view?i=",P737)</f>
        <v>https://www.dgiwg.org/FAD/fdd/view?i=119003</v>
      </c>
      <c r="R737" s="13" t="s">
        <v>9551</v>
      </c>
      <c r="S737" s="172"/>
      <c r="T737" s="172"/>
      <c r="AT737" s="82" t="s">
        <v>1790</v>
      </c>
      <c r="CF737" s="83" t="s">
        <v>1790</v>
      </c>
      <c r="CG737" s="83" t="s">
        <v>1790</v>
      </c>
    </row>
    <row r="738" spans="1:105" ht="25.5" x14ac:dyDescent="0.2">
      <c r="A738" s="176" t="str">
        <f t="shared" si="17"/>
        <v>imoAdopted</v>
      </c>
      <c r="B738" s="11" t="s">
        <v>9557</v>
      </c>
      <c r="C738" s="173"/>
      <c r="D738" s="22" t="s">
        <v>9558</v>
      </c>
      <c r="E738" s="15" t="s">
        <v>9559</v>
      </c>
      <c r="F738" s="174"/>
      <c r="G738" s="174"/>
      <c r="H738" s="17" t="s">
        <v>5932</v>
      </c>
      <c r="I738" s="269"/>
      <c r="J738" s="369" t="str">
        <f>HYPERLINK("[#]Datatypes!B240:L240","Boolean")</f>
        <v>Boolean</v>
      </c>
      <c r="K738" s="276"/>
      <c r="L738" s="272"/>
      <c r="M738" s="272"/>
      <c r="N738" s="273"/>
      <c r="O738" s="269"/>
      <c r="P738" s="37">
        <v>100969</v>
      </c>
      <c r="Q738" s="36" t="str">
        <f>CONCATENATE(Cover!$D$6,"fdd/view?i=",P738)</f>
        <v>https://www.dgiwg.org/FAD/fdd/view?i=100969</v>
      </c>
      <c r="R738" s="13" t="s">
        <v>9556</v>
      </c>
      <c r="S738" s="172"/>
      <c r="T738" s="172"/>
      <c r="AS738" s="82" t="s">
        <v>1790</v>
      </c>
      <c r="BF738" s="83" t="s">
        <v>1790</v>
      </c>
      <c r="CZ738" s="165" t="s">
        <v>1790</v>
      </c>
      <c r="DA738" s="165" t="s">
        <v>1790</v>
      </c>
    </row>
    <row r="739" spans="1:105" ht="38.25" x14ac:dyDescent="0.2">
      <c r="A739" s="176" t="str">
        <f t="shared" si="17"/>
        <v>inboundCourse</v>
      </c>
      <c r="B739" s="11" t="s">
        <v>9561</v>
      </c>
      <c r="C739" s="173"/>
      <c r="D739" s="22" t="s">
        <v>9562</v>
      </c>
      <c r="E739" s="15" t="s">
        <v>9563</v>
      </c>
      <c r="F739" s="174"/>
      <c r="G739" s="174"/>
      <c r="H739" s="17" t="s">
        <v>5932</v>
      </c>
      <c r="I739" s="269"/>
      <c r="J739" s="369" t="str">
        <f>HYPERLINK("[#]Datatypes!B1250:L1250","RealNonNeg359r9")</f>
        <v>RealNonNeg359r9</v>
      </c>
      <c r="K739" s="271" t="str">
        <f>HYPERLINK("[#]PhysicalQuantities!A34:N34","Plane Angle")</f>
        <v>Plane Angle</v>
      </c>
      <c r="L739" s="270" t="str">
        <f>HYPERLINK("[#]UnitsOfMeasure!D159:G159","Arc Degree")</f>
        <v>Arc Degree</v>
      </c>
      <c r="M739" s="272"/>
      <c r="N739" s="273"/>
      <c r="O739" s="269"/>
      <c r="P739" s="37">
        <v>119851</v>
      </c>
      <c r="Q739" s="36" t="str">
        <f>CONCATENATE(Cover!$D$6,"fdd/view?i=",P739)</f>
        <v>https://www.dgiwg.org/FAD/fdd/view?i=119851</v>
      </c>
      <c r="R739" s="13" t="s">
        <v>9560</v>
      </c>
      <c r="S739" s="172"/>
      <c r="T739" s="172"/>
      <c r="AT739" s="82" t="s">
        <v>1790</v>
      </c>
      <c r="CF739" s="83" t="s">
        <v>1790</v>
      </c>
      <c r="CQ739" s="165" t="s">
        <v>1790</v>
      </c>
    </row>
    <row r="740" spans="1:105" ht="25.5" x14ac:dyDescent="0.2">
      <c r="A740" s="176" t="str">
        <f t="shared" si="17"/>
        <v>incidentAftermathDesc</v>
      </c>
      <c r="B740" s="11" t="s">
        <v>9565</v>
      </c>
      <c r="C740" s="173"/>
      <c r="D740" s="22" t="s">
        <v>9566</v>
      </c>
      <c r="E740" s="15" t="s">
        <v>9567</v>
      </c>
      <c r="F740" s="174"/>
      <c r="G740" s="174"/>
      <c r="H740" s="17" t="s">
        <v>5932</v>
      </c>
      <c r="I740" s="269"/>
      <c r="J740" s="369" t="str">
        <f>HYPERLINK("[#]Datatypes!B1544:L1544","TextLexUnconstrained")</f>
        <v>TextLexUnconstrained</v>
      </c>
      <c r="K740" s="276"/>
      <c r="L740" s="272"/>
      <c r="M740" s="272"/>
      <c r="N740" s="273"/>
      <c r="O740" s="269"/>
      <c r="P740" s="37">
        <v>118146</v>
      </c>
      <c r="Q740" s="36" t="str">
        <f>CONCATENATE(Cover!$D$6,"fdd/view?i=",P740)</f>
        <v>https://www.dgiwg.org/FAD/fdd/view?i=118146</v>
      </c>
      <c r="R740" s="13" t="s">
        <v>9564</v>
      </c>
      <c r="S740" s="172"/>
      <c r="T740" s="172"/>
      <c r="CL740" s="85" t="s">
        <v>1790</v>
      </c>
      <c r="CS740" s="165" t="s">
        <v>1790</v>
      </c>
      <c r="CT740" s="166" t="s">
        <v>1790</v>
      </c>
    </row>
    <row r="741" spans="1:105" ht="25.5" x14ac:dyDescent="0.2">
      <c r="A741" s="176" t="str">
        <f t="shared" si="17"/>
        <v>incidentStatus</v>
      </c>
      <c r="B741" s="11" t="s">
        <v>9569</v>
      </c>
      <c r="C741" s="173"/>
      <c r="D741" s="22" t="s">
        <v>9570</v>
      </c>
      <c r="E741" s="15" t="s">
        <v>9571</v>
      </c>
      <c r="F741" s="174"/>
      <c r="G741" s="174"/>
      <c r="H741" s="17" t="s">
        <v>5932</v>
      </c>
      <c r="I741" s="269"/>
      <c r="J741" s="369" t="str">
        <f>HYPERLINK("[#]Datatypes!B720:L720","IdsCode")</f>
        <v>IdsCode</v>
      </c>
      <c r="K741" s="276"/>
      <c r="L741" s="272"/>
      <c r="M741" s="272"/>
      <c r="N741" s="248" t="str">
        <f>HYPERLINK("[#]DatatypeListedValues!A4834:H4834","&lt;values&gt;")</f>
        <v>&lt;values&gt;</v>
      </c>
      <c r="O741" s="277" t="b">
        <v>0</v>
      </c>
      <c r="P741" s="37">
        <v>118168</v>
      </c>
      <c r="Q741" s="36" t="str">
        <f>CONCATENATE(Cover!$D$6,"fdd/view?i=",P741)</f>
        <v>https://www.dgiwg.org/FAD/fdd/view?i=118168</v>
      </c>
      <c r="R741" s="13" t="s">
        <v>9568</v>
      </c>
      <c r="S741" s="172"/>
      <c r="T741" s="172"/>
      <c r="CL741" s="85" t="s">
        <v>1790</v>
      </c>
      <c r="CT741" s="166" t="s">
        <v>1790</v>
      </c>
    </row>
    <row r="742" spans="1:105" ht="25.5" x14ac:dyDescent="0.2">
      <c r="A742" s="176" t="str">
        <f t="shared" si="17"/>
        <v>inclination</v>
      </c>
      <c r="B742" s="11" t="s">
        <v>9574</v>
      </c>
      <c r="C742" s="173"/>
      <c r="D742" s="22" t="s">
        <v>9575</v>
      </c>
      <c r="E742" s="15" t="s">
        <v>9576</v>
      </c>
      <c r="F742" s="174"/>
      <c r="G742" s="174"/>
      <c r="H742" s="17" t="s">
        <v>5932</v>
      </c>
      <c r="I742" s="269"/>
      <c r="J742" s="369" t="str">
        <f>HYPERLINK("[#]Datatypes!B1233:L1233","RealInterval")</f>
        <v>RealInterval</v>
      </c>
      <c r="K742" s="271" t="str">
        <f>HYPERLINK("[#]PhysicalQuantities!A39:N39","Pure Number")</f>
        <v>Pure Number</v>
      </c>
      <c r="L742" s="270" t="str">
        <f>HYPERLINK("[#]UnitsOfMeasure!D215:G215","Percent")</f>
        <v>Percent</v>
      </c>
      <c r="M742" s="272"/>
      <c r="N742" s="273"/>
      <c r="O742" s="269"/>
      <c r="P742" s="37">
        <v>114471</v>
      </c>
      <c r="Q742" s="36" t="str">
        <f>CONCATENATE(Cover!$D$6,"fdd/view?i=",P742)</f>
        <v>https://www.dgiwg.org/FAD/fdd/view?i=114471</v>
      </c>
      <c r="R742" s="13" t="s">
        <v>9573</v>
      </c>
      <c r="S742" s="172"/>
      <c r="T742" s="172"/>
      <c r="BC742" s="83" t="s">
        <v>1790</v>
      </c>
      <c r="CQ742" s="165" t="s">
        <v>1790</v>
      </c>
    </row>
    <row r="743" spans="1:105" ht="38.25" x14ac:dyDescent="0.2">
      <c r="A743" s="176" t="str">
        <f t="shared" si="17"/>
        <v>industrialMineralType</v>
      </c>
      <c r="B743" s="11" t="s">
        <v>9578</v>
      </c>
      <c r="C743" s="173"/>
      <c r="D743" s="22" t="s">
        <v>9579</v>
      </c>
      <c r="E743" s="15" t="s">
        <v>9580</v>
      </c>
      <c r="F743" s="174"/>
      <c r="G743" s="174"/>
      <c r="H743" s="17" t="s">
        <v>5932</v>
      </c>
      <c r="I743" s="269"/>
      <c r="J743" s="369" t="str">
        <f>HYPERLINK("[#]Datatypes!B724:L724","ImiCode")</f>
        <v>ImiCode</v>
      </c>
      <c r="K743" s="276"/>
      <c r="L743" s="272"/>
      <c r="M743" s="272"/>
      <c r="N743" s="248" t="str">
        <f>HYPERLINK("[#]DatatypeListedValues!A4842:H4842","&lt;values&gt;")</f>
        <v>&lt;values&gt;</v>
      </c>
      <c r="O743" s="277" t="b">
        <v>0</v>
      </c>
      <c r="P743" s="37">
        <v>111596</v>
      </c>
      <c r="Q743" s="36" t="str">
        <f>CONCATENATE(Cover!$D$6,"fdd/view?i=",P743)</f>
        <v>https://www.dgiwg.org/FAD/fdd/view?i=111596</v>
      </c>
      <c r="R743" s="13" t="s">
        <v>9577</v>
      </c>
      <c r="S743" s="172"/>
      <c r="T743" s="172"/>
      <c r="AB743" s="82" t="s">
        <v>1790</v>
      </c>
      <c r="BP743" s="82" t="s">
        <v>1790</v>
      </c>
      <c r="CU743" s="87" t="s">
        <v>1790</v>
      </c>
    </row>
    <row r="744" spans="1:105" ht="25.5" x14ac:dyDescent="0.2">
      <c r="A744" s="176" t="str">
        <f t="shared" si="17"/>
        <v>infantMortalityRate</v>
      </c>
      <c r="B744" s="11" t="s">
        <v>9583</v>
      </c>
      <c r="C744" s="173"/>
      <c r="D744" s="22" t="s">
        <v>9584</v>
      </c>
      <c r="E744" s="15" t="s">
        <v>9585</v>
      </c>
      <c r="F744" s="174"/>
      <c r="G744" s="174"/>
      <c r="H744" s="17" t="s">
        <v>5932</v>
      </c>
      <c r="I744" s="269"/>
      <c r="J744" s="369" t="str">
        <f>HYPERLINK("[#]Datatypes!B1231:L1231","Real")</f>
        <v>Real</v>
      </c>
      <c r="K744" s="271" t="str">
        <f>HYPERLINK("[#]PhysicalQuantities!A39:N39","Pure Number")</f>
        <v>Pure Number</v>
      </c>
      <c r="L744" s="270" t="str">
        <f>HYPERLINK("[#]UnitsOfMeasure!D218:G218","Parts per Thousand")</f>
        <v>Parts per Thousand</v>
      </c>
      <c r="M744" s="272"/>
      <c r="N744" s="273"/>
      <c r="O744" s="269"/>
      <c r="P744" s="37">
        <v>111599</v>
      </c>
      <c r="Q744" s="36" t="str">
        <f>CONCATENATE(Cover!$D$6,"fdd/view?i=",P744)</f>
        <v>https://www.dgiwg.org/FAD/fdd/view?i=111599</v>
      </c>
      <c r="R744" s="13" t="s">
        <v>9582</v>
      </c>
      <c r="S744" s="172"/>
      <c r="T744" s="172"/>
      <c r="AO744" s="89" t="s">
        <v>1790</v>
      </c>
      <c r="CQ744" s="165" t="s">
        <v>1790</v>
      </c>
    </row>
    <row r="745" spans="1:105" ht="38.25" x14ac:dyDescent="0.2">
      <c r="A745" s="176" t="str">
        <f t="shared" si="17"/>
        <v>inflationRate</v>
      </c>
      <c r="B745" s="11" t="s">
        <v>9587</v>
      </c>
      <c r="C745" s="173"/>
      <c r="D745" s="22" t="s">
        <v>9588</v>
      </c>
      <c r="E745" s="15" t="s">
        <v>9589</v>
      </c>
      <c r="F745" s="15" t="s">
        <v>9590</v>
      </c>
      <c r="G745" s="174"/>
      <c r="H745" s="17" t="s">
        <v>5932</v>
      </c>
      <c r="I745" s="269"/>
      <c r="J745" s="369" t="str">
        <f>HYPERLINK("[#]Datatypes!B1231:L1231","Real")</f>
        <v>Real</v>
      </c>
      <c r="K745" s="271" t="str">
        <f>HYPERLINK("[#]PhysicalQuantities!A43:N43","Rate")</f>
        <v>Rate</v>
      </c>
      <c r="L745" s="270" t="str">
        <f>HYPERLINK("[#]UnitsOfMeasure!D233:G233","Percent per Annum (tropical year)")</f>
        <v>Percent per Annum (tropical year)</v>
      </c>
      <c r="M745" s="272"/>
      <c r="N745" s="273"/>
      <c r="O745" s="269"/>
      <c r="P745" s="37">
        <v>111598</v>
      </c>
      <c r="Q745" s="36" t="str">
        <f>CONCATENATE(Cover!$D$6,"fdd/view?i=",P745)</f>
        <v>https://www.dgiwg.org/FAD/fdd/view?i=111598</v>
      </c>
      <c r="R745" s="13" t="s">
        <v>9586</v>
      </c>
      <c r="S745" s="172"/>
      <c r="T745" s="172"/>
      <c r="AK745" s="83" t="s">
        <v>1790</v>
      </c>
      <c r="CQ745" s="165" t="s">
        <v>1790</v>
      </c>
    </row>
    <row r="746" spans="1:105" x14ac:dyDescent="0.2">
      <c r="A746" s="176" t="str">
        <f t="shared" si="17"/>
        <v>influenceMineActuation</v>
      </c>
      <c r="B746" s="11" t="s">
        <v>9592</v>
      </c>
      <c r="C746" s="173"/>
      <c r="D746" s="22" t="s">
        <v>9593</v>
      </c>
      <c r="E746" s="15" t="s">
        <v>9594</v>
      </c>
      <c r="F746" s="174"/>
      <c r="G746" s="174"/>
      <c r="H746" s="17" t="s">
        <v>5932</v>
      </c>
      <c r="I746" s="269"/>
      <c r="J746" s="369" t="str">
        <f>HYPERLINK("[#]Datatypes!B726:L726","MiiCode")</f>
        <v>MiiCode</v>
      </c>
      <c r="K746" s="276"/>
      <c r="L746" s="272"/>
      <c r="M746" s="272"/>
      <c r="N746" s="248" t="str">
        <f>HYPERLINK("[#]DatatypeListedValues!A4864:H4864","&lt;values&gt;")</f>
        <v>&lt;values&gt;</v>
      </c>
      <c r="O746" s="277" t="b">
        <v>0</v>
      </c>
      <c r="P746" s="37">
        <v>101048</v>
      </c>
      <c r="Q746" s="36" t="str">
        <f>CONCATENATE(Cover!$D$6,"fdd/view?i=",P746)</f>
        <v>https://www.dgiwg.org/FAD/fdd/view?i=101048</v>
      </c>
      <c r="R746" s="13" t="s">
        <v>9591</v>
      </c>
      <c r="S746" s="172"/>
      <c r="T746" s="172"/>
      <c r="CJ746" s="81" t="s">
        <v>1790</v>
      </c>
      <c r="CT746" s="166" t="s">
        <v>1790</v>
      </c>
    </row>
    <row r="747" spans="1:105" ht="25.5" x14ac:dyDescent="0.2">
      <c r="A747" s="176" t="str">
        <f t="shared" si="17"/>
        <v>informationReference</v>
      </c>
      <c r="B747" s="11" t="s">
        <v>9597</v>
      </c>
      <c r="C747" s="173"/>
      <c r="D747" s="22" t="s">
        <v>9598</v>
      </c>
      <c r="E747" s="15" t="s">
        <v>9599</v>
      </c>
      <c r="F747" s="15" t="s">
        <v>9600</v>
      </c>
      <c r="G747" s="174"/>
      <c r="H747" s="17" t="s">
        <v>5932</v>
      </c>
      <c r="I747" s="269"/>
      <c r="J747" s="369" t="str">
        <f>HYPERLINK("[#]Datatypes!B1562:L1562","TextNonLexUnconstrained")</f>
        <v>TextNonLexUnconstrained</v>
      </c>
      <c r="K747" s="276"/>
      <c r="L747" s="272"/>
      <c r="M747" s="272"/>
      <c r="N747" s="273"/>
      <c r="O747" s="269"/>
      <c r="P747" s="37">
        <v>119218</v>
      </c>
      <c r="Q747" s="36" t="str">
        <f>CONCATENATE(Cover!$D$6,"fdd/view?i=",P747)</f>
        <v>https://www.dgiwg.org/FAD/fdd/view?i=119218</v>
      </c>
      <c r="R747" s="13" t="s">
        <v>9596</v>
      </c>
      <c r="S747" s="172"/>
      <c r="T747" s="172"/>
      <c r="DA747" s="165" t="s">
        <v>1790</v>
      </c>
    </row>
    <row r="748" spans="1:105" x14ac:dyDescent="0.2">
      <c r="A748" s="176" t="str">
        <f t="shared" si="17"/>
        <v>infoServiceVoiceAvailable</v>
      </c>
      <c r="B748" s="11" t="s">
        <v>9602</v>
      </c>
      <c r="C748" s="173"/>
      <c r="D748" s="22" t="s">
        <v>9603</v>
      </c>
      <c r="E748" s="15" t="s">
        <v>9604</v>
      </c>
      <c r="F748" s="174"/>
      <c r="G748" s="174"/>
      <c r="H748" s="17" t="s">
        <v>5932</v>
      </c>
      <c r="I748" s="269"/>
      <c r="J748" s="369" t="str">
        <f>HYPERLINK("[#]Datatypes!B240:L240","Boolean")</f>
        <v>Boolean</v>
      </c>
      <c r="K748" s="276"/>
      <c r="L748" s="272"/>
      <c r="M748" s="272"/>
      <c r="N748" s="273"/>
      <c r="O748" s="269"/>
      <c r="P748" s="37">
        <v>117600</v>
      </c>
      <c r="Q748" s="36" t="str">
        <f>CONCATENATE(Cover!$D$6,"fdd/view?i=",P748)</f>
        <v>https://www.dgiwg.org/FAD/fdd/view?i=117600</v>
      </c>
      <c r="R748" s="13" t="s">
        <v>9601</v>
      </c>
      <c r="S748" s="172"/>
      <c r="T748" s="172"/>
      <c r="CH748" s="83" t="s">
        <v>1790</v>
      </c>
    </row>
    <row r="749" spans="1:105" x14ac:dyDescent="0.2">
      <c r="A749" s="176" t="str">
        <f t="shared" si="17"/>
        <v>inhabitantDensityCat</v>
      </c>
      <c r="B749" s="11" t="s">
        <v>9606</v>
      </c>
      <c r="C749" s="173"/>
      <c r="D749" s="22" t="s">
        <v>9607</v>
      </c>
      <c r="E749" s="15" t="s">
        <v>9608</v>
      </c>
      <c r="F749" s="174"/>
      <c r="G749" s="174"/>
      <c r="H749" s="17" t="s">
        <v>5932</v>
      </c>
      <c r="I749" s="269"/>
      <c r="J749" s="369" t="str">
        <f>HYPERLINK("[#]Datatypes!B728:L728","SleCode")</f>
        <v>SleCode</v>
      </c>
      <c r="K749" s="276"/>
      <c r="L749" s="272"/>
      <c r="M749" s="272"/>
      <c r="N749" s="248" t="str">
        <f>HYPERLINK("[#]DatatypeListedValues!A4868:H4868","&lt;values&gt;")</f>
        <v>&lt;values&gt;</v>
      </c>
      <c r="O749" s="277" t="b">
        <v>0</v>
      </c>
      <c r="P749" s="37">
        <v>111719</v>
      </c>
      <c r="Q749" s="36" t="str">
        <f>CONCATENATE(Cover!$D$6,"fdd/view?i=",P749)</f>
        <v>https://www.dgiwg.org/FAD/fdd/view?i=111719</v>
      </c>
      <c r="R749" s="13" t="s">
        <v>9605</v>
      </c>
      <c r="S749" s="172"/>
      <c r="T749" s="172"/>
      <c r="AI749" s="87" t="s">
        <v>1790</v>
      </c>
      <c r="AJ749" s="83" t="s">
        <v>1790</v>
      </c>
      <c r="CQ749" s="165" t="s">
        <v>1790</v>
      </c>
    </row>
    <row r="750" spans="1:105" ht="25.5" x14ac:dyDescent="0.2">
      <c r="A750" s="176" t="str">
        <f t="shared" si="17"/>
        <v>inhabitantsPerPhysician</v>
      </c>
      <c r="B750" s="11" t="s">
        <v>9611</v>
      </c>
      <c r="C750" s="173"/>
      <c r="D750" s="22" t="s">
        <v>9612</v>
      </c>
      <c r="E750" s="15" t="s">
        <v>9613</v>
      </c>
      <c r="F750" s="174"/>
      <c r="G750" s="174"/>
      <c r="H750" s="17" t="s">
        <v>5932</v>
      </c>
      <c r="I750" s="269"/>
      <c r="J750" s="369" t="str">
        <f>HYPERLINK("[#]Datatypes!B1231:L1231","Real")</f>
        <v>Real</v>
      </c>
      <c r="K750" s="271" t="str">
        <f>HYPERLINK("[#]PhysicalQuantities!A39:N39","Pure Number")</f>
        <v>Pure Number</v>
      </c>
      <c r="L750" s="270" t="str">
        <f>HYPERLINK("[#]UnitsOfMeasure!D213:G213","Unitless")</f>
        <v>Unitless</v>
      </c>
      <c r="M750" s="272"/>
      <c r="N750" s="273"/>
      <c r="O750" s="269"/>
      <c r="P750" s="37">
        <v>111602</v>
      </c>
      <c r="Q750" s="36" t="str">
        <f>CONCATENATE(Cover!$D$6,"fdd/view?i=",P750)</f>
        <v>https://www.dgiwg.org/FAD/fdd/view?i=111602</v>
      </c>
      <c r="R750" s="13" t="s">
        <v>9610</v>
      </c>
      <c r="S750" s="172"/>
      <c r="T750" s="172"/>
      <c r="AO750" s="89" t="s">
        <v>1790</v>
      </c>
      <c r="CQ750" s="165" t="s">
        <v>1790</v>
      </c>
    </row>
    <row r="751" spans="1:105" x14ac:dyDescent="0.2">
      <c r="A751" s="176" t="str">
        <f t="shared" si="17"/>
        <v>inhabited</v>
      </c>
      <c r="B751" s="11" t="s">
        <v>9615</v>
      </c>
      <c r="C751" s="173"/>
      <c r="D751" s="22" t="s">
        <v>9616</v>
      </c>
      <c r="E751" s="15" t="s">
        <v>9617</v>
      </c>
      <c r="F751" s="174"/>
      <c r="G751" s="174"/>
      <c r="H751" s="17" t="s">
        <v>5932</v>
      </c>
      <c r="I751" s="269"/>
      <c r="J751" s="369" t="str">
        <f>HYPERLINK("[#]Datatypes!B240:L240","Boolean")</f>
        <v>Boolean</v>
      </c>
      <c r="K751" s="276"/>
      <c r="L751" s="272"/>
      <c r="M751" s="272"/>
      <c r="N751" s="273"/>
      <c r="O751" s="269"/>
      <c r="P751" s="37">
        <v>118585</v>
      </c>
      <c r="Q751" s="36" t="str">
        <f>CONCATENATE(Cover!$D$6,"fdd/view?i=",P751)</f>
        <v>https://www.dgiwg.org/FAD/fdd/view?i=118585</v>
      </c>
      <c r="R751" s="13" t="s">
        <v>9614</v>
      </c>
      <c r="S751" s="172"/>
      <c r="T751" s="172"/>
      <c r="AJ751" s="83" t="s">
        <v>1790</v>
      </c>
      <c r="CS751" s="165" t="s">
        <v>1790</v>
      </c>
      <c r="CT751" s="166" t="s">
        <v>1790</v>
      </c>
    </row>
    <row r="752" spans="1:105" ht="25.5" x14ac:dyDescent="0.2">
      <c r="A752" s="176" t="str">
        <f t="shared" si="17"/>
        <v>inlandFisheryCatch</v>
      </c>
      <c r="B752" s="11" t="s">
        <v>9619</v>
      </c>
      <c r="C752" s="173"/>
      <c r="D752" s="22" t="s">
        <v>9620</v>
      </c>
      <c r="E752" s="15" t="s">
        <v>9621</v>
      </c>
      <c r="F752" s="174"/>
      <c r="G752" s="174"/>
      <c r="H752" s="17" t="s">
        <v>5932</v>
      </c>
      <c r="I752" s="269"/>
      <c r="J752" s="369" t="str">
        <f>HYPERLINK("[#]Datatypes!B1231:L1231","Real")</f>
        <v>Real</v>
      </c>
      <c r="K752" s="271" t="str">
        <f>HYPERLINK("[#]PhysicalQuantities!A28:N28","Mass")</f>
        <v>Mass</v>
      </c>
      <c r="L752" s="270" t="str">
        <f>HYPERLINK("[#]UnitsOfMeasure!D126:G126","Tonne")</f>
        <v>Tonne</v>
      </c>
      <c r="M752" s="272"/>
      <c r="N752" s="273"/>
      <c r="O752" s="269"/>
      <c r="P752" s="37">
        <v>111568</v>
      </c>
      <c r="Q752" s="36" t="str">
        <f>CONCATENATE(Cover!$D$6,"fdd/view?i=",P752)</f>
        <v>https://www.dgiwg.org/FAD/fdd/view?i=111568</v>
      </c>
      <c r="R752" s="13" t="s">
        <v>9618</v>
      </c>
      <c r="S752" s="172"/>
      <c r="T752" s="172"/>
      <c r="AK752" s="83" t="s">
        <v>1790</v>
      </c>
      <c r="CQ752" s="165" t="s">
        <v>1790</v>
      </c>
    </row>
    <row r="753" spans="1:104" x14ac:dyDescent="0.2">
      <c r="A753" s="176" t="str">
        <f t="shared" si="17"/>
        <v>inlandWaterFunction</v>
      </c>
      <c r="B753" s="11" t="s">
        <v>9623</v>
      </c>
      <c r="C753" s="173"/>
      <c r="D753" s="22" t="s">
        <v>9624</v>
      </c>
      <c r="E753" s="15" t="s">
        <v>9625</v>
      </c>
      <c r="F753" s="174"/>
      <c r="G753" s="174"/>
      <c r="H753" s="17" t="s">
        <v>5932</v>
      </c>
      <c r="I753" s="17" t="s">
        <v>6029</v>
      </c>
      <c r="J753" s="369" t="str">
        <f>HYPERLINK("[#]Datatypes!B730:L730","FwbCode")</f>
        <v>FwbCode</v>
      </c>
      <c r="K753" s="276"/>
      <c r="L753" s="272"/>
      <c r="M753" s="272"/>
      <c r="N753" s="248" t="str">
        <f>HYPERLINK("[#]DatatypeListedValues!A4872:H4872","&lt;values&gt;")</f>
        <v>&lt;values&gt;</v>
      </c>
      <c r="O753" s="277" t="b">
        <v>0</v>
      </c>
      <c r="P753" s="37">
        <v>118607</v>
      </c>
      <c r="Q753" s="36" t="str">
        <f>CONCATENATE(Cover!$D$6,"fdd/view?i=",P753)</f>
        <v>https://www.dgiwg.org/FAD/fdd/view?i=118607</v>
      </c>
      <c r="R753" s="13" t="s">
        <v>9622</v>
      </c>
      <c r="S753" s="172"/>
      <c r="T753" s="172"/>
      <c r="BJ753" s="83" t="s">
        <v>1790</v>
      </c>
      <c r="CT753" s="166" t="s">
        <v>1790</v>
      </c>
    </row>
    <row r="754" spans="1:104" ht="25.5" x14ac:dyDescent="0.2">
      <c r="A754" s="176" t="str">
        <f t="shared" si="17"/>
        <v>inlandWaterObstruction</v>
      </c>
      <c r="B754" s="11" t="s">
        <v>9628</v>
      </c>
      <c r="C754" s="173"/>
      <c r="D754" s="22" t="s">
        <v>9629</v>
      </c>
      <c r="E754" s="15" t="s">
        <v>9630</v>
      </c>
      <c r="F754" s="174"/>
      <c r="G754" s="174"/>
      <c r="H754" s="17" t="s">
        <v>5932</v>
      </c>
      <c r="I754" s="269"/>
      <c r="J754" s="369" t="str">
        <f>HYPERLINK("[#]Datatypes!B240:L240","Boolean")</f>
        <v>Boolean</v>
      </c>
      <c r="K754" s="276"/>
      <c r="L754" s="272"/>
      <c r="M754" s="272"/>
      <c r="N754" s="273"/>
      <c r="O754" s="269"/>
      <c r="P754" s="37">
        <v>100981</v>
      </c>
      <c r="Q754" s="36" t="str">
        <f>CONCATENATE(Cover!$D$6,"fdd/view?i=",P754)</f>
        <v>https://www.dgiwg.org/FAD/fdd/view?i=100981</v>
      </c>
      <c r="R754" s="13" t="s">
        <v>9627</v>
      </c>
      <c r="S754" s="172"/>
      <c r="T754" s="172"/>
      <c r="BG754" s="83" t="s">
        <v>1790</v>
      </c>
      <c r="BJ754" s="83" t="s">
        <v>1790</v>
      </c>
    </row>
    <row r="755" spans="1:104" x14ac:dyDescent="0.2">
      <c r="A755" s="176" t="str">
        <f t="shared" si="17"/>
        <v>inlandWaterType</v>
      </c>
      <c r="B755" s="11" t="s">
        <v>9632</v>
      </c>
      <c r="C755" s="173"/>
      <c r="D755" s="22" t="s">
        <v>9633</v>
      </c>
      <c r="E755" s="15" t="s">
        <v>9634</v>
      </c>
      <c r="F755" s="174"/>
      <c r="G755" s="174"/>
      <c r="H755" s="17" t="s">
        <v>5932</v>
      </c>
      <c r="I755" s="269"/>
      <c r="J755" s="369" t="str">
        <f>HYPERLINK("[#]Datatypes!B732:L732","IwtCode")</f>
        <v>IwtCode</v>
      </c>
      <c r="K755" s="276"/>
      <c r="L755" s="272"/>
      <c r="M755" s="272"/>
      <c r="N755" s="248" t="str">
        <f>HYPERLINK("[#]DatatypeListedValues!A4885:H4885","&lt;values&gt;")</f>
        <v>&lt;values&gt;</v>
      </c>
      <c r="O755" s="277" t="b">
        <v>0</v>
      </c>
      <c r="P755" s="37">
        <v>117789</v>
      </c>
      <c r="Q755" s="36" t="str">
        <f>CONCATENATE(Cover!$D$6,"fdd/view?i=",P755)</f>
        <v>https://www.dgiwg.org/FAD/fdd/view?i=117789</v>
      </c>
      <c r="R755" s="13" t="s">
        <v>9631</v>
      </c>
      <c r="S755" s="172"/>
      <c r="T755" s="172"/>
      <c r="BJ755" s="83" t="s">
        <v>1790</v>
      </c>
      <c r="CR755" s="165" t="s">
        <v>1790</v>
      </c>
      <c r="CS755" s="165" t="s">
        <v>1790</v>
      </c>
    </row>
    <row r="756" spans="1:104" x14ac:dyDescent="0.2">
      <c r="A756" s="176" t="str">
        <f t="shared" si="17"/>
        <v>installationBuoyType</v>
      </c>
      <c r="B756" s="11" t="s">
        <v>9637</v>
      </c>
      <c r="C756" s="173"/>
      <c r="D756" s="22" t="s">
        <v>9638</v>
      </c>
      <c r="E756" s="15" t="s">
        <v>9639</v>
      </c>
      <c r="F756" s="174"/>
      <c r="G756" s="174"/>
      <c r="H756" s="17" t="s">
        <v>5932</v>
      </c>
      <c r="I756" s="269"/>
      <c r="J756" s="369" t="str">
        <f>HYPERLINK("[#]Datatypes!B734:L734","IbcCode")</f>
        <v>IbcCode</v>
      </c>
      <c r="K756" s="276"/>
      <c r="L756" s="272"/>
      <c r="M756" s="272"/>
      <c r="N756" s="248" t="str">
        <f>HYPERLINK("[#]DatatypeListedValues!A4897:H4897","&lt;values&gt;")</f>
        <v>&lt;values&gt;</v>
      </c>
      <c r="O756" s="277" t="b">
        <v>0</v>
      </c>
      <c r="P756" s="37">
        <v>100971</v>
      </c>
      <c r="Q756" s="36" t="str">
        <f>CONCATENATE(Cover!$D$6,"fdd/view?i=",P756)</f>
        <v>https://www.dgiwg.org/FAD/fdd/view?i=100971</v>
      </c>
      <c r="R756" s="13" t="s">
        <v>9636</v>
      </c>
      <c r="S756" s="172"/>
      <c r="T756" s="172"/>
      <c r="AS756" s="82" t="s">
        <v>1790</v>
      </c>
      <c r="BA756" s="83" t="s">
        <v>1790</v>
      </c>
      <c r="BD756" s="83" t="s">
        <v>1790</v>
      </c>
      <c r="BF756" s="83" t="s">
        <v>1790</v>
      </c>
      <c r="CT756" s="166" t="s">
        <v>1790</v>
      </c>
    </row>
    <row r="757" spans="1:104" x14ac:dyDescent="0.2">
      <c r="A757" s="176" t="str">
        <f t="shared" si="17"/>
        <v>installationOperator</v>
      </c>
      <c r="B757" s="11" t="s">
        <v>9642</v>
      </c>
      <c r="C757" s="173"/>
      <c r="D757" s="22" t="s">
        <v>9643</v>
      </c>
      <c r="E757" s="15" t="s">
        <v>9644</v>
      </c>
      <c r="F757" s="174"/>
      <c r="G757" s="174"/>
      <c r="H757" s="17" t="s">
        <v>5932</v>
      </c>
      <c r="I757" s="269"/>
      <c r="J757" s="369" t="str">
        <f>HYPERLINK("[#]Datatypes!B1538:L1538","TextLex255")</f>
        <v>TextLex255</v>
      </c>
      <c r="K757" s="276"/>
      <c r="L757" s="272"/>
      <c r="M757" s="272"/>
      <c r="N757" s="273"/>
      <c r="O757" s="269"/>
      <c r="P757" s="37">
        <v>110820</v>
      </c>
      <c r="Q757" s="36" t="str">
        <f>CONCATENATE(Cover!$D$6,"fdd/view?i=",P757)</f>
        <v>https://www.dgiwg.org/FAD/fdd/view?i=110820</v>
      </c>
      <c r="R757" s="13" t="s">
        <v>9641</v>
      </c>
      <c r="S757" s="172"/>
      <c r="T757" s="172"/>
      <c r="CT757" s="166" t="s">
        <v>1790</v>
      </c>
      <c r="CU757" s="87" t="s">
        <v>1790</v>
      </c>
    </row>
    <row r="758" spans="1:104" ht="25.5" x14ac:dyDescent="0.2">
      <c r="A758" s="176" t="str">
        <f t="shared" si="17"/>
        <v>instApproachProcFixRole</v>
      </c>
      <c r="B758" s="11" t="s">
        <v>9646</v>
      </c>
      <c r="C758" s="173"/>
      <c r="D758" s="22" t="s">
        <v>9647</v>
      </c>
      <c r="E758" s="15" t="s">
        <v>9648</v>
      </c>
      <c r="F758" s="15" t="s">
        <v>9649</v>
      </c>
      <c r="G758" s="174"/>
      <c r="H758" s="17" t="s">
        <v>5932</v>
      </c>
      <c r="I758" s="17" t="s">
        <v>6029</v>
      </c>
      <c r="J758" s="369" t="str">
        <f>HYPERLINK("[#]Datatypes!B736:L736","IfrCode")</f>
        <v>IfrCode</v>
      </c>
      <c r="K758" s="276"/>
      <c r="L758" s="272"/>
      <c r="M758" s="272"/>
      <c r="N758" s="248" t="str">
        <f>HYPERLINK("[#]DatatypeListedValues!A4899:H4899","&lt;values&gt;")</f>
        <v>&lt;values&gt;</v>
      </c>
      <c r="O758" s="277" t="b">
        <v>0</v>
      </c>
      <c r="P758" s="37">
        <v>117593</v>
      </c>
      <c r="Q758" s="36" t="str">
        <f>CONCATENATE(Cover!$D$6,"fdd/view?i=",P758)</f>
        <v>https://www.dgiwg.org/FAD/fdd/view?i=117593</v>
      </c>
      <c r="R758" s="13" t="s">
        <v>9645</v>
      </c>
      <c r="S758" s="172"/>
      <c r="T758" s="172"/>
      <c r="CI758" s="89" t="s">
        <v>1790</v>
      </c>
    </row>
    <row r="759" spans="1:104" ht="25.5" x14ac:dyDescent="0.2">
      <c r="A759" s="176" t="str">
        <f t="shared" si="17"/>
        <v>ilsFacilityPerformanceCat</v>
      </c>
      <c r="B759" s="11" t="s">
        <v>9652</v>
      </c>
      <c r="C759" s="173"/>
      <c r="D759" s="22" t="s">
        <v>9653</v>
      </c>
      <c r="E759" s="15" t="s">
        <v>9654</v>
      </c>
      <c r="F759" s="15" t="s">
        <v>9655</v>
      </c>
      <c r="G759" s="174"/>
      <c r="H759" s="17" t="s">
        <v>5932</v>
      </c>
      <c r="I759" s="269"/>
      <c r="J759" s="369" t="str">
        <f>HYPERLINK("[#]Datatypes!B738:L738","IlcCode")</f>
        <v>IlcCode</v>
      </c>
      <c r="K759" s="276"/>
      <c r="L759" s="272"/>
      <c r="M759" s="272"/>
      <c r="N759" s="248" t="str">
        <f>HYPERLINK("[#]DatatypeListedValues!A4903:H4903","&lt;values&gt;")</f>
        <v>&lt;values&gt;</v>
      </c>
      <c r="O759" s="17" t="b">
        <v>1</v>
      </c>
      <c r="P759" s="37">
        <v>117597</v>
      </c>
      <c r="Q759" s="36" t="str">
        <f>CONCATENATE(Cover!$D$6,"fdd/view?i=",P759)</f>
        <v>https://www.dgiwg.org/FAD/fdd/view?i=117597</v>
      </c>
      <c r="R759" s="13" t="s">
        <v>9651</v>
      </c>
      <c r="S759" s="172"/>
      <c r="T759" s="172"/>
      <c r="CG759" s="83" t="s">
        <v>1790</v>
      </c>
    </row>
    <row r="760" spans="1:104" ht="38.25" x14ac:dyDescent="0.2">
      <c r="A760" s="176" t="str">
        <f t="shared" si="17"/>
        <v>ilsGlidePathAngle</v>
      </c>
      <c r="B760" s="11" t="s">
        <v>9658</v>
      </c>
      <c r="C760" s="173"/>
      <c r="D760" s="22" t="s">
        <v>9659</v>
      </c>
      <c r="E760" s="15" t="s">
        <v>9660</v>
      </c>
      <c r="F760" s="174"/>
      <c r="G760" s="15" t="s">
        <v>9661</v>
      </c>
      <c r="H760" s="17" t="s">
        <v>5932</v>
      </c>
      <c r="I760" s="269"/>
      <c r="J760" s="369" t="str">
        <f>HYPERLINK("[#]Datatypes!B1231:L1231","Real")</f>
        <v>Real</v>
      </c>
      <c r="K760" s="271" t="str">
        <f>HYPERLINK("[#]PhysicalQuantities!A34:N34","Plane Angle")</f>
        <v>Plane Angle</v>
      </c>
      <c r="L760" s="270" t="str">
        <f>HYPERLINK("[#]UnitsOfMeasure!D159:G159","Arc Degree")</f>
        <v>Arc Degree</v>
      </c>
      <c r="M760" s="272"/>
      <c r="N760" s="273"/>
      <c r="O760" s="269"/>
      <c r="P760" s="37">
        <v>117573</v>
      </c>
      <c r="Q760" s="36" t="str">
        <f>CONCATENATE(Cover!$D$6,"fdd/view?i=",P760)</f>
        <v>https://www.dgiwg.org/FAD/fdd/view?i=117573</v>
      </c>
      <c r="R760" s="13" t="s">
        <v>9657</v>
      </c>
      <c r="S760" s="172"/>
      <c r="T760" s="172"/>
      <c r="CG760" s="83" t="s">
        <v>1790</v>
      </c>
    </row>
    <row r="761" spans="1:104" ht="25.5" x14ac:dyDescent="0.2">
      <c r="A761" s="176" t="str">
        <f t="shared" si="17"/>
        <v>ilsGlidePathAngleAcc</v>
      </c>
      <c r="B761" s="11" t="s">
        <v>9663</v>
      </c>
      <c r="C761" s="173"/>
      <c r="D761" s="22" t="s">
        <v>9664</v>
      </c>
      <c r="E761" s="15" t="s">
        <v>9665</v>
      </c>
      <c r="F761" s="174"/>
      <c r="G761" s="174"/>
      <c r="H761" s="17" t="s">
        <v>5932</v>
      </c>
      <c r="I761" s="269"/>
      <c r="J761" s="369" t="str">
        <f>HYPERLINK("[#]Datatypes!B1048:L1048","RealNonNegative")</f>
        <v>RealNonNegative</v>
      </c>
      <c r="K761" s="271" t="str">
        <f>HYPERLINK("[#]PhysicalQuantities!A34:N34","Plane Angle")</f>
        <v>Plane Angle</v>
      </c>
      <c r="L761" s="270" t="str">
        <f>HYPERLINK("[#]UnitsOfMeasure!D159:G159","Arc Degree")</f>
        <v>Arc Degree</v>
      </c>
      <c r="M761" s="272"/>
      <c r="N761" s="273"/>
      <c r="O761" s="269"/>
      <c r="P761" s="37">
        <v>119852</v>
      </c>
      <c r="Q761" s="36" t="str">
        <f>CONCATENATE(Cover!$D$6,"fdd/view?i=",P761)</f>
        <v>https://www.dgiwg.org/FAD/fdd/view?i=119852</v>
      </c>
      <c r="R761" s="13" t="s">
        <v>9662</v>
      </c>
      <c r="S761" s="172"/>
      <c r="T761" s="172"/>
      <c r="AT761" s="82" t="s">
        <v>1790</v>
      </c>
      <c r="CF761" s="83" t="s">
        <v>1790</v>
      </c>
      <c r="CQ761" s="165" t="s">
        <v>1790</v>
      </c>
      <c r="CZ761" s="165" t="s">
        <v>1790</v>
      </c>
    </row>
    <row r="762" spans="1:104" ht="38.25" x14ac:dyDescent="0.2">
      <c r="A762" s="176" t="str">
        <f t="shared" si="17"/>
        <v>ilsReferenceDatumHeight</v>
      </c>
      <c r="B762" s="11" t="s">
        <v>9667</v>
      </c>
      <c r="C762" s="173"/>
      <c r="D762" s="22" t="s">
        <v>9668</v>
      </c>
      <c r="E762" s="15" t="s">
        <v>9669</v>
      </c>
      <c r="F762" s="174"/>
      <c r="G762" s="174"/>
      <c r="H762" s="17" t="s">
        <v>5932</v>
      </c>
      <c r="I762" s="269"/>
      <c r="J762" s="369" t="str">
        <f>HYPERLINK("[#]Datatypes!B1231:L1231","Real")</f>
        <v>Real</v>
      </c>
      <c r="K762" s="271" t="str">
        <f>HYPERLINK("[#]PhysicalQuantities!A20:N20","Length")</f>
        <v>Length</v>
      </c>
      <c r="L762" s="270" t="str">
        <f>HYPERLINK("[#]UnitsOfMeasure!D80:G80","Metre")</f>
        <v>Metre</v>
      </c>
      <c r="M762" s="272"/>
      <c r="N762" s="273"/>
      <c r="O762" s="269"/>
      <c r="P762" s="37">
        <v>117598</v>
      </c>
      <c r="Q762" s="36" t="str">
        <f>CONCATENATE(Cover!$D$6,"fdd/view?i=",P762)</f>
        <v>https://www.dgiwg.org/FAD/fdd/view?i=117598</v>
      </c>
      <c r="R762" s="13" t="s">
        <v>9666</v>
      </c>
      <c r="S762" s="172"/>
      <c r="T762" s="172"/>
      <c r="CG762" s="83" t="s">
        <v>1790</v>
      </c>
    </row>
    <row r="763" spans="1:104" ht="38.25" x14ac:dyDescent="0.2">
      <c r="A763" s="176" t="str">
        <f t="shared" si="17"/>
        <v>ilsReferenceDatumHeightAcc</v>
      </c>
      <c r="B763" s="11" t="s">
        <v>9671</v>
      </c>
      <c r="C763" s="173"/>
      <c r="D763" s="22" t="s">
        <v>9672</v>
      </c>
      <c r="E763" s="15" t="s">
        <v>9673</v>
      </c>
      <c r="F763" s="174"/>
      <c r="G763" s="174"/>
      <c r="H763" s="17" t="s">
        <v>5932</v>
      </c>
      <c r="I763" s="269"/>
      <c r="J763" s="369" t="str">
        <f>HYPERLINK("[#]Datatypes!B1048:L1048","RealNonNegative")</f>
        <v>RealNonNegative</v>
      </c>
      <c r="K763" s="271" t="str">
        <f>HYPERLINK("[#]PhysicalQuantities!A20:N20","Length")</f>
        <v>Length</v>
      </c>
      <c r="L763" s="270" t="str">
        <f>HYPERLINK("[#]UnitsOfMeasure!D80:G80","Metre")</f>
        <v>Metre</v>
      </c>
      <c r="M763" s="272"/>
      <c r="N763" s="273"/>
      <c r="O763" s="269"/>
      <c r="P763" s="37">
        <v>119853</v>
      </c>
      <c r="Q763" s="36" t="str">
        <f>CONCATENATE(Cover!$D$6,"fdd/view?i=",P763)</f>
        <v>https://www.dgiwg.org/FAD/fdd/view?i=119853</v>
      </c>
      <c r="R763" s="13" t="s">
        <v>9670</v>
      </c>
      <c r="S763" s="172"/>
      <c r="T763" s="172"/>
      <c r="AT763" s="82" t="s">
        <v>1790</v>
      </c>
      <c r="CG763" s="83" t="s">
        <v>1790</v>
      </c>
      <c r="CP763" s="164" t="s">
        <v>1790</v>
      </c>
      <c r="CQ763" s="165" t="s">
        <v>1790</v>
      </c>
    </row>
    <row r="764" spans="1:104" ht="25.5" x14ac:dyDescent="0.2">
      <c r="A764" s="176" t="str">
        <f t="shared" si="17"/>
        <v>instProcAddEquipment</v>
      </c>
      <c r="B764" s="11" t="s">
        <v>9675</v>
      </c>
      <c r="C764" s="173"/>
      <c r="D764" s="22" t="s">
        <v>9676</v>
      </c>
      <c r="E764" s="15" t="s">
        <v>9677</v>
      </c>
      <c r="F764" s="174"/>
      <c r="G764" s="174"/>
      <c r="H764" s="17" t="s">
        <v>5932</v>
      </c>
      <c r="I764" s="17" t="s">
        <v>6029</v>
      </c>
      <c r="J764" s="369" t="str">
        <f>HYPERLINK("[#]Datatypes!B740:L740","IaeCode")</f>
        <v>IaeCode</v>
      </c>
      <c r="K764" s="276"/>
      <c r="L764" s="272"/>
      <c r="M764" s="272"/>
      <c r="N764" s="248" t="str">
        <f>HYPERLINK("[#]DatatypeListedValues!A4910:H4910","&lt;values&gt;")</f>
        <v>&lt;values&gt;</v>
      </c>
      <c r="O764" s="277" t="b">
        <v>0</v>
      </c>
      <c r="P764" s="37">
        <v>117590</v>
      </c>
      <c r="Q764" s="36" t="str">
        <f>CONCATENATE(Cover!$D$6,"fdd/view?i=",P764)</f>
        <v>https://www.dgiwg.org/FAD/fdd/view?i=117590</v>
      </c>
      <c r="R764" s="13" t="s">
        <v>9674</v>
      </c>
      <c r="S764" s="172"/>
      <c r="T764" s="172"/>
      <c r="CI764" s="89" t="s">
        <v>1790</v>
      </c>
    </row>
    <row r="765" spans="1:104" ht="25.5" x14ac:dyDescent="0.2">
      <c r="A765" s="176" t="str">
        <f t="shared" si="17"/>
        <v>intendedRouteUse</v>
      </c>
      <c r="B765" s="11" t="s">
        <v>9680</v>
      </c>
      <c r="C765" s="173"/>
      <c r="D765" s="22" t="s">
        <v>9681</v>
      </c>
      <c r="E765" s="15" t="s">
        <v>9682</v>
      </c>
      <c r="F765" s="15" t="s">
        <v>9683</v>
      </c>
      <c r="G765" s="174"/>
      <c r="H765" s="17" t="s">
        <v>5932</v>
      </c>
      <c r="I765" s="269"/>
      <c r="J765" s="369" t="str">
        <f>HYPERLINK("[#]Datatypes!B750:L750","IruCode")</f>
        <v>IruCode</v>
      </c>
      <c r="K765" s="276"/>
      <c r="L765" s="272"/>
      <c r="M765" s="272"/>
      <c r="N765" s="248" t="str">
        <f>HYPERLINK("[#]DatatypeListedValues!A4924:H4924","&lt;values&gt;")</f>
        <v>&lt;values&gt;</v>
      </c>
      <c r="O765" s="277" t="b">
        <v>0</v>
      </c>
      <c r="P765" s="37">
        <v>119522</v>
      </c>
      <c r="Q765" s="36" t="str">
        <f>CONCATENATE(Cover!$D$6,"fdd/view?i=",P765)</f>
        <v>https://www.dgiwg.org/FAD/fdd/view?i=119522</v>
      </c>
      <c r="R765" s="13" t="s">
        <v>9679</v>
      </c>
      <c r="S765" s="172"/>
      <c r="T765" s="172"/>
      <c r="AP765" s="81" t="s">
        <v>1790</v>
      </c>
      <c r="AQ765" s="82" t="s">
        <v>1790</v>
      </c>
      <c r="AR765" s="82" t="s">
        <v>1790</v>
      </c>
      <c r="AS765" s="82" t="s">
        <v>1790</v>
      </c>
      <c r="AT765" s="82" t="s">
        <v>1790</v>
      </c>
      <c r="AU765" s="82" t="s">
        <v>1790</v>
      </c>
      <c r="AY765" s="85" t="s">
        <v>1790</v>
      </c>
      <c r="BF765" s="83" t="s">
        <v>1790</v>
      </c>
      <c r="CF765" s="83" t="s">
        <v>1790</v>
      </c>
    </row>
    <row r="766" spans="1:104" ht="25.5" x14ac:dyDescent="0.2">
      <c r="A766" s="176" t="str">
        <f t="shared" si="17"/>
        <v>internalIllumination</v>
      </c>
      <c r="B766" s="11" t="s">
        <v>9686</v>
      </c>
      <c r="C766" s="173"/>
      <c r="D766" s="22" t="s">
        <v>9687</v>
      </c>
      <c r="E766" s="15" t="s">
        <v>9688</v>
      </c>
      <c r="F766" s="174"/>
      <c r="G766" s="174"/>
      <c r="H766" s="17" t="s">
        <v>5932</v>
      </c>
      <c r="I766" s="269"/>
      <c r="J766" s="369" t="str">
        <f>HYPERLINK("[#]Datatypes!B240:L240","Boolean")</f>
        <v>Boolean</v>
      </c>
      <c r="K766" s="276"/>
      <c r="L766" s="272"/>
      <c r="M766" s="272"/>
      <c r="N766" s="273"/>
      <c r="O766" s="269"/>
      <c r="P766" s="37">
        <v>118144</v>
      </c>
      <c r="Q766" s="36" t="str">
        <f>CONCATENATE(Cover!$D$6,"fdd/view?i=",P766)</f>
        <v>https://www.dgiwg.org/FAD/fdd/view?i=118144</v>
      </c>
      <c r="R766" s="13" t="s">
        <v>9685</v>
      </c>
      <c r="S766" s="172"/>
      <c r="T766" s="172"/>
      <c r="AG766" s="82" t="s">
        <v>1790</v>
      </c>
      <c r="AV766" s="82" t="s">
        <v>1790</v>
      </c>
      <c r="CT766" s="166" t="s">
        <v>1790</v>
      </c>
    </row>
    <row r="767" spans="1:104" x14ac:dyDescent="0.2">
      <c r="A767" s="176" t="str">
        <f t="shared" si="17"/>
        <v>internatAerodromeCount</v>
      </c>
      <c r="B767" s="11" t="s">
        <v>9690</v>
      </c>
      <c r="C767" s="173"/>
      <c r="D767" s="22" t="s">
        <v>9691</v>
      </c>
      <c r="E767" s="15" t="s">
        <v>9692</v>
      </c>
      <c r="F767" s="174"/>
      <c r="G767" s="174"/>
      <c r="H767" s="17" t="s">
        <v>5932</v>
      </c>
      <c r="I767" s="269"/>
      <c r="J767" s="369" t="str">
        <f>HYPERLINK("[#]Datatypes!B380:L380","Count")</f>
        <v>Count</v>
      </c>
      <c r="K767" s="276"/>
      <c r="L767" s="272"/>
      <c r="M767" s="272"/>
      <c r="N767" s="273"/>
      <c r="O767" s="269"/>
      <c r="P767" s="37">
        <v>111645</v>
      </c>
      <c r="Q767" s="36" t="str">
        <f>CONCATENATE(Cover!$D$6,"fdd/view?i=",P767)</f>
        <v>https://www.dgiwg.org/FAD/fdd/view?i=111645</v>
      </c>
      <c r="R767" s="13" t="s">
        <v>9689</v>
      </c>
      <c r="S767" s="172"/>
      <c r="T767" s="172"/>
      <c r="AK767" s="83" t="s">
        <v>1790</v>
      </c>
      <c r="AM767" s="83" t="s">
        <v>1790</v>
      </c>
      <c r="AT767" s="82" t="s">
        <v>1790</v>
      </c>
      <c r="CE767" s="87" t="s">
        <v>1790</v>
      </c>
      <c r="CQ767" s="165" t="s">
        <v>1790</v>
      </c>
    </row>
    <row r="768" spans="1:104" ht="38.25" x14ac:dyDescent="0.2">
      <c r="A768" s="176" t="str">
        <f t="shared" si="17"/>
        <v>internationalAtsRoute</v>
      </c>
      <c r="B768" s="11" t="s">
        <v>9694</v>
      </c>
      <c r="C768" s="173"/>
      <c r="D768" s="22" t="s">
        <v>9695</v>
      </c>
      <c r="E768" s="15" t="s">
        <v>9696</v>
      </c>
      <c r="F768" s="174"/>
      <c r="G768" s="174"/>
      <c r="H768" s="17" t="s">
        <v>5932</v>
      </c>
      <c r="I768" s="269"/>
      <c r="J768" s="369" t="str">
        <f>HYPERLINK("[#]Datatypes!B240:L240","Boolean")</f>
        <v>Boolean</v>
      </c>
      <c r="K768" s="276"/>
      <c r="L768" s="272"/>
      <c r="M768" s="272"/>
      <c r="N768" s="273"/>
      <c r="O768" s="269"/>
      <c r="P768" s="37">
        <v>117591</v>
      </c>
      <c r="Q768" s="36" t="str">
        <f>CONCATENATE(Cover!$D$6,"fdd/view?i=",P768)</f>
        <v>https://www.dgiwg.org/FAD/fdd/view?i=117591</v>
      </c>
      <c r="R768" s="13" t="s">
        <v>9693</v>
      </c>
      <c r="S768" s="172"/>
      <c r="T768" s="172"/>
      <c r="CF768" s="83" t="s">
        <v>1790</v>
      </c>
    </row>
    <row r="769" spans="1:103" x14ac:dyDescent="0.2">
      <c r="A769" s="176" t="str">
        <f t="shared" si="17"/>
        <v>internationConflictType</v>
      </c>
      <c r="B769" s="11" t="s">
        <v>9698</v>
      </c>
      <c r="C769" s="173"/>
      <c r="D769" s="22" t="s">
        <v>9699</v>
      </c>
      <c r="E769" s="15" t="s">
        <v>9700</v>
      </c>
      <c r="F769" s="174"/>
      <c r="G769" s="174"/>
      <c r="H769" s="17" t="s">
        <v>5932</v>
      </c>
      <c r="I769" s="269"/>
      <c r="J769" s="369" t="str">
        <f>HYPERLINK("[#]Datatypes!B752:L752","IztCode")</f>
        <v>IztCode</v>
      </c>
      <c r="K769" s="276"/>
      <c r="L769" s="272"/>
      <c r="M769" s="272"/>
      <c r="N769" s="248" t="str">
        <f>HYPERLINK("[#]DatatypeListedValues!A4933:H4933","&lt;values&gt;")</f>
        <v>&lt;values&gt;</v>
      </c>
      <c r="O769" s="277" t="b">
        <v>0</v>
      </c>
      <c r="P769" s="37">
        <v>118921</v>
      </c>
      <c r="Q769" s="36" t="str">
        <f>CONCATENATE(Cover!$D$6,"fdd/view?i=",P769)</f>
        <v>https://www.dgiwg.org/FAD/fdd/view?i=118921</v>
      </c>
      <c r="R769" s="13" t="s">
        <v>9697</v>
      </c>
      <c r="S769" s="172"/>
      <c r="T769" s="172"/>
      <c r="AM769" s="83" t="s">
        <v>1790</v>
      </c>
      <c r="CK769" s="82" t="s">
        <v>1790</v>
      </c>
      <c r="CL769" s="85" t="s">
        <v>1790</v>
      </c>
      <c r="CT769" s="166" t="s">
        <v>1790</v>
      </c>
    </row>
    <row r="770" spans="1:103" ht="25.5" x14ac:dyDescent="0.2">
      <c r="A770" s="176" t="str">
        <f t="shared" si="17"/>
        <v>igbUniqueStationCode</v>
      </c>
      <c r="B770" s="11" t="s">
        <v>9703</v>
      </c>
      <c r="C770" s="173"/>
      <c r="D770" s="22" t="s">
        <v>9704</v>
      </c>
      <c r="E770" s="15" t="s">
        <v>9705</v>
      </c>
      <c r="F770" s="174"/>
      <c r="G770" s="174"/>
      <c r="H770" s="17" t="s">
        <v>5932</v>
      </c>
      <c r="I770" s="269"/>
      <c r="J770" s="369" t="str">
        <f>HYPERLINK("[#]Datatypes!B754:L754","IgbStrucText")</f>
        <v>IgbStrucText</v>
      </c>
      <c r="K770" s="276"/>
      <c r="L770" s="272"/>
      <c r="M770" s="272"/>
      <c r="N770" s="273"/>
      <c r="O770" s="269"/>
      <c r="P770" s="37">
        <v>119729</v>
      </c>
      <c r="Q770" s="36" t="str">
        <f>CONCATENATE(Cover!$D$6,"fdd/view?i=",P770)</f>
        <v>https://www.dgiwg.org/FAD/fdd/view?i=119729</v>
      </c>
      <c r="R770" s="13" t="s">
        <v>9702</v>
      </c>
      <c r="S770" s="172"/>
      <c r="T770" s="172"/>
      <c r="CP770" s="164" t="s">
        <v>1790</v>
      </c>
      <c r="CQ770" s="165" t="s">
        <v>1790</v>
      </c>
      <c r="CT770" s="166" t="s">
        <v>1790</v>
      </c>
      <c r="CV770" s="83" t="s">
        <v>1790</v>
      </c>
    </row>
    <row r="771" spans="1:103" ht="25.5" x14ac:dyDescent="0.2">
      <c r="A771" s="176" t="str">
        <f t="shared" ref="A771:A834" si="18">HYPERLINK(Q771,R771)</f>
        <v>internationalOrgMember</v>
      </c>
      <c r="B771" s="11" t="s">
        <v>9708</v>
      </c>
      <c r="C771" s="173"/>
      <c r="D771" s="22" t="s">
        <v>9709</v>
      </c>
      <c r="E771" s="15" t="s">
        <v>9710</v>
      </c>
      <c r="F771" s="174"/>
      <c r="G771" s="174"/>
      <c r="H771" s="17" t="s">
        <v>5932</v>
      </c>
      <c r="I771" s="17" t="s">
        <v>6029</v>
      </c>
      <c r="J771" s="369" t="str">
        <f>HYPERLINK("[#]Datatypes!B756:L756","DamCode")</f>
        <v>DamCode</v>
      </c>
      <c r="K771" s="276"/>
      <c r="L771" s="272"/>
      <c r="M771" s="272"/>
      <c r="N771" s="248" t="str">
        <f>HYPERLINK("[#]DatatypeListedValues!A4936:H4936","&lt;values&gt;")</f>
        <v>&lt;values&gt;</v>
      </c>
      <c r="O771" s="277" t="b">
        <v>0</v>
      </c>
      <c r="P771" s="37">
        <v>111507</v>
      </c>
      <c r="Q771" s="36" t="str">
        <f>CONCATENATE(Cover!$D$6,"fdd/view?i=",P771)</f>
        <v>https://www.dgiwg.org/FAD/fdd/view?i=111507</v>
      </c>
      <c r="R771" s="13" t="s">
        <v>9707</v>
      </c>
      <c r="S771" s="172"/>
      <c r="T771" s="172"/>
      <c r="AM771" s="83" t="s">
        <v>1790</v>
      </c>
      <c r="CU771" s="87" t="s">
        <v>1790</v>
      </c>
    </row>
    <row r="772" spans="1:103" ht="25.5" x14ac:dyDescent="0.2">
      <c r="A772" s="176" t="str">
        <f t="shared" si="18"/>
        <v>intersectionControlType</v>
      </c>
      <c r="B772" s="11" t="s">
        <v>9713</v>
      </c>
      <c r="C772" s="173"/>
      <c r="D772" s="22" t="s">
        <v>9714</v>
      </c>
      <c r="E772" s="15" t="s">
        <v>9715</v>
      </c>
      <c r="F772" s="174"/>
      <c r="G772" s="174"/>
      <c r="H772" s="17" t="s">
        <v>5932</v>
      </c>
      <c r="I772" s="17" t="s">
        <v>6029</v>
      </c>
      <c r="J772" s="369" t="str">
        <f>HYPERLINK("[#]Datatypes!B758:L758","CscCode")</f>
        <v>CscCode</v>
      </c>
      <c r="K772" s="276"/>
      <c r="L772" s="272"/>
      <c r="M772" s="272"/>
      <c r="N772" s="248" t="str">
        <f>HYPERLINK("[#]DatatypeListedValues!A4955:H4955","&lt;values&gt;")</f>
        <v>&lt;values&gt;</v>
      </c>
      <c r="O772" s="277" t="b">
        <v>0</v>
      </c>
      <c r="P772" s="37">
        <v>100770</v>
      </c>
      <c r="Q772" s="36" t="str">
        <f>CONCATENATE(Cover!$D$6,"fdd/view?i=",P772)</f>
        <v>https://www.dgiwg.org/FAD/fdd/view?i=100770</v>
      </c>
      <c r="R772" s="13" t="s">
        <v>9712</v>
      </c>
      <c r="S772" s="172"/>
      <c r="T772" s="172"/>
      <c r="AV772" s="82" t="s">
        <v>1790</v>
      </c>
      <c r="CS772" s="165" t="s">
        <v>1790</v>
      </c>
    </row>
    <row r="773" spans="1:103" x14ac:dyDescent="0.2">
      <c r="A773" s="176" t="str">
        <f t="shared" si="18"/>
        <v>inundationDate</v>
      </c>
      <c r="B773" s="11" t="s">
        <v>9718</v>
      </c>
      <c r="C773" s="173"/>
      <c r="D773" s="22" t="s">
        <v>9719</v>
      </c>
      <c r="E773" s="15" t="s">
        <v>9720</v>
      </c>
      <c r="F773" s="174"/>
      <c r="G773" s="174"/>
      <c r="H773" s="17" t="s">
        <v>5932</v>
      </c>
      <c r="I773" s="269"/>
      <c r="J773" s="369" t="str">
        <f>HYPERLINK("[#]Datatypes!B762:L762","IndStrucText")</f>
        <v>IndStrucText</v>
      </c>
      <c r="K773" s="276"/>
      <c r="L773" s="272"/>
      <c r="M773" s="272"/>
      <c r="N773" s="273"/>
      <c r="O773" s="269"/>
      <c r="P773" s="37">
        <v>118145</v>
      </c>
      <c r="Q773" s="36" t="str">
        <f>CONCATENATE(Cover!$D$6,"fdd/view?i=",P773)</f>
        <v>https://www.dgiwg.org/FAD/fdd/view?i=118145</v>
      </c>
      <c r="R773" s="13" t="s">
        <v>9717</v>
      </c>
      <c r="S773" s="172"/>
      <c r="T773" s="172"/>
      <c r="BJ773" s="83" t="s">
        <v>1790</v>
      </c>
      <c r="CY773" s="165" t="s">
        <v>1790</v>
      </c>
    </row>
    <row r="774" spans="1:103" x14ac:dyDescent="0.2">
      <c r="A774" s="176" t="str">
        <f t="shared" si="18"/>
        <v>inundationType</v>
      </c>
      <c r="B774" s="11" t="s">
        <v>9723</v>
      </c>
      <c r="C774" s="173"/>
      <c r="D774" s="22" t="s">
        <v>9724</v>
      </c>
      <c r="E774" s="15" t="s">
        <v>9725</v>
      </c>
      <c r="F774" s="174"/>
      <c r="G774" s="174"/>
      <c r="H774" s="17" t="s">
        <v>5932</v>
      </c>
      <c r="I774" s="269"/>
      <c r="J774" s="369" t="str">
        <f>HYPERLINK("[#]Datatypes!B764:L764","InuCode")</f>
        <v>InuCode</v>
      </c>
      <c r="K774" s="276"/>
      <c r="L774" s="272"/>
      <c r="M774" s="272"/>
      <c r="N774" s="248" t="str">
        <f>HYPERLINK("[#]DatatypeListedValues!A4970:H4970","&lt;values&gt;")</f>
        <v>&lt;values&gt;</v>
      </c>
      <c r="O774" s="277" t="b">
        <v>0</v>
      </c>
      <c r="P774" s="37">
        <v>114347</v>
      </c>
      <c r="Q774" s="36" t="str">
        <f>CONCATENATE(Cover!$D$6,"fdd/view?i=",P774)</f>
        <v>https://www.dgiwg.org/FAD/fdd/view?i=114347</v>
      </c>
      <c r="R774" s="13" t="s">
        <v>9722</v>
      </c>
      <c r="S774" s="172"/>
      <c r="T774" s="172"/>
      <c r="BJ774" s="83" t="s">
        <v>1790</v>
      </c>
      <c r="BX774" s="83" t="s">
        <v>1790</v>
      </c>
      <c r="CS774" s="165" t="s">
        <v>1790</v>
      </c>
      <c r="CT774" s="166" t="s">
        <v>1790</v>
      </c>
    </row>
    <row r="775" spans="1:103" x14ac:dyDescent="0.2">
      <c r="A775" s="176" t="str">
        <f t="shared" si="18"/>
        <v>irrigatedAreaRatio</v>
      </c>
      <c r="B775" s="11" t="s">
        <v>9728</v>
      </c>
      <c r="C775" s="173"/>
      <c r="D775" s="22" t="s">
        <v>9729</v>
      </c>
      <c r="E775" s="15" t="s">
        <v>9730</v>
      </c>
      <c r="F775" s="174"/>
      <c r="G775" s="174"/>
      <c r="H775" s="17" t="s">
        <v>5932</v>
      </c>
      <c r="I775" s="269"/>
      <c r="J775" s="369" t="str">
        <f>HYPERLINK("[#]Datatypes!B1231:L1231","Real")</f>
        <v>Real</v>
      </c>
      <c r="K775" s="271" t="str">
        <f>HYPERLINK("[#]PhysicalQuantities!A39:N39","Pure Number")</f>
        <v>Pure Number</v>
      </c>
      <c r="L775" s="270" t="str">
        <f>HYPERLINK("[#]UnitsOfMeasure!D215:G215","Percent")</f>
        <v>Percent</v>
      </c>
      <c r="M775" s="272"/>
      <c r="N775" s="273"/>
      <c r="O775" s="269"/>
      <c r="P775" s="37">
        <v>111665</v>
      </c>
      <c r="Q775" s="36" t="str">
        <f>CONCATENATE(Cover!$D$6,"fdd/view?i=",P775)</f>
        <v>https://www.dgiwg.org/FAD/fdd/view?i=111665</v>
      </c>
      <c r="R775" s="13" t="s">
        <v>9727</v>
      </c>
      <c r="S775" s="172"/>
      <c r="T775" s="172"/>
      <c r="AM775" s="83" t="s">
        <v>1790</v>
      </c>
      <c r="BU775" s="87" t="s">
        <v>1790</v>
      </c>
      <c r="CQ775" s="165" t="s">
        <v>1790</v>
      </c>
    </row>
    <row r="776" spans="1:103" x14ac:dyDescent="0.2">
      <c r="A776" s="176" t="str">
        <f t="shared" si="18"/>
        <v>irrigationMethod</v>
      </c>
      <c r="B776" s="11" t="s">
        <v>9732</v>
      </c>
      <c r="C776" s="173"/>
      <c r="D776" s="22" t="s">
        <v>9733</v>
      </c>
      <c r="E776" s="15" t="s">
        <v>9734</v>
      </c>
      <c r="F776" s="174"/>
      <c r="G776" s="174"/>
      <c r="H776" s="17" t="s">
        <v>5932</v>
      </c>
      <c r="I776" s="269"/>
      <c r="J776" s="369" t="str">
        <f>HYPERLINK("[#]Datatypes!B766:L766","IrgCode")</f>
        <v>IrgCode</v>
      </c>
      <c r="K776" s="276"/>
      <c r="L776" s="272"/>
      <c r="M776" s="272"/>
      <c r="N776" s="248" t="str">
        <f>HYPERLINK("[#]DatatypeListedValues!A4972:H4972","&lt;values&gt;")</f>
        <v>&lt;values&gt;</v>
      </c>
      <c r="O776" s="277" t="b">
        <v>0</v>
      </c>
      <c r="P776" s="37">
        <v>100978</v>
      </c>
      <c r="Q776" s="36" t="str">
        <f>CONCATENATE(Cover!$D$6,"fdd/view?i=",P776)</f>
        <v>https://www.dgiwg.org/FAD/fdd/view?i=100978</v>
      </c>
      <c r="R776" s="13" t="s">
        <v>9731</v>
      </c>
      <c r="S776" s="172"/>
      <c r="T776" s="172"/>
      <c r="AC776" s="82" t="s">
        <v>1790</v>
      </c>
      <c r="BJ776" s="83" t="s">
        <v>1790</v>
      </c>
      <c r="BU776" s="87" t="s">
        <v>1790</v>
      </c>
    </row>
    <row r="777" spans="1:103" x14ac:dyDescent="0.2">
      <c r="A777" s="176" t="str">
        <f t="shared" si="18"/>
        <v>islandGroupName</v>
      </c>
      <c r="B777" s="11" t="s">
        <v>9737</v>
      </c>
      <c r="C777" s="173"/>
      <c r="D777" s="22" t="s">
        <v>9738</v>
      </c>
      <c r="E777" s="15" t="s">
        <v>9739</v>
      </c>
      <c r="F777" s="174"/>
      <c r="G777" s="174"/>
      <c r="H777" s="17" t="s">
        <v>5932</v>
      </c>
      <c r="I777" s="269"/>
      <c r="J777" s="369" t="str">
        <f>HYPERLINK("[#]Datatypes!B1544:L1544","TextLexUnconstrained")</f>
        <v>TextLexUnconstrained</v>
      </c>
      <c r="K777" s="276"/>
      <c r="L777" s="272"/>
      <c r="M777" s="272"/>
      <c r="N777" s="273"/>
      <c r="O777" s="269"/>
      <c r="P777" s="37">
        <v>119188</v>
      </c>
      <c r="Q777" s="36" t="str">
        <f>CONCATENATE(Cover!$D$6,"fdd/view?i=",P777)</f>
        <v>https://www.dgiwg.org/FAD/fdd/view?i=119188</v>
      </c>
      <c r="R777" s="13" t="s">
        <v>9736</v>
      </c>
      <c r="S777" s="172"/>
      <c r="T777" s="172"/>
      <c r="CU777" s="87" t="s">
        <v>1790</v>
      </c>
    </row>
    <row r="778" spans="1:103" ht="25.5" x14ac:dyDescent="0.2">
      <c r="A778" s="176" t="str">
        <f t="shared" si="18"/>
        <v>iso15924ScriptCode</v>
      </c>
      <c r="B778" s="11" t="s">
        <v>9741</v>
      </c>
      <c r="C778" s="173"/>
      <c r="D778" s="22" t="s">
        <v>9742</v>
      </c>
      <c r="E778" s="15" t="s">
        <v>9743</v>
      </c>
      <c r="F778" s="15" t="s">
        <v>9744</v>
      </c>
      <c r="G778" s="174"/>
      <c r="H778" s="17" t="s">
        <v>5932</v>
      </c>
      <c r="I778" s="269"/>
      <c r="J778" s="369" t="str">
        <f>HYPERLINK("[#]Datatypes!B768:L768","Is1StrucText")</f>
        <v>Is1StrucText</v>
      </c>
      <c r="K778" s="276"/>
      <c r="L778" s="272"/>
      <c r="M778" s="272"/>
      <c r="N778" s="273"/>
      <c r="O778" s="269"/>
      <c r="P778" s="37">
        <v>111603</v>
      </c>
      <c r="Q778" s="36" t="str">
        <f>CONCATENATE(Cover!$D$6,"fdd/view?i=",P778)</f>
        <v>https://www.dgiwg.org/FAD/fdd/view?i=111603</v>
      </c>
      <c r="R778" s="13" t="s">
        <v>9740</v>
      </c>
      <c r="S778" s="172"/>
      <c r="T778" s="172"/>
      <c r="AM778" s="83" t="s">
        <v>1790</v>
      </c>
      <c r="CV778" s="83" t="s">
        <v>1790</v>
      </c>
    </row>
    <row r="779" spans="1:103" ht="63.75" x14ac:dyDescent="0.2">
      <c r="A779" s="176" t="str">
        <f t="shared" si="18"/>
        <v>iso31661CountryCdAlpha2</v>
      </c>
      <c r="B779" s="11" t="s">
        <v>9747</v>
      </c>
      <c r="C779" s="173"/>
      <c r="D779" s="22" t="s">
        <v>9748</v>
      </c>
      <c r="E779" s="15" t="s">
        <v>9749</v>
      </c>
      <c r="F779" s="15" t="s">
        <v>9750</v>
      </c>
      <c r="G779" s="174"/>
      <c r="H779" s="17" t="s">
        <v>5932</v>
      </c>
      <c r="I779" s="269"/>
      <c r="J779" s="369" t="str">
        <f>HYPERLINK("[#]Datatypes!B770:L770","Ic1StrucText")</f>
        <v>Ic1StrucText</v>
      </c>
      <c r="K779" s="276"/>
      <c r="L779" s="272"/>
      <c r="M779" s="272"/>
      <c r="N779" s="273"/>
      <c r="O779" s="269"/>
      <c r="P779" s="37">
        <v>111587</v>
      </c>
      <c r="Q779" s="36" t="str">
        <f>CONCATENATE(Cover!$D$6,"fdd/view?i=",P779)</f>
        <v>https://www.dgiwg.org/FAD/fdd/view?i=111587</v>
      </c>
      <c r="R779" s="13" t="s">
        <v>9746</v>
      </c>
      <c r="S779" s="172"/>
      <c r="T779" s="172"/>
      <c r="AM779" s="83" t="s">
        <v>1790</v>
      </c>
      <c r="CV779" s="83" t="s">
        <v>1790</v>
      </c>
    </row>
    <row r="780" spans="1:103" ht="38.25" x14ac:dyDescent="0.2">
      <c r="A780" s="176" t="str">
        <f t="shared" si="18"/>
        <v>iso31661CountryCdAlpha3</v>
      </c>
      <c r="B780" s="11" t="s">
        <v>9753</v>
      </c>
      <c r="C780" s="173"/>
      <c r="D780" s="22" t="s">
        <v>9754</v>
      </c>
      <c r="E780" s="15" t="s">
        <v>9755</v>
      </c>
      <c r="F780" s="15" t="s">
        <v>9756</v>
      </c>
      <c r="G780" s="174"/>
      <c r="H780" s="17" t="s">
        <v>5932</v>
      </c>
      <c r="I780" s="269"/>
      <c r="J780" s="369" t="str">
        <f>HYPERLINK("[#]Datatypes!B772:L772","Ic2StrucText")</f>
        <v>Ic2StrucText</v>
      </c>
      <c r="K780" s="276"/>
      <c r="L780" s="272"/>
      <c r="M780" s="272"/>
      <c r="N780" s="273"/>
      <c r="O780" s="269"/>
      <c r="P780" s="37">
        <v>111588</v>
      </c>
      <c r="Q780" s="36" t="str">
        <f>CONCATENATE(Cover!$D$6,"fdd/view?i=",P780)</f>
        <v>https://www.dgiwg.org/FAD/fdd/view?i=111588</v>
      </c>
      <c r="R780" s="13" t="s">
        <v>9752</v>
      </c>
      <c r="S780" s="172"/>
      <c r="T780" s="172"/>
      <c r="AM780" s="83" t="s">
        <v>1790</v>
      </c>
      <c r="CV780" s="83" t="s">
        <v>1790</v>
      </c>
    </row>
    <row r="781" spans="1:103" ht="38.25" x14ac:dyDescent="0.2">
      <c r="A781" s="176" t="str">
        <f t="shared" si="18"/>
        <v>iso31661CountryCdNumeric</v>
      </c>
      <c r="B781" s="11" t="s">
        <v>9759</v>
      </c>
      <c r="C781" s="173"/>
      <c r="D781" s="22" t="s">
        <v>9760</v>
      </c>
      <c r="E781" s="15" t="s">
        <v>9761</v>
      </c>
      <c r="F781" s="15" t="s">
        <v>9762</v>
      </c>
      <c r="G781" s="174"/>
      <c r="H781" s="17" t="s">
        <v>5932</v>
      </c>
      <c r="I781" s="269"/>
      <c r="J781" s="369" t="str">
        <f>HYPERLINK("[#]Datatypes!B774:L774","Ic3StrucText")</f>
        <v>Ic3StrucText</v>
      </c>
      <c r="K781" s="276"/>
      <c r="L781" s="272"/>
      <c r="M781" s="272"/>
      <c r="N781" s="273"/>
      <c r="O781" s="269"/>
      <c r="P781" s="37">
        <v>111589</v>
      </c>
      <c r="Q781" s="36" t="str">
        <f>CONCATENATE(Cover!$D$6,"fdd/view?i=",P781)</f>
        <v>https://www.dgiwg.org/FAD/fdd/view?i=111589</v>
      </c>
      <c r="R781" s="13" t="s">
        <v>9758</v>
      </c>
      <c r="S781" s="172"/>
      <c r="T781" s="172"/>
      <c r="AM781" s="83" t="s">
        <v>1790</v>
      </c>
      <c r="CV781" s="83" t="s">
        <v>1790</v>
      </c>
    </row>
    <row r="782" spans="1:103" ht="25.5" x14ac:dyDescent="0.2">
      <c r="A782" s="176" t="str">
        <f t="shared" si="18"/>
        <v>iso31661EngCountryName</v>
      </c>
      <c r="B782" s="11" t="s">
        <v>9765</v>
      </c>
      <c r="C782" s="173"/>
      <c r="D782" s="22" t="s">
        <v>9766</v>
      </c>
      <c r="E782" s="15" t="s">
        <v>9767</v>
      </c>
      <c r="F782" s="174"/>
      <c r="G782" s="174"/>
      <c r="H782" s="17" t="s">
        <v>5932</v>
      </c>
      <c r="I782" s="269"/>
      <c r="J782" s="369" t="str">
        <f>HYPERLINK("[#]Datatypes!B1534:L1534","TextLex200")</f>
        <v>TextLex200</v>
      </c>
      <c r="K782" s="276"/>
      <c r="L782" s="272"/>
      <c r="M782" s="272"/>
      <c r="N782" s="273"/>
      <c r="O782" s="269"/>
      <c r="P782" s="37">
        <v>111590</v>
      </c>
      <c r="Q782" s="36" t="str">
        <f>CONCATENATE(Cover!$D$6,"fdd/view?i=",P782)</f>
        <v>https://www.dgiwg.org/FAD/fdd/view?i=111590</v>
      </c>
      <c r="R782" s="13" t="s">
        <v>9764</v>
      </c>
      <c r="S782" s="172"/>
      <c r="T782" s="172"/>
      <c r="CU782" s="87" t="s">
        <v>1790</v>
      </c>
    </row>
    <row r="783" spans="1:103" ht="51" x14ac:dyDescent="0.2">
      <c r="A783" s="176" t="str">
        <f t="shared" si="18"/>
        <v>iso31662SubdivisionExtCd</v>
      </c>
      <c r="B783" s="11" t="s">
        <v>9769</v>
      </c>
      <c r="C783" s="173"/>
      <c r="D783" s="22" t="s">
        <v>9770</v>
      </c>
      <c r="E783" s="15" t="s">
        <v>9771</v>
      </c>
      <c r="F783" s="15" t="s">
        <v>9772</v>
      </c>
      <c r="G783" s="174"/>
      <c r="H783" s="17" t="s">
        <v>5932</v>
      </c>
      <c r="I783" s="269"/>
      <c r="J783" s="369" t="str">
        <f>HYPERLINK("[#]Datatypes!B776:L776","Ic5StrucText")</f>
        <v>Ic5StrucText</v>
      </c>
      <c r="K783" s="276"/>
      <c r="L783" s="272"/>
      <c r="M783" s="272"/>
      <c r="N783" s="273"/>
      <c r="O783" s="269"/>
      <c r="P783" s="37">
        <v>111591</v>
      </c>
      <c r="Q783" s="36" t="str">
        <f>CONCATENATE(Cover!$D$6,"fdd/view?i=",P783)</f>
        <v>https://www.dgiwg.org/FAD/fdd/view?i=111591</v>
      </c>
      <c r="R783" s="13" t="s">
        <v>9768</v>
      </c>
      <c r="S783" s="172"/>
      <c r="T783" s="172"/>
      <c r="AM783" s="83" t="s">
        <v>1790</v>
      </c>
      <c r="CV783" s="83" t="s">
        <v>1790</v>
      </c>
    </row>
    <row r="784" spans="1:103" ht="38.25" x14ac:dyDescent="0.2">
      <c r="A784" s="176" t="str">
        <f t="shared" si="18"/>
        <v>iso31662EngSubdivisionName</v>
      </c>
      <c r="B784" s="11" t="s">
        <v>9775</v>
      </c>
      <c r="C784" s="173"/>
      <c r="D784" s="22" t="s">
        <v>9776</v>
      </c>
      <c r="E784" s="15" t="s">
        <v>9777</v>
      </c>
      <c r="F784" s="174"/>
      <c r="G784" s="174"/>
      <c r="H784" s="17" t="s">
        <v>5932</v>
      </c>
      <c r="I784" s="269"/>
      <c r="J784" s="369" t="str">
        <f>HYPERLINK("[#]Datatypes!B1534:L1534","TextLex200")</f>
        <v>TextLex200</v>
      </c>
      <c r="K784" s="276"/>
      <c r="L784" s="272"/>
      <c r="M784" s="272"/>
      <c r="N784" s="273"/>
      <c r="O784" s="269"/>
      <c r="P784" s="37">
        <v>111592</v>
      </c>
      <c r="Q784" s="36" t="str">
        <f>CONCATENATE(Cover!$D$6,"fdd/view?i=",P784)</f>
        <v>https://www.dgiwg.org/FAD/fdd/view?i=111592</v>
      </c>
      <c r="R784" s="13" t="s">
        <v>9774</v>
      </c>
      <c r="S784" s="172"/>
      <c r="T784" s="172"/>
      <c r="CU784" s="87" t="s">
        <v>1790</v>
      </c>
    </row>
    <row r="785" spans="1:100" ht="38.25" x14ac:dyDescent="0.2">
      <c r="A785" s="176" t="str">
        <f t="shared" si="18"/>
        <v>iso31663FormerCountryCd</v>
      </c>
      <c r="B785" s="11" t="s">
        <v>9779</v>
      </c>
      <c r="C785" s="173"/>
      <c r="D785" s="22" t="s">
        <v>9780</v>
      </c>
      <c r="E785" s="15" t="s">
        <v>9781</v>
      </c>
      <c r="F785" s="15" t="s">
        <v>9782</v>
      </c>
      <c r="G785" s="174"/>
      <c r="H785" s="17" t="s">
        <v>5932</v>
      </c>
      <c r="I785" s="269"/>
      <c r="J785" s="369" t="str">
        <f>HYPERLINK("[#]Datatypes!B778:L778","Ic7StrucText")</f>
        <v>Ic7StrucText</v>
      </c>
      <c r="K785" s="276"/>
      <c r="L785" s="272"/>
      <c r="M785" s="272"/>
      <c r="N785" s="273"/>
      <c r="O785" s="269"/>
      <c r="P785" s="37">
        <v>111593</v>
      </c>
      <c r="Q785" s="36" t="str">
        <f>CONCATENATE(Cover!$D$6,"fdd/view?i=",P785)</f>
        <v>https://www.dgiwg.org/FAD/fdd/view?i=111593</v>
      </c>
      <c r="R785" s="13" t="s">
        <v>9778</v>
      </c>
      <c r="S785" s="172"/>
      <c r="T785" s="172"/>
      <c r="AM785" s="83" t="s">
        <v>1790</v>
      </c>
      <c r="CV785" s="83" t="s">
        <v>1790</v>
      </c>
    </row>
    <row r="786" spans="1:100" ht="25.5" x14ac:dyDescent="0.2">
      <c r="A786" s="176" t="str">
        <f t="shared" si="18"/>
        <v>isolatedCommunicationLine</v>
      </c>
      <c r="B786" s="11" t="s">
        <v>9785</v>
      </c>
      <c r="C786" s="173"/>
      <c r="D786" s="22" t="s">
        <v>9786</v>
      </c>
      <c r="E786" s="15" t="s">
        <v>9787</v>
      </c>
      <c r="F786" s="15" t="s">
        <v>9788</v>
      </c>
      <c r="G786" s="174"/>
      <c r="H786" s="17" t="s">
        <v>5932</v>
      </c>
      <c r="I786" s="269"/>
      <c r="J786" s="369" t="str">
        <f>HYPERLINK("[#]Datatypes!B240:L240","Boolean")</f>
        <v>Boolean</v>
      </c>
      <c r="K786" s="276"/>
      <c r="L786" s="272"/>
      <c r="M786" s="272"/>
      <c r="N786" s="273"/>
      <c r="O786" s="269"/>
      <c r="P786" s="37">
        <v>100744</v>
      </c>
      <c r="Q786" s="36" t="str">
        <f>CONCATENATE(Cover!$D$6,"fdd/view?i=",P786)</f>
        <v>https://www.dgiwg.org/FAD/fdd/view?i=100744</v>
      </c>
      <c r="R786" s="13" t="s">
        <v>9784</v>
      </c>
      <c r="S786" s="172"/>
      <c r="T786" s="172"/>
      <c r="AE786" s="82" t="s">
        <v>1790</v>
      </c>
      <c r="CS786" s="165" t="s">
        <v>1790</v>
      </c>
    </row>
    <row r="787" spans="1:100" ht="25.5" x14ac:dyDescent="0.2">
      <c r="A787" s="176" t="str">
        <f t="shared" si="18"/>
        <v>jetAircraftStartUnitType</v>
      </c>
      <c r="B787" s="11" t="s">
        <v>9790</v>
      </c>
      <c r="C787" s="173"/>
      <c r="D787" s="22" t="s">
        <v>9791</v>
      </c>
      <c r="E787" s="15" t="s">
        <v>9792</v>
      </c>
      <c r="F787" s="15" t="s">
        <v>9793</v>
      </c>
      <c r="G787" s="174"/>
      <c r="H787" s="17" t="s">
        <v>5932</v>
      </c>
      <c r="I787" s="17" t="s">
        <v>6029</v>
      </c>
      <c r="J787" s="369" t="str">
        <f>HYPERLINK("[#]Datatypes!B780:L780","JatCode")</f>
        <v>JatCode</v>
      </c>
      <c r="K787" s="276"/>
      <c r="L787" s="272"/>
      <c r="M787" s="272"/>
      <c r="N787" s="248" t="str">
        <f>HYPERLINK("[#]DatatypeListedValues!A4980:H4980","&lt;values&gt;")</f>
        <v>&lt;values&gt;</v>
      </c>
      <c r="O787" s="277" t="b">
        <v>0</v>
      </c>
      <c r="P787" s="37">
        <v>117601</v>
      </c>
      <c r="Q787" s="36" t="str">
        <f>CONCATENATE(Cover!$D$6,"fdd/view?i=",P787)</f>
        <v>https://www.dgiwg.org/FAD/fdd/view?i=117601</v>
      </c>
      <c r="R787" s="13" t="s">
        <v>9789</v>
      </c>
      <c r="S787" s="172"/>
      <c r="T787" s="172"/>
      <c r="CH787" s="83" t="s">
        <v>1790</v>
      </c>
    </row>
    <row r="788" spans="1:100" ht="25.5" x14ac:dyDescent="0.2">
      <c r="A788" s="176" t="str">
        <f t="shared" si="18"/>
        <v>jetAircraftStartUnitCount</v>
      </c>
      <c r="B788" s="11" t="s">
        <v>9796</v>
      </c>
      <c r="C788" s="173"/>
      <c r="D788" s="22" t="s">
        <v>9797</v>
      </c>
      <c r="E788" s="15" t="s">
        <v>9798</v>
      </c>
      <c r="F788" s="174"/>
      <c r="G788" s="174"/>
      <c r="H788" s="17" t="s">
        <v>5932</v>
      </c>
      <c r="I788" s="269"/>
      <c r="J788" s="369" t="str">
        <f>HYPERLINK("[#]Datatypes!B380:L380","Count")</f>
        <v>Count</v>
      </c>
      <c r="K788" s="276"/>
      <c r="L788" s="272"/>
      <c r="M788" s="272"/>
      <c r="N788" s="273"/>
      <c r="O788" s="269"/>
      <c r="P788" s="37">
        <v>119597</v>
      </c>
      <c r="Q788" s="36" t="str">
        <f>CONCATENATE(Cover!$D$6,"fdd/view?i=",P788)</f>
        <v>https://www.dgiwg.org/FAD/fdd/view?i=119597</v>
      </c>
      <c r="R788" s="13" t="s">
        <v>9795</v>
      </c>
      <c r="S788" s="172"/>
      <c r="T788" s="172"/>
      <c r="AT788" s="82" t="s">
        <v>1790</v>
      </c>
      <c r="CE788" s="87" t="s">
        <v>1790</v>
      </c>
      <c r="CH788" s="83" t="s">
        <v>1790</v>
      </c>
      <c r="CQ788" s="165" t="s">
        <v>1790</v>
      </c>
    </row>
    <row r="789" spans="1:100" ht="178.5" x14ac:dyDescent="0.2">
      <c r="A789" s="176" t="str">
        <f t="shared" si="18"/>
        <v>jointOilAnalysisProgCert</v>
      </c>
      <c r="B789" s="11" t="s">
        <v>9800</v>
      </c>
      <c r="C789" s="173"/>
      <c r="D789" s="22" t="s">
        <v>9801</v>
      </c>
      <c r="E789" s="15" t="s">
        <v>9802</v>
      </c>
      <c r="F789" s="15" t="s">
        <v>9803</v>
      </c>
      <c r="G789" s="174"/>
      <c r="H789" s="17" t="s">
        <v>5932</v>
      </c>
      <c r="I789" s="269"/>
      <c r="J789" s="369" t="str">
        <f>HYPERLINK("[#]Datatypes!B240:L240","Boolean")</f>
        <v>Boolean</v>
      </c>
      <c r="K789" s="276"/>
      <c r="L789" s="272"/>
      <c r="M789" s="272"/>
      <c r="N789" s="273"/>
      <c r="O789" s="269"/>
      <c r="P789" s="37">
        <v>116269</v>
      </c>
      <c r="Q789" s="36" t="str">
        <f>CONCATENATE(Cover!$D$6,"fdd/view?i=",P789)</f>
        <v>https://www.dgiwg.org/FAD/fdd/view?i=116269</v>
      </c>
      <c r="R789" s="13" t="s">
        <v>9799</v>
      </c>
      <c r="S789" s="172"/>
      <c r="T789" s="172"/>
      <c r="CH789" s="83" t="s">
        <v>1790</v>
      </c>
    </row>
    <row r="790" spans="1:100" ht="38.25" x14ac:dyDescent="0.2">
      <c r="A790" s="176" t="str">
        <f t="shared" si="18"/>
        <v>landMineType</v>
      </c>
      <c r="B790" s="11" t="s">
        <v>9805</v>
      </c>
      <c r="C790" s="173"/>
      <c r="D790" s="22" t="s">
        <v>9806</v>
      </c>
      <c r="E790" s="15" t="s">
        <v>9807</v>
      </c>
      <c r="F790" s="15" t="s">
        <v>9808</v>
      </c>
      <c r="G790" s="174"/>
      <c r="H790" s="17" t="s">
        <v>5932</v>
      </c>
      <c r="I790" s="17" t="s">
        <v>6029</v>
      </c>
      <c r="J790" s="369" t="str">
        <f>HYPERLINK("[#]Datatypes!B798:L798","LmtCode")</f>
        <v>LmtCode</v>
      </c>
      <c r="K790" s="276"/>
      <c r="L790" s="272"/>
      <c r="M790" s="272"/>
      <c r="N790" s="248" t="str">
        <f>HYPERLINK("[#]DatatypeListedValues!A5152:H5152","&lt;values&gt;")</f>
        <v>&lt;values&gt;</v>
      </c>
      <c r="O790" s="277" t="b">
        <v>0</v>
      </c>
      <c r="P790" s="37">
        <v>101001</v>
      </c>
      <c r="Q790" s="36" t="str">
        <f>CONCATENATE(Cover!$D$6,"fdd/view?i=",P790)</f>
        <v>https://www.dgiwg.org/FAD/fdd/view?i=101001</v>
      </c>
      <c r="R790" s="13" t="s">
        <v>9804</v>
      </c>
      <c r="S790" s="172"/>
      <c r="T790" s="172"/>
      <c r="CJ790" s="81" t="s">
        <v>1790</v>
      </c>
      <c r="CS790" s="165" t="s">
        <v>1790</v>
      </c>
    </row>
    <row r="791" spans="1:100" ht="25.5" x14ac:dyDescent="0.2">
      <c r="A791" s="176" t="str">
        <f t="shared" si="18"/>
        <v>landReclamationIntent</v>
      </c>
      <c r="B791" s="11" t="s">
        <v>9811</v>
      </c>
      <c r="C791" s="173"/>
      <c r="D791" s="22" t="s">
        <v>9812</v>
      </c>
      <c r="E791" s="15" t="s">
        <v>9813</v>
      </c>
      <c r="F791" s="174"/>
      <c r="G791" s="174"/>
      <c r="H791" s="17" t="s">
        <v>5932</v>
      </c>
      <c r="I791" s="269"/>
      <c r="J791" s="369" t="str">
        <f>HYPERLINK("[#]Datatypes!B800:L800","PrlCode")</f>
        <v>PrlCode</v>
      </c>
      <c r="K791" s="276"/>
      <c r="L791" s="272"/>
      <c r="M791" s="272"/>
      <c r="N791" s="248" t="str">
        <f>HYPERLINK("[#]DatatypeListedValues!A5161:H5161","&lt;values&gt;")</f>
        <v>&lt;values&gt;</v>
      </c>
      <c r="O791" s="277" t="b">
        <v>0</v>
      </c>
      <c r="P791" s="37">
        <v>111675</v>
      </c>
      <c r="Q791" s="36" t="str">
        <f>CONCATENATE(Cover!$D$6,"fdd/view?i=",P791)</f>
        <v>https://www.dgiwg.org/FAD/fdd/view?i=111675</v>
      </c>
      <c r="R791" s="13" t="s">
        <v>9810</v>
      </c>
      <c r="S791" s="172"/>
      <c r="T791" s="172"/>
      <c r="AZ791" s="87" t="s">
        <v>1790</v>
      </c>
      <c r="CT791" s="166" t="s">
        <v>1790</v>
      </c>
    </row>
    <row r="792" spans="1:100" ht="25.5" x14ac:dyDescent="0.2">
      <c r="A792" s="176" t="str">
        <f t="shared" si="18"/>
        <v>landingConditionDesc</v>
      </c>
      <c r="B792" s="11" t="s">
        <v>9816</v>
      </c>
      <c r="C792" s="173"/>
      <c r="D792" s="22" t="s">
        <v>9817</v>
      </c>
      <c r="E792" s="15" t="s">
        <v>9818</v>
      </c>
      <c r="F792" s="174"/>
      <c r="G792" s="174"/>
      <c r="H792" s="17" t="s">
        <v>5932</v>
      </c>
      <c r="I792" s="269"/>
      <c r="J792" s="369" t="str">
        <f>HYPERLINK("[#]Datatypes!B1528:L1528","Text")</f>
        <v>Text</v>
      </c>
      <c r="K792" s="276"/>
      <c r="L792" s="272"/>
      <c r="M792" s="272"/>
      <c r="N792" s="273"/>
      <c r="O792" s="269"/>
      <c r="P792" s="37">
        <v>114421</v>
      </c>
      <c r="Q792" s="36" t="str">
        <f>CONCATENATE(Cover!$D$6,"fdd/view?i=",P792)</f>
        <v>https://www.dgiwg.org/FAD/fdd/view?i=114421</v>
      </c>
      <c r="R792" s="13" t="s">
        <v>9815</v>
      </c>
      <c r="S792" s="172"/>
      <c r="T792" s="172"/>
      <c r="AU792" s="82" t="s">
        <v>1790</v>
      </c>
      <c r="AZ792" s="87" t="s">
        <v>1790</v>
      </c>
    </row>
    <row r="793" spans="1:100" ht="25.5" x14ac:dyDescent="0.2">
      <c r="A793" s="176" t="str">
        <f t="shared" si="18"/>
        <v>landingDistanceAvailable</v>
      </c>
      <c r="B793" s="11" t="s">
        <v>3904</v>
      </c>
      <c r="C793" s="173"/>
      <c r="D793" s="22" t="s">
        <v>9820</v>
      </c>
      <c r="E793" s="15" t="s">
        <v>9821</v>
      </c>
      <c r="F793" s="174"/>
      <c r="G793" s="15" t="s">
        <v>9822</v>
      </c>
      <c r="H793" s="17" t="s">
        <v>5932</v>
      </c>
      <c r="I793" s="269"/>
      <c r="J793" s="369" t="str">
        <f>HYPERLINK("[#]Datatypes!B1231:L1231","Real")</f>
        <v>Real</v>
      </c>
      <c r="K793" s="271" t="str">
        <f>HYPERLINK("[#]PhysicalQuantities!A20:N20","Length")</f>
        <v>Length</v>
      </c>
      <c r="L793" s="270" t="str">
        <f>HYPERLINK("[#]UnitsOfMeasure!D80:G80","Metre")</f>
        <v>Metre</v>
      </c>
      <c r="M793" s="272"/>
      <c r="N793" s="273"/>
      <c r="O793" s="269"/>
      <c r="P793" s="37">
        <v>117606</v>
      </c>
      <c r="Q793" s="36" t="str">
        <f>CONCATENATE(Cover!$D$6,"fdd/view?i=",P793)</f>
        <v>https://www.dgiwg.org/FAD/fdd/view?i=117606</v>
      </c>
      <c r="R793" s="13" t="s">
        <v>9819</v>
      </c>
      <c r="S793" s="172"/>
      <c r="T793" s="172"/>
      <c r="CE793" s="87" t="s">
        <v>1790</v>
      </c>
    </row>
    <row r="794" spans="1:100" ht="38.25" x14ac:dyDescent="0.2">
      <c r="A794" s="176" t="str">
        <f t="shared" si="18"/>
        <v>landingDistanceAvailCopter</v>
      </c>
      <c r="B794" s="11" t="s">
        <v>9824</v>
      </c>
      <c r="C794" s="173"/>
      <c r="D794" s="22" t="s">
        <v>9825</v>
      </c>
      <c r="E794" s="15" t="s">
        <v>9826</v>
      </c>
      <c r="F794" s="174"/>
      <c r="G794" s="15" t="s">
        <v>9827</v>
      </c>
      <c r="H794" s="17" t="s">
        <v>5932</v>
      </c>
      <c r="I794" s="269"/>
      <c r="J794" s="369" t="str">
        <f>HYPERLINK("[#]Datatypes!B1231:L1231","Real")</f>
        <v>Real</v>
      </c>
      <c r="K794" s="271" t="str">
        <f>HYPERLINK("[#]PhysicalQuantities!A20:N20","Length")</f>
        <v>Length</v>
      </c>
      <c r="L794" s="270" t="str">
        <f>HYPERLINK("[#]UnitsOfMeasure!D80:G80","Metre")</f>
        <v>Metre</v>
      </c>
      <c r="M794" s="272"/>
      <c r="N794" s="273"/>
      <c r="O794" s="269"/>
      <c r="P794" s="37">
        <v>117605</v>
      </c>
      <c r="Q794" s="36" t="str">
        <f>CONCATENATE(Cover!$D$6,"fdd/view?i=",P794)</f>
        <v>https://www.dgiwg.org/FAD/fdd/view?i=117605</v>
      </c>
      <c r="R794" s="13" t="s">
        <v>9823</v>
      </c>
      <c r="S794" s="172"/>
      <c r="T794" s="172"/>
      <c r="CE794" s="87" t="s">
        <v>1790</v>
      </c>
    </row>
    <row r="795" spans="1:100" x14ac:dyDescent="0.2">
      <c r="A795" s="176" t="str">
        <f t="shared" si="18"/>
        <v>landmineTypeName</v>
      </c>
      <c r="B795" s="11" t="s">
        <v>9829</v>
      </c>
      <c r="C795" s="173"/>
      <c r="D795" s="22" t="s">
        <v>9830</v>
      </c>
      <c r="E795" s="15" t="s">
        <v>9831</v>
      </c>
      <c r="F795" s="174"/>
      <c r="G795" s="174"/>
      <c r="H795" s="17" t="s">
        <v>5932</v>
      </c>
      <c r="I795" s="269"/>
      <c r="J795" s="369" t="str">
        <f>HYPERLINK("[#]Datatypes!B1528:L1528","Text")</f>
        <v>Text</v>
      </c>
      <c r="K795" s="276"/>
      <c r="L795" s="272"/>
      <c r="M795" s="272"/>
      <c r="N795" s="273"/>
      <c r="O795" s="269"/>
      <c r="P795" s="37">
        <v>118600</v>
      </c>
      <c r="Q795" s="36" t="str">
        <f>CONCATENATE(Cover!$D$6,"fdd/view?i=",P795)</f>
        <v>https://www.dgiwg.org/FAD/fdd/view?i=118600</v>
      </c>
      <c r="R795" s="13" t="s">
        <v>9828</v>
      </c>
      <c r="S795" s="172"/>
      <c r="T795" s="172"/>
      <c r="AU795" s="82" t="s">
        <v>1790</v>
      </c>
      <c r="CJ795" s="81" t="s">
        <v>1790</v>
      </c>
      <c r="CK795" s="82" t="s">
        <v>1790</v>
      </c>
      <c r="CL795" s="85" t="s">
        <v>1790</v>
      </c>
      <c r="CT795" s="166" t="s">
        <v>1790</v>
      </c>
    </row>
    <row r="796" spans="1:100" ht="25.5" x14ac:dyDescent="0.2">
      <c r="A796" s="176" t="str">
        <f t="shared" si="18"/>
        <v>landscapeMorphology</v>
      </c>
      <c r="B796" s="11" t="s">
        <v>9833</v>
      </c>
      <c r="C796" s="173"/>
      <c r="D796" s="22" t="s">
        <v>9834</v>
      </c>
      <c r="E796" s="15" t="s">
        <v>9835</v>
      </c>
      <c r="F796" s="174"/>
      <c r="G796" s="174"/>
      <c r="H796" s="17" t="s">
        <v>5932</v>
      </c>
      <c r="I796" s="17" t="s">
        <v>6029</v>
      </c>
      <c r="J796" s="369" t="str">
        <f>HYPERLINK("[#]Datatypes!B802:L802","AtpCode")</f>
        <v>AtpCode</v>
      </c>
      <c r="K796" s="276"/>
      <c r="L796" s="272"/>
      <c r="M796" s="272"/>
      <c r="N796" s="248" t="str">
        <f>HYPERLINK("[#]DatatypeListedValues!A5164:H5164","&lt;values&gt;")</f>
        <v>&lt;values&gt;</v>
      </c>
      <c r="O796" s="277" t="b">
        <v>0</v>
      </c>
      <c r="P796" s="37">
        <v>111483</v>
      </c>
      <c r="Q796" s="36" t="str">
        <f>CONCATENATE(Cover!$D$6,"fdd/view?i=",P796)</f>
        <v>https://www.dgiwg.org/FAD/fdd/view?i=111483</v>
      </c>
      <c r="R796" s="13" t="s">
        <v>9832</v>
      </c>
      <c r="S796" s="172"/>
      <c r="T796" s="172"/>
      <c r="BM796" s="82" t="s">
        <v>1790</v>
      </c>
      <c r="BT796" s="85" t="s">
        <v>1790</v>
      </c>
      <c r="CS796" s="165" t="s">
        <v>1790</v>
      </c>
    </row>
    <row r="797" spans="1:100" ht="25.5" x14ac:dyDescent="0.2">
      <c r="A797" s="176" t="str">
        <f t="shared" si="18"/>
        <v>landslideHazardCategory</v>
      </c>
      <c r="B797" s="11" t="s">
        <v>9838</v>
      </c>
      <c r="C797" s="173"/>
      <c r="D797" s="22" t="s">
        <v>9839</v>
      </c>
      <c r="E797" s="15" t="s">
        <v>9840</v>
      </c>
      <c r="F797" s="174"/>
      <c r="G797" s="174"/>
      <c r="H797" s="17" t="s">
        <v>5932</v>
      </c>
      <c r="I797" s="269"/>
      <c r="J797" s="369" t="str">
        <f>HYPERLINK("[#]Datatypes!B804:L804","LhcCode")</f>
        <v>LhcCode</v>
      </c>
      <c r="K797" s="276"/>
      <c r="L797" s="272"/>
      <c r="M797" s="272"/>
      <c r="N797" s="248" t="str">
        <f>HYPERLINK("[#]DatatypeListedValues!A5202:H5202","&lt;values&gt;")</f>
        <v>&lt;values&gt;</v>
      </c>
      <c r="O797" s="277" t="b">
        <v>0</v>
      </c>
      <c r="P797" s="37">
        <v>118608</v>
      </c>
      <c r="Q797" s="36" t="str">
        <f>CONCATENATE(Cover!$D$6,"fdd/view?i=",P797)</f>
        <v>https://www.dgiwg.org/FAD/fdd/view?i=118608</v>
      </c>
      <c r="R797" s="13" t="s">
        <v>9837</v>
      </c>
      <c r="S797" s="172"/>
      <c r="T797" s="172"/>
      <c r="BN797" s="82" t="s">
        <v>1790</v>
      </c>
      <c r="BO797" s="82" t="s">
        <v>1790</v>
      </c>
      <c r="BQ797" s="82" t="s">
        <v>1790</v>
      </c>
      <c r="CS797" s="165" t="s">
        <v>1790</v>
      </c>
    </row>
    <row r="798" spans="1:100" ht="25.5" x14ac:dyDescent="0.2">
      <c r="A798" s="176" t="str">
        <f t="shared" si="18"/>
        <v>landTied</v>
      </c>
      <c r="B798" s="11" t="s">
        <v>9843</v>
      </c>
      <c r="C798" s="173"/>
      <c r="D798" s="22" t="s">
        <v>9844</v>
      </c>
      <c r="E798" s="15" t="s">
        <v>9845</v>
      </c>
      <c r="F798" s="15" t="s">
        <v>9846</v>
      </c>
      <c r="G798" s="174"/>
      <c r="H798" s="17" t="s">
        <v>5932</v>
      </c>
      <c r="I798" s="269"/>
      <c r="J798" s="369" t="str">
        <f>HYPERLINK("[#]Datatypes!B240:L240","Boolean")</f>
        <v>Boolean</v>
      </c>
      <c r="K798" s="276"/>
      <c r="L798" s="272"/>
      <c r="M798" s="272"/>
      <c r="N798" s="273"/>
      <c r="O798" s="269"/>
      <c r="P798" s="37">
        <v>111623</v>
      </c>
      <c r="Q798" s="36" t="str">
        <f>CONCATENATE(Cover!$D$6,"fdd/view?i=",P798)</f>
        <v>https://www.dgiwg.org/FAD/fdd/view?i=111623</v>
      </c>
      <c r="R798" s="13" t="s">
        <v>9842</v>
      </c>
      <c r="S798" s="172"/>
      <c r="T798" s="172"/>
      <c r="AZ798" s="87" t="s">
        <v>1790</v>
      </c>
      <c r="CP798" s="164" t="s">
        <v>1790</v>
      </c>
    </row>
    <row r="799" spans="1:100" ht="25.5" x14ac:dyDescent="0.2">
      <c r="A799" s="176" t="str">
        <f t="shared" si="18"/>
        <v>language</v>
      </c>
      <c r="B799" s="11" t="s">
        <v>9848</v>
      </c>
      <c r="C799" s="173"/>
      <c r="D799" s="22" t="s">
        <v>9849</v>
      </c>
      <c r="E799" s="15" t="s">
        <v>9850</v>
      </c>
      <c r="F799" s="15" t="s">
        <v>9851</v>
      </c>
      <c r="G799" s="174"/>
      <c r="H799" s="17" t="s">
        <v>5932</v>
      </c>
      <c r="I799" s="17" t="s">
        <v>6029</v>
      </c>
      <c r="J799" s="369" t="str">
        <f>HYPERLINK("[#]Datatypes!B808:L808","LngCode")</f>
        <v>LngCode</v>
      </c>
      <c r="K799" s="276"/>
      <c r="L799" s="272"/>
      <c r="M799" s="272"/>
      <c r="N799" s="248" t="str">
        <f>HYPERLINK("[#]DatatypeListedValues!A5212:H5212","&lt;values&gt;")</f>
        <v>&lt;values&gt;</v>
      </c>
      <c r="O799" s="277" t="b">
        <v>0</v>
      </c>
      <c r="P799" s="37">
        <v>101003</v>
      </c>
      <c r="Q799" s="36" t="str">
        <f>CONCATENATE(Cover!$D$6,"fdd/view?i=",P799)</f>
        <v>https://www.dgiwg.org/FAD/fdd/view?i=101003</v>
      </c>
      <c r="R799" s="13" t="s">
        <v>9847</v>
      </c>
      <c r="S799" s="172"/>
      <c r="T799" s="172"/>
      <c r="AI799" s="87" t="s">
        <v>1790</v>
      </c>
      <c r="AM799" s="83" t="s">
        <v>1790</v>
      </c>
    </row>
    <row r="800" spans="1:100" ht="25.5" x14ac:dyDescent="0.2">
      <c r="A800" s="176" t="str">
        <f t="shared" si="18"/>
        <v>languageClass</v>
      </c>
      <c r="B800" s="11" t="s">
        <v>9854</v>
      </c>
      <c r="C800" s="173"/>
      <c r="D800" s="22" t="s">
        <v>9855</v>
      </c>
      <c r="E800" s="15" t="s">
        <v>9856</v>
      </c>
      <c r="F800" s="15" t="s">
        <v>9857</v>
      </c>
      <c r="G800" s="174"/>
      <c r="H800" s="17" t="s">
        <v>5932</v>
      </c>
      <c r="I800" s="269"/>
      <c r="J800" s="369" t="str">
        <f>HYPERLINK("[#]Datatypes!B806:L806","LclCode")</f>
        <v>LclCode</v>
      </c>
      <c r="K800" s="276"/>
      <c r="L800" s="272"/>
      <c r="M800" s="272"/>
      <c r="N800" s="248" t="str">
        <f>HYPERLINK("[#]DatatypeListedValues!A5208:H5208","&lt;values&gt;")</f>
        <v>&lt;values&gt;</v>
      </c>
      <c r="O800" s="277" t="b">
        <v>0</v>
      </c>
      <c r="P800" s="37">
        <v>111614</v>
      </c>
      <c r="Q800" s="36" t="str">
        <f>CONCATENATE(Cover!$D$6,"fdd/view?i=",P800)</f>
        <v>https://www.dgiwg.org/FAD/fdd/view?i=111614</v>
      </c>
      <c r="R800" s="13" t="s">
        <v>9853</v>
      </c>
      <c r="S800" s="172"/>
      <c r="T800" s="172"/>
      <c r="AO800" s="89" t="s">
        <v>1790</v>
      </c>
      <c r="CV800" s="83" t="s">
        <v>1790</v>
      </c>
    </row>
    <row r="801" spans="1:105" ht="165.75" x14ac:dyDescent="0.2">
      <c r="A801" s="176" t="str">
        <f t="shared" si="18"/>
        <v>languageCode</v>
      </c>
      <c r="B801" s="11" t="s">
        <v>9860</v>
      </c>
      <c r="C801" s="173"/>
      <c r="D801" s="22" t="s">
        <v>9861</v>
      </c>
      <c r="E801" s="15" t="s">
        <v>9862</v>
      </c>
      <c r="F801" s="15" t="s">
        <v>9863</v>
      </c>
      <c r="G801" s="174"/>
      <c r="H801" s="17" t="s">
        <v>5932</v>
      </c>
      <c r="I801" s="269"/>
      <c r="J801" s="369" t="str">
        <f>HYPERLINK("[#]Datatypes!B810:L810","LanStrucText")</f>
        <v>LanStrucText</v>
      </c>
      <c r="K801" s="276"/>
      <c r="L801" s="272"/>
      <c r="M801" s="272"/>
      <c r="N801" s="273"/>
      <c r="O801" s="269"/>
      <c r="P801" s="37">
        <v>111610</v>
      </c>
      <c r="Q801" s="36" t="str">
        <f>CONCATENATE(Cover!$D$6,"fdd/view?i=",P801)</f>
        <v>https://www.dgiwg.org/FAD/fdd/view?i=111610</v>
      </c>
      <c r="R801" s="13" t="s">
        <v>9859</v>
      </c>
      <c r="S801" s="172"/>
      <c r="T801" s="172"/>
      <c r="AO801" s="89" t="s">
        <v>1790</v>
      </c>
      <c r="CV801" s="83" t="s">
        <v>1790</v>
      </c>
    </row>
    <row r="802" spans="1:105" ht="38.25" x14ac:dyDescent="0.2">
      <c r="A802" s="176" t="str">
        <f t="shared" si="18"/>
        <v>languageDialectCode</v>
      </c>
      <c r="B802" s="11" t="s">
        <v>9866</v>
      </c>
      <c r="C802" s="173"/>
      <c r="D802" s="22" t="s">
        <v>9867</v>
      </c>
      <c r="E802" s="15" t="s">
        <v>9868</v>
      </c>
      <c r="F802" s="15" t="s">
        <v>9869</v>
      </c>
      <c r="G802" s="174"/>
      <c r="H802" s="17" t="s">
        <v>5932</v>
      </c>
      <c r="I802" s="269"/>
      <c r="J802" s="369" t="str">
        <f>HYPERLINK("[#]Datatypes!B812:L812","LadStrucText")</f>
        <v>LadStrucText</v>
      </c>
      <c r="K802" s="276"/>
      <c r="L802" s="272"/>
      <c r="M802" s="272"/>
      <c r="N802" s="273"/>
      <c r="O802" s="269"/>
      <c r="P802" s="37">
        <v>111609</v>
      </c>
      <c r="Q802" s="36" t="str">
        <f>CONCATENATE(Cover!$D$6,"fdd/view?i=",P802)</f>
        <v>https://www.dgiwg.org/FAD/fdd/view?i=111609</v>
      </c>
      <c r="R802" s="13" t="s">
        <v>9865</v>
      </c>
      <c r="S802" s="172"/>
      <c r="T802" s="172"/>
      <c r="AO802" s="89" t="s">
        <v>1790</v>
      </c>
      <c r="CV802" s="83" t="s">
        <v>1790</v>
      </c>
    </row>
    <row r="803" spans="1:105" ht="25.5" x14ac:dyDescent="0.2">
      <c r="A803" s="176" t="str">
        <f t="shared" si="18"/>
        <v>languageUpLevelOrdName</v>
      </c>
      <c r="B803" s="11" t="s">
        <v>9872</v>
      </c>
      <c r="C803" s="173"/>
      <c r="D803" s="22" t="s">
        <v>9873</v>
      </c>
      <c r="E803" s="15" t="s">
        <v>9874</v>
      </c>
      <c r="F803" s="15" t="s">
        <v>9875</v>
      </c>
      <c r="G803" s="174"/>
      <c r="H803" s="17" t="s">
        <v>5932</v>
      </c>
      <c r="I803" s="269"/>
      <c r="J803" s="369" t="str">
        <f>HYPERLINK("[#]Datatypes!B1544:L1544","TextLexUnconstrained")</f>
        <v>TextLexUnconstrained</v>
      </c>
      <c r="K803" s="276"/>
      <c r="L803" s="272"/>
      <c r="M803" s="272"/>
      <c r="N803" s="273"/>
      <c r="O803" s="269"/>
      <c r="P803" s="37">
        <v>111624</v>
      </c>
      <c r="Q803" s="36" t="str">
        <f>CONCATENATE(Cover!$D$6,"fdd/view?i=",P803)</f>
        <v>https://www.dgiwg.org/FAD/fdd/view?i=111624</v>
      </c>
      <c r="R803" s="13" t="s">
        <v>9871</v>
      </c>
      <c r="S803" s="172"/>
      <c r="T803" s="172"/>
      <c r="AM803" s="83" t="s">
        <v>1790</v>
      </c>
      <c r="AO803" s="89" t="s">
        <v>1790</v>
      </c>
      <c r="CU803" s="87" t="s">
        <v>1790</v>
      </c>
    </row>
    <row r="804" spans="1:105" ht="25.5" x14ac:dyDescent="0.2">
      <c r="A804" s="176" t="str">
        <f t="shared" si="18"/>
        <v>languageUseCharacter</v>
      </c>
      <c r="B804" s="11" t="s">
        <v>9877</v>
      </c>
      <c r="C804" s="173"/>
      <c r="D804" s="22" t="s">
        <v>9878</v>
      </c>
      <c r="E804" s="15" t="s">
        <v>9879</v>
      </c>
      <c r="F804" s="15" t="s">
        <v>9880</v>
      </c>
      <c r="G804" s="174"/>
      <c r="H804" s="17" t="s">
        <v>5932</v>
      </c>
      <c r="I804" s="269"/>
      <c r="J804" s="369" t="str">
        <f>HYPERLINK("[#]Datatypes!B1544:L1544","TextLexUnconstrained")</f>
        <v>TextLexUnconstrained</v>
      </c>
      <c r="K804" s="276"/>
      <c r="L804" s="272"/>
      <c r="M804" s="272"/>
      <c r="N804" s="273"/>
      <c r="O804" s="269"/>
      <c r="P804" s="37">
        <v>111613</v>
      </c>
      <c r="Q804" s="36" t="str">
        <f>CONCATENATE(Cover!$D$6,"fdd/view?i=",P804)</f>
        <v>https://www.dgiwg.org/FAD/fdd/view?i=111613</v>
      </c>
      <c r="R804" s="13" t="s">
        <v>9876</v>
      </c>
      <c r="S804" s="172"/>
      <c r="T804" s="172"/>
      <c r="AM804" s="83" t="s">
        <v>1790</v>
      </c>
      <c r="AO804" s="89" t="s">
        <v>1790</v>
      </c>
      <c r="CS804" s="165" t="s">
        <v>1790</v>
      </c>
    </row>
    <row r="805" spans="1:105" ht="25.5" x14ac:dyDescent="0.2">
      <c r="A805" s="176" t="str">
        <f t="shared" si="18"/>
        <v>lastDetectionDateTime</v>
      </c>
      <c r="B805" s="11" t="s">
        <v>9882</v>
      </c>
      <c r="C805" s="173"/>
      <c r="D805" s="22" t="s">
        <v>9883</v>
      </c>
      <c r="E805" s="15" t="s">
        <v>9884</v>
      </c>
      <c r="F805" s="174"/>
      <c r="G805" s="174"/>
      <c r="H805" s="17" t="s">
        <v>5932</v>
      </c>
      <c r="I805" s="269"/>
      <c r="J805" s="369" t="str">
        <f>HYPERLINK("[#]Datatypes!B814:L814","LddStrucText")</f>
        <v>LddStrucText</v>
      </c>
      <c r="K805" s="276"/>
      <c r="L805" s="272"/>
      <c r="M805" s="272"/>
      <c r="N805" s="273"/>
      <c r="O805" s="269"/>
      <c r="P805" s="37">
        <v>117791</v>
      </c>
      <c r="Q805" s="36" t="str">
        <f>CONCATENATE(Cover!$D$6,"fdd/view?i=",P805)</f>
        <v>https://www.dgiwg.org/FAD/fdd/view?i=117791</v>
      </c>
      <c r="R805" s="13" t="s">
        <v>9881</v>
      </c>
      <c r="S805" s="172"/>
      <c r="T805" s="172"/>
      <c r="CY805" s="165" t="s">
        <v>1790</v>
      </c>
    </row>
    <row r="806" spans="1:105" ht="25.5" x14ac:dyDescent="0.2">
      <c r="A806" s="176" t="str">
        <f t="shared" si="18"/>
        <v>lastRecordedEruptionDate</v>
      </c>
      <c r="B806" s="11" t="s">
        <v>9887</v>
      </c>
      <c r="C806" s="173"/>
      <c r="D806" s="22" t="s">
        <v>9888</v>
      </c>
      <c r="E806" s="15" t="s">
        <v>9889</v>
      </c>
      <c r="F806" s="174"/>
      <c r="G806" s="174"/>
      <c r="H806" s="17" t="s">
        <v>5932</v>
      </c>
      <c r="I806" s="269"/>
      <c r="J806" s="369" t="str">
        <f>HYPERLINK("[#]Datatypes!B816:L816","LreStrucText")</f>
        <v>LreStrucText</v>
      </c>
      <c r="K806" s="276"/>
      <c r="L806" s="272"/>
      <c r="M806" s="272"/>
      <c r="N806" s="273"/>
      <c r="O806" s="269"/>
      <c r="P806" s="37">
        <v>114226</v>
      </c>
      <c r="Q806" s="36" t="str">
        <f>CONCATENATE(Cover!$D$6,"fdd/view?i=",P806)</f>
        <v>https://www.dgiwg.org/FAD/fdd/view?i=114226</v>
      </c>
      <c r="R806" s="13" t="s">
        <v>9886</v>
      </c>
      <c r="S806" s="172"/>
      <c r="T806" s="172"/>
      <c r="BQ806" s="82" t="s">
        <v>1790</v>
      </c>
      <c r="CR806" s="165" t="s">
        <v>1790</v>
      </c>
    </row>
    <row r="807" spans="1:105" ht="38.25" x14ac:dyDescent="0.2">
      <c r="A807" s="176" t="str">
        <f t="shared" si="18"/>
        <v>leadRadial</v>
      </c>
      <c r="B807" s="11" t="s">
        <v>9892</v>
      </c>
      <c r="C807" s="173"/>
      <c r="D807" s="22" t="s">
        <v>9893</v>
      </c>
      <c r="E807" s="15" t="s">
        <v>9894</v>
      </c>
      <c r="F807" s="174"/>
      <c r="G807" s="174"/>
      <c r="H807" s="17" t="s">
        <v>5932</v>
      </c>
      <c r="I807" s="269"/>
      <c r="J807" s="369" t="str">
        <f>HYPERLINK("[#]Datatypes!B1231:L1231","Real")</f>
        <v>Real</v>
      </c>
      <c r="K807" s="271" t="str">
        <f>HYPERLINK("[#]PhysicalQuantities!A34:N34","Plane Angle")</f>
        <v>Plane Angle</v>
      </c>
      <c r="L807" s="270" t="str">
        <f>HYPERLINK("[#]UnitsOfMeasure!D159:G159","Arc Degree")</f>
        <v>Arc Degree</v>
      </c>
      <c r="M807" s="272"/>
      <c r="N807" s="273"/>
      <c r="O807" s="269"/>
      <c r="P807" s="37">
        <v>117609</v>
      </c>
      <c r="Q807" s="36" t="str">
        <f>CONCATENATE(Cover!$D$6,"fdd/view?i=",P807)</f>
        <v>https://www.dgiwg.org/FAD/fdd/view?i=117609</v>
      </c>
      <c r="R807" s="13" t="s">
        <v>9891</v>
      </c>
      <c r="S807" s="172"/>
      <c r="T807" s="172"/>
      <c r="CI807" s="89" t="s">
        <v>1790</v>
      </c>
    </row>
    <row r="808" spans="1:105" ht="114.75" x14ac:dyDescent="0.2">
      <c r="A808" s="176" t="str">
        <f t="shared" si="18"/>
        <v>leastDepthBelowSurfLevel</v>
      </c>
      <c r="B808" s="11" t="s">
        <v>9896</v>
      </c>
      <c r="C808" s="173"/>
      <c r="D808" s="22" t="s">
        <v>9897</v>
      </c>
      <c r="E808" s="15" t="s">
        <v>9898</v>
      </c>
      <c r="F808" s="15" t="s">
        <v>9899</v>
      </c>
      <c r="G808" s="174"/>
      <c r="H808" s="17" t="s">
        <v>5932</v>
      </c>
      <c r="I808" s="269"/>
      <c r="J808" s="369" t="str">
        <f>HYPERLINK("[#]Datatypes!B1231:L1231","Real")</f>
        <v>Real</v>
      </c>
      <c r="K808" s="271" t="str">
        <f>HYPERLINK("[#]PhysicalQuantities!A20:N20","Length")</f>
        <v>Length</v>
      </c>
      <c r="L808" s="270" t="str">
        <f>HYPERLINK("[#]UnitsOfMeasure!D80:G80","Metre")</f>
        <v>Metre</v>
      </c>
      <c r="M808" s="272"/>
      <c r="N808" s="273"/>
      <c r="O808" s="269"/>
      <c r="P808" s="37">
        <v>119161</v>
      </c>
      <c r="Q808" s="36" t="str">
        <f>CONCATENATE(Cover!$D$6,"fdd/view?i=",P808)</f>
        <v>https://www.dgiwg.org/FAD/fdd/view?i=119161</v>
      </c>
      <c r="R808" s="13" t="s">
        <v>9895</v>
      </c>
      <c r="S808" s="172"/>
      <c r="T808" s="172"/>
      <c r="CP808" s="164" t="s">
        <v>1790</v>
      </c>
    </row>
    <row r="809" spans="1:105" x14ac:dyDescent="0.2">
      <c r="A809" s="176" t="str">
        <f t="shared" si="18"/>
        <v>leftBankAccuracyCategory</v>
      </c>
      <c r="B809" s="11" t="s">
        <v>9901</v>
      </c>
      <c r="C809" s="173"/>
      <c r="D809" s="22" t="s">
        <v>9902</v>
      </c>
      <c r="E809" s="15" t="s">
        <v>9903</v>
      </c>
      <c r="F809" s="174"/>
      <c r="G809" s="174"/>
      <c r="H809" s="17" t="s">
        <v>5932</v>
      </c>
      <c r="I809" s="269"/>
      <c r="J809" s="369" t="str">
        <f>HYPERLINK("[#]Datatypes!B818:L818","AclCode")</f>
        <v>AclCode</v>
      </c>
      <c r="K809" s="276"/>
      <c r="L809" s="272"/>
      <c r="M809" s="272"/>
      <c r="N809" s="248" t="str">
        <f>HYPERLINK("[#]DatatypeListedValues!A5268:H5268","&lt;values&gt;")</f>
        <v>&lt;values&gt;</v>
      </c>
      <c r="O809" s="277" t="b">
        <v>0</v>
      </c>
      <c r="P809" s="37">
        <v>100589</v>
      </c>
      <c r="Q809" s="36" t="str">
        <f>CONCATENATE(Cover!$D$6,"fdd/view?i=",P809)</f>
        <v>https://www.dgiwg.org/FAD/fdd/view?i=100589</v>
      </c>
      <c r="R809" s="13" t="s">
        <v>9900</v>
      </c>
      <c r="S809" s="172"/>
      <c r="T809" s="172"/>
      <c r="BJ809" s="83" t="s">
        <v>1790</v>
      </c>
      <c r="CP809" s="164" t="s">
        <v>1790</v>
      </c>
      <c r="CZ809" s="165" t="s">
        <v>1790</v>
      </c>
    </row>
    <row r="810" spans="1:105" ht="25.5" x14ac:dyDescent="0.2">
      <c r="A810" s="176" t="str">
        <f t="shared" si="18"/>
        <v>leftBankHeight</v>
      </c>
      <c r="B810" s="11" t="s">
        <v>9906</v>
      </c>
      <c r="C810" s="173"/>
      <c r="D810" s="22" t="s">
        <v>9907</v>
      </c>
      <c r="E810" s="15" t="s">
        <v>9908</v>
      </c>
      <c r="F810" s="174"/>
      <c r="G810" s="174"/>
      <c r="H810" s="17" t="s">
        <v>5932</v>
      </c>
      <c r="I810" s="269"/>
      <c r="J810" s="369" t="str">
        <f>HYPERLINK("[#]Datatypes!B1233:L1233","RealInterval")</f>
        <v>RealInterval</v>
      </c>
      <c r="K810" s="271" t="str">
        <f>HYPERLINK("[#]PhysicalQuantities!A20:N20","Length")</f>
        <v>Length</v>
      </c>
      <c r="L810" s="270" t="str">
        <f>HYPERLINK("[#]UnitsOfMeasure!D80:G80","Metre")</f>
        <v>Metre</v>
      </c>
      <c r="M810" s="272"/>
      <c r="N810" s="273"/>
      <c r="O810" s="269"/>
      <c r="P810" s="37">
        <v>110683</v>
      </c>
      <c r="Q810" s="36" t="str">
        <f>CONCATENATE(Cover!$D$6,"fdd/view?i=",P810)</f>
        <v>https://www.dgiwg.org/FAD/fdd/view?i=110683</v>
      </c>
      <c r="R810" s="13" t="s">
        <v>9905</v>
      </c>
      <c r="S810" s="172"/>
      <c r="T810" s="172"/>
      <c r="BJ810" s="83" t="s">
        <v>1790</v>
      </c>
      <c r="BM810" s="82" t="s">
        <v>1790</v>
      </c>
      <c r="CQ810" s="165" t="s">
        <v>1790</v>
      </c>
    </row>
    <row r="811" spans="1:105" ht="25.5" x14ac:dyDescent="0.2">
      <c r="A811" s="176" t="str">
        <f t="shared" si="18"/>
        <v>leftBankShorelineType</v>
      </c>
      <c r="B811" s="11" t="s">
        <v>9910</v>
      </c>
      <c r="C811" s="173"/>
      <c r="D811" s="22" t="s">
        <v>9911</v>
      </c>
      <c r="E811" s="15" t="s">
        <v>9912</v>
      </c>
      <c r="F811" s="174"/>
      <c r="G811" s="174"/>
      <c r="H811" s="17" t="s">
        <v>5932</v>
      </c>
      <c r="I811" s="269"/>
      <c r="J811" s="369" t="str">
        <f>HYPERLINK("[#]Datatypes!B820:L820","ShlCode")</f>
        <v>ShlCode</v>
      </c>
      <c r="K811" s="276"/>
      <c r="L811" s="272"/>
      <c r="M811" s="272"/>
      <c r="N811" s="248" t="str">
        <f>HYPERLINK("[#]DatatypeListedValues!A5270:H5270","&lt;values&gt;")</f>
        <v>&lt;values&gt;</v>
      </c>
      <c r="O811" s="277" t="b">
        <v>0</v>
      </c>
      <c r="P811" s="37">
        <v>101295</v>
      </c>
      <c r="Q811" s="36" t="str">
        <f>CONCATENATE(Cover!$D$6,"fdd/view?i=",P811)</f>
        <v>https://www.dgiwg.org/FAD/fdd/view?i=101295</v>
      </c>
      <c r="R811" s="13" t="s">
        <v>9909</v>
      </c>
      <c r="S811" s="172"/>
      <c r="T811" s="172"/>
      <c r="BJ811" s="83" t="s">
        <v>1790</v>
      </c>
      <c r="CS811" s="165" t="s">
        <v>1790</v>
      </c>
    </row>
    <row r="812" spans="1:105" ht="63.75" x14ac:dyDescent="0.2">
      <c r="A812" s="176" t="str">
        <f t="shared" si="18"/>
        <v>leftBankSlope</v>
      </c>
      <c r="B812" s="11" t="s">
        <v>9915</v>
      </c>
      <c r="C812" s="173"/>
      <c r="D812" s="22" t="s">
        <v>9916</v>
      </c>
      <c r="E812" s="15" t="s">
        <v>9917</v>
      </c>
      <c r="F812" s="15" t="s">
        <v>9918</v>
      </c>
      <c r="G812" s="174"/>
      <c r="H812" s="17" t="s">
        <v>5932</v>
      </c>
      <c r="I812" s="269"/>
      <c r="J812" s="369" t="str">
        <f>HYPERLINK("[#]Datatypes!B1233:L1233","RealInterval")</f>
        <v>RealInterval</v>
      </c>
      <c r="K812" s="271" t="str">
        <f>HYPERLINK("[#]PhysicalQuantities!A39:N39","Pure Number")</f>
        <v>Pure Number</v>
      </c>
      <c r="L812" s="270" t="str">
        <f>HYPERLINK("[#]UnitsOfMeasure!D215:G215","Percent")</f>
        <v>Percent</v>
      </c>
      <c r="M812" s="272"/>
      <c r="N812" s="273"/>
      <c r="O812" s="269"/>
      <c r="P812" s="37">
        <v>110681</v>
      </c>
      <c r="Q812" s="36" t="str">
        <f>CONCATENATE(Cover!$D$6,"fdd/view?i=",P812)</f>
        <v>https://www.dgiwg.org/FAD/fdd/view?i=110681</v>
      </c>
      <c r="R812" s="13" t="s">
        <v>9914</v>
      </c>
      <c r="S812" s="172"/>
      <c r="T812" s="172"/>
      <c r="BJ812" s="83" t="s">
        <v>1790</v>
      </c>
      <c r="BM812" s="82" t="s">
        <v>1790</v>
      </c>
      <c r="CQ812" s="165" t="s">
        <v>1790</v>
      </c>
    </row>
    <row r="813" spans="1:105" ht="25.5" x14ac:dyDescent="0.2">
      <c r="A813" s="176" t="str">
        <f t="shared" si="18"/>
        <v>leftBankVegetationCover</v>
      </c>
      <c r="B813" s="11" t="s">
        <v>9920</v>
      </c>
      <c r="C813" s="173"/>
      <c r="D813" s="22" t="s">
        <v>9921</v>
      </c>
      <c r="E813" s="15" t="s">
        <v>9922</v>
      </c>
      <c r="F813" s="174"/>
      <c r="G813" s="174"/>
      <c r="H813" s="17" t="s">
        <v>5932</v>
      </c>
      <c r="I813" s="269"/>
      <c r="J813" s="369" t="str">
        <f>HYPERLINK("[#]Datatypes!B1238:L1238","RealNonNegInterval100")</f>
        <v>RealNonNegInterval100</v>
      </c>
      <c r="K813" s="271" t="str">
        <f>HYPERLINK("[#]PhysicalQuantities!A39:N39","Pure Number")</f>
        <v>Pure Number</v>
      </c>
      <c r="L813" s="270" t="str">
        <f>HYPERLINK("[#]UnitsOfMeasure!D215:G215","Percent")</f>
        <v>Percent</v>
      </c>
      <c r="M813" s="272"/>
      <c r="N813" s="273"/>
      <c r="O813" s="269"/>
      <c r="P813" s="37">
        <v>109953</v>
      </c>
      <c r="Q813" s="36" t="str">
        <f>CONCATENATE(Cover!$D$6,"fdd/view?i=",P813)</f>
        <v>https://www.dgiwg.org/FAD/fdd/view?i=109953</v>
      </c>
      <c r="R813" s="13" t="s">
        <v>9919</v>
      </c>
      <c r="S813" s="172"/>
      <c r="T813" s="172"/>
      <c r="BJ813" s="83" t="s">
        <v>1790</v>
      </c>
      <c r="BX813" s="83" t="s">
        <v>1790</v>
      </c>
      <c r="CS813" s="165" t="s">
        <v>1790</v>
      </c>
    </row>
    <row r="814" spans="1:105" ht="63.75" x14ac:dyDescent="0.2">
      <c r="A814" s="176" t="str">
        <f t="shared" si="18"/>
        <v>leftBelowWaterBankSlope</v>
      </c>
      <c r="B814" s="11" t="s">
        <v>9924</v>
      </c>
      <c r="C814" s="173"/>
      <c r="D814" s="22" t="s">
        <v>9925</v>
      </c>
      <c r="E814" s="15" t="s">
        <v>9926</v>
      </c>
      <c r="F814" s="15" t="s">
        <v>9927</v>
      </c>
      <c r="G814" s="174"/>
      <c r="H814" s="17" t="s">
        <v>5932</v>
      </c>
      <c r="I814" s="269"/>
      <c r="J814" s="369" t="str">
        <f>HYPERLINK("[#]Datatypes!B1233:L1233","RealInterval")</f>
        <v>RealInterval</v>
      </c>
      <c r="K814" s="271" t="str">
        <f>HYPERLINK("[#]PhysicalQuantities!A39:N39","Pure Number")</f>
        <v>Pure Number</v>
      </c>
      <c r="L814" s="270" t="str">
        <f>HYPERLINK("[#]UnitsOfMeasure!D215:G215","Percent")</f>
        <v>Percent</v>
      </c>
      <c r="M814" s="272"/>
      <c r="N814" s="273"/>
      <c r="O814" s="269"/>
      <c r="P814" s="37">
        <v>110685</v>
      </c>
      <c r="Q814" s="36" t="str">
        <f>CONCATENATE(Cover!$D$6,"fdd/view?i=",P814)</f>
        <v>https://www.dgiwg.org/FAD/fdd/view?i=110685</v>
      </c>
      <c r="R814" s="13" t="s">
        <v>9923</v>
      </c>
      <c r="S814" s="172"/>
      <c r="T814" s="172"/>
      <c r="BJ814" s="83" t="s">
        <v>1790</v>
      </c>
      <c r="BM814" s="82" t="s">
        <v>1790</v>
      </c>
      <c r="CQ814" s="165" t="s">
        <v>1790</v>
      </c>
    </row>
    <row r="815" spans="1:105" ht="25.5" x14ac:dyDescent="0.2">
      <c r="A815" s="176" t="str">
        <f t="shared" si="18"/>
        <v>legSeparation</v>
      </c>
      <c r="B815" s="11" t="s">
        <v>9929</v>
      </c>
      <c r="C815" s="173"/>
      <c r="D815" s="22" t="s">
        <v>9930</v>
      </c>
      <c r="E815" s="15" t="s">
        <v>9931</v>
      </c>
      <c r="F815" s="174"/>
      <c r="G815" s="174"/>
      <c r="H815" s="17" t="s">
        <v>5932</v>
      </c>
      <c r="I815" s="269"/>
      <c r="J815" s="369" t="str">
        <f>HYPERLINK("[#]Datatypes!B1231:L1231","Real")</f>
        <v>Real</v>
      </c>
      <c r="K815" s="271" t="str">
        <f>HYPERLINK("[#]PhysicalQuantities!A20:N20","Length")</f>
        <v>Length</v>
      </c>
      <c r="L815" s="270" t="str">
        <f>HYPERLINK("[#]UnitsOfMeasure!D94:G94","Nautical Mile")</f>
        <v>Nautical Mile</v>
      </c>
      <c r="M815" s="272"/>
      <c r="N815" s="273"/>
      <c r="O815" s="269"/>
      <c r="P815" s="37">
        <v>117610</v>
      </c>
      <c r="Q815" s="36" t="str">
        <f>CONCATENATE(Cover!$D$6,"fdd/view?i=",P815)</f>
        <v>https://www.dgiwg.org/FAD/fdd/view?i=117610</v>
      </c>
      <c r="R815" s="13" t="s">
        <v>9928</v>
      </c>
      <c r="S815" s="172"/>
      <c r="T815" s="172"/>
      <c r="CI815" s="89" t="s">
        <v>1790</v>
      </c>
    </row>
    <row r="816" spans="1:105" x14ac:dyDescent="0.2">
      <c r="A816" s="176" t="str">
        <f t="shared" si="18"/>
        <v>legalStatus</v>
      </c>
      <c r="B816" s="11" t="s">
        <v>9933</v>
      </c>
      <c r="C816" s="173"/>
      <c r="D816" s="22" t="s">
        <v>9934</v>
      </c>
      <c r="E816" s="15" t="s">
        <v>9935</v>
      </c>
      <c r="F816" s="174"/>
      <c r="G816" s="174"/>
      <c r="H816" s="17" t="s">
        <v>5932</v>
      </c>
      <c r="I816" s="269"/>
      <c r="J816" s="369" t="str">
        <f>HYPERLINK("[#]Datatypes!B822:L822","LgaCode")</f>
        <v>LgaCode</v>
      </c>
      <c r="K816" s="276"/>
      <c r="L816" s="272"/>
      <c r="M816" s="272"/>
      <c r="N816" s="248" t="str">
        <f>HYPERLINK("[#]DatatypeListedValues!A5277:H5277","&lt;values&gt;")</f>
        <v>&lt;values&gt;</v>
      </c>
      <c r="O816" s="277" t="b">
        <v>0</v>
      </c>
      <c r="P816" s="37">
        <v>111617</v>
      </c>
      <c r="Q816" s="36" t="str">
        <f>CONCATENATE(Cover!$D$6,"fdd/view?i=",P816)</f>
        <v>https://www.dgiwg.org/FAD/fdd/view?i=111617</v>
      </c>
      <c r="R816" s="13" t="s">
        <v>9932</v>
      </c>
      <c r="S816" s="172"/>
      <c r="T816" s="172"/>
      <c r="CT816" s="166" t="s">
        <v>1790</v>
      </c>
      <c r="DA816" s="165" t="s">
        <v>1790</v>
      </c>
    </row>
    <row r="817" spans="1:106" ht="165.75" x14ac:dyDescent="0.2">
      <c r="A817" s="176" t="str">
        <f t="shared" si="18"/>
        <v>length</v>
      </c>
      <c r="B817" s="11" t="s">
        <v>9937</v>
      </c>
      <c r="C817" s="173"/>
      <c r="D817" s="22" t="s">
        <v>34</v>
      </c>
      <c r="E817" s="15" t="s">
        <v>9938</v>
      </c>
      <c r="F817" s="15" t="s">
        <v>9939</v>
      </c>
      <c r="G817" s="174"/>
      <c r="H817" s="17" t="s">
        <v>5932</v>
      </c>
      <c r="I817" s="269"/>
      <c r="J817" s="369" t="str">
        <f>HYPERLINK("[#]Datatypes!B1233:L1233","RealInterval")</f>
        <v>RealInterval</v>
      </c>
      <c r="K817" s="271" t="str">
        <f>HYPERLINK("[#]PhysicalQuantities!A20:N20","Length")</f>
        <v>Length</v>
      </c>
      <c r="L817" s="270" t="str">
        <f>HYPERLINK("[#]UnitsOfMeasure!D80:G80","Metre")</f>
        <v>Metre</v>
      </c>
      <c r="M817" s="272"/>
      <c r="N817" s="273"/>
      <c r="O817" s="269"/>
      <c r="P817" s="37">
        <v>119156</v>
      </c>
      <c r="Q817" s="36" t="str">
        <f>CONCATENATE(Cover!$D$6,"fdd/view?i=",P817)</f>
        <v>https://www.dgiwg.org/FAD/fdd/view?i=119156</v>
      </c>
      <c r="R817" s="13" t="s">
        <v>266</v>
      </c>
      <c r="S817" s="172"/>
      <c r="T817" s="172"/>
      <c r="CQ817" s="165" t="s">
        <v>1790</v>
      </c>
    </row>
    <row r="818" spans="1:106" ht="25.5" x14ac:dyDescent="0.2">
      <c r="A818" s="176" t="str">
        <f t="shared" si="18"/>
        <v>liftingCapacity</v>
      </c>
      <c r="B818" s="11" t="s">
        <v>9941</v>
      </c>
      <c r="C818" s="173"/>
      <c r="D818" s="22" t="s">
        <v>9942</v>
      </c>
      <c r="E818" s="15" t="s">
        <v>9943</v>
      </c>
      <c r="F818" s="174"/>
      <c r="G818" s="174"/>
      <c r="H818" s="17" t="s">
        <v>5932</v>
      </c>
      <c r="I818" s="269"/>
      <c r="J818" s="369" t="str">
        <f>HYPERLINK("[#]Datatypes!B1048:L1048","RealNonNegative")</f>
        <v>RealNonNegative</v>
      </c>
      <c r="K818" s="271" t="str">
        <f>HYPERLINK("[#]PhysicalQuantities!A28:N28","Mass")</f>
        <v>Mass</v>
      </c>
      <c r="L818" s="270" t="str">
        <f>HYPERLINK("[#]UnitsOfMeasure!D126:G126","Tonne")</f>
        <v>Tonne</v>
      </c>
      <c r="M818" s="272"/>
      <c r="N818" s="273"/>
      <c r="O818" s="269"/>
      <c r="P818" s="37">
        <v>117790</v>
      </c>
      <c r="Q818" s="36" t="str">
        <f>CONCATENATE(Cover!$D$6,"fdd/view?i=",P818)</f>
        <v>https://www.dgiwg.org/FAD/fdd/view?i=117790</v>
      </c>
      <c r="R818" s="13" t="s">
        <v>9940</v>
      </c>
      <c r="S818" s="172"/>
      <c r="T818" s="172"/>
      <c r="AF818" s="82" t="s">
        <v>1790</v>
      </c>
      <c r="AW818" s="82" t="s">
        <v>1790</v>
      </c>
      <c r="CP818" s="164" t="s">
        <v>1790</v>
      </c>
    </row>
    <row r="819" spans="1:106" ht="25.5" x14ac:dyDescent="0.2">
      <c r="A819" s="176" t="str">
        <f t="shared" si="18"/>
        <v>lightCharacteristicNumber</v>
      </c>
      <c r="B819" s="11" t="s">
        <v>9945</v>
      </c>
      <c r="C819" s="173"/>
      <c r="D819" s="22" t="s">
        <v>9946</v>
      </c>
      <c r="E819" s="15" t="s">
        <v>9947</v>
      </c>
      <c r="F819" s="174"/>
      <c r="G819" s="174"/>
      <c r="H819" s="17" t="s">
        <v>5932</v>
      </c>
      <c r="I819" s="269"/>
      <c r="J819" s="369" t="str">
        <f>HYPERLINK("[#]Datatypes!B380:L380","Count")</f>
        <v>Count</v>
      </c>
      <c r="K819" s="276"/>
      <c r="L819" s="272"/>
      <c r="M819" s="272"/>
      <c r="N819" s="273"/>
      <c r="O819" s="269"/>
      <c r="P819" s="37">
        <v>119190</v>
      </c>
      <c r="Q819" s="36" t="str">
        <f>CONCATENATE(Cover!$D$6,"fdd/view?i=",P819)</f>
        <v>https://www.dgiwg.org/FAD/fdd/view?i=119190</v>
      </c>
      <c r="R819" s="13" t="s">
        <v>9944</v>
      </c>
      <c r="S819" s="172"/>
      <c r="T819" s="172"/>
      <c r="AS819" s="82" t="s">
        <v>1790</v>
      </c>
      <c r="BF819" s="83" t="s">
        <v>1790</v>
      </c>
      <c r="CQ819" s="165" t="s">
        <v>1790</v>
      </c>
      <c r="CS819" s="165" t="s">
        <v>1790</v>
      </c>
    </row>
    <row r="820" spans="1:106" ht="38.25" x14ac:dyDescent="0.2">
      <c r="A820" s="176" t="str">
        <f t="shared" si="18"/>
        <v>lightElevation</v>
      </c>
      <c r="B820" s="11" t="s">
        <v>9949</v>
      </c>
      <c r="C820" s="173"/>
      <c r="D820" s="22" t="s">
        <v>9950</v>
      </c>
      <c r="E820" s="15" t="s">
        <v>9951</v>
      </c>
      <c r="F820" s="15" t="s">
        <v>9952</v>
      </c>
      <c r="G820" s="174"/>
      <c r="H820" s="17" t="s">
        <v>5932</v>
      </c>
      <c r="I820" s="269"/>
      <c r="J820" s="369" t="str">
        <f>HYPERLINK("[#]Datatypes!B1048:L1048","RealNonNegative")</f>
        <v>RealNonNegative</v>
      </c>
      <c r="K820" s="271" t="str">
        <f>HYPERLINK("[#]PhysicalQuantities!A20:N20","Length")</f>
        <v>Length</v>
      </c>
      <c r="L820" s="270" t="str">
        <f>HYPERLINK("[#]UnitsOfMeasure!D80:G80","Metre")</f>
        <v>Metre</v>
      </c>
      <c r="M820" s="272"/>
      <c r="N820" s="273"/>
      <c r="O820" s="269"/>
      <c r="P820" s="37">
        <v>110821</v>
      </c>
      <c r="Q820" s="36" t="str">
        <f>CONCATENATE(Cover!$D$6,"fdd/view?i=",P820)</f>
        <v>https://www.dgiwg.org/FAD/fdd/view?i=110821</v>
      </c>
      <c r="R820" s="13" t="s">
        <v>9948</v>
      </c>
      <c r="S820" s="172"/>
      <c r="T820" s="172"/>
      <c r="AS820" s="82" t="s">
        <v>1790</v>
      </c>
      <c r="BF820" s="83" t="s">
        <v>1790</v>
      </c>
      <c r="CP820" s="164" t="s">
        <v>1790</v>
      </c>
    </row>
    <row r="821" spans="1:106" ht="25.5" x14ac:dyDescent="0.2">
      <c r="A821" s="176" t="str">
        <f t="shared" si="18"/>
        <v>lightMultiplicity</v>
      </c>
      <c r="B821" s="11" t="s">
        <v>9954</v>
      </c>
      <c r="C821" s="173"/>
      <c r="D821" s="22" t="s">
        <v>9955</v>
      </c>
      <c r="E821" s="15" t="s">
        <v>9956</v>
      </c>
      <c r="F821" s="174"/>
      <c r="G821" s="174"/>
      <c r="H821" s="17" t="s">
        <v>5932</v>
      </c>
      <c r="I821" s="269"/>
      <c r="J821" s="369" t="str">
        <f>HYPERLINK("[#]Datatypes!B380:L380","Count")</f>
        <v>Count</v>
      </c>
      <c r="K821" s="276"/>
      <c r="L821" s="272"/>
      <c r="M821" s="272"/>
      <c r="N821" s="273"/>
      <c r="O821" s="269"/>
      <c r="P821" s="37">
        <v>101059</v>
      </c>
      <c r="Q821" s="36" t="str">
        <f>CONCATENATE(Cover!$D$6,"fdd/view?i=",P821)</f>
        <v>https://www.dgiwg.org/FAD/fdd/view?i=101059</v>
      </c>
      <c r="R821" s="13" t="s">
        <v>9953</v>
      </c>
      <c r="S821" s="172"/>
      <c r="T821" s="172"/>
      <c r="AS821" s="82" t="s">
        <v>1790</v>
      </c>
      <c r="BF821" s="83" t="s">
        <v>1790</v>
      </c>
      <c r="CS821" s="165" t="s">
        <v>1790</v>
      </c>
    </row>
    <row r="822" spans="1:106" ht="38.25" x14ac:dyDescent="0.2">
      <c r="A822" s="176" t="str">
        <f t="shared" si="18"/>
        <v>lightSectorAngle</v>
      </c>
      <c r="B822" s="11" t="s">
        <v>9958</v>
      </c>
      <c r="C822" s="173"/>
      <c r="D822" s="22" t="s">
        <v>9959</v>
      </c>
      <c r="E822" s="15" t="s">
        <v>9960</v>
      </c>
      <c r="F822" s="15" t="s">
        <v>9961</v>
      </c>
      <c r="G822" s="174"/>
      <c r="H822" s="17" t="s">
        <v>5932</v>
      </c>
      <c r="I822" s="269"/>
      <c r="J822" s="369" t="str">
        <f>HYPERLINK("[#]Datatypes!B748:L748","Integer0to359")</f>
        <v>Integer0to359</v>
      </c>
      <c r="K822" s="271" t="str">
        <f>HYPERLINK("[#]PhysicalQuantities!A34:N34","Plane Angle")</f>
        <v>Plane Angle</v>
      </c>
      <c r="L822" s="270" t="str">
        <f>HYPERLINK("[#]UnitsOfMeasure!D159:G159","Arc Degree")</f>
        <v>Arc Degree</v>
      </c>
      <c r="M822" s="272"/>
      <c r="N822" s="273"/>
      <c r="O822" s="269"/>
      <c r="P822" s="37">
        <v>101011</v>
      </c>
      <c r="Q822" s="36" t="str">
        <f>CONCATENATE(Cover!$D$6,"fdd/view?i=",P822)</f>
        <v>https://www.dgiwg.org/FAD/fdd/view?i=101011</v>
      </c>
      <c r="R822" s="13" t="s">
        <v>9957</v>
      </c>
      <c r="S822" s="172"/>
      <c r="T822" s="172"/>
      <c r="AS822" s="82" t="s">
        <v>1790</v>
      </c>
      <c r="BF822" s="83" t="s">
        <v>1790</v>
      </c>
      <c r="CQ822" s="165" t="s">
        <v>1790</v>
      </c>
    </row>
    <row r="823" spans="1:106" ht="51" x14ac:dyDescent="0.2">
      <c r="A823" s="176" t="str">
        <f t="shared" si="18"/>
        <v>lightSectorInitialLimit</v>
      </c>
      <c r="B823" s="11" t="s">
        <v>9963</v>
      </c>
      <c r="C823" s="173"/>
      <c r="D823" s="22" t="s">
        <v>9964</v>
      </c>
      <c r="E823" s="15" t="s">
        <v>9965</v>
      </c>
      <c r="F823" s="15" t="s">
        <v>7036</v>
      </c>
      <c r="G823" s="174"/>
      <c r="H823" s="17" t="s">
        <v>5932</v>
      </c>
      <c r="I823" s="269"/>
      <c r="J823" s="369" t="str">
        <f>HYPERLINK("[#]Datatypes!B748:L748","Integer0to359")</f>
        <v>Integer0to359</v>
      </c>
      <c r="K823" s="271" t="str">
        <f>HYPERLINK("[#]PhysicalQuantities!A34:N34","Plane Angle")</f>
        <v>Plane Angle</v>
      </c>
      <c r="L823" s="270" t="str">
        <f>HYPERLINK("[#]UnitsOfMeasure!D159:G159","Arc Degree")</f>
        <v>Arc Degree</v>
      </c>
      <c r="M823" s="272"/>
      <c r="N823" s="273"/>
      <c r="O823" s="269"/>
      <c r="P823" s="37">
        <v>101012</v>
      </c>
      <c r="Q823" s="36" t="str">
        <f>CONCATENATE(Cover!$D$6,"fdd/view?i=",P823)</f>
        <v>https://www.dgiwg.org/FAD/fdd/view?i=101012</v>
      </c>
      <c r="R823" s="13" t="s">
        <v>9962</v>
      </c>
      <c r="S823" s="172"/>
      <c r="T823" s="172"/>
      <c r="AS823" s="82" t="s">
        <v>1790</v>
      </c>
      <c r="BF823" s="83" t="s">
        <v>1790</v>
      </c>
      <c r="CQ823" s="165" t="s">
        <v>1790</v>
      </c>
    </row>
    <row r="824" spans="1:106" ht="51" x14ac:dyDescent="0.2">
      <c r="A824" s="176" t="str">
        <f t="shared" si="18"/>
        <v>lightSectorTerminalLimit</v>
      </c>
      <c r="B824" s="11" t="s">
        <v>9967</v>
      </c>
      <c r="C824" s="173"/>
      <c r="D824" s="22" t="s">
        <v>9968</v>
      </c>
      <c r="E824" s="15" t="s">
        <v>9969</v>
      </c>
      <c r="F824" s="15" t="s">
        <v>7036</v>
      </c>
      <c r="G824" s="174"/>
      <c r="H824" s="17" t="s">
        <v>5932</v>
      </c>
      <c r="I824" s="269"/>
      <c r="J824" s="369" t="str">
        <f>HYPERLINK("[#]Datatypes!B748:L748","Integer0to359")</f>
        <v>Integer0to359</v>
      </c>
      <c r="K824" s="271" t="str">
        <f>HYPERLINK("[#]PhysicalQuantities!A34:N34","Plane Angle")</f>
        <v>Plane Angle</v>
      </c>
      <c r="L824" s="270" t="str">
        <f>HYPERLINK("[#]UnitsOfMeasure!D159:G159","Arc Degree")</f>
        <v>Arc Degree</v>
      </c>
      <c r="M824" s="272"/>
      <c r="N824" s="273"/>
      <c r="O824" s="269"/>
      <c r="P824" s="37">
        <v>101014</v>
      </c>
      <c r="Q824" s="36" t="str">
        <f>CONCATENATE(Cover!$D$6,"fdd/view?i=",P824)</f>
        <v>https://www.dgiwg.org/FAD/fdd/view?i=101014</v>
      </c>
      <c r="R824" s="13" t="s">
        <v>9966</v>
      </c>
      <c r="S824" s="172"/>
      <c r="T824" s="172"/>
      <c r="AS824" s="82" t="s">
        <v>1790</v>
      </c>
      <c r="BF824" s="83" t="s">
        <v>1790</v>
      </c>
      <c r="CQ824" s="165" t="s">
        <v>1790</v>
      </c>
    </row>
    <row r="825" spans="1:106" ht="25.5" x14ac:dyDescent="0.2">
      <c r="A825" s="176" t="str">
        <f t="shared" si="18"/>
        <v>lightSupervised</v>
      </c>
      <c r="B825" s="11" t="s">
        <v>9971</v>
      </c>
      <c r="C825" s="173"/>
      <c r="D825" s="22" t="s">
        <v>9972</v>
      </c>
      <c r="E825" s="15" t="s">
        <v>9973</v>
      </c>
      <c r="F825" s="15" t="s">
        <v>9974</v>
      </c>
      <c r="G825" s="174"/>
      <c r="H825" s="17" t="s">
        <v>5932</v>
      </c>
      <c r="I825" s="269"/>
      <c r="J825" s="369" t="str">
        <f>HYPERLINK("[#]Datatypes!B240:L240","Boolean")</f>
        <v>Boolean</v>
      </c>
      <c r="K825" s="276"/>
      <c r="L825" s="272"/>
      <c r="M825" s="272"/>
      <c r="N825" s="273"/>
      <c r="O825" s="269"/>
      <c r="P825" s="37">
        <v>101344</v>
      </c>
      <c r="Q825" s="36" t="str">
        <f>CONCATENATE(Cover!$D$6,"fdd/view?i=",P825)</f>
        <v>https://www.dgiwg.org/FAD/fdd/view?i=101344</v>
      </c>
      <c r="R825" s="13" t="s">
        <v>9970</v>
      </c>
      <c r="S825" s="172"/>
      <c r="T825" s="172"/>
      <c r="AS825" s="82" t="s">
        <v>1790</v>
      </c>
      <c r="BF825" s="83" t="s">
        <v>1790</v>
      </c>
      <c r="DB825" s="166" t="s">
        <v>1790</v>
      </c>
    </row>
    <row r="826" spans="1:106" x14ac:dyDescent="0.2">
      <c r="A826" s="176" t="str">
        <f t="shared" si="18"/>
        <v>lightSystemIntensity</v>
      </c>
      <c r="B826" s="11" t="s">
        <v>9976</v>
      </c>
      <c r="C826" s="173"/>
      <c r="D826" s="22" t="s">
        <v>9977</v>
      </c>
      <c r="E826" s="15" t="s">
        <v>9978</v>
      </c>
      <c r="F826" s="15" t="s">
        <v>9979</v>
      </c>
      <c r="G826" s="174"/>
      <c r="H826" s="17" t="s">
        <v>5932</v>
      </c>
      <c r="I826" s="269"/>
      <c r="J826" s="369" t="str">
        <f>HYPERLINK("[#]Datatypes!B824:L824","LisCode")</f>
        <v>LisCode</v>
      </c>
      <c r="K826" s="276"/>
      <c r="L826" s="272"/>
      <c r="M826" s="272"/>
      <c r="N826" s="248" t="str">
        <f>HYPERLINK("[#]DatatypeListedValues!A5280:H5280","&lt;values&gt;")</f>
        <v>&lt;values&gt;</v>
      </c>
      <c r="O826" s="277" t="b">
        <v>0</v>
      </c>
      <c r="P826" s="37">
        <v>117607</v>
      </c>
      <c r="Q826" s="36" t="str">
        <f>CONCATENATE(Cover!$D$6,"fdd/view?i=",P826)</f>
        <v>https://www.dgiwg.org/FAD/fdd/view?i=117607</v>
      </c>
      <c r="R826" s="13" t="s">
        <v>9975</v>
      </c>
      <c r="S826" s="172"/>
      <c r="T826" s="172"/>
      <c r="CG826" s="83" t="s">
        <v>1790</v>
      </c>
    </row>
    <row r="827" spans="1:106" x14ac:dyDescent="0.2">
      <c r="A827" s="176" t="str">
        <f t="shared" si="18"/>
        <v>lightSystemIntVariable</v>
      </c>
      <c r="B827" s="11" t="s">
        <v>9982</v>
      </c>
      <c r="C827" s="173"/>
      <c r="D827" s="22" t="s">
        <v>9983</v>
      </c>
      <c r="E827" s="15" t="s">
        <v>9984</v>
      </c>
      <c r="F827" s="15" t="s">
        <v>9985</v>
      </c>
      <c r="G827" s="174"/>
      <c r="H827" s="17" t="s">
        <v>5932</v>
      </c>
      <c r="I827" s="269"/>
      <c r="J827" s="369" t="str">
        <f>HYPERLINK("[#]Datatypes!B826:L826","LivCode")</f>
        <v>LivCode</v>
      </c>
      <c r="K827" s="276"/>
      <c r="L827" s="272"/>
      <c r="M827" s="272"/>
      <c r="N827" s="248" t="str">
        <f>HYPERLINK("[#]DatatypeListedValues!A5283:H5283","&lt;values&gt;")</f>
        <v>&lt;values&gt;</v>
      </c>
      <c r="O827" s="277" t="b">
        <v>0</v>
      </c>
      <c r="P827" s="37">
        <v>117608</v>
      </c>
      <c r="Q827" s="36" t="str">
        <f>CONCATENATE(Cover!$D$6,"fdd/view?i=",P827)</f>
        <v>https://www.dgiwg.org/FAD/fdd/view?i=117608</v>
      </c>
      <c r="R827" s="13" t="s">
        <v>9981</v>
      </c>
      <c r="S827" s="172"/>
      <c r="T827" s="172"/>
      <c r="CG827" s="83" t="s">
        <v>1790</v>
      </c>
    </row>
    <row r="828" spans="1:106" ht="25.5" x14ac:dyDescent="0.2">
      <c r="A828" s="176" t="str">
        <f t="shared" si="18"/>
        <v>lightVisibility</v>
      </c>
      <c r="B828" s="11" t="s">
        <v>9988</v>
      </c>
      <c r="C828" s="173"/>
      <c r="D828" s="22" t="s">
        <v>9989</v>
      </c>
      <c r="E828" s="15" t="s">
        <v>9990</v>
      </c>
      <c r="F828" s="174"/>
      <c r="G828" s="174"/>
      <c r="H828" s="17" t="s">
        <v>5932</v>
      </c>
      <c r="I828" s="17" t="s">
        <v>6029</v>
      </c>
      <c r="J828" s="369" t="str">
        <f>HYPERLINK("[#]Datatypes!B828:L828","VisCode")</f>
        <v>VisCode</v>
      </c>
      <c r="K828" s="276"/>
      <c r="L828" s="272"/>
      <c r="M828" s="272"/>
      <c r="N828" s="248" t="str">
        <f>HYPERLINK("[#]DatatypeListedValues!A5285:H5285","&lt;values&gt;")</f>
        <v>&lt;values&gt;</v>
      </c>
      <c r="O828" s="277" t="b">
        <v>0</v>
      </c>
      <c r="P828" s="37">
        <v>101454</v>
      </c>
      <c r="Q828" s="36" t="str">
        <f>CONCATENATE(Cover!$D$6,"fdd/view?i=",P828)</f>
        <v>https://www.dgiwg.org/FAD/fdd/view?i=101454</v>
      </c>
      <c r="R828" s="13" t="s">
        <v>9987</v>
      </c>
      <c r="S828" s="172"/>
      <c r="T828" s="172"/>
      <c r="AS828" s="82" t="s">
        <v>1790</v>
      </c>
      <c r="BF828" s="83" t="s">
        <v>1790</v>
      </c>
      <c r="CQ828" s="165" t="s">
        <v>1790</v>
      </c>
      <c r="CS828" s="165" t="s">
        <v>1790</v>
      </c>
    </row>
    <row r="829" spans="1:106" ht="25.5" x14ac:dyDescent="0.2">
      <c r="A829" s="176" t="str">
        <f t="shared" si="18"/>
        <v>lightedWindIndicPresent</v>
      </c>
      <c r="B829" s="11" t="s">
        <v>9993</v>
      </c>
      <c r="C829" s="173"/>
      <c r="D829" s="22" t="s">
        <v>9994</v>
      </c>
      <c r="E829" s="15" t="s">
        <v>9995</v>
      </c>
      <c r="F829" s="174"/>
      <c r="G829" s="174"/>
      <c r="H829" s="17" t="s">
        <v>5932</v>
      </c>
      <c r="I829" s="269"/>
      <c r="J829" s="369" t="str">
        <f>HYPERLINK("[#]Datatypes!B240:L240","Boolean")</f>
        <v>Boolean</v>
      </c>
      <c r="K829" s="276"/>
      <c r="L829" s="272"/>
      <c r="M829" s="272"/>
      <c r="N829" s="273"/>
      <c r="O829" s="269"/>
      <c r="P829" s="37">
        <v>101020</v>
      </c>
      <c r="Q829" s="36" t="str">
        <f>CONCATENATE(Cover!$D$6,"fdd/view?i=",P829)</f>
        <v>https://www.dgiwg.org/FAD/fdd/view?i=101020</v>
      </c>
      <c r="R829" s="13" t="s">
        <v>9992</v>
      </c>
      <c r="S829" s="172"/>
      <c r="T829" s="172"/>
      <c r="AT829" s="82" t="s">
        <v>1790</v>
      </c>
      <c r="CE829" s="87" t="s">
        <v>1790</v>
      </c>
      <c r="CH829" s="83" t="s">
        <v>1790</v>
      </c>
    </row>
    <row r="830" spans="1:106" ht="25.5" x14ac:dyDescent="0.2">
      <c r="A830" s="176" t="str">
        <f t="shared" si="18"/>
        <v>limitsPhysicallyBased</v>
      </c>
      <c r="B830" s="11" t="s">
        <v>9997</v>
      </c>
      <c r="C830" s="173"/>
      <c r="D830" s="22" t="s">
        <v>9998</v>
      </c>
      <c r="E830" s="15" t="s">
        <v>9999</v>
      </c>
      <c r="F830" s="174"/>
      <c r="G830" s="174"/>
      <c r="H830" s="17" t="s">
        <v>5932</v>
      </c>
      <c r="I830" s="269"/>
      <c r="J830" s="369" t="str">
        <f>HYPERLINK("[#]Datatypes!B240:L240","Boolean")</f>
        <v>Boolean</v>
      </c>
      <c r="K830" s="276"/>
      <c r="L830" s="272"/>
      <c r="M830" s="272"/>
      <c r="N830" s="273"/>
      <c r="O830" s="269"/>
      <c r="P830" s="37">
        <v>114232</v>
      </c>
      <c r="Q830" s="36" t="str">
        <f>CONCATENATE(Cover!$D$6,"fdd/view?i=",P830)</f>
        <v>https://www.dgiwg.org/FAD/fdd/view?i=114232</v>
      </c>
      <c r="R830" s="13" t="s">
        <v>9996</v>
      </c>
      <c r="S830" s="172"/>
      <c r="T830" s="172"/>
      <c r="CP830" s="164" t="s">
        <v>1790</v>
      </c>
      <c r="CS830" s="165" t="s">
        <v>1790</v>
      </c>
    </row>
    <row r="831" spans="1:106" ht="25.5" x14ac:dyDescent="0.2">
      <c r="A831" s="176" t="str">
        <f t="shared" si="18"/>
        <v>linearFeatureArrangement</v>
      </c>
      <c r="B831" s="11" t="s">
        <v>10001</v>
      </c>
      <c r="C831" s="173"/>
      <c r="D831" s="22" t="s">
        <v>10002</v>
      </c>
      <c r="E831" s="15" t="s">
        <v>10003</v>
      </c>
      <c r="F831" s="15" t="s">
        <v>10004</v>
      </c>
      <c r="G831" s="174"/>
      <c r="H831" s="17" t="s">
        <v>5932</v>
      </c>
      <c r="I831" s="269"/>
      <c r="J831" s="369" t="str">
        <f>HYPERLINK("[#]Datatypes!B830:L830","RtaCode")</f>
        <v>RtaCode</v>
      </c>
      <c r="K831" s="276"/>
      <c r="L831" s="272"/>
      <c r="M831" s="272"/>
      <c r="N831" s="248" t="str">
        <f>HYPERLINK("[#]DatatypeListedValues!A5293:H5293","&lt;values&gt;")</f>
        <v>&lt;values&gt;</v>
      </c>
      <c r="O831" s="277" t="b">
        <v>0</v>
      </c>
      <c r="P831" s="37">
        <v>103233</v>
      </c>
      <c r="Q831" s="36" t="str">
        <f>CONCATENATE(Cover!$D$6,"fdd/view?i=",P831)</f>
        <v>https://www.dgiwg.org/FAD/fdd/view?i=103233</v>
      </c>
      <c r="R831" s="13" t="s">
        <v>10000</v>
      </c>
      <c r="S831" s="172"/>
      <c r="T831" s="172"/>
      <c r="CS831" s="165" t="s">
        <v>1790</v>
      </c>
      <c r="CX831" s="165" t="s">
        <v>1790</v>
      </c>
    </row>
    <row r="832" spans="1:106" ht="25.5" x14ac:dyDescent="0.2">
      <c r="A832" s="176" t="str">
        <f t="shared" si="18"/>
        <v>lithoPlateMovementType</v>
      </c>
      <c r="B832" s="11" t="s">
        <v>10007</v>
      </c>
      <c r="C832" s="173"/>
      <c r="D832" s="22" t="s">
        <v>10008</v>
      </c>
      <c r="E832" s="15" t="s">
        <v>10009</v>
      </c>
      <c r="F832" s="174"/>
      <c r="G832" s="174"/>
      <c r="H832" s="17" t="s">
        <v>5932</v>
      </c>
      <c r="I832" s="269"/>
      <c r="J832" s="369" t="str">
        <f>HYPERLINK("[#]Datatypes!B832:L832","ImlCode")</f>
        <v>ImlCode</v>
      </c>
      <c r="K832" s="276"/>
      <c r="L832" s="272"/>
      <c r="M832" s="272"/>
      <c r="N832" s="248" t="str">
        <f>HYPERLINK("[#]DatatypeListedValues!A5296:H5296","&lt;values&gt;")</f>
        <v>&lt;values&gt;</v>
      </c>
      <c r="O832" s="277" t="b">
        <v>0</v>
      </c>
      <c r="P832" s="37">
        <v>111597</v>
      </c>
      <c r="Q832" s="36" t="str">
        <f>CONCATENATE(Cover!$D$6,"fdd/view?i=",P832)</f>
        <v>https://www.dgiwg.org/FAD/fdd/view?i=111597</v>
      </c>
      <c r="R832" s="13" t="s">
        <v>10006</v>
      </c>
      <c r="S832" s="172"/>
      <c r="T832" s="172"/>
      <c r="BM832" s="82" t="s">
        <v>1790</v>
      </c>
      <c r="BQ832" s="82" t="s">
        <v>1790</v>
      </c>
      <c r="CS832" s="165" t="s">
        <v>1790</v>
      </c>
    </row>
    <row r="833" spans="1:104" x14ac:dyDescent="0.2">
      <c r="A833" s="176" t="str">
        <f t="shared" si="18"/>
        <v>lithoPlateName</v>
      </c>
      <c r="B833" s="11" t="s">
        <v>10012</v>
      </c>
      <c r="C833" s="173"/>
      <c r="D833" s="22" t="s">
        <v>10013</v>
      </c>
      <c r="E833" s="15" t="s">
        <v>10014</v>
      </c>
      <c r="F833" s="174"/>
      <c r="G833" s="174"/>
      <c r="H833" s="17" t="s">
        <v>5932</v>
      </c>
      <c r="I833" s="269"/>
      <c r="J833" s="369" t="str">
        <f>HYPERLINK("[#]Datatypes!B834:L834","NapCode")</f>
        <v>NapCode</v>
      </c>
      <c r="K833" s="276"/>
      <c r="L833" s="272"/>
      <c r="M833" s="272"/>
      <c r="N833" s="248" t="str">
        <f>HYPERLINK("[#]DatatypeListedValues!A5301:H5301","&lt;values&gt;")</f>
        <v>&lt;values&gt;</v>
      </c>
      <c r="O833" s="277" t="b">
        <v>0</v>
      </c>
      <c r="P833" s="37">
        <v>111640</v>
      </c>
      <c r="Q833" s="36" t="str">
        <f>CONCATENATE(Cover!$D$6,"fdd/view?i=",P833)</f>
        <v>https://www.dgiwg.org/FAD/fdd/view?i=111640</v>
      </c>
      <c r="R833" s="13" t="s">
        <v>10011</v>
      </c>
      <c r="S833" s="172"/>
      <c r="T833" s="172"/>
      <c r="BQ833" s="82" t="s">
        <v>1790</v>
      </c>
      <c r="CP833" s="164" t="s">
        <v>1790</v>
      </c>
      <c r="CU833" s="87" t="s">
        <v>1790</v>
      </c>
    </row>
    <row r="834" spans="1:104" x14ac:dyDescent="0.2">
      <c r="A834" s="176" t="str">
        <f t="shared" si="18"/>
        <v>lithoPlateType</v>
      </c>
      <c r="B834" s="11" t="s">
        <v>10017</v>
      </c>
      <c r="C834" s="173"/>
      <c r="D834" s="22" t="s">
        <v>10018</v>
      </c>
      <c r="E834" s="15" t="s">
        <v>10019</v>
      </c>
      <c r="F834" s="174"/>
      <c r="G834" s="174"/>
      <c r="H834" s="17" t="s">
        <v>5932</v>
      </c>
      <c r="I834" s="269"/>
      <c r="J834" s="369" t="str">
        <f>HYPERLINK("[#]Datatypes!B836:L836","LptCode")</f>
        <v>LptCode</v>
      </c>
      <c r="K834" s="276"/>
      <c r="L834" s="272"/>
      <c r="M834" s="272"/>
      <c r="N834" s="248" t="str">
        <f>HYPERLINK("[#]DatatypeListedValues!A5325:H5325","&lt;values&gt;")</f>
        <v>&lt;values&gt;</v>
      </c>
      <c r="O834" s="277" t="b">
        <v>0</v>
      </c>
      <c r="P834" s="37">
        <v>111619</v>
      </c>
      <c r="Q834" s="36" t="str">
        <f>CONCATENATE(Cover!$D$6,"fdd/view?i=",P834)</f>
        <v>https://www.dgiwg.org/FAD/fdd/view?i=111619</v>
      </c>
      <c r="R834" s="13" t="s">
        <v>10016</v>
      </c>
      <c r="S834" s="172"/>
      <c r="T834" s="172"/>
      <c r="BN834" s="82" t="s">
        <v>1790</v>
      </c>
      <c r="BQ834" s="82" t="s">
        <v>1790</v>
      </c>
      <c r="CS834" s="165" t="s">
        <v>1790</v>
      </c>
    </row>
    <row r="835" spans="1:104" ht="63.75" x14ac:dyDescent="0.2">
      <c r="A835" s="176" t="str">
        <f t="shared" ref="A835:A898" si="19">HYPERLINK(Q835,R835)</f>
        <v>loadClassType1</v>
      </c>
      <c r="B835" s="11" t="s">
        <v>10022</v>
      </c>
      <c r="C835" s="173"/>
      <c r="D835" s="22" t="s">
        <v>10023</v>
      </c>
      <c r="E835" s="15" t="s">
        <v>10024</v>
      </c>
      <c r="F835" s="15" t="s">
        <v>10025</v>
      </c>
      <c r="G835" s="174"/>
      <c r="H835" s="17" t="s">
        <v>5932</v>
      </c>
      <c r="I835" s="269"/>
      <c r="J835" s="369" t="str">
        <f>HYPERLINK("[#]Datatypes!B742:L742","Integer")</f>
        <v>Integer</v>
      </c>
      <c r="K835" s="271" t="str">
        <f>HYPERLINK("[#]PhysicalQuantities!A33:N33","Noncomparable")</f>
        <v>Noncomparable</v>
      </c>
      <c r="L835" s="270" t="str">
        <f>HYPERLINK("[#]UnitsOfMeasure!D155:G155","Military Load Class")</f>
        <v>Military Load Class</v>
      </c>
      <c r="M835" s="272"/>
      <c r="N835" s="273"/>
      <c r="O835" s="269"/>
      <c r="P835" s="37">
        <v>100987</v>
      </c>
      <c r="Q835" s="36" t="str">
        <f>CONCATENATE(Cover!$D$6,"fdd/view?i=",P835)</f>
        <v>https://www.dgiwg.org/FAD/fdd/view?i=100987</v>
      </c>
      <c r="R835" s="13" t="s">
        <v>10021</v>
      </c>
      <c r="S835" s="172"/>
      <c r="T835" s="172"/>
      <c r="AQ835" s="82" t="s">
        <v>1790</v>
      </c>
      <c r="AU835" s="82" t="s">
        <v>1790</v>
      </c>
      <c r="AV835" s="82" t="s">
        <v>1790</v>
      </c>
      <c r="CJ835" s="81" t="s">
        <v>1790</v>
      </c>
      <c r="CQ835" s="165" t="s">
        <v>1790</v>
      </c>
    </row>
    <row r="836" spans="1:104" ht="63.75" x14ac:dyDescent="0.2">
      <c r="A836" s="176" t="str">
        <f t="shared" si="19"/>
        <v>loadClassType2</v>
      </c>
      <c r="B836" s="11" t="s">
        <v>10027</v>
      </c>
      <c r="C836" s="173"/>
      <c r="D836" s="22" t="s">
        <v>10028</v>
      </c>
      <c r="E836" s="15" t="s">
        <v>10029</v>
      </c>
      <c r="F836" s="15" t="s">
        <v>10025</v>
      </c>
      <c r="G836" s="174"/>
      <c r="H836" s="17" t="s">
        <v>5932</v>
      </c>
      <c r="I836" s="269"/>
      <c r="J836" s="369" t="str">
        <f>HYPERLINK("[#]Datatypes!B742:L742","Integer")</f>
        <v>Integer</v>
      </c>
      <c r="K836" s="271" t="str">
        <f>HYPERLINK("[#]PhysicalQuantities!A33:N33","Noncomparable")</f>
        <v>Noncomparable</v>
      </c>
      <c r="L836" s="270" t="str">
        <f>HYPERLINK("[#]UnitsOfMeasure!D155:G155","Military Load Class")</f>
        <v>Military Load Class</v>
      </c>
      <c r="M836" s="272"/>
      <c r="N836" s="273"/>
      <c r="O836" s="269"/>
      <c r="P836" s="37">
        <v>100988</v>
      </c>
      <c r="Q836" s="36" t="str">
        <f>CONCATENATE(Cover!$D$6,"fdd/view?i=",P836)</f>
        <v>https://www.dgiwg.org/FAD/fdd/view?i=100988</v>
      </c>
      <c r="R836" s="13" t="s">
        <v>10026</v>
      </c>
      <c r="S836" s="172"/>
      <c r="T836" s="172"/>
      <c r="AQ836" s="82" t="s">
        <v>1790</v>
      </c>
      <c r="AU836" s="82" t="s">
        <v>1790</v>
      </c>
      <c r="AV836" s="82" t="s">
        <v>1790</v>
      </c>
      <c r="CJ836" s="81" t="s">
        <v>1790</v>
      </c>
      <c r="CQ836" s="165" t="s">
        <v>1790</v>
      </c>
    </row>
    <row r="837" spans="1:104" ht="63.75" x14ac:dyDescent="0.2">
      <c r="A837" s="176" t="str">
        <f t="shared" si="19"/>
        <v>loadClassType3</v>
      </c>
      <c r="B837" s="11" t="s">
        <v>10031</v>
      </c>
      <c r="C837" s="173"/>
      <c r="D837" s="22" t="s">
        <v>10032</v>
      </c>
      <c r="E837" s="15" t="s">
        <v>10033</v>
      </c>
      <c r="F837" s="15" t="s">
        <v>10025</v>
      </c>
      <c r="G837" s="174"/>
      <c r="H837" s="17" t="s">
        <v>5932</v>
      </c>
      <c r="I837" s="269"/>
      <c r="J837" s="369" t="str">
        <f>HYPERLINK("[#]Datatypes!B742:L742","Integer")</f>
        <v>Integer</v>
      </c>
      <c r="K837" s="271" t="str">
        <f>HYPERLINK("[#]PhysicalQuantities!A33:N33","Noncomparable")</f>
        <v>Noncomparable</v>
      </c>
      <c r="L837" s="270" t="str">
        <f>HYPERLINK("[#]UnitsOfMeasure!D155:G155","Military Load Class")</f>
        <v>Military Load Class</v>
      </c>
      <c r="M837" s="272"/>
      <c r="N837" s="273"/>
      <c r="O837" s="269"/>
      <c r="P837" s="37">
        <v>100989</v>
      </c>
      <c r="Q837" s="36" t="str">
        <f>CONCATENATE(Cover!$D$6,"fdd/view?i=",P837)</f>
        <v>https://www.dgiwg.org/FAD/fdd/view?i=100989</v>
      </c>
      <c r="R837" s="13" t="s">
        <v>10030</v>
      </c>
      <c r="S837" s="172"/>
      <c r="T837" s="172"/>
      <c r="AQ837" s="82" t="s">
        <v>1790</v>
      </c>
      <c r="AU837" s="82" t="s">
        <v>1790</v>
      </c>
      <c r="AV837" s="82" t="s">
        <v>1790</v>
      </c>
      <c r="CJ837" s="81" t="s">
        <v>1790</v>
      </c>
      <c r="CQ837" s="165" t="s">
        <v>1790</v>
      </c>
    </row>
    <row r="838" spans="1:104" ht="63.75" x14ac:dyDescent="0.2">
      <c r="A838" s="176" t="str">
        <f t="shared" si="19"/>
        <v>loadClassType4</v>
      </c>
      <c r="B838" s="11" t="s">
        <v>10035</v>
      </c>
      <c r="C838" s="173"/>
      <c r="D838" s="22" t="s">
        <v>10036</v>
      </c>
      <c r="E838" s="15" t="s">
        <v>10037</v>
      </c>
      <c r="F838" s="15" t="s">
        <v>10025</v>
      </c>
      <c r="G838" s="174"/>
      <c r="H838" s="17" t="s">
        <v>5932</v>
      </c>
      <c r="I838" s="269"/>
      <c r="J838" s="369" t="str">
        <f>HYPERLINK("[#]Datatypes!B742:L742","Integer")</f>
        <v>Integer</v>
      </c>
      <c r="K838" s="271" t="str">
        <f>HYPERLINK("[#]PhysicalQuantities!A33:N33","Noncomparable")</f>
        <v>Noncomparable</v>
      </c>
      <c r="L838" s="270" t="str">
        <f>HYPERLINK("[#]UnitsOfMeasure!D155:G155","Military Load Class")</f>
        <v>Military Load Class</v>
      </c>
      <c r="M838" s="272"/>
      <c r="N838" s="273"/>
      <c r="O838" s="269"/>
      <c r="P838" s="37">
        <v>100990</v>
      </c>
      <c r="Q838" s="36" t="str">
        <f>CONCATENATE(Cover!$D$6,"fdd/view?i=",P838)</f>
        <v>https://www.dgiwg.org/FAD/fdd/view?i=100990</v>
      </c>
      <c r="R838" s="13" t="s">
        <v>10034</v>
      </c>
      <c r="S838" s="172"/>
      <c r="T838" s="172"/>
      <c r="AQ838" s="82" t="s">
        <v>1790</v>
      </c>
      <c r="AU838" s="82" t="s">
        <v>1790</v>
      </c>
      <c r="AV838" s="82" t="s">
        <v>1790</v>
      </c>
      <c r="CJ838" s="81" t="s">
        <v>1790</v>
      </c>
      <c r="CQ838" s="165" t="s">
        <v>1790</v>
      </c>
    </row>
    <row r="839" spans="1:104" ht="25.5" x14ac:dyDescent="0.2">
      <c r="A839" s="176" t="str">
        <f t="shared" si="19"/>
        <v>loadClassificationNumber</v>
      </c>
      <c r="B839" s="11" t="s">
        <v>10039</v>
      </c>
      <c r="C839" s="173"/>
      <c r="D839" s="22" t="s">
        <v>10040</v>
      </c>
      <c r="E839" s="15" t="s">
        <v>10041</v>
      </c>
      <c r="F839" s="15" t="s">
        <v>10042</v>
      </c>
      <c r="G839" s="15" t="s">
        <v>9945</v>
      </c>
      <c r="H839" s="17" t="s">
        <v>5932</v>
      </c>
      <c r="I839" s="269"/>
      <c r="J839" s="369" t="str">
        <f>HYPERLINK("[#]Datatypes!B746:L746","Integer0to120")</f>
        <v>Integer0to120</v>
      </c>
      <c r="K839" s="271" t="str">
        <f>HYPERLINK("[#]PhysicalQuantities!A39:N39","Pure Number")</f>
        <v>Pure Number</v>
      </c>
      <c r="L839" s="270" t="str">
        <f>HYPERLINK("[#]UnitsOfMeasure!D213:G213","Unitless")</f>
        <v>Unitless</v>
      </c>
      <c r="M839" s="272"/>
      <c r="N839" s="273"/>
      <c r="O839" s="269"/>
      <c r="P839" s="37">
        <v>117604</v>
      </c>
      <c r="Q839" s="36" t="str">
        <f>CONCATENATE(Cover!$D$6,"fdd/view?i=",P839)</f>
        <v>https://www.dgiwg.org/FAD/fdd/view?i=117604</v>
      </c>
      <c r="R839" s="13" t="s">
        <v>10038</v>
      </c>
      <c r="S839" s="172"/>
      <c r="T839" s="172"/>
      <c r="CE839" s="87" t="s">
        <v>1790</v>
      </c>
    </row>
    <row r="840" spans="1:104" ht="38.25" x14ac:dyDescent="0.2">
      <c r="A840" s="176" t="str">
        <f t="shared" si="19"/>
        <v>loadClassNumberValidity</v>
      </c>
      <c r="B840" s="11" t="s">
        <v>10045</v>
      </c>
      <c r="C840" s="173"/>
      <c r="D840" s="22" t="s">
        <v>10046</v>
      </c>
      <c r="E840" s="15" t="s">
        <v>10047</v>
      </c>
      <c r="F840" s="15" t="s">
        <v>10048</v>
      </c>
      <c r="G840" s="174"/>
      <c r="H840" s="17" t="s">
        <v>5932</v>
      </c>
      <c r="I840" s="269"/>
      <c r="J840" s="369" t="str">
        <f>HYPERLINK("[#]Datatypes!B838:L838","LcvCode")</f>
        <v>LcvCode</v>
      </c>
      <c r="K840" s="276"/>
      <c r="L840" s="272"/>
      <c r="M840" s="272"/>
      <c r="N840" s="248" t="str">
        <f>HYPERLINK("[#]DatatypeListedValues!A5327:H5327","&lt;values&gt;")</f>
        <v>&lt;values&gt;</v>
      </c>
      <c r="O840" s="277" t="b">
        <v>0</v>
      </c>
      <c r="P840" s="37">
        <v>119192</v>
      </c>
      <c r="Q840" s="36" t="str">
        <f>CONCATENATE(Cover!$D$6,"fdd/view?i=",P840)</f>
        <v>https://www.dgiwg.org/FAD/fdd/view?i=119192</v>
      </c>
      <c r="R840" s="13" t="s">
        <v>10044</v>
      </c>
      <c r="S840" s="172"/>
      <c r="T840" s="172"/>
      <c r="AT840" s="82" t="s">
        <v>1790</v>
      </c>
      <c r="CE840" s="87" t="s">
        <v>1790</v>
      </c>
    </row>
    <row r="841" spans="1:104" ht="38.25" x14ac:dyDescent="0.2">
      <c r="A841" s="176" t="str">
        <f t="shared" si="19"/>
        <v>loadClassNumberValidityRem</v>
      </c>
      <c r="B841" s="11" t="s">
        <v>10051</v>
      </c>
      <c r="C841" s="173"/>
      <c r="D841" s="22" t="s">
        <v>10052</v>
      </c>
      <c r="E841" s="15" t="s">
        <v>10053</v>
      </c>
      <c r="F841" s="15" t="s">
        <v>10048</v>
      </c>
      <c r="G841" s="174"/>
      <c r="H841" s="17" t="s">
        <v>5932</v>
      </c>
      <c r="I841" s="269"/>
      <c r="J841" s="369" t="str">
        <f>HYPERLINK("[#]Datatypes!B1544:L1544","TextLexUnconstrained")</f>
        <v>TextLexUnconstrained</v>
      </c>
      <c r="K841" s="276"/>
      <c r="L841" s="272"/>
      <c r="M841" s="272"/>
      <c r="N841" s="273"/>
      <c r="O841" s="269"/>
      <c r="P841" s="37">
        <v>119191</v>
      </c>
      <c r="Q841" s="36" t="str">
        <f>CONCATENATE(Cover!$D$6,"fdd/view?i=",P841)</f>
        <v>https://www.dgiwg.org/FAD/fdd/view?i=119191</v>
      </c>
      <c r="R841" s="13" t="s">
        <v>10050</v>
      </c>
      <c r="S841" s="172"/>
      <c r="T841" s="172"/>
      <c r="AT841" s="82" t="s">
        <v>1790</v>
      </c>
      <c r="CE841" s="87" t="s">
        <v>1790</v>
      </c>
    </row>
    <row r="842" spans="1:104" ht="25.5" x14ac:dyDescent="0.2">
      <c r="A842" s="176" t="str">
        <f t="shared" si="19"/>
        <v>loadBearingSurfaceType</v>
      </c>
      <c r="B842" s="11" t="s">
        <v>10055</v>
      </c>
      <c r="C842" s="173"/>
      <c r="D842" s="22" t="s">
        <v>10056</v>
      </c>
      <c r="E842" s="15" t="s">
        <v>10057</v>
      </c>
      <c r="F842" s="15" t="s">
        <v>10058</v>
      </c>
      <c r="G842" s="174"/>
      <c r="H842" s="17" t="s">
        <v>5932</v>
      </c>
      <c r="I842" s="17" t="s">
        <v>6029</v>
      </c>
      <c r="J842" s="369" t="str">
        <f>HYPERLINK("[#]Datatypes!B840:L840","RstCode")</f>
        <v>RstCode</v>
      </c>
      <c r="K842" s="276"/>
      <c r="L842" s="272"/>
      <c r="M842" s="272"/>
      <c r="N842" s="248" t="str">
        <f>HYPERLINK("[#]DatatypeListedValues!A5332:H5332","&lt;values&gt;")</f>
        <v>&lt;values&gt;</v>
      </c>
      <c r="O842" s="277" t="b">
        <v>0</v>
      </c>
      <c r="P842" s="37">
        <v>101248</v>
      </c>
      <c r="Q842" s="36" t="str">
        <f>CONCATENATE(Cover!$D$6,"fdd/view?i=",P842)</f>
        <v>https://www.dgiwg.org/FAD/fdd/view?i=101248</v>
      </c>
      <c r="R842" s="13" t="s">
        <v>10054</v>
      </c>
      <c r="S842" s="172"/>
      <c r="T842" s="172"/>
      <c r="AP842" s="81" t="s">
        <v>1790</v>
      </c>
      <c r="AQ842" s="82" t="s">
        <v>1790</v>
      </c>
      <c r="AT842" s="82" t="s">
        <v>1790</v>
      </c>
      <c r="AU842" s="82" t="s">
        <v>1790</v>
      </c>
      <c r="CE842" s="87" t="s">
        <v>1790</v>
      </c>
      <c r="CS842" s="165" t="s">
        <v>1790</v>
      </c>
    </row>
    <row r="843" spans="1:104" ht="25.5" x14ac:dyDescent="0.2">
      <c r="A843" s="176" t="str">
        <f t="shared" si="19"/>
        <v>localAirspaceType</v>
      </c>
      <c r="B843" s="11" t="s">
        <v>10061</v>
      </c>
      <c r="C843" s="173"/>
      <c r="D843" s="22" t="s">
        <v>10062</v>
      </c>
      <c r="E843" s="15" t="s">
        <v>10063</v>
      </c>
      <c r="F843" s="174"/>
      <c r="G843" s="174"/>
      <c r="H843" s="17" t="s">
        <v>5932</v>
      </c>
      <c r="I843" s="269"/>
      <c r="J843" s="369" t="str">
        <f>HYPERLINK("[#]Datatypes!B1544:L1544","TextLexUnconstrained")</f>
        <v>TextLexUnconstrained</v>
      </c>
      <c r="K843" s="276"/>
      <c r="L843" s="272"/>
      <c r="M843" s="272"/>
      <c r="N843" s="273"/>
      <c r="O843" s="269"/>
      <c r="P843" s="37">
        <v>117602</v>
      </c>
      <c r="Q843" s="36" t="str">
        <f>CONCATENATE(Cover!$D$6,"fdd/view?i=",P843)</f>
        <v>https://www.dgiwg.org/FAD/fdd/view?i=117602</v>
      </c>
      <c r="R843" s="13" t="s">
        <v>10060</v>
      </c>
      <c r="S843" s="172"/>
      <c r="T843" s="172"/>
      <c r="CF843" s="83" t="s">
        <v>1790</v>
      </c>
    </row>
    <row r="844" spans="1:104" x14ac:dyDescent="0.2">
      <c r="A844" s="176" t="str">
        <f t="shared" si="19"/>
        <v>localizerCourseWidth</v>
      </c>
      <c r="B844" s="11" t="s">
        <v>10065</v>
      </c>
      <c r="C844" s="173"/>
      <c r="D844" s="22" t="s">
        <v>10066</v>
      </c>
      <c r="E844" s="15" t="s">
        <v>10067</v>
      </c>
      <c r="F844" s="174"/>
      <c r="G844" s="174"/>
      <c r="H844" s="17" t="s">
        <v>5932</v>
      </c>
      <c r="I844" s="269"/>
      <c r="J844" s="369" t="str">
        <f>HYPERLINK("[#]Datatypes!B1231:L1231","Real")</f>
        <v>Real</v>
      </c>
      <c r="K844" s="271" t="str">
        <f>HYPERLINK("[#]PhysicalQuantities!A34:N34","Plane Angle")</f>
        <v>Plane Angle</v>
      </c>
      <c r="L844" s="270" t="str">
        <f>HYPERLINK("[#]UnitsOfMeasure!D159:G159","Arc Degree")</f>
        <v>Arc Degree</v>
      </c>
      <c r="M844" s="272"/>
      <c r="N844" s="273"/>
      <c r="O844" s="269"/>
      <c r="P844" s="37">
        <v>117538</v>
      </c>
      <c r="Q844" s="36" t="str">
        <f>CONCATENATE(Cover!$D$6,"fdd/view?i=",P844)</f>
        <v>https://www.dgiwg.org/FAD/fdd/view?i=117538</v>
      </c>
      <c r="R844" s="13" t="s">
        <v>10064</v>
      </c>
      <c r="S844" s="172"/>
      <c r="T844" s="172"/>
      <c r="CG844" s="83" t="s">
        <v>1790</v>
      </c>
    </row>
    <row r="845" spans="1:104" ht="25.5" x14ac:dyDescent="0.2">
      <c r="A845" s="176" t="str">
        <f t="shared" si="19"/>
        <v>localizerCourseWidthAcc</v>
      </c>
      <c r="B845" s="11" t="s">
        <v>10069</v>
      </c>
      <c r="C845" s="173"/>
      <c r="D845" s="22" t="s">
        <v>10070</v>
      </c>
      <c r="E845" s="15" t="s">
        <v>10071</v>
      </c>
      <c r="F845" s="174"/>
      <c r="G845" s="174"/>
      <c r="H845" s="17" t="s">
        <v>5932</v>
      </c>
      <c r="I845" s="269"/>
      <c r="J845" s="369" t="str">
        <f>HYPERLINK("[#]Datatypes!B1048:L1048","RealNonNegative")</f>
        <v>RealNonNegative</v>
      </c>
      <c r="K845" s="271" t="str">
        <f>HYPERLINK("[#]PhysicalQuantities!A34:N34","Plane Angle")</f>
        <v>Plane Angle</v>
      </c>
      <c r="L845" s="270" t="str">
        <f>HYPERLINK("[#]UnitsOfMeasure!D159:G159","Arc Degree")</f>
        <v>Arc Degree</v>
      </c>
      <c r="M845" s="272"/>
      <c r="N845" s="273"/>
      <c r="O845" s="269"/>
      <c r="P845" s="37">
        <v>119854</v>
      </c>
      <c r="Q845" s="36" t="str">
        <f>CONCATENATE(Cover!$D$6,"fdd/view?i=",P845)</f>
        <v>https://www.dgiwg.org/FAD/fdd/view?i=119854</v>
      </c>
      <c r="R845" s="13" t="s">
        <v>10068</v>
      </c>
      <c r="S845" s="172"/>
      <c r="T845" s="172"/>
      <c r="AT845" s="82" t="s">
        <v>1790</v>
      </c>
      <c r="CF845" s="83" t="s">
        <v>1790</v>
      </c>
      <c r="CQ845" s="165" t="s">
        <v>1790</v>
      </c>
      <c r="CZ845" s="165" t="s">
        <v>1790</v>
      </c>
    </row>
    <row r="846" spans="1:104" ht="25.5" x14ac:dyDescent="0.2">
      <c r="A846" s="176" t="str">
        <f t="shared" si="19"/>
        <v>locatedUnderground</v>
      </c>
      <c r="B846" s="11" t="s">
        <v>10073</v>
      </c>
      <c r="C846" s="173"/>
      <c r="D846" s="22" t="s">
        <v>10074</v>
      </c>
      <c r="E846" s="15" t="s">
        <v>10075</v>
      </c>
      <c r="F846" s="174"/>
      <c r="G846" s="174"/>
      <c r="H846" s="17" t="s">
        <v>5932</v>
      </c>
      <c r="I846" s="269"/>
      <c r="J846" s="369" t="str">
        <f>HYPERLINK("[#]Datatypes!B240:L240","Boolean")</f>
        <v>Boolean</v>
      </c>
      <c r="K846" s="276"/>
      <c r="L846" s="272"/>
      <c r="M846" s="272"/>
      <c r="N846" s="273"/>
      <c r="O846" s="269"/>
      <c r="P846" s="37">
        <v>118028</v>
      </c>
      <c r="Q846" s="36" t="str">
        <f>CONCATENATE(Cover!$D$6,"fdd/view?i=",P846)</f>
        <v>https://www.dgiwg.org/FAD/fdd/view?i=118028</v>
      </c>
      <c r="R846" s="13" t="s">
        <v>10072</v>
      </c>
      <c r="S846" s="172"/>
      <c r="T846" s="172"/>
      <c r="CP846" s="164" t="s">
        <v>1790</v>
      </c>
    </row>
    <row r="847" spans="1:104" x14ac:dyDescent="0.2">
      <c r="A847" s="176" t="str">
        <f t="shared" si="19"/>
        <v>locationRefToShoreline</v>
      </c>
      <c r="B847" s="11" t="s">
        <v>10077</v>
      </c>
      <c r="C847" s="173"/>
      <c r="D847" s="22" t="s">
        <v>10078</v>
      </c>
      <c r="E847" s="15" t="s">
        <v>10079</v>
      </c>
      <c r="F847" s="174"/>
      <c r="G847" s="174"/>
      <c r="H847" s="17" t="s">
        <v>5932</v>
      </c>
      <c r="I847" s="269"/>
      <c r="J847" s="369" t="str">
        <f>HYPERLINK("[#]Datatypes!B842:L842","SrlCode")</f>
        <v>SrlCode</v>
      </c>
      <c r="K847" s="276"/>
      <c r="L847" s="272"/>
      <c r="M847" s="272"/>
      <c r="N847" s="248" t="str">
        <f>HYPERLINK("[#]DatatypeListedValues!A5365:H5365","&lt;values&gt;")</f>
        <v>&lt;values&gt;</v>
      </c>
      <c r="O847" s="277" t="b">
        <v>0</v>
      </c>
      <c r="P847" s="37">
        <v>101325</v>
      </c>
      <c r="Q847" s="36" t="str">
        <f>CONCATENATE(Cover!$D$6,"fdd/view?i=",P847)</f>
        <v>https://www.dgiwg.org/FAD/fdd/view?i=101325</v>
      </c>
      <c r="R847" s="13" t="s">
        <v>10076</v>
      </c>
      <c r="S847" s="172"/>
      <c r="T847" s="172"/>
      <c r="AZ847" s="87" t="s">
        <v>1790</v>
      </c>
      <c r="CP847" s="164" t="s">
        <v>1790</v>
      </c>
    </row>
    <row r="848" spans="1:104" ht="25.5" x14ac:dyDescent="0.2">
      <c r="A848" s="176" t="str">
        <f t="shared" si="19"/>
        <v>lockDrop</v>
      </c>
      <c r="B848" s="11" t="s">
        <v>10082</v>
      </c>
      <c r="C848" s="173"/>
      <c r="D848" s="22" t="s">
        <v>10083</v>
      </c>
      <c r="E848" s="15" t="s">
        <v>10084</v>
      </c>
      <c r="F848" s="174"/>
      <c r="G848" s="174"/>
      <c r="H848" s="17" t="s">
        <v>5932</v>
      </c>
      <c r="I848" s="269"/>
      <c r="J848" s="369" t="str">
        <f>HYPERLINK("[#]Datatypes!B1231:L1231","Real")</f>
        <v>Real</v>
      </c>
      <c r="K848" s="271" t="str">
        <f>HYPERLINK("[#]PhysicalQuantities!A20:N20","Length")</f>
        <v>Length</v>
      </c>
      <c r="L848" s="270" t="str">
        <f>HYPERLINK("[#]UnitsOfMeasure!D80:G80","Metre")</f>
        <v>Metre</v>
      </c>
      <c r="M848" s="272"/>
      <c r="N848" s="273"/>
      <c r="O848" s="269"/>
      <c r="P848" s="37">
        <v>114348</v>
      </c>
      <c r="Q848" s="36" t="str">
        <f>CONCATENATE(Cover!$D$6,"fdd/view?i=",P848)</f>
        <v>https://www.dgiwg.org/FAD/fdd/view?i=114348</v>
      </c>
      <c r="R848" s="13" t="s">
        <v>10081</v>
      </c>
      <c r="S848" s="172"/>
      <c r="T848" s="172"/>
      <c r="AS848" s="82" t="s">
        <v>1790</v>
      </c>
      <c r="AU848" s="82" t="s">
        <v>1790</v>
      </c>
      <c r="BJ848" s="83" t="s">
        <v>1790</v>
      </c>
      <c r="CQ848" s="165" t="s">
        <v>1790</v>
      </c>
    </row>
    <row r="849" spans="1:104" x14ac:dyDescent="0.2">
      <c r="A849" s="176" t="str">
        <f t="shared" si="19"/>
        <v>lockPresent</v>
      </c>
      <c r="B849" s="11" t="s">
        <v>10086</v>
      </c>
      <c r="C849" s="173"/>
      <c r="D849" s="22" t="s">
        <v>10087</v>
      </c>
      <c r="E849" s="15" t="s">
        <v>10088</v>
      </c>
      <c r="F849" s="174"/>
      <c r="G849" s="174"/>
      <c r="H849" s="17" t="s">
        <v>5932</v>
      </c>
      <c r="I849" s="269"/>
      <c r="J849" s="369" t="str">
        <f>HYPERLINK("[#]Datatypes!B240:L240","Boolean")</f>
        <v>Boolean</v>
      </c>
      <c r="K849" s="276"/>
      <c r="L849" s="272"/>
      <c r="M849" s="272"/>
      <c r="N849" s="273"/>
      <c r="O849" s="269"/>
      <c r="P849" s="37">
        <v>117792</v>
      </c>
      <c r="Q849" s="36" t="str">
        <f>CONCATENATE(Cover!$D$6,"fdd/view?i=",P849)</f>
        <v>https://www.dgiwg.org/FAD/fdd/view?i=117792</v>
      </c>
      <c r="R849" s="13" t="s">
        <v>10085</v>
      </c>
      <c r="S849" s="172"/>
      <c r="T849" s="172"/>
      <c r="BJ849" s="83" t="s">
        <v>1790</v>
      </c>
      <c r="CS849" s="165" t="s">
        <v>1790</v>
      </c>
    </row>
    <row r="850" spans="1:104" x14ac:dyDescent="0.2">
      <c r="A850" s="176" t="str">
        <f t="shared" si="19"/>
        <v>longestBridgeSpanLength</v>
      </c>
      <c r="B850" s="11" t="s">
        <v>10090</v>
      </c>
      <c r="C850" s="173"/>
      <c r="D850" s="22" t="s">
        <v>10091</v>
      </c>
      <c r="E850" s="15" t="s">
        <v>10092</v>
      </c>
      <c r="F850" s="174"/>
      <c r="G850" s="174"/>
      <c r="H850" s="17" t="s">
        <v>5932</v>
      </c>
      <c r="I850" s="269"/>
      <c r="J850" s="369" t="str">
        <f>HYPERLINK("[#]Datatypes!B1231:L1231","Real")</f>
        <v>Real</v>
      </c>
      <c r="K850" s="271" t="str">
        <f>HYPERLINK("[#]PhysicalQuantities!A20:N20","Length")</f>
        <v>Length</v>
      </c>
      <c r="L850" s="270" t="str">
        <f>HYPERLINK("[#]UnitsOfMeasure!D80:G80","Metre")</f>
        <v>Metre</v>
      </c>
      <c r="M850" s="272"/>
      <c r="N850" s="273"/>
      <c r="O850" s="269"/>
      <c r="P850" s="37">
        <v>110723</v>
      </c>
      <c r="Q850" s="36" t="str">
        <f>CONCATENATE(Cover!$D$6,"fdd/view?i=",P850)</f>
        <v>https://www.dgiwg.org/FAD/fdd/view?i=110723</v>
      </c>
      <c r="R850" s="13" t="s">
        <v>10089</v>
      </c>
      <c r="S850" s="172"/>
      <c r="T850" s="172"/>
      <c r="AV850" s="82" t="s">
        <v>1790</v>
      </c>
      <c r="CQ850" s="165" t="s">
        <v>1790</v>
      </c>
    </row>
    <row r="851" spans="1:104" x14ac:dyDescent="0.2">
      <c r="A851" s="176" t="str">
        <f t="shared" si="19"/>
        <v>lowVisHoldingPositionCat</v>
      </c>
      <c r="B851" s="11" t="s">
        <v>10094</v>
      </c>
      <c r="C851" s="173"/>
      <c r="D851" s="22" t="s">
        <v>10095</v>
      </c>
      <c r="E851" s="15" t="s">
        <v>10096</v>
      </c>
      <c r="F851" s="174"/>
      <c r="G851" s="174"/>
      <c r="H851" s="17" t="s">
        <v>5932</v>
      </c>
      <c r="I851" s="269"/>
      <c r="J851" s="369" t="str">
        <f>HYPERLINK("[#]Datatypes!B844:L844","LvhCode")</f>
        <v>LvhCode</v>
      </c>
      <c r="K851" s="276"/>
      <c r="L851" s="272"/>
      <c r="M851" s="272"/>
      <c r="N851" s="248" t="str">
        <f>HYPERLINK("[#]DatatypeListedValues!A5368:H5368","&lt;values&gt;")</f>
        <v>&lt;values&gt;</v>
      </c>
      <c r="O851" s="277" t="b">
        <v>0</v>
      </c>
      <c r="P851" s="37">
        <v>119143</v>
      </c>
      <c r="Q851" s="36" t="str">
        <f>CONCATENATE(Cover!$D$6,"fdd/view?i=",P851)</f>
        <v>https://www.dgiwg.org/FAD/fdd/view?i=119143</v>
      </c>
      <c r="R851" s="13" t="s">
        <v>10093</v>
      </c>
      <c r="S851" s="172"/>
      <c r="T851" s="172"/>
      <c r="CE851" s="87" t="s">
        <v>1790</v>
      </c>
    </row>
    <row r="852" spans="1:104" x14ac:dyDescent="0.2">
      <c r="A852" s="176" t="str">
        <f t="shared" si="19"/>
        <v>lowWaterMonthInterval</v>
      </c>
      <c r="B852" s="11" t="s">
        <v>10099</v>
      </c>
      <c r="C852" s="173"/>
      <c r="D852" s="22" t="s">
        <v>10100</v>
      </c>
      <c r="E852" s="15" t="s">
        <v>10101</v>
      </c>
      <c r="F852" s="174"/>
      <c r="G852" s="174"/>
      <c r="H852" s="17" t="s">
        <v>5932</v>
      </c>
      <c r="I852" s="269"/>
      <c r="J852" s="369" t="str">
        <f>HYPERLINK("[#]Datatypes!B846:L846","LwsStrucText")</f>
        <v>LwsStrucText</v>
      </c>
      <c r="K852" s="276"/>
      <c r="L852" s="272"/>
      <c r="M852" s="272"/>
      <c r="N852" s="273"/>
      <c r="O852" s="269"/>
      <c r="P852" s="37">
        <v>117793</v>
      </c>
      <c r="Q852" s="36" t="str">
        <f>CONCATENATE(Cover!$D$6,"fdd/view?i=",P852)</f>
        <v>https://www.dgiwg.org/FAD/fdd/view?i=117793</v>
      </c>
      <c r="R852" s="13" t="s">
        <v>10098</v>
      </c>
      <c r="S852" s="172"/>
      <c r="T852" s="172"/>
      <c r="BA852" s="83" t="s">
        <v>1790</v>
      </c>
      <c r="BJ852" s="83" t="s">
        <v>1790</v>
      </c>
      <c r="CQ852" s="165" t="s">
        <v>1790</v>
      </c>
    </row>
    <row r="853" spans="1:104" ht="102" x14ac:dyDescent="0.2">
      <c r="A853" s="176" t="str">
        <f t="shared" si="19"/>
        <v>lowerAddressNumber</v>
      </c>
      <c r="B853" s="11" t="s">
        <v>10104</v>
      </c>
      <c r="C853" s="173"/>
      <c r="D853" s="22" t="s">
        <v>10105</v>
      </c>
      <c r="E853" s="15" t="s">
        <v>10106</v>
      </c>
      <c r="F853" s="15" t="s">
        <v>10107</v>
      </c>
      <c r="G853" s="174"/>
      <c r="H853" s="17" t="s">
        <v>5932</v>
      </c>
      <c r="I853" s="269"/>
      <c r="J853" s="369" t="str">
        <f>HYPERLINK("[#]Datatypes!B742:L742","Integer")</f>
        <v>Integer</v>
      </c>
      <c r="K853" s="271" t="str">
        <f>HYPERLINK("[#]PhysicalQuantities!A39:N39","Pure Number")</f>
        <v>Pure Number</v>
      </c>
      <c r="L853" s="270" t="str">
        <f>HYPERLINK("[#]UnitsOfMeasure!D213:G213","Unitless")</f>
        <v>Unitless</v>
      </c>
      <c r="M853" s="272"/>
      <c r="N853" s="273"/>
      <c r="O853" s="269"/>
      <c r="P853" s="37">
        <v>100873</v>
      </c>
      <c r="Q853" s="36" t="str">
        <f>CONCATENATE(Cover!$D$6,"fdd/view?i=",P853)</f>
        <v>https://www.dgiwg.org/FAD/fdd/view?i=100873</v>
      </c>
      <c r="R853" s="13" t="s">
        <v>10103</v>
      </c>
      <c r="S853" s="172"/>
      <c r="T853" s="172"/>
      <c r="AI853" s="87" t="s">
        <v>1790</v>
      </c>
      <c r="CP853" s="164" t="s">
        <v>1790</v>
      </c>
      <c r="CV853" s="83" t="s">
        <v>1790</v>
      </c>
    </row>
    <row r="854" spans="1:104" ht="25.5" x14ac:dyDescent="0.2">
      <c r="A854" s="176" t="str">
        <f t="shared" si="19"/>
        <v>lowestElevation</v>
      </c>
      <c r="B854" s="11" t="s">
        <v>10109</v>
      </c>
      <c r="C854" s="173"/>
      <c r="D854" s="22" t="s">
        <v>10110</v>
      </c>
      <c r="E854" s="15" t="s">
        <v>10111</v>
      </c>
      <c r="F854" s="174"/>
      <c r="G854" s="174"/>
      <c r="H854" s="17" t="s">
        <v>5932</v>
      </c>
      <c r="I854" s="269"/>
      <c r="J854" s="369" t="str">
        <f>HYPERLINK("[#]Datatypes!B1231:L1231","Real")</f>
        <v>Real</v>
      </c>
      <c r="K854" s="271" t="str">
        <f>HYPERLINK("[#]PhysicalQuantities!A20:N20","Length")</f>
        <v>Length</v>
      </c>
      <c r="L854" s="270" t="str">
        <f>HYPERLINK("[#]UnitsOfMeasure!D80:G80","Metre")</f>
        <v>Metre</v>
      </c>
      <c r="M854" s="272"/>
      <c r="N854" s="273"/>
      <c r="O854" s="269"/>
      <c r="P854" s="37">
        <v>117750</v>
      </c>
      <c r="Q854" s="36" t="str">
        <f>CONCATENATE(Cover!$D$6,"fdd/view?i=",P854)</f>
        <v>https://www.dgiwg.org/FAD/fdd/view?i=117750</v>
      </c>
      <c r="R854" s="13" t="s">
        <v>10108</v>
      </c>
      <c r="S854" s="172"/>
      <c r="T854" s="172"/>
      <c r="CP854" s="164" t="s">
        <v>1790</v>
      </c>
    </row>
    <row r="855" spans="1:104" x14ac:dyDescent="0.2">
      <c r="A855" s="176" t="str">
        <f t="shared" si="19"/>
        <v>lowestLevelGroundWater</v>
      </c>
      <c r="B855" s="11" t="s">
        <v>10113</v>
      </c>
      <c r="C855" s="173"/>
      <c r="D855" s="22" t="s">
        <v>10114</v>
      </c>
      <c r="E855" s="15" t="s">
        <v>10115</v>
      </c>
      <c r="F855" s="15" t="s">
        <v>9361</v>
      </c>
      <c r="G855" s="174"/>
      <c r="H855" s="17" t="s">
        <v>5932</v>
      </c>
      <c r="I855" s="269"/>
      <c r="J855" s="369" t="str">
        <f>HYPERLINK("[#]Datatypes!B1231:L1231","Real")</f>
        <v>Real</v>
      </c>
      <c r="K855" s="271" t="str">
        <f>HYPERLINK("[#]PhysicalQuantities!A20:N20","Length")</f>
        <v>Length</v>
      </c>
      <c r="L855" s="270" t="str">
        <f>HYPERLINK("[#]UnitsOfMeasure!D80:G80","Metre")</f>
        <v>Metre</v>
      </c>
      <c r="M855" s="272"/>
      <c r="N855" s="273"/>
      <c r="O855" s="269"/>
      <c r="P855" s="37">
        <v>110764</v>
      </c>
      <c r="Q855" s="36" t="str">
        <f>CONCATENATE(Cover!$D$6,"fdd/view?i=",P855)</f>
        <v>https://www.dgiwg.org/FAD/fdd/view?i=110764</v>
      </c>
      <c r="R855" s="13" t="s">
        <v>10112</v>
      </c>
      <c r="S855" s="172"/>
      <c r="T855" s="172"/>
      <c r="BP855" s="82" t="s">
        <v>1790</v>
      </c>
      <c r="CP855" s="164" t="s">
        <v>1790</v>
      </c>
    </row>
    <row r="856" spans="1:104" x14ac:dyDescent="0.2">
      <c r="A856" s="176" t="str">
        <f t="shared" si="19"/>
        <v>lowestOrthometricZValue</v>
      </c>
      <c r="B856" s="11" t="s">
        <v>10117</v>
      </c>
      <c r="C856" s="173"/>
      <c r="D856" s="22" t="s">
        <v>10118</v>
      </c>
      <c r="E856" s="15" t="s">
        <v>10119</v>
      </c>
      <c r="F856" s="15" t="s">
        <v>9366</v>
      </c>
      <c r="G856" s="174"/>
      <c r="H856" s="17" t="s">
        <v>5932</v>
      </c>
      <c r="I856" s="269"/>
      <c r="J856" s="369" t="str">
        <f>HYPERLINK("[#]Datatypes!B1231:L1231","Real")</f>
        <v>Real</v>
      </c>
      <c r="K856" s="271" t="str">
        <f>HYPERLINK("[#]PhysicalQuantities!A20:N20","Length")</f>
        <v>Length</v>
      </c>
      <c r="L856" s="270" t="str">
        <f>HYPERLINK("[#]UnitsOfMeasure!D80:G80","Metre")</f>
        <v>Metre</v>
      </c>
      <c r="M856" s="272"/>
      <c r="N856" s="273"/>
      <c r="O856" s="269"/>
      <c r="P856" s="37">
        <v>101534</v>
      </c>
      <c r="Q856" s="36" t="str">
        <f>CONCATENATE(Cover!$D$6,"fdd/view?i=",P856)</f>
        <v>https://www.dgiwg.org/FAD/fdd/view?i=101534</v>
      </c>
      <c r="R856" s="13" t="s">
        <v>10116</v>
      </c>
      <c r="S856" s="172"/>
      <c r="T856" s="172"/>
      <c r="BL856" s="81" t="s">
        <v>1790</v>
      </c>
      <c r="CP856" s="164" t="s">
        <v>1790</v>
      </c>
    </row>
    <row r="857" spans="1:104" ht="25.5" x14ac:dyDescent="0.2">
      <c r="A857" s="176" t="str">
        <f t="shared" si="19"/>
        <v>luminousRange</v>
      </c>
      <c r="B857" s="11" t="s">
        <v>10121</v>
      </c>
      <c r="C857" s="173"/>
      <c r="D857" s="22" t="s">
        <v>10122</v>
      </c>
      <c r="E857" s="15" t="s">
        <v>10123</v>
      </c>
      <c r="F857" s="15" t="s">
        <v>10124</v>
      </c>
      <c r="G857" s="174"/>
      <c r="H857" s="17" t="s">
        <v>5932</v>
      </c>
      <c r="I857" s="269"/>
      <c r="J857" s="369" t="str">
        <f>HYPERLINK("[#]Datatypes!B742:L742","Integer")</f>
        <v>Integer</v>
      </c>
      <c r="K857" s="271" t="str">
        <f>HYPERLINK("[#]PhysicalQuantities!A20:N20","Length")</f>
        <v>Length</v>
      </c>
      <c r="L857" s="270" t="str">
        <f>HYPERLINK("[#]UnitsOfMeasure!D94:G94","Nautical Mile")</f>
        <v>Nautical Mile</v>
      </c>
      <c r="M857" s="272"/>
      <c r="N857" s="273"/>
      <c r="O857" s="269"/>
      <c r="P857" s="37">
        <v>101017</v>
      </c>
      <c r="Q857" s="36" t="str">
        <f>CONCATENATE(Cover!$D$6,"fdd/view?i=",P857)</f>
        <v>https://www.dgiwg.org/FAD/fdd/view?i=101017</v>
      </c>
      <c r="R857" s="13" t="s">
        <v>10120</v>
      </c>
      <c r="S857" s="172"/>
      <c r="T857" s="172"/>
      <c r="AS857" s="82" t="s">
        <v>1790</v>
      </c>
      <c r="BF857" s="83" t="s">
        <v>1790</v>
      </c>
      <c r="CQ857" s="165" t="s">
        <v>1790</v>
      </c>
    </row>
    <row r="858" spans="1:104" ht="25.5" x14ac:dyDescent="0.2">
      <c r="A858" s="176" t="str">
        <f t="shared" si="19"/>
        <v>magnesiumConcentration</v>
      </c>
      <c r="B858" s="11" t="s">
        <v>10126</v>
      </c>
      <c r="C858" s="173"/>
      <c r="D858" s="22" t="s">
        <v>10127</v>
      </c>
      <c r="E858" s="15" t="s">
        <v>10128</v>
      </c>
      <c r="F858" s="15" t="s">
        <v>10129</v>
      </c>
      <c r="G858" s="174"/>
      <c r="H858" s="17" t="s">
        <v>5932</v>
      </c>
      <c r="I858" s="269"/>
      <c r="J858" s="369" t="str">
        <f>HYPERLINK("[#]Datatypes!B1231:L1231","Real")</f>
        <v>Real</v>
      </c>
      <c r="K858" s="271" t="str">
        <f>HYPERLINK("[#]PhysicalQuantities!A29:N29","Mass Density")</f>
        <v>Mass Density</v>
      </c>
      <c r="L858" s="270" t="str">
        <f>HYPERLINK("[#]UnitsOfMeasure!D140:G140","Gram per cubic Metre")</f>
        <v>Gram per cubic Metre</v>
      </c>
      <c r="M858" s="272"/>
      <c r="N858" s="273"/>
      <c r="O858" s="269"/>
      <c r="P858" s="37">
        <v>119403</v>
      </c>
      <c r="Q858" s="36" t="str">
        <f>CONCATENATE(Cover!$D$6,"fdd/view?i=",P858)</f>
        <v>https://www.dgiwg.org/FAD/fdd/view?i=119403</v>
      </c>
      <c r="R858" s="13" t="s">
        <v>10125</v>
      </c>
      <c r="S858" s="172"/>
      <c r="T858" s="172"/>
      <c r="BK858" s="89" t="s">
        <v>1790</v>
      </c>
      <c r="BP858" s="82" t="s">
        <v>1790</v>
      </c>
      <c r="CQ858" s="165" t="s">
        <v>1790</v>
      </c>
    </row>
    <row r="859" spans="1:104" ht="25.5" x14ac:dyDescent="0.2">
      <c r="A859" s="176" t="str">
        <f t="shared" si="19"/>
        <v>madSignature</v>
      </c>
      <c r="B859" s="11" t="s">
        <v>10131</v>
      </c>
      <c r="C859" s="173"/>
      <c r="D859" s="22" t="s">
        <v>10132</v>
      </c>
      <c r="E859" s="15" t="s">
        <v>10133</v>
      </c>
      <c r="F859" s="174"/>
      <c r="G859" s="174"/>
      <c r="H859" s="17" t="s">
        <v>5932</v>
      </c>
      <c r="I859" s="269"/>
      <c r="J859" s="369" t="str">
        <f>HYPERLINK("[#]Datatypes!B848:L848","MadCode")</f>
        <v>MadCode</v>
      </c>
      <c r="K859" s="276"/>
      <c r="L859" s="272"/>
      <c r="M859" s="272"/>
      <c r="N859" s="248" t="str">
        <f>HYPERLINK("[#]DatatypeListedValues!A5371:H5371","&lt;values&gt;")</f>
        <v>&lt;values&gt;</v>
      </c>
      <c r="O859" s="277" t="b">
        <v>0</v>
      </c>
      <c r="P859" s="37">
        <v>114422</v>
      </c>
      <c r="Q859" s="36" t="str">
        <f>CONCATENATE(Cover!$D$6,"fdd/view?i=",P859)</f>
        <v>https://www.dgiwg.org/FAD/fdd/view?i=114422</v>
      </c>
      <c r="R859" s="13" t="s">
        <v>10130</v>
      </c>
      <c r="S859" s="172"/>
      <c r="T859" s="172"/>
      <c r="BS859" s="82" t="s">
        <v>1790</v>
      </c>
      <c r="CQ859" s="165" t="s">
        <v>1790</v>
      </c>
    </row>
    <row r="860" spans="1:104" ht="25.5" x14ac:dyDescent="0.2">
      <c r="A860" s="176" t="str">
        <f t="shared" si="19"/>
        <v>magneticBearing</v>
      </c>
      <c r="B860" s="11" t="s">
        <v>10136</v>
      </c>
      <c r="C860" s="173"/>
      <c r="D860" s="22" t="s">
        <v>10137</v>
      </c>
      <c r="E860" s="15" t="s">
        <v>10138</v>
      </c>
      <c r="F860" s="174"/>
      <c r="G860" s="174"/>
      <c r="H860" s="17" t="s">
        <v>5932</v>
      </c>
      <c r="I860" s="269"/>
      <c r="J860" s="369" t="str">
        <f>HYPERLINK("[#]Datatypes!B1231:L1231","Real")</f>
        <v>Real</v>
      </c>
      <c r="K860" s="271" t="str">
        <f>HYPERLINK("[#]PhysicalQuantities!A34:N34","Plane Angle")</f>
        <v>Plane Angle</v>
      </c>
      <c r="L860" s="270" t="str">
        <f>HYPERLINK("[#]UnitsOfMeasure!D159:G159","Arc Degree")</f>
        <v>Arc Degree</v>
      </c>
      <c r="M860" s="272"/>
      <c r="N860" s="273"/>
      <c r="O860" s="269"/>
      <c r="P860" s="37">
        <v>117533</v>
      </c>
      <c r="Q860" s="36" t="str">
        <f>CONCATENATE(Cover!$D$6,"fdd/view?i=",P860)</f>
        <v>https://www.dgiwg.org/FAD/fdd/view?i=117533</v>
      </c>
      <c r="R860" s="13" t="s">
        <v>10135</v>
      </c>
      <c r="S860" s="172"/>
      <c r="T860" s="172"/>
      <c r="CF860" s="83" t="s">
        <v>1790</v>
      </c>
      <c r="CI860" s="89" t="s">
        <v>1790</v>
      </c>
    </row>
    <row r="861" spans="1:104" x14ac:dyDescent="0.2">
      <c r="A861" s="176" t="str">
        <f t="shared" si="19"/>
        <v>magneticBearingTheta</v>
      </c>
      <c r="B861" s="11" t="s">
        <v>10140</v>
      </c>
      <c r="C861" s="173"/>
      <c r="D861" s="22" t="s">
        <v>10141</v>
      </c>
      <c r="E861" s="15" t="s">
        <v>10142</v>
      </c>
      <c r="F861" s="174"/>
      <c r="G861" s="174"/>
      <c r="H861" s="17" t="s">
        <v>5932</v>
      </c>
      <c r="I861" s="269"/>
      <c r="J861" s="369" t="str">
        <f>HYPERLINK("[#]Datatypes!B1231:L1231","Real")</f>
        <v>Real</v>
      </c>
      <c r="K861" s="271" t="str">
        <f>HYPERLINK("[#]PhysicalQuantities!A34:N34","Plane Angle")</f>
        <v>Plane Angle</v>
      </c>
      <c r="L861" s="270" t="str">
        <f>HYPERLINK("[#]UnitsOfMeasure!D159:G159","Arc Degree")</f>
        <v>Arc Degree</v>
      </c>
      <c r="M861" s="272"/>
      <c r="N861" s="273"/>
      <c r="O861" s="269"/>
      <c r="P861" s="37">
        <v>117724</v>
      </c>
      <c r="Q861" s="36" t="str">
        <f>CONCATENATE(Cover!$D$6,"fdd/view?i=",P861)</f>
        <v>https://www.dgiwg.org/FAD/fdd/view?i=117724</v>
      </c>
      <c r="R861" s="13" t="s">
        <v>10139</v>
      </c>
      <c r="S861" s="172"/>
      <c r="T861" s="172"/>
      <c r="CI861" s="89" t="s">
        <v>1790</v>
      </c>
    </row>
    <row r="862" spans="1:104" ht="51" x14ac:dyDescent="0.2">
      <c r="A862" s="176" t="str">
        <f t="shared" si="19"/>
        <v>magneticBearingAcc</v>
      </c>
      <c r="B862" s="11" t="s">
        <v>10144</v>
      </c>
      <c r="C862" s="173"/>
      <c r="D862" s="22" t="s">
        <v>10145</v>
      </c>
      <c r="E862" s="15" t="s">
        <v>10146</v>
      </c>
      <c r="F862" s="174"/>
      <c r="G862" s="174"/>
      <c r="H862" s="17" t="s">
        <v>5932</v>
      </c>
      <c r="I862" s="269"/>
      <c r="J862" s="369" t="str">
        <f>HYPERLINK("[#]Datatypes!B1048:L1048","RealNonNegative")</f>
        <v>RealNonNegative</v>
      </c>
      <c r="K862" s="271" t="str">
        <f>HYPERLINK("[#]PhysicalQuantities!A34:N34","Plane Angle")</f>
        <v>Plane Angle</v>
      </c>
      <c r="L862" s="270" t="str">
        <f>HYPERLINK("[#]UnitsOfMeasure!D159:G159","Arc Degree")</f>
        <v>Arc Degree</v>
      </c>
      <c r="M862" s="272"/>
      <c r="N862" s="273"/>
      <c r="O862" s="269"/>
      <c r="P862" s="37">
        <v>119585</v>
      </c>
      <c r="Q862" s="36" t="str">
        <f>CONCATENATE(Cover!$D$6,"fdd/view?i=",P862)</f>
        <v>https://www.dgiwg.org/FAD/fdd/view?i=119585</v>
      </c>
      <c r="R862" s="13" t="s">
        <v>10143</v>
      </c>
      <c r="S862" s="172"/>
      <c r="T862" s="172"/>
      <c r="AT862" s="82" t="s">
        <v>1790</v>
      </c>
      <c r="BS862" s="82" t="s">
        <v>1790</v>
      </c>
      <c r="CZ862" s="165" t="s">
        <v>1790</v>
      </c>
    </row>
    <row r="863" spans="1:104" ht="25.5" x14ac:dyDescent="0.2">
      <c r="A863" s="176" t="str">
        <f t="shared" si="19"/>
        <v>magneticIntensity</v>
      </c>
      <c r="B863" s="11" t="s">
        <v>10148</v>
      </c>
      <c r="C863" s="173"/>
      <c r="D863" s="22" t="s">
        <v>10149</v>
      </c>
      <c r="E863" s="15" t="s">
        <v>10150</v>
      </c>
      <c r="F863" s="174"/>
      <c r="G863" s="174"/>
      <c r="H863" s="17" t="s">
        <v>5932</v>
      </c>
      <c r="I863" s="269"/>
      <c r="J863" s="369" t="str">
        <f>HYPERLINK("[#]Datatypes!B1231:L1231","Real")</f>
        <v>Real</v>
      </c>
      <c r="K863" s="271" t="str">
        <f>HYPERLINK("[#]PhysicalQuantities!A26:N26","Magnetic Flux Density")</f>
        <v>Magnetic Flux Density</v>
      </c>
      <c r="L863" s="270" t="str">
        <f>HYPERLINK("[#]UnitsOfMeasure!D122:G122","Nanotesla")</f>
        <v>Nanotesla</v>
      </c>
      <c r="M863" s="272"/>
      <c r="N863" s="273"/>
      <c r="O863" s="269"/>
      <c r="P863" s="37">
        <v>114480</v>
      </c>
      <c r="Q863" s="36" t="str">
        <f>CONCATENATE(Cover!$D$6,"fdd/view?i=",P863)</f>
        <v>https://www.dgiwg.org/FAD/fdd/view?i=114480</v>
      </c>
      <c r="R863" s="13" t="s">
        <v>10147</v>
      </c>
      <c r="S863" s="172"/>
      <c r="T863" s="172"/>
      <c r="BS863" s="82" t="s">
        <v>1790</v>
      </c>
      <c r="CQ863" s="165" t="s">
        <v>1790</v>
      </c>
    </row>
    <row r="864" spans="1:104" ht="38.25" x14ac:dyDescent="0.2">
      <c r="A864" s="176" t="str">
        <f t="shared" si="19"/>
        <v>magneticTrack</v>
      </c>
      <c r="B864" s="11" t="s">
        <v>10152</v>
      </c>
      <c r="C864" s="173"/>
      <c r="D864" s="22" t="s">
        <v>10153</v>
      </c>
      <c r="E864" s="15" t="s">
        <v>10154</v>
      </c>
      <c r="F864" s="174"/>
      <c r="G864" s="174"/>
      <c r="H864" s="17" t="s">
        <v>5932</v>
      </c>
      <c r="I864" s="269"/>
      <c r="J864" s="369" t="str">
        <f>HYPERLINK("[#]Datatypes!B1231:L1231","Real")</f>
        <v>Real</v>
      </c>
      <c r="K864" s="271" t="str">
        <f>HYPERLINK("[#]PhysicalQuantities!A34:N34","Plane Angle")</f>
        <v>Plane Angle</v>
      </c>
      <c r="L864" s="270" t="str">
        <f>HYPERLINK("[#]UnitsOfMeasure!D159:G159","Arc Degree")</f>
        <v>Arc Degree</v>
      </c>
      <c r="M864" s="272"/>
      <c r="N864" s="273"/>
      <c r="O864" s="269"/>
      <c r="P864" s="37">
        <v>117615</v>
      </c>
      <c r="Q864" s="36" t="str">
        <f>CONCATENATE(Cover!$D$6,"fdd/view?i=",P864)</f>
        <v>https://www.dgiwg.org/FAD/fdd/view?i=117615</v>
      </c>
      <c r="R864" s="13" t="s">
        <v>10151</v>
      </c>
      <c r="S864" s="172"/>
      <c r="T864" s="172"/>
      <c r="CF864" s="83" t="s">
        <v>1790</v>
      </c>
      <c r="CI864" s="89" t="s">
        <v>1790</v>
      </c>
    </row>
    <row r="865" spans="1:101" ht="51" x14ac:dyDescent="0.2">
      <c r="A865" s="176" t="str">
        <f t="shared" si="19"/>
        <v>magneticVariation</v>
      </c>
      <c r="B865" s="11" t="s">
        <v>10156</v>
      </c>
      <c r="C865" s="173"/>
      <c r="D865" s="22" t="s">
        <v>10157</v>
      </c>
      <c r="E865" s="15" t="s">
        <v>10158</v>
      </c>
      <c r="F865" s="15" t="s">
        <v>8272</v>
      </c>
      <c r="G865" s="15" t="s">
        <v>10159</v>
      </c>
      <c r="H865" s="17" t="s">
        <v>5932</v>
      </c>
      <c r="I865" s="269"/>
      <c r="J865" s="369" t="str">
        <f>HYPERLINK("[#]Datatypes!B1231:L1231","Real")</f>
        <v>Real</v>
      </c>
      <c r="K865" s="271" t="str">
        <f>HYPERLINK("[#]PhysicalQuantities!A34:N34","Plane Angle")</f>
        <v>Plane Angle</v>
      </c>
      <c r="L865" s="270" t="str">
        <f>HYPERLINK("[#]UnitsOfMeasure!D159:G159","Arc Degree")</f>
        <v>Arc Degree</v>
      </c>
      <c r="M865" s="272"/>
      <c r="N865" s="273"/>
      <c r="O865" s="269"/>
      <c r="P865" s="37">
        <v>117618</v>
      </c>
      <c r="Q865" s="36" t="str">
        <f>CONCATENATE(Cover!$D$6,"fdd/view?i=",P865)</f>
        <v>https://www.dgiwg.org/FAD/fdd/view?i=117618</v>
      </c>
      <c r="R865" s="13" t="s">
        <v>10155</v>
      </c>
      <c r="S865" s="172"/>
      <c r="T865" s="172"/>
      <c r="CE865" s="87" t="s">
        <v>1790</v>
      </c>
      <c r="CG865" s="83" t="s">
        <v>1790</v>
      </c>
    </row>
    <row r="866" spans="1:101" ht="38.25" x14ac:dyDescent="0.2">
      <c r="A866" s="176" t="str">
        <f t="shared" si="19"/>
        <v>magneticVarAnomaly</v>
      </c>
      <c r="B866" s="11" t="s">
        <v>10161</v>
      </c>
      <c r="C866" s="173"/>
      <c r="D866" s="22" t="s">
        <v>10162</v>
      </c>
      <c r="E866" s="15" t="s">
        <v>10163</v>
      </c>
      <c r="F866" s="15" t="s">
        <v>10164</v>
      </c>
      <c r="G866" s="15" t="s">
        <v>10165</v>
      </c>
      <c r="H866" s="17" t="s">
        <v>5932</v>
      </c>
      <c r="I866" s="269"/>
      <c r="J866" s="369" t="str">
        <f>HYPERLINK("[#]Datatypes!B1233:L1233","RealInterval")</f>
        <v>RealInterval</v>
      </c>
      <c r="K866" s="271" t="str">
        <f>HYPERLINK("[#]PhysicalQuantities!A34:N34","Plane Angle")</f>
        <v>Plane Angle</v>
      </c>
      <c r="L866" s="270" t="str">
        <f>HYPERLINK("[#]UnitsOfMeasure!D159:G159","Arc Degree")</f>
        <v>Arc Degree</v>
      </c>
      <c r="M866" s="272"/>
      <c r="N866" s="273"/>
      <c r="O866" s="269"/>
      <c r="P866" s="37">
        <v>101430</v>
      </c>
      <c r="Q866" s="36" t="str">
        <f>CONCATENATE(Cover!$D$6,"fdd/view?i=",P866)</f>
        <v>https://www.dgiwg.org/FAD/fdd/view?i=101430</v>
      </c>
      <c r="R866" s="13" t="s">
        <v>10160</v>
      </c>
      <c r="S866" s="172"/>
      <c r="T866" s="172"/>
      <c r="BS866" s="82" t="s">
        <v>1790</v>
      </c>
      <c r="CQ866" s="165" t="s">
        <v>1790</v>
      </c>
    </row>
    <row r="867" spans="1:101" ht="25.5" x14ac:dyDescent="0.2">
      <c r="A867" s="176" t="str">
        <f t="shared" si="19"/>
        <v>magneticVarAnomalyDes</v>
      </c>
      <c r="B867" s="11" t="s">
        <v>10167</v>
      </c>
      <c r="C867" s="173"/>
      <c r="D867" s="22" t="s">
        <v>10168</v>
      </c>
      <c r="E867" s="15" t="s">
        <v>10169</v>
      </c>
      <c r="F867" s="15" t="s">
        <v>10170</v>
      </c>
      <c r="G867" s="15" t="s">
        <v>10171</v>
      </c>
      <c r="H867" s="17" t="s">
        <v>5932</v>
      </c>
      <c r="I867" s="269"/>
      <c r="J867" s="369" t="str">
        <f>HYPERLINK("[#]Datatypes!B1542:L1542","TextLex80")</f>
        <v>TextLex80</v>
      </c>
      <c r="K867" s="276"/>
      <c r="L867" s="272"/>
      <c r="M867" s="272"/>
      <c r="N867" s="273"/>
      <c r="O867" s="269"/>
      <c r="P867" s="37">
        <v>101427</v>
      </c>
      <c r="Q867" s="36" t="str">
        <f>CONCATENATE(Cover!$D$6,"fdd/view?i=",P867)</f>
        <v>https://www.dgiwg.org/FAD/fdd/view?i=101427</v>
      </c>
      <c r="R867" s="13" t="s">
        <v>10166</v>
      </c>
      <c r="S867" s="172"/>
      <c r="T867" s="172"/>
      <c r="BS867" s="82" t="s">
        <v>1790</v>
      </c>
      <c r="CW867" s="164" t="s">
        <v>1790</v>
      </c>
    </row>
    <row r="868" spans="1:101" x14ac:dyDescent="0.2">
      <c r="A868" s="176" t="str">
        <f t="shared" si="19"/>
        <v>magneticVariationDate</v>
      </c>
      <c r="B868" s="11" t="s">
        <v>10173</v>
      </c>
      <c r="C868" s="173"/>
      <c r="D868" s="22" t="s">
        <v>10174</v>
      </c>
      <c r="E868" s="15" t="s">
        <v>10175</v>
      </c>
      <c r="F868" s="174"/>
      <c r="G868" s="174"/>
      <c r="H868" s="17" t="s">
        <v>5932</v>
      </c>
      <c r="I868" s="269"/>
      <c r="J868" s="369" t="str">
        <f>HYPERLINK("[#]Datatypes!B850:L850","MvdStrucText")</f>
        <v>MvdStrucText</v>
      </c>
      <c r="K868" s="276"/>
      <c r="L868" s="272"/>
      <c r="M868" s="272"/>
      <c r="N868" s="273"/>
      <c r="O868" s="269"/>
      <c r="P868" s="37">
        <v>117612</v>
      </c>
      <c r="Q868" s="36" t="str">
        <f>CONCATENATE(Cover!$D$6,"fdd/view?i=",P868)</f>
        <v>https://www.dgiwg.org/FAD/fdd/view?i=117612</v>
      </c>
      <c r="R868" s="13" t="s">
        <v>10172</v>
      </c>
      <c r="S868" s="172"/>
      <c r="T868" s="172"/>
      <c r="CE868" s="87" t="s">
        <v>1790</v>
      </c>
      <c r="CG868" s="83" t="s">
        <v>1790</v>
      </c>
    </row>
    <row r="869" spans="1:101" x14ac:dyDescent="0.2">
      <c r="A869" s="176" t="str">
        <f t="shared" si="19"/>
        <v>mainSupplyRoute</v>
      </c>
      <c r="B869" s="11" t="s">
        <v>10178</v>
      </c>
      <c r="C869" s="173"/>
      <c r="D869" s="22" t="s">
        <v>3956</v>
      </c>
      <c r="E869" s="15" t="s">
        <v>10179</v>
      </c>
      <c r="F869" s="174"/>
      <c r="G869" s="174"/>
      <c r="H869" s="17" t="s">
        <v>5932</v>
      </c>
      <c r="I869" s="269"/>
      <c r="J869" s="369" t="str">
        <f>HYPERLINK("[#]Datatypes!B240:L240","Boolean")</f>
        <v>Boolean</v>
      </c>
      <c r="K869" s="276"/>
      <c r="L869" s="272"/>
      <c r="M869" s="272"/>
      <c r="N869" s="273"/>
      <c r="O869" s="269"/>
      <c r="P869" s="37">
        <v>119578</v>
      </c>
      <c r="Q869" s="36" t="str">
        <f>CONCATENATE(Cover!$D$6,"fdd/view?i=",P869)</f>
        <v>https://www.dgiwg.org/FAD/fdd/view?i=119578</v>
      </c>
      <c r="R869" s="13" t="s">
        <v>10177</v>
      </c>
      <c r="S869" s="172"/>
      <c r="T869" s="172"/>
      <c r="AP869" s="81" t="s">
        <v>1790</v>
      </c>
      <c r="AQ869" s="82" t="s">
        <v>1790</v>
      </c>
      <c r="AR869" s="82" t="s">
        <v>1790</v>
      </c>
      <c r="AS869" s="82" t="s">
        <v>1790</v>
      </c>
      <c r="AT869" s="82" t="s">
        <v>1790</v>
      </c>
      <c r="AY869" s="85" t="s">
        <v>1790</v>
      </c>
      <c r="BF869" s="83" t="s">
        <v>1790</v>
      </c>
      <c r="CF869" s="83" t="s">
        <v>1790</v>
      </c>
      <c r="CL869" s="85" t="s">
        <v>1790</v>
      </c>
      <c r="CT869" s="166" t="s">
        <v>1790</v>
      </c>
    </row>
    <row r="870" spans="1:101" x14ac:dyDescent="0.2">
      <c r="A870" s="176" t="str">
        <f t="shared" si="19"/>
        <v>maintained</v>
      </c>
      <c r="B870" s="11" t="s">
        <v>10181</v>
      </c>
      <c r="C870" s="173"/>
      <c r="D870" s="22" t="s">
        <v>10182</v>
      </c>
      <c r="E870" s="15" t="s">
        <v>10183</v>
      </c>
      <c r="F870" s="174"/>
      <c r="G870" s="174"/>
      <c r="H870" s="17" t="s">
        <v>5932</v>
      </c>
      <c r="I870" s="269"/>
      <c r="J870" s="369" t="str">
        <f>HYPERLINK("[#]Datatypes!B240:L240","Boolean")</f>
        <v>Boolean</v>
      </c>
      <c r="K870" s="276"/>
      <c r="L870" s="272"/>
      <c r="M870" s="272"/>
      <c r="N870" s="273"/>
      <c r="O870" s="269"/>
      <c r="P870" s="37">
        <v>101026</v>
      </c>
      <c r="Q870" s="36" t="str">
        <f>CONCATENATE(Cover!$D$6,"fdd/view?i=",P870)</f>
        <v>https://www.dgiwg.org/FAD/fdd/view?i=101026</v>
      </c>
      <c r="R870" s="13" t="s">
        <v>10180</v>
      </c>
      <c r="S870" s="172"/>
      <c r="T870" s="172"/>
      <c r="CT870" s="166" t="s">
        <v>1790</v>
      </c>
    </row>
    <row r="871" spans="1:101" x14ac:dyDescent="0.2">
      <c r="A871" s="176" t="str">
        <f t="shared" si="19"/>
        <v>maleLifeExpectancy</v>
      </c>
      <c r="B871" s="11" t="s">
        <v>10185</v>
      </c>
      <c r="C871" s="173"/>
      <c r="D871" s="22" t="s">
        <v>10186</v>
      </c>
      <c r="E871" s="15" t="s">
        <v>10187</v>
      </c>
      <c r="F871" s="174"/>
      <c r="G871" s="174"/>
      <c r="H871" s="17" t="s">
        <v>5932</v>
      </c>
      <c r="I871" s="269"/>
      <c r="J871" s="369" t="str">
        <f>HYPERLINK("[#]Datatypes!B1231:L1231","Real")</f>
        <v>Real</v>
      </c>
      <c r="K871" s="271" t="str">
        <f>HYPERLINK("[#]PhysicalQuantities!A51:N51","Time")</f>
        <v>Time</v>
      </c>
      <c r="L871" s="270" t="str">
        <f>HYPERLINK("[#]UnitsOfMeasure!D264:G264","Tropical Year")</f>
        <v>Tropical Year</v>
      </c>
      <c r="M871" s="272"/>
      <c r="N871" s="273"/>
      <c r="O871" s="269"/>
      <c r="P871" s="37">
        <v>111615</v>
      </c>
      <c r="Q871" s="36" t="str">
        <f>CONCATENATE(Cover!$D$6,"fdd/view?i=",P871)</f>
        <v>https://www.dgiwg.org/FAD/fdd/view?i=111615</v>
      </c>
      <c r="R871" s="13" t="s">
        <v>10184</v>
      </c>
      <c r="S871" s="172"/>
      <c r="T871" s="172"/>
      <c r="AO871" s="89" t="s">
        <v>1790</v>
      </c>
      <c r="CQ871" s="165" t="s">
        <v>1790</v>
      </c>
    </row>
    <row r="872" spans="1:101" x14ac:dyDescent="0.2">
      <c r="A872" s="176" t="str">
        <f t="shared" si="19"/>
        <v>malePopulation</v>
      </c>
      <c r="B872" s="11" t="s">
        <v>10189</v>
      </c>
      <c r="C872" s="173"/>
      <c r="D872" s="22" t="s">
        <v>10190</v>
      </c>
      <c r="E872" s="15" t="s">
        <v>10191</v>
      </c>
      <c r="F872" s="174"/>
      <c r="G872" s="174"/>
      <c r="H872" s="17" t="s">
        <v>5932</v>
      </c>
      <c r="I872" s="269"/>
      <c r="J872" s="369" t="str">
        <f>HYPERLINK("[#]Datatypes!B380:L380","Count")</f>
        <v>Count</v>
      </c>
      <c r="K872" s="276"/>
      <c r="L872" s="272"/>
      <c r="M872" s="272"/>
      <c r="N872" s="273"/>
      <c r="O872" s="269"/>
      <c r="P872" s="37">
        <v>111671</v>
      </c>
      <c r="Q872" s="36" t="str">
        <f>CONCATENATE(Cover!$D$6,"fdd/view?i=",P872)</f>
        <v>https://www.dgiwg.org/FAD/fdd/view?i=111671</v>
      </c>
      <c r="R872" s="13" t="s">
        <v>10188</v>
      </c>
      <c r="S872" s="172"/>
      <c r="T872" s="172"/>
      <c r="AO872" s="89" t="s">
        <v>1790</v>
      </c>
      <c r="CQ872" s="165" t="s">
        <v>1790</v>
      </c>
    </row>
    <row r="873" spans="1:101" ht="25.5" x14ac:dyDescent="0.2">
      <c r="A873" s="176" t="str">
        <f t="shared" si="19"/>
        <v>malePopFrac0_14</v>
      </c>
      <c r="B873" s="11" t="s">
        <v>10193</v>
      </c>
      <c r="C873" s="173"/>
      <c r="D873" s="22" t="s">
        <v>10194</v>
      </c>
      <c r="E873" s="15" t="s">
        <v>10195</v>
      </c>
      <c r="F873" s="174"/>
      <c r="G873" s="174"/>
      <c r="H873" s="17" t="s">
        <v>5932</v>
      </c>
      <c r="I873" s="269"/>
      <c r="J873" s="369" t="str">
        <f>HYPERLINK("[#]Datatypes!B1231:L1231","Real")</f>
        <v>Real</v>
      </c>
      <c r="K873" s="271" t="str">
        <f>HYPERLINK("[#]PhysicalQuantities!A39:N39","Pure Number")</f>
        <v>Pure Number</v>
      </c>
      <c r="L873" s="270" t="str">
        <f>HYPERLINK("[#]UnitsOfMeasure!D215:G215","Percent")</f>
        <v>Percent</v>
      </c>
      <c r="M873" s="272"/>
      <c r="N873" s="273"/>
      <c r="O873" s="269"/>
      <c r="P873" s="37">
        <v>111628</v>
      </c>
      <c r="Q873" s="36" t="str">
        <f>CONCATENATE(Cover!$D$6,"fdd/view?i=",P873)</f>
        <v>https://www.dgiwg.org/FAD/fdd/view?i=111628</v>
      </c>
      <c r="R873" s="13" t="s">
        <v>10192</v>
      </c>
      <c r="S873" s="172"/>
      <c r="T873" s="172"/>
      <c r="AO873" s="89" t="s">
        <v>1790</v>
      </c>
      <c r="CQ873" s="165" t="s">
        <v>1790</v>
      </c>
    </row>
    <row r="874" spans="1:101" ht="25.5" x14ac:dyDescent="0.2">
      <c r="A874" s="176" t="str">
        <f t="shared" si="19"/>
        <v>malePopFrac15_44</v>
      </c>
      <c r="B874" s="11" t="s">
        <v>10197</v>
      </c>
      <c r="C874" s="173"/>
      <c r="D874" s="22" t="s">
        <v>10198</v>
      </c>
      <c r="E874" s="15" t="s">
        <v>10199</v>
      </c>
      <c r="F874" s="174"/>
      <c r="G874" s="174"/>
      <c r="H874" s="17" t="s">
        <v>5932</v>
      </c>
      <c r="I874" s="269"/>
      <c r="J874" s="369" t="str">
        <f>HYPERLINK("[#]Datatypes!B1231:L1231","Real")</f>
        <v>Real</v>
      </c>
      <c r="K874" s="271" t="str">
        <f>HYPERLINK("[#]PhysicalQuantities!A39:N39","Pure Number")</f>
        <v>Pure Number</v>
      </c>
      <c r="L874" s="270" t="str">
        <f>HYPERLINK("[#]UnitsOfMeasure!D215:G215","Percent")</f>
        <v>Percent</v>
      </c>
      <c r="M874" s="272"/>
      <c r="N874" s="273"/>
      <c r="O874" s="269"/>
      <c r="P874" s="37">
        <v>111629</v>
      </c>
      <c r="Q874" s="36" t="str">
        <f>CONCATENATE(Cover!$D$6,"fdd/view?i=",P874)</f>
        <v>https://www.dgiwg.org/FAD/fdd/view?i=111629</v>
      </c>
      <c r="R874" s="13" t="s">
        <v>10196</v>
      </c>
      <c r="S874" s="172"/>
      <c r="T874" s="172"/>
      <c r="AO874" s="89" t="s">
        <v>1790</v>
      </c>
      <c r="CQ874" s="165" t="s">
        <v>1790</v>
      </c>
    </row>
    <row r="875" spans="1:101" ht="25.5" x14ac:dyDescent="0.2">
      <c r="A875" s="176" t="str">
        <f t="shared" si="19"/>
        <v>malePopFrac45_64</v>
      </c>
      <c r="B875" s="11" t="s">
        <v>10201</v>
      </c>
      <c r="C875" s="173"/>
      <c r="D875" s="22" t="s">
        <v>10202</v>
      </c>
      <c r="E875" s="15" t="s">
        <v>10203</v>
      </c>
      <c r="F875" s="174"/>
      <c r="G875" s="174"/>
      <c r="H875" s="17" t="s">
        <v>5932</v>
      </c>
      <c r="I875" s="269"/>
      <c r="J875" s="369" t="str">
        <f>HYPERLINK("[#]Datatypes!B1231:L1231","Real")</f>
        <v>Real</v>
      </c>
      <c r="K875" s="271" t="str">
        <f>HYPERLINK("[#]PhysicalQuantities!A39:N39","Pure Number")</f>
        <v>Pure Number</v>
      </c>
      <c r="L875" s="270" t="str">
        <f>HYPERLINK("[#]UnitsOfMeasure!D215:G215","Percent")</f>
        <v>Percent</v>
      </c>
      <c r="M875" s="272"/>
      <c r="N875" s="273"/>
      <c r="O875" s="269"/>
      <c r="P875" s="37">
        <v>111630</v>
      </c>
      <c r="Q875" s="36" t="str">
        <f>CONCATENATE(Cover!$D$6,"fdd/view?i=",P875)</f>
        <v>https://www.dgiwg.org/FAD/fdd/view?i=111630</v>
      </c>
      <c r="R875" s="13" t="s">
        <v>10200</v>
      </c>
      <c r="S875" s="172"/>
      <c r="T875" s="172"/>
      <c r="AO875" s="89" t="s">
        <v>1790</v>
      </c>
      <c r="CQ875" s="165" t="s">
        <v>1790</v>
      </c>
    </row>
    <row r="876" spans="1:101" ht="25.5" x14ac:dyDescent="0.2">
      <c r="A876" s="176" t="str">
        <f t="shared" si="19"/>
        <v>malePopFrac65</v>
      </c>
      <c r="B876" s="11" t="s">
        <v>10205</v>
      </c>
      <c r="C876" s="173"/>
      <c r="D876" s="22" t="s">
        <v>10206</v>
      </c>
      <c r="E876" s="15" t="s">
        <v>10207</v>
      </c>
      <c r="F876" s="174"/>
      <c r="G876" s="174"/>
      <c r="H876" s="17" t="s">
        <v>5932</v>
      </c>
      <c r="I876" s="269"/>
      <c r="J876" s="369" t="str">
        <f>HYPERLINK("[#]Datatypes!B1231:L1231","Real")</f>
        <v>Real</v>
      </c>
      <c r="K876" s="271" t="str">
        <f>HYPERLINK("[#]PhysicalQuantities!A39:N39","Pure Number")</f>
        <v>Pure Number</v>
      </c>
      <c r="L876" s="270" t="str">
        <f>HYPERLINK("[#]UnitsOfMeasure!D215:G215","Percent")</f>
        <v>Percent</v>
      </c>
      <c r="M876" s="272"/>
      <c r="N876" s="273"/>
      <c r="O876" s="269"/>
      <c r="P876" s="37">
        <v>111631</v>
      </c>
      <c r="Q876" s="36" t="str">
        <f>CONCATENATE(Cover!$D$6,"fdd/view?i=",P876)</f>
        <v>https://www.dgiwg.org/FAD/fdd/view?i=111631</v>
      </c>
      <c r="R876" s="13" t="s">
        <v>10204</v>
      </c>
      <c r="S876" s="172"/>
      <c r="T876" s="172"/>
      <c r="AO876" s="89" t="s">
        <v>1790</v>
      </c>
      <c r="CQ876" s="165" t="s">
        <v>1790</v>
      </c>
    </row>
    <row r="877" spans="1:101" x14ac:dyDescent="0.2">
      <c r="A877" s="176" t="str">
        <f t="shared" si="19"/>
        <v>manMade</v>
      </c>
      <c r="B877" s="11" t="s">
        <v>10209</v>
      </c>
      <c r="C877" s="173"/>
      <c r="D877" s="22" t="s">
        <v>10210</v>
      </c>
      <c r="E877" s="15" t="s">
        <v>10211</v>
      </c>
      <c r="F877" s="174"/>
      <c r="G877" s="174"/>
      <c r="H877" s="17" t="s">
        <v>5932</v>
      </c>
      <c r="I877" s="269"/>
      <c r="J877" s="369" t="str">
        <f>HYPERLINK("[#]Datatypes!B240:L240","Boolean")</f>
        <v>Boolean</v>
      </c>
      <c r="K877" s="276"/>
      <c r="L877" s="272"/>
      <c r="M877" s="272"/>
      <c r="N877" s="273"/>
      <c r="O877" s="269"/>
      <c r="P877" s="37">
        <v>118917</v>
      </c>
      <c r="Q877" s="36" t="str">
        <f>CONCATENATE(Cover!$D$6,"fdd/view?i=",P877)</f>
        <v>https://www.dgiwg.org/FAD/fdd/view?i=118917</v>
      </c>
      <c r="R877" s="13" t="s">
        <v>10208</v>
      </c>
      <c r="S877" s="172"/>
      <c r="T877" s="172"/>
      <c r="CS877" s="165" t="s">
        <v>1790</v>
      </c>
    </row>
    <row r="878" spans="1:101" ht="25.5" x14ac:dyDescent="0.2">
      <c r="A878" s="176" t="str">
        <f t="shared" si="19"/>
        <v>manMadeShoreline</v>
      </c>
      <c r="B878" s="11" t="s">
        <v>10213</v>
      </c>
      <c r="C878" s="173"/>
      <c r="D878" s="22" t="s">
        <v>10214</v>
      </c>
      <c r="E878" s="15" t="s">
        <v>10215</v>
      </c>
      <c r="F878" s="174"/>
      <c r="G878" s="174"/>
      <c r="H878" s="17" t="s">
        <v>5932</v>
      </c>
      <c r="I878" s="269"/>
      <c r="J878" s="369" t="str">
        <f>HYPERLINK("[#]Datatypes!B240:L240","Boolean")</f>
        <v>Boolean</v>
      </c>
      <c r="K878" s="276"/>
      <c r="L878" s="272"/>
      <c r="M878" s="272"/>
      <c r="N878" s="273"/>
      <c r="O878" s="269"/>
      <c r="P878" s="37">
        <v>117795</v>
      </c>
      <c r="Q878" s="36" t="str">
        <f>CONCATENATE(Cover!$D$6,"fdd/view?i=",P878)</f>
        <v>https://www.dgiwg.org/FAD/fdd/view?i=117795</v>
      </c>
      <c r="R878" s="13" t="s">
        <v>10212</v>
      </c>
      <c r="S878" s="172"/>
      <c r="T878" s="172"/>
      <c r="BJ878" s="83" t="s">
        <v>1790</v>
      </c>
      <c r="CR878" s="165" t="s">
        <v>1790</v>
      </c>
    </row>
    <row r="879" spans="1:101" ht="25.5" x14ac:dyDescent="0.2">
      <c r="A879" s="176" t="str">
        <f t="shared" si="19"/>
        <v>manned</v>
      </c>
      <c r="B879" s="11" t="s">
        <v>10217</v>
      </c>
      <c r="C879" s="173"/>
      <c r="D879" s="22" t="s">
        <v>10218</v>
      </c>
      <c r="E879" s="15" t="s">
        <v>10219</v>
      </c>
      <c r="F879" s="15" t="s">
        <v>10220</v>
      </c>
      <c r="G879" s="174"/>
      <c r="H879" s="17" t="s">
        <v>5932</v>
      </c>
      <c r="I879" s="269"/>
      <c r="J879" s="369" t="str">
        <f>HYPERLINK("[#]Datatypes!B240:L240","Boolean")</f>
        <v>Boolean</v>
      </c>
      <c r="K879" s="276"/>
      <c r="L879" s="272"/>
      <c r="M879" s="272"/>
      <c r="N879" s="273"/>
      <c r="O879" s="269"/>
      <c r="P879" s="37">
        <v>119731</v>
      </c>
      <c r="Q879" s="36" t="str">
        <f>CONCATENATE(Cover!$D$6,"fdd/view?i=",P879)</f>
        <v>https://www.dgiwg.org/FAD/fdd/view?i=119731</v>
      </c>
      <c r="R879" s="13" t="s">
        <v>10216</v>
      </c>
      <c r="S879" s="172"/>
      <c r="T879" s="172"/>
      <c r="CT879" s="166" t="s">
        <v>1790</v>
      </c>
    </row>
    <row r="880" spans="1:101" ht="102" x14ac:dyDescent="0.2">
      <c r="A880" s="176" t="str">
        <f t="shared" si="19"/>
        <v>manufacturedBuilding</v>
      </c>
      <c r="B880" s="11" t="s">
        <v>10222</v>
      </c>
      <c r="C880" s="173"/>
      <c r="D880" s="22" t="s">
        <v>10223</v>
      </c>
      <c r="E880" s="15" t="s">
        <v>10224</v>
      </c>
      <c r="F880" s="15" t="s">
        <v>10225</v>
      </c>
      <c r="G880" s="174"/>
      <c r="H880" s="17" t="s">
        <v>5932</v>
      </c>
      <c r="I880" s="269"/>
      <c r="J880" s="369" t="str">
        <f>HYPERLINK("[#]Datatypes!B240:L240","Boolean")</f>
        <v>Boolean</v>
      </c>
      <c r="K880" s="276"/>
      <c r="L880" s="272"/>
      <c r="M880" s="272"/>
      <c r="N880" s="273"/>
      <c r="O880" s="269"/>
      <c r="P880" s="37">
        <v>119159</v>
      </c>
      <c r="Q880" s="36" t="str">
        <f>CONCATENATE(Cover!$D$6,"fdd/view?i=",P880)</f>
        <v>https://www.dgiwg.org/FAD/fdd/view?i=119159</v>
      </c>
      <c r="R880" s="13" t="s">
        <v>10221</v>
      </c>
      <c r="S880" s="172"/>
      <c r="T880" s="172"/>
      <c r="AI880" s="87" t="s">
        <v>1790</v>
      </c>
      <c r="CS880" s="165" t="s">
        <v>1790</v>
      </c>
      <c r="CT880" s="166" t="s">
        <v>1790</v>
      </c>
    </row>
    <row r="881" spans="1:98" x14ac:dyDescent="0.2">
      <c r="A881" s="176" t="str">
        <f t="shared" si="19"/>
        <v>manufacturingFacilityType</v>
      </c>
      <c r="B881" s="11" t="s">
        <v>10227</v>
      </c>
      <c r="C881" s="173"/>
      <c r="D881" s="22" t="s">
        <v>10228</v>
      </c>
      <c r="E881" s="15" t="s">
        <v>10229</v>
      </c>
      <c r="F881" s="174"/>
      <c r="G881" s="174"/>
      <c r="H881" s="17" t="s">
        <v>5932</v>
      </c>
      <c r="I881" s="269"/>
      <c r="J881" s="369" t="str">
        <f>HYPERLINK("[#]Datatypes!B852:L852","IcfCode")</f>
        <v>IcfCode</v>
      </c>
      <c r="K881" s="276"/>
      <c r="L881" s="272"/>
      <c r="M881" s="272"/>
      <c r="N881" s="248" t="str">
        <f>HYPERLINK("[#]DatatypeListedValues!A5375:H5375","&lt;values&gt;")</f>
        <v>&lt;values&gt;</v>
      </c>
      <c r="O881" s="277" t="b">
        <v>0</v>
      </c>
      <c r="P881" s="37">
        <v>100974</v>
      </c>
      <c r="Q881" s="36" t="str">
        <f>CONCATENATE(Cover!$D$6,"fdd/view?i=",P881)</f>
        <v>https://www.dgiwg.org/FAD/fdd/view?i=100974</v>
      </c>
      <c r="R881" s="13" t="s">
        <v>10226</v>
      </c>
      <c r="S881" s="172"/>
      <c r="T881" s="172"/>
      <c r="AB881" s="82" t="s">
        <v>1790</v>
      </c>
      <c r="CT881" s="166" t="s">
        <v>1790</v>
      </c>
    </row>
    <row r="882" spans="1:98" ht="89.25" x14ac:dyDescent="0.2">
      <c r="A882" s="176" t="str">
        <f t="shared" si="19"/>
        <v>marineBiogeography</v>
      </c>
      <c r="B882" s="11" t="s">
        <v>10232</v>
      </c>
      <c r="C882" s="173"/>
      <c r="D882" s="22" t="s">
        <v>10233</v>
      </c>
      <c r="E882" s="15" t="s">
        <v>10234</v>
      </c>
      <c r="F882" s="15" t="s">
        <v>10235</v>
      </c>
      <c r="G882" s="174"/>
      <c r="H882" s="17" t="s">
        <v>5932</v>
      </c>
      <c r="I882" s="269"/>
      <c r="J882" s="369" t="str">
        <f>HYPERLINK("[#]Datatypes!B854:L854","MbgCode")</f>
        <v>MbgCode</v>
      </c>
      <c r="K882" s="276"/>
      <c r="L882" s="272"/>
      <c r="M882" s="272"/>
      <c r="N882" s="248" t="str">
        <f>HYPERLINK("[#]DatatypeListedValues!A5403:H5403","&lt;values&gt;")</f>
        <v>&lt;values&gt;</v>
      </c>
      <c r="O882" s="277" t="b">
        <v>0</v>
      </c>
      <c r="P882" s="37">
        <v>119193</v>
      </c>
      <c r="Q882" s="36" t="str">
        <f>CONCATENATE(Cover!$D$6,"fdd/view?i=",P882)</f>
        <v>https://www.dgiwg.org/FAD/fdd/view?i=119193</v>
      </c>
      <c r="R882" s="13" t="s">
        <v>10231</v>
      </c>
      <c r="S882" s="172"/>
      <c r="T882" s="172"/>
      <c r="BG882" s="83" t="s">
        <v>1790</v>
      </c>
      <c r="CA882" s="83" t="s">
        <v>1790</v>
      </c>
      <c r="CB882" s="89" t="s">
        <v>1790</v>
      </c>
    </row>
    <row r="883" spans="1:98" x14ac:dyDescent="0.2">
      <c r="A883" s="176" t="str">
        <f t="shared" si="19"/>
        <v>marineFarmEncloseMethod</v>
      </c>
      <c r="B883" s="11" t="s">
        <v>10238</v>
      </c>
      <c r="C883" s="173"/>
      <c r="D883" s="22" t="s">
        <v>10239</v>
      </c>
      <c r="E883" s="15" t="s">
        <v>10240</v>
      </c>
      <c r="F883" s="174"/>
      <c r="G883" s="174"/>
      <c r="H883" s="17" t="s">
        <v>5932</v>
      </c>
      <c r="I883" s="269"/>
      <c r="J883" s="369" t="str">
        <f>HYPERLINK("[#]Datatypes!B856:L856","MfeCode")</f>
        <v>MfeCode</v>
      </c>
      <c r="K883" s="276"/>
      <c r="L883" s="272"/>
      <c r="M883" s="272"/>
      <c r="N883" s="248" t="str">
        <f>HYPERLINK("[#]DatatypeListedValues!A5407:H5407","&lt;values&gt;")</f>
        <v>&lt;values&gt;</v>
      </c>
      <c r="O883" s="277" t="b">
        <v>0</v>
      </c>
      <c r="P883" s="37">
        <v>117794</v>
      </c>
      <c r="Q883" s="36" t="str">
        <f>CONCATENATE(Cover!$D$6,"fdd/view?i=",P883)</f>
        <v>https://www.dgiwg.org/FAD/fdd/view?i=117794</v>
      </c>
      <c r="R883" s="13" t="s">
        <v>10237</v>
      </c>
      <c r="S883" s="172"/>
      <c r="T883" s="172"/>
      <c r="AC883" s="82" t="s">
        <v>1790</v>
      </c>
      <c r="AZ883" s="87" t="s">
        <v>1790</v>
      </c>
      <c r="BA883" s="83" t="s">
        <v>1790</v>
      </c>
      <c r="CR883" s="165" t="s">
        <v>1790</v>
      </c>
    </row>
    <row r="884" spans="1:98" ht="25.5" x14ac:dyDescent="0.2">
      <c r="A884" s="176" t="str">
        <f t="shared" si="19"/>
        <v>marineHabitatDepth</v>
      </c>
      <c r="B884" s="11" t="s">
        <v>10243</v>
      </c>
      <c r="C884" s="173"/>
      <c r="D884" s="22" t="s">
        <v>10244</v>
      </c>
      <c r="E884" s="15" t="s">
        <v>10245</v>
      </c>
      <c r="F884" s="174"/>
      <c r="G884" s="174"/>
      <c r="H884" s="17" t="s">
        <v>5932</v>
      </c>
      <c r="I884" s="269"/>
      <c r="J884" s="369" t="str">
        <f>HYPERLINK("[#]Datatypes!B1233:L1233","RealInterval")</f>
        <v>RealInterval</v>
      </c>
      <c r="K884" s="271" t="str">
        <f>HYPERLINK("[#]PhysicalQuantities!A20:N20","Length")</f>
        <v>Length</v>
      </c>
      <c r="L884" s="270" t="str">
        <f>HYPERLINK("[#]UnitsOfMeasure!D80:G80","Metre")</f>
        <v>Metre</v>
      </c>
      <c r="M884" s="272"/>
      <c r="N884" s="273"/>
      <c r="O884" s="269"/>
      <c r="P884" s="37">
        <v>119198</v>
      </c>
      <c r="Q884" s="36" t="str">
        <f>CONCATENATE(Cover!$D$6,"fdd/view?i=",P884)</f>
        <v>https://www.dgiwg.org/FAD/fdd/view?i=119198</v>
      </c>
      <c r="R884" s="13" t="s">
        <v>10242</v>
      </c>
      <c r="S884" s="172"/>
      <c r="T884" s="172"/>
      <c r="BG884" s="83" t="s">
        <v>1790</v>
      </c>
      <c r="CA884" s="83" t="s">
        <v>1790</v>
      </c>
      <c r="CB884" s="89" t="s">
        <v>1790</v>
      </c>
    </row>
    <row r="885" spans="1:98" ht="25.5" x14ac:dyDescent="0.2">
      <c r="A885" s="176" t="str">
        <f t="shared" si="19"/>
        <v>marineNavigationLineType</v>
      </c>
      <c r="B885" s="11" t="s">
        <v>10247</v>
      </c>
      <c r="C885" s="173"/>
      <c r="D885" s="22" t="s">
        <v>10248</v>
      </c>
      <c r="E885" s="15" t="s">
        <v>10249</v>
      </c>
      <c r="F885" s="174"/>
      <c r="G885" s="174"/>
      <c r="H885" s="17" t="s">
        <v>5932</v>
      </c>
      <c r="I885" s="269"/>
      <c r="J885" s="369" t="str">
        <f>HYPERLINK("[#]Datatypes!B858:L858","NlcCode")</f>
        <v>NlcCode</v>
      </c>
      <c r="K885" s="276"/>
      <c r="L885" s="272"/>
      <c r="M885" s="272"/>
      <c r="N885" s="248" t="str">
        <f>HYPERLINK("[#]DatatypeListedValues!A5410:H5410","&lt;values&gt;")</f>
        <v>&lt;values&gt;</v>
      </c>
      <c r="O885" s="277" t="b">
        <v>0</v>
      </c>
      <c r="P885" s="37">
        <v>101097</v>
      </c>
      <c r="Q885" s="36" t="str">
        <f>CONCATENATE(Cover!$D$6,"fdd/view?i=",P885)</f>
        <v>https://www.dgiwg.org/FAD/fdd/view?i=101097</v>
      </c>
      <c r="R885" s="13" t="s">
        <v>10246</v>
      </c>
      <c r="S885" s="172"/>
      <c r="T885" s="172"/>
      <c r="AS885" s="82" t="s">
        <v>1790</v>
      </c>
      <c r="BF885" s="83" t="s">
        <v>1790</v>
      </c>
      <c r="CT885" s="166" t="s">
        <v>1790</v>
      </c>
    </row>
    <row r="886" spans="1:98" ht="25.5" x14ac:dyDescent="0.2">
      <c r="A886" s="176" t="str">
        <f t="shared" si="19"/>
        <v>marineRescueStationType</v>
      </c>
      <c r="B886" s="11" t="s">
        <v>10252</v>
      </c>
      <c r="C886" s="173"/>
      <c r="D886" s="22" t="s">
        <v>10253</v>
      </c>
      <c r="E886" s="15" t="s">
        <v>10254</v>
      </c>
      <c r="F886" s="174"/>
      <c r="G886" s="174"/>
      <c r="H886" s="17" t="s">
        <v>5932</v>
      </c>
      <c r="I886" s="17" t="s">
        <v>6029</v>
      </c>
      <c r="J886" s="369" t="str">
        <f>HYPERLINK("[#]Datatypes!B860:L860","RscCode")</f>
        <v>RscCode</v>
      </c>
      <c r="K886" s="276"/>
      <c r="L886" s="272"/>
      <c r="M886" s="272"/>
      <c r="N886" s="248" t="str">
        <f>HYPERLINK("[#]DatatypeListedValues!A5413:H5413","&lt;values&gt;")</f>
        <v>&lt;values&gt;</v>
      </c>
      <c r="O886" s="277" t="b">
        <v>0</v>
      </c>
      <c r="P886" s="37">
        <v>101245</v>
      </c>
      <c r="Q886" s="36" t="str">
        <f>CONCATENATE(Cover!$D$6,"fdd/view?i=",P886)</f>
        <v>https://www.dgiwg.org/FAD/fdd/view?i=101245</v>
      </c>
      <c r="R886" s="13" t="s">
        <v>10251</v>
      </c>
      <c r="S886" s="172"/>
      <c r="T886" s="172"/>
      <c r="AS886" s="82" t="s">
        <v>1790</v>
      </c>
      <c r="AZ886" s="87" t="s">
        <v>1790</v>
      </c>
      <c r="BA886" s="83" t="s">
        <v>1790</v>
      </c>
      <c r="BF886" s="83" t="s">
        <v>1790</v>
      </c>
    </row>
    <row r="887" spans="1:98" ht="38.25" x14ac:dyDescent="0.2">
      <c r="A887" s="176" t="str">
        <f t="shared" si="19"/>
        <v>marineSpeciesHabitat</v>
      </c>
      <c r="B887" s="11" t="s">
        <v>10257</v>
      </c>
      <c r="C887" s="173"/>
      <c r="D887" s="22" t="s">
        <v>10258</v>
      </c>
      <c r="E887" s="15" t="s">
        <v>10259</v>
      </c>
      <c r="F887" s="15" t="s">
        <v>10260</v>
      </c>
      <c r="G887" s="174"/>
      <c r="H887" s="17" t="s">
        <v>5932</v>
      </c>
      <c r="I887" s="269"/>
      <c r="J887" s="369" t="str">
        <f>HYPERLINK("[#]Datatypes!B862:L862","MhaCode")</f>
        <v>MhaCode</v>
      </c>
      <c r="K887" s="276"/>
      <c r="L887" s="272"/>
      <c r="M887" s="272"/>
      <c r="N887" s="248" t="str">
        <f>HYPERLINK("[#]DatatypeListedValues!A5421:H5421","&lt;values&gt;")</f>
        <v>&lt;values&gt;</v>
      </c>
      <c r="O887" s="277" t="b">
        <v>0</v>
      </c>
      <c r="P887" s="37">
        <v>119197</v>
      </c>
      <c r="Q887" s="36" t="str">
        <f>CONCATENATE(Cover!$D$6,"fdd/view?i=",P887)</f>
        <v>https://www.dgiwg.org/FAD/fdd/view?i=119197</v>
      </c>
      <c r="R887" s="13" t="s">
        <v>10256</v>
      </c>
      <c r="S887" s="172"/>
      <c r="T887" s="172"/>
      <c r="AZ887" s="87" t="s">
        <v>1790</v>
      </c>
      <c r="BG887" s="83" t="s">
        <v>1790</v>
      </c>
      <c r="CA887" s="83" t="s">
        <v>1790</v>
      </c>
      <c r="CB887" s="89" t="s">
        <v>1790</v>
      </c>
    </row>
    <row r="888" spans="1:98" ht="25.5" x14ac:dyDescent="0.2">
      <c r="A888" s="176" t="str">
        <f t="shared" si="19"/>
        <v>marineWarningSignalType</v>
      </c>
      <c r="B888" s="11" t="s">
        <v>10263</v>
      </c>
      <c r="C888" s="173"/>
      <c r="D888" s="22" t="s">
        <v>10264</v>
      </c>
      <c r="E888" s="15" t="s">
        <v>10265</v>
      </c>
      <c r="F888" s="174"/>
      <c r="G888" s="174"/>
      <c r="H888" s="17" t="s">
        <v>5932</v>
      </c>
      <c r="I888" s="17" t="s">
        <v>6029</v>
      </c>
      <c r="J888" s="369" t="str">
        <f>HYPERLINK("[#]Datatypes!B864:L864","SawCode")</f>
        <v>SawCode</v>
      </c>
      <c r="K888" s="276"/>
      <c r="L888" s="272"/>
      <c r="M888" s="272"/>
      <c r="N888" s="248" t="str">
        <f>HYPERLINK("[#]DatatypeListedValues!A5423:H5423","&lt;values&gt;")</f>
        <v>&lt;values&gt;</v>
      </c>
      <c r="O888" s="277" t="b">
        <v>0</v>
      </c>
      <c r="P888" s="37">
        <v>101261</v>
      </c>
      <c r="Q888" s="36" t="str">
        <f>CONCATENATE(Cover!$D$6,"fdd/view?i=",P888)</f>
        <v>https://www.dgiwg.org/FAD/fdd/view?i=101261</v>
      </c>
      <c r="R888" s="13" t="s">
        <v>10262</v>
      </c>
      <c r="S888" s="172"/>
      <c r="T888" s="172"/>
      <c r="AS888" s="82" t="s">
        <v>1790</v>
      </c>
      <c r="AZ888" s="87" t="s">
        <v>1790</v>
      </c>
      <c r="BA888" s="83" t="s">
        <v>1790</v>
      </c>
      <c r="BE888" s="83" t="s">
        <v>1790</v>
      </c>
      <c r="BF888" s="83" t="s">
        <v>1790</v>
      </c>
      <c r="CT888" s="166" t="s">
        <v>1790</v>
      </c>
    </row>
    <row r="889" spans="1:98" ht="25.5" x14ac:dyDescent="0.2">
      <c r="A889" s="176" t="str">
        <f t="shared" si="19"/>
        <v>maritimeAggressiveAction</v>
      </c>
      <c r="B889" s="11" t="s">
        <v>10268</v>
      </c>
      <c r="C889" s="173"/>
      <c r="D889" s="22" t="s">
        <v>10269</v>
      </c>
      <c r="E889" s="15" t="s">
        <v>10270</v>
      </c>
      <c r="F889" s="174"/>
      <c r="G889" s="174"/>
      <c r="H889" s="17" t="s">
        <v>5932</v>
      </c>
      <c r="I889" s="269"/>
      <c r="J889" s="369" t="str">
        <f>HYPERLINK("[#]Datatypes!B866:L866","AgrCode")</f>
        <v>AgrCode</v>
      </c>
      <c r="K889" s="276"/>
      <c r="L889" s="272"/>
      <c r="M889" s="272"/>
      <c r="N889" s="248" t="str">
        <f>HYPERLINK("[#]DatatypeListedValues!A5438:H5438","&lt;values&gt;")</f>
        <v>&lt;values&gt;</v>
      </c>
      <c r="O889" s="277" t="b">
        <v>0</v>
      </c>
      <c r="P889" s="37">
        <v>111470</v>
      </c>
      <c r="Q889" s="36" t="str">
        <f>CONCATENATE(Cover!$D$6,"fdd/view?i=",P889)</f>
        <v>https://www.dgiwg.org/FAD/fdd/view?i=111470</v>
      </c>
      <c r="R889" s="13" t="s">
        <v>10267</v>
      </c>
      <c r="S889" s="172"/>
      <c r="T889" s="172"/>
      <c r="CL889" s="85" t="s">
        <v>1790</v>
      </c>
      <c r="CS889" s="165" t="s">
        <v>1790</v>
      </c>
    </row>
    <row r="890" spans="1:98" ht="25.5" x14ac:dyDescent="0.2">
      <c r="A890" s="176" t="str">
        <f t="shared" si="19"/>
        <v>maritimeAggressorTransport</v>
      </c>
      <c r="B890" s="11" t="s">
        <v>10273</v>
      </c>
      <c r="C890" s="173"/>
      <c r="D890" s="22" t="s">
        <v>10274</v>
      </c>
      <c r="E890" s="15" t="s">
        <v>10275</v>
      </c>
      <c r="F890" s="174"/>
      <c r="G890" s="174"/>
      <c r="H890" s="17" t="s">
        <v>5932</v>
      </c>
      <c r="I890" s="269"/>
      <c r="J890" s="369" t="str">
        <f>HYPERLINK("[#]Datatypes!B868:L868","AgtCode")</f>
        <v>AgtCode</v>
      </c>
      <c r="K890" s="276"/>
      <c r="L890" s="272"/>
      <c r="M890" s="272"/>
      <c r="N890" s="248" t="str">
        <f>HYPERLINK("[#]DatatypeListedValues!A5441:H5441","&lt;values&gt;")</f>
        <v>&lt;values&gt;</v>
      </c>
      <c r="O890" s="277" t="b">
        <v>0</v>
      </c>
      <c r="P890" s="37">
        <v>111471</v>
      </c>
      <c r="Q890" s="36" t="str">
        <f>CONCATENATE(Cover!$D$6,"fdd/view?i=",P890)</f>
        <v>https://www.dgiwg.org/FAD/fdd/view?i=111471</v>
      </c>
      <c r="R890" s="13" t="s">
        <v>10272</v>
      </c>
      <c r="S890" s="172"/>
      <c r="T890" s="172"/>
      <c r="CL890" s="85" t="s">
        <v>1790</v>
      </c>
      <c r="CS890" s="165" t="s">
        <v>1790</v>
      </c>
    </row>
    <row r="891" spans="1:98" ht="38.25" x14ac:dyDescent="0.2">
      <c r="A891" s="176" t="str">
        <f t="shared" si="19"/>
        <v>maritimeAreaRestriction</v>
      </c>
      <c r="B891" s="11" t="s">
        <v>10278</v>
      </c>
      <c r="C891" s="173"/>
      <c r="D891" s="22" t="s">
        <v>10279</v>
      </c>
      <c r="E891" s="15" t="s">
        <v>10280</v>
      </c>
      <c r="F891" s="15" t="s">
        <v>10281</v>
      </c>
      <c r="G891" s="174"/>
      <c r="H891" s="17" t="s">
        <v>5932</v>
      </c>
      <c r="I891" s="17" t="s">
        <v>6029</v>
      </c>
      <c r="J891" s="369" t="str">
        <f>HYPERLINK("[#]Datatypes!B870:L870","MrrCode")</f>
        <v>MrrCode</v>
      </c>
      <c r="K891" s="276"/>
      <c r="L891" s="272"/>
      <c r="M891" s="272"/>
      <c r="N891" s="248" t="str">
        <f>HYPERLINK("[#]DatatypeListedValues!A5449:H5449","&lt;values&gt;")</f>
        <v>&lt;values&gt;</v>
      </c>
      <c r="O891" s="277" t="b">
        <v>0</v>
      </c>
      <c r="P891" s="37">
        <v>111116</v>
      </c>
      <c r="Q891" s="36" t="str">
        <f>CONCATENATE(Cover!$D$6,"fdd/view?i=",P891)</f>
        <v>https://www.dgiwg.org/FAD/fdd/view?i=111116</v>
      </c>
      <c r="R891" s="13" t="s">
        <v>10277</v>
      </c>
      <c r="S891" s="172"/>
      <c r="T891" s="172"/>
      <c r="AS891" s="82" t="s">
        <v>1790</v>
      </c>
      <c r="BF891" s="83" t="s">
        <v>1790</v>
      </c>
      <c r="BI891" s="83" t="s">
        <v>1790</v>
      </c>
      <c r="CK891" s="82" t="s">
        <v>1790</v>
      </c>
    </row>
    <row r="892" spans="1:98" ht="25.5" x14ac:dyDescent="0.2">
      <c r="A892" s="176" t="str">
        <f t="shared" si="19"/>
        <v>maritimeCautionType</v>
      </c>
      <c r="B892" s="11" t="s">
        <v>10284</v>
      </c>
      <c r="C892" s="173"/>
      <c r="D892" s="22" t="s">
        <v>10285</v>
      </c>
      <c r="E892" s="15" t="s">
        <v>10286</v>
      </c>
      <c r="F892" s="174"/>
      <c r="G892" s="174"/>
      <c r="H892" s="17" t="s">
        <v>5932</v>
      </c>
      <c r="I892" s="17" t="s">
        <v>6029</v>
      </c>
      <c r="J892" s="369" t="str">
        <f>HYPERLINK("[#]Datatypes!B872:L872","McyCode")</f>
        <v>McyCode</v>
      </c>
      <c r="K892" s="276"/>
      <c r="L892" s="272"/>
      <c r="M892" s="272"/>
      <c r="N892" s="248" t="str">
        <f>HYPERLINK("[#]DatatypeListedValues!A5491:H5491","&lt;values&gt;")</f>
        <v>&lt;values&gt;</v>
      </c>
      <c r="O892" s="277" t="b">
        <v>0</v>
      </c>
      <c r="P892" s="37">
        <v>111112</v>
      </c>
      <c r="Q892" s="36" t="str">
        <f>CONCATENATE(Cover!$D$6,"fdd/view?i=",P892)</f>
        <v>https://www.dgiwg.org/FAD/fdd/view?i=111112</v>
      </c>
      <c r="R892" s="13" t="s">
        <v>10283</v>
      </c>
      <c r="S892" s="172"/>
      <c r="T892" s="172"/>
      <c r="AS892" s="82" t="s">
        <v>1790</v>
      </c>
      <c r="BF892" s="83" t="s">
        <v>1790</v>
      </c>
      <c r="BI892" s="83" t="s">
        <v>1790</v>
      </c>
      <c r="CK892" s="82" t="s">
        <v>1790</v>
      </c>
    </row>
    <row r="893" spans="1:98" ht="38.25" x14ac:dyDescent="0.2">
      <c r="A893" s="176" t="str">
        <f t="shared" si="19"/>
        <v>maritimeGeoLimitType</v>
      </c>
      <c r="B893" s="11" t="s">
        <v>10289</v>
      </c>
      <c r="C893" s="173"/>
      <c r="D893" s="22" t="s">
        <v>10290</v>
      </c>
      <c r="E893" s="15" t="s">
        <v>10291</v>
      </c>
      <c r="F893" s="15" t="s">
        <v>10292</v>
      </c>
      <c r="G893" s="174"/>
      <c r="H893" s="17" t="s">
        <v>5932</v>
      </c>
      <c r="I893" s="269"/>
      <c r="J893" s="369" t="str">
        <f>HYPERLINK("[#]Datatypes!B874:L874","MglCode")</f>
        <v>MglCode</v>
      </c>
      <c r="K893" s="276"/>
      <c r="L893" s="272"/>
      <c r="M893" s="272"/>
      <c r="N893" s="248" t="str">
        <f>HYPERLINK("[#]DatatypeListedValues!A5505:H5505","&lt;values&gt;")</f>
        <v>&lt;values&gt;</v>
      </c>
      <c r="O893" s="277" t="b">
        <v>0</v>
      </c>
      <c r="P893" s="37">
        <v>111109</v>
      </c>
      <c r="Q893" s="36" t="str">
        <f>CONCATENATE(Cover!$D$6,"fdd/view?i=",P893)</f>
        <v>https://www.dgiwg.org/FAD/fdd/view?i=111109</v>
      </c>
      <c r="R893" s="13" t="s">
        <v>10288</v>
      </c>
      <c r="S893" s="172"/>
      <c r="T893" s="172"/>
      <c r="AM893" s="83" t="s">
        <v>1790</v>
      </c>
      <c r="CC893" s="81" t="s">
        <v>1790</v>
      </c>
    </row>
    <row r="894" spans="1:98" ht="25.5" x14ac:dyDescent="0.2">
      <c r="A894" s="176" t="str">
        <f t="shared" si="19"/>
        <v>maritimeLightType</v>
      </c>
      <c r="B894" s="11" t="s">
        <v>10295</v>
      </c>
      <c r="C894" s="173"/>
      <c r="D894" s="22" t="s">
        <v>10296</v>
      </c>
      <c r="E894" s="15" t="s">
        <v>10297</v>
      </c>
      <c r="F894" s="174"/>
      <c r="G894" s="174"/>
      <c r="H894" s="17" t="s">
        <v>5932</v>
      </c>
      <c r="I894" s="17" t="s">
        <v>6029</v>
      </c>
      <c r="J894" s="369" t="str">
        <f>HYPERLINK("[#]Datatypes!B876:L876","LfcCode")</f>
        <v>LfcCode</v>
      </c>
      <c r="K894" s="276"/>
      <c r="L894" s="272"/>
      <c r="M894" s="272"/>
      <c r="N894" s="248" t="str">
        <f>HYPERLINK("[#]DatatypeListedValues!A5514:H5514","&lt;values&gt;")</f>
        <v>&lt;values&gt;</v>
      </c>
      <c r="O894" s="277" t="b">
        <v>0</v>
      </c>
      <c r="P894" s="37">
        <v>100998</v>
      </c>
      <c r="Q894" s="36" t="str">
        <f>CONCATENATE(Cover!$D$6,"fdd/view?i=",P894)</f>
        <v>https://www.dgiwg.org/FAD/fdd/view?i=100998</v>
      </c>
      <c r="R894" s="13" t="s">
        <v>10294</v>
      </c>
      <c r="S894" s="172"/>
      <c r="T894" s="172"/>
      <c r="AS894" s="82" t="s">
        <v>1790</v>
      </c>
      <c r="BF894" s="83" t="s">
        <v>1790</v>
      </c>
      <c r="CS894" s="165" t="s">
        <v>1790</v>
      </c>
      <c r="CT894" s="166" t="s">
        <v>1790</v>
      </c>
    </row>
    <row r="895" spans="1:98" ht="25.5" x14ac:dyDescent="0.2">
      <c r="A895" s="176" t="str">
        <f t="shared" si="19"/>
        <v>mariNavBeaconStructType</v>
      </c>
      <c r="B895" s="11" t="s">
        <v>10300</v>
      </c>
      <c r="C895" s="173"/>
      <c r="D895" s="22" t="s">
        <v>10301</v>
      </c>
      <c r="E895" s="15" t="s">
        <v>10302</v>
      </c>
      <c r="F895" s="174"/>
      <c r="G895" s="174"/>
      <c r="H895" s="17" t="s">
        <v>5932</v>
      </c>
      <c r="I895" s="269"/>
      <c r="J895" s="369" t="str">
        <f>HYPERLINK("[#]Datatypes!B878:L878","MnbCode")</f>
        <v>MnbCode</v>
      </c>
      <c r="K895" s="276"/>
      <c r="L895" s="272"/>
      <c r="M895" s="272"/>
      <c r="N895" s="248" t="str">
        <f>HYPERLINK("[#]DatatypeListedValues!A5533:H5533","&lt;values&gt;")</f>
        <v>&lt;values&gt;</v>
      </c>
      <c r="O895" s="277" t="b">
        <v>0</v>
      </c>
      <c r="P895" s="37">
        <v>119802</v>
      </c>
      <c r="Q895" s="36" t="str">
        <f>CONCATENATE(Cover!$D$6,"fdd/view?i=",P895)</f>
        <v>https://www.dgiwg.org/FAD/fdd/view?i=119802</v>
      </c>
      <c r="R895" s="13" t="s">
        <v>10299</v>
      </c>
      <c r="S895" s="172"/>
      <c r="T895" s="172"/>
      <c r="AS895" s="82" t="s">
        <v>1790</v>
      </c>
      <c r="BF895" s="83" t="s">
        <v>1790</v>
      </c>
      <c r="CS895" s="165" t="s">
        <v>1790</v>
      </c>
      <c r="CT895" s="166" t="s">
        <v>1790</v>
      </c>
    </row>
    <row r="896" spans="1:98" x14ac:dyDescent="0.2">
      <c r="A896" s="176" t="str">
        <f t="shared" si="19"/>
        <v>maritimeNavBeaconType</v>
      </c>
      <c r="B896" s="11" t="s">
        <v>10305</v>
      </c>
      <c r="C896" s="173"/>
      <c r="D896" s="22" t="s">
        <v>10306</v>
      </c>
      <c r="E896" s="15" t="s">
        <v>10307</v>
      </c>
      <c r="F896" s="174"/>
      <c r="G896" s="174"/>
      <c r="H896" s="17" t="s">
        <v>5932</v>
      </c>
      <c r="I896" s="269"/>
      <c r="J896" s="369" t="str">
        <f>HYPERLINK("[#]Datatypes!B880:L880","BetCode")</f>
        <v>BetCode</v>
      </c>
      <c r="K896" s="276"/>
      <c r="L896" s="272"/>
      <c r="M896" s="272"/>
      <c r="N896" s="248" t="str">
        <f>HYPERLINK("[#]DatatypeListedValues!A5539:H5539","&lt;values&gt;")</f>
        <v>&lt;values&gt;</v>
      </c>
      <c r="O896" s="277" t="b">
        <v>0</v>
      </c>
      <c r="P896" s="37">
        <v>100659</v>
      </c>
      <c r="Q896" s="36" t="str">
        <f>CONCATENATE(Cover!$D$6,"fdd/view?i=",P896)</f>
        <v>https://www.dgiwg.org/FAD/fdd/view?i=100659</v>
      </c>
      <c r="R896" s="13" t="s">
        <v>10304</v>
      </c>
      <c r="S896" s="172"/>
      <c r="T896" s="172"/>
      <c r="AS896" s="82" t="s">
        <v>1790</v>
      </c>
      <c r="BF896" s="83" t="s">
        <v>1790</v>
      </c>
      <c r="CT896" s="166" t="s">
        <v>1790</v>
      </c>
    </row>
    <row r="897" spans="1:98" ht="25.5" x14ac:dyDescent="0.2">
      <c r="A897" s="176" t="str">
        <f t="shared" si="19"/>
        <v>maritimeNavLineFeatures</v>
      </c>
      <c r="B897" s="11" t="s">
        <v>10310</v>
      </c>
      <c r="C897" s="173"/>
      <c r="D897" s="22" t="s">
        <v>10311</v>
      </c>
      <c r="E897" s="15" t="s">
        <v>10312</v>
      </c>
      <c r="F897" s="174"/>
      <c r="G897" s="174"/>
      <c r="H897" s="17" t="s">
        <v>5932</v>
      </c>
      <c r="I897" s="269"/>
      <c r="J897" s="369" t="str">
        <f>HYPERLINK("[#]Datatypes!B882:L882","LafCode")</f>
        <v>LafCode</v>
      </c>
      <c r="K897" s="276"/>
      <c r="L897" s="272"/>
      <c r="M897" s="272"/>
      <c r="N897" s="248" t="str">
        <f>HYPERLINK("[#]DatatypeListedValues!A5620:H5620","&lt;values&gt;")</f>
        <v>&lt;values&gt;</v>
      </c>
      <c r="O897" s="277" t="b">
        <v>0</v>
      </c>
      <c r="P897" s="37">
        <v>100986</v>
      </c>
      <c r="Q897" s="36" t="str">
        <f>CONCATENATE(Cover!$D$6,"fdd/view?i=",P897)</f>
        <v>https://www.dgiwg.org/FAD/fdd/view?i=100986</v>
      </c>
      <c r="R897" s="13" t="s">
        <v>10309</v>
      </c>
      <c r="S897" s="172"/>
      <c r="T897" s="172"/>
      <c r="AS897" s="82" t="s">
        <v>1790</v>
      </c>
      <c r="BF897" s="83" t="s">
        <v>1790</v>
      </c>
    </row>
    <row r="898" spans="1:98" ht="38.25" x14ac:dyDescent="0.2">
      <c r="A898" s="176" t="str">
        <f t="shared" si="19"/>
        <v>maritimeNavigationMarked</v>
      </c>
      <c r="B898" s="11" t="s">
        <v>10315</v>
      </c>
      <c r="C898" s="173"/>
      <c r="D898" s="22" t="s">
        <v>10316</v>
      </c>
      <c r="E898" s="15" t="s">
        <v>10317</v>
      </c>
      <c r="F898" s="15" t="s">
        <v>10318</v>
      </c>
      <c r="G898" s="174"/>
      <c r="H898" s="17" t="s">
        <v>5932</v>
      </c>
      <c r="I898" s="269"/>
      <c r="J898" s="369" t="str">
        <f>HYPERLINK("[#]Datatypes!B240:L240","Boolean")</f>
        <v>Boolean</v>
      </c>
      <c r="K898" s="276"/>
      <c r="L898" s="272"/>
      <c r="M898" s="272"/>
      <c r="N898" s="273"/>
      <c r="O898" s="269"/>
      <c r="P898" s="37">
        <v>111091</v>
      </c>
      <c r="Q898" s="36" t="str">
        <f>CONCATENATE(Cover!$D$6,"fdd/view?i=",P898)</f>
        <v>https://www.dgiwg.org/FAD/fdd/view?i=111091</v>
      </c>
      <c r="R898" s="13" t="s">
        <v>10314</v>
      </c>
      <c r="S898" s="172"/>
      <c r="T898" s="172"/>
      <c r="AS898" s="82" t="s">
        <v>1790</v>
      </c>
      <c r="BF898" s="83" t="s">
        <v>1790</v>
      </c>
      <c r="CS898" s="165" t="s">
        <v>1790</v>
      </c>
    </row>
    <row r="899" spans="1:98" ht="38.25" x14ac:dyDescent="0.2">
      <c r="A899" s="176" t="str">
        <f t="shared" ref="A899:A962" si="20">HYPERLINK(Q899,R899)</f>
        <v>maritimeNavRestriction</v>
      </c>
      <c r="B899" s="11" t="s">
        <v>10320</v>
      </c>
      <c r="C899" s="173"/>
      <c r="D899" s="22" t="s">
        <v>10321</v>
      </c>
      <c r="E899" s="15" t="s">
        <v>10322</v>
      </c>
      <c r="F899" s="15" t="s">
        <v>10281</v>
      </c>
      <c r="G899" s="174"/>
      <c r="H899" s="17" t="s">
        <v>5932</v>
      </c>
      <c r="I899" s="17" t="s">
        <v>6029</v>
      </c>
      <c r="J899" s="369" t="str">
        <f>HYPERLINK("[#]Datatypes!B884:L884","MnrCode")</f>
        <v>MnrCode</v>
      </c>
      <c r="K899" s="276"/>
      <c r="L899" s="272"/>
      <c r="M899" s="272"/>
      <c r="N899" s="248" t="str">
        <f>HYPERLINK("[#]DatatypeListedValues!A5629:H5629","&lt;values&gt;")</f>
        <v>&lt;values&gt;</v>
      </c>
      <c r="O899" s="277" t="b">
        <v>0</v>
      </c>
      <c r="P899" s="37">
        <v>111115</v>
      </c>
      <c r="Q899" s="36" t="str">
        <f>CONCATENATE(Cover!$D$6,"fdd/view?i=",P899)</f>
        <v>https://www.dgiwg.org/FAD/fdd/view?i=111115</v>
      </c>
      <c r="R899" s="13" t="s">
        <v>10319</v>
      </c>
      <c r="S899" s="172"/>
      <c r="T899" s="172"/>
      <c r="AS899" s="82" t="s">
        <v>1790</v>
      </c>
      <c r="BF899" s="83" t="s">
        <v>1790</v>
      </c>
      <c r="BI899" s="83" t="s">
        <v>1790</v>
      </c>
      <c r="CK899" s="82" t="s">
        <v>1790</v>
      </c>
    </row>
    <row r="900" spans="1:98" ht="38.25" x14ac:dyDescent="0.2">
      <c r="A900" s="176" t="str">
        <f t="shared" si="20"/>
        <v>maritimeRadiobeaconPresent</v>
      </c>
      <c r="B900" s="11" t="s">
        <v>10325</v>
      </c>
      <c r="C900" s="173"/>
      <c r="D900" s="22" t="s">
        <v>10326</v>
      </c>
      <c r="E900" s="15" t="s">
        <v>10327</v>
      </c>
      <c r="F900" s="15" t="s">
        <v>10328</v>
      </c>
      <c r="G900" s="174"/>
      <c r="H900" s="17" t="s">
        <v>5932</v>
      </c>
      <c r="I900" s="269"/>
      <c r="J900" s="369" t="str">
        <f>HYPERLINK("[#]Datatypes!B240:L240","Boolean")</f>
        <v>Boolean</v>
      </c>
      <c r="K900" s="276"/>
      <c r="L900" s="272"/>
      <c r="M900" s="272"/>
      <c r="N900" s="273"/>
      <c r="O900" s="269"/>
      <c r="P900" s="37">
        <v>114233</v>
      </c>
      <c r="Q900" s="36" t="str">
        <f>CONCATENATE(Cover!$D$6,"fdd/view?i=",P900)</f>
        <v>https://www.dgiwg.org/FAD/fdd/view?i=114233</v>
      </c>
      <c r="R900" s="13" t="s">
        <v>10324</v>
      </c>
      <c r="S900" s="172"/>
      <c r="T900" s="172"/>
      <c r="AS900" s="82" t="s">
        <v>1790</v>
      </c>
      <c r="BF900" s="83" t="s">
        <v>1790</v>
      </c>
    </row>
    <row r="901" spans="1:98" ht="25.5" x14ac:dyDescent="0.2">
      <c r="A901" s="176" t="str">
        <f t="shared" si="20"/>
        <v>maritimeRadiobeaconType</v>
      </c>
      <c r="B901" s="11" t="s">
        <v>10330</v>
      </c>
      <c r="C901" s="173"/>
      <c r="D901" s="22" t="s">
        <v>10331</v>
      </c>
      <c r="E901" s="15" t="s">
        <v>10332</v>
      </c>
      <c r="F901" s="15" t="s">
        <v>10333</v>
      </c>
      <c r="G901" s="174"/>
      <c r="H901" s="17" t="s">
        <v>5932</v>
      </c>
      <c r="I901" s="269"/>
      <c r="J901" s="369" t="str">
        <f>HYPERLINK("[#]Datatypes!B886:L886","MrtCode")</f>
        <v>MrtCode</v>
      </c>
      <c r="K901" s="276"/>
      <c r="L901" s="272"/>
      <c r="M901" s="272"/>
      <c r="N901" s="248" t="str">
        <f>HYPERLINK("[#]DatatypeListedValues!A5659:H5659","&lt;values&gt;")</f>
        <v>&lt;values&gt;</v>
      </c>
      <c r="O901" s="277" t="b">
        <v>0</v>
      </c>
      <c r="P901" s="37">
        <v>114234</v>
      </c>
      <c r="Q901" s="36" t="str">
        <f>CONCATENATE(Cover!$D$6,"fdd/view?i=",P901)</f>
        <v>https://www.dgiwg.org/FAD/fdd/view?i=114234</v>
      </c>
      <c r="R901" s="13" t="s">
        <v>10329</v>
      </c>
      <c r="S901" s="172"/>
      <c r="T901" s="172"/>
      <c r="AS901" s="82" t="s">
        <v>1790</v>
      </c>
      <c r="BF901" s="83" t="s">
        <v>1790</v>
      </c>
      <c r="CS901" s="165" t="s">
        <v>1790</v>
      </c>
      <c r="CT901" s="166" t="s">
        <v>1790</v>
      </c>
    </row>
    <row r="902" spans="1:98" ht="25.5" x14ac:dyDescent="0.2">
      <c r="A902" s="176" t="str">
        <f t="shared" si="20"/>
        <v>maritimeStationType</v>
      </c>
      <c r="B902" s="11" t="s">
        <v>10336</v>
      </c>
      <c r="C902" s="173"/>
      <c r="D902" s="22" t="s">
        <v>10337</v>
      </c>
      <c r="E902" s="15" t="s">
        <v>10338</v>
      </c>
      <c r="F902" s="174"/>
      <c r="G902" s="174"/>
      <c r="H902" s="17" t="s">
        <v>5932</v>
      </c>
      <c r="I902" s="17" t="s">
        <v>6029</v>
      </c>
      <c r="J902" s="369" t="str">
        <f>HYPERLINK("[#]Datatypes!B888:L888","StaCode")</f>
        <v>StaCode</v>
      </c>
      <c r="K902" s="276"/>
      <c r="L902" s="272"/>
      <c r="M902" s="272"/>
      <c r="N902" s="248" t="str">
        <f>HYPERLINK("[#]DatatypeListedValues!A5668:H5668","&lt;values&gt;")</f>
        <v>&lt;values&gt;</v>
      </c>
      <c r="O902" s="277" t="b">
        <v>0</v>
      </c>
      <c r="P902" s="37">
        <v>101334</v>
      </c>
      <c r="Q902" s="36" t="str">
        <f>CONCATENATE(Cover!$D$6,"fdd/view?i=",P902)</f>
        <v>https://www.dgiwg.org/FAD/fdd/view?i=101334</v>
      </c>
      <c r="R902" s="13" t="s">
        <v>10335</v>
      </c>
      <c r="S902" s="172"/>
      <c r="T902" s="172"/>
      <c r="AS902" s="82" t="s">
        <v>1790</v>
      </c>
      <c r="BA902" s="83" t="s">
        <v>1790</v>
      </c>
      <c r="BF902" s="83" t="s">
        <v>1790</v>
      </c>
      <c r="CT902" s="166" t="s">
        <v>1790</v>
      </c>
    </row>
    <row r="903" spans="1:98" ht="25.5" x14ac:dyDescent="0.2">
      <c r="A903" s="176" t="str">
        <f t="shared" si="20"/>
        <v>maritimeStolenItem</v>
      </c>
      <c r="B903" s="11" t="s">
        <v>10341</v>
      </c>
      <c r="C903" s="173"/>
      <c r="D903" s="22" t="s">
        <v>10342</v>
      </c>
      <c r="E903" s="15" t="s">
        <v>10343</v>
      </c>
      <c r="F903" s="174"/>
      <c r="G903" s="174"/>
      <c r="H903" s="17" t="s">
        <v>5932</v>
      </c>
      <c r="I903" s="17" t="s">
        <v>6029</v>
      </c>
      <c r="J903" s="369" t="str">
        <f>HYPERLINK("[#]Datatypes!B890:L890","StiCode")</f>
        <v>StiCode</v>
      </c>
      <c r="K903" s="276"/>
      <c r="L903" s="272"/>
      <c r="M903" s="272"/>
      <c r="N903" s="248" t="str">
        <f>HYPERLINK("[#]DatatypeListedValues!A5693:H5693","&lt;values&gt;")</f>
        <v>&lt;values&gt;</v>
      </c>
      <c r="O903" s="277" t="b">
        <v>0</v>
      </c>
      <c r="P903" s="37">
        <v>111729</v>
      </c>
      <c r="Q903" s="36" t="str">
        <f>CONCATENATE(Cover!$D$6,"fdd/view?i=",P903)</f>
        <v>https://www.dgiwg.org/FAD/fdd/view?i=111729</v>
      </c>
      <c r="R903" s="13" t="s">
        <v>10340</v>
      </c>
      <c r="S903" s="172"/>
      <c r="T903" s="172"/>
      <c r="CL903" s="85" t="s">
        <v>1790</v>
      </c>
      <c r="CS903" s="165" t="s">
        <v>1790</v>
      </c>
    </row>
    <row r="904" spans="1:98" ht="25.5" x14ac:dyDescent="0.2">
      <c r="A904" s="176" t="str">
        <f t="shared" si="20"/>
        <v>maritimeTrackType</v>
      </c>
      <c r="B904" s="11" t="s">
        <v>10346</v>
      </c>
      <c r="C904" s="173"/>
      <c r="D904" s="22" t="s">
        <v>10347</v>
      </c>
      <c r="E904" s="15" t="s">
        <v>10348</v>
      </c>
      <c r="F904" s="174"/>
      <c r="G904" s="174"/>
      <c r="H904" s="17" t="s">
        <v>5932</v>
      </c>
      <c r="I904" s="269"/>
      <c r="J904" s="369" t="str">
        <f>HYPERLINK("[#]Datatypes!B892:L892","MttCode")</f>
        <v>MttCode</v>
      </c>
      <c r="K904" s="276"/>
      <c r="L904" s="272"/>
      <c r="M904" s="272"/>
      <c r="N904" s="248" t="str">
        <f>HYPERLINK("[#]DatatypeListedValues!A5702:H5702","&lt;values&gt;")</f>
        <v>&lt;values&gt;</v>
      </c>
      <c r="O904" s="277" t="b">
        <v>0</v>
      </c>
      <c r="P904" s="37">
        <v>101083</v>
      </c>
      <c r="Q904" s="36" t="str">
        <f>CONCATENATE(Cover!$D$6,"fdd/view?i=",P904)</f>
        <v>https://www.dgiwg.org/FAD/fdd/view?i=101083</v>
      </c>
      <c r="R904" s="13" t="s">
        <v>10345</v>
      </c>
      <c r="S904" s="172"/>
      <c r="T904" s="172"/>
      <c r="AS904" s="82" t="s">
        <v>1790</v>
      </c>
      <c r="BF904" s="83" t="s">
        <v>1790</v>
      </c>
    </row>
    <row r="905" spans="1:98" ht="51" x14ac:dyDescent="0.2">
      <c r="A905" s="176" t="str">
        <f t="shared" si="20"/>
        <v>trafficSchemePart</v>
      </c>
      <c r="B905" s="11" t="s">
        <v>10351</v>
      </c>
      <c r="C905" s="173"/>
      <c r="D905" s="22" t="s">
        <v>10352</v>
      </c>
      <c r="E905" s="15" t="s">
        <v>10353</v>
      </c>
      <c r="F905" s="15" t="s">
        <v>10354</v>
      </c>
      <c r="G905" s="174"/>
      <c r="H905" s="17" t="s">
        <v>5932</v>
      </c>
      <c r="I905" s="269"/>
      <c r="J905" s="369" t="str">
        <f>HYPERLINK("[#]Datatypes!B894:L894","TspCode")</f>
        <v>TspCode</v>
      </c>
      <c r="K905" s="276"/>
      <c r="L905" s="272"/>
      <c r="M905" s="272"/>
      <c r="N905" s="248" t="str">
        <f>HYPERLINK("[#]DatatypeListedValues!A5707:H5707","&lt;values&gt;")</f>
        <v>&lt;values&gt;</v>
      </c>
      <c r="O905" s="277" t="b">
        <v>0</v>
      </c>
      <c r="P905" s="37">
        <v>101393</v>
      </c>
      <c r="Q905" s="36" t="str">
        <f>CONCATENATE(Cover!$D$6,"fdd/view?i=",P905)</f>
        <v>https://www.dgiwg.org/FAD/fdd/view?i=101393</v>
      </c>
      <c r="R905" s="13" t="s">
        <v>10350</v>
      </c>
      <c r="S905" s="172"/>
      <c r="T905" s="172"/>
      <c r="AS905" s="82" t="s">
        <v>1790</v>
      </c>
      <c r="BF905" s="83" t="s">
        <v>1790</v>
      </c>
      <c r="BI905" s="83" t="s">
        <v>1790</v>
      </c>
    </row>
    <row r="906" spans="1:98" ht="25.5" x14ac:dyDescent="0.2">
      <c r="A906" s="176" t="str">
        <f t="shared" si="20"/>
        <v>markerRadioBeaconClass</v>
      </c>
      <c r="B906" s="11" t="s">
        <v>10357</v>
      </c>
      <c r="C906" s="173"/>
      <c r="D906" s="22" t="s">
        <v>10358</v>
      </c>
      <c r="E906" s="15" t="s">
        <v>10359</v>
      </c>
      <c r="F906" s="15" t="s">
        <v>10360</v>
      </c>
      <c r="G906" s="15" t="s">
        <v>10361</v>
      </c>
      <c r="H906" s="17" t="s">
        <v>5932</v>
      </c>
      <c r="I906" s="269"/>
      <c r="J906" s="369" t="str">
        <f>HYPERLINK("[#]Datatypes!B896:L896","MclCode")</f>
        <v>MclCode</v>
      </c>
      <c r="K906" s="276"/>
      <c r="L906" s="272"/>
      <c r="M906" s="272"/>
      <c r="N906" s="248" t="str">
        <f>HYPERLINK("[#]DatatypeListedValues!A5718:H5718","&lt;values&gt;")</f>
        <v>&lt;values&gt;</v>
      </c>
      <c r="O906" s="277" t="b">
        <v>0</v>
      </c>
      <c r="P906" s="37">
        <v>117624</v>
      </c>
      <c r="Q906" s="36" t="str">
        <f>CONCATENATE(Cover!$D$6,"fdd/view?i=",P906)</f>
        <v>https://www.dgiwg.org/FAD/fdd/view?i=117624</v>
      </c>
      <c r="R906" s="13" t="s">
        <v>10356</v>
      </c>
      <c r="S906" s="172"/>
      <c r="T906" s="172"/>
      <c r="CG906" s="83" t="s">
        <v>1790</v>
      </c>
    </row>
    <row r="907" spans="1:98" ht="38.25" x14ac:dyDescent="0.2">
      <c r="A907" s="176" t="str">
        <f t="shared" si="20"/>
        <v>markerRadioBeaconType</v>
      </c>
      <c r="B907" s="11" t="s">
        <v>10364</v>
      </c>
      <c r="C907" s="173"/>
      <c r="D907" s="22" t="s">
        <v>10365</v>
      </c>
      <c r="E907" s="15" t="s">
        <v>10366</v>
      </c>
      <c r="F907" s="15" t="s">
        <v>10367</v>
      </c>
      <c r="G907" s="174"/>
      <c r="H907" s="17" t="s">
        <v>5932</v>
      </c>
      <c r="I907" s="269"/>
      <c r="J907" s="369" t="str">
        <f>HYPERLINK("[#]Datatypes!B898:L898","MbtCode")</f>
        <v>MbtCode</v>
      </c>
      <c r="K907" s="276"/>
      <c r="L907" s="272"/>
      <c r="M907" s="272"/>
      <c r="N907" s="248" t="str">
        <f>HYPERLINK("[#]DatatypeListedValues!A5722:H5722","&lt;values&gt;")</f>
        <v>&lt;values&gt;</v>
      </c>
      <c r="O907" s="277" t="b">
        <v>0</v>
      </c>
      <c r="P907" s="37">
        <v>117622</v>
      </c>
      <c r="Q907" s="36" t="str">
        <f>CONCATENATE(Cover!$D$6,"fdd/view?i=",P907)</f>
        <v>https://www.dgiwg.org/FAD/fdd/view?i=117622</v>
      </c>
      <c r="R907" s="13" t="s">
        <v>10363</v>
      </c>
      <c r="S907" s="172"/>
      <c r="T907" s="172"/>
      <c r="CG907" s="83" t="s">
        <v>1790</v>
      </c>
    </row>
    <row r="908" spans="1:98" x14ac:dyDescent="0.2">
      <c r="A908" s="176" t="str">
        <f t="shared" si="20"/>
        <v>marshType</v>
      </c>
      <c r="B908" s="11" t="s">
        <v>10370</v>
      </c>
      <c r="C908" s="173"/>
      <c r="D908" s="22" t="s">
        <v>10371</v>
      </c>
      <c r="E908" s="15" t="s">
        <v>10372</v>
      </c>
      <c r="F908" s="174"/>
      <c r="G908" s="174"/>
      <c r="H908" s="17" t="s">
        <v>5932</v>
      </c>
      <c r="I908" s="269"/>
      <c r="J908" s="369" t="str">
        <f>HYPERLINK("[#]Datatypes!B900:L900","MtyCode")</f>
        <v>MtyCode</v>
      </c>
      <c r="K908" s="276"/>
      <c r="L908" s="272"/>
      <c r="M908" s="272"/>
      <c r="N908" s="248" t="str">
        <f>HYPERLINK("[#]DatatypeListedValues!A5726:H5726","&lt;values&gt;")</f>
        <v>&lt;values&gt;</v>
      </c>
      <c r="O908" s="277" t="b">
        <v>0</v>
      </c>
      <c r="P908" s="37">
        <v>109956</v>
      </c>
      <c r="Q908" s="36" t="str">
        <f>CONCATENATE(Cover!$D$6,"fdd/view?i=",P908)</f>
        <v>https://www.dgiwg.org/FAD/fdd/view?i=109956</v>
      </c>
      <c r="R908" s="13" t="s">
        <v>10369</v>
      </c>
      <c r="S908" s="172"/>
      <c r="T908" s="172"/>
      <c r="BJ908" s="83" t="s">
        <v>1790</v>
      </c>
      <c r="BM908" s="82" t="s">
        <v>1790</v>
      </c>
      <c r="BX908" s="83" t="s">
        <v>1790</v>
      </c>
    </row>
    <row r="909" spans="1:98" x14ac:dyDescent="0.2">
      <c r="A909" s="176" t="str">
        <f t="shared" si="20"/>
        <v>mastType</v>
      </c>
      <c r="B909" s="11" t="s">
        <v>10375</v>
      </c>
      <c r="C909" s="173"/>
      <c r="D909" s="22" t="s">
        <v>10376</v>
      </c>
      <c r="E909" s="15" t="s">
        <v>10377</v>
      </c>
      <c r="F909" s="174"/>
      <c r="G909" s="174"/>
      <c r="H909" s="17" t="s">
        <v>5932</v>
      </c>
      <c r="I909" s="269"/>
      <c r="J909" s="369" t="str">
        <f>HYPERLINK("[#]Datatypes!B902:L902","MtcCode")</f>
        <v>MtcCode</v>
      </c>
      <c r="K909" s="276"/>
      <c r="L909" s="272"/>
      <c r="M909" s="272"/>
      <c r="N909" s="248" t="str">
        <f>HYPERLINK("[#]DatatypeListedValues!A5729:H5729","&lt;values&gt;")</f>
        <v>&lt;values&gt;</v>
      </c>
      <c r="O909" s="277" t="b">
        <v>0</v>
      </c>
      <c r="P909" s="37">
        <v>118610</v>
      </c>
      <c r="Q909" s="36" t="str">
        <f>CONCATENATE(Cover!$D$6,"fdd/view?i=",P909)</f>
        <v>https://www.dgiwg.org/FAD/fdd/view?i=118610</v>
      </c>
      <c r="R909" s="13" t="s">
        <v>10374</v>
      </c>
      <c r="S909" s="172"/>
      <c r="T909" s="172"/>
      <c r="AE909" s="82" t="s">
        <v>1790</v>
      </c>
      <c r="AJ909" s="83" t="s">
        <v>1790</v>
      </c>
      <c r="CT909" s="166" t="s">
        <v>1790</v>
      </c>
    </row>
    <row r="910" spans="1:98" ht="25.5" x14ac:dyDescent="0.2">
      <c r="A910" s="176" t="str">
        <f t="shared" si="20"/>
        <v>materialHandlingFacilities</v>
      </c>
      <c r="B910" s="11" t="s">
        <v>10380</v>
      </c>
      <c r="C910" s="173"/>
      <c r="D910" s="22" t="s">
        <v>10381</v>
      </c>
      <c r="E910" s="15" t="s">
        <v>10382</v>
      </c>
      <c r="F910" s="174"/>
      <c r="G910" s="174"/>
      <c r="H910" s="17" t="s">
        <v>5932</v>
      </c>
      <c r="I910" s="17" t="s">
        <v>6029</v>
      </c>
      <c r="J910" s="369" t="str">
        <f>HYPERLINK("[#]Datatypes!B904:L904","MhfCode")</f>
        <v>MhfCode</v>
      </c>
      <c r="K910" s="276"/>
      <c r="L910" s="272"/>
      <c r="M910" s="272"/>
      <c r="N910" s="248" t="str">
        <f>HYPERLINK("[#]DatatypeListedValues!A5733:H5733","&lt;values&gt;")</f>
        <v>&lt;values&gt;</v>
      </c>
      <c r="O910" s="277" t="b">
        <v>0</v>
      </c>
      <c r="P910" s="37">
        <v>101044</v>
      </c>
      <c r="Q910" s="36" t="str">
        <f>CONCATENATE(Cover!$D$6,"fdd/view?i=",P910)</f>
        <v>https://www.dgiwg.org/FAD/fdd/view?i=101044</v>
      </c>
      <c r="R910" s="13" t="s">
        <v>10379</v>
      </c>
      <c r="S910" s="172"/>
      <c r="T910" s="172"/>
      <c r="AB910" s="82" t="s">
        <v>1790</v>
      </c>
      <c r="AG910" s="82" t="s">
        <v>1790</v>
      </c>
    </row>
    <row r="911" spans="1:98" x14ac:dyDescent="0.2">
      <c r="A911" s="176" t="str">
        <f t="shared" si="20"/>
        <v>maxAircraftHandlingCapacity</v>
      </c>
      <c r="B911" s="11" t="s">
        <v>10385</v>
      </c>
      <c r="C911" s="173"/>
      <c r="D911" s="22" t="s">
        <v>10386</v>
      </c>
      <c r="E911" s="15" t="s">
        <v>10387</v>
      </c>
      <c r="F911" s="174"/>
      <c r="G911" s="174"/>
      <c r="H911" s="17" t="s">
        <v>5932</v>
      </c>
      <c r="I911" s="269"/>
      <c r="J911" s="369" t="str">
        <f>HYPERLINK("[#]Datatypes!B1231:L1231","Real")</f>
        <v>Real</v>
      </c>
      <c r="K911" s="271" t="str">
        <f>HYPERLINK("[#]PhysicalQuantities!A43:N43","Rate")</f>
        <v>Rate</v>
      </c>
      <c r="L911" s="270" t="str">
        <f>HYPERLINK("[#]UnitsOfMeasure!D231:G231","per Day")</f>
        <v>per Day</v>
      </c>
      <c r="M911" s="272"/>
      <c r="N911" s="273"/>
      <c r="O911" s="269"/>
      <c r="P911" s="37">
        <v>119432</v>
      </c>
      <c r="Q911" s="36" t="str">
        <f>CONCATENATE(Cover!$D$6,"fdd/view?i=",P911)</f>
        <v>https://www.dgiwg.org/FAD/fdd/view?i=119432</v>
      </c>
      <c r="R911" s="13" t="s">
        <v>10384</v>
      </c>
      <c r="S911" s="172"/>
      <c r="T911" s="172"/>
      <c r="AT911" s="82" t="s">
        <v>1790</v>
      </c>
      <c r="CE911" s="87" t="s">
        <v>1790</v>
      </c>
      <c r="CQ911" s="165" t="s">
        <v>1790</v>
      </c>
    </row>
    <row r="912" spans="1:98" ht="51" x14ac:dyDescent="0.2">
      <c r="A912" s="176" t="str">
        <f t="shared" si="20"/>
        <v>maximumAltitude</v>
      </c>
      <c r="B912" s="11" t="s">
        <v>10389</v>
      </c>
      <c r="C912" s="173"/>
      <c r="D912" s="22" t="s">
        <v>10390</v>
      </c>
      <c r="E912" s="15" t="s">
        <v>10391</v>
      </c>
      <c r="F912" s="15" t="s">
        <v>10392</v>
      </c>
      <c r="G912" s="174"/>
      <c r="H912" s="17" t="s">
        <v>5932</v>
      </c>
      <c r="I912" s="269"/>
      <c r="J912" s="369" t="str">
        <f>HYPERLINK("[#]Datatypes!B1231:L1231","Real")</f>
        <v>Real</v>
      </c>
      <c r="K912" s="271" t="str">
        <f>HYPERLINK("[#]PhysicalQuantities!A20:N20","Length")</f>
        <v>Length</v>
      </c>
      <c r="L912" s="270" t="str">
        <f>HYPERLINK("[#]UnitsOfMeasure!D103:G103","Foot")</f>
        <v>Foot</v>
      </c>
      <c r="M912" s="270" t="str">
        <f>HYPERLINK("[#]UnitsOfMeasure!D154:G154","Flight Level")</f>
        <v>Flight Level</v>
      </c>
      <c r="N912" s="273"/>
      <c r="O912" s="269"/>
      <c r="P912" s="37">
        <v>118922</v>
      </c>
      <c r="Q912" s="36" t="str">
        <f>CONCATENATE(Cover!$D$6,"fdd/view?i=",P912)</f>
        <v>https://www.dgiwg.org/FAD/fdd/view?i=118922</v>
      </c>
      <c r="R912" s="13" t="s">
        <v>10388</v>
      </c>
      <c r="S912" s="172"/>
      <c r="T912" s="172"/>
      <c r="CF912" s="83" t="s">
        <v>1790</v>
      </c>
    </row>
    <row r="913" spans="1:101" x14ac:dyDescent="0.2">
      <c r="A913" s="176" t="str">
        <f t="shared" si="20"/>
        <v>maximumDesignWaterDepth</v>
      </c>
      <c r="B913" s="11" t="s">
        <v>10394</v>
      </c>
      <c r="C913" s="173"/>
      <c r="D913" s="22" t="s">
        <v>10395</v>
      </c>
      <c r="E913" s="15" t="s">
        <v>10396</v>
      </c>
      <c r="F913" s="174"/>
      <c r="G913" s="174"/>
      <c r="H913" s="17" t="s">
        <v>5932</v>
      </c>
      <c r="I913" s="269"/>
      <c r="J913" s="369" t="str">
        <f>HYPERLINK("[#]Datatypes!B1231:L1231","Real")</f>
        <v>Real</v>
      </c>
      <c r="K913" s="271" t="str">
        <f>HYPERLINK("[#]PhysicalQuantities!A20:N20","Length")</f>
        <v>Length</v>
      </c>
      <c r="L913" s="270" t="str">
        <f>HYPERLINK("[#]UnitsOfMeasure!D80:G80","Metre")</f>
        <v>Metre</v>
      </c>
      <c r="M913" s="272"/>
      <c r="N913" s="273"/>
      <c r="O913" s="269"/>
      <c r="P913" s="37">
        <v>119587</v>
      </c>
      <c r="Q913" s="36" t="str">
        <f>CONCATENATE(Cover!$D$6,"fdd/view?i=",P913)</f>
        <v>https://www.dgiwg.org/FAD/fdd/view?i=119587</v>
      </c>
      <c r="R913" s="13" t="s">
        <v>10393</v>
      </c>
      <c r="S913" s="172"/>
      <c r="T913" s="172"/>
      <c r="BJ913" s="83" t="s">
        <v>1790</v>
      </c>
      <c r="CQ913" s="165" t="s">
        <v>1790</v>
      </c>
    </row>
    <row r="914" spans="1:101" ht="38.25" x14ac:dyDescent="0.2">
      <c r="A914" s="176" t="str">
        <f t="shared" si="20"/>
        <v>maximumElevationFigure</v>
      </c>
      <c r="B914" s="11" t="s">
        <v>10398</v>
      </c>
      <c r="C914" s="173"/>
      <c r="D914" s="22" t="s">
        <v>10399</v>
      </c>
      <c r="E914" s="15" t="s">
        <v>10400</v>
      </c>
      <c r="F914" s="15" t="s">
        <v>10401</v>
      </c>
      <c r="G914" s="15" t="s">
        <v>10398</v>
      </c>
      <c r="H914" s="17" t="s">
        <v>5932</v>
      </c>
      <c r="I914" s="269"/>
      <c r="J914" s="369" t="str">
        <f>HYPERLINK("[#]Datatypes!B1231:L1231","Real")</f>
        <v>Real</v>
      </c>
      <c r="K914" s="271" t="str">
        <f>HYPERLINK("[#]PhysicalQuantities!A20:N20","Length")</f>
        <v>Length</v>
      </c>
      <c r="L914" s="270" t="str">
        <f>HYPERLINK("[#]UnitsOfMeasure!D103:G103","Foot")</f>
        <v>Foot</v>
      </c>
      <c r="M914" s="272"/>
      <c r="N914" s="273"/>
      <c r="O914" s="269"/>
      <c r="P914" s="37">
        <v>117628</v>
      </c>
      <c r="Q914" s="36" t="str">
        <f>CONCATENATE(Cover!$D$6,"fdd/view?i=",P914)</f>
        <v>https://www.dgiwg.org/FAD/fdd/view?i=117628</v>
      </c>
      <c r="R914" s="13" t="s">
        <v>10397</v>
      </c>
      <c r="S914" s="172"/>
      <c r="T914" s="172"/>
      <c r="CG914" s="83" t="s">
        <v>1790</v>
      </c>
    </row>
    <row r="915" spans="1:101" x14ac:dyDescent="0.2">
      <c r="A915" s="176" t="str">
        <f t="shared" si="20"/>
        <v>maximumFloodWaterVelocity</v>
      </c>
      <c r="B915" s="11" t="s">
        <v>10403</v>
      </c>
      <c r="C915" s="173"/>
      <c r="D915" s="22" t="s">
        <v>10404</v>
      </c>
      <c r="E915" s="15" t="s">
        <v>10405</v>
      </c>
      <c r="F915" s="174"/>
      <c r="G915" s="174"/>
      <c r="H915" s="17" t="s">
        <v>5932</v>
      </c>
      <c r="I915" s="269"/>
      <c r="J915" s="369" t="str">
        <f>HYPERLINK("[#]Datatypes!B1233:L1233","RealInterval")</f>
        <v>RealInterval</v>
      </c>
      <c r="K915" s="271" t="str">
        <f>HYPERLINK("[#]PhysicalQuantities!A48:N48","Speed")</f>
        <v>Speed</v>
      </c>
      <c r="L915" s="270" t="str">
        <f>HYPERLINK("[#]UnitsOfMeasure!D246:G246","Metre per Second")</f>
        <v>Metre per Second</v>
      </c>
      <c r="M915" s="272"/>
      <c r="N915" s="273"/>
      <c r="O915" s="269"/>
      <c r="P915" s="37">
        <v>110002</v>
      </c>
      <c r="Q915" s="36" t="str">
        <f>CONCATENATE(Cover!$D$6,"fdd/view?i=",P915)</f>
        <v>https://www.dgiwg.org/FAD/fdd/view?i=110002</v>
      </c>
      <c r="R915" s="13" t="s">
        <v>10402</v>
      </c>
      <c r="S915" s="172"/>
      <c r="T915" s="172"/>
      <c r="BE915" s="83" t="s">
        <v>1790</v>
      </c>
      <c r="BJ915" s="83" t="s">
        <v>1790</v>
      </c>
      <c r="BK915" s="89" t="s">
        <v>1790</v>
      </c>
      <c r="CQ915" s="165" t="s">
        <v>1790</v>
      </c>
    </row>
    <row r="916" spans="1:101" x14ac:dyDescent="0.2">
      <c r="A916" s="176" t="str">
        <f t="shared" si="20"/>
        <v>maxNumberStudents</v>
      </c>
      <c r="B916" s="11" t="s">
        <v>10407</v>
      </c>
      <c r="C916" s="173"/>
      <c r="D916" s="22" t="s">
        <v>10408</v>
      </c>
      <c r="E916" s="15" t="s">
        <v>10409</v>
      </c>
      <c r="F916" s="174"/>
      <c r="G916" s="174"/>
      <c r="H916" s="17" t="s">
        <v>5932</v>
      </c>
      <c r="I916" s="269"/>
      <c r="J916" s="369" t="str">
        <f>HYPERLINK("[#]Datatypes!B380:L380","Count")</f>
        <v>Count</v>
      </c>
      <c r="K916" s="276"/>
      <c r="L916" s="272"/>
      <c r="M916" s="272"/>
      <c r="N916" s="273"/>
      <c r="O916" s="269"/>
      <c r="P916" s="37">
        <v>119433</v>
      </c>
      <c r="Q916" s="36" t="str">
        <f>CONCATENATE(Cover!$D$6,"fdd/view?i=",P916)</f>
        <v>https://www.dgiwg.org/FAD/fdd/view?i=119433</v>
      </c>
      <c r="R916" s="13" t="s">
        <v>10406</v>
      </c>
      <c r="S916" s="172"/>
      <c r="T916" s="172"/>
      <c r="AN916" s="83" t="s">
        <v>1790</v>
      </c>
      <c r="CQ916" s="165" t="s">
        <v>1790</v>
      </c>
    </row>
    <row r="917" spans="1:101" x14ac:dyDescent="0.2">
      <c r="A917" s="176" t="str">
        <f t="shared" si="20"/>
        <v>maxNumberTeachingStaff</v>
      </c>
      <c r="B917" s="11" t="s">
        <v>10411</v>
      </c>
      <c r="C917" s="173"/>
      <c r="D917" s="22" t="s">
        <v>10412</v>
      </c>
      <c r="E917" s="15" t="s">
        <v>10413</v>
      </c>
      <c r="F917" s="174"/>
      <c r="G917" s="174"/>
      <c r="H917" s="17" t="s">
        <v>5932</v>
      </c>
      <c r="I917" s="269"/>
      <c r="J917" s="369" t="str">
        <f>HYPERLINK("[#]Datatypes!B380:L380","Count")</f>
        <v>Count</v>
      </c>
      <c r="K917" s="276"/>
      <c r="L917" s="272"/>
      <c r="M917" s="272"/>
      <c r="N917" s="273"/>
      <c r="O917" s="269"/>
      <c r="P917" s="37">
        <v>119434</v>
      </c>
      <c r="Q917" s="36" t="str">
        <f>CONCATENATE(Cover!$D$6,"fdd/view?i=",P917)</f>
        <v>https://www.dgiwg.org/FAD/fdd/view?i=119434</v>
      </c>
      <c r="R917" s="13" t="s">
        <v>10410</v>
      </c>
      <c r="S917" s="172"/>
      <c r="T917" s="172"/>
      <c r="AN917" s="83" t="s">
        <v>1790</v>
      </c>
      <c r="CQ917" s="165" t="s">
        <v>1790</v>
      </c>
    </row>
    <row r="918" spans="1:101" ht="25.5" x14ac:dyDescent="0.2">
      <c r="A918" s="176" t="str">
        <f t="shared" si="20"/>
        <v>maximumObstacleHeight</v>
      </c>
      <c r="B918" s="11" t="s">
        <v>10415</v>
      </c>
      <c r="C918" s="173"/>
      <c r="D918" s="22" t="s">
        <v>10416</v>
      </c>
      <c r="E918" s="15" t="s">
        <v>10417</v>
      </c>
      <c r="F918" s="15" t="s">
        <v>10418</v>
      </c>
      <c r="G918" s="174"/>
      <c r="H918" s="17" t="s">
        <v>5932</v>
      </c>
      <c r="I918" s="269"/>
      <c r="J918" s="369" t="str">
        <f>HYPERLINK("[#]Datatypes!B1233:L1233","RealInterval")</f>
        <v>RealInterval</v>
      </c>
      <c r="K918" s="271" t="str">
        <f>HYPERLINK("[#]PhysicalQuantities!A20:N20","Length")</f>
        <v>Length</v>
      </c>
      <c r="L918" s="270" t="str">
        <f>HYPERLINK("[#]UnitsOfMeasure!D80:G80","Metre")</f>
        <v>Metre</v>
      </c>
      <c r="M918" s="272"/>
      <c r="N918" s="273"/>
      <c r="O918" s="269"/>
      <c r="P918" s="37">
        <v>109955</v>
      </c>
      <c r="Q918" s="36" t="str">
        <f>CONCATENATE(Cover!$D$6,"fdd/view?i=",P918)</f>
        <v>https://www.dgiwg.org/FAD/fdd/view?i=109955</v>
      </c>
      <c r="R918" s="13" t="s">
        <v>10414</v>
      </c>
      <c r="S918" s="172"/>
      <c r="T918" s="172"/>
      <c r="AT918" s="82" t="s">
        <v>1790</v>
      </c>
      <c r="AU918" s="82" t="s">
        <v>1790</v>
      </c>
      <c r="CF918" s="83" t="s">
        <v>1790</v>
      </c>
      <c r="CG918" s="83" t="s">
        <v>1790</v>
      </c>
      <c r="CP918" s="164" t="s">
        <v>1790</v>
      </c>
    </row>
    <row r="919" spans="1:101" ht="63.75" x14ac:dyDescent="0.2">
      <c r="A919" s="176" t="str">
        <f t="shared" si="20"/>
        <v>maxPermitExplosives</v>
      </c>
      <c r="B919" s="11" t="s">
        <v>10420</v>
      </c>
      <c r="C919" s="173"/>
      <c r="D919" s="22" t="s">
        <v>10421</v>
      </c>
      <c r="E919" s="15" t="s">
        <v>10422</v>
      </c>
      <c r="F919" s="15" t="s">
        <v>10423</v>
      </c>
      <c r="G919" s="174"/>
      <c r="H919" s="17" t="s">
        <v>5932</v>
      </c>
      <c r="I919" s="269"/>
      <c r="J919" s="369" t="str">
        <f>HYPERLINK("[#]Datatypes!B1048:L1048","RealNonNegative")</f>
        <v>RealNonNegative</v>
      </c>
      <c r="K919" s="271" t="str">
        <f>HYPERLINK("[#]PhysicalQuantities!A28:N28","Mass")</f>
        <v>Mass</v>
      </c>
      <c r="L919" s="270" t="str">
        <f>HYPERLINK("[#]UnitsOfMeasure!D127:G127","Kilogram")</f>
        <v>Kilogram</v>
      </c>
      <c r="M919" s="272"/>
      <c r="N919" s="273"/>
      <c r="O919" s="269"/>
      <c r="P919" s="37">
        <v>119436</v>
      </c>
      <c r="Q919" s="36" t="str">
        <f>CONCATENATE(Cover!$D$6,"fdd/view?i=",P919)</f>
        <v>https://www.dgiwg.org/FAD/fdd/view?i=119436</v>
      </c>
      <c r="R919" s="13" t="s">
        <v>10419</v>
      </c>
      <c r="S919" s="172"/>
      <c r="T919" s="172"/>
      <c r="AG919" s="82" t="s">
        <v>1790</v>
      </c>
      <c r="CQ919" s="165" t="s">
        <v>1790</v>
      </c>
    </row>
    <row r="920" spans="1:101" ht="25.5" x14ac:dyDescent="0.2">
      <c r="A920" s="176" t="str">
        <f t="shared" si="20"/>
        <v>maximumSurfaceSlope</v>
      </c>
      <c r="B920" s="11" t="s">
        <v>10425</v>
      </c>
      <c r="C920" s="173"/>
      <c r="D920" s="22" t="s">
        <v>10426</v>
      </c>
      <c r="E920" s="15" t="s">
        <v>10427</v>
      </c>
      <c r="F920" s="15" t="s">
        <v>10428</v>
      </c>
      <c r="G920" s="174"/>
      <c r="H920" s="17" t="s">
        <v>5932</v>
      </c>
      <c r="I920" s="269"/>
      <c r="J920" s="369" t="str">
        <f t="shared" ref="J920:J925" si="21">HYPERLINK("[#]Datatypes!B1231:L1231","Real")</f>
        <v>Real</v>
      </c>
      <c r="K920" s="271" t="str">
        <f>HYPERLINK("[#]PhysicalQuantities!A39:N39","Pure Number")</f>
        <v>Pure Number</v>
      </c>
      <c r="L920" s="270" t="str">
        <f>HYPERLINK("[#]UnitsOfMeasure!D215:G215","Percent")</f>
        <v>Percent</v>
      </c>
      <c r="M920" s="272"/>
      <c r="N920" s="273"/>
      <c r="O920" s="269"/>
      <c r="P920" s="37">
        <v>111776</v>
      </c>
      <c r="Q920" s="36" t="str">
        <f>CONCATENATE(Cover!$D$6,"fdd/view?i=",P920)</f>
        <v>https://www.dgiwg.org/FAD/fdd/view?i=111776</v>
      </c>
      <c r="R920" s="13" t="s">
        <v>10424</v>
      </c>
      <c r="S920" s="172"/>
      <c r="T920" s="172"/>
      <c r="BM920" s="82" t="s">
        <v>1790</v>
      </c>
      <c r="CP920" s="164" t="s">
        <v>1790</v>
      </c>
    </row>
    <row r="921" spans="1:101" ht="38.25" x14ac:dyDescent="0.2">
      <c r="A921" s="176" t="str">
        <f t="shared" si="20"/>
        <v>maximumVehicleHeight</v>
      </c>
      <c r="B921" s="11" t="s">
        <v>10430</v>
      </c>
      <c r="C921" s="173"/>
      <c r="D921" s="22" t="s">
        <v>10431</v>
      </c>
      <c r="E921" s="15" t="s">
        <v>10432</v>
      </c>
      <c r="F921" s="15" t="s">
        <v>10433</v>
      </c>
      <c r="G921" s="174"/>
      <c r="H921" s="17" t="s">
        <v>5932</v>
      </c>
      <c r="I921" s="269"/>
      <c r="J921" s="369" t="str">
        <f t="shared" si="21"/>
        <v>Real</v>
      </c>
      <c r="K921" s="271" t="str">
        <f>HYPERLINK("[#]PhysicalQuantities!A20:N20","Length")</f>
        <v>Length</v>
      </c>
      <c r="L921" s="270" t="str">
        <f>HYPERLINK("[#]UnitsOfMeasure!D80:G80","Metre")</f>
        <v>Metre</v>
      </c>
      <c r="M921" s="272"/>
      <c r="N921" s="273"/>
      <c r="O921" s="269"/>
      <c r="P921" s="37">
        <v>118148</v>
      </c>
      <c r="Q921" s="36" t="str">
        <f>CONCATENATE(Cover!$D$6,"fdd/view?i=",P921)</f>
        <v>https://www.dgiwg.org/FAD/fdd/view?i=118148</v>
      </c>
      <c r="R921" s="13" t="s">
        <v>10429</v>
      </c>
      <c r="S921" s="172"/>
      <c r="T921" s="172"/>
      <c r="AQ921" s="82" t="s">
        <v>1790</v>
      </c>
      <c r="AU921" s="82" t="s">
        <v>1790</v>
      </c>
      <c r="CQ921" s="165" t="s">
        <v>1790</v>
      </c>
    </row>
    <row r="922" spans="1:101" ht="38.25" x14ac:dyDescent="0.2">
      <c r="A922" s="176" t="str">
        <f t="shared" si="20"/>
        <v>maximumVehicleLength</v>
      </c>
      <c r="B922" s="11" t="s">
        <v>10435</v>
      </c>
      <c r="C922" s="173"/>
      <c r="D922" s="22" t="s">
        <v>10436</v>
      </c>
      <c r="E922" s="15" t="s">
        <v>10437</v>
      </c>
      <c r="F922" s="15" t="s">
        <v>10438</v>
      </c>
      <c r="G922" s="174"/>
      <c r="H922" s="17" t="s">
        <v>5932</v>
      </c>
      <c r="I922" s="269"/>
      <c r="J922" s="369" t="str">
        <f t="shared" si="21"/>
        <v>Real</v>
      </c>
      <c r="K922" s="271" t="str">
        <f>HYPERLINK("[#]PhysicalQuantities!A20:N20","Length")</f>
        <v>Length</v>
      </c>
      <c r="L922" s="270" t="str">
        <f>HYPERLINK("[#]UnitsOfMeasure!D80:G80","Metre")</f>
        <v>Metre</v>
      </c>
      <c r="M922" s="272"/>
      <c r="N922" s="273"/>
      <c r="O922" s="269"/>
      <c r="P922" s="37">
        <v>118149</v>
      </c>
      <c r="Q922" s="36" t="str">
        <f>CONCATENATE(Cover!$D$6,"fdd/view?i=",P922)</f>
        <v>https://www.dgiwg.org/FAD/fdd/view?i=118149</v>
      </c>
      <c r="R922" s="13" t="s">
        <v>10434</v>
      </c>
      <c r="S922" s="172"/>
      <c r="T922" s="172"/>
      <c r="AQ922" s="82" t="s">
        <v>1790</v>
      </c>
      <c r="AU922" s="82" t="s">
        <v>1790</v>
      </c>
      <c r="CQ922" s="165" t="s">
        <v>1790</v>
      </c>
    </row>
    <row r="923" spans="1:101" ht="38.25" x14ac:dyDescent="0.2">
      <c r="A923" s="176" t="str">
        <f t="shared" si="20"/>
        <v>maximumVehicleWidth</v>
      </c>
      <c r="B923" s="11" t="s">
        <v>10440</v>
      </c>
      <c r="C923" s="173"/>
      <c r="D923" s="22" t="s">
        <v>10441</v>
      </c>
      <c r="E923" s="15" t="s">
        <v>10442</v>
      </c>
      <c r="F923" s="15" t="s">
        <v>10443</v>
      </c>
      <c r="G923" s="174"/>
      <c r="H923" s="17" t="s">
        <v>5932</v>
      </c>
      <c r="I923" s="269"/>
      <c r="J923" s="369" t="str">
        <f t="shared" si="21"/>
        <v>Real</v>
      </c>
      <c r="K923" s="271" t="str">
        <f>HYPERLINK("[#]PhysicalQuantities!A20:N20","Length")</f>
        <v>Length</v>
      </c>
      <c r="L923" s="270" t="str">
        <f>HYPERLINK("[#]UnitsOfMeasure!D80:G80","Metre")</f>
        <v>Metre</v>
      </c>
      <c r="M923" s="272"/>
      <c r="N923" s="273"/>
      <c r="O923" s="269"/>
      <c r="P923" s="37">
        <v>118150</v>
      </c>
      <c r="Q923" s="36" t="str">
        <f>CONCATENATE(Cover!$D$6,"fdd/view?i=",P923)</f>
        <v>https://www.dgiwg.org/FAD/fdd/view?i=118150</v>
      </c>
      <c r="R923" s="13" t="s">
        <v>10439</v>
      </c>
      <c r="S923" s="172"/>
      <c r="T923" s="172"/>
      <c r="AQ923" s="82" t="s">
        <v>1790</v>
      </c>
      <c r="AU923" s="82" t="s">
        <v>1790</v>
      </c>
      <c r="CQ923" s="165" t="s">
        <v>1790</v>
      </c>
    </row>
    <row r="924" spans="1:101" ht="25.5" x14ac:dyDescent="0.2">
      <c r="A924" s="176" t="str">
        <f t="shared" si="20"/>
        <v>maximumVerticalClearance</v>
      </c>
      <c r="B924" s="11" t="s">
        <v>10445</v>
      </c>
      <c r="C924" s="173"/>
      <c r="D924" s="22" t="s">
        <v>10446</v>
      </c>
      <c r="E924" s="15" t="s">
        <v>10447</v>
      </c>
      <c r="F924" s="174"/>
      <c r="G924" s="174"/>
      <c r="H924" s="17" t="s">
        <v>5932</v>
      </c>
      <c r="I924" s="269"/>
      <c r="J924" s="369" t="str">
        <f t="shared" si="21"/>
        <v>Real</v>
      </c>
      <c r="K924" s="271" t="str">
        <f>HYPERLINK("[#]PhysicalQuantities!A20:N20","Length")</f>
        <v>Length</v>
      </c>
      <c r="L924" s="270" t="str">
        <f>HYPERLINK("[#]UnitsOfMeasure!D80:G80","Metre")</f>
        <v>Metre</v>
      </c>
      <c r="M924" s="272"/>
      <c r="N924" s="273"/>
      <c r="O924" s="269"/>
      <c r="P924" s="37">
        <v>101085</v>
      </c>
      <c r="Q924" s="36" t="str">
        <f>CONCATENATE(Cover!$D$6,"fdd/view?i=",P924)</f>
        <v>https://www.dgiwg.org/FAD/fdd/view?i=101085</v>
      </c>
      <c r="R924" s="13" t="s">
        <v>10444</v>
      </c>
      <c r="S924" s="172"/>
      <c r="T924" s="172"/>
      <c r="AP924" s="81" t="s">
        <v>1790</v>
      </c>
      <c r="AQ924" s="82" t="s">
        <v>1790</v>
      </c>
      <c r="AU924" s="82" t="s">
        <v>1790</v>
      </c>
      <c r="CQ924" s="165" t="s">
        <v>1790</v>
      </c>
    </row>
    <row r="925" spans="1:101" ht="25.5" x14ac:dyDescent="0.2">
      <c r="A925" s="176" t="str">
        <f t="shared" si="20"/>
        <v>meanShearStrength</v>
      </c>
      <c r="B925" s="11" t="s">
        <v>10449</v>
      </c>
      <c r="C925" s="173"/>
      <c r="D925" s="22" t="s">
        <v>10450</v>
      </c>
      <c r="E925" s="15" t="s">
        <v>10451</v>
      </c>
      <c r="F925" s="174"/>
      <c r="G925" s="174"/>
      <c r="H925" s="17" t="s">
        <v>5932</v>
      </c>
      <c r="I925" s="269"/>
      <c r="J925" s="369" t="str">
        <f t="shared" si="21"/>
        <v>Real</v>
      </c>
      <c r="K925" s="271" t="str">
        <f>HYPERLINK("[#]PhysicalQuantities!A38:N38","Pressure")</f>
        <v>Pressure</v>
      </c>
      <c r="L925" s="270" t="str">
        <f>HYPERLINK("[#]UnitsOfMeasure!D209:G209","Kilogram-force per Square Metre")</f>
        <v>Kilogram-force per Square Metre</v>
      </c>
      <c r="M925" s="272"/>
      <c r="N925" s="273"/>
      <c r="O925" s="269"/>
      <c r="P925" s="37">
        <v>111780</v>
      </c>
      <c r="Q925" s="36" t="str">
        <f>CONCATENATE(Cover!$D$6,"fdd/view?i=",P925)</f>
        <v>https://www.dgiwg.org/FAD/fdd/view?i=111780</v>
      </c>
      <c r="R925" s="13" t="s">
        <v>10448</v>
      </c>
      <c r="S925" s="172"/>
      <c r="T925" s="172"/>
      <c r="BN925" s="82" t="s">
        <v>1790</v>
      </c>
      <c r="BQ925" s="82" t="s">
        <v>1790</v>
      </c>
      <c r="CQ925" s="165" t="s">
        <v>1790</v>
      </c>
    </row>
    <row r="926" spans="1:101" ht="38.25" x14ac:dyDescent="0.2">
      <c r="A926" s="176" t="str">
        <f t="shared" si="20"/>
        <v>medianPresent</v>
      </c>
      <c r="B926" s="11" t="s">
        <v>10453</v>
      </c>
      <c r="C926" s="173"/>
      <c r="D926" s="22" t="s">
        <v>10454</v>
      </c>
      <c r="E926" s="15" t="s">
        <v>10455</v>
      </c>
      <c r="F926" s="15" t="s">
        <v>10456</v>
      </c>
      <c r="G926" s="174"/>
      <c r="H926" s="17" t="s">
        <v>5932</v>
      </c>
      <c r="I926" s="269"/>
      <c r="J926" s="369" t="str">
        <f>HYPERLINK("[#]Datatypes!B240:L240","Boolean")</f>
        <v>Boolean</v>
      </c>
      <c r="K926" s="276"/>
      <c r="L926" s="272"/>
      <c r="M926" s="272"/>
      <c r="N926" s="273"/>
      <c r="O926" s="269"/>
      <c r="P926" s="37">
        <v>101041</v>
      </c>
      <c r="Q926" s="36" t="str">
        <f>CONCATENATE(Cover!$D$6,"fdd/view?i=",P926)</f>
        <v>https://www.dgiwg.org/FAD/fdd/view?i=101041</v>
      </c>
      <c r="R926" s="13" t="s">
        <v>10452</v>
      </c>
      <c r="S926" s="172"/>
      <c r="T926" s="172"/>
      <c r="AP926" s="81" t="s">
        <v>1790</v>
      </c>
      <c r="AQ926" s="82" t="s">
        <v>1790</v>
      </c>
      <c r="AU926" s="82" t="s">
        <v>1790</v>
      </c>
      <c r="CS926" s="165" t="s">
        <v>1790</v>
      </c>
    </row>
    <row r="927" spans="1:101" x14ac:dyDescent="0.2">
      <c r="A927" s="176" t="str">
        <f t="shared" si="20"/>
        <v>medicalServices</v>
      </c>
      <c r="B927" s="11" t="s">
        <v>10458</v>
      </c>
      <c r="C927" s="173"/>
      <c r="D927" s="22" t="s">
        <v>10459</v>
      </c>
      <c r="E927" s="15" t="s">
        <v>10460</v>
      </c>
      <c r="F927" s="174"/>
      <c r="G927" s="174"/>
      <c r="H927" s="17" t="s">
        <v>5932</v>
      </c>
      <c r="I927" s="17" t="s">
        <v>6224</v>
      </c>
      <c r="J927" s="369" t="str">
        <f>HYPERLINK("[#]Datatypes!B906:L906","MelCode")</f>
        <v>MelCode</v>
      </c>
      <c r="K927" s="276"/>
      <c r="L927" s="272"/>
      <c r="M927" s="272"/>
      <c r="N927" s="248" t="str">
        <f>HYPERLINK("[#]DatatypeListedValues!A5749:H5749","&lt;values&gt;")</f>
        <v>&lt;values&gt;</v>
      </c>
      <c r="O927" s="277" t="b">
        <v>0</v>
      </c>
      <c r="P927" s="37">
        <v>119435</v>
      </c>
      <c r="Q927" s="36" t="str">
        <f>CONCATENATE(Cover!$D$6,"fdd/view?i=",P927)</f>
        <v>https://www.dgiwg.org/FAD/fdd/view?i=119435</v>
      </c>
      <c r="R927" s="13" t="s">
        <v>10457</v>
      </c>
      <c r="S927" s="172"/>
      <c r="T927" s="172"/>
      <c r="AJ927" s="83" t="s">
        <v>1790</v>
      </c>
      <c r="CT927" s="166" t="s">
        <v>1790</v>
      </c>
    </row>
    <row r="928" spans="1:101" ht="38.25" x14ac:dyDescent="0.2">
      <c r="A928" s="176" t="str">
        <f t="shared" si="20"/>
        <v>memorandum</v>
      </c>
      <c r="B928" s="11" t="s">
        <v>10463</v>
      </c>
      <c r="C928" s="173"/>
      <c r="D928" s="22" t="s">
        <v>10464</v>
      </c>
      <c r="E928" s="15" t="s">
        <v>10465</v>
      </c>
      <c r="F928" s="15" t="s">
        <v>10466</v>
      </c>
      <c r="G928" s="174"/>
      <c r="H928" s="17" t="s">
        <v>5932</v>
      </c>
      <c r="I928" s="269"/>
      <c r="J928" s="369" t="str">
        <f>HYPERLINK("[#]Datatypes!B1544:L1544","TextLexUnconstrained")</f>
        <v>TextLexUnconstrained</v>
      </c>
      <c r="K928" s="276"/>
      <c r="L928" s="272"/>
      <c r="M928" s="272"/>
      <c r="N928" s="273"/>
      <c r="O928" s="269"/>
      <c r="P928" s="37">
        <v>111625</v>
      </c>
      <c r="Q928" s="36" t="str">
        <f>CONCATENATE(Cover!$D$6,"fdd/view?i=",P928)</f>
        <v>https://www.dgiwg.org/FAD/fdd/view?i=111625</v>
      </c>
      <c r="R928" s="13" t="s">
        <v>10462</v>
      </c>
      <c r="S928" s="172"/>
      <c r="T928" s="172"/>
      <c r="CW928" s="164" t="s">
        <v>1790</v>
      </c>
    </row>
    <row r="929" spans="1:105" ht="25.5" x14ac:dyDescent="0.2">
      <c r="A929" s="176" t="str">
        <f t="shared" si="20"/>
        <v>memorandumType</v>
      </c>
      <c r="B929" s="11" t="s">
        <v>10468</v>
      </c>
      <c r="C929" s="173"/>
      <c r="D929" s="22" t="s">
        <v>10469</v>
      </c>
      <c r="E929" s="15" t="s">
        <v>10470</v>
      </c>
      <c r="F929" s="174"/>
      <c r="G929" s="174"/>
      <c r="H929" s="17" t="s">
        <v>5932</v>
      </c>
      <c r="I929" s="269"/>
      <c r="J929" s="369" t="str">
        <f>HYPERLINK("[#]Datatypes!B908:L908","MetCode")</f>
        <v>MetCode</v>
      </c>
      <c r="K929" s="276"/>
      <c r="L929" s="272"/>
      <c r="M929" s="272"/>
      <c r="N929" s="248" t="str">
        <f>HYPERLINK("[#]DatatypeListedValues!A5775:H5775","&lt;values&gt;")</f>
        <v>&lt;values&gt;</v>
      </c>
      <c r="O929" s="277" t="b">
        <v>0</v>
      </c>
      <c r="P929" s="37">
        <v>111627</v>
      </c>
      <c r="Q929" s="36" t="str">
        <f>CONCATENATE(Cover!$D$6,"fdd/view?i=",P929)</f>
        <v>https://www.dgiwg.org/FAD/fdd/view?i=111627</v>
      </c>
      <c r="R929" s="13" t="s">
        <v>10467</v>
      </c>
      <c r="S929" s="172"/>
      <c r="T929" s="172"/>
      <c r="CW929" s="164" t="s">
        <v>1790</v>
      </c>
    </row>
    <row r="930" spans="1:105" ht="25.5" x14ac:dyDescent="0.2">
      <c r="A930" s="176" t="str">
        <f t="shared" si="20"/>
        <v>messageBody</v>
      </c>
      <c r="B930" s="11" t="s">
        <v>10473</v>
      </c>
      <c r="C930" s="173"/>
      <c r="D930" s="22" t="s">
        <v>10474</v>
      </c>
      <c r="E930" s="15" t="s">
        <v>10475</v>
      </c>
      <c r="F930" s="15" t="s">
        <v>10466</v>
      </c>
      <c r="G930" s="174"/>
      <c r="H930" s="17" t="s">
        <v>5932</v>
      </c>
      <c r="I930" s="269"/>
      <c r="J930" s="369" t="str">
        <f>HYPERLINK("[#]Datatypes!B1544:L1544","TextLexUnconstrained")</f>
        <v>TextLexUnconstrained</v>
      </c>
      <c r="K930" s="276"/>
      <c r="L930" s="272"/>
      <c r="M930" s="272"/>
      <c r="N930" s="273"/>
      <c r="O930" s="269"/>
      <c r="P930" s="37">
        <v>114229</v>
      </c>
      <c r="Q930" s="36" t="str">
        <f>CONCATENATE(Cover!$D$6,"fdd/view?i=",P930)</f>
        <v>https://www.dgiwg.org/FAD/fdd/view?i=114229</v>
      </c>
      <c r="R930" s="13" t="s">
        <v>10472</v>
      </c>
      <c r="S930" s="172"/>
      <c r="T930" s="172"/>
      <c r="CS930" s="165" t="s">
        <v>1790</v>
      </c>
      <c r="CT930" s="166" t="s">
        <v>1790</v>
      </c>
    </row>
    <row r="931" spans="1:105" ht="25.5" x14ac:dyDescent="0.2">
      <c r="A931" s="176" t="str">
        <f t="shared" si="20"/>
        <v>messageCancellingAuthority</v>
      </c>
      <c r="B931" s="11" t="s">
        <v>10477</v>
      </c>
      <c r="C931" s="173"/>
      <c r="D931" s="22" t="s">
        <v>10478</v>
      </c>
      <c r="E931" s="15" t="s">
        <v>10479</v>
      </c>
      <c r="F931" s="174"/>
      <c r="G931" s="174"/>
      <c r="H931" s="17" t="s">
        <v>5932</v>
      </c>
      <c r="I931" s="269"/>
      <c r="J931" s="369" t="str">
        <f>HYPERLINK("[#]Datatypes!B1562:L1562","TextNonLexUnconstrained")</f>
        <v>TextNonLexUnconstrained</v>
      </c>
      <c r="K931" s="276"/>
      <c r="L931" s="272"/>
      <c r="M931" s="272"/>
      <c r="N931" s="273"/>
      <c r="O931" s="269"/>
      <c r="P931" s="37">
        <v>114230</v>
      </c>
      <c r="Q931" s="36" t="str">
        <f>CONCATENATE(Cover!$D$6,"fdd/view?i=",P931)</f>
        <v>https://www.dgiwg.org/FAD/fdd/view?i=114230</v>
      </c>
      <c r="R931" s="13" t="s">
        <v>10476</v>
      </c>
      <c r="S931" s="172"/>
      <c r="T931" s="172"/>
      <c r="DA931" s="165" t="s">
        <v>1790</v>
      </c>
    </row>
    <row r="932" spans="1:105" ht="25.5" x14ac:dyDescent="0.2">
      <c r="A932" s="176" t="str">
        <f t="shared" si="20"/>
        <v>messageDateActive</v>
      </c>
      <c r="B932" s="11" t="s">
        <v>10481</v>
      </c>
      <c r="C932" s="173"/>
      <c r="D932" s="22" t="s">
        <v>10482</v>
      </c>
      <c r="E932" s="15" t="s">
        <v>10483</v>
      </c>
      <c r="F932" s="174"/>
      <c r="G932" s="174"/>
      <c r="H932" s="17" t="s">
        <v>5932</v>
      </c>
      <c r="I932" s="269"/>
      <c r="J932" s="369" t="str">
        <f>HYPERLINK("[#]Datatypes!B910:L910","MdaStrucText")</f>
        <v>MdaStrucText</v>
      </c>
      <c r="K932" s="276"/>
      <c r="L932" s="272"/>
      <c r="M932" s="272"/>
      <c r="N932" s="273"/>
      <c r="O932" s="269"/>
      <c r="P932" s="37">
        <v>114227</v>
      </c>
      <c r="Q932" s="36" t="str">
        <f>CONCATENATE(Cover!$D$6,"fdd/view?i=",P932)</f>
        <v>https://www.dgiwg.org/FAD/fdd/view?i=114227</v>
      </c>
      <c r="R932" s="13" t="s">
        <v>10480</v>
      </c>
      <c r="S932" s="172"/>
      <c r="T932" s="172"/>
      <c r="CR932" s="165" t="s">
        <v>1790</v>
      </c>
    </row>
    <row r="933" spans="1:105" ht="25.5" x14ac:dyDescent="0.2">
      <c r="A933" s="176" t="str">
        <f t="shared" si="20"/>
        <v>messageSequenceNumber</v>
      </c>
      <c r="B933" s="11" t="s">
        <v>10486</v>
      </c>
      <c r="C933" s="173"/>
      <c r="D933" s="22" t="s">
        <v>10487</v>
      </c>
      <c r="E933" s="15" t="s">
        <v>10488</v>
      </c>
      <c r="F933" s="174"/>
      <c r="G933" s="174"/>
      <c r="H933" s="17" t="s">
        <v>5932</v>
      </c>
      <c r="I933" s="269"/>
      <c r="J933" s="369" t="str">
        <f>HYPERLINK("[#]Datatypes!B1046:L1046","IntegerNonNegative")</f>
        <v>IntegerNonNegative</v>
      </c>
      <c r="K933" s="271" t="str">
        <f>HYPERLINK("[#]PhysicalQuantities!A39:N39","Pure Number")</f>
        <v>Pure Number</v>
      </c>
      <c r="L933" s="270" t="str">
        <f>HYPERLINK("[#]UnitsOfMeasure!D213:G213","Unitless")</f>
        <v>Unitless</v>
      </c>
      <c r="M933" s="272"/>
      <c r="N933" s="273"/>
      <c r="O933" s="269"/>
      <c r="P933" s="37">
        <v>111638</v>
      </c>
      <c r="Q933" s="36" t="str">
        <f>CONCATENATE(Cover!$D$6,"fdd/view?i=",P933)</f>
        <v>https://www.dgiwg.org/FAD/fdd/view?i=111638</v>
      </c>
      <c r="R933" s="13" t="s">
        <v>10485</v>
      </c>
      <c r="S933" s="172"/>
      <c r="T933" s="172"/>
      <c r="CX933" s="165" t="s">
        <v>1790</v>
      </c>
      <c r="CZ933" s="165" t="s">
        <v>1790</v>
      </c>
    </row>
    <row r="934" spans="1:105" x14ac:dyDescent="0.2">
      <c r="A934" s="176" t="str">
        <f t="shared" si="20"/>
        <v>metallicOreType</v>
      </c>
      <c r="B934" s="11" t="s">
        <v>10491</v>
      </c>
      <c r="C934" s="173"/>
      <c r="D934" s="22" t="s">
        <v>10492</v>
      </c>
      <c r="E934" s="15" t="s">
        <v>10493</v>
      </c>
      <c r="F934" s="174"/>
      <c r="G934" s="174"/>
      <c r="H934" s="17" t="s">
        <v>5932</v>
      </c>
      <c r="I934" s="269"/>
      <c r="J934" s="369" t="str">
        <f>HYPERLINK("[#]Datatypes!B912:L912","MeoCode")</f>
        <v>MeoCode</v>
      </c>
      <c r="K934" s="276"/>
      <c r="L934" s="272"/>
      <c r="M934" s="272"/>
      <c r="N934" s="248" t="str">
        <f>HYPERLINK("[#]DatatypeListedValues!A5780:H5780","&lt;values&gt;")</f>
        <v>&lt;values&gt;</v>
      </c>
      <c r="O934" s="277" t="b">
        <v>0</v>
      </c>
      <c r="P934" s="37">
        <v>111626</v>
      </c>
      <c r="Q934" s="36" t="str">
        <f>CONCATENATE(Cover!$D$6,"fdd/view?i=",P934)</f>
        <v>https://www.dgiwg.org/FAD/fdd/view?i=111626</v>
      </c>
      <c r="R934" s="13" t="s">
        <v>10490</v>
      </c>
      <c r="S934" s="172"/>
      <c r="T934" s="172"/>
      <c r="AB934" s="82" t="s">
        <v>1790</v>
      </c>
      <c r="BP934" s="82" t="s">
        <v>1790</v>
      </c>
      <c r="CU934" s="87" t="s">
        <v>1790</v>
      </c>
    </row>
    <row r="935" spans="1:105" ht="51" x14ac:dyDescent="0.2">
      <c r="A935" s="176" t="str">
        <f t="shared" si="20"/>
        <v>mlsChannel</v>
      </c>
      <c r="B935" s="11" t="s">
        <v>10496</v>
      </c>
      <c r="C935" s="173"/>
      <c r="D935" s="22" t="s">
        <v>10497</v>
      </c>
      <c r="E935" s="15" t="s">
        <v>10498</v>
      </c>
      <c r="F935" s="15" t="s">
        <v>10499</v>
      </c>
      <c r="G935" s="174"/>
      <c r="H935" s="17" t="s">
        <v>5932</v>
      </c>
      <c r="I935" s="269"/>
      <c r="J935" s="369" t="str">
        <f>HYPERLINK("[#]Datatypes!B914:L914","CmlCode")</f>
        <v>CmlCode</v>
      </c>
      <c r="K935" s="276"/>
      <c r="L935" s="272"/>
      <c r="M935" s="272"/>
      <c r="N935" s="248" t="str">
        <f>HYPERLINK("[#]DatatypeListedValues!A5803:H5803","&lt;values&gt;")</f>
        <v>&lt;values&gt;</v>
      </c>
      <c r="O935" s="17" t="b">
        <v>1</v>
      </c>
      <c r="P935" s="37">
        <v>117539</v>
      </c>
      <c r="Q935" s="36" t="str">
        <f>CONCATENATE(Cover!$D$6,"fdd/view?i=",P935)</f>
        <v>https://www.dgiwg.org/FAD/fdd/view?i=117539</v>
      </c>
      <c r="R935" s="13" t="s">
        <v>10495</v>
      </c>
      <c r="S935" s="172"/>
      <c r="T935" s="172"/>
      <c r="CG935" s="83" t="s">
        <v>1790</v>
      </c>
    </row>
    <row r="936" spans="1:105" ht="76.5" x14ac:dyDescent="0.2">
      <c r="A936" s="176" t="str">
        <f t="shared" si="20"/>
        <v>mlsElevationAngleAcc</v>
      </c>
      <c r="B936" s="11" t="s">
        <v>10502</v>
      </c>
      <c r="C936" s="173"/>
      <c r="D936" s="22" t="s">
        <v>10503</v>
      </c>
      <c r="E936" s="15" t="s">
        <v>10504</v>
      </c>
      <c r="F936" s="15" t="s">
        <v>10505</v>
      </c>
      <c r="G936" s="174"/>
      <c r="H936" s="17" t="s">
        <v>5932</v>
      </c>
      <c r="I936" s="269"/>
      <c r="J936" s="369" t="str">
        <f>HYPERLINK("[#]Datatypes!B1048:L1048","RealNonNegative")</f>
        <v>RealNonNegative</v>
      </c>
      <c r="K936" s="271" t="str">
        <f t="shared" ref="K936:K943" si="22">HYPERLINK("[#]PhysicalQuantities!A34:N34","Plane Angle")</f>
        <v>Plane Angle</v>
      </c>
      <c r="L936" s="270" t="str">
        <f t="shared" ref="L936:L943" si="23">HYPERLINK("[#]UnitsOfMeasure!D159:G159","Arc Degree")</f>
        <v>Arc Degree</v>
      </c>
      <c r="M936" s="272"/>
      <c r="N936" s="273"/>
      <c r="O936" s="269"/>
      <c r="P936" s="37">
        <v>119586</v>
      </c>
      <c r="Q936" s="36" t="str">
        <f>CONCATENATE(Cover!$D$6,"fdd/view?i=",P936)</f>
        <v>https://www.dgiwg.org/FAD/fdd/view?i=119586</v>
      </c>
      <c r="R936" s="13" t="s">
        <v>10501</v>
      </c>
      <c r="S936" s="172"/>
      <c r="T936" s="172"/>
      <c r="AT936" s="82" t="s">
        <v>1790</v>
      </c>
      <c r="CF936" s="83" t="s">
        <v>1790</v>
      </c>
      <c r="CG936" s="83" t="s">
        <v>1790</v>
      </c>
      <c r="CZ936" s="165" t="s">
        <v>1790</v>
      </c>
    </row>
    <row r="937" spans="1:105" ht="38.25" x14ac:dyDescent="0.2">
      <c r="A937" s="176" t="str">
        <f t="shared" si="20"/>
        <v>mlsLeftAngleCoverage</v>
      </c>
      <c r="B937" s="11" t="s">
        <v>10507</v>
      </c>
      <c r="C937" s="173"/>
      <c r="D937" s="22" t="s">
        <v>10508</v>
      </c>
      <c r="E937" s="15" t="s">
        <v>10509</v>
      </c>
      <c r="F937" s="174"/>
      <c r="G937" s="174"/>
      <c r="H937" s="17" t="s">
        <v>5932</v>
      </c>
      <c r="I937" s="269"/>
      <c r="J937" s="369" t="str">
        <f t="shared" ref="J937:J943" si="24">HYPERLINK("[#]Datatypes!B1231:L1231","Real")</f>
        <v>Real</v>
      </c>
      <c r="K937" s="271" t="str">
        <f t="shared" si="22"/>
        <v>Plane Angle</v>
      </c>
      <c r="L937" s="270" t="str">
        <f t="shared" si="23"/>
        <v>Arc Degree</v>
      </c>
      <c r="M937" s="272"/>
      <c r="N937" s="273"/>
      <c r="O937" s="269"/>
      <c r="P937" s="37">
        <v>117631</v>
      </c>
      <c r="Q937" s="36" t="str">
        <f>CONCATENATE(Cover!$D$6,"fdd/view?i=",P937)</f>
        <v>https://www.dgiwg.org/FAD/fdd/view?i=117631</v>
      </c>
      <c r="R937" s="13" t="s">
        <v>10506</v>
      </c>
      <c r="S937" s="172"/>
      <c r="T937" s="172"/>
      <c r="CG937" s="83" t="s">
        <v>1790</v>
      </c>
    </row>
    <row r="938" spans="1:105" ht="51" x14ac:dyDescent="0.2">
      <c r="A938" s="176" t="str">
        <f t="shared" si="20"/>
        <v>mlsLeftAngleProportion</v>
      </c>
      <c r="B938" s="11" t="s">
        <v>10511</v>
      </c>
      <c r="C938" s="173"/>
      <c r="D938" s="22" t="s">
        <v>10512</v>
      </c>
      <c r="E938" s="15" t="s">
        <v>10513</v>
      </c>
      <c r="F938" s="174"/>
      <c r="G938" s="174"/>
      <c r="H938" s="17" t="s">
        <v>5932</v>
      </c>
      <c r="I938" s="269"/>
      <c r="J938" s="369" t="str">
        <f t="shared" si="24"/>
        <v>Real</v>
      </c>
      <c r="K938" s="271" t="str">
        <f t="shared" si="22"/>
        <v>Plane Angle</v>
      </c>
      <c r="L938" s="270" t="str">
        <f t="shared" si="23"/>
        <v>Arc Degree</v>
      </c>
      <c r="M938" s="272"/>
      <c r="N938" s="273"/>
      <c r="O938" s="269"/>
      <c r="P938" s="37">
        <v>117633</v>
      </c>
      <c r="Q938" s="36" t="str">
        <f>CONCATENATE(Cover!$D$6,"fdd/view?i=",P938)</f>
        <v>https://www.dgiwg.org/FAD/fdd/view?i=117633</v>
      </c>
      <c r="R938" s="13" t="s">
        <v>10510</v>
      </c>
      <c r="S938" s="172"/>
      <c r="T938" s="172"/>
      <c r="CG938" s="83" t="s">
        <v>1790</v>
      </c>
    </row>
    <row r="939" spans="1:105" ht="25.5" x14ac:dyDescent="0.2">
      <c r="A939" s="176" t="str">
        <f t="shared" si="20"/>
        <v>mlsMinimumAngle</v>
      </c>
      <c r="B939" s="11" t="s">
        <v>10515</v>
      </c>
      <c r="C939" s="173"/>
      <c r="D939" s="22" t="s">
        <v>10516</v>
      </c>
      <c r="E939" s="15" t="s">
        <v>10517</v>
      </c>
      <c r="F939" s="174"/>
      <c r="G939" s="174"/>
      <c r="H939" s="17" t="s">
        <v>5932</v>
      </c>
      <c r="I939" s="269"/>
      <c r="J939" s="369" t="str">
        <f t="shared" si="24"/>
        <v>Real</v>
      </c>
      <c r="K939" s="271" t="str">
        <f t="shared" si="22"/>
        <v>Plane Angle</v>
      </c>
      <c r="L939" s="270" t="str">
        <f t="shared" si="23"/>
        <v>Arc Degree</v>
      </c>
      <c r="M939" s="272"/>
      <c r="N939" s="273"/>
      <c r="O939" s="269"/>
      <c r="P939" s="37">
        <v>117611</v>
      </c>
      <c r="Q939" s="36" t="str">
        <f>CONCATENATE(Cover!$D$6,"fdd/view?i=",P939)</f>
        <v>https://www.dgiwg.org/FAD/fdd/view?i=117611</v>
      </c>
      <c r="R939" s="13" t="s">
        <v>10514</v>
      </c>
      <c r="S939" s="172"/>
      <c r="T939" s="172"/>
      <c r="CG939" s="83" t="s">
        <v>1790</v>
      </c>
    </row>
    <row r="940" spans="1:105" ht="38.25" x14ac:dyDescent="0.2">
      <c r="A940" s="176" t="str">
        <f t="shared" si="20"/>
        <v>mlsNominalAngle</v>
      </c>
      <c r="B940" s="11" t="s">
        <v>10519</v>
      </c>
      <c r="C940" s="173"/>
      <c r="D940" s="22" t="s">
        <v>10520</v>
      </c>
      <c r="E940" s="15" t="s">
        <v>10521</v>
      </c>
      <c r="F940" s="174"/>
      <c r="G940" s="174"/>
      <c r="H940" s="17" t="s">
        <v>5932</v>
      </c>
      <c r="I940" s="269"/>
      <c r="J940" s="369" t="str">
        <f t="shared" si="24"/>
        <v>Real</v>
      </c>
      <c r="K940" s="271" t="str">
        <f t="shared" si="22"/>
        <v>Plane Angle</v>
      </c>
      <c r="L940" s="270" t="str">
        <f t="shared" si="23"/>
        <v>Arc Degree</v>
      </c>
      <c r="M940" s="272"/>
      <c r="N940" s="273"/>
      <c r="O940" s="269"/>
      <c r="P940" s="37">
        <v>117613</v>
      </c>
      <c r="Q940" s="36" t="str">
        <f>CONCATENATE(Cover!$D$6,"fdd/view?i=",P940)</f>
        <v>https://www.dgiwg.org/FAD/fdd/view?i=117613</v>
      </c>
      <c r="R940" s="13" t="s">
        <v>10518</v>
      </c>
      <c r="S940" s="172"/>
      <c r="T940" s="172"/>
      <c r="CG940" s="83" t="s">
        <v>1790</v>
      </c>
    </row>
    <row r="941" spans="1:105" ht="38.25" x14ac:dyDescent="0.2">
      <c r="A941" s="176" t="str">
        <f t="shared" si="20"/>
        <v>mlsRightAngleCoverage</v>
      </c>
      <c r="B941" s="11" t="s">
        <v>10523</v>
      </c>
      <c r="C941" s="173"/>
      <c r="D941" s="22" t="s">
        <v>10524</v>
      </c>
      <c r="E941" s="15" t="s">
        <v>10525</v>
      </c>
      <c r="F941" s="174"/>
      <c r="G941" s="174"/>
      <c r="H941" s="17" t="s">
        <v>5932</v>
      </c>
      <c r="I941" s="269"/>
      <c r="J941" s="369" t="str">
        <f t="shared" si="24"/>
        <v>Real</v>
      </c>
      <c r="K941" s="271" t="str">
        <f t="shared" si="22"/>
        <v>Plane Angle</v>
      </c>
      <c r="L941" s="270" t="str">
        <f t="shared" si="23"/>
        <v>Arc Degree</v>
      </c>
      <c r="M941" s="272"/>
      <c r="N941" s="273"/>
      <c r="O941" s="269"/>
      <c r="P941" s="37">
        <v>117630</v>
      </c>
      <c r="Q941" s="36" t="str">
        <f>CONCATENATE(Cover!$D$6,"fdd/view?i=",P941)</f>
        <v>https://www.dgiwg.org/FAD/fdd/view?i=117630</v>
      </c>
      <c r="R941" s="13" t="s">
        <v>10522</v>
      </c>
      <c r="S941" s="172"/>
      <c r="T941" s="172"/>
      <c r="CG941" s="83" t="s">
        <v>1790</v>
      </c>
    </row>
    <row r="942" spans="1:105" ht="51" x14ac:dyDescent="0.2">
      <c r="A942" s="176" t="str">
        <f t="shared" si="20"/>
        <v>mlsRightAngleProportion</v>
      </c>
      <c r="B942" s="11" t="s">
        <v>10527</v>
      </c>
      <c r="C942" s="173"/>
      <c r="D942" s="22" t="s">
        <v>10528</v>
      </c>
      <c r="E942" s="15" t="s">
        <v>10529</v>
      </c>
      <c r="F942" s="174"/>
      <c r="G942" s="174"/>
      <c r="H942" s="17" t="s">
        <v>5932</v>
      </c>
      <c r="I942" s="269"/>
      <c r="J942" s="369" t="str">
        <f t="shared" si="24"/>
        <v>Real</v>
      </c>
      <c r="K942" s="271" t="str">
        <f t="shared" si="22"/>
        <v>Plane Angle</v>
      </c>
      <c r="L942" s="270" t="str">
        <f t="shared" si="23"/>
        <v>Arc Degree</v>
      </c>
      <c r="M942" s="272"/>
      <c r="N942" s="273"/>
      <c r="O942" s="269"/>
      <c r="P942" s="37">
        <v>117632</v>
      </c>
      <c r="Q942" s="36" t="str">
        <f>CONCATENATE(Cover!$D$6,"fdd/view?i=",P942)</f>
        <v>https://www.dgiwg.org/FAD/fdd/view?i=117632</v>
      </c>
      <c r="R942" s="13" t="s">
        <v>10526</v>
      </c>
      <c r="S942" s="172"/>
      <c r="T942" s="172"/>
      <c r="CG942" s="83" t="s">
        <v>1790</v>
      </c>
    </row>
    <row r="943" spans="1:105" ht="38.25" x14ac:dyDescent="0.2">
      <c r="A943" s="176" t="str">
        <f t="shared" si="20"/>
        <v>mlsSpanAngle</v>
      </c>
      <c r="B943" s="11" t="s">
        <v>10531</v>
      </c>
      <c r="C943" s="173"/>
      <c r="D943" s="22" t="s">
        <v>10532</v>
      </c>
      <c r="E943" s="15" t="s">
        <v>10533</v>
      </c>
      <c r="F943" s="174"/>
      <c r="G943" s="174"/>
      <c r="H943" s="17" t="s">
        <v>5932</v>
      </c>
      <c r="I943" s="269"/>
      <c r="J943" s="369" t="str">
        <f t="shared" si="24"/>
        <v>Real</v>
      </c>
      <c r="K943" s="271" t="str">
        <f t="shared" si="22"/>
        <v>Plane Angle</v>
      </c>
      <c r="L943" s="270" t="str">
        <f t="shared" si="23"/>
        <v>Arc Degree</v>
      </c>
      <c r="M943" s="272"/>
      <c r="N943" s="273"/>
      <c r="O943" s="269"/>
      <c r="P943" s="37">
        <v>117614</v>
      </c>
      <c r="Q943" s="36" t="str">
        <f>CONCATENATE(Cover!$D$6,"fdd/view?i=",P943)</f>
        <v>https://www.dgiwg.org/FAD/fdd/view?i=117614</v>
      </c>
      <c r="R943" s="13" t="s">
        <v>10530</v>
      </c>
      <c r="S943" s="172"/>
      <c r="T943" s="172"/>
      <c r="CG943" s="83" t="s">
        <v>1790</v>
      </c>
    </row>
    <row r="944" spans="1:105" ht="25.5" x14ac:dyDescent="0.2">
      <c r="A944" s="176" t="str">
        <f t="shared" si="20"/>
        <v>mlsUnitAssociationType</v>
      </c>
      <c r="B944" s="11" t="s">
        <v>10535</v>
      </c>
      <c r="C944" s="173"/>
      <c r="D944" s="22" t="s">
        <v>10536</v>
      </c>
      <c r="E944" s="15" t="s">
        <v>10537</v>
      </c>
      <c r="F944" s="174"/>
      <c r="G944" s="174"/>
      <c r="H944" s="17" t="s">
        <v>5932</v>
      </c>
      <c r="I944" s="269"/>
      <c r="J944" s="369" t="str">
        <f>HYPERLINK("[#]Datatypes!B916:L916","MltCode")</f>
        <v>MltCode</v>
      </c>
      <c r="K944" s="276"/>
      <c r="L944" s="272"/>
      <c r="M944" s="272"/>
      <c r="N944" s="248" t="str">
        <f>HYPERLINK("[#]DatatypeListedValues!A6003:H6003","&lt;values&gt;")</f>
        <v>&lt;values&gt;</v>
      </c>
      <c r="O944" s="277" t="b">
        <v>0</v>
      </c>
      <c r="P944" s="37">
        <v>117634</v>
      </c>
      <c r="Q944" s="36" t="str">
        <f>CONCATENATE(Cover!$D$6,"fdd/view?i=",P944)</f>
        <v>https://www.dgiwg.org/FAD/fdd/view?i=117634</v>
      </c>
      <c r="R944" s="13" t="s">
        <v>10534</v>
      </c>
      <c r="S944" s="172"/>
      <c r="T944" s="172"/>
      <c r="CG944" s="83" t="s">
        <v>1790</v>
      </c>
    </row>
    <row r="945" spans="1:100" x14ac:dyDescent="0.2">
      <c r="A945" s="176" t="str">
        <f t="shared" si="20"/>
        <v>migrationReason</v>
      </c>
      <c r="B945" s="11" t="s">
        <v>10540</v>
      </c>
      <c r="C945" s="173"/>
      <c r="D945" s="22" t="s">
        <v>10541</v>
      </c>
      <c r="E945" s="15" t="s">
        <v>10542</v>
      </c>
      <c r="F945" s="174"/>
      <c r="G945" s="174"/>
      <c r="H945" s="17" t="s">
        <v>5932</v>
      </c>
      <c r="I945" s="17" t="s">
        <v>6029</v>
      </c>
      <c r="J945" s="369" t="str">
        <f>HYPERLINK("[#]Datatypes!B918:L918","RfrCode")</f>
        <v>RfrCode</v>
      </c>
      <c r="K945" s="276"/>
      <c r="L945" s="272"/>
      <c r="M945" s="272"/>
      <c r="N945" s="248" t="str">
        <f>HYPERLINK("[#]DatatypeListedValues!A6005:H6005","&lt;values&gt;")</f>
        <v>&lt;values&gt;</v>
      </c>
      <c r="O945" s="277" t="b">
        <v>0</v>
      </c>
      <c r="P945" s="37">
        <v>111700</v>
      </c>
      <c r="Q945" s="36" t="str">
        <f>CONCATENATE(Cover!$D$6,"fdd/view?i=",P945)</f>
        <v>https://www.dgiwg.org/FAD/fdd/view?i=111700</v>
      </c>
      <c r="R945" s="13" t="s">
        <v>10539</v>
      </c>
      <c r="S945" s="172"/>
      <c r="T945" s="172"/>
      <c r="AO945" s="89" t="s">
        <v>1790</v>
      </c>
      <c r="CS945" s="165" t="s">
        <v>1790</v>
      </c>
    </row>
    <row r="946" spans="1:100" x14ac:dyDescent="0.2">
      <c r="A946" s="176" t="str">
        <f t="shared" si="20"/>
        <v>migrationTransportType</v>
      </c>
      <c r="B946" s="11" t="s">
        <v>10545</v>
      </c>
      <c r="C946" s="173"/>
      <c r="D946" s="22" t="s">
        <v>10546</v>
      </c>
      <c r="E946" s="15" t="s">
        <v>10547</v>
      </c>
      <c r="F946" s="174"/>
      <c r="G946" s="174"/>
      <c r="H946" s="17" t="s">
        <v>5932</v>
      </c>
      <c r="I946" s="17" t="s">
        <v>6029</v>
      </c>
      <c r="J946" s="369" t="str">
        <f>HYPERLINK("[#]Datatypes!B920:L920","RfmCode")</f>
        <v>RfmCode</v>
      </c>
      <c r="K946" s="276"/>
      <c r="L946" s="272"/>
      <c r="M946" s="272"/>
      <c r="N946" s="248" t="str">
        <f>HYPERLINK("[#]DatatypeListedValues!A6011:H6011","&lt;values&gt;")</f>
        <v>&lt;values&gt;</v>
      </c>
      <c r="O946" s="277" t="b">
        <v>0</v>
      </c>
      <c r="P946" s="37">
        <v>111698</v>
      </c>
      <c r="Q946" s="36" t="str">
        <f>CONCATENATE(Cover!$D$6,"fdd/view?i=",P946)</f>
        <v>https://www.dgiwg.org/FAD/fdd/view?i=111698</v>
      </c>
      <c r="R946" s="13" t="s">
        <v>10544</v>
      </c>
      <c r="S946" s="172"/>
      <c r="T946" s="172"/>
      <c r="AO946" s="89" t="s">
        <v>1790</v>
      </c>
      <c r="CS946" s="165" t="s">
        <v>1790</v>
      </c>
    </row>
    <row r="947" spans="1:100" x14ac:dyDescent="0.2">
      <c r="A947" s="176" t="str">
        <f t="shared" si="20"/>
        <v>milecDensityMeasure</v>
      </c>
      <c r="B947" s="11" t="s">
        <v>10550</v>
      </c>
      <c r="C947" s="173"/>
      <c r="D947" s="22" t="s">
        <v>10551</v>
      </c>
      <c r="E947" s="15" t="s">
        <v>10552</v>
      </c>
      <c r="F947" s="15" t="s">
        <v>10553</v>
      </c>
      <c r="G947" s="174"/>
      <c r="H947" s="17" t="s">
        <v>5932</v>
      </c>
      <c r="I947" s="269"/>
      <c r="J947" s="369" t="str">
        <f>HYPERLINK("[#]Datatypes!B922:L922","DmlCode")</f>
        <v>DmlCode</v>
      </c>
      <c r="K947" s="276"/>
      <c r="L947" s="272"/>
      <c r="M947" s="272"/>
      <c r="N947" s="248" t="str">
        <f>HYPERLINK("[#]DatatypeListedValues!A6021:H6021","&lt;values&gt;")</f>
        <v>&lt;values&gt;</v>
      </c>
      <c r="O947" s="277" t="b">
        <v>0</v>
      </c>
      <c r="P947" s="37">
        <v>114415</v>
      </c>
      <c r="Q947" s="36" t="str">
        <f>CONCATENATE(Cover!$D$6,"fdd/view?i=",P947)</f>
        <v>https://www.dgiwg.org/FAD/fdd/view?i=114415</v>
      </c>
      <c r="R947" s="13" t="s">
        <v>10549</v>
      </c>
      <c r="S947" s="172"/>
      <c r="T947" s="172"/>
      <c r="CJ947" s="81" t="s">
        <v>1790</v>
      </c>
      <c r="CQ947" s="165" t="s">
        <v>1790</v>
      </c>
    </row>
    <row r="948" spans="1:100" x14ac:dyDescent="0.2">
      <c r="A948" s="176" t="str">
        <f t="shared" si="20"/>
        <v>militaryAerodromeFunction</v>
      </c>
      <c r="B948" s="11" t="s">
        <v>10556</v>
      </c>
      <c r="C948" s="173"/>
      <c r="D948" s="22" t="s">
        <v>10557</v>
      </c>
      <c r="E948" s="15" t="s">
        <v>10558</v>
      </c>
      <c r="F948" s="174"/>
      <c r="G948" s="174"/>
      <c r="H948" s="17" t="s">
        <v>5932</v>
      </c>
      <c r="I948" s="269"/>
      <c r="J948" s="369" t="str">
        <f>HYPERLINK("[#]Datatypes!B924:L924","XafCode")</f>
        <v>XafCode</v>
      </c>
      <c r="K948" s="276"/>
      <c r="L948" s="272"/>
      <c r="M948" s="272"/>
      <c r="N948" s="248" t="str">
        <f>HYPERLINK("[#]DatatypeListedValues!A6025:H6025","&lt;values&gt;")</f>
        <v>&lt;values&gt;</v>
      </c>
      <c r="O948" s="277" t="b">
        <v>0</v>
      </c>
      <c r="P948" s="37">
        <v>119735</v>
      </c>
      <c r="Q948" s="36" t="str">
        <f>CONCATENATE(Cover!$D$6,"fdd/view?i=",P948)</f>
        <v>https://www.dgiwg.org/FAD/fdd/view?i=119735</v>
      </c>
      <c r="R948" s="13" t="s">
        <v>10555</v>
      </c>
      <c r="S948" s="172"/>
      <c r="T948" s="172"/>
      <c r="AT948" s="82" t="s">
        <v>1790</v>
      </c>
      <c r="CE948" s="87" t="s">
        <v>1790</v>
      </c>
      <c r="CK948" s="82" t="s">
        <v>1790</v>
      </c>
      <c r="CT948" s="166" t="s">
        <v>1790</v>
      </c>
    </row>
    <row r="949" spans="1:100" ht="25.5" x14ac:dyDescent="0.2">
      <c r="A949" s="176" t="str">
        <f t="shared" si="20"/>
        <v>militaryBridgeInformation</v>
      </c>
      <c r="B949" s="11" t="s">
        <v>10561</v>
      </c>
      <c r="C949" s="173"/>
      <c r="D949" s="22" t="s">
        <v>10562</v>
      </c>
      <c r="E949" s="15" t="s">
        <v>10563</v>
      </c>
      <c r="F949" s="174"/>
      <c r="G949" s="174"/>
      <c r="H949" s="17" t="s">
        <v>5932</v>
      </c>
      <c r="I949" s="269"/>
      <c r="J949" s="369" t="str">
        <f>HYPERLINK("[#]Datatypes!B1538:L1538","TextLex255")</f>
        <v>TextLex255</v>
      </c>
      <c r="K949" s="276"/>
      <c r="L949" s="272"/>
      <c r="M949" s="272"/>
      <c r="N949" s="273"/>
      <c r="O949" s="269"/>
      <c r="P949" s="37">
        <v>101028</v>
      </c>
      <c r="Q949" s="36" t="str">
        <f>CONCATENATE(Cover!$D$6,"fdd/view?i=",P949)</f>
        <v>https://www.dgiwg.org/FAD/fdd/view?i=101028</v>
      </c>
      <c r="R949" s="13" t="s">
        <v>10560</v>
      </c>
      <c r="S949" s="172"/>
      <c r="T949" s="172"/>
      <c r="AU949" s="82" t="s">
        <v>1790</v>
      </c>
      <c r="AV949" s="82" t="s">
        <v>1790</v>
      </c>
      <c r="CJ949" s="81" t="s">
        <v>1790</v>
      </c>
    </row>
    <row r="950" spans="1:100" ht="25.5" x14ac:dyDescent="0.2">
      <c r="A950" s="176" t="str">
        <f t="shared" si="20"/>
        <v>militaryEnvironHazardCat</v>
      </c>
      <c r="B950" s="11" t="s">
        <v>10565</v>
      </c>
      <c r="C950" s="173"/>
      <c r="D950" s="22" t="s">
        <v>10566</v>
      </c>
      <c r="E950" s="15" t="s">
        <v>10567</v>
      </c>
      <c r="F950" s="174"/>
      <c r="G950" s="174"/>
      <c r="H950" s="17" t="s">
        <v>5932</v>
      </c>
      <c r="I950" s="17" t="s">
        <v>6029</v>
      </c>
      <c r="J950" s="369" t="str">
        <f>HYPERLINK("[#]Datatypes!B926:L926","CcgCode")</f>
        <v>CcgCode</v>
      </c>
      <c r="K950" s="276"/>
      <c r="L950" s="272"/>
      <c r="M950" s="272"/>
      <c r="N950" s="248" t="str">
        <f>HYPERLINK("[#]DatatypeListedValues!A6027:H6027","&lt;values&gt;")</f>
        <v>&lt;values&gt;</v>
      </c>
      <c r="O950" s="277" t="b">
        <v>0</v>
      </c>
      <c r="P950" s="37">
        <v>118065</v>
      </c>
      <c r="Q950" s="36" t="str">
        <f>CONCATENATE(Cover!$D$6,"fdd/view?i=",P950)</f>
        <v>https://www.dgiwg.org/FAD/fdd/view?i=118065</v>
      </c>
      <c r="R950" s="13" t="s">
        <v>10564</v>
      </c>
      <c r="S950" s="172"/>
      <c r="T950" s="172"/>
      <c r="CA950" s="83" t="s">
        <v>1790</v>
      </c>
      <c r="CB950" s="89" t="s">
        <v>1790</v>
      </c>
      <c r="CL950" s="85" t="s">
        <v>1790</v>
      </c>
      <c r="CS950" s="165" t="s">
        <v>1790</v>
      </c>
    </row>
    <row r="951" spans="1:100" x14ac:dyDescent="0.2">
      <c r="A951" s="176" t="str">
        <f t="shared" si="20"/>
        <v>militaryFacilityType</v>
      </c>
      <c r="B951" s="11" t="s">
        <v>10570</v>
      </c>
      <c r="C951" s="173"/>
      <c r="D951" s="22" t="s">
        <v>10571</v>
      </c>
      <c r="E951" s="15" t="s">
        <v>10572</v>
      </c>
      <c r="F951" s="174"/>
      <c r="G951" s="174"/>
      <c r="H951" s="17" t="s">
        <v>5932</v>
      </c>
      <c r="I951" s="269"/>
      <c r="J951" s="369" t="str">
        <f>HYPERLINK("[#]Datatypes!B928:L928","MfcCode")</f>
        <v>MfcCode</v>
      </c>
      <c r="K951" s="276"/>
      <c r="L951" s="272"/>
      <c r="M951" s="272"/>
      <c r="N951" s="248" t="str">
        <f>HYPERLINK("[#]DatatypeListedValues!A6031:H6031","&lt;values&gt;")</f>
        <v>&lt;values&gt;</v>
      </c>
      <c r="O951" s="277" t="b">
        <v>0</v>
      </c>
      <c r="P951" s="37">
        <v>101043</v>
      </c>
      <c r="Q951" s="36" t="str">
        <f>CONCATENATE(Cover!$D$6,"fdd/view?i=",P951)</f>
        <v>https://www.dgiwg.org/FAD/fdd/view?i=101043</v>
      </c>
      <c r="R951" s="13" t="s">
        <v>10569</v>
      </c>
      <c r="S951" s="172"/>
      <c r="T951" s="172"/>
      <c r="AI951" s="87" t="s">
        <v>1790</v>
      </c>
      <c r="CJ951" s="81" t="s">
        <v>1790</v>
      </c>
      <c r="CT951" s="166" t="s">
        <v>1790</v>
      </c>
    </row>
    <row r="952" spans="1:100" ht="51" x14ac:dyDescent="0.2">
      <c r="A952" s="176" t="str">
        <f t="shared" si="20"/>
        <v>mgrsLocation</v>
      </c>
      <c r="B952" s="11" t="s">
        <v>10575</v>
      </c>
      <c r="C952" s="173"/>
      <c r="D952" s="22" t="s">
        <v>10576</v>
      </c>
      <c r="E952" s="15" t="s">
        <v>10577</v>
      </c>
      <c r="F952" s="15" t="s">
        <v>10578</v>
      </c>
      <c r="G952" s="174"/>
      <c r="H952" s="17" t="s">
        <v>5932</v>
      </c>
      <c r="I952" s="269"/>
      <c r="J952" s="369" t="str">
        <f>HYPERLINK("[#]Datatypes!B930:L930","MgrStrucText")</f>
        <v>MgrStrucText</v>
      </c>
      <c r="K952" s="276"/>
      <c r="L952" s="272"/>
      <c r="M952" s="272"/>
      <c r="N952" s="273"/>
      <c r="O952" s="269"/>
      <c r="P952" s="37">
        <v>114231</v>
      </c>
      <c r="Q952" s="36" t="str">
        <f>CONCATENATE(Cover!$D$6,"fdd/view?i=",P952)</f>
        <v>https://www.dgiwg.org/FAD/fdd/view?i=114231</v>
      </c>
      <c r="R952" s="13" t="s">
        <v>10574</v>
      </c>
      <c r="S952" s="172"/>
      <c r="T952" s="172"/>
      <c r="CP952" s="164" t="s">
        <v>1790</v>
      </c>
    </row>
    <row r="953" spans="1:100" ht="25.5" x14ac:dyDescent="0.2">
      <c r="A953" s="176" t="str">
        <f t="shared" si="20"/>
        <v>militaryMinProcHeight</v>
      </c>
      <c r="B953" s="11" t="s">
        <v>10581</v>
      </c>
      <c r="C953" s="173"/>
      <c r="D953" s="22" t="s">
        <v>10582</v>
      </c>
      <c r="E953" s="15" t="s">
        <v>10583</v>
      </c>
      <c r="F953" s="174"/>
      <c r="G953" s="174"/>
      <c r="H953" s="17" t="s">
        <v>5932</v>
      </c>
      <c r="I953" s="269"/>
      <c r="J953" s="369" t="str">
        <f>HYPERLINK("[#]Datatypes!B1231:L1231","Real")</f>
        <v>Real</v>
      </c>
      <c r="K953" s="271" t="str">
        <f>HYPERLINK("[#]PhysicalQuantities!A20:N20","Length")</f>
        <v>Length</v>
      </c>
      <c r="L953" s="270" t="str">
        <f>HYPERLINK("[#]UnitsOfMeasure!D103:G103","Foot")</f>
        <v>Foot</v>
      </c>
      <c r="M953" s="272"/>
      <c r="N953" s="273"/>
      <c r="O953" s="269"/>
      <c r="P953" s="37">
        <v>117635</v>
      </c>
      <c r="Q953" s="36" t="str">
        <f>CONCATENATE(Cover!$D$6,"fdd/view?i=",P953)</f>
        <v>https://www.dgiwg.org/FAD/fdd/view?i=117635</v>
      </c>
      <c r="R953" s="13" t="s">
        <v>10580</v>
      </c>
      <c r="S953" s="172"/>
      <c r="T953" s="172"/>
      <c r="CI953" s="89" t="s">
        <v>1790</v>
      </c>
    </row>
    <row r="954" spans="1:100" ht="25.5" x14ac:dyDescent="0.2">
      <c r="A954" s="176" t="str">
        <f t="shared" si="20"/>
        <v>militaryMinProcVisibility</v>
      </c>
      <c r="B954" s="11" t="s">
        <v>10585</v>
      </c>
      <c r="C954" s="173"/>
      <c r="D954" s="22" t="s">
        <v>10586</v>
      </c>
      <c r="E954" s="15" t="s">
        <v>10587</v>
      </c>
      <c r="F954" s="174"/>
      <c r="G954" s="174"/>
      <c r="H954" s="17" t="s">
        <v>5932</v>
      </c>
      <c r="I954" s="269"/>
      <c r="J954" s="369" t="str">
        <f>HYPERLINK("[#]Datatypes!B1231:L1231","Real")</f>
        <v>Real</v>
      </c>
      <c r="K954" s="271" t="str">
        <f>HYPERLINK("[#]PhysicalQuantities!A20:N20","Length")</f>
        <v>Length</v>
      </c>
      <c r="L954" s="270" t="str">
        <f>HYPERLINK("[#]UnitsOfMeasure!D94:G94","Nautical Mile")</f>
        <v>Nautical Mile</v>
      </c>
      <c r="M954" s="272"/>
      <c r="N954" s="273"/>
      <c r="O954" s="269"/>
      <c r="P954" s="37">
        <v>117636</v>
      </c>
      <c r="Q954" s="36" t="str">
        <f>CONCATENATE(Cover!$D$6,"fdd/view?i=",P954)</f>
        <v>https://www.dgiwg.org/FAD/fdd/view?i=117636</v>
      </c>
      <c r="R954" s="13" t="s">
        <v>10584</v>
      </c>
      <c r="S954" s="172"/>
      <c r="T954" s="172"/>
      <c r="CI954" s="89" t="s">
        <v>1790</v>
      </c>
    </row>
    <row r="955" spans="1:100" x14ac:dyDescent="0.2">
      <c r="A955" s="176" t="str">
        <f t="shared" si="20"/>
        <v>militaryRestrictZoneType</v>
      </c>
      <c r="B955" s="11" t="s">
        <v>10589</v>
      </c>
      <c r="C955" s="173"/>
      <c r="D955" s="22" t="s">
        <v>10590</v>
      </c>
      <c r="E955" s="15" t="s">
        <v>10591</v>
      </c>
      <c r="F955" s="174"/>
      <c r="G955" s="174"/>
      <c r="H955" s="17" t="s">
        <v>5932</v>
      </c>
      <c r="I955" s="269"/>
      <c r="J955" s="369" t="str">
        <f>HYPERLINK("[#]Datatypes!B932:L932","TmzCode")</f>
        <v>TmzCode</v>
      </c>
      <c r="K955" s="276"/>
      <c r="L955" s="272"/>
      <c r="M955" s="272"/>
      <c r="N955" s="248" t="str">
        <f>HYPERLINK("[#]DatatypeListedValues!A6046:H6046","&lt;values&gt;")</f>
        <v>&lt;values&gt;</v>
      </c>
      <c r="O955" s="277" t="b">
        <v>0</v>
      </c>
      <c r="P955" s="37">
        <v>111735</v>
      </c>
      <c r="Q955" s="36" t="str">
        <f>CONCATENATE(Cover!$D$6,"fdd/view?i=",P955)</f>
        <v>https://www.dgiwg.org/FAD/fdd/view?i=111735</v>
      </c>
      <c r="R955" s="13" t="s">
        <v>10588</v>
      </c>
      <c r="S955" s="172"/>
      <c r="T955" s="172"/>
      <c r="CK955" s="82" t="s">
        <v>1790</v>
      </c>
      <c r="CT955" s="166" t="s">
        <v>1790</v>
      </c>
    </row>
    <row r="956" spans="1:100" ht="25.5" x14ac:dyDescent="0.2">
      <c r="A956" s="176" t="str">
        <f t="shared" si="20"/>
        <v>milRouteControl</v>
      </c>
      <c r="B956" s="11" t="s">
        <v>10594</v>
      </c>
      <c r="C956" s="173"/>
      <c r="D956" s="22" t="s">
        <v>10595</v>
      </c>
      <c r="E956" s="15" t="s">
        <v>10596</v>
      </c>
      <c r="F956" s="15" t="s">
        <v>10597</v>
      </c>
      <c r="G956" s="174"/>
      <c r="H956" s="17" t="s">
        <v>5932</v>
      </c>
      <c r="I956" s="269"/>
      <c r="J956" s="369" t="str">
        <f>HYPERLINK("[#]Datatypes!B1544:L1544","TextLexUnconstrained")</f>
        <v>TextLexUnconstrained</v>
      </c>
      <c r="K956" s="276"/>
      <c r="L956" s="272"/>
      <c r="M956" s="272"/>
      <c r="N956" s="273"/>
      <c r="O956" s="269"/>
      <c r="P956" s="37">
        <v>119516</v>
      </c>
      <c r="Q956" s="36" t="str">
        <f>CONCATENATE(Cover!$D$6,"fdd/view?i=",P956)</f>
        <v>https://www.dgiwg.org/FAD/fdd/view?i=119516</v>
      </c>
      <c r="R956" s="13" t="s">
        <v>10593</v>
      </c>
      <c r="S956" s="172"/>
      <c r="T956" s="172"/>
      <c r="AP956" s="81" t="s">
        <v>1790</v>
      </c>
      <c r="AQ956" s="82" t="s">
        <v>1790</v>
      </c>
      <c r="AR956" s="82" t="s">
        <v>1790</v>
      </c>
      <c r="AS956" s="82" t="s">
        <v>1790</v>
      </c>
      <c r="AT956" s="82" t="s">
        <v>1790</v>
      </c>
      <c r="AY956" s="85" t="s">
        <v>1790</v>
      </c>
      <c r="BF956" s="83" t="s">
        <v>1790</v>
      </c>
      <c r="CF956" s="83" t="s">
        <v>1790</v>
      </c>
      <c r="CT956" s="166" t="s">
        <v>1790</v>
      </c>
    </row>
    <row r="957" spans="1:100" x14ac:dyDescent="0.2">
      <c r="A957" s="176" t="str">
        <f t="shared" si="20"/>
        <v>militaryRouteUse</v>
      </c>
      <c r="B957" s="11" t="s">
        <v>10599</v>
      </c>
      <c r="C957" s="173"/>
      <c r="D957" s="22" t="s">
        <v>10600</v>
      </c>
      <c r="E957" s="15" t="s">
        <v>10601</v>
      </c>
      <c r="F957" s="174"/>
      <c r="G957" s="174"/>
      <c r="H957" s="17" t="s">
        <v>5932</v>
      </c>
      <c r="I957" s="17" t="s">
        <v>6224</v>
      </c>
      <c r="J957" s="369" t="str">
        <f>HYPERLINK("[#]Datatypes!B934:L934","MruCode")</f>
        <v>MruCode</v>
      </c>
      <c r="K957" s="276"/>
      <c r="L957" s="272"/>
      <c r="M957" s="272"/>
      <c r="N957" s="248" t="str">
        <f>HYPERLINK("[#]DatatypeListedValues!A6053:H6053","&lt;values&gt;")</f>
        <v>&lt;values&gt;</v>
      </c>
      <c r="O957" s="277" t="b">
        <v>0</v>
      </c>
      <c r="P957" s="37">
        <v>117640</v>
      </c>
      <c r="Q957" s="36" t="str">
        <f>CONCATENATE(Cover!$D$6,"fdd/view?i=",P957)</f>
        <v>https://www.dgiwg.org/FAD/fdd/view?i=117640</v>
      </c>
      <c r="R957" s="13" t="s">
        <v>10598</v>
      </c>
      <c r="S957" s="172"/>
      <c r="T957" s="172"/>
      <c r="CF957" s="83" t="s">
        <v>1790</v>
      </c>
    </row>
    <row r="958" spans="1:100" ht="25.5" x14ac:dyDescent="0.2">
      <c r="A958" s="176" t="str">
        <f t="shared" si="20"/>
        <v>militaryServiceBranch</v>
      </c>
      <c r="B958" s="11" t="s">
        <v>10604</v>
      </c>
      <c r="C958" s="173"/>
      <c r="D958" s="22" t="s">
        <v>10605</v>
      </c>
      <c r="E958" s="15" t="s">
        <v>10606</v>
      </c>
      <c r="F958" s="15" t="s">
        <v>10607</v>
      </c>
      <c r="G958" s="174"/>
      <c r="H958" s="17" t="s">
        <v>5932</v>
      </c>
      <c r="I958" s="269"/>
      <c r="J958" s="369" t="str">
        <f>HYPERLINK("[#]Datatypes!B936:L936","YsuCode")</f>
        <v>YsuCode</v>
      </c>
      <c r="K958" s="276"/>
      <c r="L958" s="272"/>
      <c r="M958" s="272"/>
      <c r="N958" s="248" t="str">
        <f>HYPERLINK("[#]DatatypeListedValues!A6056:H6056","&lt;values&gt;")</f>
        <v>&lt;values&gt;</v>
      </c>
      <c r="O958" s="277" t="b">
        <v>0</v>
      </c>
      <c r="P958" s="37">
        <v>101522</v>
      </c>
      <c r="Q958" s="36" t="str">
        <f>CONCATENATE(Cover!$D$6,"fdd/view?i=",P958)</f>
        <v>https://www.dgiwg.org/FAD/fdd/view?i=101522</v>
      </c>
      <c r="R958" s="13" t="s">
        <v>10603</v>
      </c>
      <c r="S958" s="172"/>
      <c r="T958" s="172"/>
      <c r="AM958" s="83" t="s">
        <v>1790</v>
      </c>
      <c r="CJ958" s="81" t="s">
        <v>1790</v>
      </c>
      <c r="CV958" s="83" t="s">
        <v>1790</v>
      </c>
    </row>
    <row r="959" spans="1:100" x14ac:dyDescent="0.2">
      <c r="A959" s="176" t="str">
        <f t="shared" si="20"/>
        <v>militaryTrainingFacType</v>
      </c>
      <c r="B959" s="11" t="s">
        <v>10610</v>
      </c>
      <c r="C959" s="173"/>
      <c r="D959" s="22" t="s">
        <v>10611</v>
      </c>
      <c r="E959" s="15" t="s">
        <v>10612</v>
      </c>
      <c r="F959" s="15" t="s">
        <v>6582</v>
      </c>
      <c r="G959" s="174"/>
      <c r="H959" s="17" t="s">
        <v>5932</v>
      </c>
      <c r="I959" s="269"/>
      <c r="J959" s="369" t="str">
        <f>HYPERLINK("[#]Datatypes!B938:L938","XhtCode")</f>
        <v>XhtCode</v>
      </c>
      <c r="K959" s="276"/>
      <c r="L959" s="272"/>
      <c r="M959" s="272"/>
      <c r="N959" s="248" t="str">
        <f>HYPERLINK("[#]DatatypeListedValues!A6064:H6064","&lt;values&gt;")</f>
        <v>&lt;values&gt;</v>
      </c>
      <c r="O959" s="277" t="b">
        <v>0</v>
      </c>
      <c r="P959" s="37">
        <v>119754</v>
      </c>
      <c r="Q959" s="36" t="str">
        <f>CONCATENATE(Cover!$D$6,"fdd/view?i=",P959)</f>
        <v>https://www.dgiwg.org/FAD/fdd/view?i=119754</v>
      </c>
      <c r="R959" s="13" t="s">
        <v>10609</v>
      </c>
      <c r="S959" s="172"/>
      <c r="T959" s="172"/>
      <c r="CJ959" s="81" t="s">
        <v>1790</v>
      </c>
      <c r="CK959" s="82" t="s">
        <v>1790</v>
      </c>
      <c r="CS959" s="165" t="s">
        <v>1790</v>
      </c>
      <c r="CT959" s="166" t="s">
        <v>1790</v>
      </c>
    </row>
    <row r="960" spans="1:100" x14ac:dyDescent="0.2">
      <c r="A960" s="176" t="str">
        <f t="shared" si="20"/>
        <v>mineAcousticSensitivity</v>
      </c>
      <c r="B960" s="11" t="s">
        <v>10615</v>
      </c>
      <c r="C960" s="173"/>
      <c r="D960" s="22" t="s">
        <v>10616</v>
      </c>
      <c r="E960" s="15" t="s">
        <v>10617</v>
      </c>
      <c r="F960" s="174"/>
      <c r="G960" s="174"/>
      <c r="H960" s="17" t="s">
        <v>5932</v>
      </c>
      <c r="I960" s="269"/>
      <c r="J960" s="369" t="str">
        <f>HYPERLINK("[#]Datatypes!B940:L940","MiaCode")</f>
        <v>MiaCode</v>
      </c>
      <c r="K960" s="276"/>
      <c r="L960" s="272"/>
      <c r="M960" s="272"/>
      <c r="N960" s="248" t="str">
        <f>HYPERLINK("[#]DatatypeListedValues!A6068:H6068","&lt;values&gt;")</f>
        <v>&lt;values&gt;</v>
      </c>
      <c r="O960" s="277" t="b">
        <v>0</v>
      </c>
      <c r="P960" s="37">
        <v>101045</v>
      </c>
      <c r="Q960" s="36" t="str">
        <f>CONCATENATE(Cover!$D$6,"fdd/view?i=",P960)</f>
        <v>https://www.dgiwg.org/FAD/fdd/view?i=101045</v>
      </c>
      <c r="R960" s="13" t="s">
        <v>10614</v>
      </c>
      <c r="S960" s="172"/>
      <c r="T960" s="172"/>
      <c r="CJ960" s="81" t="s">
        <v>1790</v>
      </c>
      <c r="CQ960" s="165" t="s">
        <v>1790</v>
      </c>
    </row>
    <row r="961" spans="1:104" x14ac:dyDescent="0.2">
      <c r="A961" s="176" t="str">
        <f t="shared" si="20"/>
        <v>mineActiveDuration</v>
      </c>
      <c r="B961" s="11" t="s">
        <v>10620</v>
      </c>
      <c r="C961" s="173"/>
      <c r="D961" s="22" t="s">
        <v>10621</v>
      </c>
      <c r="E961" s="15" t="s">
        <v>10622</v>
      </c>
      <c r="F961" s="174"/>
      <c r="G961" s="174"/>
      <c r="H961" s="17" t="s">
        <v>5932</v>
      </c>
      <c r="I961" s="269"/>
      <c r="J961" s="369" t="str">
        <f>HYPERLINK("[#]Datatypes!B1233:L1233","RealInterval")</f>
        <v>RealInterval</v>
      </c>
      <c r="K961" s="271" t="str">
        <f>HYPERLINK("[#]PhysicalQuantities!A51:N51","Time")</f>
        <v>Time</v>
      </c>
      <c r="L961" s="270" t="str">
        <f>HYPERLINK("[#]UnitsOfMeasure!D268:G268","Hour")</f>
        <v>Hour</v>
      </c>
      <c r="M961" s="272"/>
      <c r="N961" s="273"/>
      <c r="O961" s="269"/>
      <c r="P961" s="37">
        <v>110698</v>
      </c>
      <c r="Q961" s="36" t="str">
        <f>CONCATENATE(Cover!$D$6,"fdd/view?i=",P961)</f>
        <v>https://www.dgiwg.org/FAD/fdd/view?i=110698</v>
      </c>
      <c r="R961" s="13" t="s">
        <v>10619</v>
      </c>
      <c r="S961" s="172"/>
      <c r="T961" s="172"/>
      <c r="CJ961" s="81" t="s">
        <v>1790</v>
      </c>
      <c r="CR961" s="165" t="s">
        <v>1790</v>
      </c>
    </row>
    <row r="962" spans="1:104" ht="25.5" x14ac:dyDescent="0.2">
      <c r="A962" s="176" t="str">
        <f t="shared" si="20"/>
        <v>mineAllegiance</v>
      </c>
      <c r="B962" s="11" t="s">
        <v>10624</v>
      </c>
      <c r="C962" s="173"/>
      <c r="D962" s="22" t="s">
        <v>10625</v>
      </c>
      <c r="E962" s="15" t="s">
        <v>10626</v>
      </c>
      <c r="F962" s="174"/>
      <c r="G962" s="174"/>
      <c r="H962" s="17" t="s">
        <v>5932</v>
      </c>
      <c r="I962" s="269"/>
      <c r="J962" s="369" t="str">
        <f>HYPERLINK("[#]Datatypes!B942:L942","MidCode")</f>
        <v>MidCode</v>
      </c>
      <c r="K962" s="276"/>
      <c r="L962" s="272"/>
      <c r="M962" s="272"/>
      <c r="N962" s="248" t="str">
        <f>HYPERLINK("[#]DatatypeListedValues!A6072:H6072","&lt;values&gt;")</f>
        <v>&lt;values&gt;</v>
      </c>
      <c r="O962" s="277" t="b">
        <v>0</v>
      </c>
      <c r="P962" s="37">
        <v>101047</v>
      </c>
      <c r="Q962" s="36" t="str">
        <f>CONCATENATE(Cover!$D$6,"fdd/view?i=",P962)</f>
        <v>https://www.dgiwg.org/FAD/fdd/view?i=101047</v>
      </c>
      <c r="R962" s="13" t="s">
        <v>10623</v>
      </c>
      <c r="S962" s="172"/>
      <c r="T962" s="172"/>
      <c r="CJ962" s="81" t="s">
        <v>1790</v>
      </c>
    </row>
    <row r="963" spans="1:104" x14ac:dyDescent="0.2">
      <c r="A963" s="176" t="str">
        <f t="shared" ref="A963:A1026" si="25">HYPERLINK(Q963,R963)</f>
        <v>mineAntiHuntingCapab</v>
      </c>
      <c r="B963" s="11" t="s">
        <v>10629</v>
      </c>
      <c r="C963" s="173"/>
      <c r="D963" s="22" t="s">
        <v>10630</v>
      </c>
      <c r="E963" s="15" t="s">
        <v>10631</v>
      </c>
      <c r="F963" s="174"/>
      <c r="G963" s="174"/>
      <c r="H963" s="17" t="s">
        <v>5932</v>
      </c>
      <c r="I963" s="17" t="s">
        <v>6029</v>
      </c>
      <c r="J963" s="369" t="str">
        <f>HYPERLINK("[#]Datatypes!B944:L944","MshCode")</f>
        <v>MshCode</v>
      </c>
      <c r="K963" s="276"/>
      <c r="L963" s="272"/>
      <c r="M963" s="272"/>
      <c r="N963" s="248" t="str">
        <f>HYPERLINK("[#]DatatypeListedValues!A6075:H6075","&lt;values&gt;")</f>
        <v>&lt;values&gt;</v>
      </c>
      <c r="O963" s="277" t="b">
        <v>0</v>
      </c>
      <c r="P963" s="37">
        <v>101073</v>
      </c>
      <c r="Q963" s="36" t="str">
        <f>CONCATENATE(Cover!$D$6,"fdd/view?i=",P963)</f>
        <v>https://www.dgiwg.org/FAD/fdd/view?i=101073</v>
      </c>
      <c r="R963" s="13" t="s">
        <v>10628</v>
      </c>
      <c r="S963" s="172"/>
      <c r="T963" s="172"/>
      <c r="CJ963" s="81" t="s">
        <v>1790</v>
      </c>
      <c r="CT963" s="166" t="s">
        <v>1790</v>
      </c>
    </row>
    <row r="964" spans="1:104" ht="38.25" x14ac:dyDescent="0.2">
      <c r="A964" s="176" t="str">
        <f t="shared" si="25"/>
        <v>mineAntiRecoveryCapab</v>
      </c>
      <c r="B964" s="11" t="s">
        <v>10634</v>
      </c>
      <c r="C964" s="173"/>
      <c r="D964" s="22" t="s">
        <v>10635</v>
      </c>
      <c r="E964" s="15" t="s">
        <v>10636</v>
      </c>
      <c r="F964" s="15" t="s">
        <v>10637</v>
      </c>
      <c r="G964" s="174"/>
      <c r="H964" s="17" t="s">
        <v>5932</v>
      </c>
      <c r="I964" s="17" t="s">
        <v>6029</v>
      </c>
      <c r="J964" s="369" t="str">
        <f>HYPERLINK("[#]Datatypes!B946:L946","MsrCode")</f>
        <v>MsrCode</v>
      </c>
      <c r="K964" s="276"/>
      <c r="L964" s="272"/>
      <c r="M964" s="272"/>
      <c r="N964" s="248" t="str">
        <f>HYPERLINK("[#]DatatypeListedValues!A6082:H6082","&lt;values&gt;")</f>
        <v>&lt;values&gt;</v>
      </c>
      <c r="O964" s="277" t="b">
        <v>0</v>
      </c>
      <c r="P964" s="37">
        <v>101075</v>
      </c>
      <c r="Q964" s="36" t="str">
        <f>CONCATENATE(Cover!$D$6,"fdd/view?i=",P964)</f>
        <v>https://www.dgiwg.org/FAD/fdd/view?i=101075</v>
      </c>
      <c r="R964" s="13" t="s">
        <v>10633</v>
      </c>
      <c r="S964" s="172"/>
      <c r="T964" s="172"/>
      <c r="CJ964" s="81" t="s">
        <v>1790</v>
      </c>
      <c r="CT964" s="166" t="s">
        <v>1790</v>
      </c>
    </row>
    <row r="965" spans="1:104" ht="76.5" x14ac:dyDescent="0.2">
      <c r="A965" s="176" t="str">
        <f t="shared" si="25"/>
        <v>mineAntiSweepWireCapab</v>
      </c>
      <c r="B965" s="11" t="s">
        <v>10640</v>
      </c>
      <c r="C965" s="173"/>
      <c r="D965" s="22" t="s">
        <v>10641</v>
      </c>
      <c r="E965" s="15" t="s">
        <v>10642</v>
      </c>
      <c r="F965" s="15" t="s">
        <v>10643</v>
      </c>
      <c r="G965" s="174"/>
      <c r="H965" s="17" t="s">
        <v>5932</v>
      </c>
      <c r="I965" s="17" t="s">
        <v>6029</v>
      </c>
      <c r="J965" s="369" t="str">
        <f>HYPERLINK("[#]Datatypes!B948:L948","MswCode")</f>
        <v>MswCode</v>
      </c>
      <c r="K965" s="276"/>
      <c r="L965" s="272"/>
      <c r="M965" s="272"/>
      <c r="N965" s="248" t="str">
        <f>HYPERLINK("[#]DatatypeListedValues!A6088:H6088","&lt;values&gt;")</f>
        <v>&lt;values&gt;</v>
      </c>
      <c r="O965" s="277" t="b">
        <v>0</v>
      </c>
      <c r="P965" s="37">
        <v>101080</v>
      </c>
      <c r="Q965" s="36" t="str">
        <f>CONCATENATE(Cover!$D$6,"fdd/view?i=",P965)</f>
        <v>https://www.dgiwg.org/FAD/fdd/view?i=101080</v>
      </c>
      <c r="R965" s="13" t="s">
        <v>10639</v>
      </c>
      <c r="S965" s="172"/>
      <c r="T965" s="172"/>
      <c r="CJ965" s="81" t="s">
        <v>1790</v>
      </c>
      <c r="CT965" s="166" t="s">
        <v>1790</v>
      </c>
    </row>
    <row r="966" spans="1:104" ht="25.5" x14ac:dyDescent="0.2">
      <c r="A966" s="176" t="str">
        <f t="shared" si="25"/>
        <v>mineAutonomyType</v>
      </c>
      <c r="B966" s="11" t="s">
        <v>10646</v>
      </c>
      <c r="C966" s="173"/>
      <c r="D966" s="22" t="s">
        <v>10647</v>
      </c>
      <c r="E966" s="15" t="s">
        <v>10648</v>
      </c>
      <c r="F966" s="174"/>
      <c r="G966" s="174"/>
      <c r="H966" s="17" t="s">
        <v>5932</v>
      </c>
      <c r="I966" s="269"/>
      <c r="J966" s="369" t="str">
        <f>HYPERLINK("[#]Datatypes!B950:L950","MnaCode")</f>
        <v>MnaCode</v>
      </c>
      <c r="K966" s="276"/>
      <c r="L966" s="272"/>
      <c r="M966" s="272"/>
      <c r="N966" s="248" t="str">
        <f>HYPERLINK("[#]DatatypeListedValues!A6093:H6093","&lt;values&gt;")</f>
        <v>&lt;values&gt;</v>
      </c>
      <c r="O966" s="277" t="b">
        <v>0</v>
      </c>
      <c r="P966" s="37">
        <v>101054</v>
      </c>
      <c r="Q966" s="36" t="str">
        <f>CONCATENATE(Cover!$D$6,"fdd/view?i=",P966)</f>
        <v>https://www.dgiwg.org/FAD/fdd/view?i=101054</v>
      </c>
      <c r="R966" s="13" t="s">
        <v>10645</v>
      </c>
      <c r="S966" s="172"/>
      <c r="T966" s="172"/>
      <c r="CJ966" s="81" t="s">
        <v>1790</v>
      </c>
      <c r="CT966" s="166" t="s">
        <v>1790</v>
      </c>
    </row>
    <row r="967" spans="1:104" x14ac:dyDescent="0.2">
      <c r="A967" s="176" t="str">
        <f t="shared" si="25"/>
        <v>mineCablelessControl</v>
      </c>
      <c r="B967" s="11" t="s">
        <v>10651</v>
      </c>
      <c r="C967" s="173"/>
      <c r="D967" s="22" t="s">
        <v>10652</v>
      </c>
      <c r="E967" s="15" t="s">
        <v>10653</v>
      </c>
      <c r="F967" s="174"/>
      <c r="G967" s="174"/>
      <c r="H967" s="17" t="s">
        <v>5932</v>
      </c>
      <c r="I967" s="269"/>
      <c r="J967" s="369" t="str">
        <f>HYPERLINK("[#]Datatypes!B952:L952","MnlCode")</f>
        <v>MnlCode</v>
      </c>
      <c r="K967" s="276"/>
      <c r="L967" s="272"/>
      <c r="M967" s="272"/>
      <c r="N967" s="248" t="str">
        <f>HYPERLINK("[#]DatatypeListedValues!A6095:H6095","&lt;values&gt;")</f>
        <v>&lt;values&gt;</v>
      </c>
      <c r="O967" s="277" t="b">
        <v>0</v>
      </c>
      <c r="P967" s="37">
        <v>101057</v>
      </c>
      <c r="Q967" s="36" t="str">
        <f>CONCATENATE(Cover!$D$6,"fdd/view?i=",P967)</f>
        <v>https://www.dgiwg.org/FAD/fdd/view?i=101057</v>
      </c>
      <c r="R967" s="13" t="s">
        <v>10650</v>
      </c>
      <c r="S967" s="172"/>
      <c r="T967" s="172"/>
      <c r="CJ967" s="81" t="s">
        <v>1790</v>
      </c>
      <c r="CT967" s="166" t="s">
        <v>1790</v>
      </c>
    </row>
    <row r="968" spans="1:104" x14ac:dyDescent="0.2">
      <c r="A968" s="176" t="str">
        <f t="shared" si="25"/>
        <v>mineChargeSize</v>
      </c>
      <c r="B968" s="11" t="s">
        <v>10656</v>
      </c>
      <c r="C968" s="173"/>
      <c r="D968" s="22" t="s">
        <v>10657</v>
      </c>
      <c r="E968" s="15" t="s">
        <v>10658</v>
      </c>
      <c r="F968" s="174"/>
      <c r="G968" s="174"/>
      <c r="H968" s="17" t="s">
        <v>5932</v>
      </c>
      <c r="I968" s="269"/>
      <c r="J968" s="369" t="str">
        <f>HYPERLINK("[#]Datatypes!B1233:L1233","RealInterval")</f>
        <v>RealInterval</v>
      </c>
      <c r="K968" s="271" t="str">
        <f>HYPERLINK("[#]PhysicalQuantities!A28:N28","Mass")</f>
        <v>Mass</v>
      </c>
      <c r="L968" s="270" t="str">
        <f>HYPERLINK("[#]UnitsOfMeasure!D127:G127","Kilogram")</f>
        <v>Kilogram</v>
      </c>
      <c r="M968" s="272"/>
      <c r="N968" s="273"/>
      <c r="O968" s="269"/>
      <c r="P968" s="37">
        <v>109954</v>
      </c>
      <c r="Q968" s="36" t="str">
        <f>CONCATENATE(Cover!$D$6,"fdd/view?i=",P968)</f>
        <v>https://www.dgiwg.org/FAD/fdd/view?i=109954</v>
      </c>
      <c r="R968" s="13" t="s">
        <v>10655</v>
      </c>
      <c r="S968" s="172"/>
      <c r="T968" s="172"/>
      <c r="CJ968" s="81" t="s">
        <v>1790</v>
      </c>
      <c r="CQ968" s="165" t="s">
        <v>1790</v>
      </c>
    </row>
    <row r="969" spans="1:104" x14ac:dyDescent="0.2">
      <c r="A969" s="176" t="str">
        <f t="shared" si="25"/>
        <v>mineControlMethod</v>
      </c>
      <c r="B969" s="11" t="s">
        <v>10660</v>
      </c>
      <c r="C969" s="173"/>
      <c r="D969" s="22" t="s">
        <v>10661</v>
      </c>
      <c r="E969" s="15" t="s">
        <v>10662</v>
      </c>
      <c r="F969" s="174"/>
      <c r="G969" s="174"/>
      <c r="H969" s="17" t="s">
        <v>5932</v>
      </c>
      <c r="I969" s="269"/>
      <c r="J969" s="369" t="str">
        <f>HYPERLINK("[#]Datatypes!B954:L954","MncCode")</f>
        <v>MncCode</v>
      </c>
      <c r="K969" s="276"/>
      <c r="L969" s="272"/>
      <c r="M969" s="272"/>
      <c r="N969" s="248" t="str">
        <f>HYPERLINK("[#]DatatypeListedValues!A6098:H6098","&lt;values&gt;")</f>
        <v>&lt;values&gt;</v>
      </c>
      <c r="O969" s="277" t="b">
        <v>0</v>
      </c>
      <c r="P969" s="37">
        <v>101055</v>
      </c>
      <c r="Q969" s="36" t="str">
        <f>CONCATENATE(Cover!$D$6,"fdd/view?i=",P969)</f>
        <v>https://www.dgiwg.org/FAD/fdd/view?i=101055</v>
      </c>
      <c r="R969" s="13" t="s">
        <v>10659</v>
      </c>
      <c r="S969" s="172"/>
      <c r="T969" s="172"/>
      <c r="CJ969" s="81" t="s">
        <v>1790</v>
      </c>
      <c r="CT969" s="166" t="s">
        <v>1790</v>
      </c>
    </row>
    <row r="970" spans="1:104" x14ac:dyDescent="0.2">
      <c r="A970" s="176" t="str">
        <f t="shared" si="25"/>
        <v>mineMagneticSensitivity</v>
      </c>
      <c r="B970" s="11" t="s">
        <v>10665</v>
      </c>
      <c r="C970" s="173"/>
      <c r="D970" s="22" t="s">
        <v>10666</v>
      </c>
      <c r="E970" s="15" t="s">
        <v>10667</v>
      </c>
      <c r="F970" s="174"/>
      <c r="G970" s="174"/>
      <c r="H970" s="17" t="s">
        <v>5932</v>
      </c>
      <c r="I970" s="269"/>
      <c r="J970" s="369" t="str">
        <f>HYPERLINK("[#]Datatypes!B956:L956","MimCode")</f>
        <v>MimCode</v>
      </c>
      <c r="K970" s="276"/>
      <c r="L970" s="272"/>
      <c r="M970" s="272"/>
      <c r="N970" s="248" t="str">
        <f>HYPERLINK("[#]DatatypeListedValues!A6100:H6100","&lt;values&gt;")</f>
        <v>&lt;values&gt;</v>
      </c>
      <c r="O970" s="277" t="b">
        <v>0</v>
      </c>
      <c r="P970" s="37">
        <v>101049</v>
      </c>
      <c r="Q970" s="36" t="str">
        <f>CONCATENATE(Cover!$D$6,"fdd/view?i=",P970)</f>
        <v>https://www.dgiwg.org/FAD/fdd/view?i=101049</v>
      </c>
      <c r="R970" s="13" t="s">
        <v>10664</v>
      </c>
      <c r="S970" s="172"/>
      <c r="T970" s="172"/>
      <c r="CJ970" s="81" t="s">
        <v>1790</v>
      </c>
      <c r="CT970" s="166" t="s">
        <v>1790</v>
      </c>
    </row>
    <row r="971" spans="1:104" x14ac:dyDescent="0.2">
      <c r="A971" s="176" t="str">
        <f t="shared" si="25"/>
        <v>minePlacementMethod</v>
      </c>
      <c r="B971" s="11" t="s">
        <v>10670</v>
      </c>
      <c r="C971" s="173"/>
      <c r="D971" s="22" t="s">
        <v>10671</v>
      </c>
      <c r="E971" s="15" t="s">
        <v>10672</v>
      </c>
      <c r="F971" s="174"/>
      <c r="G971" s="174"/>
      <c r="H971" s="17" t="s">
        <v>5932</v>
      </c>
      <c r="I971" s="269"/>
      <c r="J971" s="369" t="str">
        <f>HYPERLINK("[#]Datatypes!B958:L958","MplCode")</f>
        <v>MplCode</v>
      </c>
      <c r="K971" s="276"/>
      <c r="L971" s="272"/>
      <c r="M971" s="272"/>
      <c r="N971" s="248" t="str">
        <f>HYPERLINK("[#]DatatypeListedValues!A6107:H6107","&lt;values&gt;")</f>
        <v>&lt;values&gt;</v>
      </c>
      <c r="O971" s="277" t="b">
        <v>0</v>
      </c>
      <c r="P971" s="37">
        <v>101065</v>
      </c>
      <c r="Q971" s="36" t="str">
        <f>CONCATENATE(Cover!$D$6,"fdd/view?i=",P971)</f>
        <v>https://www.dgiwg.org/FAD/fdd/view?i=101065</v>
      </c>
      <c r="R971" s="13" t="s">
        <v>10669</v>
      </c>
      <c r="S971" s="172"/>
      <c r="T971" s="172"/>
      <c r="CJ971" s="81" t="s">
        <v>1790</v>
      </c>
      <c r="CP971" s="164" t="s">
        <v>1790</v>
      </c>
    </row>
    <row r="972" spans="1:104" x14ac:dyDescent="0.2">
      <c r="A972" s="176" t="str">
        <f t="shared" si="25"/>
        <v>mineSelfActuationMethod</v>
      </c>
      <c r="B972" s="11" t="s">
        <v>10675</v>
      </c>
      <c r="C972" s="173"/>
      <c r="D972" s="22" t="s">
        <v>10676</v>
      </c>
      <c r="E972" s="15" t="s">
        <v>10677</v>
      </c>
      <c r="F972" s="174"/>
      <c r="G972" s="174"/>
      <c r="H972" s="17" t="s">
        <v>5932</v>
      </c>
      <c r="I972" s="269"/>
      <c r="J972" s="369" t="str">
        <f>HYPERLINK("[#]Datatypes!B960:L960","MniCode")</f>
        <v>MniCode</v>
      </c>
      <c r="K972" s="276"/>
      <c r="L972" s="272"/>
      <c r="M972" s="272"/>
      <c r="N972" s="248" t="str">
        <f>HYPERLINK("[#]DatatypeListedValues!A6115:H6115","&lt;values&gt;")</f>
        <v>&lt;values&gt;</v>
      </c>
      <c r="O972" s="277" t="b">
        <v>0</v>
      </c>
      <c r="P972" s="37">
        <v>101056</v>
      </c>
      <c r="Q972" s="36" t="str">
        <f>CONCATENATE(Cover!$D$6,"fdd/view?i=",P972)</f>
        <v>https://www.dgiwg.org/FAD/fdd/view?i=101056</v>
      </c>
      <c r="R972" s="13" t="s">
        <v>10674</v>
      </c>
      <c r="S972" s="172"/>
      <c r="T972" s="172"/>
      <c r="CJ972" s="81" t="s">
        <v>1790</v>
      </c>
      <c r="CT972" s="166" t="s">
        <v>1790</v>
      </c>
    </row>
    <row r="973" spans="1:104" x14ac:dyDescent="0.2">
      <c r="A973" s="176" t="str">
        <f t="shared" si="25"/>
        <v>mineSpecialCapability</v>
      </c>
      <c r="B973" s="11" t="s">
        <v>10680</v>
      </c>
      <c r="C973" s="173"/>
      <c r="D973" s="22" t="s">
        <v>10681</v>
      </c>
      <c r="E973" s="15" t="s">
        <v>10682</v>
      </c>
      <c r="F973" s="174"/>
      <c r="G973" s="174"/>
      <c r="H973" s="17" t="s">
        <v>5932</v>
      </c>
      <c r="I973" s="17" t="s">
        <v>6029</v>
      </c>
      <c r="J973" s="369" t="str">
        <f>HYPERLINK("[#]Datatypes!B962:L962","MsdCode")</f>
        <v>MsdCode</v>
      </c>
      <c r="K973" s="276"/>
      <c r="L973" s="272"/>
      <c r="M973" s="272"/>
      <c r="N973" s="248" t="str">
        <f>HYPERLINK("[#]DatatypeListedValues!A6118:H6118","&lt;values&gt;")</f>
        <v>&lt;values&gt;</v>
      </c>
      <c r="O973" s="277" t="b">
        <v>0</v>
      </c>
      <c r="P973" s="37">
        <v>101071</v>
      </c>
      <c r="Q973" s="36" t="str">
        <f>CONCATENATE(Cover!$D$6,"fdd/view?i=",P973)</f>
        <v>https://www.dgiwg.org/FAD/fdd/view?i=101071</v>
      </c>
      <c r="R973" s="13" t="s">
        <v>10679</v>
      </c>
      <c r="S973" s="172"/>
      <c r="T973" s="172"/>
      <c r="CJ973" s="81" t="s">
        <v>1790</v>
      </c>
      <c r="CT973" s="166" t="s">
        <v>1790</v>
      </c>
    </row>
    <row r="974" spans="1:104" x14ac:dyDescent="0.2">
      <c r="A974" s="176" t="str">
        <f t="shared" si="25"/>
        <v>mineSwept</v>
      </c>
      <c r="B974" s="11" t="s">
        <v>10685</v>
      </c>
      <c r="C974" s="173"/>
      <c r="D974" s="22" t="s">
        <v>10686</v>
      </c>
      <c r="E974" s="15" t="s">
        <v>10687</v>
      </c>
      <c r="F974" s="174"/>
      <c r="G974" s="174"/>
      <c r="H974" s="17" t="s">
        <v>5932</v>
      </c>
      <c r="I974" s="269"/>
      <c r="J974" s="369" t="str">
        <f>HYPERLINK("[#]Datatypes!B240:L240","Boolean")</f>
        <v>Boolean</v>
      </c>
      <c r="K974" s="276"/>
      <c r="L974" s="272"/>
      <c r="M974" s="272"/>
      <c r="N974" s="273"/>
      <c r="O974" s="269"/>
      <c r="P974" s="37">
        <v>101076</v>
      </c>
      <c r="Q974" s="36" t="str">
        <f>CONCATENATE(Cover!$D$6,"fdd/view?i=",P974)</f>
        <v>https://www.dgiwg.org/FAD/fdd/view?i=101076</v>
      </c>
      <c r="R974" s="13" t="s">
        <v>10684</v>
      </c>
      <c r="S974" s="172"/>
      <c r="T974" s="172"/>
      <c r="CJ974" s="81" t="s">
        <v>1790</v>
      </c>
      <c r="CK974" s="82" t="s">
        <v>1790</v>
      </c>
    </row>
    <row r="975" spans="1:104" x14ac:dyDescent="0.2">
      <c r="A975" s="176" t="str">
        <f t="shared" si="25"/>
        <v>minefieldDelineationCat</v>
      </c>
      <c r="B975" s="11" t="s">
        <v>10689</v>
      </c>
      <c r="C975" s="173"/>
      <c r="D975" s="22" t="s">
        <v>10690</v>
      </c>
      <c r="E975" s="15" t="s">
        <v>10691</v>
      </c>
      <c r="F975" s="174"/>
      <c r="G975" s="174"/>
      <c r="H975" s="17" t="s">
        <v>5932</v>
      </c>
      <c r="I975" s="269"/>
      <c r="J975" s="369" t="str">
        <f>HYPERLINK("[#]Datatypes!B964:L964","MdcCode")</f>
        <v>MdcCode</v>
      </c>
      <c r="K975" s="276"/>
      <c r="L975" s="272"/>
      <c r="M975" s="272"/>
      <c r="N975" s="248" t="str">
        <f>HYPERLINK("[#]DatatypeListedValues!A6132:H6132","&lt;values&gt;")</f>
        <v>&lt;values&gt;</v>
      </c>
      <c r="O975" s="277" t="b">
        <v>0</v>
      </c>
      <c r="P975" s="37">
        <v>101036</v>
      </c>
      <c r="Q975" s="36" t="str">
        <f>CONCATENATE(Cover!$D$6,"fdd/view?i=",P975)</f>
        <v>https://www.dgiwg.org/FAD/fdd/view?i=101036</v>
      </c>
      <c r="R975" s="13" t="s">
        <v>10688</v>
      </c>
      <c r="S975" s="172"/>
      <c r="T975" s="172"/>
      <c r="CK975" s="82" t="s">
        <v>1790</v>
      </c>
      <c r="CT975" s="166" t="s">
        <v>1790</v>
      </c>
      <c r="CZ975" s="165" t="s">
        <v>1790</v>
      </c>
    </row>
    <row r="976" spans="1:104" ht="25.5" x14ac:dyDescent="0.2">
      <c r="A976" s="176" t="str">
        <f t="shared" si="25"/>
        <v>minehuntingSeaBedClass</v>
      </c>
      <c r="B976" s="11" t="s">
        <v>10694</v>
      </c>
      <c r="C976" s="173"/>
      <c r="D976" s="22" t="s">
        <v>10695</v>
      </c>
      <c r="E976" s="15" t="s">
        <v>10696</v>
      </c>
      <c r="F976" s="15" t="s">
        <v>10553</v>
      </c>
      <c r="G976" s="174"/>
      <c r="H976" s="17" t="s">
        <v>5932</v>
      </c>
      <c r="I976" s="269"/>
      <c r="J976" s="369" t="str">
        <f>HYPERLINK("[#]Datatypes!B966:L966","MhcCode")</f>
        <v>MhcCode</v>
      </c>
      <c r="K976" s="276"/>
      <c r="L976" s="272"/>
      <c r="M976" s="272"/>
      <c r="N976" s="248" t="str">
        <f>HYPERLINK("[#]DatatypeListedValues!A6136:H6136","&lt;values&gt;")</f>
        <v>&lt;values&gt;</v>
      </c>
      <c r="O976" s="277" t="b">
        <v>0</v>
      </c>
      <c r="P976" s="37">
        <v>114481</v>
      </c>
      <c r="Q976" s="36" t="str">
        <f>CONCATENATE(Cover!$D$6,"fdd/view?i=",P976)</f>
        <v>https://www.dgiwg.org/FAD/fdd/view?i=114481</v>
      </c>
      <c r="R976" s="13" t="s">
        <v>10693</v>
      </c>
      <c r="S976" s="172"/>
      <c r="T976" s="172"/>
      <c r="BC976" s="83" t="s">
        <v>1790</v>
      </c>
      <c r="CS976" s="165" t="s">
        <v>1790</v>
      </c>
    </row>
    <row r="977" spans="1:98" ht="25.5" x14ac:dyDescent="0.2">
      <c r="A977" s="176" t="str">
        <f t="shared" si="25"/>
        <v>minehuntingStatus</v>
      </c>
      <c r="B977" s="11" t="s">
        <v>10699</v>
      </c>
      <c r="C977" s="173"/>
      <c r="D977" s="22" t="s">
        <v>10700</v>
      </c>
      <c r="E977" s="15" t="s">
        <v>10701</v>
      </c>
      <c r="F977" s="174"/>
      <c r="G977" s="174"/>
      <c r="H977" s="17" t="s">
        <v>5932</v>
      </c>
      <c r="I977" s="269"/>
      <c r="J977" s="369" t="str">
        <f>HYPERLINK("[#]Datatypes!B968:L968","MisCode")</f>
        <v>MisCode</v>
      </c>
      <c r="K977" s="276"/>
      <c r="L977" s="272"/>
      <c r="M977" s="272"/>
      <c r="N977" s="248" t="str">
        <f>HYPERLINK("[#]DatatypeListedValues!A6140:H6140","&lt;values&gt;")</f>
        <v>&lt;values&gt;</v>
      </c>
      <c r="O977" s="277" t="b">
        <v>0</v>
      </c>
      <c r="P977" s="37">
        <v>111108</v>
      </c>
      <c r="Q977" s="36" t="str">
        <f>CONCATENATE(Cover!$D$6,"fdd/view?i=",P977)</f>
        <v>https://www.dgiwg.org/FAD/fdd/view?i=111108</v>
      </c>
      <c r="R977" s="13" t="s">
        <v>10698</v>
      </c>
      <c r="S977" s="172"/>
      <c r="T977" s="172"/>
      <c r="CJ977" s="81" t="s">
        <v>1790</v>
      </c>
      <c r="CT977" s="166" t="s">
        <v>1790</v>
      </c>
    </row>
    <row r="978" spans="1:98" ht="25.5" x14ac:dyDescent="0.2">
      <c r="A978" s="176" t="str">
        <f t="shared" si="25"/>
        <v>mineralDepositClass</v>
      </c>
      <c r="B978" s="11" t="s">
        <v>10704</v>
      </c>
      <c r="C978" s="173"/>
      <c r="D978" s="22" t="s">
        <v>10705</v>
      </c>
      <c r="E978" s="15" t="s">
        <v>10706</v>
      </c>
      <c r="F978" s="174"/>
      <c r="G978" s="174"/>
      <c r="H978" s="17" t="s">
        <v>5932</v>
      </c>
      <c r="I978" s="269"/>
      <c r="J978" s="369" t="str">
        <f>HYPERLINK("[#]Datatypes!B970:L970","NdeCode")</f>
        <v>NdeCode</v>
      </c>
      <c r="K978" s="276"/>
      <c r="L978" s="272"/>
      <c r="M978" s="272"/>
      <c r="N978" s="248" t="str">
        <f>HYPERLINK("[#]DatatypeListedValues!A6143:H6143","&lt;values&gt;")</f>
        <v>&lt;values&gt;</v>
      </c>
      <c r="O978" s="277" t="b">
        <v>0</v>
      </c>
      <c r="P978" s="37">
        <v>111643</v>
      </c>
      <c r="Q978" s="36" t="str">
        <f>CONCATENATE(Cover!$D$6,"fdd/view?i=",P978)</f>
        <v>https://www.dgiwg.org/FAD/fdd/view?i=111643</v>
      </c>
      <c r="R978" s="13" t="s">
        <v>10703</v>
      </c>
      <c r="S978" s="172"/>
      <c r="T978" s="172"/>
      <c r="BN978" s="82" t="s">
        <v>1790</v>
      </c>
      <c r="BP978" s="82" t="s">
        <v>1790</v>
      </c>
      <c r="CS978" s="165" t="s">
        <v>1790</v>
      </c>
    </row>
    <row r="979" spans="1:98" x14ac:dyDescent="0.2">
      <c r="A979" s="176" t="str">
        <f t="shared" si="25"/>
        <v>mineralSpringUse</v>
      </c>
      <c r="B979" s="11" t="s">
        <v>10709</v>
      </c>
      <c r="C979" s="173"/>
      <c r="D979" s="22" t="s">
        <v>10710</v>
      </c>
      <c r="E979" s="15" t="s">
        <v>10711</v>
      </c>
      <c r="F979" s="174"/>
      <c r="G979" s="174"/>
      <c r="H979" s="17" t="s">
        <v>5932</v>
      </c>
      <c r="I979" s="269"/>
      <c r="J979" s="369" t="str">
        <f>HYPERLINK("[#]Datatypes!B972:L972","MspCode")</f>
        <v>MspCode</v>
      </c>
      <c r="K979" s="276"/>
      <c r="L979" s="272"/>
      <c r="M979" s="272"/>
      <c r="N979" s="248" t="str">
        <f>HYPERLINK("[#]DatatypeListedValues!A6155:H6155","&lt;values&gt;")</f>
        <v>&lt;values&gt;</v>
      </c>
      <c r="O979" s="277" t="b">
        <v>0</v>
      </c>
      <c r="P979" s="37">
        <v>111637</v>
      </c>
      <c r="Q979" s="36" t="str">
        <f>CONCATENATE(Cover!$D$6,"fdd/view?i=",P979)</f>
        <v>https://www.dgiwg.org/FAD/fdd/view?i=111637</v>
      </c>
      <c r="R979" s="13" t="s">
        <v>10708</v>
      </c>
      <c r="S979" s="172"/>
      <c r="T979" s="172"/>
      <c r="AL979" s="83" t="s">
        <v>1790</v>
      </c>
      <c r="BJ979" s="83" t="s">
        <v>1790</v>
      </c>
      <c r="CT979" s="166" t="s">
        <v>1790</v>
      </c>
    </row>
    <row r="980" spans="1:98" ht="51" x14ac:dyDescent="0.2">
      <c r="A980" s="176" t="str">
        <f t="shared" si="25"/>
        <v>minimumAltitude</v>
      </c>
      <c r="B980" s="11" t="s">
        <v>10714</v>
      </c>
      <c r="C980" s="173"/>
      <c r="D980" s="22" t="s">
        <v>10715</v>
      </c>
      <c r="E980" s="15" t="s">
        <v>10716</v>
      </c>
      <c r="F980" s="15" t="s">
        <v>10717</v>
      </c>
      <c r="G980" s="174"/>
      <c r="H980" s="17" t="s">
        <v>5932</v>
      </c>
      <c r="I980" s="269"/>
      <c r="J980" s="369" t="str">
        <f>HYPERLINK("[#]Datatypes!B1231:L1231","Real")</f>
        <v>Real</v>
      </c>
      <c r="K980" s="271" t="str">
        <f>HYPERLINK("[#]PhysicalQuantities!A20:N20","Length")</f>
        <v>Length</v>
      </c>
      <c r="L980" s="270" t="str">
        <f>HYPERLINK("[#]UnitsOfMeasure!D103:G103","Foot")</f>
        <v>Foot</v>
      </c>
      <c r="M980" s="270" t="str">
        <f>HYPERLINK("[#]UnitsOfMeasure!D154:G154","Flight Level")</f>
        <v>Flight Level</v>
      </c>
      <c r="N980" s="273"/>
      <c r="O980" s="269"/>
      <c r="P980" s="37">
        <v>117621</v>
      </c>
      <c r="Q980" s="36" t="str">
        <f>CONCATENATE(Cover!$D$6,"fdd/view?i=",P980)</f>
        <v>https://www.dgiwg.org/FAD/fdd/view?i=117621</v>
      </c>
      <c r="R980" s="13" t="s">
        <v>10713</v>
      </c>
      <c r="S980" s="172"/>
      <c r="T980" s="172"/>
      <c r="CF980" s="83" t="s">
        <v>1790</v>
      </c>
      <c r="CI980" s="89" t="s">
        <v>1790</v>
      </c>
    </row>
    <row r="981" spans="1:98" x14ac:dyDescent="0.2">
      <c r="A981" s="176" t="str">
        <f t="shared" si="25"/>
        <v>minimumAnchoringDepth</v>
      </c>
      <c r="B981" s="11" t="s">
        <v>10719</v>
      </c>
      <c r="C981" s="173"/>
      <c r="D981" s="22" t="s">
        <v>10720</v>
      </c>
      <c r="E981" s="15" t="s">
        <v>10721</v>
      </c>
      <c r="F981" s="174"/>
      <c r="G981" s="174"/>
      <c r="H981" s="17" t="s">
        <v>5932</v>
      </c>
      <c r="I981" s="269"/>
      <c r="J981" s="369" t="str">
        <f>HYPERLINK("[#]Datatypes!B1231:L1231","Real")</f>
        <v>Real</v>
      </c>
      <c r="K981" s="271" t="str">
        <f>HYPERLINK("[#]PhysicalQuantities!A20:N20","Length")</f>
        <v>Length</v>
      </c>
      <c r="L981" s="270" t="str">
        <f>HYPERLINK("[#]UnitsOfMeasure!D80:G80","Metre")</f>
        <v>Metre</v>
      </c>
      <c r="M981" s="272"/>
      <c r="N981" s="273"/>
      <c r="O981" s="269"/>
      <c r="P981" s="37">
        <v>111632</v>
      </c>
      <c r="Q981" s="36" t="str">
        <f>CONCATENATE(Cover!$D$6,"fdd/view?i=",P981)</f>
        <v>https://www.dgiwg.org/FAD/fdd/view?i=111632</v>
      </c>
      <c r="R981" s="13" t="s">
        <v>10718</v>
      </c>
      <c r="S981" s="172"/>
      <c r="T981" s="172"/>
      <c r="AS981" s="82" t="s">
        <v>1790</v>
      </c>
      <c r="BA981" s="83" t="s">
        <v>1790</v>
      </c>
      <c r="BF981" s="83" t="s">
        <v>1790</v>
      </c>
      <c r="CQ981" s="165" t="s">
        <v>1790</v>
      </c>
    </row>
    <row r="982" spans="1:98" ht="51" x14ac:dyDescent="0.2">
      <c r="A982" s="176" t="str">
        <f t="shared" si="25"/>
        <v>minimumClimbAltitude</v>
      </c>
      <c r="B982" s="11" t="s">
        <v>10723</v>
      </c>
      <c r="C982" s="173"/>
      <c r="D982" s="22" t="s">
        <v>10724</v>
      </c>
      <c r="E982" s="15" t="s">
        <v>10725</v>
      </c>
      <c r="F982" s="15" t="s">
        <v>10726</v>
      </c>
      <c r="G982" s="174"/>
      <c r="H982" s="17" t="s">
        <v>5932</v>
      </c>
      <c r="I982" s="269"/>
      <c r="J982" s="369" t="str">
        <f>HYPERLINK("[#]Datatypes!B1231:L1231","Real")</f>
        <v>Real</v>
      </c>
      <c r="K982" s="271" t="str">
        <f>HYPERLINK("[#]PhysicalQuantities!A20:N20","Length")</f>
        <v>Length</v>
      </c>
      <c r="L982" s="270" t="str">
        <f>HYPERLINK("[#]UnitsOfMeasure!D80:G80","Metre")</f>
        <v>Metre</v>
      </c>
      <c r="M982" s="272"/>
      <c r="N982" s="273"/>
      <c r="O982" s="269"/>
      <c r="P982" s="37">
        <v>119606</v>
      </c>
      <c r="Q982" s="36" t="str">
        <f>CONCATENATE(Cover!$D$6,"fdd/view?i=",P982)</f>
        <v>https://www.dgiwg.org/FAD/fdd/view?i=119606</v>
      </c>
      <c r="R982" s="13" t="s">
        <v>10722</v>
      </c>
      <c r="S982" s="172"/>
      <c r="T982" s="172"/>
      <c r="AT982" s="82" t="s">
        <v>1790</v>
      </c>
      <c r="CF982" s="83" t="s">
        <v>1790</v>
      </c>
      <c r="CQ982" s="165" t="s">
        <v>1790</v>
      </c>
    </row>
    <row r="983" spans="1:98" x14ac:dyDescent="0.2">
      <c r="A983" s="176" t="str">
        <f t="shared" si="25"/>
        <v>minimumClimbGradient</v>
      </c>
      <c r="B983" s="11" t="s">
        <v>10728</v>
      </c>
      <c r="C983" s="173"/>
      <c r="D983" s="22" t="s">
        <v>10729</v>
      </c>
      <c r="E983" s="15" t="s">
        <v>10730</v>
      </c>
      <c r="F983" s="174"/>
      <c r="G983" s="174"/>
      <c r="H983" s="17" t="s">
        <v>5932</v>
      </c>
      <c r="I983" s="269"/>
      <c r="J983" s="369" t="str">
        <f>HYPERLINK("[#]Datatypes!B974:L974","McgStrucText")</f>
        <v>McgStrucText</v>
      </c>
      <c r="K983" s="276"/>
      <c r="L983" s="272"/>
      <c r="M983" s="272"/>
      <c r="N983" s="273"/>
      <c r="O983" s="269"/>
      <c r="P983" s="37">
        <v>117623</v>
      </c>
      <c r="Q983" s="36" t="str">
        <f>CONCATENATE(Cover!$D$6,"fdd/view?i=",P983)</f>
        <v>https://www.dgiwg.org/FAD/fdd/view?i=117623</v>
      </c>
      <c r="R983" s="13" t="s">
        <v>10727</v>
      </c>
      <c r="S983" s="172"/>
      <c r="T983" s="172"/>
      <c r="CI983" s="89" t="s">
        <v>1790</v>
      </c>
    </row>
    <row r="984" spans="1:98" ht="38.25" x14ac:dyDescent="0.2">
      <c r="A984" s="176" t="str">
        <f t="shared" si="25"/>
        <v>minimumDescentAltitude</v>
      </c>
      <c r="B984" s="11" t="s">
        <v>10733</v>
      </c>
      <c r="C984" s="173"/>
      <c r="D984" s="22" t="s">
        <v>10734</v>
      </c>
      <c r="E984" s="15" t="s">
        <v>10735</v>
      </c>
      <c r="F984" s="174"/>
      <c r="G984" s="15" t="s">
        <v>10481</v>
      </c>
      <c r="H984" s="17" t="s">
        <v>5932</v>
      </c>
      <c r="I984" s="269"/>
      <c r="J984" s="369" t="str">
        <f>HYPERLINK("[#]Datatypes!B1231:L1231","Real")</f>
        <v>Real</v>
      </c>
      <c r="K984" s="271" t="str">
        <f>HYPERLINK("[#]PhysicalQuantities!A20:N20","Length")</f>
        <v>Length</v>
      </c>
      <c r="L984" s="270" t="str">
        <f>HYPERLINK("[#]UnitsOfMeasure!D103:G103","Foot")</f>
        <v>Foot</v>
      </c>
      <c r="M984" s="272"/>
      <c r="N984" s="273"/>
      <c r="O984" s="269"/>
      <c r="P984" s="37">
        <v>117626</v>
      </c>
      <c r="Q984" s="36" t="str">
        <f>CONCATENATE(Cover!$D$6,"fdd/view?i=",P984)</f>
        <v>https://www.dgiwg.org/FAD/fdd/view?i=117626</v>
      </c>
      <c r="R984" s="13" t="s">
        <v>10732</v>
      </c>
      <c r="S984" s="172"/>
      <c r="T984" s="172"/>
      <c r="CI984" s="89" t="s">
        <v>1790</v>
      </c>
    </row>
    <row r="985" spans="1:98" ht="63.75" x14ac:dyDescent="0.2">
      <c r="A985" s="176" t="str">
        <f t="shared" si="25"/>
        <v>minimumDescentHeight</v>
      </c>
      <c r="B985" s="11" t="s">
        <v>10737</v>
      </c>
      <c r="C985" s="173"/>
      <c r="D985" s="22" t="s">
        <v>10738</v>
      </c>
      <c r="E985" s="15" t="s">
        <v>10739</v>
      </c>
      <c r="F985" s="15" t="s">
        <v>10740</v>
      </c>
      <c r="G985" s="15" t="s">
        <v>10737</v>
      </c>
      <c r="H985" s="17" t="s">
        <v>5932</v>
      </c>
      <c r="I985" s="269"/>
      <c r="J985" s="369" t="str">
        <f>HYPERLINK("[#]Datatypes!B1231:L1231","Real")</f>
        <v>Real</v>
      </c>
      <c r="K985" s="271" t="str">
        <f>HYPERLINK("[#]PhysicalQuantities!A20:N20","Length")</f>
        <v>Length</v>
      </c>
      <c r="L985" s="270" t="str">
        <f>HYPERLINK("[#]UnitsOfMeasure!D103:G103","Foot")</f>
        <v>Foot</v>
      </c>
      <c r="M985" s="272"/>
      <c r="N985" s="273"/>
      <c r="O985" s="269"/>
      <c r="P985" s="37">
        <v>117625</v>
      </c>
      <c r="Q985" s="36" t="str">
        <f>CONCATENATE(Cover!$D$6,"fdd/view?i=",P985)</f>
        <v>https://www.dgiwg.org/FAD/fdd/view?i=117625</v>
      </c>
      <c r="R985" s="13" t="s">
        <v>10736</v>
      </c>
      <c r="S985" s="172"/>
      <c r="T985" s="172"/>
      <c r="CI985" s="89" t="s">
        <v>1790</v>
      </c>
    </row>
    <row r="986" spans="1:98" x14ac:dyDescent="0.2">
      <c r="A986" s="176" t="str">
        <f t="shared" si="25"/>
        <v>minimumDroughtWaterVel</v>
      </c>
      <c r="B986" s="11" t="s">
        <v>10742</v>
      </c>
      <c r="C986" s="173"/>
      <c r="D986" s="22" t="s">
        <v>10743</v>
      </c>
      <c r="E986" s="15" t="s">
        <v>10744</v>
      </c>
      <c r="F986" s="174"/>
      <c r="G986" s="174"/>
      <c r="H986" s="17" t="s">
        <v>5932</v>
      </c>
      <c r="I986" s="269"/>
      <c r="J986" s="369" t="str">
        <f>HYPERLINK("[#]Datatypes!B1233:L1233","RealInterval")</f>
        <v>RealInterval</v>
      </c>
      <c r="K986" s="271" t="str">
        <f>HYPERLINK("[#]PhysicalQuantities!A48:N48","Speed")</f>
        <v>Speed</v>
      </c>
      <c r="L986" s="270" t="str">
        <f>HYPERLINK("[#]UnitsOfMeasure!D246:G246","Metre per Second")</f>
        <v>Metre per Second</v>
      </c>
      <c r="M986" s="272"/>
      <c r="N986" s="273"/>
      <c r="O986" s="269"/>
      <c r="P986" s="37">
        <v>110000</v>
      </c>
      <c r="Q986" s="36" t="str">
        <f>CONCATENATE(Cover!$D$6,"fdd/view?i=",P986)</f>
        <v>https://www.dgiwg.org/FAD/fdd/view?i=110000</v>
      </c>
      <c r="R986" s="13" t="s">
        <v>10741</v>
      </c>
      <c r="S986" s="172"/>
      <c r="T986" s="172"/>
      <c r="BE986" s="83" t="s">
        <v>1790</v>
      </c>
      <c r="BJ986" s="83" t="s">
        <v>1790</v>
      </c>
      <c r="BK986" s="89" t="s">
        <v>1790</v>
      </c>
      <c r="CQ986" s="165" t="s">
        <v>1790</v>
      </c>
    </row>
    <row r="987" spans="1:98" ht="51" x14ac:dyDescent="0.2">
      <c r="A987" s="176" t="str">
        <f t="shared" si="25"/>
        <v>minimumEnRouteAltitude</v>
      </c>
      <c r="B987" s="11" t="s">
        <v>10746</v>
      </c>
      <c r="C987" s="173"/>
      <c r="D987" s="22" t="s">
        <v>10747</v>
      </c>
      <c r="E987" s="15" t="s">
        <v>10748</v>
      </c>
      <c r="F987" s="174"/>
      <c r="G987" s="15" t="s">
        <v>10746</v>
      </c>
      <c r="H987" s="17" t="s">
        <v>5932</v>
      </c>
      <c r="I987" s="269"/>
      <c r="J987" s="369" t="str">
        <f t="shared" ref="J987:J994" si="26">HYPERLINK("[#]Datatypes!B1231:L1231","Real")</f>
        <v>Real</v>
      </c>
      <c r="K987" s="271" t="str">
        <f>HYPERLINK("[#]PhysicalQuantities!A20:N20","Length")</f>
        <v>Length</v>
      </c>
      <c r="L987" s="270" t="str">
        <f>HYPERLINK("[#]UnitsOfMeasure!D103:G103","Foot")</f>
        <v>Foot</v>
      </c>
      <c r="M987" s="270" t="str">
        <f>HYPERLINK("[#]UnitsOfMeasure!D154:G154","Flight Level")</f>
        <v>Flight Level</v>
      </c>
      <c r="N987" s="273"/>
      <c r="O987" s="269"/>
      <c r="P987" s="37">
        <v>117627</v>
      </c>
      <c r="Q987" s="36" t="str">
        <f>CONCATENATE(Cover!$D$6,"fdd/view?i=",P987)</f>
        <v>https://www.dgiwg.org/FAD/fdd/view?i=117627</v>
      </c>
      <c r="R987" s="13" t="s">
        <v>10745</v>
      </c>
      <c r="S987" s="172"/>
      <c r="T987" s="172"/>
      <c r="CF987" s="83" t="s">
        <v>1790</v>
      </c>
    </row>
    <row r="988" spans="1:98" ht="25.5" x14ac:dyDescent="0.2">
      <c r="A988" s="176" t="str">
        <f t="shared" si="25"/>
        <v>minimumEyeHgtOverThreshold</v>
      </c>
      <c r="B988" s="11" t="s">
        <v>10750</v>
      </c>
      <c r="C988" s="173"/>
      <c r="D988" s="22" t="s">
        <v>10751</v>
      </c>
      <c r="E988" s="15" t="s">
        <v>10752</v>
      </c>
      <c r="F988" s="174"/>
      <c r="G988" s="15" t="s">
        <v>10753</v>
      </c>
      <c r="H988" s="17" t="s">
        <v>5932</v>
      </c>
      <c r="I988" s="269"/>
      <c r="J988" s="369" t="str">
        <f t="shared" si="26"/>
        <v>Real</v>
      </c>
      <c r="K988" s="271" t="str">
        <f>HYPERLINK("[#]PhysicalQuantities!A20:N20","Length")</f>
        <v>Length</v>
      </c>
      <c r="L988" s="270" t="str">
        <f>HYPERLINK("[#]UnitsOfMeasure!D103:G103","Foot")</f>
        <v>Foot</v>
      </c>
      <c r="M988" s="272"/>
      <c r="N988" s="273"/>
      <c r="O988" s="269"/>
      <c r="P988" s="37">
        <v>117629</v>
      </c>
      <c r="Q988" s="36" t="str">
        <f>CONCATENATE(Cover!$D$6,"fdd/view?i=",P988)</f>
        <v>https://www.dgiwg.org/FAD/fdd/view?i=117629</v>
      </c>
      <c r="R988" s="13" t="s">
        <v>10749</v>
      </c>
      <c r="S988" s="172"/>
      <c r="T988" s="172"/>
      <c r="CI988" s="89" t="s">
        <v>1790</v>
      </c>
    </row>
    <row r="989" spans="1:98" ht="25.5" x14ac:dyDescent="0.2">
      <c r="A989" s="176" t="str">
        <f t="shared" si="25"/>
        <v>minimumObstacleClearAlt</v>
      </c>
      <c r="B989" s="11" t="s">
        <v>10755</v>
      </c>
      <c r="C989" s="173"/>
      <c r="D989" s="22" t="s">
        <v>10756</v>
      </c>
      <c r="E989" s="15" t="s">
        <v>10757</v>
      </c>
      <c r="F989" s="174"/>
      <c r="G989" s="15" t="s">
        <v>10758</v>
      </c>
      <c r="H989" s="17" t="s">
        <v>5932</v>
      </c>
      <c r="I989" s="269"/>
      <c r="J989" s="369" t="str">
        <f t="shared" si="26"/>
        <v>Real</v>
      </c>
      <c r="K989" s="271" t="str">
        <f>HYPERLINK("[#]PhysicalQuantities!A20:N20","Length")</f>
        <v>Length</v>
      </c>
      <c r="L989" s="270" t="str">
        <f>HYPERLINK("[#]UnitsOfMeasure!D103:G103","Foot")</f>
        <v>Foot</v>
      </c>
      <c r="M989" s="270" t="str">
        <f>HYPERLINK("[#]UnitsOfMeasure!D154:G154","Flight Level")</f>
        <v>Flight Level</v>
      </c>
      <c r="N989" s="273"/>
      <c r="O989" s="269"/>
      <c r="P989" s="37">
        <v>117637</v>
      </c>
      <c r="Q989" s="36" t="str">
        <f>CONCATENATE(Cover!$D$6,"fdd/view?i=",P989)</f>
        <v>https://www.dgiwg.org/FAD/fdd/view?i=117637</v>
      </c>
      <c r="R989" s="13" t="s">
        <v>10754</v>
      </c>
      <c r="S989" s="172"/>
      <c r="T989" s="172"/>
      <c r="CF989" s="83" t="s">
        <v>1790</v>
      </c>
    </row>
    <row r="990" spans="1:98" ht="38.25" x14ac:dyDescent="0.2">
      <c r="A990" s="176" t="str">
        <f t="shared" si="25"/>
        <v>minPeakHorizGroundAcc</v>
      </c>
      <c r="B990" s="11" t="s">
        <v>10760</v>
      </c>
      <c r="C990" s="173"/>
      <c r="D990" s="22" t="s">
        <v>10761</v>
      </c>
      <c r="E990" s="15" t="s">
        <v>10762</v>
      </c>
      <c r="F990" s="174"/>
      <c r="G990" s="174"/>
      <c r="H990" s="17" t="s">
        <v>5932</v>
      </c>
      <c r="I990" s="269"/>
      <c r="J990" s="369" t="str">
        <f t="shared" si="26"/>
        <v>Real</v>
      </c>
      <c r="K990" s="271" t="str">
        <f>HYPERLINK("[#]PhysicalQuantities!A39:N39","Pure Number")</f>
        <v>Pure Number</v>
      </c>
      <c r="L990" s="270" t="str">
        <f>HYPERLINK("[#]UnitsOfMeasure!D215:G215","Percent")</f>
        <v>Percent</v>
      </c>
      <c r="M990" s="272"/>
      <c r="N990" s="273"/>
      <c r="O990" s="269"/>
      <c r="P990" s="37">
        <v>118572</v>
      </c>
      <c r="Q990" s="36" t="str">
        <f>CONCATENATE(Cover!$D$6,"fdd/view?i=",P990)</f>
        <v>https://www.dgiwg.org/FAD/fdd/view?i=118572</v>
      </c>
      <c r="R990" s="13" t="s">
        <v>10759</v>
      </c>
      <c r="S990" s="172"/>
      <c r="T990" s="172"/>
      <c r="BQ990" s="82" t="s">
        <v>1790</v>
      </c>
      <c r="CQ990" s="165" t="s">
        <v>1790</v>
      </c>
      <c r="CS990" s="165" t="s">
        <v>1790</v>
      </c>
    </row>
    <row r="991" spans="1:98" ht="51" x14ac:dyDescent="0.2">
      <c r="A991" s="176" t="str">
        <f t="shared" si="25"/>
        <v>minimumRadioAltimeterHgt</v>
      </c>
      <c r="B991" s="11" t="s">
        <v>10764</v>
      </c>
      <c r="C991" s="173"/>
      <c r="D991" s="22" t="s">
        <v>10765</v>
      </c>
      <c r="E991" s="15" t="s">
        <v>10766</v>
      </c>
      <c r="F991" s="15" t="s">
        <v>10767</v>
      </c>
      <c r="G991" s="15" t="s">
        <v>10768</v>
      </c>
      <c r="H991" s="17" t="s">
        <v>5932</v>
      </c>
      <c r="I991" s="269"/>
      <c r="J991" s="369" t="str">
        <f t="shared" si="26"/>
        <v>Real</v>
      </c>
      <c r="K991" s="271" t="str">
        <f>HYPERLINK("[#]PhysicalQuantities!A20:N20","Length")</f>
        <v>Length</v>
      </c>
      <c r="L991" s="270" t="str">
        <f>HYPERLINK("[#]UnitsOfMeasure!D103:G103","Foot")</f>
        <v>Foot</v>
      </c>
      <c r="M991" s="272"/>
      <c r="N991" s="273"/>
      <c r="O991" s="269"/>
      <c r="P991" s="37">
        <v>117639</v>
      </c>
      <c r="Q991" s="36" t="str">
        <f>CONCATENATE(Cover!$D$6,"fdd/view?i=",P991)</f>
        <v>https://www.dgiwg.org/FAD/fdd/view?i=117639</v>
      </c>
      <c r="R991" s="13" t="s">
        <v>10763</v>
      </c>
      <c r="S991" s="172"/>
      <c r="T991" s="172"/>
      <c r="CI991" s="89" t="s">
        <v>1790</v>
      </c>
    </row>
    <row r="992" spans="1:98" ht="38.25" x14ac:dyDescent="0.2">
      <c r="A992" s="176" t="str">
        <f t="shared" si="25"/>
        <v>minimumReceptionAltitude</v>
      </c>
      <c r="B992" s="11" t="s">
        <v>10770</v>
      </c>
      <c r="C992" s="173"/>
      <c r="D992" s="22" t="s">
        <v>10771</v>
      </c>
      <c r="E992" s="15" t="s">
        <v>10772</v>
      </c>
      <c r="F992" s="174"/>
      <c r="G992" s="15" t="s">
        <v>10770</v>
      </c>
      <c r="H992" s="17" t="s">
        <v>5932</v>
      </c>
      <c r="I992" s="269"/>
      <c r="J992" s="369" t="str">
        <f t="shared" si="26"/>
        <v>Real</v>
      </c>
      <c r="K992" s="271" t="str">
        <f>HYPERLINK("[#]PhysicalQuantities!A20:N20","Length")</f>
        <v>Length</v>
      </c>
      <c r="L992" s="270" t="str">
        <f>HYPERLINK("[#]UnitsOfMeasure!D103:G103","Foot")</f>
        <v>Foot</v>
      </c>
      <c r="M992" s="270" t="str">
        <f>HYPERLINK("[#]UnitsOfMeasure!D154:G154","Flight Level")</f>
        <v>Flight Level</v>
      </c>
      <c r="N992" s="273"/>
      <c r="O992" s="269"/>
      <c r="P992" s="37">
        <v>117638</v>
      </c>
      <c r="Q992" s="36" t="str">
        <f>CONCATENATE(Cover!$D$6,"fdd/view?i=",P992)</f>
        <v>https://www.dgiwg.org/FAD/fdd/view?i=117638</v>
      </c>
      <c r="R992" s="13" t="s">
        <v>10769</v>
      </c>
      <c r="S992" s="172"/>
      <c r="T992" s="172"/>
      <c r="CF992" s="83" t="s">
        <v>1790</v>
      </c>
    </row>
    <row r="993" spans="1:103" ht="51" x14ac:dyDescent="0.2">
      <c r="A993" s="176" t="str">
        <f t="shared" si="25"/>
        <v>minimumSectorAltitude</v>
      </c>
      <c r="B993" s="11" t="s">
        <v>10774</v>
      </c>
      <c r="C993" s="173"/>
      <c r="D993" s="22" t="s">
        <v>10775</v>
      </c>
      <c r="E993" s="15" t="s">
        <v>10776</v>
      </c>
      <c r="F993" s="174"/>
      <c r="G993" s="15" t="s">
        <v>10774</v>
      </c>
      <c r="H993" s="17" t="s">
        <v>5932</v>
      </c>
      <c r="I993" s="269"/>
      <c r="J993" s="369" t="str">
        <f t="shared" si="26"/>
        <v>Real</v>
      </c>
      <c r="K993" s="271" t="str">
        <f>HYPERLINK("[#]PhysicalQuantities!A20:N20","Length")</f>
        <v>Length</v>
      </c>
      <c r="L993" s="270" t="str">
        <f>HYPERLINK("[#]UnitsOfMeasure!D103:G103","Foot")</f>
        <v>Foot</v>
      </c>
      <c r="M993" s="272"/>
      <c r="N993" s="273"/>
      <c r="O993" s="269"/>
      <c r="P993" s="37">
        <v>117641</v>
      </c>
      <c r="Q993" s="36" t="str">
        <f>CONCATENATE(Cover!$D$6,"fdd/view?i=",P993)</f>
        <v>https://www.dgiwg.org/FAD/fdd/view?i=117641</v>
      </c>
      <c r="R993" s="13" t="s">
        <v>10773</v>
      </c>
      <c r="S993" s="172"/>
      <c r="T993" s="172"/>
      <c r="CI993" s="89" t="s">
        <v>1790</v>
      </c>
    </row>
    <row r="994" spans="1:103" ht="25.5" x14ac:dyDescent="0.2">
      <c r="A994" s="176" t="str">
        <f t="shared" si="25"/>
        <v>minimumSurfaceSlope</v>
      </c>
      <c r="B994" s="11" t="s">
        <v>10778</v>
      </c>
      <c r="C994" s="173"/>
      <c r="D994" s="22" t="s">
        <v>10779</v>
      </c>
      <c r="E994" s="15" t="s">
        <v>10780</v>
      </c>
      <c r="F994" s="15" t="s">
        <v>10428</v>
      </c>
      <c r="G994" s="174"/>
      <c r="H994" s="17" t="s">
        <v>5932</v>
      </c>
      <c r="I994" s="269"/>
      <c r="J994" s="369" t="str">
        <f t="shared" si="26"/>
        <v>Real</v>
      </c>
      <c r="K994" s="271" t="str">
        <f>HYPERLINK("[#]PhysicalQuantities!A39:N39","Pure Number")</f>
        <v>Pure Number</v>
      </c>
      <c r="L994" s="270" t="str">
        <f>HYPERLINK("[#]UnitsOfMeasure!D215:G215","Percent")</f>
        <v>Percent</v>
      </c>
      <c r="M994" s="272"/>
      <c r="N994" s="273"/>
      <c r="O994" s="269"/>
      <c r="P994" s="37">
        <v>111775</v>
      </c>
      <c r="Q994" s="36" t="str">
        <f>CONCATENATE(Cover!$D$6,"fdd/view?i=",P994)</f>
        <v>https://www.dgiwg.org/FAD/fdd/view?i=111775</v>
      </c>
      <c r="R994" s="13" t="s">
        <v>10777</v>
      </c>
      <c r="S994" s="172"/>
      <c r="T994" s="172"/>
      <c r="BM994" s="82" t="s">
        <v>1790</v>
      </c>
      <c r="CP994" s="164" t="s">
        <v>1790</v>
      </c>
    </row>
    <row r="995" spans="1:103" ht="25.5" x14ac:dyDescent="0.2">
      <c r="A995" s="176" t="str">
        <f t="shared" si="25"/>
        <v>missileLaunchSupportComp</v>
      </c>
      <c r="B995" s="11" t="s">
        <v>10782</v>
      </c>
      <c r="C995" s="173"/>
      <c r="D995" s="22" t="s">
        <v>10783</v>
      </c>
      <c r="E995" s="15" t="s">
        <v>10784</v>
      </c>
      <c r="F995" s="15" t="s">
        <v>6582</v>
      </c>
      <c r="G995" s="174"/>
      <c r="H995" s="17" t="s">
        <v>5932</v>
      </c>
      <c r="I995" s="269"/>
      <c r="J995" s="369" t="str">
        <f>HYPERLINK("[#]Datatypes!B976:L976","XmeCode")</f>
        <v>XmeCode</v>
      </c>
      <c r="K995" s="276"/>
      <c r="L995" s="272"/>
      <c r="M995" s="272"/>
      <c r="N995" s="248" t="str">
        <f>HYPERLINK("[#]DatatypeListedValues!A6157:H6157","&lt;values&gt;")</f>
        <v>&lt;values&gt;</v>
      </c>
      <c r="O995" s="277" t="b">
        <v>0</v>
      </c>
      <c r="P995" s="37">
        <v>119759</v>
      </c>
      <c r="Q995" s="36" t="str">
        <f>CONCATENATE(Cover!$D$6,"fdd/view?i=",P995)</f>
        <v>https://www.dgiwg.org/FAD/fdd/view?i=119759</v>
      </c>
      <c r="R995" s="13" t="s">
        <v>10781</v>
      </c>
      <c r="S995" s="172"/>
      <c r="T995" s="172"/>
      <c r="CJ995" s="81" t="s">
        <v>1790</v>
      </c>
      <c r="CT995" s="166" t="s">
        <v>1790</v>
      </c>
    </row>
    <row r="996" spans="1:103" x14ac:dyDescent="0.2">
      <c r="A996" s="176" t="str">
        <f t="shared" si="25"/>
        <v>missileSiteType</v>
      </c>
      <c r="B996" s="11" t="s">
        <v>10787</v>
      </c>
      <c r="C996" s="173"/>
      <c r="D996" s="22" t="s">
        <v>10788</v>
      </c>
      <c r="E996" s="15" t="s">
        <v>10789</v>
      </c>
      <c r="F996" s="174"/>
      <c r="G996" s="174"/>
      <c r="H996" s="17" t="s">
        <v>5932</v>
      </c>
      <c r="I996" s="17" t="s">
        <v>6029</v>
      </c>
      <c r="J996" s="369" t="str">
        <f>HYPERLINK("[#]Datatypes!B978:L978","MstCode")</f>
        <v>MstCode</v>
      </c>
      <c r="K996" s="276"/>
      <c r="L996" s="272"/>
      <c r="M996" s="272"/>
      <c r="N996" s="248" t="str">
        <f>HYPERLINK("[#]DatatypeListedValues!A6161:H6161","&lt;values&gt;")</f>
        <v>&lt;values&gt;</v>
      </c>
      <c r="O996" s="277" t="b">
        <v>0</v>
      </c>
      <c r="P996" s="37">
        <v>101078</v>
      </c>
      <c r="Q996" s="36" t="str">
        <f>CONCATENATE(Cover!$D$6,"fdd/view?i=",P996)</f>
        <v>https://www.dgiwg.org/FAD/fdd/view?i=101078</v>
      </c>
      <c r="R996" s="13" t="s">
        <v>10786</v>
      </c>
      <c r="S996" s="172"/>
      <c r="T996" s="172"/>
      <c r="CJ996" s="81" t="s">
        <v>1790</v>
      </c>
      <c r="CT996" s="166" t="s">
        <v>1790</v>
      </c>
    </row>
    <row r="997" spans="1:103" ht="25.5" x14ac:dyDescent="0.2">
      <c r="A997" s="176" t="str">
        <f t="shared" si="25"/>
        <v>mobileBridgeSpan</v>
      </c>
      <c r="B997" s="11" t="s">
        <v>10792</v>
      </c>
      <c r="C997" s="173"/>
      <c r="D997" s="22" t="s">
        <v>10793</v>
      </c>
      <c r="E997" s="15" t="s">
        <v>10794</v>
      </c>
      <c r="F997" s="174"/>
      <c r="G997" s="174"/>
      <c r="H997" s="17" t="s">
        <v>5932</v>
      </c>
      <c r="I997" s="269"/>
      <c r="J997" s="369" t="str">
        <f>HYPERLINK("[#]Datatypes!B240:L240","Boolean")</f>
        <v>Boolean</v>
      </c>
      <c r="K997" s="276"/>
      <c r="L997" s="272"/>
      <c r="M997" s="272"/>
      <c r="N997" s="273"/>
      <c r="O997" s="269"/>
      <c r="P997" s="37">
        <v>100685</v>
      </c>
      <c r="Q997" s="36" t="str">
        <f>CONCATENATE(Cover!$D$6,"fdd/view?i=",P997)</f>
        <v>https://www.dgiwg.org/FAD/fdd/view?i=100685</v>
      </c>
      <c r="R997" s="13" t="s">
        <v>10791</v>
      </c>
      <c r="S997" s="172"/>
      <c r="T997" s="172"/>
      <c r="AV997" s="82" t="s">
        <v>1790</v>
      </c>
      <c r="CT997" s="166" t="s">
        <v>1790</v>
      </c>
    </row>
    <row r="998" spans="1:103" ht="38.25" x14ac:dyDescent="0.2">
      <c r="A998" s="176" t="str">
        <f t="shared" si="25"/>
        <v>modificationDateTime</v>
      </c>
      <c r="B998" s="11" t="s">
        <v>10796</v>
      </c>
      <c r="C998" s="173"/>
      <c r="D998" s="22" t="s">
        <v>10797</v>
      </c>
      <c r="E998" s="15" t="s">
        <v>10798</v>
      </c>
      <c r="F998" s="15" t="s">
        <v>7752</v>
      </c>
      <c r="G998" s="174"/>
      <c r="H998" s="17" t="s">
        <v>5932</v>
      </c>
      <c r="I998" s="269"/>
      <c r="J998" s="369" t="str">
        <f>HYPERLINK("[#]Datatypes!B980:L980","MdtStrucText")</f>
        <v>MdtStrucText</v>
      </c>
      <c r="K998" s="276"/>
      <c r="L998" s="272"/>
      <c r="M998" s="272"/>
      <c r="N998" s="273"/>
      <c r="O998" s="269"/>
      <c r="P998" s="37">
        <v>114228</v>
      </c>
      <c r="Q998" s="36" t="str">
        <f>CONCATENATE(Cover!$D$6,"fdd/view?i=",P998)</f>
        <v>https://www.dgiwg.org/FAD/fdd/view?i=114228</v>
      </c>
      <c r="R998" s="13" t="s">
        <v>10795</v>
      </c>
      <c r="S998" s="172"/>
      <c r="T998" s="172"/>
      <c r="CY998" s="165" t="s">
        <v>1790</v>
      </c>
    </row>
    <row r="999" spans="1:103" ht="114.75" x14ac:dyDescent="0.2">
      <c r="A999" s="176" t="str">
        <f t="shared" si="25"/>
        <v>modifiedMercalliIntensity</v>
      </c>
      <c r="B999" s="11" t="s">
        <v>10801</v>
      </c>
      <c r="C999" s="173"/>
      <c r="D999" s="22" t="s">
        <v>10802</v>
      </c>
      <c r="E999" s="15" t="s">
        <v>10803</v>
      </c>
      <c r="F999" s="15" t="s">
        <v>10804</v>
      </c>
      <c r="G999" s="174"/>
      <c r="H999" s="17" t="s">
        <v>5932</v>
      </c>
      <c r="I999" s="269"/>
      <c r="J999" s="369" t="str">
        <f>HYPERLINK("[#]Datatypes!B982:L982","IemCode")</f>
        <v>IemCode</v>
      </c>
      <c r="K999" s="276"/>
      <c r="L999" s="272"/>
      <c r="M999" s="272"/>
      <c r="N999" s="248" t="str">
        <f>HYPERLINK("[#]DatatypeListedValues!A6186:H6186","&lt;values&gt;")</f>
        <v>&lt;values&gt;</v>
      </c>
      <c r="O999" s="277" t="b">
        <v>0</v>
      </c>
      <c r="P999" s="37">
        <v>111594</v>
      </c>
      <c r="Q999" s="36" t="str">
        <f>CONCATENATE(Cover!$D$6,"fdd/view?i=",P999)</f>
        <v>https://www.dgiwg.org/FAD/fdd/view?i=111594</v>
      </c>
      <c r="R999" s="13" t="s">
        <v>10800</v>
      </c>
      <c r="S999" s="172"/>
      <c r="T999" s="172"/>
      <c r="BQ999" s="82" t="s">
        <v>1790</v>
      </c>
      <c r="CQ999" s="165" t="s">
        <v>1790</v>
      </c>
      <c r="CS999" s="165" t="s">
        <v>1790</v>
      </c>
    </row>
    <row r="1000" spans="1:103" ht="25.5" x14ac:dyDescent="0.2">
      <c r="A1000" s="176" t="str">
        <f t="shared" si="25"/>
        <v>moduIdentifier</v>
      </c>
      <c r="B1000" s="11" t="s">
        <v>10807</v>
      </c>
      <c r="C1000" s="173"/>
      <c r="D1000" s="22" t="s">
        <v>10808</v>
      </c>
      <c r="E1000" s="15" t="s">
        <v>10809</v>
      </c>
      <c r="F1000" s="15" t="s">
        <v>10810</v>
      </c>
      <c r="G1000" s="174"/>
      <c r="H1000" s="17" t="s">
        <v>5932</v>
      </c>
      <c r="I1000" s="269"/>
      <c r="J1000" s="369" t="str">
        <f>HYPERLINK("[#]Datatypes!B722:L722","Index")</f>
        <v>Index</v>
      </c>
      <c r="K1000" s="276"/>
      <c r="L1000" s="272"/>
      <c r="M1000" s="272"/>
      <c r="N1000" s="273"/>
      <c r="O1000" s="269"/>
      <c r="P1000" s="37">
        <v>111633</v>
      </c>
      <c r="Q1000" s="36" t="str">
        <f>CONCATENATE(Cover!$D$6,"fdd/view?i=",P1000)</f>
        <v>https://www.dgiwg.org/FAD/fdd/view?i=111633</v>
      </c>
      <c r="R1000" s="13" t="s">
        <v>10806</v>
      </c>
      <c r="S1000" s="172"/>
      <c r="T1000" s="172"/>
      <c r="AA1000" s="81" t="s">
        <v>1790</v>
      </c>
      <c r="BP1000" s="82" t="s">
        <v>1790</v>
      </c>
      <c r="CV1000" s="83" t="s">
        <v>1790</v>
      </c>
    </row>
    <row r="1001" spans="1:103" x14ac:dyDescent="0.2">
      <c r="A1001" s="176" t="str">
        <f t="shared" si="25"/>
        <v>monitored</v>
      </c>
      <c r="B1001" s="11" t="s">
        <v>10812</v>
      </c>
      <c r="C1001" s="173"/>
      <c r="D1001" s="22" t="s">
        <v>10813</v>
      </c>
      <c r="E1001" s="15" t="s">
        <v>10814</v>
      </c>
      <c r="F1001" s="15" t="s">
        <v>10815</v>
      </c>
      <c r="G1001" s="174"/>
      <c r="H1001" s="17" t="s">
        <v>5932</v>
      </c>
      <c r="I1001" s="269"/>
      <c r="J1001" s="369" t="str">
        <f>HYPERLINK("[#]Datatypes!B240:L240","Boolean")</f>
        <v>Boolean</v>
      </c>
      <c r="K1001" s="276"/>
      <c r="L1001" s="272"/>
      <c r="M1001" s="272"/>
      <c r="N1001" s="273"/>
      <c r="O1001" s="269"/>
      <c r="P1001" s="37">
        <v>101060</v>
      </c>
      <c r="Q1001" s="36" t="str">
        <f>CONCATENATE(Cover!$D$6,"fdd/view?i=",P1001)</f>
        <v>https://www.dgiwg.org/FAD/fdd/view?i=101060</v>
      </c>
      <c r="R1001" s="13" t="s">
        <v>10811</v>
      </c>
      <c r="S1001" s="172"/>
      <c r="T1001" s="172"/>
      <c r="CT1001" s="166" t="s">
        <v>1790</v>
      </c>
    </row>
    <row r="1002" spans="1:103" x14ac:dyDescent="0.2">
      <c r="A1002" s="176" t="str">
        <f t="shared" si="25"/>
        <v>monitoringMethod</v>
      </c>
      <c r="B1002" s="11" t="s">
        <v>10817</v>
      </c>
      <c r="C1002" s="173"/>
      <c r="D1002" s="22" t="s">
        <v>10818</v>
      </c>
      <c r="E1002" s="15" t="s">
        <v>10819</v>
      </c>
      <c r="F1002" s="174"/>
      <c r="G1002" s="174"/>
      <c r="H1002" s="17" t="s">
        <v>5932</v>
      </c>
      <c r="I1002" s="269"/>
      <c r="J1002" s="369" t="str">
        <f>HYPERLINK("[#]Datatypes!B984:L984","MmeCode")</f>
        <v>MmeCode</v>
      </c>
      <c r="K1002" s="276"/>
      <c r="L1002" s="272"/>
      <c r="M1002" s="272"/>
      <c r="N1002" s="248" t="str">
        <f>HYPERLINK("[#]DatatypeListedValues!A6198:H6198","&lt;values&gt;")</f>
        <v>&lt;values&gt;</v>
      </c>
      <c r="O1002" s="277" t="b">
        <v>0</v>
      </c>
      <c r="P1002" s="37">
        <v>119801</v>
      </c>
      <c r="Q1002" s="36" t="str">
        <f>CONCATENATE(Cover!$D$6,"fdd/view?i=",P1002)</f>
        <v>https://www.dgiwg.org/FAD/fdd/view?i=119801</v>
      </c>
      <c r="R1002" s="13" t="s">
        <v>10816</v>
      </c>
      <c r="S1002" s="172"/>
      <c r="T1002" s="172"/>
      <c r="CT1002" s="166" t="s">
        <v>1790</v>
      </c>
    </row>
    <row r="1003" spans="1:103" x14ac:dyDescent="0.2">
      <c r="A1003" s="176" t="str">
        <f t="shared" si="25"/>
        <v>monumentPurpose</v>
      </c>
      <c r="B1003" s="11" t="s">
        <v>10822</v>
      </c>
      <c r="C1003" s="173"/>
      <c r="D1003" s="22" t="s">
        <v>10823</v>
      </c>
      <c r="E1003" s="15" t="s">
        <v>10824</v>
      </c>
      <c r="F1003" s="174"/>
      <c r="G1003" s="174"/>
      <c r="H1003" s="17" t="s">
        <v>5932</v>
      </c>
      <c r="I1003" s="269"/>
      <c r="J1003" s="369" t="str">
        <f>HYPERLINK("[#]Datatypes!B986:L986","MtpCode")</f>
        <v>MtpCode</v>
      </c>
      <c r="K1003" s="276"/>
      <c r="L1003" s="272"/>
      <c r="M1003" s="272"/>
      <c r="N1003" s="248" t="str">
        <f>HYPERLINK("[#]DatatypeListedValues!A6200:H6200","&lt;values&gt;")</f>
        <v>&lt;values&gt;</v>
      </c>
      <c r="O1003" s="277" t="b">
        <v>0</v>
      </c>
      <c r="P1003" s="37">
        <v>111639</v>
      </c>
      <c r="Q1003" s="36" t="str">
        <f>CONCATENATE(Cover!$D$6,"fdd/view?i=",P1003)</f>
        <v>https://www.dgiwg.org/FAD/fdd/view?i=111639</v>
      </c>
      <c r="R1003" s="13" t="s">
        <v>10821</v>
      </c>
      <c r="S1003" s="172"/>
      <c r="T1003" s="172"/>
      <c r="AJ1003" s="83" t="s">
        <v>1790</v>
      </c>
      <c r="AL1003" s="83" t="s">
        <v>1790</v>
      </c>
      <c r="CT1003" s="166" t="s">
        <v>1790</v>
      </c>
    </row>
    <row r="1004" spans="1:103" ht="25.5" x14ac:dyDescent="0.2">
      <c r="A1004" s="176" t="str">
        <f t="shared" si="25"/>
        <v>mooringWarpingFacType</v>
      </c>
      <c r="B1004" s="11" t="s">
        <v>10827</v>
      </c>
      <c r="C1004" s="173"/>
      <c r="D1004" s="22" t="s">
        <v>10828</v>
      </c>
      <c r="E1004" s="15" t="s">
        <v>10829</v>
      </c>
      <c r="F1004" s="174"/>
      <c r="G1004" s="174"/>
      <c r="H1004" s="17" t="s">
        <v>5932</v>
      </c>
      <c r="I1004" s="269"/>
      <c r="J1004" s="369" t="str">
        <f>HYPERLINK("[#]Datatypes!B988:L988","MwfCode")</f>
        <v>MwfCode</v>
      </c>
      <c r="K1004" s="276"/>
      <c r="L1004" s="272"/>
      <c r="M1004" s="272"/>
      <c r="N1004" s="248" t="str">
        <f>HYPERLINK("[#]DatatypeListedValues!A6203:H6203","&lt;values&gt;")</f>
        <v>&lt;values&gt;</v>
      </c>
      <c r="O1004" s="277" t="b">
        <v>0</v>
      </c>
      <c r="P1004" s="37">
        <v>101086</v>
      </c>
      <c r="Q1004" s="36" t="str">
        <f>CONCATENATE(Cover!$D$6,"fdd/view?i=",P1004)</f>
        <v>https://www.dgiwg.org/FAD/fdd/view?i=101086</v>
      </c>
      <c r="R1004" s="13" t="s">
        <v>10826</v>
      </c>
      <c r="S1004" s="172"/>
      <c r="T1004" s="172"/>
      <c r="AS1004" s="82" t="s">
        <v>1790</v>
      </c>
      <c r="BA1004" s="83" t="s">
        <v>1790</v>
      </c>
      <c r="BD1004" s="83" t="s">
        <v>1790</v>
      </c>
      <c r="BF1004" s="83" t="s">
        <v>1790</v>
      </c>
      <c r="CT1004" s="166" t="s">
        <v>1790</v>
      </c>
    </row>
    <row r="1005" spans="1:103" ht="25.5" x14ac:dyDescent="0.2">
      <c r="A1005" s="176" t="str">
        <f t="shared" si="25"/>
        <v>mooringType</v>
      </c>
      <c r="B1005" s="11" t="s">
        <v>10832</v>
      </c>
      <c r="C1005" s="173"/>
      <c r="D1005" s="22" t="s">
        <v>10833</v>
      </c>
      <c r="E1005" s="15" t="s">
        <v>10834</v>
      </c>
      <c r="F1005" s="174"/>
      <c r="G1005" s="174"/>
      <c r="H1005" s="17" t="s">
        <v>5932</v>
      </c>
      <c r="I1005" s="269"/>
      <c r="J1005" s="369" t="str">
        <f>HYPERLINK("[#]Datatypes!B990:L990","MctCode")</f>
        <v>MctCode</v>
      </c>
      <c r="K1005" s="276"/>
      <c r="L1005" s="272"/>
      <c r="M1005" s="272"/>
      <c r="N1005" s="248" t="str">
        <f>HYPERLINK("[#]DatatypeListedValues!A6211:H6211","&lt;values&gt;")</f>
        <v>&lt;values&gt;</v>
      </c>
      <c r="O1005" s="277" t="b">
        <v>0</v>
      </c>
      <c r="P1005" s="37">
        <v>101034</v>
      </c>
      <c r="Q1005" s="36" t="str">
        <f>CONCATENATE(Cover!$D$6,"fdd/view?i=",P1005)</f>
        <v>https://www.dgiwg.org/FAD/fdd/view?i=101034</v>
      </c>
      <c r="R1005" s="13" t="s">
        <v>10831</v>
      </c>
      <c r="S1005" s="172"/>
      <c r="T1005" s="172"/>
      <c r="AS1005" s="82" t="s">
        <v>1790</v>
      </c>
      <c r="BA1005" s="83" t="s">
        <v>1790</v>
      </c>
      <c r="BD1005" s="83" t="s">
        <v>1790</v>
      </c>
      <c r="BF1005" s="83" t="s">
        <v>1790</v>
      </c>
      <c r="CT1005" s="166" t="s">
        <v>1790</v>
      </c>
    </row>
    <row r="1006" spans="1:103" ht="25.5" x14ac:dyDescent="0.2">
      <c r="A1006" s="176" t="str">
        <f t="shared" si="25"/>
        <v>moraineType</v>
      </c>
      <c r="B1006" s="11" t="s">
        <v>10837</v>
      </c>
      <c r="C1006" s="173"/>
      <c r="D1006" s="22" t="s">
        <v>10838</v>
      </c>
      <c r="E1006" s="15" t="s">
        <v>10839</v>
      </c>
      <c r="F1006" s="174"/>
      <c r="G1006" s="174"/>
      <c r="H1006" s="17" t="s">
        <v>5932</v>
      </c>
      <c r="I1006" s="269"/>
      <c r="J1006" s="369" t="str">
        <f>HYPERLINK("[#]Datatypes!B992:L992","MorCode")</f>
        <v>MorCode</v>
      </c>
      <c r="K1006" s="276"/>
      <c r="L1006" s="272"/>
      <c r="M1006" s="272"/>
      <c r="N1006" s="248" t="str">
        <f>HYPERLINK("[#]DatatypeListedValues!A6216:H6216","&lt;values&gt;")</f>
        <v>&lt;values&gt;</v>
      </c>
      <c r="O1006" s="277" t="b">
        <v>0</v>
      </c>
      <c r="P1006" s="37">
        <v>111636</v>
      </c>
      <c r="Q1006" s="36" t="str">
        <f>CONCATENATE(Cover!$D$6,"fdd/view?i=",P1006)</f>
        <v>https://www.dgiwg.org/FAD/fdd/view?i=111636</v>
      </c>
      <c r="R1006" s="13" t="s">
        <v>10836</v>
      </c>
      <c r="S1006" s="172"/>
      <c r="T1006" s="172"/>
      <c r="BM1006" s="82" t="s">
        <v>1790</v>
      </c>
      <c r="BN1006" s="82" t="s">
        <v>1790</v>
      </c>
      <c r="CS1006" s="165" t="s">
        <v>1790</v>
      </c>
    </row>
    <row r="1007" spans="1:103" ht="51" x14ac:dyDescent="0.2">
      <c r="A1007" s="176" t="str">
        <f t="shared" si="25"/>
        <v>mortalityRate</v>
      </c>
      <c r="B1007" s="11" t="s">
        <v>10842</v>
      </c>
      <c r="C1007" s="173"/>
      <c r="D1007" s="22" t="s">
        <v>10843</v>
      </c>
      <c r="E1007" s="15" t="s">
        <v>10844</v>
      </c>
      <c r="F1007" s="174"/>
      <c r="G1007" s="174"/>
      <c r="H1007" s="17" t="s">
        <v>5932</v>
      </c>
      <c r="I1007" s="269"/>
      <c r="J1007" s="369" t="str">
        <f>HYPERLINK("[#]Datatypes!B1231:L1231","Real")</f>
        <v>Real</v>
      </c>
      <c r="K1007" s="271" t="str">
        <f>HYPERLINK("[#]PhysicalQuantities!A43:N43","Rate")</f>
        <v>Rate</v>
      </c>
      <c r="L1007" s="270" t="str">
        <f>HYPERLINK("[#]UnitsOfMeasure!D234:G234","Parts per Thousand per Annum (tropical year)")</f>
        <v>Parts per Thousand per Annum (tropical year)</v>
      </c>
      <c r="M1007" s="272"/>
      <c r="N1007" s="273"/>
      <c r="O1007" s="269"/>
      <c r="P1007" s="37">
        <v>111511</v>
      </c>
      <c r="Q1007" s="36" t="str">
        <f>CONCATENATE(Cover!$D$6,"fdd/view?i=",P1007)</f>
        <v>https://www.dgiwg.org/FAD/fdd/view?i=111511</v>
      </c>
      <c r="R1007" s="13" t="s">
        <v>10841</v>
      </c>
      <c r="S1007" s="172"/>
      <c r="T1007" s="172"/>
      <c r="AO1007" s="89" t="s">
        <v>1790</v>
      </c>
      <c r="CQ1007" s="165" t="s">
        <v>1790</v>
      </c>
    </row>
    <row r="1008" spans="1:103" ht="25.5" x14ac:dyDescent="0.2">
      <c r="A1008" s="176" t="str">
        <f t="shared" si="25"/>
        <v>motorizedCrossing</v>
      </c>
      <c r="B1008" s="11" t="s">
        <v>10846</v>
      </c>
      <c r="C1008" s="173"/>
      <c r="D1008" s="22" t="s">
        <v>10847</v>
      </c>
      <c r="E1008" s="15" t="s">
        <v>10848</v>
      </c>
      <c r="F1008" s="174"/>
      <c r="G1008" s="174"/>
      <c r="H1008" s="17" t="s">
        <v>5932</v>
      </c>
      <c r="I1008" s="269"/>
      <c r="J1008" s="369" t="str">
        <f>HYPERLINK("[#]Datatypes!B240:L240","Boolean")</f>
        <v>Boolean</v>
      </c>
      <c r="K1008" s="276"/>
      <c r="L1008" s="272"/>
      <c r="M1008" s="272"/>
      <c r="N1008" s="273"/>
      <c r="O1008" s="269"/>
      <c r="P1008" s="37">
        <v>119194</v>
      </c>
      <c r="Q1008" s="36" t="str">
        <f>CONCATENATE(Cover!$D$6,"fdd/view?i=",P1008)</f>
        <v>https://www.dgiwg.org/FAD/fdd/view?i=119194</v>
      </c>
      <c r="R1008" s="13" t="s">
        <v>10845</v>
      </c>
      <c r="S1008" s="172"/>
      <c r="T1008" s="172"/>
      <c r="AS1008" s="82" t="s">
        <v>1790</v>
      </c>
      <c r="AV1008" s="82" t="s">
        <v>1790</v>
      </c>
      <c r="BJ1008" s="83" t="s">
        <v>1790</v>
      </c>
      <c r="CT1008" s="166" t="s">
        <v>1790</v>
      </c>
    </row>
    <row r="1009" spans="1:105" ht="38.25" x14ac:dyDescent="0.2">
      <c r="A1009" s="176" t="str">
        <f t="shared" si="25"/>
        <v>movementAreaEntryClearance</v>
      </c>
      <c r="B1009" s="11" t="s">
        <v>10850</v>
      </c>
      <c r="C1009" s="173"/>
      <c r="D1009" s="22" t="s">
        <v>10851</v>
      </c>
      <c r="E1009" s="15" t="s">
        <v>10852</v>
      </c>
      <c r="F1009" s="174"/>
      <c r="G1009" s="174"/>
      <c r="H1009" s="17" t="s">
        <v>5932</v>
      </c>
      <c r="I1009" s="269"/>
      <c r="J1009" s="369" t="str">
        <f>HYPERLINK("[#]Datatypes!B1231:L1231","Real")</f>
        <v>Real</v>
      </c>
      <c r="K1009" s="271" t="str">
        <f>HYPERLINK("[#]PhysicalQuantities!A20:N20","Length")</f>
        <v>Length</v>
      </c>
      <c r="L1009" s="270" t="str">
        <f>HYPERLINK("[#]UnitsOfMeasure!D80:G80","Metre")</f>
        <v>Metre</v>
      </c>
      <c r="M1009" s="272"/>
      <c r="N1009" s="273"/>
      <c r="O1009" s="269"/>
      <c r="P1009" s="37">
        <v>117564</v>
      </c>
      <c r="Q1009" s="36" t="str">
        <f>CONCATENATE(Cover!$D$6,"fdd/view?i=",P1009)</f>
        <v>https://www.dgiwg.org/FAD/fdd/view?i=117564</v>
      </c>
      <c r="R1009" s="13" t="s">
        <v>10849</v>
      </c>
      <c r="S1009" s="172"/>
      <c r="T1009" s="172"/>
      <c r="CE1009" s="87" t="s">
        <v>1790</v>
      </c>
    </row>
    <row r="1010" spans="1:105" ht="25.5" x14ac:dyDescent="0.2">
      <c r="A1010" s="176" t="str">
        <f t="shared" si="25"/>
        <v>multipleLightRanges</v>
      </c>
      <c r="B1010" s="11" t="s">
        <v>10854</v>
      </c>
      <c r="C1010" s="173"/>
      <c r="D1010" s="22" t="s">
        <v>10855</v>
      </c>
      <c r="E1010" s="15" t="s">
        <v>10856</v>
      </c>
      <c r="F1010" s="174"/>
      <c r="G1010" s="174"/>
      <c r="H1010" s="17" t="s">
        <v>5932</v>
      </c>
      <c r="I1010" s="269"/>
      <c r="J1010" s="369" t="str">
        <f>HYPERLINK("[#]Datatypes!B994:L994","MlrStrucText")</f>
        <v>MlrStrucText</v>
      </c>
      <c r="K1010" s="276"/>
      <c r="L1010" s="272"/>
      <c r="M1010" s="272"/>
      <c r="N1010" s="273"/>
      <c r="O1010" s="269"/>
      <c r="P1010" s="37">
        <v>101052</v>
      </c>
      <c r="Q1010" s="36" t="str">
        <f>CONCATENATE(Cover!$D$6,"fdd/view?i=",P1010)</f>
        <v>https://www.dgiwg.org/FAD/fdd/view?i=101052</v>
      </c>
      <c r="R1010" s="13" t="s">
        <v>10853</v>
      </c>
      <c r="S1010" s="172"/>
      <c r="T1010" s="172"/>
      <c r="AS1010" s="82" t="s">
        <v>1790</v>
      </c>
      <c r="BF1010" s="83" t="s">
        <v>1790</v>
      </c>
      <c r="CQ1010" s="165" t="s">
        <v>1790</v>
      </c>
    </row>
    <row r="1011" spans="1:105" ht="76.5" x14ac:dyDescent="0.2">
      <c r="A1011" s="176" t="str">
        <f t="shared" si="25"/>
        <v>multipleOfficialNames</v>
      </c>
      <c r="B1011" s="11" t="s">
        <v>10859</v>
      </c>
      <c r="C1011" s="173"/>
      <c r="D1011" s="22" t="s">
        <v>10860</v>
      </c>
      <c r="E1011" s="15" t="s">
        <v>10861</v>
      </c>
      <c r="F1011" s="15" t="s">
        <v>10862</v>
      </c>
      <c r="G1011" s="174"/>
      <c r="H1011" s="17" t="s">
        <v>5932</v>
      </c>
      <c r="I1011" s="269"/>
      <c r="J1011" s="369" t="str">
        <f>HYPERLINK("[#]Datatypes!B240:L240","Boolean")</f>
        <v>Boolean</v>
      </c>
      <c r="K1011" s="276"/>
      <c r="L1011" s="272"/>
      <c r="M1011" s="272"/>
      <c r="N1011" s="273"/>
      <c r="O1011" s="269"/>
      <c r="P1011" s="37">
        <v>111635</v>
      </c>
      <c r="Q1011" s="36" t="str">
        <f>CONCATENATE(Cover!$D$6,"fdd/view?i=",P1011)</f>
        <v>https://www.dgiwg.org/FAD/fdd/view?i=111635</v>
      </c>
      <c r="R1011" s="13" t="s">
        <v>10858</v>
      </c>
      <c r="S1011" s="172"/>
      <c r="T1011" s="172"/>
      <c r="CU1011" s="87" t="s">
        <v>1790</v>
      </c>
    </row>
    <row r="1012" spans="1:105" ht="102" x14ac:dyDescent="0.2">
      <c r="A1012" s="176" t="str">
        <f t="shared" si="25"/>
        <v>multiUnitBuilding</v>
      </c>
      <c r="B1012" s="11" t="s">
        <v>10864</v>
      </c>
      <c r="C1012" s="173"/>
      <c r="D1012" s="22" t="s">
        <v>10865</v>
      </c>
      <c r="E1012" s="15" t="s">
        <v>10866</v>
      </c>
      <c r="F1012" s="15" t="s">
        <v>10867</v>
      </c>
      <c r="G1012" s="174"/>
      <c r="H1012" s="17" t="s">
        <v>5932</v>
      </c>
      <c r="I1012" s="269"/>
      <c r="J1012" s="369" t="str">
        <f>HYPERLINK("[#]Datatypes!B240:L240","Boolean")</f>
        <v>Boolean</v>
      </c>
      <c r="K1012" s="276"/>
      <c r="L1012" s="272"/>
      <c r="M1012" s="272"/>
      <c r="N1012" s="273"/>
      <c r="O1012" s="269"/>
      <c r="P1012" s="37">
        <v>119157</v>
      </c>
      <c r="Q1012" s="36" t="str">
        <f>CONCATENATE(Cover!$D$6,"fdd/view?i=",P1012)</f>
        <v>https://www.dgiwg.org/FAD/fdd/view?i=119157</v>
      </c>
      <c r="R1012" s="13" t="s">
        <v>10863</v>
      </c>
      <c r="S1012" s="172"/>
      <c r="T1012" s="172"/>
      <c r="AI1012" s="87" t="s">
        <v>1790</v>
      </c>
      <c r="CS1012" s="165" t="s">
        <v>1790</v>
      </c>
      <c r="CT1012" s="166" t="s">
        <v>1790</v>
      </c>
    </row>
    <row r="1013" spans="1:105" x14ac:dyDescent="0.2">
      <c r="A1013" s="176" t="str">
        <f t="shared" si="25"/>
        <v>name</v>
      </c>
      <c r="B1013" s="11" t="s">
        <v>10869</v>
      </c>
      <c r="C1013" s="173"/>
      <c r="D1013" s="22" t="s">
        <v>32</v>
      </c>
      <c r="E1013" s="15" t="s">
        <v>10870</v>
      </c>
      <c r="F1013" s="174"/>
      <c r="G1013" s="174"/>
      <c r="H1013" s="17" t="s">
        <v>5932</v>
      </c>
      <c r="I1013" s="269"/>
      <c r="J1013" s="369" t="str">
        <f>HYPERLINK("[#]Datatypes!B1542:L1542","TextLex80")</f>
        <v>TextLex80</v>
      </c>
      <c r="K1013" s="276"/>
      <c r="L1013" s="272"/>
      <c r="M1013" s="272"/>
      <c r="N1013" s="273"/>
      <c r="O1013" s="269"/>
      <c r="P1013" s="37">
        <v>101092</v>
      </c>
      <c r="Q1013" s="36" t="str">
        <f>CONCATENATE(Cover!$D$6,"fdd/view?i=",P1013)</f>
        <v>https://www.dgiwg.org/FAD/fdd/view?i=101092</v>
      </c>
      <c r="R1013" s="13" t="s">
        <v>10868</v>
      </c>
      <c r="S1013" s="172"/>
      <c r="T1013" s="172"/>
      <c r="CU1013" s="87" t="s">
        <v>1790</v>
      </c>
    </row>
    <row r="1014" spans="1:105" ht="25.5" x14ac:dyDescent="0.2">
      <c r="A1014" s="176" t="str">
        <f t="shared" si="25"/>
        <v>nameEffectiveDateTime</v>
      </c>
      <c r="B1014" s="11" t="s">
        <v>10872</v>
      </c>
      <c r="C1014" s="173"/>
      <c r="D1014" s="22" t="s">
        <v>10873</v>
      </c>
      <c r="E1014" s="15" t="s">
        <v>10874</v>
      </c>
      <c r="F1014" s="174"/>
      <c r="G1014" s="174"/>
      <c r="H1014" s="17" t="s">
        <v>5932</v>
      </c>
      <c r="I1014" s="269"/>
      <c r="J1014" s="369" t="str">
        <f>HYPERLINK("[#]Datatypes!B996:L996","NedStrucText")</f>
        <v>NedStrucText</v>
      </c>
      <c r="K1014" s="276"/>
      <c r="L1014" s="272"/>
      <c r="M1014" s="272"/>
      <c r="N1014" s="273"/>
      <c r="O1014" s="269"/>
      <c r="P1014" s="37">
        <v>111644</v>
      </c>
      <c r="Q1014" s="36" t="str">
        <f>CONCATENATE(Cover!$D$6,"fdd/view?i=",P1014)</f>
        <v>https://www.dgiwg.org/FAD/fdd/view?i=111644</v>
      </c>
      <c r="R1014" s="13" t="s">
        <v>10871</v>
      </c>
      <c r="S1014" s="172"/>
      <c r="T1014" s="172"/>
      <c r="CU1014" s="87" t="s">
        <v>1790</v>
      </c>
      <c r="CX1014" s="165" t="s">
        <v>1790</v>
      </c>
    </row>
    <row r="1015" spans="1:105" ht="51" x14ac:dyDescent="0.2">
      <c r="A1015" s="176" t="str">
        <f t="shared" si="25"/>
        <v>nameIdentifier</v>
      </c>
      <c r="B1015" s="11" t="s">
        <v>10877</v>
      </c>
      <c r="C1015" s="173"/>
      <c r="D1015" s="22" t="s">
        <v>10878</v>
      </c>
      <c r="E1015" s="15" t="s">
        <v>10879</v>
      </c>
      <c r="F1015" s="15" t="s">
        <v>10880</v>
      </c>
      <c r="G1015" s="174"/>
      <c r="H1015" s="17" t="s">
        <v>5932</v>
      </c>
      <c r="I1015" s="269"/>
      <c r="J1015" s="369" t="str">
        <f>HYPERLINK("[#]Datatypes!B782:L782","KeyNonLex18")</f>
        <v>KeyNonLex18</v>
      </c>
      <c r="K1015" s="276"/>
      <c r="L1015" s="272"/>
      <c r="M1015" s="272"/>
      <c r="N1015" s="273"/>
      <c r="O1015" s="269"/>
      <c r="P1015" s="37">
        <v>101095</v>
      </c>
      <c r="Q1015" s="36" t="str">
        <f>CONCATENATE(Cover!$D$6,"fdd/view?i=",P1015)</f>
        <v>https://www.dgiwg.org/FAD/fdd/view?i=101095</v>
      </c>
      <c r="R1015" s="13" t="s">
        <v>10876</v>
      </c>
      <c r="S1015" s="172"/>
      <c r="T1015" s="172"/>
      <c r="CU1015" s="87" t="s">
        <v>1790</v>
      </c>
      <c r="DA1015" s="165" t="s">
        <v>1790</v>
      </c>
    </row>
    <row r="1016" spans="1:105" ht="51" x14ac:dyDescent="0.2">
      <c r="A1016" s="176" t="str">
        <f t="shared" si="25"/>
        <v>nameModifier</v>
      </c>
      <c r="B1016" s="11" t="s">
        <v>10883</v>
      </c>
      <c r="C1016" s="173"/>
      <c r="D1016" s="22" t="s">
        <v>10884</v>
      </c>
      <c r="E1016" s="15" t="s">
        <v>10885</v>
      </c>
      <c r="F1016" s="15" t="s">
        <v>10886</v>
      </c>
      <c r="G1016" s="174"/>
      <c r="H1016" s="17" t="s">
        <v>5932</v>
      </c>
      <c r="I1016" s="269"/>
      <c r="J1016" s="369" t="str">
        <f>HYPERLINK("[#]Datatypes!B1550:L1550","TextNonLex200")</f>
        <v>TextNonLex200</v>
      </c>
      <c r="K1016" s="276"/>
      <c r="L1016" s="272"/>
      <c r="M1016" s="272"/>
      <c r="N1016" s="273"/>
      <c r="O1016" s="269"/>
      <c r="P1016" s="37">
        <v>114236</v>
      </c>
      <c r="Q1016" s="36" t="str">
        <f>CONCATENATE(Cover!$D$6,"fdd/view?i=",P1016)</f>
        <v>https://www.dgiwg.org/FAD/fdd/view?i=114236</v>
      </c>
      <c r="R1016" s="13" t="s">
        <v>10882</v>
      </c>
      <c r="S1016" s="172"/>
      <c r="T1016" s="172"/>
      <c r="CU1016" s="87" t="s">
        <v>1790</v>
      </c>
      <c r="DA1016" s="165" t="s">
        <v>1790</v>
      </c>
    </row>
    <row r="1017" spans="1:105" x14ac:dyDescent="0.2">
      <c r="A1017" s="176" t="str">
        <f t="shared" si="25"/>
        <v>nameMission</v>
      </c>
      <c r="B1017" s="11" t="s">
        <v>10888</v>
      </c>
      <c r="C1017" s="173"/>
      <c r="D1017" s="22" t="s">
        <v>10889</v>
      </c>
      <c r="E1017" s="15" t="s">
        <v>10890</v>
      </c>
      <c r="F1017" s="15" t="s">
        <v>10891</v>
      </c>
      <c r="G1017" s="174"/>
      <c r="H1017" s="17" t="s">
        <v>5932</v>
      </c>
      <c r="I1017" s="269"/>
      <c r="J1017" s="369" t="str">
        <f>HYPERLINK("[#]Datatypes!B1528:L1528","Text")</f>
        <v>Text</v>
      </c>
      <c r="K1017" s="276"/>
      <c r="L1017" s="272"/>
      <c r="M1017" s="272"/>
      <c r="N1017" s="273"/>
      <c r="O1017" s="269"/>
      <c r="P1017" s="37">
        <v>118601</v>
      </c>
      <c r="Q1017" s="36" t="str">
        <f>CONCATENATE(Cover!$D$6,"fdd/view?i=",P1017)</f>
        <v>https://www.dgiwg.org/FAD/fdd/view?i=118601</v>
      </c>
      <c r="R1017" s="13" t="s">
        <v>10887</v>
      </c>
      <c r="S1017" s="172"/>
      <c r="T1017" s="172"/>
      <c r="CL1017" s="85" t="s">
        <v>1790</v>
      </c>
      <c r="CU1017" s="87" t="s">
        <v>1790</v>
      </c>
    </row>
    <row r="1018" spans="1:105" ht="38.25" x14ac:dyDescent="0.2">
      <c r="A1018" s="176" t="str">
        <f t="shared" si="25"/>
        <v>nameSourceCitation</v>
      </c>
      <c r="B1018" s="11" t="s">
        <v>10893</v>
      </c>
      <c r="C1018" s="173"/>
      <c r="D1018" s="22" t="s">
        <v>10894</v>
      </c>
      <c r="E1018" s="15" t="s">
        <v>10895</v>
      </c>
      <c r="F1018" s="174"/>
      <c r="G1018" s="174"/>
      <c r="H1018" s="17" t="s">
        <v>5932</v>
      </c>
      <c r="I1018" s="269"/>
      <c r="J1018" s="369" t="str">
        <f>HYPERLINK("[#]Datatypes!B998:L998","GmcStrucText")</f>
        <v>GmcStrucText</v>
      </c>
      <c r="K1018" s="276"/>
      <c r="L1018" s="272"/>
      <c r="M1018" s="272"/>
      <c r="N1018" s="273"/>
      <c r="O1018" s="269"/>
      <c r="P1018" s="37">
        <v>111574</v>
      </c>
      <c r="Q1018" s="36" t="str">
        <f>CONCATENATE(Cover!$D$6,"fdd/view?i=",P1018)</f>
        <v>https://www.dgiwg.org/FAD/fdd/view?i=111574</v>
      </c>
      <c r="R1018" s="13" t="s">
        <v>10892</v>
      </c>
      <c r="S1018" s="172"/>
      <c r="T1018" s="172"/>
      <c r="CU1018" s="87" t="s">
        <v>1790</v>
      </c>
      <c r="CV1018" s="83" t="s">
        <v>1790</v>
      </c>
      <c r="CZ1018" s="165" t="s">
        <v>1790</v>
      </c>
    </row>
    <row r="1019" spans="1:105" ht="25.5" x14ac:dyDescent="0.2">
      <c r="A1019" s="176" t="str">
        <f t="shared" si="25"/>
        <v>nameTerminationDateTime</v>
      </c>
      <c r="B1019" s="11" t="s">
        <v>10898</v>
      </c>
      <c r="C1019" s="173"/>
      <c r="D1019" s="22" t="s">
        <v>10899</v>
      </c>
      <c r="E1019" s="15" t="s">
        <v>10900</v>
      </c>
      <c r="F1019" s="174"/>
      <c r="G1019" s="174"/>
      <c r="H1019" s="17" t="s">
        <v>5932</v>
      </c>
      <c r="I1019" s="269"/>
      <c r="J1019" s="369" t="str">
        <f>HYPERLINK("[#]Datatypes!B1000:L1000","NtdStrucText")</f>
        <v>NtdStrucText</v>
      </c>
      <c r="K1019" s="276"/>
      <c r="L1019" s="272"/>
      <c r="M1019" s="272"/>
      <c r="N1019" s="273"/>
      <c r="O1019" s="269"/>
      <c r="P1019" s="37">
        <v>111649</v>
      </c>
      <c r="Q1019" s="36" t="str">
        <f>CONCATENATE(Cover!$D$6,"fdd/view?i=",P1019)</f>
        <v>https://www.dgiwg.org/FAD/fdd/view?i=111649</v>
      </c>
      <c r="R1019" s="13" t="s">
        <v>10897</v>
      </c>
      <c r="S1019" s="172"/>
      <c r="T1019" s="172"/>
      <c r="CU1019" s="87" t="s">
        <v>1790</v>
      </c>
      <c r="CX1019" s="165" t="s">
        <v>1790</v>
      </c>
    </row>
    <row r="1020" spans="1:105" ht="51" x14ac:dyDescent="0.2">
      <c r="A1020" s="176" t="str">
        <f t="shared" si="25"/>
        <v>namedFeatureIdentifier</v>
      </c>
      <c r="B1020" s="11" t="s">
        <v>10903</v>
      </c>
      <c r="C1020" s="173"/>
      <c r="D1020" s="22" t="s">
        <v>10904</v>
      </c>
      <c r="E1020" s="15" t="s">
        <v>10905</v>
      </c>
      <c r="F1020" s="15" t="s">
        <v>10906</v>
      </c>
      <c r="G1020" s="174"/>
      <c r="H1020" s="17" t="s">
        <v>5932</v>
      </c>
      <c r="I1020" s="269"/>
      <c r="J1020" s="369" t="str">
        <f>HYPERLINK("[#]Datatypes!B782:L782","KeyNonLex18")</f>
        <v>KeyNonLex18</v>
      </c>
      <c r="K1020" s="276"/>
      <c r="L1020" s="272"/>
      <c r="M1020" s="272"/>
      <c r="N1020" s="273"/>
      <c r="O1020" s="269"/>
      <c r="P1020" s="37">
        <v>101094</v>
      </c>
      <c r="Q1020" s="36" t="str">
        <f>CONCATENATE(Cover!$D$6,"fdd/view?i=",P1020)</f>
        <v>https://www.dgiwg.org/FAD/fdd/view?i=101094</v>
      </c>
      <c r="R1020" s="13" t="s">
        <v>10902</v>
      </c>
      <c r="S1020" s="172"/>
      <c r="T1020" s="172"/>
      <c r="CU1020" s="87" t="s">
        <v>1790</v>
      </c>
      <c r="DA1020" s="165" t="s">
        <v>1790</v>
      </c>
    </row>
    <row r="1021" spans="1:105" ht="38.25" x14ac:dyDescent="0.2">
      <c r="A1021" s="176" t="str">
        <f t="shared" si="25"/>
        <v>namedLocationType</v>
      </c>
      <c r="B1021" s="11" t="s">
        <v>10908</v>
      </c>
      <c r="C1021" s="173"/>
      <c r="D1021" s="22" t="s">
        <v>10909</v>
      </c>
      <c r="E1021" s="15" t="s">
        <v>10910</v>
      </c>
      <c r="F1021" s="174"/>
      <c r="G1021" s="174"/>
      <c r="H1021" s="17" t="s">
        <v>5932</v>
      </c>
      <c r="I1021" s="269"/>
      <c r="J1021" s="369" t="str">
        <f>HYPERLINK("[#]Datatypes!B1002:L1002","NltCode")</f>
        <v>NltCode</v>
      </c>
      <c r="K1021" s="276"/>
      <c r="L1021" s="272"/>
      <c r="M1021" s="272"/>
      <c r="N1021" s="248" t="str">
        <f>HYPERLINK("[#]DatatypeListedValues!A6220:H6220","&lt;values&gt;")</f>
        <v>&lt;values&gt;</v>
      </c>
      <c r="O1021" s="277" t="b">
        <v>0</v>
      </c>
      <c r="P1021" s="37">
        <v>114235</v>
      </c>
      <c r="Q1021" s="36" t="str">
        <f>CONCATENATE(Cover!$D$6,"fdd/view?i=",P1021)</f>
        <v>https://www.dgiwg.org/FAD/fdd/view?i=114235</v>
      </c>
      <c r="R1021" s="13" t="s">
        <v>10907</v>
      </c>
      <c r="S1021" s="172"/>
      <c r="T1021" s="172"/>
      <c r="CS1021" s="165" t="s">
        <v>1790</v>
      </c>
      <c r="CU1021" s="87" t="s">
        <v>1790</v>
      </c>
    </row>
    <row r="1022" spans="1:105" x14ac:dyDescent="0.2">
      <c r="A1022" s="176" t="str">
        <f t="shared" si="25"/>
        <v>nationalConflictType</v>
      </c>
      <c r="B1022" s="11" t="s">
        <v>10913</v>
      </c>
      <c r="C1022" s="173"/>
      <c r="D1022" s="22" t="s">
        <v>10914</v>
      </c>
      <c r="E1022" s="15" t="s">
        <v>10915</v>
      </c>
      <c r="F1022" s="174"/>
      <c r="G1022" s="174"/>
      <c r="H1022" s="17" t="s">
        <v>5932</v>
      </c>
      <c r="I1022" s="269"/>
      <c r="J1022" s="369" t="str">
        <f>HYPERLINK("[#]Datatypes!B1004:L1004","NctCode")</f>
        <v>NctCode</v>
      </c>
      <c r="K1022" s="276"/>
      <c r="L1022" s="272"/>
      <c r="M1022" s="272"/>
      <c r="N1022" s="248" t="str">
        <f>HYPERLINK("[#]DatatypeListedValues!A6225:H6225","&lt;values&gt;")</f>
        <v>&lt;values&gt;</v>
      </c>
      <c r="O1022" s="277" t="b">
        <v>0</v>
      </c>
      <c r="P1022" s="37">
        <v>111642</v>
      </c>
      <c r="Q1022" s="36" t="str">
        <f>CONCATENATE(Cover!$D$6,"fdd/view?i=",P1022)</f>
        <v>https://www.dgiwg.org/FAD/fdd/view?i=111642</v>
      </c>
      <c r="R1022" s="13" t="s">
        <v>10912</v>
      </c>
      <c r="S1022" s="172"/>
      <c r="T1022" s="172"/>
      <c r="AM1022" s="83" t="s">
        <v>1790</v>
      </c>
      <c r="CK1022" s="82" t="s">
        <v>1790</v>
      </c>
      <c r="CL1022" s="85" t="s">
        <v>1790</v>
      </c>
      <c r="CT1022" s="166" t="s">
        <v>1790</v>
      </c>
    </row>
    <row r="1023" spans="1:105" x14ac:dyDescent="0.2">
      <c r="A1023" s="176" t="str">
        <f t="shared" si="25"/>
        <v>nationalDebt</v>
      </c>
      <c r="B1023" s="11" t="s">
        <v>10918</v>
      </c>
      <c r="C1023" s="173"/>
      <c r="D1023" s="22" t="s">
        <v>10919</v>
      </c>
      <c r="E1023" s="15" t="s">
        <v>10920</v>
      </c>
      <c r="F1023" s="174"/>
      <c r="G1023" s="174"/>
      <c r="H1023" s="17" t="s">
        <v>5932</v>
      </c>
      <c r="I1023" s="269"/>
      <c r="J1023" s="369" t="str">
        <f>HYPERLINK("[#]Datatypes!B1231:L1231","Real")</f>
        <v>Real</v>
      </c>
      <c r="K1023" s="271" t="str">
        <f>HYPERLINK("[#]PhysicalQuantities!A32:N32","Monetary Unit")</f>
        <v>Monetary Unit</v>
      </c>
      <c r="L1023" s="270" t="str">
        <f>HYPERLINK("[#]UnitsOfMeasure!D151:G151","U.S. Dollar")</f>
        <v>U.S. Dollar</v>
      </c>
      <c r="M1023" s="272"/>
      <c r="N1023" s="273"/>
      <c r="O1023" s="269"/>
      <c r="P1023" s="37">
        <v>111600</v>
      </c>
      <c r="Q1023" s="36" t="str">
        <f>CONCATENATE(Cover!$D$6,"fdd/view?i=",P1023)</f>
        <v>https://www.dgiwg.org/FAD/fdd/view?i=111600</v>
      </c>
      <c r="R1023" s="13" t="s">
        <v>10917</v>
      </c>
      <c r="S1023" s="172"/>
      <c r="T1023" s="172"/>
      <c r="AK1023" s="83" t="s">
        <v>1790</v>
      </c>
      <c r="CQ1023" s="165" t="s">
        <v>1790</v>
      </c>
    </row>
    <row r="1024" spans="1:105" ht="165.75" x14ac:dyDescent="0.2">
      <c r="A1024" s="176" t="str">
        <f t="shared" si="25"/>
        <v>nationalMonIconCategory</v>
      </c>
      <c r="B1024" s="11" t="s">
        <v>10922</v>
      </c>
      <c r="C1024" s="173"/>
      <c r="D1024" s="22" t="s">
        <v>10923</v>
      </c>
      <c r="E1024" s="15" t="s">
        <v>10924</v>
      </c>
      <c r="F1024" s="15" t="s">
        <v>10925</v>
      </c>
      <c r="G1024" s="174"/>
      <c r="H1024" s="17" t="s">
        <v>5932</v>
      </c>
      <c r="I1024" s="269"/>
      <c r="J1024" s="369" t="str">
        <f>HYPERLINK("[#]Datatypes!B1006:L1006","NmiCode")</f>
        <v>NmiCode</v>
      </c>
      <c r="K1024" s="276"/>
      <c r="L1024" s="272"/>
      <c r="M1024" s="272"/>
      <c r="N1024" s="248" t="str">
        <f>HYPERLINK("[#]DatatypeListedValues!A6228:H6228","&lt;values&gt;")</f>
        <v>&lt;values&gt;</v>
      </c>
      <c r="O1024" s="277" t="b">
        <v>0</v>
      </c>
      <c r="P1024" s="37">
        <v>118626</v>
      </c>
      <c r="Q1024" s="36" t="str">
        <f>CONCATENATE(Cover!$D$6,"fdd/view?i=",P1024)</f>
        <v>https://www.dgiwg.org/FAD/fdd/view?i=118626</v>
      </c>
      <c r="R1024" s="13" t="s">
        <v>10921</v>
      </c>
      <c r="S1024" s="172"/>
      <c r="T1024" s="172"/>
      <c r="AJ1024" s="83" t="s">
        <v>1790</v>
      </c>
      <c r="CT1024" s="166" t="s">
        <v>1790</v>
      </c>
    </row>
    <row r="1025" spans="1:100" ht="38.25" x14ac:dyDescent="0.2">
      <c r="A1025" s="176" t="str">
        <f t="shared" si="25"/>
        <v>nationality</v>
      </c>
      <c r="B1025" s="11" t="s">
        <v>10928</v>
      </c>
      <c r="C1025" s="173"/>
      <c r="D1025" s="22" t="s">
        <v>10929</v>
      </c>
      <c r="E1025" s="15" t="s">
        <v>10930</v>
      </c>
      <c r="F1025" s="15" t="s">
        <v>10931</v>
      </c>
      <c r="G1025" s="174"/>
      <c r="H1025" s="17" t="s">
        <v>5932</v>
      </c>
      <c r="I1025" s="269"/>
      <c r="J1025" s="369" t="str">
        <f>HYPERLINK("[#]Datatypes!B1542:L1542","TextLex80")</f>
        <v>TextLex80</v>
      </c>
      <c r="K1025" s="276"/>
      <c r="L1025" s="272"/>
      <c r="M1025" s="272"/>
      <c r="N1025" s="273"/>
      <c r="O1025" s="269"/>
      <c r="P1025" s="37">
        <v>111093</v>
      </c>
      <c r="Q1025" s="36" t="str">
        <f>CONCATENATE(Cover!$D$6,"fdd/view?i=",P1025)</f>
        <v>https://www.dgiwg.org/FAD/fdd/view?i=111093</v>
      </c>
      <c r="R1025" s="13" t="s">
        <v>10927</v>
      </c>
      <c r="S1025" s="172"/>
      <c r="T1025" s="172"/>
      <c r="CV1025" s="83" t="s">
        <v>1790</v>
      </c>
    </row>
    <row r="1026" spans="1:100" x14ac:dyDescent="0.2">
      <c r="A1026" s="176" t="str">
        <f t="shared" si="25"/>
        <v>nativeSettlementType</v>
      </c>
      <c r="B1026" s="11" t="s">
        <v>10933</v>
      </c>
      <c r="C1026" s="173"/>
      <c r="D1026" s="22" t="s">
        <v>10934</v>
      </c>
      <c r="E1026" s="15" t="s">
        <v>10935</v>
      </c>
      <c r="F1026" s="174"/>
      <c r="G1026" s="174"/>
      <c r="H1026" s="17" t="s">
        <v>5932</v>
      </c>
      <c r="I1026" s="269"/>
      <c r="J1026" s="369" t="str">
        <f>HYPERLINK("[#]Datatypes!B1008:L1008","NasCode")</f>
        <v>NasCode</v>
      </c>
      <c r="K1026" s="276"/>
      <c r="L1026" s="272"/>
      <c r="M1026" s="272"/>
      <c r="N1026" s="248" t="str">
        <f>HYPERLINK("[#]DatatypeListedValues!A6232:H6232","&lt;values&gt;")</f>
        <v>&lt;values&gt;</v>
      </c>
      <c r="O1026" s="277" t="b">
        <v>0</v>
      </c>
      <c r="P1026" s="37">
        <v>101093</v>
      </c>
      <c r="Q1026" s="36" t="str">
        <f>CONCATENATE(Cover!$D$6,"fdd/view?i=",P1026)</f>
        <v>https://www.dgiwg.org/FAD/fdd/view?i=101093</v>
      </c>
      <c r="R1026" s="13" t="s">
        <v>10932</v>
      </c>
      <c r="S1026" s="172"/>
      <c r="T1026" s="172"/>
      <c r="AI1026" s="87" t="s">
        <v>1790</v>
      </c>
      <c r="CS1026" s="165" t="s">
        <v>1790</v>
      </c>
    </row>
    <row r="1027" spans="1:100" x14ac:dyDescent="0.2">
      <c r="A1027" s="176" t="str">
        <f t="shared" ref="A1027:A1090" si="27">HYPERLINK(Q1027,R1027)</f>
        <v>naturalDisasterType</v>
      </c>
      <c r="B1027" s="11" t="s">
        <v>10938</v>
      </c>
      <c r="C1027" s="173"/>
      <c r="D1027" s="22" t="s">
        <v>10939</v>
      </c>
      <c r="E1027" s="15" t="s">
        <v>10940</v>
      </c>
      <c r="F1027" s="174"/>
      <c r="G1027" s="174"/>
      <c r="H1027" s="17" t="s">
        <v>5932</v>
      </c>
      <c r="I1027" s="269"/>
      <c r="J1027" s="369" t="str">
        <f>HYPERLINK("[#]Datatypes!B1010:L1010","NdiCode")</f>
        <v>NdiCode</v>
      </c>
      <c r="K1027" s="276"/>
      <c r="L1027" s="272"/>
      <c r="M1027" s="272"/>
      <c r="N1027" s="248" t="str">
        <f>HYPERLINK("[#]DatatypeListedValues!A6235:H6235","&lt;values&gt;")</f>
        <v>&lt;values&gt;</v>
      </c>
      <c r="O1027" s="277" t="b">
        <v>0</v>
      </c>
      <c r="P1027" s="37">
        <v>118611</v>
      </c>
      <c r="Q1027" s="36" t="str">
        <f>CONCATENATE(Cover!$D$6,"fdd/view?i=",P1027)</f>
        <v>https://www.dgiwg.org/FAD/fdd/view?i=118611</v>
      </c>
      <c r="R1027" s="13" t="s">
        <v>10937</v>
      </c>
      <c r="S1027" s="172"/>
      <c r="T1027" s="172"/>
      <c r="BQ1027" s="82" t="s">
        <v>1790</v>
      </c>
      <c r="CS1027" s="165" t="s">
        <v>1790</v>
      </c>
    </row>
    <row r="1028" spans="1:100" x14ac:dyDescent="0.2">
      <c r="A1028" s="176" t="str">
        <f t="shared" si="27"/>
        <v>naturalEnvironLimitReason</v>
      </c>
      <c r="B1028" s="11" t="s">
        <v>10943</v>
      </c>
      <c r="C1028" s="173"/>
      <c r="D1028" s="22" t="s">
        <v>10944</v>
      </c>
      <c r="E1028" s="15" t="s">
        <v>10945</v>
      </c>
      <c r="F1028" s="174"/>
      <c r="G1028" s="174"/>
      <c r="H1028" s="17" t="s">
        <v>5932</v>
      </c>
      <c r="I1028" s="269"/>
      <c r="J1028" s="369" t="str">
        <f>HYPERLINK("[#]Datatypes!B1012:L1012","LmsCode")</f>
        <v>LmsCode</v>
      </c>
      <c r="K1028" s="276"/>
      <c r="L1028" s="272"/>
      <c r="M1028" s="272"/>
      <c r="N1028" s="248" t="str">
        <f>HYPERLINK("[#]DatatypeListedValues!A6258:H6258","&lt;values&gt;")</f>
        <v>&lt;values&gt;</v>
      </c>
      <c r="O1028" s="277" t="b">
        <v>0</v>
      </c>
      <c r="P1028" s="37">
        <v>118609</v>
      </c>
      <c r="Q1028" s="36" t="str">
        <f>CONCATENATE(Cover!$D$6,"fdd/view?i=",P1028)</f>
        <v>https://www.dgiwg.org/FAD/fdd/view?i=118609</v>
      </c>
      <c r="R1028" s="13" t="s">
        <v>10942</v>
      </c>
      <c r="S1028" s="172"/>
      <c r="T1028" s="172"/>
      <c r="BZ1028" s="83" t="s">
        <v>1790</v>
      </c>
      <c r="CA1028" s="83" t="s">
        <v>1790</v>
      </c>
      <c r="CB1028" s="89" t="s">
        <v>1790</v>
      </c>
      <c r="CC1028" s="81" t="s">
        <v>1790</v>
      </c>
      <c r="CT1028" s="166" t="s">
        <v>1790</v>
      </c>
    </row>
    <row r="1029" spans="1:100" x14ac:dyDescent="0.2">
      <c r="A1029" s="176" t="str">
        <f t="shared" si="27"/>
        <v>NaturalEnvironLimitType</v>
      </c>
      <c r="B1029" s="11" t="s">
        <v>10948</v>
      </c>
      <c r="C1029" s="173"/>
      <c r="D1029" s="22" t="s">
        <v>10949</v>
      </c>
      <c r="E1029" s="15" t="s">
        <v>10950</v>
      </c>
      <c r="F1029" s="174"/>
      <c r="G1029" s="174"/>
      <c r="H1029" s="17" t="s">
        <v>5932</v>
      </c>
      <c r="I1029" s="269"/>
      <c r="J1029" s="369" t="str">
        <f>HYPERLINK("[#]Datatypes!B1014:L1014","NslCode")</f>
        <v>NslCode</v>
      </c>
      <c r="K1029" s="276"/>
      <c r="L1029" s="272"/>
      <c r="M1029" s="272"/>
      <c r="N1029" s="248" t="str">
        <f>HYPERLINK("[#]DatatypeListedValues!A6261:H6261","&lt;values&gt;")</f>
        <v>&lt;values&gt;</v>
      </c>
      <c r="O1029" s="277" t="b">
        <v>0</v>
      </c>
      <c r="P1029" s="37">
        <v>118612</v>
      </c>
      <c r="Q1029" s="36" t="str">
        <f>CONCATENATE(Cover!$D$6,"fdd/view?i=",P1029)</f>
        <v>https://www.dgiwg.org/FAD/fdd/view?i=118612</v>
      </c>
      <c r="R1029" s="13" t="s">
        <v>10947</v>
      </c>
      <c r="S1029" s="172"/>
      <c r="T1029" s="172"/>
      <c r="BZ1029" s="83" t="s">
        <v>1790</v>
      </c>
      <c r="CA1029" s="83" t="s">
        <v>1790</v>
      </c>
      <c r="CB1029" s="89" t="s">
        <v>1790</v>
      </c>
      <c r="CC1029" s="81" t="s">
        <v>1790</v>
      </c>
      <c r="CS1029" s="165" t="s">
        <v>1790</v>
      </c>
    </row>
    <row r="1030" spans="1:100" x14ac:dyDescent="0.2">
      <c r="A1030" s="176" t="str">
        <f t="shared" si="27"/>
        <v>naturalPoolType</v>
      </c>
      <c r="B1030" s="11" t="s">
        <v>10953</v>
      </c>
      <c r="C1030" s="173"/>
      <c r="D1030" s="22" t="s">
        <v>10954</v>
      </c>
      <c r="E1030" s="15" t="s">
        <v>10955</v>
      </c>
      <c r="F1030" s="174"/>
      <c r="G1030" s="174"/>
      <c r="H1030" s="17" t="s">
        <v>5932</v>
      </c>
      <c r="I1030" s="269"/>
      <c r="J1030" s="369" t="str">
        <f>HYPERLINK("[#]Datatypes!B1016:L1016","SwtCode")</f>
        <v>SwtCode</v>
      </c>
      <c r="K1030" s="276"/>
      <c r="L1030" s="272"/>
      <c r="M1030" s="272"/>
      <c r="N1030" s="248" t="str">
        <f>HYPERLINK("[#]DatatypeListedValues!A6274:H6274","&lt;values&gt;")</f>
        <v>&lt;values&gt;</v>
      </c>
      <c r="O1030" s="277" t="b">
        <v>0</v>
      </c>
      <c r="P1030" s="37">
        <v>101354</v>
      </c>
      <c r="Q1030" s="36" t="str">
        <f>CONCATENATE(Cover!$D$6,"fdd/view?i=",P1030)</f>
        <v>https://www.dgiwg.org/FAD/fdd/view?i=101354</v>
      </c>
      <c r="R1030" s="13" t="s">
        <v>10952</v>
      </c>
      <c r="S1030" s="172"/>
      <c r="T1030" s="172"/>
      <c r="BJ1030" s="83" t="s">
        <v>1790</v>
      </c>
      <c r="BP1030" s="82" t="s">
        <v>1790</v>
      </c>
      <c r="CS1030" s="165" t="s">
        <v>1790</v>
      </c>
    </row>
    <row r="1031" spans="1:100" ht="25.5" x14ac:dyDescent="0.2">
      <c r="A1031" s="176" t="str">
        <f t="shared" si="27"/>
        <v>naturalWaterObstruction</v>
      </c>
      <c r="B1031" s="11" t="s">
        <v>10958</v>
      </c>
      <c r="C1031" s="173"/>
      <c r="D1031" s="22" t="s">
        <v>10959</v>
      </c>
      <c r="E1031" s="15" t="s">
        <v>10960</v>
      </c>
      <c r="F1031" s="174"/>
      <c r="G1031" s="174"/>
      <c r="H1031" s="17" t="s">
        <v>5932</v>
      </c>
      <c r="I1031" s="269"/>
      <c r="J1031" s="369" t="str">
        <f>HYPERLINK("[#]Datatypes!B240:L240","Boolean")</f>
        <v>Boolean</v>
      </c>
      <c r="K1031" s="276"/>
      <c r="L1031" s="272"/>
      <c r="M1031" s="272"/>
      <c r="N1031" s="273"/>
      <c r="O1031" s="269"/>
      <c r="P1031" s="37">
        <v>101486</v>
      </c>
      <c r="Q1031" s="36" t="str">
        <f>CONCATENATE(Cover!$D$6,"fdd/view?i=",P1031)</f>
        <v>https://www.dgiwg.org/FAD/fdd/view?i=101486</v>
      </c>
      <c r="R1031" s="13" t="s">
        <v>10957</v>
      </c>
      <c r="S1031" s="172"/>
      <c r="T1031" s="172"/>
      <c r="BG1031" s="83" t="s">
        <v>1790</v>
      </c>
      <c r="BJ1031" s="83" t="s">
        <v>1790</v>
      </c>
    </row>
    <row r="1032" spans="1:100" ht="51" x14ac:dyDescent="0.2">
      <c r="A1032" s="176" t="str">
        <f t="shared" si="27"/>
        <v>navalFiringPracticeType</v>
      </c>
      <c r="B1032" s="11" t="s">
        <v>10962</v>
      </c>
      <c r="C1032" s="173"/>
      <c r="D1032" s="22" t="s">
        <v>10963</v>
      </c>
      <c r="E1032" s="15" t="s">
        <v>10964</v>
      </c>
      <c r="F1032" s="174"/>
      <c r="G1032" s="174"/>
      <c r="H1032" s="17" t="s">
        <v>5932</v>
      </c>
      <c r="I1032" s="17" t="s">
        <v>6029</v>
      </c>
      <c r="J1032" s="369" t="str">
        <f>HYPERLINK("[#]Datatypes!B1018:L1018","NfpCode")</f>
        <v>NfpCode</v>
      </c>
      <c r="K1032" s="276"/>
      <c r="L1032" s="272"/>
      <c r="M1032" s="272"/>
      <c r="N1032" s="248" t="str">
        <f>HYPERLINK("[#]DatatypeListedValues!A6282:H6282","&lt;values&gt;")</f>
        <v>&lt;values&gt;</v>
      </c>
      <c r="O1032" s="277" t="b">
        <v>0</v>
      </c>
      <c r="P1032" s="37">
        <v>111113</v>
      </c>
      <c r="Q1032" s="36" t="str">
        <f>CONCATENATE(Cover!$D$6,"fdd/view?i=",P1032)</f>
        <v>https://www.dgiwg.org/FAD/fdd/view?i=111113</v>
      </c>
      <c r="R1032" s="13" t="s">
        <v>10961</v>
      </c>
      <c r="S1032" s="172"/>
      <c r="T1032" s="172"/>
      <c r="AS1032" s="82" t="s">
        <v>1790</v>
      </c>
      <c r="BF1032" s="83" t="s">
        <v>1790</v>
      </c>
      <c r="BI1032" s="83" t="s">
        <v>1790</v>
      </c>
      <c r="CJ1032" s="81" t="s">
        <v>1790</v>
      </c>
      <c r="CK1032" s="82" t="s">
        <v>1790</v>
      </c>
    </row>
    <row r="1033" spans="1:100" x14ac:dyDescent="0.2">
      <c r="A1033" s="176" t="str">
        <f t="shared" si="27"/>
        <v>mineTacticalUse</v>
      </c>
      <c r="B1033" s="11" t="s">
        <v>10967</v>
      </c>
      <c r="C1033" s="173"/>
      <c r="D1033" s="22" t="s">
        <v>10968</v>
      </c>
      <c r="E1033" s="15" t="s">
        <v>10969</v>
      </c>
      <c r="F1033" s="174"/>
      <c r="G1033" s="174"/>
      <c r="H1033" s="17" t="s">
        <v>5932</v>
      </c>
      <c r="I1033" s="269"/>
      <c r="J1033" s="369" t="str">
        <f>HYPERLINK("[#]Datatypes!B1020:L1020","MmtCode")</f>
        <v>MmtCode</v>
      </c>
      <c r="K1033" s="276"/>
      <c r="L1033" s="272"/>
      <c r="M1033" s="272"/>
      <c r="N1033" s="248" t="str">
        <f>HYPERLINK("[#]DatatypeListedValues!A6292:H6292","&lt;values&gt;")</f>
        <v>&lt;values&gt;</v>
      </c>
      <c r="O1033" s="277" t="b">
        <v>0</v>
      </c>
      <c r="P1033" s="37">
        <v>101053</v>
      </c>
      <c r="Q1033" s="36" t="str">
        <f>CONCATENATE(Cover!$D$6,"fdd/view?i=",P1033)</f>
        <v>https://www.dgiwg.org/FAD/fdd/view?i=101053</v>
      </c>
      <c r="R1033" s="13" t="s">
        <v>10966</v>
      </c>
      <c r="S1033" s="172"/>
      <c r="T1033" s="172"/>
      <c r="CJ1033" s="81" t="s">
        <v>1790</v>
      </c>
      <c r="CT1033" s="166" t="s">
        <v>1790</v>
      </c>
    </row>
    <row r="1034" spans="1:100" ht="25.5" x14ac:dyDescent="0.2">
      <c r="A1034" s="176" t="str">
        <f t="shared" si="27"/>
        <v>navalMinePositioning</v>
      </c>
      <c r="B1034" s="11" t="s">
        <v>10972</v>
      </c>
      <c r="C1034" s="173"/>
      <c r="D1034" s="22" t="s">
        <v>10973</v>
      </c>
      <c r="E1034" s="15" t="s">
        <v>10974</v>
      </c>
      <c r="F1034" s="174"/>
      <c r="G1034" s="174"/>
      <c r="H1034" s="17" t="s">
        <v>5932</v>
      </c>
      <c r="I1034" s="269"/>
      <c r="J1034" s="369" t="str">
        <f>HYPERLINK("[#]Datatypes!B1022:L1022","MpcCode")</f>
        <v>MpcCode</v>
      </c>
      <c r="K1034" s="276"/>
      <c r="L1034" s="272"/>
      <c r="M1034" s="272"/>
      <c r="N1034" s="248" t="str">
        <f>HYPERLINK("[#]DatatypeListedValues!A6302:H6302","&lt;values&gt;")</f>
        <v>&lt;values&gt;</v>
      </c>
      <c r="O1034" s="277" t="b">
        <v>0</v>
      </c>
      <c r="P1034" s="37">
        <v>101062</v>
      </c>
      <c r="Q1034" s="36" t="str">
        <f>CONCATENATE(Cover!$D$6,"fdd/view?i=",P1034)</f>
        <v>https://www.dgiwg.org/FAD/fdd/view?i=101062</v>
      </c>
      <c r="R1034" s="13" t="s">
        <v>10971</v>
      </c>
      <c r="S1034" s="172"/>
      <c r="T1034" s="172"/>
      <c r="CJ1034" s="81" t="s">
        <v>1790</v>
      </c>
      <c r="CP1034" s="164" t="s">
        <v>1790</v>
      </c>
    </row>
    <row r="1035" spans="1:100" x14ac:dyDescent="0.2">
      <c r="A1035" s="176" t="str">
        <f t="shared" si="27"/>
        <v>navalMinefieldPurpose</v>
      </c>
      <c r="B1035" s="11" t="s">
        <v>10977</v>
      </c>
      <c r="C1035" s="173"/>
      <c r="D1035" s="22" t="s">
        <v>10978</v>
      </c>
      <c r="E1035" s="15" t="s">
        <v>10979</v>
      </c>
      <c r="F1035" s="174"/>
      <c r="G1035" s="174"/>
      <c r="H1035" s="17" t="s">
        <v>5932</v>
      </c>
      <c r="I1035" s="269"/>
      <c r="J1035" s="369" t="str">
        <f>HYPERLINK("[#]Datatypes!B1024:L1024","MpuCode")</f>
        <v>MpuCode</v>
      </c>
      <c r="K1035" s="276"/>
      <c r="L1035" s="272"/>
      <c r="M1035" s="272"/>
      <c r="N1035" s="248" t="str">
        <f>HYPERLINK("[#]DatatypeListedValues!A6318:H6318","&lt;values&gt;")</f>
        <v>&lt;values&gt;</v>
      </c>
      <c r="O1035" s="277" t="b">
        <v>0</v>
      </c>
      <c r="P1035" s="37">
        <v>101068</v>
      </c>
      <c r="Q1035" s="36" t="str">
        <f>CONCATENATE(Cover!$D$6,"fdd/view?i=",P1035)</f>
        <v>https://www.dgiwg.org/FAD/fdd/view?i=101068</v>
      </c>
      <c r="R1035" s="13" t="s">
        <v>10976</v>
      </c>
      <c r="S1035" s="172"/>
      <c r="T1035" s="172"/>
      <c r="CJ1035" s="81" t="s">
        <v>1790</v>
      </c>
      <c r="CT1035" s="166" t="s">
        <v>1790</v>
      </c>
    </row>
    <row r="1036" spans="1:100" ht="38.25" x14ac:dyDescent="0.2">
      <c r="A1036" s="176" t="str">
        <f t="shared" si="27"/>
        <v>navalOperationsType</v>
      </c>
      <c r="B1036" s="11" t="s">
        <v>10982</v>
      </c>
      <c r="C1036" s="173"/>
      <c r="D1036" s="22" t="s">
        <v>10983</v>
      </c>
      <c r="E1036" s="15" t="s">
        <v>10984</v>
      </c>
      <c r="F1036" s="174"/>
      <c r="G1036" s="174"/>
      <c r="H1036" s="17" t="s">
        <v>5932</v>
      </c>
      <c r="I1036" s="17" t="s">
        <v>6029</v>
      </c>
      <c r="J1036" s="369" t="str">
        <f>HYPERLINK("[#]Datatypes!B1026:L1026","NoaCode")</f>
        <v>NoaCode</v>
      </c>
      <c r="K1036" s="276"/>
      <c r="L1036" s="272"/>
      <c r="M1036" s="272"/>
      <c r="N1036" s="248" t="str">
        <f>HYPERLINK("[#]DatatypeListedValues!A6322:H6322","&lt;values&gt;")</f>
        <v>&lt;values&gt;</v>
      </c>
      <c r="O1036" s="277" t="b">
        <v>0</v>
      </c>
      <c r="P1036" s="37">
        <v>111114</v>
      </c>
      <c r="Q1036" s="36" t="str">
        <f>CONCATENATE(Cover!$D$6,"fdd/view?i=",P1036)</f>
        <v>https://www.dgiwg.org/FAD/fdd/view?i=111114</v>
      </c>
      <c r="R1036" s="13" t="s">
        <v>10981</v>
      </c>
      <c r="S1036" s="172"/>
      <c r="T1036" s="172"/>
      <c r="AS1036" s="82" t="s">
        <v>1790</v>
      </c>
      <c r="BF1036" s="83" t="s">
        <v>1790</v>
      </c>
      <c r="BI1036" s="83" t="s">
        <v>1790</v>
      </c>
      <c r="CJ1036" s="81" t="s">
        <v>1790</v>
      </c>
      <c r="CK1036" s="82" t="s">
        <v>1790</v>
      </c>
    </row>
    <row r="1037" spans="1:100" ht="25.5" x14ac:dyDescent="0.2">
      <c r="A1037" s="176" t="str">
        <f t="shared" si="27"/>
        <v>navigabilityInformation</v>
      </c>
      <c r="B1037" s="11" t="s">
        <v>10987</v>
      </c>
      <c r="C1037" s="173"/>
      <c r="D1037" s="22" t="s">
        <v>10988</v>
      </c>
      <c r="E1037" s="15" t="s">
        <v>10989</v>
      </c>
      <c r="F1037" s="15" t="s">
        <v>10990</v>
      </c>
      <c r="G1037" s="174"/>
      <c r="H1037" s="17" t="s">
        <v>5932</v>
      </c>
      <c r="I1037" s="269"/>
      <c r="J1037" s="369" t="str">
        <f>HYPERLINK("[#]Datatypes!B1028:L1028","NvsCode")</f>
        <v>NvsCode</v>
      </c>
      <c r="K1037" s="276"/>
      <c r="L1037" s="272"/>
      <c r="M1037" s="272"/>
      <c r="N1037" s="248" t="str">
        <f>HYPERLINK("[#]DatatypeListedValues!A6350:H6350","&lt;values&gt;")</f>
        <v>&lt;values&gt;</v>
      </c>
      <c r="O1037" s="277" t="b">
        <v>0</v>
      </c>
      <c r="P1037" s="37">
        <v>101111</v>
      </c>
      <c r="Q1037" s="36" t="str">
        <f>CONCATENATE(Cover!$D$6,"fdd/view?i=",P1037)</f>
        <v>https://www.dgiwg.org/FAD/fdd/view?i=101111</v>
      </c>
      <c r="R1037" s="13" t="s">
        <v>10986</v>
      </c>
      <c r="S1037" s="172"/>
      <c r="T1037" s="172"/>
      <c r="AS1037" s="82" t="s">
        <v>1790</v>
      </c>
      <c r="AU1037" s="82" t="s">
        <v>1790</v>
      </c>
      <c r="BF1037" s="83" t="s">
        <v>1790</v>
      </c>
      <c r="BJ1037" s="83" t="s">
        <v>1790</v>
      </c>
    </row>
    <row r="1038" spans="1:100" ht="25.5" x14ac:dyDescent="0.2">
      <c r="A1038" s="176" t="str">
        <f t="shared" si="27"/>
        <v>navAidPointAngleIndication</v>
      </c>
      <c r="B1038" s="11" t="s">
        <v>10993</v>
      </c>
      <c r="C1038" s="173"/>
      <c r="D1038" s="22" t="s">
        <v>10994</v>
      </c>
      <c r="E1038" s="15" t="s">
        <v>10995</v>
      </c>
      <c r="F1038" s="174"/>
      <c r="G1038" s="15" t="s">
        <v>10996</v>
      </c>
      <c r="H1038" s="17" t="s">
        <v>5932</v>
      </c>
      <c r="I1038" s="269"/>
      <c r="J1038" s="369" t="str">
        <f>HYPERLINK("[#]Datatypes!B1030:L1030","PaiStrucText")</f>
        <v>PaiStrucText</v>
      </c>
      <c r="K1038" s="276"/>
      <c r="L1038" s="272"/>
      <c r="M1038" s="272"/>
      <c r="N1038" s="273"/>
      <c r="O1038" s="269"/>
      <c r="P1038" s="37">
        <v>117657</v>
      </c>
      <c r="Q1038" s="36" t="str">
        <f>CONCATENATE(Cover!$D$6,"fdd/view?i=",P1038)</f>
        <v>https://www.dgiwg.org/FAD/fdd/view?i=117657</v>
      </c>
      <c r="R1038" s="13" t="s">
        <v>10992</v>
      </c>
      <c r="S1038" s="172"/>
      <c r="T1038" s="172"/>
      <c r="CG1038" s="83" t="s">
        <v>1790</v>
      </c>
    </row>
    <row r="1039" spans="1:100" ht="25.5" x14ac:dyDescent="0.2">
      <c r="A1039" s="176" t="str">
        <f t="shared" si="27"/>
        <v>navAidPointDistIndication</v>
      </c>
      <c r="B1039" s="11" t="s">
        <v>10999</v>
      </c>
      <c r="C1039" s="173"/>
      <c r="D1039" s="22" t="s">
        <v>11000</v>
      </c>
      <c r="E1039" s="15" t="s">
        <v>11001</v>
      </c>
      <c r="F1039" s="174"/>
      <c r="G1039" s="174"/>
      <c r="H1039" s="17" t="s">
        <v>5932</v>
      </c>
      <c r="I1039" s="269"/>
      <c r="J1039" s="369" t="str">
        <f>HYPERLINK("[#]Datatypes!B1032:L1032","PdiStrucText")</f>
        <v>PdiStrucText</v>
      </c>
      <c r="K1039" s="276"/>
      <c r="L1039" s="272"/>
      <c r="M1039" s="272"/>
      <c r="N1039" s="273"/>
      <c r="O1039" s="269"/>
      <c r="P1039" s="37">
        <v>117668</v>
      </c>
      <c r="Q1039" s="36" t="str">
        <f>CONCATENATE(Cover!$D$6,"fdd/view?i=",P1039)</f>
        <v>https://www.dgiwg.org/FAD/fdd/view?i=117668</v>
      </c>
      <c r="R1039" s="13" t="s">
        <v>10998</v>
      </c>
      <c r="S1039" s="172"/>
      <c r="T1039" s="172"/>
      <c r="CG1039" s="83" t="s">
        <v>1790</v>
      </c>
    </row>
    <row r="1040" spans="1:100" ht="51" x14ac:dyDescent="0.2">
      <c r="A1040" s="176" t="str">
        <f t="shared" si="27"/>
        <v>navigationLandmark</v>
      </c>
      <c r="B1040" s="11" t="s">
        <v>11004</v>
      </c>
      <c r="C1040" s="173"/>
      <c r="D1040" s="22" t="s">
        <v>11005</v>
      </c>
      <c r="E1040" s="15" t="s">
        <v>11006</v>
      </c>
      <c r="F1040" s="15" t="s">
        <v>11007</v>
      </c>
      <c r="G1040" s="174"/>
      <c r="H1040" s="17" t="s">
        <v>5932</v>
      </c>
      <c r="I1040" s="269"/>
      <c r="J1040" s="369" t="str">
        <f>HYPERLINK("[#]Datatypes!B240:L240","Boolean")</f>
        <v>Boolean</v>
      </c>
      <c r="K1040" s="276"/>
      <c r="L1040" s="272"/>
      <c r="M1040" s="272"/>
      <c r="N1040" s="273"/>
      <c r="O1040" s="269"/>
      <c r="P1040" s="37">
        <v>101000</v>
      </c>
      <c r="Q1040" s="36" t="str">
        <f>CONCATENATE(Cover!$D$6,"fdd/view?i=",P1040)</f>
        <v>https://www.dgiwg.org/FAD/fdd/view?i=101000</v>
      </c>
      <c r="R1040" s="13" t="s">
        <v>11003</v>
      </c>
      <c r="S1040" s="172"/>
      <c r="T1040" s="172"/>
      <c r="AS1040" s="82" t="s">
        <v>1790</v>
      </c>
      <c r="AT1040" s="82" t="s">
        <v>1790</v>
      </c>
      <c r="BF1040" s="83" t="s">
        <v>1790</v>
      </c>
      <c r="CF1040" s="83" t="s">
        <v>1790</v>
      </c>
      <c r="CG1040" s="83" t="s">
        <v>1790</v>
      </c>
    </row>
    <row r="1041" spans="1:105" ht="25.5" x14ac:dyDescent="0.2">
      <c r="A1041" s="176" t="str">
        <f t="shared" si="27"/>
        <v>navigationLightCharacter</v>
      </c>
      <c r="B1041" s="11" t="s">
        <v>11009</v>
      </c>
      <c r="C1041" s="173"/>
      <c r="D1041" s="22" t="s">
        <v>11010</v>
      </c>
      <c r="E1041" s="15" t="s">
        <v>11011</v>
      </c>
      <c r="F1041" s="174"/>
      <c r="G1041" s="174"/>
      <c r="H1041" s="17" t="s">
        <v>5932</v>
      </c>
      <c r="I1041" s="269"/>
      <c r="J1041" s="369" t="str">
        <f>HYPERLINK("[#]Datatypes!B1034:L1034","ChaCode")</f>
        <v>ChaCode</v>
      </c>
      <c r="K1041" s="276"/>
      <c r="L1041" s="272"/>
      <c r="M1041" s="272"/>
      <c r="N1041" s="248" t="str">
        <f>HYPERLINK("[#]DatatypeListedValues!A6355:H6355","&lt;values&gt;")</f>
        <v>&lt;values&gt;</v>
      </c>
      <c r="O1041" s="277" t="b">
        <v>0</v>
      </c>
      <c r="P1041" s="37">
        <v>100740</v>
      </c>
      <c r="Q1041" s="36" t="str">
        <f>CONCATENATE(Cover!$D$6,"fdd/view?i=",P1041)</f>
        <v>https://www.dgiwg.org/FAD/fdd/view?i=100740</v>
      </c>
      <c r="R1041" s="13" t="s">
        <v>11008</v>
      </c>
      <c r="S1041" s="172"/>
      <c r="T1041" s="172"/>
      <c r="AS1041" s="82" t="s">
        <v>1790</v>
      </c>
      <c r="AT1041" s="82" t="s">
        <v>1790</v>
      </c>
      <c r="BF1041" s="83" t="s">
        <v>1790</v>
      </c>
      <c r="CE1041" s="87" t="s">
        <v>1790</v>
      </c>
      <c r="CS1041" s="165" t="s">
        <v>1790</v>
      </c>
    </row>
    <row r="1042" spans="1:105" ht="38.25" x14ac:dyDescent="0.2">
      <c r="A1042" s="176" t="str">
        <f t="shared" si="27"/>
        <v>navigationMarkColour</v>
      </c>
      <c r="B1042" s="11" t="s">
        <v>11014</v>
      </c>
      <c r="C1042" s="173"/>
      <c r="D1042" s="22" t="s">
        <v>11015</v>
      </c>
      <c r="E1042" s="15" t="s">
        <v>11016</v>
      </c>
      <c r="F1042" s="15" t="s">
        <v>11017</v>
      </c>
      <c r="G1042" s="174"/>
      <c r="H1042" s="17" t="s">
        <v>5932</v>
      </c>
      <c r="I1042" s="17" t="s">
        <v>6029</v>
      </c>
      <c r="J1042" s="369" t="str">
        <f>HYPERLINK("[#]Datatypes!B1036:L1036","NmcCode")</f>
        <v>NmcCode</v>
      </c>
      <c r="K1042" s="276"/>
      <c r="L1042" s="272"/>
      <c r="M1042" s="272"/>
      <c r="N1042" s="248" t="str">
        <f>HYPERLINK("[#]DatatypeListedValues!A6381:H6381","&lt;values&gt;")</f>
        <v>&lt;values&gt;</v>
      </c>
      <c r="O1042" s="277" t="b">
        <v>0</v>
      </c>
      <c r="P1042" s="37">
        <v>110822</v>
      </c>
      <c r="Q1042" s="36" t="str">
        <f>CONCATENATE(Cover!$D$6,"fdd/view?i=",P1042)</f>
        <v>https://www.dgiwg.org/FAD/fdd/view?i=110822</v>
      </c>
      <c r="R1042" s="13" t="s">
        <v>11013</v>
      </c>
      <c r="S1042" s="172"/>
      <c r="T1042" s="172"/>
      <c r="AS1042" s="82" t="s">
        <v>1790</v>
      </c>
      <c r="BF1042" s="83" t="s">
        <v>1790</v>
      </c>
      <c r="CS1042" s="165" t="s">
        <v>1790</v>
      </c>
      <c r="DA1042" s="165" t="s">
        <v>1790</v>
      </c>
    </row>
    <row r="1043" spans="1:105" ht="38.25" x14ac:dyDescent="0.2">
      <c r="A1043" s="176" t="str">
        <f t="shared" si="27"/>
        <v>navServiceCheckpointType</v>
      </c>
      <c r="B1043" s="11" t="s">
        <v>11020</v>
      </c>
      <c r="C1043" s="173"/>
      <c r="D1043" s="22" t="s">
        <v>11021</v>
      </c>
      <c r="E1043" s="15" t="s">
        <v>11022</v>
      </c>
      <c r="F1043" s="15" t="s">
        <v>11023</v>
      </c>
      <c r="G1043" s="174"/>
      <c r="H1043" s="17" t="s">
        <v>5932</v>
      </c>
      <c r="I1043" s="17" t="s">
        <v>6029</v>
      </c>
      <c r="J1043" s="369" t="str">
        <f>HYPERLINK("[#]Datatypes!B1038:L1038","NchCode")</f>
        <v>NchCode</v>
      </c>
      <c r="K1043" s="276"/>
      <c r="L1043" s="272"/>
      <c r="M1043" s="272"/>
      <c r="N1043" s="248" t="str">
        <f>HYPERLINK("[#]DatatypeListedValues!A6394:H6394","&lt;values&gt;")</f>
        <v>&lt;values&gt;</v>
      </c>
      <c r="O1043" s="277" t="b">
        <v>0</v>
      </c>
      <c r="P1043" s="37">
        <v>117644</v>
      </c>
      <c r="Q1043" s="36" t="str">
        <f>CONCATENATE(Cover!$D$6,"fdd/view?i=",P1043)</f>
        <v>https://www.dgiwg.org/FAD/fdd/view?i=117644</v>
      </c>
      <c r="R1043" s="13" t="s">
        <v>11019</v>
      </c>
      <c r="S1043" s="172"/>
      <c r="T1043" s="172"/>
      <c r="CG1043" s="83" t="s">
        <v>1790</v>
      </c>
    </row>
    <row r="1044" spans="1:105" x14ac:dyDescent="0.2">
      <c r="A1044" s="176" t="str">
        <f t="shared" si="27"/>
        <v>navigationSystemName</v>
      </c>
      <c r="B1044" s="11" t="s">
        <v>11026</v>
      </c>
      <c r="C1044" s="173"/>
      <c r="D1044" s="22" t="s">
        <v>11027</v>
      </c>
      <c r="E1044" s="15" t="s">
        <v>11028</v>
      </c>
      <c r="F1044" s="174"/>
      <c r="G1044" s="174"/>
      <c r="H1044" s="17" t="s">
        <v>5932</v>
      </c>
      <c r="I1044" s="269"/>
      <c r="J1044" s="369" t="str">
        <f>HYPERLINK("[#]Datatypes!B1542:L1542","TextLex80")</f>
        <v>TextLex80</v>
      </c>
      <c r="K1044" s="276"/>
      <c r="L1044" s="272"/>
      <c r="M1044" s="272"/>
      <c r="N1044" s="273"/>
      <c r="O1044" s="269"/>
      <c r="P1044" s="37">
        <v>101110</v>
      </c>
      <c r="Q1044" s="36" t="str">
        <f>CONCATENATE(Cover!$D$6,"fdd/view?i=",P1044)</f>
        <v>https://www.dgiwg.org/FAD/fdd/view?i=101110</v>
      </c>
      <c r="R1044" s="13" t="s">
        <v>11025</v>
      </c>
      <c r="S1044" s="172"/>
      <c r="T1044" s="172"/>
      <c r="AS1044" s="82" t="s">
        <v>1790</v>
      </c>
      <c r="BB1044" s="83" t="s">
        <v>1790</v>
      </c>
      <c r="BF1044" s="83" t="s">
        <v>1790</v>
      </c>
      <c r="CV1044" s="83" t="s">
        <v>1790</v>
      </c>
      <c r="CZ1044" s="165" t="s">
        <v>1790</v>
      </c>
      <c r="DA1044" s="165" t="s">
        <v>1790</v>
      </c>
    </row>
    <row r="1045" spans="1:105" x14ac:dyDescent="0.2">
      <c r="A1045" s="176" t="str">
        <f t="shared" si="27"/>
        <v>navigationSystemType</v>
      </c>
      <c r="B1045" s="11" t="s">
        <v>11030</v>
      </c>
      <c r="C1045" s="173"/>
      <c r="D1045" s="22" t="s">
        <v>11031</v>
      </c>
      <c r="E1045" s="15" t="s">
        <v>11032</v>
      </c>
      <c r="F1045" s="174"/>
      <c r="G1045" s="174"/>
      <c r="H1045" s="17" t="s">
        <v>5932</v>
      </c>
      <c r="I1045" s="17" t="s">
        <v>6029</v>
      </c>
      <c r="J1045" s="369" t="str">
        <f>HYPERLINK("[#]Datatypes!B1040:L1040","NstCode")</f>
        <v>NstCode</v>
      </c>
      <c r="K1045" s="276"/>
      <c r="L1045" s="272"/>
      <c r="M1045" s="272"/>
      <c r="N1045" s="248" t="str">
        <f>HYPERLINK("[#]DatatypeListedValues!A6400:H6400","&lt;values&gt;")</f>
        <v>&lt;values&gt;</v>
      </c>
      <c r="O1045" s="277" t="b">
        <v>0</v>
      </c>
      <c r="P1045" s="37">
        <v>101109</v>
      </c>
      <c r="Q1045" s="36" t="str">
        <f>CONCATENATE(Cover!$D$6,"fdd/view?i=",P1045)</f>
        <v>https://www.dgiwg.org/FAD/fdd/view?i=101109</v>
      </c>
      <c r="R1045" s="13" t="s">
        <v>11029</v>
      </c>
      <c r="S1045" s="172"/>
      <c r="T1045" s="172"/>
      <c r="AS1045" s="82" t="s">
        <v>1790</v>
      </c>
      <c r="BF1045" s="83" t="s">
        <v>1790</v>
      </c>
      <c r="CV1045" s="83" t="s">
        <v>1790</v>
      </c>
      <c r="DA1045" s="165" t="s">
        <v>1790</v>
      </c>
    </row>
    <row r="1046" spans="1:105" ht="25.5" x14ac:dyDescent="0.2">
      <c r="A1046" s="176" t="str">
        <f t="shared" si="27"/>
        <v>nearestTownName</v>
      </c>
      <c r="B1046" s="11" t="s">
        <v>11035</v>
      </c>
      <c r="C1046" s="173"/>
      <c r="D1046" s="22" t="s">
        <v>11036</v>
      </c>
      <c r="E1046" s="15" t="s">
        <v>11037</v>
      </c>
      <c r="F1046" s="15" t="s">
        <v>11038</v>
      </c>
      <c r="G1046" s="174"/>
      <c r="H1046" s="17" t="s">
        <v>5932</v>
      </c>
      <c r="I1046" s="269"/>
      <c r="J1046" s="369" t="str">
        <f>HYPERLINK("[#]Datatypes!B1544:L1544","TextLexUnconstrained")</f>
        <v>TextLexUnconstrained</v>
      </c>
      <c r="K1046" s="276"/>
      <c r="L1046" s="272"/>
      <c r="M1046" s="272"/>
      <c r="N1046" s="273"/>
      <c r="O1046" s="269"/>
      <c r="P1046" s="37">
        <v>118153</v>
      </c>
      <c r="Q1046" s="36" t="str">
        <f>CONCATENATE(Cover!$D$6,"fdd/view?i=",P1046)</f>
        <v>https://www.dgiwg.org/FAD/fdd/view?i=118153</v>
      </c>
      <c r="R1046" s="13" t="s">
        <v>11034</v>
      </c>
      <c r="S1046" s="172"/>
      <c r="T1046" s="172"/>
      <c r="AJ1046" s="83" t="s">
        <v>1790</v>
      </c>
      <c r="CU1046" s="87" t="s">
        <v>1790</v>
      </c>
    </row>
    <row r="1047" spans="1:105" ht="89.25" x14ac:dyDescent="0.2">
      <c r="A1047" s="176" t="str">
        <f t="shared" si="27"/>
        <v>nephelometricTurbidity</v>
      </c>
      <c r="B1047" s="11" t="s">
        <v>11040</v>
      </c>
      <c r="C1047" s="173"/>
      <c r="D1047" s="22" t="s">
        <v>11041</v>
      </c>
      <c r="E1047" s="15" t="s">
        <v>11042</v>
      </c>
      <c r="F1047" s="15" t="s">
        <v>11043</v>
      </c>
      <c r="G1047" s="174"/>
      <c r="H1047" s="17" t="s">
        <v>5932</v>
      </c>
      <c r="I1047" s="269"/>
      <c r="J1047" s="369" t="str">
        <f>HYPERLINK("[#]Datatypes!B1231:L1231","Real")</f>
        <v>Real</v>
      </c>
      <c r="K1047" s="271" t="str">
        <f>HYPERLINK("[#]PhysicalQuantities!A39:N39","Pure Number")</f>
        <v>Pure Number</v>
      </c>
      <c r="L1047" s="270" t="str">
        <f>HYPERLINK("[#]UnitsOfMeasure!D213:G213","Unitless")</f>
        <v>Unitless</v>
      </c>
      <c r="M1047" s="272"/>
      <c r="N1047" s="273"/>
      <c r="O1047" s="269"/>
      <c r="P1047" s="37">
        <v>119409</v>
      </c>
      <c r="Q1047" s="36" t="str">
        <f>CONCATENATE(Cover!$D$6,"fdd/view?i=",P1047)</f>
        <v>https://www.dgiwg.org/FAD/fdd/view?i=119409</v>
      </c>
      <c r="R1047" s="13" t="s">
        <v>11039</v>
      </c>
      <c r="S1047" s="172"/>
      <c r="T1047" s="172"/>
      <c r="BO1047" s="82" t="s">
        <v>1790</v>
      </c>
      <c r="BS1047" s="82" t="s">
        <v>1790</v>
      </c>
      <c r="CQ1047" s="165" t="s">
        <v>1790</v>
      </c>
    </row>
    <row r="1048" spans="1:105" x14ac:dyDescent="0.2">
      <c r="A1048" s="176" t="str">
        <f t="shared" si="27"/>
        <v>nomadicSeasonalLocation</v>
      </c>
      <c r="B1048" s="11" t="s">
        <v>11045</v>
      </c>
      <c r="C1048" s="173"/>
      <c r="D1048" s="22" t="s">
        <v>11046</v>
      </c>
      <c r="E1048" s="15" t="s">
        <v>11047</v>
      </c>
      <c r="F1048" s="174"/>
      <c r="G1048" s="174"/>
      <c r="H1048" s="17" t="s">
        <v>5932</v>
      </c>
      <c r="I1048" s="17" t="s">
        <v>6029</v>
      </c>
      <c r="J1048" s="369" t="str">
        <f>HYPERLINK("[#]Datatypes!B1042:L1042","StlCode")</f>
        <v>StlCode</v>
      </c>
      <c r="K1048" s="276"/>
      <c r="L1048" s="272"/>
      <c r="M1048" s="272"/>
      <c r="N1048" s="248" t="str">
        <f>HYPERLINK("[#]DatatypeListedValues!A6478:H6478","&lt;values&gt;")</f>
        <v>&lt;values&gt;</v>
      </c>
      <c r="O1048" s="277" t="b">
        <v>0</v>
      </c>
      <c r="P1048" s="37">
        <v>101337</v>
      </c>
      <c r="Q1048" s="36" t="str">
        <f>CONCATENATE(Cover!$D$6,"fdd/view?i=",P1048)</f>
        <v>https://www.dgiwg.org/FAD/fdd/view?i=101337</v>
      </c>
      <c r="R1048" s="13" t="s">
        <v>11044</v>
      </c>
      <c r="S1048" s="172"/>
      <c r="T1048" s="172"/>
      <c r="AI1048" s="87" t="s">
        <v>1790</v>
      </c>
      <c r="CR1048" s="165" t="s">
        <v>1790</v>
      </c>
    </row>
    <row r="1049" spans="1:105" x14ac:dyDescent="0.2">
      <c r="A1049" s="176" t="str">
        <f t="shared" si="27"/>
        <v>nomboDensityMeasure</v>
      </c>
      <c r="B1049" s="11" t="s">
        <v>11050</v>
      </c>
      <c r="C1049" s="173"/>
      <c r="D1049" s="22" t="s">
        <v>11051</v>
      </c>
      <c r="E1049" s="15" t="s">
        <v>11052</v>
      </c>
      <c r="F1049" s="15" t="s">
        <v>10553</v>
      </c>
      <c r="G1049" s="174"/>
      <c r="H1049" s="17" t="s">
        <v>5932</v>
      </c>
      <c r="I1049" s="269"/>
      <c r="J1049" s="369" t="str">
        <f>HYPERLINK("[#]Datatypes!B1044:L1044","DmnCode")</f>
        <v>DmnCode</v>
      </c>
      <c r="K1049" s="276"/>
      <c r="L1049" s="272"/>
      <c r="M1049" s="272"/>
      <c r="N1049" s="248" t="str">
        <f>HYPERLINK("[#]DatatypeListedValues!A6482:H6482","&lt;values&gt;")</f>
        <v>&lt;values&gt;</v>
      </c>
      <c r="O1049" s="277" t="b">
        <v>0</v>
      </c>
      <c r="P1049" s="37">
        <v>114416</v>
      </c>
      <c r="Q1049" s="36" t="str">
        <f>CONCATENATE(Cover!$D$6,"fdd/view?i=",P1049)</f>
        <v>https://www.dgiwg.org/FAD/fdd/view?i=114416</v>
      </c>
      <c r="R1049" s="13" t="s">
        <v>11049</v>
      </c>
      <c r="S1049" s="172"/>
      <c r="T1049" s="172"/>
      <c r="CJ1049" s="81" t="s">
        <v>1790</v>
      </c>
      <c r="CQ1049" s="165" t="s">
        <v>1790</v>
      </c>
    </row>
    <row r="1050" spans="1:105" ht="63.75" x14ac:dyDescent="0.2">
      <c r="A1050" s="176" t="str">
        <f t="shared" si="27"/>
        <v>nominalRange</v>
      </c>
      <c r="B1050" s="11" t="s">
        <v>11055</v>
      </c>
      <c r="C1050" s="173"/>
      <c r="D1050" s="22" t="s">
        <v>11056</v>
      </c>
      <c r="E1050" s="15" t="s">
        <v>11057</v>
      </c>
      <c r="F1050" s="15" t="s">
        <v>11058</v>
      </c>
      <c r="G1050" s="174"/>
      <c r="H1050" s="17" t="s">
        <v>5932</v>
      </c>
      <c r="I1050" s="269"/>
      <c r="J1050" s="369" t="str">
        <f>HYPERLINK("[#]Datatypes!B742:L742","Integer")</f>
        <v>Integer</v>
      </c>
      <c r="K1050" s="271" t="str">
        <f>HYPERLINK("[#]PhysicalQuantities!A20:N20","Length")</f>
        <v>Length</v>
      </c>
      <c r="L1050" s="270" t="str">
        <f>HYPERLINK("[#]UnitsOfMeasure!D94:G94","Nautical Mile")</f>
        <v>Nautical Mile</v>
      </c>
      <c r="M1050" s="272"/>
      <c r="N1050" s="273"/>
      <c r="O1050" s="269"/>
      <c r="P1050" s="37">
        <v>101018</v>
      </c>
      <c r="Q1050" s="36" t="str">
        <f>CONCATENATE(Cover!$D$6,"fdd/view?i=",P1050)</f>
        <v>https://www.dgiwg.org/FAD/fdd/view?i=101018</v>
      </c>
      <c r="R1050" s="13" t="s">
        <v>11054</v>
      </c>
      <c r="S1050" s="172"/>
      <c r="T1050" s="172"/>
      <c r="AS1050" s="82" t="s">
        <v>1790</v>
      </c>
      <c r="BF1050" s="83" t="s">
        <v>1790</v>
      </c>
      <c r="CQ1050" s="165" t="s">
        <v>1790</v>
      </c>
    </row>
    <row r="1051" spans="1:105" ht="25.5" x14ac:dyDescent="0.2">
      <c r="A1051" s="176" t="str">
        <f t="shared" si="27"/>
        <v>nonStandardHoldingReason</v>
      </c>
      <c r="B1051" s="11" t="s">
        <v>11060</v>
      </c>
      <c r="C1051" s="173"/>
      <c r="D1051" s="22" t="s">
        <v>11061</v>
      </c>
      <c r="E1051" s="15" t="s">
        <v>11062</v>
      </c>
      <c r="F1051" s="174"/>
      <c r="G1051" s="174"/>
      <c r="H1051" s="17" t="s">
        <v>5932</v>
      </c>
      <c r="I1051" s="269"/>
      <c r="J1051" s="369" t="str">
        <f>HYPERLINK("[#]Datatypes!B1562:L1562","TextNonLexUnconstrained")</f>
        <v>TextNonLexUnconstrained</v>
      </c>
      <c r="K1051" s="276"/>
      <c r="L1051" s="272"/>
      <c r="M1051" s="272"/>
      <c r="N1051" s="273"/>
      <c r="O1051" s="269"/>
      <c r="P1051" s="37">
        <v>117645</v>
      </c>
      <c r="Q1051" s="36" t="str">
        <f>CONCATENATE(Cover!$D$6,"fdd/view?i=",P1051)</f>
        <v>https://www.dgiwg.org/FAD/fdd/view?i=117645</v>
      </c>
      <c r="R1051" s="13" t="s">
        <v>11059</v>
      </c>
      <c r="S1051" s="172"/>
      <c r="T1051" s="172"/>
      <c r="CI1051" s="89" t="s">
        <v>1790</v>
      </c>
    </row>
    <row r="1052" spans="1:105" x14ac:dyDescent="0.2">
      <c r="A1052" s="176" t="str">
        <f t="shared" si="27"/>
        <v>nonSubContactPositionAcc</v>
      </c>
      <c r="B1052" s="11" t="s">
        <v>11064</v>
      </c>
      <c r="C1052" s="173"/>
      <c r="D1052" s="22" t="s">
        <v>11065</v>
      </c>
      <c r="E1052" s="15" t="s">
        <v>11066</v>
      </c>
      <c r="F1052" s="174"/>
      <c r="G1052" s="174"/>
      <c r="H1052" s="17" t="s">
        <v>5932</v>
      </c>
      <c r="I1052" s="269"/>
      <c r="J1052" s="369" t="str">
        <f>HYPERLINK("[#]Datatypes!B1233:L1233","RealInterval")</f>
        <v>RealInterval</v>
      </c>
      <c r="K1052" s="271" t="str">
        <f>HYPERLINK("[#]PhysicalQuantities!A20:N20","Length")</f>
        <v>Length</v>
      </c>
      <c r="L1052" s="270" t="str">
        <f>HYPERLINK("[#]UnitsOfMeasure!D94:G94","Nautical Mile")</f>
        <v>Nautical Mile</v>
      </c>
      <c r="M1052" s="272"/>
      <c r="N1052" s="273"/>
      <c r="O1052" s="269"/>
      <c r="P1052" s="37">
        <v>109957</v>
      </c>
      <c r="Q1052" s="36" t="str">
        <f>CONCATENATE(Cover!$D$6,"fdd/view?i=",P1052)</f>
        <v>https://www.dgiwg.org/FAD/fdd/view?i=109957</v>
      </c>
      <c r="R1052" s="13" t="s">
        <v>11063</v>
      </c>
      <c r="S1052" s="172"/>
      <c r="T1052" s="172"/>
      <c r="AS1052" s="82" t="s">
        <v>1790</v>
      </c>
      <c r="BC1052" s="83" t="s">
        <v>1790</v>
      </c>
      <c r="BF1052" s="83" t="s">
        <v>1790</v>
      </c>
      <c r="BG1052" s="83" t="s">
        <v>1790</v>
      </c>
      <c r="CP1052" s="164" t="s">
        <v>1790</v>
      </c>
      <c r="CZ1052" s="165" t="s">
        <v>1790</v>
      </c>
    </row>
    <row r="1053" spans="1:105" x14ac:dyDescent="0.2">
      <c r="A1053" s="176" t="str">
        <f t="shared" si="27"/>
        <v>nonSubContactReportDate</v>
      </c>
      <c r="B1053" s="11" t="s">
        <v>11068</v>
      </c>
      <c r="C1053" s="173"/>
      <c r="D1053" s="22" t="s">
        <v>11069</v>
      </c>
      <c r="E1053" s="15" t="s">
        <v>11070</v>
      </c>
      <c r="F1053" s="15" t="s">
        <v>11071</v>
      </c>
      <c r="G1053" s="174"/>
      <c r="H1053" s="17" t="s">
        <v>5932</v>
      </c>
      <c r="I1053" s="269"/>
      <c r="J1053" s="369" t="str">
        <f>HYPERLINK("[#]Datatypes!B1055:L1055","WdtStrucText")</f>
        <v>WdtStrucText</v>
      </c>
      <c r="K1053" s="276"/>
      <c r="L1053" s="272"/>
      <c r="M1053" s="272"/>
      <c r="N1053" s="273"/>
      <c r="O1053" s="269"/>
      <c r="P1053" s="37">
        <v>101484</v>
      </c>
      <c r="Q1053" s="36" t="str">
        <f>CONCATENATE(Cover!$D$6,"fdd/view?i=",P1053)</f>
        <v>https://www.dgiwg.org/FAD/fdd/view?i=101484</v>
      </c>
      <c r="R1053" s="13" t="s">
        <v>11067</v>
      </c>
      <c r="S1053" s="172"/>
      <c r="T1053" s="172"/>
      <c r="BC1053" s="83" t="s">
        <v>1790</v>
      </c>
      <c r="BG1053" s="83" t="s">
        <v>1790</v>
      </c>
      <c r="CY1053" s="165" t="s">
        <v>1790</v>
      </c>
    </row>
    <row r="1054" spans="1:105" x14ac:dyDescent="0.2">
      <c r="A1054" s="176" t="str">
        <f t="shared" si="27"/>
        <v>nonSubContactReportAgType</v>
      </c>
      <c r="B1054" s="11" t="s">
        <v>11074</v>
      </c>
      <c r="C1054" s="173"/>
      <c r="D1054" s="22" t="s">
        <v>11075</v>
      </c>
      <c r="E1054" s="15" t="s">
        <v>11076</v>
      </c>
      <c r="F1054" s="15" t="s">
        <v>11077</v>
      </c>
      <c r="G1054" s="174"/>
      <c r="H1054" s="17" t="s">
        <v>5932</v>
      </c>
      <c r="I1054" s="269"/>
      <c r="J1054" s="369" t="str">
        <f>HYPERLINK("[#]Datatypes!B1057:L1057","RagCode")</f>
        <v>RagCode</v>
      </c>
      <c r="K1054" s="276"/>
      <c r="L1054" s="272"/>
      <c r="M1054" s="272"/>
      <c r="N1054" s="248" t="str">
        <f>HYPERLINK("[#]DatatypeListedValues!A6486:H6486","&lt;values&gt;")</f>
        <v>&lt;values&gt;</v>
      </c>
      <c r="O1054" s="277" t="b">
        <v>0</v>
      </c>
      <c r="P1054" s="37">
        <v>101202</v>
      </c>
      <c r="Q1054" s="36" t="str">
        <f>CONCATENATE(Cover!$D$6,"fdd/view?i=",P1054)</f>
        <v>https://www.dgiwg.org/FAD/fdd/view?i=101202</v>
      </c>
      <c r="R1054" s="13" t="s">
        <v>11073</v>
      </c>
      <c r="S1054" s="172"/>
      <c r="T1054" s="172"/>
      <c r="BG1054" s="83" t="s">
        <v>1790</v>
      </c>
      <c r="DA1054" s="165" t="s">
        <v>1790</v>
      </c>
    </row>
    <row r="1055" spans="1:105" x14ac:dyDescent="0.2">
      <c r="A1055" s="176" t="str">
        <f t="shared" si="27"/>
        <v>northReferenceType</v>
      </c>
      <c r="B1055" s="11" t="s">
        <v>11080</v>
      </c>
      <c r="C1055" s="173"/>
      <c r="D1055" s="22" t="s">
        <v>11081</v>
      </c>
      <c r="E1055" s="15" t="s">
        <v>11082</v>
      </c>
      <c r="F1055" s="15" t="s">
        <v>11083</v>
      </c>
      <c r="G1055" s="174"/>
      <c r="H1055" s="17" t="s">
        <v>5932</v>
      </c>
      <c r="I1055" s="269"/>
      <c r="J1055" s="369" t="str">
        <f>HYPERLINK("[#]Datatypes!B1059:L1059","NrtCode")</f>
        <v>NrtCode</v>
      </c>
      <c r="K1055" s="276"/>
      <c r="L1055" s="272"/>
      <c r="M1055" s="272"/>
      <c r="N1055" s="248" t="str">
        <f>HYPERLINK("[#]DatatypeListedValues!A6506:H6506","&lt;values&gt;")</f>
        <v>&lt;values&gt;</v>
      </c>
      <c r="O1055" s="277" t="b">
        <v>0</v>
      </c>
      <c r="P1055" s="37">
        <v>117646</v>
      </c>
      <c r="Q1055" s="36" t="str">
        <f>CONCATENATE(Cover!$D$6,"fdd/view?i=",P1055)</f>
        <v>https://www.dgiwg.org/FAD/fdd/view?i=117646</v>
      </c>
      <c r="R1055" s="13" t="s">
        <v>11079</v>
      </c>
      <c r="S1055" s="172"/>
      <c r="T1055" s="172"/>
      <c r="CP1055" s="164" t="s">
        <v>1790</v>
      </c>
    </row>
    <row r="1056" spans="1:105" x14ac:dyDescent="0.2">
      <c r="A1056" s="176" t="str">
        <f t="shared" si="27"/>
        <v>noticeToMarinersDate</v>
      </c>
      <c r="B1056" s="11" t="s">
        <v>11086</v>
      </c>
      <c r="C1056" s="173"/>
      <c r="D1056" s="22" t="s">
        <v>11087</v>
      </c>
      <c r="E1056" s="15" t="s">
        <v>11088</v>
      </c>
      <c r="F1056" s="174"/>
      <c r="G1056" s="174"/>
      <c r="H1056" s="17" t="s">
        <v>5932</v>
      </c>
      <c r="I1056" s="269"/>
      <c r="J1056" s="369" t="str">
        <f>HYPERLINK("[#]Datatypes!B1061:L1061","NmdStrucText")</f>
        <v>NmdStrucText</v>
      </c>
      <c r="K1056" s="276"/>
      <c r="L1056" s="272"/>
      <c r="M1056" s="272"/>
      <c r="N1056" s="273"/>
      <c r="O1056" s="269"/>
      <c r="P1056" s="37">
        <v>101100</v>
      </c>
      <c r="Q1056" s="36" t="str">
        <f>CONCATENATE(Cover!$D$6,"fdd/view?i=",P1056)</f>
        <v>https://www.dgiwg.org/FAD/fdd/view?i=101100</v>
      </c>
      <c r="R1056" s="13" t="s">
        <v>11085</v>
      </c>
      <c r="S1056" s="172"/>
      <c r="T1056" s="172"/>
      <c r="AS1056" s="82" t="s">
        <v>1790</v>
      </c>
      <c r="BF1056" s="83" t="s">
        <v>1790</v>
      </c>
      <c r="CY1056" s="165" t="s">
        <v>1790</v>
      </c>
      <c r="DA1056" s="165" t="s">
        <v>1790</v>
      </c>
    </row>
    <row r="1057" spans="1:105" x14ac:dyDescent="0.2">
      <c r="A1057" s="176" t="str">
        <f t="shared" si="27"/>
        <v>numberBerths</v>
      </c>
      <c r="B1057" s="11" t="s">
        <v>11091</v>
      </c>
      <c r="C1057" s="173"/>
      <c r="D1057" s="22" t="s">
        <v>11092</v>
      </c>
      <c r="E1057" s="15" t="s">
        <v>11093</v>
      </c>
      <c r="F1057" s="15" t="s">
        <v>11094</v>
      </c>
      <c r="G1057" s="174"/>
      <c r="H1057" s="17" t="s">
        <v>5932</v>
      </c>
      <c r="I1057" s="269"/>
      <c r="J1057" s="369" t="str">
        <f t="shared" ref="J1057:J1062" si="28">HYPERLINK("[#]Datatypes!B380:L380","Count")</f>
        <v>Count</v>
      </c>
      <c r="K1057" s="276"/>
      <c r="L1057" s="272"/>
      <c r="M1057" s="272"/>
      <c r="N1057" s="273"/>
      <c r="O1057" s="269"/>
      <c r="P1057" s="37">
        <v>119438</v>
      </c>
      <c r="Q1057" s="36" t="str">
        <f>CONCATENATE(Cover!$D$6,"fdd/view?i=",P1057)</f>
        <v>https://www.dgiwg.org/FAD/fdd/view?i=119438</v>
      </c>
      <c r="R1057" s="13" t="s">
        <v>11090</v>
      </c>
      <c r="S1057" s="172"/>
      <c r="T1057" s="172"/>
      <c r="BA1057" s="83" t="s">
        <v>1790</v>
      </c>
      <c r="BD1057" s="83" t="s">
        <v>1790</v>
      </c>
      <c r="BF1057" s="83" t="s">
        <v>1790</v>
      </c>
      <c r="CQ1057" s="165" t="s">
        <v>1790</v>
      </c>
    </row>
    <row r="1058" spans="1:105" ht="25.5" x14ac:dyDescent="0.2">
      <c r="A1058" s="176" t="str">
        <f t="shared" si="27"/>
        <v>numberCriticalCareBeds</v>
      </c>
      <c r="B1058" s="11" t="s">
        <v>11096</v>
      </c>
      <c r="C1058" s="173"/>
      <c r="D1058" s="22" t="s">
        <v>11097</v>
      </c>
      <c r="E1058" s="15" t="s">
        <v>11098</v>
      </c>
      <c r="F1058" s="174"/>
      <c r="G1058" s="174"/>
      <c r="H1058" s="17" t="s">
        <v>5932</v>
      </c>
      <c r="I1058" s="269"/>
      <c r="J1058" s="369" t="str">
        <f t="shared" si="28"/>
        <v>Count</v>
      </c>
      <c r="K1058" s="276"/>
      <c r="L1058" s="272"/>
      <c r="M1058" s="272"/>
      <c r="N1058" s="273"/>
      <c r="O1058" s="269"/>
      <c r="P1058" s="37">
        <v>119439</v>
      </c>
      <c r="Q1058" s="36" t="str">
        <f>CONCATENATE(Cover!$D$6,"fdd/view?i=",P1058)</f>
        <v>https://www.dgiwg.org/FAD/fdd/view?i=119439</v>
      </c>
      <c r="R1058" s="13" t="s">
        <v>11095</v>
      </c>
      <c r="S1058" s="172"/>
      <c r="T1058" s="172"/>
      <c r="AJ1058" s="83" t="s">
        <v>1790</v>
      </c>
      <c r="CQ1058" s="165" t="s">
        <v>1790</v>
      </c>
    </row>
    <row r="1059" spans="1:105" x14ac:dyDescent="0.2">
      <c r="A1059" s="176" t="str">
        <f t="shared" si="27"/>
        <v>numberHardAircraftShelters</v>
      </c>
      <c r="B1059" s="11" t="s">
        <v>11100</v>
      </c>
      <c r="C1059" s="173"/>
      <c r="D1059" s="22" t="s">
        <v>11101</v>
      </c>
      <c r="E1059" s="15" t="s">
        <v>11102</v>
      </c>
      <c r="F1059" s="174"/>
      <c r="G1059" s="174"/>
      <c r="H1059" s="17" t="s">
        <v>5932</v>
      </c>
      <c r="I1059" s="269"/>
      <c r="J1059" s="369" t="str">
        <f t="shared" si="28"/>
        <v>Count</v>
      </c>
      <c r="K1059" s="276"/>
      <c r="L1059" s="272"/>
      <c r="M1059" s="272"/>
      <c r="N1059" s="273"/>
      <c r="O1059" s="269"/>
      <c r="P1059" s="37">
        <v>119440</v>
      </c>
      <c r="Q1059" s="36" t="str">
        <f>CONCATENATE(Cover!$D$6,"fdd/view?i=",P1059)</f>
        <v>https://www.dgiwg.org/FAD/fdd/view?i=119440</v>
      </c>
      <c r="R1059" s="13" t="s">
        <v>11099</v>
      </c>
      <c r="S1059" s="172"/>
      <c r="T1059" s="172"/>
      <c r="AG1059" s="82" t="s">
        <v>1790</v>
      </c>
      <c r="AT1059" s="82" t="s">
        <v>1790</v>
      </c>
      <c r="CE1059" s="87" t="s">
        <v>1790</v>
      </c>
      <c r="CQ1059" s="165" t="s">
        <v>1790</v>
      </c>
    </row>
    <row r="1060" spans="1:105" ht="38.25" x14ac:dyDescent="0.2">
      <c r="A1060" s="176" t="str">
        <f t="shared" si="27"/>
        <v>numberHelipads</v>
      </c>
      <c r="B1060" s="11" t="s">
        <v>11104</v>
      </c>
      <c r="C1060" s="173"/>
      <c r="D1060" s="22" t="s">
        <v>11105</v>
      </c>
      <c r="E1060" s="15" t="s">
        <v>11106</v>
      </c>
      <c r="F1060" s="15" t="s">
        <v>11107</v>
      </c>
      <c r="G1060" s="174"/>
      <c r="H1060" s="17" t="s">
        <v>5932</v>
      </c>
      <c r="I1060" s="269"/>
      <c r="J1060" s="369" t="str">
        <f t="shared" si="28"/>
        <v>Count</v>
      </c>
      <c r="K1060" s="276"/>
      <c r="L1060" s="272"/>
      <c r="M1060" s="272"/>
      <c r="N1060" s="273"/>
      <c r="O1060" s="269"/>
      <c r="P1060" s="37">
        <v>119441</v>
      </c>
      <c r="Q1060" s="36" t="str">
        <f>CONCATENATE(Cover!$D$6,"fdd/view?i=",P1060)</f>
        <v>https://www.dgiwg.org/FAD/fdd/view?i=119441</v>
      </c>
      <c r="R1060" s="13" t="s">
        <v>11103</v>
      </c>
      <c r="S1060" s="172"/>
      <c r="T1060" s="172"/>
      <c r="AT1060" s="82" t="s">
        <v>1790</v>
      </c>
      <c r="CE1060" s="87" t="s">
        <v>1790</v>
      </c>
      <c r="CQ1060" s="165" t="s">
        <v>1790</v>
      </c>
    </row>
    <row r="1061" spans="1:105" x14ac:dyDescent="0.2">
      <c r="A1061" s="176" t="str">
        <f t="shared" si="27"/>
        <v>numberMineCatenaes</v>
      </c>
      <c r="B1061" s="11" t="s">
        <v>11109</v>
      </c>
      <c r="C1061" s="173"/>
      <c r="D1061" s="22" t="s">
        <v>11110</v>
      </c>
      <c r="E1061" s="15" t="s">
        <v>11111</v>
      </c>
      <c r="F1061" s="174"/>
      <c r="G1061" s="174"/>
      <c r="H1061" s="17" t="s">
        <v>5932</v>
      </c>
      <c r="I1061" s="269"/>
      <c r="J1061" s="369" t="str">
        <f t="shared" si="28"/>
        <v>Count</v>
      </c>
      <c r="K1061" s="271" t="str">
        <f>HYPERLINK("[#]PhysicalQuantities!A39:N39","Pure Number")</f>
        <v>Pure Number</v>
      </c>
      <c r="L1061" s="270" t="str">
        <f>HYPERLINK("[#]UnitsOfMeasure!D213:G213","Unitless")</f>
        <v>Unitless</v>
      </c>
      <c r="M1061" s="272"/>
      <c r="N1061" s="273"/>
      <c r="O1061" s="269"/>
      <c r="P1061" s="37">
        <v>118593</v>
      </c>
      <c r="Q1061" s="36" t="str">
        <f>CONCATENATE(Cover!$D$6,"fdd/view?i=",P1061)</f>
        <v>https://www.dgiwg.org/FAD/fdd/view?i=118593</v>
      </c>
      <c r="R1061" s="13" t="s">
        <v>11108</v>
      </c>
      <c r="S1061" s="172"/>
      <c r="T1061" s="172"/>
      <c r="AU1061" s="82" t="s">
        <v>1790</v>
      </c>
      <c r="CJ1061" s="81" t="s">
        <v>1790</v>
      </c>
      <c r="CK1061" s="82" t="s">
        <v>1790</v>
      </c>
      <c r="CL1061" s="85" t="s">
        <v>1790</v>
      </c>
      <c r="CQ1061" s="165" t="s">
        <v>1790</v>
      </c>
    </row>
    <row r="1062" spans="1:105" x14ac:dyDescent="0.2">
      <c r="A1062" s="176" t="str">
        <f t="shared" si="27"/>
        <v>numberOfMines</v>
      </c>
      <c r="B1062" s="11" t="s">
        <v>11113</v>
      </c>
      <c r="C1062" s="173"/>
      <c r="D1062" s="22" t="s">
        <v>11114</v>
      </c>
      <c r="E1062" s="15" t="s">
        <v>11115</v>
      </c>
      <c r="F1062" s="174"/>
      <c r="G1062" s="174"/>
      <c r="H1062" s="17" t="s">
        <v>5932</v>
      </c>
      <c r="I1062" s="269"/>
      <c r="J1062" s="369" t="str">
        <f t="shared" si="28"/>
        <v>Count</v>
      </c>
      <c r="K1062" s="271" t="str">
        <f>HYPERLINK("[#]PhysicalQuantities!A39:N39","Pure Number")</f>
        <v>Pure Number</v>
      </c>
      <c r="L1062" s="270" t="str">
        <f>HYPERLINK("[#]UnitsOfMeasure!D213:G213","Unitless")</f>
        <v>Unitless</v>
      </c>
      <c r="M1062" s="272"/>
      <c r="N1062" s="273"/>
      <c r="O1062" s="269"/>
      <c r="P1062" s="37">
        <v>118592</v>
      </c>
      <c r="Q1062" s="36" t="str">
        <f>CONCATENATE(Cover!$D$6,"fdd/view?i=",P1062)</f>
        <v>https://www.dgiwg.org/FAD/fdd/view?i=118592</v>
      </c>
      <c r="R1062" s="13" t="s">
        <v>11112</v>
      </c>
      <c r="S1062" s="172"/>
      <c r="T1062" s="172"/>
      <c r="AU1062" s="82" t="s">
        <v>1790</v>
      </c>
      <c r="CJ1062" s="81" t="s">
        <v>1790</v>
      </c>
      <c r="CK1062" s="82" t="s">
        <v>1790</v>
      </c>
      <c r="CL1062" s="85" t="s">
        <v>1790</v>
      </c>
      <c r="CQ1062" s="165" t="s">
        <v>1790</v>
      </c>
    </row>
    <row r="1063" spans="1:105" ht="38.25" x14ac:dyDescent="0.2">
      <c r="A1063" s="176" t="str">
        <f t="shared" si="27"/>
        <v>numericFeatureIdentifier</v>
      </c>
      <c r="B1063" s="11" t="s">
        <v>11117</v>
      </c>
      <c r="C1063" s="173"/>
      <c r="D1063" s="22" t="s">
        <v>11118</v>
      </c>
      <c r="E1063" s="15" t="s">
        <v>11119</v>
      </c>
      <c r="F1063" s="15" t="s">
        <v>11120</v>
      </c>
      <c r="G1063" s="174"/>
      <c r="H1063" s="17" t="s">
        <v>5932</v>
      </c>
      <c r="I1063" s="269"/>
      <c r="J1063" s="369" t="str">
        <f>HYPERLINK("[#]Datatypes!B722:L722","Index")</f>
        <v>Index</v>
      </c>
      <c r="K1063" s="276"/>
      <c r="L1063" s="272"/>
      <c r="M1063" s="272"/>
      <c r="N1063" s="273"/>
      <c r="O1063" s="269"/>
      <c r="P1063" s="37">
        <v>101412</v>
      </c>
      <c r="Q1063" s="36" t="str">
        <f>CONCATENATE(Cover!$D$6,"fdd/view?i=",P1063)</f>
        <v>https://www.dgiwg.org/FAD/fdd/view?i=101412</v>
      </c>
      <c r="R1063" s="13" t="s">
        <v>11116</v>
      </c>
      <c r="S1063" s="172"/>
      <c r="T1063" s="172"/>
      <c r="CV1063" s="83" t="s">
        <v>1790</v>
      </c>
      <c r="DA1063" s="165" t="s">
        <v>1790</v>
      </c>
    </row>
    <row r="1064" spans="1:105" x14ac:dyDescent="0.2">
      <c r="A1064" s="176" t="str">
        <f t="shared" si="27"/>
        <v>oasisType</v>
      </c>
      <c r="B1064" s="11" t="s">
        <v>11122</v>
      </c>
      <c r="C1064" s="173"/>
      <c r="D1064" s="22" t="s">
        <v>11123</v>
      </c>
      <c r="E1064" s="15" t="s">
        <v>11124</v>
      </c>
      <c r="F1064" s="174"/>
      <c r="G1064" s="174"/>
      <c r="H1064" s="17" t="s">
        <v>5932</v>
      </c>
      <c r="I1064" s="269"/>
      <c r="J1064" s="369" t="str">
        <f>HYPERLINK("[#]Datatypes!B1063:L1063","OtcCode")</f>
        <v>OtcCode</v>
      </c>
      <c r="K1064" s="276"/>
      <c r="L1064" s="272"/>
      <c r="M1064" s="272"/>
      <c r="N1064" s="248" t="str">
        <f>HYPERLINK("[#]DatatypeListedValues!A6509:H6509","&lt;values&gt;")</f>
        <v>&lt;values&gt;</v>
      </c>
      <c r="O1064" s="277" t="b">
        <v>0</v>
      </c>
      <c r="P1064" s="37">
        <v>111655</v>
      </c>
      <c r="Q1064" s="36" t="str">
        <f>CONCATENATE(Cover!$D$6,"fdd/view?i=",P1064)</f>
        <v>https://www.dgiwg.org/FAD/fdd/view?i=111655</v>
      </c>
      <c r="R1064" s="13" t="s">
        <v>11121</v>
      </c>
      <c r="S1064" s="172"/>
      <c r="T1064" s="172"/>
      <c r="BJ1064" s="83" t="s">
        <v>1790</v>
      </c>
      <c r="BY1064" s="83" t="s">
        <v>1790</v>
      </c>
      <c r="CT1064" s="166" t="s">
        <v>1790</v>
      </c>
    </row>
    <row r="1065" spans="1:105" ht="25.5" x14ac:dyDescent="0.2">
      <c r="A1065" s="176" t="str">
        <f t="shared" si="27"/>
        <v>observationCount</v>
      </c>
      <c r="B1065" s="11" t="s">
        <v>11127</v>
      </c>
      <c r="C1065" s="173"/>
      <c r="D1065" s="22" t="s">
        <v>11128</v>
      </c>
      <c r="E1065" s="15" t="s">
        <v>11129</v>
      </c>
      <c r="F1065" s="174"/>
      <c r="G1065" s="174"/>
      <c r="H1065" s="17" t="s">
        <v>5932</v>
      </c>
      <c r="I1065" s="269"/>
      <c r="J1065" s="369" t="str">
        <f>HYPERLINK("[#]Datatypes!B380:L380","Count")</f>
        <v>Count</v>
      </c>
      <c r="K1065" s="276"/>
      <c r="L1065" s="272"/>
      <c r="M1065" s="272"/>
      <c r="N1065" s="273"/>
      <c r="O1065" s="269"/>
      <c r="P1065" s="37">
        <v>114237</v>
      </c>
      <c r="Q1065" s="36" t="str">
        <f>CONCATENATE(Cover!$D$6,"fdd/view?i=",P1065)</f>
        <v>https://www.dgiwg.org/FAD/fdd/view?i=114237</v>
      </c>
      <c r="R1065" s="13" t="s">
        <v>11126</v>
      </c>
      <c r="S1065" s="172"/>
      <c r="T1065" s="172"/>
      <c r="CQ1065" s="165" t="s">
        <v>1790</v>
      </c>
      <c r="DA1065" s="165" t="s">
        <v>1790</v>
      </c>
    </row>
    <row r="1066" spans="1:105" ht="63.75" x14ac:dyDescent="0.2">
      <c r="A1066" s="176" t="str">
        <f t="shared" si="27"/>
        <v>obsLandWaterBoundaryHgt</v>
      </c>
      <c r="B1066" s="11" t="s">
        <v>11131</v>
      </c>
      <c r="C1066" s="173"/>
      <c r="D1066" s="22" t="s">
        <v>11132</v>
      </c>
      <c r="E1066" s="15" t="s">
        <v>11133</v>
      </c>
      <c r="F1066" s="15" t="s">
        <v>11134</v>
      </c>
      <c r="G1066" s="174"/>
      <c r="H1066" s="17" t="s">
        <v>5932</v>
      </c>
      <c r="I1066" s="269"/>
      <c r="J1066" s="369" t="str">
        <f>HYPERLINK("[#]Datatypes!B1231:L1231","Real")</f>
        <v>Real</v>
      </c>
      <c r="K1066" s="271" t="str">
        <f>HYPERLINK("[#]PhysicalQuantities!A20:N20","Length")</f>
        <v>Length</v>
      </c>
      <c r="L1066" s="270" t="str">
        <f>HYPERLINK("[#]UnitsOfMeasure!D80:G80","Metre")</f>
        <v>Metre</v>
      </c>
      <c r="M1066" s="272"/>
      <c r="N1066" s="273"/>
      <c r="O1066" s="269"/>
      <c r="P1066" s="37">
        <v>117796</v>
      </c>
      <c r="Q1066" s="36" t="str">
        <f>CONCATENATE(Cover!$D$6,"fdd/view?i=",P1066)</f>
        <v>https://www.dgiwg.org/FAD/fdd/view?i=117796</v>
      </c>
      <c r="R1066" s="13" t="s">
        <v>11130</v>
      </c>
      <c r="S1066" s="172"/>
      <c r="T1066" s="172"/>
      <c r="BJ1066" s="83" t="s">
        <v>1790</v>
      </c>
      <c r="CQ1066" s="165" t="s">
        <v>1790</v>
      </c>
    </row>
    <row r="1067" spans="1:105" ht="25.5" x14ac:dyDescent="0.2">
      <c r="A1067" s="176" t="str">
        <f t="shared" si="27"/>
        <v>obstacleClearanceAltitude</v>
      </c>
      <c r="B1067" s="11" t="s">
        <v>11136</v>
      </c>
      <c r="C1067" s="173"/>
      <c r="D1067" s="22" t="s">
        <v>11137</v>
      </c>
      <c r="E1067" s="15" t="s">
        <v>11138</v>
      </c>
      <c r="F1067" s="174"/>
      <c r="G1067" s="15" t="s">
        <v>11136</v>
      </c>
      <c r="H1067" s="17" t="s">
        <v>5932</v>
      </c>
      <c r="I1067" s="269"/>
      <c r="J1067" s="369" t="str">
        <f>HYPERLINK("[#]Datatypes!B1231:L1231","Real")</f>
        <v>Real</v>
      </c>
      <c r="K1067" s="271" t="str">
        <f>HYPERLINK("[#]PhysicalQuantities!A20:N20","Length")</f>
        <v>Length</v>
      </c>
      <c r="L1067" s="270" t="str">
        <f>HYPERLINK("[#]UnitsOfMeasure!D103:G103","Foot")</f>
        <v>Foot</v>
      </c>
      <c r="M1067" s="272"/>
      <c r="N1067" s="273"/>
      <c r="O1067" s="269"/>
      <c r="P1067" s="37">
        <v>117649</v>
      </c>
      <c r="Q1067" s="36" t="str">
        <f>CONCATENATE(Cover!$D$6,"fdd/view?i=",P1067)</f>
        <v>https://www.dgiwg.org/FAD/fdd/view?i=117649</v>
      </c>
      <c r="R1067" s="13" t="s">
        <v>11135</v>
      </c>
      <c r="S1067" s="172"/>
      <c r="T1067" s="172"/>
      <c r="CF1067" s="83" t="s">
        <v>1790</v>
      </c>
      <c r="CI1067" s="89" t="s">
        <v>1790</v>
      </c>
    </row>
    <row r="1068" spans="1:105" ht="76.5" x14ac:dyDescent="0.2">
      <c r="A1068" s="176" t="str">
        <f t="shared" si="27"/>
        <v>obstacleClearanceHeight</v>
      </c>
      <c r="B1068" s="11" t="s">
        <v>11140</v>
      </c>
      <c r="C1068" s="173"/>
      <c r="D1068" s="22" t="s">
        <v>11141</v>
      </c>
      <c r="E1068" s="15" t="s">
        <v>11142</v>
      </c>
      <c r="F1068" s="15" t="s">
        <v>11143</v>
      </c>
      <c r="G1068" s="15" t="s">
        <v>11140</v>
      </c>
      <c r="H1068" s="17" t="s">
        <v>5932</v>
      </c>
      <c r="I1068" s="269"/>
      <c r="J1068" s="369" t="str">
        <f>HYPERLINK("[#]Datatypes!B1231:L1231","Real")</f>
        <v>Real</v>
      </c>
      <c r="K1068" s="271" t="str">
        <f>HYPERLINK("[#]PhysicalQuantities!A20:N20","Length")</f>
        <v>Length</v>
      </c>
      <c r="L1068" s="270" t="str">
        <f>HYPERLINK("[#]UnitsOfMeasure!D103:G103","Foot")</f>
        <v>Foot</v>
      </c>
      <c r="M1068" s="272"/>
      <c r="N1068" s="273"/>
      <c r="O1068" s="269"/>
      <c r="P1068" s="37">
        <v>117650</v>
      </c>
      <c r="Q1068" s="36" t="str">
        <f>CONCATENATE(Cover!$D$6,"fdd/view?i=",P1068)</f>
        <v>https://www.dgiwg.org/FAD/fdd/view?i=117650</v>
      </c>
      <c r="R1068" s="13" t="s">
        <v>11139</v>
      </c>
      <c r="S1068" s="172"/>
      <c r="T1068" s="172"/>
      <c r="CF1068" s="83" t="s">
        <v>1790</v>
      </c>
      <c r="CI1068" s="89" t="s">
        <v>1790</v>
      </c>
    </row>
    <row r="1069" spans="1:105" ht="25.5" x14ac:dyDescent="0.2">
      <c r="A1069" s="176" t="str">
        <f t="shared" si="27"/>
        <v>obstacleIdentifier</v>
      </c>
      <c r="B1069" s="11" t="s">
        <v>11145</v>
      </c>
      <c r="C1069" s="173"/>
      <c r="D1069" s="22" t="s">
        <v>11146</v>
      </c>
      <c r="E1069" s="15" t="s">
        <v>11147</v>
      </c>
      <c r="F1069" s="174"/>
      <c r="G1069" s="174"/>
      <c r="H1069" s="17" t="s">
        <v>5932</v>
      </c>
      <c r="I1069" s="269"/>
      <c r="J1069" s="369" t="str">
        <f>HYPERLINK("[#]Datatypes!B1562:L1562","TextNonLexUnconstrained")</f>
        <v>TextNonLexUnconstrained</v>
      </c>
      <c r="K1069" s="276"/>
      <c r="L1069" s="272"/>
      <c r="M1069" s="272"/>
      <c r="N1069" s="273"/>
      <c r="O1069" s="269"/>
      <c r="P1069" s="37">
        <v>117652</v>
      </c>
      <c r="Q1069" s="36" t="str">
        <f>CONCATENATE(Cover!$D$6,"fdd/view?i=",P1069)</f>
        <v>https://www.dgiwg.org/FAD/fdd/view?i=117652</v>
      </c>
      <c r="R1069" s="13" t="s">
        <v>11144</v>
      </c>
      <c r="S1069" s="172"/>
      <c r="T1069" s="172"/>
      <c r="CG1069" s="83" t="s">
        <v>1790</v>
      </c>
    </row>
    <row r="1070" spans="1:105" ht="25.5" x14ac:dyDescent="0.2">
      <c r="A1070" s="176" t="str">
        <f t="shared" si="27"/>
        <v>obstacleMarkingPresent</v>
      </c>
      <c r="B1070" s="11" t="s">
        <v>11149</v>
      </c>
      <c r="C1070" s="173"/>
      <c r="D1070" s="22" t="s">
        <v>11150</v>
      </c>
      <c r="E1070" s="15" t="s">
        <v>11151</v>
      </c>
      <c r="F1070" s="15" t="s">
        <v>11152</v>
      </c>
      <c r="G1070" s="174"/>
      <c r="H1070" s="17" t="s">
        <v>5932</v>
      </c>
      <c r="I1070" s="269"/>
      <c r="J1070" s="369" t="str">
        <f>HYPERLINK("[#]Datatypes!B240:L240","Boolean")</f>
        <v>Boolean</v>
      </c>
      <c r="K1070" s="276"/>
      <c r="L1070" s="272"/>
      <c r="M1070" s="272"/>
      <c r="N1070" s="273"/>
      <c r="O1070" s="269"/>
      <c r="P1070" s="37">
        <v>117653</v>
      </c>
      <c r="Q1070" s="36" t="str">
        <f>CONCATENATE(Cover!$D$6,"fdd/view?i=",P1070)</f>
        <v>https://www.dgiwg.org/FAD/fdd/view?i=117653</v>
      </c>
      <c r="R1070" s="13" t="s">
        <v>11148</v>
      </c>
      <c r="S1070" s="172"/>
      <c r="T1070" s="172"/>
      <c r="CG1070" s="83" t="s">
        <v>1790</v>
      </c>
    </row>
    <row r="1071" spans="1:105" x14ac:dyDescent="0.2">
      <c r="A1071" s="176" t="str">
        <f t="shared" si="27"/>
        <v>obstructionLights</v>
      </c>
      <c r="B1071" s="11" t="s">
        <v>11154</v>
      </c>
      <c r="C1071" s="173"/>
      <c r="D1071" s="22" t="s">
        <v>11155</v>
      </c>
      <c r="E1071" s="15" t="s">
        <v>11156</v>
      </c>
      <c r="F1071" s="15" t="s">
        <v>11157</v>
      </c>
      <c r="G1071" s="174"/>
      <c r="H1071" s="17" t="s">
        <v>5932</v>
      </c>
      <c r="I1071" s="269"/>
      <c r="J1071" s="369" t="str">
        <f>HYPERLINK("[#]Datatypes!B1065:L1065","OlqCode")</f>
        <v>OlqCode</v>
      </c>
      <c r="K1071" s="276"/>
      <c r="L1071" s="272"/>
      <c r="M1071" s="272"/>
      <c r="N1071" s="248" t="str">
        <f>HYPERLINK("[#]DatatypeListedValues!A6513:H6513","&lt;values&gt;")</f>
        <v>&lt;values&gt;</v>
      </c>
      <c r="O1071" s="277" t="b">
        <v>0</v>
      </c>
      <c r="P1071" s="37">
        <v>101128</v>
      </c>
      <c r="Q1071" s="36" t="str">
        <f>CONCATENATE(Cover!$D$6,"fdd/view?i=",P1071)</f>
        <v>https://www.dgiwg.org/FAD/fdd/view?i=101128</v>
      </c>
      <c r="R1071" s="13" t="s">
        <v>11153</v>
      </c>
      <c r="S1071" s="172"/>
      <c r="T1071" s="172"/>
      <c r="AS1071" s="82" t="s">
        <v>1790</v>
      </c>
      <c r="AT1071" s="82" t="s">
        <v>1790</v>
      </c>
      <c r="AU1071" s="82" t="s">
        <v>1790</v>
      </c>
      <c r="BF1071" s="83" t="s">
        <v>1790</v>
      </c>
      <c r="BG1071" s="83" t="s">
        <v>1790</v>
      </c>
      <c r="CE1071" s="87" t="s">
        <v>1790</v>
      </c>
      <c r="CG1071" s="83" t="s">
        <v>1790</v>
      </c>
      <c r="CS1071" s="165" t="s">
        <v>1790</v>
      </c>
    </row>
    <row r="1072" spans="1:105" ht="25.5" x14ac:dyDescent="0.2">
      <c r="A1072" s="176" t="str">
        <f t="shared" si="27"/>
        <v>oceanBottomType</v>
      </c>
      <c r="B1072" s="11" t="s">
        <v>11160</v>
      </c>
      <c r="C1072" s="173"/>
      <c r="D1072" s="22" t="s">
        <v>11161</v>
      </c>
      <c r="E1072" s="15" t="s">
        <v>11162</v>
      </c>
      <c r="F1072" s="174"/>
      <c r="G1072" s="174"/>
      <c r="H1072" s="17" t="s">
        <v>5932</v>
      </c>
      <c r="I1072" s="269"/>
      <c r="J1072" s="369" t="str">
        <f>HYPERLINK("[#]Datatypes!B1067:L1067","LpcCode")</f>
        <v>LpcCode</v>
      </c>
      <c r="K1072" s="276"/>
      <c r="L1072" s="272"/>
      <c r="M1072" s="272"/>
      <c r="N1072" s="248" t="str">
        <f>HYPERLINK("[#]DatatypeListedValues!A6516:H6516","&lt;values&gt;")</f>
        <v>&lt;values&gt;</v>
      </c>
      <c r="O1072" s="277" t="b">
        <v>0</v>
      </c>
      <c r="P1072" s="37">
        <v>101009</v>
      </c>
      <c r="Q1072" s="36" t="str">
        <f>CONCATENATE(Cover!$D$6,"fdd/view?i=",P1072)</f>
        <v>https://www.dgiwg.org/FAD/fdd/view?i=101009</v>
      </c>
      <c r="R1072" s="13" t="s">
        <v>11159</v>
      </c>
      <c r="S1072" s="172"/>
      <c r="T1072" s="172"/>
      <c r="BC1072" s="83" t="s">
        <v>1790</v>
      </c>
      <c r="BM1072" s="82" t="s">
        <v>1790</v>
      </c>
      <c r="BN1072" s="82" t="s">
        <v>1790</v>
      </c>
      <c r="CS1072" s="165" t="s">
        <v>1790</v>
      </c>
    </row>
    <row r="1073" spans="1:105" x14ac:dyDescent="0.2">
      <c r="A1073" s="176" t="str">
        <f t="shared" si="27"/>
        <v>oceanCurrentTemperature</v>
      </c>
      <c r="B1073" s="11" t="s">
        <v>11165</v>
      </c>
      <c r="C1073" s="173"/>
      <c r="D1073" s="22" t="s">
        <v>11166</v>
      </c>
      <c r="E1073" s="15" t="s">
        <v>11167</v>
      </c>
      <c r="F1073" s="174"/>
      <c r="G1073" s="174"/>
      <c r="H1073" s="17" t="s">
        <v>5932</v>
      </c>
      <c r="I1073" s="269"/>
      <c r="J1073" s="369" t="str">
        <f>HYPERLINK("[#]Datatypes!B1069:L1069","WtaCode")</f>
        <v>WtaCode</v>
      </c>
      <c r="K1073" s="276"/>
      <c r="L1073" s="272"/>
      <c r="M1073" s="272"/>
      <c r="N1073" s="248" t="str">
        <f>HYPERLINK("[#]DatatypeListedValues!A6523:H6523","&lt;values&gt;")</f>
        <v>&lt;values&gt;</v>
      </c>
      <c r="O1073" s="277" t="b">
        <v>0</v>
      </c>
      <c r="P1073" s="37">
        <v>111765</v>
      </c>
      <c r="Q1073" s="36" t="str">
        <f>CONCATENATE(Cover!$D$6,"fdd/view?i=",P1073)</f>
        <v>https://www.dgiwg.org/FAD/fdd/view?i=111765</v>
      </c>
      <c r="R1073" s="13" t="s">
        <v>11164</v>
      </c>
      <c r="S1073" s="172"/>
      <c r="T1073" s="172"/>
      <c r="BE1073" s="83" t="s">
        <v>1790</v>
      </c>
      <c r="CQ1073" s="165" t="s">
        <v>1790</v>
      </c>
    </row>
    <row r="1074" spans="1:105" ht="38.25" x14ac:dyDescent="0.2">
      <c r="A1074" s="176" t="str">
        <f t="shared" si="27"/>
        <v>oceanType</v>
      </c>
      <c r="B1074" s="11" t="s">
        <v>11170</v>
      </c>
      <c r="C1074" s="173"/>
      <c r="D1074" s="22" t="s">
        <v>11171</v>
      </c>
      <c r="E1074" s="15" t="s">
        <v>11172</v>
      </c>
      <c r="F1074" s="174"/>
      <c r="G1074" s="174"/>
      <c r="H1074" s="17" t="s">
        <v>5932</v>
      </c>
      <c r="I1074" s="269"/>
      <c r="J1074" s="369" t="str">
        <f>HYPERLINK("[#]Datatypes!B1071:L1071","SotCode")</f>
        <v>SotCode</v>
      </c>
      <c r="K1074" s="276"/>
      <c r="L1074" s="272"/>
      <c r="M1074" s="272"/>
      <c r="N1074" s="248" t="str">
        <f>HYPERLINK("[#]DatatypeListedValues!A6525:H6525","&lt;values&gt;")</f>
        <v>&lt;values&gt;</v>
      </c>
      <c r="O1074" s="277" t="b">
        <v>0</v>
      </c>
      <c r="P1074" s="37">
        <v>111725</v>
      </c>
      <c r="Q1074" s="36" t="str">
        <f>CONCATENATE(Cover!$D$6,"fdd/view?i=",P1074)</f>
        <v>https://www.dgiwg.org/FAD/fdd/view?i=111725</v>
      </c>
      <c r="R1074" s="13" t="s">
        <v>11169</v>
      </c>
      <c r="S1074" s="172"/>
      <c r="T1074" s="172"/>
      <c r="CP1074" s="164" t="s">
        <v>1790</v>
      </c>
    </row>
    <row r="1075" spans="1:105" ht="25.5" x14ac:dyDescent="0.2">
      <c r="A1075" s="176" t="str">
        <f t="shared" si="27"/>
        <v>oceanFrontIndicator</v>
      </c>
      <c r="B1075" s="11" t="s">
        <v>11175</v>
      </c>
      <c r="C1075" s="173"/>
      <c r="D1075" s="22" t="s">
        <v>11176</v>
      </c>
      <c r="E1075" s="15" t="s">
        <v>11177</v>
      </c>
      <c r="F1075" s="174"/>
      <c r="G1075" s="174"/>
      <c r="H1075" s="17" t="s">
        <v>5932</v>
      </c>
      <c r="I1075" s="269"/>
      <c r="J1075" s="369" t="str">
        <f>HYPERLINK("[#]Datatypes!B1073:L1073","OfiCode")</f>
        <v>OfiCode</v>
      </c>
      <c r="K1075" s="276"/>
      <c r="L1075" s="272"/>
      <c r="M1075" s="272"/>
      <c r="N1075" s="248" t="str">
        <f>HYPERLINK("[#]DatatypeListedValues!A6528:H6528","&lt;values&gt;")</f>
        <v>&lt;values&gt;</v>
      </c>
      <c r="O1075" s="277" t="b">
        <v>0</v>
      </c>
      <c r="P1075" s="37">
        <v>119200</v>
      </c>
      <c r="Q1075" s="36" t="str">
        <f>CONCATENATE(Cover!$D$6,"fdd/view?i=",P1075)</f>
        <v>https://www.dgiwg.org/FAD/fdd/view?i=119200</v>
      </c>
      <c r="R1075" s="13" t="s">
        <v>11174</v>
      </c>
      <c r="S1075" s="172"/>
      <c r="T1075" s="172"/>
      <c r="BK1075" s="89" t="s">
        <v>1790</v>
      </c>
      <c r="CS1075" s="165" t="s">
        <v>1790</v>
      </c>
    </row>
    <row r="1076" spans="1:105" ht="25.5" x14ac:dyDescent="0.2">
      <c r="A1076" s="176" t="str">
        <f t="shared" si="27"/>
        <v>oceanographicFrontType</v>
      </c>
      <c r="B1076" s="11" t="s">
        <v>11180</v>
      </c>
      <c r="C1076" s="173"/>
      <c r="D1076" s="22" t="s">
        <v>11181</v>
      </c>
      <c r="E1076" s="15" t="s">
        <v>11182</v>
      </c>
      <c r="F1076" s="174"/>
      <c r="G1076" s="174"/>
      <c r="H1076" s="17" t="s">
        <v>5932</v>
      </c>
      <c r="I1076" s="269"/>
      <c r="J1076" s="369" t="str">
        <f>HYPERLINK("[#]Datatypes!B1075:L1075","OcfCode")</f>
        <v>OcfCode</v>
      </c>
      <c r="K1076" s="276"/>
      <c r="L1076" s="272"/>
      <c r="M1076" s="272"/>
      <c r="N1076" s="248" t="str">
        <f>HYPERLINK("[#]DatatypeListedValues!A6533:H6533","&lt;values&gt;")</f>
        <v>&lt;values&gt;</v>
      </c>
      <c r="O1076" s="277" t="b">
        <v>0</v>
      </c>
      <c r="P1076" s="37">
        <v>119199</v>
      </c>
      <c r="Q1076" s="36" t="str">
        <f>CONCATENATE(Cover!$D$6,"fdd/view?i=",P1076)</f>
        <v>https://www.dgiwg.org/FAD/fdd/view?i=119199</v>
      </c>
      <c r="R1076" s="13" t="s">
        <v>11179</v>
      </c>
      <c r="S1076" s="172"/>
      <c r="T1076" s="172"/>
      <c r="BK1076" s="89" t="s">
        <v>1790</v>
      </c>
      <c r="CS1076" s="165" t="s">
        <v>1790</v>
      </c>
    </row>
    <row r="1077" spans="1:105" x14ac:dyDescent="0.2">
      <c r="A1077" s="176" t="str">
        <f t="shared" si="27"/>
        <v>officialArea</v>
      </c>
      <c r="B1077" s="11" t="s">
        <v>11185</v>
      </c>
      <c r="C1077" s="173"/>
      <c r="D1077" s="22" t="s">
        <v>11186</v>
      </c>
      <c r="E1077" s="15" t="s">
        <v>11187</v>
      </c>
      <c r="F1077" s="174"/>
      <c r="G1077" s="174"/>
      <c r="H1077" s="17" t="s">
        <v>5932</v>
      </c>
      <c r="I1077" s="269"/>
      <c r="J1077" s="369" t="str">
        <f>HYPERLINK("[#]Datatypes!B1231:L1231","Real")</f>
        <v>Real</v>
      </c>
      <c r="K1077" s="271" t="str">
        <f>HYPERLINK("[#]PhysicalQuantities!A4:N4","Area")</f>
        <v>Area</v>
      </c>
      <c r="L1077" s="270" t="str">
        <f>HYPERLINK("[#]UnitsOfMeasure!D7:G7","Square Metre")</f>
        <v>Square Metre</v>
      </c>
      <c r="M1077" s="272"/>
      <c r="N1077" s="273"/>
      <c r="O1077" s="269"/>
      <c r="P1077" s="37">
        <v>118599</v>
      </c>
      <c r="Q1077" s="36" t="str">
        <f>CONCATENATE(Cover!$D$6,"fdd/view?i=",P1077)</f>
        <v>https://www.dgiwg.org/FAD/fdd/view?i=118599</v>
      </c>
      <c r="R1077" s="13" t="s">
        <v>11184</v>
      </c>
      <c r="S1077" s="172"/>
      <c r="T1077" s="172"/>
      <c r="CQ1077" s="165" t="s">
        <v>1790</v>
      </c>
    </row>
    <row r="1078" spans="1:105" ht="38.25" x14ac:dyDescent="0.2">
      <c r="A1078" s="176" t="str">
        <f t="shared" si="27"/>
        <v>officialCurrency</v>
      </c>
      <c r="B1078" s="11" t="s">
        <v>11189</v>
      </c>
      <c r="C1078" s="173"/>
      <c r="D1078" s="22" t="s">
        <v>11190</v>
      </c>
      <c r="E1078" s="15" t="s">
        <v>11191</v>
      </c>
      <c r="F1078" s="174"/>
      <c r="G1078" s="174"/>
      <c r="H1078" s="17" t="s">
        <v>5932</v>
      </c>
      <c r="I1078" s="269"/>
      <c r="J1078" s="369" t="str">
        <f>HYPERLINK("[#]Datatypes!B1077:L1077","CucStrucText")</f>
        <v>CucStrucText</v>
      </c>
      <c r="K1078" s="276"/>
      <c r="L1078" s="272"/>
      <c r="M1078" s="272"/>
      <c r="N1078" s="273"/>
      <c r="O1078" s="269"/>
      <c r="P1078" s="37">
        <v>111505</v>
      </c>
      <c r="Q1078" s="36" t="str">
        <f>CONCATENATE(Cover!$D$6,"fdd/view?i=",P1078)</f>
        <v>https://www.dgiwg.org/FAD/fdd/view?i=111505</v>
      </c>
      <c r="R1078" s="13" t="s">
        <v>11188</v>
      </c>
      <c r="S1078" s="172"/>
      <c r="T1078" s="172"/>
      <c r="AK1078" s="83" t="s">
        <v>1790</v>
      </c>
      <c r="CV1078" s="83" t="s">
        <v>1790</v>
      </c>
    </row>
    <row r="1079" spans="1:105" ht="25.5" x14ac:dyDescent="0.2">
      <c r="A1079" s="176" t="str">
        <f t="shared" si="27"/>
        <v>officialDepth</v>
      </c>
      <c r="B1079" s="11" t="s">
        <v>11194</v>
      </c>
      <c r="C1079" s="173"/>
      <c r="D1079" s="22" t="s">
        <v>11195</v>
      </c>
      <c r="E1079" s="15" t="s">
        <v>11196</v>
      </c>
      <c r="F1079" s="15" t="s">
        <v>11197</v>
      </c>
      <c r="G1079" s="174"/>
      <c r="H1079" s="17" t="s">
        <v>5932</v>
      </c>
      <c r="I1079" s="269"/>
      <c r="J1079" s="369" t="str">
        <f>HYPERLINK("[#]Datatypes!B1231:L1231","Real")</f>
        <v>Real</v>
      </c>
      <c r="K1079" s="271" t="str">
        <f>HYPERLINK("[#]PhysicalQuantities!A20:N20","Length")</f>
        <v>Length</v>
      </c>
      <c r="L1079" s="270" t="str">
        <f>HYPERLINK("[#]UnitsOfMeasure!D80:G80","Metre")</f>
        <v>Metre</v>
      </c>
      <c r="M1079" s="272"/>
      <c r="N1079" s="273"/>
      <c r="O1079" s="269"/>
      <c r="P1079" s="37">
        <v>114484</v>
      </c>
      <c r="Q1079" s="36" t="str">
        <f>CONCATENATE(Cover!$D$6,"fdd/view?i=",P1079)</f>
        <v>https://www.dgiwg.org/FAD/fdd/view?i=114484</v>
      </c>
      <c r="R1079" s="13" t="s">
        <v>11193</v>
      </c>
      <c r="S1079" s="172"/>
      <c r="T1079" s="172"/>
      <c r="AS1079" s="82" t="s">
        <v>1790</v>
      </c>
      <c r="AZ1079" s="87" t="s">
        <v>1790</v>
      </c>
      <c r="BA1079" s="83" t="s">
        <v>1790</v>
      </c>
      <c r="BB1079" s="83" t="s">
        <v>1790</v>
      </c>
      <c r="BJ1079" s="83" t="s">
        <v>1790</v>
      </c>
      <c r="CQ1079" s="165" t="s">
        <v>1790</v>
      </c>
    </row>
    <row r="1080" spans="1:105" ht="25.5" x14ac:dyDescent="0.2">
      <c r="A1080" s="176" t="str">
        <f t="shared" si="27"/>
        <v>officialElevation</v>
      </c>
      <c r="B1080" s="11" t="s">
        <v>11199</v>
      </c>
      <c r="C1080" s="173"/>
      <c r="D1080" s="22" t="s">
        <v>11200</v>
      </c>
      <c r="E1080" s="15" t="s">
        <v>11201</v>
      </c>
      <c r="F1080" s="174"/>
      <c r="G1080" s="174"/>
      <c r="H1080" s="17" t="s">
        <v>5932</v>
      </c>
      <c r="I1080" s="269"/>
      <c r="J1080" s="369" t="str">
        <f>HYPERLINK("[#]Datatypes!B1231:L1231","Real")</f>
        <v>Real</v>
      </c>
      <c r="K1080" s="271" t="str">
        <f>HYPERLINK("[#]PhysicalQuantities!A20:N20","Length")</f>
        <v>Length</v>
      </c>
      <c r="L1080" s="270" t="str">
        <f>HYPERLINK("[#]UnitsOfMeasure!D80:G80","Metre")</f>
        <v>Metre</v>
      </c>
      <c r="M1080" s="272"/>
      <c r="N1080" s="273"/>
      <c r="O1080" s="269"/>
      <c r="P1080" s="37">
        <v>119217</v>
      </c>
      <c r="Q1080" s="36" t="str">
        <f>CONCATENATE(Cover!$D$6,"fdd/view?i=",P1080)</f>
        <v>https://www.dgiwg.org/FAD/fdd/view?i=119217</v>
      </c>
      <c r="R1080" s="13" t="s">
        <v>11198</v>
      </c>
      <c r="S1080" s="172"/>
      <c r="T1080" s="172"/>
      <c r="BL1080" s="81" t="s">
        <v>1790</v>
      </c>
      <c r="CD1080" s="85" t="s">
        <v>1790</v>
      </c>
      <c r="CP1080" s="164" t="s">
        <v>1790</v>
      </c>
    </row>
    <row r="1081" spans="1:105" ht="25.5" x14ac:dyDescent="0.2">
      <c r="A1081" s="176" t="str">
        <f t="shared" si="27"/>
        <v>officialHeight</v>
      </c>
      <c r="B1081" s="11" t="s">
        <v>11203</v>
      </c>
      <c r="C1081" s="173"/>
      <c r="D1081" s="22" t="s">
        <v>11204</v>
      </c>
      <c r="E1081" s="15" t="s">
        <v>11205</v>
      </c>
      <c r="F1081" s="174"/>
      <c r="G1081" s="174"/>
      <c r="H1081" s="17" t="s">
        <v>5932</v>
      </c>
      <c r="I1081" s="269"/>
      <c r="J1081" s="369" t="str">
        <f>HYPERLINK("[#]Datatypes!B1231:L1231","Real")</f>
        <v>Real</v>
      </c>
      <c r="K1081" s="271" t="str">
        <f>HYPERLINK("[#]PhysicalQuantities!A20:N20","Length")</f>
        <v>Length</v>
      </c>
      <c r="L1081" s="270" t="str">
        <f>HYPERLINK("[#]UnitsOfMeasure!D80:G80","Metre")</f>
        <v>Metre</v>
      </c>
      <c r="M1081" s="272"/>
      <c r="N1081" s="273"/>
      <c r="O1081" s="269"/>
      <c r="P1081" s="37">
        <v>118596</v>
      </c>
      <c r="Q1081" s="36" t="str">
        <f>CONCATENATE(Cover!$D$6,"fdd/view?i=",P1081)</f>
        <v>https://www.dgiwg.org/FAD/fdd/view?i=118596</v>
      </c>
      <c r="R1081" s="13" t="s">
        <v>11202</v>
      </c>
      <c r="S1081" s="172"/>
      <c r="T1081" s="172"/>
      <c r="CQ1081" s="165" t="s">
        <v>1790</v>
      </c>
    </row>
    <row r="1082" spans="1:105" x14ac:dyDescent="0.2">
      <c r="A1082" s="176" t="str">
        <f t="shared" si="27"/>
        <v>officialLanguage</v>
      </c>
      <c r="B1082" s="11" t="s">
        <v>11207</v>
      </c>
      <c r="C1082" s="173"/>
      <c r="D1082" s="22" t="s">
        <v>11208</v>
      </c>
      <c r="E1082" s="15" t="s">
        <v>11209</v>
      </c>
      <c r="F1082" s="174"/>
      <c r="G1082" s="174"/>
      <c r="H1082" s="17" t="s">
        <v>5932</v>
      </c>
      <c r="I1082" s="269"/>
      <c r="J1082" s="369" t="str">
        <f>HYPERLINK("[#]Datatypes!B1544:L1544","TextLexUnconstrained")</f>
        <v>TextLexUnconstrained</v>
      </c>
      <c r="K1082" s="276"/>
      <c r="L1082" s="272"/>
      <c r="M1082" s="272"/>
      <c r="N1082" s="273"/>
      <c r="O1082" s="269"/>
      <c r="P1082" s="37">
        <v>111651</v>
      </c>
      <c r="Q1082" s="36" t="str">
        <f>CONCATENATE(Cover!$D$6,"fdd/view?i=",P1082)</f>
        <v>https://www.dgiwg.org/FAD/fdd/view?i=111651</v>
      </c>
      <c r="R1082" s="13" t="s">
        <v>11206</v>
      </c>
      <c r="S1082" s="172"/>
      <c r="T1082" s="172"/>
      <c r="AM1082" s="83" t="s">
        <v>1790</v>
      </c>
      <c r="AO1082" s="89" t="s">
        <v>1790</v>
      </c>
      <c r="CU1082" s="87" t="s">
        <v>1790</v>
      </c>
    </row>
    <row r="1083" spans="1:105" ht="25.5" x14ac:dyDescent="0.2">
      <c r="A1083" s="176" t="str">
        <f t="shared" si="27"/>
        <v>officialLatitude</v>
      </c>
      <c r="B1083" s="11" t="s">
        <v>11211</v>
      </c>
      <c r="C1083" s="173"/>
      <c r="D1083" s="22" t="s">
        <v>11212</v>
      </c>
      <c r="E1083" s="15" t="s">
        <v>11213</v>
      </c>
      <c r="F1083" s="15" t="s">
        <v>11214</v>
      </c>
      <c r="G1083" s="174"/>
      <c r="H1083" s="17" t="s">
        <v>5932</v>
      </c>
      <c r="I1083" s="269"/>
      <c r="J1083" s="369" t="str">
        <f t="shared" ref="J1083:J1089" si="29">HYPERLINK("[#]Datatypes!B1231:L1231","Real")</f>
        <v>Real</v>
      </c>
      <c r="K1083" s="271" t="str">
        <f>HYPERLINK("[#]PhysicalQuantities!A34:N34","Plane Angle")</f>
        <v>Plane Angle</v>
      </c>
      <c r="L1083" s="270" t="str">
        <f>HYPERLINK("[#]UnitsOfMeasure!D159:G159","Arc Degree")</f>
        <v>Arc Degree</v>
      </c>
      <c r="M1083" s="272"/>
      <c r="N1083" s="273"/>
      <c r="O1083" s="269"/>
      <c r="P1083" s="37">
        <v>114483</v>
      </c>
      <c r="Q1083" s="36" t="str">
        <f>CONCATENATE(Cover!$D$6,"fdd/view?i=",P1083)</f>
        <v>https://www.dgiwg.org/FAD/fdd/view?i=114483</v>
      </c>
      <c r="R1083" s="13" t="s">
        <v>11210</v>
      </c>
      <c r="S1083" s="172"/>
      <c r="T1083" s="172"/>
      <c r="CP1083" s="164" t="s">
        <v>1790</v>
      </c>
      <c r="DA1083" s="165" t="s">
        <v>1790</v>
      </c>
    </row>
    <row r="1084" spans="1:105" x14ac:dyDescent="0.2">
      <c r="A1084" s="176" t="str">
        <f t="shared" si="27"/>
        <v>officialLength</v>
      </c>
      <c r="B1084" s="11" t="s">
        <v>11216</v>
      </c>
      <c r="C1084" s="173"/>
      <c r="D1084" s="22" t="s">
        <v>11217</v>
      </c>
      <c r="E1084" s="15" t="s">
        <v>11218</v>
      </c>
      <c r="F1084" s="174"/>
      <c r="G1084" s="174"/>
      <c r="H1084" s="17" t="s">
        <v>5932</v>
      </c>
      <c r="I1084" s="269"/>
      <c r="J1084" s="369" t="str">
        <f t="shared" si="29"/>
        <v>Real</v>
      </c>
      <c r="K1084" s="271" t="str">
        <f>HYPERLINK("[#]PhysicalQuantities!A20:N20","Length")</f>
        <v>Length</v>
      </c>
      <c r="L1084" s="270" t="str">
        <f>HYPERLINK("[#]UnitsOfMeasure!D80:G80","Metre")</f>
        <v>Metre</v>
      </c>
      <c r="M1084" s="272"/>
      <c r="N1084" s="273"/>
      <c r="O1084" s="269"/>
      <c r="P1084" s="37">
        <v>118597</v>
      </c>
      <c r="Q1084" s="36" t="str">
        <f>CONCATENATE(Cover!$D$6,"fdd/view?i=",P1084)</f>
        <v>https://www.dgiwg.org/FAD/fdd/view?i=118597</v>
      </c>
      <c r="R1084" s="13" t="s">
        <v>11215</v>
      </c>
      <c r="S1084" s="172"/>
      <c r="T1084" s="172"/>
      <c r="CQ1084" s="165" t="s">
        <v>1790</v>
      </c>
    </row>
    <row r="1085" spans="1:105" ht="25.5" x14ac:dyDescent="0.2">
      <c r="A1085" s="176" t="str">
        <f t="shared" si="27"/>
        <v>officialLongitude</v>
      </c>
      <c r="B1085" s="11" t="s">
        <v>11220</v>
      </c>
      <c r="C1085" s="173"/>
      <c r="D1085" s="22" t="s">
        <v>11221</v>
      </c>
      <c r="E1085" s="15" t="s">
        <v>11222</v>
      </c>
      <c r="F1085" s="15" t="s">
        <v>11214</v>
      </c>
      <c r="G1085" s="174"/>
      <c r="H1085" s="17" t="s">
        <v>5932</v>
      </c>
      <c r="I1085" s="269"/>
      <c r="J1085" s="369" t="str">
        <f t="shared" si="29"/>
        <v>Real</v>
      </c>
      <c r="K1085" s="271" t="str">
        <f>HYPERLINK("[#]PhysicalQuantities!A34:N34","Plane Angle")</f>
        <v>Plane Angle</v>
      </c>
      <c r="L1085" s="270" t="str">
        <f>HYPERLINK("[#]UnitsOfMeasure!D159:G159","Arc Degree")</f>
        <v>Arc Degree</v>
      </c>
      <c r="M1085" s="272"/>
      <c r="N1085" s="273"/>
      <c r="O1085" s="269"/>
      <c r="P1085" s="37">
        <v>114485</v>
      </c>
      <c r="Q1085" s="36" t="str">
        <f>CONCATENATE(Cover!$D$6,"fdd/view?i=",P1085)</f>
        <v>https://www.dgiwg.org/FAD/fdd/view?i=114485</v>
      </c>
      <c r="R1085" s="13" t="s">
        <v>11219</v>
      </c>
      <c r="S1085" s="172"/>
      <c r="T1085" s="172"/>
      <c r="CP1085" s="164" t="s">
        <v>1790</v>
      </c>
      <c r="DA1085" s="165" t="s">
        <v>1790</v>
      </c>
    </row>
    <row r="1086" spans="1:105" ht="38.25" x14ac:dyDescent="0.2">
      <c r="A1086" s="176" t="str">
        <f t="shared" si="27"/>
        <v>officalOrientation</v>
      </c>
      <c r="B1086" s="11" t="s">
        <v>11224</v>
      </c>
      <c r="C1086" s="173"/>
      <c r="D1086" s="22" t="s">
        <v>11225</v>
      </c>
      <c r="E1086" s="15" t="s">
        <v>11226</v>
      </c>
      <c r="F1086" s="15" t="s">
        <v>11227</v>
      </c>
      <c r="G1086" s="174"/>
      <c r="H1086" s="17" t="s">
        <v>5932</v>
      </c>
      <c r="I1086" s="269"/>
      <c r="J1086" s="369" t="str">
        <f t="shared" si="29"/>
        <v>Real</v>
      </c>
      <c r="K1086" s="271" t="str">
        <f>HYPERLINK("[#]PhysicalQuantities!A34:N34","Plane Angle")</f>
        <v>Plane Angle</v>
      </c>
      <c r="L1086" s="270" t="str">
        <f>HYPERLINK("[#]UnitsOfMeasure!D159:G159","Arc Degree")</f>
        <v>Arc Degree</v>
      </c>
      <c r="M1086" s="272"/>
      <c r="N1086" s="273"/>
      <c r="O1086" s="269"/>
      <c r="P1086" s="37">
        <v>118594</v>
      </c>
      <c r="Q1086" s="36" t="str">
        <f>CONCATENATE(Cover!$D$6,"fdd/view?i=",P1086)</f>
        <v>https://www.dgiwg.org/FAD/fdd/view?i=118594</v>
      </c>
      <c r="R1086" s="13" t="s">
        <v>11223</v>
      </c>
      <c r="S1086" s="172"/>
      <c r="T1086" s="172"/>
      <c r="CQ1086" s="165" t="s">
        <v>1790</v>
      </c>
    </row>
    <row r="1087" spans="1:105" x14ac:dyDescent="0.2">
      <c r="A1087" s="176" t="str">
        <f t="shared" si="27"/>
        <v>officialWidth</v>
      </c>
      <c r="B1087" s="11" t="s">
        <v>11229</v>
      </c>
      <c r="C1087" s="173"/>
      <c r="D1087" s="22" t="s">
        <v>11230</v>
      </c>
      <c r="E1087" s="15" t="s">
        <v>11231</v>
      </c>
      <c r="F1087" s="174"/>
      <c r="G1087" s="174"/>
      <c r="H1087" s="17" t="s">
        <v>5932</v>
      </c>
      <c r="I1087" s="269"/>
      <c r="J1087" s="369" t="str">
        <f t="shared" si="29"/>
        <v>Real</v>
      </c>
      <c r="K1087" s="271" t="str">
        <f>HYPERLINK("[#]PhysicalQuantities!A20:N20","Length")</f>
        <v>Length</v>
      </c>
      <c r="L1087" s="270" t="str">
        <f>HYPERLINK("[#]UnitsOfMeasure!D80:G80","Metre")</f>
        <v>Metre</v>
      </c>
      <c r="M1087" s="272"/>
      <c r="N1087" s="273"/>
      <c r="O1087" s="269"/>
      <c r="P1087" s="37">
        <v>118598</v>
      </c>
      <c r="Q1087" s="36" t="str">
        <f>CONCATENATE(Cover!$D$6,"fdd/view?i=",P1087)</f>
        <v>https://www.dgiwg.org/FAD/fdd/view?i=118598</v>
      </c>
      <c r="R1087" s="13" t="s">
        <v>11228</v>
      </c>
      <c r="S1087" s="172"/>
      <c r="T1087" s="172"/>
      <c r="CQ1087" s="165" t="s">
        <v>1790</v>
      </c>
    </row>
    <row r="1088" spans="1:105" ht="51" x14ac:dyDescent="0.2">
      <c r="A1088" s="176" t="str">
        <f t="shared" si="27"/>
        <v>offRouteObstructClearAlt</v>
      </c>
      <c r="B1088" s="11" t="s">
        <v>11233</v>
      </c>
      <c r="C1088" s="173"/>
      <c r="D1088" s="22" t="s">
        <v>11234</v>
      </c>
      <c r="E1088" s="15" t="s">
        <v>11235</v>
      </c>
      <c r="F1088" s="15" t="s">
        <v>11236</v>
      </c>
      <c r="G1088" s="15" t="s">
        <v>11237</v>
      </c>
      <c r="H1088" s="17" t="s">
        <v>5932</v>
      </c>
      <c r="I1088" s="269"/>
      <c r="J1088" s="369" t="str">
        <f t="shared" si="29"/>
        <v>Real</v>
      </c>
      <c r="K1088" s="271" t="str">
        <f>HYPERLINK("[#]PhysicalQuantities!A20:N20","Length")</f>
        <v>Length</v>
      </c>
      <c r="L1088" s="270" t="str">
        <f>HYPERLINK("[#]UnitsOfMeasure!D103:G103","Foot")</f>
        <v>Foot</v>
      </c>
      <c r="M1088" s="272"/>
      <c r="N1088" s="273"/>
      <c r="O1088" s="269"/>
      <c r="P1088" s="37">
        <v>117654</v>
      </c>
      <c r="Q1088" s="36" t="str">
        <f>CONCATENATE(Cover!$D$6,"fdd/view?i=",P1088)</f>
        <v>https://www.dgiwg.org/FAD/fdd/view?i=117654</v>
      </c>
      <c r="R1088" s="13" t="s">
        <v>11232</v>
      </c>
      <c r="S1088" s="172"/>
      <c r="T1088" s="172"/>
      <c r="CF1088" s="83" t="s">
        <v>1790</v>
      </c>
    </row>
    <row r="1089" spans="1:103" ht="38.25" x14ac:dyDescent="0.2">
      <c r="A1089" s="176" t="str">
        <f t="shared" si="27"/>
        <v>offRouteTerrainClearAlt</v>
      </c>
      <c r="B1089" s="11" t="s">
        <v>11239</v>
      </c>
      <c r="C1089" s="173"/>
      <c r="D1089" s="22" t="s">
        <v>11240</v>
      </c>
      <c r="E1089" s="15" t="s">
        <v>11241</v>
      </c>
      <c r="F1089" s="15" t="s">
        <v>11236</v>
      </c>
      <c r="G1089" s="15" t="s">
        <v>11242</v>
      </c>
      <c r="H1089" s="17" t="s">
        <v>5932</v>
      </c>
      <c r="I1089" s="269"/>
      <c r="J1089" s="369" t="str">
        <f t="shared" si="29"/>
        <v>Real</v>
      </c>
      <c r="K1089" s="271" t="str">
        <f>HYPERLINK("[#]PhysicalQuantities!A20:N20","Length")</f>
        <v>Length</v>
      </c>
      <c r="L1089" s="270" t="str">
        <f>HYPERLINK("[#]UnitsOfMeasure!D103:G103","Foot")</f>
        <v>Foot</v>
      </c>
      <c r="M1089" s="272"/>
      <c r="N1089" s="273"/>
      <c r="O1089" s="269"/>
      <c r="P1089" s="37">
        <v>117655</v>
      </c>
      <c r="Q1089" s="36" t="str">
        <f>CONCATENATE(Cover!$D$6,"fdd/view?i=",P1089)</f>
        <v>https://www.dgiwg.org/FAD/fdd/view?i=117655</v>
      </c>
      <c r="R1089" s="13" t="s">
        <v>11238</v>
      </c>
      <c r="S1089" s="172"/>
      <c r="T1089" s="172"/>
      <c r="CF1089" s="83" t="s">
        <v>1790</v>
      </c>
    </row>
    <row r="1090" spans="1:103" ht="25.5" x14ac:dyDescent="0.2">
      <c r="A1090" s="176" t="str">
        <f t="shared" si="27"/>
        <v>offshoreConstPriStruct</v>
      </c>
      <c r="B1090" s="11" t="s">
        <v>11244</v>
      </c>
      <c r="C1090" s="173"/>
      <c r="D1090" s="22" t="s">
        <v>11245</v>
      </c>
      <c r="E1090" s="15" t="s">
        <v>11246</v>
      </c>
      <c r="F1090" s="174"/>
      <c r="G1090" s="174"/>
      <c r="H1090" s="17" t="s">
        <v>5932</v>
      </c>
      <c r="I1090" s="269"/>
      <c r="J1090" s="369" t="str">
        <f>HYPERLINK("[#]Datatypes!B1079:L1079","OcsCode")</f>
        <v>OcsCode</v>
      </c>
      <c r="K1090" s="276"/>
      <c r="L1090" s="272"/>
      <c r="M1090" s="272"/>
      <c r="N1090" s="248" t="str">
        <f>HYPERLINK("[#]DatatypeListedValues!A6536:H6536","&lt;values&gt;")</f>
        <v>&lt;values&gt;</v>
      </c>
      <c r="O1090" s="277" t="b">
        <v>0</v>
      </c>
      <c r="P1090" s="37">
        <v>111650</v>
      </c>
      <c r="Q1090" s="36" t="str">
        <f>CONCATENATE(Cover!$D$6,"fdd/view?i=",P1090)</f>
        <v>https://www.dgiwg.org/FAD/fdd/view?i=111650</v>
      </c>
      <c r="R1090" s="13" t="s">
        <v>11243</v>
      </c>
      <c r="S1090" s="172"/>
      <c r="T1090" s="172"/>
      <c r="AA1090" s="81" t="s">
        <v>1790</v>
      </c>
      <c r="BD1090" s="83" t="s">
        <v>1790</v>
      </c>
      <c r="CS1090" s="165" t="s">
        <v>1790</v>
      </c>
    </row>
    <row r="1091" spans="1:103" ht="25.5" x14ac:dyDescent="0.2">
      <c r="A1091" s="176" t="str">
        <f t="shared" ref="A1091:A1154" si="30">HYPERLINK(Q1091,R1091)</f>
        <v>offshoreConstSupStruct</v>
      </c>
      <c r="B1091" s="11" t="s">
        <v>11249</v>
      </c>
      <c r="C1091" s="173"/>
      <c r="D1091" s="22" t="s">
        <v>11250</v>
      </c>
      <c r="E1091" s="15" t="s">
        <v>11251</v>
      </c>
      <c r="F1091" s="174"/>
      <c r="G1091" s="174"/>
      <c r="H1091" s="17" t="s">
        <v>5932</v>
      </c>
      <c r="I1091" s="269"/>
      <c r="J1091" s="369" t="str">
        <f>HYPERLINK("[#]Datatypes!B1081:L1081","OssCode")</f>
        <v>OssCode</v>
      </c>
      <c r="K1091" s="276"/>
      <c r="L1091" s="272"/>
      <c r="M1091" s="272"/>
      <c r="N1091" s="248" t="str">
        <f>HYPERLINK("[#]DatatypeListedValues!A6542:H6542","&lt;values&gt;")</f>
        <v>&lt;values&gt;</v>
      </c>
      <c r="O1091" s="277" t="b">
        <v>0</v>
      </c>
      <c r="P1091" s="37">
        <v>111654</v>
      </c>
      <c r="Q1091" s="36" t="str">
        <f>CONCATENATE(Cover!$D$6,"fdd/view?i=",P1091)</f>
        <v>https://www.dgiwg.org/FAD/fdd/view?i=111654</v>
      </c>
      <c r="R1091" s="13" t="s">
        <v>11248</v>
      </c>
      <c r="S1091" s="172"/>
      <c r="T1091" s="172"/>
      <c r="AA1091" s="81" t="s">
        <v>1790</v>
      </c>
      <c r="BD1091" s="83" t="s">
        <v>1790</v>
      </c>
    </row>
    <row r="1092" spans="1:103" x14ac:dyDescent="0.2">
      <c r="A1092" s="176" t="str">
        <f t="shared" si="30"/>
        <v>offshorePlatformType</v>
      </c>
      <c r="B1092" s="11" t="s">
        <v>11254</v>
      </c>
      <c r="C1092" s="173"/>
      <c r="D1092" s="22" t="s">
        <v>11255</v>
      </c>
      <c r="E1092" s="15" t="s">
        <v>11256</v>
      </c>
      <c r="F1092" s="174"/>
      <c r="G1092" s="174"/>
      <c r="H1092" s="17" t="s">
        <v>5932</v>
      </c>
      <c r="I1092" s="17" t="s">
        <v>6029</v>
      </c>
      <c r="J1092" s="369" t="str">
        <f>HYPERLINK("[#]Datatypes!B1083:L1083","OpcCode")</f>
        <v>OpcCode</v>
      </c>
      <c r="K1092" s="276"/>
      <c r="L1092" s="272"/>
      <c r="M1092" s="272"/>
      <c r="N1092" s="248" t="str">
        <f>HYPERLINK("[#]DatatypeListedValues!A6546:H6546","&lt;values&gt;")</f>
        <v>&lt;values&gt;</v>
      </c>
      <c r="O1092" s="277" t="b">
        <v>0</v>
      </c>
      <c r="P1092" s="37">
        <v>101130</v>
      </c>
      <c r="Q1092" s="36" t="str">
        <f>CONCATENATE(Cover!$D$6,"fdd/view?i=",P1092)</f>
        <v>https://www.dgiwg.org/FAD/fdd/view?i=101130</v>
      </c>
      <c r="R1092" s="13" t="s">
        <v>11253</v>
      </c>
      <c r="S1092" s="172"/>
      <c r="T1092" s="172"/>
      <c r="AA1092" s="81" t="s">
        <v>1790</v>
      </c>
      <c r="AB1092" s="82" t="s">
        <v>1790</v>
      </c>
      <c r="BD1092" s="83" t="s">
        <v>1790</v>
      </c>
      <c r="CT1092" s="166" t="s">
        <v>1790</v>
      </c>
    </row>
    <row r="1093" spans="1:103" ht="25.5" x14ac:dyDescent="0.2">
      <c r="A1093" s="176" t="str">
        <f t="shared" si="30"/>
        <v>offshorePositioningMethod</v>
      </c>
      <c r="B1093" s="11" t="s">
        <v>11259</v>
      </c>
      <c r="C1093" s="173"/>
      <c r="D1093" s="22" t="s">
        <v>11260</v>
      </c>
      <c r="E1093" s="15" t="s">
        <v>11261</v>
      </c>
      <c r="F1093" s="174"/>
      <c r="G1093" s="174"/>
      <c r="H1093" s="17" t="s">
        <v>5932</v>
      </c>
      <c r="I1093" s="269"/>
      <c r="J1093" s="369" t="str">
        <f>HYPERLINK("[#]Datatypes!B1085:L1085","OpmCode")</f>
        <v>OpmCode</v>
      </c>
      <c r="K1093" s="276"/>
      <c r="L1093" s="272"/>
      <c r="M1093" s="272"/>
      <c r="N1093" s="248" t="str">
        <f>HYPERLINK("[#]DatatypeListedValues!A6559:H6559","&lt;values&gt;")</f>
        <v>&lt;values&gt;</v>
      </c>
      <c r="O1093" s="277" t="b">
        <v>0</v>
      </c>
      <c r="P1093" s="37">
        <v>111653</v>
      </c>
      <c r="Q1093" s="36" t="str">
        <f>CONCATENATE(Cover!$D$6,"fdd/view?i=",P1093)</f>
        <v>https://www.dgiwg.org/FAD/fdd/view?i=111653</v>
      </c>
      <c r="R1093" s="13" t="s">
        <v>11258</v>
      </c>
      <c r="S1093" s="172"/>
      <c r="T1093" s="172"/>
      <c r="AA1093" s="81" t="s">
        <v>1790</v>
      </c>
      <c r="BD1093" s="83" t="s">
        <v>1790</v>
      </c>
      <c r="CP1093" s="164" t="s">
        <v>1790</v>
      </c>
      <c r="CY1093" s="165" t="s">
        <v>1790</v>
      </c>
    </row>
    <row r="1094" spans="1:103" ht="25.5" x14ac:dyDescent="0.2">
      <c r="A1094" s="176" t="str">
        <f t="shared" si="30"/>
        <v>oilBarrierType</v>
      </c>
      <c r="B1094" s="11" t="s">
        <v>11264</v>
      </c>
      <c r="C1094" s="173"/>
      <c r="D1094" s="22" t="s">
        <v>11265</v>
      </c>
      <c r="E1094" s="15" t="s">
        <v>11266</v>
      </c>
      <c r="F1094" s="174"/>
      <c r="G1094" s="174"/>
      <c r="H1094" s="17" t="s">
        <v>5932</v>
      </c>
      <c r="I1094" s="269"/>
      <c r="J1094" s="369" t="str">
        <f>HYPERLINK("[#]Datatypes!B1087:L1087","ObcCode")</f>
        <v>ObcCode</v>
      </c>
      <c r="K1094" s="276"/>
      <c r="L1094" s="272"/>
      <c r="M1094" s="272"/>
      <c r="N1094" s="248" t="str">
        <f>HYPERLINK("[#]DatatypeListedValues!A6563:H6563","&lt;values&gt;")</f>
        <v>&lt;values&gt;</v>
      </c>
      <c r="O1094" s="277" t="b">
        <v>0</v>
      </c>
      <c r="P1094" s="37">
        <v>101114</v>
      </c>
      <c r="Q1094" s="36" t="str">
        <f>CONCATENATE(Cover!$D$6,"fdd/view?i=",P1094)</f>
        <v>https://www.dgiwg.org/FAD/fdd/view?i=101114</v>
      </c>
      <c r="R1094" s="13" t="s">
        <v>11263</v>
      </c>
      <c r="S1094" s="172"/>
      <c r="T1094" s="172"/>
      <c r="AS1094" s="82" t="s">
        <v>1790</v>
      </c>
      <c r="BA1094" s="83" t="s">
        <v>1790</v>
      </c>
      <c r="BD1094" s="83" t="s">
        <v>1790</v>
      </c>
      <c r="BG1094" s="83" t="s">
        <v>1790</v>
      </c>
      <c r="CT1094" s="166" t="s">
        <v>1790</v>
      </c>
    </row>
    <row r="1095" spans="1:103" ht="127.5" x14ac:dyDescent="0.2">
      <c r="A1095" s="176" t="str">
        <f t="shared" si="30"/>
        <v>omnidirectionalDepartAuth</v>
      </c>
      <c r="B1095" s="11" t="s">
        <v>11269</v>
      </c>
      <c r="C1095" s="173"/>
      <c r="D1095" s="22" t="s">
        <v>11270</v>
      </c>
      <c r="E1095" s="15" t="s">
        <v>11271</v>
      </c>
      <c r="F1095" s="15" t="s">
        <v>11272</v>
      </c>
      <c r="G1095" s="174"/>
      <c r="H1095" s="17" t="s">
        <v>5932</v>
      </c>
      <c r="I1095" s="269"/>
      <c r="J1095" s="369" t="str">
        <f>HYPERLINK("[#]Datatypes!B240:L240","Boolean")</f>
        <v>Boolean</v>
      </c>
      <c r="K1095" s="276"/>
      <c r="L1095" s="272"/>
      <c r="M1095" s="272"/>
      <c r="N1095" s="273"/>
      <c r="O1095" s="269"/>
      <c r="P1095" s="37">
        <v>119613</v>
      </c>
      <c r="Q1095" s="36" t="str">
        <f>CONCATENATE(Cover!$D$6,"fdd/view?i=",P1095)</f>
        <v>https://www.dgiwg.org/FAD/fdd/view?i=119613</v>
      </c>
      <c r="R1095" s="13" t="s">
        <v>11268</v>
      </c>
      <c r="S1095" s="172"/>
      <c r="T1095" s="172"/>
      <c r="AT1095" s="82" t="s">
        <v>1790</v>
      </c>
      <c r="CF1095" s="83" t="s">
        <v>1790</v>
      </c>
      <c r="CT1095" s="166" t="s">
        <v>1790</v>
      </c>
    </row>
    <row r="1096" spans="1:103" ht="76.5" x14ac:dyDescent="0.2">
      <c r="A1096" s="176" t="str">
        <f t="shared" si="30"/>
        <v>oneWay</v>
      </c>
      <c r="B1096" s="11" t="s">
        <v>11274</v>
      </c>
      <c r="C1096" s="173"/>
      <c r="D1096" s="22" t="s">
        <v>11275</v>
      </c>
      <c r="E1096" s="15" t="s">
        <v>11276</v>
      </c>
      <c r="F1096" s="15" t="s">
        <v>11277</v>
      </c>
      <c r="G1096" s="174"/>
      <c r="H1096" s="17" t="s">
        <v>5932</v>
      </c>
      <c r="I1096" s="269"/>
      <c r="J1096" s="369" t="str">
        <f>HYPERLINK("[#]Datatypes!B240:L240","Boolean")</f>
        <v>Boolean</v>
      </c>
      <c r="K1096" s="276"/>
      <c r="L1096" s="272"/>
      <c r="M1096" s="272"/>
      <c r="N1096" s="273"/>
      <c r="O1096" s="269"/>
      <c r="P1096" s="37">
        <v>111652</v>
      </c>
      <c r="Q1096" s="36" t="str">
        <f>CONCATENATE(Cover!$D$6,"fdd/view?i=",P1096)</f>
        <v>https://www.dgiwg.org/FAD/fdd/view?i=111652</v>
      </c>
      <c r="R1096" s="13" t="s">
        <v>11273</v>
      </c>
      <c r="S1096" s="172"/>
      <c r="T1096" s="172"/>
      <c r="AQ1096" s="82" t="s">
        <v>1790</v>
      </c>
      <c r="CT1096" s="166" t="s">
        <v>1790</v>
      </c>
    </row>
    <row r="1097" spans="1:103" ht="89.25" x14ac:dyDescent="0.2">
      <c r="A1097" s="176" t="str">
        <f t="shared" si="30"/>
        <v>openingThickness</v>
      </c>
      <c r="B1097" s="11" t="s">
        <v>11279</v>
      </c>
      <c r="C1097" s="173"/>
      <c r="D1097" s="22" t="s">
        <v>11280</v>
      </c>
      <c r="E1097" s="15" t="s">
        <v>11281</v>
      </c>
      <c r="F1097" s="15" t="s">
        <v>11282</v>
      </c>
      <c r="G1097" s="174"/>
      <c r="H1097" s="17" t="s">
        <v>5932</v>
      </c>
      <c r="I1097" s="269"/>
      <c r="J1097" s="369" t="str">
        <f>HYPERLINK("[#]Datatypes!B1231:L1231","Real")</f>
        <v>Real</v>
      </c>
      <c r="K1097" s="271" t="str">
        <f>HYPERLINK("[#]PhysicalQuantities!A20:N20","Length")</f>
        <v>Length</v>
      </c>
      <c r="L1097" s="270" t="str">
        <f>HYPERLINK("[#]UnitsOfMeasure!D80:G80","Metre")</f>
        <v>Metre</v>
      </c>
      <c r="M1097" s="272"/>
      <c r="N1097" s="273"/>
      <c r="O1097" s="269"/>
      <c r="P1097" s="37">
        <v>119588</v>
      </c>
      <c r="Q1097" s="36" t="str">
        <f>CONCATENATE(Cover!$D$6,"fdd/view?i=",P1097)</f>
        <v>https://www.dgiwg.org/FAD/fdd/view?i=119588</v>
      </c>
      <c r="R1097" s="13" t="s">
        <v>11278</v>
      </c>
      <c r="S1097" s="172"/>
      <c r="T1097" s="172"/>
      <c r="CQ1097" s="165" t="s">
        <v>1790</v>
      </c>
    </row>
    <row r="1098" spans="1:103" x14ac:dyDescent="0.2">
      <c r="A1098" s="176" t="str">
        <f t="shared" si="30"/>
        <v>operatingCycle</v>
      </c>
      <c r="B1098" s="11" t="s">
        <v>11284</v>
      </c>
      <c r="C1098" s="173"/>
      <c r="D1098" s="22" t="s">
        <v>11285</v>
      </c>
      <c r="E1098" s="15" t="s">
        <v>11286</v>
      </c>
      <c r="F1098" s="174"/>
      <c r="G1098" s="174"/>
      <c r="H1098" s="17" t="s">
        <v>5932</v>
      </c>
      <c r="I1098" s="269"/>
      <c r="J1098" s="369" t="str">
        <f>HYPERLINK("[#]Datatypes!B1089:L1089","OptCode")</f>
        <v>OptCode</v>
      </c>
      <c r="K1098" s="276"/>
      <c r="L1098" s="272"/>
      <c r="M1098" s="272"/>
      <c r="N1098" s="248" t="str">
        <f>HYPERLINK("[#]DatatypeListedValues!A6565:H6565","&lt;values&gt;")</f>
        <v>&lt;values&gt;</v>
      </c>
      <c r="O1098" s="277" t="b">
        <v>0</v>
      </c>
      <c r="P1098" s="37">
        <v>101133</v>
      </c>
      <c r="Q1098" s="36" t="str">
        <f>CONCATENATE(Cover!$D$6,"fdd/view?i=",P1098)</f>
        <v>https://www.dgiwg.org/FAD/fdd/view?i=101133</v>
      </c>
      <c r="R1098" s="13" t="s">
        <v>11283</v>
      </c>
      <c r="S1098" s="172"/>
      <c r="T1098" s="172"/>
      <c r="CR1098" s="165" t="s">
        <v>1790</v>
      </c>
      <c r="CT1098" s="166" t="s">
        <v>1790</v>
      </c>
    </row>
    <row r="1099" spans="1:103" ht="38.25" x14ac:dyDescent="0.2">
      <c r="A1099" s="176" t="str">
        <f t="shared" si="30"/>
        <v>operatingRestriction</v>
      </c>
      <c r="B1099" s="11" t="s">
        <v>11289</v>
      </c>
      <c r="C1099" s="173"/>
      <c r="D1099" s="22" t="s">
        <v>11290</v>
      </c>
      <c r="E1099" s="15" t="s">
        <v>11291</v>
      </c>
      <c r="F1099" s="174"/>
      <c r="G1099" s="174"/>
      <c r="H1099" s="17" t="s">
        <v>5932</v>
      </c>
      <c r="I1099" s="17" t="s">
        <v>6029</v>
      </c>
      <c r="J1099" s="369" t="str">
        <f>HYPERLINK("[#]Datatypes!B1091:L1091","OrsCode")</f>
        <v>OrsCode</v>
      </c>
      <c r="K1099" s="276"/>
      <c r="L1099" s="272"/>
      <c r="M1099" s="272"/>
      <c r="N1099" s="248" t="str">
        <f>HYPERLINK("[#]DatatypeListedValues!A6574:H6574","&lt;values&gt;")</f>
        <v>&lt;values&gt;</v>
      </c>
      <c r="O1099" s="277" t="b">
        <v>0</v>
      </c>
      <c r="P1099" s="37">
        <v>101137</v>
      </c>
      <c r="Q1099" s="36" t="str">
        <f>CONCATENATE(Cover!$D$6,"fdd/view?i=",P1099)</f>
        <v>https://www.dgiwg.org/FAD/fdd/view?i=101137</v>
      </c>
      <c r="R1099" s="13" t="s">
        <v>11288</v>
      </c>
      <c r="S1099" s="172"/>
      <c r="T1099" s="172"/>
      <c r="CR1099" s="165" t="s">
        <v>1790</v>
      </c>
      <c r="CT1099" s="166" t="s">
        <v>1790</v>
      </c>
    </row>
    <row r="1100" spans="1:103" x14ac:dyDescent="0.2">
      <c r="A1100" s="176" t="str">
        <f t="shared" si="30"/>
        <v>operational</v>
      </c>
      <c r="B1100" s="11" t="s">
        <v>11294</v>
      </c>
      <c r="C1100" s="173"/>
      <c r="D1100" s="22" t="s">
        <v>11295</v>
      </c>
      <c r="E1100" s="15" t="s">
        <v>11296</v>
      </c>
      <c r="F1100" s="174"/>
      <c r="G1100" s="174"/>
      <c r="H1100" s="17" t="s">
        <v>5932</v>
      </c>
      <c r="I1100" s="269"/>
      <c r="J1100" s="369" t="str">
        <f>HYPERLINK("[#]Datatypes!B240:L240","Boolean")</f>
        <v>Boolean</v>
      </c>
      <c r="K1100" s="276"/>
      <c r="L1100" s="272"/>
      <c r="M1100" s="272"/>
      <c r="N1100" s="273"/>
      <c r="O1100" s="269"/>
      <c r="P1100" s="37">
        <v>101131</v>
      </c>
      <c r="Q1100" s="36" t="str">
        <f>CONCATENATE(Cover!$D$6,"fdd/view?i=",P1100)</f>
        <v>https://www.dgiwg.org/FAD/fdd/view?i=101131</v>
      </c>
      <c r="R1100" s="13" t="s">
        <v>11293</v>
      </c>
      <c r="S1100" s="172"/>
      <c r="T1100" s="172"/>
      <c r="CT1100" s="166" t="s">
        <v>1790</v>
      </c>
    </row>
    <row r="1101" spans="1:103" ht="38.25" x14ac:dyDescent="0.2">
      <c r="A1101" s="176" t="str">
        <f t="shared" si="30"/>
        <v>operationsEndDateTime</v>
      </c>
      <c r="B1101" s="11" t="s">
        <v>11298</v>
      </c>
      <c r="C1101" s="173"/>
      <c r="D1101" s="22" t="s">
        <v>11299</v>
      </c>
      <c r="E1101" s="15" t="s">
        <v>11300</v>
      </c>
      <c r="F1101" s="15" t="s">
        <v>7752</v>
      </c>
      <c r="G1101" s="174"/>
      <c r="H1101" s="17" t="s">
        <v>5932</v>
      </c>
      <c r="I1101" s="269"/>
      <c r="J1101" s="369" t="str">
        <f>HYPERLINK("[#]Datatypes!B1093:L1093","OevStrucText")</f>
        <v>OevStrucText</v>
      </c>
      <c r="K1101" s="276"/>
      <c r="L1101" s="272"/>
      <c r="M1101" s="272"/>
      <c r="N1101" s="273"/>
      <c r="O1101" s="269"/>
      <c r="P1101" s="37">
        <v>109958</v>
      </c>
      <c r="Q1101" s="36" t="str">
        <f>CONCATENATE(Cover!$D$6,"fdd/view?i=",P1101)</f>
        <v>https://www.dgiwg.org/FAD/fdd/view?i=109958</v>
      </c>
      <c r="R1101" s="13" t="s">
        <v>11297</v>
      </c>
      <c r="S1101" s="172"/>
      <c r="T1101" s="172"/>
      <c r="CR1101" s="165" t="s">
        <v>1790</v>
      </c>
    </row>
    <row r="1102" spans="1:103" ht="38.25" x14ac:dyDescent="0.2">
      <c r="A1102" s="176" t="str">
        <f t="shared" si="30"/>
        <v>operationsInterval</v>
      </c>
      <c r="B1102" s="11" t="s">
        <v>11303</v>
      </c>
      <c r="C1102" s="173"/>
      <c r="D1102" s="22" t="s">
        <v>11304</v>
      </c>
      <c r="E1102" s="15" t="s">
        <v>11305</v>
      </c>
      <c r="F1102" s="15" t="s">
        <v>7752</v>
      </c>
      <c r="G1102" s="174"/>
      <c r="H1102" s="17" t="s">
        <v>5932</v>
      </c>
      <c r="I1102" s="269"/>
      <c r="J1102" s="369" t="str">
        <f>HYPERLINK("[#]Datatypes!B1095:L1095","OezStrucText")</f>
        <v>OezStrucText</v>
      </c>
      <c r="K1102" s="276"/>
      <c r="L1102" s="272"/>
      <c r="M1102" s="272"/>
      <c r="N1102" s="273"/>
      <c r="O1102" s="269"/>
      <c r="P1102" s="37">
        <v>109959</v>
      </c>
      <c r="Q1102" s="36" t="str">
        <f>CONCATENATE(Cover!$D$6,"fdd/view?i=",P1102)</f>
        <v>https://www.dgiwg.org/FAD/fdd/view?i=109959</v>
      </c>
      <c r="R1102" s="13" t="s">
        <v>11302</v>
      </c>
      <c r="S1102" s="172"/>
      <c r="T1102" s="172"/>
      <c r="CR1102" s="165" t="s">
        <v>1790</v>
      </c>
    </row>
    <row r="1103" spans="1:103" ht="38.25" x14ac:dyDescent="0.2">
      <c r="A1103" s="176" t="str">
        <f t="shared" si="30"/>
        <v>operationsStartDateTime</v>
      </c>
      <c r="B1103" s="11" t="s">
        <v>11308</v>
      </c>
      <c r="C1103" s="173"/>
      <c r="D1103" s="22" t="s">
        <v>11309</v>
      </c>
      <c r="E1103" s="15" t="s">
        <v>11310</v>
      </c>
      <c r="F1103" s="15" t="s">
        <v>7752</v>
      </c>
      <c r="G1103" s="174"/>
      <c r="H1103" s="17" t="s">
        <v>5932</v>
      </c>
      <c r="I1103" s="269"/>
      <c r="J1103" s="369" t="str">
        <f>HYPERLINK("[#]Datatypes!B1097:L1097","OsvStrucText")</f>
        <v>OsvStrucText</v>
      </c>
      <c r="K1103" s="276"/>
      <c r="L1103" s="272"/>
      <c r="M1103" s="272"/>
      <c r="N1103" s="273"/>
      <c r="O1103" s="269"/>
      <c r="P1103" s="37">
        <v>109960</v>
      </c>
      <c r="Q1103" s="36" t="str">
        <f>CONCATENATE(Cover!$D$6,"fdd/view?i=",P1103)</f>
        <v>https://www.dgiwg.org/FAD/fdd/view?i=109960</v>
      </c>
      <c r="R1103" s="13" t="s">
        <v>11307</v>
      </c>
      <c r="S1103" s="172"/>
      <c r="T1103" s="172"/>
      <c r="CR1103" s="165" t="s">
        <v>1790</v>
      </c>
      <c r="CT1103" s="166" t="s">
        <v>1790</v>
      </c>
    </row>
    <row r="1104" spans="1:103" ht="25.5" x14ac:dyDescent="0.2">
      <c r="A1104" s="176" t="str">
        <f t="shared" si="30"/>
        <v>ordnanceAreaConstruction</v>
      </c>
      <c r="B1104" s="11" t="s">
        <v>11313</v>
      </c>
      <c r="C1104" s="173"/>
      <c r="D1104" s="22" t="s">
        <v>11314</v>
      </c>
      <c r="E1104" s="15" t="s">
        <v>11315</v>
      </c>
      <c r="F1104" s="174"/>
      <c r="G1104" s="174"/>
      <c r="H1104" s="17" t="s">
        <v>5932</v>
      </c>
      <c r="I1104" s="269"/>
      <c r="J1104" s="369" t="str">
        <f>HYPERLINK("[#]Datatypes!B240:L240","Boolean")</f>
        <v>Boolean</v>
      </c>
      <c r="K1104" s="276"/>
      <c r="L1104" s="272"/>
      <c r="M1104" s="272"/>
      <c r="N1104" s="273"/>
      <c r="O1104" s="269"/>
      <c r="P1104" s="37">
        <v>101112</v>
      </c>
      <c r="Q1104" s="36" t="str">
        <f>CONCATENATE(Cover!$D$6,"fdd/view?i=",P1104)</f>
        <v>https://www.dgiwg.org/FAD/fdd/view?i=101112</v>
      </c>
      <c r="R1104" s="13" t="s">
        <v>11312</v>
      </c>
      <c r="S1104" s="172"/>
      <c r="T1104" s="172"/>
      <c r="AG1104" s="82" t="s">
        <v>1790</v>
      </c>
      <c r="CJ1104" s="81" t="s">
        <v>1790</v>
      </c>
    </row>
    <row r="1105" spans="1:105" x14ac:dyDescent="0.2">
      <c r="A1105" s="176" t="str">
        <f t="shared" si="30"/>
        <v>ordnanceBunkersPresent</v>
      </c>
      <c r="B1105" s="11" t="s">
        <v>11317</v>
      </c>
      <c r="C1105" s="173"/>
      <c r="D1105" s="22" t="s">
        <v>11318</v>
      </c>
      <c r="E1105" s="15" t="s">
        <v>11319</v>
      </c>
      <c r="F1105" s="174"/>
      <c r="G1105" s="174"/>
      <c r="H1105" s="17" t="s">
        <v>5932</v>
      </c>
      <c r="I1105" s="269"/>
      <c r="J1105" s="369" t="str">
        <f>HYPERLINK("[#]Datatypes!B240:L240","Boolean")</f>
        <v>Boolean</v>
      </c>
      <c r="K1105" s="276"/>
      <c r="L1105" s="272"/>
      <c r="M1105" s="272"/>
      <c r="N1105" s="273"/>
      <c r="O1105" s="269"/>
      <c r="P1105" s="37">
        <v>101115</v>
      </c>
      <c r="Q1105" s="36" t="str">
        <f>CONCATENATE(Cover!$D$6,"fdd/view?i=",P1105)</f>
        <v>https://www.dgiwg.org/FAD/fdd/view?i=101115</v>
      </c>
      <c r="R1105" s="13" t="s">
        <v>11316</v>
      </c>
      <c r="S1105" s="172"/>
      <c r="T1105" s="172"/>
      <c r="AG1105" s="82" t="s">
        <v>1790</v>
      </c>
      <c r="CJ1105" s="81" t="s">
        <v>1790</v>
      </c>
    </row>
    <row r="1106" spans="1:105" ht="25.5" x14ac:dyDescent="0.2">
      <c r="A1106" s="176" t="str">
        <f t="shared" si="30"/>
        <v>ordnanceFacilityType</v>
      </c>
      <c r="B1106" s="11" t="s">
        <v>11321</v>
      </c>
      <c r="C1106" s="173"/>
      <c r="D1106" s="22" t="s">
        <v>11322</v>
      </c>
      <c r="E1106" s="15" t="s">
        <v>11323</v>
      </c>
      <c r="F1106" s="174"/>
      <c r="G1106" s="174"/>
      <c r="H1106" s="17" t="s">
        <v>5932</v>
      </c>
      <c r="I1106" s="269"/>
      <c r="J1106" s="369" t="str">
        <f>HYPERLINK("[#]Datatypes!B1099:L1099","OftCode")</f>
        <v>OftCode</v>
      </c>
      <c r="K1106" s="276"/>
      <c r="L1106" s="272"/>
      <c r="M1106" s="272"/>
      <c r="N1106" s="248" t="str">
        <f>HYPERLINK("[#]DatatypeListedValues!A6586:H6586","&lt;values&gt;")</f>
        <v>&lt;values&gt;</v>
      </c>
      <c r="O1106" s="277" t="b">
        <v>0</v>
      </c>
      <c r="P1106" s="37">
        <v>101120</v>
      </c>
      <c r="Q1106" s="36" t="str">
        <f>CONCATENATE(Cover!$D$6,"fdd/view?i=",P1106)</f>
        <v>https://www.dgiwg.org/FAD/fdd/view?i=101120</v>
      </c>
      <c r="R1106" s="13" t="s">
        <v>11320</v>
      </c>
      <c r="S1106" s="172"/>
      <c r="T1106" s="172"/>
      <c r="CJ1106" s="81" t="s">
        <v>1790</v>
      </c>
      <c r="CT1106" s="166" t="s">
        <v>1790</v>
      </c>
    </row>
    <row r="1107" spans="1:105" ht="25.5" x14ac:dyDescent="0.2">
      <c r="A1107" s="176" t="str">
        <f t="shared" si="30"/>
        <v>ordnanceReinforcement</v>
      </c>
      <c r="B1107" s="11" t="s">
        <v>11326</v>
      </c>
      <c r="C1107" s="173"/>
      <c r="D1107" s="22" t="s">
        <v>11327</v>
      </c>
      <c r="E1107" s="15" t="s">
        <v>11328</v>
      </c>
      <c r="F1107" s="174"/>
      <c r="G1107" s="174"/>
      <c r="H1107" s="17" t="s">
        <v>5932</v>
      </c>
      <c r="I1107" s="269"/>
      <c r="J1107" s="369" t="str">
        <f>HYPERLINK("[#]Datatypes!B1101:L1101","OrfCode")</f>
        <v>OrfCode</v>
      </c>
      <c r="K1107" s="276"/>
      <c r="L1107" s="272"/>
      <c r="M1107" s="272"/>
      <c r="N1107" s="248" t="str">
        <f>HYPERLINK("[#]DatatypeListedValues!A6588:H6588","&lt;values&gt;")</f>
        <v>&lt;values&gt;</v>
      </c>
      <c r="O1107" s="277" t="b">
        <v>0</v>
      </c>
      <c r="P1107" s="37">
        <v>118621</v>
      </c>
      <c r="Q1107" s="36" t="str">
        <f>CONCATENATE(Cover!$D$6,"fdd/view?i=",P1107)</f>
        <v>https://www.dgiwg.org/FAD/fdd/view?i=118621</v>
      </c>
      <c r="R1107" s="13" t="s">
        <v>11325</v>
      </c>
      <c r="S1107" s="172"/>
      <c r="T1107" s="172"/>
      <c r="CJ1107" s="81" t="s">
        <v>1790</v>
      </c>
      <c r="CS1107" s="165" t="s">
        <v>1790</v>
      </c>
    </row>
    <row r="1108" spans="1:105" x14ac:dyDescent="0.2">
      <c r="A1108" s="176" t="str">
        <f t="shared" si="30"/>
        <v>orientBestObservation</v>
      </c>
      <c r="B1108" s="11" t="s">
        <v>11331</v>
      </c>
      <c r="C1108" s="173"/>
      <c r="D1108" s="22" t="s">
        <v>11332</v>
      </c>
      <c r="E1108" s="15" t="s">
        <v>11333</v>
      </c>
      <c r="F1108" s="174"/>
      <c r="G1108" s="174"/>
      <c r="H1108" s="17" t="s">
        <v>5932</v>
      </c>
      <c r="I1108" s="269"/>
      <c r="J1108" s="369" t="str">
        <f>HYPERLINK("[#]Datatypes!B1252:L1252","RealNonNeg360")</f>
        <v>RealNonNeg360</v>
      </c>
      <c r="K1108" s="271" t="str">
        <f>HYPERLINK("[#]PhysicalQuantities!A34:N34","Plane Angle")</f>
        <v>Plane Angle</v>
      </c>
      <c r="L1108" s="270" t="str">
        <f>HYPERLINK("[#]UnitsOfMeasure!D159:G159","Arc Degree")</f>
        <v>Arc Degree</v>
      </c>
      <c r="M1108" s="272"/>
      <c r="N1108" s="273"/>
      <c r="O1108" s="269"/>
      <c r="P1108" s="37">
        <v>114423</v>
      </c>
      <c r="Q1108" s="36" t="str">
        <f>CONCATENATE(Cover!$D$6,"fdd/view?i=",P1108)</f>
        <v>https://www.dgiwg.org/FAD/fdd/view?i=114423</v>
      </c>
      <c r="R1108" s="13" t="s">
        <v>11330</v>
      </c>
      <c r="S1108" s="172"/>
      <c r="T1108" s="172"/>
      <c r="CQ1108" s="165" t="s">
        <v>1790</v>
      </c>
    </row>
    <row r="1109" spans="1:105" x14ac:dyDescent="0.2">
      <c r="A1109" s="176" t="str">
        <f t="shared" si="30"/>
        <v>orthoHeightRunwayHighEnd</v>
      </c>
      <c r="B1109" s="11" t="s">
        <v>11335</v>
      </c>
      <c r="C1109" s="173"/>
      <c r="D1109" s="22" t="s">
        <v>11336</v>
      </c>
      <c r="E1109" s="15" t="s">
        <v>11337</v>
      </c>
      <c r="F1109" s="15" t="s">
        <v>9366</v>
      </c>
      <c r="G1109" s="174"/>
      <c r="H1109" s="17" t="s">
        <v>5932</v>
      </c>
      <c r="I1109" s="269"/>
      <c r="J1109" s="369" t="str">
        <f>HYPERLINK("[#]Datatypes!B1231:L1231","Real")</f>
        <v>Real</v>
      </c>
      <c r="K1109" s="271" t="str">
        <f>HYPERLINK("[#]PhysicalQuantities!A20:N20","Length")</f>
        <v>Length</v>
      </c>
      <c r="L1109" s="270" t="str">
        <f>HYPERLINK("[#]UnitsOfMeasure!D80:G80","Metre")</f>
        <v>Metre</v>
      </c>
      <c r="M1109" s="272"/>
      <c r="N1109" s="273"/>
      <c r="O1109" s="269"/>
      <c r="P1109" s="37">
        <v>101125</v>
      </c>
      <c r="Q1109" s="36" t="str">
        <f>CONCATENATE(Cover!$D$6,"fdd/view?i=",P1109)</f>
        <v>https://www.dgiwg.org/FAD/fdd/view?i=101125</v>
      </c>
      <c r="R1109" s="13" t="s">
        <v>11334</v>
      </c>
      <c r="S1109" s="172"/>
      <c r="T1109" s="172"/>
      <c r="AT1109" s="82" t="s">
        <v>1790</v>
      </c>
      <c r="CE1109" s="87" t="s">
        <v>1790</v>
      </c>
      <c r="CP1109" s="164" t="s">
        <v>1790</v>
      </c>
    </row>
    <row r="1110" spans="1:105" x14ac:dyDescent="0.2">
      <c r="A1110" s="176" t="str">
        <f t="shared" si="30"/>
        <v>orthoHeightRunwayLowEnd</v>
      </c>
      <c r="B1110" s="11" t="s">
        <v>11339</v>
      </c>
      <c r="C1110" s="173"/>
      <c r="D1110" s="22" t="s">
        <v>11340</v>
      </c>
      <c r="E1110" s="15" t="s">
        <v>11341</v>
      </c>
      <c r="F1110" s="15" t="s">
        <v>9366</v>
      </c>
      <c r="G1110" s="174"/>
      <c r="H1110" s="17" t="s">
        <v>5932</v>
      </c>
      <c r="I1110" s="269"/>
      <c r="J1110" s="369" t="str">
        <f>HYPERLINK("[#]Datatypes!B1231:L1231","Real")</f>
        <v>Real</v>
      </c>
      <c r="K1110" s="271" t="str">
        <f>HYPERLINK("[#]PhysicalQuantities!A20:N20","Length")</f>
        <v>Length</v>
      </c>
      <c r="L1110" s="270" t="str">
        <f>HYPERLINK("[#]UnitsOfMeasure!D80:G80","Metre")</f>
        <v>Metre</v>
      </c>
      <c r="M1110" s="272"/>
      <c r="N1110" s="273"/>
      <c r="O1110" s="269"/>
      <c r="P1110" s="37">
        <v>101127</v>
      </c>
      <c r="Q1110" s="36" t="str">
        <f>CONCATENATE(Cover!$D$6,"fdd/view?i=",P1110)</f>
        <v>https://www.dgiwg.org/FAD/fdd/view?i=101127</v>
      </c>
      <c r="R1110" s="13" t="s">
        <v>11338</v>
      </c>
      <c r="S1110" s="172"/>
      <c r="T1110" s="172"/>
      <c r="AT1110" s="82" t="s">
        <v>1790</v>
      </c>
      <c r="CE1110" s="87" t="s">
        <v>1790</v>
      </c>
      <c r="CP1110" s="164" t="s">
        <v>1790</v>
      </c>
    </row>
    <row r="1111" spans="1:105" ht="25.5" x14ac:dyDescent="0.2">
      <c r="A1111" s="176" t="str">
        <f t="shared" si="30"/>
        <v>overallBridgeHeight</v>
      </c>
      <c r="B1111" s="11" t="s">
        <v>11343</v>
      </c>
      <c r="C1111" s="173"/>
      <c r="D1111" s="22" t="s">
        <v>11344</v>
      </c>
      <c r="E1111" s="15" t="s">
        <v>11345</v>
      </c>
      <c r="F1111" s="174"/>
      <c r="G1111" s="174"/>
      <c r="H1111" s="17" t="s">
        <v>5932</v>
      </c>
      <c r="I1111" s="269"/>
      <c r="J1111" s="369" t="str">
        <f>HYPERLINK("[#]Datatypes!B1233:L1233","RealInterval")</f>
        <v>RealInterval</v>
      </c>
      <c r="K1111" s="271" t="str">
        <f>HYPERLINK("[#]PhysicalQuantities!A20:N20","Length")</f>
        <v>Length</v>
      </c>
      <c r="L1111" s="270" t="str">
        <f>HYPERLINK("[#]UnitsOfMeasure!D80:G80","Metre")</f>
        <v>Metre</v>
      </c>
      <c r="M1111" s="272"/>
      <c r="N1111" s="273"/>
      <c r="O1111" s="269"/>
      <c r="P1111" s="37">
        <v>110713</v>
      </c>
      <c r="Q1111" s="36" t="str">
        <f>CONCATENATE(Cover!$D$6,"fdd/view?i=",P1111)</f>
        <v>https://www.dgiwg.org/FAD/fdd/view?i=110713</v>
      </c>
      <c r="R1111" s="13" t="s">
        <v>11342</v>
      </c>
      <c r="S1111" s="172"/>
      <c r="T1111" s="172"/>
      <c r="AU1111" s="82" t="s">
        <v>1790</v>
      </c>
      <c r="AV1111" s="82" t="s">
        <v>1790</v>
      </c>
      <c r="CQ1111" s="165" t="s">
        <v>1790</v>
      </c>
    </row>
    <row r="1112" spans="1:105" ht="25.5" x14ac:dyDescent="0.2">
      <c r="A1112" s="176" t="str">
        <f t="shared" si="30"/>
        <v>overheadCableIcingSag</v>
      </c>
      <c r="B1112" s="11" t="s">
        <v>11347</v>
      </c>
      <c r="C1112" s="173"/>
      <c r="D1112" s="22" t="s">
        <v>11348</v>
      </c>
      <c r="E1112" s="15" t="s">
        <v>11349</v>
      </c>
      <c r="F1112" s="174"/>
      <c r="G1112" s="174"/>
      <c r="H1112" s="17" t="s">
        <v>5932</v>
      </c>
      <c r="I1112" s="269"/>
      <c r="J1112" s="369" t="str">
        <f>HYPERLINK("[#]Datatypes!B1233:L1233","RealInterval")</f>
        <v>RealInterval</v>
      </c>
      <c r="K1112" s="271" t="str">
        <f>HYPERLINK("[#]PhysicalQuantities!A20:N20","Length")</f>
        <v>Length</v>
      </c>
      <c r="L1112" s="270" t="str">
        <f>HYPERLINK("[#]UnitsOfMeasure!D80:G80","Metre")</f>
        <v>Metre</v>
      </c>
      <c r="M1112" s="272"/>
      <c r="N1112" s="273"/>
      <c r="O1112" s="269"/>
      <c r="P1112" s="37">
        <v>100973</v>
      </c>
      <c r="Q1112" s="36" t="str">
        <f>CONCATENATE(Cover!$D$6,"fdd/view?i=",P1112)</f>
        <v>https://www.dgiwg.org/FAD/fdd/view?i=100973</v>
      </c>
      <c r="R1112" s="13" t="s">
        <v>11346</v>
      </c>
      <c r="S1112" s="172"/>
      <c r="T1112" s="172"/>
      <c r="AD1112" s="82" t="s">
        <v>1790</v>
      </c>
      <c r="AE1112" s="82" t="s">
        <v>1790</v>
      </c>
      <c r="CQ1112" s="165" t="s">
        <v>1790</v>
      </c>
    </row>
    <row r="1113" spans="1:105" ht="25.5" x14ac:dyDescent="0.2">
      <c r="A1113" s="176" t="str">
        <f t="shared" si="30"/>
        <v>overheadClearance</v>
      </c>
      <c r="B1113" s="11" t="s">
        <v>11351</v>
      </c>
      <c r="C1113" s="173"/>
      <c r="D1113" s="22" t="s">
        <v>11352</v>
      </c>
      <c r="E1113" s="15" t="s">
        <v>11353</v>
      </c>
      <c r="F1113" s="15" t="s">
        <v>11354</v>
      </c>
      <c r="G1113" s="174"/>
      <c r="H1113" s="17" t="s">
        <v>5932</v>
      </c>
      <c r="I1113" s="269"/>
      <c r="J1113" s="369" t="str">
        <f>HYPERLINK("[#]Datatypes!B1231:L1231","Real")</f>
        <v>Real</v>
      </c>
      <c r="K1113" s="271" t="str">
        <f>HYPERLINK("[#]PhysicalQuantities!A20:N20","Length")</f>
        <v>Length</v>
      </c>
      <c r="L1113" s="270" t="str">
        <f>HYPERLINK("[#]UnitsOfMeasure!D80:G80","Metre")</f>
        <v>Metre</v>
      </c>
      <c r="M1113" s="272"/>
      <c r="N1113" s="273"/>
      <c r="O1113" s="269"/>
      <c r="P1113" s="37">
        <v>101122</v>
      </c>
      <c r="Q1113" s="36" t="str">
        <f>CONCATENATE(Cover!$D$6,"fdd/view?i=",P1113)</f>
        <v>https://www.dgiwg.org/FAD/fdd/view?i=101122</v>
      </c>
      <c r="R1113" s="13" t="s">
        <v>11350</v>
      </c>
      <c r="S1113" s="172"/>
      <c r="T1113" s="172"/>
      <c r="AP1113" s="81" t="s">
        <v>1790</v>
      </c>
      <c r="AQ1113" s="82" t="s">
        <v>1790</v>
      </c>
      <c r="AU1113" s="82" t="s">
        <v>1790</v>
      </c>
      <c r="CP1113" s="164" t="s">
        <v>1790</v>
      </c>
    </row>
    <row r="1114" spans="1:105" ht="25.5" x14ac:dyDescent="0.2">
      <c r="A1114" s="176" t="str">
        <f t="shared" si="30"/>
        <v>overheadObstructionType</v>
      </c>
      <c r="B1114" s="11" t="s">
        <v>11356</v>
      </c>
      <c r="C1114" s="173"/>
      <c r="D1114" s="22" t="s">
        <v>11357</v>
      </c>
      <c r="E1114" s="15" t="s">
        <v>11358</v>
      </c>
      <c r="F1114" s="174"/>
      <c r="G1114" s="174"/>
      <c r="H1114" s="17" t="s">
        <v>5932</v>
      </c>
      <c r="I1114" s="269"/>
      <c r="J1114" s="369" t="str">
        <f>HYPERLINK("[#]Datatypes!B1103:L1103","OocCode")</f>
        <v>OocCode</v>
      </c>
      <c r="K1114" s="276"/>
      <c r="L1114" s="272"/>
      <c r="M1114" s="272"/>
      <c r="N1114" s="248" t="str">
        <f>HYPERLINK("[#]DatatypeListedValues!A6590:H6590","&lt;values&gt;")</f>
        <v>&lt;values&gt;</v>
      </c>
      <c r="O1114" s="277" t="b">
        <v>0</v>
      </c>
      <c r="P1114" s="37">
        <v>101129</v>
      </c>
      <c r="Q1114" s="36" t="str">
        <f>CONCATENATE(Cover!$D$6,"fdd/view?i=",P1114)</f>
        <v>https://www.dgiwg.org/FAD/fdd/view?i=101129</v>
      </c>
      <c r="R1114" s="13" t="s">
        <v>11355</v>
      </c>
      <c r="S1114" s="172"/>
      <c r="T1114" s="172"/>
      <c r="AP1114" s="81" t="s">
        <v>1790</v>
      </c>
      <c r="AQ1114" s="82" t="s">
        <v>1790</v>
      </c>
      <c r="AU1114" s="82" t="s">
        <v>1790</v>
      </c>
      <c r="CT1114" s="166" t="s">
        <v>1790</v>
      </c>
    </row>
    <row r="1115" spans="1:105" ht="25.5" x14ac:dyDescent="0.2">
      <c r="A1115" s="176" t="str">
        <f t="shared" si="30"/>
        <v>ownerOrOperator</v>
      </c>
      <c r="B1115" s="11" t="s">
        <v>11361</v>
      </c>
      <c r="C1115" s="173"/>
      <c r="D1115" s="22" t="s">
        <v>11362</v>
      </c>
      <c r="E1115" s="15" t="s">
        <v>11363</v>
      </c>
      <c r="F1115" s="15" t="s">
        <v>11364</v>
      </c>
      <c r="G1115" s="174"/>
      <c r="H1115" s="17" t="s">
        <v>5932</v>
      </c>
      <c r="I1115" s="269"/>
      <c r="J1115" s="369" t="str">
        <f>HYPERLINK("[#]Datatypes!B1544:L1544","TextLexUnconstrained")</f>
        <v>TextLexUnconstrained</v>
      </c>
      <c r="K1115" s="276"/>
      <c r="L1115" s="272"/>
      <c r="M1115" s="272"/>
      <c r="N1115" s="273"/>
      <c r="O1115" s="269"/>
      <c r="P1115" s="37">
        <v>114238</v>
      </c>
      <c r="Q1115" s="36" t="str">
        <f>CONCATENATE(Cover!$D$6,"fdd/view?i=",P1115)</f>
        <v>https://www.dgiwg.org/FAD/fdd/view?i=114238</v>
      </c>
      <c r="R1115" s="13" t="s">
        <v>11360</v>
      </c>
      <c r="S1115" s="172"/>
      <c r="T1115" s="172"/>
      <c r="AA1115" s="81" t="s">
        <v>1790</v>
      </c>
      <c r="AB1115" s="82" t="s">
        <v>1790</v>
      </c>
      <c r="AC1115" s="82" t="s">
        <v>1790</v>
      </c>
      <c r="AD1115" s="82" t="s">
        <v>1790</v>
      </c>
      <c r="AE1115" s="82" t="s">
        <v>1790</v>
      </c>
      <c r="AF1115" s="82" t="s">
        <v>1790</v>
      </c>
      <c r="AG1115" s="82" t="s">
        <v>1790</v>
      </c>
      <c r="AH1115" s="85" t="s">
        <v>1790</v>
      </c>
      <c r="AP1115" s="81" t="s">
        <v>1790</v>
      </c>
      <c r="AQ1115" s="82" t="s">
        <v>1790</v>
      </c>
      <c r="AR1115" s="82" t="s">
        <v>1790</v>
      </c>
      <c r="AS1115" s="82" t="s">
        <v>1790</v>
      </c>
      <c r="AT1115" s="82" t="s">
        <v>1790</v>
      </c>
      <c r="AX1115" s="82" t="s">
        <v>1790</v>
      </c>
      <c r="AY1115" s="85" t="s">
        <v>1790</v>
      </c>
      <c r="BA1115" s="83" t="s">
        <v>1790</v>
      </c>
      <c r="CD1115" s="85" t="s">
        <v>1790</v>
      </c>
      <c r="CE1115" s="87" t="s">
        <v>1790</v>
      </c>
      <c r="CU1115" s="87" t="s">
        <v>1790</v>
      </c>
      <c r="DA1115" s="165" t="s">
        <v>1790</v>
      </c>
    </row>
    <row r="1116" spans="1:105" x14ac:dyDescent="0.2">
      <c r="A1116" s="176" t="str">
        <f t="shared" si="30"/>
        <v>parallelLineCount</v>
      </c>
      <c r="B1116" s="11" t="s">
        <v>11366</v>
      </c>
      <c r="C1116" s="173"/>
      <c r="D1116" s="22" t="s">
        <v>11367</v>
      </c>
      <c r="E1116" s="15" t="s">
        <v>11368</v>
      </c>
      <c r="F1116" s="174"/>
      <c r="G1116" s="174"/>
      <c r="H1116" s="17" t="s">
        <v>5932</v>
      </c>
      <c r="I1116" s="269"/>
      <c r="J1116" s="369" t="str">
        <f>HYPERLINK("[#]Datatypes!B380:L380","Count")</f>
        <v>Count</v>
      </c>
      <c r="K1116" s="276"/>
      <c r="L1116" s="272"/>
      <c r="M1116" s="272"/>
      <c r="N1116" s="273"/>
      <c r="O1116" s="269"/>
      <c r="P1116" s="37">
        <v>101106</v>
      </c>
      <c r="Q1116" s="36" t="str">
        <f>CONCATENATE(Cover!$D$6,"fdd/view?i=",P1116)</f>
        <v>https://www.dgiwg.org/FAD/fdd/view?i=101106</v>
      </c>
      <c r="R1116" s="13" t="s">
        <v>11365</v>
      </c>
      <c r="S1116" s="172"/>
      <c r="T1116" s="172"/>
      <c r="CS1116" s="165" t="s">
        <v>1790</v>
      </c>
    </row>
    <row r="1117" spans="1:105" ht="51" x14ac:dyDescent="0.2">
      <c r="A1117" s="176" t="str">
        <f t="shared" si="30"/>
        <v>partialFeatureIndicator</v>
      </c>
      <c r="B1117" s="11" t="s">
        <v>4532</v>
      </c>
      <c r="C1117" s="173"/>
      <c r="D1117" s="22" t="s">
        <v>11370</v>
      </c>
      <c r="E1117" s="15" t="s">
        <v>11371</v>
      </c>
      <c r="F1117" s="15" t="s">
        <v>11372</v>
      </c>
      <c r="G1117" s="174"/>
      <c r="H1117" s="17" t="s">
        <v>5932</v>
      </c>
      <c r="I1117" s="269"/>
      <c r="J1117" s="369" t="str">
        <f>HYPERLINK("[#]Datatypes!B240:L240","Boolean")</f>
        <v>Boolean</v>
      </c>
      <c r="K1117" s="276"/>
      <c r="L1117" s="272"/>
      <c r="M1117" s="272"/>
      <c r="N1117" s="273"/>
      <c r="O1117" s="269"/>
      <c r="P1117" s="37">
        <v>111656</v>
      </c>
      <c r="Q1117" s="36" t="str">
        <f>CONCATENATE(Cover!$D$6,"fdd/view?i=",P1117)</f>
        <v>https://www.dgiwg.org/FAD/fdd/view?i=111656</v>
      </c>
      <c r="R1117" s="13" t="s">
        <v>11369</v>
      </c>
      <c r="S1117" s="172"/>
      <c r="T1117" s="172"/>
      <c r="CS1117" s="165" t="s">
        <v>1790</v>
      </c>
      <c r="CY1117" s="165" t="s">
        <v>1790</v>
      </c>
    </row>
    <row r="1118" spans="1:105" ht="25.5" x14ac:dyDescent="0.2">
      <c r="A1118" s="176" t="str">
        <f t="shared" si="30"/>
        <v>passengerHandlingCapacity</v>
      </c>
      <c r="B1118" s="11" t="s">
        <v>11374</v>
      </c>
      <c r="C1118" s="173"/>
      <c r="D1118" s="22" t="s">
        <v>11375</v>
      </c>
      <c r="E1118" s="15" t="s">
        <v>11376</v>
      </c>
      <c r="F1118" s="15" t="s">
        <v>11377</v>
      </c>
      <c r="G1118" s="174"/>
      <c r="H1118" s="17" t="s">
        <v>5932</v>
      </c>
      <c r="I1118" s="269"/>
      <c r="J1118" s="369" t="str">
        <f>HYPERLINK("[#]Datatypes!B380:L380","Count")</f>
        <v>Count</v>
      </c>
      <c r="K1118" s="276"/>
      <c r="L1118" s="272"/>
      <c r="M1118" s="272"/>
      <c r="N1118" s="273"/>
      <c r="O1118" s="269"/>
      <c r="P1118" s="37">
        <v>119442</v>
      </c>
      <c r="Q1118" s="36" t="str">
        <f>CONCATENATE(Cover!$D$6,"fdd/view?i=",P1118)</f>
        <v>https://www.dgiwg.org/FAD/fdd/view?i=119442</v>
      </c>
      <c r="R1118" s="13" t="s">
        <v>11373</v>
      </c>
      <c r="S1118" s="172"/>
      <c r="T1118" s="172"/>
      <c r="AW1118" s="82" t="s">
        <v>1790</v>
      </c>
      <c r="CQ1118" s="165" t="s">
        <v>1790</v>
      </c>
    </row>
    <row r="1119" spans="1:105" ht="25.5" x14ac:dyDescent="0.2">
      <c r="A1119" s="176" t="str">
        <f t="shared" si="30"/>
        <v>passengerServiceDesc</v>
      </c>
      <c r="B1119" s="11" t="s">
        <v>11379</v>
      </c>
      <c r="C1119" s="173"/>
      <c r="D1119" s="22" t="s">
        <v>11380</v>
      </c>
      <c r="E1119" s="15" t="s">
        <v>11381</v>
      </c>
      <c r="F1119" s="174"/>
      <c r="G1119" s="174"/>
      <c r="H1119" s="17" t="s">
        <v>5932</v>
      </c>
      <c r="I1119" s="269"/>
      <c r="J1119" s="369" t="str">
        <f>HYPERLINK("[#]Datatypes!B1562:L1562","TextNonLexUnconstrained")</f>
        <v>TextNonLexUnconstrained</v>
      </c>
      <c r="K1119" s="276"/>
      <c r="L1119" s="272"/>
      <c r="M1119" s="272"/>
      <c r="N1119" s="273"/>
      <c r="O1119" s="269"/>
      <c r="P1119" s="37">
        <v>117673</v>
      </c>
      <c r="Q1119" s="36" t="str">
        <f>CONCATENATE(Cover!$D$6,"fdd/view?i=",P1119)</f>
        <v>https://www.dgiwg.org/FAD/fdd/view?i=117673</v>
      </c>
      <c r="R1119" s="13" t="s">
        <v>11378</v>
      </c>
      <c r="S1119" s="172"/>
      <c r="T1119" s="172"/>
      <c r="CH1119" s="83" t="s">
        <v>1790</v>
      </c>
    </row>
    <row r="1120" spans="1:105" ht="25.5" x14ac:dyDescent="0.2">
      <c r="A1120" s="176" t="str">
        <f t="shared" si="30"/>
        <v>passengerServiceType</v>
      </c>
      <c r="B1120" s="11" t="s">
        <v>11383</v>
      </c>
      <c r="C1120" s="173"/>
      <c r="D1120" s="22" t="s">
        <v>11384</v>
      </c>
      <c r="E1120" s="15" t="s">
        <v>11385</v>
      </c>
      <c r="F1120" s="174"/>
      <c r="G1120" s="174"/>
      <c r="H1120" s="17" t="s">
        <v>5932</v>
      </c>
      <c r="I1120" s="17" t="s">
        <v>6224</v>
      </c>
      <c r="J1120" s="369" t="str">
        <f>HYPERLINK("[#]Datatypes!B1107:L1107","PsyCode")</f>
        <v>PsyCode</v>
      </c>
      <c r="K1120" s="276"/>
      <c r="L1120" s="272"/>
      <c r="M1120" s="272"/>
      <c r="N1120" s="248" t="str">
        <f>HYPERLINK("[#]DatatypeListedValues!A6617:H6617","&lt;values&gt;")</f>
        <v>&lt;values&gt;</v>
      </c>
      <c r="O1120" s="277" t="b">
        <v>0</v>
      </c>
      <c r="P1120" s="37">
        <v>117675</v>
      </c>
      <c r="Q1120" s="36" t="str">
        <f>CONCATENATE(Cover!$D$6,"fdd/view?i=",P1120)</f>
        <v>https://www.dgiwg.org/FAD/fdd/view?i=117675</v>
      </c>
      <c r="R1120" s="13" t="s">
        <v>11382</v>
      </c>
      <c r="S1120" s="172"/>
      <c r="T1120" s="172"/>
      <c r="CH1120" s="83" t="s">
        <v>1790</v>
      </c>
    </row>
    <row r="1121" spans="1:98" ht="25.5" x14ac:dyDescent="0.2">
      <c r="A1121" s="176" t="str">
        <f t="shared" si="30"/>
        <v>pavementClassNumber</v>
      </c>
      <c r="B1121" s="11" t="s">
        <v>11388</v>
      </c>
      <c r="C1121" s="173"/>
      <c r="D1121" s="22" t="s">
        <v>11389</v>
      </c>
      <c r="E1121" s="15" t="s">
        <v>11390</v>
      </c>
      <c r="F1121" s="174"/>
      <c r="G1121" s="15" t="s">
        <v>11391</v>
      </c>
      <c r="H1121" s="17" t="s">
        <v>5932</v>
      </c>
      <c r="I1121" s="269"/>
      <c r="J1121" s="369" t="str">
        <f>HYPERLINK("[#]Datatypes!B742:L742","Integer")</f>
        <v>Integer</v>
      </c>
      <c r="K1121" s="271" t="str">
        <f>HYPERLINK("[#]PhysicalQuantities!A39:N39","Pure Number")</f>
        <v>Pure Number</v>
      </c>
      <c r="L1121" s="270" t="str">
        <f>HYPERLINK("[#]UnitsOfMeasure!D213:G213","Unitless")</f>
        <v>Unitless</v>
      </c>
      <c r="M1121" s="272"/>
      <c r="N1121" s="273"/>
      <c r="O1121" s="269"/>
      <c r="P1121" s="37">
        <v>117663</v>
      </c>
      <c r="Q1121" s="36" t="str">
        <f>CONCATENATE(Cover!$D$6,"fdd/view?i=",P1121)</f>
        <v>https://www.dgiwg.org/FAD/fdd/view?i=117663</v>
      </c>
      <c r="R1121" s="13" t="s">
        <v>11387</v>
      </c>
      <c r="S1121" s="172"/>
      <c r="T1121" s="172"/>
      <c r="CE1121" s="87" t="s">
        <v>1790</v>
      </c>
    </row>
    <row r="1122" spans="1:98" ht="25.5" x14ac:dyDescent="0.2">
      <c r="A1122" s="176" t="str">
        <f t="shared" si="30"/>
        <v>pavementTypeForPcnDeterm</v>
      </c>
      <c r="B1122" s="11" t="s">
        <v>11393</v>
      </c>
      <c r="C1122" s="173"/>
      <c r="D1122" s="22" t="s">
        <v>11394</v>
      </c>
      <c r="E1122" s="15" t="s">
        <v>11395</v>
      </c>
      <c r="F1122" s="174"/>
      <c r="G1122" s="15" t="s">
        <v>11396</v>
      </c>
      <c r="H1122" s="17" t="s">
        <v>5932</v>
      </c>
      <c r="I1122" s="269"/>
      <c r="J1122" s="369" t="str">
        <f>HYPERLINK("[#]Datatypes!B1109:L1109","Pc1Code")</f>
        <v>Pc1Code</v>
      </c>
      <c r="K1122" s="276"/>
      <c r="L1122" s="272"/>
      <c r="M1122" s="272"/>
      <c r="N1122" s="248" t="str">
        <f>HYPERLINK("[#]DatatypeListedValues!A6630:H6630","&lt;values&gt;")</f>
        <v>&lt;values&gt;</v>
      </c>
      <c r="O1122" s="277" t="b">
        <v>0</v>
      </c>
      <c r="P1122" s="37">
        <v>117658</v>
      </c>
      <c r="Q1122" s="36" t="str">
        <f>CONCATENATE(Cover!$D$6,"fdd/view?i=",P1122)</f>
        <v>https://www.dgiwg.org/FAD/fdd/view?i=117658</v>
      </c>
      <c r="R1122" s="13" t="s">
        <v>11392</v>
      </c>
      <c r="S1122" s="172"/>
      <c r="T1122" s="172"/>
      <c r="CE1122" s="87" t="s">
        <v>1790</v>
      </c>
    </row>
    <row r="1123" spans="1:98" x14ac:dyDescent="0.2">
      <c r="A1123" s="176" t="str">
        <f t="shared" si="30"/>
        <v>pcnEvaluationMethod</v>
      </c>
      <c r="B1123" s="11" t="s">
        <v>11399</v>
      </c>
      <c r="C1123" s="173"/>
      <c r="D1123" s="22" t="s">
        <v>11400</v>
      </c>
      <c r="E1123" s="15" t="s">
        <v>11401</v>
      </c>
      <c r="F1123" s="174"/>
      <c r="G1123" s="174"/>
      <c r="H1123" s="17" t="s">
        <v>5932</v>
      </c>
      <c r="I1123" s="269"/>
      <c r="J1123" s="369" t="str">
        <f>HYPERLINK("[#]Datatypes!B1111:L1111","Pc4Code")</f>
        <v>Pc4Code</v>
      </c>
      <c r="K1123" s="276"/>
      <c r="L1123" s="272"/>
      <c r="M1123" s="272"/>
      <c r="N1123" s="248" t="str">
        <f>HYPERLINK("[#]DatatypeListedValues!A6632:H6632","&lt;values&gt;")</f>
        <v>&lt;values&gt;</v>
      </c>
      <c r="O1123" s="277" t="b">
        <v>0</v>
      </c>
      <c r="P1123" s="37">
        <v>117661</v>
      </c>
      <c r="Q1123" s="36" t="str">
        <f>CONCATENATE(Cover!$D$6,"fdd/view?i=",P1123)</f>
        <v>https://www.dgiwg.org/FAD/fdd/view?i=117661</v>
      </c>
      <c r="R1123" s="13" t="s">
        <v>11398</v>
      </c>
      <c r="S1123" s="172"/>
      <c r="T1123" s="172"/>
      <c r="CE1123" s="87" t="s">
        <v>1790</v>
      </c>
    </row>
    <row r="1124" spans="1:98" ht="25.5" x14ac:dyDescent="0.2">
      <c r="A1124" s="176" t="str">
        <f t="shared" si="30"/>
        <v>pcnMaxAllowTirePressCat</v>
      </c>
      <c r="B1124" s="11" t="s">
        <v>11404</v>
      </c>
      <c r="C1124" s="173"/>
      <c r="D1124" s="22" t="s">
        <v>11405</v>
      </c>
      <c r="E1124" s="15" t="s">
        <v>11406</v>
      </c>
      <c r="F1124" s="174"/>
      <c r="G1124" s="174"/>
      <c r="H1124" s="17" t="s">
        <v>5932</v>
      </c>
      <c r="I1124" s="269"/>
      <c r="J1124" s="369" t="str">
        <f>HYPERLINK("[#]Datatypes!B1113:L1113","Pc3Code")</f>
        <v>Pc3Code</v>
      </c>
      <c r="K1124" s="276"/>
      <c r="L1124" s="272"/>
      <c r="M1124" s="272"/>
      <c r="N1124" s="248" t="str">
        <f>HYPERLINK("[#]DatatypeListedValues!A6634:H6634","&lt;values&gt;")</f>
        <v>&lt;values&gt;</v>
      </c>
      <c r="O1124" s="277" t="b">
        <v>0</v>
      </c>
      <c r="P1124" s="37">
        <v>117660</v>
      </c>
      <c r="Q1124" s="36" t="str">
        <f>CONCATENATE(Cover!$D$6,"fdd/view?i=",P1124)</f>
        <v>https://www.dgiwg.org/FAD/fdd/view?i=117660</v>
      </c>
      <c r="R1124" s="13" t="s">
        <v>11403</v>
      </c>
      <c r="S1124" s="172"/>
      <c r="T1124" s="172"/>
      <c r="CE1124" s="87" t="s">
        <v>1790</v>
      </c>
    </row>
    <row r="1125" spans="1:98" ht="25.5" x14ac:dyDescent="0.2">
      <c r="A1125" s="176" t="str">
        <f t="shared" si="30"/>
        <v>pcnMaxAllowTirePressVal</v>
      </c>
      <c r="B1125" s="11" t="s">
        <v>11409</v>
      </c>
      <c r="C1125" s="173"/>
      <c r="D1125" s="22" t="s">
        <v>11410</v>
      </c>
      <c r="E1125" s="15" t="s">
        <v>11411</v>
      </c>
      <c r="F1125" s="174"/>
      <c r="G1125" s="174"/>
      <c r="H1125" s="17" t="s">
        <v>5932</v>
      </c>
      <c r="I1125" s="269"/>
      <c r="J1125" s="369" t="str">
        <f>HYPERLINK("[#]Datatypes!B1231:L1231","Real")</f>
        <v>Real</v>
      </c>
      <c r="K1125" s="271" t="str">
        <f>HYPERLINK("[#]PhysicalQuantities!A38:N38","Pressure")</f>
        <v>Pressure</v>
      </c>
      <c r="L1125" s="270" t="str">
        <f>HYPERLINK("[#]UnitsOfMeasure!D200:G200","Megapascal")</f>
        <v>Megapascal</v>
      </c>
      <c r="M1125" s="272"/>
      <c r="N1125" s="273"/>
      <c r="O1125" s="269"/>
      <c r="P1125" s="37">
        <v>117662</v>
      </c>
      <c r="Q1125" s="36" t="str">
        <f>CONCATENATE(Cover!$D$6,"fdd/view?i=",P1125)</f>
        <v>https://www.dgiwg.org/FAD/fdd/view?i=117662</v>
      </c>
      <c r="R1125" s="13" t="s">
        <v>11408</v>
      </c>
      <c r="S1125" s="172"/>
      <c r="T1125" s="172"/>
      <c r="CE1125" s="87" t="s">
        <v>1790</v>
      </c>
    </row>
    <row r="1126" spans="1:98" ht="25.5" x14ac:dyDescent="0.2">
      <c r="A1126" s="176" t="str">
        <f t="shared" si="30"/>
        <v>pcnPavementSubStrengthCat</v>
      </c>
      <c r="B1126" s="11" t="s">
        <v>11413</v>
      </c>
      <c r="C1126" s="173"/>
      <c r="D1126" s="22" t="s">
        <v>11414</v>
      </c>
      <c r="E1126" s="15" t="s">
        <v>11415</v>
      </c>
      <c r="F1126" s="15" t="s">
        <v>11416</v>
      </c>
      <c r="G1126" s="15" t="s">
        <v>11417</v>
      </c>
      <c r="H1126" s="17" t="s">
        <v>5932</v>
      </c>
      <c r="I1126" s="269"/>
      <c r="J1126" s="369" t="str">
        <f>HYPERLINK("[#]Datatypes!B1115:L1115","Pc2Code")</f>
        <v>Pc2Code</v>
      </c>
      <c r="K1126" s="276"/>
      <c r="L1126" s="272"/>
      <c r="M1126" s="272"/>
      <c r="N1126" s="248" t="str">
        <f>HYPERLINK("[#]DatatypeListedValues!A6638:H6638","&lt;values&gt;")</f>
        <v>&lt;values&gt;</v>
      </c>
      <c r="O1126" s="277" t="b">
        <v>0</v>
      </c>
      <c r="P1126" s="37">
        <v>117659</v>
      </c>
      <c r="Q1126" s="36" t="str">
        <f>CONCATENATE(Cover!$D$6,"fdd/view?i=",P1126)</f>
        <v>https://www.dgiwg.org/FAD/fdd/view?i=117659</v>
      </c>
      <c r="R1126" s="13" t="s">
        <v>11412</v>
      </c>
      <c r="S1126" s="172"/>
      <c r="T1126" s="172"/>
      <c r="CE1126" s="87" t="s">
        <v>1790</v>
      </c>
    </row>
    <row r="1127" spans="1:98" x14ac:dyDescent="0.2">
      <c r="A1127" s="176" t="str">
        <f t="shared" si="30"/>
        <v>pedestrianCapacity</v>
      </c>
      <c r="B1127" s="11" t="s">
        <v>11420</v>
      </c>
      <c r="C1127" s="173"/>
      <c r="D1127" s="22" t="s">
        <v>11421</v>
      </c>
      <c r="E1127" s="15" t="s">
        <v>11422</v>
      </c>
      <c r="F1127" s="174"/>
      <c r="G1127" s="174"/>
      <c r="H1127" s="17" t="s">
        <v>5932</v>
      </c>
      <c r="I1127" s="269"/>
      <c r="J1127" s="369" t="str">
        <f>HYPERLINK("[#]Datatypes!B380:L380","Count")</f>
        <v>Count</v>
      </c>
      <c r="K1127" s="276"/>
      <c r="L1127" s="272"/>
      <c r="M1127" s="272"/>
      <c r="N1127" s="273"/>
      <c r="O1127" s="269"/>
      <c r="P1127" s="37">
        <v>101151</v>
      </c>
      <c r="Q1127" s="36" t="str">
        <f>CONCATENATE(Cover!$D$6,"fdd/view?i=",P1127)</f>
        <v>https://www.dgiwg.org/FAD/fdd/view?i=101151</v>
      </c>
      <c r="R1127" s="13" t="s">
        <v>11419</v>
      </c>
      <c r="S1127" s="172"/>
      <c r="T1127" s="172"/>
      <c r="CQ1127" s="165" t="s">
        <v>1790</v>
      </c>
    </row>
    <row r="1128" spans="1:98" x14ac:dyDescent="0.2">
      <c r="A1128" s="176" t="str">
        <f t="shared" si="30"/>
        <v>pedestrianTraversable</v>
      </c>
      <c r="B1128" s="11" t="s">
        <v>11424</v>
      </c>
      <c r="C1128" s="173"/>
      <c r="D1128" s="22" t="s">
        <v>11425</v>
      </c>
      <c r="E1128" s="15" t="s">
        <v>11426</v>
      </c>
      <c r="F1128" s="174"/>
      <c r="G1128" s="174"/>
      <c r="H1128" s="17" t="s">
        <v>5932</v>
      </c>
      <c r="I1128" s="269"/>
      <c r="J1128" s="369" t="str">
        <f>HYPERLINK("[#]Datatypes!B240:L240","Boolean")</f>
        <v>Boolean</v>
      </c>
      <c r="K1128" s="276"/>
      <c r="L1128" s="272"/>
      <c r="M1128" s="272"/>
      <c r="N1128" s="273"/>
      <c r="O1128" s="269"/>
      <c r="P1128" s="37">
        <v>109934</v>
      </c>
      <c r="Q1128" s="36" t="str">
        <f>CONCATENATE(Cover!$D$6,"fdd/view?i=",P1128)</f>
        <v>https://www.dgiwg.org/FAD/fdd/view?i=109934</v>
      </c>
      <c r="R1128" s="13" t="s">
        <v>11423</v>
      </c>
      <c r="S1128" s="172"/>
      <c r="T1128" s="172"/>
      <c r="AU1128" s="82" t="s">
        <v>1790</v>
      </c>
      <c r="AV1128" s="82" t="s">
        <v>1790</v>
      </c>
      <c r="CT1128" s="166" t="s">
        <v>1790</v>
      </c>
    </row>
    <row r="1129" spans="1:98" ht="25.5" x14ac:dyDescent="0.2">
      <c r="A1129" s="176" t="str">
        <f t="shared" si="30"/>
        <v>peopleCapacity</v>
      </c>
      <c r="B1129" s="11" t="s">
        <v>11428</v>
      </c>
      <c r="C1129" s="173"/>
      <c r="D1129" s="22" t="s">
        <v>11429</v>
      </c>
      <c r="E1129" s="15" t="s">
        <v>11430</v>
      </c>
      <c r="F1129" s="174"/>
      <c r="G1129" s="174"/>
      <c r="H1129" s="17" t="s">
        <v>5932</v>
      </c>
      <c r="I1129" s="269"/>
      <c r="J1129" s="369" t="str">
        <f>HYPERLINK("[#]Datatypes!B380:L380","Count")</f>
        <v>Count</v>
      </c>
      <c r="K1129" s="276"/>
      <c r="L1129" s="272"/>
      <c r="M1129" s="272"/>
      <c r="N1129" s="273"/>
      <c r="O1129" s="269"/>
      <c r="P1129" s="37">
        <v>119443</v>
      </c>
      <c r="Q1129" s="36" t="str">
        <f>CONCATENATE(Cover!$D$6,"fdd/view?i=",P1129)</f>
        <v>https://www.dgiwg.org/FAD/fdd/view?i=119443</v>
      </c>
      <c r="R1129" s="13" t="s">
        <v>11427</v>
      </c>
      <c r="S1129" s="172"/>
      <c r="T1129" s="172"/>
      <c r="AW1129" s="82" t="s">
        <v>1790</v>
      </c>
      <c r="CQ1129" s="165" t="s">
        <v>1790</v>
      </c>
    </row>
    <row r="1130" spans="1:98" ht="25.5" x14ac:dyDescent="0.2">
      <c r="A1130" s="176" t="str">
        <f t="shared" si="30"/>
        <v>perennialCropAreaRatio</v>
      </c>
      <c r="B1130" s="11" t="s">
        <v>11432</v>
      </c>
      <c r="C1130" s="173"/>
      <c r="D1130" s="22" t="s">
        <v>11433</v>
      </c>
      <c r="E1130" s="15" t="s">
        <v>11434</v>
      </c>
      <c r="F1130" s="174"/>
      <c r="G1130" s="174"/>
      <c r="H1130" s="17" t="s">
        <v>5932</v>
      </c>
      <c r="I1130" s="269"/>
      <c r="J1130" s="369" t="str">
        <f>HYPERLINK("[#]Datatypes!B1231:L1231","Real")</f>
        <v>Real</v>
      </c>
      <c r="K1130" s="271" t="str">
        <f>HYPERLINK("[#]PhysicalQuantities!A39:N39","Pure Number")</f>
        <v>Pure Number</v>
      </c>
      <c r="L1130" s="270" t="str">
        <f>HYPERLINK("[#]UnitsOfMeasure!D215:G215","Percent")</f>
        <v>Percent</v>
      </c>
      <c r="M1130" s="272"/>
      <c r="N1130" s="273"/>
      <c r="O1130" s="269"/>
      <c r="P1130" s="37">
        <v>111657</v>
      </c>
      <c r="Q1130" s="36" t="str">
        <f>CONCATENATE(Cover!$D$6,"fdd/view?i=",P1130)</f>
        <v>https://www.dgiwg.org/FAD/fdd/view?i=111657</v>
      </c>
      <c r="R1130" s="13" t="s">
        <v>11431</v>
      </c>
      <c r="S1130" s="172"/>
      <c r="T1130" s="172"/>
      <c r="AM1130" s="83" t="s">
        <v>1790</v>
      </c>
      <c r="BU1130" s="87" t="s">
        <v>1790</v>
      </c>
      <c r="CQ1130" s="165" t="s">
        <v>1790</v>
      </c>
    </row>
    <row r="1131" spans="1:98" x14ac:dyDescent="0.2">
      <c r="A1131" s="176" t="str">
        <f t="shared" si="30"/>
        <v>periodOfLight</v>
      </c>
      <c r="B1131" s="11" t="s">
        <v>11436</v>
      </c>
      <c r="C1131" s="173"/>
      <c r="D1131" s="22" t="s">
        <v>11437</v>
      </c>
      <c r="E1131" s="15" t="s">
        <v>11438</v>
      </c>
      <c r="F1131" s="174"/>
      <c r="G1131" s="174"/>
      <c r="H1131" s="17" t="s">
        <v>5932</v>
      </c>
      <c r="I1131" s="269"/>
      <c r="J1131" s="369" t="str">
        <f>HYPERLINK("[#]Datatypes!B1231:L1231","Real")</f>
        <v>Real</v>
      </c>
      <c r="K1131" s="271" t="str">
        <f>HYPERLINK("[#]PhysicalQuantities!A51:N51","Time")</f>
        <v>Time</v>
      </c>
      <c r="L1131" s="270" t="str">
        <f>HYPERLINK("[#]UnitsOfMeasure!D270:G270","Second")</f>
        <v>Second</v>
      </c>
      <c r="M1131" s="272"/>
      <c r="N1131" s="273"/>
      <c r="O1131" s="269"/>
      <c r="P1131" s="37">
        <v>101157</v>
      </c>
      <c r="Q1131" s="36" t="str">
        <f>CONCATENATE(Cover!$D$6,"fdd/view?i=",P1131)</f>
        <v>https://www.dgiwg.org/FAD/fdd/view?i=101157</v>
      </c>
      <c r="R1131" s="13" t="s">
        <v>11435</v>
      </c>
      <c r="S1131" s="172"/>
      <c r="T1131" s="172"/>
      <c r="CR1131" s="165" t="s">
        <v>1790</v>
      </c>
      <c r="CS1131" s="165" t="s">
        <v>1790</v>
      </c>
    </row>
    <row r="1132" spans="1:98" ht="25.5" x14ac:dyDescent="0.2">
      <c r="A1132" s="176" t="str">
        <f t="shared" si="30"/>
        <v>periodMarineCurrentMonth</v>
      </c>
      <c r="B1132" s="11" t="s">
        <v>11440</v>
      </c>
      <c r="C1132" s="173"/>
      <c r="D1132" s="22" t="s">
        <v>11441</v>
      </c>
      <c r="E1132" s="15" t="s">
        <v>11442</v>
      </c>
      <c r="F1132" s="15" t="s">
        <v>11443</v>
      </c>
      <c r="G1132" s="174"/>
      <c r="H1132" s="17" t="s">
        <v>5932</v>
      </c>
      <c r="I1132" s="269"/>
      <c r="J1132" s="369" t="str">
        <f>HYPERLINK("[#]Datatypes!B1117:L1117","HseStrucText")</f>
        <v>HseStrucText</v>
      </c>
      <c r="K1132" s="276"/>
      <c r="L1132" s="272"/>
      <c r="M1132" s="272"/>
      <c r="N1132" s="273"/>
      <c r="O1132" s="269"/>
      <c r="P1132" s="37">
        <v>109952</v>
      </c>
      <c r="Q1132" s="36" t="str">
        <f>CONCATENATE(Cover!$D$6,"fdd/view?i=",P1132)</f>
        <v>https://www.dgiwg.org/FAD/fdd/view?i=109952</v>
      </c>
      <c r="R1132" s="13" t="s">
        <v>11439</v>
      </c>
      <c r="S1132" s="172"/>
      <c r="T1132" s="172"/>
      <c r="CQ1132" s="165" t="s">
        <v>1790</v>
      </c>
      <c r="CR1132" s="165" t="s">
        <v>1790</v>
      </c>
    </row>
    <row r="1133" spans="1:98" ht="25.5" x14ac:dyDescent="0.2">
      <c r="A1133" s="176" t="str">
        <f t="shared" si="30"/>
        <v>periodRestrictMonth</v>
      </c>
      <c r="B1133" s="11" t="s">
        <v>11446</v>
      </c>
      <c r="C1133" s="173"/>
      <c r="D1133" s="22" t="s">
        <v>11447</v>
      </c>
      <c r="E1133" s="15" t="s">
        <v>11448</v>
      </c>
      <c r="F1133" s="15" t="s">
        <v>11449</v>
      </c>
      <c r="G1133" s="174"/>
      <c r="H1133" s="17" t="s">
        <v>5932</v>
      </c>
      <c r="I1133" s="269"/>
      <c r="J1133" s="369" t="str">
        <f>HYPERLINK("[#]Datatypes!B1119:L1119","PseStrucText")</f>
        <v>PseStrucText</v>
      </c>
      <c r="K1133" s="276"/>
      <c r="L1133" s="272"/>
      <c r="M1133" s="272"/>
      <c r="N1133" s="273"/>
      <c r="O1133" s="269"/>
      <c r="P1133" s="37">
        <v>109967</v>
      </c>
      <c r="Q1133" s="36" t="str">
        <f>CONCATENATE(Cover!$D$6,"fdd/view?i=",P1133)</f>
        <v>https://www.dgiwg.org/FAD/fdd/view?i=109967</v>
      </c>
      <c r="R1133" s="13" t="s">
        <v>11445</v>
      </c>
      <c r="S1133" s="172"/>
      <c r="T1133" s="172"/>
      <c r="AS1133" s="82" t="s">
        <v>1790</v>
      </c>
      <c r="AU1133" s="82" t="s">
        <v>1790</v>
      </c>
      <c r="BI1133" s="83" t="s">
        <v>1790</v>
      </c>
      <c r="CR1133" s="165" t="s">
        <v>1790</v>
      </c>
    </row>
    <row r="1134" spans="1:98" ht="25.5" x14ac:dyDescent="0.2">
      <c r="A1134" s="176" t="str">
        <f t="shared" si="30"/>
        <v>permanent</v>
      </c>
      <c r="B1134" s="11" t="s">
        <v>11452</v>
      </c>
      <c r="C1134" s="173"/>
      <c r="D1134" s="22" t="s">
        <v>11453</v>
      </c>
      <c r="E1134" s="15" t="s">
        <v>11454</v>
      </c>
      <c r="F1134" s="15" t="s">
        <v>11455</v>
      </c>
      <c r="G1134" s="174"/>
      <c r="H1134" s="17" t="s">
        <v>5932</v>
      </c>
      <c r="I1134" s="269"/>
      <c r="J1134" s="369" t="str">
        <f>HYPERLINK("[#]Datatypes!B240:L240","Boolean")</f>
        <v>Boolean</v>
      </c>
      <c r="K1134" s="276"/>
      <c r="L1134" s="272"/>
      <c r="M1134" s="272"/>
      <c r="N1134" s="273"/>
      <c r="O1134" s="269"/>
      <c r="P1134" s="37">
        <v>101183</v>
      </c>
      <c r="Q1134" s="36" t="str">
        <f>CONCATENATE(Cover!$D$6,"fdd/view?i=",P1134)</f>
        <v>https://www.dgiwg.org/FAD/fdd/view?i=101183</v>
      </c>
      <c r="R1134" s="13" t="s">
        <v>11451</v>
      </c>
      <c r="S1134" s="172"/>
      <c r="T1134" s="172"/>
      <c r="CR1134" s="165" t="s">
        <v>1790</v>
      </c>
      <c r="CT1134" s="166" t="s">
        <v>1790</v>
      </c>
    </row>
    <row r="1135" spans="1:98" ht="25.5" x14ac:dyDescent="0.2">
      <c r="A1135" s="176" t="str">
        <f t="shared" si="30"/>
        <v>permanentIrrigation</v>
      </c>
      <c r="B1135" s="11" t="s">
        <v>11457</v>
      </c>
      <c r="C1135" s="173"/>
      <c r="D1135" s="22" t="s">
        <v>11458</v>
      </c>
      <c r="E1135" s="15" t="s">
        <v>11459</v>
      </c>
      <c r="F1135" s="174"/>
      <c r="G1135" s="174"/>
      <c r="H1135" s="17" t="s">
        <v>5932</v>
      </c>
      <c r="I1135" s="269"/>
      <c r="J1135" s="369" t="str">
        <f>HYPERLINK("[#]Datatypes!B240:L240","Boolean")</f>
        <v>Boolean</v>
      </c>
      <c r="K1135" s="276"/>
      <c r="L1135" s="272"/>
      <c r="M1135" s="272"/>
      <c r="N1135" s="273"/>
      <c r="O1135" s="269"/>
      <c r="P1135" s="37">
        <v>119859</v>
      </c>
      <c r="Q1135" s="36" t="str">
        <f>CONCATENATE(Cover!$D$6,"fdd/view?i=",P1135)</f>
        <v>https://www.dgiwg.org/FAD/fdd/view?i=119859</v>
      </c>
      <c r="R1135" s="13" t="s">
        <v>11456</v>
      </c>
      <c r="S1135" s="172"/>
      <c r="T1135" s="172"/>
      <c r="AC1135" s="82" t="s">
        <v>1790</v>
      </c>
      <c r="BU1135" s="87" t="s">
        <v>1790</v>
      </c>
      <c r="CT1135" s="166" t="s">
        <v>1790</v>
      </c>
    </row>
    <row r="1136" spans="1:98" ht="63.75" x14ac:dyDescent="0.2">
      <c r="A1136" s="176" t="str">
        <f t="shared" si="30"/>
        <v>pH</v>
      </c>
      <c r="B1136" s="11" t="s">
        <v>11461</v>
      </c>
      <c r="C1136" s="173"/>
      <c r="D1136" s="22" t="s">
        <v>11460</v>
      </c>
      <c r="E1136" s="15" t="s">
        <v>11462</v>
      </c>
      <c r="F1136" s="15" t="s">
        <v>11463</v>
      </c>
      <c r="G1136" s="174"/>
      <c r="H1136" s="17" t="s">
        <v>5932</v>
      </c>
      <c r="I1136" s="269"/>
      <c r="J1136" s="369" t="str">
        <f>HYPERLINK("[#]Datatypes!B1231:L1231","Real")</f>
        <v>Real</v>
      </c>
      <c r="K1136" s="271" t="str">
        <f>HYPERLINK("[#]PhysicalQuantities!A39:N39","Pure Number")</f>
        <v>Pure Number</v>
      </c>
      <c r="L1136" s="270" t="str">
        <f>HYPERLINK("[#]UnitsOfMeasure!D213:G213","Unitless")</f>
        <v>Unitless</v>
      </c>
      <c r="M1136" s="272"/>
      <c r="N1136" s="273"/>
      <c r="O1136" s="269"/>
      <c r="P1136" s="37">
        <v>119404</v>
      </c>
      <c r="Q1136" s="36" t="str">
        <f>CONCATENATE(Cover!$D$6,"fdd/view?i=",P1136)</f>
        <v>https://www.dgiwg.org/FAD/fdd/view?i=119404</v>
      </c>
      <c r="R1136" s="13" t="s">
        <v>11460</v>
      </c>
      <c r="S1136" s="172"/>
      <c r="T1136" s="172"/>
      <c r="BK1136" s="89" t="s">
        <v>1790</v>
      </c>
      <c r="BP1136" s="82" t="s">
        <v>1790</v>
      </c>
      <c r="CQ1136" s="165" t="s">
        <v>1790</v>
      </c>
    </row>
    <row r="1137" spans="1:105" ht="63.75" x14ac:dyDescent="0.2">
      <c r="A1137" s="176" t="str">
        <f t="shared" si="30"/>
        <v>physicalCondition</v>
      </c>
      <c r="B1137" s="11" t="s">
        <v>11465</v>
      </c>
      <c r="C1137" s="173"/>
      <c r="D1137" s="22" t="s">
        <v>11466</v>
      </c>
      <c r="E1137" s="15" t="s">
        <v>11467</v>
      </c>
      <c r="F1137" s="15" t="s">
        <v>11468</v>
      </c>
      <c r="G1137" s="174"/>
      <c r="H1137" s="17" t="s">
        <v>5932</v>
      </c>
      <c r="I1137" s="269"/>
      <c r="J1137" s="369" t="str">
        <f>HYPERLINK("[#]Datatypes!B1121:L1121","PcfCode")</f>
        <v>PcfCode</v>
      </c>
      <c r="K1137" s="276"/>
      <c r="L1137" s="272"/>
      <c r="M1137" s="272"/>
      <c r="N1137" s="248" t="str">
        <f>HYPERLINK("[#]DatatypeListedValues!A6642:H6642","&lt;values&gt;")</f>
        <v>&lt;values&gt;</v>
      </c>
      <c r="O1137" s="277" t="b">
        <v>0</v>
      </c>
      <c r="P1137" s="37">
        <v>119202</v>
      </c>
      <c r="Q1137" s="36" t="str">
        <f>CONCATENATE(Cover!$D$6,"fdd/view?i=",P1137)</f>
        <v>https://www.dgiwg.org/FAD/fdd/view?i=119202</v>
      </c>
      <c r="R1137" s="13" t="s">
        <v>11464</v>
      </c>
      <c r="S1137" s="172"/>
      <c r="T1137" s="172"/>
      <c r="CS1137" s="165" t="s">
        <v>1790</v>
      </c>
      <c r="CT1137" s="166" t="s">
        <v>1790</v>
      </c>
    </row>
    <row r="1138" spans="1:105" x14ac:dyDescent="0.2">
      <c r="A1138" s="176" t="str">
        <f t="shared" si="30"/>
        <v>physicalStateCategory</v>
      </c>
      <c r="B1138" s="11" t="s">
        <v>11471</v>
      </c>
      <c r="C1138" s="173"/>
      <c r="D1138" s="22" t="s">
        <v>11472</v>
      </c>
      <c r="E1138" s="15" t="s">
        <v>11473</v>
      </c>
      <c r="F1138" s="174"/>
      <c r="G1138" s="174"/>
      <c r="H1138" s="17" t="s">
        <v>5932</v>
      </c>
      <c r="I1138" s="269"/>
      <c r="J1138" s="369" t="str">
        <f>HYPERLINK("[#]Datatypes!B1123:L1123","PstCode")</f>
        <v>PstCode</v>
      </c>
      <c r="K1138" s="276"/>
      <c r="L1138" s="272"/>
      <c r="M1138" s="272"/>
      <c r="N1138" s="248" t="str">
        <f>HYPERLINK("[#]DatatypeListedValues!A6648:H6648","&lt;values&gt;")</f>
        <v>&lt;values&gt;</v>
      </c>
      <c r="O1138" s="277" t="b">
        <v>0</v>
      </c>
      <c r="P1138" s="37">
        <v>101192</v>
      </c>
      <c r="Q1138" s="36" t="str">
        <f>CONCATENATE(Cover!$D$6,"fdd/view?i=",P1138)</f>
        <v>https://www.dgiwg.org/FAD/fdd/view?i=101192</v>
      </c>
      <c r="R1138" s="13" t="s">
        <v>11470</v>
      </c>
      <c r="S1138" s="172"/>
      <c r="T1138" s="172"/>
      <c r="CS1138" s="165" t="s">
        <v>1790</v>
      </c>
    </row>
    <row r="1139" spans="1:105" ht="25.5" x14ac:dyDescent="0.2">
      <c r="A1139" s="176" t="str">
        <f t="shared" si="30"/>
        <v>pictorialRepresentation</v>
      </c>
      <c r="B1139" s="11" t="s">
        <v>11476</v>
      </c>
      <c r="C1139" s="173"/>
      <c r="D1139" s="22" t="s">
        <v>11477</v>
      </c>
      <c r="E1139" s="15" t="s">
        <v>11478</v>
      </c>
      <c r="F1139" s="15" t="s">
        <v>11479</v>
      </c>
      <c r="G1139" s="174"/>
      <c r="H1139" s="17" t="s">
        <v>5932</v>
      </c>
      <c r="I1139" s="269"/>
      <c r="J1139" s="369" t="str">
        <f>HYPERLINK("[#]Datatypes!B1542:L1542","TextLex80")</f>
        <v>TextLex80</v>
      </c>
      <c r="K1139" s="276"/>
      <c r="L1139" s="272"/>
      <c r="M1139" s="272"/>
      <c r="N1139" s="273"/>
      <c r="O1139" s="269"/>
      <c r="P1139" s="37">
        <v>101169</v>
      </c>
      <c r="Q1139" s="36" t="str">
        <f>CONCATENATE(Cover!$D$6,"fdd/view?i=",P1139)</f>
        <v>https://www.dgiwg.org/FAD/fdd/view?i=101169</v>
      </c>
      <c r="R1139" s="13" t="s">
        <v>11475</v>
      </c>
      <c r="S1139" s="172"/>
      <c r="T1139" s="172"/>
      <c r="DA1139" s="165" t="s">
        <v>1790</v>
      </c>
    </row>
    <row r="1140" spans="1:105" ht="25.5" x14ac:dyDescent="0.2">
      <c r="A1140" s="176" t="str">
        <f t="shared" si="30"/>
        <v>pileType</v>
      </c>
      <c r="B1140" s="11" t="s">
        <v>11481</v>
      </c>
      <c r="C1140" s="173"/>
      <c r="D1140" s="22" t="s">
        <v>11482</v>
      </c>
      <c r="E1140" s="15" t="s">
        <v>11483</v>
      </c>
      <c r="F1140" s="174"/>
      <c r="G1140" s="174"/>
      <c r="H1140" s="17" t="s">
        <v>5932</v>
      </c>
      <c r="I1140" s="269"/>
      <c r="J1140" s="369" t="str">
        <f>HYPERLINK("[#]Datatypes!B1125:L1125","PlcCode")</f>
        <v>PlcCode</v>
      </c>
      <c r="K1140" s="276"/>
      <c r="L1140" s="272"/>
      <c r="M1140" s="272"/>
      <c r="N1140" s="248" t="str">
        <f>HYPERLINK("[#]DatatypeListedValues!A6651:H6651","&lt;values&gt;")</f>
        <v>&lt;values&gt;</v>
      </c>
      <c r="O1140" s="277" t="b">
        <v>0</v>
      </c>
      <c r="P1140" s="37">
        <v>101171</v>
      </c>
      <c r="Q1140" s="36" t="str">
        <f>CONCATENATE(Cover!$D$6,"fdd/view?i=",P1140)</f>
        <v>https://www.dgiwg.org/FAD/fdd/view?i=101171</v>
      </c>
      <c r="R1140" s="13" t="s">
        <v>11480</v>
      </c>
      <c r="S1140" s="172"/>
      <c r="T1140" s="172"/>
      <c r="AS1140" s="82" t="s">
        <v>1790</v>
      </c>
      <c r="AZ1140" s="87" t="s">
        <v>1790</v>
      </c>
      <c r="BA1140" s="83" t="s">
        <v>1790</v>
      </c>
      <c r="BF1140" s="83" t="s">
        <v>1790</v>
      </c>
      <c r="CS1140" s="165" t="s">
        <v>1790</v>
      </c>
      <c r="CT1140" s="166" t="s">
        <v>1790</v>
      </c>
    </row>
    <row r="1141" spans="1:105" ht="25.5" x14ac:dyDescent="0.2">
      <c r="A1141" s="176" t="str">
        <f t="shared" si="30"/>
        <v>pilotBoardingMethod</v>
      </c>
      <c r="B1141" s="11" t="s">
        <v>11486</v>
      </c>
      <c r="C1141" s="173"/>
      <c r="D1141" s="22" t="s">
        <v>11487</v>
      </c>
      <c r="E1141" s="15" t="s">
        <v>11488</v>
      </c>
      <c r="F1141" s="174"/>
      <c r="G1141" s="174"/>
      <c r="H1141" s="17" t="s">
        <v>5932</v>
      </c>
      <c r="I1141" s="269"/>
      <c r="J1141" s="369" t="str">
        <f>HYPERLINK("[#]Datatypes!B1127:L1127","PbpCode")</f>
        <v>PbpCode</v>
      </c>
      <c r="K1141" s="276"/>
      <c r="L1141" s="272"/>
      <c r="M1141" s="272"/>
      <c r="N1141" s="248" t="str">
        <f>HYPERLINK("[#]DatatypeListedValues!A6655:H6655","&lt;values&gt;")</f>
        <v>&lt;values&gt;</v>
      </c>
      <c r="O1141" s="277" t="b">
        <v>0</v>
      </c>
      <c r="P1141" s="37">
        <v>101145</v>
      </c>
      <c r="Q1141" s="36" t="str">
        <f>CONCATENATE(Cover!$D$6,"fdd/view?i=",P1141)</f>
        <v>https://www.dgiwg.org/FAD/fdd/view?i=101145</v>
      </c>
      <c r="R1141" s="13" t="s">
        <v>11485</v>
      </c>
      <c r="S1141" s="172"/>
      <c r="T1141" s="172"/>
      <c r="AS1141" s="82" t="s">
        <v>1790</v>
      </c>
      <c r="AZ1141" s="87" t="s">
        <v>1790</v>
      </c>
      <c r="BA1141" s="83" t="s">
        <v>1790</v>
      </c>
      <c r="BF1141" s="83" t="s">
        <v>1790</v>
      </c>
      <c r="CJ1141" s="81" t="s">
        <v>1790</v>
      </c>
    </row>
    <row r="1142" spans="1:105" ht="25.5" x14ac:dyDescent="0.2">
      <c r="A1142" s="176" t="str">
        <f t="shared" si="30"/>
        <v>pilotBoatBerth</v>
      </c>
      <c r="B1142" s="11" t="s">
        <v>11491</v>
      </c>
      <c r="C1142" s="173"/>
      <c r="D1142" s="22" t="s">
        <v>11492</v>
      </c>
      <c r="E1142" s="15" t="s">
        <v>11493</v>
      </c>
      <c r="F1142" s="15" t="s">
        <v>11494</v>
      </c>
      <c r="G1142" s="174"/>
      <c r="H1142" s="17" t="s">
        <v>5932</v>
      </c>
      <c r="I1142" s="269"/>
      <c r="J1142" s="369" t="str">
        <f>HYPERLINK("[#]Datatypes!B240:L240","Boolean")</f>
        <v>Boolean</v>
      </c>
      <c r="K1142" s="276"/>
      <c r="L1142" s="272"/>
      <c r="M1142" s="272"/>
      <c r="N1142" s="273"/>
      <c r="O1142" s="269"/>
      <c r="P1142" s="37">
        <v>118588</v>
      </c>
      <c r="Q1142" s="36" t="str">
        <f>CONCATENATE(Cover!$D$6,"fdd/view?i=",P1142)</f>
        <v>https://www.dgiwg.org/FAD/fdd/view?i=118588</v>
      </c>
      <c r="R1142" s="13" t="s">
        <v>11490</v>
      </c>
      <c r="S1142" s="172"/>
      <c r="T1142" s="172"/>
      <c r="AS1142" s="82" t="s">
        <v>1790</v>
      </c>
      <c r="AZ1142" s="87" t="s">
        <v>1790</v>
      </c>
      <c r="BA1142" s="83" t="s">
        <v>1790</v>
      </c>
    </row>
    <row r="1143" spans="1:105" ht="25.5" x14ac:dyDescent="0.2">
      <c r="A1143" s="176" t="str">
        <f t="shared" si="30"/>
        <v>pilotControlledLighting</v>
      </c>
      <c r="B1143" s="11" t="s">
        <v>11496</v>
      </c>
      <c r="C1143" s="173"/>
      <c r="D1143" s="22" t="s">
        <v>11497</v>
      </c>
      <c r="E1143" s="15" t="s">
        <v>11498</v>
      </c>
      <c r="F1143" s="174"/>
      <c r="G1143" s="15" t="s">
        <v>11499</v>
      </c>
      <c r="H1143" s="17" t="s">
        <v>5932</v>
      </c>
      <c r="I1143" s="269"/>
      <c r="J1143" s="369" t="str">
        <f>HYPERLINK("[#]Datatypes!B240:L240","Boolean")</f>
        <v>Boolean</v>
      </c>
      <c r="K1143" s="276"/>
      <c r="L1143" s="272"/>
      <c r="M1143" s="272"/>
      <c r="N1143" s="273"/>
      <c r="O1143" s="269"/>
      <c r="P1143" s="37">
        <v>117664</v>
      </c>
      <c r="Q1143" s="36" t="str">
        <f>CONCATENATE(Cover!$D$6,"fdd/view?i=",P1143)</f>
        <v>https://www.dgiwg.org/FAD/fdd/view?i=117664</v>
      </c>
      <c r="R1143" s="13" t="s">
        <v>11495</v>
      </c>
      <c r="S1143" s="172"/>
      <c r="T1143" s="172"/>
      <c r="CE1143" s="87" t="s">
        <v>1790</v>
      </c>
    </row>
    <row r="1144" spans="1:105" x14ac:dyDescent="0.2">
      <c r="A1144" s="176" t="str">
        <f t="shared" si="30"/>
        <v>pilotDistrict</v>
      </c>
      <c r="B1144" s="11" t="s">
        <v>11501</v>
      </c>
      <c r="C1144" s="173"/>
      <c r="D1144" s="22" t="s">
        <v>11502</v>
      </c>
      <c r="E1144" s="15" t="s">
        <v>11503</v>
      </c>
      <c r="F1144" s="174"/>
      <c r="G1144" s="174"/>
      <c r="H1144" s="17" t="s">
        <v>5932</v>
      </c>
      <c r="I1144" s="269"/>
      <c r="J1144" s="369" t="str">
        <f>HYPERLINK("[#]Datatypes!B1542:L1542","TextLex80")</f>
        <v>TextLex80</v>
      </c>
      <c r="K1144" s="276"/>
      <c r="L1144" s="272"/>
      <c r="M1144" s="272"/>
      <c r="N1144" s="273"/>
      <c r="O1144" s="269"/>
      <c r="P1144" s="37">
        <v>101170</v>
      </c>
      <c r="Q1144" s="36" t="str">
        <f>CONCATENATE(Cover!$D$6,"fdd/view?i=",P1144)</f>
        <v>https://www.dgiwg.org/FAD/fdd/view?i=101170</v>
      </c>
      <c r="R1144" s="13" t="s">
        <v>11500</v>
      </c>
      <c r="S1144" s="172"/>
      <c r="T1144" s="172"/>
      <c r="AS1144" s="82" t="s">
        <v>1790</v>
      </c>
      <c r="AZ1144" s="87" t="s">
        <v>1790</v>
      </c>
      <c r="BA1144" s="83" t="s">
        <v>1790</v>
      </c>
      <c r="BF1144" s="83" t="s">
        <v>1790</v>
      </c>
      <c r="BI1144" s="83" t="s">
        <v>1790</v>
      </c>
    </row>
    <row r="1145" spans="1:105" ht="25.5" x14ac:dyDescent="0.2">
      <c r="A1145" s="176" t="str">
        <f t="shared" si="30"/>
        <v>pipelineType</v>
      </c>
      <c r="B1145" s="11" t="s">
        <v>11505</v>
      </c>
      <c r="C1145" s="173"/>
      <c r="D1145" s="22" t="s">
        <v>11506</v>
      </c>
      <c r="E1145" s="15" t="s">
        <v>11507</v>
      </c>
      <c r="F1145" s="174"/>
      <c r="G1145" s="174"/>
      <c r="H1145" s="17" t="s">
        <v>5932</v>
      </c>
      <c r="I1145" s="17" t="s">
        <v>6029</v>
      </c>
      <c r="J1145" s="369" t="str">
        <f>HYPERLINK("[#]Datatypes!B1129:L1129","PltCode")</f>
        <v>PltCode</v>
      </c>
      <c r="K1145" s="276"/>
      <c r="L1145" s="272"/>
      <c r="M1145" s="272"/>
      <c r="N1145" s="248" t="str">
        <f>HYPERLINK("[#]DatatypeListedValues!A6658:H6658","&lt;values&gt;")</f>
        <v>&lt;values&gt;</v>
      </c>
      <c r="O1145" s="277" t="b">
        <v>0</v>
      </c>
      <c r="P1145" s="37">
        <v>101172</v>
      </c>
      <c r="Q1145" s="36" t="str">
        <f>CONCATENATE(Cover!$D$6,"fdd/view?i=",P1145)</f>
        <v>https://www.dgiwg.org/FAD/fdd/view?i=101172</v>
      </c>
      <c r="R1145" s="13" t="s">
        <v>11504</v>
      </c>
      <c r="S1145" s="172"/>
      <c r="T1145" s="172"/>
      <c r="AW1145" s="82" t="s">
        <v>1790</v>
      </c>
      <c r="CT1145" s="166" t="s">
        <v>1790</v>
      </c>
    </row>
    <row r="1146" spans="1:105" x14ac:dyDescent="0.2">
      <c r="A1146" s="176" t="str">
        <f t="shared" si="30"/>
        <v>platformCount</v>
      </c>
      <c r="B1146" s="11" t="s">
        <v>11510</v>
      </c>
      <c r="C1146" s="173"/>
      <c r="D1146" s="22" t="s">
        <v>11511</v>
      </c>
      <c r="E1146" s="15" t="s">
        <v>11512</v>
      </c>
      <c r="F1146" s="174"/>
      <c r="G1146" s="174"/>
      <c r="H1146" s="17" t="s">
        <v>5932</v>
      </c>
      <c r="I1146" s="269"/>
      <c r="J1146" s="369" t="str">
        <f>HYPERLINK("[#]Datatypes!B380:L380","Count")</f>
        <v>Count</v>
      </c>
      <c r="K1146" s="276"/>
      <c r="L1146" s="272"/>
      <c r="M1146" s="272"/>
      <c r="N1146" s="273"/>
      <c r="O1146" s="269"/>
      <c r="P1146" s="37">
        <v>101102</v>
      </c>
      <c r="Q1146" s="36" t="str">
        <f>CONCATENATE(Cover!$D$6,"fdd/view?i=",P1146)</f>
        <v>https://www.dgiwg.org/FAD/fdd/view?i=101102</v>
      </c>
      <c r="R1146" s="13" t="s">
        <v>11509</v>
      </c>
      <c r="S1146" s="172"/>
      <c r="T1146" s="172"/>
      <c r="AP1146" s="81" t="s">
        <v>1790</v>
      </c>
      <c r="AQ1146" s="82" t="s">
        <v>1790</v>
      </c>
      <c r="CQ1146" s="165" t="s">
        <v>1790</v>
      </c>
    </row>
    <row r="1147" spans="1:105" x14ac:dyDescent="0.2">
      <c r="A1147" s="176" t="str">
        <f t="shared" si="30"/>
        <v>pointAbeamType</v>
      </c>
      <c r="B1147" s="11" t="s">
        <v>11514</v>
      </c>
      <c r="C1147" s="173"/>
      <c r="D1147" s="22" t="s">
        <v>11515</v>
      </c>
      <c r="E1147" s="15" t="s">
        <v>11516</v>
      </c>
      <c r="F1147" s="174"/>
      <c r="G1147" s="174"/>
      <c r="H1147" s="17" t="s">
        <v>5932</v>
      </c>
      <c r="I1147" s="269"/>
      <c r="J1147" s="369" t="str">
        <f>HYPERLINK("[#]Datatypes!B1131:L1131","PabCode")</f>
        <v>PabCode</v>
      </c>
      <c r="K1147" s="276"/>
      <c r="L1147" s="272"/>
      <c r="M1147" s="272"/>
      <c r="N1147" s="248" t="str">
        <f>HYPERLINK("[#]DatatypeListedValues!A6664:H6664","&lt;values&gt;")</f>
        <v>&lt;values&gt;</v>
      </c>
      <c r="O1147" s="277" t="b">
        <v>0</v>
      </c>
      <c r="P1147" s="37">
        <v>101141</v>
      </c>
      <c r="Q1147" s="36" t="str">
        <f>CONCATENATE(Cover!$D$6,"fdd/view?i=",P1147)</f>
        <v>https://www.dgiwg.org/FAD/fdd/view?i=101141</v>
      </c>
      <c r="R1147" s="13" t="s">
        <v>11513</v>
      </c>
      <c r="S1147" s="172"/>
      <c r="T1147" s="172"/>
      <c r="AT1147" s="82" t="s">
        <v>1790</v>
      </c>
      <c r="CE1147" s="87" t="s">
        <v>1790</v>
      </c>
    </row>
    <row r="1148" spans="1:105" x14ac:dyDescent="0.2">
      <c r="A1148" s="176" t="str">
        <f t="shared" si="30"/>
        <v>pondType</v>
      </c>
      <c r="B1148" s="11" t="s">
        <v>11519</v>
      </c>
      <c r="C1148" s="173"/>
      <c r="D1148" s="22" t="s">
        <v>11520</v>
      </c>
      <c r="E1148" s="15" t="s">
        <v>11521</v>
      </c>
      <c r="F1148" s="174"/>
      <c r="G1148" s="174"/>
      <c r="H1148" s="17" t="s">
        <v>5932</v>
      </c>
      <c r="I1148" s="269"/>
      <c r="J1148" s="369" t="str">
        <f>HYPERLINK("[#]Datatypes!B1133:L1133","PopCode")</f>
        <v>PopCode</v>
      </c>
      <c r="K1148" s="276"/>
      <c r="L1148" s="272"/>
      <c r="M1148" s="272"/>
      <c r="N1148" s="248" t="str">
        <f>HYPERLINK("[#]DatatypeListedValues!A6672:H6672","&lt;values&gt;")</f>
        <v>&lt;values&gt;</v>
      </c>
      <c r="O1148" s="277" t="b">
        <v>0</v>
      </c>
      <c r="P1148" s="37">
        <v>101174</v>
      </c>
      <c r="Q1148" s="36" t="str">
        <f>CONCATENATE(Cover!$D$6,"fdd/view?i=",P1148)</f>
        <v>https://www.dgiwg.org/FAD/fdd/view?i=101174</v>
      </c>
      <c r="R1148" s="13" t="s">
        <v>11518</v>
      </c>
      <c r="S1148" s="172"/>
      <c r="T1148" s="172"/>
      <c r="BJ1148" s="83" t="s">
        <v>1790</v>
      </c>
      <c r="CT1148" s="166" t="s">
        <v>1790</v>
      </c>
    </row>
    <row r="1149" spans="1:105" ht="25.5" x14ac:dyDescent="0.2">
      <c r="A1149" s="176" t="str">
        <f t="shared" si="30"/>
        <v>popPlaceHabitationsCat</v>
      </c>
      <c r="B1149" s="11" t="s">
        <v>11524</v>
      </c>
      <c r="C1149" s="173"/>
      <c r="D1149" s="22" t="s">
        <v>11525</v>
      </c>
      <c r="E1149" s="15" t="s">
        <v>11526</v>
      </c>
      <c r="F1149" s="15" t="s">
        <v>11527</v>
      </c>
      <c r="G1149" s="174"/>
      <c r="H1149" s="17" t="s">
        <v>5932</v>
      </c>
      <c r="I1149" s="269"/>
      <c r="J1149" s="369" t="str">
        <f>HYPERLINK("[#]Datatypes!B1135:L1135","PpsCode")</f>
        <v>PpsCode</v>
      </c>
      <c r="K1149" s="276"/>
      <c r="L1149" s="272"/>
      <c r="M1149" s="272"/>
      <c r="N1149" s="248" t="str">
        <f>HYPERLINK("[#]DatatypeListedValues!A6676:H6676","&lt;values&gt;")</f>
        <v>&lt;values&gt;</v>
      </c>
      <c r="O1149" s="277" t="b">
        <v>0</v>
      </c>
      <c r="P1149" s="37">
        <v>111672</v>
      </c>
      <c r="Q1149" s="36" t="str">
        <f>CONCATENATE(Cover!$D$6,"fdd/view?i=",P1149)</f>
        <v>https://www.dgiwg.org/FAD/fdd/view?i=111672</v>
      </c>
      <c r="R1149" s="13" t="s">
        <v>11523</v>
      </c>
      <c r="S1149" s="172"/>
      <c r="T1149" s="172"/>
      <c r="AI1149" s="87" t="s">
        <v>1790</v>
      </c>
      <c r="AJ1149" s="83" t="s">
        <v>1790</v>
      </c>
      <c r="AO1149" s="89" t="s">
        <v>1790</v>
      </c>
      <c r="CQ1149" s="165" t="s">
        <v>1790</v>
      </c>
    </row>
    <row r="1150" spans="1:105" ht="25.5" x14ac:dyDescent="0.2">
      <c r="A1150" s="176" t="str">
        <f t="shared" si="30"/>
        <v>popPlaceLevelCategory</v>
      </c>
      <c r="B1150" s="11" t="s">
        <v>11530</v>
      </c>
      <c r="C1150" s="173"/>
      <c r="D1150" s="22" t="s">
        <v>11531</v>
      </c>
      <c r="E1150" s="15" t="s">
        <v>11532</v>
      </c>
      <c r="F1150" s="174"/>
      <c r="G1150" s="174"/>
      <c r="H1150" s="17" t="s">
        <v>5932</v>
      </c>
      <c r="I1150" s="269"/>
      <c r="J1150" s="369" t="str">
        <f>HYPERLINK("[#]Datatypes!B1137:L1137","ClfCode")</f>
        <v>ClfCode</v>
      </c>
      <c r="K1150" s="276"/>
      <c r="L1150" s="272"/>
      <c r="M1150" s="272"/>
      <c r="N1150" s="248" t="str">
        <f>HYPERLINK("[#]DatatypeListedValues!A6680:H6680","&lt;values&gt;")</f>
        <v>&lt;values&gt;</v>
      </c>
      <c r="O1150" s="277" t="b">
        <v>0</v>
      </c>
      <c r="P1150" s="37">
        <v>111498</v>
      </c>
      <c r="Q1150" s="36" t="str">
        <f>CONCATENATE(Cover!$D$6,"fdd/view?i=",P1150)</f>
        <v>https://www.dgiwg.org/FAD/fdd/view?i=111498</v>
      </c>
      <c r="R1150" s="13" t="s">
        <v>11529</v>
      </c>
      <c r="S1150" s="172"/>
      <c r="T1150" s="172"/>
      <c r="AI1150" s="87" t="s">
        <v>1790</v>
      </c>
      <c r="AJ1150" s="83" t="s">
        <v>1790</v>
      </c>
      <c r="CT1150" s="166" t="s">
        <v>1790</v>
      </c>
    </row>
    <row r="1151" spans="1:105" ht="25.5" x14ac:dyDescent="0.2">
      <c r="A1151" s="176" t="str">
        <f t="shared" si="30"/>
        <v>popPlacePattern</v>
      </c>
      <c r="B1151" s="11" t="s">
        <v>11535</v>
      </c>
      <c r="C1151" s="173"/>
      <c r="D1151" s="22" t="s">
        <v>11536</v>
      </c>
      <c r="E1151" s="15" t="s">
        <v>11537</v>
      </c>
      <c r="F1151" s="174"/>
      <c r="G1151" s="174"/>
      <c r="H1151" s="17" t="s">
        <v>5932</v>
      </c>
      <c r="I1151" s="269"/>
      <c r="J1151" s="369" t="str">
        <f>HYPERLINK("[#]Datatypes!B1139:L1139","RusCode")</f>
        <v>RusCode</v>
      </c>
      <c r="K1151" s="276"/>
      <c r="L1151" s="272"/>
      <c r="M1151" s="272"/>
      <c r="N1151" s="248" t="str">
        <f>HYPERLINK("[#]DatatypeListedValues!A6683:H6683","&lt;values&gt;")</f>
        <v>&lt;values&gt;</v>
      </c>
      <c r="O1151" s="277" t="b">
        <v>0</v>
      </c>
      <c r="P1151" s="37">
        <v>111708</v>
      </c>
      <c r="Q1151" s="36" t="str">
        <f>CONCATENATE(Cover!$D$6,"fdd/view?i=",P1151)</f>
        <v>https://www.dgiwg.org/FAD/fdd/view?i=111708</v>
      </c>
      <c r="R1151" s="13" t="s">
        <v>11534</v>
      </c>
      <c r="S1151" s="172"/>
      <c r="T1151" s="172"/>
      <c r="AI1151" s="87" t="s">
        <v>1790</v>
      </c>
      <c r="AJ1151" s="83" t="s">
        <v>1790</v>
      </c>
      <c r="CS1151" s="165" t="s">
        <v>1790</v>
      </c>
    </row>
    <row r="1152" spans="1:105" ht="25.5" x14ac:dyDescent="0.2">
      <c r="A1152" s="176" t="str">
        <f t="shared" si="30"/>
        <v>popPlaceSizeCategory</v>
      </c>
      <c r="B1152" s="11" t="s">
        <v>11540</v>
      </c>
      <c r="C1152" s="173"/>
      <c r="D1152" s="22" t="s">
        <v>11541</v>
      </c>
      <c r="E1152" s="15" t="s">
        <v>11542</v>
      </c>
      <c r="F1152" s="174"/>
      <c r="G1152" s="174"/>
      <c r="H1152" s="17" t="s">
        <v>5932</v>
      </c>
      <c r="I1152" s="269"/>
      <c r="J1152" s="369" t="str">
        <f>HYPERLINK("[#]Datatypes!B1141:L1141","SliCode")</f>
        <v>SliCode</v>
      </c>
      <c r="K1152" s="276"/>
      <c r="L1152" s="272"/>
      <c r="M1152" s="272"/>
      <c r="N1152" s="248" t="str">
        <f>HYPERLINK("[#]DatatypeListedValues!A6692:H6692","&lt;values&gt;")</f>
        <v>&lt;values&gt;</v>
      </c>
      <c r="O1152" s="277" t="b">
        <v>0</v>
      </c>
      <c r="P1152" s="37">
        <v>111720</v>
      </c>
      <c r="Q1152" s="36" t="str">
        <f>CONCATENATE(Cover!$D$6,"fdd/view?i=",P1152)</f>
        <v>https://www.dgiwg.org/FAD/fdd/view?i=111720</v>
      </c>
      <c r="R1152" s="13" t="s">
        <v>11539</v>
      </c>
      <c r="S1152" s="172"/>
      <c r="T1152" s="172"/>
      <c r="AI1152" s="87" t="s">
        <v>1790</v>
      </c>
      <c r="AJ1152" s="83" t="s">
        <v>1790</v>
      </c>
      <c r="CQ1152" s="165" t="s">
        <v>1790</v>
      </c>
    </row>
    <row r="1153" spans="1:104" ht="25.5" x14ac:dyDescent="0.2">
      <c r="A1153" s="176" t="str">
        <f t="shared" si="30"/>
        <v>populatedPlaceType</v>
      </c>
      <c r="B1153" s="11" t="s">
        <v>11545</v>
      </c>
      <c r="C1153" s="173"/>
      <c r="D1153" s="22" t="s">
        <v>11546</v>
      </c>
      <c r="E1153" s="15" t="s">
        <v>11547</v>
      </c>
      <c r="F1153" s="174"/>
      <c r="G1153" s="174"/>
      <c r="H1153" s="17" t="s">
        <v>5932</v>
      </c>
      <c r="I1153" s="269"/>
      <c r="J1153" s="369" t="str">
        <f>HYPERLINK("[#]Datatypes!B1143:L1143","PptCode")</f>
        <v>PptCode</v>
      </c>
      <c r="K1153" s="276"/>
      <c r="L1153" s="272"/>
      <c r="M1153" s="272"/>
      <c r="N1153" s="248" t="str">
        <f>HYPERLINK("[#]DatatypeListedValues!A6699:H6699","&lt;values&gt;")</f>
        <v>&lt;values&gt;</v>
      </c>
      <c r="O1153" s="277" t="b">
        <v>0</v>
      </c>
      <c r="P1153" s="37">
        <v>101178</v>
      </c>
      <c r="Q1153" s="36" t="str">
        <f>CONCATENATE(Cover!$D$6,"fdd/view?i=",P1153)</f>
        <v>https://www.dgiwg.org/FAD/fdd/view?i=101178</v>
      </c>
      <c r="R1153" s="13" t="s">
        <v>11544</v>
      </c>
      <c r="S1153" s="172"/>
      <c r="T1153" s="172"/>
      <c r="AI1153" s="87" t="s">
        <v>1790</v>
      </c>
      <c r="AL1153" s="83" t="s">
        <v>1790</v>
      </c>
      <c r="CT1153" s="166" t="s">
        <v>1790</v>
      </c>
    </row>
    <row r="1154" spans="1:104" ht="25.5" x14ac:dyDescent="0.2">
      <c r="A1154" s="176" t="str">
        <f t="shared" si="30"/>
        <v>population</v>
      </c>
      <c r="B1154" s="11" t="s">
        <v>11550</v>
      </c>
      <c r="C1154" s="173"/>
      <c r="D1154" s="22" t="s">
        <v>11551</v>
      </c>
      <c r="E1154" s="15" t="s">
        <v>11552</v>
      </c>
      <c r="F1154" s="174"/>
      <c r="G1154" s="174"/>
      <c r="H1154" s="17" t="s">
        <v>5932</v>
      </c>
      <c r="I1154" s="269"/>
      <c r="J1154" s="369" t="str">
        <f>HYPERLINK("[#]Datatypes!B380:L380","Count")</f>
        <v>Count</v>
      </c>
      <c r="K1154" s="276"/>
      <c r="L1154" s="272"/>
      <c r="M1154" s="272"/>
      <c r="N1154" s="273"/>
      <c r="O1154" s="269"/>
      <c r="P1154" s="37">
        <v>101176</v>
      </c>
      <c r="Q1154" s="36" t="str">
        <f>CONCATENATE(Cover!$D$6,"fdd/view?i=",P1154)</f>
        <v>https://www.dgiwg.org/FAD/fdd/view?i=101176</v>
      </c>
      <c r="R1154" s="13" t="s">
        <v>11549</v>
      </c>
      <c r="S1154" s="172"/>
      <c r="T1154" s="172"/>
      <c r="AI1154" s="87" t="s">
        <v>1790</v>
      </c>
      <c r="CQ1154" s="165" t="s">
        <v>1790</v>
      </c>
    </row>
    <row r="1155" spans="1:104" ht="25.5" x14ac:dyDescent="0.2">
      <c r="A1155" s="176" t="str">
        <f t="shared" ref="A1155:A1218" si="31">HYPERLINK(Q1155,R1155)</f>
        <v>populationDensity</v>
      </c>
      <c r="B1155" s="11" t="s">
        <v>11554</v>
      </c>
      <c r="C1155" s="173"/>
      <c r="D1155" s="22" t="s">
        <v>11555</v>
      </c>
      <c r="E1155" s="15" t="s">
        <v>11556</v>
      </c>
      <c r="F1155" s="174"/>
      <c r="G1155" s="174"/>
      <c r="H1155" s="17" t="s">
        <v>5932</v>
      </c>
      <c r="I1155" s="269"/>
      <c r="J1155" s="369" t="str">
        <f>HYPERLINK("[#]Datatypes!B1231:L1231","Real")</f>
        <v>Real</v>
      </c>
      <c r="K1155" s="271" t="str">
        <f>HYPERLINK("[#]PhysicalQuantities!A44:N44","Reciprocal Area")</f>
        <v>Reciprocal Area</v>
      </c>
      <c r="L1155" s="270" t="str">
        <f>HYPERLINK("[#]UnitsOfMeasure!D236:G236","Reciprocal Square Kilometre")</f>
        <v>Reciprocal Square Kilometre</v>
      </c>
      <c r="M1155" s="272"/>
      <c r="N1155" s="273"/>
      <c r="O1155" s="269"/>
      <c r="P1155" s="37">
        <v>111668</v>
      </c>
      <c r="Q1155" s="36" t="str">
        <f>CONCATENATE(Cover!$D$6,"fdd/view?i=",P1155)</f>
        <v>https://www.dgiwg.org/FAD/fdd/view?i=111668</v>
      </c>
      <c r="R1155" s="13" t="s">
        <v>11553</v>
      </c>
      <c r="S1155" s="172"/>
      <c r="T1155" s="172"/>
      <c r="AO1155" s="89" t="s">
        <v>1790</v>
      </c>
      <c r="CQ1155" s="165" t="s">
        <v>1790</v>
      </c>
    </row>
    <row r="1156" spans="1:104" ht="25.5" x14ac:dyDescent="0.2">
      <c r="A1156" s="176" t="str">
        <f t="shared" si="31"/>
        <v>populationDensityCat</v>
      </c>
      <c r="B1156" s="11" t="s">
        <v>11558</v>
      </c>
      <c r="C1156" s="173"/>
      <c r="D1156" s="22" t="s">
        <v>11559</v>
      </c>
      <c r="E1156" s="15" t="s">
        <v>11560</v>
      </c>
      <c r="F1156" s="174"/>
      <c r="G1156" s="174"/>
      <c r="H1156" s="17" t="s">
        <v>5932</v>
      </c>
      <c r="I1156" s="269"/>
      <c r="J1156" s="369" t="str">
        <f>HYPERLINK("[#]Datatypes!B1145:L1145","PpdCode")</f>
        <v>PpdCode</v>
      </c>
      <c r="K1156" s="276"/>
      <c r="L1156" s="272"/>
      <c r="M1156" s="272"/>
      <c r="N1156" s="248" t="str">
        <f>HYPERLINK("[#]DatatypeListedValues!A6737:H6737","&lt;values&gt;")</f>
        <v>&lt;values&gt;</v>
      </c>
      <c r="O1156" s="277" t="b">
        <v>0</v>
      </c>
      <c r="P1156" s="37">
        <v>111669</v>
      </c>
      <c r="Q1156" s="36" t="str">
        <f>CONCATENATE(Cover!$D$6,"fdd/view?i=",P1156)</f>
        <v>https://www.dgiwg.org/FAD/fdd/view?i=111669</v>
      </c>
      <c r="R1156" s="13" t="s">
        <v>11557</v>
      </c>
      <c r="S1156" s="172"/>
      <c r="T1156" s="172"/>
      <c r="AI1156" s="87" t="s">
        <v>1790</v>
      </c>
      <c r="AJ1156" s="83" t="s">
        <v>1790</v>
      </c>
      <c r="CQ1156" s="165" t="s">
        <v>1790</v>
      </c>
    </row>
    <row r="1157" spans="1:104" ht="38.25" x14ac:dyDescent="0.2">
      <c r="A1157" s="176" t="str">
        <f t="shared" si="31"/>
        <v>populationGrowthRate</v>
      </c>
      <c r="B1157" s="11" t="s">
        <v>11563</v>
      </c>
      <c r="C1157" s="173"/>
      <c r="D1157" s="22" t="s">
        <v>11564</v>
      </c>
      <c r="E1157" s="15" t="s">
        <v>11565</v>
      </c>
      <c r="F1157" s="174"/>
      <c r="G1157" s="174"/>
      <c r="H1157" s="17" t="s">
        <v>5932</v>
      </c>
      <c r="I1157" s="269"/>
      <c r="J1157" s="369" t="str">
        <f>HYPERLINK("[#]Datatypes!B1231:L1231","Real")</f>
        <v>Real</v>
      </c>
      <c r="K1157" s="271" t="str">
        <f>HYPERLINK("[#]PhysicalQuantities!A43:N43","Rate")</f>
        <v>Rate</v>
      </c>
      <c r="L1157" s="270" t="str">
        <f>HYPERLINK("[#]UnitsOfMeasure!D233:G233","Percent per Annum (tropical year)")</f>
        <v>Percent per Annum (tropical year)</v>
      </c>
      <c r="M1157" s="272"/>
      <c r="N1157" s="273"/>
      <c r="O1157" s="269"/>
      <c r="P1157" s="37">
        <v>111664</v>
      </c>
      <c r="Q1157" s="36" t="str">
        <f>CONCATENATE(Cover!$D$6,"fdd/view?i=",P1157)</f>
        <v>https://www.dgiwg.org/FAD/fdd/view?i=111664</v>
      </c>
      <c r="R1157" s="13" t="s">
        <v>11562</v>
      </c>
      <c r="S1157" s="172"/>
      <c r="T1157" s="172"/>
      <c r="AO1157" s="89" t="s">
        <v>1790</v>
      </c>
      <c r="CQ1157" s="165" t="s">
        <v>1790</v>
      </c>
    </row>
    <row r="1158" spans="1:104" ht="25.5" x14ac:dyDescent="0.2">
      <c r="A1158" s="176" t="str">
        <f t="shared" si="31"/>
        <v>populationLangFraction</v>
      </c>
      <c r="B1158" s="11" t="s">
        <v>11567</v>
      </c>
      <c r="C1158" s="173"/>
      <c r="D1158" s="22" t="s">
        <v>11568</v>
      </c>
      <c r="E1158" s="15" t="s">
        <v>11569</v>
      </c>
      <c r="F1158" s="174"/>
      <c r="G1158" s="174"/>
      <c r="H1158" s="17" t="s">
        <v>5932</v>
      </c>
      <c r="I1158" s="269"/>
      <c r="J1158" s="369" t="str">
        <f>HYPERLINK("[#]Datatypes!B1231:L1231","Real")</f>
        <v>Real</v>
      </c>
      <c r="K1158" s="271" t="str">
        <f>HYPERLINK("[#]PhysicalQuantities!A39:N39","Pure Number")</f>
        <v>Pure Number</v>
      </c>
      <c r="L1158" s="270" t="str">
        <f>HYPERLINK("[#]UnitsOfMeasure!D215:G215","Percent")</f>
        <v>Percent</v>
      </c>
      <c r="M1158" s="272"/>
      <c r="N1158" s="273"/>
      <c r="O1158" s="269"/>
      <c r="P1158" s="37">
        <v>111612</v>
      </c>
      <c r="Q1158" s="36" t="str">
        <f>CONCATENATE(Cover!$D$6,"fdd/view?i=",P1158)</f>
        <v>https://www.dgiwg.org/FAD/fdd/view?i=111612</v>
      </c>
      <c r="R1158" s="13" t="s">
        <v>11566</v>
      </c>
      <c r="S1158" s="172"/>
      <c r="T1158" s="172"/>
      <c r="AM1158" s="83" t="s">
        <v>1790</v>
      </c>
      <c r="AO1158" s="89" t="s">
        <v>1790</v>
      </c>
      <c r="CQ1158" s="165" t="s">
        <v>1790</v>
      </c>
    </row>
    <row r="1159" spans="1:104" ht="25.5" x14ac:dyDescent="0.2">
      <c r="A1159" s="176" t="str">
        <f t="shared" si="31"/>
        <v>portAccess</v>
      </c>
      <c r="B1159" s="11" t="s">
        <v>11571</v>
      </c>
      <c r="C1159" s="173"/>
      <c r="D1159" s="22" t="s">
        <v>11572</v>
      </c>
      <c r="E1159" s="15" t="s">
        <v>11573</v>
      </c>
      <c r="F1159" s="174"/>
      <c r="G1159" s="174"/>
      <c r="H1159" s="17" t="s">
        <v>5932</v>
      </c>
      <c r="I1159" s="269"/>
      <c r="J1159" s="369" t="str">
        <f>HYPERLINK("[#]Datatypes!B240:L240","Boolean")</f>
        <v>Boolean</v>
      </c>
      <c r="K1159" s="276"/>
      <c r="L1159" s="272"/>
      <c r="M1159" s="272"/>
      <c r="N1159" s="273"/>
      <c r="O1159" s="269"/>
      <c r="P1159" s="37">
        <v>101239</v>
      </c>
      <c r="Q1159" s="36" t="str">
        <f>CONCATENATE(Cover!$D$6,"fdd/view?i=",P1159)</f>
        <v>https://www.dgiwg.org/FAD/fdd/view?i=101239</v>
      </c>
      <c r="R1159" s="13" t="s">
        <v>11570</v>
      </c>
      <c r="S1159" s="172"/>
      <c r="T1159" s="172"/>
      <c r="AS1159" s="82" t="s">
        <v>1790</v>
      </c>
      <c r="BA1159" s="83" t="s">
        <v>1790</v>
      </c>
      <c r="BF1159" s="83" t="s">
        <v>1790</v>
      </c>
    </row>
    <row r="1160" spans="1:104" ht="25.5" x14ac:dyDescent="0.2">
      <c r="A1160" s="176" t="str">
        <f t="shared" si="31"/>
        <v>portOfEntry</v>
      </c>
      <c r="B1160" s="11" t="s">
        <v>11575</v>
      </c>
      <c r="C1160" s="173"/>
      <c r="D1160" s="22" t="s">
        <v>11576</v>
      </c>
      <c r="E1160" s="15" t="s">
        <v>11577</v>
      </c>
      <c r="F1160" s="174"/>
      <c r="G1160" s="174"/>
      <c r="H1160" s="17" t="s">
        <v>5932</v>
      </c>
      <c r="I1160" s="269"/>
      <c r="J1160" s="369" t="str">
        <f>HYPERLINK("[#]Datatypes!B240:L240","Boolean")</f>
        <v>Boolean</v>
      </c>
      <c r="K1160" s="276"/>
      <c r="L1160" s="272"/>
      <c r="M1160" s="272"/>
      <c r="N1160" s="273"/>
      <c r="O1160" s="269"/>
      <c r="P1160" s="37">
        <v>101155</v>
      </c>
      <c r="Q1160" s="36" t="str">
        <f>CONCATENATE(Cover!$D$6,"fdd/view?i=",P1160)</f>
        <v>https://www.dgiwg.org/FAD/fdd/view?i=101155</v>
      </c>
      <c r="R1160" s="13" t="s">
        <v>11574</v>
      </c>
      <c r="S1160" s="172"/>
      <c r="T1160" s="172"/>
      <c r="AS1160" s="82" t="s">
        <v>1790</v>
      </c>
      <c r="BA1160" s="83" t="s">
        <v>1790</v>
      </c>
    </row>
    <row r="1161" spans="1:104" ht="25.5" x14ac:dyDescent="0.2">
      <c r="A1161" s="176" t="str">
        <f t="shared" si="31"/>
        <v>portableAggressorWeapon</v>
      </c>
      <c r="B1161" s="11" t="s">
        <v>11579</v>
      </c>
      <c r="C1161" s="173"/>
      <c r="D1161" s="22" t="s">
        <v>11580</v>
      </c>
      <c r="E1161" s="15" t="s">
        <v>11581</v>
      </c>
      <c r="F1161" s="174"/>
      <c r="G1161" s="174"/>
      <c r="H1161" s="17" t="s">
        <v>5932</v>
      </c>
      <c r="I1161" s="17" t="s">
        <v>6029</v>
      </c>
      <c r="J1161" s="369" t="str">
        <f>HYPERLINK("[#]Datatypes!B1147:L1147","AgwCode")</f>
        <v>AgwCode</v>
      </c>
      <c r="K1161" s="276"/>
      <c r="L1161" s="272"/>
      <c r="M1161" s="272"/>
      <c r="N1161" s="248" t="str">
        <f>HYPERLINK("[#]DatatypeListedValues!A6746:H6746","&lt;values&gt;")</f>
        <v>&lt;values&gt;</v>
      </c>
      <c r="O1161" s="277" t="b">
        <v>0</v>
      </c>
      <c r="P1161" s="37">
        <v>111472</v>
      </c>
      <c r="Q1161" s="36" t="str">
        <f>CONCATENATE(Cover!$D$6,"fdd/view?i=",P1161)</f>
        <v>https://www.dgiwg.org/FAD/fdd/view?i=111472</v>
      </c>
      <c r="R1161" s="13" t="s">
        <v>11578</v>
      </c>
      <c r="S1161" s="172"/>
      <c r="T1161" s="172"/>
      <c r="CL1161" s="85" t="s">
        <v>1790</v>
      </c>
      <c r="CS1161" s="165" t="s">
        <v>1790</v>
      </c>
    </row>
    <row r="1162" spans="1:104" x14ac:dyDescent="0.2">
      <c r="A1162" s="176" t="str">
        <f t="shared" si="31"/>
        <v>positionQualityCategory</v>
      </c>
      <c r="B1162" s="11" t="s">
        <v>11584</v>
      </c>
      <c r="C1162" s="173"/>
      <c r="D1162" s="22" t="s">
        <v>11585</v>
      </c>
      <c r="E1162" s="15" t="s">
        <v>11586</v>
      </c>
      <c r="F1162" s="174"/>
      <c r="G1162" s="174"/>
      <c r="H1162" s="17" t="s">
        <v>5932</v>
      </c>
      <c r="I1162" s="269"/>
      <c r="J1162" s="369" t="str">
        <f>HYPERLINK("[#]Datatypes!B1149:L1149","QuaCode")</f>
        <v>QuaCode</v>
      </c>
      <c r="K1162" s="276"/>
      <c r="L1162" s="272"/>
      <c r="M1162" s="272"/>
      <c r="N1162" s="248" t="str">
        <f>HYPERLINK("[#]DatatypeListedValues!A6755:H6755","&lt;values&gt;")</f>
        <v>&lt;values&gt;</v>
      </c>
      <c r="O1162" s="277" t="b">
        <v>0</v>
      </c>
      <c r="P1162" s="37">
        <v>101197</v>
      </c>
      <c r="Q1162" s="36" t="str">
        <f>CONCATENATE(Cover!$D$6,"fdd/view?i=",P1162)</f>
        <v>https://www.dgiwg.org/FAD/fdd/view?i=101197</v>
      </c>
      <c r="R1162" s="13" t="s">
        <v>11583</v>
      </c>
      <c r="S1162" s="172"/>
      <c r="T1162" s="172"/>
      <c r="CP1162" s="164" t="s">
        <v>1790</v>
      </c>
      <c r="CZ1162" s="165" t="s">
        <v>1790</v>
      </c>
    </row>
    <row r="1163" spans="1:104" ht="38.25" x14ac:dyDescent="0.2">
      <c r="A1163" s="176" t="str">
        <f t="shared" si="31"/>
        <v>postcode</v>
      </c>
      <c r="B1163" s="11" t="s">
        <v>11589</v>
      </c>
      <c r="C1163" s="173"/>
      <c r="D1163" s="22" t="s">
        <v>11590</v>
      </c>
      <c r="E1163" s="15" t="s">
        <v>11591</v>
      </c>
      <c r="F1163" s="15" t="s">
        <v>11592</v>
      </c>
      <c r="G1163" s="15" t="s">
        <v>11593</v>
      </c>
      <c r="H1163" s="17" t="s">
        <v>5932</v>
      </c>
      <c r="I1163" s="269"/>
      <c r="J1163" s="369" t="str">
        <f>HYPERLINK("[#]Datatypes!B796:L796","KeyNonLex9")</f>
        <v>KeyNonLex9</v>
      </c>
      <c r="K1163" s="276"/>
      <c r="L1163" s="272"/>
      <c r="M1163" s="272"/>
      <c r="N1163" s="273"/>
      <c r="O1163" s="269"/>
      <c r="P1163" s="37">
        <v>101535</v>
      </c>
      <c r="Q1163" s="36" t="str">
        <f>CONCATENATE(Cover!$D$6,"fdd/view?i=",P1163)</f>
        <v>https://www.dgiwg.org/FAD/fdd/view?i=101535</v>
      </c>
      <c r="R1163" s="13" t="s">
        <v>11588</v>
      </c>
      <c r="S1163" s="172"/>
      <c r="T1163" s="172"/>
      <c r="AI1163" s="87" t="s">
        <v>1790</v>
      </c>
      <c r="AQ1163" s="82" t="s">
        <v>1790</v>
      </c>
      <c r="CV1163" s="83" t="s">
        <v>1790</v>
      </c>
    </row>
    <row r="1164" spans="1:104" ht="25.5" x14ac:dyDescent="0.2">
      <c r="A1164" s="176" t="str">
        <f t="shared" si="31"/>
        <v>potentialIndustrialHazards</v>
      </c>
      <c r="B1164" s="11" t="s">
        <v>11596</v>
      </c>
      <c r="C1164" s="173"/>
      <c r="D1164" s="22" t="s">
        <v>11597</v>
      </c>
      <c r="E1164" s="15" t="s">
        <v>11598</v>
      </c>
      <c r="F1164" s="174"/>
      <c r="G1164" s="174"/>
      <c r="H1164" s="17" t="s">
        <v>5932</v>
      </c>
      <c r="I1164" s="269"/>
      <c r="J1164" s="369" t="str">
        <f>HYPERLINK("[#]Datatypes!B1544:L1544","TextLexUnconstrained")</f>
        <v>TextLexUnconstrained</v>
      </c>
      <c r="K1164" s="276"/>
      <c r="L1164" s="272"/>
      <c r="M1164" s="272"/>
      <c r="N1164" s="273"/>
      <c r="O1164" s="269"/>
      <c r="P1164" s="37">
        <v>111772</v>
      </c>
      <c r="Q1164" s="36" t="str">
        <f>CONCATENATE(Cover!$D$6,"fdd/view?i=",P1164)</f>
        <v>https://www.dgiwg.org/FAD/fdd/view?i=111772</v>
      </c>
      <c r="R1164" s="13" t="s">
        <v>11595</v>
      </c>
      <c r="S1164" s="172"/>
      <c r="T1164" s="172"/>
      <c r="CS1164" s="165" t="s">
        <v>1790</v>
      </c>
    </row>
    <row r="1165" spans="1:104" ht="25.5" x14ac:dyDescent="0.2">
      <c r="A1165" s="176" t="str">
        <f t="shared" si="31"/>
        <v>powerLineMaximumVoltage</v>
      </c>
      <c r="B1165" s="11" t="s">
        <v>11600</v>
      </c>
      <c r="C1165" s="173"/>
      <c r="D1165" s="22" t="s">
        <v>11601</v>
      </c>
      <c r="E1165" s="15" t="s">
        <v>11602</v>
      </c>
      <c r="F1165" s="174"/>
      <c r="G1165" s="174"/>
      <c r="H1165" s="17" t="s">
        <v>5932</v>
      </c>
      <c r="I1165" s="269"/>
      <c r="J1165" s="369" t="str">
        <f>HYPERLINK("[#]Datatypes!B1231:L1231","Real")</f>
        <v>Real</v>
      </c>
      <c r="K1165" s="271" t="str">
        <f>HYPERLINK("[#]PhysicalQuantities!A12:N12","Electromotive Force")</f>
        <v>Electromotive Force</v>
      </c>
      <c r="L1165" s="270" t="str">
        <f>HYPERLINK("[#]UnitsOfMeasure!D49:G49","Kilovolt")</f>
        <v>Kilovolt</v>
      </c>
      <c r="M1165" s="272"/>
      <c r="N1165" s="273"/>
      <c r="O1165" s="269"/>
      <c r="P1165" s="37">
        <v>110711</v>
      </c>
      <c r="Q1165" s="36" t="str">
        <f>CONCATENATE(Cover!$D$6,"fdd/view?i=",P1165)</f>
        <v>https://www.dgiwg.org/FAD/fdd/view?i=110711</v>
      </c>
      <c r="R1165" s="13" t="s">
        <v>11599</v>
      </c>
      <c r="S1165" s="172"/>
      <c r="T1165" s="172"/>
      <c r="AD1165" s="82" t="s">
        <v>1790</v>
      </c>
      <c r="CQ1165" s="165" t="s">
        <v>1790</v>
      </c>
    </row>
    <row r="1166" spans="1:104" x14ac:dyDescent="0.2">
      <c r="A1166" s="176" t="str">
        <f t="shared" si="31"/>
        <v>powerSource</v>
      </c>
      <c r="B1166" s="11" t="s">
        <v>11604</v>
      </c>
      <c r="C1166" s="173"/>
      <c r="D1166" s="22" t="s">
        <v>11605</v>
      </c>
      <c r="E1166" s="15" t="s">
        <v>11606</v>
      </c>
      <c r="F1166" s="174"/>
      <c r="G1166" s="174"/>
      <c r="H1166" s="17" t="s">
        <v>5932</v>
      </c>
      <c r="I1166" s="17" t="s">
        <v>6029</v>
      </c>
      <c r="J1166" s="369" t="str">
        <f>HYPERLINK("[#]Datatypes!B1151:L1151","PosCode")</f>
        <v>PosCode</v>
      </c>
      <c r="K1166" s="276"/>
      <c r="L1166" s="272"/>
      <c r="M1166" s="272"/>
      <c r="N1166" s="248" t="str">
        <f>HYPERLINK("[#]DatatypeListedValues!A6763:H6763","&lt;values&gt;")</f>
        <v>&lt;values&gt;</v>
      </c>
      <c r="O1166" s="277" t="b">
        <v>0</v>
      </c>
      <c r="P1166" s="37">
        <v>119648</v>
      </c>
      <c r="Q1166" s="36" t="str">
        <f>CONCATENATE(Cover!$D$6,"fdd/view?i=",P1166)</f>
        <v>https://www.dgiwg.org/FAD/fdd/view?i=119648</v>
      </c>
      <c r="R1166" s="13" t="s">
        <v>11603</v>
      </c>
      <c r="S1166" s="172"/>
      <c r="T1166" s="172"/>
      <c r="AD1166" s="82" t="s">
        <v>1790</v>
      </c>
    </row>
    <row r="1167" spans="1:104" x14ac:dyDescent="0.2">
      <c r="A1167" s="176" t="str">
        <f t="shared" si="31"/>
        <v>powerStationType</v>
      </c>
      <c r="B1167" s="11" t="s">
        <v>11609</v>
      </c>
      <c r="C1167" s="173"/>
      <c r="D1167" s="22" t="s">
        <v>11610</v>
      </c>
      <c r="E1167" s="15" t="s">
        <v>11611</v>
      </c>
      <c r="F1167" s="174"/>
      <c r="G1167" s="174"/>
      <c r="H1167" s="17" t="s">
        <v>5932</v>
      </c>
      <c r="I1167" s="269"/>
      <c r="J1167" s="369" t="str">
        <f>HYPERLINK("[#]Datatypes!B1153:L1153","PpcCode")</f>
        <v>PpcCode</v>
      </c>
      <c r="K1167" s="276"/>
      <c r="L1167" s="272"/>
      <c r="M1167" s="272"/>
      <c r="N1167" s="248" t="str">
        <f>HYPERLINK("[#]DatatypeListedValues!A6768:H6768","&lt;values&gt;")</f>
        <v>&lt;values&gt;</v>
      </c>
      <c r="O1167" s="277" t="b">
        <v>0</v>
      </c>
      <c r="P1167" s="37">
        <v>101175</v>
      </c>
      <c r="Q1167" s="36" t="str">
        <f>CONCATENATE(Cover!$D$6,"fdd/view?i=",P1167)</f>
        <v>https://www.dgiwg.org/FAD/fdd/view?i=101175</v>
      </c>
      <c r="R1167" s="13" t="s">
        <v>11608</v>
      </c>
      <c r="S1167" s="172"/>
      <c r="T1167" s="172"/>
      <c r="AD1167" s="82" t="s">
        <v>1790</v>
      </c>
      <c r="CT1167" s="166" t="s">
        <v>1790</v>
      </c>
    </row>
    <row r="1168" spans="1:104" ht="51" x14ac:dyDescent="0.2">
      <c r="A1168" s="176" t="str">
        <f t="shared" si="31"/>
        <v>practicalSalinity</v>
      </c>
      <c r="B1168" s="11" t="s">
        <v>11614</v>
      </c>
      <c r="C1168" s="173"/>
      <c r="D1168" s="22" t="s">
        <v>11615</v>
      </c>
      <c r="E1168" s="15" t="s">
        <v>11616</v>
      </c>
      <c r="F1168" s="15" t="s">
        <v>11617</v>
      </c>
      <c r="G1168" s="174"/>
      <c r="H1168" s="17" t="s">
        <v>5932</v>
      </c>
      <c r="I1168" s="269"/>
      <c r="J1168" s="369" t="str">
        <f>HYPERLINK("[#]Datatypes!B1231:L1231","Real")</f>
        <v>Real</v>
      </c>
      <c r="K1168" s="271" t="str">
        <f>HYPERLINK("[#]PhysicalQuantities!A39:N39","Pure Number")</f>
        <v>Pure Number</v>
      </c>
      <c r="L1168" s="270" t="str">
        <f>HYPERLINK("[#]UnitsOfMeasure!D218:G218","Parts per Thousand")</f>
        <v>Parts per Thousand</v>
      </c>
      <c r="M1168" s="272"/>
      <c r="N1168" s="273"/>
      <c r="O1168" s="269"/>
      <c r="P1168" s="37">
        <v>101473</v>
      </c>
      <c r="Q1168" s="36" t="str">
        <f>CONCATENATE(Cover!$D$6,"fdd/view?i=",P1168)</f>
        <v>https://www.dgiwg.org/FAD/fdd/view?i=101473</v>
      </c>
      <c r="R1168" s="13" t="s">
        <v>11613</v>
      </c>
      <c r="S1168" s="172"/>
      <c r="T1168" s="172"/>
      <c r="BK1168" s="89" t="s">
        <v>1790</v>
      </c>
    </row>
    <row r="1169" spans="1:99" ht="25.5" x14ac:dyDescent="0.2">
      <c r="A1169" s="176" t="str">
        <f t="shared" si="31"/>
        <v>preciousMetalOreType</v>
      </c>
      <c r="B1169" s="11" t="s">
        <v>11619</v>
      </c>
      <c r="C1169" s="173"/>
      <c r="D1169" s="22" t="s">
        <v>11620</v>
      </c>
      <c r="E1169" s="15" t="s">
        <v>11621</v>
      </c>
      <c r="F1169" s="174"/>
      <c r="G1169" s="174"/>
      <c r="H1169" s="17" t="s">
        <v>5932</v>
      </c>
      <c r="I1169" s="269"/>
      <c r="J1169" s="369" t="str">
        <f>HYPERLINK("[#]Datatypes!B1155:L1155","NomCode")</f>
        <v>NomCode</v>
      </c>
      <c r="K1169" s="276"/>
      <c r="L1169" s="272"/>
      <c r="M1169" s="272"/>
      <c r="N1169" s="248" t="str">
        <f>HYPERLINK("[#]DatatypeListedValues!A6775:H6775","&lt;values&gt;")</f>
        <v>&lt;values&gt;</v>
      </c>
      <c r="O1169" s="277" t="b">
        <v>0</v>
      </c>
      <c r="P1169" s="37">
        <v>111647</v>
      </c>
      <c r="Q1169" s="36" t="str">
        <f>CONCATENATE(Cover!$D$6,"fdd/view?i=",P1169)</f>
        <v>https://www.dgiwg.org/FAD/fdd/view?i=111647</v>
      </c>
      <c r="R1169" s="13" t="s">
        <v>11618</v>
      </c>
      <c r="S1169" s="172"/>
      <c r="T1169" s="172"/>
      <c r="AB1169" s="82" t="s">
        <v>1790</v>
      </c>
      <c r="BP1169" s="82" t="s">
        <v>1790</v>
      </c>
      <c r="CU1169" s="87" t="s">
        <v>1790</v>
      </c>
    </row>
    <row r="1170" spans="1:99" ht="25.5" x14ac:dyDescent="0.2">
      <c r="A1170" s="176" t="str">
        <f t="shared" si="31"/>
        <v>precipSedimentRockType</v>
      </c>
      <c r="B1170" s="11" t="s">
        <v>11624</v>
      </c>
      <c r="C1170" s="173"/>
      <c r="D1170" s="22" t="s">
        <v>11625</v>
      </c>
      <c r="E1170" s="15" t="s">
        <v>11626</v>
      </c>
      <c r="F1170" s="174"/>
      <c r="G1170" s="174"/>
      <c r="H1170" s="17" t="s">
        <v>5932</v>
      </c>
      <c r="I1170" s="269"/>
      <c r="J1170" s="369" t="str">
        <f>HYPERLINK("[#]Datatypes!B1157:L1157","SarCode")</f>
        <v>SarCode</v>
      </c>
      <c r="K1170" s="276"/>
      <c r="L1170" s="272"/>
      <c r="M1170" s="272"/>
      <c r="N1170" s="248" t="str">
        <f>HYPERLINK("[#]DatatypeListedValues!A6778:H6778","&lt;values&gt;")</f>
        <v>&lt;values&gt;</v>
      </c>
      <c r="O1170" s="277" t="b">
        <v>0</v>
      </c>
      <c r="P1170" s="37">
        <v>111711</v>
      </c>
      <c r="Q1170" s="36" t="str">
        <f>CONCATENATE(Cover!$D$6,"fdd/view?i=",P1170)</f>
        <v>https://www.dgiwg.org/FAD/fdd/view?i=111711</v>
      </c>
      <c r="R1170" s="13" t="s">
        <v>11623</v>
      </c>
      <c r="S1170" s="172"/>
      <c r="T1170" s="172"/>
      <c r="BP1170" s="82" t="s">
        <v>1790</v>
      </c>
      <c r="CU1170" s="87" t="s">
        <v>1790</v>
      </c>
    </row>
    <row r="1171" spans="1:99" ht="25.5" x14ac:dyDescent="0.2">
      <c r="A1171" s="176" t="str">
        <f t="shared" si="31"/>
        <v>predominantAvWaterVel</v>
      </c>
      <c r="B1171" s="11" t="s">
        <v>11629</v>
      </c>
      <c r="C1171" s="173"/>
      <c r="D1171" s="22" t="s">
        <v>11630</v>
      </c>
      <c r="E1171" s="15" t="s">
        <v>11631</v>
      </c>
      <c r="F1171" s="174"/>
      <c r="G1171" s="174"/>
      <c r="H1171" s="17" t="s">
        <v>5932</v>
      </c>
      <c r="I1171" s="269"/>
      <c r="J1171" s="369" t="str">
        <f>HYPERLINK("[#]Datatypes!B1233:L1233","RealInterval")</f>
        <v>RealInterval</v>
      </c>
      <c r="K1171" s="271" t="str">
        <f>HYPERLINK("[#]PhysicalQuantities!A48:N48","Speed")</f>
        <v>Speed</v>
      </c>
      <c r="L1171" s="270" t="str">
        <f>HYPERLINK("[#]UnitsOfMeasure!D246:G246","Metre per Second")</f>
        <v>Metre per Second</v>
      </c>
      <c r="M1171" s="272"/>
      <c r="N1171" s="273"/>
      <c r="O1171" s="269"/>
      <c r="P1171" s="37">
        <v>110736</v>
      </c>
      <c r="Q1171" s="36" t="str">
        <f>CONCATENATE(Cover!$D$6,"fdd/view?i=",P1171)</f>
        <v>https://www.dgiwg.org/FAD/fdd/view?i=110736</v>
      </c>
      <c r="R1171" s="13" t="s">
        <v>11628</v>
      </c>
      <c r="S1171" s="172"/>
      <c r="T1171" s="172"/>
      <c r="BE1171" s="83" t="s">
        <v>1790</v>
      </c>
      <c r="BJ1171" s="83" t="s">
        <v>1790</v>
      </c>
      <c r="BK1171" s="89" t="s">
        <v>1790</v>
      </c>
      <c r="CQ1171" s="165" t="s">
        <v>1790</v>
      </c>
    </row>
    <row r="1172" spans="1:99" x14ac:dyDescent="0.2">
      <c r="A1172" s="176" t="str">
        <f t="shared" si="31"/>
        <v>predominantFeatureDepth</v>
      </c>
      <c r="B1172" s="11" t="s">
        <v>11633</v>
      </c>
      <c r="C1172" s="173"/>
      <c r="D1172" s="22" t="s">
        <v>11634</v>
      </c>
      <c r="E1172" s="15" t="s">
        <v>11635</v>
      </c>
      <c r="F1172" s="174"/>
      <c r="G1172" s="174"/>
      <c r="H1172" s="17" t="s">
        <v>5932</v>
      </c>
      <c r="I1172" s="269"/>
      <c r="J1172" s="369" t="str">
        <f>HYPERLINK("[#]Datatypes!B1233:L1233","RealInterval")</f>
        <v>RealInterval</v>
      </c>
      <c r="K1172" s="271" t="str">
        <f>HYPERLINK("[#]PhysicalQuantities!A20:N20","Length")</f>
        <v>Length</v>
      </c>
      <c r="L1172" s="270" t="str">
        <f>HYPERLINK("[#]UnitsOfMeasure!D80:G80","Metre")</f>
        <v>Metre</v>
      </c>
      <c r="M1172" s="272"/>
      <c r="N1172" s="273"/>
      <c r="O1172" s="269"/>
      <c r="P1172" s="37">
        <v>101159</v>
      </c>
      <c r="Q1172" s="36" t="str">
        <f>CONCATENATE(Cover!$D$6,"fdd/view?i=",P1172)</f>
        <v>https://www.dgiwg.org/FAD/fdd/view?i=101159</v>
      </c>
      <c r="R1172" s="13" t="s">
        <v>11632</v>
      </c>
      <c r="S1172" s="172"/>
      <c r="T1172" s="172"/>
      <c r="BB1172" s="83" t="s">
        <v>1790</v>
      </c>
      <c r="BL1172" s="81" t="s">
        <v>1790</v>
      </c>
      <c r="CQ1172" s="165" t="s">
        <v>1790</v>
      </c>
    </row>
    <row r="1173" spans="1:99" ht="38.25" x14ac:dyDescent="0.2">
      <c r="A1173" s="176" t="str">
        <f t="shared" si="31"/>
        <v>predominantFeatureHeight</v>
      </c>
      <c r="B1173" s="11" t="s">
        <v>11637</v>
      </c>
      <c r="C1173" s="173"/>
      <c r="D1173" s="22" t="s">
        <v>11638</v>
      </c>
      <c r="E1173" s="15" t="s">
        <v>11639</v>
      </c>
      <c r="F1173" s="174"/>
      <c r="G1173" s="174"/>
      <c r="H1173" s="17" t="s">
        <v>5932</v>
      </c>
      <c r="I1173" s="269"/>
      <c r="J1173" s="369" t="str">
        <f>HYPERLINK("[#]Datatypes!B1233:L1233","RealInterval")</f>
        <v>RealInterval</v>
      </c>
      <c r="K1173" s="271" t="str">
        <f>HYPERLINK("[#]PhysicalQuantities!A20:N20","Length")</f>
        <v>Length</v>
      </c>
      <c r="L1173" s="270" t="str">
        <f>HYPERLINK("[#]UnitsOfMeasure!D80:G80","Metre")</f>
        <v>Metre</v>
      </c>
      <c r="M1173" s="272"/>
      <c r="N1173" s="273"/>
      <c r="O1173" s="269"/>
      <c r="P1173" s="37">
        <v>101163</v>
      </c>
      <c r="Q1173" s="36" t="str">
        <f>CONCATENATE(Cover!$D$6,"fdd/view?i=",P1173)</f>
        <v>https://www.dgiwg.org/FAD/fdd/view?i=101163</v>
      </c>
      <c r="R1173" s="13" t="s">
        <v>11636</v>
      </c>
      <c r="S1173" s="172"/>
      <c r="T1173" s="172"/>
      <c r="AT1173" s="82" t="s">
        <v>1790</v>
      </c>
      <c r="BB1173" s="83" t="s">
        <v>1790</v>
      </c>
      <c r="BL1173" s="81" t="s">
        <v>1790</v>
      </c>
      <c r="CG1173" s="83" t="s">
        <v>1790</v>
      </c>
      <c r="CQ1173" s="165" t="s">
        <v>1790</v>
      </c>
    </row>
    <row r="1174" spans="1:99" ht="38.25" x14ac:dyDescent="0.2">
      <c r="A1174" s="176" t="str">
        <f t="shared" si="31"/>
        <v>predominantGapWidth</v>
      </c>
      <c r="B1174" s="11" t="s">
        <v>11641</v>
      </c>
      <c r="C1174" s="173"/>
      <c r="D1174" s="22" t="s">
        <v>11642</v>
      </c>
      <c r="E1174" s="15" t="s">
        <v>11643</v>
      </c>
      <c r="F1174" s="15" t="s">
        <v>11644</v>
      </c>
      <c r="G1174" s="174"/>
      <c r="H1174" s="17" t="s">
        <v>5932</v>
      </c>
      <c r="I1174" s="269"/>
      <c r="J1174" s="369" t="str">
        <f>HYPERLINK("[#]Datatypes!B1233:L1233","RealInterval")</f>
        <v>RealInterval</v>
      </c>
      <c r="K1174" s="271" t="str">
        <f>HYPERLINK("[#]PhysicalQuantities!A20:N20","Length")</f>
        <v>Length</v>
      </c>
      <c r="L1174" s="270" t="str">
        <f>HYPERLINK("[#]UnitsOfMeasure!D80:G80","Metre")</f>
        <v>Metre</v>
      </c>
      <c r="M1174" s="272"/>
      <c r="N1174" s="273"/>
      <c r="O1174" s="269"/>
      <c r="P1174" s="37">
        <v>109962</v>
      </c>
      <c r="Q1174" s="36" t="str">
        <f>CONCATENATE(Cover!$D$6,"fdd/view?i=",P1174)</f>
        <v>https://www.dgiwg.org/FAD/fdd/view?i=109962</v>
      </c>
      <c r="R1174" s="13" t="s">
        <v>11640</v>
      </c>
      <c r="S1174" s="172"/>
      <c r="T1174" s="172"/>
      <c r="BL1174" s="81" t="s">
        <v>1790</v>
      </c>
      <c r="BM1174" s="82" t="s">
        <v>1790</v>
      </c>
      <c r="CQ1174" s="165" t="s">
        <v>1790</v>
      </c>
    </row>
    <row r="1175" spans="1:99" x14ac:dyDescent="0.2">
      <c r="A1175" s="176" t="str">
        <f t="shared" si="31"/>
        <v>predominantLanguage</v>
      </c>
      <c r="B1175" s="11" t="s">
        <v>11646</v>
      </c>
      <c r="C1175" s="173"/>
      <c r="D1175" s="22" t="s">
        <v>11647</v>
      </c>
      <c r="E1175" s="15" t="s">
        <v>11648</v>
      </c>
      <c r="F1175" s="174"/>
      <c r="G1175" s="174"/>
      <c r="H1175" s="17" t="s">
        <v>5932</v>
      </c>
      <c r="I1175" s="269"/>
      <c r="J1175" s="369" t="str">
        <f>HYPERLINK("[#]Datatypes!B1544:L1544","TextLexUnconstrained")</f>
        <v>TextLexUnconstrained</v>
      </c>
      <c r="K1175" s="276"/>
      <c r="L1175" s="272"/>
      <c r="M1175" s="272"/>
      <c r="N1175" s="273"/>
      <c r="O1175" s="269"/>
      <c r="P1175" s="37">
        <v>111611</v>
      </c>
      <c r="Q1175" s="36" t="str">
        <f>CONCATENATE(Cover!$D$6,"fdd/view?i=",P1175)</f>
        <v>https://www.dgiwg.org/FAD/fdd/view?i=111611</v>
      </c>
      <c r="R1175" s="13" t="s">
        <v>11645</v>
      </c>
      <c r="S1175" s="172"/>
      <c r="T1175" s="172"/>
      <c r="AM1175" s="83" t="s">
        <v>1790</v>
      </c>
      <c r="AO1175" s="89" t="s">
        <v>1790</v>
      </c>
      <c r="CU1175" s="87" t="s">
        <v>1790</v>
      </c>
    </row>
    <row r="1176" spans="1:99" ht="38.25" x14ac:dyDescent="0.2">
      <c r="A1176" s="176" t="str">
        <f t="shared" si="31"/>
        <v>predominantLeftBankHeight</v>
      </c>
      <c r="B1176" s="11" t="s">
        <v>11650</v>
      </c>
      <c r="C1176" s="173"/>
      <c r="D1176" s="22" t="s">
        <v>11651</v>
      </c>
      <c r="E1176" s="15" t="s">
        <v>11652</v>
      </c>
      <c r="F1176" s="174"/>
      <c r="G1176" s="174"/>
      <c r="H1176" s="17" t="s">
        <v>5932</v>
      </c>
      <c r="I1176" s="269"/>
      <c r="J1176" s="369" t="str">
        <f t="shared" ref="J1176:J1185" si="32">HYPERLINK("[#]Datatypes!B1233:L1233","RealInterval")</f>
        <v>RealInterval</v>
      </c>
      <c r="K1176" s="271" t="str">
        <f>HYPERLINK("[#]PhysicalQuantities!A20:N20","Length")</f>
        <v>Length</v>
      </c>
      <c r="L1176" s="270" t="str">
        <f>HYPERLINK("[#]UnitsOfMeasure!D80:G80","Metre")</f>
        <v>Metre</v>
      </c>
      <c r="M1176" s="272"/>
      <c r="N1176" s="273"/>
      <c r="O1176" s="269"/>
      <c r="P1176" s="37">
        <v>109964</v>
      </c>
      <c r="Q1176" s="36" t="str">
        <f>CONCATENATE(Cover!$D$6,"fdd/view?i=",P1176)</f>
        <v>https://www.dgiwg.org/FAD/fdd/view?i=109964</v>
      </c>
      <c r="R1176" s="13" t="s">
        <v>11649</v>
      </c>
      <c r="S1176" s="172"/>
      <c r="T1176" s="172"/>
      <c r="BJ1176" s="83" t="s">
        <v>1790</v>
      </c>
      <c r="BL1176" s="81" t="s">
        <v>1790</v>
      </c>
      <c r="BM1176" s="82" t="s">
        <v>1790</v>
      </c>
      <c r="CQ1176" s="165" t="s">
        <v>1790</v>
      </c>
    </row>
    <row r="1177" spans="1:99" ht="38.25" x14ac:dyDescent="0.2">
      <c r="A1177" s="176" t="str">
        <f t="shared" si="31"/>
        <v>predominantLeftBankSlope</v>
      </c>
      <c r="B1177" s="11" t="s">
        <v>11654</v>
      </c>
      <c r="C1177" s="173"/>
      <c r="D1177" s="22" t="s">
        <v>11655</v>
      </c>
      <c r="E1177" s="15" t="s">
        <v>11656</v>
      </c>
      <c r="F1177" s="174"/>
      <c r="G1177" s="174"/>
      <c r="H1177" s="17" t="s">
        <v>5932</v>
      </c>
      <c r="I1177" s="269"/>
      <c r="J1177" s="369" t="str">
        <f t="shared" si="32"/>
        <v>RealInterval</v>
      </c>
      <c r="K1177" s="271" t="str">
        <f>HYPERLINK("[#]PhysicalQuantities!A39:N39","Pure Number")</f>
        <v>Pure Number</v>
      </c>
      <c r="L1177" s="270" t="str">
        <f>HYPERLINK("[#]UnitsOfMeasure!D215:G215","Percent")</f>
        <v>Percent</v>
      </c>
      <c r="M1177" s="272"/>
      <c r="N1177" s="273"/>
      <c r="O1177" s="269"/>
      <c r="P1177" s="37">
        <v>109963</v>
      </c>
      <c r="Q1177" s="36" t="str">
        <f>CONCATENATE(Cover!$D$6,"fdd/view?i=",P1177)</f>
        <v>https://www.dgiwg.org/FAD/fdd/view?i=109963</v>
      </c>
      <c r="R1177" s="13" t="s">
        <v>11653</v>
      </c>
      <c r="S1177" s="172"/>
      <c r="T1177" s="172"/>
      <c r="BJ1177" s="83" t="s">
        <v>1790</v>
      </c>
      <c r="BL1177" s="81" t="s">
        <v>1790</v>
      </c>
      <c r="BM1177" s="82" t="s">
        <v>1790</v>
      </c>
      <c r="CQ1177" s="165" t="s">
        <v>1790</v>
      </c>
    </row>
    <row r="1178" spans="1:99" ht="38.25" x14ac:dyDescent="0.2">
      <c r="A1178" s="176" t="str">
        <f t="shared" si="31"/>
        <v>predominantMaxWaterDepth</v>
      </c>
      <c r="B1178" s="11" t="s">
        <v>11658</v>
      </c>
      <c r="C1178" s="173"/>
      <c r="D1178" s="22" t="s">
        <v>11659</v>
      </c>
      <c r="E1178" s="15" t="s">
        <v>11660</v>
      </c>
      <c r="F1178" s="15" t="s">
        <v>6912</v>
      </c>
      <c r="G1178" s="174"/>
      <c r="H1178" s="17" t="s">
        <v>5932</v>
      </c>
      <c r="I1178" s="269"/>
      <c r="J1178" s="369" t="str">
        <f t="shared" si="32"/>
        <v>RealInterval</v>
      </c>
      <c r="K1178" s="271" t="str">
        <f>HYPERLINK("[#]PhysicalQuantities!A20:N20","Length")</f>
        <v>Length</v>
      </c>
      <c r="L1178" s="270" t="str">
        <f>HYPERLINK("[#]UnitsOfMeasure!D80:G80","Metre")</f>
        <v>Metre</v>
      </c>
      <c r="M1178" s="272"/>
      <c r="N1178" s="273"/>
      <c r="O1178" s="269"/>
      <c r="P1178" s="37">
        <v>109997</v>
      </c>
      <c r="Q1178" s="36" t="str">
        <f>CONCATENATE(Cover!$D$6,"fdd/view?i=",P1178)</f>
        <v>https://www.dgiwg.org/FAD/fdd/view?i=109997</v>
      </c>
      <c r="R1178" s="13" t="s">
        <v>11657</v>
      </c>
      <c r="S1178" s="172"/>
      <c r="T1178" s="172"/>
      <c r="BB1178" s="83" t="s">
        <v>1790</v>
      </c>
      <c r="CQ1178" s="165" t="s">
        <v>1790</v>
      </c>
    </row>
    <row r="1179" spans="1:99" ht="25.5" x14ac:dyDescent="0.2">
      <c r="A1179" s="176" t="str">
        <f t="shared" si="31"/>
        <v>predominantMaxWaterVel</v>
      </c>
      <c r="B1179" s="11" t="s">
        <v>11662</v>
      </c>
      <c r="C1179" s="173"/>
      <c r="D1179" s="22" t="s">
        <v>11663</v>
      </c>
      <c r="E1179" s="15" t="s">
        <v>11664</v>
      </c>
      <c r="F1179" s="174"/>
      <c r="G1179" s="174"/>
      <c r="H1179" s="17" t="s">
        <v>5932</v>
      </c>
      <c r="I1179" s="269"/>
      <c r="J1179" s="369" t="str">
        <f t="shared" si="32"/>
        <v>RealInterval</v>
      </c>
      <c r="K1179" s="271" t="str">
        <f>HYPERLINK("[#]PhysicalQuantities!A48:N48","Speed")</f>
        <v>Speed</v>
      </c>
      <c r="L1179" s="270" t="str">
        <f>HYPERLINK("[#]UnitsOfMeasure!D246:G246","Metre per Second")</f>
        <v>Metre per Second</v>
      </c>
      <c r="M1179" s="272"/>
      <c r="N1179" s="273"/>
      <c r="O1179" s="269"/>
      <c r="P1179" s="37">
        <v>101514</v>
      </c>
      <c r="Q1179" s="36" t="str">
        <f>CONCATENATE(Cover!$D$6,"fdd/view?i=",P1179)</f>
        <v>https://www.dgiwg.org/FAD/fdd/view?i=101514</v>
      </c>
      <c r="R1179" s="13" t="s">
        <v>11661</v>
      </c>
      <c r="S1179" s="172"/>
      <c r="T1179" s="172"/>
      <c r="BE1179" s="83" t="s">
        <v>1790</v>
      </c>
      <c r="BJ1179" s="83" t="s">
        <v>1790</v>
      </c>
      <c r="BK1179" s="89" t="s">
        <v>1790</v>
      </c>
      <c r="CQ1179" s="165" t="s">
        <v>1790</v>
      </c>
    </row>
    <row r="1180" spans="1:99" ht="38.25" x14ac:dyDescent="0.2">
      <c r="A1180" s="176" t="str">
        <f t="shared" si="31"/>
        <v>predominantMinWaterDepth</v>
      </c>
      <c r="B1180" s="11" t="s">
        <v>11666</v>
      </c>
      <c r="C1180" s="173"/>
      <c r="D1180" s="22" t="s">
        <v>11667</v>
      </c>
      <c r="E1180" s="15" t="s">
        <v>11668</v>
      </c>
      <c r="F1180" s="15" t="s">
        <v>6912</v>
      </c>
      <c r="G1180" s="174"/>
      <c r="H1180" s="17" t="s">
        <v>5932</v>
      </c>
      <c r="I1180" s="269"/>
      <c r="J1180" s="369" t="str">
        <f t="shared" si="32"/>
        <v>RealInterval</v>
      </c>
      <c r="K1180" s="271" t="str">
        <f>HYPERLINK("[#]PhysicalQuantities!A20:N20","Length")</f>
        <v>Length</v>
      </c>
      <c r="L1180" s="270" t="str">
        <f>HYPERLINK("[#]UnitsOfMeasure!D80:G80","Metre")</f>
        <v>Metre</v>
      </c>
      <c r="M1180" s="272"/>
      <c r="N1180" s="273"/>
      <c r="O1180" s="269"/>
      <c r="P1180" s="37">
        <v>109998</v>
      </c>
      <c r="Q1180" s="36" t="str">
        <f>CONCATENATE(Cover!$D$6,"fdd/view?i=",P1180)</f>
        <v>https://www.dgiwg.org/FAD/fdd/view?i=109998</v>
      </c>
      <c r="R1180" s="13" t="s">
        <v>11665</v>
      </c>
      <c r="S1180" s="172"/>
      <c r="T1180" s="172"/>
      <c r="BB1180" s="83" t="s">
        <v>1790</v>
      </c>
      <c r="CQ1180" s="165" t="s">
        <v>1790</v>
      </c>
    </row>
    <row r="1181" spans="1:99" ht="25.5" x14ac:dyDescent="0.2">
      <c r="A1181" s="176" t="str">
        <f t="shared" si="31"/>
        <v>predominantMinWaterVel</v>
      </c>
      <c r="B1181" s="11" t="s">
        <v>11670</v>
      </c>
      <c r="C1181" s="173"/>
      <c r="D1181" s="22" t="s">
        <v>11671</v>
      </c>
      <c r="E1181" s="15" t="s">
        <v>11672</v>
      </c>
      <c r="F1181" s="174"/>
      <c r="G1181" s="174"/>
      <c r="H1181" s="17" t="s">
        <v>5932</v>
      </c>
      <c r="I1181" s="269"/>
      <c r="J1181" s="369" t="str">
        <f t="shared" si="32"/>
        <v>RealInterval</v>
      </c>
      <c r="K1181" s="271" t="str">
        <f>HYPERLINK("[#]PhysicalQuantities!A48:N48","Speed")</f>
        <v>Speed</v>
      </c>
      <c r="L1181" s="270" t="str">
        <f>HYPERLINK("[#]UnitsOfMeasure!D246:G246","Metre per Second")</f>
        <v>Metre per Second</v>
      </c>
      <c r="M1181" s="272"/>
      <c r="N1181" s="273"/>
      <c r="O1181" s="269"/>
      <c r="P1181" s="37">
        <v>101515</v>
      </c>
      <c r="Q1181" s="36" t="str">
        <f>CONCATENATE(Cover!$D$6,"fdd/view?i=",P1181)</f>
        <v>https://www.dgiwg.org/FAD/fdd/view?i=101515</v>
      </c>
      <c r="R1181" s="13" t="s">
        <v>11669</v>
      </c>
      <c r="S1181" s="172"/>
      <c r="T1181" s="172"/>
      <c r="BE1181" s="83" t="s">
        <v>1790</v>
      </c>
      <c r="BJ1181" s="83" t="s">
        <v>1790</v>
      </c>
      <c r="BK1181" s="89" t="s">
        <v>1790</v>
      </c>
      <c r="CQ1181" s="165" t="s">
        <v>1790</v>
      </c>
    </row>
    <row r="1182" spans="1:99" ht="38.25" x14ac:dyDescent="0.2">
      <c r="A1182" s="176" t="str">
        <f t="shared" si="31"/>
        <v>predominantRightBankHgt</v>
      </c>
      <c r="B1182" s="11" t="s">
        <v>11674</v>
      </c>
      <c r="C1182" s="173"/>
      <c r="D1182" s="22" t="s">
        <v>11675</v>
      </c>
      <c r="E1182" s="15" t="s">
        <v>11676</v>
      </c>
      <c r="F1182" s="174"/>
      <c r="G1182" s="174"/>
      <c r="H1182" s="17" t="s">
        <v>5932</v>
      </c>
      <c r="I1182" s="269"/>
      <c r="J1182" s="369" t="str">
        <f t="shared" si="32"/>
        <v>RealInterval</v>
      </c>
      <c r="K1182" s="271" t="str">
        <f>HYPERLINK("[#]PhysicalQuantities!A20:N20","Length")</f>
        <v>Length</v>
      </c>
      <c r="L1182" s="270" t="str">
        <f>HYPERLINK("[#]UnitsOfMeasure!D80:G80","Metre")</f>
        <v>Metre</v>
      </c>
      <c r="M1182" s="272"/>
      <c r="N1182" s="273"/>
      <c r="O1182" s="269"/>
      <c r="P1182" s="37">
        <v>109966</v>
      </c>
      <c r="Q1182" s="36" t="str">
        <f>CONCATENATE(Cover!$D$6,"fdd/view?i=",P1182)</f>
        <v>https://www.dgiwg.org/FAD/fdd/view?i=109966</v>
      </c>
      <c r="R1182" s="13" t="s">
        <v>11673</v>
      </c>
      <c r="S1182" s="172"/>
      <c r="T1182" s="172"/>
      <c r="BJ1182" s="83" t="s">
        <v>1790</v>
      </c>
      <c r="BL1182" s="81" t="s">
        <v>1790</v>
      </c>
      <c r="BM1182" s="82" t="s">
        <v>1790</v>
      </c>
      <c r="CQ1182" s="165" t="s">
        <v>1790</v>
      </c>
    </row>
    <row r="1183" spans="1:99" ht="38.25" x14ac:dyDescent="0.2">
      <c r="A1183" s="176" t="str">
        <f t="shared" si="31"/>
        <v>predominantRightBankSlope</v>
      </c>
      <c r="B1183" s="11" t="s">
        <v>11678</v>
      </c>
      <c r="C1183" s="173"/>
      <c r="D1183" s="22" t="s">
        <v>11679</v>
      </c>
      <c r="E1183" s="15" t="s">
        <v>11680</v>
      </c>
      <c r="F1183" s="174"/>
      <c r="G1183" s="174"/>
      <c r="H1183" s="17" t="s">
        <v>5932</v>
      </c>
      <c r="I1183" s="269"/>
      <c r="J1183" s="369" t="str">
        <f t="shared" si="32"/>
        <v>RealInterval</v>
      </c>
      <c r="K1183" s="271" t="str">
        <f>HYPERLINK("[#]PhysicalQuantities!A39:N39","Pure Number")</f>
        <v>Pure Number</v>
      </c>
      <c r="L1183" s="270" t="str">
        <f>HYPERLINK("[#]UnitsOfMeasure!D215:G215","Percent")</f>
        <v>Percent</v>
      </c>
      <c r="M1183" s="272"/>
      <c r="N1183" s="273"/>
      <c r="O1183" s="269"/>
      <c r="P1183" s="37">
        <v>109965</v>
      </c>
      <c r="Q1183" s="36" t="str">
        <f>CONCATENATE(Cover!$D$6,"fdd/view?i=",P1183)</f>
        <v>https://www.dgiwg.org/FAD/fdd/view?i=109965</v>
      </c>
      <c r="R1183" s="13" t="s">
        <v>11677</v>
      </c>
      <c r="S1183" s="172"/>
      <c r="T1183" s="172"/>
      <c r="BJ1183" s="83" t="s">
        <v>1790</v>
      </c>
      <c r="BL1183" s="81" t="s">
        <v>1790</v>
      </c>
      <c r="BM1183" s="82" t="s">
        <v>1790</v>
      </c>
      <c r="CQ1183" s="165" t="s">
        <v>1790</v>
      </c>
    </row>
    <row r="1184" spans="1:99" ht="25.5" x14ac:dyDescent="0.2">
      <c r="A1184" s="176" t="str">
        <f t="shared" si="31"/>
        <v>predominantStructHeight</v>
      </c>
      <c r="B1184" s="11" t="s">
        <v>11682</v>
      </c>
      <c r="C1184" s="173"/>
      <c r="D1184" s="22" t="s">
        <v>11683</v>
      </c>
      <c r="E1184" s="15" t="s">
        <v>11684</v>
      </c>
      <c r="F1184" s="174"/>
      <c r="G1184" s="174"/>
      <c r="H1184" s="17" t="s">
        <v>5932</v>
      </c>
      <c r="I1184" s="269"/>
      <c r="J1184" s="369" t="str">
        <f t="shared" si="32"/>
        <v>RealInterval</v>
      </c>
      <c r="K1184" s="271" t="str">
        <f>HYPERLINK("[#]PhysicalQuantities!A20:N20","Length")</f>
        <v>Length</v>
      </c>
      <c r="L1184" s="270" t="str">
        <f>HYPERLINK("[#]UnitsOfMeasure!D80:G80","Metre")</f>
        <v>Metre</v>
      </c>
      <c r="M1184" s="272"/>
      <c r="N1184" s="273"/>
      <c r="O1184" s="269"/>
      <c r="P1184" s="37">
        <v>109968</v>
      </c>
      <c r="Q1184" s="36" t="str">
        <f>CONCATENATE(Cover!$D$6,"fdd/view?i=",P1184)</f>
        <v>https://www.dgiwg.org/FAD/fdd/view?i=109968</v>
      </c>
      <c r="R1184" s="13" t="s">
        <v>11681</v>
      </c>
      <c r="S1184" s="172"/>
      <c r="T1184" s="172"/>
      <c r="BL1184" s="81" t="s">
        <v>1790</v>
      </c>
      <c r="CQ1184" s="165" t="s">
        <v>1790</v>
      </c>
    </row>
    <row r="1185" spans="1:105" ht="25.5" x14ac:dyDescent="0.2">
      <c r="A1185" s="176" t="str">
        <f t="shared" si="31"/>
        <v>predominantVegHeight</v>
      </c>
      <c r="B1185" s="11" t="s">
        <v>11686</v>
      </c>
      <c r="C1185" s="173"/>
      <c r="D1185" s="22" t="s">
        <v>11687</v>
      </c>
      <c r="E1185" s="15" t="s">
        <v>11688</v>
      </c>
      <c r="F1185" s="174"/>
      <c r="G1185" s="174"/>
      <c r="H1185" s="17" t="s">
        <v>5932</v>
      </c>
      <c r="I1185" s="269"/>
      <c r="J1185" s="369" t="str">
        <f t="shared" si="32"/>
        <v>RealInterval</v>
      </c>
      <c r="K1185" s="271" t="str">
        <f>HYPERLINK("[#]PhysicalQuantities!A20:N20","Length")</f>
        <v>Length</v>
      </c>
      <c r="L1185" s="270" t="str">
        <f>HYPERLINK("[#]UnitsOfMeasure!D80:G80","Metre")</f>
        <v>Metre</v>
      </c>
      <c r="M1185" s="272"/>
      <c r="N1185" s="273"/>
      <c r="O1185" s="269"/>
      <c r="P1185" s="37">
        <v>109969</v>
      </c>
      <c r="Q1185" s="36" t="str">
        <f>CONCATENATE(Cover!$D$6,"fdd/view?i=",P1185)</f>
        <v>https://www.dgiwg.org/FAD/fdd/view?i=109969</v>
      </c>
      <c r="R1185" s="13" t="s">
        <v>11685</v>
      </c>
      <c r="S1185" s="172"/>
      <c r="T1185" s="172"/>
      <c r="BW1185" s="83" t="s">
        <v>1790</v>
      </c>
      <c r="CQ1185" s="165" t="s">
        <v>1790</v>
      </c>
    </row>
    <row r="1186" spans="1:105" ht="25.5" x14ac:dyDescent="0.2">
      <c r="A1186" s="176" t="str">
        <f t="shared" si="31"/>
        <v>predominantVegZoneType</v>
      </c>
      <c r="B1186" s="11" t="s">
        <v>11690</v>
      </c>
      <c r="C1186" s="173"/>
      <c r="D1186" s="22" t="s">
        <v>11691</v>
      </c>
      <c r="E1186" s="15" t="s">
        <v>11692</v>
      </c>
      <c r="F1186" s="174"/>
      <c r="G1186" s="174"/>
      <c r="H1186" s="17" t="s">
        <v>5932</v>
      </c>
      <c r="I1186" s="269"/>
      <c r="J1186" s="369" t="str">
        <f>HYPERLINK("[#]Datatypes!B1159:L1159","VgzCode")</f>
        <v>VgzCode</v>
      </c>
      <c r="K1186" s="276"/>
      <c r="L1186" s="272"/>
      <c r="M1186" s="272"/>
      <c r="N1186" s="248" t="str">
        <f>HYPERLINK("[#]DatatypeListedValues!A6783:H6783","&lt;values&gt;")</f>
        <v>&lt;values&gt;</v>
      </c>
      <c r="O1186" s="277" t="b">
        <v>0</v>
      </c>
      <c r="P1186" s="37">
        <v>111744</v>
      </c>
      <c r="Q1186" s="36" t="str">
        <f>CONCATENATE(Cover!$D$6,"fdd/view?i=",P1186)</f>
        <v>https://www.dgiwg.org/FAD/fdd/view?i=111744</v>
      </c>
      <c r="R1186" s="13" t="s">
        <v>11689</v>
      </c>
      <c r="S1186" s="172"/>
      <c r="T1186" s="172"/>
      <c r="BT1186" s="85" t="s">
        <v>1790</v>
      </c>
      <c r="CB1186" s="89" t="s">
        <v>1790</v>
      </c>
      <c r="CS1186" s="165" t="s">
        <v>1790</v>
      </c>
    </row>
    <row r="1187" spans="1:105" ht="38.25" x14ac:dyDescent="0.2">
      <c r="A1187" s="176" t="str">
        <f t="shared" si="31"/>
        <v>predominantWaterDepth</v>
      </c>
      <c r="B1187" s="11" t="s">
        <v>11695</v>
      </c>
      <c r="C1187" s="173"/>
      <c r="D1187" s="22" t="s">
        <v>11696</v>
      </c>
      <c r="E1187" s="15" t="s">
        <v>11697</v>
      </c>
      <c r="F1187" s="15" t="s">
        <v>11698</v>
      </c>
      <c r="G1187" s="174"/>
      <c r="H1187" s="17" t="s">
        <v>5932</v>
      </c>
      <c r="I1187" s="269"/>
      <c r="J1187" s="369" t="str">
        <f>HYPERLINK("[#]Datatypes!B1233:L1233","RealInterval")</f>
        <v>RealInterval</v>
      </c>
      <c r="K1187" s="271" t="str">
        <f>HYPERLINK("[#]PhysicalQuantities!A20:N20","Length")</f>
        <v>Length</v>
      </c>
      <c r="L1187" s="270" t="str">
        <f>HYPERLINK("[#]UnitsOfMeasure!D80:G80","Metre")</f>
        <v>Metre</v>
      </c>
      <c r="M1187" s="272"/>
      <c r="N1187" s="273"/>
      <c r="O1187" s="269"/>
      <c r="P1187" s="37">
        <v>109970</v>
      </c>
      <c r="Q1187" s="36" t="str">
        <f>CONCATENATE(Cover!$D$6,"fdd/view?i=",P1187)</f>
        <v>https://www.dgiwg.org/FAD/fdd/view?i=109970</v>
      </c>
      <c r="R1187" s="13" t="s">
        <v>11694</v>
      </c>
      <c r="S1187" s="172"/>
      <c r="T1187" s="172"/>
      <c r="BB1187" s="83" t="s">
        <v>1790</v>
      </c>
      <c r="BJ1187" s="83" t="s">
        <v>1790</v>
      </c>
      <c r="CQ1187" s="165" t="s">
        <v>1790</v>
      </c>
    </row>
    <row r="1188" spans="1:105" ht="38.25" x14ac:dyDescent="0.2">
      <c r="A1188" s="176" t="str">
        <f t="shared" si="31"/>
        <v>predominantWaterBankHgt</v>
      </c>
      <c r="B1188" s="11" t="s">
        <v>11700</v>
      </c>
      <c r="C1188" s="173"/>
      <c r="D1188" s="22" t="s">
        <v>11701</v>
      </c>
      <c r="E1188" s="15" t="s">
        <v>11702</v>
      </c>
      <c r="F1188" s="174"/>
      <c r="G1188" s="174"/>
      <c r="H1188" s="17" t="s">
        <v>5932</v>
      </c>
      <c r="I1188" s="269"/>
      <c r="J1188" s="369" t="str">
        <f>HYPERLINK("[#]Datatypes!B1233:L1233","RealInterval")</f>
        <v>RealInterval</v>
      </c>
      <c r="K1188" s="271" t="str">
        <f>HYPERLINK("[#]PhysicalQuantities!A20:N20","Length")</f>
        <v>Length</v>
      </c>
      <c r="L1188" s="270" t="str">
        <f>HYPERLINK("[#]UnitsOfMeasure!D80:G80","Metre")</f>
        <v>Metre</v>
      </c>
      <c r="M1188" s="272"/>
      <c r="N1188" s="273"/>
      <c r="O1188" s="269"/>
      <c r="P1188" s="37">
        <v>114349</v>
      </c>
      <c r="Q1188" s="36" t="str">
        <f>CONCATENATE(Cover!$D$6,"fdd/view?i=",P1188)</f>
        <v>https://www.dgiwg.org/FAD/fdd/view?i=114349</v>
      </c>
      <c r="R1188" s="13" t="s">
        <v>11699</v>
      </c>
      <c r="S1188" s="172"/>
      <c r="T1188" s="172"/>
      <c r="BJ1188" s="83" t="s">
        <v>1790</v>
      </c>
      <c r="CQ1188" s="165" t="s">
        <v>1790</v>
      </c>
    </row>
    <row r="1189" spans="1:105" ht="38.25" x14ac:dyDescent="0.2">
      <c r="A1189" s="176" t="str">
        <f t="shared" si="31"/>
        <v>predominantWaterBankSlope</v>
      </c>
      <c r="B1189" s="11" t="s">
        <v>11704</v>
      </c>
      <c r="C1189" s="173"/>
      <c r="D1189" s="22" t="s">
        <v>11705</v>
      </c>
      <c r="E1189" s="15" t="s">
        <v>11706</v>
      </c>
      <c r="F1189" s="15" t="s">
        <v>5931</v>
      </c>
      <c r="G1189" s="174"/>
      <c r="H1189" s="17" t="s">
        <v>5932</v>
      </c>
      <c r="I1189" s="269"/>
      <c r="J1189" s="369" t="str">
        <f>HYPERLINK("[#]Datatypes!B1233:L1233","RealInterval")</f>
        <v>RealInterval</v>
      </c>
      <c r="K1189" s="271" t="str">
        <f>HYPERLINK("[#]PhysicalQuantities!A39:N39","Pure Number")</f>
        <v>Pure Number</v>
      </c>
      <c r="L1189" s="270" t="str">
        <f>HYPERLINK("[#]UnitsOfMeasure!D215:G215","Percent")</f>
        <v>Percent</v>
      </c>
      <c r="M1189" s="272"/>
      <c r="N1189" s="273"/>
      <c r="O1189" s="269"/>
      <c r="P1189" s="37">
        <v>114350</v>
      </c>
      <c r="Q1189" s="36" t="str">
        <f>CONCATENATE(Cover!$D$6,"fdd/view?i=",P1189)</f>
        <v>https://www.dgiwg.org/FAD/fdd/view?i=114350</v>
      </c>
      <c r="R1189" s="13" t="s">
        <v>11703</v>
      </c>
      <c r="S1189" s="172"/>
      <c r="T1189" s="172"/>
      <c r="BJ1189" s="83" t="s">
        <v>1790</v>
      </c>
      <c r="CQ1189" s="165" t="s">
        <v>1790</v>
      </c>
    </row>
    <row r="1190" spans="1:105" x14ac:dyDescent="0.2">
      <c r="A1190" s="176" t="str">
        <f t="shared" si="31"/>
        <v>presenceDateInterval</v>
      </c>
      <c r="B1190" s="11" t="s">
        <v>11708</v>
      </c>
      <c r="C1190" s="173"/>
      <c r="D1190" s="22" t="s">
        <v>11709</v>
      </c>
      <c r="E1190" s="15" t="s">
        <v>11710</v>
      </c>
      <c r="F1190" s="174"/>
      <c r="G1190" s="174"/>
      <c r="H1190" s="17" t="s">
        <v>5932</v>
      </c>
      <c r="I1190" s="269"/>
      <c r="J1190" s="369" t="str">
        <f>HYPERLINK("[#]Datatypes!B1161:L1161","DtvStrucText")</f>
        <v>DtvStrucText</v>
      </c>
      <c r="K1190" s="276"/>
      <c r="L1190" s="272"/>
      <c r="M1190" s="272"/>
      <c r="N1190" s="273"/>
      <c r="O1190" s="269"/>
      <c r="P1190" s="37">
        <v>109950</v>
      </c>
      <c r="Q1190" s="36" t="str">
        <f>CONCATENATE(Cover!$D$6,"fdd/view?i=",P1190)</f>
        <v>https://www.dgiwg.org/FAD/fdd/view?i=109950</v>
      </c>
      <c r="R1190" s="13" t="s">
        <v>11707</v>
      </c>
      <c r="S1190" s="172"/>
      <c r="T1190" s="172"/>
      <c r="CR1190" s="165" t="s">
        <v>1790</v>
      </c>
    </row>
    <row r="1191" spans="1:105" ht="38.25" x14ac:dyDescent="0.2">
      <c r="A1191" s="176" t="str">
        <f t="shared" si="31"/>
        <v>primaryEnergyConsumeRate</v>
      </c>
      <c r="B1191" s="11" t="s">
        <v>11713</v>
      </c>
      <c r="C1191" s="173"/>
      <c r="D1191" s="22" t="s">
        <v>11714</v>
      </c>
      <c r="E1191" s="15" t="s">
        <v>11715</v>
      </c>
      <c r="F1191" s="174"/>
      <c r="G1191" s="174"/>
      <c r="H1191" s="17" t="s">
        <v>5932</v>
      </c>
      <c r="I1191" s="269"/>
      <c r="J1191" s="369" t="str">
        <f>HYPERLINK("[#]Datatypes!B1231:L1231","Real")</f>
        <v>Real</v>
      </c>
      <c r="K1191" s="271" t="str">
        <f>HYPERLINK("[#]PhysicalQuantities!A35:N35","Power")</f>
        <v>Power</v>
      </c>
      <c r="L1191" s="270" t="str">
        <f>HYPERLINK("[#]UnitsOfMeasure!D190:G190","Gigajoule per Annum (tropical year)")</f>
        <v>Gigajoule per Annum (tropical year)</v>
      </c>
      <c r="M1191" s="272"/>
      <c r="N1191" s="273"/>
      <c r="O1191" s="269"/>
      <c r="P1191" s="37">
        <v>111658</v>
      </c>
      <c r="Q1191" s="36" t="str">
        <f>CONCATENATE(Cover!$D$6,"fdd/view?i=",P1191)</f>
        <v>https://www.dgiwg.org/FAD/fdd/view?i=111658</v>
      </c>
      <c r="R1191" s="13" t="s">
        <v>11712</v>
      </c>
      <c r="S1191" s="172"/>
      <c r="T1191" s="172"/>
      <c r="AD1191" s="82" t="s">
        <v>1790</v>
      </c>
      <c r="AK1191" s="83" t="s">
        <v>1790</v>
      </c>
      <c r="CQ1191" s="165" t="s">
        <v>1790</v>
      </c>
    </row>
    <row r="1192" spans="1:105" x14ac:dyDescent="0.2">
      <c r="A1192" s="176" t="str">
        <f t="shared" si="31"/>
        <v>primaryEnvContaminant</v>
      </c>
      <c r="B1192" s="11" t="s">
        <v>11717</v>
      </c>
      <c r="C1192" s="173"/>
      <c r="D1192" s="22" t="s">
        <v>11718</v>
      </c>
      <c r="E1192" s="15" t="s">
        <v>11719</v>
      </c>
      <c r="F1192" s="174"/>
      <c r="G1192" s="174"/>
      <c r="H1192" s="17" t="s">
        <v>5932</v>
      </c>
      <c r="I1192" s="269"/>
      <c r="J1192" s="369" t="str">
        <f>HYPERLINK("[#]Datatypes!B1163:L1163","Rd1Code")</f>
        <v>Rd1Code</v>
      </c>
      <c r="K1192" s="276"/>
      <c r="L1192" s="272"/>
      <c r="M1192" s="272"/>
      <c r="N1192" s="248" t="str">
        <f>HYPERLINK("[#]DatatypeListedValues!A6801:H6801","&lt;values&gt;")</f>
        <v>&lt;values&gt;</v>
      </c>
      <c r="O1192" s="277" t="b">
        <v>0</v>
      </c>
      <c r="P1192" s="37">
        <v>111687</v>
      </c>
      <c r="Q1192" s="36" t="str">
        <f>CONCATENATE(Cover!$D$6,"fdd/view?i=",P1192)</f>
        <v>https://www.dgiwg.org/FAD/fdd/view?i=111687</v>
      </c>
      <c r="R1192" s="13" t="s">
        <v>11716</v>
      </c>
      <c r="S1192" s="172"/>
      <c r="T1192" s="172"/>
      <c r="CS1192" s="165" t="s">
        <v>1790</v>
      </c>
    </row>
    <row r="1193" spans="1:105" ht="25.5" x14ac:dyDescent="0.2">
      <c r="A1193" s="176" t="str">
        <f t="shared" si="31"/>
        <v>primaryFrequency</v>
      </c>
      <c r="B1193" s="11" t="s">
        <v>11722</v>
      </c>
      <c r="C1193" s="173"/>
      <c r="D1193" s="22" t="s">
        <v>11723</v>
      </c>
      <c r="E1193" s="15" t="s">
        <v>11724</v>
      </c>
      <c r="F1193" s="174"/>
      <c r="G1193" s="174"/>
      <c r="H1193" s="17" t="s">
        <v>5932</v>
      </c>
      <c r="I1193" s="269"/>
      <c r="J1193" s="369" t="str">
        <f>HYPERLINK("[#]Datatypes!B240:L240","Boolean")</f>
        <v>Boolean</v>
      </c>
      <c r="K1193" s="276"/>
      <c r="L1193" s="272"/>
      <c r="M1193" s="272"/>
      <c r="N1193" s="273"/>
      <c r="O1193" s="269"/>
      <c r="P1193" s="37">
        <v>119614</v>
      </c>
      <c r="Q1193" s="36" t="str">
        <f>CONCATENATE(Cover!$D$6,"fdd/view?i=",P1193)</f>
        <v>https://www.dgiwg.org/FAD/fdd/view?i=119614</v>
      </c>
      <c r="R1193" s="13" t="s">
        <v>11721</v>
      </c>
      <c r="S1193" s="172"/>
      <c r="T1193" s="172"/>
      <c r="AE1193" s="82" t="s">
        <v>1790</v>
      </c>
      <c r="CQ1193" s="165" t="s">
        <v>1790</v>
      </c>
    </row>
    <row r="1194" spans="1:105" ht="25.5" x14ac:dyDescent="0.2">
      <c r="A1194" s="176" t="str">
        <f t="shared" si="31"/>
        <v>primaryOperatingRange</v>
      </c>
      <c r="B1194" s="11" t="s">
        <v>11726</v>
      </c>
      <c r="C1194" s="173"/>
      <c r="D1194" s="22" t="s">
        <v>11727</v>
      </c>
      <c r="E1194" s="15" t="s">
        <v>11728</v>
      </c>
      <c r="F1194" s="174"/>
      <c r="G1194" s="174"/>
      <c r="H1194" s="17" t="s">
        <v>5932</v>
      </c>
      <c r="I1194" s="269"/>
      <c r="J1194" s="369" t="str">
        <f>HYPERLINK("[#]Datatypes!B1048:L1048","RealNonNegative")</f>
        <v>RealNonNegative</v>
      </c>
      <c r="K1194" s="271" t="str">
        <f>HYPERLINK("[#]PhysicalQuantities!A20:N20","Length")</f>
        <v>Length</v>
      </c>
      <c r="L1194" s="270" t="str">
        <f>HYPERLINK("[#]UnitsOfMeasure!D94:G94","Nautical Mile")</f>
        <v>Nautical Mile</v>
      </c>
      <c r="M1194" s="272"/>
      <c r="N1194" s="273"/>
      <c r="O1194" s="269"/>
      <c r="P1194" s="37">
        <v>110819</v>
      </c>
      <c r="Q1194" s="36" t="str">
        <f>CONCATENATE(Cover!$D$6,"fdd/view?i=",P1194)</f>
        <v>https://www.dgiwg.org/FAD/fdd/view?i=110819</v>
      </c>
      <c r="R1194" s="13" t="s">
        <v>11725</v>
      </c>
      <c r="S1194" s="172"/>
      <c r="T1194" s="172"/>
      <c r="AS1194" s="82" t="s">
        <v>1790</v>
      </c>
      <c r="AT1194" s="82" t="s">
        <v>1790</v>
      </c>
      <c r="BF1194" s="83" t="s">
        <v>1790</v>
      </c>
      <c r="CG1194" s="83" t="s">
        <v>1790</v>
      </c>
      <c r="CQ1194" s="165" t="s">
        <v>1790</v>
      </c>
    </row>
    <row r="1195" spans="1:105" ht="25.5" x14ac:dyDescent="0.2">
      <c r="A1195" s="176" t="str">
        <f t="shared" si="31"/>
        <v>primaryStructMatChar</v>
      </c>
      <c r="B1195" s="11" t="s">
        <v>11730</v>
      </c>
      <c r="C1195" s="173"/>
      <c r="D1195" s="22" t="s">
        <v>11731</v>
      </c>
      <c r="E1195" s="15" t="s">
        <v>11732</v>
      </c>
      <c r="F1195" s="15" t="s">
        <v>11733</v>
      </c>
      <c r="G1195" s="174"/>
      <c r="H1195" s="17" t="s">
        <v>5932</v>
      </c>
      <c r="I1195" s="17" t="s">
        <v>6029</v>
      </c>
      <c r="J1195" s="369" t="str">
        <f>HYPERLINK("[#]Datatypes!B1165:L1165","PscCode")</f>
        <v>PscCode</v>
      </c>
      <c r="K1195" s="276"/>
      <c r="L1195" s="272"/>
      <c r="M1195" s="272"/>
      <c r="N1195" s="248" t="str">
        <f>HYPERLINK("[#]DatatypeListedValues!A6805:H6805","&lt;values&gt;")</f>
        <v>&lt;values&gt;</v>
      </c>
      <c r="O1195" s="277" t="b">
        <v>0</v>
      </c>
      <c r="P1195" s="37">
        <v>101189</v>
      </c>
      <c r="Q1195" s="36" t="str">
        <f>CONCATENATE(Cover!$D$6,"fdd/view?i=",P1195)</f>
        <v>https://www.dgiwg.org/FAD/fdd/view?i=101189</v>
      </c>
      <c r="R1195" s="13" t="s">
        <v>11729</v>
      </c>
      <c r="S1195" s="172"/>
      <c r="T1195" s="172"/>
      <c r="BC1195" s="83" t="s">
        <v>1790</v>
      </c>
      <c r="CS1195" s="165" t="s">
        <v>1790</v>
      </c>
    </row>
    <row r="1196" spans="1:105" ht="25.5" x14ac:dyDescent="0.2">
      <c r="A1196" s="176" t="str">
        <f t="shared" si="31"/>
        <v>privateInfoIndicator</v>
      </c>
      <c r="B1196" s="11" t="s">
        <v>11736</v>
      </c>
      <c r="C1196" s="173"/>
      <c r="D1196" s="22" t="s">
        <v>11737</v>
      </c>
      <c r="E1196" s="15" t="s">
        <v>11738</v>
      </c>
      <c r="F1196" s="15" t="s">
        <v>11739</v>
      </c>
      <c r="G1196" s="174"/>
      <c r="H1196" s="17" t="s">
        <v>5932</v>
      </c>
      <c r="I1196" s="269"/>
      <c r="J1196" s="369" t="str">
        <f>HYPERLINK("[#]Datatypes!B240:L240","Boolean")</f>
        <v>Boolean</v>
      </c>
      <c r="K1196" s="276"/>
      <c r="L1196" s="272"/>
      <c r="M1196" s="272"/>
      <c r="N1196" s="273"/>
      <c r="O1196" s="269"/>
      <c r="P1196" s="37">
        <v>111677</v>
      </c>
      <c r="Q1196" s="36" t="str">
        <f>CONCATENATE(Cover!$D$6,"fdd/view?i=",P1196)</f>
        <v>https://www.dgiwg.org/FAD/fdd/view?i=111677</v>
      </c>
      <c r="R1196" s="13" t="s">
        <v>11735</v>
      </c>
      <c r="S1196" s="172"/>
      <c r="T1196" s="172"/>
      <c r="DA1196" s="165" t="s">
        <v>1790</v>
      </c>
    </row>
    <row r="1197" spans="1:105" ht="51" x14ac:dyDescent="0.2">
      <c r="A1197" s="176" t="str">
        <f t="shared" si="31"/>
        <v>procedureAltitudeHeight</v>
      </c>
      <c r="B1197" s="11" t="s">
        <v>11741</v>
      </c>
      <c r="C1197" s="173"/>
      <c r="D1197" s="22" t="s">
        <v>11742</v>
      </c>
      <c r="E1197" s="15" t="s">
        <v>11743</v>
      </c>
      <c r="F1197" s="174"/>
      <c r="G1197" s="174"/>
      <c r="H1197" s="17" t="s">
        <v>5932</v>
      </c>
      <c r="I1197" s="269"/>
      <c r="J1197" s="369" t="str">
        <f>HYPERLINK("[#]Datatypes!B1231:L1231","Real")</f>
        <v>Real</v>
      </c>
      <c r="K1197" s="271" t="str">
        <f>HYPERLINK("[#]PhysicalQuantities!A20:N20","Length")</f>
        <v>Length</v>
      </c>
      <c r="L1197" s="270" t="str">
        <f>HYPERLINK("[#]UnitsOfMeasure!D103:G103","Foot")</f>
        <v>Foot</v>
      </c>
      <c r="M1197" s="272"/>
      <c r="N1197" s="273"/>
      <c r="O1197" s="269"/>
      <c r="P1197" s="37">
        <v>117656</v>
      </c>
      <c r="Q1197" s="36" t="str">
        <f>CONCATENATE(Cover!$D$6,"fdd/view?i=",P1197)</f>
        <v>https://www.dgiwg.org/FAD/fdd/view?i=117656</v>
      </c>
      <c r="R1197" s="13" t="s">
        <v>11740</v>
      </c>
      <c r="S1197" s="172"/>
      <c r="T1197" s="172"/>
      <c r="CI1197" s="89" t="s">
        <v>1790</v>
      </c>
    </row>
    <row r="1198" spans="1:105" ht="51" x14ac:dyDescent="0.2">
      <c r="A1198" s="176" t="str">
        <f t="shared" si="31"/>
        <v>procedureDescription</v>
      </c>
      <c r="B1198" s="11" t="s">
        <v>11745</v>
      </c>
      <c r="C1198" s="173"/>
      <c r="D1198" s="22" t="s">
        <v>11746</v>
      </c>
      <c r="E1198" s="15" t="s">
        <v>11747</v>
      </c>
      <c r="F1198" s="15" t="s">
        <v>11748</v>
      </c>
      <c r="G1198" s="15" t="s">
        <v>11749</v>
      </c>
      <c r="H1198" s="17" t="s">
        <v>5932</v>
      </c>
      <c r="I1198" s="269"/>
      <c r="J1198" s="369" t="str">
        <f>HYPERLINK("[#]Datatypes!B1562:L1562","TextNonLexUnconstrained")</f>
        <v>TextNonLexUnconstrained</v>
      </c>
      <c r="K1198" s="276"/>
      <c r="L1198" s="272"/>
      <c r="M1198" s="272"/>
      <c r="N1198" s="273"/>
      <c r="O1198" s="269"/>
      <c r="P1198" s="37">
        <v>117669</v>
      </c>
      <c r="Q1198" s="36" t="str">
        <f>CONCATENATE(Cover!$D$6,"fdd/view?i=",P1198)</f>
        <v>https://www.dgiwg.org/FAD/fdd/view?i=117669</v>
      </c>
      <c r="R1198" s="13" t="s">
        <v>11744</v>
      </c>
      <c r="S1198" s="172"/>
      <c r="T1198" s="172"/>
      <c r="CI1198" s="89" t="s">
        <v>1790</v>
      </c>
    </row>
    <row r="1199" spans="1:105" ht="25.5" x14ac:dyDescent="0.2">
      <c r="A1199" s="176" t="str">
        <f t="shared" si="31"/>
        <v>procedureDesignCriteria</v>
      </c>
      <c r="B1199" s="11" t="s">
        <v>11751</v>
      </c>
      <c r="C1199" s="173"/>
      <c r="D1199" s="22" t="s">
        <v>11752</v>
      </c>
      <c r="E1199" s="15" t="s">
        <v>11753</v>
      </c>
      <c r="F1199" s="174"/>
      <c r="G1199" s="174"/>
      <c r="H1199" s="17" t="s">
        <v>5932</v>
      </c>
      <c r="I1199" s="269"/>
      <c r="J1199" s="369" t="str">
        <f>HYPERLINK("[#]Datatypes!B1167:L1167","PdcCode")</f>
        <v>PdcCode</v>
      </c>
      <c r="K1199" s="276"/>
      <c r="L1199" s="272"/>
      <c r="M1199" s="272"/>
      <c r="N1199" s="248" t="str">
        <f>HYPERLINK("[#]DatatypeListedValues!A6831:H6831","&lt;values&gt;")</f>
        <v>&lt;values&gt;</v>
      </c>
      <c r="O1199" s="277" t="b">
        <v>0</v>
      </c>
      <c r="P1199" s="37">
        <v>117667</v>
      </c>
      <c r="Q1199" s="36" t="str">
        <f>CONCATENATE(Cover!$D$6,"fdd/view?i=",P1199)</f>
        <v>https://www.dgiwg.org/FAD/fdd/view?i=117667</v>
      </c>
      <c r="R1199" s="13" t="s">
        <v>11750</v>
      </c>
      <c r="S1199" s="172"/>
      <c r="T1199" s="172"/>
      <c r="CI1199" s="89" t="s">
        <v>1790</v>
      </c>
    </row>
    <row r="1200" spans="1:105" ht="38.25" x14ac:dyDescent="0.2">
      <c r="A1200" s="176" t="str">
        <f t="shared" si="31"/>
        <v>procedureDesignator</v>
      </c>
      <c r="B1200" s="11" t="s">
        <v>11756</v>
      </c>
      <c r="C1200" s="173"/>
      <c r="D1200" s="22" t="s">
        <v>11757</v>
      </c>
      <c r="E1200" s="15" t="s">
        <v>11758</v>
      </c>
      <c r="F1200" s="15" t="s">
        <v>11759</v>
      </c>
      <c r="G1200" s="15" t="s">
        <v>11760</v>
      </c>
      <c r="H1200" s="17" t="s">
        <v>5932</v>
      </c>
      <c r="I1200" s="269"/>
      <c r="J1200" s="369" t="str">
        <f>HYPERLINK("[#]Datatypes!B1169:L1169","Pd1StrucText")</f>
        <v>Pd1StrucText</v>
      </c>
      <c r="K1200" s="276"/>
      <c r="L1200" s="272"/>
      <c r="M1200" s="272"/>
      <c r="N1200" s="273"/>
      <c r="O1200" s="269"/>
      <c r="P1200" s="37">
        <v>117666</v>
      </c>
      <c r="Q1200" s="36" t="str">
        <f>CONCATENATE(Cover!$D$6,"fdd/view?i=",P1200)</f>
        <v>https://www.dgiwg.org/FAD/fdd/view?i=117666</v>
      </c>
      <c r="R1200" s="13" t="s">
        <v>11755</v>
      </c>
      <c r="S1200" s="172"/>
      <c r="T1200" s="172"/>
      <c r="CI1200" s="89" t="s">
        <v>1790</v>
      </c>
    </row>
    <row r="1201" spans="1:101" ht="38.25" x14ac:dyDescent="0.2">
      <c r="A1201" s="176" t="str">
        <f t="shared" si="31"/>
        <v>procedureIdentification</v>
      </c>
      <c r="B1201" s="11" t="s">
        <v>11763</v>
      </c>
      <c r="C1201" s="173"/>
      <c r="D1201" s="22" t="s">
        <v>11764</v>
      </c>
      <c r="E1201" s="15" t="s">
        <v>11765</v>
      </c>
      <c r="F1201" s="15" t="s">
        <v>11766</v>
      </c>
      <c r="G1201" s="15" t="s">
        <v>11767</v>
      </c>
      <c r="H1201" s="17" t="s">
        <v>5932</v>
      </c>
      <c r="I1201" s="269"/>
      <c r="J1201" s="369" t="str">
        <f>HYPERLINK("[#]Datatypes!B1171:L1171","PidStrucText")</f>
        <v>PidStrucText</v>
      </c>
      <c r="K1201" s="276"/>
      <c r="L1201" s="272"/>
      <c r="M1201" s="272"/>
      <c r="N1201" s="273"/>
      <c r="O1201" s="269"/>
      <c r="P1201" s="37">
        <v>117670</v>
      </c>
      <c r="Q1201" s="36" t="str">
        <f>CONCATENATE(Cover!$D$6,"fdd/view?i=",P1201)</f>
        <v>https://www.dgiwg.org/FAD/fdd/view?i=117670</v>
      </c>
      <c r="R1201" s="13" t="s">
        <v>11762</v>
      </c>
      <c r="S1201" s="172"/>
      <c r="T1201" s="172"/>
      <c r="CI1201" s="89" t="s">
        <v>1790</v>
      </c>
    </row>
    <row r="1202" spans="1:101" x14ac:dyDescent="0.2">
      <c r="A1202" s="176" t="str">
        <f t="shared" si="31"/>
        <v>procedureLowerLimit</v>
      </c>
      <c r="B1202" s="11" t="s">
        <v>11770</v>
      </c>
      <c r="C1202" s="173"/>
      <c r="D1202" s="22" t="s">
        <v>11771</v>
      </c>
      <c r="E1202" s="15" t="s">
        <v>11772</v>
      </c>
      <c r="F1202" s="174"/>
      <c r="G1202" s="174"/>
      <c r="H1202" s="17" t="s">
        <v>5932</v>
      </c>
      <c r="I1202" s="269"/>
      <c r="J1202" s="369" t="str">
        <f>HYPERLINK("[#]Datatypes!B1231:L1231","Real")</f>
        <v>Real</v>
      </c>
      <c r="K1202" s="271" t="str">
        <f>HYPERLINK("[#]PhysicalQuantities!A20:N20","Length")</f>
        <v>Length</v>
      </c>
      <c r="L1202" s="270" t="str">
        <f>HYPERLINK("[#]UnitsOfMeasure!D103:G103","Foot")</f>
        <v>Foot</v>
      </c>
      <c r="M1202" s="272"/>
      <c r="N1202" s="273"/>
      <c r="O1202" s="269"/>
      <c r="P1202" s="37">
        <v>117671</v>
      </c>
      <c r="Q1202" s="36" t="str">
        <f>CONCATENATE(Cover!$D$6,"fdd/view?i=",P1202)</f>
        <v>https://www.dgiwg.org/FAD/fdd/view?i=117671</v>
      </c>
      <c r="R1202" s="13" t="s">
        <v>11769</v>
      </c>
      <c r="S1202" s="172"/>
      <c r="T1202" s="172"/>
      <c r="CI1202" s="89" t="s">
        <v>1790</v>
      </c>
    </row>
    <row r="1203" spans="1:101" ht="38.25" x14ac:dyDescent="0.2">
      <c r="A1203" s="176" t="str">
        <f t="shared" si="31"/>
        <v>procedureMinimaType</v>
      </c>
      <c r="B1203" s="11" t="s">
        <v>11774</v>
      </c>
      <c r="C1203" s="173"/>
      <c r="D1203" s="22" t="s">
        <v>11775</v>
      </c>
      <c r="E1203" s="15" t="s">
        <v>11776</v>
      </c>
      <c r="F1203" s="174"/>
      <c r="G1203" s="174"/>
      <c r="H1203" s="17" t="s">
        <v>5932</v>
      </c>
      <c r="I1203" s="269"/>
      <c r="J1203" s="369" t="str">
        <f>HYPERLINK("[#]Datatypes!B1173:L1173","PmtCode")</f>
        <v>PmtCode</v>
      </c>
      <c r="K1203" s="276"/>
      <c r="L1203" s="272"/>
      <c r="M1203" s="272"/>
      <c r="N1203" s="248" t="str">
        <f>HYPERLINK("[#]DatatypeListedValues!A6835:H6835","&lt;values&gt;")</f>
        <v>&lt;values&gt;</v>
      </c>
      <c r="O1203" s="277" t="b">
        <v>0</v>
      </c>
      <c r="P1203" s="37">
        <v>119650</v>
      </c>
      <c r="Q1203" s="36" t="str">
        <f>CONCATENATE(Cover!$D$6,"fdd/view?i=",P1203)</f>
        <v>https://www.dgiwg.org/FAD/fdd/view?i=119650</v>
      </c>
      <c r="R1203" s="13" t="s">
        <v>11773</v>
      </c>
      <c r="S1203" s="172"/>
      <c r="T1203" s="172"/>
      <c r="AT1203" s="82" t="s">
        <v>1790</v>
      </c>
      <c r="CF1203" s="83" t="s">
        <v>1790</v>
      </c>
      <c r="CT1203" s="166" t="s">
        <v>1790</v>
      </c>
    </row>
    <row r="1204" spans="1:101" ht="25.5" x14ac:dyDescent="0.2">
      <c r="A1204" s="176" t="str">
        <f t="shared" si="31"/>
        <v>procMinimumSpeed</v>
      </c>
      <c r="B1204" s="11" t="s">
        <v>11779</v>
      </c>
      <c r="C1204" s="173"/>
      <c r="D1204" s="22" t="s">
        <v>11780</v>
      </c>
      <c r="E1204" s="15" t="s">
        <v>11781</v>
      </c>
      <c r="F1204" s="174"/>
      <c r="G1204" s="174"/>
      <c r="H1204" s="17" t="s">
        <v>5932</v>
      </c>
      <c r="I1204" s="269"/>
      <c r="J1204" s="369" t="str">
        <f>HYPERLINK("[#]Datatypes!B1231:L1231","Real")</f>
        <v>Real</v>
      </c>
      <c r="K1204" s="271" t="str">
        <f>HYPERLINK("[#]PhysicalQuantities!A48:N48","Speed")</f>
        <v>Speed</v>
      </c>
      <c r="L1204" s="270" t="str">
        <f>HYPERLINK("[#]UnitsOfMeasure!D251:G251","Knot")</f>
        <v>Knot</v>
      </c>
      <c r="M1204" s="272"/>
      <c r="N1204" s="273"/>
      <c r="O1204" s="269"/>
      <c r="P1204" s="37">
        <v>119617</v>
      </c>
      <c r="Q1204" s="36" t="str">
        <f>CONCATENATE(Cover!$D$6,"fdd/view?i=",P1204)</f>
        <v>https://www.dgiwg.org/FAD/fdd/view?i=119617</v>
      </c>
      <c r="R1204" s="13" t="s">
        <v>11778</v>
      </c>
      <c r="S1204" s="172"/>
      <c r="T1204" s="172"/>
      <c r="AT1204" s="82" t="s">
        <v>1790</v>
      </c>
      <c r="CF1204" s="83" t="s">
        <v>1790</v>
      </c>
      <c r="CQ1204" s="165" t="s">
        <v>1790</v>
      </c>
    </row>
    <row r="1205" spans="1:101" ht="38.25" x14ac:dyDescent="0.2">
      <c r="A1205" s="176" t="str">
        <f t="shared" si="31"/>
        <v>procRecommendedSpeed</v>
      </c>
      <c r="B1205" s="11" t="s">
        <v>11783</v>
      </c>
      <c r="C1205" s="173"/>
      <c r="D1205" s="22" t="s">
        <v>11784</v>
      </c>
      <c r="E1205" s="15" t="s">
        <v>11785</v>
      </c>
      <c r="F1205" s="174"/>
      <c r="G1205" s="174"/>
      <c r="H1205" s="17" t="s">
        <v>5932</v>
      </c>
      <c r="I1205" s="269"/>
      <c r="J1205" s="369" t="str">
        <f>HYPERLINK("[#]Datatypes!B1231:L1231","Real")</f>
        <v>Real</v>
      </c>
      <c r="K1205" s="271" t="str">
        <f>HYPERLINK("[#]PhysicalQuantities!A48:N48","Speed")</f>
        <v>Speed</v>
      </c>
      <c r="L1205" s="270" t="str">
        <f>HYPERLINK("[#]UnitsOfMeasure!D251:G251","Knot")</f>
        <v>Knot</v>
      </c>
      <c r="M1205" s="272"/>
      <c r="N1205" s="273"/>
      <c r="O1205" s="269"/>
      <c r="P1205" s="37">
        <v>119600</v>
      </c>
      <c r="Q1205" s="36" t="str">
        <f>CONCATENATE(Cover!$D$6,"fdd/view?i=",P1205)</f>
        <v>https://www.dgiwg.org/FAD/fdd/view?i=119600</v>
      </c>
      <c r="R1205" s="13" t="s">
        <v>11782</v>
      </c>
      <c r="S1205" s="172"/>
      <c r="T1205" s="172"/>
      <c r="AT1205" s="82" t="s">
        <v>1790</v>
      </c>
      <c r="CF1205" s="83" t="s">
        <v>1790</v>
      </c>
    </row>
    <row r="1206" spans="1:101" x14ac:dyDescent="0.2">
      <c r="A1206" s="176" t="str">
        <f t="shared" si="31"/>
        <v>procedureSegmentAltitude</v>
      </c>
      <c r="B1206" s="11" t="s">
        <v>11787</v>
      </c>
      <c r="C1206" s="173"/>
      <c r="D1206" s="22" t="s">
        <v>11788</v>
      </c>
      <c r="E1206" s="15" t="s">
        <v>11789</v>
      </c>
      <c r="F1206" s="174"/>
      <c r="G1206" s="174"/>
      <c r="H1206" s="17" t="s">
        <v>5932</v>
      </c>
      <c r="I1206" s="269"/>
      <c r="J1206" s="369" t="str">
        <f>HYPERLINK("[#]Datatypes!B1231:L1231","Real")</f>
        <v>Real</v>
      </c>
      <c r="K1206" s="271" t="str">
        <f>HYPERLINK("[#]PhysicalQuantities!A20:N20","Length")</f>
        <v>Length</v>
      </c>
      <c r="L1206" s="270" t="str">
        <f>HYPERLINK("[#]UnitsOfMeasure!D103:G103","Foot")</f>
        <v>Foot</v>
      </c>
      <c r="M1206" s="272"/>
      <c r="N1206" s="273"/>
      <c r="O1206" s="269"/>
      <c r="P1206" s="37">
        <v>117672</v>
      </c>
      <c r="Q1206" s="36" t="str">
        <f>CONCATENATE(Cover!$D$6,"fdd/view?i=",P1206)</f>
        <v>https://www.dgiwg.org/FAD/fdd/view?i=117672</v>
      </c>
      <c r="R1206" s="13" t="s">
        <v>11786</v>
      </c>
      <c r="S1206" s="172"/>
      <c r="T1206" s="172"/>
      <c r="CI1206" s="89" t="s">
        <v>1790</v>
      </c>
    </row>
    <row r="1207" spans="1:101" ht="25.5" x14ac:dyDescent="0.2">
      <c r="A1207" s="176" t="str">
        <f t="shared" si="31"/>
        <v>procedureSegmentCourse</v>
      </c>
      <c r="B1207" s="11" t="s">
        <v>11791</v>
      </c>
      <c r="C1207" s="173"/>
      <c r="D1207" s="22" t="s">
        <v>11792</v>
      </c>
      <c r="E1207" s="15" t="s">
        <v>11793</v>
      </c>
      <c r="F1207" s="174"/>
      <c r="G1207" s="15" t="s">
        <v>11794</v>
      </c>
      <c r="H1207" s="17" t="s">
        <v>5932</v>
      </c>
      <c r="I1207" s="269"/>
      <c r="J1207" s="369" t="str">
        <f>HYPERLINK("[#]Datatypes!B1231:L1231","Real")</f>
        <v>Real</v>
      </c>
      <c r="K1207" s="271" t="str">
        <f>HYPERLINK("[#]PhysicalQuantities!A34:N34","Plane Angle")</f>
        <v>Plane Angle</v>
      </c>
      <c r="L1207" s="270" t="str">
        <f>HYPERLINK("[#]UnitsOfMeasure!D159:G159","Arc Degree")</f>
        <v>Arc Degree</v>
      </c>
      <c r="M1207" s="272"/>
      <c r="N1207" s="273"/>
      <c r="O1207" s="269"/>
      <c r="P1207" s="37">
        <v>117665</v>
      </c>
      <c r="Q1207" s="36" t="str">
        <f>CONCATENATE(Cover!$D$6,"fdd/view?i=",P1207)</f>
        <v>https://www.dgiwg.org/FAD/fdd/view?i=117665</v>
      </c>
      <c r="R1207" s="13" t="s">
        <v>11790</v>
      </c>
      <c r="S1207" s="172"/>
      <c r="T1207" s="172"/>
      <c r="CI1207" s="89" t="s">
        <v>1790</v>
      </c>
    </row>
    <row r="1208" spans="1:101" x14ac:dyDescent="0.2">
      <c r="A1208" s="176" t="str">
        <f t="shared" si="31"/>
        <v>procedureSegmentLength</v>
      </c>
      <c r="B1208" s="11" t="s">
        <v>11796</v>
      </c>
      <c r="C1208" s="173"/>
      <c r="D1208" s="22" t="s">
        <v>11797</v>
      </c>
      <c r="E1208" s="15" t="s">
        <v>11798</v>
      </c>
      <c r="F1208" s="174"/>
      <c r="G1208" s="174"/>
      <c r="H1208" s="17" t="s">
        <v>5932</v>
      </c>
      <c r="I1208" s="269"/>
      <c r="J1208" s="369" t="str">
        <f>HYPERLINK("[#]Datatypes!B1231:L1231","Real")</f>
        <v>Real</v>
      </c>
      <c r="K1208" s="271" t="str">
        <f>HYPERLINK("[#]PhysicalQuantities!A20:N20","Length")</f>
        <v>Length</v>
      </c>
      <c r="L1208" s="270" t="str">
        <f>HYPERLINK("[#]UnitsOfMeasure!D94:G94","Nautical Mile")</f>
        <v>Nautical Mile</v>
      </c>
      <c r="M1208" s="272"/>
      <c r="N1208" s="273"/>
      <c r="O1208" s="269"/>
      <c r="P1208" s="37">
        <v>117674</v>
      </c>
      <c r="Q1208" s="36" t="str">
        <f>CONCATENATE(Cover!$D$6,"fdd/view?i=",P1208)</f>
        <v>https://www.dgiwg.org/FAD/fdd/view?i=117674</v>
      </c>
      <c r="R1208" s="13" t="s">
        <v>11795</v>
      </c>
      <c r="S1208" s="172"/>
      <c r="T1208" s="172"/>
      <c r="CI1208" s="89" t="s">
        <v>1790</v>
      </c>
    </row>
    <row r="1209" spans="1:101" ht="25.5" x14ac:dyDescent="0.2">
      <c r="A1209" s="176" t="str">
        <f t="shared" si="31"/>
        <v>procedureSegmentTime</v>
      </c>
      <c r="B1209" s="11" t="s">
        <v>11800</v>
      </c>
      <c r="C1209" s="173"/>
      <c r="D1209" s="22" t="s">
        <v>11801</v>
      </c>
      <c r="E1209" s="15" t="s">
        <v>11802</v>
      </c>
      <c r="F1209" s="174"/>
      <c r="G1209" s="174"/>
      <c r="H1209" s="17" t="s">
        <v>5932</v>
      </c>
      <c r="I1209" s="269"/>
      <c r="J1209" s="369" t="str">
        <f>HYPERLINK("[#]Datatypes!B1175:L1175","PtsStrucText")</f>
        <v>PtsStrucText</v>
      </c>
      <c r="K1209" s="276"/>
      <c r="L1209" s="272"/>
      <c r="M1209" s="272"/>
      <c r="N1209" s="273"/>
      <c r="O1209" s="269"/>
      <c r="P1209" s="37">
        <v>117677</v>
      </c>
      <c r="Q1209" s="36" t="str">
        <f>CONCATENATE(Cover!$D$6,"fdd/view?i=",P1209)</f>
        <v>https://www.dgiwg.org/FAD/fdd/view?i=117677</v>
      </c>
      <c r="R1209" s="13" t="s">
        <v>11799</v>
      </c>
      <c r="S1209" s="172"/>
      <c r="T1209" s="172"/>
      <c r="CI1209" s="89" t="s">
        <v>1790</v>
      </c>
    </row>
    <row r="1210" spans="1:101" ht="25.5" x14ac:dyDescent="0.2">
      <c r="A1210" s="176" t="str">
        <f t="shared" si="31"/>
        <v>procedureSpeedLimit</v>
      </c>
      <c r="B1210" s="11" t="s">
        <v>11805</v>
      </c>
      <c r="C1210" s="173"/>
      <c r="D1210" s="22" t="s">
        <v>11806</v>
      </c>
      <c r="E1210" s="15" t="s">
        <v>11807</v>
      </c>
      <c r="F1210" s="174"/>
      <c r="G1210" s="174"/>
      <c r="H1210" s="17" t="s">
        <v>5932</v>
      </c>
      <c r="I1210" s="269"/>
      <c r="J1210" s="369" t="str">
        <f>HYPERLINK("[#]Datatypes!B1231:L1231","Real")</f>
        <v>Real</v>
      </c>
      <c r="K1210" s="271" t="str">
        <f>HYPERLINK("[#]PhysicalQuantities!A48:N48","Speed")</f>
        <v>Speed</v>
      </c>
      <c r="L1210" s="270" t="str">
        <f>HYPERLINK("[#]UnitsOfMeasure!D251:G251","Knot")</f>
        <v>Knot</v>
      </c>
      <c r="M1210" s="272"/>
      <c r="N1210" s="273"/>
      <c r="O1210" s="269"/>
      <c r="P1210" s="37">
        <v>117711</v>
      </c>
      <c r="Q1210" s="36" t="str">
        <f>CONCATENATE(Cover!$D$6,"fdd/view?i=",P1210)</f>
        <v>https://www.dgiwg.org/FAD/fdd/view?i=117711</v>
      </c>
      <c r="R1210" s="13" t="s">
        <v>11804</v>
      </c>
      <c r="S1210" s="172"/>
      <c r="T1210" s="172"/>
      <c r="CI1210" s="89" t="s">
        <v>1790</v>
      </c>
    </row>
    <row r="1211" spans="1:101" ht="114.75" x14ac:dyDescent="0.2">
      <c r="A1211" s="176" t="str">
        <f t="shared" si="31"/>
        <v>procedureTurnRequired</v>
      </c>
      <c r="B1211" s="11" t="s">
        <v>11809</v>
      </c>
      <c r="C1211" s="173"/>
      <c r="D1211" s="22" t="s">
        <v>11810</v>
      </c>
      <c r="E1211" s="15" t="s">
        <v>11811</v>
      </c>
      <c r="F1211" s="15" t="s">
        <v>11812</v>
      </c>
      <c r="G1211" s="174"/>
      <c r="H1211" s="17" t="s">
        <v>5932</v>
      </c>
      <c r="I1211" s="269"/>
      <c r="J1211" s="369" t="str">
        <f>HYPERLINK("[#]Datatypes!B240:L240","Boolean")</f>
        <v>Boolean</v>
      </c>
      <c r="K1211" s="276"/>
      <c r="L1211" s="272"/>
      <c r="M1211" s="272"/>
      <c r="N1211" s="273"/>
      <c r="O1211" s="269"/>
      <c r="P1211" s="37">
        <v>117676</v>
      </c>
      <c r="Q1211" s="36" t="str">
        <f>CONCATENATE(Cover!$D$6,"fdd/view?i=",P1211)</f>
        <v>https://www.dgiwg.org/FAD/fdd/view?i=117676</v>
      </c>
      <c r="R1211" s="13" t="s">
        <v>11808</v>
      </c>
      <c r="S1211" s="172"/>
      <c r="T1211" s="172"/>
      <c r="CI1211" s="89" t="s">
        <v>1790</v>
      </c>
    </row>
    <row r="1212" spans="1:101" x14ac:dyDescent="0.2">
      <c r="A1212" s="176" t="str">
        <f t="shared" si="31"/>
        <v>procedureUpperLimit</v>
      </c>
      <c r="B1212" s="11" t="s">
        <v>11814</v>
      </c>
      <c r="C1212" s="173"/>
      <c r="D1212" s="22" t="s">
        <v>11815</v>
      </c>
      <c r="E1212" s="15" t="s">
        <v>11816</v>
      </c>
      <c r="F1212" s="174"/>
      <c r="G1212" s="174"/>
      <c r="H1212" s="17" t="s">
        <v>5932</v>
      </c>
      <c r="I1212" s="269"/>
      <c r="J1212" s="369" t="str">
        <f>HYPERLINK("[#]Datatypes!B1231:L1231","Real")</f>
        <v>Real</v>
      </c>
      <c r="K1212" s="271" t="str">
        <f>HYPERLINK("[#]PhysicalQuantities!A20:N20","Length")</f>
        <v>Length</v>
      </c>
      <c r="L1212" s="270" t="str">
        <f>HYPERLINK("[#]UnitsOfMeasure!D103:G103","Foot")</f>
        <v>Foot</v>
      </c>
      <c r="M1212" s="272"/>
      <c r="N1212" s="273"/>
      <c r="O1212" s="269"/>
      <c r="P1212" s="37">
        <v>117678</v>
      </c>
      <c r="Q1212" s="36" t="str">
        <f>CONCATENATE(Cover!$D$6,"fdd/view?i=",P1212)</f>
        <v>https://www.dgiwg.org/FAD/fdd/view?i=117678</v>
      </c>
      <c r="R1212" s="13" t="s">
        <v>11813</v>
      </c>
      <c r="S1212" s="172"/>
      <c r="T1212" s="172"/>
      <c r="CI1212" s="89" t="s">
        <v>1790</v>
      </c>
    </row>
    <row r="1213" spans="1:101" ht="38.25" x14ac:dyDescent="0.2">
      <c r="A1213" s="176" t="str">
        <f t="shared" si="31"/>
        <v>processStepDateTime</v>
      </c>
      <c r="B1213" s="11" t="s">
        <v>11818</v>
      </c>
      <c r="C1213" s="173"/>
      <c r="D1213" s="22" t="s">
        <v>11819</v>
      </c>
      <c r="E1213" s="15" t="s">
        <v>11820</v>
      </c>
      <c r="F1213" s="15" t="s">
        <v>11821</v>
      </c>
      <c r="G1213" s="174"/>
      <c r="H1213" s="17" t="s">
        <v>5932</v>
      </c>
      <c r="I1213" s="269"/>
      <c r="J1213" s="369" t="str">
        <f>HYPERLINK("[#]Datatypes!B1177:L1177","PrdStrucText")</f>
        <v>PrdStrucText</v>
      </c>
      <c r="K1213" s="276"/>
      <c r="L1213" s="272"/>
      <c r="M1213" s="272"/>
      <c r="N1213" s="273"/>
      <c r="O1213" s="269"/>
      <c r="P1213" s="37">
        <v>111673</v>
      </c>
      <c r="Q1213" s="36" t="str">
        <f>CONCATENATE(Cover!$D$6,"fdd/view?i=",P1213)</f>
        <v>https://www.dgiwg.org/FAD/fdd/view?i=111673</v>
      </c>
      <c r="R1213" s="13" t="s">
        <v>11817</v>
      </c>
      <c r="S1213" s="172"/>
      <c r="T1213" s="172"/>
      <c r="CW1213" s="164" t="s">
        <v>1790</v>
      </c>
    </row>
    <row r="1214" spans="1:101" ht="51" x14ac:dyDescent="0.2">
      <c r="A1214" s="176" t="str">
        <f t="shared" si="31"/>
        <v>processStepDescription</v>
      </c>
      <c r="B1214" s="11" t="s">
        <v>11824</v>
      </c>
      <c r="C1214" s="173"/>
      <c r="D1214" s="22" t="s">
        <v>11825</v>
      </c>
      <c r="E1214" s="15" t="s">
        <v>11826</v>
      </c>
      <c r="F1214" s="15" t="s">
        <v>11827</v>
      </c>
      <c r="G1214" s="174"/>
      <c r="H1214" s="17" t="s">
        <v>5932</v>
      </c>
      <c r="I1214" s="269"/>
      <c r="J1214" s="369" t="str">
        <f>HYPERLINK("[#]Datatypes!B1179:L1179","PreStrucText")</f>
        <v>PreStrucText</v>
      </c>
      <c r="K1214" s="276"/>
      <c r="L1214" s="272"/>
      <c r="M1214" s="272"/>
      <c r="N1214" s="273"/>
      <c r="O1214" s="269"/>
      <c r="P1214" s="37">
        <v>111674</v>
      </c>
      <c r="Q1214" s="36" t="str">
        <f>CONCATENATE(Cover!$D$6,"fdd/view?i=",P1214)</f>
        <v>https://www.dgiwg.org/FAD/fdd/view?i=111674</v>
      </c>
      <c r="R1214" s="13" t="s">
        <v>11823</v>
      </c>
      <c r="S1214" s="172"/>
      <c r="T1214" s="172"/>
      <c r="CW1214" s="164" t="s">
        <v>1790</v>
      </c>
    </row>
    <row r="1215" spans="1:101" ht="38.25" x14ac:dyDescent="0.2">
      <c r="A1215" s="176" t="str">
        <f t="shared" si="31"/>
        <v>processStepProcessor</v>
      </c>
      <c r="B1215" s="11" t="s">
        <v>11830</v>
      </c>
      <c r="C1215" s="173"/>
      <c r="D1215" s="22" t="s">
        <v>11831</v>
      </c>
      <c r="E1215" s="15" t="s">
        <v>11832</v>
      </c>
      <c r="F1215" s="15" t="s">
        <v>11821</v>
      </c>
      <c r="G1215" s="174"/>
      <c r="H1215" s="17" t="s">
        <v>5932</v>
      </c>
      <c r="I1215" s="269"/>
      <c r="J1215" s="369" t="str">
        <f>HYPERLINK("[#]Datatypes!B1181:L1181","PspStrucText")</f>
        <v>PspStrucText</v>
      </c>
      <c r="K1215" s="276"/>
      <c r="L1215" s="272"/>
      <c r="M1215" s="272"/>
      <c r="N1215" s="273"/>
      <c r="O1215" s="269"/>
      <c r="P1215" s="37">
        <v>111681</v>
      </c>
      <c r="Q1215" s="36" t="str">
        <f>CONCATENATE(Cover!$D$6,"fdd/view?i=",P1215)</f>
        <v>https://www.dgiwg.org/FAD/fdd/view?i=111681</v>
      </c>
      <c r="R1215" s="13" t="s">
        <v>11829</v>
      </c>
      <c r="S1215" s="172"/>
      <c r="T1215" s="172"/>
      <c r="CW1215" s="164" t="s">
        <v>1790</v>
      </c>
    </row>
    <row r="1216" spans="1:101" ht="51" x14ac:dyDescent="0.2">
      <c r="A1216" s="176" t="str">
        <f t="shared" si="31"/>
        <v>processStepRationale</v>
      </c>
      <c r="B1216" s="11" t="s">
        <v>11835</v>
      </c>
      <c r="C1216" s="173"/>
      <c r="D1216" s="22" t="s">
        <v>11836</v>
      </c>
      <c r="E1216" s="15" t="s">
        <v>11837</v>
      </c>
      <c r="F1216" s="15" t="s">
        <v>11838</v>
      </c>
      <c r="G1216" s="174"/>
      <c r="H1216" s="17" t="s">
        <v>5932</v>
      </c>
      <c r="I1216" s="269"/>
      <c r="J1216" s="369" t="str">
        <f>HYPERLINK("[#]Datatypes!B1183:L1183","PrrStrucText")</f>
        <v>PrrStrucText</v>
      </c>
      <c r="K1216" s="276"/>
      <c r="L1216" s="272"/>
      <c r="M1216" s="272"/>
      <c r="N1216" s="273"/>
      <c r="O1216" s="269"/>
      <c r="P1216" s="37">
        <v>111676</v>
      </c>
      <c r="Q1216" s="36" t="str">
        <f>CONCATENATE(Cover!$D$6,"fdd/view?i=",P1216)</f>
        <v>https://www.dgiwg.org/FAD/fdd/view?i=111676</v>
      </c>
      <c r="R1216" s="13" t="s">
        <v>11834</v>
      </c>
      <c r="S1216" s="172"/>
      <c r="T1216" s="172"/>
      <c r="CW1216" s="164" t="s">
        <v>1790</v>
      </c>
    </row>
    <row r="1217" spans="1:106" ht="25.5" x14ac:dyDescent="0.2">
      <c r="A1217" s="176" t="str">
        <f t="shared" si="31"/>
        <v>product</v>
      </c>
      <c r="B1217" s="11" t="s">
        <v>11841</v>
      </c>
      <c r="C1217" s="173"/>
      <c r="D1217" s="22" t="s">
        <v>11842</v>
      </c>
      <c r="E1217" s="15" t="s">
        <v>11843</v>
      </c>
      <c r="F1217" s="15" t="s">
        <v>11844</v>
      </c>
      <c r="G1217" s="174"/>
      <c r="H1217" s="17" t="s">
        <v>5932</v>
      </c>
      <c r="I1217" s="17" t="s">
        <v>6029</v>
      </c>
      <c r="J1217" s="369" t="str">
        <f>HYPERLINK("[#]Datatypes!B1185:L1185","PpoCode")</f>
        <v>PpoCode</v>
      </c>
      <c r="K1217" s="276"/>
      <c r="L1217" s="272"/>
      <c r="M1217" s="272"/>
      <c r="N1217" s="248" t="str">
        <f>HYPERLINK("[#]DatatypeListedValues!A6837:H6837","&lt;values&gt;")</f>
        <v>&lt;values&gt;</v>
      </c>
      <c r="O1217" s="277" t="b">
        <v>0</v>
      </c>
      <c r="P1217" s="37">
        <v>101177</v>
      </c>
      <c r="Q1217" s="36" t="str">
        <f>CONCATENATE(Cover!$D$6,"fdd/view?i=",P1217)</f>
        <v>https://www.dgiwg.org/FAD/fdd/view?i=101177</v>
      </c>
      <c r="R1217" s="13" t="s">
        <v>11840</v>
      </c>
      <c r="S1217" s="172"/>
      <c r="T1217" s="172"/>
      <c r="AA1217" s="81" t="s">
        <v>1790</v>
      </c>
      <c r="AB1217" s="82" t="s">
        <v>1790</v>
      </c>
      <c r="AC1217" s="82" t="s">
        <v>1790</v>
      </c>
    </row>
    <row r="1218" spans="1:106" ht="25.5" x14ac:dyDescent="0.2">
      <c r="A1218" s="176" t="str">
        <f t="shared" si="31"/>
        <v>productionRate</v>
      </c>
      <c r="B1218" s="11" t="s">
        <v>11847</v>
      </c>
      <c r="C1218" s="173"/>
      <c r="D1218" s="22" t="s">
        <v>11848</v>
      </c>
      <c r="E1218" s="15" t="s">
        <v>11849</v>
      </c>
      <c r="F1218" s="174"/>
      <c r="G1218" s="174"/>
      <c r="H1218" s="17" t="s">
        <v>5932</v>
      </c>
      <c r="I1218" s="269"/>
      <c r="J1218" s="369" t="str">
        <f>HYPERLINK("[#]Datatypes!B1233:L1233","RealInterval")</f>
        <v>RealInterval</v>
      </c>
      <c r="K1218" s="271" t="str">
        <f>HYPERLINK("[#]PhysicalQuantities!A43:N43","Rate")</f>
        <v>Rate</v>
      </c>
      <c r="L1218" s="270" t="str">
        <f>HYPERLINK("[#]UnitsOfMeasure!D232:G232","per Annum (tropical year)")</f>
        <v>per Annum (tropical year)</v>
      </c>
      <c r="M1218" s="272"/>
      <c r="N1218" s="273"/>
      <c r="O1218" s="269"/>
      <c r="P1218" s="37">
        <v>118084</v>
      </c>
      <c r="Q1218" s="36" t="str">
        <f>CONCATENATE(Cover!$D$6,"fdd/view?i=",P1218)</f>
        <v>https://www.dgiwg.org/FAD/fdd/view?i=118084</v>
      </c>
      <c r="R1218" s="13" t="s">
        <v>11846</v>
      </c>
      <c r="S1218" s="172"/>
      <c r="T1218" s="172"/>
      <c r="AA1218" s="81" t="s">
        <v>1790</v>
      </c>
      <c r="AB1218" s="82" t="s">
        <v>1790</v>
      </c>
      <c r="AC1218" s="82" t="s">
        <v>1790</v>
      </c>
      <c r="AD1218" s="82" t="s">
        <v>1790</v>
      </c>
      <c r="CQ1218" s="165" t="s">
        <v>1790</v>
      </c>
    </row>
    <row r="1219" spans="1:106" ht="25.5" x14ac:dyDescent="0.2">
      <c r="A1219" s="176" t="str">
        <f t="shared" ref="A1219:A1282" si="33">HYPERLINK(Q1219,R1219)</f>
        <v>protectedNaturalElement</v>
      </c>
      <c r="B1219" s="11" t="s">
        <v>11851</v>
      </c>
      <c r="C1219" s="173"/>
      <c r="D1219" s="22" t="s">
        <v>11852</v>
      </c>
      <c r="E1219" s="15" t="s">
        <v>11853</v>
      </c>
      <c r="F1219" s="174"/>
      <c r="G1219" s="174"/>
      <c r="H1219" s="17" t="s">
        <v>5932</v>
      </c>
      <c r="I1219" s="269"/>
      <c r="J1219" s="369" t="str">
        <f>HYPERLINK("[#]Datatypes!B1187:L1187","PneCode")</f>
        <v>PneCode</v>
      </c>
      <c r="K1219" s="276"/>
      <c r="L1219" s="272"/>
      <c r="M1219" s="272"/>
      <c r="N1219" s="248" t="str">
        <f>HYPERLINK("[#]DatatypeListedValues!A6994:H6994","&lt;values&gt;")</f>
        <v>&lt;values&gt;</v>
      </c>
      <c r="O1219" s="277" t="b">
        <v>0</v>
      </c>
      <c r="P1219" s="37">
        <v>111667</v>
      </c>
      <c r="Q1219" s="36" t="str">
        <f>CONCATENATE(Cover!$D$6,"fdd/view?i=",P1219)</f>
        <v>https://www.dgiwg.org/FAD/fdd/view?i=111667</v>
      </c>
      <c r="R1219" s="13" t="s">
        <v>11850</v>
      </c>
      <c r="S1219" s="172"/>
      <c r="T1219" s="172"/>
      <c r="BZ1219" s="83" t="s">
        <v>1790</v>
      </c>
      <c r="CT1219" s="166" t="s">
        <v>1790</v>
      </c>
    </row>
    <row r="1220" spans="1:106" ht="25.5" x14ac:dyDescent="0.2">
      <c r="A1220" s="176" t="str">
        <f t="shared" si="33"/>
        <v>protectiveFunction</v>
      </c>
      <c r="B1220" s="11" t="s">
        <v>11856</v>
      </c>
      <c r="C1220" s="173"/>
      <c r="D1220" s="22" t="s">
        <v>11857</v>
      </c>
      <c r="E1220" s="15" t="s">
        <v>11858</v>
      </c>
      <c r="F1220" s="15" t="s">
        <v>11859</v>
      </c>
      <c r="G1220" s="174"/>
      <c r="H1220" s="17" t="s">
        <v>5932</v>
      </c>
      <c r="I1220" s="269"/>
      <c r="J1220" s="369" t="str">
        <f>HYPERLINK("[#]Datatypes!B1189:L1189","PitCode")</f>
        <v>PitCode</v>
      </c>
      <c r="K1220" s="276"/>
      <c r="L1220" s="272"/>
      <c r="M1220" s="272"/>
      <c r="N1220" s="248" t="str">
        <f>HYPERLINK("[#]DatatypeListedValues!A6998:H6998","&lt;values&gt;")</f>
        <v>&lt;values&gt;</v>
      </c>
      <c r="O1220" s="277" t="b">
        <v>0</v>
      </c>
      <c r="P1220" s="37">
        <v>111666</v>
      </c>
      <c r="Q1220" s="36" t="str">
        <f>CONCATENATE(Cover!$D$6,"fdd/view?i=",P1220)</f>
        <v>https://www.dgiwg.org/FAD/fdd/view?i=111666</v>
      </c>
      <c r="R1220" s="13" t="s">
        <v>11855</v>
      </c>
      <c r="S1220" s="172"/>
      <c r="T1220" s="172"/>
      <c r="AJ1220" s="83" t="s">
        <v>1790</v>
      </c>
      <c r="CT1220" s="166" t="s">
        <v>1790</v>
      </c>
    </row>
    <row r="1221" spans="1:106" ht="63.75" x14ac:dyDescent="0.2">
      <c r="A1221" s="176" t="str">
        <f t="shared" si="33"/>
        <v>protectiveMarkingAuth</v>
      </c>
      <c r="B1221" s="11" t="s">
        <v>11862</v>
      </c>
      <c r="C1221" s="173"/>
      <c r="D1221" s="22" t="s">
        <v>11863</v>
      </c>
      <c r="E1221" s="15" t="s">
        <v>11864</v>
      </c>
      <c r="F1221" s="15" t="s">
        <v>11865</v>
      </c>
      <c r="G1221" s="174"/>
      <c r="H1221" s="17" t="s">
        <v>5932</v>
      </c>
      <c r="I1221" s="269"/>
      <c r="J1221" s="369" t="str">
        <f>HYPERLINK("[#]Datatypes!B1105:L1105","OnaStrucText")</f>
        <v>OnaStrucText</v>
      </c>
      <c r="K1221" s="276"/>
      <c r="L1221" s="272"/>
      <c r="M1221" s="272"/>
      <c r="N1221" s="273"/>
      <c r="O1221" s="269"/>
      <c r="P1221" s="37">
        <v>119201</v>
      </c>
      <c r="Q1221" s="36" t="str">
        <f>CONCATENATE(Cover!$D$6,"fdd/view?i=",P1221)</f>
        <v>https://www.dgiwg.org/FAD/fdd/view?i=119201</v>
      </c>
      <c r="R1221" s="13" t="s">
        <v>11861</v>
      </c>
      <c r="S1221" s="172"/>
      <c r="T1221" s="172"/>
      <c r="CV1221" s="83" t="s">
        <v>1790</v>
      </c>
      <c r="DB1221" s="166" t="s">
        <v>1790</v>
      </c>
    </row>
    <row r="1222" spans="1:106" ht="25.5" x14ac:dyDescent="0.2">
      <c r="A1222" s="176" t="str">
        <f t="shared" si="33"/>
        <v>publicAccommFacilityType</v>
      </c>
      <c r="B1222" s="11" t="s">
        <v>11868</v>
      </c>
      <c r="C1222" s="173"/>
      <c r="D1222" s="22" t="s">
        <v>11869</v>
      </c>
      <c r="E1222" s="15" t="s">
        <v>11870</v>
      </c>
      <c r="F1222" s="174"/>
      <c r="G1222" s="174"/>
      <c r="H1222" s="17" t="s">
        <v>5932</v>
      </c>
      <c r="I1222" s="269"/>
      <c r="J1222" s="369" t="str">
        <f>HYPERLINK("[#]Datatypes!B1191:L1191","PafCode")</f>
        <v>PafCode</v>
      </c>
      <c r="K1222" s="276"/>
      <c r="L1222" s="272"/>
      <c r="M1222" s="272"/>
      <c r="N1222" s="248" t="str">
        <f>HYPERLINK("[#]DatatypeListedValues!A7004:H7004","&lt;values&gt;")</f>
        <v>&lt;values&gt;</v>
      </c>
      <c r="O1222" s="277" t="b">
        <v>0</v>
      </c>
      <c r="P1222" s="37">
        <v>101142</v>
      </c>
      <c r="Q1222" s="36" t="str">
        <f>CONCATENATE(Cover!$D$6,"fdd/view?i=",P1222)</f>
        <v>https://www.dgiwg.org/FAD/fdd/view?i=101142</v>
      </c>
      <c r="R1222" s="13" t="s">
        <v>11867</v>
      </c>
      <c r="S1222" s="172"/>
      <c r="T1222" s="172"/>
      <c r="AI1222" s="87" t="s">
        <v>1790</v>
      </c>
      <c r="CT1222" s="166" t="s">
        <v>1790</v>
      </c>
    </row>
    <row r="1223" spans="1:106" ht="38.25" x14ac:dyDescent="0.2">
      <c r="A1223" s="176" t="str">
        <f t="shared" si="33"/>
        <v>publicServiceFacilityType</v>
      </c>
      <c r="B1223" s="11" t="s">
        <v>11873</v>
      </c>
      <c r="C1223" s="173"/>
      <c r="D1223" s="22" t="s">
        <v>11874</v>
      </c>
      <c r="E1223" s="15" t="s">
        <v>11875</v>
      </c>
      <c r="F1223" s="15" t="s">
        <v>11876</v>
      </c>
      <c r="G1223" s="174"/>
      <c r="H1223" s="17" t="s">
        <v>5932</v>
      </c>
      <c r="I1223" s="269"/>
      <c r="J1223" s="369" t="str">
        <f>HYPERLINK("[#]Datatypes!B1193:L1193","PsfCode")</f>
        <v>PsfCode</v>
      </c>
      <c r="K1223" s="276"/>
      <c r="L1223" s="272"/>
      <c r="M1223" s="272"/>
      <c r="N1223" s="248" t="str">
        <f>HYPERLINK("[#]DatatypeListedValues!A7012:H7012","&lt;values&gt;")</f>
        <v>&lt;values&gt;</v>
      </c>
      <c r="O1223" s="277" t="b">
        <v>0</v>
      </c>
      <c r="P1223" s="37">
        <v>101190</v>
      </c>
      <c r="Q1223" s="36" t="str">
        <f>CONCATENATE(Cover!$D$6,"fdd/view?i=",P1223)</f>
        <v>https://www.dgiwg.org/FAD/fdd/view?i=101190</v>
      </c>
      <c r="R1223" s="13" t="s">
        <v>11872</v>
      </c>
      <c r="S1223" s="172"/>
      <c r="T1223" s="172"/>
      <c r="AN1223" s="83" t="s">
        <v>1790</v>
      </c>
      <c r="CT1223" s="166" t="s">
        <v>1790</v>
      </c>
    </row>
    <row r="1224" spans="1:106" ht="25.5" x14ac:dyDescent="0.2">
      <c r="A1224" s="176" t="str">
        <f t="shared" si="33"/>
        <v>publicationReference</v>
      </c>
      <c r="B1224" s="11" t="s">
        <v>11879</v>
      </c>
      <c r="C1224" s="173"/>
      <c r="D1224" s="22" t="s">
        <v>11880</v>
      </c>
      <c r="E1224" s="15" t="s">
        <v>11881</v>
      </c>
      <c r="F1224" s="174"/>
      <c r="G1224" s="174"/>
      <c r="H1224" s="17" t="s">
        <v>5932</v>
      </c>
      <c r="I1224" s="269"/>
      <c r="J1224" s="369" t="str">
        <f>HYPERLINK("[#]Datatypes!B1538:L1538","TextLex255")</f>
        <v>TextLex255</v>
      </c>
      <c r="K1224" s="276"/>
      <c r="L1224" s="272"/>
      <c r="M1224" s="272"/>
      <c r="N1224" s="273"/>
      <c r="O1224" s="269"/>
      <c r="P1224" s="37">
        <v>101146</v>
      </c>
      <c r="Q1224" s="36" t="str">
        <f>CONCATENATE(Cover!$D$6,"fdd/view?i=",P1224)</f>
        <v>https://www.dgiwg.org/FAD/fdd/view?i=101146</v>
      </c>
      <c r="R1224" s="13" t="s">
        <v>11878</v>
      </c>
      <c r="S1224" s="172"/>
      <c r="T1224" s="172"/>
      <c r="DA1224" s="165" t="s">
        <v>1790</v>
      </c>
    </row>
    <row r="1225" spans="1:106" x14ac:dyDescent="0.2">
      <c r="A1225" s="176" t="str">
        <f t="shared" si="33"/>
        <v>pylonConfiguration</v>
      </c>
      <c r="B1225" s="11" t="s">
        <v>11883</v>
      </c>
      <c r="C1225" s="173"/>
      <c r="D1225" s="22" t="s">
        <v>11884</v>
      </c>
      <c r="E1225" s="15" t="s">
        <v>11885</v>
      </c>
      <c r="F1225" s="174"/>
      <c r="G1225" s="174"/>
      <c r="H1225" s="17" t="s">
        <v>5932</v>
      </c>
      <c r="I1225" s="269"/>
      <c r="J1225" s="369" t="str">
        <f>HYPERLINK("[#]Datatypes!B1195:L1195","PycCode")</f>
        <v>PycCode</v>
      </c>
      <c r="K1225" s="276"/>
      <c r="L1225" s="272"/>
      <c r="M1225" s="272"/>
      <c r="N1225" s="248" t="str">
        <f>HYPERLINK("[#]DatatypeListedValues!A7029:H7029","&lt;values&gt;")</f>
        <v>&lt;values&gt;</v>
      </c>
      <c r="O1225" s="277" t="b">
        <v>0</v>
      </c>
      <c r="P1225" s="37">
        <v>111685</v>
      </c>
      <c r="Q1225" s="36" t="str">
        <f>CONCATENATE(Cover!$D$6,"fdd/view?i=",P1225)</f>
        <v>https://www.dgiwg.org/FAD/fdd/view?i=111685</v>
      </c>
      <c r="R1225" s="13" t="s">
        <v>11882</v>
      </c>
      <c r="S1225" s="172"/>
      <c r="T1225" s="172"/>
      <c r="CS1225" s="165" t="s">
        <v>1790</v>
      </c>
    </row>
    <row r="1226" spans="1:106" ht="25.5" x14ac:dyDescent="0.2">
      <c r="A1226" s="176" t="str">
        <f t="shared" si="33"/>
        <v>pylonMaterial</v>
      </c>
      <c r="B1226" s="11" t="s">
        <v>11888</v>
      </c>
      <c r="C1226" s="173"/>
      <c r="D1226" s="22" t="s">
        <v>11889</v>
      </c>
      <c r="E1226" s="15" t="s">
        <v>11890</v>
      </c>
      <c r="F1226" s="15" t="s">
        <v>11733</v>
      </c>
      <c r="G1226" s="174"/>
      <c r="H1226" s="17" t="s">
        <v>5932</v>
      </c>
      <c r="I1226" s="269"/>
      <c r="J1226" s="369" t="str">
        <f>HYPERLINK("[#]Datatypes!B1197:L1197","PymCode")</f>
        <v>PymCode</v>
      </c>
      <c r="K1226" s="276"/>
      <c r="L1226" s="272"/>
      <c r="M1226" s="272"/>
      <c r="N1226" s="248" t="str">
        <f>HYPERLINK("[#]DatatypeListedValues!A7034:H7034","&lt;values&gt;")</f>
        <v>&lt;values&gt;</v>
      </c>
      <c r="O1226" s="277" t="b">
        <v>0</v>
      </c>
      <c r="P1226" s="37">
        <v>109971</v>
      </c>
      <c r="Q1226" s="36" t="str">
        <f>CONCATENATE(Cover!$D$6,"fdd/view?i=",P1226)</f>
        <v>https://www.dgiwg.org/FAD/fdd/view?i=109971</v>
      </c>
      <c r="R1226" s="13" t="s">
        <v>11887</v>
      </c>
      <c r="S1226" s="172"/>
      <c r="T1226" s="172"/>
      <c r="CS1226" s="165" t="s">
        <v>1790</v>
      </c>
    </row>
    <row r="1227" spans="1:106" x14ac:dyDescent="0.2">
      <c r="A1227" s="176" t="str">
        <f t="shared" si="33"/>
        <v>racingType</v>
      </c>
      <c r="B1227" s="11" t="s">
        <v>11893</v>
      </c>
      <c r="C1227" s="173"/>
      <c r="D1227" s="22" t="s">
        <v>11894</v>
      </c>
      <c r="E1227" s="15" t="s">
        <v>11895</v>
      </c>
      <c r="F1227" s="174"/>
      <c r="G1227" s="174"/>
      <c r="H1227" s="17" t="s">
        <v>5932</v>
      </c>
      <c r="I1227" s="17" t="s">
        <v>6029</v>
      </c>
      <c r="J1227" s="369" t="str">
        <f>HYPERLINK("[#]Datatypes!B1199:L1199","RayCode")</f>
        <v>RayCode</v>
      </c>
      <c r="K1227" s="276"/>
      <c r="L1227" s="272"/>
      <c r="M1227" s="272"/>
      <c r="N1227" s="248" t="str">
        <f>HYPERLINK("[#]DatatypeListedValues!A7044:H7044","&lt;values&gt;")</f>
        <v>&lt;values&gt;</v>
      </c>
      <c r="O1227" s="277" t="b">
        <v>0</v>
      </c>
      <c r="P1227" s="37">
        <v>118628</v>
      </c>
      <c r="Q1227" s="36" t="str">
        <f>CONCATENATE(Cover!$D$6,"fdd/view?i=",P1227)</f>
        <v>https://www.dgiwg.org/FAD/fdd/view?i=118628</v>
      </c>
      <c r="R1227" s="13" t="s">
        <v>11892</v>
      </c>
      <c r="S1227" s="172"/>
      <c r="T1227" s="172"/>
      <c r="AL1227" s="83" t="s">
        <v>1790</v>
      </c>
      <c r="CT1227" s="166" t="s">
        <v>1790</v>
      </c>
    </row>
    <row r="1228" spans="1:106" ht="25.5" x14ac:dyDescent="0.2">
      <c r="A1228" s="176" t="str">
        <f t="shared" si="33"/>
        <v>racingVehicleType</v>
      </c>
      <c r="B1228" s="11" t="s">
        <v>11898</v>
      </c>
      <c r="C1228" s="173"/>
      <c r="D1228" s="22" t="s">
        <v>11899</v>
      </c>
      <c r="E1228" s="15" t="s">
        <v>11900</v>
      </c>
      <c r="F1228" s="174"/>
      <c r="G1228" s="174"/>
      <c r="H1228" s="17" t="s">
        <v>5932</v>
      </c>
      <c r="I1228" s="269"/>
      <c r="J1228" s="369" t="str">
        <f>HYPERLINK("[#]Datatypes!B1201:L1201","RavCode")</f>
        <v>RavCode</v>
      </c>
      <c r="K1228" s="276"/>
      <c r="L1228" s="272"/>
      <c r="M1228" s="272"/>
      <c r="N1228" s="248" t="str">
        <f>HYPERLINK("[#]DatatypeListedValues!A7053:H7053","&lt;values&gt;")</f>
        <v>&lt;values&gt;</v>
      </c>
      <c r="O1228" s="277" t="b">
        <v>0</v>
      </c>
      <c r="P1228" s="37">
        <v>118627</v>
      </c>
      <c r="Q1228" s="36" t="str">
        <f>CONCATENATE(Cover!$D$6,"fdd/view?i=",P1228)</f>
        <v>https://www.dgiwg.org/FAD/fdd/view?i=118627</v>
      </c>
      <c r="R1228" s="13" t="s">
        <v>11897</v>
      </c>
      <c r="S1228" s="172"/>
      <c r="T1228" s="172"/>
      <c r="AL1228" s="83" t="s">
        <v>1790</v>
      </c>
      <c r="AQ1228" s="82" t="s">
        <v>1790</v>
      </c>
      <c r="CT1228" s="166" t="s">
        <v>1790</v>
      </c>
    </row>
    <row r="1229" spans="1:106" x14ac:dyDescent="0.2">
      <c r="A1229" s="176" t="str">
        <f t="shared" si="33"/>
        <v>radarAntennaConfiguration</v>
      </c>
      <c r="B1229" s="11" t="s">
        <v>11903</v>
      </c>
      <c r="C1229" s="173"/>
      <c r="D1229" s="22" t="s">
        <v>11904</v>
      </c>
      <c r="E1229" s="15" t="s">
        <v>11905</v>
      </c>
      <c r="F1229" s="174"/>
      <c r="G1229" s="174"/>
      <c r="H1229" s="17" t="s">
        <v>5932</v>
      </c>
      <c r="I1229" s="269"/>
      <c r="J1229" s="369" t="str">
        <f>HYPERLINK("[#]Datatypes!B1203:L1203","RacCode")</f>
        <v>RacCode</v>
      </c>
      <c r="K1229" s="276"/>
      <c r="L1229" s="272"/>
      <c r="M1229" s="272"/>
      <c r="N1229" s="248" t="str">
        <f>HYPERLINK("[#]DatatypeListedValues!A7058:H7058","&lt;values&gt;")</f>
        <v>&lt;values&gt;</v>
      </c>
      <c r="O1229" s="277" t="b">
        <v>0</v>
      </c>
      <c r="P1229" s="37">
        <v>103224</v>
      </c>
      <c r="Q1229" s="36" t="str">
        <f>CONCATENATE(Cover!$D$6,"fdd/view?i=",P1229)</f>
        <v>https://www.dgiwg.org/FAD/fdd/view?i=103224</v>
      </c>
      <c r="R1229" s="13" t="s">
        <v>11902</v>
      </c>
      <c r="S1229" s="172"/>
      <c r="T1229" s="172"/>
      <c r="AE1229" s="82" t="s">
        <v>1790</v>
      </c>
      <c r="CS1229" s="165" t="s">
        <v>1790</v>
      </c>
    </row>
    <row r="1230" spans="1:106" ht="25.5" x14ac:dyDescent="0.2">
      <c r="A1230" s="176" t="str">
        <f t="shared" si="33"/>
        <v>radarMonitoring</v>
      </c>
      <c r="B1230" s="11" t="s">
        <v>11908</v>
      </c>
      <c r="C1230" s="173"/>
      <c r="D1230" s="22" t="s">
        <v>11909</v>
      </c>
      <c r="E1230" s="15" t="s">
        <v>11910</v>
      </c>
      <c r="F1230" s="174"/>
      <c r="G1230" s="174"/>
      <c r="H1230" s="17" t="s">
        <v>5932</v>
      </c>
      <c r="I1230" s="269"/>
      <c r="J1230" s="369" t="str">
        <f>HYPERLINK("[#]Datatypes!B240:L240","Boolean")</f>
        <v>Boolean</v>
      </c>
      <c r="K1230" s="276"/>
      <c r="L1230" s="272"/>
      <c r="M1230" s="272"/>
      <c r="N1230" s="273"/>
      <c r="O1230" s="269"/>
      <c r="P1230" s="37">
        <v>119615</v>
      </c>
      <c r="Q1230" s="36" t="str">
        <f>CONCATENATE(Cover!$D$6,"fdd/view?i=",P1230)</f>
        <v>https://www.dgiwg.org/FAD/fdd/view?i=119615</v>
      </c>
      <c r="R1230" s="13" t="s">
        <v>11907</v>
      </c>
      <c r="S1230" s="172"/>
      <c r="T1230" s="172"/>
      <c r="AT1230" s="82" t="s">
        <v>1790</v>
      </c>
      <c r="CF1230" s="83" t="s">
        <v>1790</v>
      </c>
      <c r="CT1230" s="166" t="s">
        <v>1790</v>
      </c>
    </row>
    <row r="1231" spans="1:106" x14ac:dyDescent="0.2">
      <c r="A1231" s="176" t="str">
        <f t="shared" si="33"/>
        <v>radarReflectorPresent</v>
      </c>
      <c r="B1231" s="11" t="s">
        <v>11912</v>
      </c>
      <c r="C1231" s="173"/>
      <c r="D1231" s="22" t="s">
        <v>11913</v>
      </c>
      <c r="E1231" s="15" t="s">
        <v>11914</v>
      </c>
      <c r="F1231" s="174"/>
      <c r="G1231" s="174"/>
      <c r="H1231" s="17" t="s">
        <v>5932</v>
      </c>
      <c r="I1231" s="269"/>
      <c r="J1231" s="369" t="str">
        <f>HYPERLINK("[#]Datatypes!B240:L240","Boolean")</f>
        <v>Boolean</v>
      </c>
      <c r="K1231" s="276"/>
      <c r="L1231" s="272"/>
      <c r="M1231" s="272"/>
      <c r="N1231" s="273"/>
      <c r="O1231" s="269"/>
      <c r="P1231" s="37">
        <v>101214</v>
      </c>
      <c r="Q1231" s="36" t="str">
        <f>CONCATENATE(Cover!$D$6,"fdd/view?i=",P1231)</f>
        <v>https://www.dgiwg.org/FAD/fdd/view?i=101214</v>
      </c>
      <c r="R1231" s="13" t="s">
        <v>11911</v>
      </c>
      <c r="S1231" s="172"/>
      <c r="T1231" s="172"/>
      <c r="AS1231" s="82" t="s">
        <v>1790</v>
      </c>
      <c r="AT1231" s="82" t="s">
        <v>1790</v>
      </c>
      <c r="BF1231" s="83" t="s">
        <v>1790</v>
      </c>
      <c r="CE1231" s="87" t="s">
        <v>1790</v>
      </c>
      <c r="CG1231" s="83" t="s">
        <v>1790</v>
      </c>
      <c r="CH1231" s="83" t="s">
        <v>1790</v>
      </c>
      <c r="CT1231" s="166" t="s">
        <v>1790</v>
      </c>
    </row>
    <row r="1232" spans="1:106" x14ac:dyDescent="0.2">
      <c r="A1232" s="176" t="str">
        <f t="shared" si="33"/>
        <v>radarStationFunction</v>
      </c>
      <c r="B1232" s="11" t="s">
        <v>11916</v>
      </c>
      <c r="C1232" s="173"/>
      <c r="D1232" s="22" t="s">
        <v>11917</v>
      </c>
      <c r="E1232" s="15" t="s">
        <v>11918</v>
      </c>
      <c r="F1232" s="174"/>
      <c r="G1232" s="174"/>
      <c r="H1232" s="17" t="s">
        <v>5932</v>
      </c>
      <c r="I1232" s="269"/>
      <c r="J1232" s="369" t="str">
        <f>HYPERLINK("[#]Datatypes!B1205:L1205","RasCode")</f>
        <v>RasCode</v>
      </c>
      <c r="K1232" s="276"/>
      <c r="L1232" s="272"/>
      <c r="M1232" s="272"/>
      <c r="N1232" s="248" t="str">
        <f>HYPERLINK("[#]DatatypeListedValues!A7064:H7064","&lt;values&gt;")</f>
        <v>&lt;values&gt;</v>
      </c>
      <c r="O1232" s="277" t="b">
        <v>0</v>
      </c>
      <c r="P1232" s="37">
        <v>101208</v>
      </c>
      <c r="Q1232" s="36" t="str">
        <f>CONCATENATE(Cover!$D$6,"fdd/view?i=",P1232)</f>
        <v>https://www.dgiwg.org/FAD/fdd/view?i=101208</v>
      </c>
      <c r="R1232" s="13" t="s">
        <v>11915</v>
      </c>
      <c r="S1232" s="172"/>
      <c r="T1232" s="172"/>
      <c r="AS1232" s="82" t="s">
        <v>1790</v>
      </c>
      <c r="AT1232" s="82" t="s">
        <v>1790</v>
      </c>
      <c r="BF1232" s="83" t="s">
        <v>1790</v>
      </c>
      <c r="CE1232" s="87" t="s">
        <v>1790</v>
      </c>
      <c r="CG1232" s="83" t="s">
        <v>1790</v>
      </c>
      <c r="CH1232" s="83" t="s">
        <v>1790</v>
      </c>
      <c r="CJ1232" s="81" t="s">
        <v>1790</v>
      </c>
      <c r="CT1232" s="166" t="s">
        <v>1790</v>
      </c>
    </row>
    <row r="1233" spans="1:98" ht="38.25" x14ac:dyDescent="0.2">
      <c r="A1233" s="176" t="str">
        <f t="shared" si="33"/>
        <v>radarWaveLength</v>
      </c>
      <c r="B1233" s="11" t="s">
        <v>11921</v>
      </c>
      <c r="C1233" s="173"/>
      <c r="D1233" s="22" t="s">
        <v>11922</v>
      </c>
      <c r="E1233" s="15" t="s">
        <v>11923</v>
      </c>
      <c r="F1233" s="174"/>
      <c r="G1233" s="174"/>
      <c r="H1233" s="17" t="s">
        <v>5932</v>
      </c>
      <c r="I1233" s="269"/>
      <c r="J1233" s="369" t="str">
        <f>HYPERLINK("[#]Datatypes!B1233:L1233","RealInterval")</f>
        <v>RealInterval</v>
      </c>
      <c r="K1233" s="271" t="str">
        <f>HYPERLINK("[#]PhysicalQuantities!A20:N20","Length")</f>
        <v>Length</v>
      </c>
      <c r="L1233" s="270" t="str">
        <f>HYPERLINK("[#]UnitsOfMeasure!D80:G80","Metre")</f>
        <v>Metre</v>
      </c>
      <c r="M1233" s="272"/>
      <c r="N1233" s="273"/>
      <c r="O1233" s="269"/>
      <c r="P1233" s="37">
        <v>101257</v>
      </c>
      <c r="Q1233" s="36" t="str">
        <f>CONCATENATE(Cover!$D$6,"fdd/view?i=",P1233)</f>
        <v>https://www.dgiwg.org/FAD/fdd/view?i=101257</v>
      </c>
      <c r="R1233" s="13" t="s">
        <v>11920</v>
      </c>
      <c r="S1233" s="172"/>
      <c r="T1233" s="172"/>
      <c r="AS1233" s="82" t="s">
        <v>1790</v>
      </c>
      <c r="BF1233" s="83" t="s">
        <v>1790</v>
      </c>
      <c r="CQ1233" s="165" t="s">
        <v>1790</v>
      </c>
    </row>
    <row r="1234" spans="1:98" ht="25.5" x14ac:dyDescent="0.2">
      <c r="A1234" s="176" t="str">
        <f t="shared" si="33"/>
        <v>radioCommChanFlightChecked</v>
      </c>
      <c r="B1234" s="11" t="s">
        <v>11925</v>
      </c>
      <c r="C1234" s="173"/>
      <c r="D1234" s="22" t="s">
        <v>11926</v>
      </c>
      <c r="E1234" s="15" t="s">
        <v>11927</v>
      </c>
      <c r="F1234" s="174"/>
      <c r="G1234" s="174"/>
      <c r="H1234" s="17" t="s">
        <v>5932</v>
      </c>
      <c r="I1234" s="269"/>
      <c r="J1234" s="369" t="str">
        <f>HYPERLINK("[#]Datatypes!B240:L240","Boolean")</f>
        <v>Boolean</v>
      </c>
      <c r="K1234" s="276"/>
      <c r="L1234" s="272"/>
      <c r="M1234" s="272"/>
      <c r="N1234" s="273"/>
      <c r="O1234" s="269"/>
      <c r="P1234" s="37">
        <v>117679</v>
      </c>
      <c r="Q1234" s="36" t="str">
        <f>CONCATENATE(Cover!$D$6,"fdd/view?i=",P1234)</f>
        <v>https://www.dgiwg.org/FAD/fdd/view?i=117679</v>
      </c>
      <c r="R1234" s="13" t="s">
        <v>11924</v>
      </c>
      <c r="S1234" s="172"/>
      <c r="T1234" s="172"/>
      <c r="CG1234" s="83" t="s">
        <v>1790</v>
      </c>
      <c r="CH1234" s="83" t="s">
        <v>1790</v>
      </c>
    </row>
    <row r="1235" spans="1:98" ht="38.25" x14ac:dyDescent="0.2">
      <c r="A1235" s="176" t="str">
        <f t="shared" si="33"/>
        <v>radioCommChanSelCallAvail</v>
      </c>
      <c r="B1235" s="11" t="s">
        <v>11929</v>
      </c>
      <c r="C1235" s="173"/>
      <c r="D1235" s="22" t="s">
        <v>11930</v>
      </c>
      <c r="E1235" s="15" t="s">
        <v>11931</v>
      </c>
      <c r="F1235" s="15" t="s">
        <v>11932</v>
      </c>
      <c r="G1235" s="174"/>
      <c r="H1235" s="17" t="s">
        <v>5932</v>
      </c>
      <c r="I1235" s="269"/>
      <c r="J1235" s="369" t="str">
        <f>HYPERLINK("[#]Datatypes!B240:L240","Boolean")</f>
        <v>Boolean</v>
      </c>
      <c r="K1235" s="276"/>
      <c r="L1235" s="272"/>
      <c r="M1235" s="272"/>
      <c r="N1235" s="273"/>
      <c r="O1235" s="269"/>
      <c r="P1235" s="37">
        <v>117706</v>
      </c>
      <c r="Q1235" s="36" t="str">
        <f>CONCATENATE(Cover!$D$6,"fdd/view?i=",P1235)</f>
        <v>https://www.dgiwg.org/FAD/fdd/view?i=117706</v>
      </c>
      <c r="R1235" s="13" t="s">
        <v>11928</v>
      </c>
      <c r="S1235" s="172"/>
      <c r="T1235" s="172"/>
      <c r="CG1235" s="83" t="s">
        <v>1790</v>
      </c>
      <c r="CH1235" s="83" t="s">
        <v>1790</v>
      </c>
    </row>
    <row r="1236" spans="1:98" x14ac:dyDescent="0.2">
      <c r="A1236" s="176" t="str">
        <f t="shared" si="33"/>
        <v>radioCommDirection</v>
      </c>
      <c r="B1236" s="11" t="s">
        <v>11934</v>
      </c>
      <c r="C1236" s="173"/>
      <c r="D1236" s="22" t="s">
        <v>11935</v>
      </c>
      <c r="E1236" s="15" t="s">
        <v>11936</v>
      </c>
      <c r="F1236" s="15" t="s">
        <v>11937</v>
      </c>
      <c r="G1236" s="174"/>
      <c r="H1236" s="17" t="s">
        <v>5932</v>
      </c>
      <c r="I1236" s="269"/>
      <c r="J1236" s="369" t="str">
        <f>HYPERLINK("[#]Datatypes!B1207:L1207","RcoCode")</f>
        <v>RcoCode</v>
      </c>
      <c r="K1236" s="276"/>
      <c r="L1236" s="272"/>
      <c r="M1236" s="272"/>
      <c r="N1236" s="248" t="str">
        <f>HYPERLINK("[#]DatatypeListedValues!A7076:H7076","&lt;values&gt;")</f>
        <v>&lt;values&gt;</v>
      </c>
      <c r="O1236" s="277" t="b">
        <v>0</v>
      </c>
      <c r="P1236" s="37">
        <v>117680</v>
      </c>
      <c r="Q1236" s="36" t="str">
        <f>CONCATENATE(Cover!$D$6,"fdd/view?i=",P1236)</f>
        <v>https://www.dgiwg.org/FAD/fdd/view?i=117680</v>
      </c>
      <c r="R1236" s="13" t="s">
        <v>11933</v>
      </c>
      <c r="S1236" s="172"/>
      <c r="T1236" s="172"/>
      <c r="CH1236" s="83" t="s">
        <v>1790</v>
      </c>
    </row>
    <row r="1237" spans="1:98" x14ac:dyDescent="0.2">
      <c r="A1237" s="176" t="str">
        <f t="shared" si="33"/>
        <v>radioNavServCoverageType</v>
      </c>
      <c r="B1237" s="11" t="s">
        <v>11940</v>
      </c>
      <c r="C1237" s="173"/>
      <c r="D1237" s="22" t="s">
        <v>11941</v>
      </c>
      <c r="E1237" s="15" t="s">
        <v>4609</v>
      </c>
      <c r="F1237" s="174"/>
      <c r="G1237" s="15" t="s">
        <v>11942</v>
      </c>
      <c r="H1237" s="17" t="s">
        <v>5932</v>
      </c>
      <c r="I1237" s="269"/>
      <c r="J1237" s="369" t="str">
        <f>HYPERLINK("[#]Datatypes!B1209:L1209","RncCode")</f>
        <v>RncCode</v>
      </c>
      <c r="K1237" s="276"/>
      <c r="L1237" s="272"/>
      <c r="M1237" s="272"/>
      <c r="N1237" s="248" t="str">
        <f>HYPERLINK("[#]DatatypeListedValues!A7081:H7081","&lt;values&gt;")</f>
        <v>&lt;values&gt;</v>
      </c>
      <c r="O1237" s="277" t="b">
        <v>0</v>
      </c>
      <c r="P1237" s="37">
        <v>117687</v>
      </c>
      <c r="Q1237" s="36" t="str">
        <f>CONCATENATE(Cover!$D$6,"fdd/view?i=",P1237)</f>
        <v>https://www.dgiwg.org/FAD/fdd/view?i=117687</v>
      </c>
      <c r="R1237" s="13" t="s">
        <v>11939</v>
      </c>
      <c r="S1237" s="172"/>
      <c r="T1237" s="172"/>
      <c r="CG1237" s="83" t="s">
        <v>1790</v>
      </c>
    </row>
    <row r="1238" spans="1:98" ht="25.5" x14ac:dyDescent="0.2">
      <c r="A1238" s="176" t="str">
        <f t="shared" si="33"/>
        <v>radioNavServLimitationType</v>
      </c>
      <c r="B1238" s="11" t="s">
        <v>11945</v>
      </c>
      <c r="C1238" s="173"/>
      <c r="D1238" s="22" t="s">
        <v>11946</v>
      </c>
      <c r="E1238" s="15" t="s">
        <v>11947</v>
      </c>
      <c r="F1238" s="174"/>
      <c r="G1238" s="15" t="s">
        <v>11948</v>
      </c>
      <c r="H1238" s="17" t="s">
        <v>5932</v>
      </c>
      <c r="I1238" s="269"/>
      <c r="J1238" s="369" t="str">
        <f>HYPERLINK("[#]Datatypes!B1211:L1211","RnlCode")</f>
        <v>RnlCode</v>
      </c>
      <c r="K1238" s="276"/>
      <c r="L1238" s="272"/>
      <c r="M1238" s="272"/>
      <c r="N1238" s="248" t="str">
        <f>HYPERLINK("[#]DatatypeListedValues!A7084:H7084","&lt;values&gt;")</f>
        <v>&lt;values&gt;</v>
      </c>
      <c r="O1238" s="277" t="b">
        <v>0</v>
      </c>
      <c r="P1238" s="37">
        <v>117688</v>
      </c>
      <c r="Q1238" s="36" t="str">
        <f>CONCATENATE(Cover!$D$6,"fdd/view?i=",P1238)</f>
        <v>https://www.dgiwg.org/FAD/fdd/view?i=117688</v>
      </c>
      <c r="R1238" s="13" t="s">
        <v>11944</v>
      </c>
      <c r="S1238" s="172"/>
      <c r="T1238" s="172"/>
      <c r="CG1238" s="83" t="s">
        <v>1790</v>
      </c>
    </row>
    <row r="1239" spans="1:98" x14ac:dyDescent="0.2">
      <c r="A1239" s="176" t="str">
        <f t="shared" si="33"/>
        <v>radioStationClassification</v>
      </c>
      <c r="B1239" s="11" t="s">
        <v>11951</v>
      </c>
      <c r="C1239" s="173"/>
      <c r="D1239" s="22" t="s">
        <v>11952</v>
      </c>
      <c r="E1239" s="15" t="s">
        <v>11953</v>
      </c>
      <c r="F1239" s="174"/>
      <c r="G1239" s="174"/>
      <c r="H1239" s="17" t="s">
        <v>5932</v>
      </c>
      <c r="I1239" s="269"/>
      <c r="J1239" s="369" t="str">
        <f>HYPERLINK("[#]Datatypes!B1213:L1213","RosCode")</f>
        <v>RosCode</v>
      </c>
      <c r="K1239" s="276"/>
      <c r="L1239" s="272"/>
      <c r="M1239" s="272"/>
      <c r="N1239" s="248" t="str">
        <f>HYPERLINK("[#]DatatypeListedValues!A7089:H7089","&lt;values&gt;")</f>
        <v>&lt;values&gt;</v>
      </c>
      <c r="O1239" s="277" t="b">
        <v>0</v>
      </c>
      <c r="P1239" s="37">
        <v>101237</v>
      </c>
      <c r="Q1239" s="36" t="str">
        <f>CONCATENATE(Cover!$D$6,"fdd/view?i=",P1239)</f>
        <v>https://www.dgiwg.org/FAD/fdd/view?i=101237</v>
      </c>
      <c r="R1239" s="13" t="s">
        <v>11950</v>
      </c>
      <c r="S1239" s="172"/>
      <c r="T1239" s="172"/>
      <c r="AE1239" s="82" t="s">
        <v>1790</v>
      </c>
      <c r="CT1239" s="166" t="s">
        <v>1790</v>
      </c>
    </row>
    <row r="1240" spans="1:98" x14ac:dyDescent="0.2">
      <c r="A1240" s="176" t="str">
        <f t="shared" si="33"/>
        <v>radiofrequencyBand</v>
      </c>
      <c r="B1240" s="11" t="s">
        <v>11956</v>
      </c>
      <c r="C1240" s="173"/>
      <c r="D1240" s="22" t="s">
        <v>11957</v>
      </c>
      <c r="E1240" s="15" t="s">
        <v>11958</v>
      </c>
      <c r="F1240" s="174"/>
      <c r="G1240" s="174"/>
      <c r="H1240" s="17" t="s">
        <v>5932</v>
      </c>
      <c r="I1240" s="269"/>
      <c r="J1240" s="369" t="str">
        <f>HYPERLINK("[#]Datatypes!B1215:L1215","RfbCode")</f>
        <v>RfbCode</v>
      </c>
      <c r="K1240" s="276"/>
      <c r="L1240" s="272"/>
      <c r="M1240" s="272"/>
      <c r="N1240" s="248" t="str">
        <f>HYPERLINK("[#]DatatypeListedValues!A7096:H7096","&lt;values&gt;")</f>
        <v>&lt;values&gt;</v>
      </c>
      <c r="O1240" s="277" t="b">
        <v>0</v>
      </c>
      <c r="P1240" s="37">
        <v>119446</v>
      </c>
      <c r="Q1240" s="36" t="str">
        <f>CONCATENATE(Cover!$D$6,"fdd/view?i=",P1240)</f>
        <v>https://www.dgiwg.org/FAD/fdd/view?i=119446</v>
      </c>
      <c r="R1240" s="13" t="s">
        <v>11955</v>
      </c>
      <c r="S1240" s="172"/>
      <c r="T1240" s="172"/>
      <c r="AE1240" s="82" t="s">
        <v>1790</v>
      </c>
      <c r="CQ1240" s="165" t="s">
        <v>1790</v>
      </c>
    </row>
    <row r="1241" spans="1:98" ht="25.5" x14ac:dyDescent="0.2">
      <c r="A1241" s="176" t="str">
        <f t="shared" si="33"/>
        <v>railwayClass</v>
      </c>
      <c r="B1241" s="11" t="s">
        <v>11961</v>
      </c>
      <c r="C1241" s="173"/>
      <c r="D1241" s="22" t="s">
        <v>11962</v>
      </c>
      <c r="E1241" s="15" t="s">
        <v>11963</v>
      </c>
      <c r="F1241" s="174"/>
      <c r="G1241" s="174"/>
      <c r="H1241" s="17" t="s">
        <v>5932</v>
      </c>
      <c r="I1241" s="269"/>
      <c r="J1241" s="369" t="str">
        <f>HYPERLINK("[#]Datatypes!B1217:L1217","RwcCode")</f>
        <v>RwcCode</v>
      </c>
      <c r="K1241" s="276"/>
      <c r="L1241" s="272"/>
      <c r="M1241" s="272"/>
      <c r="N1241" s="248" t="str">
        <f>HYPERLINK("[#]DatatypeListedValues!A7111:H7111","&lt;values&gt;")</f>
        <v>&lt;values&gt;</v>
      </c>
      <c r="O1241" s="277" t="b">
        <v>0</v>
      </c>
      <c r="P1241" s="37">
        <v>109981</v>
      </c>
      <c r="Q1241" s="36" t="str">
        <f>CONCATENATE(Cover!$D$6,"fdd/view?i=",P1241)</f>
        <v>https://www.dgiwg.org/FAD/fdd/view?i=109981</v>
      </c>
      <c r="R1241" s="13" t="s">
        <v>11960</v>
      </c>
      <c r="S1241" s="172"/>
      <c r="T1241" s="172"/>
      <c r="AP1241" s="81" t="s">
        <v>1790</v>
      </c>
      <c r="CT1241" s="166" t="s">
        <v>1790</v>
      </c>
    </row>
    <row r="1242" spans="1:98" ht="25.5" x14ac:dyDescent="0.2">
      <c r="A1242" s="176" t="str">
        <f t="shared" si="33"/>
        <v>railwayDensity</v>
      </c>
      <c r="B1242" s="11" t="s">
        <v>11966</v>
      </c>
      <c r="C1242" s="173"/>
      <c r="D1242" s="22" t="s">
        <v>11967</v>
      </c>
      <c r="E1242" s="15" t="s">
        <v>11968</v>
      </c>
      <c r="F1242" s="174"/>
      <c r="G1242" s="174"/>
      <c r="H1242" s="17" t="s">
        <v>5932</v>
      </c>
      <c r="I1242" s="269"/>
      <c r="J1242" s="369" t="str">
        <f>HYPERLINK("[#]Datatypes!B1231:L1231","Real")</f>
        <v>Real</v>
      </c>
      <c r="K1242" s="271" t="str">
        <f>HYPERLINK("[#]PhysicalQuantities!A21:N21","Linear Density")</f>
        <v>Linear Density</v>
      </c>
      <c r="L1242" s="270" t="str">
        <f>HYPERLINK("[#]UnitsOfMeasure!D112:G112","Kilometre per square Kilometre")</f>
        <v>Kilometre per square Kilometre</v>
      </c>
      <c r="M1242" s="272"/>
      <c r="N1242" s="273"/>
      <c r="O1242" s="269"/>
      <c r="P1242" s="37">
        <v>111710</v>
      </c>
      <c r="Q1242" s="36" t="str">
        <f>CONCATENATE(Cover!$D$6,"fdd/view?i=",P1242)</f>
        <v>https://www.dgiwg.org/FAD/fdd/view?i=111710</v>
      </c>
      <c r="R1242" s="13" t="s">
        <v>11965</v>
      </c>
      <c r="S1242" s="172"/>
      <c r="T1242" s="172"/>
      <c r="AM1242" s="83" t="s">
        <v>1790</v>
      </c>
      <c r="AP1242" s="81" t="s">
        <v>1790</v>
      </c>
      <c r="CQ1242" s="165" t="s">
        <v>1790</v>
      </c>
    </row>
    <row r="1243" spans="1:98" ht="25.5" x14ac:dyDescent="0.2">
      <c r="A1243" s="176" t="str">
        <f t="shared" si="33"/>
        <v>railwayGauge</v>
      </c>
      <c r="B1243" s="11" t="s">
        <v>11970</v>
      </c>
      <c r="C1243" s="173"/>
      <c r="D1243" s="22" t="s">
        <v>11971</v>
      </c>
      <c r="E1243" s="15" t="s">
        <v>11972</v>
      </c>
      <c r="F1243" s="174"/>
      <c r="G1243" s="174"/>
      <c r="H1243" s="17" t="s">
        <v>5932</v>
      </c>
      <c r="I1243" s="269"/>
      <c r="J1243" s="369" t="str">
        <f>HYPERLINK("[#]Datatypes!B1231:L1231","Real")</f>
        <v>Real</v>
      </c>
      <c r="K1243" s="271" t="str">
        <f>HYPERLINK("[#]PhysicalQuantities!A20:N20","Length")</f>
        <v>Length</v>
      </c>
      <c r="L1243" s="270" t="str">
        <f>HYPERLINK("[#]UnitsOfMeasure!D80:G80","Metre")</f>
        <v>Metre</v>
      </c>
      <c r="M1243" s="272"/>
      <c r="N1243" s="273"/>
      <c r="O1243" s="269"/>
      <c r="P1243" s="37">
        <v>110706</v>
      </c>
      <c r="Q1243" s="36" t="str">
        <f>CONCATENATE(Cover!$D$6,"fdd/view?i=",P1243)</f>
        <v>https://www.dgiwg.org/FAD/fdd/view?i=110706</v>
      </c>
      <c r="R1243" s="13" t="s">
        <v>11969</v>
      </c>
      <c r="S1243" s="172"/>
      <c r="T1243" s="172"/>
      <c r="AP1243" s="81" t="s">
        <v>1790</v>
      </c>
      <c r="CQ1243" s="165" t="s">
        <v>1790</v>
      </c>
    </row>
    <row r="1244" spans="1:98" ht="38.25" x14ac:dyDescent="0.2">
      <c r="A1244" s="176" t="str">
        <f t="shared" si="33"/>
        <v>railwayGaugeClass</v>
      </c>
      <c r="B1244" s="11" t="s">
        <v>11974</v>
      </c>
      <c r="C1244" s="173"/>
      <c r="D1244" s="22" t="s">
        <v>11975</v>
      </c>
      <c r="E1244" s="15" t="s">
        <v>11976</v>
      </c>
      <c r="F1244" s="174"/>
      <c r="G1244" s="174"/>
      <c r="H1244" s="17" t="s">
        <v>5932</v>
      </c>
      <c r="I1244" s="269"/>
      <c r="J1244" s="369" t="str">
        <f>HYPERLINK("[#]Datatypes!B1219:L1219","RgcCode")</f>
        <v>RgcCode</v>
      </c>
      <c r="K1244" s="276"/>
      <c r="L1244" s="272"/>
      <c r="M1244" s="272"/>
      <c r="N1244" s="248" t="str">
        <f>HYPERLINK("[#]DatatypeListedValues!A7114:H7114","&lt;values&gt;")</f>
        <v>&lt;values&gt;</v>
      </c>
      <c r="O1244" s="277" t="b">
        <v>0</v>
      </c>
      <c r="P1244" s="37">
        <v>101222</v>
      </c>
      <c r="Q1244" s="36" t="str">
        <f>CONCATENATE(Cover!$D$6,"fdd/view?i=",P1244)</f>
        <v>https://www.dgiwg.org/FAD/fdd/view?i=101222</v>
      </c>
      <c r="R1244" s="13" t="s">
        <v>11973</v>
      </c>
      <c r="S1244" s="172"/>
      <c r="T1244" s="172"/>
      <c r="AP1244" s="81" t="s">
        <v>1790</v>
      </c>
      <c r="CQ1244" s="165" t="s">
        <v>1790</v>
      </c>
    </row>
    <row r="1245" spans="1:98" ht="25.5" x14ac:dyDescent="0.2">
      <c r="A1245" s="176" t="str">
        <f t="shared" si="33"/>
        <v>railwayInRoad</v>
      </c>
      <c r="B1245" s="11" t="s">
        <v>11979</v>
      </c>
      <c r="C1245" s="173"/>
      <c r="D1245" s="22" t="s">
        <v>11980</v>
      </c>
      <c r="E1245" s="15" t="s">
        <v>11981</v>
      </c>
      <c r="F1245" s="15" t="s">
        <v>11982</v>
      </c>
      <c r="G1245" s="174"/>
      <c r="H1245" s="17" t="s">
        <v>5932</v>
      </c>
      <c r="I1245" s="269"/>
      <c r="J1245" s="369" t="str">
        <f>HYPERLINK("[#]Datatypes!B240:L240","Boolean")</f>
        <v>Boolean</v>
      </c>
      <c r="K1245" s="276"/>
      <c r="L1245" s="272"/>
      <c r="M1245" s="272"/>
      <c r="N1245" s="273"/>
      <c r="O1245" s="269"/>
      <c r="P1245" s="37">
        <v>109977</v>
      </c>
      <c r="Q1245" s="36" t="str">
        <f>CONCATENATE(Cover!$D$6,"fdd/view?i=",P1245)</f>
        <v>https://www.dgiwg.org/FAD/fdd/view?i=109977</v>
      </c>
      <c r="R1245" s="13" t="s">
        <v>11978</v>
      </c>
      <c r="S1245" s="172"/>
      <c r="T1245" s="172"/>
      <c r="AP1245" s="81" t="s">
        <v>1790</v>
      </c>
      <c r="AQ1245" s="82" t="s">
        <v>1790</v>
      </c>
      <c r="CS1245" s="165" t="s">
        <v>1790</v>
      </c>
    </row>
    <row r="1246" spans="1:98" x14ac:dyDescent="0.2">
      <c r="A1246" s="176" t="str">
        <f t="shared" si="33"/>
        <v>railwayPowerMethod</v>
      </c>
      <c r="B1246" s="11" t="s">
        <v>11984</v>
      </c>
      <c r="C1246" s="173"/>
      <c r="D1246" s="22" t="s">
        <v>11985</v>
      </c>
      <c r="E1246" s="15" t="s">
        <v>11986</v>
      </c>
      <c r="F1246" s="174"/>
      <c r="G1246" s="174"/>
      <c r="H1246" s="17" t="s">
        <v>5932</v>
      </c>
      <c r="I1246" s="269"/>
      <c r="J1246" s="369" t="str">
        <f>HYPERLINK("[#]Datatypes!B1221:L1221","RraCode")</f>
        <v>RraCode</v>
      </c>
      <c r="K1246" s="276"/>
      <c r="L1246" s="272"/>
      <c r="M1246" s="272"/>
      <c r="N1246" s="248" t="str">
        <f>HYPERLINK("[#]DatatypeListedValues!A7118:H7118","&lt;values&gt;")</f>
        <v>&lt;values&gt;</v>
      </c>
      <c r="O1246" s="277" t="b">
        <v>0</v>
      </c>
      <c r="P1246" s="37">
        <v>101242</v>
      </c>
      <c r="Q1246" s="36" t="str">
        <f>CONCATENATE(Cover!$D$6,"fdd/view?i=",P1246)</f>
        <v>https://www.dgiwg.org/FAD/fdd/view?i=101242</v>
      </c>
      <c r="R1246" s="13" t="s">
        <v>11983</v>
      </c>
      <c r="S1246" s="172"/>
      <c r="T1246" s="172"/>
      <c r="AD1246" s="82" t="s">
        <v>1790</v>
      </c>
      <c r="AP1246" s="81" t="s">
        <v>1790</v>
      </c>
    </row>
    <row r="1247" spans="1:98" ht="51" x14ac:dyDescent="0.2">
      <c r="A1247" s="176" t="str">
        <f t="shared" si="33"/>
        <v>railwayTrackMaxAxleLoad</v>
      </c>
      <c r="B1247" s="11" t="s">
        <v>11989</v>
      </c>
      <c r="C1247" s="173"/>
      <c r="D1247" s="22" t="s">
        <v>11990</v>
      </c>
      <c r="E1247" s="15" t="s">
        <v>11991</v>
      </c>
      <c r="F1247" s="15" t="s">
        <v>11992</v>
      </c>
      <c r="G1247" s="174"/>
      <c r="H1247" s="17" t="s">
        <v>5932</v>
      </c>
      <c r="I1247" s="269"/>
      <c r="J1247" s="369" t="str">
        <f>HYPERLINK("[#]Datatypes!B1231:L1231","Real")</f>
        <v>Real</v>
      </c>
      <c r="K1247" s="271" t="str">
        <f>HYPERLINK("[#]PhysicalQuantities!A28:N28","Mass")</f>
        <v>Mass</v>
      </c>
      <c r="L1247" s="270" t="str">
        <f>HYPERLINK("[#]UnitsOfMeasure!D132:G132","Short Ton")</f>
        <v>Short Ton</v>
      </c>
      <c r="M1247" s="272"/>
      <c r="N1247" s="273"/>
      <c r="O1247" s="269"/>
      <c r="P1247" s="37">
        <v>110716</v>
      </c>
      <c r="Q1247" s="36" t="str">
        <f>CONCATENATE(Cover!$D$6,"fdd/view?i=",P1247)</f>
        <v>https://www.dgiwg.org/FAD/fdd/view?i=110716</v>
      </c>
      <c r="R1247" s="13" t="s">
        <v>11988</v>
      </c>
      <c r="S1247" s="172"/>
      <c r="T1247" s="172"/>
      <c r="AP1247" s="81" t="s">
        <v>1790</v>
      </c>
      <c r="CQ1247" s="165" t="s">
        <v>1790</v>
      </c>
    </row>
    <row r="1248" spans="1:98" x14ac:dyDescent="0.2">
      <c r="A1248" s="176" t="str">
        <f t="shared" si="33"/>
        <v>railwayUse</v>
      </c>
      <c r="B1248" s="11" t="s">
        <v>11994</v>
      </c>
      <c r="C1248" s="173"/>
      <c r="D1248" s="22" t="s">
        <v>11995</v>
      </c>
      <c r="E1248" s="15" t="s">
        <v>11996</v>
      </c>
      <c r="F1248" s="174"/>
      <c r="G1248" s="174"/>
      <c r="H1248" s="17" t="s">
        <v>5932</v>
      </c>
      <c r="I1248" s="17" t="s">
        <v>6029</v>
      </c>
      <c r="J1248" s="369" t="str">
        <f>HYPERLINK("[#]Datatypes!B1223:L1223","RrcCode")</f>
        <v>RrcCode</v>
      </c>
      <c r="K1248" s="276"/>
      <c r="L1248" s="272"/>
      <c r="M1248" s="272"/>
      <c r="N1248" s="248" t="str">
        <f>HYPERLINK("[#]DatatypeListedValues!A7121:H7121","&lt;values&gt;")</f>
        <v>&lt;values&gt;</v>
      </c>
      <c r="O1248" s="277" t="b">
        <v>0</v>
      </c>
      <c r="P1248" s="37">
        <v>101243</v>
      </c>
      <c r="Q1248" s="36" t="str">
        <f>CONCATENATE(Cover!$D$6,"fdd/view?i=",P1248)</f>
        <v>https://www.dgiwg.org/FAD/fdd/view?i=101243</v>
      </c>
      <c r="R1248" s="13" t="s">
        <v>11993</v>
      </c>
      <c r="S1248" s="172"/>
      <c r="T1248" s="172"/>
      <c r="AP1248" s="81" t="s">
        <v>1790</v>
      </c>
      <c r="CT1248" s="166" t="s">
        <v>1790</v>
      </c>
    </row>
    <row r="1249" spans="1:106" ht="25.5" x14ac:dyDescent="0.2">
      <c r="A1249" s="176" t="str">
        <f t="shared" si="33"/>
        <v>rangeOfEffectiveness</v>
      </c>
      <c r="B1249" s="11" t="s">
        <v>11999</v>
      </c>
      <c r="C1249" s="173"/>
      <c r="D1249" s="22" t="s">
        <v>12000</v>
      </c>
      <c r="E1249" s="15" t="s">
        <v>12001</v>
      </c>
      <c r="F1249" s="174"/>
      <c r="G1249" s="174"/>
      <c r="H1249" s="17" t="s">
        <v>5932</v>
      </c>
      <c r="I1249" s="269"/>
      <c r="J1249" s="369" t="str">
        <f>HYPERLINK("[#]Datatypes!B1233:L1233","RealInterval")</f>
        <v>RealInterval</v>
      </c>
      <c r="K1249" s="271" t="str">
        <f>HYPERLINK("[#]PhysicalQuantities!A20:N20","Length")</f>
        <v>Length</v>
      </c>
      <c r="L1249" s="270" t="str">
        <f>HYPERLINK("[#]UnitsOfMeasure!D94:G94","Nautical Mile")</f>
        <v>Nautical Mile</v>
      </c>
      <c r="M1249" s="272"/>
      <c r="N1249" s="273"/>
      <c r="O1249" s="269"/>
      <c r="P1249" s="37">
        <v>110715</v>
      </c>
      <c r="Q1249" s="36" t="str">
        <f>CONCATENATE(Cover!$D$6,"fdd/view?i=",P1249)</f>
        <v>https://www.dgiwg.org/FAD/fdd/view?i=110715</v>
      </c>
      <c r="R1249" s="13" t="s">
        <v>11998</v>
      </c>
      <c r="S1249" s="172"/>
      <c r="T1249" s="172"/>
      <c r="AT1249" s="82" t="s">
        <v>1790</v>
      </c>
      <c r="CG1249" s="83" t="s">
        <v>1790</v>
      </c>
      <c r="CQ1249" s="165" t="s">
        <v>1790</v>
      </c>
    </row>
    <row r="1250" spans="1:106" x14ac:dyDescent="0.2">
      <c r="A1250" s="176" t="str">
        <f t="shared" si="33"/>
        <v>rangeOfSignal</v>
      </c>
      <c r="B1250" s="11" t="s">
        <v>12003</v>
      </c>
      <c r="C1250" s="173"/>
      <c r="D1250" s="22" t="s">
        <v>12004</v>
      </c>
      <c r="E1250" s="15" t="s">
        <v>12005</v>
      </c>
      <c r="F1250" s="174"/>
      <c r="G1250" s="174"/>
      <c r="H1250" s="17" t="s">
        <v>5932</v>
      </c>
      <c r="I1250" s="269"/>
      <c r="J1250" s="369" t="str">
        <f>HYPERLINK("[#]Datatypes!B1231:L1231","Real")</f>
        <v>Real</v>
      </c>
      <c r="K1250" s="271" t="str">
        <f>HYPERLINK("[#]PhysicalQuantities!A20:N20","Length")</f>
        <v>Length</v>
      </c>
      <c r="L1250" s="270" t="str">
        <f>HYPERLINK("[#]UnitsOfMeasure!D94:G94","Nautical Mile")</f>
        <v>Nautical Mile</v>
      </c>
      <c r="M1250" s="272"/>
      <c r="N1250" s="273"/>
      <c r="O1250" s="269"/>
      <c r="P1250" s="37">
        <v>111706</v>
      </c>
      <c r="Q1250" s="36" t="str">
        <f>CONCATENATE(Cover!$D$6,"fdd/view?i=",P1250)</f>
        <v>https://www.dgiwg.org/FAD/fdd/view?i=111706</v>
      </c>
      <c r="R1250" s="13" t="s">
        <v>12002</v>
      </c>
      <c r="S1250" s="172"/>
      <c r="T1250" s="172"/>
      <c r="AS1250" s="82" t="s">
        <v>1790</v>
      </c>
      <c r="BF1250" s="83" t="s">
        <v>1790</v>
      </c>
      <c r="CQ1250" s="165" t="s">
        <v>1790</v>
      </c>
    </row>
    <row r="1251" spans="1:106" ht="25.5" x14ac:dyDescent="0.2">
      <c r="A1251" s="176" t="str">
        <f t="shared" si="33"/>
        <v>rapidClass</v>
      </c>
      <c r="B1251" s="11" t="s">
        <v>12007</v>
      </c>
      <c r="C1251" s="173"/>
      <c r="D1251" s="22" t="s">
        <v>12008</v>
      </c>
      <c r="E1251" s="15" t="s">
        <v>12009</v>
      </c>
      <c r="F1251" s="15" t="s">
        <v>12010</v>
      </c>
      <c r="G1251" s="174"/>
      <c r="H1251" s="17" t="s">
        <v>5932</v>
      </c>
      <c r="I1251" s="269"/>
      <c r="J1251" s="369" t="str">
        <f>HYPERLINK("[#]Datatypes!B1225:L1225","ClrCode")</f>
        <v>ClrCode</v>
      </c>
      <c r="K1251" s="276"/>
      <c r="L1251" s="272"/>
      <c r="M1251" s="272"/>
      <c r="N1251" s="248" t="str">
        <f>HYPERLINK("[#]DatatypeListedValues!A7132:H7132","&lt;values&gt;")</f>
        <v>&lt;values&gt;</v>
      </c>
      <c r="O1251" s="277" t="b">
        <v>0</v>
      </c>
      <c r="P1251" s="37">
        <v>100746</v>
      </c>
      <c r="Q1251" s="36" t="str">
        <f>CONCATENATE(Cover!$D$6,"fdd/view?i=",P1251)</f>
        <v>https://www.dgiwg.org/FAD/fdd/view?i=100746</v>
      </c>
      <c r="R1251" s="13" t="s">
        <v>12006</v>
      </c>
      <c r="S1251" s="172"/>
      <c r="T1251" s="172"/>
      <c r="BG1251" s="83" t="s">
        <v>1790</v>
      </c>
      <c r="BJ1251" s="83" t="s">
        <v>1790</v>
      </c>
    </row>
    <row r="1252" spans="1:106" ht="25.5" x14ac:dyDescent="0.2">
      <c r="A1252" s="176" t="str">
        <f t="shared" si="33"/>
        <v>ratedFlowCapacity</v>
      </c>
      <c r="B1252" s="11" t="s">
        <v>12013</v>
      </c>
      <c r="C1252" s="173"/>
      <c r="D1252" s="22" t="s">
        <v>12014</v>
      </c>
      <c r="E1252" s="15" t="s">
        <v>12015</v>
      </c>
      <c r="F1252" s="174"/>
      <c r="G1252" s="174"/>
      <c r="H1252" s="17" t="s">
        <v>5932</v>
      </c>
      <c r="I1252" s="269"/>
      <c r="J1252" s="369" t="str">
        <f>HYPERLINK("[#]Datatypes!B1231:L1231","Real")</f>
        <v>Real</v>
      </c>
      <c r="K1252" s="271" t="str">
        <f>HYPERLINK("[#]PhysicalQuantities!A53:N53","Volume Flow Rate")</f>
        <v>Volume Flow Rate</v>
      </c>
      <c r="L1252" s="270" t="str">
        <f>HYPERLINK("[#]UnitsOfMeasure!D292:G292","Cubic Metre per Hour")</f>
        <v>Cubic Metre per Hour</v>
      </c>
      <c r="M1252" s="272"/>
      <c r="N1252" s="273"/>
      <c r="O1252" s="269"/>
      <c r="P1252" s="37">
        <v>118578</v>
      </c>
      <c r="Q1252" s="36" t="str">
        <f>CONCATENATE(Cover!$D$6,"fdd/view?i=",P1252)</f>
        <v>https://www.dgiwg.org/FAD/fdd/view?i=118578</v>
      </c>
      <c r="R1252" s="13" t="s">
        <v>12012</v>
      </c>
      <c r="S1252" s="172"/>
      <c r="T1252" s="172"/>
      <c r="AB1252" s="82" t="s">
        <v>1790</v>
      </c>
      <c r="AG1252" s="82" t="s">
        <v>1790</v>
      </c>
      <c r="AR1252" s="82" t="s">
        <v>1790</v>
      </c>
      <c r="AY1252" s="85" t="s">
        <v>1790</v>
      </c>
      <c r="CQ1252" s="165" t="s">
        <v>1790</v>
      </c>
    </row>
    <row r="1253" spans="1:106" ht="25.5" x14ac:dyDescent="0.2">
      <c r="A1253" s="176" t="str">
        <f t="shared" si="33"/>
        <v>rawMaterial</v>
      </c>
      <c r="B1253" s="11" t="s">
        <v>12017</v>
      </c>
      <c r="C1253" s="173"/>
      <c r="D1253" s="22" t="s">
        <v>12018</v>
      </c>
      <c r="E1253" s="15" t="s">
        <v>12019</v>
      </c>
      <c r="F1253" s="15" t="s">
        <v>12020</v>
      </c>
      <c r="G1253" s="174"/>
      <c r="H1253" s="17" t="s">
        <v>5932</v>
      </c>
      <c r="I1253" s="17" t="s">
        <v>6029</v>
      </c>
      <c r="J1253" s="369" t="str">
        <f>HYPERLINK("[#]Datatypes!B1229:L1229","PrwCode")</f>
        <v>PrwCode</v>
      </c>
      <c r="K1253" s="276"/>
      <c r="L1253" s="272"/>
      <c r="M1253" s="272"/>
      <c r="N1253" s="248" t="str">
        <f>HYPERLINK("[#]DatatypeListedValues!A7145:H7145","&lt;values&gt;")</f>
        <v>&lt;values&gt;</v>
      </c>
      <c r="O1253" s="277" t="b">
        <v>0</v>
      </c>
      <c r="P1253" s="37">
        <v>101188</v>
      </c>
      <c r="Q1253" s="36" t="str">
        <f>CONCATENATE(Cover!$D$6,"fdd/view?i=",P1253)</f>
        <v>https://www.dgiwg.org/FAD/fdd/view?i=101188</v>
      </c>
      <c r="R1253" s="13" t="s">
        <v>12016</v>
      </c>
      <c r="S1253" s="172"/>
      <c r="T1253" s="172"/>
      <c r="AB1253" s="82" t="s">
        <v>1790</v>
      </c>
    </row>
    <row r="1254" spans="1:106" ht="25.5" x14ac:dyDescent="0.2">
      <c r="A1254" s="176" t="str">
        <f t="shared" si="33"/>
        <v>rawMaterialClass</v>
      </c>
      <c r="B1254" s="11" t="s">
        <v>12023</v>
      </c>
      <c r="C1254" s="173"/>
      <c r="D1254" s="22" t="s">
        <v>12024</v>
      </c>
      <c r="E1254" s="15" t="s">
        <v>12025</v>
      </c>
      <c r="F1254" s="15" t="s">
        <v>12026</v>
      </c>
      <c r="G1254" s="174"/>
      <c r="H1254" s="17" t="s">
        <v>5932</v>
      </c>
      <c r="I1254" s="269"/>
      <c r="J1254" s="369" t="str">
        <f>HYPERLINK("[#]Datatypes!B1227:L1227","RmnCode")</f>
        <v>RmnCode</v>
      </c>
      <c r="K1254" s="276"/>
      <c r="L1254" s="272"/>
      <c r="M1254" s="272"/>
      <c r="N1254" s="248" t="str">
        <f>HYPERLINK("[#]DatatypeListedValues!A7138:H7138","&lt;values&gt;")</f>
        <v>&lt;values&gt;</v>
      </c>
      <c r="O1254" s="277" t="b">
        <v>0</v>
      </c>
      <c r="P1254" s="37">
        <v>111705</v>
      </c>
      <c r="Q1254" s="36" t="str">
        <f>CONCATENATE(Cover!$D$6,"fdd/view?i=",P1254)</f>
        <v>https://www.dgiwg.org/FAD/fdd/view?i=111705</v>
      </c>
      <c r="R1254" s="13" t="s">
        <v>12022</v>
      </c>
      <c r="S1254" s="172"/>
      <c r="T1254" s="172"/>
      <c r="BN1254" s="82" t="s">
        <v>1790</v>
      </c>
      <c r="BP1254" s="82" t="s">
        <v>1790</v>
      </c>
      <c r="CU1254" s="87" t="s">
        <v>1790</v>
      </c>
    </row>
    <row r="1255" spans="1:106" ht="38.25" x14ac:dyDescent="0.2">
      <c r="A1255" s="176" t="str">
        <f t="shared" si="33"/>
        <v>recommendedChannel</v>
      </c>
      <c r="B1255" s="11" t="s">
        <v>12029</v>
      </c>
      <c r="C1255" s="173"/>
      <c r="D1255" s="22" t="s">
        <v>12030</v>
      </c>
      <c r="E1255" s="15" t="s">
        <v>12031</v>
      </c>
      <c r="F1255" s="174"/>
      <c r="G1255" s="174"/>
      <c r="H1255" s="17" t="s">
        <v>5932</v>
      </c>
      <c r="I1255" s="269"/>
      <c r="J1255" s="369" t="str">
        <f>HYPERLINK("[#]Datatypes!B240:L240","Boolean")</f>
        <v>Boolean</v>
      </c>
      <c r="K1255" s="276"/>
      <c r="L1255" s="272"/>
      <c r="M1255" s="272"/>
      <c r="N1255" s="273"/>
      <c r="O1255" s="269"/>
      <c r="P1255" s="37">
        <v>114239</v>
      </c>
      <c r="Q1255" s="36" t="str">
        <f>CONCATENATE(Cover!$D$6,"fdd/view?i=",P1255)</f>
        <v>https://www.dgiwg.org/FAD/fdd/view?i=114239</v>
      </c>
      <c r="R1255" s="13" t="s">
        <v>12028</v>
      </c>
      <c r="S1255" s="172"/>
      <c r="T1255" s="172"/>
      <c r="AE1255" s="82" t="s">
        <v>1790</v>
      </c>
      <c r="CV1255" s="83" t="s">
        <v>1790</v>
      </c>
    </row>
    <row r="1256" spans="1:106" x14ac:dyDescent="0.2">
      <c r="A1256" s="176" t="str">
        <f t="shared" si="33"/>
        <v>recommendedTrackAssoc</v>
      </c>
      <c r="B1256" s="11" t="s">
        <v>12033</v>
      </c>
      <c r="C1256" s="173"/>
      <c r="D1256" s="22" t="s">
        <v>12034</v>
      </c>
      <c r="E1256" s="15" t="s">
        <v>12035</v>
      </c>
      <c r="F1256" s="174"/>
      <c r="G1256" s="174"/>
      <c r="H1256" s="17" t="s">
        <v>5932</v>
      </c>
      <c r="I1256" s="269"/>
      <c r="J1256" s="369" t="str">
        <f>HYPERLINK("[#]Datatypes!B240:L240","Boolean")</f>
        <v>Boolean</v>
      </c>
      <c r="K1256" s="276"/>
      <c r="L1256" s="272"/>
      <c r="M1256" s="272"/>
      <c r="N1256" s="273"/>
      <c r="O1256" s="269"/>
      <c r="P1256" s="37">
        <v>101255</v>
      </c>
      <c r="Q1256" s="36" t="str">
        <f>CONCATENATE(Cover!$D$6,"fdd/view?i=",P1256)</f>
        <v>https://www.dgiwg.org/FAD/fdd/view?i=101255</v>
      </c>
      <c r="R1256" s="13" t="s">
        <v>12032</v>
      </c>
      <c r="S1256" s="172"/>
      <c r="T1256" s="172"/>
      <c r="AS1256" s="82" t="s">
        <v>1790</v>
      </c>
      <c r="BF1256" s="83" t="s">
        <v>1790</v>
      </c>
      <c r="CT1256" s="166" t="s">
        <v>1790</v>
      </c>
    </row>
    <row r="1257" spans="1:106" ht="25.5" x14ac:dyDescent="0.2">
      <c r="A1257" s="176" t="str">
        <f t="shared" si="33"/>
        <v>rvsmLowerLimit</v>
      </c>
      <c r="B1257" s="11" t="s">
        <v>12037</v>
      </c>
      <c r="C1257" s="173"/>
      <c r="D1257" s="22" t="s">
        <v>12038</v>
      </c>
      <c r="E1257" s="15" t="s">
        <v>12039</v>
      </c>
      <c r="F1257" s="174"/>
      <c r="G1257" s="174"/>
      <c r="H1257" s="17" t="s">
        <v>5932</v>
      </c>
      <c r="I1257" s="269"/>
      <c r="J1257" s="369" t="str">
        <f>HYPERLINK("[#]Datatypes!B1231:L1231","Real")</f>
        <v>Real</v>
      </c>
      <c r="K1257" s="271" t="str">
        <f>HYPERLINK("[#]PhysicalQuantities!A20:N20","Length")</f>
        <v>Length</v>
      </c>
      <c r="L1257" s="270" t="str">
        <f>HYPERLINK("[#]UnitsOfMeasure!D103:G103","Foot")</f>
        <v>Foot</v>
      </c>
      <c r="M1257" s="270" t="str">
        <f>HYPERLINK("[#]UnitsOfMeasure!D154:G154","Flight Level")</f>
        <v>Flight Level</v>
      </c>
      <c r="N1257" s="273"/>
      <c r="O1257" s="269"/>
      <c r="P1257" s="37">
        <v>117685</v>
      </c>
      <c r="Q1257" s="36" t="str">
        <f>CONCATENATE(Cover!$D$6,"fdd/view?i=",P1257)</f>
        <v>https://www.dgiwg.org/FAD/fdd/view?i=117685</v>
      </c>
      <c r="R1257" s="13" t="s">
        <v>12036</v>
      </c>
      <c r="S1257" s="172"/>
      <c r="T1257" s="172"/>
      <c r="CF1257" s="83" t="s">
        <v>1790</v>
      </c>
    </row>
    <row r="1258" spans="1:106" ht="25.5" x14ac:dyDescent="0.2">
      <c r="A1258" s="176" t="str">
        <f t="shared" si="33"/>
        <v>rvsmPointType</v>
      </c>
      <c r="B1258" s="11" t="s">
        <v>12041</v>
      </c>
      <c r="C1258" s="173"/>
      <c r="D1258" s="22" t="s">
        <v>12042</v>
      </c>
      <c r="E1258" s="15" t="s">
        <v>12043</v>
      </c>
      <c r="F1258" s="15" t="s">
        <v>12044</v>
      </c>
      <c r="G1258" s="174"/>
      <c r="H1258" s="17" t="s">
        <v>5932</v>
      </c>
      <c r="I1258" s="269"/>
      <c r="J1258" s="369" t="str">
        <f>HYPERLINK("[#]Datatypes!B1262:L1262","RvsCode")</f>
        <v>RvsCode</v>
      </c>
      <c r="K1258" s="276"/>
      <c r="L1258" s="272"/>
      <c r="M1258" s="272"/>
      <c r="N1258" s="248" t="str">
        <f>HYPERLINK("[#]DatatypeListedValues!A7258:H7258","&lt;values&gt;")</f>
        <v>&lt;values&gt;</v>
      </c>
      <c r="O1258" s="277" t="b">
        <v>0</v>
      </c>
      <c r="P1258" s="37">
        <v>117702</v>
      </c>
      <c r="Q1258" s="36" t="str">
        <f>CONCATENATE(Cover!$D$6,"fdd/view?i=",P1258)</f>
        <v>https://www.dgiwg.org/FAD/fdd/view?i=117702</v>
      </c>
      <c r="R1258" s="13" t="s">
        <v>12040</v>
      </c>
      <c r="S1258" s="172"/>
      <c r="T1258" s="172"/>
      <c r="CF1258" s="83" t="s">
        <v>1790</v>
      </c>
    </row>
    <row r="1259" spans="1:106" ht="25.5" x14ac:dyDescent="0.2">
      <c r="A1259" s="176" t="str">
        <f t="shared" si="33"/>
        <v>rvsmUpperLimit</v>
      </c>
      <c r="B1259" s="11" t="s">
        <v>12047</v>
      </c>
      <c r="C1259" s="173"/>
      <c r="D1259" s="22" t="s">
        <v>12048</v>
      </c>
      <c r="E1259" s="15" t="s">
        <v>12049</v>
      </c>
      <c r="F1259" s="174"/>
      <c r="G1259" s="174"/>
      <c r="H1259" s="17" t="s">
        <v>5932</v>
      </c>
      <c r="I1259" s="269"/>
      <c r="J1259" s="369" t="str">
        <f>HYPERLINK("[#]Datatypes!B1231:L1231","Real")</f>
        <v>Real</v>
      </c>
      <c r="K1259" s="271" t="str">
        <f>HYPERLINK("[#]PhysicalQuantities!A20:N20","Length")</f>
        <v>Length</v>
      </c>
      <c r="L1259" s="270" t="str">
        <f>HYPERLINK("[#]UnitsOfMeasure!D103:G103","Foot")</f>
        <v>Foot</v>
      </c>
      <c r="M1259" s="270" t="str">
        <f>HYPERLINK("[#]UnitsOfMeasure!D154:G154","Flight Level")</f>
        <v>Flight Level</v>
      </c>
      <c r="N1259" s="273"/>
      <c r="O1259" s="269"/>
      <c r="P1259" s="37">
        <v>117698</v>
      </c>
      <c r="Q1259" s="36" t="str">
        <f>CONCATENATE(Cover!$D$6,"fdd/view?i=",P1259)</f>
        <v>https://www.dgiwg.org/FAD/fdd/view?i=117698</v>
      </c>
      <c r="R1259" s="13" t="s">
        <v>12046</v>
      </c>
      <c r="S1259" s="172"/>
      <c r="T1259" s="172"/>
      <c r="CF1259" s="83" t="s">
        <v>1790</v>
      </c>
    </row>
    <row r="1260" spans="1:106" ht="25.5" x14ac:dyDescent="0.2">
      <c r="A1260" s="176" t="str">
        <f t="shared" si="33"/>
        <v>refPathIdentifier</v>
      </c>
      <c r="B1260" s="11" t="s">
        <v>12051</v>
      </c>
      <c r="C1260" s="173"/>
      <c r="D1260" s="22" t="s">
        <v>12052</v>
      </c>
      <c r="E1260" s="15" t="s">
        <v>12053</v>
      </c>
      <c r="F1260" s="174"/>
      <c r="G1260" s="174"/>
      <c r="H1260" s="17" t="s">
        <v>5932</v>
      </c>
      <c r="I1260" s="269"/>
      <c r="J1260" s="369" t="str">
        <f>HYPERLINK("[#]Datatypes!B1264:L1264","RfpStrucText")</f>
        <v>RfpStrucText</v>
      </c>
      <c r="K1260" s="276"/>
      <c r="L1260" s="272"/>
      <c r="M1260" s="272"/>
      <c r="N1260" s="273"/>
      <c r="O1260" s="269"/>
      <c r="P1260" s="37">
        <v>119850</v>
      </c>
      <c r="Q1260" s="36" t="str">
        <f>CONCATENATE(Cover!$D$6,"fdd/view?i=",P1260)</f>
        <v>https://www.dgiwg.org/FAD/fdd/view?i=119850</v>
      </c>
      <c r="R1260" s="13" t="s">
        <v>12050</v>
      </c>
      <c r="S1260" s="172"/>
      <c r="T1260" s="172"/>
      <c r="AT1260" s="82" t="s">
        <v>1790</v>
      </c>
      <c r="CF1260" s="83" t="s">
        <v>1790</v>
      </c>
      <c r="CV1260" s="83" t="s">
        <v>1790</v>
      </c>
    </row>
    <row r="1261" spans="1:106" ht="25.5" x14ac:dyDescent="0.2">
      <c r="A1261" s="176" t="str">
        <f t="shared" si="33"/>
        <v>refPointDetermineMethod</v>
      </c>
      <c r="B1261" s="11" t="s">
        <v>12056</v>
      </c>
      <c r="C1261" s="173"/>
      <c r="D1261" s="22" t="s">
        <v>12057</v>
      </c>
      <c r="E1261" s="15" t="s">
        <v>12058</v>
      </c>
      <c r="F1261" s="174"/>
      <c r="G1261" s="174"/>
      <c r="H1261" s="17" t="s">
        <v>5932</v>
      </c>
      <c r="I1261" s="269"/>
      <c r="J1261" s="369" t="str">
        <f>HYPERLINK("[#]Datatypes!B1266:L1266","RpdCode")</f>
        <v>RpdCode</v>
      </c>
      <c r="K1261" s="276"/>
      <c r="L1261" s="272"/>
      <c r="M1261" s="272"/>
      <c r="N1261" s="248" t="str">
        <f>HYPERLINK("[#]DatatypeListedValues!A7261:H7261","&lt;values&gt;")</f>
        <v>&lt;values&gt;</v>
      </c>
      <c r="O1261" s="277" t="b">
        <v>0</v>
      </c>
      <c r="P1261" s="37">
        <v>101241</v>
      </c>
      <c r="Q1261" s="36" t="str">
        <f>CONCATENATE(Cover!$D$6,"fdd/view?i=",P1261)</f>
        <v>https://www.dgiwg.org/FAD/fdd/view?i=101241</v>
      </c>
      <c r="R1261" s="13" t="s">
        <v>12055</v>
      </c>
      <c r="S1261" s="172"/>
      <c r="T1261" s="172"/>
      <c r="AT1261" s="82" t="s">
        <v>1790</v>
      </c>
      <c r="CE1261" s="87" t="s">
        <v>1790</v>
      </c>
      <c r="CZ1261" s="165" t="s">
        <v>1790</v>
      </c>
      <c r="DB1261" s="166" t="s">
        <v>1790</v>
      </c>
    </row>
    <row r="1262" spans="1:106" ht="25.5" x14ac:dyDescent="0.2">
      <c r="A1262" s="176" t="str">
        <f t="shared" si="33"/>
        <v>refStationDataSelector</v>
      </c>
      <c r="B1262" s="11" t="s">
        <v>12061</v>
      </c>
      <c r="C1262" s="173"/>
      <c r="D1262" s="22" t="s">
        <v>12062</v>
      </c>
      <c r="E1262" s="15" t="s">
        <v>12063</v>
      </c>
      <c r="F1262" s="174"/>
      <c r="G1262" s="174"/>
      <c r="H1262" s="17" t="s">
        <v>5932</v>
      </c>
      <c r="I1262" s="269"/>
      <c r="J1262" s="369" t="str">
        <f>HYPERLINK("[#]Datatypes!B1268:L1268","RsdStrucText")</f>
        <v>RsdStrucText</v>
      </c>
      <c r="K1262" s="276"/>
      <c r="L1262" s="272"/>
      <c r="M1262" s="272"/>
      <c r="N1262" s="273"/>
      <c r="O1262" s="269"/>
      <c r="P1262" s="37">
        <v>119846</v>
      </c>
      <c r="Q1262" s="36" t="str">
        <f>CONCATENATE(Cover!$D$6,"fdd/view?i=",P1262)</f>
        <v>https://www.dgiwg.org/FAD/fdd/view?i=119846</v>
      </c>
      <c r="R1262" s="13" t="s">
        <v>12060</v>
      </c>
      <c r="S1262" s="172"/>
      <c r="T1262" s="172"/>
      <c r="AT1262" s="82" t="s">
        <v>1790</v>
      </c>
      <c r="CG1262" s="83" t="s">
        <v>1790</v>
      </c>
      <c r="CV1262" s="83" t="s">
        <v>1790</v>
      </c>
    </row>
    <row r="1263" spans="1:106" ht="38.25" x14ac:dyDescent="0.2">
      <c r="A1263" s="176" t="str">
        <f t="shared" si="33"/>
        <v>referenceWaterLevel</v>
      </c>
      <c r="B1263" s="11" t="s">
        <v>12066</v>
      </c>
      <c r="C1263" s="173"/>
      <c r="D1263" s="22" t="s">
        <v>12067</v>
      </c>
      <c r="E1263" s="15" t="s">
        <v>12068</v>
      </c>
      <c r="F1263" s="174"/>
      <c r="G1263" s="174"/>
      <c r="H1263" s="17" t="s">
        <v>5932</v>
      </c>
      <c r="I1263" s="269"/>
      <c r="J1263" s="369" t="str">
        <f>HYPERLINK("[#]Datatypes!B1270:L1270","RewCode")</f>
        <v>RewCode</v>
      </c>
      <c r="K1263" s="276"/>
      <c r="L1263" s="272"/>
      <c r="M1263" s="272"/>
      <c r="N1263" s="248" t="str">
        <f>HYPERLINK("[#]DatatypeListedValues!A7270:H7270","&lt;values&gt;")</f>
        <v>&lt;values&gt;</v>
      </c>
      <c r="O1263" s="277" t="b">
        <v>0</v>
      </c>
      <c r="P1263" s="37">
        <v>110814</v>
      </c>
      <c r="Q1263" s="36" t="str">
        <f>CONCATENATE(Cover!$D$6,"fdd/view?i=",P1263)</f>
        <v>https://www.dgiwg.org/FAD/fdd/view?i=110814</v>
      </c>
      <c r="R1263" s="13" t="s">
        <v>12065</v>
      </c>
      <c r="S1263" s="172"/>
      <c r="T1263" s="172"/>
      <c r="BB1263" s="83" t="s">
        <v>1790</v>
      </c>
      <c r="CP1263" s="164" t="s">
        <v>1790</v>
      </c>
    </row>
    <row r="1264" spans="1:106" x14ac:dyDescent="0.2">
      <c r="A1264" s="176" t="str">
        <f t="shared" si="33"/>
        <v>refugeeCount</v>
      </c>
      <c r="B1264" s="11" t="s">
        <v>12071</v>
      </c>
      <c r="C1264" s="173"/>
      <c r="D1264" s="22" t="s">
        <v>12072</v>
      </c>
      <c r="E1264" s="15" t="s">
        <v>12073</v>
      </c>
      <c r="F1264" s="174"/>
      <c r="G1264" s="174"/>
      <c r="H1264" s="17" t="s">
        <v>5932</v>
      </c>
      <c r="I1264" s="269"/>
      <c r="J1264" s="369" t="str">
        <f>HYPERLINK("[#]Datatypes!B380:L380","Count")</f>
        <v>Count</v>
      </c>
      <c r="K1264" s="276"/>
      <c r="L1264" s="272"/>
      <c r="M1264" s="272"/>
      <c r="N1264" s="273"/>
      <c r="O1264" s="269"/>
      <c r="P1264" s="37">
        <v>111699</v>
      </c>
      <c r="Q1264" s="36" t="str">
        <f>CONCATENATE(Cover!$D$6,"fdd/view?i=",P1264)</f>
        <v>https://www.dgiwg.org/FAD/fdd/view?i=111699</v>
      </c>
      <c r="R1264" s="13" t="s">
        <v>12070</v>
      </c>
      <c r="S1264" s="172"/>
      <c r="T1264" s="172"/>
      <c r="AM1264" s="83" t="s">
        <v>1790</v>
      </c>
      <c r="AO1264" s="89" t="s">
        <v>1790</v>
      </c>
      <c r="CQ1264" s="165" t="s">
        <v>1790</v>
      </c>
    </row>
    <row r="1265" spans="1:106" x14ac:dyDescent="0.2">
      <c r="A1265" s="176" t="str">
        <f t="shared" si="33"/>
        <v>refugeeMigrationEndDate</v>
      </c>
      <c r="B1265" s="11" t="s">
        <v>12075</v>
      </c>
      <c r="C1265" s="173"/>
      <c r="D1265" s="22" t="s">
        <v>12076</v>
      </c>
      <c r="E1265" s="15" t="s">
        <v>12077</v>
      </c>
      <c r="F1265" s="174"/>
      <c r="G1265" s="174"/>
      <c r="H1265" s="17" t="s">
        <v>5932</v>
      </c>
      <c r="I1265" s="269"/>
      <c r="J1265" s="369" t="str">
        <f>HYPERLINK("[#]Datatypes!B1272:L1272","RfeStrucText")</f>
        <v>RfeStrucText</v>
      </c>
      <c r="K1265" s="276"/>
      <c r="L1265" s="272"/>
      <c r="M1265" s="272"/>
      <c r="N1265" s="273"/>
      <c r="O1265" s="269"/>
      <c r="P1265" s="37">
        <v>111697</v>
      </c>
      <c r="Q1265" s="36" t="str">
        <f>CONCATENATE(Cover!$D$6,"fdd/view?i=",P1265)</f>
        <v>https://www.dgiwg.org/FAD/fdd/view?i=111697</v>
      </c>
      <c r="R1265" s="13" t="s">
        <v>12074</v>
      </c>
      <c r="S1265" s="172"/>
      <c r="T1265" s="172"/>
      <c r="AM1265" s="83" t="s">
        <v>1790</v>
      </c>
      <c r="AO1265" s="89" t="s">
        <v>1790</v>
      </c>
      <c r="CR1265" s="165" t="s">
        <v>1790</v>
      </c>
    </row>
    <row r="1266" spans="1:106" ht="25.5" x14ac:dyDescent="0.2">
      <c r="A1266" s="176" t="str">
        <f t="shared" si="33"/>
        <v>refugeeMigrationRate</v>
      </c>
      <c r="B1266" s="11" t="s">
        <v>12080</v>
      </c>
      <c r="C1266" s="173"/>
      <c r="D1266" s="22" t="s">
        <v>12081</v>
      </c>
      <c r="E1266" s="15" t="s">
        <v>12082</v>
      </c>
      <c r="F1266" s="174"/>
      <c r="G1266" s="174"/>
      <c r="H1266" s="17" t="s">
        <v>5932</v>
      </c>
      <c r="I1266" s="269"/>
      <c r="J1266" s="369" t="str">
        <f>HYPERLINK("[#]Datatypes!B380:L380","Count")</f>
        <v>Count</v>
      </c>
      <c r="K1266" s="276"/>
      <c r="L1266" s="272"/>
      <c r="M1266" s="272"/>
      <c r="N1266" s="273"/>
      <c r="O1266" s="269"/>
      <c r="P1266" s="37">
        <v>111702</v>
      </c>
      <c r="Q1266" s="36" t="str">
        <f>CONCATENATE(Cover!$D$6,"fdd/view?i=",P1266)</f>
        <v>https://www.dgiwg.org/FAD/fdd/view?i=111702</v>
      </c>
      <c r="R1266" s="13" t="s">
        <v>12079</v>
      </c>
      <c r="S1266" s="172"/>
      <c r="T1266" s="172"/>
      <c r="AM1266" s="83" t="s">
        <v>1790</v>
      </c>
      <c r="AO1266" s="89" t="s">
        <v>1790</v>
      </c>
      <c r="CQ1266" s="165" t="s">
        <v>1790</v>
      </c>
    </row>
    <row r="1267" spans="1:106" x14ac:dyDescent="0.2">
      <c r="A1267" s="176" t="str">
        <f t="shared" si="33"/>
        <v>refugeeMigrationStartDate</v>
      </c>
      <c r="B1267" s="11" t="s">
        <v>12084</v>
      </c>
      <c r="C1267" s="173"/>
      <c r="D1267" s="22" t="s">
        <v>12085</v>
      </c>
      <c r="E1267" s="15" t="s">
        <v>12086</v>
      </c>
      <c r="F1267" s="174"/>
      <c r="G1267" s="174"/>
      <c r="H1267" s="17" t="s">
        <v>5932</v>
      </c>
      <c r="I1267" s="269"/>
      <c r="J1267" s="369" t="str">
        <f>HYPERLINK("[#]Datatypes!B1274:L1274","RfsStrucText")</f>
        <v>RfsStrucText</v>
      </c>
      <c r="K1267" s="276"/>
      <c r="L1267" s="272"/>
      <c r="M1267" s="272"/>
      <c r="N1267" s="273"/>
      <c r="O1267" s="269"/>
      <c r="P1267" s="37">
        <v>111701</v>
      </c>
      <c r="Q1267" s="36" t="str">
        <f>CONCATENATE(Cover!$D$6,"fdd/view?i=",P1267)</f>
        <v>https://www.dgiwg.org/FAD/fdd/view?i=111701</v>
      </c>
      <c r="R1267" s="13" t="s">
        <v>12083</v>
      </c>
      <c r="S1267" s="172"/>
      <c r="T1267" s="172"/>
      <c r="AM1267" s="83" t="s">
        <v>1790</v>
      </c>
      <c r="AO1267" s="89" t="s">
        <v>1790</v>
      </c>
      <c r="CR1267" s="165" t="s">
        <v>1790</v>
      </c>
    </row>
    <row r="1268" spans="1:106" x14ac:dyDescent="0.2">
      <c r="A1268" s="176" t="str">
        <f t="shared" si="33"/>
        <v>regionalAerodromeCount</v>
      </c>
      <c r="B1268" s="11" t="s">
        <v>12089</v>
      </c>
      <c r="C1268" s="173"/>
      <c r="D1268" s="22" t="s">
        <v>12090</v>
      </c>
      <c r="E1268" s="15" t="s">
        <v>12091</v>
      </c>
      <c r="F1268" s="174"/>
      <c r="G1268" s="174"/>
      <c r="H1268" s="17" t="s">
        <v>5932</v>
      </c>
      <c r="I1268" s="269"/>
      <c r="J1268" s="369" t="str">
        <f>HYPERLINK("[#]Datatypes!B380:L380","Count")</f>
        <v>Count</v>
      </c>
      <c r="K1268" s="276"/>
      <c r="L1268" s="272"/>
      <c r="M1268" s="272"/>
      <c r="N1268" s="273"/>
      <c r="O1268" s="269"/>
      <c r="P1268" s="37">
        <v>111648</v>
      </c>
      <c r="Q1268" s="36" t="str">
        <f>CONCATENATE(Cover!$D$6,"fdd/view?i=",P1268)</f>
        <v>https://www.dgiwg.org/FAD/fdd/view?i=111648</v>
      </c>
      <c r="R1268" s="13" t="s">
        <v>12088</v>
      </c>
      <c r="S1268" s="172"/>
      <c r="T1268" s="172"/>
      <c r="AK1268" s="83" t="s">
        <v>1790</v>
      </c>
      <c r="AM1268" s="83" t="s">
        <v>1790</v>
      </c>
      <c r="AT1268" s="82" t="s">
        <v>1790</v>
      </c>
      <c r="CE1268" s="87" t="s">
        <v>1790</v>
      </c>
      <c r="CQ1268" s="165" t="s">
        <v>1790</v>
      </c>
    </row>
    <row r="1269" spans="1:106" x14ac:dyDescent="0.2">
      <c r="A1269" s="176" t="str">
        <f t="shared" si="33"/>
        <v>registeredAutoCount</v>
      </c>
      <c r="B1269" s="11" t="s">
        <v>12093</v>
      </c>
      <c r="C1269" s="173"/>
      <c r="D1269" s="22" t="s">
        <v>12094</v>
      </c>
      <c r="E1269" s="15" t="s">
        <v>12095</v>
      </c>
      <c r="F1269" s="174"/>
      <c r="G1269" s="174"/>
      <c r="H1269" s="17" t="s">
        <v>5932</v>
      </c>
      <c r="I1269" s="269"/>
      <c r="J1269" s="369" t="str">
        <f>HYPERLINK("[#]Datatypes!B380:L380","Count")</f>
        <v>Count</v>
      </c>
      <c r="K1269" s="276"/>
      <c r="L1269" s="272"/>
      <c r="M1269" s="272"/>
      <c r="N1269" s="273"/>
      <c r="O1269" s="269"/>
      <c r="P1269" s="37">
        <v>111641</v>
      </c>
      <c r="Q1269" s="36" t="str">
        <f>CONCATENATE(Cover!$D$6,"fdd/view?i=",P1269)</f>
        <v>https://www.dgiwg.org/FAD/fdd/view?i=111641</v>
      </c>
      <c r="R1269" s="13" t="s">
        <v>12092</v>
      </c>
      <c r="S1269" s="172"/>
      <c r="T1269" s="172"/>
      <c r="AM1269" s="83" t="s">
        <v>1790</v>
      </c>
      <c r="AQ1269" s="82" t="s">
        <v>1790</v>
      </c>
      <c r="CQ1269" s="165" t="s">
        <v>1790</v>
      </c>
    </row>
    <row r="1270" spans="1:106" ht="38.25" x14ac:dyDescent="0.2">
      <c r="A1270" s="176" t="str">
        <f t="shared" si="33"/>
        <v>rejectTakeOffDistAvailHeli</v>
      </c>
      <c r="B1270" s="11" t="s">
        <v>12097</v>
      </c>
      <c r="C1270" s="173"/>
      <c r="D1270" s="22" t="s">
        <v>12098</v>
      </c>
      <c r="E1270" s="15" t="s">
        <v>12099</v>
      </c>
      <c r="F1270" s="174"/>
      <c r="G1270" s="15" t="s">
        <v>12100</v>
      </c>
      <c r="H1270" s="17" t="s">
        <v>5932</v>
      </c>
      <c r="I1270" s="269"/>
      <c r="J1270" s="369" t="str">
        <f>HYPERLINK("[#]Datatypes!B1231:L1231","Real")</f>
        <v>Real</v>
      </c>
      <c r="K1270" s="271" t="str">
        <f>HYPERLINK("[#]PhysicalQuantities!A20:N20","Length")</f>
        <v>Length</v>
      </c>
      <c r="L1270" s="270" t="str">
        <f>HYPERLINK("[#]UnitsOfMeasure!D80:G80","Metre")</f>
        <v>Metre</v>
      </c>
      <c r="M1270" s="272"/>
      <c r="N1270" s="273"/>
      <c r="O1270" s="269"/>
      <c r="P1270" s="37">
        <v>117697</v>
      </c>
      <c r="Q1270" s="36" t="str">
        <f>CONCATENATE(Cover!$D$6,"fdd/view?i=",P1270)</f>
        <v>https://www.dgiwg.org/FAD/fdd/view?i=117697</v>
      </c>
      <c r="R1270" s="13" t="s">
        <v>12096</v>
      </c>
      <c r="S1270" s="172"/>
      <c r="T1270" s="172"/>
      <c r="CE1270" s="87" t="s">
        <v>1790</v>
      </c>
    </row>
    <row r="1271" spans="1:106" x14ac:dyDescent="0.2">
      <c r="A1271" s="176" t="str">
        <f t="shared" si="33"/>
        <v>relativeImportance</v>
      </c>
      <c r="B1271" s="11" t="s">
        <v>12102</v>
      </c>
      <c r="C1271" s="173"/>
      <c r="D1271" s="22" t="s">
        <v>12103</v>
      </c>
      <c r="E1271" s="15" t="s">
        <v>12104</v>
      </c>
      <c r="F1271" s="15" t="s">
        <v>12105</v>
      </c>
      <c r="G1271" s="174"/>
      <c r="H1271" s="17" t="s">
        <v>5932</v>
      </c>
      <c r="I1271" s="269"/>
      <c r="J1271" s="369" t="str">
        <f>HYPERLINK("[#]Datatypes!B1276:L1276","OrdCode")</f>
        <v>OrdCode</v>
      </c>
      <c r="K1271" s="276"/>
      <c r="L1271" s="272"/>
      <c r="M1271" s="272"/>
      <c r="N1271" s="248" t="str">
        <f>HYPERLINK("[#]DatatypeListedValues!A7272:H7272","&lt;values&gt;")</f>
        <v>&lt;values&gt;</v>
      </c>
      <c r="O1271" s="277" t="b">
        <v>0</v>
      </c>
      <c r="P1271" s="37">
        <v>101136</v>
      </c>
      <c r="Q1271" s="36" t="str">
        <f>CONCATENATE(Cover!$D$6,"fdd/view?i=",P1271)</f>
        <v>https://www.dgiwg.org/FAD/fdd/view?i=101136</v>
      </c>
      <c r="R1271" s="13" t="s">
        <v>12101</v>
      </c>
      <c r="S1271" s="172"/>
      <c r="T1271" s="172"/>
      <c r="CT1271" s="166" t="s">
        <v>1790</v>
      </c>
    </row>
    <row r="1272" spans="1:106" ht="25.5" x14ac:dyDescent="0.2">
      <c r="A1272" s="176" t="str">
        <f t="shared" si="33"/>
        <v>relativeLevel</v>
      </c>
      <c r="B1272" s="11" t="s">
        <v>12108</v>
      </c>
      <c r="C1272" s="173"/>
      <c r="D1272" s="22" t="s">
        <v>12109</v>
      </c>
      <c r="E1272" s="15" t="s">
        <v>12110</v>
      </c>
      <c r="F1272" s="15" t="s">
        <v>12111</v>
      </c>
      <c r="G1272" s="174"/>
      <c r="H1272" s="17" t="s">
        <v>5932</v>
      </c>
      <c r="I1272" s="269"/>
      <c r="J1272" s="369" t="str">
        <f>HYPERLINK("[#]Datatypes!B1278:L1278","RleCode")</f>
        <v>RleCode</v>
      </c>
      <c r="K1272" s="276"/>
      <c r="L1272" s="272"/>
      <c r="M1272" s="272"/>
      <c r="N1272" s="248" t="str">
        <f>HYPERLINK("[#]DatatypeListedValues!A7277:H7277","&lt;values&gt;")</f>
        <v>&lt;values&gt;</v>
      </c>
      <c r="O1272" s="277" t="b">
        <v>0</v>
      </c>
      <c r="P1272" s="37">
        <v>109978</v>
      </c>
      <c r="Q1272" s="36" t="str">
        <f>CONCATENATE(Cover!$D$6,"fdd/view?i=",P1272)</f>
        <v>https://www.dgiwg.org/FAD/fdd/view?i=109978</v>
      </c>
      <c r="R1272" s="13" t="s">
        <v>12107</v>
      </c>
      <c r="S1272" s="172"/>
      <c r="T1272" s="172"/>
      <c r="BL1272" s="81" t="s">
        <v>1790</v>
      </c>
      <c r="CP1272" s="164" t="s">
        <v>1790</v>
      </c>
    </row>
    <row r="1273" spans="1:106" ht="63.75" x14ac:dyDescent="0.2">
      <c r="A1273" s="176" t="str">
        <f t="shared" si="33"/>
        <v>releasability</v>
      </c>
      <c r="B1273" s="11" t="s">
        <v>12114</v>
      </c>
      <c r="C1273" s="173"/>
      <c r="D1273" s="22" t="s">
        <v>12115</v>
      </c>
      <c r="E1273" s="15" t="s">
        <v>12116</v>
      </c>
      <c r="F1273" s="15" t="s">
        <v>8836</v>
      </c>
      <c r="G1273" s="174"/>
      <c r="H1273" s="17" t="s">
        <v>5932</v>
      </c>
      <c r="I1273" s="269"/>
      <c r="J1273" s="369" t="str">
        <f>HYPERLINK("[#]Datatypes!B1280:L1280","RexStrucText")</f>
        <v>RexStrucText</v>
      </c>
      <c r="K1273" s="276"/>
      <c r="L1273" s="272"/>
      <c r="M1273" s="272"/>
      <c r="N1273" s="273"/>
      <c r="O1273" s="269"/>
      <c r="P1273" s="37">
        <v>114240</v>
      </c>
      <c r="Q1273" s="36" t="str">
        <f>CONCATENATE(Cover!$D$6,"fdd/view?i=",P1273)</f>
        <v>https://www.dgiwg.org/FAD/fdd/view?i=114240</v>
      </c>
      <c r="R1273" s="13" t="s">
        <v>12113</v>
      </c>
      <c r="S1273" s="172"/>
      <c r="T1273" s="172"/>
      <c r="DB1273" s="166" t="s">
        <v>1790</v>
      </c>
    </row>
    <row r="1274" spans="1:106" ht="25.5" x14ac:dyDescent="0.2">
      <c r="A1274" s="176" t="str">
        <f t="shared" si="33"/>
        <v>releasabilityRestriction</v>
      </c>
      <c r="B1274" s="11" t="s">
        <v>12119</v>
      </c>
      <c r="C1274" s="173"/>
      <c r="D1274" s="22" t="s">
        <v>12120</v>
      </c>
      <c r="E1274" s="15" t="s">
        <v>12121</v>
      </c>
      <c r="F1274" s="174"/>
      <c r="G1274" s="174"/>
      <c r="H1274" s="17" t="s">
        <v>5932</v>
      </c>
      <c r="I1274" s="269"/>
      <c r="J1274" s="369" t="str">
        <f>HYPERLINK("[#]Datatypes!B1538:L1538","TextLex255")</f>
        <v>TextLex255</v>
      </c>
      <c r="K1274" s="276"/>
      <c r="L1274" s="272"/>
      <c r="M1274" s="272"/>
      <c r="N1274" s="273"/>
      <c r="O1274" s="269"/>
      <c r="P1274" s="37">
        <v>101196</v>
      </c>
      <c r="Q1274" s="36" t="str">
        <f>CONCATENATE(Cover!$D$6,"fdd/view?i=",P1274)</f>
        <v>https://www.dgiwg.org/FAD/fdd/view?i=101196</v>
      </c>
      <c r="R1274" s="13" t="s">
        <v>12118</v>
      </c>
      <c r="S1274" s="172"/>
      <c r="T1274" s="172"/>
      <c r="DB1274" s="166" t="s">
        <v>1790</v>
      </c>
    </row>
    <row r="1275" spans="1:106" ht="38.25" x14ac:dyDescent="0.2">
      <c r="A1275" s="176" t="str">
        <f t="shared" si="33"/>
        <v>religion</v>
      </c>
      <c r="B1275" s="11" t="s">
        <v>12123</v>
      </c>
      <c r="C1275" s="173"/>
      <c r="D1275" s="22" t="s">
        <v>12124</v>
      </c>
      <c r="E1275" s="15" t="s">
        <v>12125</v>
      </c>
      <c r="F1275" s="15" t="s">
        <v>12126</v>
      </c>
      <c r="G1275" s="174"/>
      <c r="H1275" s="17" t="s">
        <v>5932</v>
      </c>
      <c r="I1275" s="269"/>
      <c r="J1275" s="369" t="str">
        <f>HYPERLINK("[#]Datatypes!B1282:L1282","RebCode")</f>
        <v>RebCode</v>
      </c>
      <c r="K1275" s="276"/>
      <c r="L1275" s="272"/>
      <c r="M1275" s="272"/>
      <c r="N1275" s="248" t="str">
        <f>HYPERLINK("[#]DatatypeListedValues!A7280:H7280","&lt;values&gt;")</f>
        <v>&lt;values&gt;</v>
      </c>
      <c r="O1275" s="277" t="b">
        <v>0</v>
      </c>
      <c r="P1275" s="37">
        <v>111689</v>
      </c>
      <c r="Q1275" s="36" t="str">
        <f>CONCATENATE(Cover!$D$6,"fdd/view?i=",P1275)</f>
        <v>https://www.dgiwg.org/FAD/fdd/view?i=111689</v>
      </c>
      <c r="R1275" s="13" t="s">
        <v>12122</v>
      </c>
      <c r="S1275" s="172"/>
      <c r="T1275" s="172"/>
      <c r="AO1275" s="89" t="s">
        <v>1790</v>
      </c>
      <c r="CV1275" s="83" t="s">
        <v>1790</v>
      </c>
    </row>
    <row r="1276" spans="1:106" ht="25.5" x14ac:dyDescent="0.2">
      <c r="A1276" s="176" t="str">
        <f t="shared" si="33"/>
        <v>religionGroup</v>
      </c>
      <c r="B1276" s="11" t="s">
        <v>12129</v>
      </c>
      <c r="C1276" s="173"/>
      <c r="D1276" s="22" t="s">
        <v>12130</v>
      </c>
      <c r="E1276" s="15" t="s">
        <v>12131</v>
      </c>
      <c r="F1276" s="15" t="s">
        <v>12132</v>
      </c>
      <c r="G1276" s="174"/>
      <c r="H1276" s="17" t="s">
        <v>5932</v>
      </c>
      <c r="I1276" s="269"/>
      <c r="J1276" s="369" t="str">
        <f>HYPERLINK("[#]Datatypes!B1284:L1284","ReaCode")</f>
        <v>ReaCode</v>
      </c>
      <c r="K1276" s="276"/>
      <c r="L1276" s="272"/>
      <c r="M1276" s="272"/>
      <c r="N1276" s="248" t="str">
        <f>HYPERLINK("[#]DatatypeListedValues!A7334:H7334","&lt;values&gt;")</f>
        <v>&lt;values&gt;</v>
      </c>
      <c r="O1276" s="277" t="b">
        <v>0</v>
      </c>
      <c r="P1276" s="37">
        <v>111688</v>
      </c>
      <c r="Q1276" s="36" t="str">
        <f>CONCATENATE(Cover!$D$6,"fdd/view?i=",P1276)</f>
        <v>https://www.dgiwg.org/FAD/fdd/view?i=111688</v>
      </c>
      <c r="R1276" s="13" t="s">
        <v>12128</v>
      </c>
      <c r="S1276" s="172"/>
      <c r="T1276" s="172"/>
      <c r="AO1276" s="89" t="s">
        <v>1790</v>
      </c>
      <c r="CV1276" s="83" t="s">
        <v>1790</v>
      </c>
    </row>
    <row r="1277" spans="1:106" ht="25.5" x14ac:dyDescent="0.2">
      <c r="A1277" s="176" t="str">
        <f t="shared" si="33"/>
        <v>religiousCommCharacter</v>
      </c>
      <c r="B1277" s="11" t="s">
        <v>12135</v>
      </c>
      <c r="C1277" s="173"/>
      <c r="D1277" s="22" t="s">
        <v>12136</v>
      </c>
      <c r="E1277" s="15" t="s">
        <v>12137</v>
      </c>
      <c r="F1277" s="174"/>
      <c r="G1277" s="174"/>
      <c r="H1277" s="17" t="s">
        <v>5932</v>
      </c>
      <c r="I1277" s="269"/>
      <c r="J1277" s="369" t="str">
        <f>HYPERLINK("[#]Datatypes!B1544:L1544","TextLexUnconstrained")</f>
        <v>TextLexUnconstrained</v>
      </c>
      <c r="K1277" s="276"/>
      <c r="L1277" s="272"/>
      <c r="M1277" s="272"/>
      <c r="N1277" s="273"/>
      <c r="O1277" s="269"/>
      <c r="P1277" s="37">
        <v>111693</v>
      </c>
      <c r="Q1277" s="36" t="str">
        <f>CONCATENATE(Cover!$D$6,"fdd/view?i=",P1277)</f>
        <v>https://www.dgiwg.org/FAD/fdd/view?i=111693</v>
      </c>
      <c r="R1277" s="13" t="s">
        <v>12134</v>
      </c>
      <c r="S1277" s="172"/>
      <c r="T1277" s="172"/>
      <c r="AO1277" s="89" t="s">
        <v>1790</v>
      </c>
      <c r="CS1277" s="165" t="s">
        <v>1790</v>
      </c>
    </row>
    <row r="1278" spans="1:106" ht="25.5" x14ac:dyDescent="0.2">
      <c r="A1278" s="176" t="str">
        <f t="shared" si="33"/>
        <v>religiousCommDesc</v>
      </c>
      <c r="B1278" s="11" t="s">
        <v>12139</v>
      </c>
      <c r="C1278" s="173"/>
      <c r="D1278" s="22" t="s">
        <v>12140</v>
      </c>
      <c r="E1278" s="15" t="s">
        <v>12141</v>
      </c>
      <c r="F1278" s="15" t="s">
        <v>12142</v>
      </c>
      <c r="G1278" s="174"/>
      <c r="H1278" s="17" t="s">
        <v>5932</v>
      </c>
      <c r="I1278" s="269"/>
      <c r="J1278" s="369" t="str">
        <f>HYPERLINK("[#]Datatypes!B1544:L1544","TextLexUnconstrained")</f>
        <v>TextLexUnconstrained</v>
      </c>
      <c r="K1278" s="276"/>
      <c r="L1278" s="272"/>
      <c r="M1278" s="272"/>
      <c r="N1278" s="273"/>
      <c r="O1278" s="269"/>
      <c r="P1278" s="37">
        <v>111690</v>
      </c>
      <c r="Q1278" s="36" t="str">
        <f>CONCATENATE(Cover!$D$6,"fdd/view?i=",P1278)</f>
        <v>https://www.dgiwg.org/FAD/fdd/view?i=111690</v>
      </c>
      <c r="R1278" s="13" t="s">
        <v>12138</v>
      </c>
      <c r="S1278" s="172"/>
      <c r="T1278" s="172"/>
      <c r="AO1278" s="89" t="s">
        <v>1790</v>
      </c>
      <c r="CU1278" s="87" t="s">
        <v>1790</v>
      </c>
    </row>
    <row r="1279" spans="1:106" ht="25.5" x14ac:dyDescent="0.2">
      <c r="A1279" s="176" t="str">
        <f t="shared" si="33"/>
        <v>religiousCommFraction</v>
      </c>
      <c r="B1279" s="11" t="s">
        <v>12144</v>
      </c>
      <c r="C1279" s="173"/>
      <c r="D1279" s="22" t="s">
        <v>12145</v>
      </c>
      <c r="E1279" s="15" t="s">
        <v>12146</v>
      </c>
      <c r="F1279" s="174"/>
      <c r="G1279" s="174"/>
      <c r="H1279" s="17" t="s">
        <v>5932</v>
      </c>
      <c r="I1279" s="269"/>
      <c r="J1279" s="369" t="str">
        <f>HYPERLINK("[#]Datatypes!B1231:L1231","Real")</f>
        <v>Real</v>
      </c>
      <c r="K1279" s="271" t="str">
        <f>HYPERLINK("[#]PhysicalQuantities!A39:N39","Pure Number")</f>
        <v>Pure Number</v>
      </c>
      <c r="L1279" s="270" t="str">
        <f>HYPERLINK("[#]UnitsOfMeasure!D215:G215","Percent")</f>
        <v>Percent</v>
      </c>
      <c r="M1279" s="272"/>
      <c r="N1279" s="273"/>
      <c r="O1279" s="269"/>
      <c r="P1279" s="37">
        <v>111695</v>
      </c>
      <c r="Q1279" s="36" t="str">
        <f>CONCATENATE(Cover!$D$6,"fdd/view?i=",P1279)</f>
        <v>https://www.dgiwg.org/FAD/fdd/view?i=111695</v>
      </c>
      <c r="R1279" s="13" t="s">
        <v>12143</v>
      </c>
      <c r="S1279" s="172"/>
      <c r="T1279" s="172"/>
      <c r="AM1279" s="83" t="s">
        <v>1790</v>
      </c>
      <c r="AO1279" s="89" t="s">
        <v>1790</v>
      </c>
      <c r="CQ1279" s="165" t="s">
        <v>1790</v>
      </c>
    </row>
    <row r="1280" spans="1:106" x14ac:dyDescent="0.2">
      <c r="A1280" s="176" t="str">
        <f t="shared" si="33"/>
        <v>religiousCommLeader</v>
      </c>
      <c r="B1280" s="11" t="s">
        <v>12148</v>
      </c>
      <c r="C1280" s="173"/>
      <c r="D1280" s="22" t="s">
        <v>12149</v>
      </c>
      <c r="E1280" s="15" t="s">
        <v>12150</v>
      </c>
      <c r="F1280" s="174"/>
      <c r="G1280" s="174"/>
      <c r="H1280" s="17" t="s">
        <v>5932</v>
      </c>
      <c r="I1280" s="269"/>
      <c r="J1280" s="369" t="str">
        <f>HYPERLINK("[#]Datatypes!B1544:L1544","TextLexUnconstrained")</f>
        <v>TextLexUnconstrained</v>
      </c>
      <c r="K1280" s="276"/>
      <c r="L1280" s="272"/>
      <c r="M1280" s="272"/>
      <c r="N1280" s="273"/>
      <c r="O1280" s="269"/>
      <c r="P1280" s="37">
        <v>111692</v>
      </c>
      <c r="Q1280" s="36" t="str">
        <f>CONCATENATE(Cover!$D$6,"fdd/view?i=",P1280)</f>
        <v>https://www.dgiwg.org/FAD/fdd/view?i=111692</v>
      </c>
      <c r="R1280" s="13" t="s">
        <v>12147</v>
      </c>
      <c r="S1280" s="172"/>
      <c r="T1280" s="172"/>
      <c r="AO1280" s="89" t="s">
        <v>1790</v>
      </c>
      <c r="CU1280" s="87" t="s">
        <v>1790</v>
      </c>
    </row>
    <row r="1281" spans="1:107" ht="25.5" x14ac:dyDescent="0.2">
      <c r="A1281" s="176" t="str">
        <f t="shared" si="33"/>
        <v>religiousCommName</v>
      </c>
      <c r="B1281" s="11" t="s">
        <v>12152</v>
      </c>
      <c r="C1281" s="173"/>
      <c r="D1281" s="22" t="s">
        <v>12153</v>
      </c>
      <c r="E1281" s="15" t="s">
        <v>12154</v>
      </c>
      <c r="F1281" s="174"/>
      <c r="G1281" s="174"/>
      <c r="H1281" s="17" t="s">
        <v>5932</v>
      </c>
      <c r="I1281" s="269"/>
      <c r="J1281" s="369" t="str">
        <f>HYPERLINK("[#]Datatypes!B1544:L1544","TextLexUnconstrained")</f>
        <v>TextLexUnconstrained</v>
      </c>
      <c r="K1281" s="276"/>
      <c r="L1281" s="272"/>
      <c r="M1281" s="272"/>
      <c r="N1281" s="273"/>
      <c r="O1281" s="269"/>
      <c r="P1281" s="37">
        <v>111694</v>
      </c>
      <c r="Q1281" s="36" t="str">
        <f>CONCATENATE(Cover!$D$6,"fdd/view?i=",P1281)</f>
        <v>https://www.dgiwg.org/FAD/fdd/view?i=111694</v>
      </c>
      <c r="R1281" s="13" t="s">
        <v>12151</v>
      </c>
      <c r="S1281" s="172"/>
      <c r="T1281" s="172"/>
      <c r="AO1281" s="89" t="s">
        <v>1790</v>
      </c>
      <c r="CU1281" s="87" t="s">
        <v>1790</v>
      </c>
    </row>
    <row r="1282" spans="1:107" ht="25.5" x14ac:dyDescent="0.2">
      <c r="A1282" s="176" t="str">
        <f t="shared" si="33"/>
        <v>religiousCommPersuasion</v>
      </c>
      <c r="B1282" s="11" t="s">
        <v>12156</v>
      </c>
      <c r="C1282" s="173"/>
      <c r="D1282" s="22" t="s">
        <v>12157</v>
      </c>
      <c r="E1282" s="15" t="s">
        <v>12158</v>
      </c>
      <c r="F1282" s="15" t="s">
        <v>12159</v>
      </c>
      <c r="G1282" s="174"/>
      <c r="H1282" s="17" t="s">
        <v>5932</v>
      </c>
      <c r="I1282" s="269"/>
      <c r="J1282" s="369" t="str">
        <f>HYPERLINK("[#]Datatypes!B1544:L1544","TextLexUnconstrained")</f>
        <v>TextLexUnconstrained</v>
      </c>
      <c r="K1282" s="276"/>
      <c r="L1282" s="272"/>
      <c r="M1282" s="272"/>
      <c r="N1282" s="273"/>
      <c r="O1282" s="269"/>
      <c r="P1282" s="37">
        <v>111691</v>
      </c>
      <c r="Q1282" s="36" t="str">
        <f>CONCATENATE(Cover!$D$6,"fdd/view?i=",P1282)</f>
        <v>https://www.dgiwg.org/FAD/fdd/view?i=111691</v>
      </c>
      <c r="R1282" s="13" t="s">
        <v>12155</v>
      </c>
      <c r="S1282" s="172"/>
      <c r="T1282" s="172"/>
      <c r="AO1282" s="89" t="s">
        <v>1790</v>
      </c>
      <c r="CU1282" s="87" t="s">
        <v>1790</v>
      </c>
    </row>
    <row r="1283" spans="1:107" x14ac:dyDescent="0.2">
      <c r="A1283" s="176" t="str">
        <f t="shared" ref="A1283:A1346" si="34">HYPERLINK(Q1283,R1283)</f>
        <v>religiousDesignation</v>
      </c>
      <c r="B1283" s="11" t="s">
        <v>12161</v>
      </c>
      <c r="C1283" s="173"/>
      <c r="D1283" s="22" t="s">
        <v>12162</v>
      </c>
      <c r="E1283" s="15" t="s">
        <v>12163</v>
      </c>
      <c r="F1283" s="174"/>
      <c r="G1283" s="174"/>
      <c r="H1283" s="17" t="s">
        <v>5932</v>
      </c>
      <c r="I1283" s="269"/>
      <c r="J1283" s="369" t="str">
        <f>HYPERLINK("[#]Datatypes!B1286:L1286","RelCode")</f>
        <v>RelCode</v>
      </c>
      <c r="K1283" s="276"/>
      <c r="L1283" s="272"/>
      <c r="M1283" s="272"/>
      <c r="N1283" s="248" t="str">
        <f>HYPERLINK("[#]DatatypeListedValues!A7349:H7349","&lt;values&gt;")</f>
        <v>&lt;values&gt;</v>
      </c>
      <c r="O1283" s="277" t="b">
        <v>0</v>
      </c>
      <c r="P1283" s="37">
        <v>101216</v>
      </c>
      <c r="Q1283" s="36" t="str">
        <f>CONCATENATE(Cover!$D$6,"fdd/view?i=",P1283)</f>
        <v>https://www.dgiwg.org/FAD/fdd/view?i=101216</v>
      </c>
      <c r="R1283" s="13" t="s">
        <v>12160</v>
      </c>
      <c r="S1283" s="172"/>
      <c r="T1283" s="172"/>
      <c r="AI1283" s="87" t="s">
        <v>1790</v>
      </c>
      <c r="AJ1283" s="83" t="s">
        <v>1790</v>
      </c>
    </row>
    <row r="1284" spans="1:107" ht="38.25" x14ac:dyDescent="0.2">
      <c r="A1284" s="176" t="str">
        <f t="shared" si="34"/>
        <v>religiousFacilityType</v>
      </c>
      <c r="B1284" s="11" t="s">
        <v>12166</v>
      </c>
      <c r="C1284" s="173"/>
      <c r="D1284" s="22" t="s">
        <v>12167</v>
      </c>
      <c r="E1284" s="15" t="s">
        <v>12168</v>
      </c>
      <c r="F1284" s="174"/>
      <c r="G1284" s="174"/>
      <c r="H1284" s="17" t="s">
        <v>5932</v>
      </c>
      <c r="I1284" s="269"/>
      <c r="J1284" s="369" t="str">
        <f>HYPERLINK("[#]Datatypes!B1288:L1288","RfaCode")</f>
        <v>RfaCode</v>
      </c>
      <c r="K1284" s="276"/>
      <c r="L1284" s="272"/>
      <c r="M1284" s="272"/>
      <c r="N1284" s="248" t="str">
        <f>HYPERLINK("[#]DatatypeListedValues!A7364:H7364","&lt;values&gt;")</f>
        <v>&lt;values&gt;</v>
      </c>
      <c r="O1284" s="277" t="b">
        <v>0</v>
      </c>
      <c r="P1284" s="37">
        <v>111696</v>
      </c>
      <c r="Q1284" s="36" t="str">
        <f>CONCATENATE(Cover!$D$6,"fdd/view?i=",P1284)</f>
        <v>https://www.dgiwg.org/FAD/fdd/view?i=111696</v>
      </c>
      <c r="R1284" s="13" t="s">
        <v>12165</v>
      </c>
      <c r="S1284" s="172"/>
      <c r="T1284" s="172"/>
      <c r="AO1284" s="89" t="s">
        <v>1790</v>
      </c>
      <c r="CT1284" s="166" t="s">
        <v>1790</v>
      </c>
    </row>
    <row r="1285" spans="1:107" ht="25.5" x14ac:dyDescent="0.2">
      <c r="A1285" s="176" t="str">
        <f t="shared" si="34"/>
        <v>remoteSensMineActuateMeth</v>
      </c>
      <c r="B1285" s="11" t="s">
        <v>12171</v>
      </c>
      <c r="C1285" s="173"/>
      <c r="D1285" s="22" t="s">
        <v>12172</v>
      </c>
      <c r="E1285" s="15" t="s">
        <v>12173</v>
      </c>
      <c r="F1285" s="174"/>
      <c r="G1285" s="174"/>
      <c r="H1285" s="17" t="s">
        <v>5932</v>
      </c>
      <c r="I1285" s="269"/>
      <c r="J1285" s="369" t="str">
        <f>HYPERLINK("[#]Datatypes!B1290:L1290","MioCode")</f>
        <v>MioCode</v>
      </c>
      <c r="K1285" s="276"/>
      <c r="L1285" s="272"/>
      <c r="M1285" s="272"/>
      <c r="N1285" s="248" t="str">
        <f>HYPERLINK("[#]DatatypeListedValues!A7386:H7386","&lt;values&gt;")</f>
        <v>&lt;values&gt;</v>
      </c>
      <c r="O1285" s="277" t="b">
        <v>0</v>
      </c>
      <c r="P1285" s="37">
        <v>101051</v>
      </c>
      <c r="Q1285" s="36" t="str">
        <f>CONCATENATE(Cover!$D$6,"fdd/view?i=",P1285)</f>
        <v>https://www.dgiwg.org/FAD/fdd/view?i=101051</v>
      </c>
      <c r="R1285" s="13" t="s">
        <v>12170</v>
      </c>
      <c r="S1285" s="172"/>
      <c r="T1285" s="172"/>
      <c r="CJ1285" s="81" t="s">
        <v>1790</v>
      </c>
      <c r="CT1285" s="166" t="s">
        <v>1790</v>
      </c>
    </row>
    <row r="1286" spans="1:107" ht="25.5" x14ac:dyDescent="0.2">
      <c r="A1286" s="176" t="str">
        <f t="shared" si="34"/>
        <v>representationScale</v>
      </c>
      <c r="B1286" s="11" t="s">
        <v>12176</v>
      </c>
      <c r="C1286" s="173"/>
      <c r="D1286" s="22" t="s">
        <v>12177</v>
      </c>
      <c r="E1286" s="15" t="s">
        <v>12178</v>
      </c>
      <c r="F1286" s="174"/>
      <c r="G1286" s="174"/>
      <c r="H1286" s="17" t="s">
        <v>5932</v>
      </c>
      <c r="I1286" s="269"/>
      <c r="J1286" s="369" t="str">
        <f>HYPERLINK("[#]Datatypes!B742:L742","Integer")</f>
        <v>Integer</v>
      </c>
      <c r="K1286" s="271" t="str">
        <f>HYPERLINK("[#]PhysicalQuantities!A39:N39","Pure Number")</f>
        <v>Pure Number</v>
      </c>
      <c r="L1286" s="270" t="str">
        <f>HYPERLINK("[#]UnitsOfMeasure!D213:G213","Unitless")</f>
        <v>Unitless</v>
      </c>
      <c r="M1286" s="272"/>
      <c r="N1286" s="273"/>
      <c r="O1286" s="269"/>
      <c r="P1286" s="37">
        <v>119945</v>
      </c>
      <c r="Q1286" s="36" t="str">
        <f>CONCATENATE(Cover!$D$6,"fdd/view?i=",P1286)</f>
        <v>https://www.dgiwg.org/FAD/fdd/view?i=119945</v>
      </c>
      <c r="R1286" s="13" t="s">
        <v>12175</v>
      </c>
      <c r="S1286" s="172"/>
      <c r="T1286" s="172"/>
      <c r="CX1286" s="165" t="s">
        <v>1790</v>
      </c>
      <c r="DA1286" s="165" t="s">
        <v>1790</v>
      </c>
      <c r="DC1286" s="87" t="s">
        <v>1790</v>
      </c>
    </row>
    <row r="1287" spans="1:107" ht="63.75" x14ac:dyDescent="0.2">
      <c r="A1287" s="176" t="str">
        <f t="shared" si="34"/>
        <v>requiredNavPerformanceType</v>
      </c>
      <c r="B1287" s="11" t="s">
        <v>12180</v>
      </c>
      <c r="C1287" s="173"/>
      <c r="D1287" s="22" t="s">
        <v>12181</v>
      </c>
      <c r="E1287" s="15" t="s">
        <v>12182</v>
      </c>
      <c r="F1287" s="15" t="s">
        <v>12183</v>
      </c>
      <c r="G1287" s="15" t="s">
        <v>12184</v>
      </c>
      <c r="H1287" s="17" t="s">
        <v>5932</v>
      </c>
      <c r="I1287" s="269"/>
      <c r="J1287" s="369" t="str">
        <f>HYPERLINK("[#]Datatypes!B1231:L1231","Real")</f>
        <v>Real</v>
      </c>
      <c r="K1287" s="271" t="str">
        <f>HYPERLINK("[#]PhysicalQuantities!A20:N20","Length")</f>
        <v>Length</v>
      </c>
      <c r="L1287" s="270" t="str">
        <f>HYPERLINK("[#]UnitsOfMeasure!D94:G94","Nautical Mile")</f>
        <v>Nautical Mile</v>
      </c>
      <c r="M1287" s="272"/>
      <c r="N1287" s="273"/>
      <c r="O1287" s="269"/>
      <c r="P1287" s="37">
        <v>117689</v>
      </c>
      <c r="Q1287" s="36" t="str">
        <f>CONCATENATE(Cover!$D$6,"fdd/view?i=",P1287)</f>
        <v>https://www.dgiwg.org/FAD/fdd/view?i=117689</v>
      </c>
      <c r="R1287" s="13" t="s">
        <v>12179</v>
      </c>
      <c r="S1287" s="172"/>
      <c r="T1287" s="172"/>
      <c r="CF1287" s="83" t="s">
        <v>1790</v>
      </c>
    </row>
    <row r="1288" spans="1:107" ht="25.5" x14ac:dyDescent="0.2">
      <c r="A1288" s="176" t="str">
        <f t="shared" si="34"/>
        <v>researchFacilityType</v>
      </c>
      <c r="B1288" s="11" t="s">
        <v>12186</v>
      </c>
      <c r="C1288" s="173"/>
      <c r="D1288" s="22" t="s">
        <v>12187</v>
      </c>
      <c r="E1288" s="15" t="s">
        <v>12188</v>
      </c>
      <c r="F1288" s="174"/>
      <c r="G1288" s="174"/>
      <c r="H1288" s="17" t="s">
        <v>5932</v>
      </c>
      <c r="I1288" s="269"/>
      <c r="J1288" s="369" t="str">
        <f>HYPERLINK("[#]Datatypes!B1292:L1292","ResCode")</f>
        <v>ResCode</v>
      </c>
      <c r="K1288" s="276"/>
      <c r="L1288" s="272"/>
      <c r="M1288" s="272"/>
      <c r="N1288" s="248" t="str">
        <f>HYPERLINK("[#]DatatypeListedValues!A7391:H7391","&lt;values&gt;")</f>
        <v>&lt;values&gt;</v>
      </c>
      <c r="O1288" s="277" t="b">
        <v>0</v>
      </c>
      <c r="P1288" s="37">
        <v>109976</v>
      </c>
      <c r="Q1288" s="36" t="str">
        <f>CONCATENATE(Cover!$D$6,"fdd/view?i=",P1288)</f>
        <v>https://www.dgiwg.org/FAD/fdd/view?i=109976</v>
      </c>
      <c r="R1288" s="13" t="s">
        <v>12185</v>
      </c>
      <c r="S1288" s="172"/>
      <c r="T1288" s="172"/>
      <c r="AN1288" s="83" t="s">
        <v>1790</v>
      </c>
      <c r="CT1288" s="166" t="s">
        <v>1790</v>
      </c>
    </row>
    <row r="1289" spans="1:107" ht="89.25" x14ac:dyDescent="0.2">
      <c r="A1289" s="176" t="str">
        <f t="shared" si="34"/>
        <v>reserveVessel</v>
      </c>
      <c r="B1289" s="11" t="s">
        <v>12191</v>
      </c>
      <c r="C1289" s="173"/>
      <c r="D1289" s="22" t="s">
        <v>12192</v>
      </c>
      <c r="E1289" s="15" t="s">
        <v>12193</v>
      </c>
      <c r="F1289" s="15" t="s">
        <v>12194</v>
      </c>
      <c r="G1289" s="174"/>
      <c r="H1289" s="17" t="s">
        <v>5932</v>
      </c>
      <c r="I1289" s="269"/>
      <c r="J1289" s="369" t="str">
        <f>HYPERLINK("[#]Datatypes!B240:L240","Boolean")</f>
        <v>Boolean</v>
      </c>
      <c r="K1289" s="276"/>
      <c r="L1289" s="272"/>
      <c r="M1289" s="272"/>
      <c r="N1289" s="273"/>
      <c r="O1289" s="269"/>
      <c r="P1289" s="37">
        <v>111709</v>
      </c>
      <c r="Q1289" s="36" t="str">
        <f>CONCATENATE(Cover!$D$6,"fdd/view?i=",P1289)</f>
        <v>https://www.dgiwg.org/FAD/fdd/view?i=111709</v>
      </c>
      <c r="R1289" s="13" t="s">
        <v>12190</v>
      </c>
      <c r="S1289" s="172"/>
      <c r="T1289" s="172"/>
      <c r="BA1289" s="83" t="s">
        <v>1790</v>
      </c>
      <c r="CJ1289" s="81" t="s">
        <v>1790</v>
      </c>
      <c r="CT1289" s="166" t="s">
        <v>1790</v>
      </c>
    </row>
    <row r="1290" spans="1:107" ht="25.5" x14ac:dyDescent="0.2">
      <c r="A1290" s="176" t="str">
        <f t="shared" si="34"/>
        <v>restrictHorizClearance</v>
      </c>
      <c r="B1290" s="11" t="s">
        <v>12196</v>
      </c>
      <c r="C1290" s="173"/>
      <c r="D1290" s="22" t="s">
        <v>12197</v>
      </c>
      <c r="E1290" s="15" t="s">
        <v>12198</v>
      </c>
      <c r="F1290" s="15" t="s">
        <v>12199</v>
      </c>
      <c r="G1290" s="174"/>
      <c r="H1290" s="17" t="s">
        <v>5932</v>
      </c>
      <c r="I1290" s="269"/>
      <c r="J1290" s="369" t="str">
        <f>HYPERLINK("[#]Datatypes!B240:L240","Boolean")</f>
        <v>Boolean</v>
      </c>
      <c r="K1290" s="276"/>
      <c r="L1290" s="272"/>
      <c r="M1290" s="272"/>
      <c r="N1290" s="273"/>
      <c r="O1290" s="269"/>
      <c r="P1290" s="37">
        <v>100931</v>
      </c>
      <c r="Q1290" s="36" t="str">
        <f>CONCATENATE(Cover!$D$6,"fdd/view?i=",P1290)</f>
        <v>https://www.dgiwg.org/FAD/fdd/view?i=100931</v>
      </c>
      <c r="R1290" s="13" t="s">
        <v>12195</v>
      </c>
      <c r="S1290" s="172"/>
      <c r="T1290" s="172"/>
      <c r="AU1290" s="82" t="s">
        <v>1790</v>
      </c>
      <c r="CQ1290" s="165" t="s">
        <v>1790</v>
      </c>
    </row>
    <row r="1291" spans="1:107" ht="25.5" x14ac:dyDescent="0.2">
      <c r="A1291" s="176" t="str">
        <f t="shared" si="34"/>
        <v>restrictOverheadClearance</v>
      </c>
      <c r="B1291" s="11" t="s">
        <v>12201</v>
      </c>
      <c r="C1291" s="173"/>
      <c r="D1291" s="22" t="s">
        <v>12202</v>
      </c>
      <c r="E1291" s="15" t="s">
        <v>12203</v>
      </c>
      <c r="F1291" s="15" t="s">
        <v>12204</v>
      </c>
      <c r="G1291" s="174"/>
      <c r="H1291" s="17" t="s">
        <v>5932</v>
      </c>
      <c r="I1291" s="269"/>
      <c r="J1291" s="369" t="str">
        <f>HYPERLINK("[#]Datatypes!B240:L240","Boolean")</f>
        <v>Boolean</v>
      </c>
      <c r="K1291" s="276"/>
      <c r="L1291" s="272"/>
      <c r="M1291" s="272"/>
      <c r="N1291" s="273"/>
      <c r="O1291" s="269"/>
      <c r="P1291" s="37">
        <v>101118</v>
      </c>
      <c r="Q1291" s="36" t="str">
        <f>CONCATENATE(Cover!$D$6,"fdd/view?i=",P1291)</f>
        <v>https://www.dgiwg.org/FAD/fdd/view?i=101118</v>
      </c>
      <c r="R1291" s="13" t="s">
        <v>12200</v>
      </c>
      <c r="S1291" s="172"/>
      <c r="T1291" s="172"/>
      <c r="AP1291" s="81" t="s">
        <v>1790</v>
      </c>
      <c r="AQ1291" s="82" t="s">
        <v>1790</v>
      </c>
      <c r="AU1291" s="82" t="s">
        <v>1790</v>
      </c>
      <c r="AV1291" s="82" t="s">
        <v>1790</v>
      </c>
      <c r="CP1291" s="164" t="s">
        <v>1790</v>
      </c>
    </row>
    <row r="1292" spans="1:107" ht="51" x14ac:dyDescent="0.2">
      <c r="A1292" s="176" t="str">
        <f t="shared" si="34"/>
        <v>restrictionDeclassExempt</v>
      </c>
      <c r="B1292" s="11" t="s">
        <v>12207</v>
      </c>
      <c r="C1292" s="173"/>
      <c r="D1292" s="22" t="s">
        <v>12208</v>
      </c>
      <c r="E1292" s="15" t="s">
        <v>12209</v>
      </c>
      <c r="F1292" s="15" t="s">
        <v>12210</v>
      </c>
      <c r="G1292" s="174"/>
      <c r="H1292" s="17" t="s">
        <v>5932</v>
      </c>
      <c r="I1292" s="269"/>
      <c r="J1292" s="369" t="str">
        <f>HYPERLINK("[#]Datatypes!B1294:L1294","RdeCode")</f>
        <v>RdeCode</v>
      </c>
      <c r="K1292" s="276"/>
      <c r="L1292" s="272"/>
      <c r="M1292" s="272"/>
      <c r="N1292" s="248" t="str">
        <f>HYPERLINK("[#]DatatypeListedValues!A7397:H7397","&lt;values&gt;")</f>
        <v>&lt;values&gt;</v>
      </c>
      <c r="O1292" s="277" t="b">
        <v>0</v>
      </c>
      <c r="P1292" s="37">
        <v>109973</v>
      </c>
      <c r="Q1292" s="36" t="str">
        <f>CONCATENATE(Cover!$D$6,"fdd/view?i=",P1292)</f>
        <v>https://www.dgiwg.org/FAD/fdd/view?i=109973</v>
      </c>
      <c r="R1292" s="13" t="s">
        <v>12205</v>
      </c>
      <c r="S1292" s="172"/>
      <c r="T1292" s="13" t="s">
        <v>12206</v>
      </c>
      <c r="DB1292" s="166" t="s">
        <v>1790</v>
      </c>
    </row>
    <row r="1293" spans="1:107" ht="25.5" x14ac:dyDescent="0.2">
      <c r="A1293" s="176" t="str">
        <f t="shared" si="34"/>
        <v>retroReflectorHeight</v>
      </c>
      <c r="B1293" s="11" t="s">
        <v>12213</v>
      </c>
      <c r="C1293" s="173"/>
      <c r="D1293" s="22" t="s">
        <v>12214</v>
      </c>
      <c r="E1293" s="15" t="s">
        <v>12215</v>
      </c>
      <c r="F1293" s="15" t="s">
        <v>12216</v>
      </c>
      <c r="G1293" s="174"/>
      <c r="H1293" s="17" t="s">
        <v>5932</v>
      </c>
      <c r="I1293" s="269"/>
      <c r="J1293" s="369" t="str">
        <f>HYPERLINK("[#]Datatypes!B1048:L1048","RealNonNegative")</f>
        <v>RealNonNegative</v>
      </c>
      <c r="K1293" s="271" t="str">
        <f>HYPERLINK("[#]PhysicalQuantities!A20:N20","Length")</f>
        <v>Length</v>
      </c>
      <c r="L1293" s="270" t="str">
        <f>HYPERLINK("[#]UnitsOfMeasure!D80:G80","Metre")</f>
        <v>Metre</v>
      </c>
      <c r="M1293" s="272"/>
      <c r="N1293" s="273"/>
      <c r="O1293" s="269"/>
      <c r="P1293" s="37">
        <v>119598</v>
      </c>
      <c r="Q1293" s="36" t="str">
        <f>CONCATENATE(Cover!$D$6,"fdd/view?i=",P1293)</f>
        <v>https://www.dgiwg.org/FAD/fdd/view?i=119598</v>
      </c>
      <c r="R1293" s="13" t="s">
        <v>12212</v>
      </c>
      <c r="S1293" s="172"/>
      <c r="T1293" s="172"/>
      <c r="AT1293" s="82" t="s">
        <v>1790</v>
      </c>
      <c r="CG1293" s="83" t="s">
        <v>1790</v>
      </c>
      <c r="CQ1293" s="165" t="s">
        <v>1790</v>
      </c>
    </row>
    <row r="1294" spans="1:107" ht="51" x14ac:dyDescent="0.2">
      <c r="A1294" s="176" t="str">
        <f t="shared" si="34"/>
        <v>retroReflectorPresent</v>
      </c>
      <c r="B1294" s="11" t="s">
        <v>12218</v>
      </c>
      <c r="C1294" s="173"/>
      <c r="D1294" s="22" t="s">
        <v>12219</v>
      </c>
      <c r="E1294" s="15" t="s">
        <v>12220</v>
      </c>
      <c r="F1294" s="15" t="s">
        <v>12221</v>
      </c>
      <c r="G1294" s="174"/>
      <c r="H1294" s="17" t="s">
        <v>5932</v>
      </c>
      <c r="I1294" s="269"/>
      <c r="J1294" s="369" t="str">
        <f>HYPERLINK("[#]Datatypes!B240:L240","Boolean")</f>
        <v>Boolean</v>
      </c>
      <c r="K1294" s="276"/>
      <c r="L1294" s="272"/>
      <c r="M1294" s="272"/>
      <c r="N1294" s="273"/>
      <c r="O1294" s="269"/>
      <c r="P1294" s="37">
        <v>119599</v>
      </c>
      <c r="Q1294" s="36" t="str">
        <f>CONCATENATE(Cover!$D$6,"fdd/view?i=",P1294)</f>
        <v>https://www.dgiwg.org/FAD/fdd/view?i=119599</v>
      </c>
      <c r="R1294" s="13" t="s">
        <v>12217</v>
      </c>
      <c r="S1294" s="172"/>
      <c r="T1294" s="172"/>
      <c r="AT1294" s="82" t="s">
        <v>1790</v>
      </c>
      <c r="CG1294" s="83" t="s">
        <v>1790</v>
      </c>
      <c r="CS1294" s="165" t="s">
        <v>1790</v>
      </c>
    </row>
    <row r="1295" spans="1:107" ht="38.25" x14ac:dyDescent="0.2">
      <c r="A1295" s="176" t="str">
        <f t="shared" si="34"/>
        <v>reverseMagneticTrack</v>
      </c>
      <c r="B1295" s="11" t="s">
        <v>12223</v>
      </c>
      <c r="C1295" s="173"/>
      <c r="D1295" s="22" t="s">
        <v>12224</v>
      </c>
      <c r="E1295" s="15" t="s">
        <v>12225</v>
      </c>
      <c r="F1295" s="174"/>
      <c r="G1295" s="174"/>
      <c r="H1295" s="17" t="s">
        <v>5932</v>
      </c>
      <c r="I1295" s="269"/>
      <c r="J1295" s="369" t="str">
        <f>HYPERLINK("[#]Datatypes!B1231:L1231","Real")</f>
        <v>Real</v>
      </c>
      <c r="K1295" s="271" t="str">
        <f>HYPERLINK("[#]PhysicalQuantities!A34:N34","Plane Angle")</f>
        <v>Plane Angle</v>
      </c>
      <c r="L1295" s="270" t="str">
        <f>HYPERLINK("[#]UnitsOfMeasure!D159:G159","Arc Degree")</f>
        <v>Arc Degree</v>
      </c>
      <c r="M1295" s="272"/>
      <c r="N1295" s="273"/>
      <c r="O1295" s="269"/>
      <c r="P1295" s="37">
        <v>117616</v>
      </c>
      <c r="Q1295" s="36" t="str">
        <f>CONCATENATE(Cover!$D$6,"fdd/view?i=",P1295)</f>
        <v>https://www.dgiwg.org/FAD/fdd/view?i=117616</v>
      </c>
      <c r="R1295" s="13" t="s">
        <v>12222</v>
      </c>
      <c r="S1295" s="172"/>
      <c r="T1295" s="172"/>
      <c r="CF1295" s="83" t="s">
        <v>1790</v>
      </c>
      <c r="CI1295" s="89" t="s">
        <v>1790</v>
      </c>
    </row>
    <row r="1296" spans="1:107" ht="38.25" x14ac:dyDescent="0.2">
      <c r="A1296" s="176" t="str">
        <f t="shared" si="34"/>
        <v>reverseTrueTrack</v>
      </c>
      <c r="B1296" s="11" t="s">
        <v>12227</v>
      </c>
      <c r="C1296" s="173"/>
      <c r="D1296" s="22" t="s">
        <v>12228</v>
      </c>
      <c r="E1296" s="15" t="s">
        <v>12229</v>
      </c>
      <c r="F1296" s="174"/>
      <c r="G1296" s="174"/>
      <c r="H1296" s="17" t="s">
        <v>5932</v>
      </c>
      <c r="I1296" s="269"/>
      <c r="J1296" s="369" t="str">
        <f>HYPERLINK("[#]Datatypes!B1231:L1231","Real")</f>
        <v>Real</v>
      </c>
      <c r="K1296" s="271" t="str">
        <f>HYPERLINK("[#]PhysicalQuantities!A34:N34","Plane Angle")</f>
        <v>Plane Angle</v>
      </c>
      <c r="L1296" s="270" t="str">
        <f>HYPERLINK("[#]UnitsOfMeasure!D159:G159","Arc Degree")</f>
        <v>Arc Degree</v>
      </c>
      <c r="M1296" s="272"/>
      <c r="N1296" s="273"/>
      <c r="O1296" s="269"/>
      <c r="P1296" s="37">
        <v>117734</v>
      </c>
      <c r="Q1296" s="36" t="str">
        <f>CONCATENATE(Cover!$D$6,"fdd/view?i=",P1296)</f>
        <v>https://www.dgiwg.org/FAD/fdd/view?i=117734</v>
      </c>
      <c r="R1296" s="13" t="s">
        <v>12226</v>
      </c>
      <c r="S1296" s="172"/>
      <c r="T1296" s="172"/>
      <c r="CF1296" s="83" t="s">
        <v>1790</v>
      </c>
      <c r="CI1296" s="89" t="s">
        <v>1790</v>
      </c>
    </row>
    <row r="1297" spans="1:105" ht="51" x14ac:dyDescent="0.2">
      <c r="A1297" s="176" t="str">
        <f t="shared" si="34"/>
        <v>reviewSourceDateTime</v>
      </c>
      <c r="B1297" s="11" t="s">
        <v>12232</v>
      </c>
      <c r="C1297" s="173"/>
      <c r="D1297" s="22" t="s">
        <v>12233</v>
      </c>
      <c r="E1297" s="15" t="s">
        <v>12234</v>
      </c>
      <c r="F1297" s="15" t="s">
        <v>7752</v>
      </c>
      <c r="G1297" s="174"/>
      <c r="H1297" s="17" t="s">
        <v>5932</v>
      </c>
      <c r="I1297" s="269"/>
      <c r="J1297" s="369" t="str">
        <f>HYPERLINK("[#]Datatypes!B1296:L1296","RdvStrucText")</f>
        <v>RdvStrucText</v>
      </c>
      <c r="K1297" s="276"/>
      <c r="L1297" s="272"/>
      <c r="M1297" s="272"/>
      <c r="N1297" s="273"/>
      <c r="O1297" s="269"/>
      <c r="P1297" s="37">
        <v>109975</v>
      </c>
      <c r="Q1297" s="36" t="str">
        <f>CONCATENATE(Cover!$D$6,"fdd/view?i=",P1297)</f>
        <v>https://www.dgiwg.org/FAD/fdd/view?i=109975</v>
      </c>
      <c r="R1297" s="13" t="s">
        <v>12230</v>
      </c>
      <c r="S1297" s="172"/>
      <c r="T1297" s="13" t="s">
        <v>12231</v>
      </c>
      <c r="CY1297" s="165" t="s">
        <v>1790</v>
      </c>
      <c r="DA1297" s="165" t="s">
        <v>1790</v>
      </c>
    </row>
    <row r="1298" spans="1:105" ht="51" x14ac:dyDescent="0.2">
      <c r="A1298" s="176" t="str">
        <f t="shared" si="34"/>
        <v>reviewSourceDescription</v>
      </c>
      <c r="B1298" s="11" t="s">
        <v>12238</v>
      </c>
      <c r="C1298" s="173"/>
      <c r="D1298" s="22" t="s">
        <v>12239</v>
      </c>
      <c r="E1298" s="15" t="s">
        <v>12240</v>
      </c>
      <c r="F1298" s="15" t="s">
        <v>12241</v>
      </c>
      <c r="G1298" s="174"/>
      <c r="H1298" s="17" t="s">
        <v>5932</v>
      </c>
      <c r="I1298" s="269"/>
      <c r="J1298" s="369" t="str">
        <f>HYPERLINK("[#]Datatypes!B1544:L1544","TextLexUnconstrained")</f>
        <v>TextLexUnconstrained</v>
      </c>
      <c r="K1298" s="276"/>
      <c r="L1298" s="272"/>
      <c r="M1298" s="272"/>
      <c r="N1298" s="273"/>
      <c r="O1298" s="269"/>
      <c r="P1298" s="37">
        <v>109974</v>
      </c>
      <c r="Q1298" s="36" t="str">
        <f>CONCATENATE(Cover!$D$6,"fdd/view?i=",P1298)</f>
        <v>https://www.dgiwg.org/FAD/fdd/view?i=109974</v>
      </c>
      <c r="R1298" s="13" t="s">
        <v>12236</v>
      </c>
      <c r="S1298" s="172"/>
      <c r="T1298" s="13" t="s">
        <v>12237</v>
      </c>
      <c r="CZ1298" s="165" t="s">
        <v>1790</v>
      </c>
      <c r="DA1298" s="165" t="s">
        <v>1790</v>
      </c>
    </row>
    <row r="1299" spans="1:105" ht="51" x14ac:dyDescent="0.2">
      <c r="A1299" s="176" t="str">
        <f t="shared" si="34"/>
        <v>reviewSourceType</v>
      </c>
      <c r="B1299" s="11" t="s">
        <v>12244</v>
      </c>
      <c r="C1299" s="173"/>
      <c r="D1299" s="22" t="s">
        <v>12245</v>
      </c>
      <c r="E1299" s="15" t="s">
        <v>12246</v>
      </c>
      <c r="F1299" s="15" t="s">
        <v>12247</v>
      </c>
      <c r="G1299" s="174"/>
      <c r="H1299" s="17" t="s">
        <v>5932</v>
      </c>
      <c r="I1299" s="17" t="s">
        <v>6029</v>
      </c>
      <c r="J1299" s="369" t="str">
        <f>HYPERLINK("[#]Datatypes!B1298:L1298","RvtCode")</f>
        <v>RvtCode</v>
      </c>
      <c r="K1299" s="276"/>
      <c r="L1299" s="272"/>
      <c r="M1299" s="272"/>
      <c r="N1299" s="248" t="str">
        <f>HYPERLINK("[#]DatatypeListedValues!A7415:H7415","&lt;values&gt;")</f>
        <v>&lt;values&gt;</v>
      </c>
      <c r="O1299" s="277" t="b">
        <v>0</v>
      </c>
      <c r="P1299" s="37">
        <v>109980</v>
      </c>
      <c r="Q1299" s="36" t="str">
        <f>CONCATENATE(Cover!$D$6,"fdd/view?i=",P1299)</f>
        <v>https://www.dgiwg.org/FAD/fdd/view?i=109980</v>
      </c>
      <c r="R1299" s="13" t="s">
        <v>12242</v>
      </c>
      <c r="S1299" s="172"/>
      <c r="T1299" s="13" t="s">
        <v>12243</v>
      </c>
      <c r="CZ1299" s="165" t="s">
        <v>1790</v>
      </c>
      <c r="DA1299" s="165" t="s">
        <v>1790</v>
      </c>
    </row>
    <row r="1300" spans="1:105" ht="38.25" x14ac:dyDescent="0.2">
      <c r="A1300" s="176" t="str">
        <f t="shared" si="34"/>
        <v>rigPresent</v>
      </c>
      <c r="B1300" s="11" t="s">
        <v>12250</v>
      </c>
      <c r="C1300" s="173"/>
      <c r="D1300" s="22" t="s">
        <v>12251</v>
      </c>
      <c r="E1300" s="15" t="s">
        <v>12252</v>
      </c>
      <c r="F1300" s="15" t="s">
        <v>12253</v>
      </c>
      <c r="G1300" s="174"/>
      <c r="H1300" s="17" t="s">
        <v>5932</v>
      </c>
      <c r="I1300" s="269"/>
      <c r="J1300" s="369" t="str">
        <f>HYPERLINK("[#]Datatypes!B240:L240","Boolean")</f>
        <v>Boolean</v>
      </c>
      <c r="K1300" s="276"/>
      <c r="L1300" s="272"/>
      <c r="M1300" s="272"/>
      <c r="N1300" s="273"/>
      <c r="O1300" s="269"/>
      <c r="P1300" s="37">
        <v>111704</v>
      </c>
      <c r="Q1300" s="36" t="str">
        <f>CONCATENATE(Cover!$D$6,"fdd/view?i=",P1300)</f>
        <v>https://www.dgiwg.org/FAD/fdd/view?i=111704</v>
      </c>
      <c r="R1300" s="13" t="s">
        <v>12249</v>
      </c>
      <c r="S1300" s="172"/>
      <c r="T1300" s="172"/>
      <c r="AA1300" s="81" t="s">
        <v>1790</v>
      </c>
      <c r="BP1300" s="82" t="s">
        <v>1790</v>
      </c>
      <c r="CS1300" s="165" t="s">
        <v>1790</v>
      </c>
    </row>
    <row r="1301" spans="1:105" ht="25.5" x14ac:dyDescent="0.2">
      <c r="A1301" s="176" t="str">
        <f t="shared" si="34"/>
        <v>rightBankAccuracyCategory</v>
      </c>
      <c r="B1301" s="11" t="s">
        <v>12255</v>
      </c>
      <c r="C1301" s="173"/>
      <c r="D1301" s="22" t="s">
        <v>12256</v>
      </c>
      <c r="E1301" s="15" t="s">
        <v>12257</v>
      </c>
      <c r="F1301" s="174"/>
      <c r="G1301" s="174"/>
      <c r="H1301" s="17" t="s">
        <v>5932</v>
      </c>
      <c r="I1301" s="269"/>
      <c r="J1301" s="369" t="str">
        <f>HYPERLINK("[#]Datatypes!B1300:L1300","AcrCode")</f>
        <v>AcrCode</v>
      </c>
      <c r="K1301" s="276"/>
      <c r="L1301" s="272"/>
      <c r="M1301" s="272"/>
      <c r="N1301" s="248" t="str">
        <f>HYPERLINK("[#]DatatypeListedValues!A7564:H7564","&lt;values&gt;")</f>
        <v>&lt;values&gt;</v>
      </c>
      <c r="O1301" s="277" t="b">
        <v>0</v>
      </c>
      <c r="P1301" s="37">
        <v>100590</v>
      </c>
      <c r="Q1301" s="36" t="str">
        <f>CONCATENATE(Cover!$D$6,"fdd/view?i=",P1301)</f>
        <v>https://www.dgiwg.org/FAD/fdd/view?i=100590</v>
      </c>
      <c r="R1301" s="13" t="s">
        <v>12254</v>
      </c>
      <c r="S1301" s="172"/>
      <c r="T1301" s="172"/>
      <c r="BJ1301" s="83" t="s">
        <v>1790</v>
      </c>
      <c r="CP1301" s="164" t="s">
        <v>1790</v>
      </c>
      <c r="CZ1301" s="165" t="s">
        <v>1790</v>
      </c>
    </row>
    <row r="1302" spans="1:105" ht="25.5" x14ac:dyDescent="0.2">
      <c r="A1302" s="176" t="str">
        <f t="shared" si="34"/>
        <v>rightBankHeight</v>
      </c>
      <c r="B1302" s="11" t="s">
        <v>12260</v>
      </c>
      <c r="C1302" s="173"/>
      <c r="D1302" s="22" t="s">
        <v>12261</v>
      </c>
      <c r="E1302" s="15" t="s">
        <v>12262</v>
      </c>
      <c r="F1302" s="174"/>
      <c r="G1302" s="174"/>
      <c r="H1302" s="17" t="s">
        <v>5932</v>
      </c>
      <c r="I1302" s="269"/>
      <c r="J1302" s="369" t="str">
        <f>HYPERLINK("[#]Datatypes!B1233:L1233","RealInterval")</f>
        <v>RealInterval</v>
      </c>
      <c r="K1302" s="271" t="str">
        <f>HYPERLINK("[#]PhysicalQuantities!A20:N20","Length")</f>
        <v>Length</v>
      </c>
      <c r="L1302" s="270" t="str">
        <f>HYPERLINK("[#]UnitsOfMeasure!D80:G80","Metre")</f>
        <v>Metre</v>
      </c>
      <c r="M1302" s="272"/>
      <c r="N1302" s="273"/>
      <c r="O1302" s="269"/>
      <c r="P1302" s="37">
        <v>110684</v>
      </c>
      <c r="Q1302" s="36" t="str">
        <f>CONCATENATE(Cover!$D$6,"fdd/view?i=",P1302)</f>
        <v>https://www.dgiwg.org/FAD/fdd/view?i=110684</v>
      </c>
      <c r="R1302" s="13" t="s">
        <v>12259</v>
      </c>
      <c r="S1302" s="172"/>
      <c r="T1302" s="172"/>
      <c r="BJ1302" s="83" t="s">
        <v>1790</v>
      </c>
      <c r="BM1302" s="82" t="s">
        <v>1790</v>
      </c>
      <c r="CQ1302" s="165" t="s">
        <v>1790</v>
      </c>
    </row>
    <row r="1303" spans="1:105" ht="25.5" x14ac:dyDescent="0.2">
      <c r="A1303" s="176" t="str">
        <f t="shared" si="34"/>
        <v>rightBankShorelineType</v>
      </c>
      <c r="B1303" s="11" t="s">
        <v>12264</v>
      </c>
      <c r="C1303" s="173"/>
      <c r="D1303" s="22" t="s">
        <v>12265</v>
      </c>
      <c r="E1303" s="15" t="s">
        <v>12266</v>
      </c>
      <c r="F1303" s="174"/>
      <c r="G1303" s="174"/>
      <c r="H1303" s="17" t="s">
        <v>5932</v>
      </c>
      <c r="I1303" s="269"/>
      <c r="J1303" s="369" t="str">
        <f>HYPERLINK("[#]Datatypes!B1302:L1302","ShrCode")</f>
        <v>ShrCode</v>
      </c>
      <c r="K1303" s="276"/>
      <c r="L1303" s="272"/>
      <c r="M1303" s="272"/>
      <c r="N1303" s="248" t="str">
        <f>HYPERLINK("[#]DatatypeListedValues!A7566:H7566","&lt;values&gt;")</f>
        <v>&lt;values&gt;</v>
      </c>
      <c r="O1303" s="277" t="b">
        <v>0</v>
      </c>
      <c r="P1303" s="37">
        <v>101298</v>
      </c>
      <c r="Q1303" s="36" t="str">
        <f>CONCATENATE(Cover!$D$6,"fdd/view?i=",P1303)</f>
        <v>https://www.dgiwg.org/FAD/fdd/view?i=101298</v>
      </c>
      <c r="R1303" s="13" t="s">
        <v>12263</v>
      </c>
      <c r="S1303" s="172"/>
      <c r="T1303" s="172"/>
      <c r="BJ1303" s="83" t="s">
        <v>1790</v>
      </c>
      <c r="CS1303" s="165" t="s">
        <v>1790</v>
      </c>
    </row>
    <row r="1304" spans="1:105" ht="63.75" x14ac:dyDescent="0.2">
      <c r="A1304" s="176" t="str">
        <f t="shared" si="34"/>
        <v>rightBankSlope</v>
      </c>
      <c r="B1304" s="11" t="s">
        <v>12269</v>
      </c>
      <c r="C1304" s="173"/>
      <c r="D1304" s="22" t="s">
        <v>12270</v>
      </c>
      <c r="E1304" s="15" t="s">
        <v>12271</v>
      </c>
      <c r="F1304" s="15" t="s">
        <v>12272</v>
      </c>
      <c r="G1304" s="174"/>
      <c r="H1304" s="17" t="s">
        <v>5932</v>
      </c>
      <c r="I1304" s="269"/>
      <c r="J1304" s="369" t="str">
        <f>HYPERLINK("[#]Datatypes!B1233:L1233","RealInterval")</f>
        <v>RealInterval</v>
      </c>
      <c r="K1304" s="271" t="str">
        <f>HYPERLINK("[#]PhysicalQuantities!A39:N39","Pure Number")</f>
        <v>Pure Number</v>
      </c>
      <c r="L1304" s="270" t="str">
        <f>HYPERLINK("[#]UnitsOfMeasure!D215:G215","Percent")</f>
        <v>Percent</v>
      </c>
      <c r="M1304" s="272"/>
      <c r="N1304" s="273"/>
      <c r="O1304" s="269"/>
      <c r="P1304" s="37">
        <v>110682</v>
      </c>
      <c r="Q1304" s="36" t="str">
        <f>CONCATENATE(Cover!$D$6,"fdd/view?i=",P1304)</f>
        <v>https://www.dgiwg.org/FAD/fdd/view?i=110682</v>
      </c>
      <c r="R1304" s="13" t="s">
        <v>12268</v>
      </c>
      <c r="S1304" s="172"/>
      <c r="T1304" s="172"/>
      <c r="BJ1304" s="83" t="s">
        <v>1790</v>
      </c>
      <c r="BM1304" s="82" t="s">
        <v>1790</v>
      </c>
      <c r="CQ1304" s="165" t="s">
        <v>1790</v>
      </c>
    </row>
    <row r="1305" spans="1:105" ht="25.5" x14ac:dyDescent="0.2">
      <c r="A1305" s="176" t="str">
        <f t="shared" si="34"/>
        <v>rightBankVegetationCover</v>
      </c>
      <c r="B1305" s="11" t="s">
        <v>12274</v>
      </c>
      <c r="C1305" s="173"/>
      <c r="D1305" s="22" t="s">
        <v>12275</v>
      </c>
      <c r="E1305" s="15" t="s">
        <v>12276</v>
      </c>
      <c r="F1305" s="174"/>
      <c r="G1305" s="174"/>
      <c r="H1305" s="17" t="s">
        <v>5932</v>
      </c>
      <c r="I1305" s="269"/>
      <c r="J1305" s="369" t="str">
        <f>HYPERLINK("[#]Datatypes!B1238:L1238","RealNonNegInterval100")</f>
        <v>RealNonNegInterval100</v>
      </c>
      <c r="K1305" s="271" t="str">
        <f>HYPERLINK("[#]PhysicalQuantities!A39:N39","Pure Number")</f>
        <v>Pure Number</v>
      </c>
      <c r="L1305" s="270" t="str">
        <f>HYPERLINK("[#]UnitsOfMeasure!D215:G215","Percent")</f>
        <v>Percent</v>
      </c>
      <c r="M1305" s="272"/>
      <c r="N1305" s="273"/>
      <c r="O1305" s="269"/>
      <c r="P1305" s="37">
        <v>109972</v>
      </c>
      <c r="Q1305" s="36" t="str">
        <f>CONCATENATE(Cover!$D$6,"fdd/view?i=",P1305)</f>
        <v>https://www.dgiwg.org/FAD/fdd/view?i=109972</v>
      </c>
      <c r="R1305" s="13" t="s">
        <v>12273</v>
      </c>
      <c r="S1305" s="172"/>
      <c r="T1305" s="172"/>
      <c r="BJ1305" s="83" t="s">
        <v>1790</v>
      </c>
      <c r="BY1305" s="83" t="s">
        <v>1790</v>
      </c>
      <c r="CQ1305" s="165" t="s">
        <v>1790</v>
      </c>
    </row>
    <row r="1306" spans="1:105" ht="63.75" x14ac:dyDescent="0.2">
      <c r="A1306" s="176" t="str">
        <f t="shared" si="34"/>
        <v>rightBelowWaterBankSlope</v>
      </c>
      <c r="B1306" s="11" t="s">
        <v>12278</v>
      </c>
      <c r="C1306" s="173"/>
      <c r="D1306" s="22" t="s">
        <v>12279</v>
      </c>
      <c r="E1306" s="15" t="s">
        <v>12280</v>
      </c>
      <c r="F1306" s="15" t="s">
        <v>12281</v>
      </c>
      <c r="G1306" s="174"/>
      <c r="H1306" s="17" t="s">
        <v>5932</v>
      </c>
      <c r="I1306" s="269"/>
      <c r="J1306" s="369" t="str">
        <f>HYPERLINK("[#]Datatypes!B1233:L1233","RealInterval")</f>
        <v>RealInterval</v>
      </c>
      <c r="K1306" s="271" t="str">
        <f>HYPERLINK("[#]PhysicalQuantities!A39:N39","Pure Number")</f>
        <v>Pure Number</v>
      </c>
      <c r="L1306" s="270" t="str">
        <f>HYPERLINK("[#]UnitsOfMeasure!D215:G215","Percent")</f>
        <v>Percent</v>
      </c>
      <c r="M1306" s="272"/>
      <c r="N1306" s="273"/>
      <c r="O1306" s="269"/>
      <c r="P1306" s="37">
        <v>110686</v>
      </c>
      <c r="Q1306" s="36" t="str">
        <f>CONCATENATE(Cover!$D$6,"fdd/view?i=",P1306)</f>
        <v>https://www.dgiwg.org/FAD/fdd/view?i=110686</v>
      </c>
      <c r="R1306" s="13" t="s">
        <v>12277</v>
      </c>
      <c r="S1306" s="172"/>
      <c r="T1306" s="172"/>
      <c r="BJ1306" s="83" t="s">
        <v>1790</v>
      </c>
      <c r="BM1306" s="82" t="s">
        <v>1790</v>
      </c>
      <c r="CQ1306" s="165" t="s">
        <v>1790</v>
      </c>
    </row>
    <row r="1307" spans="1:105" ht="25.5" x14ac:dyDescent="0.2">
      <c r="A1307" s="176" t="str">
        <f t="shared" si="34"/>
        <v>roadDensity</v>
      </c>
      <c r="B1307" s="11" t="s">
        <v>12283</v>
      </c>
      <c r="C1307" s="173"/>
      <c r="D1307" s="22" t="s">
        <v>12284</v>
      </c>
      <c r="E1307" s="15" t="s">
        <v>12285</v>
      </c>
      <c r="F1307" s="174"/>
      <c r="G1307" s="174"/>
      <c r="H1307" s="17" t="s">
        <v>5932</v>
      </c>
      <c r="I1307" s="269"/>
      <c r="J1307" s="369" t="str">
        <f>HYPERLINK("[#]Datatypes!B1231:L1231","Real")</f>
        <v>Real</v>
      </c>
      <c r="K1307" s="271" t="str">
        <f>HYPERLINK("[#]PhysicalQuantities!A21:N21","Linear Density")</f>
        <v>Linear Density</v>
      </c>
      <c r="L1307" s="270" t="str">
        <f>HYPERLINK("[#]UnitsOfMeasure!D112:G112","Kilometre per square Kilometre")</f>
        <v>Kilometre per square Kilometre</v>
      </c>
      <c r="M1307" s="272"/>
      <c r="N1307" s="273"/>
      <c r="O1307" s="269"/>
      <c r="P1307" s="37">
        <v>111525</v>
      </c>
      <c r="Q1307" s="36" t="str">
        <f>CONCATENATE(Cover!$D$6,"fdd/view?i=",P1307)</f>
        <v>https://www.dgiwg.org/FAD/fdd/view?i=111525</v>
      </c>
      <c r="R1307" s="13" t="s">
        <v>12282</v>
      </c>
      <c r="S1307" s="172"/>
      <c r="T1307" s="172"/>
      <c r="AM1307" s="83" t="s">
        <v>1790</v>
      </c>
      <c r="AQ1307" s="82" t="s">
        <v>1790</v>
      </c>
      <c r="CQ1307" s="165" t="s">
        <v>1790</v>
      </c>
    </row>
    <row r="1308" spans="1:105" ht="89.25" x14ac:dyDescent="0.2">
      <c r="A1308" s="176" t="str">
        <f t="shared" si="34"/>
        <v>roadInterchangeRamp</v>
      </c>
      <c r="B1308" s="11" t="s">
        <v>12287</v>
      </c>
      <c r="C1308" s="173"/>
      <c r="D1308" s="22" t="s">
        <v>12288</v>
      </c>
      <c r="E1308" s="15" t="s">
        <v>12289</v>
      </c>
      <c r="F1308" s="15" t="s">
        <v>12290</v>
      </c>
      <c r="G1308" s="15" t="s">
        <v>4765</v>
      </c>
      <c r="H1308" s="17" t="s">
        <v>5932</v>
      </c>
      <c r="I1308" s="269"/>
      <c r="J1308" s="369" t="str">
        <f>HYPERLINK("[#]Datatypes!B240:L240","Boolean")</f>
        <v>Boolean</v>
      </c>
      <c r="K1308" s="276"/>
      <c r="L1308" s="272"/>
      <c r="M1308" s="272"/>
      <c r="N1308" s="273"/>
      <c r="O1308" s="269"/>
      <c r="P1308" s="37">
        <v>119518</v>
      </c>
      <c r="Q1308" s="36" t="str">
        <f>CONCATENATE(Cover!$D$6,"fdd/view?i=",P1308)</f>
        <v>https://www.dgiwg.org/FAD/fdd/view?i=119518</v>
      </c>
      <c r="R1308" s="13" t="s">
        <v>12286</v>
      </c>
      <c r="S1308" s="172"/>
      <c r="T1308" s="172"/>
      <c r="AQ1308" s="82" t="s">
        <v>1790</v>
      </c>
    </row>
    <row r="1309" spans="1:105" x14ac:dyDescent="0.2">
      <c r="A1309" s="176" t="str">
        <f t="shared" si="34"/>
        <v>roadInterchangeType</v>
      </c>
      <c r="B1309" s="11" t="s">
        <v>12292</v>
      </c>
      <c r="C1309" s="173"/>
      <c r="D1309" s="22" t="s">
        <v>12293</v>
      </c>
      <c r="E1309" s="15" t="s">
        <v>12294</v>
      </c>
      <c r="F1309" s="174"/>
      <c r="G1309" s="174"/>
      <c r="H1309" s="17" t="s">
        <v>5932</v>
      </c>
      <c r="I1309" s="269"/>
      <c r="J1309" s="369" t="str">
        <f>HYPERLINK("[#]Datatypes!B1304:L1304","RitCode")</f>
        <v>RitCode</v>
      </c>
      <c r="K1309" s="276"/>
      <c r="L1309" s="272"/>
      <c r="M1309" s="272"/>
      <c r="N1309" s="248" t="str">
        <f>HYPERLINK("[#]DatatypeListedValues!A7573:H7573","&lt;values&gt;")</f>
        <v>&lt;values&gt;</v>
      </c>
      <c r="O1309" s="277" t="b">
        <v>0</v>
      </c>
      <c r="P1309" s="37">
        <v>101229</v>
      </c>
      <c r="Q1309" s="36" t="str">
        <f>CONCATENATE(Cover!$D$6,"fdd/view?i=",P1309)</f>
        <v>https://www.dgiwg.org/FAD/fdd/view?i=101229</v>
      </c>
      <c r="R1309" s="13" t="s">
        <v>12291</v>
      </c>
      <c r="S1309" s="172"/>
      <c r="T1309" s="172"/>
      <c r="AQ1309" s="82" t="s">
        <v>1790</v>
      </c>
      <c r="AV1309" s="82" t="s">
        <v>1790</v>
      </c>
      <c r="CS1309" s="165" t="s">
        <v>1790</v>
      </c>
    </row>
    <row r="1310" spans="1:105" x14ac:dyDescent="0.2">
      <c r="A1310" s="176" t="str">
        <f t="shared" si="34"/>
        <v>roadWeatherRestriction</v>
      </c>
      <c r="B1310" s="11" t="s">
        <v>12297</v>
      </c>
      <c r="C1310" s="173"/>
      <c r="D1310" s="22" t="s">
        <v>12298</v>
      </c>
      <c r="E1310" s="15" t="s">
        <v>12299</v>
      </c>
      <c r="F1310" s="174"/>
      <c r="G1310" s="174"/>
      <c r="H1310" s="17" t="s">
        <v>5932</v>
      </c>
      <c r="I1310" s="269"/>
      <c r="J1310" s="369" t="str">
        <f>HYPERLINK("[#]Datatypes!B1306:L1306","WtcCode")</f>
        <v>WtcCode</v>
      </c>
      <c r="K1310" s="276"/>
      <c r="L1310" s="272"/>
      <c r="M1310" s="272"/>
      <c r="N1310" s="248" t="str">
        <f>HYPERLINK("[#]DatatypeListedValues!A7584:H7584","&lt;values&gt;")</f>
        <v>&lt;values&gt;</v>
      </c>
      <c r="O1310" s="277" t="b">
        <v>0</v>
      </c>
      <c r="P1310" s="37">
        <v>101509</v>
      </c>
      <c r="Q1310" s="36" t="str">
        <f>CONCATENATE(Cover!$D$6,"fdd/view?i=",P1310)</f>
        <v>https://www.dgiwg.org/FAD/fdd/view?i=101509</v>
      </c>
      <c r="R1310" s="13" t="s">
        <v>12296</v>
      </c>
      <c r="S1310" s="172"/>
      <c r="T1310" s="172"/>
      <c r="AQ1310" s="82" t="s">
        <v>1790</v>
      </c>
      <c r="AU1310" s="82" t="s">
        <v>1790</v>
      </c>
      <c r="CT1310" s="166" t="s">
        <v>1790</v>
      </c>
    </row>
    <row r="1311" spans="1:105" x14ac:dyDescent="0.2">
      <c r="A1311" s="176" t="str">
        <f t="shared" si="34"/>
        <v>rockFormationStructure</v>
      </c>
      <c r="B1311" s="11" t="s">
        <v>12302</v>
      </c>
      <c r="C1311" s="173"/>
      <c r="D1311" s="22" t="s">
        <v>12303</v>
      </c>
      <c r="E1311" s="15" t="s">
        <v>12304</v>
      </c>
      <c r="F1311" s="174"/>
      <c r="G1311" s="174"/>
      <c r="H1311" s="17" t="s">
        <v>5932</v>
      </c>
      <c r="I1311" s="269"/>
      <c r="J1311" s="369" t="str">
        <f>HYPERLINK("[#]Datatypes!B1308:L1308","RkfCode")</f>
        <v>RkfCode</v>
      </c>
      <c r="K1311" s="276"/>
      <c r="L1311" s="272"/>
      <c r="M1311" s="272"/>
      <c r="N1311" s="248" t="str">
        <f>HYPERLINK("[#]DatatypeListedValues!A7589:H7589","&lt;values&gt;")</f>
        <v>&lt;values&gt;</v>
      </c>
      <c r="O1311" s="277" t="b">
        <v>0</v>
      </c>
      <c r="P1311" s="37">
        <v>101230</v>
      </c>
      <c r="Q1311" s="36" t="str">
        <f>CONCATENATE(Cover!$D$6,"fdd/view?i=",P1311)</f>
        <v>https://www.dgiwg.org/FAD/fdd/view?i=101230</v>
      </c>
      <c r="R1311" s="13" t="s">
        <v>12301</v>
      </c>
      <c r="S1311" s="172"/>
      <c r="T1311" s="172"/>
      <c r="BN1311" s="82" t="s">
        <v>1790</v>
      </c>
      <c r="CS1311" s="165" t="s">
        <v>1790</v>
      </c>
    </row>
    <row r="1312" spans="1:105" x14ac:dyDescent="0.2">
      <c r="A1312" s="176" t="str">
        <f t="shared" si="34"/>
        <v>rockLayerDepth</v>
      </c>
      <c r="B1312" s="11" t="s">
        <v>12307</v>
      </c>
      <c r="C1312" s="173"/>
      <c r="D1312" s="22" t="s">
        <v>12308</v>
      </c>
      <c r="E1312" s="15" t="s">
        <v>12309</v>
      </c>
      <c r="F1312" s="174"/>
      <c r="G1312" s="174"/>
      <c r="H1312" s="17" t="s">
        <v>5932</v>
      </c>
      <c r="I1312" s="269"/>
      <c r="J1312" s="369" t="str">
        <f>HYPERLINK("[#]Datatypes!B1231:L1231","Real")</f>
        <v>Real</v>
      </c>
      <c r="K1312" s="271" t="str">
        <f>HYPERLINK("[#]PhysicalQuantities!A20:N20","Length")</f>
        <v>Length</v>
      </c>
      <c r="L1312" s="270" t="str">
        <f>HYPERLINK("[#]UnitsOfMeasure!D80:G80","Metre")</f>
        <v>Metre</v>
      </c>
      <c r="M1312" s="272"/>
      <c r="N1312" s="273"/>
      <c r="O1312" s="269"/>
      <c r="P1312" s="37">
        <v>111770</v>
      </c>
      <c r="Q1312" s="36" t="str">
        <f>CONCATENATE(Cover!$D$6,"fdd/view?i=",P1312)</f>
        <v>https://www.dgiwg.org/FAD/fdd/view?i=111770</v>
      </c>
      <c r="R1312" s="13" t="s">
        <v>12306</v>
      </c>
      <c r="S1312" s="172"/>
      <c r="T1312" s="172"/>
      <c r="BN1312" s="82" t="s">
        <v>1790</v>
      </c>
      <c r="CP1312" s="164" t="s">
        <v>1790</v>
      </c>
    </row>
    <row r="1313" spans="1:100" ht="25.5" x14ac:dyDescent="0.2">
      <c r="A1313" s="176" t="str">
        <f t="shared" si="34"/>
        <v>rockSedimentPorosity</v>
      </c>
      <c r="B1313" s="11" t="s">
        <v>12311</v>
      </c>
      <c r="C1313" s="173"/>
      <c r="D1313" s="22" t="s">
        <v>12312</v>
      </c>
      <c r="E1313" s="15" t="s">
        <v>12313</v>
      </c>
      <c r="F1313" s="174"/>
      <c r="G1313" s="174"/>
      <c r="H1313" s="17" t="s">
        <v>5932</v>
      </c>
      <c r="I1313" s="269"/>
      <c r="J1313" s="369" t="str">
        <f>HYPERLINK("[#]Datatypes!B744:L744","Integer0to100")</f>
        <v>Integer0to100</v>
      </c>
      <c r="K1313" s="271" t="str">
        <f>HYPERLINK("[#]PhysicalQuantities!A39:N39","Pure Number")</f>
        <v>Pure Number</v>
      </c>
      <c r="L1313" s="270" t="str">
        <f>HYPERLINK("[#]UnitsOfMeasure!D215:G215","Percent")</f>
        <v>Percent</v>
      </c>
      <c r="M1313" s="272"/>
      <c r="N1313" s="273"/>
      <c r="O1313" s="269"/>
      <c r="P1313" s="37">
        <v>111773</v>
      </c>
      <c r="Q1313" s="36" t="str">
        <f>CONCATENATE(Cover!$D$6,"fdd/view?i=",P1313)</f>
        <v>https://www.dgiwg.org/FAD/fdd/view?i=111773</v>
      </c>
      <c r="R1313" s="13" t="s">
        <v>12310</v>
      </c>
      <c r="S1313" s="172"/>
      <c r="T1313" s="172"/>
      <c r="BN1313" s="82" t="s">
        <v>1790</v>
      </c>
      <c r="CQ1313" s="165" t="s">
        <v>1790</v>
      </c>
    </row>
    <row r="1314" spans="1:100" ht="25.5" x14ac:dyDescent="0.2">
      <c r="A1314" s="176" t="str">
        <f t="shared" si="34"/>
        <v>rockType</v>
      </c>
      <c r="B1314" s="11" t="s">
        <v>12315</v>
      </c>
      <c r="C1314" s="173"/>
      <c r="D1314" s="22" t="s">
        <v>12316</v>
      </c>
      <c r="E1314" s="15" t="s">
        <v>12317</v>
      </c>
      <c r="F1314" s="174"/>
      <c r="G1314" s="174"/>
      <c r="H1314" s="17" t="s">
        <v>5932</v>
      </c>
      <c r="I1314" s="269"/>
      <c r="J1314" s="369" t="str">
        <f>HYPERLINK("[#]Datatypes!B1310:L1310","StoCode")</f>
        <v>StoCode</v>
      </c>
      <c r="K1314" s="276"/>
      <c r="L1314" s="272"/>
      <c r="M1314" s="272"/>
      <c r="N1314" s="248" t="str">
        <f>HYPERLINK("[#]DatatypeListedValues!A7593:H7593","&lt;values&gt;")</f>
        <v>&lt;values&gt;</v>
      </c>
      <c r="O1314" s="277" t="b">
        <v>0</v>
      </c>
      <c r="P1314" s="37">
        <v>111730</v>
      </c>
      <c r="Q1314" s="36" t="str">
        <f>CONCATENATE(Cover!$D$6,"fdd/view?i=",P1314)</f>
        <v>https://www.dgiwg.org/FAD/fdd/view?i=111730</v>
      </c>
      <c r="R1314" s="13" t="s">
        <v>12314</v>
      </c>
      <c r="S1314" s="172"/>
      <c r="T1314" s="172"/>
      <c r="BN1314" s="82" t="s">
        <v>1790</v>
      </c>
      <c r="CS1314" s="165" t="s">
        <v>1790</v>
      </c>
    </row>
    <row r="1315" spans="1:100" ht="25.5" x14ac:dyDescent="0.2">
      <c r="A1315" s="176" t="str">
        <f t="shared" si="34"/>
        <v>roofCover</v>
      </c>
      <c r="B1315" s="11" t="s">
        <v>12320</v>
      </c>
      <c r="C1315" s="173"/>
      <c r="D1315" s="22" t="s">
        <v>12321</v>
      </c>
      <c r="E1315" s="15" t="s">
        <v>12322</v>
      </c>
      <c r="F1315" s="174"/>
      <c r="G1315" s="174"/>
      <c r="H1315" s="17" t="s">
        <v>5932</v>
      </c>
      <c r="I1315" s="269"/>
      <c r="J1315" s="369" t="str">
        <f>HYPERLINK("[#]Datatypes!B1238:L1238","RealNonNegInterval100")</f>
        <v>RealNonNegInterval100</v>
      </c>
      <c r="K1315" s="271" t="str">
        <f>HYPERLINK("[#]PhysicalQuantities!A39:N39","Pure Number")</f>
        <v>Pure Number</v>
      </c>
      <c r="L1315" s="270" t="str">
        <f>HYPERLINK("[#]UnitsOfMeasure!D215:G215","Percent")</f>
        <v>Percent</v>
      </c>
      <c r="M1315" s="272"/>
      <c r="N1315" s="273"/>
      <c r="O1315" s="269"/>
      <c r="P1315" s="37">
        <v>110694</v>
      </c>
      <c r="Q1315" s="36" t="str">
        <f>CONCATENATE(Cover!$D$6,"fdd/view?i=",P1315)</f>
        <v>https://www.dgiwg.org/FAD/fdd/view?i=110694</v>
      </c>
      <c r="R1315" s="13" t="s">
        <v>12319</v>
      </c>
      <c r="S1315" s="172"/>
      <c r="T1315" s="172"/>
      <c r="AI1315" s="87" t="s">
        <v>1790</v>
      </c>
      <c r="AJ1315" s="83" t="s">
        <v>1790</v>
      </c>
      <c r="CS1315" s="165" t="s">
        <v>1790</v>
      </c>
    </row>
    <row r="1316" spans="1:100" x14ac:dyDescent="0.2">
      <c r="A1316" s="176" t="str">
        <f t="shared" si="34"/>
        <v>roofShape</v>
      </c>
      <c r="B1316" s="11" t="s">
        <v>12324</v>
      </c>
      <c r="C1316" s="173"/>
      <c r="D1316" s="22" t="s">
        <v>12325</v>
      </c>
      <c r="E1316" s="15" t="s">
        <v>12326</v>
      </c>
      <c r="F1316" s="174"/>
      <c r="G1316" s="174"/>
      <c r="H1316" s="17" t="s">
        <v>5932</v>
      </c>
      <c r="I1316" s="17" t="s">
        <v>6029</v>
      </c>
      <c r="J1316" s="369" t="str">
        <f>HYPERLINK("[#]Datatypes!B1312:L1312","SsrCode")</f>
        <v>SsrCode</v>
      </c>
      <c r="K1316" s="276"/>
      <c r="L1316" s="272"/>
      <c r="M1316" s="272"/>
      <c r="N1316" s="248" t="str">
        <f>HYPERLINK("[#]DatatypeListedValues!A7665:H7665","&lt;values&gt;")</f>
        <v>&lt;values&gt;</v>
      </c>
      <c r="O1316" s="277" t="b">
        <v>0</v>
      </c>
      <c r="P1316" s="37">
        <v>101332</v>
      </c>
      <c r="Q1316" s="36" t="str">
        <f>CONCATENATE(Cover!$D$6,"fdd/view?i=",P1316)</f>
        <v>https://www.dgiwg.org/FAD/fdd/view?i=101332</v>
      </c>
      <c r="R1316" s="13" t="s">
        <v>12323</v>
      </c>
      <c r="S1316" s="172"/>
      <c r="T1316" s="172"/>
      <c r="AI1316" s="87" t="s">
        <v>1790</v>
      </c>
      <c r="AJ1316" s="83" t="s">
        <v>1790</v>
      </c>
      <c r="CS1316" s="165" t="s">
        <v>1790</v>
      </c>
    </row>
    <row r="1317" spans="1:100" ht="51" x14ac:dyDescent="0.2">
      <c r="A1317" s="176" t="str">
        <f t="shared" si="34"/>
        <v>roofed</v>
      </c>
      <c r="B1317" s="11" t="s">
        <v>12329</v>
      </c>
      <c r="C1317" s="173"/>
      <c r="D1317" s="22" t="s">
        <v>12330</v>
      </c>
      <c r="E1317" s="15" t="s">
        <v>12331</v>
      </c>
      <c r="F1317" s="15" t="s">
        <v>12332</v>
      </c>
      <c r="G1317" s="174"/>
      <c r="H1317" s="17" t="s">
        <v>5932</v>
      </c>
      <c r="I1317" s="269"/>
      <c r="J1317" s="369" t="str">
        <f>HYPERLINK("[#]Datatypes!B240:L240","Boolean")</f>
        <v>Boolean</v>
      </c>
      <c r="K1317" s="276"/>
      <c r="L1317" s="272"/>
      <c r="M1317" s="272"/>
      <c r="N1317" s="273"/>
      <c r="O1317" s="269"/>
      <c r="P1317" s="37">
        <v>118029</v>
      </c>
      <c r="Q1317" s="36" t="str">
        <f>CONCATENATE(Cover!$D$6,"fdd/view?i=",P1317)</f>
        <v>https://www.dgiwg.org/FAD/fdd/view?i=118029</v>
      </c>
      <c r="R1317" s="13" t="s">
        <v>12328</v>
      </c>
      <c r="S1317" s="172"/>
      <c r="T1317" s="172"/>
      <c r="AJ1317" s="83" t="s">
        <v>1790</v>
      </c>
      <c r="CS1317" s="165" t="s">
        <v>1790</v>
      </c>
    </row>
    <row r="1318" spans="1:100" x14ac:dyDescent="0.2">
      <c r="A1318" s="176" t="str">
        <f t="shared" si="34"/>
        <v>rotorDiameter</v>
      </c>
      <c r="B1318" s="11" t="s">
        <v>12334</v>
      </c>
      <c r="C1318" s="173"/>
      <c r="D1318" s="22" t="s">
        <v>12335</v>
      </c>
      <c r="E1318" s="15" t="s">
        <v>12336</v>
      </c>
      <c r="F1318" s="15" t="s">
        <v>12337</v>
      </c>
      <c r="G1318" s="174"/>
      <c r="H1318" s="17" t="s">
        <v>5932</v>
      </c>
      <c r="I1318" s="269"/>
      <c r="J1318" s="369" t="str">
        <f>HYPERLINK("[#]Datatypes!B1231:L1231","Real")</f>
        <v>Real</v>
      </c>
      <c r="K1318" s="271" t="str">
        <f>HYPERLINK("[#]PhysicalQuantities!A20:N20","Length")</f>
        <v>Length</v>
      </c>
      <c r="L1318" s="270" t="str">
        <f>HYPERLINK("[#]UnitsOfMeasure!D80:G80","Metre")</f>
        <v>Metre</v>
      </c>
      <c r="M1318" s="272"/>
      <c r="N1318" s="273"/>
      <c r="O1318" s="269"/>
      <c r="P1318" s="37">
        <v>118155</v>
      </c>
      <c r="Q1318" s="36" t="str">
        <f>CONCATENATE(Cover!$D$6,"fdd/view?i=",P1318)</f>
        <v>https://www.dgiwg.org/FAD/fdd/view?i=118155</v>
      </c>
      <c r="R1318" s="13" t="s">
        <v>12333</v>
      </c>
      <c r="S1318" s="172"/>
      <c r="T1318" s="172"/>
      <c r="AD1318" s="82" t="s">
        <v>1790</v>
      </c>
      <c r="CQ1318" s="165" t="s">
        <v>1790</v>
      </c>
    </row>
    <row r="1319" spans="1:100" x14ac:dyDescent="0.2">
      <c r="A1319" s="176" t="str">
        <f t="shared" si="34"/>
        <v>routeClassification</v>
      </c>
      <c r="B1319" s="11" t="s">
        <v>12339</v>
      </c>
      <c r="C1319" s="173"/>
      <c r="D1319" s="22" t="s">
        <v>12340</v>
      </c>
      <c r="E1319" s="15" t="s">
        <v>12341</v>
      </c>
      <c r="F1319" s="174"/>
      <c r="G1319" s="174"/>
      <c r="H1319" s="17" t="s">
        <v>5932</v>
      </c>
      <c r="I1319" s="269"/>
      <c r="J1319" s="369" t="str">
        <f>HYPERLINK("[#]Datatypes!B1314:L1314","RclCode")</f>
        <v>RclCode</v>
      </c>
      <c r="K1319" s="276"/>
      <c r="L1319" s="272"/>
      <c r="M1319" s="272"/>
      <c r="N1319" s="248" t="str">
        <f>HYPERLINK("[#]DatatypeListedValues!A7675:H7675","&lt;values&gt;")</f>
        <v>&lt;values&gt;</v>
      </c>
      <c r="O1319" s="277" t="b">
        <v>0</v>
      </c>
      <c r="P1319" s="37">
        <v>118622</v>
      </c>
      <c r="Q1319" s="36" t="str">
        <f>CONCATENATE(Cover!$D$6,"fdd/view?i=",P1319)</f>
        <v>https://www.dgiwg.org/FAD/fdd/view?i=118622</v>
      </c>
      <c r="R1319" s="13" t="s">
        <v>12338</v>
      </c>
      <c r="S1319" s="172"/>
      <c r="T1319" s="172"/>
      <c r="AP1319" s="81" t="s">
        <v>1790</v>
      </c>
      <c r="AQ1319" s="82" t="s">
        <v>1790</v>
      </c>
      <c r="AS1319" s="82" t="s">
        <v>1790</v>
      </c>
      <c r="AY1319" s="85" t="s">
        <v>1790</v>
      </c>
      <c r="CT1319" s="166" t="s">
        <v>1790</v>
      </c>
    </row>
    <row r="1320" spans="1:100" ht="51" x14ac:dyDescent="0.2">
      <c r="A1320" s="176" t="str">
        <f t="shared" si="34"/>
        <v>routeDesignation</v>
      </c>
      <c r="B1320" s="11" t="s">
        <v>12344</v>
      </c>
      <c r="C1320" s="173"/>
      <c r="D1320" s="22" t="s">
        <v>12345</v>
      </c>
      <c r="E1320" s="15" t="s">
        <v>12346</v>
      </c>
      <c r="F1320" s="15" t="s">
        <v>12347</v>
      </c>
      <c r="G1320" s="174"/>
      <c r="H1320" s="17" t="s">
        <v>5932</v>
      </c>
      <c r="I1320" s="269"/>
      <c r="J1320" s="369" t="str">
        <f>HYPERLINK("[#]Datatypes!B1536:L1536","TextLex24")</f>
        <v>TextLex24</v>
      </c>
      <c r="K1320" s="276"/>
      <c r="L1320" s="272"/>
      <c r="M1320" s="272"/>
      <c r="N1320" s="273"/>
      <c r="O1320" s="269"/>
      <c r="P1320" s="37">
        <v>101252</v>
      </c>
      <c r="Q1320" s="36" t="str">
        <f>CONCATENATE(Cover!$D$6,"fdd/view?i=",P1320)</f>
        <v>https://www.dgiwg.org/FAD/fdd/view?i=101252</v>
      </c>
      <c r="R1320" s="13" t="s">
        <v>12343</v>
      </c>
      <c r="S1320" s="172"/>
      <c r="T1320" s="172"/>
      <c r="AQ1320" s="82" t="s">
        <v>1790</v>
      </c>
      <c r="CV1320" s="83" t="s">
        <v>1790</v>
      </c>
    </row>
    <row r="1321" spans="1:100" ht="38.25" x14ac:dyDescent="0.2">
      <c r="A1321" s="176" t="str">
        <f t="shared" si="34"/>
        <v>routeDesignationType</v>
      </c>
      <c r="B1321" s="11" t="s">
        <v>12349</v>
      </c>
      <c r="C1321" s="173"/>
      <c r="D1321" s="22" t="s">
        <v>12350</v>
      </c>
      <c r="E1321" s="15" t="s">
        <v>12351</v>
      </c>
      <c r="F1321" s="15" t="s">
        <v>12352</v>
      </c>
      <c r="G1321" s="174"/>
      <c r="H1321" s="17" t="s">
        <v>5932</v>
      </c>
      <c r="I1321" s="17" t="s">
        <v>6029</v>
      </c>
      <c r="J1321" s="369" t="str">
        <f>HYPERLINK("[#]Datatypes!B1318:L1318","RoiCode")</f>
        <v>RoiCode</v>
      </c>
      <c r="K1321" s="276"/>
      <c r="L1321" s="272"/>
      <c r="M1321" s="272"/>
      <c r="N1321" s="248" t="str">
        <f>HYPERLINK("[#]DatatypeListedValues!A7729:H7729","&lt;values&gt;")</f>
        <v>&lt;values&gt;</v>
      </c>
      <c r="O1321" s="277" t="b">
        <v>0</v>
      </c>
      <c r="P1321" s="37">
        <v>119204</v>
      </c>
      <c r="Q1321" s="36" t="str">
        <f>CONCATENATE(Cover!$D$6,"fdd/view?i=",P1321)</f>
        <v>https://www.dgiwg.org/FAD/fdd/view?i=119204</v>
      </c>
      <c r="R1321" s="13" t="s">
        <v>12348</v>
      </c>
      <c r="S1321" s="172"/>
      <c r="T1321" s="172"/>
      <c r="AP1321" s="81" t="s">
        <v>1790</v>
      </c>
      <c r="AQ1321" s="82" t="s">
        <v>1790</v>
      </c>
      <c r="CT1321" s="166" t="s">
        <v>1790</v>
      </c>
      <c r="CV1321" s="83" t="s">
        <v>1790</v>
      </c>
    </row>
    <row r="1322" spans="1:100" ht="102" x14ac:dyDescent="0.2">
      <c r="A1322" s="176" t="str">
        <f t="shared" si="34"/>
        <v>routeIntendedUse</v>
      </c>
      <c r="B1322" s="11" t="s">
        <v>12355</v>
      </c>
      <c r="C1322" s="173"/>
      <c r="D1322" s="22" t="s">
        <v>12356</v>
      </c>
      <c r="E1322" s="15" t="s">
        <v>12357</v>
      </c>
      <c r="F1322" s="15" t="s">
        <v>12358</v>
      </c>
      <c r="G1322" s="174"/>
      <c r="H1322" s="17" t="s">
        <v>5932</v>
      </c>
      <c r="I1322" s="269"/>
      <c r="J1322" s="369" t="str">
        <f>HYPERLINK("[#]Datatypes!B1322:L1322","RttCode")</f>
        <v>RttCode</v>
      </c>
      <c r="K1322" s="276"/>
      <c r="L1322" s="272"/>
      <c r="M1322" s="272"/>
      <c r="N1322" s="248" t="str">
        <f>HYPERLINK("[#]DatatypeListedValues!A7739:H7739","&lt;values&gt;")</f>
        <v>&lt;values&gt;</v>
      </c>
      <c r="O1322" s="277" t="b">
        <v>0</v>
      </c>
      <c r="P1322" s="37">
        <v>101256</v>
      </c>
      <c r="Q1322" s="36" t="str">
        <f>CONCATENATE(Cover!$D$6,"fdd/view?i=",P1322)</f>
        <v>https://www.dgiwg.org/FAD/fdd/view?i=101256</v>
      </c>
      <c r="R1322" s="13" t="s">
        <v>12354</v>
      </c>
      <c r="S1322" s="172"/>
      <c r="T1322" s="172"/>
      <c r="AS1322" s="82" t="s">
        <v>1790</v>
      </c>
      <c r="BF1322" s="83" t="s">
        <v>1790</v>
      </c>
      <c r="CT1322" s="166" t="s">
        <v>1790</v>
      </c>
    </row>
    <row r="1323" spans="1:100" ht="25.5" x14ac:dyDescent="0.2">
      <c r="A1323" s="176" t="str">
        <f t="shared" si="34"/>
        <v>routeInterchangeDesignation</v>
      </c>
      <c r="B1323" s="11" t="s">
        <v>12361</v>
      </c>
      <c r="C1323" s="173"/>
      <c r="D1323" s="22" t="s">
        <v>12362</v>
      </c>
      <c r="E1323" s="15" t="s">
        <v>12363</v>
      </c>
      <c r="F1323" s="15" t="s">
        <v>12364</v>
      </c>
      <c r="G1323" s="174"/>
      <c r="H1323" s="17" t="s">
        <v>5932</v>
      </c>
      <c r="I1323" s="269"/>
      <c r="J1323" s="369" t="str">
        <f>HYPERLINK("[#]Datatypes!B1544:L1544","TextLexUnconstrained")</f>
        <v>TextLexUnconstrained</v>
      </c>
      <c r="K1323" s="276"/>
      <c r="L1323" s="272"/>
      <c r="M1323" s="272"/>
      <c r="N1323" s="273"/>
      <c r="O1323" s="269"/>
      <c r="P1323" s="37">
        <v>119520</v>
      </c>
      <c r="Q1323" s="36" t="str">
        <f>CONCATENATE(Cover!$D$6,"fdd/view?i=",P1323)</f>
        <v>https://www.dgiwg.org/FAD/fdd/view?i=119520</v>
      </c>
      <c r="R1323" s="13" t="s">
        <v>12360</v>
      </c>
      <c r="S1323" s="172"/>
      <c r="T1323" s="172"/>
      <c r="AQ1323" s="82" t="s">
        <v>1790</v>
      </c>
      <c r="CV1323" s="83" t="s">
        <v>1790</v>
      </c>
    </row>
    <row r="1324" spans="1:100" ht="25.5" x14ac:dyDescent="0.2">
      <c r="A1324" s="176" t="str">
        <f t="shared" si="34"/>
        <v>routeJunctionConnectivity</v>
      </c>
      <c r="B1324" s="11" t="s">
        <v>12366</v>
      </c>
      <c r="C1324" s="173"/>
      <c r="D1324" s="22" t="s">
        <v>12367</v>
      </c>
      <c r="E1324" s="15" t="s">
        <v>12368</v>
      </c>
      <c r="F1324" s="174"/>
      <c r="G1324" s="174"/>
      <c r="H1324" s="17" t="s">
        <v>5932</v>
      </c>
      <c r="I1324" s="269"/>
      <c r="J1324" s="369" t="str">
        <f>HYPERLINK("[#]Datatypes!B1324:L1324","JcrCode")</f>
        <v>JcrCode</v>
      </c>
      <c r="K1324" s="276"/>
      <c r="L1324" s="272"/>
      <c r="M1324" s="272"/>
      <c r="N1324" s="248" t="str">
        <f>HYPERLINK("[#]DatatypeListedValues!A7755:H7755","&lt;values&gt;")</f>
        <v>&lt;values&gt;</v>
      </c>
      <c r="O1324" s="277" t="b">
        <v>0</v>
      </c>
      <c r="P1324" s="37">
        <v>100983</v>
      </c>
      <c r="Q1324" s="36" t="str">
        <f>CONCATENATE(Cover!$D$6,"fdd/view?i=",P1324)</f>
        <v>https://www.dgiwg.org/FAD/fdd/view?i=100983</v>
      </c>
      <c r="R1324" s="13" t="s">
        <v>12365</v>
      </c>
      <c r="S1324" s="172"/>
      <c r="T1324" s="172"/>
      <c r="AV1324" s="82" t="s">
        <v>1790</v>
      </c>
    </row>
    <row r="1325" spans="1:100" ht="25.5" x14ac:dyDescent="0.2">
      <c r="A1325" s="176" t="str">
        <f t="shared" si="34"/>
        <v>routeJunctionType</v>
      </c>
      <c r="B1325" s="11" t="s">
        <v>7892</v>
      </c>
      <c r="C1325" s="173"/>
      <c r="D1325" s="22" t="s">
        <v>12371</v>
      </c>
      <c r="E1325" s="15" t="s">
        <v>12372</v>
      </c>
      <c r="F1325" s="174"/>
      <c r="G1325" s="174"/>
      <c r="H1325" s="17" t="s">
        <v>5932</v>
      </c>
      <c r="I1325" s="269"/>
      <c r="J1325" s="369" t="str">
        <f>HYPERLINK("[#]Datatypes!B1326:L1326","CrcCode")</f>
        <v>CrcCode</v>
      </c>
      <c r="K1325" s="276"/>
      <c r="L1325" s="272"/>
      <c r="M1325" s="272"/>
      <c r="N1325" s="248" t="str">
        <f>HYPERLINK("[#]DatatypeListedValues!A7757:H7757","&lt;values&gt;")</f>
        <v>&lt;values&gt;</v>
      </c>
      <c r="O1325" s="277" t="b">
        <v>0</v>
      </c>
      <c r="P1325" s="37">
        <v>100762</v>
      </c>
      <c r="Q1325" s="36" t="str">
        <f>CONCATENATE(Cover!$D$6,"fdd/view?i=",P1325)</f>
        <v>https://www.dgiwg.org/FAD/fdd/view?i=100762</v>
      </c>
      <c r="R1325" s="13" t="s">
        <v>12370</v>
      </c>
      <c r="S1325" s="172"/>
      <c r="T1325" s="172"/>
      <c r="AV1325" s="82" t="s">
        <v>1790</v>
      </c>
      <c r="CS1325" s="165" t="s">
        <v>1790</v>
      </c>
    </row>
    <row r="1326" spans="1:100" ht="51" x14ac:dyDescent="0.2">
      <c r="A1326" s="176" t="str">
        <f t="shared" si="34"/>
        <v>routeMedianWidth</v>
      </c>
      <c r="B1326" s="11" t="s">
        <v>12375</v>
      </c>
      <c r="C1326" s="173"/>
      <c r="D1326" s="22" t="s">
        <v>12376</v>
      </c>
      <c r="E1326" s="15" t="s">
        <v>12377</v>
      </c>
      <c r="F1326" s="15" t="s">
        <v>12378</v>
      </c>
      <c r="G1326" s="174"/>
      <c r="H1326" s="17" t="s">
        <v>5932</v>
      </c>
      <c r="I1326" s="269"/>
      <c r="J1326" s="369" t="str">
        <f>HYPERLINK("[#]Datatypes!B1233:L1233","RealInterval")</f>
        <v>RealInterval</v>
      </c>
      <c r="K1326" s="271" t="str">
        <f>HYPERLINK("[#]PhysicalQuantities!A20:N20","Length")</f>
        <v>Length</v>
      </c>
      <c r="L1326" s="270" t="str">
        <f>HYPERLINK("[#]UnitsOfMeasure!D80:G80","Metre")</f>
        <v>Metre</v>
      </c>
      <c r="M1326" s="272"/>
      <c r="N1326" s="273"/>
      <c r="O1326" s="269"/>
      <c r="P1326" s="37">
        <v>109979</v>
      </c>
      <c r="Q1326" s="36" t="str">
        <f>CONCATENATE(Cover!$D$6,"fdd/view?i=",P1326)</f>
        <v>https://www.dgiwg.org/FAD/fdd/view?i=109979</v>
      </c>
      <c r="R1326" s="13" t="s">
        <v>12374</v>
      </c>
      <c r="S1326" s="172"/>
      <c r="T1326" s="172"/>
      <c r="AP1326" s="81" t="s">
        <v>1790</v>
      </c>
      <c r="AQ1326" s="82" t="s">
        <v>1790</v>
      </c>
      <c r="AU1326" s="82" t="s">
        <v>1790</v>
      </c>
      <c r="CQ1326" s="165" t="s">
        <v>1790</v>
      </c>
    </row>
    <row r="1327" spans="1:100" ht="76.5" x14ac:dyDescent="0.2">
      <c r="A1327" s="176" t="str">
        <f t="shared" si="34"/>
        <v>routeMilitaryLoadClass</v>
      </c>
      <c r="B1327" s="11" t="s">
        <v>12380</v>
      </c>
      <c r="C1327" s="173"/>
      <c r="D1327" s="22" t="s">
        <v>12381</v>
      </c>
      <c r="E1327" s="15" t="s">
        <v>12382</v>
      </c>
      <c r="F1327" s="15" t="s">
        <v>12383</v>
      </c>
      <c r="G1327" s="174"/>
      <c r="H1327" s="17" t="s">
        <v>5932</v>
      </c>
      <c r="I1327" s="269"/>
      <c r="J1327" s="369" t="str">
        <f>HYPERLINK("[#]Datatypes!B742:L742","Integer")</f>
        <v>Integer</v>
      </c>
      <c r="K1327" s="271" t="str">
        <f>HYPERLINK("[#]PhysicalQuantities!A33:N33","Noncomparable")</f>
        <v>Noncomparable</v>
      </c>
      <c r="L1327" s="270" t="str">
        <f>HYPERLINK("[#]UnitsOfMeasure!D155:G155","Military Load Class")</f>
        <v>Military Load Class</v>
      </c>
      <c r="M1327" s="272"/>
      <c r="N1327" s="273"/>
      <c r="O1327" s="269"/>
      <c r="P1327" s="37">
        <v>119447</v>
      </c>
      <c r="Q1327" s="36" t="str">
        <f>CONCATENATE(Cover!$D$6,"fdd/view?i=",P1327)</f>
        <v>https://www.dgiwg.org/FAD/fdd/view?i=119447</v>
      </c>
      <c r="R1327" s="13" t="s">
        <v>12379</v>
      </c>
      <c r="S1327" s="172"/>
      <c r="T1327" s="172"/>
      <c r="AQ1327" s="82" t="s">
        <v>1790</v>
      </c>
      <c r="CJ1327" s="81" t="s">
        <v>1790</v>
      </c>
      <c r="CS1327" s="165" t="s">
        <v>1790</v>
      </c>
      <c r="CT1327" s="166" t="s">
        <v>1790</v>
      </c>
    </row>
    <row r="1328" spans="1:100" x14ac:dyDescent="0.2">
      <c r="A1328" s="176" t="str">
        <f t="shared" si="34"/>
        <v>routeMinTravelledWayWidth</v>
      </c>
      <c r="B1328" s="11" t="s">
        <v>12385</v>
      </c>
      <c r="C1328" s="173"/>
      <c r="D1328" s="22" t="s">
        <v>12386</v>
      </c>
      <c r="E1328" s="15" t="s">
        <v>12387</v>
      </c>
      <c r="F1328" s="15" t="s">
        <v>12388</v>
      </c>
      <c r="G1328" s="174"/>
      <c r="H1328" s="17" t="s">
        <v>5932</v>
      </c>
      <c r="I1328" s="269"/>
      <c r="J1328" s="369" t="str">
        <f>HYPERLINK("[#]Datatypes!B1231:L1231","Real")</f>
        <v>Real</v>
      </c>
      <c r="K1328" s="271" t="str">
        <f>HYPERLINK("[#]PhysicalQuantities!A20:N20","Length")</f>
        <v>Length</v>
      </c>
      <c r="L1328" s="270" t="str">
        <f>HYPERLINK("[#]UnitsOfMeasure!D80:G80","Metre")</f>
        <v>Metre</v>
      </c>
      <c r="M1328" s="272"/>
      <c r="N1328" s="273"/>
      <c r="O1328" s="269"/>
      <c r="P1328" s="37">
        <v>110729</v>
      </c>
      <c r="Q1328" s="36" t="str">
        <f>CONCATENATE(Cover!$D$6,"fdd/view?i=",P1328)</f>
        <v>https://www.dgiwg.org/FAD/fdd/view?i=110729</v>
      </c>
      <c r="R1328" s="13" t="s">
        <v>12384</v>
      </c>
      <c r="S1328" s="172"/>
      <c r="T1328" s="172"/>
      <c r="AQ1328" s="82" t="s">
        <v>1790</v>
      </c>
      <c r="AU1328" s="82" t="s">
        <v>1790</v>
      </c>
      <c r="CQ1328" s="165" t="s">
        <v>1790</v>
      </c>
    </row>
    <row r="1329" spans="1:100" ht="25.5" x14ac:dyDescent="0.2">
      <c r="A1329" s="176" t="str">
        <f t="shared" si="34"/>
        <v>routeSignificance</v>
      </c>
      <c r="B1329" s="11" t="s">
        <v>12390</v>
      </c>
      <c r="C1329" s="173"/>
      <c r="D1329" s="22" t="s">
        <v>12391</v>
      </c>
      <c r="E1329" s="15" t="s">
        <v>12392</v>
      </c>
      <c r="F1329" s="15" t="s">
        <v>12393</v>
      </c>
      <c r="G1329" s="174"/>
      <c r="H1329" s="17" t="s">
        <v>5932</v>
      </c>
      <c r="I1329" s="269"/>
      <c r="J1329" s="369" t="str">
        <f>HYPERLINK("[#]Datatypes!B1328:L1328","RsfCode")</f>
        <v>RsfCode</v>
      </c>
      <c r="K1329" s="276"/>
      <c r="L1329" s="272"/>
      <c r="M1329" s="272"/>
      <c r="N1329" s="248" t="str">
        <f>HYPERLINK("[#]DatatypeListedValues!A7760:H7760","&lt;values&gt;")</f>
        <v>&lt;values&gt;</v>
      </c>
      <c r="O1329" s="277" t="b">
        <v>0</v>
      </c>
      <c r="P1329" s="37">
        <v>118171</v>
      </c>
      <c r="Q1329" s="36" t="str">
        <f>CONCATENATE(Cover!$D$6,"fdd/view?i=",P1329)</f>
        <v>https://www.dgiwg.org/FAD/fdd/view?i=118171</v>
      </c>
      <c r="R1329" s="13" t="s">
        <v>12389</v>
      </c>
      <c r="S1329" s="172"/>
      <c r="T1329" s="172"/>
      <c r="AP1329" s="81" t="s">
        <v>1790</v>
      </c>
      <c r="AQ1329" s="82" t="s">
        <v>1790</v>
      </c>
      <c r="CT1329" s="166" t="s">
        <v>1790</v>
      </c>
    </row>
    <row r="1330" spans="1:100" ht="89.25" x14ac:dyDescent="0.2">
      <c r="A1330" s="176" t="str">
        <f t="shared" si="34"/>
        <v>routeSurfaceComposition</v>
      </c>
      <c r="B1330" s="11" t="s">
        <v>12396</v>
      </c>
      <c r="C1330" s="173"/>
      <c r="D1330" s="22" t="s">
        <v>12397</v>
      </c>
      <c r="E1330" s="15" t="s">
        <v>12398</v>
      </c>
      <c r="F1330" s="15" t="s">
        <v>12399</v>
      </c>
      <c r="G1330" s="174"/>
      <c r="H1330" s="17" t="s">
        <v>5932</v>
      </c>
      <c r="I1330" s="269"/>
      <c r="J1330" s="369" t="str">
        <f>HYPERLINK("[#]Datatypes!B1330:L1330","RocCode")</f>
        <v>RocCode</v>
      </c>
      <c r="K1330" s="276"/>
      <c r="L1330" s="272"/>
      <c r="M1330" s="272"/>
      <c r="N1330" s="248" t="str">
        <f>HYPERLINK("[#]DatatypeListedValues!A7765:H7765","&lt;values&gt;")</f>
        <v>&lt;values&gt;</v>
      </c>
      <c r="O1330" s="277" t="b">
        <v>0</v>
      </c>
      <c r="P1330" s="37">
        <v>111707</v>
      </c>
      <c r="Q1330" s="36" t="str">
        <f>CONCATENATE(Cover!$D$6,"fdd/view?i=",P1330)</f>
        <v>https://www.dgiwg.org/FAD/fdd/view?i=111707</v>
      </c>
      <c r="R1330" s="13" t="s">
        <v>12395</v>
      </c>
      <c r="S1330" s="172"/>
      <c r="T1330" s="172"/>
      <c r="AQ1330" s="82" t="s">
        <v>1790</v>
      </c>
      <c r="AT1330" s="82" t="s">
        <v>1790</v>
      </c>
      <c r="CE1330" s="87" t="s">
        <v>1790</v>
      </c>
      <c r="CS1330" s="165" t="s">
        <v>1790</v>
      </c>
    </row>
    <row r="1331" spans="1:100" x14ac:dyDescent="0.2">
      <c r="A1331" s="176" t="str">
        <f t="shared" si="34"/>
        <v>routeTotalUsableWidth</v>
      </c>
      <c r="B1331" s="11" t="s">
        <v>12402</v>
      </c>
      <c r="C1331" s="173"/>
      <c r="D1331" s="22" t="s">
        <v>12403</v>
      </c>
      <c r="E1331" s="15" t="s">
        <v>12404</v>
      </c>
      <c r="F1331" s="15" t="s">
        <v>12405</v>
      </c>
      <c r="G1331" s="174"/>
      <c r="H1331" s="17" t="s">
        <v>5932</v>
      </c>
      <c r="I1331" s="269"/>
      <c r="J1331" s="369" t="str">
        <f>HYPERLINK("[#]Datatypes!B1233:L1233","RealInterval")</f>
        <v>RealInterval</v>
      </c>
      <c r="K1331" s="271" t="str">
        <f>HYPERLINK("[#]PhysicalQuantities!A20:N20","Length")</f>
        <v>Length</v>
      </c>
      <c r="L1331" s="270" t="str">
        <f>HYPERLINK("[#]UnitsOfMeasure!D80:G80","Metre")</f>
        <v>Metre</v>
      </c>
      <c r="M1331" s="272"/>
      <c r="N1331" s="273"/>
      <c r="O1331" s="269"/>
      <c r="P1331" s="37">
        <v>110730</v>
      </c>
      <c r="Q1331" s="36" t="str">
        <f>CONCATENATE(Cover!$D$6,"fdd/view?i=",P1331)</f>
        <v>https://www.dgiwg.org/FAD/fdd/view?i=110730</v>
      </c>
      <c r="R1331" s="13" t="s">
        <v>12401</v>
      </c>
      <c r="S1331" s="172"/>
      <c r="T1331" s="172"/>
      <c r="AQ1331" s="82" t="s">
        <v>1790</v>
      </c>
      <c r="AU1331" s="82" t="s">
        <v>1790</v>
      </c>
      <c r="CQ1331" s="165" t="s">
        <v>1790</v>
      </c>
    </row>
    <row r="1332" spans="1:100" ht="51" x14ac:dyDescent="0.2">
      <c r="A1332" s="176" t="str">
        <f t="shared" si="34"/>
        <v>routeConstrictionType</v>
      </c>
      <c r="B1332" s="11" t="s">
        <v>12407</v>
      </c>
      <c r="C1332" s="173"/>
      <c r="D1332" s="22" t="s">
        <v>12408</v>
      </c>
      <c r="E1332" s="15" t="s">
        <v>12409</v>
      </c>
      <c r="F1332" s="15" t="s">
        <v>12410</v>
      </c>
      <c r="G1332" s="174"/>
      <c r="H1332" s="17" t="s">
        <v>5932</v>
      </c>
      <c r="I1332" s="269"/>
      <c r="J1332" s="369" t="str">
        <f>HYPERLINK("[#]Datatypes!B1316:L1316","ConCode")</f>
        <v>ConCode</v>
      </c>
      <c r="K1332" s="276"/>
      <c r="L1332" s="272"/>
      <c r="M1332" s="272"/>
      <c r="N1332" s="248" t="str">
        <f>HYPERLINK("[#]DatatypeListedValues!A7686:H7686","&lt;values&gt;")</f>
        <v>&lt;values&gt;</v>
      </c>
      <c r="O1332" s="277" t="b">
        <v>0</v>
      </c>
      <c r="P1332" s="37">
        <v>100756</v>
      </c>
      <c r="Q1332" s="36" t="str">
        <f>CONCATENATE(Cover!$D$6,"fdd/view?i=",P1332)</f>
        <v>https://www.dgiwg.org/FAD/fdd/view?i=100756</v>
      </c>
      <c r="R1332" s="13" t="s">
        <v>12406</v>
      </c>
      <c r="S1332" s="172"/>
      <c r="T1332" s="172"/>
      <c r="AU1332" s="82" t="s">
        <v>1790</v>
      </c>
    </row>
    <row r="1333" spans="1:100" ht="25.5" x14ac:dyDescent="0.2">
      <c r="A1333" s="176" t="str">
        <f t="shared" si="34"/>
        <v>routeExpansionType</v>
      </c>
      <c r="B1333" s="11" t="s">
        <v>12413</v>
      </c>
      <c r="C1333" s="173"/>
      <c r="D1333" s="22" t="s">
        <v>12414</v>
      </c>
      <c r="E1333" s="15" t="s">
        <v>12415</v>
      </c>
      <c r="F1333" s="174"/>
      <c r="G1333" s="174"/>
      <c r="H1333" s="17" t="s">
        <v>5932</v>
      </c>
      <c r="I1333" s="269"/>
      <c r="J1333" s="369" t="str">
        <f>HYPERLINK("[#]Datatypes!B1320:L1320","ExpCode")</f>
        <v>ExpCode</v>
      </c>
      <c r="K1333" s="276"/>
      <c r="L1333" s="272"/>
      <c r="M1333" s="272"/>
      <c r="N1333" s="248" t="str">
        <f>HYPERLINK("[#]DatatypeListedValues!A7734:H7734","&lt;values&gt;")</f>
        <v>&lt;values&gt;</v>
      </c>
      <c r="O1333" s="277" t="b">
        <v>0</v>
      </c>
      <c r="P1333" s="37">
        <v>100869</v>
      </c>
      <c r="Q1333" s="36" t="str">
        <f>CONCATENATE(Cover!$D$6,"fdd/view?i=",P1333)</f>
        <v>https://www.dgiwg.org/FAD/fdd/view?i=100869</v>
      </c>
      <c r="R1333" s="13" t="s">
        <v>12412</v>
      </c>
      <c r="S1333" s="172"/>
      <c r="T1333" s="172"/>
      <c r="AQ1333" s="82" t="s">
        <v>1790</v>
      </c>
      <c r="CS1333" s="165" t="s">
        <v>1790</v>
      </c>
    </row>
    <row r="1334" spans="1:100" ht="25.5" x14ac:dyDescent="0.2">
      <c r="A1334" s="176" t="str">
        <f t="shared" si="34"/>
        <v>runwayBearingStrength</v>
      </c>
      <c r="B1334" s="11" t="s">
        <v>12418</v>
      </c>
      <c r="C1334" s="173"/>
      <c r="D1334" s="22" t="s">
        <v>12419</v>
      </c>
      <c r="E1334" s="15" t="s">
        <v>12420</v>
      </c>
      <c r="F1334" s="174"/>
      <c r="G1334" s="174"/>
      <c r="H1334" s="17" t="s">
        <v>5932</v>
      </c>
      <c r="I1334" s="269"/>
      <c r="J1334" s="369" t="str">
        <f>HYPERLINK("[#]Datatypes!B1048:L1048","RealNonNegative")</f>
        <v>RealNonNegative</v>
      </c>
      <c r="K1334" s="271" t="str">
        <f>HYPERLINK("[#]PhysicalQuantities!A28:N28","Mass")</f>
        <v>Mass</v>
      </c>
      <c r="L1334" s="270" t="str">
        <f>HYPERLINK("[#]UnitsOfMeasure!D127:G127","Kilogram")</f>
        <v>Kilogram</v>
      </c>
      <c r="M1334" s="272"/>
      <c r="N1334" s="273"/>
      <c r="O1334" s="269"/>
      <c r="P1334" s="37">
        <v>119004</v>
      </c>
      <c r="Q1334" s="36" t="str">
        <f>CONCATENATE(Cover!$D$6,"fdd/view?i=",P1334)</f>
        <v>https://www.dgiwg.org/FAD/fdd/view?i=119004</v>
      </c>
      <c r="R1334" s="13" t="s">
        <v>12417</v>
      </c>
      <c r="S1334" s="172"/>
      <c r="T1334" s="172"/>
      <c r="AT1334" s="82" t="s">
        <v>1790</v>
      </c>
      <c r="CE1334" s="87" t="s">
        <v>1790</v>
      </c>
      <c r="CQ1334" s="165" t="s">
        <v>1790</v>
      </c>
    </row>
    <row r="1335" spans="1:100" ht="38.25" x14ac:dyDescent="0.2">
      <c r="A1335" s="176" t="str">
        <f t="shared" si="34"/>
        <v>runwayCentreLineLocRole</v>
      </c>
      <c r="B1335" s="11" t="s">
        <v>12422</v>
      </c>
      <c r="C1335" s="173"/>
      <c r="D1335" s="22" t="s">
        <v>12423</v>
      </c>
      <c r="E1335" s="15" t="s">
        <v>12424</v>
      </c>
      <c r="F1335" s="174"/>
      <c r="G1335" s="174"/>
      <c r="H1335" s="17" t="s">
        <v>5932</v>
      </c>
      <c r="I1335" s="269"/>
      <c r="J1335" s="369" t="str">
        <f>HYPERLINK("[#]Datatypes!B1332:L1332","RcpCode")</f>
        <v>RcpCode</v>
      </c>
      <c r="K1335" s="276"/>
      <c r="L1335" s="272"/>
      <c r="M1335" s="272"/>
      <c r="N1335" s="248" t="str">
        <f>HYPERLINK("[#]DatatypeListedValues!A7784:H7784","&lt;values&gt;")</f>
        <v>&lt;values&gt;</v>
      </c>
      <c r="O1335" s="277" t="b">
        <v>0</v>
      </c>
      <c r="P1335" s="37">
        <v>119861</v>
      </c>
      <c r="Q1335" s="36" t="str">
        <f>CONCATENATE(Cover!$D$6,"fdd/view?i=",P1335)</f>
        <v>https://www.dgiwg.org/FAD/fdd/view?i=119861</v>
      </c>
      <c r="R1335" s="13" t="s">
        <v>12421</v>
      </c>
      <c r="S1335" s="172"/>
      <c r="T1335" s="172"/>
      <c r="AT1335" s="82" t="s">
        <v>1790</v>
      </c>
      <c r="CG1335" s="83" t="s">
        <v>1790</v>
      </c>
      <c r="CT1335" s="166" t="s">
        <v>1790</v>
      </c>
    </row>
    <row r="1336" spans="1:100" x14ac:dyDescent="0.2">
      <c r="A1336" s="176" t="str">
        <f t="shared" si="34"/>
        <v>runwayCount</v>
      </c>
      <c r="B1336" s="11" t="s">
        <v>12427</v>
      </c>
      <c r="C1336" s="173"/>
      <c r="D1336" s="22" t="s">
        <v>12428</v>
      </c>
      <c r="E1336" s="15" t="s">
        <v>12429</v>
      </c>
      <c r="F1336" s="174"/>
      <c r="G1336" s="174"/>
      <c r="H1336" s="17" t="s">
        <v>5932</v>
      </c>
      <c r="I1336" s="269"/>
      <c r="J1336" s="369" t="str">
        <f>HYPERLINK("[#]Datatypes!B380:L380","Count")</f>
        <v>Count</v>
      </c>
      <c r="K1336" s="276"/>
      <c r="L1336" s="272"/>
      <c r="M1336" s="272"/>
      <c r="N1336" s="273"/>
      <c r="O1336" s="269"/>
      <c r="P1336" s="37">
        <v>114486</v>
      </c>
      <c r="Q1336" s="36" t="str">
        <f>CONCATENATE(Cover!$D$6,"fdd/view?i=",P1336)</f>
        <v>https://www.dgiwg.org/FAD/fdd/view?i=114486</v>
      </c>
      <c r="R1336" s="13" t="s">
        <v>12426</v>
      </c>
      <c r="S1336" s="172"/>
      <c r="T1336" s="172"/>
      <c r="AT1336" s="82" t="s">
        <v>1790</v>
      </c>
      <c r="CE1336" s="87" t="s">
        <v>1790</v>
      </c>
      <c r="CQ1336" s="165" t="s">
        <v>1790</v>
      </c>
    </row>
    <row r="1337" spans="1:100" ht="38.25" x14ac:dyDescent="0.2">
      <c r="A1337" s="176" t="str">
        <f t="shared" si="34"/>
        <v>runwayDesignator</v>
      </c>
      <c r="B1337" s="11" t="s">
        <v>12431</v>
      </c>
      <c r="C1337" s="173"/>
      <c r="D1337" s="22" t="s">
        <v>12432</v>
      </c>
      <c r="E1337" s="15" t="s">
        <v>12433</v>
      </c>
      <c r="F1337" s="15" t="s">
        <v>12434</v>
      </c>
      <c r="G1337" s="174"/>
      <c r="H1337" s="17" t="s">
        <v>5932</v>
      </c>
      <c r="I1337" s="269"/>
      <c r="J1337" s="369" t="str">
        <f>HYPERLINK("[#]Datatypes!B1334:L1334","RidStrucText")</f>
        <v>RidStrucText</v>
      </c>
      <c r="K1337" s="276"/>
      <c r="L1337" s="272"/>
      <c r="M1337" s="272"/>
      <c r="N1337" s="273"/>
      <c r="O1337" s="269"/>
      <c r="P1337" s="37">
        <v>117684</v>
      </c>
      <c r="Q1337" s="36" t="str">
        <f>CONCATENATE(Cover!$D$6,"fdd/view?i=",P1337)</f>
        <v>https://www.dgiwg.org/FAD/fdd/view?i=117684</v>
      </c>
      <c r="R1337" s="13" t="s">
        <v>12430</v>
      </c>
      <c r="S1337" s="172"/>
      <c r="T1337" s="172"/>
      <c r="CE1337" s="87" t="s">
        <v>1790</v>
      </c>
    </row>
    <row r="1338" spans="1:100" ht="63.75" x14ac:dyDescent="0.2">
      <c r="A1338" s="176" t="str">
        <f t="shared" si="34"/>
        <v>runwayDisplacedArea</v>
      </c>
      <c r="B1338" s="11" t="s">
        <v>12437</v>
      </c>
      <c r="C1338" s="173"/>
      <c r="D1338" s="22" t="s">
        <v>12438</v>
      </c>
      <c r="E1338" s="15" t="s">
        <v>12439</v>
      </c>
      <c r="F1338" s="15" t="s">
        <v>12440</v>
      </c>
      <c r="G1338" s="174"/>
      <c r="H1338" s="17" t="s">
        <v>5932</v>
      </c>
      <c r="I1338" s="269"/>
      <c r="J1338" s="369" t="str">
        <f>HYPERLINK("[#]Datatypes!B240:L240","Boolean")</f>
        <v>Boolean</v>
      </c>
      <c r="K1338" s="276"/>
      <c r="L1338" s="272"/>
      <c r="M1338" s="272"/>
      <c r="N1338" s="273"/>
      <c r="O1338" s="269"/>
      <c r="P1338" s="37">
        <v>119591</v>
      </c>
      <c r="Q1338" s="36" t="str">
        <f>CONCATENATE(Cover!$D$6,"fdd/view?i=",P1338)</f>
        <v>https://www.dgiwg.org/FAD/fdd/view?i=119591</v>
      </c>
      <c r="R1338" s="13" t="s">
        <v>12436</v>
      </c>
      <c r="S1338" s="172"/>
      <c r="T1338" s="172"/>
      <c r="AT1338" s="82" t="s">
        <v>1790</v>
      </c>
      <c r="CQ1338" s="165" t="s">
        <v>1790</v>
      </c>
    </row>
    <row r="1339" spans="1:100" x14ac:dyDescent="0.2">
      <c r="A1339" s="176" t="str">
        <f t="shared" si="34"/>
        <v>runwayEndType</v>
      </c>
      <c r="B1339" s="11" t="s">
        <v>12442</v>
      </c>
      <c r="C1339" s="173"/>
      <c r="D1339" s="22" t="s">
        <v>12443</v>
      </c>
      <c r="E1339" s="15" t="s">
        <v>12444</v>
      </c>
      <c r="F1339" s="174"/>
      <c r="G1339" s="174"/>
      <c r="H1339" s="17" t="s">
        <v>5932</v>
      </c>
      <c r="I1339" s="269"/>
      <c r="J1339" s="369" t="str">
        <f>HYPERLINK("[#]Datatypes!B1336:L1336","RwtCode")</f>
        <v>RwtCode</v>
      </c>
      <c r="K1339" s="276"/>
      <c r="L1339" s="272"/>
      <c r="M1339" s="272"/>
      <c r="N1339" s="248" t="str">
        <f>HYPERLINK("[#]DatatypeListedValues!A7793:H7793","&lt;values&gt;")</f>
        <v>&lt;values&gt;</v>
      </c>
      <c r="O1339" s="277" t="b">
        <v>0</v>
      </c>
      <c r="P1339" s="37">
        <v>101259</v>
      </c>
      <c r="Q1339" s="36" t="str">
        <f>CONCATENATE(Cover!$D$6,"fdd/view?i=",P1339)</f>
        <v>https://www.dgiwg.org/FAD/fdd/view?i=101259</v>
      </c>
      <c r="R1339" s="13" t="s">
        <v>12441</v>
      </c>
      <c r="S1339" s="172"/>
      <c r="T1339" s="172"/>
      <c r="AT1339" s="82" t="s">
        <v>1790</v>
      </c>
      <c r="CE1339" s="87" t="s">
        <v>1790</v>
      </c>
    </row>
    <row r="1340" spans="1:100" ht="25.5" x14ac:dyDescent="0.2">
      <c r="A1340" s="176" t="str">
        <f t="shared" si="34"/>
        <v>runwayExtenDist</v>
      </c>
      <c r="B1340" s="11" t="s">
        <v>12447</v>
      </c>
      <c r="C1340" s="173"/>
      <c r="D1340" s="22" t="s">
        <v>12448</v>
      </c>
      <c r="E1340" s="15" t="s">
        <v>12449</v>
      </c>
      <c r="F1340" s="174"/>
      <c r="G1340" s="174"/>
      <c r="H1340" s="17" t="s">
        <v>5932</v>
      </c>
      <c r="I1340" s="269"/>
      <c r="J1340" s="369" t="str">
        <f>HYPERLINK("[#]Datatypes!B1048:L1048","RealNonNegative")</f>
        <v>RealNonNegative</v>
      </c>
      <c r="K1340" s="271" t="str">
        <f>HYPERLINK("[#]PhysicalQuantities!A20:N20","Length")</f>
        <v>Length</v>
      </c>
      <c r="L1340" s="270" t="str">
        <f>HYPERLINK("[#]UnitsOfMeasure!D80:G80","Metre")</f>
        <v>Metre</v>
      </c>
      <c r="M1340" s="272"/>
      <c r="N1340" s="273"/>
      <c r="O1340" s="269"/>
      <c r="P1340" s="37">
        <v>119006</v>
      </c>
      <c r="Q1340" s="36" t="str">
        <f>CONCATENATE(Cover!$D$6,"fdd/view?i=",P1340)</f>
        <v>https://www.dgiwg.org/FAD/fdd/view?i=119006</v>
      </c>
      <c r="R1340" s="13" t="s">
        <v>12446</v>
      </c>
      <c r="S1340" s="172"/>
      <c r="T1340" s="172"/>
      <c r="AT1340" s="82" t="s">
        <v>1790</v>
      </c>
      <c r="CE1340" s="87" t="s">
        <v>1790</v>
      </c>
      <c r="CQ1340" s="165" t="s">
        <v>1790</v>
      </c>
    </row>
    <row r="1341" spans="1:100" x14ac:dyDescent="0.2">
      <c r="A1341" s="176" t="str">
        <f t="shared" si="34"/>
        <v>runwayIdentifierHighEnd</v>
      </c>
      <c r="B1341" s="11" t="s">
        <v>12451</v>
      </c>
      <c r="C1341" s="173"/>
      <c r="D1341" s="22" t="s">
        <v>12452</v>
      </c>
      <c r="E1341" s="15" t="s">
        <v>12453</v>
      </c>
      <c r="F1341" s="174"/>
      <c r="G1341" s="174"/>
      <c r="H1341" s="17" t="s">
        <v>5932</v>
      </c>
      <c r="I1341" s="269"/>
      <c r="J1341" s="369" t="str">
        <f>HYPERLINK("[#]Datatypes!B1338:L1338","RihStrucText")</f>
        <v>RihStrucText</v>
      </c>
      <c r="K1341" s="276"/>
      <c r="L1341" s="272"/>
      <c r="M1341" s="272"/>
      <c r="N1341" s="273"/>
      <c r="O1341" s="269"/>
      <c r="P1341" s="37">
        <v>101227</v>
      </c>
      <c r="Q1341" s="36" t="str">
        <f>CONCATENATE(Cover!$D$6,"fdd/view?i=",P1341)</f>
        <v>https://www.dgiwg.org/FAD/fdd/view?i=101227</v>
      </c>
      <c r="R1341" s="13" t="s">
        <v>12450</v>
      </c>
      <c r="S1341" s="172"/>
      <c r="T1341" s="172"/>
      <c r="AT1341" s="82" t="s">
        <v>1790</v>
      </c>
      <c r="CE1341" s="87" t="s">
        <v>1790</v>
      </c>
      <c r="CV1341" s="83" t="s">
        <v>1790</v>
      </c>
    </row>
    <row r="1342" spans="1:100" x14ac:dyDescent="0.2">
      <c r="A1342" s="176" t="str">
        <f t="shared" si="34"/>
        <v>runwayIdentifierLowEnd</v>
      </c>
      <c r="B1342" s="11" t="s">
        <v>12456</v>
      </c>
      <c r="C1342" s="173"/>
      <c r="D1342" s="22" t="s">
        <v>12457</v>
      </c>
      <c r="E1342" s="15" t="s">
        <v>12458</v>
      </c>
      <c r="F1342" s="174"/>
      <c r="G1342" s="174"/>
      <c r="H1342" s="17" t="s">
        <v>5932</v>
      </c>
      <c r="I1342" s="269"/>
      <c r="J1342" s="369" t="str">
        <f>HYPERLINK("[#]Datatypes!B1340:L1340","RilStrucText")</f>
        <v>RilStrucText</v>
      </c>
      <c r="K1342" s="276"/>
      <c r="L1342" s="272"/>
      <c r="M1342" s="272"/>
      <c r="N1342" s="273"/>
      <c r="O1342" s="269"/>
      <c r="P1342" s="37">
        <v>101228</v>
      </c>
      <c r="Q1342" s="36" t="str">
        <f>CONCATENATE(Cover!$D$6,"fdd/view?i=",P1342)</f>
        <v>https://www.dgiwg.org/FAD/fdd/view?i=101228</v>
      </c>
      <c r="R1342" s="13" t="s">
        <v>12455</v>
      </c>
      <c r="S1342" s="172"/>
      <c r="T1342" s="172"/>
      <c r="AT1342" s="82" t="s">
        <v>1790</v>
      </c>
      <c r="CE1342" s="87" t="s">
        <v>1790</v>
      </c>
      <c r="CV1342" s="83" t="s">
        <v>1790</v>
      </c>
    </row>
    <row r="1343" spans="1:100" x14ac:dyDescent="0.2">
      <c r="A1343" s="176" t="str">
        <f t="shared" si="34"/>
        <v>runwayMagHeading</v>
      </c>
      <c r="B1343" s="11" t="s">
        <v>12461</v>
      </c>
      <c r="C1343" s="173"/>
      <c r="D1343" s="22" t="s">
        <v>12462</v>
      </c>
      <c r="E1343" s="15" t="s">
        <v>12463</v>
      </c>
      <c r="F1343" s="174"/>
      <c r="G1343" s="174"/>
      <c r="H1343" s="17" t="s">
        <v>5932</v>
      </c>
      <c r="I1343" s="269"/>
      <c r="J1343" s="369" t="str">
        <f>HYPERLINK("[#]Datatypes!B1231:L1231","Real")</f>
        <v>Real</v>
      </c>
      <c r="K1343" s="271" t="str">
        <f>HYPERLINK("[#]PhysicalQuantities!A34:N34","Plane Angle")</f>
        <v>Plane Angle</v>
      </c>
      <c r="L1343" s="270" t="str">
        <f>HYPERLINK("[#]UnitsOfMeasure!D159:G159","Arc Degree")</f>
        <v>Arc Degree</v>
      </c>
      <c r="M1343" s="272"/>
      <c r="N1343" s="273"/>
      <c r="O1343" s="269"/>
      <c r="P1343" s="37">
        <v>119137</v>
      </c>
      <c r="Q1343" s="36" t="str">
        <f>CONCATENATE(Cover!$D$6,"fdd/view?i=",P1343)</f>
        <v>https://www.dgiwg.org/FAD/fdd/view?i=119137</v>
      </c>
      <c r="R1343" s="13" t="s">
        <v>12460</v>
      </c>
      <c r="S1343" s="172"/>
      <c r="T1343" s="172"/>
      <c r="CE1343" s="87" t="s">
        <v>1790</v>
      </c>
    </row>
    <row r="1344" spans="1:100" x14ac:dyDescent="0.2">
      <c r="A1344" s="176" t="str">
        <f t="shared" si="34"/>
        <v>runwayMaximumLength</v>
      </c>
      <c r="B1344" s="11" t="s">
        <v>12465</v>
      </c>
      <c r="C1344" s="173"/>
      <c r="D1344" s="22" t="s">
        <v>12466</v>
      </c>
      <c r="E1344" s="15" t="s">
        <v>12467</v>
      </c>
      <c r="F1344" s="174"/>
      <c r="G1344" s="174"/>
      <c r="H1344" s="17" t="s">
        <v>5932</v>
      </c>
      <c r="I1344" s="269"/>
      <c r="J1344" s="369" t="str">
        <f>HYPERLINK("[#]Datatypes!B1231:L1231","Real")</f>
        <v>Real</v>
      </c>
      <c r="K1344" s="271" t="str">
        <f>HYPERLINK("[#]PhysicalQuantities!A20:N20","Length")</f>
        <v>Length</v>
      </c>
      <c r="L1344" s="270" t="str">
        <f>HYPERLINK("[#]UnitsOfMeasure!D80:G80","Metre")</f>
        <v>Metre</v>
      </c>
      <c r="M1344" s="272"/>
      <c r="N1344" s="273"/>
      <c r="O1344" s="269"/>
      <c r="P1344" s="37">
        <v>114487</v>
      </c>
      <c r="Q1344" s="36" t="str">
        <f>CONCATENATE(Cover!$D$6,"fdd/view?i=",P1344)</f>
        <v>https://www.dgiwg.org/FAD/fdd/view?i=114487</v>
      </c>
      <c r="R1344" s="13" t="s">
        <v>12464</v>
      </c>
      <c r="S1344" s="172"/>
      <c r="T1344" s="172"/>
      <c r="AT1344" s="82" t="s">
        <v>1790</v>
      </c>
      <c r="CE1344" s="87" t="s">
        <v>1790</v>
      </c>
      <c r="CQ1344" s="165" t="s">
        <v>1790</v>
      </c>
    </row>
    <row r="1345" spans="1:104" x14ac:dyDescent="0.2">
      <c r="A1345" s="176" t="str">
        <f t="shared" si="34"/>
        <v>runwayMidpointElevation</v>
      </c>
      <c r="B1345" s="11" t="s">
        <v>12469</v>
      </c>
      <c r="C1345" s="173"/>
      <c r="D1345" s="22" t="s">
        <v>12470</v>
      </c>
      <c r="E1345" s="15" t="s">
        <v>12471</v>
      </c>
      <c r="F1345" s="174"/>
      <c r="G1345" s="174"/>
      <c r="H1345" s="17" t="s">
        <v>5932</v>
      </c>
      <c r="I1345" s="269"/>
      <c r="J1345" s="369" t="str">
        <f>HYPERLINK("[#]Datatypes!B1231:L1231","Real")</f>
        <v>Real</v>
      </c>
      <c r="K1345" s="271" t="str">
        <f>HYPERLINK("[#]PhysicalQuantities!A20:N20","Length")</f>
        <v>Length</v>
      </c>
      <c r="L1345" s="270" t="str">
        <f>HYPERLINK("[#]UnitsOfMeasure!D80:G80","Metre")</f>
        <v>Metre</v>
      </c>
      <c r="M1345" s="272"/>
      <c r="N1345" s="273"/>
      <c r="O1345" s="269"/>
      <c r="P1345" s="37">
        <v>119005</v>
      </c>
      <c r="Q1345" s="36" t="str">
        <f>CONCATENATE(Cover!$D$6,"fdd/view?i=",P1345)</f>
        <v>https://www.dgiwg.org/FAD/fdd/view?i=119005</v>
      </c>
      <c r="R1345" s="13" t="s">
        <v>12468</v>
      </c>
      <c r="S1345" s="172"/>
      <c r="T1345" s="172"/>
      <c r="AT1345" s="82" t="s">
        <v>1790</v>
      </c>
      <c r="CE1345" s="87" t="s">
        <v>1790</v>
      </c>
      <c r="CP1345" s="164" t="s">
        <v>1790</v>
      </c>
    </row>
    <row r="1346" spans="1:104" x14ac:dyDescent="0.2">
      <c r="A1346" s="176" t="str">
        <f t="shared" si="34"/>
        <v>runwayObservedLoading</v>
      </c>
      <c r="B1346" s="11" t="s">
        <v>12473</v>
      </c>
      <c r="C1346" s="173"/>
      <c r="D1346" s="22" t="s">
        <v>12474</v>
      </c>
      <c r="E1346" s="15" t="s">
        <v>12475</v>
      </c>
      <c r="F1346" s="174"/>
      <c r="G1346" s="174"/>
      <c r="H1346" s="17" t="s">
        <v>5932</v>
      </c>
      <c r="I1346" s="269"/>
      <c r="J1346" s="369" t="str">
        <f>HYPERLINK("[#]Datatypes!B1542:L1542","TextLex80")</f>
        <v>TextLex80</v>
      </c>
      <c r="K1346" s="276"/>
      <c r="L1346" s="272"/>
      <c r="M1346" s="272"/>
      <c r="N1346" s="273"/>
      <c r="O1346" s="269"/>
      <c r="P1346" s="37">
        <v>119196</v>
      </c>
      <c r="Q1346" s="36" t="str">
        <f>CONCATENATE(Cover!$D$6,"fdd/view?i=",P1346)</f>
        <v>https://www.dgiwg.org/FAD/fdd/view?i=119196</v>
      </c>
      <c r="R1346" s="13" t="s">
        <v>12472</v>
      </c>
      <c r="S1346" s="172"/>
      <c r="T1346" s="172"/>
      <c r="AT1346" s="82" t="s">
        <v>1790</v>
      </c>
      <c r="CE1346" s="87" t="s">
        <v>1790</v>
      </c>
      <c r="CT1346" s="166" t="s">
        <v>1790</v>
      </c>
    </row>
    <row r="1347" spans="1:104" ht="153" x14ac:dyDescent="0.2">
      <c r="A1347" s="176" t="str">
        <f t="shared" ref="A1347:A1410" si="35">HYPERLINK(Q1347,R1347)</f>
        <v>runwayOffsetLength</v>
      </c>
      <c r="B1347" s="11" t="s">
        <v>12477</v>
      </c>
      <c r="C1347" s="173"/>
      <c r="D1347" s="22" t="s">
        <v>12478</v>
      </c>
      <c r="E1347" s="15" t="s">
        <v>12479</v>
      </c>
      <c r="F1347" s="15" t="s">
        <v>12480</v>
      </c>
      <c r="G1347" s="174"/>
      <c r="H1347" s="17" t="s">
        <v>5932</v>
      </c>
      <c r="I1347" s="269"/>
      <c r="J1347" s="369" t="str">
        <f>HYPERLINK("[#]Datatypes!B1231:L1231","Real")</f>
        <v>Real</v>
      </c>
      <c r="K1347" s="271" t="str">
        <f>HYPERLINK("[#]PhysicalQuantities!A20:N20","Length")</f>
        <v>Length</v>
      </c>
      <c r="L1347" s="270" t="str">
        <f>HYPERLINK("[#]UnitsOfMeasure!D80:G80","Metre")</f>
        <v>Metre</v>
      </c>
      <c r="M1347" s="272"/>
      <c r="N1347" s="273"/>
      <c r="O1347" s="269"/>
      <c r="P1347" s="37">
        <v>117690</v>
      </c>
      <c r="Q1347" s="36" t="str">
        <f>CONCATENATE(Cover!$D$6,"fdd/view?i=",P1347)</f>
        <v>https://www.dgiwg.org/FAD/fdd/view?i=117690</v>
      </c>
      <c r="R1347" s="13" t="s">
        <v>12476</v>
      </c>
      <c r="S1347" s="172"/>
      <c r="T1347" s="172"/>
      <c r="CE1347" s="87" t="s">
        <v>1790</v>
      </c>
    </row>
    <row r="1348" spans="1:104" ht="153" x14ac:dyDescent="0.2">
      <c r="A1348" s="176" t="str">
        <f t="shared" si="35"/>
        <v>runwayOffsetWidth</v>
      </c>
      <c r="B1348" s="11" t="s">
        <v>12482</v>
      </c>
      <c r="C1348" s="173"/>
      <c r="D1348" s="22" t="s">
        <v>12483</v>
      </c>
      <c r="E1348" s="15" t="s">
        <v>12484</v>
      </c>
      <c r="F1348" s="15" t="s">
        <v>12485</v>
      </c>
      <c r="G1348" s="174"/>
      <c r="H1348" s="17" t="s">
        <v>5932</v>
      </c>
      <c r="I1348" s="269"/>
      <c r="J1348" s="369" t="str">
        <f>HYPERLINK("[#]Datatypes!B1231:L1231","Real")</f>
        <v>Real</v>
      </c>
      <c r="K1348" s="271" t="str">
        <f>HYPERLINK("[#]PhysicalQuantities!A20:N20","Length")</f>
        <v>Length</v>
      </c>
      <c r="L1348" s="270" t="str">
        <f>HYPERLINK("[#]UnitsOfMeasure!D80:G80","Metre")</f>
        <v>Metre</v>
      </c>
      <c r="M1348" s="272"/>
      <c r="N1348" s="273"/>
      <c r="O1348" s="269"/>
      <c r="P1348" s="37">
        <v>117691</v>
      </c>
      <c r="Q1348" s="36" t="str">
        <f>CONCATENATE(Cover!$D$6,"fdd/view?i=",P1348)</f>
        <v>https://www.dgiwg.org/FAD/fdd/view?i=117691</v>
      </c>
      <c r="R1348" s="13" t="s">
        <v>12481</v>
      </c>
      <c r="S1348" s="172"/>
      <c r="T1348" s="172"/>
      <c r="CE1348" s="87" t="s">
        <v>1790</v>
      </c>
    </row>
    <row r="1349" spans="1:104" x14ac:dyDescent="0.2">
      <c r="A1349" s="176" t="str">
        <f t="shared" si="35"/>
        <v>runwayTrueHeading</v>
      </c>
      <c r="B1349" s="11" t="s">
        <v>12487</v>
      </c>
      <c r="C1349" s="173"/>
      <c r="D1349" s="22" t="s">
        <v>12488</v>
      </c>
      <c r="E1349" s="15" t="s">
        <v>12489</v>
      </c>
      <c r="F1349" s="174"/>
      <c r="G1349" s="174"/>
      <c r="H1349" s="17" t="s">
        <v>5932</v>
      </c>
      <c r="I1349" s="269"/>
      <c r="J1349" s="369" t="str">
        <f>HYPERLINK("[#]Datatypes!B1231:L1231","Real")</f>
        <v>Real</v>
      </c>
      <c r="K1349" s="271" t="str">
        <f>HYPERLINK("[#]PhysicalQuantities!A34:N34","Plane Angle")</f>
        <v>Plane Angle</v>
      </c>
      <c r="L1349" s="270" t="str">
        <f>HYPERLINK("[#]UnitsOfMeasure!D159:G159","Arc Degree")</f>
        <v>Arc Degree</v>
      </c>
      <c r="M1349" s="272"/>
      <c r="N1349" s="273"/>
      <c r="O1349" s="269"/>
      <c r="P1349" s="37">
        <v>119138</v>
      </c>
      <c r="Q1349" s="36" t="str">
        <f>CONCATENATE(Cover!$D$6,"fdd/view?i=",P1349)</f>
        <v>https://www.dgiwg.org/FAD/fdd/view?i=119138</v>
      </c>
      <c r="R1349" s="13" t="s">
        <v>12486</v>
      </c>
      <c r="S1349" s="172"/>
      <c r="T1349" s="172"/>
      <c r="CE1349" s="87" t="s">
        <v>1790</v>
      </c>
    </row>
    <row r="1350" spans="1:104" ht="51" x14ac:dyDescent="0.2">
      <c r="A1350" s="176" t="str">
        <f t="shared" si="35"/>
        <v>runwayVisualRange</v>
      </c>
      <c r="B1350" s="11" t="s">
        <v>12491</v>
      </c>
      <c r="C1350" s="173"/>
      <c r="D1350" s="22" t="s">
        <v>12492</v>
      </c>
      <c r="E1350" s="15" t="s">
        <v>12493</v>
      </c>
      <c r="F1350" s="15" t="s">
        <v>12494</v>
      </c>
      <c r="G1350" s="15" t="s">
        <v>12491</v>
      </c>
      <c r="H1350" s="17" t="s">
        <v>5932</v>
      </c>
      <c r="I1350" s="269"/>
      <c r="J1350" s="369" t="str">
        <f>HYPERLINK("[#]Datatypes!B1231:L1231","Real")</f>
        <v>Real</v>
      </c>
      <c r="K1350" s="271" t="str">
        <f>HYPERLINK("[#]PhysicalQuantities!A20:N20","Length")</f>
        <v>Length</v>
      </c>
      <c r="L1350" s="270" t="str">
        <f>HYPERLINK("[#]UnitsOfMeasure!D80:G80","Metre")</f>
        <v>Metre</v>
      </c>
      <c r="M1350" s="272"/>
      <c r="N1350" s="273"/>
      <c r="O1350" s="269"/>
      <c r="P1350" s="37">
        <v>117701</v>
      </c>
      <c r="Q1350" s="36" t="str">
        <f>CONCATENATE(Cover!$D$6,"fdd/view?i=",P1350)</f>
        <v>https://www.dgiwg.org/FAD/fdd/view?i=117701</v>
      </c>
      <c r="R1350" s="13" t="s">
        <v>12490</v>
      </c>
      <c r="S1350" s="172"/>
      <c r="T1350" s="172"/>
      <c r="CI1350" s="89" t="s">
        <v>1790</v>
      </c>
    </row>
    <row r="1351" spans="1:104" ht="25.5" x14ac:dyDescent="0.2">
      <c r="A1351" s="176" t="str">
        <f t="shared" si="35"/>
        <v>runwayVisualRangeObsSite</v>
      </c>
      <c r="B1351" s="11" t="s">
        <v>12496</v>
      </c>
      <c r="C1351" s="173"/>
      <c r="D1351" s="22" t="s">
        <v>12497</v>
      </c>
      <c r="E1351" s="15" t="s">
        <v>12498</v>
      </c>
      <c r="F1351" s="174"/>
      <c r="G1351" s="174"/>
      <c r="H1351" s="17" t="s">
        <v>5932</v>
      </c>
      <c r="I1351" s="269"/>
      <c r="J1351" s="369" t="str">
        <f>HYPERLINK("[#]Datatypes!B1342:L1342","RvoCode")</f>
        <v>RvoCode</v>
      </c>
      <c r="K1351" s="276"/>
      <c r="L1351" s="272"/>
      <c r="M1351" s="272"/>
      <c r="N1351" s="248" t="str">
        <f>HYPERLINK("[#]DatatypeListedValues!A7795:H7795","&lt;values&gt;")</f>
        <v>&lt;values&gt;</v>
      </c>
      <c r="O1351" s="277" t="b">
        <v>0</v>
      </c>
      <c r="P1351" s="37">
        <v>117700</v>
      </c>
      <c r="Q1351" s="36" t="str">
        <f>CONCATENATE(Cover!$D$6,"fdd/view?i=",P1351)</f>
        <v>https://www.dgiwg.org/FAD/fdd/view?i=117700</v>
      </c>
      <c r="R1351" s="13" t="s">
        <v>12495</v>
      </c>
      <c r="S1351" s="172"/>
      <c r="T1351" s="172"/>
      <c r="CE1351" s="87" t="s">
        <v>1790</v>
      </c>
    </row>
    <row r="1352" spans="1:104" ht="25.5" x14ac:dyDescent="0.2">
      <c r="A1352" s="176" t="str">
        <f t="shared" si="35"/>
        <v>safeHorizontalClearance</v>
      </c>
      <c r="B1352" s="11" t="s">
        <v>12501</v>
      </c>
      <c r="C1352" s="173"/>
      <c r="D1352" s="22" t="s">
        <v>12502</v>
      </c>
      <c r="E1352" s="15" t="s">
        <v>12503</v>
      </c>
      <c r="F1352" s="174"/>
      <c r="G1352" s="174"/>
      <c r="H1352" s="17" t="s">
        <v>5932</v>
      </c>
      <c r="I1352" s="269"/>
      <c r="J1352" s="369" t="str">
        <f>HYPERLINK("[#]Datatypes!B1231:L1231","Real")</f>
        <v>Real</v>
      </c>
      <c r="K1352" s="271" t="str">
        <f>HYPERLINK("[#]PhysicalQuantities!A20:N20","Length")</f>
        <v>Length</v>
      </c>
      <c r="L1352" s="270" t="str">
        <f>HYPERLINK("[#]UnitsOfMeasure!D80:G80","Metre")</f>
        <v>Metre</v>
      </c>
      <c r="M1352" s="272"/>
      <c r="N1352" s="273"/>
      <c r="O1352" s="269"/>
      <c r="P1352" s="37">
        <v>101292</v>
      </c>
      <c r="Q1352" s="36" t="str">
        <f>CONCATENATE(Cover!$D$6,"fdd/view?i=",P1352)</f>
        <v>https://www.dgiwg.org/FAD/fdd/view?i=101292</v>
      </c>
      <c r="R1352" s="13" t="s">
        <v>12500</v>
      </c>
      <c r="S1352" s="172"/>
      <c r="T1352" s="172"/>
      <c r="AS1352" s="82" t="s">
        <v>1790</v>
      </c>
      <c r="AU1352" s="82" t="s">
        <v>1790</v>
      </c>
      <c r="BF1352" s="83" t="s">
        <v>1790</v>
      </c>
      <c r="BG1352" s="83" t="s">
        <v>1790</v>
      </c>
      <c r="CQ1352" s="165" t="s">
        <v>1790</v>
      </c>
    </row>
    <row r="1353" spans="1:104" ht="38.25" x14ac:dyDescent="0.2">
      <c r="A1353" s="176" t="str">
        <f t="shared" si="35"/>
        <v>sandDuneOrientation</v>
      </c>
      <c r="B1353" s="11" t="s">
        <v>12505</v>
      </c>
      <c r="C1353" s="173"/>
      <c r="D1353" s="22" t="s">
        <v>12506</v>
      </c>
      <c r="E1353" s="15" t="s">
        <v>12507</v>
      </c>
      <c r="F1353" s="15" t="s">
        <v>12508</v>
      </c>
      <c r="G1353" s="174"/>
      <c r="H1353" s="17" t="s">
        <v>5932</v>
      </c>
      <c r="I1353" s="269"/>
      <c r="J1353" s="369" t="str">
        <f>HYPERLINK("[#]Datatypes!B1252:L1252","RealNonNeg360")</f>
        <v>RealNonNeg360</v>
      </c>
      <c r="K1353" s="271" t="str">
        <f>HYPERLINK("[#]PhysicalQuantities!A34:N34","Plane Angle")</f>
        <v>Plane Angle</v>
      </c>
      <c r="L1353" s="270" t="str">
        <f>HYPERLINK("[#]UnitsOfMeasure!D159:G159","Arc Degree")</f>
        <v>Arc Degree</v>
      </c>
      <c r="M1353" s="272"/>
      <c r="N1353" s="273"/>
      <c r="O1353" s="269"/>
      <c r="P1353" s="37">
        <v>110718</v>
      </c>
      <c r="Q1353" s="36" t="str">
        <f>CONCATENATE(Cover!$D$6,"fdd/view?i=",P1353)</f>
        <v>https://www.dgiwg.org/FAD/fdd/view?i=110718</v>
      </c>
      <c r="R1353" s="13" t="s">
        <v>12504</v>
      </c>
      <c r="S1353" s="172"/>
      <c r="T1353" s="172"/>
      <c r="BM1353" s="82" t="s">
        <v>1790</v>
      </c>
      <c r="CP1353" s="164" t="s">
        <v>1790</v>
      </c>
    </row>
    <row r="1354" spans="1:104" ht="38.25" x14ac:dyDescent="0.2">
      <c r="A1354" s="176" t="str">
        <f t="shared" si="35"/>
        <v>sandDuneStabilized</v>
      </c>
      <c r="B1354" s="11" t="s">
        <v>12510</v>
      </c>
      <c r="C1354" s="173"/>
      <c r="D1354" s="22" t="s">
        <v>12511</v>
      </c>
      <c r="E1354" s="15" t="s">
        <v>12512</v>
      </c>
      <c r="F1354" s="15" t="s">
        <v>12513</v>
      </c>
      <c r="G1354" s="174"/>
      <c r="H1354" s="17" t="s">
        <v>5932</v>
      </c>
      <c r="I1354" s="269"/>
      <c r="J1354" s="369" t="str">
        <f>HYPERLINK("[#]Datatypes!B240:L240","Boolean")</f>
        <v>Boolean</v>
      </c>
      <c r="K1354" s="276"/>
      <c r="L1354" s="272"/>
      <c r="M1354" s="272"/>
      <c r="N1354" s="273"/>
      <c r="O1354" s="269"/>
      <c r="P1354" s="37">
        <v>118030</v>
      </c>
      <c r="Q1354" s="36" t="str">
        <f>CONCATENATE(Cover!$D$6,"fdd/view?i=",P1354)</f>
        <v>https://www.dgiwg.org/FAD/fdd/view?i=118030</v>
      </c>
      <c r="R1354" s="13" t="s">
        <v>12509</v>
      </c>
      <c r="S1354" s="172"/>
      <c r="T1354" s="172"/>
      <c r="BY1354" s="83" t="s">
        <v>1790</v>
      </c>
      <c r="CS1354" s="165" t="s">
        <v>1790</v>
      </c>
    </row>
    <row r="1355" spans="1:104" x14ac:dyDescent="0.2">
      <c r="A1355" s="176" t="str">
        <f t="shared" si="35"/>
        <v>sandDuneType</v>
      </c>
      <c r="B1355" s="11" t="s">
        <v>12515</v>
      </c>
      <c r="C1355" s="173"/>
      <c r="D1355" s="22" t="s">
        <v>12516</v>
      </c>
      <c r="E1355" s="15" t="s">
        <v>12517</v>
      </c>
      <c r="F1355" s="174"/>
      <c r="G1355" s="174"/>
      <c r="H1355" s="17" t="s">
        <v>5932</v>
      </c>
      <c r="I1355" s="269"/>
      <c r="J1355" s="369" t="str">
        <f>HYPERLINK("[#]Datatypes!B1344:L1344","SdtCode")</f>
        <v>SdtCode</v>
      </c>
      <c r="K1355" s="276"/>
      <c r="L1355" s="272"/>
      <c r="M1355" s="272"/>
      <c r="N1355" s="248" t="str">
        <f>HYPERLINK("[#]DatatypeListedValues!A7798:H7798","&lt;values&gt;")</f>
        <v>&lt;values&gt;</v>
      </c>
      <c r="O1355" s="277" t="b">
        <v>0</v>
      </c>
      <c r="P1355" s="37">
        <v>103067</v>
      </c>
      <c r="Q1355" s="36" t="str">
        <f>CONCATENATE(Cover!$D$6,"fdd/view?i=",P1355)</f>
        <v>https://www.dgiwg.org/FAD/fdd/view?i=103067</v>
      </c>
      <c r="R1355" s="13" t="s">
        <v>12514</v>
      </c>
      <c r="S1355" s="172"/>
      <c r="T1355" s="172"/>
      <c r="BM1355" s="82" t="s">
        <v>1790</v>
      </c>
      <c r="CS1355" s="165" t="s">
        <v>1790</v>
      </c>
    </row>
    <row r="1356" spans="1:104" ht="38.25" x14ac:dyDescent="0.2">
      <c r="A1356" s="176" t="str">
        <f t="shared" si="35"/>
        <v>satelliteBasedAugSystem</v>
      </c>
      <c r="B1356" s="11" t="s">
        <v>12520</v>
      </c>
      <c r="C1356" s="173"/>
      <c r="D1356" s="22" t="s">
        <v>12521</v>
      </c>
      <c r="E1356" s="15" t="s">
        <v>4898</v>
      </c>
      <c r="F1356" s="174"/>
      <c r="G1356" s="174"/>
      <c r="H1356" s="17" t="s">
        <v>5932</v>
      </c>
      <c r="I1356" s="269"/>
      <c r="J1356" s="369" t="str">
        <f>HYPERLINK("[#]Datatypes!B1348:L1348","SbaCode")</f>
        <v>SbaCode</v>
      </c>
      <c r="K1356" s="276"/>
      <c r="L1356" s="272"/>
      <c r="M1356" s="272"/>
      <c r="N1356" s="248" t="str">
        <f>HYPERLINK("[#]DatatypeListedValues!A7806:H7806","&lt;values&gt;")</f>
        <v>&lt;values&gt;</v>
      </c>
      <c r="O1356" s="277" t="b">
        <v>0</v>
      </c>
      <c r="P1356" s="37">
        <v>117704</v>
      </c>
      <c r="Q1356" s="36" t="str">
        <f>CONCATENATE(Cover!$D$6,"fdd/view?i=",P1356)</f>
        <v>https://www.dgiwg.org/FAD/fdd/view?i=117704</v>
      </c>
      <c r="R1356" s="13" t="s">
        <v>12519</v>
      </c>
      <c r="S1356" s="172"/>
      <c r="T1356" s="172"/>
      <c r="CG1356" s="83" t="s">
        <v>1790</v>
      </c>
    </row>
    <row r="1357" spans="1:104" ht="25.5" x14ac:dyDescent="0.2">
      <c r="A1357" s="176" t="str">
        <f t="shared" si="35"/>
        <v>sbasServiceProvider</v>
      </c>
      <c r="B1357" s="11" t="s">
        <v>12524</v>
      </c>
      <c r="C1357" s="173"/>
      <c r="D1357" s="22" t="s">
        <v>12525</v>
      </c>
      <c r="E1357" s="15" t="s">
        <v>12526</v>
      </c>
      <c r="F1357" s="174"/>
      <c r="G1357" s="174"/>
      <c r="H1357" s="17" t="s">
        <v>5932</v>
      </c>
      <c r="I1357" s="269"/>
      <c r="J1357" s="369" t="str">
        <f>HYPERLINK("[#]Datatypes!B1346:L1346","SvpStrucText")</f>
        <v>SvpStrucText</v>
      </c>
      <c r="K1357" s="276"/>
      <c r="L1357" s="272"/>
      <c r="M1357" s="272"/>
      <c r="N1357" s="273"/>
      <c r="O1357" s="269"/>
      <c r="P1357" s="37">
        <v>119592</v>
      </c>
      <c r="Q1357" s="36" t="str">
        <f>CONCATENATE(Cover!$D$6,"fdd/view?i=",P1357)</f>
        <v>https://www.dgiwg.org/FAD/fdd/view?i=119592</v>
      </c>
      <c r="R1357" s="13" t="s">
        <v>12523</v>
      </c>
      <c r="S1357" s="172"/>
      <c r="T1357" s="172"/>
      <c r="CG1357" s="83" t="s">
        <v>1790</v>
      </c>
    </row>
    <row r="1358" spans="1:104" ht="25.5" x14ac:dyDescent="0.2">
      <c r="A1358" s="176" t="str">
        <f t="shared" si="35"/>
        <v>scaleDenominator</v>
      </c>
      <c r="B1358" s="11" t="s">
        <v>12530</v>
      </c>
      <c r="C1358" s="173"/>
      <c r="D1358" s="22" t="s">
        <v>12531</v>
      </c>
      <c r="E1358" s="15" t="s">
        <v>12532</v>
      </c>
      <c r="F1358" s="15" t="s">
        <v>12533</v>
      </c>
      <c r="G1358" s="174"/>
      <c r="H1358" s="17" t="s">
        <v>5932</v>
      </c>
      <c r="I1358" s="269"/>
      <c r="J1358" s="369" t="str">
        <f>HYPERLINK("[#]Datatypes!B742:L742","Integer")</f>
        <v>Integer</v>
      </c>
      <c r="K1358" s="271" t="str">
        <f>HYPERLINK("[#]PhysicalQuantities!A39:N39","Pure Number")</f>
        <v>Pure Number</v>
      </c>
      <c r="L1358" s="270" t="str">
        <f>HYPERLINK("[#]UnitsOfMeasure!D213:G213","Unitless")</f>
        <v>Unitless</v>
      </c>
      <c r="M1358" s="272"/>
      <c r="N1358" s="273"/>
      <c r="O1358" s="269"/>
      <c r="P1358" s="37">
        <v>111714</v>
      </c>
      <c r="Q1358" s="36" t="str">
        <f>CONCATENATE(Cover!$D$6,"fdd/view?i=",P1358)</f>
        <v>https://www.dgiwg.org/FAD/fdd/view?i=111714</v>
      </c>
      <c r="R1358" s="13" t="s">
        <v>12528</v>
      </c>
      <c r="S1358" s="172"/>
      <c r="T1358" s="13" t="s">
        <v>12529</v>
      </c>
      <c r="CZ1358" s="165" t="s">
        <v>1790</v>
      </c>
    </row>
    <row r="1359" spans="1:104" ht="25.5" x14ac:dyDescent="0.2">
      <c r="A1359" s="176" t="str">
        <f t="shared" si="35"/>
        <v>sceneOfIncident</v>
      </c>
      <c r="B1359" s="11" t="s">
        <v>12535</v>
      </c>
      <c r="C1359" s="173"/>
      <c r="D1359" s="22" t="s">
        <v>12536</v>
      </c>
      <c r="E1359" s="15" t="s">
        <v>12537</v>
      </c>
      <c r="F1359" s="174"/>
      <c r="G1359" s="174"/>
      <c r="H1359" s="17" t="s">
        <v>5932</v>
      </c>
      <c r="I1359" s="269"/>
      <c r="J1359" s="369" t="str">
        <f>HYPERLINK("[#]Datatypes!B1350:L1350","PheCode")</f>
        <v>PheCode</v>
      </c>
      <c r="K1359" s="276"/>
      <c r="L1359" s="272"/>
      <c r="M1359" s="272"/>
      <c r="N1359" s="248" t="str">
        <f>HYPERLINK("[#]DatatypeListedValues!A7810:H7810","&lt;values&gt;")</f>
        <v>&lt;values&gt;</v>
      </c>
      <c r="O1359" s="277" t="b">
        <v>0</v>
      </c>
      <c r="P1359" s="37">
        <v>118170</v>
      </c>
      <c r="Q1359" s="36" t="str">
        <f>CONCATENATE(Cover!$D$6,"fdd/view?i=",P1359)</f>
        <v>https://www.dgiwg.org/FAD/fdd/view?i=118170</v>
      </c>
      <c r="R1359" s="13" t="s">
        <v>12534</v>
      </c>
      <c r="S1359" s="172"/>
      <c r="T1359" s="172"/>
      <c r="CL1359" s="85" t="s">
        <v>1790</v>
      </c>
      <c r="CS1359" s="165" t="s">
        <v>1790</v>
      </c>
    </row>
    <row r="1360" spans="1:104" ht="25.5" x14ac:dyDescent="0.2">
      <c r="A1360" s="176" t="str">
        <f t="shared" si="35"/>
        <v>scrapType</v>
      </c>
      <c r="B1360" s="11" t="s">
        <v>12540</v>
      </c>
      <c r="C1360" s="173"/>
      <c r="D1360" s="22" t="s">
        <v>12541</v>
      </c>
      <c r="E1360" s="15" t="s">
        <v>12542</v>
      </c>
      <c r="F1360" s="174"/>
      <c r="G1360" s="174"/>
      <c r="H1360" s="17" t="s">
        <v>5932</v>
      </c>
      <c r="I1360" s="17" t="s">
        <v>6029</v>
      </c>
      <c r="J1360" s="369" t="str">
        <f>HYPERLINK("[#]Datatypes!B1352:L1352","WscCode")</f>
        <v>WscCode</v>
      </c>
      <c r="K1360" s="276"/>
      <c r="L1360" s="272"/>
      <c r="M1360" s="272"/>
      <c r="N1360" s="248" t="str">
        <f>HYPERLINK("[#]DatatypeListedValues!A7827:H7827","&lt;values&gt;")</f>
        <v>&lt;values&gt;</v>
      </c>
      <c r="O1360" s="277" t="b">
        <v>0</v>
      </c>
      <c r="P1360" s="37">
        <v>101505</v>
      </c>
      <c r="Q1360" s="36" t="str">
        <f>CONCATENATE(Cover!$D$6,"fdd/view?i=",P1360)</f>
        <v>https://www.dgiwg.org/FAD/fdd/view?i=101505</v>
      </c>
      <c r="R1360" s="13" t="s">
        <v>12539</v>
      </c>
      <c r="S1360" s="172"/>
      <c r="T1360" s="172"/>
      <c r="AH1360" s="85" t="s">
        <v>1790</v>
      </c>
      <c r="CS1360" s="165" t="s">
        <v>1790</v>
      </c>
    </row>
    <row r="1361" spans="1:106" ht="38.25" x14ac:dyDescent="0.2">
      <c r="A1361" s="176" t="str">
        <f t="shared" si="35"/>
        <v>screener</v>
      </c>
      <c r="B1361" s="11" t="s">
        <v>12545</v>
      </c>
      <c r="C1361" s="173"/>
      <c r="D1361" s="22" t="s">
        <v>12546</v>
      </c>
      <c r="E1361" s="15" t="s">
        <v>12547</v>
      </c>
      <c r="F1361" s="15" t="s">
        <v>12548</v>
      </c>
      <c r="G1361" s="174"/>
      <c r="H1361" s="17" t="s">
        <v>5932</v>
      </c>
      <c r="I1361" s="269"/>
      <c r="J1361" s="369" t="str">
        <f>HYPERLINK("[#]Datatypes!B240:L240","Boolean")</f>
        <v>Boolean</v>
      </c>
      <c r="K1361" s="276"/>
      <c r="L1361" s="272"/>
      <c r="M1361" s="272"/>
      <c r="N1361" s="273"/>
      <c r="O1361" s="269"/>
      <c r="P1361" s="37">
        <v>114351</v>
      </c>
      <c r="Q1361" s="36" t="str">
        <f>CONCATENATE(Cover!$D$6,"fdd/view?i=",P1361)</f>
        <v>https://www.dgiwg.org/FAD/fdd/view?i=114351</v>
      </c>
      <c r="R1361" s="13" t="s">
        <v>12544</v>
      </c>
      <c r="S1361" s="172"/>
      <c r="T1361" s="172"/>
      <c r="AS1361" s="82" t="s">
        <v>1790</v>
      </c>
      <c r="BF1361" s="83" t="s">
        <v>1790</v>
      </c>
      <c r="BG1361" s="83" t="s">
        <v>1790</v>
      </c>
      <c r="BJ1361" s="83" t="s">
        <v>1790</v>
      </c>
    </row>
    <row r="1362" spans="1:106" ht="25.5" x14ac:dyDescent="0.2">
      <c r="A1362" s="176" t="str">
        <f t="shared" si="35"/>
        <v>seaFisheryCatch</v>
      </c>
      <c r="B1362" s="11" t="s">
        <v>12550</v>
      </c>
      <c r="C1362" s="173"/>
      <c r="D1362" s="22" t="s">
        <v>12551</v>
      </c>
      <c r="E1362" s="15" t="s">
        <v>12552</v>
      </c>
      <c r="F1362" s="174"/>
      <c r="G1362" s="174"/>
      <c r="H1362" s="17" t="s">
        <v>5932</v>
      </c>
      <c r="I1362" s="269"/>
      <c r="J1362" s="369" t="str">
        <f>HYPERLINK("[#]Datatypes!B1231:L1231","Real")</f>
        <v>Real</v>
      </c>
      <c r="K1362" s="271" t="str">
        <f>HYPERLINK("[#]PhysicalQuantities!A31:N31","Mass Rate")</f>
        <v>Mass Rate</v>
      </c>
      <c r="L1362" s="270" t="str">
        <f>HYPERLINK("[#]UnitsOfMeasure!D149:G149","Tonne per Annum (tropical year)")</f>
        <v>Tonne per Annum (tropical year)</v>
      </c>
      <c r="M1362" s="272"/>
      <c r="N1362" s="273"/>
      <c r="O1362" s="269"/>
      <c r="P1362" s="37">
        <v>111527</v>
      </c>
      <c r="Q1362" s="36" t="str">
        <f>CONCATENATE(Cover!$D$6,"fdd/view?i=",P1362)</f>
        <v>https://www.dgiwg.org/FAD/fdd/view?i=111527</v>
      </c>
      <c r="R1362" s="13" t="s">
        <v>12549</v>
      </c>
      <c r="S1362" s="172"/>
      <c r="T1362" s="172"/>
      <c r="AK1362" s="83" t="s">
        <v>1790</v>
      </c>
      <c r="CQ1362" s="165" t="s">
        <v>1790</v>
      </c>
    </row>
    <row r="1363" spans="1:106" x14ac:dyDescent="0.2">
      <c r="A1363" s="176" t="str">
        <f t="shared" si="35"/>
        <v>seaIceType</v>
      </c>
      <c r="B1363" s="11" t="s">
        <v>12554</v>
      </c>
      <c r="C1363" s="173"/>
      <c r="D1363" s="22" t="s">
        <v>12555</v>
      </c>
      <c r="E1363" s="15" t="s">
        <v>12556</v>
      </c>
      <c r="F1363" s="174"/>
      <c r="G1363" s="174"/>
      <c r="H1363" s="17" t="s">
        <v>5932</v>
      </c>
      <c r="I1363" s="269"/>
      <c r="J1363" s="369" t="str">
        <f>HYPERLINK("[#]Datatypes!B1354:L1354","IccCode")</f>
        <v>IccCode</v>
      </c>
      <c r="K1363" s="276"/>
      <c r="L1363" s="272"/>
      <c r="M1363" s="272"/>
      <c r="N1363" s="248" t="str">
        <f>HYPERLINK("[#]DatatypeListedValues!A7832:H7832","&lt;values&gt;")</f>
        <v>&lt;values&gt;</v>
      </c>
      <c r="O1363" s="277" t="b">
        <v>0</v>
      </c>
      <c r="P1363" s="37">
        <v>100972</v>
      </c>
      <c r="Q1363" s="36" t="str">
        <f>CONCATENATE(Cover!$D$6,"fdd/view?i=",P1363)</f>
        <v>https://www.dgiwg.org/FAD/fdd/view?i=100972</v>
      </c>
      <c r="R1363" s="13" t="s">
        <v>12553</v>
      </c>
      <c r="S1363" s="172"/>
      <c r="T1363" s="172"/>
      <c r="BH1363" s="83" t="s">
        <v>1790</v>
      </c>
      <c r="CS1363" s="165" t="s">
        <v>1790</v>
      </c>
    </row>
    <row r="1364" spans="1:106" ht="38.25" x14ac:dyDescent="0.2">
      <c r="A1364" s="176" t="str">
        <f t="shared" si="35"/>
        <v>seasonalIceLimit</v>
      </c>
      <c r="B1364" s="11" t="s">
        <v>12559</v>
      </c>
      <c r="C1364" s="173"/>
      <c r="D1364" s="22" t="s">
        <v>12560</v>
      </c>
      <c r="E1364" s="15" t="s">
        <v>12561</v>
      </c>
      <c r="F1364" s="15" t="s">
        <v>12562</v>
      </c>
      <c r="G1364" s="174"/>
      <c r="H1364" s="17" t="s">
        <v>5932</v>
      </c>
      <c r="I1364" s="269"/>
      <c r="J1364" s="369" t="str">
        <f>HYPERLINK("[#]Datatypes!B1356:L1356","SseStrucText")</f>
        <v>SseStrucText</v>
      </c>
      <c r="K1364" s="276"/>
      <c r="L1364" s="272"/>
      <c r="M1364" s="272"/>
      <c r="N1364" s="273"/>
      <c r="O1364" s="269"/>
      <c r="P1364" s="37">
        <v>109985</v>
      </c>
      <c r="Q1364" s="36" t="str">
        <f>CONCATENATE(Cover!$D$6,"fdd/view?i=",P1364)</f>
        <v>https://www.dgiwg.org/FAD/fdd/view?i=109985</v>
      </c>
      <c r="R1364" s="13" t="s">
        <v>12558</v>
      </c>
      <c r="S1364" s="172"/>
      <c r="T1364" s="172"/>
      <c r="BH1364" s="83" t="s">
        <v>1790</v>
      </c>
      <c r="CR1364" s="165" t="s">
        <v>1790</v>
      </c>
    </row>
    <row r="1365" spans="1:106" ht="25.5" x14ac:dyDescent="0.2">
      <c r="A1365" s="176" t="str">
        <f t="shared" si="35"/>
        <v>seasonalMaxDepth</v>
      </c>
      <c r="B1365" s="11" t="s">
        <v>12565</v>
      </c>
      <c r="C1365" s="173"/>
      <c r="D1365" s="22" t="s">
        <v>12566</v>
      </c>
      <c r="E1365" s="15" t="s">
        <v>12567</v>
      </c>
      <c r="F1365" s="174"/>
      <c r="G1365" s="174"/>
      <c r="H1365" s="17" t="s">
        <v>5932</v>
      </c>
      <c r="I1365" s="269"/>
      <c r="J1365" s="369" t="str">
        <f>HYPERLINK("[#]Datatypes!B1048:L1048","RealNonNegative")</f>
        <v>RealNonNegative</v>
      </c>
      <c r="K1365" s="271" t="str">
        <f>HYPERLINK("[#]PhysicalQuantities!A20:N20","Length")</f>
        <v>Length</v>
      </c>
      <c r="L1365" s="270" t="str">
        <f>HYPERLINK("[#]UnitsOfMeasure!D80:G80","Metre")</f>
        <v>Metre</v>
      </c>
      <c r="M1365" s="272"/>
      <c r="N1365" s="273"/>
      <c r="O1365" s="269"/>
      <c r="P1365" s="37">
        <v>119448</v>
      </c>
      <c r="Q1365" s="36" t="str">
        <f>CONCATENATE(Cover!$D$6,"fdd/view?i=",P1365)</f>
        <v>https://www.dgiwg.org/FAD/fdd/view?i=119448</v>
      </c>
      <c r="R1365" s="13" t="s">
        <v>12564</v>
      </c>
      <c r="S1365" s="172"/>
      <c r="T1365" s="172"/>
      <c r="BJ1365" s="83" t="s">
        <v>1790</v>
      </c>
      <c r="CQ1365" s="165" t="s">
        <v>1790</v>
      </c>
      <c r="CR1365" s="165" t="s">
        <v>1790</v>
      </c>
    </row>
    <row r="1366" spans="1:106" ht="25.5" x14ac:dyDescent="0.2">
      <c r="A1366" s="176" t="str">
        <f t="shared" si="35"/>
        <v>seasonalMinDepth</v>
      </c>
      <c r="B1366" s="11" t="s">
        <v>12569</v>
      </c>
      <c r="C1366" s="173"/>
      <c r="D1366" s="22" t="s">
        <v>12570</v>
      </c>
      <c r="E1366" s="15" t="s">
        <v>12571</v>
      </c>
      <c r="F1366" s="174"/>
      <c r="G1366" s="174"/>
      <c r="H1366" s="17" t="s">
        <v>5932</v>
      </c>
      <c r="I1366" s="269"/>
      <c r="J1366" s="369" t="str">
        <f>HYPERLINK("[#]Datatypes!B1048:L1048","RealNonNegative")</f>
        <v>RealNonNegative</v>
      </c>
      <c r="K1366" s="271" t="str">
        <f>HYPERLINK("[#]PhysicalQuantities!A20:N20","Length")</f>
        <v>Length</v>
      </c>
      <c r="L1366" s="270" t="str">
        <f>HYPERLINK("[#]UnitsOfMeasure!D80:G80","Metre")</f>
        <v>Metre</v>
      </c>
      <c r="M1366" s="272"/>
      <c r="N1366" s="273"/>
      <c r="O1366" s="269"/>
      <c r="P1366" s="37">
        <v>119449</v>
      </c>
      <c r="Q1366" s="36" t="str">
        <f>CONCATENATE(Cover!$D$6,"fdd/view?i=",P1366)</f>
        <v>https://www.dgiwg.org/FAD/fdd/view?i=119449</v>
      </c>
      <c r="R1366" s="13" t="s">
        <v>12568</v>
      </c>
      <c r="S1366" s="172"/>
      <c r="T1366" s="172"/>
      <c r="BJ1366" s="83" t="s">
        <v>1790</v>
      </c>
      <c r="CQ1366" s="165" t="s">
        <v>1790</v>
      </c>
      <c r="CR1366" s="165" t="s">
        <v>1790</v>
      </c>
    </row>
    <row r="1367" spans="1:106" ht="25.5" x14ac:dyDescent="0.2">
      <c r="A1367" s="176" t="str">
        <f t="shared" si="35"/>
        <v>secondBroadcastFrequency</v>
      </c>
      <c r="B1367" s="11" t="s">
        <v>12573</v>
      </c>
      <c r="C1367" s="173"/>
      <c r="D1367" s="22" t="s">
        <v>12574</v>
      </c>
      <c r="E1367" s="15" t="s">
        <v>12575</v>
      </c>
      <c r="F1367" s="15" t="s">
        <v>12576</v>
      </c>
      <c r="G1367" s="174"/>
      <c r="H1367" s="17" t="s">
        <v>5932</v>
      </c>
      <c r="I1367" s="269"/>
      <c r="J1367" s="369" t="str">
        <f>HYPERLINK("[#]Datatypes!B742:L742","Integer")</f>
        <v>Integer</v>
      </c>
      <c r="K1367" s="271" t="str">
        <f>HYPERLINK("[#]PhysicalQuantities!A15:N15","Frequency")</f>
        <v>Frequency</v>
      </c>
      <c r="L1367" s="270" t="str">
        <f>HYPERLINK("[#]UnitsOfMeasure!D71:G71","Hertz")</f>
        <v>Hertz</v>
      </c>
      <c r="M1367" s="272"/>
      <c r="N1367" s="273"/>
      <c r="O1367" s="269"/>
      <c r="P1367" s="37">
        <v>100671</v>
      </c>
      <c r="Q1367" s="36" t="str">
        <f>CONCATENATE(Cover!$D$6,"fdd/view?i=",P1367)</f>
        <v>https://www.dgiwg.org/FAD/fdd/view?i=100671</v>
      </c>
      <c r="R1367" s="13" t="s">
        <v>12572</v>
      </c>
      <c r="S1367" s="172"/>
      <c r="T1367" s="172"/>
      <c r="AE1367" s="82" t="s">
        <v>1790</v>
      </c>
      <c r="CQ1367" s="165" t="s">
        <v>1790</v>
      </c>
    </row>
    <row r="1368" spans="1:106" ht="25.5" x14ac:dyDescent="0.2">
      <c r="A1368" s="176" t="str">
        <f t="shared" si="35"/>
        <v>secondaryIcaoIdentifier</v>
      </c>
      <c r="B1368" s="11" t="s">
        <v>12578</v>
      </c>
      <c r="C1368" s="173"/>
      <c r="D1368" s="22" t="s">
        <v>12579</v>
      </c>
      <c r="E1368" s="15" t="s">
        <v>12580</v>
      </c>
      <c r="F1368" s="174"/>
      <c r="G1368" s="174"/>
      <c r="H1368" s="17" t="s">
        <v>5932</v>
      </c>
      <c r="I1368" s="269"/>
      <c r="J1368" s="369" t="str">
        <f>HYPERLINK("[#]Datatypes!B786:L786","KeyNonLex254")</f>
        <v>KeyNonLex254</v>
      </c>
      <c r="K1368" s="276"/>
      <c r="L1368" s="272"/>
      <c r="M1368" s="272"/>
      <c r="N1368" s="273"/>
      <c r="O1368" s="269"/>
      <c r="P1368" s="37">
        <v>119189</v>
      </c>
      <c r="Q1368" s="36" t="str">
        <f>CONCATENATE(Cover!$D$6,"fdd/view?i=",P1368)</f>
        <v>https://www.dgiwg.org/FAD/fdd/view?i=119189</v>
      </c>
      <c r="R1368" s="13" t="s">
        <v>12577</v>
      </c>
      <c r="S1368" s="172"/>
      <c r="T1368" s="172"/>
      <c r="AT1368" s="82" t="s">
        <v>1790</v>
      </c>
      <c r="CV1368" s="83" t="s">
        <v>1790</v>
      </c>
    </row>
    <row r="1369" spans="1:106" ht="25.5" x14ac:dyDescent="0.2">
      <c r="A1369" s="176" t="str">
        <f t="shared" si="35"/>
        <v>secondaryOperatingRange</v>
      </c>
      <c r="B1369" s="11" t="s">
        <v>12583</v>
      </c>
      <c r="C1369" s="173"/>
      <c r="D1369" s="22" t="s">
        <v>12584</v>
      </c>
      <c r="E1369" s="15" t="s">
        <v>12585</v>
      </c>
      <c r="F1369" s="174"/>
      <c r="G1369" s="174"/>
      <c r="H1369" s="17" t="s">
        <v>5932</v>
      </c>
      <c r="I1369" s="269"/>
      <c r="J1369" s="369" t="str">
        <f>HYPERLINK("[#]Datatypes!B1048:L1048","RealNonNegative")</f>
        <v>RealNonNegative</v>
      </c>
      <c r="K1369" s="271" t="str">
        <f>HYPERLINK("[#]PhysicalQuantities!A20:N20","Length")</f>
        <v>Length</v>
      </c>
      <c r="L1369" s="270" t="str">
        <f>HYPERLINK("[#]UnitsOfMeasure!D94:G94","Nautical Mile")</f>
        <v>Nautical Mile</v>
      </c>
      <c r="M1369" s="272"/>
      <c r="N1369" s="273"/>
      <c r="O1369" s="269"/>
      <c r="P1369" s="37">
        <v>110818</v>
      </c>
      <c r="Q1369" s="36" t="str">
        <f>CONCATENATE(Cover!$D$6,"fdd/view?i=",P1369)</f>
        <v>https://www.dgiwg.org/FAD/fdd/view?i=110818</v>
      </c>
      <c r="R1369" s="13" t="s">
        <v>12582</v>
      </c>
      <c r="S1369" s="172"/>
      <c r="T1369" s="172"/>
      <c r="AS1369" s="82" t="s">
        <v>1790</v>
      </c>
      <c r="AT1369" s="82" t="s">
        <v>1790</v>
      </c>
      <c r="BF1369" s="83" t="s">
        <v>1790</v>
      </c>
      <c r="CG1369" s="83" t="s">
        <v>1790</v>
      </c>
      <c r="CQ1369" s="165" t="s">
        <v>1790</v>
      </c>
    </row>
    <row r="1370" spans="1:106" ht="25.5" x14ac:dyDescent="0.2">
      <c r="A1370" s="176" t="str">
        <f t="shared" si="35"/>
        <v>secondaryPowerDescription</v>
      </c>
      <c r="B1370" s="11" t="s">
        <v>12587</v>
      </c>
      <c r="C1370" s="173"/>
      <c r="D1370" s="22" t="s">
        <v>12588</v>
      </c>
      <c r="E1370" s="15" t="s">
        <v>12589</v>
      </c>
      <c r="F1370" s="15" t="s">
        <v>12590</v>
      </c>
      <c r="G1370" s="174"/>
      <c r="H1370" s="17" t="s">
        <v>5932</v>
      </c>
      <c r="I1370" s="269"/>
      <c r="J1370" s="369" t="str">
        <f>HYPERLINK("[#]Datatypes!B1562:L1562","TextNonLexUnconstrained")</f>
        <v>TextNonLexUnconstrained</v>
      </c>
      <c r="K1370" s="276"/>
      <c r="L1370" s="272"/>
      <c r="M1370" s="272"/>
      <c r="N1370" s="273"/>
      <c r="O1370" s="269"/>
      <c r="P1370" s="37">
        <v>117712</v>
      </c>
      <c r="Q1370" s="36" t="str">
        <f>CONCATENATE(Cover!$D$6,"fdd/view?i=",P1370)</f>
        <v>https://www.dgiwg.org/FAD/fdd/view?i=117712</v>
      </c>
      <c r="R1370" s="13" t="s">
        <v>12586</v>
      </c>
      <c r="S1370" s="172"/>
      <c r="T1370" s="172"/>
      <c r="CE1370" s="87" t="s">
        <v>1790</v>
      </c>
    </row>
    <row r="1371" spans="1:106" ht="25.5" x14ac:dyDescent="0.2">
      <c r="A1371" s="176" t="str">
        <f t="shared" si="35"/>
        <v>secondaryRouteDesig</v>
      </c>
      <c r="B1371" s="11" t="s">
        <v>12592</v>
      </c>
      <c r="C1371" s="173"/>
      <c r="D1371" s="22" t="s">
        <v>12593</v>
      </c>
      <c r="E1371" s="15" t="s">
        <v>12594</v>
      </c>
      <c r="F1371" s="15" t="s">
        <v>12595</v>
      </c>
      <c r="G1371" s="174"/>
      <c r="H1371" s="17" t="s">
        <v>5932</v>
      </c>
      <c r="I1371" s="269"/>
      <c r="J1371" s="369" t="str">
        <f>HYPERLINK("[#]Datatypes!B1542:L1542","TextLex80")</f>
        <v>TextLex80</v>
      </c>
      <c r="K1371" s="276"/>
      <c r="L1371" s="272"/>
      <c r="M1371" s="272"/>
      <c r="N1371" s="273"/>
      <c r="O1371" s="269"/>
      <c r="P1371" s="37">
        <v>101235</v>
      </c>
      <c r="Q1371" s="36" t="str">
        <f>CONCATENATE(Cover!$D$6,"fdd/view?i=",P1371)</f>
        <v>https://www.dgiwg.org/FAD/fdd/view?i=101235</v>
      </c>
      <c r="R1371" s="13" t="s">
        <v>12591</v>
      </c>
      <c r="S1371" s="172"/>
      <c r="T1371" s="172"/>
      <c r="AP1371" s="81" t="s">
        <v>1790</v>
      </c>
      <c r="AQ1371" s="82" t="s">
        <v>1790</v>
      </c>
      <c r="CU1371" s="87" t="s">
        <v>1790</v>
      </c>
      <c r="CV1371" s="83" t="s">
        <v>1790</v>
      </c>
    </row>
    <row r="1372" spans="1:106" ht="25.5" x14ac:dyDescent="0.2">
      <c r="A1372" s="176" t="str">
        <f t="shared" si="35"/>
        <v>secondaryStructMatType</v>
      </c>
      <c r="B1372" s="11" t="s">
        <v>12597</v>
      </c>
      <c r="C1372" s="173"/>
      <c r="D1372" s="22" t="s">
        <v>12598</v>
      </c>
      <c r="E1372" s="15" t="s">
        <v>12599</v>
      </c>
      <c r="F1372" s="15" t="s">
        <v>12600</v>
      </c>
      <c r="G1372" s="174"/>
      <c r="H1372" s="17" t="s">
        <v>5932</v>
      </c>
      <c r="I1372" s="269"/>
      <c r="J1372" s="369" t="str">
        <f>HYPERLINK("[#]Datatypes!B1358:L1358","McsCode")</f>
        <v>McsCode</v>
      </c>
      <c r="K1372" s="276"/>
      <c r="L1372" s="272"/>
      <c r="M1372" s="272"/>
      <c r="N1372" s="248" t="str">
        <f>HYPERLINK("[#]DatatypeListedValues!A7843:H7843","&lt;values&gt;")</f>
        <v>&lt;values&gt;</v>
      </c>
      <c r="O1372" s="277" t="b">
        <v>0</v>
      </c>
      <c r="P1372" s="37">
        <v>101033</v>
      </c>
      <c r="Q1372" s="36" t="str">
        <f>CONCATENATE(Cover!$D$6,"fdd/view?i=",P1372)</f>
        <v>https://www.dgiwg.org/FAD/fdd/view?i=101033</v>
      </c>
      <c r="R1372" s="13" t="s">
        <v>12596</v>
      </c>
      <c r="S1372" s="172"/>
      <c r="T1372" s="172"/>
      <c r="CS1372" s="165" t="s">
        <v>1790</v>
      </c>
    </row>
    <row r="1373" spans="1:106" ht="51" x14ac:dyDescent="0.2">
      <c r="A1373" s="176" t="str">
        <f t="shared" si="35"/>
        <v>secondOrderAdminDivName</v>
      </c>
      <c r="B1373" s="11" t="s">
        <v>12603</v>
      </c>
      <c r="C1373" s="173"/>
      <c r="D1373" s="22" t="s">
        <v>12604</v>
      </c>
      <c r="E1373" s="15" t="s">
        <v>12605</v>
      </c>
      <c r="F1373" s="15" t="s">
        <v>12606</v>
      </c>
      <c r="G1373" s="174"/>
      <c r="H1373" s="17" t="s">
        <v>5932</v>
      </c>
      <c r="I1373" s="269"/>
      <c r="J1373" s="369" t="str">
        <f>HYPERLINK("[#]Datatypes!B1534:L1534","TextLex200")</f>
        <v>TextLex200</v>
      </c>
      <c r="K1373" s="276"/>
      <c r="L1373" s="272"/>
      <c r="M1373" s="272"/>
      <c r="N1373" s="273"/>
      <c r="O1373" s="269"/>
      <c r="P1373" s="37">
        <v>119007</v>
      </c>
      <c r="Q1373" s="36" t="str">
        <f>CONCATENATE(Cover!$D$6,"fdd/view?i=",P1373)</f>
        <v>https://www.dgiwg.org/FAD/fdd/view?i=119007</v>
      </c>
      <c r="R1373" s="13" t="s">
        <v>12602</v>
      </c>
      <c r="S1373" s="172"/>
      <c r="T1373" s="172"/>
      <c r="AM1373" s="83" t="s">
        <v>1790</v>
      </c>
      <c r="CU1373" s="87" t="s">
        <v>1790</v>
      </c>
    </row>
    <row r="1374" spans="1:106" ht="38.25" x14ac:dyDescent="0.2">
      <c r="A1374" s="176" t="str">
        <f t="shared" si="35"/>
        <v>securityClassification</v>
      </c>
      <c r="B1374" s="11" t="s">
        <v>12609</v>
      </c>
      <c r="C1374" s="173"/>
      <c r="D1374" s="22" t="s">
        <v>12610</v>
      </c>
      <c r="E1374" s="15" t="s">
        <v>12611</v>
      </c>
      <c r="F1374" s="174"/>
      <c r="G1374" s="174"/>
      <c r="H1374" s="17" t="s">
        <v>5932</v>
      </c>
      <c r="I1374" s="269"/>
      <c r="J1374" s="369" t="str">
        <f>HYPERLINK("[#]Datatypes!B1362:L1362","SecCode")</f>
        <v>SecCode</v>
      </c>
      <c r="K1374" s="276"/>
      <c r="L1374" s="272"/>
      <c r="M1374" s="272"/>
      <c r="N1374" s="248" t="str">
        <f>HYPERLINK("[#]DatatypeListedValues!A7937:H7937","&lt;values&gt;")</f>
        <v>&lt;values&gt;</v>
      </c>
      <c r="O1374" s="277" t="b">
        <v>0</v>
      </c>
      <c r="P1374" s="37">
        <v>101282</v>
      </c>
      <c r="Q1374" s="36" t="str">
        <f>CONCATENATE(Cover!$D$6,"fdd/view?i=",P1374)</f>
        <v>https://www.dgiwg.org/FAD/fdd/view?i=101282</v>
      </c>
      <c r="R1374" s="13" t="s">
        <v>12607</v>
      </c>
      <c r="S1374" s="172"/>
      <c r="T1374" s="13" t="s">
        <v>12608</v>
      </c>
      <c r="DB1374" s="166" t="s">
        <v>1790</v>
      </c>
    </row>
    <row r="1375" spans="1:106" ht="76.5" x14ac:dyDescent="0.2">
      <c r="A1375" s="176" t="str">
        <f t="shared" si="35"/>
        <v>securityClassAuthority</v>
      </c>
      <c r="B1375" s="11" t="s">
        <v>12615</v>
      </c>
      <c r="C1375" s="173"/>
      <c r="D1375" s="22" t="s">
        <v>12616</v>
      </c>
      <c r="E1375" s="15" t="s">
        <v>12617</v>
      </c>
      <c r="F1375" s="174"/>
      <c r="G1375" s="174"/>
      <c r="H1375" s="17" t="s">
        <v>5932</v>
      </c>
      <c r="I1375" s="17" t="s">
        <v>6029</v>
      </c>
      <c r="J1375" s="369" t="str">
        <f>HYPERLINK("[#]Datatypes!B1360:L1360","SthCode")</f>
        <v>SthCode</v>
      </c>
      <c r="K1375" s="276"/>
      <c r="L1375" s="272"/>
      <c r="M1375" s="272"/>
      <c r="N1375" s="248" t="str">
        <f>HYPERLINK("[#]DatatypeListedValues!A7930:H7930","&lt;values&gt;")</f>
        <v>&lt;values&gt;</v>
      </c>
      <c r="O1375" s="277" t="b">
        <v>0</v>
      </c>
      <c r="P1375" s="37">
        <v>109987</v>
      </c>
      <c r="Q1375" s="36" t="str">
        <f>CONCATENATE(Cover!$D$6,"fdd/view?i=",P1375)</f>
        <v>https://www.dgiwg.org/FAD/fdd/view?i=109987</v>
      </c>
      <c r="R1375" s="13" t="s">
        <v>12613</v>
      </c>
      <c r="S1375" s="172"/>
      <c r="T1375" s="13" t="s">
        <v>12614</v>
      </c>
      <c r="DB1375" s="166" t="s">
        <v>1790</v>
      </c>
    </row>
    <row r="1376" spans="1:106" ht="38.25" x14ac:dyDescent="0.2">
      <c r="A1376" s="176" t="str">
        <f t="shared" si="35"/>
        <v>secClassAuthorityDesc</v>
      </c>
      <c r="B1376" s="11" t="s">
        <v>12621</v>
      </c>
      <c r="C1376" s="173"/>
      <c r="D1376" s="22" t="s">
        <v>12622</v>
      </c>
      <c r="E1376" s="15" t="s">
        <v>12623</v>
      </c>
      <c r="F1376" s="15" t="s">
        <v>12624</v>
      </c>
      <c r="G1376" s="174"/>
      <c r="H1376" s="17" t="s">
        <v>5932</v>
      </c>
      <c r="I1376" s="269"/>
      <c r="J1376" s="369" t="str">
        <f>HYPERLINK("[#]Datatypes!B1562:L1562","TextNonLexUnconstrained")</f>
        <v>TextNonLexUnconstrained</v>
      </c>
      <c r="K1376" s="276"/>
      <c r="L1376" s="272"/>
      <c r="M1376" s="272"/>
      <c r="N1376" s="273"/>
      <c r="O1376" s="269"/>
      <c r="P1376" s="37">
        <v>111728</v>
      </c>
      <c r="Q1376" s="36" t="str">
        <f>CONCATENATE(Cover!$D$6,"fdd/view?i=",P1376)</f>
        <v>https://www.dgiwg.org/FAD/fdd/view?i=111728</v>
      </c>
      <c r="R1376" s="13" t="s">
        <v>12619</v>
      </c>
      <c r="S1376" s="172"/>
      <c r="T1376" s="13" t="s">
        <v>12620</v>
      </c>
      <c r="CZ1376" s="165" t="s">
        <v>1790</v>
      </c>
      <c r="DA1376" s="165" t="s">
        <v>1790</v>
      </c>
    </row>
    <row r="1377" spans="1:105" ht="178.5" x14ac:dyDescent="0.2">
      <c r="A1377" s="176" t="str">
        <f t="shared" si="35"/>
        <v>secClassSystem</v>
      </c>
      <c r="B1377" s="11" t="s">
        <v>12627</v>
      </c>
      <c r="C1377" s="173"/>
      <c r="D1377" s="22" t="s">
        <v>12628</v>
      </c>
      <c r="E1377" s="15" t="s">
        <v>12629</v>
      </c>
      <c r="F1377" s="15" t="s">
        <v>12630</v>
      </c>
      <c r="G1377" s="174"/>
      <c r="H1377" s="17" t="s">
        <v>5932</v>
      </c>
      <c r="I1377" s="269"/>
      <c r="J1377" s="369" t="str">
        <f>HYPERLINK("[#]Datatypes!B1562:L1562","TextNonLexUnconstrained")</f>
        <v>TextNonLexUnconstrained</v>
      </c>
      <c r="K1377" s="276"/>
      <c r="L1377" s="272"/>
      <c r="M1377" s="272"/>
      <c r="N1377" s="273"/>
      <c r="O1377" s="269"/>
      <c r="P1377" s="37">
        <v>111716</v>
      </c>
      <c r="Q1377" s="36" t="str">
        <f>CONCATENATE(Cover!$D$6,"fdd/view?i=",P1377)</f>
        <v>https://www.dgiwg.org/FAD/fdd/view?i=111716</v>
      </c>
      <c r="R1377" s="13" t="s">
        <v>12625</v>
      </c>
      <c r="S1377" s="172"/>
      <c r="T1377" s="13" t="s">
        <v>12626</v>
      </c>
      <c r="CV1377" s="83" t="s">
        <v>1790</v>
      </c>
      <c r="DA1377" s="165" t="s">
        <v>1790</v>
      </c>
    </row>
    <row r="1378" spans="1:105" ht="25.5" x14ac:dyDescent="0.2">
      <c r="A1378" s="176" t="str">
        <f t="shared" si="35"/>
        <v>securityFacilityType</v>
      </c>
      <c r="B1378" s="11" t="s">
        <v>12632</v>
      </c>
      <c r="C1378" s="173"/>
      <c r="D1378" s="22" t="s">
        <v>12633</v>
      </c>
      <c r="E1378" s="15" t="s">
        <v>12634</v>
      </c>
      <c r="F1378" s="174"/>
      <c r="G1378" s="174"/>
      <c r="H1378" s="17" t="s">
        <v>5932</v>
      </c>
      <c r="I1378" s="269"/>
      <c r="J1378" s="369" t="str">
        <f>HYPERLINK("[#]Datatypes!B1364:L1364","SfyCode")</f>
        <v>SfyCode</v>
      </c>
      <c r="K1378" s="276"/>
      <c r="L1378" s="272"/>
      <c r="M1378" s="272"/>
      <c r="N1378" s="248" t="str">
        <f>HYPERLINK("[#]DatatypeListedValues!A7960:H7960","&lt;values&gt;")</f>
        <v>&lt;values&gt;</v>
      </c>
      <c r="O1378" s="277" t="b">
        <v>0</v>
      </c>
      <c r="P1378" s="37">
        <v>101288</v>
      </c>
      <c r="Q1378" s="36" t="str">
        <f>CONCATENATE(Cover!$D$6,"fdd/view?i=",P1378)</f>
        <v>https://www.dgiwg.org/FAD/fdd/view?i=101288</v>
      </c>
      <c r="R1378" s="13" t="s">
        <v>12631</v>
      </c>
      <c r="S1378" s="172"/>
      <c r="T1378" s="172"/>
      <c r="AJ1378" s="83" t="s">
        <v>1790</v>
      </c>
      <c r="CT1378" s="166" t="s">
        <v>1790</v>
      </c>
    </row>
    <row r="1379" spans="1:105" ht="255" x14ac:dyDescent="0.2">
      <c r="A1379" s="176" t="str">
        <f t="shared" si="35"/>
        <v>sedimentColour</v>
      </c>
      <c r="B1379" s="11" t="s">
        <v>12637</v>
      </c>
      <c r="C1379" s="173"/>
      <c r="D1379" s="22" t="s">
        <v>12638</v>
      </c>
      <c r="E1379" s="15" t="s">
        <v>12639</v>
      </c>
      <c r="F1379" s="15" t="s">
        <v>12640</v>
      </c>
      <c r="G1379" s="174"/>
      <c r="H1379" s="17" t="s">
        <v>5932</v>
      </c>
      <c r="I1379" s="269"/>
      <c r="J1379" s="369" t="str">
        <f>HYPERLINK("[#]Datatypes!B1366:L1366","ScoCode")</f>
        <v>ScoCode</v>
      </c>
      <c r="K1379" s="276"/>
      <c r="L1379" s="272"/>
      <c r="M1379" s="272"/>
      <c r="N1379" s="248" t="str">
        <f>HYPERLINK("[#]DatatypeListedValues!A7962:H7962","&lt;values&gt;")</f>
        <v>&lt;values&gt;</v>
      </c>
      <c r="O1379" s="277" t="b">
        <v>0</v>
      </c>
      <c r="P1379" s="37">
        <v>109983</v>
      </c>
      <c r="Q1379" s="36" t="str">
        <f>CONCATENATE(Cover!$D$6,"fdd/view?i=",P1379)</f>
        <v>https://www.dgiwg.org/FAD/fdd/view?i=109983</v>
      </c>
      <c r="R1379" s="13" t="s">
        <v>12636</v>
      </c>
      <c r="S1379" s="172"/>
      <c r="T1379" s="172"/>
      <c r="BM1379" s="82" t="s">
        <v>1790</v>
      </c>
      <c r="BN1379" s="82" t="s">
        <v>1790</v>
      </c>
      <c r="BO1379" s="82" t="s">
        <v>1790</v>
      </c>
      <c r="CS1379" s="165" t="s">
        <v>1790</v>
      </c>
      <c r="DA1379" s="165" t="s">
        <v>1790</v>
      </c>
    </row>
    <row r="1380" spans="1:105" x14ac:dyDescent="0.2">
      <c r="A1380" s="176" t="str">
        <f t="shared" si="35"/>
        <v>sedimentGasContent</v>
      </c>
      <c r="B1380" s="11" t="s">
        <v>12643</v>
      </c>
      <c r="C1380" s="173"/>
      <c r="D1380" s="22" t="s">
        <v>12644</v>
      </c>
      <c r="E1380" s="15" t="s">
        <v>12645</v>
      </c>
      <c r="F1380" s="174"/>
      <c r="G1380" s="174"/>
      <c r="H1380" s="17" t="s">
        <v>5932</v>
      </c>
      <c r="I1380" s="269"/>
      <c r="J1380" s="369" t="str">
        <f>HYPERLINK("[#]Datatypes!B744:L744","Integer0to100")</f>
        <v>Integer0to100</v>
      </c>
      <c r="K1380" s="271" t="str">
        <f>HYPERLINK("[#]PhysicalQuantities!A39:N39","Pure Number")</f>
        <v>Pure Number</v>
      </c>
      <c r="L1380" s="270" t="str">
        <f>HYPERLINK("[#]UnitsOfMeasure!D215:G215","Percent")</f>
        <v>Percent</v>
      </c>
      <c r="M1380" s="272"/>
      <c r="N1380" s="273"/>
      <c r="O1380" s="269"/>
      <c r="P1380" s="37">
        <v>111777</v>
      </c>
      <c r="Q1380" s="36" t="str">
        <f>CONCATENATE(Cover!$D$6,"fdd/view?i=",P1380)</f>
        <v>https://www.dgiwg.org/FAD/fdd/view?i=111777</v>
      </c>
      <c r="R1380" s="13" t="s">
        <v>12642</v>
      </c>
      <c r="S1380" s="172"/>
      <c r="T1380" s="172"/>
      <c r="BN1380" s="82" t="s">
        <v>1790</v>
      </c>
      <c r="CQ1380" s="165" t="s">
        <v>1790</v>
      </c>
    </row>
    <row r="1381" spans="1:105" x14ac:dyDescent="0.2">
      <c r="A1381" s="176" t="str">
        <f t="shared" si="35"/>
        <v>sedimentGrainSize</v>
      </c>
      <c r="B1381" s="11" t="s">
        <v>12647</v>
      </c>
      <c r="C1381" s="173"/>
      <c r="D1381" s="22" t="s">
        <v>12648</v>
      </c>
      <c r="E1381" s="15" t="s">
        <v>12649</v>
      </c>
      <c r="F1381" s="174"/>
      <c r="G1381" s="174"/>
      <c r="H1381" s="17" t="s">
        <v>5932</v>
      </c>
      <c r="I1381" s="269"/>
      <c r="J1381" s="369" t="str">
        <f>HYPERLINK("[#]Datatypes!B1231:L1231","Real")</f>
        <v>Real</v>
      </c>
      <c r="K1381" s="271" t="str">
        <f>HYPERLINK("[#]PhysicalQuantities!A20:N20","Length")</f>
        <v>Length</v>
      </c>
      <c r="L1381" s="270" t="str">
        <f>HYPERLINK("[#]UnitsOfMeasure!D90:G90","Millimetre")</f>
        <v>Millimetre</v>
      </c>
      <c r="M1381" s="272"/>
      <c r="N1381" s="273"/>
      <c r="O1381" s="269"/>
      <c r="P1381" s="37">
        <v>111778</v>
      </c>
      <c r="Q1381" s="36" t="str">
        <f>CONCATENATE(Cover!$D$6,"fdd/view?i=",P1381)</f>
        <v>https://www.dgiwg.org/FAD/fdd/view?i=111778</v>
      </c>
      <c r="R1381" s="13" t="s">
        <v>12646</v>
      </c>
      <c r="S1381" s="172"/>
      <c r="T1381" s="172"/>
      <c r="BN1381" s="82" t="s">
        <v>1790</v>
      </c>
      <c r="CQ1381" s="165" t="s">
        <v>1790</v>
      </c>
    </row>
    <row r="1382" spans="1:105" ht="25.5" x14ac:dyDescent="0.2">
      <c r="A1382" s="176" t="str">
        <f t="shared" si="35"/>
        <v>segmentEndCondition</v>
      </c>
      <c r="B1382" s="11" t="s">
        <v>12651</v>
      </c>
      <c r="C1382" s="173"/>
      <c r="D1382" s="22" t="s">
        <v>12652</v>
      </c>
      <c r="E1382" s="15" t="s">
        <v>12653</v>
      </c>
      <c r="F1382" s="15" t="s">
        <v>12654</v>
      </c>
      <c r="G1382" s="15" t="s">
        <v>12655</v>
      </c>
      <c r="H1382" s="17" t="s">
        <v>5932</v>
      </c>
      <c r="I1382" s="269"/>
      <c r="J1382" s="369" t="str">
        <f>HYPERLINK("[#]Datatypes!B1562:L1562","TextNonLexUnconstrained")</f>
        <v>TextNonLexUnconstrained</v>
      </c>
      <c r="K1382" s="276"/>
      <c r="L1382" s="272"/>
      <c r="M1382" s="272"/>
      <c r="N1382" s="273"/>
      <c r="O1382" s="269"/>
      <c r="P1382" s="37">
        <v>117707</v>
      </c>
      <c r="Q1382" s="36" t="str">
        <f>CONCATENATE(Cover!$D$6,"fdd/view?i=",P1382)</f>
        <v>https://www.dgiwg.org/FAD/fdd/view?i=117707</v>
      </c>
      <c r="R1382" s="13" t="s">
        <v>12650</v>
      </c>
      <c r="S1382" s="172"/>
      <c r="T1382" s="172"/>
      <c r="CF1382" s="83" t="s">
        <v>1790</v>
      </c>
    </row>
    <row r="1383" spans="1:105" x14ac:dyDescent="0.2">
      <c r="A1383" s="176" t="str">
        <f t="shared" si="35"/>
        <v>seismicActivityMagnitude</v>
      </c>
      <c r="B1383" s="11" t="s">
        <v>12657</v>
      </c>
      <c r="C1383" s="173"/>
      <c r="D1383" s="22" t="s">
        <v>12658</v>
      </c>
      <c r="E1383" s="15" t="s">
        <v>12659</v>
      </c>
      <c r="F1383" s="174"/>
      <c r="G1383" s="174"/>
      <c r="H1383" s="17" t="s">
        <v>5932</v>
      </c>
      <c r="I1383" s="269"/>
      <c r="J1383" s="369" t="str">
        <f>HYPERLINK("[#]Datatypes!B1254:L1254","RealNonNeg0r0to9r9")</f>
        <v>RealNonNeg0r0to9r9</v>
      </c>
      <c r="K1383" s="271" t="str">
        <f>HYPERLINK("[#]PhysicalQuantities!A39:N39","Pure Number")</f>
        <v>Pure Number</v>
      </c>
      <c r="L1383" s="270" t="str">
        <f>HYPERLINK("[#]UnitsOfMeasure!D213:G213","Unitless")</f>
        <v>Unitless</v>
      </c>
      <c r="M1383" s="272"/>
      <c r="N1383" s="273"/>
      <c r="O1383" s="269"/>
      <c r="P1383" s="37">
        <v>111779</v>
      </c>
      <c r="Q1383" s="36" t="str">
        <f>CONCATENATE(Cover!$D$6,"fdd/view?i=",P1383)</f>
        <v>https://www.dgiwg.org/FAD/fdd/view?i=111779</v>
      </c>
      <c r="R1383" s="13" t="s">
        <v>12656</v>
      </c>
      <c r="S1383" s="172"/>
      <c r="T1383" s="172"/>
      <c r="BQ1383" s="82" t="s">
        <v>1790</v>
      </c>
      <c r="CQ1383" s="165" t="s">
        <v>1790</v>
      </c>
    </row>
    <row r="1384" spans="1:105" x14ac:dyDescent="0.2">
      <c r="A1384" s="176" t="str">
        <f t="shared" si="35"/>
        <v>seismicDisturbanceType</v>
      </c>
      <c r="B1384" s="11" t="s">
        <v>12662</v>
      </c>
      <c r="C1384" s="173"/>
      <c r="D1384" s="22" t="s">
        <v>12663</v>
      </c>
      <c r="E1384" s="15" t="s">
        <v>12664</v>
      </c>
      <c r="F1384" s="15" t="s">
        <v>12665</v>
      </c>
      <c r="G1384" s="174"/>
      <c r="H1384" s="17" t="s">
        <v>5932</v>
      </c>
      <c r="I1384" s="269"/>
      <c r="J1384" s="369" t="str">
        <f>HYPERLINK("[#]Datatypes!B1368:L1368","EqkCode")</f>
        <v>EqkCode</v>
      </c>
      <c r="K1384" s="276"/>
      <c r="L1384" s="272"/>
      <c r="M1384" s="272"/>
      <c r="N1384" s="248" t="str">
        <f>HYPERLINK("[#]DatatypeListedValues!A8011:H8011","&lt;values&gt;")</f>
        <v>&lt;values&gt;</v>
      </c>
      <c r="O1384" s="277" t="b">
        <v>0</v>
      </c>
      <c r="P1384" s="37">
        <v>111535</v>
      </c>
      <c r="Q1384" s="36" t="str">
        <f>CONCATENATE(Cover!$D$6,"fdd/view?i=",P1384)</f>
        <v>https://www.dgiwg.org/FAD/fdd/view?i=111535</v>
      </c>
      <c r="R1384" s="13" t="s">
        <v>12661</v>
      </c>
      <c r="S1384" s="172"/>
      <c r="T1384" s="172"/>
      <c r="BQ1384" s="82" t="s">
        <v>1790</v>
      </c>
      <c r="CS1384" s="165" t="s">
        <v>1790</v>
      </c>
    </row>
    <row r="1385" spans="1:105" ht="25.5" x14ac:dyDescent="0.2">
      <c r="A1385" s="176" t="str">
        <f t="shared" si="35"/>
        <v>sensorCalibrationPointUse</v>
      </c>
      <c r="B1385" s="11" t="s">
        <v>12668</v>
      </c>
      <c r="C1385" s="173"/>
      <c r="D1385" s="22" t="s">
        <v>12669</v>
      </c>
      <c r="E1385" s="15" t="s">
        <v>12670</v>
      </c>
      <c r="F1385" s="174"/>
      <c r="G1385" s="174"/>
      <c r="H1385" s="17" t="s">
        <v>5932</v>
      </c>
      <c r="I1385" s="269"/>
      <c r="J1385" s="369" t="str">
        <f>HYPERLINK("[#]Datatypes!B1370:L1370","NcuCode")</f>
        <v>NcuCode</v>
      </c>
      <c r="K1385" s="276"/>
      <c r="L1385" s="272"/>
      <c r="M1385" s="272"/>
      <c r="N1385" s="248" t="str">
        <f>HYPERLINK("[#]DatatypeListedValues!A8016:H8016","&lt;values&gt;")</f>
        <v>&lt;values&gt;</v>
      </c>
      <c r="O1385" s="277" t="b">
        <v>0</v>
      </c>
      <c r="P1385" s="37">
        <v>119803</v>
      </c>
      <c r="Q1385" s="36" t="str">
        <f>CONCATENATE(Cover!$D$6,"fdd/view?i=",P1385)</f>
        <v>https://www.dgiwg.org/FAD/fdd/view?i=119803</v>
      </c>
      <c r="R1385" s="13" t="s">
        <v>12667</v>
      </c>
      <c r="S1385" s="172"/>
      <c r="T1385" s="172"/>
      <c r="CP1385" s="164" t="s">
        <v>1790</v>
      </c>
      <c r="CQ1385" s="165" t="s">
        <v>1790</v>
      </c>
      <c r="CT1385" s="166" t="s">
        <v>1790</v>
      </c>
    </row>
    <row r="1386" spans="1:105" x14ac:dyDescent="0.2">
      <c r="A1386" s="176" t="str">
        <f t="shared" si="35"/>
        <v>sequenceOfSignal</v>
      </c>
      <c r="B1386" s="11" t="s">
        <v>12673</v>
      </c>
      <c r="C1386" s="173"/>
      <c r="D1386" s="22" t="s">
        <v>12674</v>
      </c>
      <c r="E1386" s="15" t="s">
        <v>12675</v>
      </c>
      <c r="F1386" s="174"/>
      <c r="G1386" s="174"/>
      <c r="H1386" s="17" t="s">
        <v>5932</v>
      </c>
      <c r="I1386" s="269"/>
      <c r="J1386" s="369" t="str">
        <f>HYPERLINK("[#]Datatypes!B1372:L1372","SeqStrucText")</f>
        <v>SeqStrucText</v>
      </c>
      <c r="K1386" s="276"/>
      <c r="L1386" s="272"/>
      <c r="M1386" s="272"/>
      <c r="N1386" s="273"/>
      <c r="O1386" s="269"/>
      <c r="P1386" s="37">
        <v>101285</v>
      </c>
      <c r="Q1386" s="36" t="str">
        <f>CONCATENATE(Cover!$D$6,"fdd/view?i=",P1386)</f>
        <v>https://www.dgiwg.org/FAD/fdd/view?i=101285</v>
      </c>
      <c r="R1386" s="13" t="s">
        <v>12672</v>
      </c>
      <c r="S1386" s="172"/>
      <c r="T1386" s="172"/>
      <c r="AS1386" s="82" t="s">
        <v>1790</v>
      </c>
      <c r="BF1386" s="83" t="s">
        <v>1790</v>
      </c>
      <c r="CQ1386" s="165" t="s">
        <v>1790</v>
      </c>
    </row>
    <row r="1387" spans="1:105" ht="25.5" x14ac:dyDescent="0.2">
      <c r="A1387" s="176" t="str">
        <f t="shared" si="35"/>
        <v>settlementPattern</v>
      </c>
      <c r="B1387" s="11" t="s">
        <v>12678</v>
      </c>
      <c r="C1387" s="173"/>
      <c r="D1387" s="22" t="s">
        <v>12679</v>
      </c>
      <c r="E1387" s="15" t="s">
        <v>12680</v>
      </c>
      <c r="F1387" s="174"/>
      <c r="G1387" s="174"/>
      <c r="H1387" s="17" t="s">
        <v>5932</v>
      </c>
      <c r="I1387" s="269"/>
      <c r="J1387" s="369" t="str">
        <f>HYPERLINK("[#]Datatypes!B1374:L1374","UspCode")</f>
        <v>UspCode</v>
      </c>
      <c r="K1387" s="276"/>
      <c r="L1387" s="272"/>
      <c r="M1387" s="272"/>
      <c r="N1387" s="248" t="str">
        <f>HYPERLINK("[#]DatatypeListedValues!A8021:H8021","&lt;values&gt;")</f>
        <v>&lt;values&gt;</v>
      </c>
      <c r="O1387" s="277" t="b">
        <v>0</v>
      </c>
      <c r="P1387" s="37">
        <v>101417</v>
      </c>
      <c r="Q1387" s="36" t="str">
        <f>CONCATENATE(Cover!$D$6,"fdd/view?i=",P1387)</f>
        <v>https://www.dgiwg.org/FAD/fdd/view?i=101417</v>
      </c>
      <c r="R1387" s="13" t="s">
        <v>12677</v>
      </c>
      <c r="S1387" s="172"/>
      <c r="T1387" s="172"/>
      <c r="AI1387" s="87" t="s">
        <v>1790</v>
      </c>
      <c r="CS1387" s="165" t="s">
        <v>1790</v>
      </c>
    </row>
    <row r="1388" spans="1:105" x14ac:dyDescent="0.2">
      <c r="A1388" s="176" t="str">
        <f t="shared" si="35"/>
        <v>settlementServiceLife</v>
      </c>
      <c r="B1388" s="11" t="s">
        <v>12683</v>
      </c>
      <c r="C1388" s="173"/>
      <c r="D1388" s="22" t="s">
        <v>12684</v>
      </c>
      <c r="E1388" s="15" t="s">
        <v>12685</v>
      </c>
      <c r="F1388" s="174"/>
      <c r="G1388" s="174"/>
      <c r="H1388" s="17" t="s">
        <v>5932</v>
      </c>
      <c r="I1388" s="269"/>
      <c r="J1388" s="369" t="str">
        <f>HYPERLINK("[#]Datatypes!B1376:L1376","SldCode")</f>
        <v>SldCode</v>
      </c>
      <c r="K1388" s="276"/>
      <c r="L1388" s="272"/>
      <c r="M1388" s="272"/>
      <c r="N1388" s="248" t="str">
        <f>HYPERLINK("[#]DatatypeListedValues!A8036:H8036","&lt;values&gt;")</f>
        <v>&lt;values&gt;</v>
      </c>
      <c r="O1388" s="277" t="b">
        <v>0</v>
      </c>
      <c r="P1388" s="37">
        <v>111718</v>
      </c>
      <c r="Q1388" s="36" t="str">
        <f>CONCATENATE(Cover!$D$6,"fdd/view?i=",P1388)</f>
        <v>https://www.dgiwg.org/FAD/fdd/view?i=111718</v>
      </c>
      <c r="R1388" s="13" t="s">
        <v>12682</v>
      </c>
      <c r="S1388" s="172"/>
      <c r="T1388" s="172"/>
      <c r="AI1388" s="87" t="s">
        <v>1790</v>
      </c>
      <c r="AJ1388" s="83" t="s">
        <v>1790</v>
      </c>
      <c r="CR1388" s="165" t="s">
        <v>1790</v>
      </c>
    </row>
    <row r="1389" spans="1:105" x14ac:dyDescent="0.2">
      <c r="A1389" s="176" t="str">
        <f t="shared" si="35"/>
        <v>severityOfHazard</v>
      </c>
      <c r="B1389" s="11" t="s">
        <v>12688</v>
      </c>
      <c r="C1389" s="173"/>
      <c r="D1389" s="22" t="s">
        <v>12689</v>
      </c>
      <c r="E1389" s="15" t="s">
        <v>12690</v>
      </c>
      <c r="F1389" s="174"/>
      <c r="G1389" s="174"/>
      <c r="H1389" s="17" t="s">
        <v>5932</v>
      </c>
      <c r="I1389" s="269"/>
      <c r="J1389" s="369" t="str">
        <f>HYPERLINK("[#]Datatypes!B1378:L1378","SohCode")</f>
        <v>SohCode</v>
      </c>
      <c r="K1389" s="276"/>
      <c r="L1389" s="272"/>
      <c r="M1389" s="272"/>
      <c r="N1389" s="248" t="str">
        <f>HYPERLINK("[#]DatatypeListedValues!A8044:H8044","&lt;values&gt;")</f>
        <v>&lt;values&gt;</v>
      </c>
      <c r="O1389" s="277" t="b">
        <v>0</v>
      </c>
      <c r="P1389" s="37">
        <v>101311</v>
      </c>
      <c r="Q1389" s="36" t="str">
        <f>CONCATENATE(Cover!$D$6,"fdd/view?i=",P1389)</f>
        <v>https://www.dgiwg.org/FAD/fdd/view?i=101311</v>
      </c>
      <c r="R1389" s="13" t="s">
        <v>12687</v>
      </c>
      <c r="S1389" s="172"/>
      <c r="T1389" s="172"/>
      <c r="AS1389" s="82" t="s">
        <v>1790</v>
      </c>
      <c r="AU1389" s="82" t="s">
        <v>1790</v>
      </c>
      <c r="BF1389" s="83" t="s">
        <v>1790</v>
      </c>
      <c r="BG1389" s="83" t="s">
        <v>1790</v>
      </c>
    </row>
    <row r="1390" spans="1:105" ht="25.5" x14ac:dyDescent="0.2">
      <c r="A1390" s="176" t="str">
        <f t="shared" si="35"/>
        <v>sewageTreatmentRate</v>
      </c>
      <c r="B1390" s="11" t="s">
        <v>12693</v>
      </c>
      <c r="C1390" s="173"/>
      <c r="D1390" s="22" t="s">
        <v>12694</v>
      </c>
      <c r="E1390" s="15" t="s">
        <v>12695</v>
      </c>
      <c r="F1390" s="174"/>
      <c r="G1390" s="174"/>
      <c r="H1390" s="17" t="s">
        <v>5932</v>
      </c>
      <c r="I1390" s="269"/>
      <c r="J1390" s="369" t="str">
        <f>HYPERLINK("[#]Datatypes!B1233:L1233","RealInterval")</f>
        <v>RealInterval</v>
      </c>
      <c r="K1390" s="271" t="str">
        <f>HYPERLINK("[#]PhysicalQuantities!A43:N43","Rate")</f>
        <v>Rate</v>
      </c>
      <c r="L1390" s="270" t="str">
        <f>HYPERLINK("[#]UnitsOfMeasure!D232:G232","per Annum (tropical year)")</f>
        <v>per Annum (tropical year)</v>
      </c>
      <c r="M1390" s="272"/>
      <c r="N1390" s="273"/>
      <c r="O1390" s="269"/>
      <c r="P1390" s="37">
        <v>118086</v>
      </c>
      <c r="Q1390" s="36" t="str">
        <f>CONCATENATE(Cover!$D$6,"fdd/view?i=",P1390)</f>
        <v>https://www.dgiwg.org/FAD/fdd/view?i=118086</v>
      </c>
      <c r="R1390" s="13" t="s">
        <v>12692</v>
      </c>
      <c r="S1390" s="172"/>
      <c r="T1390" s="172"/>
      <c r="AH1390" s="85" t="s">
        <v>1790</v>
      </c>
      <c r="CQ1390" s="165" t="s">
        <v>1790</v>
      </c>
    </row>
    <row r="1391" spans="1:105" ht="25.5" x14ac:dyDescent="0.2">
      <c r="A1391" s="176" t="str">
        <f t="shared" si="35"/>
        <v>shaftSlopeOrientation</v>
      </c>
      <c r="B1391" s="11" t="s">
        <v>12697</v>
      </c>
      <c r="C1391" s="173"/>
      <c r="D1391" s="22" t="s">
        <v>12698</v>
      </c>
      <c r="E1391" s="15" t="s">
        <v>12699</v>
      </c>
      <c r="F1391" s="174"/>
      <c r="G1391" s="174"/>
      <c r="H1391" s="17" t="s">
        <v>5932</v>
      </c>
      <c r="I1391" s="269"/>
      <c r="J1391" s="369" t="str">
        <f>HYPERLINK("[#]Datatypes!B1380:L1380","SsoCode")</f>
        <v>SsoCode</v>
      </c>
      <c r="K1391" s="276"/>
      <c r="L1391" s="272"/>
      <c r="M1391" s="272"/>
      <c r="N1391" s="248" t="str">
        <f>HYPERLINK("[#]DatatypeListedValues!A8048:H8048","&lt;values&gt;")</f>
        <v>&lt;values&gt;</v>
      </c>
      <c r="O1391" s="277" t="b">
        <v>0</v>
      </c>
      <c r="P1391" s="37">
        <v>101331</v>
      </c>
      <c r="Q1391" s="36" t="str">
        <f>CONCATENATE(Cover!$D$6,"fdd/view?i=",P1391)</f>
        <v>https://www.dgiwg.org/FAD/fdd/view?i=101331</v>
      </c>
      <c r="R1391" s="13" t="s">
        <v>12696</v>
      </c>
      <c r="S1391" s="172"/>
      <c r="T1391" s="172"/>
      <c r="AA1391" s="81" t="s">
        <v>1790</v>
      </c>
      <c r="BP1391" s="82" t="s">
        <v>1790</v>
      </c>
      <c r="CP1391" s="164" t="s">
        <v>1790</v>
      </c>
    </row>
    <row r="1392" spans="1:105" x14ac:dyDescent="0.2">
      <c r="A1392" s="176" t="str">
        <f t="shared" si="35"/>
        <v>shedType</v>
      </c>
      <c r="B1392" s="11" t="s">
        <v>12702</v>
      </c>
      <c r="C1392" s="173"/>
      <c r="D1392" s="22" t="s">
        <v>12703</v>
      </c>
      <c r="E1392" s="15" t="s">
        <v>12704</v>
      </c>
      <c r="F1392" s="174"/>
      <c r="G1392" s="174"/>
      <c r="H1392" s="17" t="s">
        <v>5932</v>
      </c>
      <c r="I1392" s="269"/>
      <c r="J1392" s="369" t="str">
        <f>HYPERLINK("[#]Datatypes!B1382:L1382","SucCode")</f>
        <v>SucCode</v>
      </c>
      <c r="K1392" s="276"/>
      <c r="L1392" s="272"/>
      <c r="M1392" s="272"/>
      <c r="N1392" s="248" t="str">
        <f>HYPERLINK("[#]DatatypeListedValues!A8052:H8052","&lt;values&gt;")</f>
        <v>&lt;values&gt;</v>
      </c>
      <c r="O1392" s="277" t="b">
        <v>0</v>
      </c>
      <c r="P1392" s="37">
        <v>101342</v>
      </c>
      <c r="Q1392" s="36" t="str">
        <f>CONCATENATE(Cover!$D$6,"fdd/view?i=",P1392)</f>
        <v>https://www.dgiwg.org/FAD/fdd/view?i=101342</v>
      </c>
      <c r="R1392" s="13" t="s">
        <v>12701</v>
      </c>
      <c r="S1392" s="172"/>
      <c r="T1392" s="172"/>
      <c r="AC1392" s="82" t="s">
        <v>1790</v>
      </c>
      <c r="AG1392" s="82" t="s">
        <v>1790</v>
      </c>
      <c r="AJ1392" s="83" t="s">
        <v>1790</v>
      </c>
      <c r="CT1392" s="166" t="s">
        <v>1790</v>
      </c>
    </row>
    <row r="1393" spans="1:99" ht="38.25" x14ac:dyDescent="0.2">
      <c r="A1393" s="176" t="str">
        <f t="shared" si="35"/>
        <v>shelterBelt</v>
      </c>
      <c r="B1393" s="11" t="s">
        <v>12707</v>
      </c>
      <c r="C1393" s="173"/>
      <c r="D1393" s="22" t="s">
        <v>12708</v>
      </c>
      <c r="E1393" s="15" t="s">
        <v>12709</v>
      </c>
      <c r="F1393" s="174"/>
      <c r="G1393" s="174"/>
      <c r="H1393" s="17" t="s">
        <v>5932</v>
      </c>
      <c r="I1393" s="269"/>
      <c r="J1393" s="369" t="str">
        <f>HYPERLINK("[#]Datatypes!B240:L240","Boolean")</f>
        <v>Boolean</v>
      </c>
      <c r="K1393" s="276"/>
      <c r="L1393" s="272"/>
      <c r="M1393" s="272"/>
      <c r="N1393" s="273"/>
      <c r="O1393" s="269"/>
      <c r="P1393" s="37">
        <v>101263</v>
      </c>
      <c r="Q1393" s="36" t="str">
        <f>CONCATENATE(Cover!$D$6,"fdd/view?i=",P1393)</f>
        <v>https://www.dgiwg.org/FAD/fdd/view?i=101263</v>
      </c>
      <c r="R1393" s="13" t="s">
        <v>12706</v>
      </c>
      <c r="S1393" s="172"/>
      <c r="T1393" s="172"/>
      <c r="AC1393" s="82" t="s">
        <v>1790</v>
      </c>
      <c r="AW1393" s="82" t="s">
        <v>1790</v>
      </c>
      <c r="BU1393" s="87" t="s">
        <v>1790</v>
      </c>
      <c r="CT1393" s="166" t="s">
        <v>1790</v>
      </c>
    </row>
    <row r="1394" spans="1:99" ht="25.5" x14ac:dyDescent="0.2">
      <c r="A1394" s="176" t="str">
        <f t="shared" si="35"/>
        <v>shippingContainerType</v>
      </c>
      <c r="B1394" s="11" t="s">
        <v>12711</v>
      </c>
      <c r="C1394" s="173"/>
      <c r="D1394" s="22" t="s">
        <v>12712</v>
      </c>
      <c r="E1394" s="15" t="s">
        <v>12713</v>
      </c>
      <c r="F1394" s="174"/>
      <c r="G1394" s="174"/>
      <c r="H1394" s="17" t="s">
        <v>5932</v>
      </c>
      <c r="I1394" s="269"/>
      <c r="J1394" s="369" t="str">
        <f>HYPERLINK("[#]Datatypes!B1384:L1384","ShtCode")</f>
        <v>ShtCode</v>
      </c>
      <c r="K1394" s="276"/>
      <c r="L1394" s="272"/>
      <c r="M1394" s="272"/>
      <c r="N1394" s="248" t="str">
        <f>HYPERLINK("[#]DatatypeListedValues!A8056:H8056","&lt;values&gt;")</f>
        <v>&lt;values&gt;</v>
      </c>
      <c r="O1394" s="277" t="b">
        <v>0</v>
      </c>
      <c r="P1394" s="37">
        <v>118031</v>
      </c>
      <c r="Q1394" s="36" t="str">
        <f>CONCATENATE(Cover!$D$6,"fdd/view?i=",P1394)</f>
        <v>https://www.dgiwg.org/FAD/fdd/view?i=118031</v>
      </c>
      <c r="R1394" s="13" t="s">
        <v>12710</v>
      </c>
      <c r="S1394" s="172"/>
      <c r="T1394" s="172"/>
      <c r="AG1394" s="82" t="s">
        <v>1790</v>
      </c>
      <c r="AK1394" s="83" t="s">
        <v>1790</v>
      </c>
      <c r="AP1394" s="81" t="s">
        <v>1790</v>
      </c>
      <c r="AQ1394" s="82" t="s">
        <v>1790</v>
      </c>
      <c r="AS1394" s="82" t="s">
        <v>1790</v>
      </c>
      <c r="AW1394" s="82" t="s">
        <v>1790</v>
      </c>
      <c r="BA1394" s="83" t="s">
        <v>1790</v>
      </c>
      <c r="CS1394" s="165" t="s">
        <v>1790</v>
      </c>
      <c r="CT1394" s="166" t="s">
        <v>1790</v>
      </c>
    </row>
    <row r="1395" spans="1:99" ht="25.5" x14ac:dyDescent="0.2">
      <c r="A1395" s="176" t="str">
        <f t="shared" si="35"/>
        <v>shippingLoadClass</v>
      </c>
      <c r="B1395" s="11" t="s">
        <v>12716</v>
      </c>
      <c r="C1395" s="173"/>
      <c r="D1395" s="22" t="s">
        <v>12717</v>
      </c>
      <c r="E1395" s="15" t="s">
        <v>12718</v>
      </c>
      <c r="F1395" s="174"/>
      <c r="G1395" s="174"/>
      <c r="H1395" s="17" t="s">
        <v>5932</v>
      </c>
      <c r="I1395" s="269"/>
      <c r="J1395" s="369" t="str">
        <f>HYPERLINK("[#]Datatypes!B1542:L1542","TextLex80")</f>
        <v>TextLex80</v>
      </c>
      <c r="K1395" s="276"/>
      <c r="L1395" s="272"/>
      <c r="M1395" s="272"/>
      <c r="N1395" s="273"/>
      <c r="O1395" s="269"/>
      <c r="P1395" s="37">
        <v>101306</v>
      </c>
      <c r="Q1395" s="36" t="str">
        <f>CONCATENATE(Cover!$D$6,"fdd/view?i=",P1395)</f>
        <v>https://www.dgiwg.org/FAD/fdd/view?i=101306</v>
      </c>
      <c r="R1395" s="13" t="s">
        <v>12715</v>
      </c>
      <c r="S1395" s="172"/>
      <c r="T1395" s="172"/>
      <c r="AS1395" s="82" t="s">
        <v>1790</v>
      </c>
      <c r="AU1395" s="82" t="s">
        <v>1790</v>
      </c>
      <c r="BI1395" s="83" t="s">
        <v>1790</v>
      </c>
      <c r="BJ1395" s="83" t="s">
        <v>1790</v>
      </c>
      <c r="CQ1395" s="165" t="s">
        <v>1790</v>
      </c>
    </row>
    <row r="1396" spans="1:99" ht="25.5" x14ac:dyDescent="0.2">
      <c r="A1396" s="176" t="str">
        <f t="shared" si="35"/>
        <v>shorelineConstructionDesc</v>
      </c>
      <c r="B1396" s="11" t="s">
        <v>12720</v>
      </c>
      <c r="C1396" s="173"/>
      <c r="D1396" s="22" t="s">
        <v>12721</v>
      </c>
      <c r="E1396" s="15" t="s">
        <v>12722</v>
      </c>
      <c r="F1396" s="15" t="s">
        <v>12723</v>
      </c>
      <c r="G1396" s="174"/>
      <c r="H1396" s="17" t="s">
        <v>5932</v>
      </c>
      <c r="I1396" s="269"/>
      <c r="J1396" s="369" t="str">
        <f>HYPERLINK("[#]Datatypes!B1544:L1544","TextLexUnconstrained")</f>
        <v>TextLexUnconstrained</v>
      </c>
      <c r="K1396" s="276"/>
      <c r="L1396" s="272"/>
      <c r="M1396" s="272"/>
      <c r="N1396" s="273"/>
      <c r="O1396" s="269"/>
      <c r="P1396" s="37">
        <v>119203</v>
      </c>
      <c r="Q1396" s="36" t="str">
        <f>CONCATENATE(Cover!$D$6,"fdd/view?i=",P1396)</f>
        <v>https://www.dgiwg.org/FAD/fdd/view?i=119203</v>
      </c>
      <c r="R1396" s="13" t="s">
        <v>12719</v>
      </c>
      <c r="S1396" s="172"/>
      <c r="T1396" s="172"/>
      <c r="AZ1396" s="87" t="s">
        <v>1790</v>
      </c>
      <c r="BA1396" s="83" t="s">
        <v>1790</v>
      </c>
      <c r="CS1396" s="165" t="s">
        <v>1790</v>
      </c>
      <c r="CT1396" s="166" t="s">
        <v>1790</v>
      </c>
    </row>
    <row r="1397" spans="1:99" ht="25.5" x14ac:dyDescent="0.2">
      <c r="A1397" s="176" t="str">
        <f t="shared" si="35"/>
        <v>shorelineConstructionType</v>
      </c>
      <c r="B1397" s="11" t="s">
        <v>12725</v>
      </c>
      <c r="C1397" s="173"/>
      <c r="D1397" s="22" t="s">
        <v>12726</v>
      </c>
      <c r="E1397" s="15" t="s">
        <v>12727</v>
      </c>
      <c r="F1397" s="15" t="s">
        <v>12728</v>
      </c>
      <c r="G1397" s="174"/>
      <c r="H1397" s="17" t="s">
        <v>5932</v>
      </c>
      <c r="I1397" s="269"/>
      <c r="J1397" s="369" t="str">
        <f>HYPERLINK("[#]Datatypes!B1386:L1386","PwcCode")</f>
        <v>PwcCode</v>
      </c>
      <c r="K1397" s="276"/>
      <c r="L1397" s="272"/>
      <c r="M1397" s="272"/>
      <c r="N1397" s="248" t="str">
        <f>HYPERLINK("[#]DatatypeListedValues!A8061:H8061","&lt;values&gt;")</f>
        <v>&lt;values&gt;</v>
      </c>
      <c r="O1397" s="277" t="b">
        <v>0</v>
      </c>
      <c r="P1397" s="37">
        <v>103232</v>
      </c>
      <c r="Q1397" s="36" t="str">
        <f>CONCATENATE(Cover!$D$6,"fdd/view?i=",P1397)</f>
        <v>https://www.dgiwg.org/FAD/fdd/view?i=103232</v>
      </c>
      <c r="R1397" s="13" t="s">
        <v>12724</v>
      </c>
      <c r="S1397" s="172"/>
      <c r="T1397" s="172"/>
      <c r="AS1397" s="82" t="s">
        <v>1790</v>
      </c>
      <c r="AZ1397" s="87" t="s">
        <v>1790</v>
      </c>
      <c r="BA1397" s="83" t="s">
        <v>1790</v>
      </c>
      <c r="BF1397" s="83" t="s">
        <v>1790</v>
      </c>
      <c r="CT1397" s="166" t="s">
        <v>1790</v>
      </c>
    </row>
    <row r="1398" spans="1:99" ht="38.25" x14ac:dyDescent="0.2">
      <c r="A1398" s="176" t="str">
        <f t="shared" si="35"/>
        <v>shorelineDelineated</v>
      </c>
      <c r="B1398" s="11" t="s">
        <v>12731</v>
      </c>
      <c r="C1398" s="173"/>
      <c r="D1398" s="22" t="s">
        <v>12732</v>
      </c>
      <c r="E1398" s="15" t="s">
        <v>12733</v>
      </c>
      <c r="F1398" s="15" t="s">
        <v>12734</v>
      </c>
      <c r="G1398" s="174"/>
      <c r="H1398" s="17" t="s">
        <v>5932</v>
      </c>
      <c r="I1398" s="269"/>
      <c r="J1398" s="369" t="str">
        <f>HYPERLINK("[#]Datatypes!B240:L240","Boolean")</f>
        <v>Boolean</v>
      </c>
      <c r="K1398" s="276"/>
      <c r="L1398" s="272"/>
      <c r="M1398" s="272"/>
      <c r="N1398" s="273"/>
      <c r="O1398" s="269"/>
      <c r="P1398" s="37">
        <v>101294</v>
      </c>
      <c r="Q1398" s="36" t="str">
        <f>CONCATENATE(Cover!$D$6,"fdd/view?i=",P1398)</f>
        <v>https://www.dgiwg.org/FAD/fdd/view?i=101294</v>
      </c>
      <c r="R1398" s="13" t="s">
        <v>12730</v>
      </c>
      <c r="S1398" s="172"/>
      <c r="T1398" s="172"/>
      <c r="AZ1398" s="87" t="s">
        <v>1790</v>
      </c>
      <c r="CC1398" s="81" t="s">
        <v>1790</v>
      </c>
      <c r="CS1398" s="165" t="s">
        <v>1790</v>
      </c>
    </row>
    <row r="1399" spans="1:99" ht="25.5" x14ac:dyDescent="0.2">
      <c r="A1399" s="176" t="str">
        <f t="shared" si="35"/>
        <v>shorelineRampType</v>
      </c>
      <c r="B1399" s="11" t="s">
        <v>12736</v>
      </c>
      <c r="C1399" s="173"/>
      <c r="D1399" s="22" t="s">
        <v>12737</v>
      </c>
      <c r="E1399" s="15" t="s">
        <v>12738</v>
      </c>
      <c r="F1399" s="15" t="s">
        <v>12739</v>
      </c>
      <c r="G1399" s="174"/>
      <c r="H1399" s="17" t="s">
        <v>5932</v>
      </c>
      <c r="I1399" s="269"/>
      <c r="J1399" s="369" t="str">
        <f>HYPERLINK("[#]Datatypes!B1388:L1388","SlrCode")</f>
        <v>SlrCode</v>
      </c>
      <c r="K1399" s="276"/>
      <c r="L1399" s="272"/>
      <c r="M1399" s="272"/>
      <c r="N1399" s="248" t="str">
        <f>HYPERLINK("[#]DatatypeListedValues!A8079:H8079","&lt;values&gt;")</f>
        <v>&lt;values&gt;</v>
      </c>
      <c r="O1399" s="277" t="b">
        <v>0</v>
      </c>
      <c r="P1399" s="37">
        <v>111721</v>
      </c>
      <c r="Q1399" s="36" t="str">
        <f>CONCATENATE(Cover!$D$6,"fdd/view?i=",P1399)</f>
        <v>https://www.dgiwg.org/FAD/fdd/view?i=111721</v>
      </c>
      <c r="R1399" s="13" t="s">
        <v>12735</v>
      </c>
      <c r="S1399" s="172"/>
      <c r="T1399" s="172"/>
      <c r="AS1399" s="82" t="s">
        <v>1790</v>
      </c>
      <c r="AZ1399" s="87" t="s">
        <v>1790</v>
      </c>
      <c r="CT1399" s="166" t="s">
        <v>1790</v>
      </c>
    </row>
    <row r="1400" spans="1:99" x14ac:dyDescent="0.2">
      <c r="A1400" s="176" t="str">
        <f t="shared" si="35"/>
        <v>shorelineType</v>
      </c>
      <c r="B1400" s="11" t="s">
        <v>12742</v>
      </c>
      <c r="C1400" s="173"/>
      <c r="D1400" s="22" t="s">
        <v>12743</v>
      </c>
      <c r="E1400" s="15" t="s">
        <v>12744</v>
      </c>
      <c r="F1400" s="174"/>
      <c r="G1400" s="174"/>
      <c r="H1400" s="17" t="s">
        <v>5932</v>
      </c>
      <c r="I1400" s="269"/>
      <c r="J1400" s="369" t="str">
        <f>HYPERLINK("[#]Datatypes!B1390:L1390","SltCode")</f>
        <v>SltCode</v>
      </c>
      <c r="K1400" s="276"/>
      <c r="L1400" s="272"/>
      <c r="M1400" s="272"/>
      <c r="N1400" s="248" t="str">
        <f>HYPERLINK("[#]DatatypeListedValues!A8082:H8082","&lt;values&gt;")</f>
        <v>&lt;values&gt;</v>
      </c>
      <c r="O1400" s="277" t="b">
        <v>0</v>
      </c>
      <c r="P1400" s="37">
        <v>101307</v>
      </c>
      <c r="Q1400" s="36" t="str">
        <f>CONCATENATE(Cover!$D$6,"fdd/view?i=",P1400)</f>
        <v>https://www.dgiwg.org/FAD/fdd/view?i=101307</v>
      </c>
      <c r="R1400" s="13" t="s">
        <v>12741</v>
      </c>
      <c r="S1400" s="172"/>
      <c r="T1400" s="172"/>
      <c r="AZ1400" s="87" t="s">
        <v>1790</v>
      </c>
      <c r="BR1400" s="82" t="s">
        <v>1790</v>
      </c>
      <c r="CS1400" s="165" t="s">
        <v>1790</v>
      </c>
    </row>
    <row r="1401" spans="1:99" ht="102" x14ac:dyDescent="0.2">
      <c r="A1401" s="176" t="str">
        <f t="shared" si="35"/>
        <v>shortName</v>
      </c>
      <c r="B1401" s="11" t="s">
        <v>12747</v>
      </c>
      <c r="C1401" s="173"/>
      <c r="D1401" s="22" t="s">
        <v>158</v>
      </c>
      <c r="E1401" s="15" t="s">
        <v>12748</v>
      </c>
      <c r="F1401" s="15" t="s">
        <v>12749</v>
      </c>
      <c r="G1401" s="174"/>
      <c r="H1401" s="17" t="s">
        <v>5932</v>
      </c>
      <c r="I1401" s="269"/>
      <c r="J1401" s="369" t="str">
        <f>HYPERLINK("[#]Datatypes!B1530:L1530","TextLex128")</f>
        <v>TextLex128</v>
      </c>
      <c r="K1401" s="276"/>
      <c r="L1401" s="272"/>
      <c r="M1401" s="272"/>
      <c r="N1401" s="273"/>
      <c r="O1401" s="269"/>
      <c r="P1401" s="37">
        <v>111723</v>
      </c>
      <c r="Q1401" s="36" t="str">
        <f>CONCATENATE(Cover!$D$6,"fdd/view?i=",P1401)</f>
        <v>https://www.dgiwg.org/FAD/fdd/view?i=111723</v>
      </c>
      <c r="R1401" s="13" t="s">
        <v>12746</v>
      </c>
      <c r="S1401" s="172"/>
      <c r="T1401" s="172"/>
      <c r="CU1401" s="87" t="s">
        <v>1790</v>
      </c>
    </row>
    <row r="1402" spans="1:99" ht="102" x14ac:dyDescent="0.2">
      <c r="A1402" s="176" t="str">
        <f t="shared" si="35"/>
        <v>shortNameNoDiacritics</v>
      </c>
      <c r="B1402" s="11" t="s">
        <v>12751</v>
      </c>
      <c r="C1402" s="173"/>
      <c r="D1402" s="22" t="s">
        <v>12752</v>
      </c>
      <c r="E1402" s="15" t="s">
        <v>12753</v>
      </c>
      <c r="F1402" s="15" t="s">
        <v>12749</v>
      </c>
      <c r="G1402" s="174"/>
      <c r="H1402" s="17" t="s">
        <v>5932</v>
      </c>
      <c r="I1402" s="269"/>
      <c r="J1402" s="369" t="str">
        <f>HYPERLINK("[#]Datatypes!B1548:L1548","TextNonLex128")</f>
        <v>TextNonLex128</v>
      </c>
      <c r="K1402" s="276"/>
      <c r="L1402" s="272"/>
      <c r="M1402" s="272"/>
      <c r="N1402" s="273"/>
      <c r="O1402" s="269"/>
      <c r="P1402" s="37">
        <v>111722</v>
      </c>
      <c r="Q1402" s="36" t="str">
        <f>CONCATENATE(Cover!$D$6,"fdd/view?i=",P1402)</f>
        <v>https://www.dgiwg.org/FAD/fdd/view?i=111722</v>
      </c>
      <c r="R1402" s="13" t="s">
        <v>12750</v>
      </c>
      <c r="S1402" s="172"/>
      <c r="T1402" s="172"/>
      <c r="CU1402" s="87" t="s">
        <v>1790</v>
      </c>
    </row>
    <row r="1403" spans="1:99" ht="38.25" x14ac:dyDescent="0.2">
      <c r="A1403" s="176" t="str">
        <f t="shared" si="35"/>
        <v>shoulderType</v>
      </c>
      <c r="B1403" s="11" t="s">
        <v>12755</v>
      </c>
      <c r="C1403" s="173"/>
      <c r="D1403" s="22" t="s">
        <v>12756</v>
      </c>
      <c r="E1403" s="15" t="s">
        <v>12757</v>
      </c>
      <c r="F1403" s="15" t="s">
        <v>12758</v>
      </c>
      <c r="G1403" s="174"/>
      <c r="H1403" s="17" t="s">
        <v>5932</v>
      </c>
      <c r="I1403" s="269"/>
      <c r="J1403" s="369" t="str">
        <f>HYPERLINK("[#]Datatypes!B1392:L1392","RshCode")</f>
        <v>RshCode</v>
      </c>
      <c r="K1403" s="276"/>
      <c r="L1403" s="272"/>
      <c r="M1403" s="272"/>
      <c r="N1403" s="248" t="str">
        <f>HYPERLINK("[#]DatatypeListedValues!A8092:H8092","&lt;values&gt;")</f>
        <v>&lt;values&gt;</v>
      </c>
      <c r="O1403" s="277" t="b">
        <v>0</v>
      </c>
      <c r="P1403" s="37">
        <v>118172</v>
      </c>
      <c r="Q1403" s="36" t="str">
        <f>CONCATENATE(Cover!$D$6,"fdd/view?i=",P1403)</f>
        <v>https://www.dgiwg.org/FAD/fdd/view?i=118172</v>
      </c>
      <c r="R1403" s="13" t="s">
        <v>12754</v>
      </c>
      <c r="S1403" s="172"/>
      <c r="T1403" s="172"/>
      <c r="AQ1403" s="82" t="s">
        <v>1790</v>
      </c>
      <c r="CS1403" s="165" t="s">
        <v>1790</v>
      </c>
    </row>
    <row r="1404" spans="1:99" x14ac:dyDescent="0.2">
      <c r="A1404" s="176" t="str">
        <f t="shared" si="35"/>
        <v>signType</v>
      </c>
      <c r="B1404" s="11" t="s">
        <v>12761</v>
      </c>
      <c r="C1404" s="173"/>
      <c r="D1404" s="22" t="s">
        <v>12762</v>
      </c>
      <c r="E1404" s="15" t="s">
        <v>12763</v>
      </c>
      <c r="F1404" s="174"/>
      <c r="G1404" s="174"/>
      <c r="H1404" s="17" t="s">
        <v>5932</v>
      </c>
      <c r="I1404" s="269"/>
      <c r="J1404" s="369" t="str">
        <f>HYPERLINK("[#]Datatypes!B1394:L1394","SiaCode")</f>
        <v>SiaCode</v>
      </c>
      <c r="K1404" s="276"/>
      <c r="L1404" s="272"/>
      <c r="M1404" s="272"/>
      <c r="N1404" s="248" t="str">
        <f>HYPERLINK("[#]DatatypeListedValues!A8094:H8094","&lt;values&gt;")</f>
        <v>&lt;values&gt;</v>
      </c>
      <c r="O1404" s="277" t="b">
        <v>0</v>
      </c>
      <c r="P1404" s="37">
        <v>101299</v>
      </c>
      <c r="Q1404" s="36" t="str">
        <f>CONCATENATE(Cover!$D$6,"fdd/view?i=",P1404)</f>
        <v>https://www.dgiwg.org/FAD/fdd/view?i=101299</v>
      </c>
      <c r="R1404" s="13" t="s">
        <v>12760</v>
      </c>
      <c r="S1404" s="172"/>
      <c r="T1404" s="172"/>
      <c r="AQ1404" s="82" t="s">
        <v>1790</v>
      </c>
      <c r="AW1404" s="82" t="s">
        <v>1790</v>
      </c>
      <c r="CT1404" s="166" t="s">
        <v>1790</v>
      </c>
    </row>
    <row r="1405" spans="1:99" ht="25.5" x14ac:dyDescent="0.2">
      <c r="A1405" s="176" t="str">
        <f t="shared" si="35"/>
        <v>signalGroupPattern</v>
      </c>
      <c r="B1405" s="11" t="s">
        <v>12766</v>
      </c>
      <c r="C1405" s="173"/>
      <c r="D1405" s="22" t="s">
        <v>12767</v>
      </c>
      <c r="E1405" s="15" t="s">
        <v>12768</v>
      </c>
      <c r="F1405" s="174"/>
      <c r="G1405" s="174"/>
      <c r="H1405" s="17" t="s">
        <v>5932</v>
      </c>
      <c r="I1405" s="269"/>
      <c r="J1405" s="369" t="str">
        <f>HYPERLINK("[#]Datatypes!B1396:L1396","GrpStrucText")</f>
        <v>GrpStrucText</v>
      </c>
      <c r="K1405" s="276"/>
      <c r="L1405" s="272"/>
      <c r="M1405" s="272"/>
      <c r="N1405" s="273"/>
      <c r="O1405" s="269"/>
      <c r="P1405" s="37">
        <v>100918</v>
      </c>
      <c r="Q1405" s="36" t="str">
        <f>CONCATENATE(Cover!$D$6,"fdd/view?i=",P1405)</f>
        <v>https://www.dgiwg.org/FAD/fdd/view?i=100918</v>
      </c>
      <c r="R1405" s="13" t="s">
        <v>12765</v>
      </c>
      <c r="S1405" s="172"/>
      <c r="T1405" s="172"/>
      <c r="AS1405" s="82" t="s">
        <v>1790</v>
      </c>
      <c r="BF1405" s="83" t="s">
        <v>1790</v>
      </c>
      <c r="CS1405" s="165" t="s">
        <v>1790</v>
      </c>
    </row>
    <row r="1406" spans="1:99" ht="25.5" x14ac:dyDescent="0.2">
      <c r="A1406" s="176" t="str">
        <f t="shared" si="35"/>
        <v>signalLimitMaxRange</v>
      </c>
      <c r="B1406" s="11" t="s">
        <v>12771</v>
      </c>
      <c r="C1406" s="173"/>
      <c r="D1406" s="22" t="s">
        <v>12772</v>
      </c>
      <c r="E1406" s="15" t="s">
        <v>12773</v>
      </c>
      <c r="F1406" s="174"/>
      <c r="G1406" s="174"/>
      <c r="H1406" s="17" t="s">
        <v>5932</v>
      </c>
      <c r="I1406" s="269"/>
      <c r="J1406" s="369" t="str">
        <f>HYPERLINK("[#]Datatypes!B1048:L1048","RealNonNegative")</f>
        <v>RealNonNegative</v>
      </c>
      <c r="K1406" s="271" t="str">
        <f>HYPERLINK("[#]PhysicalQuantities!A20:N20","Length")</f>
        <v>Length</v>
      </c>
      <c r="L1406" s="270" t="str">
        <f>HYPERLINK("[#]UnitsOfMeasure!D94:G94","Nautical Mile")</f>
        <v>Nautical Mile</v>
      </c>
      <c r="M1406" s="272"/>
      <c r="N1406" s="273"/>
      <c r="O1406" s="269"/>
      <c r="P1406" s="37">
        <v>119609</v>
      </c>
      <c r="Q1406" s="36" t="str">
        <f>CONCATENATE(Cover!$D$6,"fdd/view?i=",P1406)</f>
        <v>https://www.dgiwg.org/FAD/fdd/view?i=119609</v>
      </c>
      <c r="R1406" s="13" t="s">
        <v>12770</v>
      </c>
      <c r="S1406" s="172"/>
      <c r="T1406" s="172"/>
      <c r="AT1406" s="82" t="s">
        <v>1790</v>
      </c>
      <c r="CF1406" s="83" t="s">
        <v>1790</v>
      </c>
      <c r="CG1406" s="83" t="s">
        <v>1790</v>
      </c>
      <c r="CQ1406" s="165" t="s">
        <v>1790</v>
      </c>
    </row>
    <row r="1407" spans="1:99" ht="25.5" x14ac:dyDescent="0.2">
      <c r="A1407" s="176" t="str">
        <f t="shared" si="35"/>
        <v>signalLimitMinRange</v>
      </c>
      <c r="B1407" s="11" t="s">
        <v>12775</v>
      </c>
      <c r="C1407" s="173"/>
      <c r="D1407" s="22" t="s">
        <v>12776</v>
      </c>
      <c r="E1407" s="15" t="s">
        <v>12777</v>
      </c>
      <c r="F1407" s="174"/>
      <c r="G1407" s="174"/>
      <c r="H1407" s="17" t="s">
        <v>5932</v>
      </c>
      <c r="I1407" s="269"/>
      <c r="J1407" s="369" t="str">
        <f>HYPERLINK("[#]Datatypes!B1048:L1048","RealNonNegative")</f>
        <v>RealNonNegative</v>
      </c>
      <c r="K1407" s="271" t="str">
        <f>HYPERLINK("[#]PhysicalQuantities!A20:N20","Length")</f>
        <v>Length</v>
      </c>
      <c r="L1407" s="270" t="str">
        <f>HYPERLINK("[#]UnitsOfMeasure!D94:G94","Nautical Mile")</f>
        <v>Nautical Mile</v>
      </c>
      <c r="M1407" s="272"/>
      <c r="N1407" s="273"/>
      <c r="O1407" s="269"/>
      <c r="P1407" s="37">
        <v>119608</v>
      </c>
      <c r="Q1407" s="36" t="str">
        <f>CONCATENATE(Cover!$D$6,"fdd/view?i=",P1407)</f>
        <v>https://www.dgiwg.org/FAD/fdd/view?i=119608</v>
      </c>
      <c r="R1407" s="13" t="s">
        <v>12774</v>
      </c>
      <c r="S1407" s="172"/>
      <c r="T1407" s="172"/>
      <c r="AT1407" s="82" t="s">
        <v>1790</v>
      </c>
      <c r="CF1407" s="83" t="s">
        <v>1790</v>
      </c>
      <c r="CG1407" s="83" t="s">
        <v>1790</v>
      </c>
      <c r="CQ1407" s="165" t="s">
        <v>1790</v>
      </c>
    </row>
    <row r="1408" spans="1:99" ht="25.5" x14ac:dyDescent="0.2">
      <c r="A1408" s="176" t="str">
        <f t="shared" si="35"/>
        <v>signalStrengthTarget</v>
      </c>
      <c r="B1408" s="11" t="s">
        <v>12779</v>
      </c>
      <c r="C1408" s="173"/>
      <c r="D1408" s="22" t="s">
        <v>12780</v>
      </c>
      <c r="E1408" s="15" t="s">
        <v>12781</v>
      </c>
      <c r="F1408" s="174"/>
      <c r="G1408" s="174"/>
      <c r="H1408" s="17" t="s">
        <v>5932</v>
      </c>
      <c r="I1408" s="269"/>
      <c r="J1408" s="369" t="str">
        <f>HYPERLINK("[#]Datatypes!B1231:L1231","Real")</f>
        <v>Real</v>
      </c>
      <c r="K1408" s="271" t="str">
        <f>HYPERLINK("[#]PhysicalQuantities!A36:N36","Power Level Difference")</f>
        <v>Power Level Difference</v>
      </c>
      <c r="L1408" s="270" t="str">
        <f>HYPERLINK("[#]UnitsOfMeasure!D196:G196","Decibel")</f>
        <v>Decibel</v>
      </c>
      <c r="M1408" s="272"/>
      <c r="N1408" s="273"/>
      <c r="O1408" s="269"/>
      <c r="P1408" s="37">
        <v>114425</v>
      </c>
      <c r="Q1408" s="36" t="str">
        <f>CONCATENATE(Cover!$D$6,"fdd/view?i=",P1408)</f>
        <v>https://www.dgiwg.org/FAD/fdd/view?i=114425</v>
      </c>
      <c r="R1408" s="13" t="s">
        <v>12778</v>
      </c>
      <c r="S1408" s="172"/>
      <c r="T1408" s="172"/>
      <c r="CQ1408" s="165" t="s">
        <v>1790</v>
      </c>
    </row>
    <row r="1409" spans="1:105" ht="25.5" x14ac:dyDescent="0.2">
      <c r="A1409" s="176" t="str">
        <f t="shared" si="35"/>
        <v>sigPointAssocInAirspace</v>
      </c>
      <c r="B1409" s="11" t="s">
        <v>12783</v>
      </c>
      <c r="C1409" s="173"/>
      <c r="D1409" s="22" t="s">
        <v>12784</v>
      </c>
      <c r="E1409" s="15" t="s">
        <v>12785</v>
      </c>
      <c r="F1409" s="15" t="s">
        <v>12786</v>
      </c>
      <c r="G1409" s="15" t="s">
        <v>12787</v>
      </c>
      <c r="H1409" s="17" t="s">
        <v>5932</v>
      </c>
      <c r="I1409" s="269"/>
      <c r="J1409" s="369" t="str">
        <f>HYPERLINK("[#]Datatypes!B1398:L1398","SpuCode")</f>
        <v>SpuCode</v>
      </c>
      <c r="K1409" s="276"/>
      <c r="L1409" s="272"/>
      <c r="M1409" s="272"/>
      <c r="N1409" s="248" t="str">
        <f>HYPERLINK("[#]DatatypeListedValues!A8099:H8099","&lt;values&gt;")</f>
        <v>&lt;values&gt;</v>
      </c>
      <c r="O1409" s="277" t="b">
        <v>0</v>
      </c>
      <c r="P1409" s="37">
        <v>117714</v>
      </c>
      <c r="Q1409" s="36" t="str">
        <f>CONCATENATE(Cover!$D$6,"fdd/view?i=",P1409)</f>
        <v>https://www.dgiwg.org/FAD/fdd/view?i=117714</v>
      </c>
      <c r="R1409" s="13" t="s">
        <v>12782</v>
      </c>
      <c r="S1409" s="172"/>
      <c r="T1409" s="172"/>
      <c r="CF1409" s="83" t="s">
        <v>1790</v>
      </c>
    </row>
    <row r="1410" spans="1:105" x14ac:dyDescent="0.2">
      <c r="A1410" s="176" t="str">
        <f t="shared" si="35"/>
        <v>sigPointRelLocToAirspace</v>
      </c>
      <c r="B1410" s="11" t="s">
        <v>12790</v>
      </c>
      <c r="C1410" s="173"/>
      <c r="D1410" s="22" t="s">
        <v>12791</v>
      </c>
      <c r="E1410" s="15" t="s">
        <v>12792</v>
      </c>
      <c r="F1410" s="15" t="s">
        <v>12793</v>
      </c>
      <c r="G1410" s="174"/>
      <c r="H1410" s="17" t="s">
        <v>5932</v>
      </c>
      <c r="I1410" s="269"/>
      <c r="J1410" s="369" t="str">
        <f>HYPERLINK("[#]Datatypes!B1400:L1400","SprCode")</f>
        <v>SprCode</v>
      </c>
      <c r="K1410" s="276"/>
      <c r="L1410" s="272"/>
      <c r="M1410" s="272"/>
      <c r="N1410" s="248" t="str">
        <f>HYPERLINK("[#]DatatypeListedValues!A8102:H8102","&lt;values&gt;")</f>
        <v>&lt;values&gt;</v>
      </c>
      <c r="O1410" s="277" t="b">
        <v>0</v>
      </c>
      <c r="P1410" s="37">
        <v>117713</v>
      </c>
      <c r="Q1410" s="36" t="str">
        <f>CONCATENATE(Cover!$D$6,"fdd/view?i=",P1410)</f>
        <v>https://www.dgiwg.org/FAD/fdd/view?i=117713</v>
      </c>
      <c r="R1410" s="13" t="s">
        <v>12789</v>
      </c>
      <c r="S1410" s="172"/>
      <c r="T1410" s="172"/>
      <c r="CF1410" s="83" t="s">
        <v>1790</v>
      </c>
    </row>
    <row r="1411" spans="1:105" ht="51" x14ac:dyDescent="0.2">
      <c r="A1411" s="176" t="str">
        <f t="shared" ref="A1411:A1474" si="36">HYPERLINK(Q1411,R1411)</f>
        <v>singleIsolatedWheelLoad</v>
      </c>
      <c r="B1411" s="11" t="s">
        <v>12796</v>
      </c>
      <c r="C1411" s="173"/>
      <c r="D1411" s="22" t="s">
        <v>12797</v>
      </c>
      <c r="E1411" s="15" t="s">
        <v>12798</v>
      </c>
      <c r="F1411" s="15" t="s">
        <v>12799</v>
      </c>
      <c r="G1411" s="15" t="s">
        <v>12800</v>
      </c>
      <c r="H1411" s="17" t="s">
        <v>5932</v>
      </c>
      <c r="I1411" s="269"/>
      <c r="J1411" s="369" t="str">
        <f>HYPERLINK("[#]Datatypes!B1231:L1231","Real")</f>
        <v>Real</v>
      </c>
      <c r="K1411" s="271" t="str">
        <f>HYPERLINK("[#]PhysicalQuantities!A28:N28","Mass")</f>
        <v>Mass</v>
      </c>
      <c r="L1411" s="270" t="str">
        <f>HYPERLINK("[#]UnitsOfMeasure!D127:G127","Kilogram")</f>
        <v>Kilogram</v>
      </c>
      <c r="M1411" s="272"/>
      <c r="N1411" s="273"/>
      <c r="O1411" s="269"/>
      <c r="P1411" s="37">
        <v>117709</v>
      </c>
      <c r="Q1411" s="36" t="str">
        <f>CONCATENATE(Cover!$D$6,"fdd/view?i=",P1411)</f>
        <v>https://www.dgiwg.org/FAD/fdd/view?i=117709</v>
      </c>
      <c r="R1411" s="13" t="s">
        <v>12795</v>
      </c>
      <c r="S1411" s="172"/>
      <c r="T1411" s="172"/>
      <c r="CE1411" s="87" t="s">
        <v>1790</v>
      </c>
    </row>
    <row r="1412" spans="1:105" ht="25.5" x14ac:dyDescent="0.2">
      <c r="A1412" s="176" t="str">
        <f t="shared" si="36"/>
        <v>siwlTireInflationPressure</v>
      </c>
      <c r="B1412" s="11" t="s">
        <v>12802</v>
      </c>
      <c r="C1412" s="173"/>
      <c r="D1412" s="22" t="s">
        <v>12803</v>
      </c>
      <c r="E1412" s="15" t="s">
        <v>12804</v>
      </c>
      <c r="F1412" s="174"/>
      <c r="G1412" s="15" t="s">
        <v>12805</v>
      </c>
      <c r="H1412" s="17" t="s">
        <v>5932</v>
      </c>
      <c r="I1412" s="269"/>
      <c r="J1412" s="369" t="str">
        <f>HYPERLINK("[#]Datatypes!B1231:L1231","Real")</f>
        <v>Real</v>
      </c>
      <c r="K1412" s="271" t="str">
        <f>HYPERLINK("[#]PhysicalQuantities!A38:N38","Pressure")</f>
        <v>Pressure</v>
      </c>
      <c r="L1412" s="270" t="str">
        <f>HYPERLINK("[#]UnitsOfMeasure!D210:G210","Pound-force per Square Inch")</f>
        <v>Pound-force per Square Inch</v>
      </c>
      <c r="M1412" s="272"/>
      <c r="N1412" s="273"/>
      <c r="O1412" s="269"/>
      <c r="P1412" s="37">
        <v>117710</v>
      </c>
      <c r="Q1412" s="36" t="str">
        <f>CONCATENATE(Cover!$D$6,"fdd/view?i=",P1412)</f>
        <v>https://www.dgiwg.org/FAD/fdd/view?i=117710</v>
      </c>
      <c r="R1412" s="13" t="s">
        <v>12801</v>
      </c>
      <c r="S1412" s="172"/>
      <c r="T1412" s="172"/>
      <c r="CE1412" s="87" t="s">
        <v>1790</v>
      </c>
    </row>
    <row r="1413" spans="1:105" ht="25.5" x14ac:dyDescent="0.2">
      <c r="A1413" s="176" t="str">
        <f t="shared" si="36"/>
        <v>singleWheelBearingLoad</v>
      </c>
      <c r="B1413" s="11" t="s">
        <v>12807</v>
      </c>
      <c r="C1413" s="173"/>
      <c r="D1413" s="22" t="s">
        <v>12808</v>
      </c>
      <c r="E1413" s="15" t="s">
        <v>12809</v>
      </c>
      <c r="F1413" s="15" t="s">
        <v>12810</v>
      </c>
      <c r="G1413" s="15" t="s">
        <v>12811</v>
      </c>
      <c r="H1413" s="17" t="s">
        <v>5932</v>
      </c>
      <c r="I1413" s="269"/>
      <c r="J1413" s="369" t="str">
        <f>HYPERLINK("[#]Datatypes!B1231:L1231","Real")</f>
        <v>Real</v>
      </c>
      <c r="K1413" s="271" t="str">
        <f>HYPERLINK("[#]PhysicalQuantities!A28:N28","Mass")</f>
        <v>Mass</v>
      </c>
      <c r="L1413" s="270" t="str">
        <f>HYPERLINK("[#]UnitsOfMeasure!D136:G136","Kilopound")</f>
        <v>Kilopound</v>
      </c>
      <c r="M1413" s="272"/>
      <c r="N1413" s="273"/>
      <c r="O1413" s="269"/>
      <c r="P1413" s="37">
        <v>110727</v>
      </c>
      <c r="Q1413" s="36" t="str">
        <f>CONCATENATE(Cover!$D$6,"fdd/view?i=",P1413)</f>
        <v>https://www.dgiwg.org/FAD/fdd/view?i=110727</v>
      </c>
      <c r="R1413" s="13" t="s">
        <v>12806</v>
      </c>
      <c r="S1413" s="172"/>
      <c r="T1413" s="172"/>
      <c r="AQ1413" s="82" t="s">
        <v>1790</v>
      </c>
      <c r="AU1413" s="82" t="s">
        <v>1790</v>
      </c>
      <c r="AV1413" s="82" t="s">
        <v>1790</v>
      </c>
      <c r="CQ1413" s="165" t="s">
        <v>1790</v>
      </c>
    </row>
    <row r="1414" spans="1:105" x14ac:dyDescent="0.2">
      <c r="A1414" s="176" t="str">
        <f t="shared" si="36"/>
        <v>sinkingMethod</v>
      </c>
      <c r="B1414" s="11" t="s">
        <v>12813</v>
      </c>
      <c r="C1414" s="173"/>
      <c r="D1414" s="22" t="s">
        <v>12814</v>
      </c>
      <c r="E1414" s="15" t="s">
        <v>12815</v>
      </c>
      <c r="F1414" s="174"/>
      <c r="G1414" s="174"/>
      <c r="H1414" s="17" t="s">
        <v>5932</v>
      </c>
      <c r="I1414" s="269"/>
      <c r="J1414" s="369" t="str">
        <f>HYPERLINK("[#]Datatypes!B1402:L1402","SkmCode")</f>
        <v>SkmCode</v>
      </c>
      <c r="K1414" s="276"/>
      <c r="L1414" s="272"/>
      <c r="M1414" s="272"/>
      <c r="N1414" s="248" t="str">
        <f>HYPERLINK("[#]DatatypeListedValues!A8105:H8105","&lt;values&gt;")</f>
        <v>&lt;values&gt;</v>
      </c>
      <c r="O1414" s="277" t="b">
        <v>0</v>
      </c>
      <c r="P1414" s="37">
        <v>118173</v>
      </c>
      <c r="Q1414" s="36" t="str">
        <f>CONCATENATE(Cover!$D$6,"fdd/view?i=",P1414)</f>
        <v>https://www.dgiwg.org/FAD/fdd/view?i=118173</v>
      </c>
      <c r="R1414" s="13" t="s">
        <v>12812</v>
      </c>
      <c r="S1414" s="172"/>
      <c r="T1414" s="172"/>
      <c r="CT1414" s="166" t="s">
        <v>1790</v>
      </c>
    </row>
    <row r="1415" spans="1:105" ht="38.25" x14ac:dyDescent="0.2">
      <c r="A1415" s="176" t="str">
        <f t="shared" si="36"/>
        <v>slavedVariation</v>
      </c>
      <c r="B1415" s="11" t="s">
        <v>12818</v>
      </c>
      <c r="C1415" s="173"/>
      <c r="D1415" s="22" t="s">
        <v>12819</v>
      </c>
      <c r="E1415" s="15" t="s">
        <v>12820</v>
      </c>
      <c r="F1415" s="15" t="s">
        <v>12821</v>
      </c>
      <c r="G1415" s="15" t="s">
        <v>12822</v>
      </c>
      <c r="H1415" s="17" t="s">
        <v>5932</v>
      </c>
      <c r="I1415" s="269"/>
      <c r="J1415" s="369" t="str">
        <f>HYPERLINK("[#]Datatypes!B1258:L1258","Realm180to180")</f>
        <v>Realm180to180</v>
      </c>
      <c r="K1415" s="271" t="str">
        <f>HYPERLINK("[#]PhysicalQuantities!A34:N34","Plane Angle")</f>
        <v>Plane Angle</v>
      </c>
      <c r="L1415" s="270" t="str">
        <f>HYPERLINK("[#]UnitsOfMeasure!D159:G159","Arc Degree")</f>
        <v>Arc Degree</v>
      </c>
      <c r="M1415" s="272"/>
      <c r="N1415" s="273"/>
      <c r="O1415" s="269"/>
      <c r="P1415" s="37">
        <v>101349</v>
      </c>
      <c r="Q1415" s="36" t="str">
        <f>CONCATENATE(Cover!$D$6,"fdd/view?i=",P1415)</f>
        <v>https://www.dgiwg.org/FAD/fdd/view?i=101349</v>
      </c>
      <c r="R1415" s="13" t="s">
        <v>12817</v>
      </c>
      <c r="S1415" s="172"/>
      <c r="T1415" s="172"/>
      <c r="AS1415" s="82" t="s">
        <v>1790</v>
      </c>
      <c r="BF1415" s="83" t="s">
        <v>1790</v>
      </c>
      <c r="BS1415" s="82" t="s">
        <v>1790</v>
      </c>
      <c r="CQ1415" s="165" t="s">
        <v>1790</v>
      </c>
    </row>
    <row r="1416" spans="1:105" ht="38.25" x14ac:dyDescent="0.2">
      <c r="A1416" s="176" t="str">
        <f t="shared" si="36"/>
        <v>slavedVariationDateTime</v>
      </c>
      <c r="B1416" s="11" t="s">
        <v>12824</v>
      </c>
      <c r="C1416" s="173"/>
      <c r="D1416" s="22" t="s">
        <v>12825</v>
      </c>
      <c r="E1416" s="15" t="s">
        <v>12826</v>
      </c>
      <c r="F1416" s="15" t="s">
        <v>7752</v>
      </c>
      <c r="G1416" s="174"/>
      <c r="H1416" s="17" t="s">
        <v>5932</v>
      </c>
      <c r="I1416" s="269"/>
      <c r="J1416" s="369" t="str">
        <f>HYPERLINK("[#]Datatypes!B1404:L1404","SvdStrucText")</f>
        <v>SvdStrucText</v>
      </c>
      <c r="K1416" s="276"/>
      <c r="L1416" s="272"/>
      <c r="M1416" s="272"/>
      <c r="N1416" s="273"/>
      <c r="O1416" s="269"/>
      <c r="P1416" s="37">
        <v>119848</v>
      </c>
      <c r="Q1416" s="36" t="str">
        <f>CONCATENATE(Cover!$D$6,"fdd/view?i=",P1416)</f>
        <v>https://www.dgiwg.org/FAD/fdd/view?i=119848</v>
      </c>
      <c r="R1416" s="13" t="s">
        <v>12823</v>
      </c>
      <c r="S1416" s="172"/>
      <c r="T1416" s="172"/>
      <c r="CG1416" s="83" t="s">
        <v>1790</v>
      </c>
      <c r="CQ1416" s="165" t="s">
        <v>1790</v>
      </c>
      <c r="CR1416" s="165" t="s">
        <v>1790</v>
      </c>
    </row>
    <row r="1417" spans="1:105" ht="25.5" x14ac:dyDescent="0.2">
      <c r="A1417" s="176" t="str">
        <f t="shared" si="36"/>
        <v>sleepingCapacity</v>
      </c>
      <c r="B1417" s="11" t="s">
        <v>12829</v>
      </c>
      <c r="C1417" s="173"/>
      <c r="D1417" s="22" t="s">
        <v>12830</v>
      </c>
      <c r="E1417" s="15" t="s">
        <v>12831</v>
      </c>
      <c r="F1417" s="15" t="s">
        <v>12832</v>
      </c>
      <c r="G1417" s="174"/>
      <c r="H1417" s="17" t="s">
        <v>5932</v>
      </c>
      <c r="I1417" s="269"/>
      <c r="J1417" s="369" t="str">
        <f>HYPERLINK("[#]Datatypes!B380:L380","Count")</f>
        <v>Count</v>
      </c>
      <c r="K1417" s="276"/>
      <c r="L1417" s="272"/>
      <c r="M1417" s="272"/>
      <c r="N1417" s="273"/>
      <c r="O1417" s="269"/>
      <c r="P1417" s="37">
        <v>119437</v>
      </c>
      <c r="Q1417" s="36" t="str">
        <f>CONCATENATE(Cover!$D$6,"fdd/view?i=",P1417)</f>
        <v>https://www.dgiwg.org/FAD/fdd/view?i=119437</v>
      </c>
      <c r="R1417" s="13" t="s">
        <v>12828</v>
      </c>
      <c r="S1417" s="172"/>
      <c r="T1417" s="172"/>
      <c r="AI1417" s="87" t="s">
        <v>1790</v>
      </c>
      <c r="CQ1417" s="165" t="s">
        <v>1790</v>
      </c>
    </row>
    <row r="1418" spans="1:105" ht="38.25" x14ac:dyDescent="0.2">
      <c r="A1418" s="176" t="str">
        <f t="shared" si="36"/>
        <v>slopeOrientationUphill</v>
      </c>
      <c r="B1418" s="11" t="s">
        <v>12834</v>
      </c>
      <c r="C1418" s="173"/>
      <c r="D1418" s="22" t="s">
        <v>12835</v>
      </c>
      <c r="E1418" s="15" t="s">
        <v>12836</v>
      </c>
      <c r="F1418" s="15" t="s">
        <v>12837</v>
      </c>
      <c r="G1418" s="174"/>
      <c r="H1418" s="17" t="s">
        <v>5932</v>
      </c>
      <c r="I1418" s="269"/>
      <c r="J1418" s="369" t="str">
        <f>HYPERLINK("[#]Datatypes!B1243:L1243","RealNonNegInterval360")</f>
        <v>RealNonNegInterval360</v>
      </c>
      <c r="K1418" s="271" t="str">
        <f>HYPERLINK("[#]PhysicalQuantities!A34:N34","Plane Angle")</f>
        <v>Plane Angle</v>
      </c>
      <c r="L1418" s="270" t="str">
        <f>HYPERLINK("[#]UnitsOfMeasure!D159:G159","Arc Degree")</f>
        <v>Arc Degree</v>
      </c>
      <c r="M1418" s="272"/>
      <c r="N1418" s="273"/>
      <c r="O1418" s="269"/>
      <c r="P1418" s="37">
        <v>110720</v>
      </c>
      <c r="Q1418" s="36" t="str">
        <f>CONCATENATE(Cover!$D$6,"fdd/view?i=",P1418)</f>
        <v>https://www.dgiwg.org/FAD/fdd/view?i=110720</v>
      </c>
      <c r="R1418" s="13" t="s">
        <v>12833</v>
      </c>
      <c r="S1418" s="172"/>
      <c r="T1418" s="172"/>
      <c r="BM1418" s="82" t="s">
        <v>1790</v>
      </c>
      <c r="CP1418" s="164" t="s">
        <v>1790</v>
      </c>
    </row>
    <row r="1419" spans="1:105" ht="25.5" x14ac:dyDescent="0.2">
      <c r="A1419" s="176" t="str">
        <f t="shared" si="36"/>
        <v>smallScaleGeomorphType</v>
      </c>
      <c r="B1419" s="11" t="s">
        <v>12839</v>
      </c>
      <c r="C1419" s="173"/>
      <c r="D1419" s="22" t="s">
        <v>12840</v>
      </c>
      <c r="E1419" s="15" t="s">
        <v>12841</v>
      </c>
      <c r="F1419" s="174"/>
      <c r="G1419" s="174"/>
      <c r="H1419" s="17" t="s">
        <v>5932</v>
      </c>
      <c r="I1419" s="269"/>
      <c r="J1419" s="369" t="str">
        <f>HYPERLINK("[#]Datatypes!B1406:L1406","MokCode")</f>
        <v>MokCode</v>
      </c>
      <c r="K1419" s="276"/>
      <c r="L1419" s="272"/>
      <c r="M1419" s="272"/>
      <c r="N1419" s="248" t="str">
        <f>HYPERLINK("[#]DatatypeListedValues!A8114:H8114","&lt;values&gt;")</f>
        <v>&lt;values&gt;</v>
      </c>
      <c r="O1419" s="277" t="b">
        <v>0</v>
      </c>
      <c r="P1419" s="37">
        <v>111634</v>
      </c>
      <c r="Q1419" s="36" t="str">
        <f>CONCATENATE(Cover!$D$6,"fdd/view?i=",P1419)</f>
        <v>https://www.dgiwg.org/FAD/fdd/view?i=111634</v>
      </c>
      <c r="R1419" s="13" t="s">
        <v>12838</v>
      </c>
      <c r="S1419" s="172"/>
      <c r="T1419" s="172"/>
      <c r="BM1419" s="82" t="s">
        <v>1790</v>
      </c>
      <c r="CS1419" s="165" t="s">
        <v>1790</v>
      </c>
    </row>
    <row r="1420" spans="1:105" ht="25.5" x14ac:dyDescent="0.2">
      <c r="A1420" s="176" t="str">
        <f t="shared" si="36"/>
        <v>soilDepth</v>
      </c>
      <c r="B1420" s="11" t="s">
        <v>12844</v>
      </c>
      <c r="C1420" s="173"/>
      <c r="D1420" s="22" t="s">
        <v>12845</v>
      </c>
      <c r="E1420" s="15" t="s">
        <v>12846</v>
      </c>
      <c r="F1420" s="15" t="s">
        <v>12847</v>
      </c>
      <c r="G1420" s="174"/>
      <c r="H1420" s="17" t="s">
        <v>5932</v>
      </c>
      <c r="I1420" s="269"/>
      <c r="J1420" s="369" t="str">
        <f>HYPERLINK("[#]Datatypes!B1233:L1233","RealInterval")</f>
        <v>RealInterval</v>
      </c>
      <c r="K1420" s="271" t="str">
        <f>HYPERLINK("[#]PhysicalQuantities!A20:N20","Length")</f>
        <v>Length</v>
      </c>
      <c r="L1420" s="270" t="str">
        <f>HYPERLINK("[#]UnitsOfMeasure!D80:G80","Metre")</f>
        <v>Metre</v>
      </c>
      <c r="M1420" s="272"/>
      <c r="N1420" s="273"/>
      <c r="O1420" s="269"/>
      <c r="P1420" s="37">
        <v>110717</v>
      </c>
      <c r="Q1420" s="36" t="str">
        <f>CONCATENATE(Cover!$D$6,"fdd/view?i=",P1420)</f>
        <v>https://www.dgiwg.org/FAD/fdd/view?i=110717</v>
      </c>
      <c r="R1420" s="13" t="s">
        <v>12843</v>
      </c>
      <c r="S1420" s="172"/>
      <c r="T1420" s="172"/>
      <c r="BO1420" s="82" t="s">
        <v>1790</v>
      </c>
      <c r="CQ1420" s="165" t="s">
        <v>1790</v>
      </c>
    </row>
    <row r="1421" spans="1:105" x14ac:dyDescent="0.2">
      <c r="A1421" s="176" t="str">
        <f t="shared" si="36"/>
        <v>soilDeteriorationCause</v>
      </c>
      <c r="B1421" s="11" t="s">
        <v>12849</v>
      </c>
      <c r="C1421" s="173"/>
      <c r="D1421" s="22" t="s">
        <v>12850</v>
      </c>
      <c r="E1421" s="15" t="s">
        <v>12851</v>
      </c>
      <c r="F1421" s="174"/>
      <c r="G1421" s="174"/>
      <c r="H1421" s="17" t="s">
        <v>5932</v>
      </c>
      <c r="I1421" s="17" t="s">
        <v>6029</v>
      </c>
      <c r="J1421" s="369" t="str">
        <f>HYPERLINK("[#]Datatypes!B1408:L1408","SoaCode")</f>
        <v>SoaCode</v>
      </c>
      <c r="K1421" s="276"/>
      <c r="L1421" s="272"/>
      <c r="M1421" s="272"/>
      <c r="N1421" s="248" t="str">
        <f>HYPERLINK("[#]DatatypeListedValues!A8146:H8146","&lt;values&gt;")</f>
        <v>&lt;values&gt;</v>
      </c>
      <c r="O1421" s="277" t="b">
        <v>0</v>
      </c>
      <c r="P1421" s="37">
        <v>118613</v>
      </c>
      <c r="Q1421" s="36" t="str">
        <f>CONCATENATE(Cover!$D$6,"fdd/view?i=",P1421)</f>
        <v>https://www.dgiwg.org/FAD/fdd/view?i=118613</v>
      </c>
      <c r="R1421" s="13" t="s">
        <v>12848</v>
      </c>
      <c r="S1421" s="172"/>
      <c r="T1421" s="172"/>
      <c r="BO1421" s="82" t="s">
        <v>1790</v>
      </c>
      <c r="CS1421" s="165" t="s">
        <v>1790</v>
      </c>
      <c r="CT1421" s="166" t="s">
        <v>1790</v>
      </c>
    </row>
    <row r="1422" spans="1:105" x14ac:dyDescent="0.2">
      <c r="A1422" s="176" t="str">
        <f t="shared" si="36"/>
        <v>soilDeteriorationType</v>
      </c>
      <c r="B1422" s="11" t="s">
        <v>12854</v>
      </c>
      <c r="C1422" s="173"/>
      <c r="D1422" s="22" t="s">
        <v>12855</v>
      </c>
      <c r="E1422" s="15" t="s">
        <v>12856</v>
      </c>
      <c r="F1422" s="174"/>
      <c r="G1422" s="174"/>
      <c r="H1422" s="17" t="s">
        <v>5932</v>
      </c>
      <c r="I1422" s="17" t="s">
        <v>6029</v>
      </c>
      <c r="J1422" s="369" t="str">
        <f>HYPERLINK("[#]Datatypes!B1410:L1410","SorCode")</f>
        <v>SorCode</v>
      </c>
      <c r="K1422" s="276"/>
      <c r="L1422" s="272"/>
      <c r="M1422" s="272"/>
      <c r="N1422" s="248" t="str">
        <f>HYPERLINK("[#]DatatypeListedValues!A8178:H8178","&lt;values&gt;")</f>
        <v>&lt;values&gt;</v>
      </c>
      <c r="O1422" s="277" t="b">
        <v>0</v>
      </c>
      <c r="P1422" s="37">
        <v>118614</v>
      </c>
      <c r="Q1422" s="36" t="str">
        <f>CONCATENATE(Cover!$D$6,"fdd/view?i=",P1422)</f>
        <v>https://www.dgiwg.org/FAD/fdd/view?i=118614</v>
      </c>
      <c r="R1422" s="13" t="s">
        <v>12853</v>
      </c>
      <c r="S1422" s="172"/>
      <c r="T1422" s="172"/>
      <c r="BO1422" s="82" t="s">
        <v>1790</v>
      </c>
      <c r="CS1422" s="165" t="s">
        <v>1790</v>
      </c>
      <c r="CT1422" s="166" t="s">
        <v>1790</v>
      </c>
    </row>
    <row r="1423" spans="1:105" x14ac:dyDescent="0.2">
      <c r="A1423" s="176" t="str">
        <f t="shared" si="36"/>
        <v>soilErosionCause</v>
      </c>
      <c r="B1423" s="11" t="s">
        <v>12859</v>
      </c>
      <c r="C1423" s="173"/>
      <c r="D1423" s="22" t="s">
        <v>12860</v>
      </c>
      <c r="E1423" s="15" t="s">
        <v>12861</v>
      </c>
      <c r="F1423" s="15" t="s">
        <v>12862</v>
      </c>
      <c r="G1423" s="174"/>
      <c r="H1423" s="17" t="s">
        <v>5932</v>
      </c>
      <c r="I1423" s="269"/>
      <c r="J1423" s="369" t="str">
        <f>HYPERLINK("[#]Datatypes!B1412:L1412","KgeCode")</f>
        <v>KgeCode</v>
      </c>
      <c r="K1423" s="276"/>
      <c r="L1423" s="272"/>
      <c r="M1423" s="272"/>
      <c r="N1423" s="248" t="str">
        <f>HYPERLINK("[#]DatatypeListedValues!A8199:H8199","&lt;values&gt;")</f>
        <v>&lt;values&gt;</v>
      </c>
      <c r="O1423" s="277" t="b">
        <v>0</v>
      </c>
      <c r="P1423" s="37">
        <v>111607</v>
      </c>
      <c r="Q1423" s="36" t="str">
        <f>CONCATENATE(Cover!$D$6,"fdd/view?i=",P1423)</f>
        <v>https://www.dgiwg.org/FAD/fdd/view?i=111607</v>
      </c>
      <c r="R1423" s="13" t="s">
        <v>12858</v>
      </c>
      <c r="S1423" s="172"/>
      <c r="T1423" s="172"/>
      <c r="BM1423" s="82" t="s">
        <v>1790</v>
      </c>
      <c r="BO1423" s="82" t="s">
        <v>1790</v>
      </c>
      <c r="CS1423" s="165" t="s">
        <v>1790</v>
      </c>
    </row>
    <row r="1424" spans="1:105" ht="25.5" x14ac:dyDescent="0.2">
      <c r="A1424" s="176" t="str">
        <f t="shared" si="36"/>
        <v>soilType</v>
      </c>
      <c r="B1424" s="11" t="s">
        <v>12865</v>
      </c>
      <c r="C1424" s="173"/>
      <c r="D1424" s="22" t="s">
        <v>12866</v>
      </c>
      <c r="E1424" s="15" t="s">
        <v>12867</v>
      </c>
      <c r="F1424" s="174"/>
      <c r="G1424" s="174"/>
      <c r="H1424" s="17" t="s">
        <v>5932</v>
      </c>
      <c r="I1424" s="269"/>
      <c r="J1424" s="369" t="str">
        <f>HYPERLINK("[#]Datatypes!B1414:L1414","StpCode")</f>
        <v>StpCode</v>
      </c>
      <c r="K1424" s="276"/>
      <c r="L1424" s="272"/>
      <c r="M1424" s="272"/>
      <c r="N1424" s="248" t="str">
        <f>HYPERLINK("[#]DatatypeListedValues!A8209:H8209","&lt;values&gt;")</f>
        <v>&lt;values&gt;</v>
      </c>
      <c r="O1424" s="277" t="b">
        <v>0</v>
      </c>
      <c r="P1424" s="37">
        <v>101338</v>
      </c>
      <c r="Q1424" s="36" t="str">
        <f>CONCATENATE(Cover!$D$6,"fdd/view?i=",P1424)</f>
        <v>https://www.dgiwg.org/FAD/fdd/view?i=101338</v>
      </c>
      <c r="R1424" s="13" t="s">
        <v>12864</v>
      </c>
      <c r="S1424" s="172"/>
      <c r="T1424" s="172"/>
      <c r="BO1424" s="82" t="s">
        <v>1790</v>
      </c>
      <c r="CS1424" s="165" t="s">
        <v>1790</v>
      </c>
      <c r="DA1424" s="165" t="s">
        <v>1790</v>
      </c>
    </row>
    <row r="1425" spans="1:105" x14ac:dyDescent="0.2">
      <c r="A1425" s="176" t="str">
        <f t="shared" si="36"/>
        <v>soilUnitQualifier</v>
      </c>
      <c r="B1425" s="11" t="s">
        <v>12870</v>
      </c>
      <c r="C1425" s="173"/>
      <c r="D1425" s="22" t="s">
        <v>12871</v>
      </c>
      <c r="E1425" s="15" t="s">
        <v>12872</v>
      </c>
      <c r="F1425" s="174"/>
      <c r="G1425" s="174"/>
      <c r="H1425" s="17" t="s">
        <v>5932</v>
      </c>
      <c r="I1425" s="269"/>
      <c r="J1425" s="369" t="str">
        <f>HYPERLINK("[#]Datatypes!B1416:L1416","SuqCode")</f>
        <v>SuqCode</v>
      </c>
      <c r="K1425" s="276"/>
      <c r="L1425" s="272"/>
      <c r="M1425" s="272"/>
      <c r="N1425" s="248" t="str">
        <f>HYPERLINK("[#]DatatypeListedValues!A8227:H8227","&lt;values&gt;")</f>
        <v>&lt;values&gt;</v>
      </c>
      <c r="O1425" s="277" t="b">
        <v>0</v>
      </c>
      <c r="P1425" s="37">
        <v>111731</v>
      </c>
      <c r="Q1425" s="36" t="str">
        <f>CONCATENATE(Cover!$D$6,"fdd/view?i=",P1425)</f>
        <v>https://www.dgiwg.org/FAD/fdd/view?i=111731</v>
      </c>
      <c r="R1425" s="13" t="s">
        <v>12869</v>
      </c>
      <c r="S1425" s="172"/>
      <c r="T1425" s="172"/>
      <c r="BO1425" s="82" t="s">
        <v>1790</v>
      </c>
      <c r="CS1425" s="165" t="s">
        <v>1790</v>
      </c>
    </row>
    <row r="1426" spans="1:105" ht="25.5" x14ac:dyDescent="0.2">
      <c r="A1426" s="176" t="str">
        <f t="shared" si="36"/>
        <v>soilWetTrafficabilityType</v>
      </c>
      <c r="B1426" s="11" t="s">
        <v>12875</v>
      </c>
      <c r="C1426" s="173"/>
      <c r="D1426" s="22" t="s">
        <v>12876</v>
      </c>
      <c r="E1426" s="15" t="s">
        <v>12877</v>
      </c>
      <c r="F1426" s="15" t="s">
        <v>12878</v>
      </c>
      <c r="G1426" s="174"/>
      <c r="H1426" s="17" t="s">
        <v>5932</v>
      </c>
      <c r="I1426" s="269"/>
      <c r="J1426" s="369" t="str">
        <f>HYPERLINK("[#]Datatypes!B1418:L1418","StgCode")</f>
        <v>StgCode</v>
      </c>
      <c r="K1426" s="276"/>
      <c r="L1426" s="272"/>
      <c r="M1426" s="272"/>
      <c r="N1426" s="248" t="str">
        <f>HYPERLINK("[#]DatatypeListedValues!A8406:H8406","&lt;values&gt;")</f>
        <v>&lt;values&gt;</v>
      </c>
      <c r="O1426" s="277" t="b">
        <v>0</v>
      </c>
      <c r="P1426" s="37">
        <v>101336</v>
      </c>
      <c r="Q1426" s="36" t="str">
        <f>CONCATENATE(Cover!$D$6,"fdd/view?i=",P1426)</f>
        <v>https://www.dgiwg.org/FAD/fdd/view?i=101336</v>
      </c>
      <c r="R1426" s="13" t="s">
        <v>12874</v>
      </c>
      <c r="S1426" s="172"/>
      <c r="T1426" s="172"/>
      <c r="AU1426" s="82" t="s">
        <v>1790</v>
      </c>
      <c r="BO1426" s="82" t="s">
        <v>1790</v>
      </c>
      <c r="CS1426" s="165" t="s">
        <v>1790</v>
      </c>
      <c r="DA1426" s="165" t="s">
        <v>1790</v>
      </c>
    </row>
    <row r="1427" spans="1:105" x14ac:dyDescent="0.2">
      <c r="A1427" s="176" t="str">
        <f t="shared" si="36"/>
        <v>soilWetnessCondition</v>
      </c>
      <c r="B1427" s="11" t="s">
        <v>12881</v>
      </c>
      <c r="C1427" s="173"/>
      <c r="D1427" s="22" t="s">
        <v>12882</v>
      </c>
      <c r="E1427" s="15" t="s">
        <v>12883</v>
      </c>
      <c r="F1427" s="174"/>
      <c r="G1427" s="174"/>
      <c r="H1427" s="17" t="s">
        <v>5932</v>
      </c>
      <c r="I1427" s="269"/>
      <c r="J1427" s="369" t="str">
        <f>HYPERLINK("[#]Datatypes!B1420:L1420","SwcCode")</f>
        <v>SwcCode</v>
      </c>
      <c r="K1427" s="276"/>
      <c r="L1427" s="272"/>
      <c r="M1427" s="272"/>
      <c r="N1427" s="248" t="str">
        <f>HYPERLINK("[#]DatatypeListedValues!A8412:H8412","&lt;values&gt;")</f>
        <v>&lt;values&gt;</v>
      </c>
      <c r="O1427" s="277" t="b">
        <v>0</v>
      </c>
      <c r="P1427" s="37">
        <v>101352</v>
      </c>
      <c r="Q1427" s="36" t="str">
        <f>CONCATENATE(Cover!$D$6,"fdd/view?i=",P1427)</f>
        <v>https://www.dgiwg.org/FAD/fdd/view?i=101352</v>
      </c>
      <c r="R1427" s="13" t="s">
        <v>12880</v>
      </c>
      <c r="S1427" s="172"/>
      <c r="T1427" s="172"/>
      <c r="BO1427" s="82" t="s">
        <v>1790</v>
      </c>
      <c r="CS1427" s="165" t="s">
        <v>1790</v>
      </c>
    </row>
    <row r="1428" spans="1:105" ht="51" x14ac:dyDescent="0.2">
      <c r="A1428" s="176" t="str">
        <f t="shared" si="36"/>
        <v>solidMaritimeConstruction</v>
      </c>
      <c r="B1428" s="11" t="s">
        <v>12886</v>
      </c>
      <c r="C1428" s="173"/>
      <c r="D1428" s="22" t="s">
        <v>12887</v>
      </c>
      <c r="E1428" s="15" t="s">
        <v>12888</v>
      </c>
      <c r="F1428" s="15" t="s">
        <v>12889</v>
      </c>
      <c r="G1428" s="174"/>
      <c r="H1428" s="17" t="s">
        <v>5932</v>
      </c>
      <c r="I1428" s="269"/>
      <c r="J1428" s="369" t="str">
        <f>HYPERLINK("[#]Datatypes!B240:L240","Boolean")</f>
        <v>Boolean</v>
      </c>
      <c r="K1428" s="276"/>
      <c r="L1428" s="272"/>
      <c r="M1428" s="272"/>
      <c r="N1428" s="273"/>
      <c r="O1428" s="269"/>
      <c r="P1428" s="37">
        <v>100872</v>
      </c>
      <c r="Q1428" s="36" t="str">
        <f>CONCATENATE(Cover!$D$6,"fdd/view?i=",P1428)</f>
        <v>https://www.dgiwg.org/FAD/fdd/view?i=100872</v>
      </c>
      <c r="R1428" s="13" t="s">
        <v>12885</v>
      </c>
      <c r="S1428" s="172"/>
      <c r="T1428" s="172"/>
      <c r="AS1428" s="82" t="s">
        <v>1790</v>
      </c>
      <c r="AZ1428" s="87" t="s">
        <v>1790</v>
      </c>
      <c r="BA1428" s="83" t="s">
        <v>1790</v>
      </c>
      <c r="BE1428" s="83" t="s">
        <v>1790</v>
      </c>
      <c r="CS1428" s="165" t="s">
        <v>1790</v>
      </c>
    </row>
    <row r="1429" spans="1:105" ht="25.5" x14ac:dyDescent="0.2">
      <c r="A1429" s="176" t="str">
        <f t="shared" si="36"/>
        <v>sonarReflectivity</v>
      </c>
      <c r="B1429" s="11" t="s">
        <v>12891</v>
      </c>
      <c r="C1429" s="173"/>
      <c r="D1429" s="22" t="s">
        <v>12892</v>
      </c>
      <c r="E1429" s="15" t="s">
        <v>12893</v>
      </c>
      <c r="F1429" s="174"/>
      <c r="G1429" s="174"/>
      <c r="H1429" s="17" t="s">
        <v>5932</v>
      </c>
      <c r="I1429" s="269"/>
      <c r="J1429" s="369" t="str">
        <f>HYPERLINK("[#]Datatypes!B1422:L1422","ScrCode")</f>
        <v>ScrCode</v>
      </c>
      <c r="K1429" s="276"/>
      <c r="L1429" s="272"/>
      <c r="M1429" s="272"/>
      <c r="N1429" s="248" t="str">
        <f>HYPERLINK("[#]DatatypeListedValues!A8416:H8416","&lt;values&gt;")</f>
        <v>&lt;values&gt;</v>
      </c>
      <c r="O1429" s="277" t="b">
        <v>0</v>
      </c>
      <c r="P1429" s="37">
        <v>114424</v>
      </c>
      <c r="Q1429" s="36" t="str">
        <f>CONCATENATE(Cover!$D$6,"fdd/view?i=",P1429)</f>
        <v>https://www.dgiwg.org/FAD/fdd/view?i=114424</v>
      </c>
      <c r="R1429" s="13" t="s">
        <v>12890</v>
      </c>
      <c r="S1429" s="172"/>
      <c r="T1429" s="172"/>
      <c r="CQ1429" s="165" t="s">
        <v>1790</v>
      </c>
      <c r="CS1429" s="165" t="s">
        <v>1790</v>
      </c>
    </row>
    <row r="1430" spans="1:105" x14ac:dyDescent="0.2">
      <c r="A1430" s="176" t="str">
        <f t="shared" si="36"/>
        <v>sonarConfirmed</v>
      </c>
      <c r="B1430" s="11" t="s">
        <v>12896</v>
      </c>
      <c r="C1430" s="173"/>
      <c r="D1430" s="22" t="s">
        <v>12897</v>
      </c>
      <c r="E1430" s="15" t="s">
        <v>12898</v>
      </c>
      <c r="F1430" s="174"/>
      <c r="G1430" s="174"/>
      <c r="H1430" s="17" t="s">
        <v>5932</v>
      </c>
      <c r="I1430" s="269"/>
      <c r="J1430" s="369" t="str">
        <f>HYPERLINK("[#]Datatypes!B240:L240","Boolean")</f>
        <v>Boolean</v>
      </c>
      <c r="K1430" s="276"/>
      <c r="L1430" s="272"/>
      <c r="M1430" s="272"/>
      <c r="N1430" s="273"/>
      <c r="O1430" s="269"/>
      <c r="P1430" s="37">
        <v>101270</v>
      </c>
      <c r="Q1430" s="36" t="str">
        <f>CONCATENATE(Cover!$D$6,"fdd/view?i=",P1430)</f>
        <v>https://www.dgiwg.org/FAD/fdd/view?i=101270</v>
      </c>
      <c r="R1430" s="13" t="s">
        <v>12895</v>
      </c>
      <c r="S1430" s="172"/>
      <c r="T1430" s="172"/>
      <c r="BG1430" s="83" t="s">
        <v>1790</v>
      </c>
      <c r="CT1430" s="166" t="s">
        <v>1790</v>
      </c>
      <c r="CZ1430" s="165" t="s">
        <v>1790</v>
      </c>
    </row>
    <row r="1431" spans="1:105" ht="38.25" x14ac:dyDescent="0.2">
      <c r="A1431" s="176" t="str">
        <f t="shared" si="36"/>
        <v>sortName</v>
      </c>
      <c r="B1431" s="11" t="s">
        <v>12900</v>
      </c>
      <c r="C1431" s="173"/>
      <c r="D1431" s="22" t="s">
        <v>12901</v>
      </c>
      <c r="E1431" s="15" t="s">
        <v>12902</v>
      </c>
      <c r="F1431" s="15" t="s">
        <v>12903</v>
      </c>
      <c r="G1431" s="174"/>
      <c r="H1431" s="17" t="s">
        <v>5932</v>
      </c>
      <c r="I1431" s="269"/>
      <c r="J1431" s="369" t="str">
        <f>HYPERLINK("[#]Datatypes!B1550:L1550","TextNonLex200")</f>
        <v>TextNonLex200</v>
      </c>
      <c r="K1431" s="276"/>
      <c r="L1431" s="272"/>
      <c r="M1431" s="272"/>
      <c r="N1431" s="273"/>
      <c r="O1431" s="269"/>
      <c r="P1431" s="37">
        <v>111724</v>
      </c>
      <c r="Q1431" s="36" t="str">
        <f>CONCATENATE(Cover!$D$6,"fdd/view?i=",P1431)</f>
        <v>https://www.dgiwg.org/FAD/fdd/view?i=111724</v>
      </c>
      <c r="R1431" s="13" t="s">
        <v>12899</v>
      </c>
      <c r="S1431" s="172"/>
      <c r="T1431" s="172"/>
      <c r="CU1431" s="87" t="s">
        <v>1790</v>
      </c>
    </row>
    <row r="1432" spans="1:105" ht="25.5" x14ac:dyDescent="0.2">
      <c r="A1432" s="176" t="str">
        <f t="shared" si="36"/>
        <v>soundingDatum</v>
      </c>
      <c r="B1432" s="11" t="s">
        <v>12905</v>
      </c>
      <c r="C1432" s="173"/>
      <c r="D1432" s="22" t="s">
        <v>12906</v>
      </c>
      <c r="E1432" s="15" t="s">
        <v>12907</v>
      </c>
      <c r="F1432" s="15" t="s">
        <v>12908</v>
      </c>
      <c r="G1432" s="15" t="s">
        <v>12909</v>
      </c>
      <c r="H1432" s="17" t="s">
        <v>5932</v>
      </c>
      <c r="I1432" s="269"/>
      <c r="J1432" s="369" t="str">
        <f>HYPERLINK("[#]Datatypes!B1424:L1424","VdcCode")</f>
        <v>VdcCode</v>
      </c>
      <c r="K1432" s="276"/>
      <c r="L1432" s="272"/>
      <c r="M1432" s="272"/>
      <c r="N1432" s="248" t="str">
        <f>HYPERLINK("[#]DatatypeListedValues!A8419:H8419","&lt;values&gt;")</f>
        <v>&lt;values&gt;</v>
      </c>
      <c r="O1432" s="277" t="b">
        <v>0</v>
      </c>
      <c r="P1432" s="37">
        <v>101445</v>
      </c>
      <c r="Q1432" s="36" t="str">
        <f>CONCATENATE(Cover!$D$6,"fdd/view?i=",P1432)</f>
        <v>https://www.dgiwg.org/FAD/fdd/view?i=101445</v>
      </c>
      <c r="R1432" s="13" t="s">
        <v>12904</v>
      </c>
      <c r="S1432" s="172"/>
      <c r="T1432" s="172"/>
      <c r="BB1432" s="83" t="s">
        <v>1790</v>
      </c>
      <c r="DA1432" s="165" t="s">
        <v>1790</v>
      </c>
    </row>
    <row r="1433" spans="1:105" ht="25.5" x14ac:dyDescent="0.2">
      <c r="A1433" s="176" t="str">
        <f t="shared" si="36"/>
        <v>soundingDatumName</v>
      </c>
      <c r="B1433" s="11" t="s">
        <v>12912</v>
      </c>
      <c r="C1433" s="173"/>
      <c r="D1433" s="22" t="s">
        <v>12913</v>
      </c>
      <c r="E1433" s="15" t="s">
        <v>12914</v>
      </c>
      <c r="F1433" s="15" t="s">
        <v>12915</v>
      </c>
      <c r="G1433" s="174"/>
      <c r="H1433" s="17" t="s">
        <v>5932</v>
      </c>
      <c r="I1433" s="269"/>
      <c r="J1433" s="369" t="str">
        <f>HYPERLINK("[#]Datatypes!B1542:L1542","TextLex80")</f>
        <v>TextLex80</v>
      </c>
      <c r="K1433" s="276"/>
      <c r="L1433" s="272"/>
      <c r="M1433" s="272"/>
      <c r="N1433" s="273"/>
      <c r="O1433" s="269"/>
      <c r="P1433" s="37">
        <v>101446</v>
      </c>
      <c r="Q1433" s="36" t="str">
        <f>CONCATENATE(Cover!$D$6,"fdd/view?i=",P1433)</f>
        <v>https://www.dgiwg.org/FAD/fdd/view?i=101446</v>
      </c>
      <c r="R1433" s="13" t="s">
        <v>12911</v>
      </c>
      <c r="S1433" s="172"/>
      <c r="T1433" s="172"/>
      <c r="BB1433" s="83" t="s">
        <v>1790</v>
      </c>
      <c r="DA1433" s="165" t="s">
        <v>1790</v>
      </c>
    </row>
    <row r="1434" spans="1:105" x14ac:dyDescent="0.2">
      <c r="A1434" s="176" t="str">
        <f t="shared" si="36"/>
        <v>soundingExposition</v>
      </c>
      <c r="B1434" s="11" t="s">
        <v>12917</v>
      </c>
      <c r="C1434" s="173"/>
      <c r="D1434" s="22" t="s">
        <v>12918</v>
      </c>
      <c r="E1434" s="15" t="s">
        <v>12919</v>
      </c>
      <c r="F1434" s="174"/>
      <c r="G1434" s="174"/>
      <c r="H1434" s="17" t="s">
        <v>5932</v>
      </c>
      <c r="I1434" s="269"/>
      <c r="J1434" s="369" t="str">
        <f>HYPERLINK("[#]Datatypes!B1426:L1426","SouCode")</f>
        <v>SouCode</v>
      </c>
      <c r="K1434" s="276"/>
      <c r="L1434" s="272"/>
      <c r="M1434" s="272"/>
      <c r="N1434" s="248" t="str">
        <f>HYPERLINK("[#]DatatypeListedValues!A8465:H8465","&lt;values&gt;")</f>
        <v>&lt;values&gt;</v>
      </c>
      <c r="O1434" s="277" t="b">
        <v>0</v>
      </c>
      <c r="P1434" s="37">
        <v>101312</v>
      </c>
      <c r="Q1434" s="36" t="str">
        <f>CONCATENATE(Cover!$D$6,"fdd/view?i=",P1434)</f>
        <v>https://www.dgiwg.org/FAD/fdd/view?i=101312</v>
      </c>
      <c r="R1434" s="13" t="s">
        <v>12916</v>
      </c>
      <c r="S1434" s="172"/>
      <c r="T1434" s="172"/>
      <c r="BB1434" s="83" t="s">
        <v>1790</v>
      </c>
      <c r="CQ1434" s="165" t="s">
        <v>1790</v>
      </c>
    </row>
    <row r="1435" spans="1:105" x14ac:dyDescent="0.2">
      <c r="A1435" s="176" t="str">
        <f t="shared" si="36"/>
        <v>soundingSourceIdentifier</v>
      </c>
      <c r="B1435" s="11" t="s">
        <v>12922</v>
      </c>
      <c r="C1435" s="173"/>
      <c r="D1435" s="22" t="s">
        <v>12923</v>
      </c>
      <c r="E1435" s="15" t="s">
        <v>12924</v>
      </c>
      <c r="F1435" s="174"/>
      <c r="G1435" s="174"/>
      <c r="H1435" s="17" t="s">
        <v>5932</v>
      </c>
      <c r="I1435" s="269"/>
      <c r="J1435" s="369" t="str">
        <f>HYPERLINK("[#]Datatypes!B794:L794","KeyNonLex80")</f>
        <v>KeyNonLex80</v>
      </c>
      <c r="K1435" s="276"/>
      <c r="L1435" s="272"/>
      <c r="M1435" s="272"/>
      <c r="N1435" s="273"/>
      <c r="O1435" s="269"/>
      <c r="P1435" s="37">
        <v>101330</v>
      </c>
      <c r="Q1435" s="36" t="str">
        <f>CONCATENATE(Cover!$D$6,"fdd/view?i=",P1435)</f>
        <v>https://www.dgiwg.org/FAD/fdd/view?i=101330</v>
      </c>
      <c r="R1435" s="13" t="s">
        <v>12921</v>
      </c>
      <c r="S1435" s="172"/>
      <c r="T1435" s="172"/>
      <c r="DA1435" s="165" t="s">
        <v>1790</v>
      </c>
    </row>
    <row r="1436" spans="1:105" ht="25.5" x14ac:dyDescent="0.2">
      <c r="A1436" s="176" t="str">
        <f t="shared" si="36"/>
        <v>soundingVelCorrectMethod</v>
      </c>
      <c r="B1436" s="11" t="s">
        <v>12926</v>
      </c>
      <c r="C1436" s="173"/>
      <c r="D1436" s="22" t="s">
        <v>12927</v>
      </c>
      <c r="E1436" s="15" t="s">
        <v>12928</v>
      </c>
      <c r="F1436" s="174"/>
      <c r="G1436" s="174"/>
      <c r="H1436" s="17" t="s">
        <v>5932</v>
      </c>
      <c r="I1436" s="269"/>
      <c r="J1436" s="369" t="str">
        <f>HYPERLINK("[#]Datatypes!B1428:L1428","SvcCode")</f>
        <v>SvcCode</v>
      </c>
      <c r="K1436" s="276"/>
      <c r="L1436" s="272"/>
      <c r="M1436" s="272"/>
      <c r="N1436" s="248" t="str">
        <f>HYPERLINK("[#]DatatypeListedValues!A8468:H8468","&lt;values&gt;")</f>
        <v>&lt;values&gt;</v>
      </c>
      <c r="O1436" s="277" t="b">
        <v>0</v>
      </c>
      <c r="P1436" s="37">
        <v>101350</v>
      </c>
      <c r="Q1436" s="36" t="str">
        <f>CONCATENATE(Cover!$D$6,"fdd/view?i=",P1436)</f>
        <v>https://www.dgiwg.org/FAD/fdd/view?i=101350</v>
      </c>
      <c r="R1436" s="13" t="s">
        <v>12925</v>
      </c>
      <c r="S1436" s="172"/>
      <c r="T1436" s="172"/>
      <c r="BB1436" s="83" t="s">
        <v>1790</v>
      </c>
      <c r="DA1436" s="165" t="s">
        <v>1790</v>
      </c>
    </row>
    <row r="1437" spans="1:105" ht="63.75" x14ac:dyDescent="0.2">
      <c r="A1437" s="176" t="str">
        <f t="shared" si="36"/>
        <v>sourceAuthority</v>
      </c>
      <c r="B1437" s="11" t="s">
        <v>12931</v>
      </c>
      <c r="C1437" s="173"/>
      <c r="D1437" s="22" t="s">
        <v>12932</v>
      </c>
      <c r="E1437" s="15" t="s">
        <v>12933</v>
      </c>
      <c r="F1437" s="15" t="s">
        <v>11865</v>
      </c>
      <c r="G1437" s="174"/>
      <c r="H1437" s="17" t="s">
        <v>5932</v>
      </c>
      <c r="I1437" s="269"/>
      <c r="J1437" s="369" t="str">
        <f>HYPERLINK("[#]Datatypes!B1430:L1430","SagStrucText")</f>
        <v>SagStrucText</v>
      </c>
      <c r="K1437" s="276"/>
      <c r="L1437" s="272"/>
      <c r="M1437" s="272"/>
      <c r="N1437" s="273"/>
      <c r="O1437" s="269"/>
      <c r="P1437" s="37">
        <v>119205</v>
      </c>
      <c r="Q1437" s="36" t="str">
        <f>CONCATENATE(Cover!$D$6,"fdd/view?i=",P1437)</f>
        <v>https://www.dgiwg.org/FAD/fdd/view?i=119205</v>
      </c>
      <c r="R1437" s="13" t="s">
        <v>12930</v>
      </c>
      <c r="S1437" s="172"/>
      <c r="T1437" s="172"/>
      <c r="CU1437" s="87" t="s">
        <v>1790</v>
      </c>
      <c r="DA1437" s="165" t="s">
        <v>1790</v>
      </c>
    </row>
    <row r="1438" spans="1:105" ht="25.5" x14ac:dyDescent="0.2">
      <c r="A1438" s="176" t="str">
        <f t="shared" si="36"/>
        <v>sourceCategory</v>
      </c>
      <c r="B1438" s="11" t="s">
        <v>12936</v>
      </c>
      <c r="C1438" s="173"/>
      <c r="D1438" s="22" t="s">
        <v>12937</v>
      </c>
      <c r="E1438" s="15" t="s">
        <v>12938</v>
      </c>
      <c r="F1438" s="174"/>
      <c r="G1438" s="174"/>
      <c r="H1438" s="17" t="s">
        <v>5932</v>
      </c>
      <c r="I1438" s="17" t="s">
        <v>6029</v>
      </c>
      <c r="J1438" s="369" t="str">
        <f>HYPERLINK("[#]Datatypes!B1432:L1432","StcCode")</f>
        <v>StcCode</v>
      </c>
      <c r="K1438" s="276"/>
      <c r="L1438" s="272"/>
      <c r="M1438" s="272"/>
      <c r="N1438" s="248" t="str">
        <f>HYPERLINK("[#]DatatypeListedValues!A8473:H8473","&lt;values&gt;")</f>
        <v>&lt;values&gt;</v>
      </c>
      <c r="O1438" s="277" t="b">
        <v>0</v>
      </c>
      <c r="P1438" s="37">
        <v>101335</v>
      </c>
      <c r="Q1438" s="36" t="str">
        <f>CONCATENATE(Cover!$D$6,"fdd/view?i=",P1438)</f>
        <v>https://www.dgiwg.org/FAD/fdd/view?i=101335</v>
      </c>
      <c r="R1438" s="13" t="s">
        <v>12935</v>
      </c>
      <c r="S1438" s="172"/>
      <c r="T1438" s="172"/>
      <c r="CZ1438" s="165" t="s">
        <v>1790</v>
      </c>
      <c r="DA1438" s="165" t="s">
        <v>1790</v>
      </c>
    </row>
    <row r="1439" spans="1:105" ht="51" x14ac:dyDescent="0.2">
      <c r="A1439" s="176" t="str">
        <f t="shared" si="36"/>
        <v>sourceDateTime</v>
      </c>
      <c r="B1439" s="11" t="s">
        <v>12942</v>
      </c>
      <c r="C1439" s="173"/>
      <c r="D1439" s="22" t="s">
        <v>12943</v>
      </c>
      <c r="E1439" s="15" t="s">
        <v>12944</v>
      </c>
      <c r="F1439" s="15" t="s">
        <v>7752</v>
      </c>
      <c r="G1439" s="174"/>
      <c r="H1439" s="17" t="s">
        <v>5932</v>
      </c>
      <c r="I1439" s="269"/>
      <c r="J1439" s="369" t="str">
        <f>HYPERLINK("[#]Datatypes!B1434:L1434","SdvStrucText")</f>
        <v>SdvStrucText</v>
      </c>
      <c r="K1439" s="276"/>
      <c r="L1439" s="272"/>
      <c r="M1439" s="272"/>
      <c r="N1439" s="273"/>
      <c r="O1439" s="269"/>
      <c r="P1439" s="37">
        <v>101280</v>
      </c>
      <c r="Q1439" s="36" t="str">
        <f>CONCATENATE(Cover!$D$6,"fdd/view?i=",P1439)</f>
        <v>https://www.dgiwg.org/FAD/fdd/view?i=101280</v>
      </c>
      <c r="R1439" s="13" t="s">
        <v>12940</v>
      </c>
      <c r="S1439" s="172"/>
      <c r="T1439" s="13" t="s">
        <v>12941</v>
      </c>
      <c r="CY1439" s="165" t="s">
        <v>1790</v>
      </c>
      <c r="CZ1439" s="165" t="s">
        <v>1790</v>
      </c>
    </row>
    <row r="1440" spans="1:105" ht="51" x14ac:dyDescent="0.2">
      <c r="A1440" s="176" t="str">
        <f t="shared" si="36"/>
        <v>sourceDescription</v>
      </c>
      <c r="B1440" s="11" t="s">
        <v>12948</v>
      </c>
      <c r="C1440" s="173"/>
      <c r="D1440" s="22" t="s">
        <v>12949</v>
      </c>
      <c r="E1440" s="15" t="s">
        <v>12950</v>
      </c>
      <c r="F1440" s="15" t="s">
        <v>12241</v>
      </c>
      <c r="G1440" s="174"/>
      <c r="H1440" s="17" t="s">
        <v>5932</v>
      </c>
      <c r="I1440" s="269"/>
      <c r="J1440" s="369" t="str">
        <f>HYPERLINK("[#]Datatypes!B1544:L1544","TextLexUnconstrained")</f>
        <v>TextLexUnconstrained</v>
      </c>
      <c r="K1440" s="276"/>
      <c r="L1440" s="272"/>
      <c r="M1440" s="272"/>
      <c r="N1440" s="273"/>
      <c r="O1440" s="269"/>
      <c r="P1440" s="37">
        <v>101276</v>
      </c>
      <c r="Q1440" s="36" t="str">
        <f>CONCATENATE(Cover!$D$6,"fdd/view?i=",P1440)</f>
        <v>https://www.dgiwg.org/FAD/fdd/view?i=101276</v>
      </c>
      <c r="R1440" s="13" t="s">
        <v>12946</v>
      </c>
      <c r="S1440" s="172"/>
      <c r="T1440" s="13" t="s">
        <v>12947</v>
      </c>
      <c r="CZ1440" s="165" t="s">
        <v>1790</v>
      </c>
      <c r="DA1440" s="165" t="s">
        <v>1790</v>
      </c>
    </row>
    <row r="1441" spans="1:107" ht="25.5" x14ac:dyDescent="0.2">
      <c r="A1441" s="176" t="str">
        <f t="shared" si="36"/>
        <v>sourceEdition</v>
      </c>
      <c r="B1441" s="11" t="s">
        <v>12952</v>
      </c>
      <c r="C1441" s="173"/>
      <c r="D1441" s="22" t="s">
        <v>12953</v>
      </c>
      <c r="E1441" s="15" t="s">
        <v>12954</v>
      </c>
      <c r="F1441" s="174"/>
      <c r="G1441" s="174"/>
      <c r="H1441" s="17" t="s">
        <v>5932</v>
      </c>
      <c r="I1441" s="269"/>
      <c r="J1441" s="369" t="str">
        <f>HYPERLINK("[#]Datatypes!B1546:L1546","TextNonLex10")</f>
        <v>TextNonLex10</v>
      </c>
      <c r="K1441" s="276"/>
      <c r="L1441" s="272"/>
      <c r="M1441" s="272"/>
      <c r="N1441" s="273"/>
      <c r="O1441" s="269"/>
      <c r="P1441" s="37">
        <v>101072</v>
      </c>
      <c r="Q1441" s="36" t="str">
        <f>CONCATENATE(Cover!$D$6,"fdd/view?i=",P1441)</f>
        <v>https://www.dgiwg.org/FAD/fdd/view?i=101072</v>
      </c>
      <c r="R1441" s="13" t="s">
        <v>12951</v>
      </c>
      <c r="S1441" s="172"/>
      <c r="T1441" s="172"/>
      <c r="CY1441" s="165" t="s">
        <v>1790</v>
      </c>
    </row>
    <row r="1442" spans="1:107" ht="25.5" x14ac:dyDescent="0.2">
      <c r="A1442" s="176" t="str">
        <f t="shared" si="36"/>
        <v>sourceIdentifier</v>
      </c>
      <c r="B1442" s="11" t="s">
        <v>5241</v>
      </c>
      <c r="C1442" s="173"/>
      <c r="D1442" s="22" t="s">
        <v>12956</v>
      </c>
      <c r="E1442" s="15" t="s">
        <v>12957</v>
      </c>
      <c r="F1442" s="174"/>
      <c r="G1442" s="174"/>
      <c r="H1442" s="17" t="s">
        <v>5932</v>
      </c>
      <c r="I1442" s="269"/>
      <c r="J1442" s="369" t="str">
        <f>HYPERLINK("[#]Datatypes!B788:L788","KeyNonLex30")</f>
        <v>KeyNonLex30</v>
      </c>
      <c r="K1442" s="276"/>
      <c r="L1442" s="272"/>
      <c r="M1442" s="272"/>
      <c r="N1442" s="273"/>
      <c r="O1442" s="269"/>
      <c r="P1442" s="37">
        <v>110721</v>
      </c>
      <c r="Q1442" s="36" t="str">
        <f>CONCATENATE(Cover!$D$6,"fdd/view?i=",P1442)</f>
        <v>https://www.dgiwg.org/FAD/fdd/view?i=110721</v>
      </c>
      <c r="R1442" s="13" t="s">
        <v>12955</v>
      </c>
      <c r="S1442" s="172"/>
      <c r="T1442" s="172"/>
      <c r="CZ1442" s="165" t="s">
        <v>1790</v>
      </c>
      <c r="DA1442" s="165" t="s">
        <v>1790</v>
      </c>
    </row>
    <row r="1443" spans="1:107" x14ac:dyDescent="0.2">
      <c r="A1443" s="176" t="str">
        <f t="shared" si="36"/>
        <v>sourceOfReport</v>
      </c>
      <c r="B1443" s="11" t="s">
        <v>12960</v>
      </c>
      <c r="C1443" s="173"/>
      <c r="D1443" s="22" t="s">
        <v>12961</v>
      </c>
      <c r="E1443" s="15" t="s">
        <v>12962</v>
      </c>
      <c r="F1443" s="15" t="s">
        <v>11071</v>
      </c>
      <c r="G1443" s="174"/>
      <c r="H1443" s="17" t="s">
        <v>5932</v>
      </c>
      <c r="I1443" s="269"/>
      <c r="J1443" s="369" t="str">
        <f>HYPERLINK("[#]Datatypes!B1436:L1436","WsrCode")</f>
        <v>WsrCode</v>
      </c>
      <c r="K1443" s="276"/>
      <c r="L1443" s="272"/>
      <c r="M1443" s="272"/>
      <c r="N1443" s="248" t="str">
        <f>HYPERLINK("[#]DatatypeListedValues!A8483:H8483","&lt;values&gt;")</f>
        <v>&lt;values&gt;</v>
      </c>
      <c r="O1443" s="277" t="b">
        <v>0</v>
      </c>
      <c r="P1443" s="37">
        <v>101506</v>
      </c>
      <c r="Q1443" s="36" t="str">
        <f>CONCATENATE(Cover!$D$6,"fdd/view?i=",P1443)</f>
        <v>https://www.dgiwg.org/FAD/fdd/view?i=101506</v>
      </c>
      <c r="R1443" s="13" t="s">
        <v>12959</v>
      </c>
      <c r="S1443" s="172"/>
      <c r="T1443" s="172"/>
      <c r="CZ1443" s="165" t="s">
        <v>1790</v>
      </c>
      <c r="DA1443" s="165" t="s">
        <v>1790</v>
      </c>
    </row>
    <row r="1444" spans="1:107" ht="51" x14ac:dyDescent="0.2">
      <c r="A1444" s="176" t="str">
        <f t="shared" si="36"/>
        <v>sourceType</v>
      </c>
      <c r="B1444" s="11" t="s">
        <v>12966</v>
      </c>
      <c r="C1444" s="173"/>
      <c r="D1444" s="22" t="s">
        <v>12967</v>
      </c>
      <c r="E1444" s="15" t="s">
        <v>12968</v>
      </c>
      <c r="F1444" s="15" t="s">
        <v>12247</v>
      </c>
      <c r="G1444" s="174"/>
      <c r="H1444" s="17" t="s">
        <v>5932</v>
      </c>
      <c r="I1444" s="17" t="s">
        <v>6029</v>
      </c>
      <c r="J1444" s="369" t="str">
        <f>HYPERLINK("[#]Datatypes!B1438:L1438","SrtCode")</f>
        <v>SrtCode</v>
      </c>
      <c r="K1444" s="276"/>
      <c r="L1444" s="272"/>
      <c r="M1444" s="272"/>
      <c r="N1444" s="248" t="str">
        <f>HYPERLINK("[#]DatatypeListedValues!A8538:H8538","&lt;values&gt;")</f>
        <v>&lt;values&gt;</v>
      </c>
      <c r="O1444" s="277" t="b">
        <v>0</v>
      </c>
      <c r="P1444" s="37">
        <v>109984</v>
      </c>
      <c r="Q1444" s="36" t="str">
        <f>CONCATENATE(Cover!$D$6,"fdd/view?i=",P1444)</f>
        <v>https://www.dgiwg.org/FAD/fdd/view?i=109984</v>
      </c>
      <c r="R1444" s="13" t="s">
        <v>12964</v>
      </c>
      <c r="S1444" s="172"/>
      <c r="T1444" s="13" t="s">
        <v>12965</v>
      </c>
      <c r="CZ1444" s="165" t="s">
        <v>1790</v>
      </c>
      <c r="DA1444" s="165" t="s">
        <v>1790</v>
      </c>
    </row>
    <row r="1445" spans="1:107" x14ac:dyDescent="0.2">
      <c r="A1445" s="176" t="str">
        <f t="shared" si="36"/>
        <v>spanCount</v>
      </c>
      <c r="B1445" s="11" t="s">
        <v>12971</v>
      </c>
      <c r="C1445" s="173"/>
      <c r="D1445" s="22" t="s">
        <v>12972</v>
      </c>
      <c r="E1445" s="15" t="s">
        <v>12973</v>
      </c>
      <c r="F1445" s="174"/>
      <c r="G1445" s="174"/>
      <c r="H1445" s="17" t="s">
        <v>5932</v>
      </c>
      <c r="I1445" s="269"/>
      <c r="J1445" s="369" t="str">
        <f>HYPERLINK("[#]Datatypes!B380:L380","Count")</f>
        <v>Count</v>
      </c>
      <c r="K1445" s="276"/>
      <c r="L1445" s="272"/>
      <c r="M1445" s="272"/>
      <c r="N1445" s="273"/>
      <c r="O1445" s="269"/>
      <c r="P1445" s="37">
        <v>101103</v>
      </c>
      <c r="Q1445" s="36" t="str">
        <f>CONCATENATE(Cover!$D$6,"fdd/view?i=",P1445)</f>
        <v>https://www.dgiwg.org/FAD/fdd/view?i=101103</v>
      </c>
      <c r="R1445" s="13" t="s">
        <v>12970</v>
      </c>
      <c r="S1445" s="172"/>
      <c r="T1445" s="172"/>
      <c r="AU1445" s="82" t="s">
        <v>1790</v>
      </c>
      <c r="AV1445" s="82" t="s">
        <v>1790</v>
      </c>
      <c r="CQ1445" s="165" t="s">
        <v>1790</v>
      </c>
    </row>
    <row r="1446" spans="1:107" ht="51" x14ac:dyDescent="0.2">
      <c r="A1446" s="176" t="str">
        <f t="shared" si="36"/>
        <v>specialAdminUnit</v>
      </c>
      <c r="B1446" s="11" t="s">
        <v>12975</v>
      </c>
      <c r="C1446" s="173"/>
      <c r="D1446" s="22" t="s">
        <v>12976</v>
      </c>
      <c r="E1446" s="15" t="s">
        <v>12977</v>
      </c>
      <c r="F1446" s="15" t="s">
        <v>12978</v>
      </c>
      <c r="G1446" s="174"/>
      <c r="H1446" s="17" t="s">
        <v>5932</v>
      </c>
      <c r="I1446" s="269"/>
      <c r="J1446" s="369" t="str">
        <f>HYPERLINK("[#]Datatypes!B1440:L1440","AmbCode")</f>
        <v>AmbCode</v>
      </c>
      <c r="K1446" s="276"/>
      <c r="L1446" s="272"/>
      <c r="M1446" s="272"/>
      <c r="N1446" s="248" t="str">
        <f>HYPERLINK("[#]DatatypeListedValues!A8695:H8695","&lt;values&gt;")</f>
        <v>&lt;values&gt;</v>
      </c>
      <c r="O1446" s="277" t="b">
        <v>0</v>
      </c>
      <c r="P1446" s="37">
        <v>111474</v>
      </c>
      <c r="Q1446" s="36" t="str">
        <f>CONCATENATE(Cover!$D$6,"fdd/view?i=",P1446)</f>
        <v>https://www.dgiwg.org/FAD/fdd/view?i=111474</v>
      </c>
      <c r="R1446" s="13" t="s">
        <v>12974</v>
      </c>
      <c r="S1446" s="172"/>
      <c r="T1446" s="172"/>
      <c r="AM1446" s="83" t="s">
        <v>1790</v>
      </c>
      <c r="CT1446" s="166" t="s">
        <v>1790</v>
      </c>
    </row>
    <row r="1447" spans="1:107" ht="25.5" x14ac:dyDescent="0.2">
      <c r="A1447" s="176" t="str">
        <f t="shared" si="36"/>
        <v>specialAdminUnitDesc</v>
      </c>
      <c r="B1447" s="11" t="s">
        <v>12981</v>
      </c>
      <c r="C1447" s="173"/>
      <c r="D1447" s="22" t="s">
        <v>12982</v>
      </c>
      <c r="E1447" s="15" t="s">
        <v>12983</v>
      </c>
      <c r="F1447" s="15" t="s">
        <v>12984</v>
      </c>
      <c r="G1447" s="174"/>
      <c r="H1447" s="17" t="s">
        <v>5932</v>
      </c>
      <c r="I1447" s="269"/>
      <c r="J1447" s="369" t="str">
        <f>HYPERLINK("[#]Datatypes!B1540:L1540","TextLex4095")</f>
        <v>TextLex4095</v>
      </c>
      <c r="K1447" s="276"/>
      <c r="L1447" s="272"/>
      <c r="M1447" s="272"/>
      <c r="N1447" s="273"/>
      <c r="O1447" s="269"/>
      <c r="P1447" s="37">
        <v>114214</v>
      </c>
      <c r="Q1447" s="36" t="str">
        <f>CONCATENATE(Cover!$D$6,"fdd/view?i=",P1447)</f>
        <v>https://www.dgiwg.org/FAD/fdd/view?i=114214</v>
      </c>
      <c r="R1447" s="13" t="s">
        <v>12980</v>
      </c>
      <c r="S1447" s="172"/>
      <c r="T1447" s="172"/>
      <c r="AM1447" s="83" t="s">
        <v>1790</v>
      </c>
      <c r="CS1447" s="165" t="s">
        <v>1790</v>
      </c>
      <c r="CT1447" s="166" t="s">
        <v>1790</v>
      </c>
    </row>
    <row r="1448" spans="1:107" ht="25.5" x14ac:dyDescent="0.2">
      <c r="A1448" s="176" t="str">
        <f t="shared" si="36"/>
        <v>specialBorderCharacter</v>
      </c>
      <c r="B1448" s="11" t="s">
        <v>12986</v>
      </c>
      <c r="C1448" s="173"/>
      <c r="D1448" s="22" t="s">
        <v>12987</v>
      </c>
      <c r="E1448" s="15" t="s">
        <v>12988</v>
      </c>
      <c r="F1448" s="174"/>
      <c r="G1448" s="174"/>
      <c r="H1448" s="17" t="s">
        <v>5932</v>
      </c>
      <c r="I1448" s="269"/>
      <c r="J1448" s="369" t="str">
        <f>HYPERLINK("[#]Datatypes!B1528:L1528","Text")</f>
        <v>Text</v>
      </c>
      <c r="K1448" s="276"/>
      <c r="L1448" s="272"/>
      <c r="M1448" s="272"/>
      <c r="N1448" s="273"/>
      <c r="O1448" s="269"/>
      <c r="P1448" s="37">
        <v>118915</v>
      </c>
      <c r="Q1448" s="36" t="str">
        <f>CONCATENATE(Cover!$D$6,"fdd/view?i=",P1448)</f>
        <v>https://www.dgiwg.org/FAD/fdd/view?i=118915</v>
      </c>
      <c r="R1448" s="13" t="s">
        <v>12985</v>
      </c>
      <c r="S1448" s="172"/>
      <c r="T1448" s="172"/>
      <c r="AM1448" s="83" t="s">
        <v>1790</v>
      </c>
      <c r="CT1448" s="166" t="s">
        <v>1790</v>
      </c>
    </row>
    <row r="1449" spans="1:107" ht="25.5" x14ac:dyDescent="0.2">
      <c r="A1449" s="176" t="str">
        <f t="shared" si="36"/>
        <v>specialNavServiceType</v>
      </c>
      <c r="B1449" s="11" t="s">
        <v>12990</v>
      </c>
      <c r="C1449" s="173"/>
      <c r="D1449" s="22" t="s">
        <v>12991</v>
      </c>
      <c r="E1449" s="15" t="s">
        <v>12992</v>
      </c>
      <c r="F1449" s="15" t="s">
        <v>12993</v>
      </c>
      <c r="G1449" s="174"/>
      <c r="H1449" s="17" t="s">
        <v>5932</v>
      </c>
      <c r="I1449" s="269"/>
      <c r="J1449" s="369" t="str">
        <f>HYPERLINK("[#]Datatypes!B1442:L1442","Ss2Code")</f>
        <v>Ss2Code</v>
      </c>
      <c r="K1449" s="276"/>
      <c r="L1449" s="272"/>
      <c r="M1449" s="272"/>
      <c r="N1449" s="248" t="str">
        <f>HYPERLINK("[#]DatatypeListedValues!A8703:H8703","&lt;values&gt;")</f>
        <v>&lt;values&gt;</v>
      </c>
      <c r="O1449" s="277" t="b">
        <v>0</v>
      </c>
      <c r="P1449" s="37">
        <v>117716</v>
      </c>
      <c r="Q1449" s="36" t="str">
        <f>CONCATENATE(Cover!$D$6,"fdd/view?i=",P1449)</f>
        <v>https://www.dgiwg.org/FAD/fdd/view?i=117716</v>
      </c>
      <c r="R1449" s="13" t="s">
        <v>12989</v>
      </c>
      <c r="S1449" s="172"/>
      <c r="T1449" s="172"/>
      <c r="CG1449" s="83" t="s">
        <v>1790</v>
      </c>
    </row>
    <row r="1450" spans="1:107" x14ac:dyDescent="0.2">
      <c r="A1450" s="176" t="str">
        <f t="shared" si="36"/>
        <v>specialNavSystemChainIdent</v>
      </c>
      <c r="B1450" s="11" t="s">
        <v>12996</v>
      </c>
      <c r="C1450" s="173"/>
      <c r="D1450" s="22" t="s">
        <v>12997</v>
      </c>
      <c r="E1450" s="15" t="s">
        <v>12998</v>
      </c>
      <c r="F1450" s="174"/>
      <c r="G1450" s="174"/>
      <c r="H1450" s="17" t="s">
        <v>5932</v>
      </c>
      <c r="I1450" s="269"/>
      <c r="J1450" s="369" t="str">
        <f>HYPERLINK("[#]Datatypes!B1444:L1444","SciStrucText")</f>
        <v>SciStrucText</v>
      </c>
      <c r="K1450" s="276"/>
      <c r="L1450" s="272"/>
      <c r="M1450" s="272"/>
      <c r="N1450" s="273"/>
      <c r="O1450" s="269"/>
      <c r="P1450" s="37">
        <v>117705</v>
      </c>
      <c r="Q1450" s="36" t="str">
        <f>CONCATENATE(Cover!$D$6,"fdd/view?i=",P1450)</f>
        <v>https://www.dgiwg.org/FAD/fdd/view?i=117705</v>
      </c>
      <c r="R1450" s="13" t="s">
        <v>12995</v>
      </c>
      <c r="S1450" s="172"/>
      <c r="T1450" s="172"/>
      <c r="CG1450" s="83" t="s">
        <v>1790</v>
      </c>
    </row>
    <row r="1451" spans="1:107" ht="25.5" x14ac:dyDescent="0.2">
      <c r="A1451" s="176" t="str">
        <f t="shared" si="36"/>
        <v>specialNavSystemType</v>
      </c>
      <c r="B1451" s="11" t="s">
        <v>13001</v>
      </c>
      <c r="C1451" s="173"/>
      <c r="D1451" s="22" t="s">
        <v>13002</v>
      </c>
      <c r="E1451" s="15" t="s">
        <v>13003</v>
      </c>
      <c r="F1451" s="15" t="s">
        <v>5192</v>
      </c>
      <c r="G1451" s="174"/>
      <c r="H1451" s="17" t="s">
        <v>5932</v>
      </c>
      <c r="I1451" s="269"/>
      <c r="J1451" s="369" t="str">
        <f>HYPERLINK("[#]Datatypes!B1446:L1446","Ss1Code")</f>
        <v>Ss1Code</v>
      </c>
      <c r="K1451" s="276"/>
      <c r="L1451" s="272"/>
      <c r="M1451" s="272"/>
      <c r="N1451" s="248" t="str">
        <f>HYPERLINK("[#]DatatypeListedValues!A8708:H8708","&lt;values&gt;")</f>
        <v>&lt;values&gt;</v>
      </c>
      <c r="O1451" s="277" t="b">
        <v>0</v>
      </c>
      <c r="P1451" s="37">
        <v>117715</v>
      </c>
      <c r="Q1451" s="36" t="str">
        <f>CONCATENATE(Cover!$D$6,"fdd/view?i=",P1451)</f>
        <v>https://www.dgiwg.org/FAD/fdd/view?i=117715</v>
      </c>
      <c r="R1451" s="13" t="s">
        <v>13000</v>
      </c>
      <c r="S1451" s="172"/>
      <c r="T1451" s="172"/>
      <c r="CG1451" s="83" t="s">
        <v>1790</v>
      </c>
    </row>
    <row r="1452" spans="1:107" x14ac:dyDescent="0.2">
      <c r="A1452" s="176" t="str">
        <f t="shared" si="36"/>
        <v>specialPurposeVehicleType</v>
      </c>
      <c r="B1452" s="11" t="s">
        <v>13006</v>
      </c>
      <c r="C1452" s="173"/>
      <c r="D1452" s="22" t="s">
        <v>13007</v>
      </c>
      <c r="E1452" s="15" t="s">
        <v>13008</v>
      </c>
      <c r="F1452" s="174"/>
      <c r="G1452" s="174"/>
      <c r="H1452" s="17" t="s">
        <v>5932</v>
      </c>
      <c r="I1452" s="269"/>
      <c r="J1452" s="369" t="str">
        <f>HYPERLINK("[#]Datatypes!B1448:L1448","SpvCode")</f>
        <v>SpvCode</v>
      </c>
      <c r="K1452" s="276"/>
      <c r="L1452" s="272"/>
      <c r="M1452" s="272"/>
      <c r="N1452" s="248" t="str">
        <f>HYPERLINK("[#]DatatypeListedValues!A8712:H8712","&lt;values&gt;")</f>
        <v>&lt;values&gt;</v>
      </c>
      <c r="O1452" s="277" t="b">
        <v>0</v>
      </c>
      <c r="P1452" s="37">
        <v>101321</v>
      </c>
      <c r="Q1452" s="36" t="str">
        <f>CONCATENATE(Cover!$D$6,"fdd/view?i=",P1452)</f>
        <v>https://www.dgiwg.org/FAD/fdd/view?i=101321</v>
      </c>
      <c r="R1452" s="13" t="s">
        <v>13005</v>
      </c>
      <c r="S1452" s="172"/>
      <c r="T1452" s="172"/>
      <c r="AW1452" s="82" t="s">
        <v>1790</v>
      </c>
      <c r="CT1452" s="166" t="s">
        <v>1790</v>
      </c>
    </row>
    <row r="1453" spans="1:107" ht="25.5" x14ac:dyDescent="0.2">
      <c r="A1453" s="176" t="str">
        <f t="shared" si="36"/>
        <v>specifiedComplianceType</v>
      </c>
      <c r="B1453" s="11" t="s">
        <v>13011</v>
      </c>
      <c r="C1453" s="173"/>
      <c r="D1453" s="22" t="s">
        <v>13012</v>
      </c>
      <c r="E1453" s="15" t="s">
        <v>13013</v>
      </c>
      <c r="F1453" s="15" t="s">
        <v>13014</v>
      </c>
      <c r="G1453" s="174"/>
      <c r="H1453" s="17" t="s">
        <v>5932</v>
      </c>
      <c r="I1453" s="269"/>
      <c r="J1453" s="369" t="str">
        <f>HYPERLINK("[#]Datatypes!B1450:L1450","CmpCode")</f>
        <v>CmpCode</v>
      </c>
      <c r="K1453" s="276"/>
      <c r="L1453" s="272"/>
      <c r="M1453" s="272"/>
      <c r="N1453" s="248" t="str">
        <f>HYPERLINK("[#]DatatypeListedValues!A8718:H8718","&lt;values&gt;")</f>
        <v>&lt;values&gt;</v>
      </c>
      <c r="O1453" s="277" t="b">
        <v>0</v>
      </c>
      <c r="P1453" s="37">
        <v>119864</v>
      </c>
      <c r="Q1453" s="36" t="str">
        <f>CONCATENATE(Cover!$D$6,"fdd/view?i=",P1453)</f>
        <v>https://www.dgiwg.org/FAD/fdd/view?i=119864</v>
      </c>
      <c r="R1453" s="13" t="s">
        <v>13010</v>
      </c>
      <c r="S1453" s="172"/>
      <c r="T1453" s="172"/>
      <c r="CZ1453" s="165" t="s">
        <v>1790</v>
      </c>
    </row>
    <row r="1454" spans="1:107" ht="38.25" x14ac:dyDescent="0.2">
      <c r="A1454" s="176" t="str">
        <f t="shared" si="36"/>
        <v>specifiedEnumerants</v>
      </c>
      <c r="B1454" s="11" t="s">
        <v>13017</v>
      </c>
      <c r="C1454" s="173"/>
      <c r="D1454" s="22" t="s">
        <v>13018</v>
      </c>
      <c r="E1454" s="15" t="s">
        <v>13019</v>
      </c>
      <c r="F1454" s="15" t="s">
        <v>13020</v>
      </c>
      <c r="G1454" s="174"/>
      <c r="H1454" s="17" t="s">
        <v>5932</v>
      </c>
      <c r="I1454" s="269"/>
      <c r="J1454" s="369" t="str">
        <f>HYPERLINK("[#]Datatypes!B1452:L1452","OthStrucText")</f>
        <v>OthStrucText</v>
      </c>
      <c r="K1454" s="276"/>
      <c r="L1454" s="272"/>
      <c r="M1454" s="272"/>
      <c r="N1454" s="273"/>
      <c r="O1454" s="269"/>
      <c r="P1454" s="37">
        <v>118154</v>
      </c>
      <c r="Q1454" s="36" t="str">
        <f>CONCATENATE(Cover!$D$6,"fdd/view?i=",P1454)</f>
        <v>https://www.dgiwg.org/FAD/fdd/view?i=118154</v>
      </c>
      <c r="R1454" s="13" t="s">
        <v>13016</v>
      </c>
      <c r="S1454" s="172"/>
      <c r="T1454" s="172"/>
      <c r="DC1454" s="87" t="s">
        <v>1790</v>
      </c>
    </row>
    <row r="1455" spans="1:107" ht="25.5" x14ac:dyDescent="0.2">
      <c r="A1455" s="176" t="str">
        <f t="shared" si="36"/>
        <v>speedLimit(Knots)</v>
      </c>
      <c r="B1455" s="11" t="s">
        <v>13023</v>
      </c>
      <c r="C1455" s="173"/>
      <c r="D1455" s="22" t="s">
        <v>13024</v>
      </c>
      <c r="E1455" s="15" t="s">
        <v>13025</v>
      </c>
      <c r="F1455" s="174"/>
      <c r="G1455" s="174"/>
      <c r="H1455" s="17" t="s">
        <v>5932</v>
      </c>
      <c r="I1455" s="269"/>
      <c r="J1455" s="369" t="str">
        <f>HYPERLINK("[#]Datatypes!B1231:L1231","Real")</f>
        <v>Real</v>
      </c>
      <c r="K1455" s="271" t="str">
        <f>HYPERLINK("[#]PhysicalQuantities!A48:N48","Speed")</f>
        <v>Speed</v>
      </c>
      <c r="L1455" s="270" t="str">
        <f>HYPERLINK("[#]UnitsOfMeasure!D251:G251","Knot")</f>
        <v>Knot</v>
      </c>
      <c r="M1455" s="272"/>
      <c r="N1455" s="273"/>
      <c r="O1455" s="269"/>
      <c r="P1455" s="37">
        <v>110725</v>
      </c>
      <c r="Q1455" s="36" t="str">
        <f>CONCATENATE(Cover!$D$6,"fdd/view?i=",P1455)</f>
        <v>https://www.dgiwg.org/FAD/fdd/view?i=110725</v>
      </c>
      <c r="R1455" s="13" t="s">
        <v>13022</v>
      </c>
      <c r="S1455" s="172"/>
      <c r="T1455" s="172"/>
      <c r="AS1455" s="82" t="s">
        <v>1790</v>
      </c>
      <c r="BF1455" s="83" t="s">
        <v>1790</v>
      </c>
      <c r="BI1455" s="83" t="s">
        <v>1790</v>
      </c>
    </row>
    <row r="1456" spans="1:107" ht="25.5" x14ac:dyDescent="0.2">
      <c r="A1456" s="176" t="str">
        <f t="shared" si="36"/>
        <v>speedLimitKph</v>
      </c>
      <c r="B1456" s="11" t="s">
        <v>13027</v>
      </c>
      <c r="C1456" s="173"/>
      <c r="D1456" s="22" t="s">
        <v>13028</v>
      </c>
      <c r="E1456" s="15" t="s">
        <v>13029</v>
      </c>
      <c r="F1456" s="174"/>
      <c r="G1456" s="174"/>
      <c r="H1456" s="17" t="s">
        <v>5932</v>
      </c>
      <c r="I1456" s="269"/>
      <c r="J1456" s="369" t="str">
        <f>HYPERLINK("[#]Datatypes!B1231:L1231","Real")</f>
        <v>Real</v>
      </c>
      <c r="K1456" s="271" t="str">
        <f>HYPERLINK("[#]PhysicalQuantities!A48:N48","Speed")</f>
        <v>Speed</v>
      </c>
      <c r="L1456" s="270" t="str">
        <f>HYPERLINK("[#]UnitsOfMeasure!D248:G248","Kilometre per Hour")</f>
        <v>Kilometre per Hour</v>
      </c>
      <c r="M1456" s="272"/>
      <c r="N1456" s="273"/>
      <c r="O1456" s="269"/>
      <c r="P1456" s="37">
        <v>110724</v>
      </c>
      <c r="Q1456" s="36" t="str">
        <f>CONCATENATE(Cover!$D$6,"fdd/view?i=",P1456)</f>
        <v>https://www.dgiwg.org/FAD/fdd/view?i=110724</v>
      </c>
      <c r="R1456" s="13" t="s">
        <v>13026</v>
      </c>
      <c r="S1456" s="172"/>
      <c r="T1456" s="172"/>
      <c r="AS1456" s="82" t="s">
        <v>1790</v>
      </c>
      <c r="AU1456" s="82" t="s">
        <v>1790</v>
      </c>
      <c r="BF1456" s="83" t="s">
        <v>1790</v>
      </c>
      <c r="BI1456" s="83" t="s">
        <v>1790</v>
      </c>
    </row>
    <row r="1457" spans="1:100" ht="25.5" x14ac:dyDescent="0.2">
      <c r="A1457" s="176" t="str">
        <f t="shared" si="36"/>
        <v>speedLimitMph</v>
      </c>
      <c r="B1457" s="11" t="s">
        <v>13031</v>
      </c>
      <c r="C1457" s="173"/>
      <c r="D1457" s="22" t="s">
        <v>13032</v>
      </c>
      <c r="E1457" s="15" t="s">
        <v>13033</v>
      </c>
      <c r="F1457" s="174"/>
      <c r="G1457" s="174"/>
      <c r="H1457" s="17" t="s">
        <v>5932</v>
      </c>
      <c r="I1457" s="269"/>
      <c r="J1457" s="369" t="str">
        <f>HYPERLINK("[#]Datatypes!B1231:L1231","Real")</f>
        <v>Real</v>
      </c>
      <c r="K1457" s="271" t="str">
        <f>HYPERLINK("[#]PhysicalQuantities!A48:N48","Speed")</f>
        <v>Speed</v>
      </c>
      <c r="L1457" s="270" t="str">
        <f>HYPERLINK("[#]UnitsOfMeasure!D252:G252","Statute Mile per Hour")</f>
        <v>Statute Mile per Hour</v>
      </c>
      <c r="M1457" s="272"/>
      <c r="N1457" s="273"/>
      <c r="O1457" s="269"/>
      <c r="P1457" s="37">
        <v>110722</v>
      </c>
      <c r="Q1457" s="36" t="str">
        <f>CONCATENATE(Cover!$D$6,"fdd/view?i=",P1457)</f>
        <v>https://www.dgiwg.org/FAD/fdd/view?i=110722</v>
      </c>
      <c r="R1457" s="13" t="s">
        <v>13030</v>
      </c>
      <c r="S1457" s="172"/>
      <c r="T1457" s="172"/>
      <c r="AS1457" s="82" t="s">
        <v>1790</v>
      </c>
      <c r="AU1457" s="82" t="s">
        <v>1790</v>
      </c>
      <c r="BF1457" s="83" t="s">
        <v>1790</v>
      </c>
      <c r="BI1457" s="83" t="s">
        <v>1790</v>
      </c>
    </row>
    <row r="1458" spans="1:100" ht="25.5" x14ac:dyDescent="0.2">
      <c r="A1458" s="176" t="str">
        <f t="shared" si="36"/>
        <v>speedLimitOperational</v>
      </c>
      <c r="B1458" s="11" t="s">
        <v>13035</v>
      </c>
      <c r="C1458" s="173"/>
      <c r="D1458" s="22" t="s">
        <v>13036</v>
      </c>
      <c r="E1458" s="15" t="s">
        <v>13037</v>
      </c>
      <c r="F1458" s="15" t="s">
        <v>13038</v>
      </c>
      <c r="G1458" s="174"/>
      <c r="H1458" s="17" t="s">
        <v>5932</v>
      </c>
      <c r="I1458" s="269"/>
      <c r="J1458" s="369" t="str">
        <f>HYPERLINK("[#]Datatypes!B1231:L1231","Real")</f>
        <v>Real</v>
      </c>
      <c r="K1458" s="271" t="str">
        <f>HYPERLINK("[#]PhysicalQuantities!A48:N48","Speed")</f>
        <v>Speed</v>
      </c>
      <c r="L1458" s="270" t="str">
        <f>HYPERLINK("[#]UnitsOfMeasure!D248:G248","Kilometre per Hour")</f>
        <v>Kilometre per Hour</v>
      </c>
      <c r="M1458" s="272"/>
      <c r="N1458" s="273"/>
      <c r="O1458" s="269"/>
      <c r="P1458" s="37">
        <v>118156</v>
      </c>
      <c r="Q1458" s="36" t="str">
        <f>CONCATENATE(Cover!$D$6,"fdd/view?i=",P1458)</f>
        <v>https://www.dgiwg.org/FAD/fdd/view?i=118156</v>
      </c>
      <c r="R1458" s="13" t="s">
        <v>13034</v>
      </c>
      <c r="S1458" s="172"/>
      <c r="T1458" s="172"/>
      <c r="AP1458" s="81" t="s">
        <v>1790</v>
      </c>
      <c r="AQ1458" s="82" t="s">
        <v>1790</v>
      </c>
      <c r="AR1458" s="82" t="s">
        <v>1790</v>
      </c>
      <c r="AS1458" s="82" t="s">
        <v>1790</v>
      </c>
      <c r="AT1458" s="82" t="s">
        <v>1790</v>
      </c>
      <c r="AU1458" s="82" t="s">
        <v>1790</v>
      </c>
      <c r="CQ1458" s="165" t="s">
        <v>1790</v>
      </c>
    </row>
    <row r="1459" spans="1:100" ht="25.5" x14ac:dyDescent="0.2">
      <c r="A1459" s="176" t="str">
        <f t="shared" si="36"/>
        <v>spillwayHeight</v>
      </c>
      <c r="B1459" s="11" t="s">
        <v>13040</v>
      </c>
      <c r="C1459" s="173"/>
      <c r="D1459" s="22" t="s">
        <v>13041</v>
      </c>
      <c r="E1459" s="15" t="s">
        <v>13042</v>
      </c>
      <c r="F1459" s="174"/>
      <c r="G1459" s="174"/>
      <c r="H1459" s="17" t="s">
        <v>5932</v>
      </c>
      <c r="I1459" s="269"/>
      <c r="J1459" s="369" t="str">
        <f>HYPERLINK("[#]Datatypes!B1231:L1231","Real")</f>
        <v>Real</v>
      </c>
      <c r="K1459" s="271" t="str">
        <f>HYPERLINK("[#]PhysicalQuantities!A20:N20","Length")</f>
        <v>Length</v>
      </c>
      <c r="L1459" s="270" t="str">
        <f>HYPERLINK("[#]UnitsOfMeasure!D80:G80","Metre")</f>
        <v>Metre</v>
      </c>
      <c r="M1459" s="272"/>
      <c r="N1459" s="273"/>
      <c r="O1459" s="269"/>
      <c r="P1459" s="37">
        <v>110709</v>
      </c>
      <c r="Q1459" s="36" t="str">
        <f>CONCATENATE(Cover!$D$6,"fdd/view?i=",P1459)</f>
        <v>https://www.dgiwg.org/FAD/fdd/view?i=110709</v>
      </c>
      <c r="R1459" s="13" t="s">
        <v>13039</v>
      </c>
      <c r="S1459" s="172"/>
      <c r="T1459" s="172"/>
      <c r="BJ1459" s="83" t="s">
        <v>1790</v>
      </c>
      <c r="CQ1459" s="165" t="s">
        <v>1790</v>
      </c>
    </row>
    <row r="1460" spans="1:100" ht="25.5" x14ac:dyDescent="0.2">
      <c r="A1460" s="176" t="str">
        <f t="shared" si="36"/>
        <v>sportType</v>
      </c>
      <c r="B1460" s="11" t="s">
        <v>13044</v>
      </c>
      <c r="C1460" s="173"/>
      <c r="D1460" s="22" t="s">
        <v>13045</v>
      </c>
      <c r="E1460" s="15" t="s">
        <v>13046</v>
      </c>
      <c r="F1460" s="174"/>
      <c r="G1460" s="174"/>
      <c r="H1460" s="17" t="s">
        <v>5932</v>
      </c>
      <c r="I1460" s="269"/>
      <c r="J1460" s="369" t="str">
        <f>HYPERLINK("[#]Datatypes!B1454:L1454","KosCode")</f>
        <v>KosCode</v>
      </c>
      <c r="K1460" s="276"/>
      <c r="L1460" s="272"/>
      <c r="M1460" s="272"/>
      <c r="N1460" s="248" t="str">
        <f>HYPERLINK("[#]DatatypeListedValues!A8723:H8723","&lt;values&gt;")</f>
        <v>&lt;values&gt;</v>
      </c>
      <c r="O1460" s="277" t="b">
        <v>0</v>
      </c>
      <c r="P1460" s="37">
        <v>118620</v>
      </c>
      <c r="Q1460" s="36" t="str">
        <f>CONCATENATE(Cover!$D$6,"fdd/view?i=",P1460)</f>
        <v>https://www.dgiwg.org/FAD/fdd/view?i=118620</v>
      </c>
      <c r="R1460" s="13" t="s">
        <v>13043</v>
      </c>
      <c r="S1460" s="172"/>
      <c r="T1460" s="172"/>
      <c r="AL1460" s="83" t="s">
        <v>1790</v>
      </c>
      <c r="CT1460" s="166" t="s">
        <v>1790</v>
      </c>
    </row>
    <row r="1461" spans="1:100" ht="25.5" x14ac:dyDescent="0.2">
      <c r="A1461" s="176" t="str">
        <f t="shared" si="36"/>
        <v>standardOperatingTimes</v>
      </c>
      <c r="B1461" s="11" t="s">
        <v>13049</v>
      </c>
      <c r="C1461" s="173"/>
      <c r="D1461" s="22" t="s">
        <v>13050</v>
      </c>
      <c r="E1461" s="15" t="s">
        <v>13051</v>
      </c>
      <c r="F1461" s="174"/>
      <c r="G1461" s="174"/>
      <c r="H1461" s="17" t="s">
        <v>5932</v>
      </c>
      <c r="I1461" s="269"/>
      <c r="J1461" s="369" t="str">
        <f>HYPERLINK("[#]Datatypes!B1456:L1456","SopCode")</f>
        <v>SopCode</v>
      </c>
      <c r="K1461" s="276"/>
      <c r="L1461" s="272"/>
      <c r="M1461" s="272"/>
      <c r="N1461" s="248" t="str">
        <f>HYPERLINK("[#]DatatypeListedValues!A8737:H8737","&lt;values&gt;")</f>
        <v>&lt;values&gt;</v>
      </c>
      <c r="O1461" s="277" t="b">
        <v>0</v>
      </c>
      <c r="P1461" s="37">
        <v>119499</v>
      </c>
      <c r="Q1461" s="36" t="str">
        <f>CONCATENATE(Cover!$D$6,"fdd/view?i=",P1461)</f>
        <v>https://www.dgiwg.org/FAD/fdd/view?i=119499</v>
      </c>
      <c r="R1461" s="13" t="s">
        <v>13048</v>
      </c>
      <c r="S1461" s="172"/>
      <c r="T1461" s="172"/>
      <c r="CR1461" s="165" t="s">
        <v>1790</v>
      </c>
      <c r="CT1461" s="166" t="s">
        <v>1790</v>
      </c>
    </row>
    <row r="1462" spans="1:100" ht="25.5" x14ac:dyDescent="0.2">
      <c r="A1462" s="176" t="str">
        <f t="shared" si="36"/>
        <v>stateSeaRelation</v>
      </c>
      <c r="B1462" s="11" t="s">
        <v>13054</v>
      </c>
      <c r="C1462" s="173"/>
      <c r="D1462" s="22" t="s">
        <v>13055</v>
      </c>
      <c r="E1462" s="15" t="s">
        <v>13056</v>
      </c>
      <c r="F1462" s="174"/>
      <c r="G1462" s="174"/>
      <c r="H1462" s="17" t="s">
        <v>5932</v>
      </c>
      <c r="I1462" s="269"/>
      <c r="J1462" s="369" t="str">
        <f>HYPERLINK("[#]Datatypes!B1458:L1458","Ps2Code")</f>
        <v>Ps2Code</v>
      </c>
      <c r="K1462" s="276"/>
      <c r="L1462" s="272"/>
      <c r="M1462" s="272"/>
      <c r="N1462" s="248" t="str">
        <f>HYPERLINK("[#]DatatypeListedValues!A8747:H8747","&lt;values&gt;")</f>
        <v>&lt;values&gt;</v>
      </c>
      <c r="O1462" s="277" t="b">
        <v>0</v>
      </c>
      <c r="P1462" s="37">
        <v>111679</v>
      </c>
      <c r="Q1462" s="36" t="str">
        <f>CONCATENATE(Cover!$D$6,"fdd/view?i=",P1462)</f>
        <v>https://www.dgiwg.org/FAD/fdd/view?i=111679</v>
      </c>
      <c r="R1462" s="13" t="s">
        <v>13053</v>
      </c>
      <c r="S1462" s="172"/>
      <c r="T1462" s="172"/>
      <c r="AM1462" s="83" t="s">
        <v>1790</v>
      </c>
      <c r="CP1462" s="164" t="s">
        <v>1790</v>
      </c>
    </row>
    <row r="1463" spans="1:100" ht="38.25" x14ac:dyDescent="0.2">
      <c r="A1463" s="176" t="str">
        <f t="shared" si="36"/>
        <v>staticWaterLevel</v>
      </c>
      <c r="B1463" s="11" t="s">
        <v>13059</v>
      </c>
      <c r="C1463" s="173"/>
      <c r="D1463" s="22" t="s">
        <v>13060</v>
      </c>
      <c r="E1463" s="15" t="s">
        <v>13061</v>
      </c>
      <c r="F1463" s="15" t="s">
        <v>13062</v>
      </c>
      <c r="G1463" s="174"/>
      <c r="H1463" s="17" t="s">
        <v>5932</v>
      </c>
      <c r="I1463" s="269"/>
      <c r="J1463" s="369" t="str">
        <f>HYPERLINK("[#]Datatypes!B1231:L1231","Real")</f>
        <v>Real</v>
      </c>
      <c r="K1463" s="271" t="str">
        <f>HYPERLINK("[#]PhysicalQuantities!A20:N20","Length")</f>
        <v>Length</v>
      </c>
      <c r="L1463" s="270" t="str">
        <f>HYPERLINK("[#]UnitsOfMeasure!D80:G80","Metre")</f>
        <v>Metre</v>
      </c>
      <c r="M1463" s="272"/>
      <c r="N1463" s="273"/>
      <c r="O1463" s="269"/>
      <c r="P1463" s="37">
        <v>119406</v>
      </c>
      <c r="Q1463" s="36" t="str">
        <f>CONCATENATE(Cover!$D$6,"fdd/view?i=",P1463)</f>
        <v>https://www.dgiwg.org/FAD/fdd/view?i=119406</v>
      </c>
      <c r="R1463" s="13" t="s">
        <v>13058</v>
      </c>
      <c r="S1463" s="172"/>
      <c r="T1463" s="172"/>
      <c r="BP1463" s="82" t="s">
        <v>1790</v>
      </c>
      <c r="CQ1463" s="165" t="s">
        <v>1790</v>
      </c>
    </row>
    <row r="1464" spans="1:100" ht="25.5" x14ac:dyDescent="0.2">
      <c r="A1464" s="176" t="str">
        <f t="shared" si="36"/>
        <v>stationDeclination</v>
      </c>
      <c r="B1464" s="11" t="s">
        <v>13064</v>
      </c>
      <c r="C1464" s="173"/>
      <c r="D1464" s="22" t="s">
        <v>13065</v>
      </c>
      <c r="E1464" s="15" t="s">
        <v>13066</v>
      </c>
      <c r="F1464" s="174"/>
      <c r="G1464" s="15" t="s">
        <v>13067</v>
      </c>
      <c r="H1464" s="17" t="s">
        <v>5932</v>
      </c>
      <c r="I1464" s="269"/>
      <c r="J1464" s="369" t="str">
        <f>HYPERLINK("[#]Datatypes!B1231:L1231","Real")</f>
        <v>Real</v>
      </c>
      <c r="K1464" s="271" t="str">
        <f>HYPERLINK("[#]PhysicalQuantities!A34:N34","Plane Angle")</f>
        <v>Plane Angle</v>
      </c>
      <c r="L1464" s="270" t="str">
        <f>HYPERLINK("[#]UnitsOfMeasure!D159:G159","Arc Degree")</f>
        <v>Arc Degree</v>
      </c>
      <c r="M1464" s="272"/>
      <c r="N1464" s="273"/>
      <c r="O1464" s="269"/>
      <c r="P1464" s="37">
        <v>117549</v>
      </c>
      <c r="Q1464" s="36" t="str">
        <f>CONCATENATE(Cover!$D$6,"fdd/view?i=",P1464)</f>
        <v>https://www.dgiwg.org/FAD/fdd/view?i=117549</v>
      </c>
      <c r="R1464" s="13" t="s">
        <v>13063</v>
      </c>
      <c r="S1464" s="172"/>
      <c r="T1464" s="172"/>
      <c r="CG1464" s="83" t="s">
        <v>1790</v>
      </c>
    </row>
    <row r="1465" spans="1:100" ht="38.25" x14ac:dyDescent="0.2">
      <c r="A1465" s="176" t="str">
        <f t="shared" si="36"/>
        <v>stationDeclinationDateTime</v>
      </c>
      <c r="B1465" s="11" t="s">
        <v>13069</v>
      </c>
      <c r="C1465" s="173"/>
      <c r="D1465" s="22" t="s">
        <v>13070</v>
      </c>
      <c r="E1465" s="15" t="s">
        <v>13071</v>
      </c>
      <c r="F1465" s="15" t="s">
        <v>7752</v>
      </c>
      <c r="G1465" s="174"/>
      <c r="H1465" s="17" t="s">
        <v>5932</v>
      </c>
      <c r="I1465" s="269"/>
      <c r="J1465" s="369" t="str">
        <f>HYPERLINK("[#]Datatypes!B1460:L1460","SddStrucText")</f>
        <v>SddStrucText</v>
      </c>
      <c r="K1465" s="276"/>
      <c r="L1465" s="272"/>
      <c r="M1465" s="272"/>
      <c r="N1465" s="273"/>
      <c r="O1465" s="269"/>
      <c r="P1465" s="37">
        <v>119847</v>
      </c>
      <c r="Q1465" s="36" t="str">
        <f>CONCATENATE(Cover!$D$6,"fdd/view?i=",P1465)</f>
        <v>https://www.dgiwg.org/FAD/fdd/view?i=119847</v>
      </c>
      <c r="R1465" s="13" t="s">
        <v>13068</v>
      </c>
      <c r="S1465" s="172"/>
      <c r="T1465" s="172"/>
      <c r="CG1465" s="83" t="s">
        <v>1790</v>
      </c>
      <c r="CQ1465" s="165" t="s">
        <v>1790</v>
      </c>
      <c r="CR1465" s="165" t="s">
        <v>1790</v>
      </c>
    </row>
    <row r="1466" spans="1:100" ht="25.5" x14ac:dyDescent="0.2">
      <c r="A1466" s="176" t="str">
        <f t="shared" si="36"/>
        <v>stationary</v>
      </c>
      <c r="B1466" s="11" t="s">
        <v>13074</v>
      </c>
      <c r="C1466" s="173"/>
      <c r="D1466" s="22" t="s">
        <v>13075</v>
      </c>
      <c r="E1466" s="15" t="s">
        <v>13076</v>
      </c>
      <c r="F1466" s="174"/>
      <c r="G1466" s="174"/>
      <c r="H1466" s="17" t="s">
        <v>5932</v>
      </c>
      <c r="I1466" s="269"/>
      <c r="J1466" s="369" t="str">
        <f>HYPERLINK("[#]Datatypes!B240:L240","Boolean")</f>
        <v>Boolean</v>
      </c>
      <c r="K1466" s="276"/>
      <c r="L1466" s="272"/>
      <c r="M1466" s="272"/>
      <c r="N1466" s="273"/>
      <c r="O1466" s="269"/>
      <c r="P1466" s="37">
        <v>117798</v>
      </c>
      <c r="Q1466" s="36" t="str">
        <f>CONCATENATE(Cover!$D$6,"fdd/view?i=",P1466)</f>
        <v>https://www.dgiwg.org/FAD/fdd/view?i=117798</v>
      </c>
      <c r="R1466" s="13" t="s">
        <v>13073</v>
      </c>
      <c r="S1466" s="172"/>
      <c r="T1466" s="172"/>
      <c r="CR1466" s="165" t="s">
        <v>1790</v>
      </c>
    </row>
    <row r="1467" spans="1:100" ht="25.5" x14ac:dyDescent="0.2">
      <c r="A1467" s="176" t="str">
        <f t="shared" si="36"/>
        <v>statisticalGeoAreaType</v>
      </c>
      <c r="B1467" s="11" t="s">
        <v>13078</v>
      </c>
      <c r="C1467" s="173"/>
      <c r="D1467" s="22" t="s">
        <v>13079</v>
      </c>
      <c r="E1467" s="15" t="s">
        <v>13080</v>
      </c>
      <c r="F1467" s="174"/>
      <c r="G1467" s="174"/>
      <c r="H1467" s="17" t="s">
        <v>5932</v>
      </c>
      <c r="I1467" s="269"/>
      <c r="J1467" s="369" t="str">
        <f>HYPERLINK("[#]Datatypes!B1462:L1462","SgaCode")</f>
        <v>SgaCode</v>
      </c>
      <c r="K1467" s="276"/>
      <c r="L1467" s="272"/>
      <c r="M1467" s="272"/>
      <c r="N1467" s="248" t="str">
        <f>HYPERLINK("[#]DatatypeListedValues!A8752:H8752","&lt;values&gt;")</f>
        <v>&lt;values&gt;</v>
      </c>
      <c r="O1467" s="277" t="b">
        <v>0</v>
      </c>
      <c r="P1467" s="37">
        <v>119206</v>
      </c>
      <c r="Q1467" s="36" t="str">
        <f>CONCATENATE(Cover!$D$6,"fdd/view?i=",P1467)</f>
        <v>https://www.dgiwg.org/FAD/fdd/view?i=119206</v>
      </c>
      <c r="R1467" s="13" t="s">
        <v>13077</v>
      </c>
      <c r="S1467" s="172"/>
      <c r="T1467" s="172"/>
      <c r="CC1467" s="81" t="s">
        <v>1790</v>
      </c>
      <c r="CT1467" s="166" t="s">
        <v>1790</v>
      </c>
    </row>
    <row r="1468" spans="1:100" ht="51" x14ac:dyDescent="0.2">
      <c r="A1468" s="176" t="str">
        <f t="shared" si="36"/>
        <v>stemDiameter</v>
      </c>
      <c r="B1468" s="11" t="s">
        <v>13083</v>
      </c>
      <c r="C1468" s="173"/>
      <c r="D1468" s="22" t="s">
        <v>13084</v>
      </c>
      <c r="E1468" s="15" t="s">
        <v>13085</v>
      </c>
      <c r="F1468" s="15" t="s">
        <v>13086</v>
      </c>
      <c r="G1468" s="174"/>
      <c r="H1468" s="17" t="s">
        <v>5932</v>
      </c>
      <c r="I1468" s="269"/>
      <c r="J1468" s="369" t="str">
        <f>HYPERLINK("[#]Datatypes!B1233:L1233","RealInterval")</f>
        <v>RealInterval</v>
      </c>
      <c r="K1468" s="271" t="str">
        <f>HYPERLINK("[#]PhysicalQuantities!A20:N20","Length")</f>
        <v>Length</v>
      </c>
      <c r="L1468" s="270" t="str">
        <f>HYPERLINK("[#]UnitsOfMeasure!D80:G80","Metre")</f>
        <v>Metre</v>
      </c>
      <c r="M1468" s="272"/>
      <c r="N1468" s="273"/>
      <c r="O1468" s="269"/>
      <c r="P1468" s="37">
        <v>101279</v>
      </c>
      <c r="Q1468" s="36" t="str">
        <f>CONCATENATE(Cover!$D$6,"fdd/view?i=",P1468)</f>
        <v>https://www.dgiwg.org/FAD/fdd/view?i=101279</v>
      </c>
      <c r="R1468" s="13" t="s">
        <v>13082</v>
      </c>
      <c r="S1468" s="172"/>
      <c r="T1468" s="172"/>
      <c r="BW1468" s="83" t="s">
        <v>1790</v>
      </c>
      <c r="CQ1468" s="165" t="s">
        <v>1790</v>
      </c>
    </row>
    <row r="1469" spans="1:100" ht="25.5" x14ac:dyDescent="0.2">
      <c r="A1469" s="176" t="str">
        <f t="shared" si="36"/>
        <v>storageFacilitiesAvail</v>
      </c>
      <c r="B1469" s="11" t="s">
        <v>13088</v>
      </c>
      <c r="C1469" s="173"/>
      <c r="D1469" s="22" t="s">
        <v>13089</v>
      </c>
      <c r="E1469" s="15" t="s">
        <v>13090</v>
      </c>
      <c r="F1469" s="174"/>
      <c r="G1469" s="174"/>
      <c r="H1469" s="17" t="s">
        <v>5932</v>
      </c>
      <c r="I1469" s="17" t="s">
        <v>6029</v>
      </c>
      <c r="J1469" s="369" t="str">
        <f>HYPERLINK("[#]Datatypes!B1464:L1464","SfaCode")</f>
        <v>SfaCode</v>
      </c>
      <c r="K1469" s="276"/>
      <c r="L1469" s="272"/>
      <c r="M1469" s="272"/>
      <c r="N1469" s="248" t="str">
        <f>HYPERLINK("[#]DatatypeListedValues!A8754:H8754","&lt;values&gt;")</f>
        <v>&lt;values&gt;</v>
      </c>
      <c r="O1469" s="277" t="b">
        <v>0</v>
      </c>
      <c r="P1469" s="37">
        <v>101286</v>
      </c>
      <c r="Q1469" s="36" t="str">
        <f>CONCATENATE(Cover!$D$6,"fdd/view?i=",P1469)</f>
        <v>https://www.dgiwg.org/FAD/fdd/view?i=101286</v>
      </c>
      <c r="R1469" s="13" t="s">
        <v>13087</v>
      </c>
      <c r="S1469" s="172"/>
      <c r="T1469" s="172"/>
      <c r="AG1469" s="82" t="s">
        <v>1790</v>
      </c>
    </row>
    <row r="1470" spans="1:100" ht="25.5" x14ac:dyDescent="0.2">
      <c r="A1470" s="176" t="str">
        <f t="shared" si="36"/>
        <v>straightTunnel</v>
      </c>
      <c r="B1470" s="11" t="s">
        <v>13093</v>
      </c>
      <c r="C1470" s="173"/>
      <c r="D1470" s="22" t="s">
        <v>13094</v>
      </c>
      <c r="E1470" s="15" t="s">
        <v>13095</v>
      </c>
      <c r="F1470" s="174"/>
      <c r="G1470" s="174"/>
      <c r="H1470" s="17" t="s">
        <v>5932</v>
      </c>
      <c r="I1470" s="269"/>
      <c r="J1470" s="369" t="str">
        <f>HYPERLINK("[#]Datatypes!B240:L240","Boolean")</f>
        <v>Boolean</v>
      </c>
      <c r="K1470" s="276"/>
      <c r="L1470" s="272"/>
      <c r="M1470" s="272"/>
      <c r="N1470" s="273"/>
      <c r="O1470" s="269"/>
      <c r="P1470" s="37">
        <v>119517</v>
      </c>
      <c r="Q1470" s="36" t="str">
        <f>CONCATENATE(Cover!$D$6,"fdd/view?i=",P1470)</f>
        <v>https://www.dgiwg.org/FAD/fdd/view?i=119517</v>
      </c>
      <c r="R1470" s="13" t="s">
        <v>13092</v>
      </c>
      <c r="S1470" s="172"/>
      <c r="T1470" s="172"/>
      <c r="AP1470" s="81" t="s">
        <v>1790</v>
      </c>
      <c r="AQ1470" s="82" t="s">
        <v>1790</v>
      </c>
      <c r="AS1470" s="82" t="s">
        <v>1790</v>
      </c>
      <c r="AU1470" s="82" t="s">
        <v>1790</v>
      </c>
      <c r="AW1470" s="82" t="s">
        <v>1790</v>
      </c>
      <c r="CS1470" s="165" t="s">
        <v>1790</v>
      </c>
    </row>
    <row r="1471" spans="1:100" ht="102" x14ac:dyDescent="0.2">
      <c r="A1471" s="176" t="str">
        <f t="shared" si="36"/>
        <v>strainer</v>
      </c>
      <c r="B1471" s="11" t="s">
        <v>13097</v>
      </c>
      <c r="C1471" s="173"/>
      <c r="D1471" s="22" t="s">
        <v>13098</v>
      </c>
      <c r="E1471" s="15" t="s">
        <v>13099</v>
      </c>
      <c r="F1471" s="15" t="s">
        <v>13100</v>
      </c>
      <c r="G1471" s="174"/>
      <c r="H1471" s="17" t="s">
        <v>5932</v>
      </c>
      <c r="I1471" s="269"/>
      <c r="J1471" s="369" t="str">
        <f>HYPERLINK("[#]Datatypes!B240:L240","Boolean")</f>
        <v>Boolean</v>
      </c>
      <c r="K1471" s="276"/>
      <c r="L1471" s="272"/>
      <c r="M1471" s="272"/>
      <c r="N1471" s="273"/>
      <c r="O1471" s="269"/>
      <c r="P1471" s="37">
        <v>114352</v>
      </c>
      <c r="Q1471" s="36" t="str">
        <f>CONCATENATE(Cover!$D$6,"fdd/view?i=",P1471)</f>
        <v>https://www.dgiwg.org/FAD/fdd/view?i=114352</v>
      </c>
      <c r="R1471" s="13" t="s">
        <v>13096</v>
      </c>
      <c r="S1471" s="172"/>
      <c r="T1471" s="172"/>
      <c r="AS1471" s="82" t="s">
        <v>1790</v>
      </c>
      <c r="BF1471" s="83" t="s">
        <v>1790</v>
      </c>
      <c r="BG1471" s="83" t="s">
        <v>1790</v>
      </c>
      <c r="BJ1471" s="83" t="s">
        <v>1790</v>
      </c>
    </row>
    <row r="1472" spans="1:100" ht="76.5" x14ac:dyDescent="0.2">
      <c r="A1472" s="176" t="str">
        <f t="shared" si="36"/>
        <v>streamOrder</v>
      </c>
      <c r="B1472" s="11" t="s">
        <v>13102</v>
      </c>
      <c r="C1472" s="173"/>
      <c r="D1472" s="22" t="s">
        <v>13103</v>
      </c>
      <c r="E1472" s="15" t="s">
        <v>13104</v>
      </c>
      <c r="F1472" s="15" t="s">
        <v>13105</v>
      </c>
      <c r="G1472" s="15" t="s">
        <v>13106</v>
      </c>
      <c r="H1472" s="17" t="s">
        <v>5932</v>
      </c>
      <c r="I1472" s="269"/>
      <c r="J1472" s="369" t="str">
        <f>HYPERLINK("[#]Datatypes!B742:L742","Integer")</f>
        <v>Integer</v>
      </c>
      <c r="K1472" s="271" t="str">
        <f>HYPERLINK("[#]PhysicalQuantities!A39:N39","Pure Number")</f>
        <v>Pure Number</v>
      </c>
      <c r="L1472" s="270" t="str">
        <f>HYPERLINK("[#]UnitsOfMeasure!D213:G213","Unitless")</f>
        <v>Unitless</v>
      </c>
      <c r="M1472" s="272"/>
      <c r="N1472" s="273"/>
      <c r="O1472" s="269"/>
      <c r="P1472" s="37">
        <v>111703</v>
      </c>
      <c r="Q1472" s="36" t="str">
        <f>CONCATENATE(Cover!$D$6,"fdd/view?i=",P1472)</f>
        <v>https://www.dgiwg.org/FAD/fdd/view?i=111703</v>
      </c>
      <c r="R1472" s="13" t="s">
        <v>13101</v>
      </c>
      <c r="S1472" s="172"/>
      <c r="T1472" s="172"/>
      <c r="AM1472" s="83" t="s">
        <v>1790</v>
      </c>
      <c r="CV1472" s="83" t="s">
        <v>1790</v>
      </c>
    </row>
    <row r="1473" spans="1:98" ht="25.5" x14ac:dyDescent="0.2">
      <c r="A1473" s="176" t="str">
        <f t="shared" si="36"/>
        <v>streetSignType</v>
      </c>
      <c r="B1473" s="11" t="s">
        <v>13108</v>
      </c>
      <c r="C1473" s="173"/>
      <c r="D1473" s="22" t="s">
        <v>13109</v>
      </c>
      <c r="E1473" s="15" t="s">
        <v>13110</v>
      </c>
      <c r="F1473" s="174"/>
      <c r="G1473" s="174"/>
      <c r="H1473" s="17" t="s">
        <v>5932</v>
      </c>
      <c r="I1473" s="269"/>
      <c r="J1473" s="369" t="str">
        <f>HYPERLINK("[#]Datatypes!B1466:L1466","SsgCode")</f>
        <v>SsgCode</v>
      </c>
      <c r="K1473" s="276"/>
      <c r="L1473" s="272"/>
      <c r="M1473" s="272"/>
      <c r="N1473" s="248" t="str">
        <f>HYPERLINK("[#]DatatypeListedValues!A8769:H8769","&lt;values&gt;")</f>
        <v>&lt;values&gt;</v>
      </c>
      <c r="O1473" s="277" t="b">
        <v>0</v>
      </c>
      <c r="P1473" s="37">
        <v>118039</v>
      </c>
      <c r="Q1473" s="36" t="str">
        <f>CONCATENATE(Cover!$D$6,"fdd/view?i=",P1473)</f>
        <v>https://www.dgiwg.org/FAD/fdd/view?i=118039</v>
      </c>
      <c r="R1473" s="13" t="s">
        <v>13107</v>
      </c>
      <c r="S1473" s="172"/>
      <c r="T1473" s="172"/>
      <c r="AQ1473" s="82" t="s">
        <v>1790</v>
      </c>
      <c r="CT1473" s="166" t="s">
        <v>1790</v>
      </c>
    </row>
    <row r="1474" spans="1:98" ht="25.5" x14ac:dyDescent="0.2">
      <c r="A1474" s="176" t="str">
        <f t="shared" si="36"/>
        <v>structMatType</v>
      </c>
      <c r="B1474" s="11" t="s">
        <v>13113</v>
      </c>
      <c r="C1474" s="173"/>
      <c r="D1474" s="22" t="s">
        <v>13114</v>
      </c>
      <c r="E1474" s="15" t="s">
        <v>13115</v>
      </c>
      <c r="F1474" s="15" t="s">
        <v>11733</v>
      </c>
      <c r="G1474" s="174"/>
      <c r="H1474" s="17" t="s">
        <v>5932</v>
      </c>
      <c r="I1474" s="17" t="s">
        <v>6029</v>
      </c>
      <c r="J1474" s="369" t="str">
        <f>HYPERLINK("[#]Datatypes!B1468:L1468","MccCode")</f>
        <v>MccCode</v>
      </c>
      <c r="K1474" s="276"/>
      <c r="L1474" s="272"/>
      <c r="M1474" s="272"/>
      <c r="N1474" s="248" t="str">
        <f>HYPERLINK("[#]DatatypeListedValues!A8779:H8779","&lt;values&gt;")</f>
        <v>&lt;values&gt;</v>
      </c>
      <c r="O1474" s="277" t="b">
        <v>0</v>
      </c>
      <c r="P1474" s="37">
        <v>101031</v>
      </c>
      <c r="Q1474" s="36" t="str">
        <f>CONCATENATE(Cover!$D$6,"fdd/view?i=",P1474)</f>
        <v>https://www.dgiwg.org/FAD/fdd/view?i=101031</v>
      </c>
      <c r="R1474" s="13" t="s">
        <v>13112</v>
      </c>
      <c r="S1474" s="172"/>
      <c r="T1474" s="172"/>
      <c r="CS1474" s="165" t="s">
        <v>1790</v>
      </c>
    </row>
    <row r="1475" spans="1:98" ht="89.25" x14ac:dyDescent="0.2">
      <c r="A1475" s="176" t="str">
        <f t="shared" ref="A1475:A1538" si="37">HYPERLINK(Q1475,R1475)</f>
        <v>structurallyDissected</v>
      </c>
      <c r="B1475" s="11" t="s">
        <v>13118</v>
      </c>
      <c r="C1475" s="173"/>
      <c r="D1475" s="22" t="s">
        <v>13119</v>
      </c>
      <c r="E1475" s="15" t="s">
        <v>13120</v>
      </c>
      <c r="F1475" s="15" t="s">
        <v>13121</v>
      </c>
      <c r="G1475" s="174"/>
      <c r="H1475" s="17" t="s">
        <v>5932</v>
      </c>
      <c r="I1475" s="269"/>
      <c r="J1475" s="369" t="str">
        <f>HYPERLINK("[#]Datatypes!B240:L240","Boolean")</f>
        <v>Boolean</v>
      </c>
      <c r="K1475" s="276"/>
      <c r="L1475" s="272"/>
      <c r="M1475" s="272"/>
      <c r="N1475" s="273"/>
      <c r="O1475" s="269"/>
      <c r="P1475" s="37">
        <v>119519</v>
      </c>
      <c r="Q1475" s="36" t="str">
        <f>CONCATENATE(Cover!$D$6,"fdd/view?i=",P1475)</f>
        <v>https://www.dgiwg.org/FAD/fdd/view?i=119519</v>
      </c>
      <c r="R1475" s="13" t="s">
        <v>13117</v>
      </c>
      <c r="S1475" s="172"/>
      <c r="T1475" s="172"/>
      <c r="AJ1475" s="83" t="s">
        <v>1790</v>
      </c>
      <c r="CS1475" s="165" t="s">
        <v>1790</v>
      </c>
    </row>
    <row r="1476" spans="1:98" ht="51" x14ac:dyDescent="0.2">
      <c r="A1476" s="176" t="str">
        <f t="shared" si="37"/>
        <v>structureDensity</v>
      </c>
      <c r="B1476" s="11" t="s">
        <v>13123</v>
      </c>
      <c r="C1476" s="173"/>
      <c r="D1476" s="22" t="s">
        <v>13124</v>
      </c>
      <c r="E1476" s="15" t="s">
        <v>13125</v>
      </c>
      <c r="F1476" s="15" t="s">
        <v>13126</v>
      </c>
      <c r="G1476" s="174"/>
      <c r="H1476" s="17" t="s">
        <v>5932</v>
      </c>
      <c r="I1476" s="269"/>
      <c r="J1476" s="369" t="str">
        <f>HYPERLINK("[#]Datatypes!B1233:L1233","RealInterval")</f>
        <v>RealInterval</v>
      </c>
      <c r="K1476" s="271" t="str">
        <f>HYPERLINK("[#]PhysicalQuantities!A39:N39","Pure Number")</f>
        <v>Pure Number</v>
      </c>
      <c r="L1476" s="270" t="str">
        <f>HYPERLINK("[#]UnitsOfMeasure!D213:G213","Unitless")</f>
        <v>Unitless</v>
      </c>
      <c r="M1476" s="272"/>
      <c r="N1476" s="273"/>
      <c r="O1476" s="269"/>
      <c r="P1476" s="37">
        <v>110695</v>
      </c>
      <c r="Q1476" s="36" t="str">
        <f>CONCATENATE(Cover!$D$6,"fdd/view?i=",P1476)</f>
        <v>https://www.dgiwg.org/FAD/fdd/view?i=110695</v>
      </c>
      <c r="R1476" s="13" t="s">
        <v>13122</v>
      </c>
      <c r="S1476" s="172"/>
      <c r="T1476" s="172"/>
      <c r="AI1476" s="87" t="s">
        <v>1790</v>
      </c>
      <c r="AJ1476" s="83" t="s">
        <v>1790</v>
      </c>
      <c r="CQ1476" s="165" t="s">
        <v>1790</v>
      </c>
    </row>
    <row r="1477" spans="1:98" ht="25.5" x14ac:dyDescent="0.2">
      <c r="A1477" s="176" t="str">
        <f t="shared" si="37"/>
        <v>structureShape</v>
      </c>
      <c r="B1477" s="11" t="s">
        <v>13128</v>
      </c>
      <c r="C1477" s="173"/>
      <c r="D1477" s="22" t="s">
        <v>13129</v>
      </c>
      <c r="E1477" s="15" t="s">
        <v>13130</v>
      </c>
      <c r="F1477" s="174"/>
      <c r="G1477" s="174"/>
      <c r="H1477" s="17" t="s">
        <v>5932</v>
      </c>
      <c r="I1477" s="269"/>
      <c r="J1477" s="369" t="str">
        <f>HYPERLINK("[#]Datatypes!B1470:L1470","SscCode")</f>
        <v>SscCode</v>
      </c>
      <c r="K1477" s="276"/>
      <c r="L1477" s="272"/>
      <c r="M1477" s="272"/>
      <c r="N1477" s="248" t="str">
        <f>HYPERLINK("[#]DatatypeListedValues!A8912:H8912","&lt;values&gt;")</f>
        <v>&lt;values&gt;</v>
      </c>
      <c r="O1477" s="277" t="b">
        <v>0</v>
      </c>
      <c r="P1477" s="37">
        <v>101329</v>
      </c>
      <c r="Q1477" s="36" t="str">
        <f>CONCATENATE(Cover!$D$6,"fdd/view?i=",P1477)</f>
        <v>https://www.dgiwg.org/FAD/fdd/view?i=101329</v>
      </c>
      <c r="R1477" s="13" t="s">
        <v>13127</v>
      </c>
      <c r="S1477" s="172"/>
      <c r="T1477" s="172"/>
      <c r="CS1477" s="165" t="s">
        <v>1790</v>
      </c>
    </row>
    <row r="1478" spans="1:98" ht="25.5" x14ac:dyDescent="0.2">
      <c r="A1478" s="176" t="str">
        <f t="shared" si="37"/>
        <v>submarineAcousticSigType</v>
      </c>
      <c r="B1478" s="11" t="s">
        <v>13133</v>
      </c>
      <c r="C1478" s="173"/>
      <c r="D1478" s="22" t="s">
        <v>13134</v>
      </c>
      <c r="E1478" s="15" t="s">
        <v>13135</v>
      </c>
      <c r="F1478" s="174"/>
      <c r="G1478" s="174"/>
      <c r="H1478" s="17" t="s">
        <v>5932</v>
      </c>
      <c r="I1478" s="269"/>
      <c r="J1478" s="369" t="str">
        <f>HYPERLINK("[#]Datatypes!B1472:L1472","SasCode")</f>
        <v>SasCode</v>
      </c>
      <c r="K1478" s="276"/>
      <c r="L1478" s="272"/>
      <c r="M1478" s="272"/>
      <c r="N1478" s="248" t="str">
        <f>HYPERLINK("[#]DatatypeListedValues!A8944:H8944","&lt;values&gt;")</f>
        <v>&lt;values&gt;</v>
      </c>
      <c r="O1478" s="277" t="b">
        <v>0</v>
      </c>
      <c r="P1478" s="37">
        <v>109982</v>
      </c>
      <c r="Q1478" s="36" t="str">
        <f>CONCATENATE(Cover!$D$6,"fdd/view?i=",P1478)</f>
        <v>https://www.dgiwg.org/FAD/fdd/view?i=109982</v>
      </c>
      <c r="R1478" s="13" t="s">
        <v>13132</v>
      </c>
      <c r="S1478" s="172"/>
      <c r="T1478" s="172"/>
      <c r="AS1478" s="82" t="s">
        <v>1790</v>
      </c>
      <c r="BF1478" s="83" t="s">
        <v>1790</v>
      </c>
      <c r="CT1478" s="166" t="s">
        <v>1790</v>
      </c>
    </row>
    <row r="1479" spans="1:98" ht="38.25" x14ac:dyDescent="0.2">
      <c r="A1479" s="176" t="str">
        <f t="shared" si="37"/>
        <v>submarineLikeObject</v>
      </c>
      <c r="B1479" s="11" t="s">
        <v>13138</v>
      </c>
      <c r="C1479" s="173"/>
      <c r="D1479" s="22" t="s">
        <v>13139</v>
      </c>
      <c r="E1479" s="15" t="s">
        <v>13140</v>
      </c>
      <c r="F1479" s="174"/>
      <c r="G1479" s="174"/>
      <c r="H1479" s="17" t="s">
        <v>5932</v>
      </c>
      <c r="I1479" s="269"/>
      <c r="J1479" s="369" t="str">
        <f>HYPERLINK("[#]Datatypes!B240:L240","Boolean")</f>
        <v>Boolean</v>
      </c>
      <c r="K1479" s="276"/>
      <c r="L1479" s="272"/>
      <c r="M1479" s="272"/>
      <c r="N1479" s="273"/>
      <c r="O1479" s="269"/>
      <c r="P1479" s="37">
        <v>118152</v>
      </c>
      <c r="Q1479" s="36" t="str">
        <f>CONCATENATE(Cover!$D$6,"fdd/view?i=",P1479)</f>
        <v>https://www.dgiwg.org/FAD/fdd/view?i=118152</v>
      </c>
      <c r="R1479" s="13" t="s">
        <v>13137</v>
      </c>
      <c r="S1479" s="172"/>
      <c r="T1479" s="172"/>
      <c r="BC1479" s="83" t="s">
        <v>1790</v>
      </c>
      <c r="BG1479" s="83" t="s">
        <v>1790</v>
      </c>
      <c r="CT1479" s="166" t="s">
        <v>1790</v>
      </c>
    </row>
    <row r="1480" spans="1:98" x14ac:dyDescent="0.2">
      <c r="A1480" s="176" t="str">
        <f t="shared" si="37"/>
        <v>substationType</v>
      </c>
      <c r="B1480" s="11" t="s">
        <v>13142</v>
      </c>
      <c r="C1480" s="173"/>
      <c r="D1480" s="22" t="s">
        <v>13143</v>
      </c>
      <c r="E1480" s="15" t="s">
        <v>13144</v>
      </c>
      <c r="F1480" s="174"/>
      <c r="G1480" s="174"/>
      <c r="H1480" s="17" t="s">
        <v>5932</v>
      </c>
      <c r="I1480" s="17" t="s">
        <v>6029</v>
      </c>
      <c r="J1480" s="369" t="str">
        <f>HYPERLINK("[#]Datatypes!B1474:L1474","SbtCode")</f>
        <v>SbtCode</v>
      </c>
      <c r="K1480" s="276"/>
      <c r="L1480" s="272"/>
      <c r="M1480" s="272"/>
      <c r="N1480" s="248" t="str">
        <f>HYPERLINK("[#]DatatypeListedValues!A8947:H8947","&lt;values&gt;")</f>
        <v>&lt;values&gt;</v>
      </c>
      <c r="O1480" s="277" t="b">
        <v>0</v>
      </c>
      <c r="P1480" s="37">
        <v>101264</v>
      </c>
      <c r="Q1480" s="36" t="str">
        <f>CONCATENATE(Cover!$D$6,"fdd/view?i=",P1480)</f>
        <v>https://www.dgiwg.org/FAD/fdd/view?i=101264</v>
      </c>
      <c r="R1480" s="13" t="s">
        <v>13141</v>
      </c>
      <c r="S1480" s="172"/>
      <c r="T1480" s="172"/>
      <c r="AD1480" s="82" t="s">
        <v>1790</v>
      </c>
      <c r="CT1480" s="166" t="s">
        <v>1790</v>
      </c>
    </row>
    <row r="1481" spans="1:98" ht="25.5" x14ac:dyDescent="0.2">
      <c r="A1481" s="176" t="str">
        <f t="shared" si="37"/>
        <v>subsurfaceBurialProcess</v>
      </c>
      <c r="B1481" s="11" t="s">
        <v>13147</v>
      </c>
      <c r="C1481" s="173"/>
      <c r="D1481" s="22" t="s">
        <v>13148</v>
      </c>
      <c r="E1481" s="15" t="s">
        <v>13149</v>
      </c>
      <c r="F1481" s="174"/>
      <c r="G1481" s="174"/>
      <c r="H1481" s="17" t="s">
        <v>5932</v>
      </c>
      <c r="I1481" s="269"/>
      <c r="J1481" s="369" t="str">
        <f>HYPERLINK("[#]Datatypes!B1476:L1476","SubCode")</f>
        <v>SubCode</v>
      </c>
      <c r="K1481" s="276"/>
      <c r="L1481" s="272"/>
      <c r="M1481" s="272"/>
      <c r="N1481" s="248" t="str">
        <f>HYPERLINK("[#]DatatypeListedValues!A8950:H8950","&lt;values&gt;")</f>
        <v>&lt;values&gt;</v>
      </c>
      <c r="O1481" s="277" t="b">
        <v>0</v>
      </c>
      <c r="P1481" s="37">
        <v>114488</v>
      </c>
      <c r="Q1481" s="36" t="str">
        <f>CONCATENATE(Cover!$D$6,"fdd/view?i=",P1481)</f>
        <v>https://www.dgiwg.org/FAD/fdd/view?i=114488</v>
      </c>
      <c r="R1481" s="13" t="s">
        <v>13146</v>
      </c>
      <c r="S1481" s="172"/>
      <c r="T1481" s="172"/>
      <c r="BC1481" s="83" t="s">
        <v>1790</v>
      </c>
      <c r="CS1481" s="165" t="s">
        <v>1790</v>
      </c>
    </row>
    <row r="1482" spans="1:98" ht="25.5" x14ac:dyDescent="0.2">
      <c r="A1482" s="176" t="str">
        <f t="shared" si="37"/>
        <v>sulfateConcentration</v>
      </c>
      <c r="B1482" s="11" t="s">
        <v>13152</v>
      </c>
      <c r="C1482" s="173"/>
      <c r="D1482" s="22" t="s">
        <v>13153</v>
      </c>
      <c r="E1482" s="15" t="s">
        <v>13154</v>
      </c>
      <c r="F1482" s="174"/>
      <c r="G1482" s="174"/>
      <c r="H1482" s="17" t="s">
        <v>5932</v>
      </c>
      <c r="I1482" s="269"/>
      <c r="J1482" s="369" t="str">
        <f>HYPERLINK("[#]Datatypes!B1231:L1231","Real")</f>
        <v>Real</v>
      </c>
      <c r="K1482" s="271" t="str">
        <f>HYPERLINK("[#]PhysicalQuantities!A29:N29","Mass Density")</f>
        <v>Mass Density</v>
      </c>
      <c r="L1482" s="270" t="str">
        <f>HYPERLINK("[#]UnitsOfMeasure!D140:G140","Gram per cubic Metre")</f>
        <v>Gram per cubic Metre</v>
      </c>
      <c r="M1482" s="272"/>
      <c r="N1482" s="273"/>
      <c r="O1482" s="269"/>
      <c r="P1482" s="37">
        <v>119405</v>
      </c>
      <c r="Q1482" s="36" t="str">
        <f>CONCATENATE(Cover!$D$6,"fdd/view?i=",P1482)</f>
        <v>https://www.dgiwg.org/FAD/fdd/view?i=119405</v>
      </c>
      <c r="R1482" s="13" t="s">
        <v>13151</v>
      </c>
      <c r="S1482" s="172"/>
      <c r="T1482" s="172"/>
      <c r="BK1482" s="89" t="s">
        <v>1790</v>
      </c>
      <c r="BP1482" s="82" t="s">
        <v>1790</v>
      </c>
      <c r="CQ1482" s="165" t="s">
        <v>1790</v>
      </c>
    </row>
    <row r="1483" spans="1:98" ht="25.5" x14ac:dyDescent="0.2">
      <c r="A1483" s="176" t="str">
        <f t="shared" si="37"/>
        <v>summerCanopyCover</v>
      </c>
      <c r="B1483" s="11" t="s">
        <v>13156</v>
      </c>
      <c r="C1483" s="173"/>
      <c r="D1483" s="22" t="s">
        <v>13157</v>
      </c>
      <c r="E1483" s="15" t="s">
        <v>13158</v>
      </c>
      <c r="F1483" s="15" t="s">
        <v>7324</v>
      </c>
      <c r="G1483" s="174"/>
      <c r="H1483" s="17" t="s">
        <v>5932</v>
      </c>
      <c r="I1483" s="269"/>
      <c r="J1483" s="369" t="str">
        <f>HYPERLINK("[#]Datatypes!B1238:L1238","RealNonNegInterval100")</f>
        <v>RealNonNegInterval100</v>
      </c>
      <c r="K1483" s="271" t="str">
        <f>HYPERLINK("[#]PhysicalQuantities!A39:N39","Pure Number")</f>
        <v>Pure Number</v>
      </c>
      <c r="L1483" s="270" t="str">
        <f>HYPERLINK("[#]UnitsOfMeasure!D215:G215","Percent")</f>
        <v>Percent</v>
      </c>
      <c r="M1483" s="272"/>
      <c r="N1483" s="273"/>
      <c r="O1483" s="269"/>
      <c r="P1483" s="37">
        <v>110726</v>
      </c>
      <c r="Q1483" s="36" t="str">
        <f>CONCATENATE(Cover!$D$6,"fdd/view?i=",P1483)</f>
        <v>https://www.dgiwg.org/FAD/fdd/view?i=110726</v>
      </c>
      <c r="R1483" s="13" t="s">
        <v>13155</v>
      </c>
      <c r="S1483" s="172"/>
      <c r="T1483" s="172"/>
      <c r="BW1483" s="83" t="s">
        <v>1790</v>
      </c>
      <c r="CS1483" s="165" t="s">
        <v>1790</v>
      </c>
    </row>
    <row r="1484" spans="1:98" ht="38.25" x14ac:dyDescent="0.2">
      <c r="A1484" s="176" t="str">
        <f t="shared" si="37"/>
        <v>supported</v>
      </c>
      <c r="B1484" s="11" t="s">
        <v>13160</v>
      </c>
      <c r="C1484" s="173"/>
      <c r="D1484" s="22" t="s">
        <v>13161</v>
      </c>
      <c r="E1484" s="15" t="s">
        <v>13162</v>
      </c>
      <c r="F1484" s="15" t="s">
        <v>13163</v>
      </c>
      <c r="G1484" s="174"/>
      <c r="H1484" s="17" t="s">
        <v>5932</v>
      </c>
      <c r="I1484" s="269"/>
      <c r="J1484" s="369" t="str">
        <f>HYPERLINK("[#]Datatypes!B240:L240","Boolean")</f>
        <v>Boolean</v>
      </c>
      <c r="K1484" s="276"/>
      <c r="L1484" s="272"/>
      <c r="M1484" s="272"/>
      <c r="N1484" s="273"/>
      <c r="O1484" s="269"/>
      <c r="P1484" s="37">
        <v>111726</v>
      </c>
      <c r="Q1484" s="36" t="str">
        <f>CONCATENATE(Cover!$D$6,"fdd/view?i=",P1484)</f>
        <v>https://www.dgiwg.org/FAD/fdd/view?i=111726</v>
      </c>
      <c r="R1484" s="13" t="s">
        <v>13159</v>
      </c>
      <c r="S1484" s="172"/>
      <c r="T1484" s="172"/>
      <c r="CS1484" s="165" t="s">
        <v>1790</v>
      </c>
    </row>
    <row r="1485" spans="1:98" ht="25.5" x14ac:dyDescent="0.2">
      <c r="A1485" s="176" t="str">
        <f t="shared" si="37"/>
        <v>supportedByBridgeSpan</v>
      </c>
      <c r="B1485" s="11" t="s">
        <v>13165</v>
      </c>
      <c r="C1485" s="173"/>
      <c r="D1485" s="22" t="s">
        <v>13166</v>
      </c>
      <c r="E1485" s="15" t="s">
        <v>13167</v>
      </c>
      <c r="F1485" s="15" t="s">
        <v>13168</v>
      </c>
      <c r="G1485" s="174"/>
      <c r="H1485" s="17" t="s">
        <v>5932</v>
      </c>
      <c r="I1485" s="269"/>
      <c r="J1485" s="369" t="str">
        <f>HYPERLINK("[#]Datatypes!B240:L240","Boolean")</f>
        <v>Boolean</v>
      </c>
      <c r="K1485" s="276"/>
      <c r="L1485" s="272"/>
      <c r="M1485" s="272"/>
      <c r="N1485" s="273"/>
      <c r="O1485" s="269"/>
      <c r="P1485" s="37">
        <v>111712</v>
      </c>
      <c r="Q1485" s="36" t="str">
        <f>CONCATENATE(Cover!$D$6,"fdd/view?i=",P1485)</f>
        <v>https://www.dgiwg.org/FAD/fdd/view?i=111712</v>
      </c>
      <c r="R1485" s="13" t="s">
        <v>13164</v>
      </c>
      <c r="S1485" s="172"/>
      <c r="T1485" s="172"/>
      <c r="AV1485" s="82" t="s">
        <v>1790</v>
      </c>
      <c r="CS1485" s="165" t="s">
        <v>1790</v>
      </c>
    </row>
    <row r="1486" spans="1:98" ht="25.5" x14ac:dyDescent="0.2">
      <c r="A1486" s="176" t="str">
        <f t="shared" si="37"/>
        <v>surfaceDetectionStationType</v>
      </c>
      <c r="B1486" s="11" t="s">
        <v>13170</v>
      </c>
      <c r="C1486" s="173"/>
      <c r="D1486" s="22" t="s">
        <v>13171</v>
      </c>
      <c r="E1486" s="15" t="s">
        <v>13172</v>
      </c>
      <c r="F1486" s="174"/>
      <c r="G1486" s="174"/>
      <c r="H1486" s="17" t="s">
        <v>5932</v>
      </c>
      <c r="I1486" s="269"/>
      <c r="J1486" s="369" t="str">
        <f>HYPERLINK("[#]Datatypes!B1478:L1478","SdyCode")</f>
        <v>SdyCode</v>
      </c>
      <c r="K1486" s="276"/>
      <c r="L1486" s="272"/>
      <c r="M1486" s="272"/>
      <c r="N1486" s="248" t="str">
        <f>HYPERLINK("[#]DatatypeListedValues!A8955:H8955","&lt;values&gt;")</f>
        <v>&lt;values&gt;</v>
      </c>
      <c r="O1486" s="277" t="b">
        <v>0</v>
      </c>
      <c r="P1486" s="37">
        <v>119804</v>
      </c>
      <c r="Q1486" s="36" t="str">
        <f>CONCATENATE(Cover!$D$6,"fdd/view?i=",P1486)</f>
        <v>https://www.dgiwg.org/FAD/fdd/view?i=119804</v>
      </c>
      <c r="R1486" s="13" t="s">
        <v>13169</v>
      </c>
      <c r="S1486" s="172"/>
      <c r="T1486" s="172"/>
      <c r="AT1486" s="82" t="s">
        <v>1790</v>
      </c>
      <c r="CG1486" s="83" t="s">
        <v>1790</v>
      </c>
      <c r="CH1486" s="83" t="s">
        <v>1790</v>
      </c>
      <c r="CT1486" s="166" t="s">
        <v>1790</v>
      </c>
    </row>
    <row r="1487" spans="1:98" ht="38.25" x14ac:dyDescent="0.2">
      <c r="A1487" s="176" t="str">
        <f t="shared" si="37"/>
        <v>surfaceMaterialType</v>
      </c>
      <c r="B1487" s="11" t="s">
        <v>13175</v>
      </c>
      <c r="C1487" s="173"/>
      <c r="D1487" s="22" t="s">
        <v>13176</v>
      </c>
      <c r="E1487" s="15" t="s">
        <v>13177</v>
      </c>
      <c r="F1487" s="15" t="s">
        <v>13178</v>
      </c>
      <c r="G1487" s="174"/>
      <c r="H1487" s="17" t="s">
        <v>5932</v>
      </c>
      <c r="I1487" s="17" t="s">
        <v>6029</v>
      </c>
      <c r="J1487" s="369" t="str">
        <f>HYPERLINK("[#]Datatypes!B1480:L1480","SmcCode")</f>
        <v>SmcCode</v>
      </c>
      <c r="K1487" s="276"/>
      <c r="L1487" s="272"/>
      <c r="M1487" s="272"/>
      <c r="N1487" s="248" t="str">
        <f>HYPERLINK("[#]DatatypeListedValues!A8957:H8957","&lt;values&gt;")</f>
        <v>&lt;values&gt;</v>
      </c>
      <c r="O1487" s="277" t="b">
        <v>0</v>
      </c>
      <c r="P1487" s="37">
        <v>101309</v>
      </c>
      <c r="Q1487" s="36" t="str">
        <f>CONCATENATE(Cover!$D$6,"fdd/view?i=",P1487)</f>
        <v>https://www.dgiwg.org/FAD/fdd/view?i=101309</v>
      </c>
      <c r="R1487" s="13" t="s">
        <v>13174</v>
      </c>
      <c r="S1487" s="172"/>
      <c r="T1487" s="172"/>
      <c r="CS1487" s="165" t="s">
        <v>1790</v>
      </c>
    </row>
    <row r="1488" spans="1:98" ht="140.25" x14ac:dyDescent="0.2">
      <c r="A1488" s="176" t="str">
        <f t="shared" si="37"/>
        <v>surfaceSlope</v>
      </c>
      <c r="B1488" s="11" t="s">
        <v>13181</v>
      </c>
      <c r="C1488" s="173"/>
      <c r="D1488" s="22" t="s">
        <v>13182</v>
      </c>
      <c r="E1488" s="15" t="s">
        <v>13183</v>
      </c>
      <c r="F1488" s="15" t="s">
        <v>13184</v>
      </c>
      <c r="G1488" s="174"/>
      <c r="H1488" s="17" t="s">
        <v>5932</v>
      </c>
      <c r="I1488" s="269"/>
      <c r="J1488" s="369" t="str">
        <f>HYPERLINK("[#]Datatypes!B1233:L1233","RealInterval")</f>
        <v>RealInterval</v>
      </c>
      <c r="K1488" s="271" t="str">
        <f>HYPERLINK("[#]PhysicalQuantities!A39:N39","Pure Number")</f>
        <v>Pure Number</v>
      </c>
      <c r="L1488" s="270" t="str">
        <f>HYPERLINK("[#]UnitsOfMeasure!D215:G215","Percent")</f>
        <v>Percent</v>
      </c>
      <c r="M1488" s="272"/>
      <c r="N1488" s="273"/>
      <c r="O1488" s="269"/>
      <c r="P1488" s="37">
        <v>110719</v>
      </c>
      <c r="Q1488" s="36" t="str">
        <f>CONCATENATE(Cover!$D$6,"fdd/view?i=",P1488)</f>
        <v>https://www.dgiwg.org/FAD/fdd/view?i=110719</v>
      </c>
      <c r="R1488" s="13" t="s">
        <v>13180</v>
      </c>
      <c r="S1488" s="172"/>
      <c r="T1488" s="172"/>
      <c r="BM1488" s="82" t="s">
        <v>1790</v>
      </c>
      <c r="CP1488" s="164" t="s">
        <v>1790</v>
      </c>
    </row>
    <row r="1489" spans="1:104" ht="89.25" x14ac:dyDescent="0.2">
      <c r="A1489" s="176" t="str">
        <f t="shared" si="37"/>
        <v>surfaceWaveMagnitude</v>
      </c>
      <c r="B1489" s="11" t="s">
        <v>13186</v>
      </c>
      <c r="C1489" s="173"/>
      <c r="D1489" s="22" t="s">
        <v>13187</v>
      </c>
      <c r="E1489" s="15" t="s">
        <v>13188</v>
      </c>
      <c r="F1489" s="15" t="s">
        <v>13189</v>
      </c>
      <c r="G1489" s="174"/>
      <c r="H1489" s="17" t="s">
        <v>5932</v>
      </c>
      <c r="I1489" s="269"/>
      <c r="J1489" s="369" t="str">
        <f>HYPERLINK("[#]Datatypes!B1231:L1231","Real")</f>
        <v>Real</v>
      </c>
      <c r="K1489" s="271" t="str">
        <f>HYPERLINK("[#]PhysicalQuantities!A39:N39","Pure Number")</f>
        <v>Pure Number</v>
      </c>
      <c r="L1489" s="270" t="str">
        <f>HYPERLINK("[#]UnitsOfMeasure!D213:G213","Unitless")</f>
        <v>Unitless</v>
      </c>
      <c r="M1489" s="272"/>
      <c r="N1489" s="273"/>
      <c r="O1489" s="269"/>
      <c r="P1489" s="37">
        <v>118575</v>
      </c>
      <c r="Q1489" s="36" t="str">
        <f>CONCATENATE(Cover!$D$6,"fdd/view?i=",P1489)</f>
        <v>https://www.dgiwg.org/FAD/fdd/view?i=118575</v>
      </c>
      <c r="R1489" s="13" t="s">
        <v>13185</v>
      </c>
      <c r="S1489" s="172"/>
      <c r="T1489" s="172"/>
      <c r="BQ1489" s="82" t="s">
        <v>1790</v>
      </c>
      <c r="CQ1489" s="165" t="s">
        <v>1790</v>
      </c>
      <c r="CS1489" s="165" t="s">
        <v>1790</v>
      </c>
    </row>
    <row r="1490" spans="1:104" ht="25.5" x14ac:dyDescent="0.2">
      <c r="A1490" s="176" t="str">
        <f t="shared" si="37"/>
        <v>surveyControlPointType</v>
      </c>
      <c r="B1490" s="11" t="s">
        <v>13191</v>
      </c>
      <c r="C1490" s="173"/>
      <c r="D1490" s="22" t="s">
        <v>13192</v>
      </c>
      <c r="E1490" s="15" t="s">
        <v>13193</v>
      </c>
      <c r="F1490" s="174"/>
      <c r="G1490" s="174"/>
      <c r="H1490" s="17" t="s">
        <v>5932</v>
      </c>
      <c r="I1490" s="269"/>
      <c r="J1490" s="369" t="str">
        <f>HYPERLINK("[#]Datatypes!B1482:L1482","CpaCode")</f>
        <v>CpaCode</v>
      </c>
      <c r="K1490" s="276"/>
      <c r="L1490" s="272"/>
      <c r="M1490" s="272"/>
      <c r="N1490" s="248" t="str">
        <f>HYPERLINK("[#]DatatypeListedValues!A9078:H9078","&lt;values&gt;")</f>
        <v>&lt;values&gt;</v>
      </c>
      <c r="O1490" s="277" t="b">
        <v>0</v>
      </c>
      <c r="P1490" s="37">
        <v>100759</v>
      </c>
      <c r="Q1490" s="36" t="str">
        <f>CONCATENATE(Cover!$D$6,"fdd/view?i=",P1490)</f>
        <v>https://www.dgiwg.org/FAD/fdd/view?i=100759</v>
      </c>
      <c r="R1490" s="13" t="s">
        <v>13190</v>
      </c>
      <c r="S1490" s="172"/>
      <c r="T1490" s="172"/>
      <c r="CD1490" s="85" t="s">
        <v>1790</v>
      </c>
      <c r="CT1490" s="166" t="s">
        <v>1790</v>
      </c>
    </row>
    <row r="1491" spans="1:104" ht="25.5" x14ac:dyDescent="0.2">
      <c r="A1491" s="176" t="str">
        <f t="shared" si="37"/>
        <v>surveyCoverageCategory</v>
      </c>
      <c r="B1491" s="11" t="s">
        <v>13196</v>
      </c>
      <c r="C1491" s="173"/>
      <c r="D1491" s="22" t="s">
        <v>13197</v>
      </c>
      <c r="E1491" s="15" t="s">
        <v>13198</v>
      </c>
      <c r="F1491" s="15" t="s">
        <v>13199</v>
      </c>
      <c r="G1491" s="174"/>
      <c r="H1491" s="17" t="s">
        <v>5932</v>
      </c>
      <c r="I1491" s="269"/>
      <c r="J1491" s="369" t="str">
        <f>HYPERLINK("[#]Datatypes!B1484:L1484","SurCode")</f>
        <v>SurCode</v>
      </c>
      <c r="K1491" s="276"/>
      <c r="L1491" s="272"/>
      <c r="M1491" s="272"/>
      <c r="N1491" s="248" t="str">
        <f>HYPERLINK("[#]DatatypeListedValues!A9091:H9091","&lt;values&gt;")</f>
        <v>&lt;values&gt;</v>
      </c>
      <c r="O1491" s="277" t="b">
        <v>0</v>
      </c>
      <c r="P1491" s="37">
        <v>101346</v>
      </c>
      <c r="Q1491" s="36" t="str">
        <f>CONCATENATE(Cover!$D$6,"fdd/view?i=",P1491)</f>
        <v>https://www.dgiwg.org/FAD/fdd/view?i=101346</v>
      </c>
      <c r="R1491" s="13" t="s">
        <v>13195</v>
      </c>
      <c r="S1491" s="172"/>
      <c r="T1491" s="172"/>
      <c r="CD1491" s="85" t="s">
        <v>1790</v>
      </c>
      <c r="CZ1491" s="165" t="s">
        <v>1790</v>
      </c>
    </row>
    <row r="1492" spans="1:104" x14ac:dyDescent="0.2">
      <c r="A1492" s="176" t="str">
        <f t="shared" si="37"/>
        <v>surveyDateInterval</v>
      </c>
      <c r="B1492" s="11" t="s">
        <v>13202</v>
      </c>
      <c r="C1492" s="173"/>
      <c r="D1492" s="22" t="s">
        <v>13203</v>
      </c>
      <c r="E1492" s="15" t="s">
        <v>13204</v>
      </c>
      <c r="F1492" s="174"/>
      <c r="G1492" s="174"/>
      <c r="H1492" s="17" t="s">
        <v>5932</v>
      </c>
      <c r="I1492" s="269"/>
      <c r="J1492" s="369" t="str">
        <f>HYPERLINK("[#]Datatypes!B1486:L1486","SuvStrucText")</f>
        <v>SuvStrucText</v>
      </c>
      <c r="K1492" s="276"/>
      <c r="L1492" s="272"/>
      <c r="M1492" s="272"/>
      <c r="N1492" s="273"/>
      <c r="O1492" s="269"/>
      <c r="P1492" s="37">
        <v>109988</v>
      </c>
      <c r="Q1492" s="36" t="str">
        <f>CONCATENATE(Cover!$D$6,"fdd/view?i=",P1492)</f>
        <v>https://www.dgiwg.org/FAD/fdd/view?i=109988</v>
      </c>
      <c r="R1492" s="13" t="s">
        <v>13201</v>
      </c>
      <c r="S1492" s="172"/>
      <c r="T1492" s="172"/>
      <c r="CD1492" s="85" t="s">
        <v>1790</v>
      </c>
      <c r="CY1492" s="165" t="s">
        <v>1790</v>
      </c>
    </row>
    <row r="1493" spans="1:104" x14ac:dyDescent="0.2">
      <c r="A1493" s="176" t="str">
        <f t="shared" si="37"/>
        <v>surveyPointMark</v>
      </c>
      <c r="B1493" s="11" t="s">
        <v>13207</v>
      </c>
      <c r="C1493" s="173"/>
      <c r="D1493" s="22" t="s">
        <v>13208</v>
      </c>
      <c r="E1493" s="15" t="s">
        <v>13209</v>
      </c>
      <c r="F1493" s="174"/>
      <c r="G1493" s="174"/>
      <c r="H1493" s="17" t="s">
        <v>5932</v>
      </c>
      <c r="I1493" s="269"/>
      <c r="J1493" s="369" t="str">
        <f>HYPERLINK("[#]Datatypes!B1488:L1488","SumCode")</f>
        <v>SumCode</v>
      </c>
      <c r="K1493" s="276"/>
      <c r="L1493" s="272"/>
      <c r="M1493" s="272"/>
      <c r="N1493" s="248" t="str">
        <f>HYPERLINK("[#]DatatypeListedValues!A9094:H9094","&lt;values&gt;")</f>
        <v>&lt;values&gt;</v>
      </c>
      <c r="O1493" s="277" t="b">
        <v>0</v>
      </c>
      <c r="P1493" s="37">
        <v>119805</v>
      </c>
      <c r="Q1493" s="36" t="str">
        <f>CONCATENATE(Cover!$D$6,"fdd/view?i=",P1493)</f>
        <v>https://www.dgiwg.org/FAD/fdd/view?i=119805</v>
      </c>
      <c r="R1493" s="13" t="s">
        <v>13206</v>
      </c>
      <c r="S1493" s="172"/>
      <c r="T1493" s="172"/>
      <c r="CP1493" s="164" t="s">
        <v>1790</v>
      </c>
      <c r="CS1493" s="165" t="s">
        <v>1790</v>
      </c>
    </row>
    <row r="1494" spans="1:104" ht="25.5" x14ac:dyDescent="0.2">
      <c r="A1494" s="176" t="str">
        <f t="shared" si="37"/>
        <v>surveyPointType</v>
      </c>
      <c r="B1494" s="11" t="s">
        <v>13212</v>
      </c>
      <c r="C1494" s="173"/>
      <c r="D1494" s="22" t="s">
        <v>13213</v>
      </c>
      <c r="E1494" s="15" t="s">
        <v>13214</v>
      </c>
      <c r="F1494" s="174"/>
      <c r="G1494" s="174"/>
      <c r="H1494" s="17" t="s">
        <v>5932</v>
      </c>
      <c r="I1494" s="269"/>
      <c r="J1494" s="369" t="str">
        <f>HYPERLINK("[#]Datatypes!B1490:L1490","SuyCode")</f>
        <v>SuyCode</v>
      </c>
      <c r="K1494" s="276"/>
      <c r="L1494" s="272"/>
      <c r="M1494" s="272"/>
      <c r="N1494" s="248" t="str">
        <f>HYPERLINK("[#]DatatypeListedValues!A9097:H9097","&lt;values&gt;")</f>
        <v>&lt;values&gt;</v>
      </c>
      <c r="O1494" s="277" t="b">
        <v>0</v>
      </c>
      <c r="P1494" s="37">
        <v>119806</v>
      </c>
      <c r="Q1494" s="36" t="str">
        <f>CONCATENATE(Cover!$D$6,"fdd/view?i=",P1494)</f>
        <v>https://www.dgiwg.org/FAD/fdd/view?i=119806</v>
      </c>
      <c r="R1494" s="13" t="s">
        <v>13211</v>
      </c>
      <c r="S1494" s="172"/>
      <c r="T1494" s="172"/>
      <c r="CP1494" s="164" t="s">
        <v>1790</v>
      </c>
      <c r="CT1494" s="166" t="s">
        <v>1790</v>
      </c>
    </row>
    <row r="1495" spans="1:104" x14ac:dyDescent="0.2">
      <c r="A1495" s="176" t="str">
        <f t="shared" si="37"/>
        <v>surveyTechnique</v>
      </c>
      <c r="B1495" s="11" t="s">
        <v>13217</v>
      </c>
      <c r="C1495" s="173"/>
      <c r="D1495" s="22" t="s">
        <v>13218</v>
      </c>
      <c r="E1495" s="15" t="s">
        <v>13219</v>
      </c>
      <c r="F1495" s="174"/>
      <c r="G1495" s="174"/>
      <c r="H1495" s="17" t="s">
        <v>5932</v>
      </c>
      <c r="I1495" s="269"/>
      <c r="J1495" s="369" t="str">
        <f>HYPERLINK("[#]Datatypes!B1492:L1492","SuhCode")</f>
        <v>SuhCode</v>
      </c>
      <c r="K1495" s="276"/>
      <c r="L1495" s="272"/>
      <c r="M1495" s="272"/>
      <c r="N1495" s="248" t="str">
        <f>HYPERLINK("[#]DatatypeListedValues!A9107:H9107","&lt;values&gt;")</f>
        <v>&lt;values&gt;</v>
      </c>
      <c r="O1495" s="277" t="b">
        <v>0</v>
      </c>
      <c r="P1495" s="37">
        <v>119862</v>
      </c>
      <c r="Q1495" s="36" t="str">
        <f>CONCATENATE(Cover!$D$6,"fdd/view?i=",P1495)</f>
        <v>https://www.dgiwg.org/FAD/fdd/view?i=119862</v>
      </c>
      <c r="R1495" s="13" t="s">
        <v>13216</v>
      </c>
      <c r="S1495" s="172"/>
      <c r="T1495" s="172"/>
      <c r="CD1495" s="85" t="s">
        <v>1790</v>
      </c>
      <c r="CP1495" s="164" t="s">
        <v>1790</v>
      </c>
      <c r="CQ1495" s="165" t="s">
        <v>1790</v>
      </c>
      <c r="CZ1495" s="165" t="s">
        <v>1790</v>
      </c>
    </row>
    <row r="1496" spans="1:104" ht="63.75" x14ac:dyDescent="0.2">
      <c r="A1496" s="176" t="str">
        <f t="shared" si="37"/>
        <v>suspended</v>
      </c>
      <c r="B1496" s="11" t="s">
        <v>13222</v>
      </c>
      <c r="C1496" s="173"/>
      <c r="D1496" s="22" t="s">
        <v>13223</v>
      </c>
      <c r="E1496" s="15" t="s">
        <v>13224</v>
      </c>
      <c r="F1496" s="15" t="s">
        <v>13225</v>
      </c>
      <c r="G1496" s="174"/>
      <c r="H1496" s="17" t="s">
        <v>5932</v>
      </c>
      <c r="I1496" s="269"/>
      <c r="J1496" s="369" t="str">
        <f>HYPERLINK("[#]Datatypes!B240:L240","Boolean")</f>
        <v>Boolean</v>
      </c>
      <c r="K1496" s="276"/>
      <c r="L1496" s="272"/>
      <c r="M1496" s="272"/>
      <c r="N1496" s="273"/>
      <c r="O1496" s="269"/>
      <c r="P1496" s="37">
        <v>109986</v>
      </c>
      <c r="Q1496" s="36" t="str">
        <f>CONCATENATE(Cover!$D$6,"fdd/view?i=",P1496)</f>
        <v>https://www.dgiwg.org/FAD/fdd/view?i=109986</v>
      </c>
      <c r="R1496" s="13" t="s">
        <v>13221</v>
      </c>
      <c r="S1496" s="172"/>
      <c r="T1496" s="172"/>
      <c r="CP1496" s="164" t="s">
        <v>1790</v>
      </c>
    </row>
    <row r="1497" spans="1:104" x14ac:dyDescent="0.2">
      <c r="A1497" s="176" t="str">
        <f t="shared" si="37"/>
        <v>swampType</v>
      </c>
      <c r="B1497" s="11" t="s">
        <v>13227</v>
      </c>
      <c r="C1497" s="173"/>
      <c r="D1497" s="22" t="s">
        <v>13228</v>
      </c>
      <c r="E1497" s="15" t="s">
        <v>10372</v>
      </c>
      <c r="F1497" s="174"/>
      <c r="G1497" s="174"/>
      <c r="H1497" s="17" t="s">
        <v>5932</v>
      </c>
      <c r="I1497" s="269"/>
      <c r="J1497" s="369" t="str">
        <f>HYPERLINK("[#]Datatypes!B1494:L1494","SwaCode")</f>
        <v>SwaCode</v>
      </c>
      <c r="K1497" s="276"/>
      <c r="L1497" s="272"/>
      <c r="M1497" s="272"/>
      <c r="N1497" s="248" t="str">
        <f>HYPERLINK("[#]DatatypeListedValues!A9129:H9129","&lt;values&gt;")</f>
        <v>&lt;values&gt;</v>
      </c>
      <c r="O1497" s="277" t="b">
        <v>0</v>
      </c>
      <c r="P1497" s="37">
        <v>109989</v>
      </c>
      <c r="Q1497" s="36" t="str">
        <f>CONCATENATE(Cover!$D$6,"fdd/view?i=",P1497)</f>
        <v>https://www.dgiwg.org/FAD/fdd/view?i=109989</v>
      </c>
      <c r="R1497" s="13" t="s">
        <v>13226</v>
      </c>
      <c r="S1497" s="172"/>
      <c r="T1497" s="172"/>
      <c r="BM1497" s="82" t="s">
        <v>1790</v>
      </c>
      <c r="BO1497" s="82" t="s">
        <v>1790</v>
      </c>
      <c r="BP1497" s="82" t="s">
        <v>1790</v>
      </c>
      <c r="BX1497" s="83" t="s">
        <v>1790</v>
      </c>
      <c r="CS1497" s="165" t="s">
        <v>1790</v>
      </c>
    </row>
    <row r="1498" spans="1:104" x14ac:dyDescent="0.2">
      <c r="A1498" s="176" t="str">
        <f t="shared" si="37"/>
        <v>sweptMineCondition</v>
      </c>
      <c r="B1498" s="11" t="s">
        <v>13231</v>
      </c>
      <c r="C1498" s="173"/>
      <c r="D1498" s="22" t="s">
        <v>13232</v>
      </c>
      <c r="E1498" s="15" t="s">
        <v>13233</v>
      </c>
      <c r="F1498" s="174"/>
      <c r="G1498" s="174"/>
      <c r="H1498" s="17" t="s">
        <v>5932</v>
      </c>
      <c r="I1498" s="269"/>
      <c r="J1498" s="369" t="str">
        <f>HYPERLINK("[#]Datatypes!B1496:L1496","MscCode")</f>
        <v>MscCode</v>
      </c>
      <c r="K1498" s="276"/>
      <c r="L1498" s="272"/>
      <c r="M1498" s="272"/>
      <c r="N1498" s="248" t="str">
        <f>HYPERLINK("[#]DatatypeListedValues!A9132:H9132","&lt;values&gt;")</f>
        <v>&lt;values&gt;</v>
      </c>
      <c r="O1498" s="277" t="b">
        <v>0</v>
      </c>
      <c r="P1498" s="37">
        <v>101070</v>
      </c>
      <c r="Q1498" s="36" t="str">
        <f>CONCATENATE(Cover!$D$6,"fdd/view?i=",P1498)</f>
        <v>https://www.dgiwg.org/FAD/fdd/view?i=101070</v>
      </c>
      <c r="R1498" s="13" t="s">
        <v>13230</v>
      </c>
      <c r="S1498" s="172"/>
      <c r="T1498" s="172"/>
      <c r="CJ1498" s="81" t="s">
        <v>1790</v>
      </c>
      <c r="CT1498" s="166" t="s">
        <v>1790</v>
      </c>
    </row>
    <row r="1499" spans="1:104" ht="25.5" x14ac:dyDescent="0.2">
      <c r="A1499" s="176" t="str">
        <f t="shared" si="37"/>
        <v>synchronized</v>
      </c>
      <c r="B1499" s="11" t="s">
        <v>13236</v>
      </c>
      <c r="C1499" s="173"/>
      <c r="D1499" s="22" t="s">
        <v>13237</v>
      </c>
      <c r="E1499" s="15" t="s">
        <v>13238</v>
      </c>
      <c r="F1499" s="15" t="s">
        <v>13239</v>
      </c>
      <c r="G1499" s="174"/>
      <c r="H1499" s="17" t="s">
        <v>5932</v>
      </c>
      <c r="I1499" s="269"/>
      <c r="J1499" s="369" t="str">
        <f>HYPERLINK("[#]Datatypes!B240:L240","Boolean")</f>
        <v>Boolean</v>
      </c>
      <c r="K1499" s="276"/>
      <c r="L1499" s="272"/>
      <c r="M1499" s="272"/>
      <c r="N1499" s="273"/>
      <c r="O1499" s="269"/>
      <c r="P1499" s="37">
        <v>101355</v>
      </c>
      <c r="Q1499" s="36" t="str">
        <f>CONCATENATE(Cover!$D$6,"fdd/view?i=",P1499)</f>
        <v>https://www.dgiwg.org/FAD/fdd/view?i=101355</v>
      </c>
      <c r="R1499" s="13" t="s">
        <v>13235</v>
      </c>
      <c r="S1499" s="172"/>
      <c r="T1499" s="172"/>
      <c r="CS1499" s="165" t="s">
        <v>1790</v>
      </c>
      <c r="CT1499" s="166" t="s">
        <v>1790</v>
      </c>
    </row>
    <row r="1500" spans="1:104" ht="63.75" x14ac:dyDescent="0.2">
      <c r="A1500" s="176" t="str">
        <f t="shared" si="37"/>
        <v>tacticalAirNavChannel</v>
      </c>
      <c r="B1500" s="11" t="s">
        <v>13241</v>
      </c>
      <c r="C1500" s="173"/>
      <c r="D1500" s="22" t="s">
        <v>13242</v>
      </c>
      <c r="E1500" s="15" t="s">
        <v>13243</v>
      </c>
      <c r="F1500" s="15" t="s">
        <v>13244</v>
      </c>
      <c r="G1500" s="174"/>
      <c r="H1500" s="17" t="s">
        <v>5932</v>
      </c>
      <c r="I1500" s="269"/>
      <c r="J1500" s="369" t="str">
        <f>HYPERLINK("[#]Datatypes!B1498:L1498","TacCode")</f>
        <v>TacCode</v>
      </c>
      <c r="K1500" s="276"/>
      <c r="L1500" s="272"/>
      <c r="M1500" s="272"/>
      <c r="N1500" s="248" t="str">
        <f>HYPERLINK("[#]DatatypeListedValues!A9143:H9143","&lt;values&gt;")</f>
        <v>&lt;values&gt;</v>
      </c>
      <c r="O1500" s="17" t="b">
        <v>1</v>
      </c>
      <c r="P1500" s="37">
        <v>117719</v>
      </c>
      <c r="Q1500" s="36" t="str">
        <f>CONCATENATE(Cover!$D$6,"fdd/view?i=",P1500)</f>
        <v>https://www.dgiwg.org/FAD/fdd/view?i=117719</v>
      </c>
      <c r="R1500" s="13" t="s">
        <v>13240</v>
      </c>
      <c r="S1500" s="172"/>
      <c r="T1500" s="172"/>
      <c r="CG1500" s="83" t="s">
        <v>1790</v>
      </c>
    </row>
    <row r="1501" spans="1:104" x14ac:dyDescent="0.2">
      <c r="A1501" s="176" t="str">
        <f t="shared" si="37"/>
        <v>tacticalAirNavComponent</v>
      </c>
      <c r="B1501" s="11" t="s">
        <v>13247</v>
      </c>
      <c r="C1501" s="173"/>
      <c r="D1501" s="22" t="s">
        <v>13248</v>
      </c>
      <c r="E1501" s="15" t="s">
        <v>13249</v>
      </c>
      <c r="F1501" s="15" t="s">
        <v>13250</v>
      </c>
      <c r="G1501" s="174"/>
      <c r="H1501" s="17" t="s">
        <v>5932</v>
      </c>
      <c r="I1501" s="269"/>
      <c r="J1501" s="369" t="str">
        <f>HYPERLINK("[#]Datatypes!B1500:L1500","TcaCode")</f>
        <v>TcaCode</v>
      </c>
      <c r="K1501" s="276"/>
      <c r="L1501" s="272"/>
      <c r="M1501" s="272"/>
      <c r="N1501" s="248" t="str">
        <f>HYPERLINK("[#]DatatypeListedValues!A9495:H9495","&lt;values&gt;")</f>
        <v>&lt;values&gt;</v>
      </c>
      <c r="O1501" s="277" t="b">
        <v>0</v>
      </c>
      <c r="P1501" s="37">
        <v>117722</v>
      </c>
      <c r="Q1501" s="36" t="str">
        <f>CONCATENATE(Cover!$D$6,"fdd/view?i=",P1501)</f>
        <v>https://www.dgiwg.org/FAD/fdd/view?i=117722</v>
      </c>
      <c r="R1501" s="13" t="s">
        <v>13246</v>
      </c>
      <c r="S1501" s="172"/>
      <c r="T1501" s="172"/>
      <c r="CG1501" s="83" t="s">
        <v>1790</v>
      </c>
    </row>
    <row r="1502" spans="1:104" ht="25.5" x14ac:dyDescent="0.2">
      <c r="A1502" s="176" t="str">
        <f t="shared" si="37"/>
        <v>tacticalAirNavCompLimit</v>
      </c>
      <c r="B1502" s="11" t="s">
        <v>13253</v>
      </c>
      <c r="C1502" s="173"/>
      <c r="D1502" s="22" t="s">
        <v>13254</v>
      </c>
      <c r="E1502" s="15" t="s">
        <v>13255</v>
      </c>
      <c r="F1502" s="15" t="s">
        <v>13250</v>
      </c>
      <c r="G1502" s="174"/>
      <c r="H1502" s="17" t="s">
        <v>5932</v>
      </c>
      <c r="I1502" s="269"/>
      <c r="J1502" s="369" t="str">
        <f>HYPERLINK("[#]Datatypes!B1502:L1502","TlcCode")</f>
        <v>TlcCode</v>
      </c>
      <c r="K1502" s="276"/>
      <c r="L1502" s="272"/>
      <c r="M1502" s="272"/>
      <c r="N1502" s="248" t="str">
        <f>HYPERLINK("[#]DatatypeListedValues!A9497:H9497","&lt;values&gt;")</f>
        <v>&lt;values&gt;</v>
      </c>
      <c r="O1502" s="277" t="b">
        <v>0</v>
      </c>
      <c r="P1502" s="37">
        <v>117725</v>
      </c>
      <c r="Q1502" s="36" t="str">
        <f>CONCATENATE(Cover!$D$6,"fdd/view?i=",P1502)</f>
        <v>https://www.dgiwg.org/FAD/fdd/view?i=117725</v>
      </c>
      <c r="R1502" s="13" t="s">
        <v>13252</v>
      </c>
      <c r="S1502" s="172"/>
      <c r="T1502" s="172"/>
      <c r="CG1502" s="83" t="s">
        <v>1790</v>
      </c>
    </row>
    <row r="1503" spans="1:104" x14ac:dyDescent="0.2">
      <c r="A1503" s="176" t="str">
        <f t="shared" si="37"/>
        <v>tacticalFormation</v>
      </c>
      <c r="B1503" s="11" t="s">
        <v>13258</v>
      </c>
      <c r="C1503" s="173"/>
      <c r="D1503" s="22" t="s">
        <v>13259</v>
      </c>
      <c r="E1503" s="15" t="s">
        <v>13260</v>
      </c>
      <c r="F1503" s="174"/>
      <c r="G1503" s="174"/>
      <c r="H1503" s="17" t="s">
        <v>5932</v>
      </c>
      <c r="I1503" s="269"/>
      <c r="J1503" s="369" t="str">
        <f>HYPERLINK("[#]Datatypes!B1504:L1504","XmuCode")</f>
        <v>XmuCode</v>
      </c>
      <c r="K1503" s="276"/>
      <c r="L1503" s="272"/>
      <c r="M1503" s="272"/>
      <c r="N1503" s="248" t="str">
        <f>HYPERLINK("[#]DatatypeListedValues!A9499:H9499","&lt;values&gt;")</f>
        <v>&lt;values&gt;</v>
      </c>
      <c r="O1503" s="277" t="b">
        <v>0</v>
      </c>
      <c r="P1503" s="37">
        <v>119768</v>
      </c>
      <c r="Q1503" s="36" t="str">
        <f>CONCATENATE(Cover!$D$6,"fdd/view?i=",P1503)</f>
        <v>https://www.dgiwg.org/FAD/fdd/view?i=119768</v>
      </c>
      <c r="R1503" s="13" t="s">
        <v>13257</v>
      </c>
      <c r="S1503" s="172"/>
      <c r="T1503" s="172"/>
      <c r="CL1503" s="85" t="s">
        <v>1790</v>
      </c>
      <c r="CS1503" s="165" t="s">
        <v>1790</v>
      </c>
    </row>
    <row r="1504" spans="1:104" x14ac:dyDescent="0.2">
      <c r="A1504" s="176" t="str">
        <f t="shared" si="37"/>
        <v>tacticalName</v>
      </c>
      <c r="B1504" s="11" t="s">
        <v>13263</v>
      </c>
      <c r="C1504" s="173"/>
      <c r="D1504" s="22" t="s">
        <v>13264</v>
      </c>
      <c r="E1504" s="15" t="s">
        <v>13265</v>
      </c>
      <c r="F1504" s="174"/>
      <c r="G1504" s="174"/>
      <c r="H1504" s="17" t="s">
        <v>5932</v>
      </c>
      <c r="I1504" s="269"/>
      <c r="J1504" s="369" t="str">
        <f>HYPERLINK("[#]Datatypes!B1528:L1528","Text")</f>
        <v>Text</v>
      </c>
      <c r="K1504" s="276"/>
      <c r="L1504" s="272"/>
      <c r="M1504" s="272"/>
      <c r="N1504" s="273"/>
      <c r="O1504" s="269"/>
      <c r="P1504" s="37">
        <v>118602</v>
      </c>
      <c r="Q1504" s="36" t="str">
        <f>CONCATENATE(Cover!$D$6,"fdd/view?i=",P1504)</f>
        <v>https://www.dgiwg.org/FAD/fdd/view?i=118602</v>
      </c>
      <c r="R1504" s="13" t="s">
        <v>13262</v>
      </c>
      <c r="S1504" s="172"/>
      <c r="T1504" s="172"/>
      <c r="CL1504" s="85" t="s">
        <v>1790</v>
      </c>
      <c r="CU1504" s="87" t="s">
        <v>1790</v>
      </c>
    </row>
    <row r="1505" spans="1:100" x14ac:dyDescent="0.2">
      <c r="A1505" s="176" t="str">
        <f t="shared" si="37"/>
        <v>tacticalUsage</v>
      </c>
      <c r="B1505" s="11" t="s">
        <v>13267</v>
      </c>
      <c r="C1505" s="173"/>
      <c r="D1505" s="22" t="s">
        <v>13268</v>
      </c>
      <c r="E1505" s="15" t="s">
        <v>13269</v>
      </c>
      <c r="F1505" s="174"/>
      <c r="G1505" s="174"/>
      <c r="H1505" s="17" t="s">
        <v>5932</v>
      </c>
      <c r="I1505" s="269"/>
      <c r="J1505" s="369" t="str">
        <f>HYPERLINK("[#]Datatypes!B240:L240","Boolean")</f>
        <v>Boolean</v>
      </c>
      <c r="K1505" s="276"/>
      <c r="L1505" s="272"/>
      <c r="M1505" s="272"/>
      <c r="N1505" s="273"/>
      <c r="O1505" s="269"/>
      <c r="P1505" s="37">
        <v>118587</v>
      </c>
      <c r="Q1505" s="36" t="str">
        <f>CONCATENATE(Cover!$D$6,"fdd/view?i=",P1505)</f>
        <v>https://www.dgiwg.org/FAD/fdd/view?i=118587</v>
      </c>
      <c r="R1505" s="13" t="s">
        <v>13266</v>
      </c>
      <c r="S1505" s="172"/>
      <c r="T1505" s="172"/>
      <c r="CL1505" s="85" t="s">
        <v>1790</v>
      </c>
      <c r="CT1505" s="166" t="s">
        <v>1790</v>
      </c>
    </row>
    <row r="1506" spans="1:100" ht="63.75" x14ac:dyDescent="0.2">
      <c r="A1506" s="176" t="str">
        <f t="shared" si="37"/>
        <v>takeOffDistAvailable</v>
      </c>
      <c r="B1506" s="11" t="s">
        <v>13271</v>
      </c>
      <c r="C1506" s="173"/>
      <c r="D1506" s="22" t="s">
        <v>13272</v>
      </c>
      <c r="E1506" s="15" t="s">
        <v>13273</v>
      </c>
      <c r="F1506" s="15" t="s">
        <v>13274</v>
      </c>
      <c r="G1506" s="15" t="s">
        <v>13275</v>
      </c>
      <c r="H1506" s="17" t="s">
        <v>5932</v>
      </c>
      <c r="I1506" s="269"/>
      <c r="J1506" s="369" t="str">
        <f>HYPERLINK("[#]Datatypes!B1231:L1231","Real")</f>
        <v>Real</v>
      </c>
      <c r="K1506" s="271" t="str">
        <f>HYPERLINK("[#]PhysicalQuantities!A20:N20","Length")</f>
        <v>Length</v>
      </c>
      <c r="L1506" s="270" t="str">
        <f>HYPERLINK("[#]UnitsOfMeasure!D80:G80","Metre")</f>
        <v>Metre</v>
      </c>
      <c r="M1506" s="272"/>
      <c r="N1506" s="273"/>
      <c r="O1506" s="269"/>
      <c r="P1506" s="37">
        <v>117730</v>
      </c>
      <c r="Q1506" s="36" t="str">
        <f>CONCATENATE(Cover!$D$6,"fdd/view?i=",P1506)</f>
        <v>https://www.dgiwg.org/FAD/fdd/view?i=117730</v>
      </c>
      <c r="R1506" s="13" t="s">
        <v>13270</v>
      </c>
      <c r="S1506" s="172"/>
      <c r="T1506" s="172"/>
      <c r="CE1506" s="87" t="s">
        <v>1790</v>
      </c>
    </row>
    <row r="1507" spans="1:100" ht="63.75" x14ac:dyDescent="0.2">
      <c r="A1507" s="176" t="str">
        <f t="shared" si="37"/>
        <v>takeOffDistAvailCopter</v>
      </c>
      <c r="B1507" s="11" t="s">
        <v>13277</v>
      </c>
      <c r="C1507" s="173"/>
      <c r="D1507" s="22" t="s">
        <v>13278</v>
      </c>
      <c r="E1507" s="15" t="s">
        <v>13279</v>
      </c>
      <c r="F1507" s="15" t="s">
        <v>2516</v>
      </c>
      <c r="G1507" s="15" t="s">
        <v>13280</v>
      </c>
      <c r="H1507" s="17" t="s">
        <v>5932</v>
      </c>
      <c r="I1507" s="269"/>
      <c r="J1507" s="369" t="str">
        <f>HYPERLINK("[#]Datatypes!B1231:L1231","Real")</f>
        <v>Real</v>
      </c>
      <c r="K1507" s="271" t="str">
        <f>HYPERLINK("[#]PhysicalQuantities!A20:N20","Length")</f>
        <v>Length</v>
      </c>
      <c r="L1507" s="270" t="str">
        <f>HYPERLINK("[#]UnitsOfMeasure!D80:G80","Metre")</f>
        <v>Metre</v>
      </c>
      <c r="M1507" s="272"/>
      <c r="N1507" s="273"/>
      <c r="O1507" s="269"/>
      <c r="P1507" s="37">
        <v>117731</v>
      </c>
      <c r="Q1507" s="36" t="str">
        <f>CONCATENATE(Cover!$D$6,"fdd/view?i=",P1507)</f>
        <v>https://www.dgiwg.org/FAD/fdd/view?i=117731</v>
      </c>
      <c r="R1507" s="13" t="s">
        <v>13276</v>
      </c>
      <c r="S1507" s="172"/>
      <c r="T1507" s="172"/>
      <c r="CE1507" s="87" t="s">
        <v>1790</v>
      </c>
    </row>
    <row r="1508" spans="1:100" ht="25.5" x14ac:dyDescent="0.2">
      <c r="A1508" s="176" t="str">
        <f t="shared" si="37"/>
        <v>takeOffRunAvailable</v>
      </c>
      <c r="B1508" s="11" t="s">
        <v>13282</v>
      </c>
      <c r="C1508" s="173"/>
      <c r="D1508" s="22" t="s">
        <v>13283</v>
      </c>
      <c r="E1508" s="15" t="s">
        <v>13284</v>
      </c>
      <c r="F1508" s="174"/>
      <c r="G1508" s="15" t="s">
        <v>13285</v>
      </c>
      <c r="H1508" s="17" t="s">
        <v>5932</v>
      </c>
      <c r="I1508" s="269"/>
      <c r="J1508" s="369" t="str">
        <f>HYPERLINK("[#]Datatypes!B1231:L1231","Real")</f>
        <v>Real</v>
      </c>
      <c r="K1508" s="271" t="str">
        <f>HYPERLINK("[#]PhysicalQuantities!A20:N20","Length")</f>
        <v>Length</v>
      </c>
      <c r="L1508" s="270" t="str">
        <f>HYPERLINK("[#]UnitsOfMeasure!D80:G80","Metre")</f>
        <v>Metre</v>
      </c>
      <c r="M1508" s="272"/>
      <c r="N1508" s="273"/>
      <c r="O1508" s="269"/>
      <c r="P1508" s="37">
        <v>117732</v>
      </c>
      <c r="Q1508" s="36" t="str">
        <f>CONCATENATE(Cover!$D$6,"fdd/view?i=",P1508)</f>
        <v>https://www.dgiwg.org/FAD/fdd/view?i=117732</v>
      </c>
      <c r="R1508" s="13" t="s">
        <v>13281</v>
      </c>
      <c r="S1508" s="172"/>
      <c r="T1508" s="172"/>
      <c r="CE1508" s="87" t="s">
        <v>1790</v>
      </c>
    </row>
    <row r="1509" spans="1:100" ht="127.5" x14ac:dyDescent="0.2">
      <c r="A1509" s="176" t="str">
        <f t="shared" si="37"/>
        <v>taxiwayDesignator</v>
      </c>
      <c r="B1509" s="11" t="s">
        <v>13287</v>
      </c>
      <c r="C1509" s="173"/>
      <c r="D1509" s="22" t="s">
        <v>13288</v>
      </c>
      <c r="E1509" s="15" t="s">
        <v>13289</v>
      </c>
      <c r="F1509" s="15" t="s">
        <v>13290</v>
      </c>
      <c r="G1509" s="174"/>
      <c r="H1509" s="17" t="s">
        <v>5932</v>
      </c>
      <c r="I1509" s="269"/>
      <c r="J1509" s="369" t="str">
        <f>HYPERLINK("[#]Datatypes!B1562:L1562","TextNonLexUnconstrained")</f>
        <v>TextNonLexUnconstrained</v>
      </c>
      <c r="K1509" s="276"/>
      <c r="L1509" s="272"/>
      <c r="M1509" s="272"/>
      <c r="N1509" s="273"/>
      <c r="O1509" s="269"/>
      <c r="P1509" s="37">
        <v>117560</v>
      </c>
      <c r="Q1509" s="36" t="str">
        <f>CONCATENATE(Cover!$D$6,"fdd/view?i=",P1509)</f>
        <v>https://www.dgiwg.org/FAD/fdd/view?i=117560</v>
      </c>
      <c r="R1509" s="13" t="s">
        <v>13286</v>
      </c>
      <c r="S1509" s="172"/>
      <c r="T1509" s="172"/>
      <c r="CE1509" s="87" t="s">
        <v>1790</v>
      </c>
    </row>
    <row r="1510" spans="1:100" x14ac:dyDescent="0.2">
      <c r="A1510" s="176" t="str">
        <f t="shared" si="37"/>
        <v>taxiwayRemarks</v>
      </c>
      <c r="B1510" s="11" t="s">
        <v>13292</v>
      </c>
      <c r="C1510" s="173"/>
      <c r="D1510" s="22" t="s">
        <v>13293</v>
      </c>
      <c r="E1510" s="15" t="s">
        <v>13294</v>
      </c>
      <c r="F1510" s="174"/>
      <c r="G1510" s="174"/>
      <c r="H1510" s="17" t="s">
        <v>5932</v>
      </c>
      <c r="I1510" s="269"/>
      <c r="J1510" s="369" t="str">
        <f>HYPERLINK("[#]Datatypes!B1544:L1544","TextLexUnconstrained")</f>
        <v>TextLexUnconstrained</v>
      </c>
      <c r="K1510" s="276"/>
      <c r="L1510" s="272"/>
      <c r="M1510" s="272"/>
      <c r="N1510" s="273"/>
      <c r="O1510" s="269"/>
      <c r="P1510" s="37">
        <v>119141</v>
      </c>
      <c r="Q1510" s="36" t="str">
        <f>CONCATENATE(Cover!$D$6,"fdd/view?i=",P1510)</f>
        <v>https://www.dgiwg.org/FAD/fdd/view?i=119141</v>
      </c>
      <c r="R1510" s="13" t="s">
        <v>13291</v>
      </c>
      <c r="S1510" s="172"/>
      <c r="T1510" s="172"/>
      <c r="CE1510" s="87" t="s">
        <v>1790</v>
      </c>
    </row>
    <row r="1511" spans="1:100" ht="25.5" x14ac:dyDescent="0.2">
      <c r="A1511" s="176" t="str">
        <f t="shared" si="37"/>
        <v>taxiwayType</v>
      </c>
      <c r="B1511" s="11" t="s">
        <v>13296</v>
      </c>
      <c r="C1511" s="173"/>
      <c r="D1511" s="22" t="s">
        <v>13297</v>
      </c>
      <c r="E1511" s="15" t="s">
        <v>13298</v>
      </c>
      <c r="F1511" s="174"/>
      <c r="G1511" s="174"/>
      <c r="H1511" s="17" t="s">
        <v>5932</v>
      </c>
      <c r="I1511" s="269"/>
      <c r="J1511" s="369" t="str">
        <f>HYPERLINK("[#]Datatypes!B1506:L1506","TxpCode")</f>
        <v>TxpCode</v>
      </c>
      <c r="K1511" s="276"/>
      <c r="L1511" s="272"/>
      <c r="M1511" s="272"/>
      <c r="N1511" s="248" t="str">
        <f>HYPERLINK("[#]DatatypeListedValues!A9501:H9501","&lt;values&gt;")</f>
        <v>&lt;values&gt;</v>
      </c>
      <c r="O1511" s="277" t="b">
        <v>0</v>
      </c>
      <c r="P1511" s="37">
        <v>117735</v>
      </c>
      <c r="Q1511" s="36" t="str">
        <f>CONCATENATE(Cover!$D$6,"fdd/view?i=",P1511)</f>
        <v>https://www.dgiwg.org/FAD/fdd/view?i=117735</v>
      </c>
      <c r="R1511" s="13" t="s">
        <v>13295</v>
      </c>
      <c r="S1511" s="172"/>
      <c r="T1511" s="172"/>
      <c r="CE1511" s="87" t="s">
        <v>1790</v>
      </c>
    </row>
    <row r="1512" spans="1:100" x14ac:dyDescent="0.2">
      <c r="A1512" s="176" t="str">
        <f t="shared" si="37"/>
        <v>tectonicStructureType</v>
      </c>
      <c r="B1512" s="11" t="s">
        <v>13301</v>
      </c>
      <c r="C1512" s="173"/>
      <c r="D1512" s="22" t="s">
        <v>13302</v>
      </c>
      <c r="E1512" s="15" t="s">
        <v>13303</v>
      </c>
      <c r="F1512" s="174"/>
      <c r="G1512" s="174"/>
      <c r="H1512" s="17" t="s">
        <v>5932</v>
      </c>
      <c r="I1512" s="269"/>
      <c r="J1512" s="369" t="str">
        <f>HYPERLINK("[#]Datatypes!B1508:L1508","SteCode")</f>
        <v>SteCode</v>
      </c>
      <c r="K1512" s="276"/>
      <c r="L1512" s="272"/>
      <c r="M1512" s="272"/>
      <c r="N1512" s="248" t="str">
        <f>HYPERLINK("[#]DatatypeListedValues!A9514:H9514","&lt;values&gt;")</f>
        <v>&lt;values&gt;</v>
      </c>
      <c r="O1512" s="277" t="b">
        <v>0</v>
      </c>
      <c r="P1512" s="37">
        <v>118615</v>
      </c>
      <c r="Q1512" s="36" t="str">
        <f>CONCATENATE(Cover!$D$6,"fdd/view?i=",P1512)</f>
        <v>https://www.dgiwg.org/FAD/fdd/view?i=118615</v>
      </c>
      <c r="R1512" s="13" t="s">
        <v>13300</v>
      </c>
      <c r="S1512" s="172"/>
      <c r="T1512" s="172"/>
      <c r="BN1512" s="82" t="s">
        <v>1790</v>
      </c>
      <c r="BO1512" s="82" t="s">
        <v>1790</v>
      </c>
      <c r="BQ1512" s="82" t="s">
        <v>1790</v>
      </c>
      <c r="CS1512" s="165" t="s">
        <v>1790</v>
      </c>
    </row>
    <row r="1513" spans="1:100" ht="25.5" x14ac:dyDescent="0.2">
      <c r="A1513" s="176" t="str">
        <f t="shared" si="37"/>
        <v>telescopeType</v>
      </c>
      <c r="B1513" s="11" t="s">
        <v>13306</v>
      </c>
      <c r="C1513" s="173"/>
      <c r="D1513" s="22" t="s">
        <v>13307</v>
      </c>
      <c r="E1513" s="15" t="s">
        <v>13308</v>
      </c>
      <c r="F1513" s="174"/>
      <c r="G1513" s="174"/>
      <c r="H1513" s="17" t="s">
        <v>5932</v>
      </c>
      <c r="I1513" s="269"/>
      <c r="J1513" s="369" t="str">
        <f>HYPERLINK("[#]Datatypes!B1510:L1510","TelCode")</f>
        <v>TelCode</v>
      </c>
      <c r="K1513" s="276"/>
      <c r="L1513" s="272"/>
      <c r="M1513" s="272"/>
      <c r="N1513" s="248" t="str">
        <f>HYPERLINK("[#]DatatypeListedValues!A9526:H9526","&lt;values&gt;")</f>
        <v>&lt;values&gt;</v>
      </c>
      <c r="O1513" s="277" t="b">
        <v>0</v>
      </c>
      <c r="P1513" s="37">
        <v>101362</v>
      </c>
      <c r="Q1513" s="36" t="str">
        <f>CONCATENATE(Cover!$D$6,"fdd/view?i=",P1513)</f>
        <v>https://www.dgiwg.org/FAD/fdd/view?i=101362</v>
      </c>
      <c r="R1513" s="13" t="s">
        <v>13305</v>
      </c>
      <c r="S1513" s="172"/>
      <c r="T1513" s="172"/>
      <c r="AN1513" s="83" t="s">
        <v>1790</v>
      </c>
      <c r="CT1513" s="166" t="s">
        <v>1790</v>
      </c>
    </row>
    <row r="1514" spans="1:100" ht="25.5" x14ac:dyDescent="0.2">
      <c r="A1514" s="176" t="str">
        <f t="shared" si="37"/>
        <v>temperature</v>
      </c>
      <c r="B1514" s="11" t="s">
        <v>13311</v>
      </c>
      <c r="C1514" s="173"/>
      <c r="D1514" s="22" t="s">
        <v>13312</v>
      </c>
      <c r="E1514" s="15" t="s">
        <v>13313</v>
      </c>
      <c r="F1514" s="15" t="s">
        <v>359</v>
      </c>
      <c r="G1514" s="174"/>
      <c r="H1514" s="17" t="s">
        <v>5932</v>
      </c>
      <c r="I1514" s="269"/>
      <c r="J1514" s="369" t="str">
        <f>HYPERLINK("[#]Datatypes!B1231:L1231","Real")</f>
        <v>Real</v>
      </c>
      <c r="K1514" s="271" t="str">
        <f>HYPERLINK("[#]PhysicalQuantities!A50:N50","Thermodynamic Temperature")</f>
        <v>Thermodynamic Temperature</v>
      </c>
      <c r="L1514" s="270" t="str">
        <f>HYPERLINK("[#]UnitsOfMeasure!D262:G262","Degree Celsius")</f>
        <v>Degree Celsius</v>
      </c>
      <c r="M1514" s="272"/>
      <c r="N1514" s="273"/>
      <c r="O1514" s="269"/>
      <c r="P1514" s="37">
        <v>119408</v>
      </c>
      <c r="Q1514" s="36" t="str">
        <f>CONCATENATE(Cover!$D$6,"fdd/view?i=",P1514)</f>
        <v>https://www.dgiwg.org/FAD/fdd/view?i=119408</v>
      </c>
      <c r="R1514" s="13" t="s">
        <v>13310</v>
      </c>
      <c r="S1514" s="172"/>
      <c r="T1514" s="172"/>
      <c r="CQ1514" s="165" t="s">
        <v>1790</v>
      </c>
    </row>
    <row r="1515" spans="1:100" ht="76.5" x14ac:dyDescent="0.2">
      <c r="A1515" s="176" t="str">
        <f t="shared" si="37"/>
        <v>terminalArriveAltAreaType</v>
      </c>
      <c r="B1515" s="11" t="s">
        <v>13315</v>
      </c>
      <c r="C1515" s="173"/>
      <c r="D1515" s="22" t="s">
        <v>13316</v>
      </c>
      <c r="E1515" s="15" t="s">
        <v>13317</v>
      </c>
      <c r="F1515" s="15" t="s">
        <v>13318</v>
      </c>
      <c r="G1515" s="174"/>
      <c r="H1515" s="17" t="s">
        <v>5932</v>
      </c>
      <c r="I1515" s="269"/>
      <c r="J1515" s="369" t="str">
        <f>HYPERLINK("[#]Datatypes!B1512:L1512","TaaCode")</f>
        <v>TaaCode</v>
      </c>
      <c r="K1515" s="276"/>
      <c r="L1515" s="272"/>
      <c r="M1515" s="272"/>
      <c r="N1515" s="248" t="str">
        <f>HYPERLINK("[#]DatatypeListedValues!A9529:H9529","&lt;values&gt;")</f>
        <v>&lt;values&gt;</v>
      </c>
      <c r="O1515" s="277" t="b">
        <v>0</v>
      </c>
      <c r="P1515" s="37">
        <v>117718</v>
      </c>
      <c r="Q1515" s="36" t="str">
        <f>CONCATENATE(Cover!$D$6,"fdd/view?i=",P1515)</f>
        <v>https://www.dgiwg.org/FAD/fdd/view?i=117718</v>
      </c>
      <c r="R1515" s="13" t="s">
        <v>13314</v>
      </c>
      <c r="S1515" s="172"/>
      <c r="T1515" s="172"/>
      <c r="CI1515" s="89" t="s">
        <v>1790</v>
      </c>
    </row>
    <row r="1516" spans="1:100" ht="102" x14ac:dyDescent="0.2">
      <c r="A1516" s="176" t="str">
        <f t="shared" si="37"/>
        <v>termInstProcDesig</v>
      </c>
      <c r="B1516" s="11" t="s">
        <v>13321</v>
      </c>
      <c r="C1516" s="173"/>
      <c r="D1516" s="22" t="s">
        <v>13322</v>
      </c>
      <c r="E1516" s="15" t="s">
        <v>13323</v>
      </c>
      <c r="F1516" s="15" t="s">
        <v>13324</v>
      </c>
      <c r="G1516" s="174"/>
      <c r="H1516" s="17" t="s">
        <v>5932</v>
      </c>
      <c r="I1516" s="269"/>
      <c r="J1516" s="369" t="str">
        <f>HYPERLINK("[#]Datatypes!B1514:L1514","TpdStrucText")</f>
        <v>TpdStrucText</v>
      </c>
      <c r="K1516" s="276"/>
      <c r="L1516" s="272"/>
      <c r="M1516" s="272"/>
      <c r="N1516" s="273"/>
      <c r="O1516" s="269"/>
      <c r="P1516" s="37">
        <v>119622</v>
      </c>
      <c r="Q1516" s="36" t="str">
        <f>CONCATENATE(Cover!$D$6,"fdd/view?i=",P1516)</f>
        <v>https://www.dgiwg.org/FAD/fdd/view?i=119622</v>
      </c>
      <c r="R1516" s="13" t="s">
        <v>13320</v>
      </c>
      <c r="S1516" s="172"/>
      <c r="T1516" s="172"/>
      <c r="AT1516" s="82" t="s">
        <v>1790</v>
      </c>
      <c r="CF1516" s="83" t="s">
        <v>1790</v>
      </c>
      <c r="CG1516" s="83" t="s">
        <v>1790</v>
      </c>
      <c r="CV1516" s="83" t="s">
        <v>1790</v>
      </c>
    </row>
    <row r="1517" spans="1:100" ht="51" x14ac:dyDescent="0.2">
      <c r="A1517" s="176" t="str">
        <f t="shared" si="37"/>
        <v>termInstProcIdent</v>
      </c>
      <c r="B1517" s="11" t="s">
        <v>13327</v>
      </c>
      <c r="C1517" s="173"/>
      <c r="D1517" s="22" t="s">
        <v>13328</v>
      </c>
      <c r="E1517" s="15" t="s">
        <v>13329</v>
      </c>
      <c r="F1517" s="15" t="s">
        <v>13330</v>
      </c>
      <c r="G1517" s="174"/>
      <c r="H1517" s="17" t="s">
        <v>5932</v>
      </c>
      <c r="I1517" s="269"/>
      <c r="J1517" s="369" t="str">
        <f>HYPERLINK("[#]Datatypes!B1516:L1516","TpiStrucText")</f>
        <v>TpiStrucText</v>
      </c>
      <c r="K1517" s="276"/>
      <c r="L1517" s="272"/>
      <c r="M1517" s="272"/>
      <c r="N1517" s="273"/>
      <c r="O1517" s="269"/>
      <c r="P1517" s="37">
        <v>119623</v>
      </c>
      <c r="Q1517" s="36" t="str">
        <f>CONCATENATE(Cover!$D$6,"fdd/view?i=",P1517)</f>
        <v>https://www.dgiwg.org/FAD/fdd/view?i=119623</v>
      </c>
      <c r="R1517" s="13" t="s">
        <v>13326</v>
      </c>
      <c r="S1517" s="172"/>
      <c r="T1517" s="172"/>
      <c r="AT1517" s="82" t="s">
        <v>1790</v>
      </c>
      <c r="CF1517" s="83" t="s">
        <v>1790</v>
      </c>
      <c r="CG1517" s="83" t="s">
        <v>1790</v>
      </c>
      <c r="CV1517" s="83" t="s">
        <v>1790</v>
      </c>
    </row>
    <row r="1518" spans="1:100" ht="25.5" x14ac:dyDescent="0.2">
      <c r="A1518" s="176" t="str">
        <f t="shared" si="37"/>
        <v>termInstProcTransitionId</v>
      </c>
      <c r="B1518" s="11" t="s">
        <v>13333</v>
      </c>
      <c r="C1518" s="173"/>
      <c r="D1518" s="22" t="s">
        <v>13334</v>
      </c>
      <c r="E1518" s="15" t="s">
        <v>13335</v>
      </c>
      <c r="F1518" s="174"/>
      <c r="G1518" s="174"/>
      <c r="H1518" s="17" t="s">
        <v>5932</v>
      </c>
      <c r="I1518" s="269"/>
      <c r="J1518" s="369" t="str">
        <f>HYPERLINK("[#]Datatypes!B1518:L1518","TptStrucText")</f>
        <v>TptStrucText</v>
      </c>
      <c r="K1518" s="276"/>
      <c r="L1518" s="272"/>
      <c r="M1518" s="272"/>
      <c r="N1518" s="273"/>
      <c r="O1518" s="269"/>
      <c r="P1518" s="37">
        <v>119624</v>
      </c>
      <c r="Q1518" s="36" t="str">
        <f>CONCATENATE(Cover!$D$6,"fdd/view?i=",P1518)</f>
        <v>https://www.dgiwg.org/FAD/fdd/view?i=119624</v>
      </c>
      <c r="R1518" s="13" t="s">
        <v>13332</v>
      </c>
      <c r="S1518" s="172"/>
      <c r="T1518" s="172"/>
      <c r="AT1518" s="82" t="s">
        <v>1790</v>
      </c>
      <c r="CF1518" s="83" t="s">
        <v>1790</v>
      </c>
      <c r="CG1518" s="83" t="s">
        <v>1790</v>
      </c>
      <c r="CV1518" s="83" t="s">
        <v>1790</v>
      </c>
    </row>
    <row r="1519" spans="1:100" ht="25.5" x14ac:dyDescent="0.2">
      <c r="A1519" s="176" t="str">
        <f t="shared" si="37"/>
        <v>terrainFaceType</v>
      </c>
      <c r="B1519" s="11" t="s">
        <v>13338</v>
      </c>
      <c r="C1519" s="173"/>
      <c r="D1519" s="22" t="s">
        <v>13339</v>
      </c>
      <c r="E1519" s="15" t="s">
        <v>13340</v>
      </c>
      <c r="F1519" s="174"/>
      <c r="G1519" s="174"/>
      <c r="H1519" s="17" t="s">
        <v>5932</v>
      </c>
      <c r="I1519" s="269"/>
      <c r="J1519" s="369" t="str">
        <f>HYPERLINK("[#]Datatypes!B1520:L1520","TftCode")</f>
        <v>TftCode</v>
      </c>
      <c r="K1519" s="276"/>
      <c r="L1519" s="272"/>
      <c r="M1519" s="272"/>
      <c r="N1519" s="248" t="str">
        <f>HYPERLINK("[#]DatatypeListedValues!A9532:H9532","&lt;values&gt;")</f>
        <v>&lt;values&gt;</v>
      </c>
      <c r="O1519" s="277" t="b">
        <v>0</v>
      </c>
      <c r="P1519" s="37">
        <v>114241</v>
      </c>
      <c r="Q1519" s="36" t="str">
        <f>CONCATENATE(Cover!$D$6,"fdd/view?i=",P1519)</f>
        <v>https://www.dgiwg.org/FAD/fdd/view?i=114241</v>
      </c>
      <c r="R1519" s="13" t="s">
        <v>13337</v>
      </c>
      <c r="S1519" s="172"/>
      <c r="T1519" s="172"/>
      <c r="BM1519" s="82" t="s">
        <v>1790</v>
      </c>
      <c r="CS1519" s="165" t="s">
        <v>1790</v>
      </c>
    </row>
    <row r="1520" spans="1:100" ht="76.5" x14ac:dyDescent="0.2">
      <c r="A1520" s="176" t="str">
        <f t="shared" si="37"/>
        <v>terrainGapWidth</v>
      </c>
      <c r="B1520" s="11" t="s">
        <v>13343</v>
      </c>
      <c r="C1520" s="173"/>
      <c r="D1520" s="22" t="s">
        <v>13344</v>
      </c>
      <c r="E1520" s="15" t="s">
        <v>13345</v>
      </c>
      <c r="F1520" s="15" t="s">
        <v>13346</v>
      </c>
      <c r="G1520" s="15" t="s">
        <v>13347</v>
      </c>
      <c r="H1520" s="17" t="s">
        <v>5932</v>
      </c>
      <c r="I1520" s="269"/>
      <c r="J1520" s="369" t="str">
        <f>HYPERLINK("[#]Datatypes!B1231:L1231","Real")</f>
        <v>Real</v>
      </c>
      <c r="K1520" s="271" t="str">
        <f>HYPERLINK("[#]PhysicalQuantities!A20:N20","Length")</f>
        <v>Length</v>
      </c>
      <c r="L1520" s="270" t="str">
        <f>HYPERLINK("[#]UnitsOfMeasure!D80:G80","Metre")</f>
        <v>Metre</v>
      </c>
      <c r="M1520" s="272"/>
      <c r="N1520" s="273"/>
      <c r="O1520" s="269"/>
      <c r="P1520" s="37">
        <v>110731</v>
      </c>
      <c r="Q1520" s="36" t="str">
        <f>CONCATENATE(Cover!$D$6,"fdd/view?i=",P1520)</f>
        <v>https://www.dgiwg.org/FAD/fdd/view?i=110731</v>
      </c>
      <c r="R1520" s="13" t="s">
        <v>13342</v>
      </c>
      <c r="S1520" s="172"/>
      <c r="T1520" s="172"/>
      <c r="AU1520" s="82" t="s">
        <v>1790</v>
      </c>
      <c r="BJ1520" s="83" t="s">
        <v>1790</v>
      </c>
      <c r="BL1520" s="81" t="s">
        <v>1790</v>
      </c>
      <c r="BM1520" s="82" t="s">
        <v>1790</v>
      </c>
      <c r="CQ1520" s="165" t="s">
        <v>1790</v>
      </c>
    </row>
    <row r="1521" spans="1:107" ht="38.25" x14ac:dyDescent="0.2">
      <c r="A1521" s="176" t="str">
        <f t="shared" si="37"/>
        <v>terrainMorphology</v>
      </c>
      <c r="B1521" s="11" t="s">
        <v>13349</v>
      </c>
      <c r="C1521" s="173"/>
      <c r="D1521" s="22" t="s">
        <v>13350</v>
      </c>
      <c r="E1521" s="15" t="s">
        <v>13351</v>
      </c>
      <c r="F1521" s="15" t="s">
        <v>13352</v>
      </c>
      <c r="G1521" s="174"/>
      <c r="H1521" s="17" t="s">
        <v>5932</v>
      </c>
      <c r="I1521" s="269"/>
      <c r="J1521" s="369" t="str">
        <f>HYPERLINK("[#]Datatypes!B1522:L1522","SrdCode")</f>
        <v>SrdCode</v>
      </c>
      <c r="K1521" s="276"/>
      <c r="L1521" s="272"/>
      <c r="M1521" s="272"/>
      <c r="N1521" s="248" t="str">
        <f>HYPERLINK("[#]DatatypeListedValues!A9534:H9534","&lt;values&gt;")</f>
        <v>&lt;values&gt;</v>
      </c>
      <c r="O1521" s="277" t="b">
        <v>0</v>
      </c>
      <c r="P1521" s="37">
        <v>101324</v>
      </c>
      <c r="Q1521" s="36" t="str">
        <f>CONCATENATE(Cover!$D$6,"fdd/view?i=",P1521)</f>
        <v>https://www.dgiwg.org/FAD/fdd/view?i=101324</v>
      </c>
      <c r="R1521" s="13" t="s">
        <v>13348</v>
      </c>
      <c r="S1521" s="172"/>
      <c r="T1521" s="172"/>
      <c r="BM1521" s="82" t="s">
        <v>1790</v>
      </c>
      <c r="CS1521" s="165" t="s">
        <v>1790</v>
      </c>
    </row>
    <row r="1522" spans="1:107" ht="38.25" x14ac:dyDescent="0.2">
      <c r="A1522" s="176" t="str">
        <f t="shared" si="37"/>
        <v>terrainMorphologyDesc</v>
      </c>
      <c r="B1522" s="11" t="s">
        <v>13355</v>
      </c>
      <c r="C1522" s="173"/>
      <c r="D1522" s="22" t="s">
        <v>13356</v>
      </c>
      <c r="E1522" s="15" t="s">
        <v>13357</v>
      </c>
      <c r="F1522" s="15" t="s">
        <v>13358</v>
      </c>
      <c r="G1522" s="174"/>
      <c r="H1522" s="17" t="s">
        <v>5932</v>
      </c>
      <c r="I1522" s="269"/>
      <c r="J1522" s="369" t="str">
        <f>HYPERLINK("[#]Datatypes!B1538:L1538","TextLex255")</f>
        <v>TextLex255</v>
      </c>
      <c r="K1522" s="276"/>
      <c r="L1522" s="272"/>
      <c r="M1522" s="272"/>
      <c r="N1522" s="273"/>
      <c r="O1522" s="269"/>
      <c r="P1522" s="37">
        <v>101394</v>
      </c>
      <c r="Q1522" s="36" t="str">
        <f>CONCATENATE(Cover!$D$6,"fdd/view?i=",P1522)</f>
        <v>https://www.dgiwg.org/FAD/fdd/view?i=101394</v>
      </c>
      <c r="R1522" s="13" t="s">
        <v>13354</v>
      </c>
      <c r="S1522" s="172"/>
      <c r="T1522" s="172"/>
      <c r="BM1522" s="82" t="s">
        <v>1790</v>
      </c>
      <c r="CW1522" s="164" t="s">
        <v>1790</v>
      </c>
    </row>
    <row r="1523" spans="1:107" ht="25.5" x14ac:dyDescent="0.2">
      <c r="A1523" s="176" t="str">
        <f t="shared" si="37"/>
        <v>territorySpecialStatType</v>
      </c>
      <c r="B1523" s="11" t="s">
        <v>13360</v>
      </c>
      <c r="C1523" s="173"/>
      <c r="D1523" s="22" t="s">
        <v>13361</v>
      </c>
      <c r="E1523" s="15" t="s">
        <v>13362</v>
      </c>
      <c r="F1523" s="174"/>
      <c r="G1523" s="174"/>
      <c r="H1523" s="17" t="s">
        <v>5932</v>
      </c>
      <c r="I1523" s="269"/>
      <c r="J1523" s="369" t="str">
        <f>HYPERLINK("[#]Datatypes!B1524:L1524","AdsCode")</f>
        <v>AdsCode</v>
      </c>
      <c r="K1523" s="276"/>
      <c r="L1523" s="272"/>
      <c r="M1523" s="272"/>
      <c r="N1523" s="248" t="str">
        <f>HYPERLINK("[#]DatatypeListedValues!A9613:H9613","&lt;values&gt;")</f>
        <v>&lt;values&gt;</v>
      </c>
      <c r="O1523" s="277" t="b">
        <v>0</v>
      </c>
      <c r="P1523" s="37">
        <v>114465</v>
      </c>
      <c r="Q1523" s="36" t="str">
        <f>CONCATENATE(Cover!$D$6,"fdd/view?i=",P1523)</f>
        <v>https://www.dgiwg.org/FAD/fdd/view?i=114465</v>
      </c>
      <c r="R1523" s="13" t="s">
        <v>13359</v>
      </c>
      <c r="S1523" s="172"/>
      <c r="T1523" s="172"/>
      <c r="AM1523" s="83" t="s">
        <v>1790</v>
      </c>
      <c r="CT1523" s="166" t="s">
        <v>1790</v>
      </c>
      <c r="CV1523" s="83" t="s">
        <v>1790</v>
      </c>
    </row>
    <row r="1524" spans="1:107" ht="25.5" x14ac:dyDescent="0.2">
      <c r="A1524" s="176" t="str">
        <f t="shared" si="37"/>
        <v>tertiaryStructMatType</v>
      </c>
      <c r="B1524" s="11" t="s">
        <v>13365</v>
      </c>
      <c r="C1524" s="173"/>
      <c r="D1524" s="22" t="s">
        <v>13366</v>
      </c>
      <c r="E1524" s="15" t="s">
        <v>13367</v>
      </c>
      <c r="F1524" s="15" t="s">
        <v>13368</v>
      </c>
      <c r="G1524" s="174"/>
      <c r="H1524" s="17" t="s">
        <v>5932</v>
      </c>
      <c r="I1524" s="269"/>
      <c r="J1524" s="369" t="str">
        <f>HYPERLINK("[#]Datatypes!B1526:L1526","McuCode")</f>
        <v>McuCode</v>
      </c>
      <c r="K1524" s="276"/>
      <c r="L1524" s="272"/>
      <c r="M1524" s="272"/>
      <c r="N1524" s="248" t="str">
        <f>HYPERLINK("[#]DatatypeListedValues!A9625:H9625","&lt;values&gt;")</f>
        <v>&lt;values&gt;</v>
      </c>
      <c r="O1524" s="277" t="b">
        <v>0</v>
      </c>
      <c r="P1524" s="37">
        <v>101035</v>
      </c>
      <c r="Q1524" s="36" t="str">
        <f>CONCATENATE(Cover!$D$6,"fdd/view?i=",P1524)</f>
        <v>https://www.dgiwg.org/FAD/fdd/view?i=101035</v>
      </c>
      <c r="R1524" s="13" t="s">
        <v>13364</v>
      </c>
      <c r="S1524" s="172"/>
      <c r="T1524" s="172"/>
      <c r="CS1524" s="165" t="s">
        <v>1790</v>
      </c>
    </row>
    <row r="1525" spans="1:107" x14ac:dyDescent="0.2">
      <c r="A1525" s="176" t="str">
        <f t="shared" si="37"/>
        <v>thematicClassification</v>
      </c>
      <c r="B1525" s="11" t="s">
        <v>13371</v>
      </c>
      <c r="C1525" s="173"/>
      <c r="D1525" s="22" t="s">
        <v>13372</v>
      </c>
      <c r="E1525" s="15" t="s">
        <v>13373</v>
      </c>
      <c r="F1525" s="174"/>
      <c r="G1525" s="174"/>
      <c r="H1525" s="17" t="s">
        <v>5932</v>
      </c>
      <c r="I1525" s="269"/>
      <c r="J1525" s="369" t="str">
        <f>HYPERLINK("[#]Datatypes!B1564:L1564","ThlCode")</f>
        <v>ThlCode</v>
      </c>
      <c r="K1525" s="276"/>
      <c r="L1525" s="272"/>
      <c r="M1525" s="272"/>
      <c r="N1525" s="248" t="str">
        <f>HYPERLINK("[#]DatatypeListedValues!A9711:H9711","&lt;values&gt;")</f>
        <v>&lt;values&gt;</v>
      </c>
      <c r="O1525" s="277" t="b">
        <v>0</v>
      </c>
      <c r="P1525" s="37">
        <v>119780</v>
      </c>
      <c r="Q1525" s="36" t="str">
        <f>CONCATENATE(Cover!$D$6,"fdd/view?i=",P1525)</f>
        <v>https://www.dgiwg.org/FAD/fdd/view?i=119780</v>
      </c>
      <c r="R1525" s="13" t="s">
        <v>13370</v>
      </c>
      <c r="S1525" s="172"/>
      <c r="T1525" s="172"/>
      <c r="CT1525" s="166" t="s">
        <v>1790</v>
      </c>
      <c r="DC1525" s="87" t="s">
        <v>1790</v>
      </c>
    </row>
    <row r="1526" spans="1:107" ht="25.5" x14ac:dyDescent="0.2">
      <c r="A1526" s="176" t="str">
        <f t="shared" si="37"/>
        <v>thickness</v>
      </c>
      <c r="B1526" s="11" t="s">
        <v>13376</v>
      </c>
      <c r="C1526" s="173"/>
      <c r="D1526" s="22" t="s">
        <v>13377</v>
      </c>
      <c r="E1526" s="15" t="s">
        <v>13378</v>
      </c>
      <c r="F1526" s="15" t="s">
        <v>13379</v>
      </c>
      <c r="G1526" s="174"/>
      <c r="H1526" s="17" t="s">
        <v>5932</v>
      </c>
      <c r="I1526" s="269"/>
      <c r="J1526" s="369" t="str">
        <f>HYPERLINK("[#]Datatypes!B1233:L1233","RealInterval")</f>
        <v>RealInterval</v>
      </c>
      <c r="K1526" s="271" t="str">
        <f>HYPERLINK("[#]PhysicalQuantities!A20:N20","Length")</f>
        <v>Length</v>
      </c>
      <c r="L1526" s="270" t="str">
        <f>HYPERLINK("[#]UnitsOfMeasure!D80:G80","Metre")</f>
        <v>Metre</v>
      </c>
      <c r="M1526" s="272"/>
      <c r="N1526" s="273"/>
      <c r="O1526" s="269"/>
      <c r="P1526" s="37">
        <v>111733</v>
      </c>
      <c r="Q1526" s="36" t="str">
        <f>CONCATENATE(Cover!$D$6,"fdd/view?i=",P1526)</f>
        <v>https://www.dgiwg.org/FAD/fdd/view?i=111733</v>
      </c>
      <c r="R1526" s="13" t="s">
        <v>13375</v>
      </c>
      <c r="S1526" s="172"/>
      <c r="T1526" s="172"/>
      <c r="CQ1526" s="165" t="s">
        <v>1790</v>
      </c>
    </row>
    <row r="1527" spans="1:107" ht="25.5" x14ac:dyDescent="0.2">
      <c r="A1527" s="176" t="str">
        <f t="shared" si="37"/>
        <v>thoroughfareClass</v>
      </c>
      <c r="B1527" s="11" t="s">
        <v>13381</v>
      </c>
      <c r="C1527" s="173"/>
      <c r="D1527" s="22" t="s">
        <v>13382</v>
      </c>
      <c r="E1527" s="15" t="s">
        <v>13383</v>
      </c>
      <c r="F1527" s="174"/>
      <c r="G1527" s="174"/>
      <c r="H1527" s="17" t="s">
        <v>5932</v>
      </c>
      <c r="I1527" s="269"/>
      <c r="J1527" s="369" t="str">
        <f>HYPERLINK("[#]Datatypes!B1566:L1566","HctCode")</f>
        <v>HctCode</v>
      </c>
      <c r="K1527" s="276"/>
      <c r="L1527" s="272"/>
      <c r="M1527" s="272"/>
      <c r="N1527" s="248" t="str">
        <f>HYPERLINK("[#]DatatypeListedValues!A9722:H9722","&lt;values&gt;")</f>
        <v>&lt;values&gt;</v>
      </c>
      <c r="O1527" s="277" t="b">
        <v>0</v>
      </c>
      <c r="P1527" s="37">
        <v>103228</v>
      </c>
      <c r="Q1527" s="36" t="str">
        <f>CONCATENATE(Cover!$D$6,"fdd/view?i=",P1527)</f>
        <v>https://www.dgiwg.org/FAD/fdd/view?i=103228</v>
      </c>
      <c r="R1527" s="13" t="s">
        <v>13380</v>
      </c>
      <c r="S1527" s="172"/>
      <c r="T1527" s="172"/>
      <c r="AQ1527" s="82" t="s">
        <v>1790</v>
      </c>
      <c r="CT1527" s="166" t="s">
        <v>1790</v>
      </c>
    </row>
    <row r="1528" spans="1:107" ht="76.5" x14ac:dyDescent="0.2">
      <c r="A1528" s="176" t="str">
        <f t="shared" si="37"/>
        <v>thoroughfareName</v>
      </c>
      <c r="B1528" s="11" t="s">
        <v>13386</v>
      </c>
      <c r="C1528" s="173"/>
      <c r="D1528" s="22" t="s">
        <v>13387</v>
      </c>
      <c r="E1528" s="15" t="s">
        <v>13388</v>
      </c>
      <c r="F1528" s="15" t="s">
        <v>13389</v>
      </c>
      <c r="G1528" s="174"/>
      <c r="H1528" s="17" t="s">
        <v>5932</v>
      </c>
      <c r="I1528" s="269"/>
      <c r="J1528" s="369" t="str">
        <f>HYPERLINK("[#]Datatypes!B1542:L1542","TextLex80")</f>
        <v>TextLex80</v>
      </c>
      <c r="K1528" s="276"/>
      <c r="L1528" s="272"/>
      <c r="M1528" s="272"/>
      <c r="N1528" s="273"/>
      <c r="O1528" s="269"/>
      <c r="P1528" s="37">
        <v>109990</v>
      </c>
      <c r="Q1528" s="36" t="str">
        <f>CONCATENATE(Cover!$D$6,"fdd/view?i=",P1528)</f>
        <v>https://www.dgiwg.org/FAD/fdd/view?i=109990</v>
      </c>
      <c r="R1528" s="13" t="s">
        <v>13385</v>
      </c>
      <c r="S1528" s="172"/>
      <c r="T1528" s="172"/>
      <c r="AQ1528" s="82" t="s">
        <v>1790</v>
      </c>
      <c r="CU1528" s="87" t="s">
        <v>1790</v>
      </c>
    </row>
    <row r="1529" spans="1:107" ht="89.25" x14ac:dyDescent="0.2">
      <c r="A1529" s="176" t="str">
        <f t="shared" si="37"/>
        <v>thoroughfareType</v>
      </c>
      <c r="B1529" s="11" t="s">
        <v>13391</v>
      </c>
      <c r="C1529" s="173"/>
      <c r="D1529" s="22" t="s">
        <v>13392</v>
      </c>
      <c r="E1529" s="15" t="s">
        <v>13393</v>
      </c>
      <c r="F1529" s="15" t="s">
        <v>13394</v>
      </c>
      <c r="G1529" s="174"/>
      <c r="H1529" s="17" t="s">
        <v>5932</v>
      </c>
      <c r="I1529" s="269"/>
      <c r="J1529" s="369" t="str">
        <f>HYPERLINK("[#]Datatypes!B1568:L1568","TypCode")</f>
        <v>TypCode</v>
      </c>
      <c r="K1529" s="276"/>
      <c r="L1529" s="272"/>
      <c r="M1529" s="272"/>
      <c r="N1529" s="248" t="str">
        <f>HYPERLINK("[#]DatatypeListedValues!A9726:H9726","&lt;values&gt;")</f>
        <v>&lt;values&gt;</v>
      </c>
      <c r="O1529" s="277" t="b">
        <v>0</v>
      </c>
      <c r="P1529" s="37">
        <v>101404</v>
      </c>
      <c r="Q1529" s="36" t="str">
        <f>CONCATENATE(Cover!$D$6,"fdd/view?i=",P1529)</f>
        <v>https://www.dgiwg.org/FAD/fdd/view?i=101404</v>
      </c>
      <c r="R1529" s="13" t="s">
        <v>13390</v>
      </c>
      <c r="S1529" s="172"/>
      <c r="T1529" s="172"/>
      <c r="AQ1529" s="82" t="s">
        <v>1790</v>
      </c>
      <c r="CS1529" s="165" t="s">
        <v>1790</v>
      </c>
      <c r="CT1529" s="166" t="s">
        <v>1790</v>
      </c>
    </row>
    <row r="1530" spans="1:107" ht="38.25" x14ac:dyDescent="0.2">
      <c r="A1530" s="176" t="str">
        <f t="shared" si="37"/>
        <v>thoroughfareUse</v>
      </c>
      <c r="B1530" s="11" t="s">
        <v>13397</v>
      </c>
      <c r="C1530" s="173"/>
      <c r="D1530" s="22" t="s">
        <v>13398</v>
      </c>
      <c r="E1530" s="15" t="s">
        <v>13399</v>
      </c>
      <c r="F1530" s="15" t="s">
        <v>13400</v>
      </c>
      <c r="G1530" s="174"/>
      <c r="H1530" s="17" t="s">
        <v>5932</v>
      </c>
      <c r="I1530" s="269"/>
      <c r="J1530" s="369" t="str">
        <f>HYPERLINK("[#]Datatypes!B1570:L1570","RdtCode")</f>
        <v>RdtCode</v>
      </c>
      <c r="K1530" s="276"/>
      <c r="L1530" s="272"/>
      <c r="M1530" s="272"/>
      <c r="N1530" s="248" t="str">
        <f>HYPERLINK("[#]DatatypeListedValues!A9743:H9743","&lt;values&gt;")</f>
        <v>&lt;values&gt;</v>
      </c>
      <c r="O1530" s="277" t="b">
        <v>0</v>
      </c>
      <c r="P1530" s="37">
        <v>101213</v>
      </c>
      <c r="Q1530" s="36" t="str">
        <f>CONCATENATE(Cover!$D$6,"fdd/view?i=",P1530)</f>
        <v>https://www.dgiwg.org/FAD/fdd/view?i=101213</v>
      </c>
      <c r="R1530" s="13" t="s">
        <v>13396</v>
      </c>
      <c r="S1530" s="172"/>
      <c r="T1530" s="172"/>
      <c r="AQ1530" s="82" t="s">
        <v>1790</v>
      </c>
      <c r="CT1530" s="166" t="s">
        <v>1790</v>
      </c>
    </row>
    <row r="1531" spans="1:107" ht="63.75" x14ac:dyDescent="0.2">
      <c r="A1531" s="176" t="str">
        <f t="shared" si="37"/>
        <v>thresholdCourseWidth</v>
      </c>
      <c r="B1531" s="11" t="s">
        <v>13403</v>
      </c>
      <c r="C1531" s="173"/>
      <c r="D1531" s="22" t="s">
        <v>13404</v>
      </c>
      <c r="E1531" s="15" t="s">
        <v>13405</v>
      </c>
      <c r="F1531" s="15" t="s">
        <v>13406</v>
      </c>
      <c r="G1531" s="174"/>
      <c r="H1531" s="17" t="s">
        <v>5932</v>
      </c>
      <c r="I1531" s="269"/>
      <c r="J1531" s="369" t="str">
        <f>HYPERLINK("[#]Datatypes!B1048:L1048","RealNonNegative")</f>
        <v>RealNonNegative</v>
      </c>
      <c r="K1531" s="271" t="str">
        <f>HYPERLINK("[#]PhysicalQuantities!A20:N20","Length")</f>
        <v>Length</v>
      </c>
      <c r="L1531" s="270" t="str">
        <f>HYPERLINK("[#]UnitsOfMeasure!D80:G80","Metre")</f>
        <v>Metre</v>
      </c>
      <c r="M1531" s="272"/>
      <c r="N1531" s="273"/>
      <c r="O1531" s="269"/>
      <c r="P1531" s="37">
        <v>119610</v>
      </c>
      <c r="Q1531" s="36" t="str">
        <f>CONCATENATE(Cover!$D$6,"fdd/view?i=",P1531)</f>
        <v>https://www.dgiwg.org/FAD/fdd/view?i=119610</v>
      </c>
      <c r="R1531" s="13" t="s">
        <v>13402</v>
      </c>
      <c r="S1531" s="172"/>
      <c r="T1531" s="172"/>
      <c r="AT1531" s="82" t="s">
        <v>1790</v>
      </c>
      <c r="CF1531" s="83" t="s">
        <v>1790</v>
      </c>
      <c r="CQ1531" s="165" t="s">
        <v>1790</v>
      </c>
    </row>
    <row r="1532" spans="1:107" ht="25.5" x14ac:dyDescent="0.2">
      <c r="A1532" s="176" t="str">
        <f t="shared" si="37"/>
        <v>thresholdCrossingHeight</v>
      </c>
      <c r="B1532" s="11" t="s">
        <v>13408</v>
      </c>
      <c r="C1532" s="173"/>
      <c r="D1532" s="22" t="s">
        <v>13409</v>
      </c>
      <c r="E1532" s="15" t="s">
        <v>13410</v>
      </c>
      <c r="F1532" s="174"/>
      <c r="G1532" s="15" t="s">
        <v>13411</v>
      </c>
      <c r="H1532" s="17" t="s">
        <v>5932</v>
      </c>
      <c r="I1532" s="269"/>
      <c r="J1532" s="369" t="str">
        <f>HYPERLINK("[#]Datatypes!B1231:L1231","Real")</f>
        <v>Real</v>
      </c>
      <c r="K1532" s="271" t="str">
        <f>HYPERLINK("[#]PhysicalQuantities!A20:N20","Length")</f>
        <v>Length</v>
      </c>
      <c r="L1532" s="270" t="str">
        <f>HYPERLINK("[#]UnitsOfMeasure!D103:G103","Foot")</f>
        <v>Foot</v>
      </c>
      <c r="M1532" s="272"/>
      <c r="N1532" s="273"/>
      <c r="O1532" s="269"/>
      <c r="P1532" s="37">
        <v>117723</v>
      </c>
      <c r="Q1532" s="36" t="str">
        <f>CONCATENATE(Cover!$D$6,"fdd/view?i=",P1532)</f>
        <v>https://www.dgiwg.org/FAD/fdd/view?i=117723</v>
      </c>
      <c r="R1532" s="13" t="s">
        <v>13407</v>
      </c>
      <c r="S1532" s="172"/>
      <c r="T1532" s="172"/>
      <c r="CI1532" s="89" t="s">
        <v>1790</v>
      </c>
    </row>
    <row r="1533" spans="1:107" ht="76.5" x14ac:dyDescent="0.2">
      <c r="A1533" s="176" t="str">
        <f t="shared" si="37"/>
        <v>throughRoute</v>
      </c>
      <c r="B1533" s="11" t="s">
        <v>13413</v>
      </c>
      <c r="C1533" s="173"/>
      <c r="D1533" s="22" t="s">
        <v>13414</v>
      </c>
      <c r="E1533" s="15" t="s">
        <v>13415</v>
      </c>
      <c r="F1533" s="15" t="s">
        <v>13416</v>
      </c>
      <c r="G1533" s="174"/>
      <c r="H1533" s="17" t="s">
        <v>5932</v>
      </c>
      <c r="I1533" s="269"/>
      <c r="J1533" s="369" t="str">
        <f>HYPERLINK("[#]Datatypes!B240:L240","Boolean")</f>
        <v>Boolean</v>
      </c>
      <c r="K1533" s="276"/>
      <c r="L1533" s="272"/>
      <c r="M1533" s="272"/>
      <c r="N1533" s="273"/>
      <c r="O1533" s="269"/>
      <c r="P1533" s="37">
        <v>111734</v>
      </c>
      <c r="Q1533" s="36" t="str">
        <f>CONCATENATE(Cover!$D$6,"fdd/view?i=",P1533)</f>
        <v>https://www.dgiwg.org/FAD/fdd/view?i=111734</v>
      </c>
      <c r="R1533" s="13" t="s">
        <v>13412</v>
      </c>
      <c r="S1533" s="172"/>
      <c r="T1533" s="172"/>
      <c r="AQ1533" s="82" t="s">
        <v>1790</v>
      </c>
      <c r="CS1533" s="165" t="s">
        <v>1790</v>
      </c>
    </row>
    <row r="1534" spans="1:107" ht="25.5" x14ac:dyDescent="0.2">
      <c r="A1534" s="176" t="str">
        <f t="shared" si="37"/>
        <v>thrustAugmentFluidType</v>
      </c>
      <c r="B1534" s="11" t="s">
        <v>13418</v>
      </c>
      <c r="C1534" s="173"/>
      <c r="D1534" s="22" t="s">
        <v>13419</v>
      </c>
      <c r="E1534" s="15" t="s">
        <v>13420</v>
      </c>
      <c r="F1534" s="174"/>
      <c r="G1534" s="15" t="s">
        <v>13421</v>
      </c>
      <c r="H1534" s="17" t="s">
        <v>5932</v>
      </c>
      <c r="I1534" s="17" t="s">
        <v>6224</v>
      </c>
      <c r="J1534" s="369" t="str">
        <f>HYPERLINK("[#]Datatypes!B1572:L1572","TafCode")</f>
        <v>TafCode</v>
      </c>
      <c r="K1534" s="276"/>
      <c r="L1534" s="272"/>
      <c r="M1534" s="272"/>
      <c r="N1534" s="248" t="str">
        <f>HYPERLINK("[#]DatatypeListedValues!A9752:H9752","&lt;values&gt;")</f>
        <v>&lt;values&gt;</v>
      </c>
      <c r="O1534" s="277" t="b">
        <v>0</v>
      </c>
      <c r="P1534" s="37">
        <v>117720</v>
      </c>
      <c r="Q1534" s="36" t="str">
        <f>CONCATENATE(Cover!$D$6,"fdd/view?i=",P1534)</f>
        <v>https://www.dgiwg.org/FAD/fdd/view?i=117720</v>
      </c>
      <c r="R1534" s="13" t="s">
        <v>13417</v>
      </c>
      <c r="S1534" s="172"/>
      <c r="T1534" s="172"/>
      <c r="CH1534" s="83" t="s">
        <v>1790</v>
      </c>
    </row>
    <row r="1535" spans="1:107" ht="25.5" x14ac:dyDescent="0.2">
      <c r="A1535" s="176" t="str">
        <f t="shared" si="37"/>
        <v>tidalCoastType</v>
      </c>
      <c r="B1535" s="11" t="s">
        <v>13424</v>
      </c>
      <c r="C1535" s="173"/>
      <c r="D1535" s="22" t="s">
        <v>13425</v>
      </c>
      <c r="E1535" s="15" t="s">
        <v>13426</v>
      </c>
      <c r="F1535" s="174"/>
      <c r="G1535" s="174"/>
      <c r="H1535" s="17" t="s">
        <v>5932</v>
      </c>
      <c r="I1535" s="269"/>
      <c r="J1535" s="369" t="str">
        <f>HYPERLINK("[#]Datatypes!B1574:L1574","TctCode")</f>
        <v>TctCode</v>
      </c>
      <c r="K1535" s="276"/>
      <c r="L1535" s="272"/>
      <c r="M1535" s="272"/>
      <c r="N1535" s="248" t="str">
        <f>HYPERLINK("[#]DatatypeListedValues!A9758:H9758","&lt;values&gt;")</f>
        <v>&lt;values&gt;</v>
      </c>
      <c r="O1535" s="277" t="b">
        <v>0</v>
      </c>
      <c r="P1535" s="37">
        <v>111732</v>
      </c>
      <c r="Q1535" s="36" t="str">
        <f>CONCATENATE(Cover!$D$6,"fdd/view?i=",P1535)</f>
        <v>https://www.dgiwg.org/FAD/fdd/view?i=111732</v>
      </c>
      <c r="R1535" s="13" t="s">
        <v>13423</v>
      </c>
      <c r="S1535" s="172"/>
      <c r="T1535" s="172"/>
      <c r="AZ1535" s="87" t="s">
        <v>1790</v>
      </c>
      <c r="BE1535" s="83" t="s">
        <v>1790</v>
      </c>
      <c r="BO1535" s="82" t="s">
        <v>1790</v>
      </c>
      <c r="CS1535" s="165" t="s">
        <v>1790</v>
      </c>
    </row>
    <row r="1536" spans="1:107" ht="25.5" x14ac:dyDescent="0.2">
      <c r="A1536" s="176" t="str">
        <f t="shared" si="37"/>
        <v>tidalCurDirect</v>
      </c>
      <c r="B1536" s="11" t="s">
        <v>13429</v>
      </c>
      <c r="C1536" s="173"/>
      <c r="D1536" s="22" t="s">
        <v>13430</v>
      </c>
      <c r="E1536" s="15" t="s">
        <v>13431</v>
      </c>
      <c r="F1536" s="15" t="s">
        <v>13432</v>
      </c>
      <c r="G1536" s="174"/>
      <c r="H1536" s="17" t="s">
        <v>5932</v>
      </c>
      <c r="I1536" s="269"/>
      <c r="J1536" s="369" t="str">
        <f t="shared" ref="J1536:J1559" si="38">HYPERLINK("[#]Datatypes!B1248:L1248","RealNonNeg359")</f>
        <v>RealNonNeg359</v>
      </c>
      <c r="K1536" s="271" t="str">
        <f t="shared" ref="K1536:K1559" si="39">HYPERLINK("[#]PhysicalQuantities!A34:N34","Plane Angle")</f>
        <v>Plane Angle</v>
      </c>
      <c r="L1536" s="270" t="str">
        <f t="shared" ref="L1536:L1559" si="40">HYPERLINK("[#]UnitsOfMeasure!D159:G159","Arc Degree")</f>
        <v>Arc Degree</v>
      </c>
      <c r="M1536" s="272"/>
      <c r="N1536" s="273"/>
      <c r="O1536" s="269"/>
      <c r="P1536" s="37">
        <v>110802</v>
      </c>
      <c r="Q1536" s="36" t="str">
        <f>CONCATENATE(Cover!$D$6,"fdd/view?i=",P1536)</f>
        <v>https://www.dgiwg.org/FAD/fdd/view?i=110802</v>
      </c>
      <c r="R1536" s="13" t="s">
        <v>13428</v>
      </c>
      <c r="S1536" s="172"/>
      <c r="T1536" s="172"/>
      <c r="BE1536" s="83" t="s">
        <v>1790</v>
      </c>
      <c r="CP1536" s="164" t="s">
        <v>1790</v>
      </c>
    </row>
    <row r="1537" spans="1:94" ht="38.25" x14ac:dyDescent="0.2">
      <c r="A1537" s="176" t="str">
        <f t="shared" si="37"/>
        <v>tidalCurDirect1HrAfter</v>
      </c>
      <c r="B1537" s="11" t="s">
        <v>13435</v>
      </c>
      <c r="C1537" s="173"/>
      <c r="D1537" s="22" t="s">
        <v>13436</v>
      </c>
      <c r="E1537" s="15" t="s">
        <v>13437</v>
      </c>
      <c r="F1537" s="15" t="s">
        <v>13438</v>
      </c>
      <c r="G1537" s="174"/>
      <c r="H1537" s="17" t="s">
        <v>5932</v>
      </c>
      <c r="I1537" s="269"/>
      <c r="J1537" s="369" t="str">
        <f t="shared" si="38"/>
        <v>RealNonNeg359</v>
      </c>
      <c r="K1537" s="271" t="str">
        <f t="shared" si="39"/>
        <v>Plane Angle</v>
      </c>
      <c r="L1537" s="270" t="str">
        <f t="shared" si="40"/>
        <v>Arc Degree</v>
      </c>
      <c r="M1537" s="272"/>
      <c r="N1537" s="273"/>
      <c r="O1537" s="269"/>
      <c r="P1537" s="37">
        <v>110803</v>
      </c>
      <c r="Q1537" s="36" t="str">
        <f>CONCATENATE(Cover!$D$6,"fdd/view?i=",P1537)</f>
        <v>https://www.dgiwg.org/FAD/fdd/view?i=110803</v>
      </c>
      <c r="R1537" s="13" t="s">
        <v>13434</v>
      </c>
      <c r="S1537" s="172"/>
      <c r="T1537" s="172"/>
      <c r="BE1537" s="83" t="s">
        <v>1790</v>
      </c>
      <c r="CP1537" s="164" t="s">
        <v>1790</v>
      </c>
    </row>
    <row r="1538" spans="1:94" ht="38.25" x14ac:dyDescent="0.2">
      <c r="A1538" s="176" t="str">
        <f t="shared" si="37"/>
        <v>tidalCurDirect1HrBefore</v>
      </c>
      <c r="B1538" s="11" t="s">
        <v>13440</v>
      </c>
      <c r="C1538" s="173"/>
      <c r="D1538" s="22" t="s">
        <v>13441</v>
      </c>
      <c r="E1538" s="15" t="s">
        <v>13442</v>
      </c>
      <c r="F1538" s="15" t="s">
        <v>13438</v>
      </c>
      <c r="G1538" s="174"/>
      <c r="H1538" s="17" t="s">
        <v>5932</v>
      </c>
      <c r="I1538" s="269"/>
      <c r="J1538" s="369" t="str">
        <f t="shared" si="38"/>
        <v>RealNonNeg359</v>
      </c>
      <c r="K1538" s="271" t="str">
        <f t="shared" si="39"/>
        <v>Plane Angle</v>
      </c>
      <c r="L1538" s="270" t="str">
        <f t="shared" si="40"/>
        <v>Arc Degree</v>
      </c>
      <c r="M1538" s="272"/>
      <c r="N1538" s="273"/>
      <c r="O1538" s="269"/>
      <c r="P1538" s="37">
        <v>110801</v>
      </c>
      <c r="Q1538" s="36" t="str">
        <f>CONCATENATE(Cover!$D$6,"fdd/view?i=",P1538)</f>
        <v>https://www.dgiwg.org/FAD/fdd/view?i=110801</v>
      </c>
      <c r="R1538" s="13" t="s">
        <v>13439</v>
      </c>
      <c r="S1538" s="172"/>
      <c r="T1538" s="172"/>
      <c r="BE1538" s="83" t="s">
        <v>1790</v>
      </c>
      <c r="CP1538" s="164" t="s">
        <v>1790</v>
      </c>
    </row>
    <row r="1539" spans="1:94" ht="38.25" x14ac:dyDescent="0.2">
      <c r="A1539" s="176" t="str">
        <f t="shared" ref="A1539:A1602" si="41">HYPERLINK(Q1539,R1539)</f>
        <v>tidalCurDir10HrsAfter</v>
      </c>
      <c r="B1539" s="11" t="s">
        <v>13444</v>
      </c>
      <c r="C1539" s="173"/>
      <c r="D1539" s="22" t="s">
        <v>13445</v>
      </c>
      <c r="E1539" s="15" t="s">
        <v>13446</v>
      </c>
      <c r="F1539" s="15" t="s">
        <v>13438</v>
      </c>
      <c r="G1539" s="174"/>
      <c r="H1539" s="17" t="s">
        <v>5932</v>
      </c>
      <c r="I1539" s="269"/>
      <c r="J1539" s="369" t="str">
        <f t="shared" si="38"/>
        <v>RealNonNeg359</v>
      </c>
      <c r="K1539" s="271" t="str">
        <f t="shared" si="39"/>
        <v>Plane Angle</v>
      </c>
      <c r="L1539" s="270" t="str">
        <f t="shared" si="40"/>
        <v>Arc Degree</v>
      </c>
      <c r="M1539" s="272"/>
      <c r="N1539" s="273"/>
      <c r="O1539" s="269"/>
      <c r="P1539" s="37">
        <v>110812</v>
      </c>
      <c r="Q1539" s="36" t="str">
        <f>CONCATENATE(Cover!$D$6,"fdd/view?i=",P1539)</f>
        <v>https://www.dgiwg.org/FAD/fdd/view?i=110812</v>
      </c>
      <c r="R1539" s="13" t="s">
        <v>13443</v>
      </c>
      <c r="S1539" s="172"/>
      <c r="T1539" s="172"/>
      <c r="BE1539" s="83" t="s">
        <v>1790</v>
      </c>
      <c r="CP1539" s="164" t="s">
        <v>1790</v>
      </c>
    </row>
    <row r="1540" spans="1:94" ht="38.25" x14ac:dyDescent="0.2">
      <c r="A1540" s="176" t="str">
        <f t="shared" si="41"/>
        <v>tidalCurDir10HrsBefore</v>
      </c>
      <c r="B1540" s="11" t="s">
        <v>13448</v>
      </c>
      <c r="C1540" s="173"/>
      <c r="D1540" s="22" t="s">
        <v>13449</v>
      </c>
      <c r="E1540" s="15" t="s">
        <v>13450</v>
      </c>
      <c r="F1540" s="15" t="s">
        <v>13438</v>
      </c>
      <c r="G1540" s="174"/>
      <c r="H1540" s="17" t="s">
        <v>5932</v>
      </c>
      <c r="I1540" s="269"/>
      <c r="J1540" s="369" t="str">
        <f t="shared" si="38"/>
        <v>RealNonNeg359</v>
      </c>
      <c r="K1540" s="271" t="str">
        <f t="shared" si="39"/>
        <v>Plane Angle</v>
      </c>
      <c r="L1540" s="270" t="str">
        <f t="shared" si="40"/>
        <v>Arc Degree</v>
      </c>
      <c r="M1540" s="272"/>
      <c r="N1540" s="273"/>
      <c r="O1540" s="269"/>
      <c r="P1540" s="37">
        <v>110792</v>
      </c>
      <c r="Q1540" s="36" t="str">
        <f>CONCATENATE(Cover!$D$6,"fdd/view?i=",P1540)</f>
        <v>https://www.dgiwg.org/FAD/fdd/view?i=110792</v>
      </c>
      <c r="R1540" s="13" t="s">
        <v>13447</v>
      </c>
      <c r="S1540" s="172"/>
      <c r="T1540" s="172"/>
      <c r="BE1540" s="83" t="s">
        <v>1790</v>
      </c>
      <c r="CP1540" s="164" t="s">
        <v>1790</v>
      </c>
    </row>
    <row r="1541" spans="1:94" ht="38.25" x14ac:dyDescent="0.2">
      <c r="A1541" s="176" t="str">
        <f t="shared" si="41"/>
        <v>tidalCurDir11HrsAfter</v>
      </c>
      <c r="B1541" s="11" t="s">
        <v>13452</v>
      </c>
      <c r="C1541" s="173"/>
      <c r="D1541" s="22" t="s">
        <v>13453</v>
      </c>
      <c r="E1541" s="15" t="s">
        <v>13454</v>
      </c>
      <c r="F1541" s="15" t="s">
        <v>13438</v>
      </c>
      <c r="G1541" s="174"/>
      <c r="H1541" s="17" t="s">
        <v>5932</v>
      </c>
      <c r="I1541" s="269"/>
      <c r="J1541" s="369" t="str">
        <f t="shared" si="38"/>
        <v>RealNonNeg359</v>
      </c>
      <c r="K1541" s="271" t="str">
        <f t="shared" si="39"/>
        <v>Plane Angle</v>
      </c>
      <c r="L1541" s="270" t="str">
        <f t="shared" si="40"/>
        <v>Arc Degree</v>
      </c>
      <c r="M1541" s="272"/>
      <c r="N1541" s="273"/>
      <c r="O1541" s="269"/>
      <c r="P1541" s="37">
        <v>110813</v>
      </c>
      <c r="Q1541" s="36" t="str">
        <f>CONCATENATE(Cover!$D$6,"fdd/view?i=",P1541)</f>
        <v>https://www.dgiwg.org/FAD/fdd/view?i=110813</v>
      </c>
      <c r="R1541" s="13" t="s">
        <v>13451</v>
      </c>
      <c r="S1541" s="172"/>
      <c r="T1541" s="172"/>
      <c r="BE1541" s="83" t="s">
        <v>1790</v>
      </c>
      <c r="CP1541" s="164" t="s">
        <v>1790</v>
      </c>
    </row>
    <row r="1542" spans="1:94" ht="38.25" x14ac:dyDescent="0.2">
      <c r="A1542" s="176" t="str">
        <f t="shared" si="41"/>
        <v>tidalCurDir11HrsBefore</v>
      </c>
      <c r="B1542" s="11" t="s">
        <v>13456</v>
      </c>
      <c r="C1542" s="173"/>
      <c r="D1542" s="22" t="s">
        <v>13457</v>
      </c>
      <c r="E1542" s="15" t="s">
        <v>13458</v>
      </c>
      <c r="F1542" s="15" t="s">
        <v>13438</v>
      </c>
      <c r="G1542" s="174"/>
      <c r="H1542" s="17" t="s">
        <v>5932</v>
      </c>
      <c r="I1542" s="269"/>
      <c r="J1542" s="369" t="str">
        <f t="shared" si="38"/>
        <v>RealNonNeg359</v>
      </c>
      <c r="K1542" s="271" t="str">
        <f t="shared" si="39"/>
        <v>Plane Angle</v>
      </c>
      <c r="L1542" s="270" t="str">
        <f t="shared" si="40"/>
        <v>Arc Degree</v>
      </c>
      <c r="M1542" s="272"/>
      <c r="N1542" s="273"/>
      <c r="O1542" s="269"/>
      <c r="P1542" s="37">
        <v>110791</v>
      </c>
      <c r="Q1542" s="36" t="str">
        <f>CONCATENATE(Cover!$D$6,"fdd/view?i=",P1542)</f>
        <v>https://www.dgiwg.org/FAD/fdd/view?i=110791</v>
      </c>
      <c r="R1542" s="13" t="s">
        <v>13455</v>
      </c>
      <c r="S1542" s="172"/>
      <c r="T1542" s="172"/>
      <c r="BE1542" s="83" t="s">
        <v>1790</v>
      </c>
      <c r="CP1542" s="164" t="s">
        <v>1790</v>
      </c>
    </row>
    <row r="1543" spans="1:94" ht="38.25" x14ac:dyDescent="0.2">
      <c r="A1543" s="176" t="str">
        <f t="shared" si="41"/>
        <v>tidalCurDir12HrsBefore</v>
      </c>
      <c r="B1543" s="11" t="s">
        <v>13460</v>
      </c>
      <c r="C1543" s="173"/>
      <c r="D1543" s="22" t="s">
        <v>13461</v>
      </c>
      <c r="E1543" s="15" t="s">
        <v>13462</v>
      </c>
      <c r="F1543" s="15" t="s">
        <v>13438</v>
      </c>
      <c r="G1543" s="174"/>
      <c r="H1543" s="17" t="s">
        <v>5932</v>
      </c>
      <c r="I1543" s="269"/>
      <c r="J1543" s="369" t="str">
        <f t="shared" si="38"/>
        <v>RealNonNeg359</v>
      </c>
      <c r="K1543" s="271" t="str">
        <f t="shared" si="39"/>
        <v>Plane Angle</v>
      </c>
      <c r="L1543" s="270" t="str">
        <f t="shared" si="40"/>
        <v>Arc Degree</v>
      </c>
      <c r="M1543" s="272"/>
      <c r="N1543" s="273"/>
      <c r="O1543" s="269"/>
      <c r="P1543" s="37">
        <v>110790</v>
      </c>
      <c r="Q1543" s="36" t="str">
        <f>CONCATENATE(Cover!$D$6,"fdd/view?i=",P1543)</f>
        <v>https://www.dgiwg.org/FAD/fdd/view?i=110790</v>
      </c>
      <c r="R1543" s="13" t="s">
        <v>13459</v>
      </c>
      <c r="S1543" s="172"/>
      <c r="T1543" s="172"/>
      <c r="BE1543" s="83" t="s">
        <v>1790</v>
      </c>
      <c r="CP1543" s="164" t="s">
        <v>1790</v>
      </c>
    </row>
    <row r="1544" spans="1:94" ht="38.25" x14ac:dyDescent="0.2">
      <c r="A1544" s="176" t="str">
        <f t="shared" si="41"/>
        <v>tidalCurDirect2HrsAfter</v>
      </c>
      <c r="B1544" s="11" t="s">
        <v>13464</v>
      </c>
      <c r="C1544" s="173"/>
      <c r="D1544" s="22" t="s">
        <v>13465</v>
      </c>
      <c r="E1544" s="15" t="s">
        <v>13466</v>
      </c>
      <c r="F1544" s="15" t="s">
        <v>13438</v>
      </c>
      <c r="G1544" s="174"/>
      <c r="H1544" s="17" t="s">
        <v>5932</v>
      </c>
      <c r="I1544" s="269"/>
      <c r="J1544" s="369" t="str">
        <f t="shared" si="38"/>
        <v>RealNonNeg359</v>
      </c>
      <c r="K1544" s="271" t="str">
        <f t="shared" si="39"/>
        <v>Plane Angle</v>
      </c>
      <c r="L1544" s="270" t="str">
        <f t="shared" si="40"/>
        <v>Arc Degree</v>
      </c>
      <c r="M1544" s="272"/>
      <c r="N1544" s="273"/>
      <c r="O1544" s="269"/>
      <c r="P1544" s="37">
        <v>110804</v>
      </c>
      <c r="Q1544" s="36" t="str">
        <f>CONCATENATE(Cover!$D$6,"fdd/view?i=",P1544)</f>
        <v>https://www.dgiwg.org/FAD/fdd/view?i=110804</v>
      </c>
      <c r="R1544" s="13" t="s">
        <v>13463</v>
      </c>
      <c r="S1544" s="172"/>
      <c r="T1544" s="172"/>
      <c r="BE1544" s="83" t="s">
        <v>1790</v>
      </c>
      <c r="CP1544" s="164" t="s">
        <v>1790</v>
      </c>
    </row>
    <row r="1545" spans="1:94" ht="38.25" x14ac:dyDescent="0.2">
      <c r="A1545" s="176" t="str">
        <f t="shared" si="41"/>
        <v>tidalCurDirect2HrsBefore</v>
      </c>
      <c r="B1545" s="11" t="s">
        <v>13468</v>
      </c>
      <c r="C1545" s="173"/>
      <c r="D1545" s="22" t="s">
        <v>13469</v>
      </c>
      <c r="E1545" s="15" t="s">
        <v>13470</v>
      </c>
      <c r="F1545" s="15" t="s">
        <v>13438</v>
      </c>
      <c r="G1545" s="174"/>
      <c r="H1545" s="17" t="s">
        <v>5932</v>
      </c>
      <c r="I1545" s="269"/>
      <c r="J1545" s="369" t="str">
        <f t="shared" si="38"/>
        <v>RealNonNeg359</v>
      </c>
      <c r="K1545" s="271" t="str">
        <f t="shared" si="39"/>
        <v>Plane Angle</v>
      </c>
      <c r="L1545" s="270" t="str">
        <f t="shared" si="40"/>
        <v>Arc Degree</v>
      </c>
      <c r="M1545" s="272"/>
      <c r="N1545" s="273"/>
      <c r="O1545" s="269"/>
      <c r="P1545" s="37">
        <v>110800</v>
      </c>
      <c r="Q1545" s="36" t="str">
        <f>CONCATENATE(Cover!$D$6,"fdd/view?i=",P1545)</f>
        <v>https://www.dgiwg.org/FAD/fdd/view?i=110800</v>
      </c>
      <c r="R1545" s="13" t="s">
        <v>13467</v>
      </c>
      <c r="S1545" s="172"/>
      <c r="T1545" s="172"/>
      <c r="BE1545" s="83" t="s">
        <v>1790</v>
      </c>
      <c r="CP1545" s="164" t="s">
        <v>1790</v>
      </c>
    </row>
    <row r="1546" spans="1:94" ht="38.25" x14ac:dyDescent="0.2">
      <c r="A1546" s="176" t="str">
        <f t="shared" si="41"/>
        <v>tidalCurDirect3HrsAfter</v>
      </c>
      <c r="B1546" s="11" t="s">
        <v>13472</v>
      </c>
      <c r="C1546" s="173"/>
      <c r="D1546" s="22" t="s">
        <v>13473</v>
      </c>
      <c r="E1546" s="15" t="s">
        <v>13474</v>
      </c>
      <c r="F1546" s="15" t="s">
        <v>13438</v>
      </c>
      <c r="G1546" s="174"/>
      <c r="H1546" s="17" t="s">
        <v>5932</v>
      </c>
      <c r="I1546" s="269"/>
      <c r="J1546" s="369" t="str">
        <f t="shared" si="38"/>
        <v>RealNonNeg359</v>
      </c>
      <c r="K1546" s="271" t="str">
        <f t="shared" si="39"/>
        <v>Plane Angle</v>
      </c>
      <c r="L1546" s="270" t="str">
        <f t="shared" si="40"/>
        <v>Arc Degree</v>
      </c>
      <c r="M1546" s="272"/>
      <c r="N1546" s="273"/>
      <c r="O1546" s="269"/>
      <c r="P1546" s="37">
        <v>110805</v>
      </c>
      <c r="Q1546" s="36" t="str">
        <f>CONCATENATE(Cover!$D$6,"fdd/view?i=",P1546)</f>
        <v>https://www.dgiwg.org/FAD/fdd/view?i=110805</v>
      </c>
      <c r="R1546" s="13" t="s">
        <v>13471</v>
      </c>
      <c r="S1546" s="172"/>
      <c r="T1546" s="172"/>
      <c r="BE1546" s="83" t="s">
        <v>1790</v>
      </c>
      <c r="CP1546" s="164" t="s">
        <v>1790</v>
      </c>
    </row>
    <row r="1547" spans="1:94" ht="38.25" x14ac:dyDescent="0.2">
      <c r="A1547" s="176" t="str">
        <f t="shared" si="41"/>
        <v>tidalCurDirect3HrsBefore</v>
      </c>
      <c r="B1547" s="11" t="s">
        <v>13476</v>
      </c>
      <c r="C1547" s="173"/>
      <c r="D1547" s="22" t="s">
        <v>13477</v>
      </c>
      <c r="E1547" s="15" t="s">
        <v>13478</v>
      </c>
      <c r="F1547" s="15" t="s">
        <v>13438</v>
      </c>
      <c r="G1547" s="174"/>
      <c r="H1547" s="17" t="s">
        <v>5932</v>
      </c>
      <c r="I1547" s="269"/>
      <c r="J1547" s="369" t="str">
        <f t="shared" si="38"/>
        <v>RealNonNeg359</v>
      </c>
      <c r="K1547" s="271" t="str">
        <f t="shared" si="39"/>
        <v>Plane Angle</v>
      </c>
      <c r="L1547" s="270" t="str">
        <f t="shared" si="40"/>
        <v>Arc Degree</v>
      </c>
      <c r="M1547" s="272"/>
      <c r="N1547" s="273"/>
      <c r="O1547" s="269"/>
      <c r="P1547" s="37">
        <v>110799</v>
      </c>
      <c r="Q1547" s="36" t="str">
        <f>CONCATENATE(Cover!$D$6,"fdd/view?i=",P1547)</f>
        <v>https://www.dgiwg.org/FAD/fdd/view?i=110799</v>
      </c>
      <c r="R1547" s="13" t="s">
        <v>13475</v>
      </c>
      <c r="S1547" s="172"/>
      <c r="T1547" s="172"/>
      <c r="BE1547" s="83" t="s">
        <v>1790</v>
      </c>
      <c r="CP1547" s="164" t="s">
        <v>1790</v>
      </c>
    </row>
    <row r="1548" spans="1:94" ht="38.25" x14ac:dyDescent="0.2">
      <c r="A1548" s="176" t="str">
        <f t="shared" si="41"/>
        <v>tidalCurDirect4HrsAfter</v>
      </c>
      <c r="B1548" s="11" t="s">
        <v>13480</v>
      </c>
      <c r="C1548" s="173"/>
      <c r="D1548" s="22" t="s">
        <v>13481</v>
      </c>
      <c r="E1548" s="15" t="s">
        <v>13482</v>
      </c>
      <c r="F1548" s="15" t="s">
        <v>13438</v>
      </c>
      <c r="G1548" s="174"/>
      <c r="H1548" s="17" t="s">
        <v>5932</v>
      </c>
      <c r="I1548" s="269"/>
      <c r="J1548" s="369" t="str">
        <f t="shared" si="38"/>
        <v>RealNonNeg359</v>
      </c>
      <c r="K1548" s="271" t="str">
        <f t="shared" si="39"/>
        <v>Plane Angle</v>
      </c>
      <c r="L1548" s="270" t="str">
        <f t="shared" si="40"/>
        <v>Arc Degree</v>
      </c>
      <c r="M1548" s="272"/>
      <c r="N1548" s="273"/>
      <c r="O1548" s="269"/>
      <c r="P1548" s="37">
        <v>110806</v>
      </c>
      <c r="Q1548" s="36" t="str">
        <f>CONCATENATE(Cover!$D$6,"fdd/view?i=",P1548)</f>
        <v>https://www.dgiwg.org/FAD/fdd/view?i=110806</v>
      </c>
      <c r="R1548" s="13" t="s">
        <v>13479</v>
      </c>
      <c r="S1548" s="172"/>
      <c r="T1548" s="172"/>
      <c r="BE1548" s="83" t="s">
        <v>1790</v>
      </c>
      <c r="CP1548" s="164" t="s">
        <v>1790</v>
      </c>
    </row>
    <row r="1549" spans="1:94" ht="38.25" x14ac:dyDescent="0.2">
      <c r="A1549" s="176" t="str">
        <f t="shared" si="41"/>
        <v>tidalCurDirect4HrsBefore</v>
      </c>
      <c r="B1549" s="11" t="s">
        <v>13484</v>
      </c>
      <c r="C1549" s="173"/>
      <c r="D1549" s="22" t="s">
        <v>13485</v>
      </c>
      <c r="E1549" s="15" t="s">
        <v>13486</v>
      </c>
      <c r="F1549" s="15" t="s">
        <v>13438</v>
      </c>
      <c r="G1549" s="174"/>
      <c r="H1549" s="17" t="s">
        <v>5932</v>
      </c>
      <c r="I1549" s="269"/>
      <c r="J1549" s="369" t="str">
        <f t="shared" si="38"/>
        <v>RealNonNeg359</v>
      </c>
      <c r="K1549" s="271" t="str">
        <f t="shared" si="39"/>
        <v>Plane Angle</v>
      </c>
      <c r="L1549" s="270" t="str">
        <f t="shared" si="40"/>
        <v>Arc Degree</v>
      </c>
      <c r="M1549" s="272"/>
      <c r="N1549" s="273"/>
      <c r="O1549" s="269"/>
      <c r="P1549" s="37">
        <v>110798</v>
      </c>
      <c r="Q1549" s="36" t="str">
        <f>CONCATENATE(Cover!$D$6,"fdd/view?i=",P1549)</f>
        <v>https://www.dgiwg.org/FAD/fdd/view?i=110798</v>
      </c>
      <c r="R1549" s="13" t="s">
        <v>13483</v>
      </c>
      <c r="S1549" s="172"/>
      <c r="T1549" s="172"/>
      <c r="BE1549" s="83" t="s">
        <v>1790</v>
      </c>
      <c r="CP1549" s="164" t="s">
        <v>1790</v>
      </c>
    </row>
    <row r="1550" spans="1:94" ht="38.25" x14ac:dyDescent="0.2">
      <c r="A1550" s="176" t="str">
        <f t="shared" si="41"/>
        <v>tidalCurDirect5HrsAfter</v>
      </c>
      <c r="B1550" s="11" t="s">
        <v>13488</v>
      </c>
      <c r="C1550" s="173"/>
      <c r="D1550" s="22" t="s">
        <v>13489</v>
      </c>
      <c r="E1550" s="15" t="s">
        <v>13490</v>
      </c>
      <c r="F1550" s="15" t="s">
        <v>13438</v>
      </c>
      <c r="G1550" s="174"/>
      <c r="H1550" s="17" t="s">
        <v>5932</v>
      </c>
      <c r="I1550" s="269"/>
      <c r="J1550" s="369" t="str">
        <f t="shared" si="38"/>
        <v>RealNonNeg359</v>
      </c>
      <c r="K1550" s="271" t="str">
        <f t="shared" si="39"/>
        <v>Plane Angle</v>
      </c>
      <c r="L1550" s="270" t="str">
        <f t="shared" si="40"/>
        <v>Arc Degree</v>
      </c>
      <c r="M1550" s="272"/>
      <c r="N1550" s="273"/>
      <c r="O1550" s="269"/>
      <c r="P1550" s="37">
        <v>110807</v>
      </c>
      <c r="Q1550" s="36" t="str">
        <f>CONCATENATE(Cover!$D$6,"fdd/view?i=",P1550)</f>
        <v>https://www.dgiwg.org/FAD/fdd/view?i=110807</v>
      </c>
      <c r="R1550" s="13" t="s">
        <v>13487</v>
      </c>
      <c r="S1550" s="172"/>
      <c r="T1550" s="172"/>
      <c r="BE1550" s="83" t="s">
        <v>1790</v>
      </c>
      <c r="CP1550" s="164" t="s">
        <v>1790</v>
      </c>
    </row>
    <row r="1551" spans="1:94" ht="38.25" x14ac:dyDescent="0.2">
      <c r="A1551" s="176" t="str">
        <f t="shared" si="41"/>
        <v>tidalCurDirect5HrsBefore</v>
      </c>
      <c r="B1551" s="11" t="s">
        <v>13492</v>
      </c>
      <c r="C1551" s="173"/>
      <c r="D1551" s="22" t="s">
        <v>13493</v>
      </c>
      <c r="E1551" s="15" t="s">
        <v>13494</v>
      </c>
      <c r="F1551" s="15" t="s">
        <v>13438</v>
      </c>
      <c r="G1551" s="174"/>
      <c r="H1551" s="17" t="s">
        <v>5932</v>
      </c>
      <c r="I1551" s="269"/>
      <c r="J1551" s="369" t="str">
        <f t="shared" si="38"/>
        <v>RealNonNeg359</v>
      </c>
      <c r="K1551" s="271" t="str">
        <f t="shared" si="39"/>
        <v>Plane Angle</v>
      </c>
      <c r="L1551" s="270" t="str">
        <f t="shared" si="40"/>
        <v>Arc Degree</v>
      </c>
      <c r="M1551" s="272"/>
      <c r="N1551" s="273"/>
      <c r="O1551" s="269"/>
      <c r="P1551" s="37">
        <v>110797</v>
      </c>
      <c r="Q1551" s="36" t="str">
        <f>CONCATENATE(Cover!$D$6,"fdd/view?i=",P1551)</f>
        <v>https://www.dgiwg.org/FAD/fdd/view?i=110797</v>
      </c>
      <c r="R1551" s="13" t="s">
        <v>13491</v>
      </c>
      <c r="S1551" s="172"/>
      <c r="T1551" s="172"/>
      <c r="BE1551" s="83" t="s">
        <v>1790</v>
      </c>
      <c r="CP1551" s="164" t="s">
        <v>1790</v>
      </c>
    </row>
    <row r="1552" spans="1:94" ht="38.25" x14ac:dyDescent="0.2">
      <c r="A1552" s="176" t="str">
        <f t="shared" si="41"/>
        <v>tidalCurDirect6HrsAfter</v>
      </c>
      <c r="B1552" s="11" t="s">
        <v>13496</v>
      </c>
      <c r="C1552" s="173"/>
      <c r="D1552" s="22" t="s">
        <v>13497</v>
      </c>
      <c r="E1552" s="15" t="s">
        <v>13498</v>
      </c>
      <c r="F1552" s="15" t="s">
        <v>13438</v>
      </c>
      <c r="G1552" s="174"/>
      <c r="H1552" s="17" t="s">
        <v>5932</v>
      </c>
      <c r="I1552" s="269"/>
      <c r="J1552" s="369" t="str">
        <f t="shared" si="38"/>
        <v>RealNonNeg359</v>
      </c>
      <c r="K1552" s="271" t="str">
        <f t="shared" si="39"/>
        <v>Plane Angle</v>
      </c>
      <c r="L1552" s="270" t="str">
        <f t="shared" si="40"/>
        <v>Arc Degree</v>
      </c>
      <c r="M1552" s="272"/>
      <c r="N1552" s="273"/>
      <c r="O1552" s="269"/>
      <c r="P1552" s="37">
        <v>110808</v>
      </c>
      <c r="Q1552" s="36" t="str">
        <f>CONCATENATE(Cover!$D$6,"fdd/view?i=",P1552)</f>
        <v>https://www.dgiwg.org/FAD/fdd/view?i=110808</v>
      </c>
      <c r="R1552" s="13" t="s">
        <v>13495</v>
      </c>
      <c r="S1552" s="172"/>
      <c r="T1552" s="172"/>
      <c r="BE1552" s="83" t="s">
        <v>1790</v>
      </c>
      <c r="CP1552" s="164" t="s">
        <v>1790</v>
      </c>
    </row>
    <row r="1553" spans="1:95" ht="38.25" x14ac:dyDescent="0.2">
      <c r="A1553" s="176" t="str">
        <f t="shared" si="41"/>
        <v>tidalCurDir6HrsBefore</v>
      </c>
      <c r="B1553" s="11" t="s">
        <v>13500</v>
      </c>
      <c r="C1553" s="173"/>
      <c r="D1553" s="22" t="s">
        <v>13501</v>
      </c>
      <c r="E1553" s="15" t="s">
        <v>13502</v>
      </c>
      <c r="F1553" s="15" t="s">
        <v>13438</v>
      </c>
      <c r="G1553" s="174"/>
      <c r="H1553" s="17" t="s">
        <v>5932</v>
      </c>
      <c r="I1553" s="269"/>
      <c r="J1553" s="369" t="str">
        <f t="shared" si="38"/>
        <v>RealNonNeg359</v>
      </c>
      <c r="K1553" s="271" t="str">
        <f t="shared" si="39"/>
        <v>Plane Angle</v>
      </c>
      <c r="L1553" s="270" t="str">
        <f t="shared" si="40"/>
        <v>Arc Degree</v>
      </c>
      <c r="M1553" s="272"/>
      <c r="N1553" s="273"/>
      <c r="O1553" s="269"/>
      <c r="P1553" s="37">
        <v>110796</v>
      </c>
      <c r="Q1553" s="36" t="str">
        <f>CONCATENATE(Cover!$D$6,"fdd/view?i=",P1553)</f>
        <v>https://www.dgiwg.org/FAD/fdd/view?i=110796</v>
      </c>
      <c r="R1553" s="13" t="s">
        <v>13499</v>
      </c>
      <c r="S1553" s="172"/>
      <c r="T1553" s="172"/>
      <c r="BE1553" s="83" t="s">
        <v>1790</v>
      </c>
      <c r="CP1553" s="164" t="s">
        <v>1790</v>
      </c>
    </row>
    <row r="1554" spans="1:95" ht="38.25" x14ac:dyDescent="0.2">
      <c r="A1554" s="176" t="str">
        <f t="shared" si="41"/>
        <v>tidalCurDir7HrsAfter</v>
      </c>
      <c r="B1554" s="11" t="s">
        <v>13504</v>
      </c>
      <c r="C1554" s="173"/>
      <c r="D1554" s="22" t="s">
        <v>13505</v>
      </c>
      <c r="E1554" s="15" t="s">
        <v>13506</v>
      </c>
      <c r="F1554" s="15" t="s">
        <v>13438</v>
      </c>
      <c r="G1554" s="174"/>
      <c r="H1554" s="17" t="s">
        <v>5932</v>
      </c>
      <c r="I1554" s="269"/>
      <c r="J1554" s="369" t="str">
        <f t="shared" si="38"/>
        <v>RealNonNeg359</v>
      </c>
      <c r="K1554" s="271" t="str">
        <f t="shared" si="39"/>
        <v>Plane Angle</v>
      </c>
      <c r="L1554" s="270" t="str">
        <f t="shared" si="40"/>
        <v>Arc Degree</v>
      </c>
      <c r="M1554" s="272"/>
      <c r="N1554" s="273"/>
      <c r="O1554" s="269"/>
      <c r="P1554" s="37">
        <v>110809</v>
      </c>
      <c r="Q1554" s="36" t="str">
        <f>CONCATENATE(Cover!$D$6,"fdd/view?i=",P1554)</f>
        <v>https://www.dgiwg.org/FAD/fdd/view?i=110809</v>
      </c>
      <c r="R1554" s="13" t="s">
        <v>13503</v>
      </c>
      <c r="S1554" s="172"/>
      <c r="T1554" s="172"/>
      <c r="BE1554" s="83" t="s">
        <v>1790</v>
      </c>
      <c r="CP1554" s="164" t="s">
        <v>1790</v>
      </c>
    </row>
    <row r="1555" spans="1:95" ht="38.25" x14ac:dyDescent="0.2">
      <c r="A1555" s="176" t="str">
        <f t="shared" si="41"/>
        <v>tidalCurDir7HrsBefore</v>
      </c>
      <c r="B1555" s="11" t="s">
        <v>13508</v>
      </c>
      <c r="C1555" s="173"/>
      <c r="D1555" s="22" t="s">
        <v>13509</v>
      </c>
      <c r="E1555" s="15" t="s">
        <v>13510</v>
      </c>
      <c r="F1555" s="15" t="s">
        <v>13438</v>
      </c>
      <c r="G1555" s="174"/>
      <c r="H1555" s="17" t="s">
        <v>5932</v>
      </c>
      <c r="I1555" s="269"/>
      <c r="J1555" s="369" t="str">
        <f t="shared" si="38"/>
        <v>RealNonNeg359</v>
      </c>
      <c r="K1555" s="271" t="str">
        <f t="shared" si="39"/>
        <v>Plane Angle</v>
      </c>
      <c r="L1555" s="270" t="str">
        <f t="shared" si="40"/>
        <v>Arc Degree</v>
      </c>
      <c r="M1555" s="272"/>
      <c r="N1555" s="273"/>
      <c r="O1555" s="269"/>
      <c r="P1555" s="37">
        <v>110795</v>
      </c>
      <c r="Q1555" s="36" t="str">
        <f>CONCATENATE(Cover!$D$6,"fdd/view?i=",P1555)</f>
        <v>https://www.dgiwg.org/FAD/fdd/view?i=110795</v>
      </c>
      <c r="R1555" s="13" t="s">
        <v>13507</v>
      </c>
      <c r="S1555" s="172"/>
      <c r="T1555" s="172"/>
      <c r="BE1555" s="83" t="s">
        <v>1790</v>
      </c>
      <c r="CP1555" s="164" t="s">
        <v>1790</v>
      </c>
    </row>
    <row r="1556" spans="1:95" ht="38.25" x14ac:dyDescent="0.2">
      <c r="A1556" s="176" t="str">
        <f t="shared" si="41"/>
        <v>tidalCurDir8HrsAfter</v>
      </c>
      <c r="B1556" s="11" t="s">
        <v>13512</v>
      </c>
      <c r="C1556" s="173"/>
      <c r="D1556" s="22" t="s">
        <v>13513</v>
      </c>
      <c r="E1556" s="15" t="s">
        <v>13514</v>
      </c>
      <c r="F1556" s="15" t="s">
        <v>13438</v>
      </c>
      <c r="G1556" s="174"/>
      <c r="H1556" s="17" t="s">
        <v>5932</v>
      </c>
      <c r="I1556" s="269"/>
      <c r="J1556" s="369" t="str">
        <f t="shared" si="38"/>
        <v>RealNonNeg359</v>
      </c>
      <c r="K1556" s="271" t="str">
        <f t="shared" si="39"/>
        <v>Plane Angle</v>
      </c>
      <c r="L1556" s="270" t="str">
        <f t="shared" si="40"/>
        <v>Arc Degree</v>
      </c>
      <c r="M1556" s="272"/>
      <c r="N1556" s="273"/>
      <c r="O1556" s="269"/>
      <c r="P1556" s="37">
        <v>110810</v>
      </c>
      <c r="Q1556" s="36" t="str">
        <f>CONCATENATE(Cover!$D$6,"fdd/view?i=",P1556)</f>
        <v>https://www.dgiwg.org/FAD/fdd/view?i=110810</v>
      </c>
      <c r="R1556" s="13" t="s">
        <v>13511</v>
      </c>
      <c r="S1556" s="172"/>
      <c r="T1556" s="172"/>
      <c r="BE1556" s="83" t="s">
        <v>1790</v>
      </c>
      <c r="CP1556" s="164" t="s">
        <v>1790</v>
      </c>
    </row>
    <row r="1557" spans="1:95" ht="38.25" x14ac:dyDescent="0.2">
      <c r="A1557" s="176" t="str">
        <f t="shared" si="41"/>
        <v>tidalCurDir8HrsBefore</v>
      </c>
      <c r="B1557" s="11" t="s">
        <v>13516</v>
      </c>
      <c r="C1557" s="173"/>
      <c r="D1557" s="22" t="s">
        <v>13517</v>
      </c>
      <c r="E1557" s="15" t="s">
        <v>13518</v>
      </c>
      <c r="F1557" s="15" t="s">
        <v>13438</v>
      </c>
      <c r="G1557" s="174"/>
      <c r="H1557" s="17" t="s">
        <v>5932</v>
      </c>
      <c r="I1557" s="269"/>
      <c r="J1557" s="369" t="str">
        <f t="shared" si="38"/>
        <v>RealNonNeg359</v>
      </c>
      <c r="K1557" s="271" t="str">
        <f t="shared" si="39"/>
        <v>Plane Angle</v>
      </c>
      <c r="L1557" s="270" t="str">
        <f t="shared" si="40"/>
        <v>Arc Degree</v>
      </c>
      <c r="M1557" s="272"/>
      <c r="N1557" s="273"/>
      <c r="O1557" s="269"/>
      <c r="P1557" s="37">
        <v>110794</v>
      </c>
      <c r="Q1557" s="36" t="str">
        <f>CONCATENATE(Cover!$D$6,"fdd/view?i=",P1557)</f>
        <v>https://www.dgiwg.org/FAD/fdd/view?i=110794</v>
      </c>
      <c r="R1557" s="13" t="s">
        <v>13515</v>
      </c>
      <c r="S1557" s="172"/>
      <c r="T1557" s="172"/>
      <c r="BE1557" s="83" t="s">
        <v>1790</v>
      </c>
      <c r="CP1557" s="164" t="s">
        <v>1790</v>
      </c>
    </row>
    <row r="1558" spans="1:95" ht="38.25" x14ac:dyDescent="0.2">
      <c r="A1558" s="176" t="str">
        <f t="shared" si="41"/>
        <v>tidalCurDir9HrsAfter</v>
      </c>
      <c r="B1558" s="11" t="s">
        <v>13520</v>
      </c>
      <c r="C1558" s="173"/>
      <c r="D1558" s="22" t="s">
        <v>13521</v>
      </c>
      <c r="E1558" s="15" t="s">
        <v>13522</v>
      </c>
      <c r="F1558" s="15" t="s">
        <v>13438</v>
      </c>
      <c r="G1558" s="174"/>
      <c r="H1558" s="17" t="s">
        <v>5932</v>
      </c>
      <c r="I1558" s="269"/>
      <c r="J1558" s="369" t="str">
        <f t="shared" si="38"/>
        <v>RealNonNeg359</v>
      </c>
      <c r="K1558" s="271" t="str">
        <f t="shared" si="39"/>
        <v>Plane Angle</v>
      </c>
      <c r="L1558" s="270" t="str">
        <f t="shared" si="40"/>
        <v>Arc Degree</v>
      </c>
      <c r="M1558" s="272"/>
      <c r="N1558" s="273"/>
      <c r="O1558" s="269"/>
      <c r="P1558" s="37">
        <v>110811</v>
      </c>
      <c r="Q1558" s="36" t="str">
        <f>CONCATENATE(Cover!$D$6,"fdd/view?i=",P1558)</f>
        <v>https://www.dgiwg.org/FAD/fdd/view?i=110811</v>
      </c>
      <c r="R1558" s="13" t="s">
        <v>13519</v>
      </c>
      <c r="S1558" s="172"/>
      <c r="T1558" s="172"/>
      <c r="BE1558" s="83" t="s">
        <v>1790</v>
      </c>
      <c r="CP1558" s="164" t="s">
        <v>1790</v>
      </c>
    </row>
    <row r="1559" spans="1:95" ht="38.25" x14ac:dyDescent="0.2">
      <c r="A1559" s="176" t="str">
        <f t="shared" si="41"/>
        <v>tidalCurDir9HrsBefore</v>
      </c>
      <c r="B1559" s="11" t="s">
        <v>13524</v>
      </c>
      <c r="C1559" s="173"/>
      <c r="D1559" s="22" t="s">
        <v>13525</v>
      </c>
      <c r="E1559" s="15" t="s">
        <v>13526</v>
      </c>
      <c r="F1559" s="15" t="s">
        <v>13438</v>
      </c>
      <c r="G1559" s="174"/>
      <c r="H1559" s="17" t="s">
        <v>5932</v>
      </c>
      <c r="I1559" s="269"/>
      <c r="J1559" s="369" t="str">
        <f t="shared" si="38"/>
        <v>RealNonNeg359</v>
      </c>
      <c r="K1559" s="271" t="str">
        <f t="shared" si="39"/>
        <v>Plane Angle</v>
      </c>
      <c r="L1559" s="270" t="str">
        <f t="shared" si="40"/>
        <v>Arc Degree</v>
      </c>
      <c r="M1559" s="272"/>
      <c r="N1559" s="273"/>
      <c r="O1559" s="269"/>
      <c r="P1559" s="37">
        <v>110793</v>
      </c>
      <c r="Q1559" s="36" t="str">
        <f>CONCATENATE(Cover!$D$6,"fdd/view?i=",P1559)</f>
        <v>https://www.dgiwg.org/FAD/fdd/view?i=110793</v>
      </c>
      <c r="R1559" s="13" t="s">
        <v>13523</v>
      </c>
      <c r="S1559" s="172"/>
      <c r="T1559" s="172"/>
      <c r="BE1559" s="83" t="s">
        <v>1790</v>
      </c>
      <c r="CP1559" s="164" t="s">
        <v>1790</v>
      </c>
    </row>
    <row r="1560" spans="1:95" ht="25.5" x14ac:dyDescent="0.2">
      <c r="A1560" s="176" t="str">
        <f t="shared" si="41"/>
        <v>tidalCurSpeed</v>
      </c>
      <c r="B1560" s="11" t="s">
        <v>13528</v>
      </c>
      <c r="C1560" s="173"/>
      <c r="D1560" s="22" t="s">
        <v>13529</v>
      </c>
      <c r="E1560" s="15" t="s">
        <v>13530</v>
      </c>
      <c r="F1560" s="15" t="s">
        <v>13432</v>
      </c>
      <c r="G1560" s="174"/>
      <c r="H1560" s="17" t="s">
        <v>5932</v>
      </c>
      <c r="I1560" s="269"/>
      <c r="J1560" s="369" t="str">
        <f t="shared" ref="J1560:J1583" si="42">HYPERLINK("[#]Datatypes!B1050:L1050","RealNonNegInterval")</f>
        <v>RealNonNegInterval</v>
      </c>
      <c r="K1560" s="271" t="str">
        <f t="shared" ref="K1560:K1583" si="43">HYPERLINK("[#]PhysicalQuantities!A48:N48","Speed")</f>
        <v>Speed</v>
      </c>
      <c r="L1560" s="270" t="str">
        <f t="shared" ref="L1560:L1583" si="44">HYPERLINK("[#]UnitsOfMeasure!D251:G251","Knot")</f>
        <v>Knot</v>
      </c>
      <c r="M1560" s="272"/>
      <c r="N1560" s="273"/>
      <c r="O1560" s="269"/>
      <c r="P1560" s="37">
        <v>110778</v>
      </c>
      <c r="Q1560" s="36" t="str">
        <f>CONCATENATE(Cover!$D$6,"fdd/view?i=",P1560)</f>
        <v>https://www.dgiwg.org/FAD/fdd/view?i=110778</v>
      </c>
      <c r="R1560" s="13" t="s">
        <v>13527</v>
      </c>
      <c r="S1560" s="172"/>
      <c r="T1560" s="172"/>
      <c r="BE1560" s="83" t="s">
        <v>1790</v>
      </c>
      <c r="CQ1560" s="165" t="s">
        <v>1790</v>
      </c>
    </row>
    <row r="1561" spans="1:95" ht="38.25" x14ac:dyDescent="0.2">
      <c r="A1561" s="176" t="str">
        <f t="shared" si="41"/>
        <v>tidalCurSpeed1HrAfter</v>
      </c>
      <c r="B1561" s="11" t="s">
        <v>13533</v>
      </c>
      <c r="C1561" s="173"/>
      <c r="D1561" s="22" t="s">
        <v>13534</v>
      </c>
      <c r="E1561" s="15" t="s">
        <v>13535</v>
      </c>
      <c r="F1561" s="15" t="s">
        <v>13438</v>
      </c>
      <c r="G1561" s="174"/>
      <c r="H1561" s="17" t="s">
        <v>5932</v>
      </c>
      <c r="I1561" s="269"/>
      <c r="J1561" s="369" t="str">
        <f t="shared" si="42"/>
        <v>RealNonNegInterval</v>
      </c>
      <c r="K1561" s="271" t="str">
        <f t="shared" si="43"/>
        <v>Speed</v>
      </c>
      <c r="L1561" s="270" t="str">
        <f t="shared" si="44"/>
        <v>Knot</v>
      </c>
      <c r="M1561" s="272"/>
      <c r="N1561" s="273"/>
      <c r="O1561" s="269"/>
      <c r="P1561" s="37">
        <v>110779</v>
      </c>
      <c r="Q1561" s="36" t="str">
        <f>CONCATENATE(Cover!$D$6,"fdd/view?i=",P1561)</f>
        <v>https://www.dgiwg.org/FAD/fdd/view?i=110779</v>
      </c>
      <c r="R1561" s="13" t="s">
        <v>13532</v>
      </c>
      <c r="S1561" s="172"/>
      <c r="T1561" s="172"/>
      <c r="BE1561" s="83" t="s">
        <v>1790</v>
      </c>
      <c r="CQ1561" s="165" t="s">
        <v>1790</v>
      </c>
    </row>
    <row r="1562" spans="1:95" ht="38.25" x14ac:dyDescent="0.2">
      <c r="A1562" s="176" t="str">
        <f t="shared" si="41"/>
        <v>tidalCurSpeed1HrBefore</v>
      </c>
      <c r="B1562" s="11" t="s">
        <v>13537</v>
      </c>
      <c r="C1562" s="173"/>
      <c r="D1562" s="22" t="s">
        <v>13538</v>
      </c>
      <c r="E1562" s="15" t="s">
        <v>13539</v>
      </c>
      <c r="F1562" s="15" t="s">
        <v>13438</v>
      </c>
      <c r="G1562" s="174"/>
      <c r="H1562" s="17" t="s">
        <v>5932</v>
      </c>
      <c r="I1562" s="269"/>
      <c r="J1562" s="369" t="str">
        <f t="shared" si="42"/>
        <v>RealNonNegInterval</v>
      </c>
      <c r="K1562" s="271" t="str">
        <f t="shared" si="43"/>
        <v>Speed</v>
      </c>
      <c r="L1562" s="270" t="str">
        <f t="shared" si="44"/>
        <v>Knot</v>
      </c>
      <c r="M1562" s="272"/>
      <c r="N1562" s="273"/>
      <c r="O1562" s="269"/>
      <c r="P1562" s="37">
        <v>110777</v>
      </c>
      <c r="Q1562" s="36" t="str">
        <f>CONCATENATE(Cover!$D$6,"fdd/view?i=",P1562)</f>
        <v>https://www.dgiwg.org/FAD/fdd/view?i=110777</v>
      </c>
      <c r="R1562" s="13" t="s">
        <v>13536</v>
      </c>
      <c r="S1562" s="172"/>
      <c r="T1562" s="172"/>
      <c r="BE1562" s="83" t="s">
        <v>1790</v>
      </c>
      <c r="CQ1562" s="165" t="s">
        <v>1790</v>
      </c>
    </row>
    <row r="1563" spans="1:95" ht="38.25" x14ac:dyDescent="0.2">
      <c r="A1563" s="176" t="str">
        <f t="shared" si="41"/>
        <v>tidalCurSpeed10HrsAfter</v>
      </c>
      <c r="B1563" s="11" t="s">
        <v>13541</v>
      </c>
      <c r="C1563" s="173"/>
      <c r="D1563" s="22" t="s">
        <v>13542</v>
      </c>
      <c r="E1563" s="15" t="s">
        <v>13543</v>
      </c>
      <c r="F1563" s="15" t="s">
        <v>13438</v>
      </c>
      <c r="G1563" s="174"/>
      <c r="H1563" s="17" t="s">
        <v>5932</v>
      </c>
      <c r="I1563" s="269"/>
      <c r="J1563" s="369" t="str">
        <f t="shared" si="42"/>
        <v>RealNonNegInterval</v>
      </c>
      <c r="K1563" s="271" t="str">
        <f t="shared" si="43"/>
        <v>Speed</v>
      </c>
      <c r="L1563" s="270" t="str">
        <f t="shared" si="44"/>
        <v>Knot</v>
      </c>
      <c r="M1563" s="272"/>
      <c r="N1563" s="273"/>
      <c r="O1563" s="269"/>
      <c r="P1563" s="37">
        <v>110788</v>
      </c>
      <c r="Q1563" s="36" t="str">
        <f>CONCATENATE(Cover!$D$6,"fdd/view?i=",P1563)</f>
        <v>https://www.dgiwg.org/FAD/fdd/view?i=110788</v>
      </c>
      <c r="R1563" s="13" t="s">
        <v>13540</v>
      </c>
      <c r="S1563" s="172"/>
      <c r="T1563" s="172"/>
      <c r="BE1563" s="83" t="s">
        <v>1790</v>
      </c>
      <c r="CQ1563" s="165" t="s">
        <v>1790</v>
      </c>
    </row>
    <row r="1564" spans="1:95" ht="38.25" x14ac:dyDescent="0.2">
      <c r="A1564" s="176" t="str">
        <f t="shared" si="41"/>
        <v>tidalCurSpeed10HrsBefore</v>
      </c>
      <c r="B1564" s="11" t="s">
        <v>13545</v>
      </c>
      <c r="C1564" s="173"/>
      <c r="D1564" s="22" t="s">
        <v>13546</v>
      </c>
      <c r="E1564" s="15" t="s">
        <v>13547</v>
      </c>
      <c r="F1564" s="15" t="s">
        <v>13438</v>
      </c>
      <c r="G1564" s="174"/>
      <c r="H1564" s="17" t="s">
        <v>5932</v>
      </c>
      <c r="I1564" s="269"/>
      <c r="J1564" s="369" t="str">
        <f t="shared" si="42"/>
        <v>RealNonNegInterval</v>
      </c>
      <c r="K1564" s="271" t="str">
        <f t="shared" si="43"/>
        <v>Speed</v>
      </c>
      <c r="L1564" s="270" t="str">
        <f t="shared" si="44"/>
        <v>Knot</v>
      </c>
      <c r="M1564" s="272"/>
      <c r="N1564" s="273"/>
      <c r="O1564" s="269"/>
      <c r="P1564" s="37">
        <v>110768</v>
      </c>
      <c r="Q1564" s="36" t="str">
        <f>CONCATENATE(Cover!$D$6,"fdd/view?i=",P1564)</f>
        <v>https://www.dgiwg.org/FAD/fdd/view?i=110768</v>
      </c>
      <c r="R1564" s="13" t="s">
        <v>13544</v>
      </c>
      <c r="S1564" s="172"/>
      <c r="T1564" s="172"/>
      <c r="BE1564" s="83" t="s">
        <v>1790</v>
      </c>
      <c r="CQ1564" s="165" t="s">
        <v>1790</v>
      </c>
    </row>
    <row r="1565" spans="1:95" ht="38.25" x14ac:dyDescent="0.2">
      <c r="A1565" s="176" t="str">
        <f t="shared" si="41"/>
        <v>tidalCurSpeed11HrsAfter</v>
      </c>
      <c r="B1565" s="11" t="s">
        <v>13549</v>
      </c>
      <c r="C1565" s="173"/>
      <c r="D1565" s="22" t="s">
        <v>13550</v>
      </c>
      <c r="E1565" s="15" t="s">
        <v>13551</v>
      </c>
      <c r="F1565" s="15" t="s">
        <v>13438</v>
      </c>
      <c r="G1565" s="174"/>
      <c r="H1565" s="17" t="s">
        <v>5932</v>
      </c>
      <c r="I1565" s="269"/>
      <c r="J1565" s="369" t="str">
        <f t="shared" si="42"/>
        <v>RealNonNegInterval</v>
      </c>
      <c r="K1565" s="271" t="str">
        <f t="shared" si="43"/>
        <v>Speed</v>
      </c>
      <c r="L1565" s="270" t="str">
        <f t="shared" si="44"/>
        <v>Knot</v>
      </c>
      <c r="M1565" s="272"/>
      <c r="N1565" s="273"/>
      <c r="O1565" s="269"/>
      <c r="P1565" s="37">
        <v>110789</v>
      </c>
      <c r="Q1565" s="36" t="str">
        <f>CONCATENATE(Cover!$D$6,"fdd/view?i=",P1565)</f>
        <v>https://www.dgiwg.org/FAD/fdd/view?i=110789</v>
      </c>
      <c r="R1565" s="13" t="s">
        <v>13548</v>
      </c>
      <c r="S1565" s="172"/>
      <c r="T1565" s="172"/>
      <c r="BE1565" s="83" t="s">
        <v>1790</v>
      </c>
      <c r="CQ1565" s="165" t="s">
        <v>1790</v>
      </c>
    </row>
    <row r="1566" spans="1:95" ht="38.25" x14ac:dyDescent="0.2">
      <c r="A1566" s="176" t="str">
        <f t="shared" si="41"/>
        <v>tidalCurSpeed11HrsBefore</v>
      </c>
      <c r="B1566" s="11" t="s">
        <v>13553</v>
      </c>
      <c r="C1566" s="173"/>
      <c r="D1566" s="22" t="s">
        <v>13554</v>
      </c>
      <c r="E1566" s="15" t="s">
        <v>13555</v>
      </c>
      <c r="F1566" s="15" t="s">
        <v>13438</v>
      </c>
      <c r="G1566" s="174"/>
      <c r="H1566" s="17" t="s">
        <v>5932</v>
      </c>
      <c r="I1566" s="269"/>
      <c r="J1566" s="369" t="str">
        <f t="shared" si="42"/>
        <v>RealNonNegInterval</v>
      </c>
      <c r="K1566" s="271" t="str">
        <f t="shared" si="43"/>
        <v>Speed</v>
      </c>
      <c r="L1566" s="270" t="str">
        <f t="shared" si="44"/>
        <v>Knot</v>
      </c>
      <c r="M1566" s="272"/>
      <c r="N1566" s="273"/>
      <c r="O1566" s="269"/>
      <c r="P1566" s="37">
        <v>110767</v>
      </c>
      <c r="Q1566" s="36" t="str">
        <f>CONCATENATE(Cover!$D$6,"fdd/view?i=",P1566)</f>
        <v>https://www.dgiwg.org/FAD/fdd/view?i=110767</v>
      </c>
      <c r="R1566" s="13" t="s">
        <v>13552</v>
      </c>
      <c r="S1566" s="172"/>
      <c r="T1566" s="172"/>
      <c r="BE1566" s="83" t="s">
        <v>1790</v>
      </c>
      <c r="CQ1566" s="165" t="s">
        <v>1790</v>
      </c>
    </row>
    <row r="1567" spans="1:95" ht="38.25" x14ac:dyDescent="0.2">
      <c r="A1567" s="176" t="str">
        <f t="shared" si="41"/>
        <v>tidalCurSpeed12HrsBefore</v>
      </c>
      <c r="B1567" s="11" t="s">
        <v>13557</v>
      </c>
      <c r="C1567" s="173"/>
      <c r="D1567" s="22" t="s">
        <v>13558</v>
      </c>
      <c r="E1567" s="15" t="s">
        <v>13559</v>
      </c>
      <c r="F1567" s="15" t="s">
        <v>13438</v>
      </c>
      <c r="G1567" s="174"/>
      <c r="H1567" s="17" t="s">
        <v>5932</v>
      </c>
      <c r="I1567" s="269"/>
      <c r="J1567" s="369" t="str">
        <f t="shared" si="42"/>
        <v>RealNonNegInterval</v>
      </c>
      <c r="K1567" s="271" t="str">
        <f t="shared" si="43"/>
        <v>Speed</v>
      </c>
      <c r="L1567" s="270" t="str">
        <f t="shared" si="44"/>
        <v>Knot</v>
      </c>
      <c r="M1567" s="272"/>
      <c r="N1567" s="273"/>
      <c r="O1567" s="269"/>
      <c r="P1567" s="37">
        <v>110766</v>
      </c>
      <c r="Q1567" s="36" t="str">
        <f>CONCATENATE(Cover!$D$6,"fdd/view?i=",P1567)</f>
        <v>https://www.dgiwg.org/FAD/fdd/view?i=110766</v>
      </c>
      <c r="R1567" s="13" t="s">
        <v>13556</v>
      </c>
      <c r="S1567" s="172"/>
      <c r="T1567" s="172"/>
      <c r="BE1567" s="83" t="s">
        <v>1790</v>
      </c>
      <c r="CQ1567" s="165" t="s">
        <v>1790</v>
      </c>
    </row>
    <row r="1568" spans="1:95" ht="38.25" x14ac:dyDescent="0.2">
      <c r="A1568" s="176" t="str">
        <f t="shared" si="41"/>
        <v>tidalCurSpeed2HrsAfter</v>
      </c>
      <c r="B1568" s="11" t="s">
        <v>13561</v>
      </c>
      <c r="C1568" s="173"/>
      <c r="D1568" s="22" t="s">
        <v>13562</v>
      </c>
      <c r="E1568" s="15" t="s">
        <v>13563</v>
      </c>
      <c r="F1568" s="15" t="s">
        <v>13438</v>
      </c>
      <c r="G1568" s="174"/>
      <c r="H1568" s="17" t="s">
        <v>5932</v>
      </c>
      <c r="I1568" s="269"/>
      <c r="J1568" s="369" t="str">
        <f t="shared" si="42"/>
        <v>RealNonNegInterval</v>
      </c>
      <c r="K1568" s="271" t="str">
        <f t="shared" si="43"/>
        <v>Speed</v>
      </c>
      <c r="L1568" s="270" t="str">
        <f t="shared" si="44"/>
        <v>Knot</v>
      </c>
      <c r="M1568" s="272"/>
      <c r="N1568" s="273"/>
      <c r="O1568" s="269"/>
      <c r="P1568" s="37">
        <v>110780</v>
      </c>
      <c r="Q1568" s="36" t="str">
        <f>CONCATENATE(Cover!$D$6,"fdd/view?i=",P1568)</f>
        <v>https://www.dgiwg.org/FAD/fdd/view?i=110780</v>
      </c>
      <c r="R1568" s="13" t="s">
        <v>13560</v>
      </c>
      <c r="S1568" s="172"/>
      <c r="T1568" s="172"/>
      <c r="BE1568" s="83" t="s">
        <v>1790</v>
      </c>
      <c r="CQ1568" s="165" t="s">
        <v>1790</v>
      </c>
    </row>
    <row r="1569" spans="1:95" ht="38.25" x14ac:dyDescent="0.2">
      <c r="A1569" s="176" t="str">
        <f t="shared" si="41"/>
        <v>tidalCurSpeed2HrsBefore</v>
      </c>
      <c r="B1569" s="11" t="s">
        <v>13565</v>
      </c>
      <c r="C1569" s="173"/>
      <c r="D1569" s="22" t="s">
        <v>13566</v>
      </c>
      <c r="E1569" s="15" t="s">
        <v>13567</v>
      </c>
      <c r="F1569" s="15" t="s">
        <v>13438</v>
      </c>
      <c r="G1569" s="174"/>
      <c r="H1569" s="17" t="s">
        <v>5932</v>
      </c>
      <c r="I1569" s="269"/>
      <c r="J1569" s="369" t="str">
        <f t="shared" si="42"/>
        <v>RealNonNegInterval</v>
      </c>
      <c r="K1569" s="271" t="str">
        <f t="shared" si="43"/>
        <v>Speed</v>
      </c>
      <c r="L1569" s="270" t="str">
        <f t="shared" si="44"/>
        <v>Knot</v>
      </c>
      <c r="M1569" s="272"/>
      <c r="N1569" s="273"/>
      <c r="O1569" s="269"/>
      <c r="P1569" s="37">
        <v>110776</v>
      </c>
      <c r="Q1569" s="36" t="str">
        <f>CONCATENATE(Cover!$D$6,"fdd/view?i=",P1569)</f>
        <v>https://www.dgiwg.org/FAD/fdd/view?i=110776</v>
      </c>
      <c r="R1569" s="13" t="s">
        <v>13564</v>
      </c>
      <c r="S1569" s="172"/>
      <c r="T1569" s="172"/>
      <c r="BE1569" s="83" t="s">
        <v>1790</v>
      </c>
      <c r="CQ1569" s="165" t="s">
        <v>1790</v>
      </c>
    </row>
    <row r="1570" spans="1:95" ht="38.25" x14ac:dyDescent="0.2">
      <c r="A1570" s="176" t="str">
        <f t="shared" si="41"/>
        <v>tidalCurSpeed3HrsAfter</v>
      </c>
      <c r="B1570" s="11" t="s">
        <v>13569</v>
      </c>
      <c r="C1570" s="173"/>
      <c r="D1570" s="22" t="s">
        <v>13570</v>
      </c>
      <c r="E1570" s="15" t="s">
        <v>13571</v>
      </c>
      <c r="F1570" s="15" t="s">
        <v>13438</v>
      </c>
      <c r="G1570" s="174"/>
      <c r="H1570" s="17" t="s">
        <v>5932</v>
      </c>
      <c r="I1570" s="269"/>
      <c r="J1570" s="369" t="str">
        <f t="shared" si="42"/>
        <v>RealNonNegInterval</v>
      </c>
      <c r="K1570" s="271" t="str">
        <f t="shared" si="43"/>
        <v>Speed</v>
      </c>
      <c r="L1570" s="270" t="str">
        <f t="shared" si="44"/>
        <v>Knot</v>
      </c>
      <c r="M1570" s="272"/>
      <c r="N1570" s="273"/>
      <c r="O1570" s="269"/>
      <c r="P1570" s="37">
        <v>110781</v>
      </c>
      <c r="Q1570" s="36" t="str">
        <f>CONCATENATE(Cover!$D$6,"fdd/view?i=",P1570)</f>
        <v>https://www.dgiwg.org/FAD/fdd/view?i=110781</v>
      </c>
      <c r="R1570" s="13" t="s">
        <v>13568</v>
      </c>
      <c r="S1570" s="172"/>
      <c r="T1570" s="172"/>
      <c r="BE1570" s="83" t="s">
        <v>1790</v>
      </c>
      <c r="CQ1570" s="165" t="s">
        <v>1790</v>
      </c>
    </row>
    <row r="1571" spans="1:95" ht="38.25" x14ac:dyDescent="0.2">
      <c r="A1571" s="176" t="str">
        <f t="shared" si="41"/>
        <v>tidalCurSpeed3HrsBefore</v>
      </c>
      <c r="B1571" s="11" t="s">
        <v>13573</v>
      </c>
      <c r="C1571" s="173"/>
      <c r="D1571" s="22" t="s">
        <v>13574</v>
      </c>
      <c r="E1571" s="15" t="s">
        <v>13575</v>
      </c>
      <c r="F1571" s="15" t="s">
        <v>13438</v>
      </c>
      <c r="G1571" s="174"/>
      <c r="H1571" s="17" t="s">
        <v>5932</v>
      </c>
      <c r="I1571" s="269"/>
      <c r="J1571" s="369" t="str">
        <f t="shared" si="42"/>
        <v>RealNonNegInterval</v>
      </c>
      <c r="K1571" s="271" t="str">
        <f t="shared" si="43"/>
        <v>Speed</v>
      </c>
      <c r="L1571" s="270" t="str">
        <f t="shared" si="44"/>
        <v>Knot</v>
      </c>
      <c r="M1571" s="272"/>
      <c r="N1571" s="273"/>
      <c r="O1571" s="269"/>
      <c r="P1571" s="37">
        <v>110775</v>
      </c>
      <c r="Q1571" s="36" t="str">
        <f>CONCATENATE(Cover!$D$6,"fdd/view?i=",P1571)</f>
        <v>https://www.dgiwg.org/FAD/fdd/view?i=110775</v>
      </c>
      <c r="R1571" s="13" t="s">
        <v>13572</v>
      </c>
      <c r="S1571" s="172"/>
      <c r="T1571" s="172"/>
      <c r="BE1571" s="83" t="s">
        <v>1790</v>
      </c>
      <c r="CQ1571" s="165" t="s">
        <v>1790</v>
      </c>
    </row>
    <row r="1572" spans="1:95" ht="38.25" x14ac:dyDescent="0.2">
      <c r="A1572" s="176" t="str">
        <f t="shared" si="41"/>
        <v>tidalCurSpeed4HrsAfter</v>
      </c>
      <c r="B1572" s="11" t="s">
        <v>13577</v>
      </c>
      <c r="C1572" s="173"/>
      <c r="D1572" s="22" t="s">
        <v>13578</v>
      </c>
      <c r="E1572" s="15" t="s">
        <v>13579</v>
      </c>
      <c r="F1572" s="15" t="s">
        <v>13438</v>
      </c>
      <c r="G1572" s="174"/>
      <c r="H1572" s="17" t="s">
        <v>5932</v>
      </c>
      <c r="I1572" s="269"/>
      <c r="J1572" s="369" t="str">
        <f t="shared" si="42"/>
        <v>RealNonNegInterval</v>
      </c>
      <c r="K1572" s="271" t="str">
        <f t="shared" si="43"/>
        <v>Speed</v>
      </c>
      <c r="L1572" s="270" t="str">
        <f t="shared" si="44"/>
        <v>Knot</v>
      </c>
      <c r="M1572" s="272"/>
      <c r="N1572" s="273"/>
      <c r="O1572" s="269"/>
      <c r="P1572" s="37">
        <v>110782</v>
      </c>
      <c r="Q1572" s="36" t="str">
        <f>CONCATENATE(Cover!$D$6,"fdd/view?i=",P1572)</f>
        <v>https://www.dgiwg.org/FAD/fdd/view?i=110782</v>
      </c>
      <c r="R1572" s="13" t="s">
        <v>13576</v>
      </c>
      <c r="S1572" s="172"/>
      <c r="T1572" s="172"/>
      <c r="BE1572" s="83" t="s">
        <v>1790</v>
      </c>
      <c r="CQ1572" s="165" t="s">
        <v>1790</v>
      </c>
    </row>
    <row r="1573" spans="1:95" ht="38.25" x14ac:dyDescent="0.2">
      <c r="A1573" s="176" t="str">
        <f t="shared" si="41"/>
        <v>tidalCurSpeed4HrsBefore</v>
      </c>
      <c r="B1573" s="11" t="s">
        <v>13581</v>
      </c>
      <c r="C1573" s="173"/>
      <c r="D1573" s="22" t="s">
        <v>13582</v>
      </c>
      <c r="E1573" s="15" t="s">
        <v>13583</v>
      </c>
      <c r="F1573" s="15" t="s">
        <v>13438</v>
      </c>
      <c r="G1573" s="174"/>
      <c r="H1573" s="17" t="s">
        <v>5932</v>
      </c>
      <c r="I1573" s="269"/>
      <c r="J1573" s="369" t="str">
        <f t="shared" si="42"/>
        <v>RealNonNegInterval</v>
      </c>
      <c r="K1573" s="271" t="str">
        <f t="shared" si="43"/>
        <v>Speed</v>
      </c>
      <c r="L1573" s="270" t="str">
        <f t="shared" si="44"/>
        <v>Knot</v>
      </c>
      <c r="M1573" s="272"/>
      <c r="N1573" s="273"/>
      <c r="O1573" s="269"/>
      <c r="P1573" s="37">
        <v>110774</v>
      </c>
      <c r="Q1573" s="36" t="str">
        <f>CONCATENATE(Cover!$D$6,"fdd/view?i=",P1573)</f>
        <v>https://www.dgiwg.org/FAD/fdd/view?i=110774</v>
      </c>
      <c r="R1573" s="13" t="s">
        <v>13580</v>
      </c>
      <c r="S1573" s="172"/>
      <c r="T1573" s="172"/>
      <c r="BE1573" s="83" t="s">
        <v>1790</v>
      </c>
      <c r="CQ1573" s="165" t="s">
        <v>1790</v>
      </c>
    </row>
    <row r="1574" spans="1:95" ht="38.25" x14ac:dyDescent="0.2">
      <c r="A1574" s="176" t="str">
        <f t="shared" si="41"/>
        <v>tidalCurSpeed5HrsAfter</v>
      </c>
      <c r="B1574" s="11" t="s">
        <v>13585</v>
      </c>
      <c r="C1574" s="173"/>
      <c r="D1574" s="22" t="s">
        <v>13586</v>
      </c>
      <c r="E1574" s="15" t="s">
        <v>13587</v>
      </c>
      <c r="F1574" s="15" t="s">
        <v>13438</v>
      </c>
      <c r="G1574" s="174"/>
      <c r="H1574" s="17" t="s">
        <v>5932</v>
      </c>
      <c r="I1574" s="269"/>
      <c r="J1574" s="369" t="str">
        <f t="shared" si="42"/>
        <v>RealNonNegInterval</v>
      </c>
      <c r="K1574" s="271" t="str">
        <f t="shared" si="43"/>
        <v>Speed</v>
      </c>
      <c r="L1574" s="270" t="str">
        <f t="shared" si="44"/>
        <v>Knot</v>
      </c>
      <c r="M1574" s="272"/>
      <c r="N1574" s="273"/>
      <c r="O1574" s="269"/>
      <c r="P1574" s="37">
        <v>110783</v>
      </c>
      <c r="Q1574" s="36" t="str">
        <f>CONCATENATE(Cover!$D$6,"fdd/view?i=",P1574)</f>
        <v>https://www.dgiwg.org/FAD/fdd/view?i=110783</v>
      </c>
      <c r="R1574" s="13" t="s">
        <v>13584</v>
      </c>
      <c r="S1574" s="172"/>
      <c r="T1574" s="172"/>
      <c r="BE1574" s="83" t="s">
        <v>1790</v>
      </c>
      <c r="CQ1574" s="165" t="s">
        <v>1790</v>
      </c>
    </row>
    <row r="1575" spans="1:95" ht="38.25" x14ac:dyDescent="0.2">
      <c r="A1575" s="176" t="str">
        <f t="shared" si="41"/>
        <v>tidalCurSpeed5HrsBefore</v>
      </c>
      <c r="B1575" s="11" t="s">
        <v>13589</v>
      </c>
      <c r="C1575" s="173"/>
      <c r="D1575" s="22" t="s">
        <v>13590</v>
      </c>
      <c r="E1575" s="15" t="s">
        <v>13591</v>
      </c>
      <c r="F1575" s="15" t="s">
        <v>13438</v>
      </c>
      <c r="G1575" s="174"/>
      <c r="H1575" s="17" t="s">
        <v>5932</v>
      </c>
      <c r="I1575" s="269"/>
      <c r="J1575" s="369" t="str">
        <f t="shared" si="42"/>
        <v>RealNonNegInterval</v>
      </c>
      <c r="K1575" s="271" t="str">
        <f t="shared" si="43"/>
        <v>Speed</v>
      </c>
      <c r="L1575" s="270" t="str">
        <f t="shared" si="44"/>
        <v>Knot</v>
      </c>
      <c r="M1575" s="272"/>
      <c r="N1575" s="273"/>
      <c r="O1575" s="269"/>
      <c r="P1575" s="37">
        <v>110773</v>
      </c>
      <c r="Q1575" s="36" t="str">
        <f>CONCATENATE(Cover!$D$6,"fdd/view?i=",P1575)</f>
        <v>https://www.dgiwg.org/FAD/fdd/view?i=110773</v>
      </c>
      <c r="R1575" s="13" t="s">
        <v>13588</v>
      </c>
      <c r="S1575" s="172"/>
      <c r="T1575" s="172"/>
      <c r="BE1575" s="83" t="s">
        <v>1790</v>
      </c>
      <c r="CQ1575" s="165" t="s">
        <v>1790</v>
      </c>
    </row>
    <row r="1576" spans="1:95" ht="38.25" x14ac:dyDescent="0.2">
      <c r="A1576" s="176" t="str">
        <f t="shared" si="41"/>
        <v>tidalCurSpeed6HrsAfter</v>
      </c>
      <c r="B1576" s="11" t="s">
        <v>13593</v>
      </c>
      <c r="C1576" s="173"/>
      <c r="D1576" s="22" t="s">
        <v>13594</v>
      </c>
      <c r="E1576" s="15" t="s">
        <v>13595</v>
      </c>
      <c r="F1576" s="15" t="s">
        <v>13438</v>
      </c>
      <c r="G1576" s="174"/>
      <c r="H1576" s="17" t="s">
        <v>5932</v>
      </c>
      <c r="I1576" s="269"/>
      <c r="J1576" s="369" t="str">
        <f t="shared" si="42"/>
        <v>RealNonNegInterval</v>
      </c>
      <c r="K1576" s="271" t="str">
        <f t="shared" si="43"/>
        <v>Speed</v>
      </c>
      <c r="L1576" s="270" t="str">
        <f t="shared" si="44"/>
        <v>Knot</v>
      </c>
      <c r="M1576" s="272"/>
      <c r="N1576" s="273"/>
      <c r="O1576" s="269"/>
      <c r="P1576" s="37">
        <v>110784</v>
      </c>
      <c r="Q1576" s="36" t="str">
        <f>CONCATENATE(Cover!$D$6,"fdd/view?i=",P1576)</f>
        <v>https://www.dgiwg.org/FAD/fdd/view?i=110784</v>
      </c>
      <c r="R1576" s="13" t="s">
        <v>13592</v>
      </c>
      <c r="S1576" s="172"/>
      <c r="T1576" s="172"/>
      <c r="BE1576" s="83" t="s">
        <v>1790</v>
      </c>
      <c r="CQ1576" s="165" t="s">
        <v>1790</v>
      </c>
    </row>
    <row r="1577" spans="1:95" ht="38.25" x14ac:dyDescent="0.2">
      <c r="A1577" s="176" t="str">
        <f t="shared" si="41"/>
        <v>tidalCurSpeed6HrsBefore</v>
      </c>
      <c r="B1577" s="11" t="s">
        <v>13597</v>
      </c>
      <c r="C1577" s="173"/>
      <c r="D1577" s="22" t="s">
        <v>13598</v>
      </c>
      <c r="E1577" s="15" t="s">
        <v>13599</v>
      </c>
      <c r="F1577" s="15" t="s">
        <v>13438</v>
      </c>
      <c r="G1577" s="174"/>
      <c r="H1577" s="17" t="s">
        <v>5932</v>
      </c>
      <c r="I1577" s="269"/>
      <c r="J1577" s="369" t="str">
        <f t="shared" si="42"/>
        <v>RealNonNegInterval</v>
      </c>
      <c r="K1577" s="271" t="str">
        <f t="shared" si="43"/>
        <v>Speed</v>
      </c>
      <c r="L1577" s="270" t="str">
        <f t="shared" si="44"/>
        <v>Knot</v>
      </c>
      <c r="M1577" s="272"/>
      <c r="N1577" s="273"/>
      <c r="O1577" s="269"/>
      <c r="P1577" s="37">
        <v>110772</v>
      </c>
      <c r="Q1577" s="36" t="str">
        <f>CONCATENATE(Cover!$D$6,"fdd/view?i=",P1577)</f>
        <v>https://www.dgiwg.org/FAD/fdd/view?i=110772</v>
      </c>
      <c r="R1577" s="13" t="s">
        <v>13596</v>
      </c>
      <c r="S1577" s="172"/>
      <c r="T1577" s="172"/>
      <c r="BE1577" s="83" t="s">
        <v>1790</v>
      </c>
      <c r="CQ1577" s="165" t="s">
        <v>1790</v>
      </c>
    </row>
    <row r="1578" spans="1:95" ht="38.25" x14ac:dyDescent="0.2">
      <c r="A1578" s="176" t="str">
        <f t="shared" si="41"/>
        <v>tidalCurSpeed7HrsAfter</v>
      </c>
      <c r="B1578" s="11" t="s">
        <v>13601</v>
      </c>
      <c r="C1578" s="173"/>
      <c r="D1578" s="22" t="s">
        <v>13602</v>
      </c>
      <c r="E1578" s="15" t="s">
        <v>13603</v>
      </c>
      <c r="F1578" s="15" t="s">
        <v>13438</v>
      </c>
      <c r="G1578" s="174"/>
      <c r="H1578" s="17" t="s">
        <v>5932</v>
      </c>
      <c r="I1578" s="269"/>
      <c r="J1578" s="369" t="str">
        <f t="shared" si="42"/>
        <v>RealNonNegInterval</v>
      </c>
      <c r="K1578" s="271" t="str">
        <f t="shared" si="43"/>
        <v>Speed</v>
      </c>
      <c r="L1578" s="270" t="str">
        <f t="shared" si="44"/>
        <v>Knot</v>
      </c>
      <c r="M1578" s="272"/>
      <c r="N1578" s="273"/>
      <c r="O1578" s="269"/>
      <c r="P1578" s="37">
        <v>110785</v>
      </c>
      <c r="Q1578" s="36" t="str">
        <f>CONCATENATE(Cover!$D$6,"fdd/view?i=",P1578)</f>
        <v>https://www.dgiwg.org/FAD/fdd/view?i=110785</v>
      </c>
      <c r="R1578" s="13" t="s">
        <v>13600</v>
      </c>
      <c r="S1578" s="172"/>
      <c r="T1578" s="172"/>
      <c r="BE1578" s="83" t="s">
        <v>1790</v>
      </c>
      <c r="CQ1578" s="165" t="s">
        <v>1790</v>
      </c>
    </row>
    <row r="1579" spans="1:95" ht="38.25" x14ac:dyDescent="0.2">
      <c r="A1579" s="176" t="str">
        <f t="shared" si="41"/>
        <v>tidalCurSpeed7HrsBefore</v>
      </c>
      <c r="B1579" s="11" t="s">
        <v>13605</v>
      </c>
      <c r="C1579" s="173"/>
      <c r="D1579" s="22" t="s">
        <v>13606</v>
      </c>
      <c r="E1579" s="15" t="s">
        <v>13607</v>
      </c>
      <c r="F1579" s="15" t="s">
        <v>13438</v>
      </c>
      <c r="G1579" s="174"/>
      <c r="H1579" s="17" t="s">
        <v>5932</v>
      </c>
      <c r="I1579" s="269"/>
      <c r="J1579" s="369" t="str">
        <f t="shared" si="42"/>
        <v>RealNonNegInterval</v>
      </c>
      <c r="K1579" s="271" t="str">
        <f t="shared" si="43"/>
        <v>Speed</v>
      </c>
      <c r="L1579" s="270" t="str">
        <f t="shared" si="44"/>
        <v>Knot</v>
      </c>
      <c r="M1579" s="272"/>
      <c r="N1579" s="273"/>
      <c r="O1579" s="269"/>
      <c r="P1579" s="37">
        <v>110771</v>
      </c>
      <c r="Q1579" s="36" t="str">
        <f>CONCATENATE(Cover!$D$6,"fdd/view?i=",P1579)</f>
        <v>https://www.dgiwg.org/FAD/fdd/view?i=110771</v>
      </c>
      <c r="R1579" s="13" t="s">
        <v>13604</v>
      </c>
      <c r="S1579" s="172"/>
      <c r="T1579" s="172"/>
      <c r="BE1579" s="83" t="s">
        <v>1790</v>
      </c>
      <c r="CQ1579" s="165" t="s">
        <v>1790</v>
      </c>
    </row>
    <row r="1580" spans="1:95" ht="38.25" x14ac:dyDescent="0.2">
      <c r="A1580" s="176" t="str">
        <f t="shared" si="41"/>
        <v>tidalCurSpeed8HrsAfter</v>
      </c>
      <c r="B1580" s="11" t="s">
        <v>13609</v>
      </c>
      <c r="C1580" s="173"/>
      <c r="D1580" s="22" t="s">
        <v>13610</v>
      </c>
      <c r="E1580" s="15" t="s">
        <v>13611</v>
      </c>
      <c r="F1580" s="15" t="s">
        <v>13438</v>
      </c>
      <c r="G1580" s="174"/>
      <c r="H1580" s="17" t="s">
        <v>5932</v>
      </c>
      <c r="I1580" s="269"/>
      <c r="J1580" s="369" t="str">
        <f t="shared" si="42"/>
        <v>RealNonNegInterval</v>
      </c>
      <c r="K1580" s="271" t="str">
        <f t="shared" si="43"/>
        <v>Speed</v>
      </c>
      <c r="L1580" s="270" t="str">
        <f t="shared" si="44"/>
        <v>Knot</v>
      </c>
      <c r="M1580" s="272"/>
      <c r="N1580" s="273"/>
      <c r="O1580" s="269"/>
      <c r="P1580" s="37">
        <v>110786</v>
      </c>
      <c r="Q1580" s="36" t="str">
        <f>CONCATENATE(Cover!$D$6,"fdd/view?i=",P1580)</f>
        <v>https://www.dgiwg.org/FAD/fdd/view?i=110786</v>
      </c>
      <c r="R1580" s="13" t="s">
        <v>13608</v>
      </c>
      <c r="S1580" s="172"/>
      <c r="T1580" s="172"/>
      <c r="BE1580" s="83" t="s">
        <v>1790</v>
      </c>
      <c r="CQ1580" s="165" t="s">
        <v>1790</v>
      </c>
    </row>
    <row r="1581" spans="1:95" ht="38.25" x14ac:dyDescent="0.2">
      <c r="A1581" s="176" t="str">
        <f t="shared" si="41"/>
        <v>tidalCurSpeed8HrsBefore</v>
      </c>
      <c r="B1581" s="11" t="s">
        <v>13613</v>
      </c>
      <c r="C1581" s="173"/>
      <c r="D1581" s="22" t="s">
        <v>13614</v>
      </c>
      <c r="E1581" s="15" t="s">
        <v>13615</v>
      </c>
      <c r="F1581" s="15" t="s">
        <v>13438</v>
      </c>
      <c r="G1581" s="174"/>
      <c r="H1581" s="17" t="s">
        <v>5932</v>
      </c>
      <c r="I1581" s="269"/>
      <c r="J1581" s="369" t="str">
        <f t="shared" si="42"/>
        <v>RealNonNegInterval</v>
      </c>
      <c r="K1581" s="271" t="str">
        <f t="shared" si="43"/>
        <v>Speed</v>
      </c>
      <c r="L1581" s="270" t="str">
        <f t="shared" si="44"/>
        <v>Knot</v>
      </c>
      <c r="M1581" s="272"/>
      <c r="N1581" s="273"/>
      <c r="O1581" s="269"/>
      <c r="P1581" s="37">
        <v>110770</v>
      </c>
      <c r="Q1581" s="36" t="str">
        <f>CONCATENATE(Cover!$D$6,"fdd/view?i=",P1581)</f>
        <v>https://www.dgiwg.org/FAD/fdd/view?i=110770</v>
      </c>
      <c r="R1581" s="13" t="s">
        <v>13612</v>
      </c>
      <c r="S1581" s="172"/>
      <c r="T1581" s="172"/>
      <c r="BE1581" s="83" t="s">
        <v>1790</v>
      </c>
      <c r="CQ1581" s="165" t="s">
        <v>1790</v>
      </c>
    </row>
    <row r="1582" spans="1:95" ht="38.25" x14ac:dyDescent="0.2">
      <c r="A1582" s="176" t="str">
        <f t="shared" si="41"/>
        <v>tidalCurSpeed9HrsAfter</v>
      </c>
      <c r="B1582" s="11" t="s">
        <v>13617</v>
      </c>
      <c r="C1582" s="173"/>
      <c r="D1582" s="22" t="s">
        <v>13618</v>
      </c>
      <c r="E1582" s="15" t="s">
        <v>13619</v>
      </c>
      <c r="F1582" s="15" t="s">
        <v>13438</v>
      </c>
      <c r="G1582" s="174"/>
      <c r="H1582" s="17" t="s">
        <v>5932</v>
      </c>
      <c r="I1582" s="269"/>
      <c r="J1582" s="369" t="str">
        <f t="shared" si="42"/>
        <v>RealNonNegInterval</v>
      </c>
      <c r="K1582" s="271" t="str">
        <f t="shared" si="43"/>
        <v>Speed</v>
      </c>
      <c r="L1582" s="270" t="str">
        <f t="shared" si="44"/>
        <v>Knot</v>
      </c>
      <c r="M1582" s="272"/>
      <c r="N1582" s="273"/>
      <c r="O1582" s="269"/>
      <c r="P1582" s="37">
        <v>110787</v>
      </c>
      <c r="Q1582" s="36" t="str">
        <f>CONCATENATE(Cover!$D$6,"fdd/view?i=",P1582)</f>
        <v>https://www.dgiwg.org/FAD/fdd/view?i=110787</v>
      </c>
      <c r="R1582" s="13" t="s">
        <v>13616</v>
      </c>
      <c r="S1582" s="172"/>
      <c r="T1582" s="172"/>
      <c r="BE1582" s="83" t="s">
        <v>1790</v>
      </c>
      <c r="CQ1582" s="165" t="s">
        <v>1790</v>
      </c>
    </row>
    <row r="1583" spans="1:95" ht="38.25" x14ac:dyDescent="0.2">
      <c r="A1583" s="176" t="str">
        <f t="shared" si="41"/>
        <v>tidalCurSpeed9HrsBefore</v>
      </c>
      <c r="B1583" s="11" t="s">
        <v>13621</v>
      </c>
      <c r="C1583" s="173"/>
      <c r="D1583" s="22" t="s">
        <v>13622</v>
      </c>
      <c r="E1583" s="15" t="s">
        <v>13623</v>
      </c>
      <c r="F1583" s="15" t="s">
        <v>13438</v>
      </c>
      <c r="G1583" s="174"/>
      <c r="H1583" s="17" t="s">
        <v>5932</v>
      </c>
      <c r="I1583" s="269"/>
      <c r="J1583" s="369" t="str">
        <f t="shared" si="42"/>
        <v>RealNonNegInterval</v>
      </c>
      <c r="K1583" s="271" t="str">
        <f t="shared" si="43"/>
        <v>Speed</v>
      </c>
      <c r="L1583" s="270" t="str">
        <f t="shared" si="44"/>
        <v>Knot</v>
      </c>
      <c r="M1583" s="272"/>
      <c r="N1583" s="273"/>
      <c r="O1583" s="269"/>
      <c r="P1583" s="37">
        <v>110769</v>
      </c>
      <c r="Q1583" s="36" t="str">
        <f>CONCATENATE(Cover!$D$6,"fdd/view?i=",P1583)</f>
        <v>https://www.dgiwg.org/FAD/fdd/view?i=110769</v>
      </c>
      <c r="R1583" s="13" t="s">
        <v>13620</v>
      </c>
      <c r="S1583" s="172"/>
      <c r="T1583" s="172"/>
      <c r="BE1583" s="83" t="s">
        <v>1790</v>
      </c>
      <c r="CQ1583" s="165" t="s">
        <v>1790</v>
      </c>
    </row>
    <row r="1584" spans="1:95" x14ac:dyDescent="0.2">
      <c r="A1584" s="176" t="str">
        <f t="shared" si="41"/>
        <v>tidalRange</v>
      </c>
      <c r="B1584" s="11" t="s">
        <v>13625</v>
      </c>
      <c r="C1584" s="173"/>
      <c r="D1584" s="22" t="s">
        <v>13626</v>
      </c>
      <c r="E1584" s="15" t="s">
        <v>13627</v>
      </c>
      <c r="F1584" s="174"/>
      <c r="G1584" s="174"/>
      <c r="H1584" s="17" t="s">
        <v>5932</v>
      </c>
      <c r="I1584" s="269"/>
      <c r="J1584" s="369" t="str">
        <f>HYPERLINK("[#]Datatypes!B1231:L1231","Real")</f>
        <v>Real</v>
      </c>
      <c r="K1584" s="271" t="str">
        <f>HYPERLINK("[#]PhysicalQuantities!A20:N20","Length")</f>
        <v>Length</v>
      </c>
      <c r="L1584" s="270" t="str">
        <f>HYPERLINK("[#]UnitsOfMeasure!D80:G80","Metre")</f>
        <v>Metre</v>
      </c>
      <c r="M1584" s="272"/>
      <c r="N1584" s="273"/>
      <c r="O1584" s="269"/>
      <c r="P1584" s="37">
        <v>114489</v>
      </c>
      <c r="Q1584" s="36" t="str">
        <f>CONCATENATE(Cover!$D$6,"fdd/view?i=",P1584)</f>
        <v>https://www.dgiwg.org/FAD/fdd/view?i=114489</v>
      </c>
      <c r="R1584" s="13" t="s">
        <v>13624</v>
      </c>
      <c r="S1584" s="172"/>
      <c r="T1584" s="172"/>
      <c r="AZ1584" s="87" t="s">
        <v>1790</v>
      </c>
      <c r="BE1584" s="83" t="s">
        <v>1790</v>
      </c>
      <c r="CQ1584" s="165" t="s">
        <v>1790</v>
      </c>
    </row>
    <row r="1585" spans="1:98" x14ac:dyDescent="0.2">
      <c r="A1585" s="176" t="str">
        <f t="shared" si="41"/>
        <v>tideCategory</v>
      </c>
      <c r="B1585" s="11" t="s">
        <v>13629</v>
      </c>
      <c r="C1585" s="173"/>
      <c r="D1585" s="22" t="s">
        <v>13630</v>
      </c>
      <c r="E1585" s="15" t="s">
        <v>13631</v>
      </c>
      <c r="F1585" s="174"/>
      <c r="G1585" s="174"/>
      <c r="H1585" s="17" t="s">
        <v>5932</v>
      </c>
      <c r="I1585" s="269"/>
      <c r="J1585" s="369" t="str">
        <f>HYPERLINK("[#]Datatypes!B1576:L1576","TdcCode")</f>
        <v>TdcCode</v>
      </c>
      <c r="K1585" s="276"/>
      <c r="L1585" s="272"/>
      <c r="M1585" s="272"/>
      <c r="N1585" s="248" t="str">
        <f>HYPERLINK("[#]DatatypeListedValues!A9760:H9760","&lt;values&gt;")</f>
        <v>&lt;values&gt;</v>
      </c>
      <c r="O1585" s="277" t="b">
        <v>0</v>
      </c>
      <c r="P1585" s="37">
        <v>114426</v>
      </c>
      <c r="Q1585" s="36" t="str">
        <f>CONCATENATE(Cover!$D$6,"fdd/view?i=",P1585)</f>
        <v>https://www.dgiwg.org/FAD/fdd/view?i=114426</v>
      </c>
      <c r="R1585" s="13" t="s">
        <v>13628</v>
      </c>
      <c r="S1585" s="172"/>
      <c r="T1585" s="172"/>
      <c r="BE1585" s="83" t="s">
        <v>1790</v>
      </c>
      <c r="CS1585" s="165" t="s">
        <v>1790</v>
      </c>
    </row>
    <row r="1586" spans="1:98" x14ac:dyDescent="0.2">
      <c r="A1586" s="176" t="str">
        <f t="shared" si="41"/>
        <v>tideInfluenced</v>
      </c>
      <c r="B1586" s="11" t="s">
        <v>13634</v>
      </c>
      <c r="C1586" s="173"/>
      <c r="D1586" s="22" t="s">
        <v>13635</v>
      </c>
      <c r="E1586" s="15" t="s">
        <v>13636</v>
      </c>
      <c r="F1586" s="174"/>
      <c r="G1586" s="174"/>
      <c r="H1586" s="17" t="s">
        <v>5932</v>
      </c>
      <c r="I1586" s="269"/>
      <c r="J1586" s="369" t="str">
        <f>HYPERLINK("[#]Datatypes!B240:L240","Boolean")</f>
        <v>Boolean</v>
      </c>
      <c r="K1586" s="276"/>
      <c r="L1586" s="272"/>
      <c r="M1586" s="272"/>
      <c r="N1586" s="273"/>
      <c r="O1586" s="269"/>
      <c r="P1586" s="37">
        <v>101367</v>
      </c>
      <c r="Q1586" s="36" t="str">
        <f>CONCATENATE(Cover!$D$6,"fdd/view?i=",P1586)</f>
        <v>https://www.dgiwg.org/FAD/fdd/view?i=101367</v>
      </c>
      <c r="R1586" s="13" t="s">
        <v>13633</v>
      </c>
      <c r="S1586" s="172"/>
      <c r="T1586" s="172"/>
      <c r="BE1586" s="83" t="s">
        <v>1790</v>
      </c>
      <c r="CT1586" s="166" t="s">
        <v>1790</v>
      </c>
    </row>
    <row r="1587" spans="1:98" x14ac:dyDescent="0.2">
      <c r="A1587" s="176" t="str">
        <f t="shared" si="41"/>
        <v>tollRoute</v>
      </c>
      <c r="B1587" s="11" t="s">
        <v>13638</v>
      </c>
      <c r="C1587" s="173"/>
      <c r="D1587" s="22" t="s">
        <v>13639</v>
      </c>
      <c r="E1587" s="15" t="s">
        <v>13640</v>
      </c>
      <c r="F1587" s="174"/>
      <c r="G1587" s="174"/>
      <c r="H1587" s="17" t="s">
        <v>5932</v>
      </c>
      <c r="I1587" s="269"/>
      <c r="J1587" s="369" t="str">
        <f>HYPERLINK("[#]Datatypes!B240:L240","Boolean")</f>
        <v>Boolean</v>
      </c>
      <c r="K1587" s="276"/>
      <c r="L1587" s="272"/>
      <c r="M1587" s="272"/>
      <c r="N1587" s="273"/>
      <c r="O1587" s="269"/>
      <c r="P1587" s="37">
        <v>118586</v>
      </c>
      <c r="Q1587" s="36" t="str">
        <f>CONCATENATE(Cover!$D$6,"fdd/view?i=",P1587)</f>
        <v>https://www.dgiwg.org/FAD/fdd/view?i=118586</v>
      </c>
      <c r="R1587" s="13" t="s">
        <v>13637</v>
      </c>
      <c r="S1587" s="172"/>
      <c r="T1587" s="172"/>
      <c r="AQ1587" s="82" t="s">
        <v>1790</v>
      </c>
      <c r="CT1587" s="166" t="s">
        <v>1790</v>
      </c>
    </row>
    <row r="1588" spans="1:98" ht="25.5" x14ac:dyDescent="0.2">
      <c r="A1588" s="176" t="str">
        <f t="shared" si="41"/>
        <v>tombType</v>
      </c>
      <c r="B1588" s="11" t="s">
        <v>13642</v>
      </c>
      <c r="C1588" s="173"/>
      <c r="D1588" s="22" t="s">
        <v>13643</v>
      </c>
      <c r="E1588" s="15" t="s">
        <v>13644</v>
      </c>
      <c r="F1588" s="174"/>
      <c r="G1588" s="174"/>
      <c r="H1588" s="17" t="s">
        <v>5932</v>
      </c>
      <c r="I1588" s="269"/>
      <c r="J1588" s="369" t="str">
        <f>HYPERLINK("[#]Datatypes!B1578:L1578","TtyCode")</f>
        <v>TtyCode</v>
      </c>
      <c r="K1588" s="276"/>
      <c r="L1588" s="272"/>
      <c r="M1588" s="272"/>
      <c r="N1588" s="248" t="str">
        <f>HYPERLINK("[#]DatatypeListedValues!A9767:H9767","&lt;values&gt;")</f>
        <v>&lt;values&gt;</v>
      </c>
      <c r="O1588" s="277" t="b">
        <v>0</v>
      </c>
      <c r="P1588" s="37">
        <v>111738</v>
      </c>
      <c r="Q1588" s="36" t="str">
        <f>CONCATENATE(Cover!$D$6,"fdd/view?i=",P1588)</f>
        <v>https://www.dgiwg.org/FAD/fdd/view?i=111738</v>
      </c>
      <c r="R1588" s="13" t="s">
        <v>13641</v>
      </c>
      <c r="S1588" s="172"/>
      <c r="T1588" s="172"/>
      <c r="AJ1588" s="83" t="s">
        <v>1790</v>
      </c>
      <c r="CS1588" s="165" t="s">
        <v>1790</v>
      </c>
    </row>
    <row r="1589" spans="1:98" x14ac:dyDescent="0.2">
      <c r="A1589" s="176" t="str">
        <f t="shared" si="41"/>
        <v>tonnage</v>
      </c>
      <c r="B1589" s="11" t="s">
        <v>13647</v>
      </c>
      <c r="C1589" s="173"/>
      <c r="D1589" s="22" t="s">
        <v>13648</v>
      </c>
      <c r="E1589" s="15" t="s">
        <v>13649</v>
      </c>
      <c r="F1589" s="15" t="s">
        <v>11071</v>
      </c>
      <c r="G1589" s="174"/>
      <c r="H1589" s="17" t="s">
        <v>5932</v>
      </c>
      <c r="I1589" s="269"/>
      <c r="J1589" s="369" t="str">
        <f>HYPERLINK("[#]Datatypes!B742:L742","Integer")</f>
        <v>Integer</v>
      </c>
      <c r="K1589" s="271" t="str">
        <f>HYPERLINK("[#]PhysicalQuantities!A28:N28","Mass")</f>
        <v>Mass</v>
      </c>
      <c r="L1589" s="270" t="str">
        <f>HYPERLINK("[#]UnitsOfMeasure!D132:G132","Short Ton")</f>
        <v>Short Ton</v>
      </c>
      <c r="M1589" s="272"/>
      <c r="N1589" s="273"/>
      <c r="O1589" s="269"/>
      <c r="P1589" s="37">
        <v>101375</v>
      </c>
      <c r="Q1589" s="36" t="str">
        <f>CONCATENATE(Cover!$D$6,"fdd/view?i=",P1589)</f>
        <v>https://www.dgiwg.org/FAD/fdd/view?i=101375</v>
      </c>
      <c r="R1589" s="13" t="s">
        <v>13646</v>
      </c>
      <c r="S1589" s="172"/>
      <c r="T1589" s="172"/>
      <c r="BG1589" s="83" t="s">
        <v>1790</v>
      </c>
      <c r="CQ1589" s="165" t="s">
        <v>1790</v>
      </c>
    </row>
    <row r="1590" spans="1:98" ht="25.5" x14ac:dyDescent="0.2">
      <c r="A1590" s="176" t="str">
        <f t="shared" si="41"/>
        <v>topmarkShape</v>
      </c>
      <c r="B1590" s="11" t="s">
        <v>13651</v>
      </c>
      <c r="C1590" s="173"/>
      <c r="D1590" s="22" t="s">
        <v>13652</v>
      </c>
      <c r="E1590" s="15" t="s">
        <v>13653</v>
      </c>
      <c r="F1590" s="15" t="s">
        <v>13654</v>
      </c>
      <c r="G1590" s="174"/>
      <c r="H1590" s="17" t="s">
        <v>5932</v>
      </c>
      <c r="I1590" s="269"/>
      <c r="J1590" s="369" t="str">
        <f>HYPERLINK("[#]Datatypes!B1580:L1580","TzpCode")</f>
        <v>TzpCode</v>
      </c>
      <c r="K1590" s="276"/>
      <c r="L1590" s="272"/>
      <c r="M1590" s="272"/>
      <c r="N1590" s="248" t="str">
        <f>HYPERLINK("[#]DatatypeListedValues!A9774:H9774","&lt;values&gt;")</f>
        <v>&lt;values&gt;</v>
      </c>
      <c r="O1590" s="277" t="b">
        <v>0</v>
      </c>
      <c r="P1590" s="37">
        <v>118924</v>
      </c>
      <c r="Q1590" s="36" t="str">
        <f>CONCATENATE(Cover!$D$6,"fdd/view?i=",P1590)</f>
        <v>https://www.dgiwg.org/FAD/fdd/view?i=118924</v>
      </c>
      <c r="R1590" s="13" t="s">
        <v>13650</v>
      </c>
      <c r="S1590" s="172"/>
      <c r="T1590" s="172"/>
      <c r="AS1590" s="82" t="s">
        <v>1790</v>
      </c>
      <c r="BF1590" s="83" t="s">
        <v>1790</v>
      </c>
      <c r="CS1590" s="165" t="s">
        <v>1790</v>
      </c>
    </row>
    <row r="1591" spans="1:98" x14ac:dyDescent="0.2">
      <c r="A1591" s="176" t="str">
        <f t="shared" si="41"/>
        <v>topographicLocation</v>
      </c>
      <c r="B1591" s="11" t="s">
        <v>13657</v>
      </c>
      <c r="C1591" s="173"/>
      <c r="D1591" s="22" t="s">
        <v>13658</v>
      </c>
      <c r="E1591" s="15" t="s">
        <v>13659</v>
      </c>
      <c r="F1591" s="174"/>
      <c r="G1591" s="174"/>
      <c r="H1591" s="17" t="s">
        <v>5932</v>
      </c>
      <c r="I1591" s="17" t="s">
        <v>6029</v>
      </c>
      <c r="J1591" s="369" t="str">
        <f>HYPERLINK("[#]Datatypes!B1582:L1582","TppCode")</f>
        <v>TppCode</v>
      </c>
      <c r="K1591" s="276"/>
      <c r="L1591" s="272"/>
      <c r="M1591" s="272"/>
      <c r="N1591" s="248" t="str">
        <f>HYPERLINK("[#]DatatypeListedValues!A9811:H9811","&lt;values&gt;")</f>
        <v>&lt;values&gt;</v>
      </c>
      <c r="O1591" s="277" t="b">
        <v>0</v>
      </c>
      <c r="P1591" s="37">
        <v>111736</v>
      </c>
      <c r="Q1591" s="36" t="str">
        <f>CONCATENATE(Cover!$D$6,"fdd/view?i=",P1591)</f>
        <v>https://www.dgiwg.org/FAD/fdd/view?i=111736</v>
      </c>
      <c r="R1591" s="13" t="s">
        <v>13656</v>
      </c>
      <c r="S1591" s="172"/>
      <c r="T1591" s="172"/>
      <c r="BM1591" s="82" t="s">
        <v>1790</v>
      </c>
      <c r="CP1591" s="164" t="s">
        <v>1790</v>
      </c>
      <c r="CS1591" s="165" t="s">
        <v>1790</v>
      </c>
    </row>
    <row r="1592" spans="1:98" ht="25.5" x14ac:dyDescent="0.2">
      <c r="A1592" s="176" t="str">
        <f t="shared" si="41"/>
        <v>totalDissolvedSolids</v>
      </c>
      <c r="B1592" s="11" t="s">
        <v>13662</v>
      </c>
      <c r="C1592" s="173"/>
      <c r="D1592" s="22" t="s">
        <v>13663</v>
      </c>
      <c r="E1592" s="15" t="s">
        <v>13664</v>
      </c>
      <c r="F1592" s="174"/>
      <c r="G1592" s="174"/>
      <c r="H1592" s="17" t="s">
        <v>5932</v>
      </c>
      <c r="I1592" s="269"/>
      <c r="J1592" s="369" t="str">
        <f t="shared" ref="J1592:J1598" si="45">HYPERLINK("[#]Datatypes!B1231:L1231","Real")</f>
        <v>Real</v>
      </c>
      <c r="K1592" s="271" t="str">
        <f>HYPERLINK("[#]PhysicalQuantities!A29:N29","Mass Density")</f>
        <v>Mass Density</v>
      </c>
      <c r="L1592" s="270" t="str">
        <f>HYPERLINK("[#]UnitsOfMeasure!D140:G140","Gram per cubic Metre")</f>
        <v>Gram per cubic Metre</v>
      </c>
      <c r="M1592" s="272"/>
      <c r="N1592" s="273"/>
      <c r="O1592" s="269"/>
      <c r="P1592" s="37">
        <v>119407</v>
      </c>
      <c r="Q1592" s="36" t="str">
        <f>CONCATENATE(Cover!$D$6,"fdd/view?i=",P1592)</f>
        <v>https://www.dgiwg.org/FAD/fdd/view?i=119407</v>
      </c>
      <c r="R1592" s="13" t="s">
        <v>13661</v>
      </c>
      <c r="S1592" s="172"/>
      <c r="T1592" s="172"/>
      <c r="BK1592" s="89" t="s">
        <v>1790</v>
      </c>
      <c r="BP1592" s="82" t="s">
        <v>1790</v>
      </c>
      <c r="CQ1592" s="165" t="s">
        <v>1790</v>
      </c>
    </row>
    <row r="1593" spans="1:98" x14ac:dyDescent="0.2">
      <c r="A1593" s="176" t="str">
        <f t="shared" si="41"/>
        <v>totalExportsValue</v>
      </c>
      <c r="B1593" s="11" t="s">
        <v>13666</v>
      </c>
      <c r="C1593" s="173"/>
      <c r="D1593" s="22" t="s">
        <v>13667</v>
      </c>
      <c r="E1593" s="15" t="s">
        <v>13668</v>
      </c>
      <c r="F1593" s="174"/>
      <c r="G1593" s="174"/>
      <c r="H1593" s="17" t="s">
        <v>5932</v>
      </c>
      <c r="I1593" s="269"/>
      <c r="J1593" s="369" t="str">
        <f t="shared" si="45"/>
        <v>Real</v>
      </c>
      <c r="K1593" s="271" t="str">
        <f>HYPERLINK("[#]PhysicalQuantities!A32:N32","Monetary Unit")</f>
        <v>Monetary Unit</v>
      </c>
      <c r="L1593" s="270" t="str">
        <f>HYPERLINK("[#]UnitsOfMeasure!D151:G151","U.S. Dollar")</f>
        <v>U.S. Dollar</v>
      </c>
      <c r="M1593" s="272"/>
      <c r="N1593" s="273"/>
      <c r="O1593" s="269"/>
      <c r="P1593" s="37">
        <v>111747</v>
      </c>
      <c r="Q1593" s="36" t="str">
        <f>CONCATENATE(Cover!$D$6,"fdd/view?i=",P1593)</f>
        <v>https://www.dgiwg.org/FAD/fdd/view?i=111747</v>
      </c>
      <c r="R1593" s="13" t="s">
        <v>13665</v>
      </c>
      <c r="S1593" s="172"/>
      <c r="T1593" s="172"/>
      <c r="AK1593" s="83" t="s">
        <v>1790</v>
      </c>
      <c r="CQ1593" s="165" t="s">
        <v>1790</v>
      </c>
    </row>
    <row r="1594" spans="1:98" x14ac:dyDescent="0.2">
      <c r="A1594" s="176" t="str">
        <f t="shared" si="41"/>
        <v>totalImportsValue</v>
      </c>
      <c r="B1594" s="11" t="s">
        <v>13670</v>
      </c>
      <c r="C1594" s="173"/>
      <c r="D1594" s="22" t="s">
        <v>13671</v>
      </c>
      <c r="E1594" s="15" t="s">
        <v>13672</v>
      </c>
      <c r="F1594" s="174"/>
      <c r="G1594" s="174"/>
      <c r="H1594" s="17" t="s">
        <v>5932</v>
      </c>
      <c r="I1594" s="269"/>
      <c r="J1594" s="369" t="str">
        <f t="shared" si="45"/>
        <v>Real</v>
      </c>
      <c r="K1594" s="271" t="str">
        <f>HYPERLINK("[#]PhysicalQuantities!A32:N32","Monetary Unit")</f>
        <v>Monetary Unit</v>
      </c>
      <c r="L1594" s="270" t="str">
        <f>HYPERLINK("[#]UnitsOfMeasure!D151:G151","U.S. Dollar")</f>
        <v>U.S. Dollar</v>
      </c>
      <c r="M1594" s="272"/>
      <c r="N1594" s="273"/>
      <c r="O1594" s="269"/>
      <c r="P1594" s="37">
        <v>111743</v>
      </c>
      <c r="Q1594" s="36" t="str">
        <f>CONCATENATE(Cover!$D$6,"fdd/view?i=",P1594)</f>
        <v>https://www.dgiwg.org/FAD/fdd/view?i=111743</v>
      </c>
      <c r="R1594" s="13" t="s">
        <v>13669</v>
      </c>
      <c r="S1594" s="172"/>
      <c r="T1594" s="172"/>
      <c r="AK1594" s="83" t="s">
        <v>1790</v>
      </c>
      <c r="CQ1594" s="165" t="s">
        <v>1790</v>
      </c>
    </row>
    <row r="1595" spans="1:98" x14ac:dyDescent="0.2">
      <c r="A1595" s="176" t="str">
        <f t="shared" si="41"/>
        <v>totalLengthOfMotorways</v>
      </c>
      <c r="B1595" s="11" t="s">
        <v>13674</v>
      </c>
      <c r="C1595" s="173"/>
      <c r="D1595" s="22" t="s">
        <v>13675</v>
      </c>
      <c r="E1595" s="15" t="s">
        <v>13676</v>
      </c>
      <c r="F1595" s="174"/>
      <c r="G1595" s="15" t="s">
        <v>13677</v>
      </c>
      <c r="H1595" s="17" t="s">
        <v>5932</v>
      </c>
      <c r="I1595" s="269"/>
      <c r="J1595" s="369" t="str">
        <f t="shared" si="45"/>
        <v>Real</v>
      </c>
      <c r="K1595" s="271" t="str">
        <f>HYPERLINK("[#]PhysicalQuantities!A20:N20","Length")</f>
        <v>Length</v>
      </c>
      <c r="L1595" s="270" t="str">
        <f>HYPERLINK("[#]UnitsOfMeasure!D83:G83","Kilometre")</f>
        <v>Kilometre</v>
      </c>
      <c r="M1595" s="272"/>
      <c r="N1595" s="273"/>
      <c r="O1595" s="269"/>
      <c r="P1595" s="37">
        <v>111618</v>
      </c>
      <c r="Q1595" s="36" t="str">
        <f>CONCATENATE(Cover!$D$6,"fdd/view?i=",P1595)</f>
        <v>https://www.dgiwg.org/FAD/fdd/view?i=111618</v>
      </c>
      <c r="R1595" s="13" t="s">
        <v>13673</v>
      </c>
      <c r="S1595" s="172"/>
      <c r="T1595" s="172"/>
      <c r="AM1595" s="83" t="s">
        <v>1790</v>
      </c>
      <c r="AQ1595" s="82" t="s">
        <v>1790</v>
      </c>
      <c r="CQ1595" s="165" t="s">
        <v>1790</v>
      </c>
    </row>
    <row r="1596" spans="1:98" x14ac:dyDescent="0.2">
      <c r="A1596" s="176" t="str">
        <f t="shared" si="41"/>
        <v>totalLengthOfRailways</v>
      </c>
      <c r="B1596" s="11" t="s">
        <v>13679</v>
      </c>
      <c r="C1596" s="173"/>
      <c r="D1596" s="22" t="s">
        <v>13680</v>
      </c>
      <c r="E1596" s="15" t="s">
        <v>13681</v>
      </c>
      <c r="F1596" s="174"/>
      <c r="G1596" s="174"/>
      <c r="H1596" s="17" t="s">
        <v>5932</v>
      </c>
      <c r="I1596" s="269"/>
      <c r="J1596" s="369" t="str">
        <f t="shared" si="45"/>
        <v>Real</v>
      </c>
      <c r="K1596" s="271" t="str">
        <f>HYPERLINK("[#]PhysicalQuantities!A20:N20","Length")</f>
        <v>Length</v>
      </c>
      <c r="L1596" s="270" t="str">
        <f>HYPERLINK("[#]UnitsOfMeasure!D83:G83","Kilometre")</f>
        <v>Kilometre</v>
      </c>
      <c r="M1596" s="272"/>
      <c r="N1596" s="273"/>
      <c r="O1596" s="269"/>
      <c r="P1596" s="37">
        <v>111620</v>
      </c>
      <c r="Q1596" s="36" t="str">
        <f>CONCATENATE(Cover!$D$6,"fdd/view?i=",P1596)</f>
        <v>https://www.dgiwg.org/FAD/fdd/view?i=111620</v>
      </c>
      <c r="R1596" s="13" t="s">
        <v>13678</v>
      </c>
      <c r="S1596" s="172"/>
      <c r="T1596" s="172"/>
      <c r="AM1596" s="83" t="s">
        <v>1790</v>
      </c>
      <c r="AP1596" s="81" t="s">
        <v>1790</v>
      </c>
      <c r="CQ1596" s="165" t="s">
        <v>1790</v>
      </c>
    </row>
    <row r="1597" spans="1:98" x14ac:dyDescent="0.2">
      <c r="A1597" s="176" t="str">
        <f t="shared" si="41"/>
        <v>totalLengthOfRoads</v>
      </c>
      <c r="B1597" s="11" t="s">
        <v>13683</v>
      </c>
      <c r="C1597" s="173"/>
      <c r="D1597" s="22" t="s">
        <v>13684</v>
      </c>
      <c r="E1597" s="15" t="s">
        <v>13685</v>
      </c>
      <c r="F1597" s="174"/>
      <c r="G1597" s="174"/>
      <c r="H1597" s="17" t="s">
        <v>5932</v>
      </c>
      <c r="I1597" s="269"/>
      <c r="J1597" s="369" t="str">
        <f t="shared" si="45"/>
        <v>Real</v>
      </c>
      <c r="K1597" s="271" t="str">
        <f>HYPERLINK("[#]PhysicalQuantities!A20:N20","Length")</f>
        <v>Length</v>
      </c>
      <c r="L1597" s="270" t="str">
        <f>HYPERLINK("[#]UnitsOfMeasure!D83:G83","Kilometre")</f>
        <v>Kilometre</v>
      </c>
      <c r="M1597" s="272"/>
      <c r="N1597" s="273"/>
      <c r="O1597" s="269"/>
      <c r="P1597" s="37">
        <v>111621</v>
      </c>
      <c r="Q1597" s="36" t="str">
        <f>CONCATENATE(Cover!$D$6,"fdd/view?i=",P1597)</f>
        <v>https://www.dgiwg.org/FAD/fdd/view?i=111621</v>
      </c>
      <c r="R1597" s="13" t="s">
        <v>13682</v>
      </c>
      <c r="S1597" s="172"/>
      <c r="T1597" s="172"/>
      <c r="AM1597" s="83" t="s">
        <v>1790</v>
      </c>
      <c r="AQ1597" s="82" t="s">
        <v>1790</v>
      </c>
      <c r="CQ1597" s="165" t="s">
        <v>1790</v>
      </c>
    </row>
    <row r="1598" spans="1:98" x14ac:dyDescent="0.2">
      <c r="A1598" s="176" t="str">
        <f t="shared" si="41"/>
        <v>totalLengthOfWaterways</v>
      </c>
      <c r="B1598" s="11" t="s">
        <v>13687</v>
      </c>
      <c r="C1598" s="173"/>
      <c r="D1598" s="22" t="s">
        <v>13688</v>
      </c>
      <c r="E1598" s="15" t="s">
        <v>13689</v>
      </c>
      <c r="F1598" s="174"/>
      <c r="G1598" s="174"/>
      <c r="H1598" s="17" t="s">
        <v>5932</v>
      </c>
      <c r="I1598" s="269"/>
      <c r="J1598" s="369" t="str">
        <f t="shared" si="45"/>
        <v>Real</v>
      </c>
      <c r="K1598" s="271" t="str">
        <f>HYPERLINK("[#]PhysicalQuantities!A20:N20","Length")</f>
        <v>Length</v>
      </c>
      <c r="L1598" s="270" t="str">
        <f>HYPERLINK("[#]UnitsOfMeasure!D83:G83","Kilometre")</f>
        <v>Kilometre</v>
      </c>
      <c r="M1598" s="272"/>
      <c r="N1598" s="273"/>
      <c r="O1598" s="269"/>
      <c r="P1598" s="37">
        <v>111622</v>
      </c>
      <c r="Q1598" s="36" t="str">
        <f>CONCATENATE(Cover!$D$6,"fdd/view?i=",P1598)</f>
        <v>https://www.dgiwg.org/FAD/fdd/view?i=111622</v>
      </c>
      <c r="R1598" s="13" t="s">
        <v>13686</v>
      </c>
      <c r="S1598" s="172"/>
      <c r="T1598" s="172"/>
      <c r="AM1598" s="83" t="s">
        <v>1790</v>
      </c>
      <c r="AS1598" s="82" t="s">
        <v>1790</v>
      </c>
      <c r="CQ1598" s="165" t="s">
        <v>1790</v>
      </c>
    </row>
    <row r="1599" spans="1:98" ht="25.5" x14ac:dyDescent="0.2">
      <c r="A1599" s="176" t="str">
        <f t="shared" si="41"/>
        <v>touchdownLiftOffAreaDesig</v>
      </c>
      <c r="B1599" s="11" t="s">
        <v>13691</v>
      </c>
      <c r="C1599" s="173"/>
      <c r="D1599" s="22" t="s">
        <v>13692</v>
      </c>
      <c r="E1599" s="15" t="s">
        <v>13693</v>
      </c>
      <c r="F1599" s="174"/>
      <c r="G1599" s="174"/>
      <c r="H1599" s="17" t="s">
        <v>5932</v>
      </c>
      <c r="I1599" s="269"/>
      <c r="J1599" s="369" t="str">
        <f>HYPERLINK("[#]Datatypes!B1584:L1584","TldStrucText")</f>
        <v>TldStrucText</v>
      </c>
      <c r="K1599" s="276"/>
      <c r="L1599" s="272"/>
      <c r="M1599" s="272"/>
      <c r="N1599" s="273"/>
      <c r="O1599" s="269"/>
      <c r="P1599" s="37">
        <v>117726</v>
      </c>
      <c r="Q1599" s="36" t="str">
        <f>CONCATENATE(Cover!$D$6,"fdd/view?i=",P1599)</f>
        <v>https://www.dgiwg.org/FAD/fdd/view?i=117726</v>
      </c>
      <c r="R1599" s="13" t="s">
        <v>13690</v>
      </c>
      <c r="S1599" s="172"/>
      <c r="T1599" s="172"/>
      <c r="CE1599" s="87" t="s">
        <v>1790</v>
      </c>
    </row>
    <row r="1600" spans="1:98" ht="127.5" x14ac:dyDescent="0.2">
      <c r="A1600" s="176" t="str">
        <f t="shared" si="41"/>
        <v>touchdownZoneElevation</v>
      </c>
      <c r="B1600" s="11" t="s">
        <v>13696</v>
      </c>
      <c r="C1600" s="173"/>
      <c r="D1600" s="22" t="s">
        <v>13697</v>
      </c>
      <c r="E1600" s="15" t="s">
        <v>13698</v>
      </c>
      <c r="F1600" s="15" t="s">
        <v>13699</v>
      </c>
      <c r="G1600" s="174"/>
      <c r="H1600" s="17" t="s">
        <v>5932</v>
      </c>
      <c r="I1600" s="269"/>
      <c r="J1600" s="369" t="str">
        <f>HYPERLINK("[#]Datatypes!B1231:L1231","Real")</f>
        <v>Real</v>
      </c>
      <c r="K1600" s="271" t="str">
        <f>HYPERLINK("[#]PhysicalQuantities!A20:N20","Length")</f>
        <v>Length</v>
      </c>
      <c r="L1600" s="270" t="str">
        <f>HYPERLINK("[#]UnitsOfMeasure!D80:G80","Metre")</f>
        <v>Metre</v>
      </c>
      <c r="M1600" s="272"/>
      <c r="N1600" s="273"/>
      <c r="O1600" s="269"/>
      <c r="P1600" s="37">
        <v>117736</v>
      </c>
      <c r="Q1600" s="36" t="str">
        <f>CONCATENATE(Cover!$D$6,"fdd/view?i=",P1600)</f>
        <v>https://www.dgiwg.org/FAD/fdd/view?i=117736</v>
      </c>
      <c r="R1600" s="13" t="s">
        <v>13695</v>
      </c>
      <c r="S1600" s="172"/>
      <c r="T1600" s="172"/>
      <c r="CE1600" s="87" t="s">
        <v>1790</v>
      </c>
    </row>
    <row r="1601" spans="1:99" ht="25.5" x14ac:dyDescent="0.2">
      <c r="A1601" s="176" t="str">
        <f t="shared" si="41"/>
        <v>touchdownZoneElevHighEnd</v>
      </c>
      <c r="B1601" s="11" t="s">
        <v>13701</v>
      </c>
      <c r="C1601" s="173"/>
      <c r="D1601" s="22" t="s">
        <v>13702</v>
      </c>
      <c r="E1601" s="15" t="s">
        <v>13703</v>
      </c>
      <c r="F1601" s="15" t="s">
        <v>13704</v>
      </c>
      <c r="G1601" s="174"/>
      <c r="H1601" s="17" t="s">
        <v>5932</v>
      </c>
      <c r="I1601" s="269"/>
      <c r="J1601" s="369" t="str">
        <f>HYPERLINK("[#]Datatypes!B1231:L1231","Real")</f>
        <v>Real</v>
      </c>
      <c r="K1601" s="271" t="str">
        <f>HYPERLINK("[#]PhysicalQuantities!A20:N20","Length")</f>
        <v>Length</v>
      </c>
      <c r="L1601" s="270" t="str">
        <f>HYPERLINK("[#]UnitsOfMeasure!D80:G80","Metre")</f>
        <v>Metre</v>
      </c>
      <c r="M1601" s="272"/>
      <c r="N1601" s="273"/>
      <c r="O1601" s="269"/>
      <c r="P1601" s="37">
        <v>101365</v>
      </c>
      <c r="Q1601" s="36" t="str">
        <f>CONCATENATE(Cover!$D$6,"fdd/view?i=",P1601)</f>
        <v>https://www.dgiwg.org/FAD/fdd/view?i=101365</v>
      </c>
      <c r="R1601" s="13" t="s">
        <v>13700</v>
      </c>
      <c r="S1601" s="172"/>
      <c r="T1601" s="172"/>
      <c r="AT1601" s="82" t="s">
        <v>1790</v>
      </c>
      <c r="CE1601" s="87" t="s">
        <v>1790</v>
      </c>
      <c r="CP1601" s="164" t="s">
        <v>1790</v>
      </c>
    </row>
    <row r="1602" spans="1:99" ht="25.5" x14ac:dyDescent="0.2">
      <c r="A1602" s="176" t="str">
        <f t="shared" si="41"/>
        <v>touchdownZoneElevLowEnd</v>
      </c>
      <c r="B1602" s="11" t="s">
        <v>13706</v>
      </c>
      <c r="C1602" s="173"/>
      <c r="D1602" s="22" t="s">
        <v>13707</v>
      </c>
      <c r="E1602" s="15" t="s">
        <v>13708</v>
      </c>
      <c r="F1602" s="15" t="s">
        <v>13704</v>
      </c>
      <c r="G1602" s="174"/>
      <c r="H1602" s="17" t="s">
        <v>5932</v>
      </c>
      <c r="I1602" s="269"/>
      <c r="J1602" s="369" t="str">
        <f>HYPERLINK("[#]Datatypes!B1231:L1231","Real")</f>
        <v>Real</v>
      </c>
      <c r="K1602" s="271" t="str">
        <f>HYPERLINK("[#]PhysicalQuantities!A20:N20","Length")</f>
        <v>Length</v>
      </c>
      <c r="L1602" s="270" t="str">
        <f>HYPERLINK("[#]UnitsOfMeasure!D80:G80","Metre")</f>
        <v>Metre</v>
      </c>
      <c r="M1602" s="272"/>
      <c r="N1602" s="273"/>
      <c r="O1602" s="269"/>
      <c r="P1602" s="37">
        <v>101371</v>
      </c>
      <c r="Q1602" s="36" t="str">
        <f>CONCATENATE(Cover!$D$6,"fdd/view?i=",P1602)</f>
        <v>https://www.dgiwg.org/FAD/fdd/view?i=101371</v>
      </c>
      <c r="R1602" s="13" t="s">
        <v>13705</v>
      </c>
      <c r="S1602" s="172"/>
      <c r="T1602" s="172"/>
      <c r="AT1602" s="82" t="s">
        <v>1790</v>
      </c>
      <c r="BL1602" s="81" t="s">
        <v>1790</v>
      </c>
      <c r="CE1602" s="87" t="s">
        <v>1790</v>
      </c>
      <c r="CP1602" s="164" t="s">
        <v>1790</v>
      </c>
    </row>
    <row r="1603" spans="1:99" ht="51" x14ac:dyDescent="0.2">
      <c r="A1603" s="176" t="str">
        <f t="shared" ref="A1603:A1666" si="46">HYPERLINK(Q1603,R1603)</f>
        <v>touristAttraction</v>
      </c>
      <c r="B1603" s="11" t="s">
        <v>13710</v>
      </c>
      <c r="C1603" s="173"/>
      <c r="D1603" s="22" t="s">
        <v>13711</v>
      </c>
      <c r="E1603" s="15" t="s">
        <v>13712</v>
      </c>
      <c r="F1603" s="174"/>
      <c r="G1603" s="174"/>
      <c r="H1603" s="17" t="s">
        <v>5932</v>
      </c>
      <c r="I1603" s="269"/>
      <c r="J1603" s="369" t="str">
        <f>HYPERLINK("[#]Datatypes!B240:L240","Boolean")</f>
        <v>Boolean</v>
      </c>
      <c r="K1603" s="276"/>
      <c r="L1603" s="272"/>
      <c r="M1603" s="272"/>
      <c r="N1603" s="273"/>
      <c r="O1603" s="269"/>
      <c r="P1603" s="37">
        <v>118591</v>
      </c>
      <c r="Q1603" s="36" t="str">
        <f>CONCATENATE(Cover!$D$6,"fdd/view?i=",P1603)</f>
        <v>https://www.dgiwg.org/FAD/fdd/view?i=118591</v>
      </c>
      <c r="R1603" s="13" t="s">
        <v>13709</v>
      </c>
      <c r="S1603" s="172"/>
      <c r="T1603" s="172"/>
      <c r="AJ1603" s="83" t="s">
        <v>1790</v>
      </c>
      <c r="CT1603" s="166" t="s">
        <v>1790</v>
      </c>
    </row>
    <row r="1604" spans="1:99" x14ac:dyDescent="0.2">
      <c r="A1604" s="176" t="str">
        <f t="shared" si="46"/>
        <v>touristicName</v>
      </c>
      <c r="B1604" s="11" t="s">
        <v>13714</v>
      </c>
      <c r="C1604" s="173"/>
      <c r="D1604" s="22" t="s">
        <v>13715</v>
      </c>
      <c r="E1604" s="15" t="s">
        <v>13716</v>
      </c>
      <c r="F1604" s="15" t="s">
        <v>13717</v>
      </c>
      <c r="G1604" s="174"/>
      <c r="H1604" s="17" t="s">
        <v>5932</v>
      </c>
      <c r="I1604" s="269"/>
      <c r="J1604" s="369" t="str">
        <f>HYPERLINK("[#]Datatypes!B1542:L1542","TextLex80")</f>
        <v>TextLex80</v>
      </c>
      <c r="K1604" s="276"/>
      <c r="L1604" s="272"/>
      <c r="M1604" s="272"/>
      <c r="N1604" s="273"/>
      <c r="O1604" s="269"/>
      <c r="P1604" s="37">
        <v>101088</v>
      </c>
      <c r="Q1604" s="36" t="str">
        <f>CONCATENATE(Cover!$D$6,"fdd/view?i=",P1604)</f>
        <v>https://www.dgiwg.org/FAD/fdd/view?i=101088</v>
      </c>
      <c r="R1604" s="13" t="s">
        <v>13713</v>
      </c>
      <c r="S1604" s="172"/>
      <c r="T1604" s="172"/>
      <c r="AL1604" s="83" t="s">
        <v>1790</v>
      </c>
      <c r="CU1604" s="87" t="s">
        <v>1790</v>
      </c>
    </row>
    <row r="1605" spans="1:99" x14ac:dyDescent="0.2">
      <c r="A1605" s="176" t="str">
        <f t="shared" si="46"/>
        <v>towerShape</v>
      </c>
      <c r="B1605" s="11" t="s">
        <v>13719</v>
      </c>
      <c r="C1605" s="173"/>
      <c r="D1605" s="22" t="s">
        <v>13720</v>
      </c>
      <c r="E1605" s="15" t="s">
        <v>13721</v>
      </c>
      <c r="F1605" s="174"/>
      <c r="G1605" s="174"/>
      <c r="H1605" s="17" t="s">
        <v>5932</v>
      </c>
      <c r="I1605" s="269"/>
      <c r="J1605" s="369" t="str">
        <f>HYPERLINK("[#]Datatypes!B1586:L1586","TosCode")</f>
        <v>TosCode</v>
      </c>
      <c r="K1605" s="276"/>
      <c r="L1605" s="272"/>
      <c r="M1605" s="272"/>
      <c r="N1605" s="248" t="str">
        <f>HYPERLINK("[#]DatatypeListedValues!A9830:H9830","&lt;values&gt;")</f>
        <v>&lt;values&gt;</v>
      </c>
      <c r="O1605" s="277" t="b">
        <v>0</v>
      </c>
      <c r="P1605" s="37">
        <v>103064</v>
      </c>
      <c r="Q1605" s="36" t="str">
        <f>CONCATENATE(Cover!$D$6,"fdd/view?i=",P1605)</f>
        <v>https://www.dgiwg.org/FAD/fdd/view?i=103064</v>
      </c>
      <c r="R1605" s="13" t="s">
        <v>13718</v>
      </c>
      <c r="S1605" s="172"/>
      <c r="T1605" s="172"/>
      <c r="AI1605" s="87" t="s">
        <v>1790</v>
      </c>
      <c r="AJ1605" s="83" t="s">
        <v>1790</v>
      </c>
      <c r="CS1605" s="165" t="s">
        <v>1790</v>
      </c>
    </row>
    <row r="1606" spans="1:99" x14ac:dyDescent="0.2">
      <c r="A1606" s="176" t="str">
        <f t="shared" si="46"/>
        <v>towerType</v>
      </c>
      <c r="B1606" s="11" t="s">
        <v>13724</v>
      </c>
      <c r="C1606" s="173"/>
      <c r="D1606" s="22" t="s">
        <v>13725</v>
      </c>
      <c r="E1606" s="15" t="s">
        <v>13726</v>
      </c>
      <c r="F1606" s="174"/>
      <c r="G1606" s="174"/>
      <c r="H1606" s="17" t="s">
        <v>5932</v>
      </c>
      <c r="I1606" s="17" t="s">
        <v>6029</v>
      </c>
      <c r="J1606" s="369" t="str">
        <f>HYPERLINK("[#]Datatypes!B1588:L1588","TtcCode")</f>
        <v>TtcCode</v>
      </c>
      <c r="K1606" s="276"/>
      <c r="L1606" s="272"/>
      <c r="M1606" s="272"/>
      <c r="N1606" s="248" t="str">
        <f>HYPERLINK("[#]DatatypeListedValues!A9844:H9844","&lt;values&gt;")</f>
        <v>&lt;values&gt;</v>
      </c>
      <c r="O1606" s="277" t="b">
        <v>0</v>
      </c>
      <c r="P1606" s="37">
        <v>101398</v>
      </c>
      <c r="Q1606" s="36" t="str">
        <f>CONCATENATE(Cover!$D$6,"fdd/view?i=",P1606)</f>
        <v>https://www.dgiwg.org/FAD/fdd/view?i=101398</v>
      </c>
      <c r="R1606" s="13" t="s">
        <v>13723</v>
      </c>
      <c r="S1606" s="172"/>
      <c r="T1606" s="172"/>
      <c r="AI1606" s="87" t="s">
        <v>1790</v>
      </c>
      <c r="AJ1606" s="83" t="s">
        <v>1790</v>
      </c>
      <c r="CT1606" s="166" t="s">
        <v>1790</v>
      </c>
    </row>
    <row r="1607" spans="1:99" ht="25.5" x14ac:dyDescent="0.2">
      <c r="A1607" s="176" t="str">
        <f t="shared" si="46"/>
        <v>trackOrLaneCount</v>
      </c>
      <c r="B1607" s="11" t="s">
        <v>13729</v>
      </c>
      <c r="C1607" s="173"/>
      <c r="D1607" s="22" t="s">
        <v>13730</v>
      </c>
      <c r="E1607" s="15" t="s">
        <v>13731</v>
      </c>
      <c r="F1607" s="174"/>
      <c r="G1607" s="174"/>
      <c r="H1607" s="17" t="s">
        <v>5932</v>
      </c>
      <c r="I1607" s="269"/>
      <c r="J1607" s="369" t="str">
        <f>HYPERLINK("[#]Datatypes!B380:L380","Count")</f>
        <v>Count</v>
      </c>
      <c r="K1607" s="276"/>
      <c r="L1607" s="272"/>
      <c r="M1607" s="272"/>
      <c r="N1607" s="273"/>
      <c r="O1607" s="269"/>
      <c r="P1607" s="37">
        <v>101015</v>
      </c>
      <c r="Q1607" s="36" t="str">
        <f>CONCATENATE(Cover!$D$6,"fdd/view?i=",P1607)</f>
        <v>https://www.dgiwg.org/FAD/fdd/view?i=101015</v>
      </c>
      <c r="R1607" s="13" t="s">
        <v>13728</v>
      </c>
      <c r="S1607" s="172"/>
      <c r="T1607" s="172"/>
      <c r="AP1607" s="81" t="s">
        <v>1790</v>
      </c>
      <c r="AQ1607" s="82" t="s">
        <v>1790</v>
      </c>
    </row>
    <row r="1608" spans="1:99" x14ac:dyDescent="0.2">
      <c r="A1608" s="176" t="str">
        <f t="shared" si="46"/>
        <v>trackType</v>
      </c>
      <c r="B1608" s="11" t="s">
        <v>13733</v>
      </c>
      <c r="C1608" s="173"/>
      <c r="D1608" s="22" t="s">
        <v>13734</v>
      </c>
      <c r="E1608" s="15" t="s">
        <v>13735</v>
      </c>
      <c r="F1608" s="174"/>
      <c r="G1608" s="174"/>
      <c r="H1608" s="17" t="s">
        <v>5932</v>
      </c>
      <c r="I1608" s="269"/>
      <c r="J1608" s="369" t="str">
        <f>HYPERLINK("[#]Datatypes!B1590:L1590","TrtCode")</f>
        <v>TrtCode</v>
      </c>
      <c r="K1608" s="276"/>
      <c r="L1608" s="272"/>
      <c r="M1608" s="272"/>
      <c r="N1608" s="248" t="str">
        <f>HYPERLINK("[#]DatatypeListedValues!A9866:H9866","&lt;values&gt;")</f>
        <v>&lt;values&gt;</v>
      </c>
      <c r="O1608" s="277" t="b">
        <v>0</v>
      </c>
      <c r="P1608" s="37">
        <v>103066</v>
      </c>
      <c r="Q1608" s="36" t="str">
        <f>CONCATENATE(Cover!$D$6,"fdd/view?i=",P1608)</f>
        <v>https://www.dgiwg.org/FAD/fdd/view?i=103066</v>
      </c>
      <c r="R1608" s="13" t="s">
        <v>13732</v>
      </c>
      <c r="S1608" s="172"/>
      <c r="T1608" s="172"/>
      <c r="AP1608" s="81" t="s">
        <v>1790</v>
      </c>
      <c r="CT1608" s="166" t="s">
        <v>1790</v>
      </c>
    </row>
    <row r="1609" spans="1:99" ht="25.5" x14ac:dyDescent="0.2">
      <c r="A1609" s="176" t="str">
        <f t="shared" si="46"/>
        <v>tradeBalance</v>
      </c>
      <c r="B1609" s="11" t="s">
        <v>13738</v>
      </c>
      <c r="C1609" s="173"/>
      <c r="D1609" s="22" t="s">
        <v>13739</v>
      </c>
      <c r="E1609" s="15" t="s">
        <v>13740</v>
      </c>
      <c r="F1609" s="174"/>
      <c r="G1609" s="174"/>
      <c r="H1609" s="17" t="s">
        <v>5932</v>
      </c>
      <c r="I1609" s="269"/>
      <c r="J1609" s="369" t="str">
        <f>HYPERLINK("[#]Datatypes!B1231:L1231","Real")</f>
        <v>Real</v>
      </c>
      <c r="K1609" s="271" t="str">
        <f>HYPERLINK("[#]PhysicalQuantities!A32:N32","Monetary Unit")</f>
        <v>Monetary Unit</v>
      </c>
      <c r="L1609" s="270" t="str">
        <f>HYPERLINK("[#]UnitsOfMeasure!D151:G151","U.S. Dollar")</f>
        <v>U.S. Dollar</v>
      </c>
      <c r="M1609" s="272"/>
      <c r="N1609" s="273"/>
      <c r="O1609" s="269"/>
      <c r="P1609" s="37">
        <v>111737</v>
      </c>
      <c r="Q1609" s="36" t="str">
        <f>CONCATENATE(Cover!$D$6,"fdd/view?i=",P1609)</f>
        <v>https://www.dgiwg.org/FAD/fdd/view?i=111737</v>
      </c>
      <c r="R1609" s="13" t="s">
        <v>13737</v>
      </c>
      <c r="S1609" s="172"/>
      <c r="T1609" s="172"/>
      <c r="AK1609" s="83" t="s">
        <v>1790</v>
      </c>
      <c r="CQ1609" s="165" t="s">
        <v>1790</v>
      </c>
    </row>
    <row r="1610" spans="1:99" ht="25.5" x14ac:dyDescent="0.2">
      <c r="A1610" s="176" t="str">
        <f t="shared" si="46"/>
        <v>trafficFlow</v>
      </c>
      <c r="B1610" s="11" t="s">
        <v>13742</v>
      </c>
      <c r="C1610" s="173"/>
      <c r="D1610" s="22" t="s">
        <v>13743</v>
      </c>
      <c r="E1610" s="15" t="s">
        <v>13744</v>
      </c>
      <c r="F1610" s="174"/>
      <c r="G1610" s="174"/>
      <c r="H1610" s="17" t="s">
        <v>5932</v>
      </c>
      <c r="I1610" s="269"/>
      <c r="J1610" s="369" t="str">
        <f>HYPERLINK("[#]Datatypes!B1592:L1592","TrfCode")</f>
        <v>TrfCode</v>
      </c>
      <c r="K1610" s="276"/>
      <c r="L1610" s="272"/>
      <c r="M1610" s="272"/>
      <c r="N1610" s="248" t="str">
        <f>HYPERLINK("[#]DatatypeListedValues!A9879:H9879","&lt;values&gt;")</f>
        <v>&lt;values&gt;</v>
      </c>
      <c r="O1610" s="277" t="b">
        <v>0</v>
      </c>
      <c r="P1610" s="37">
        <v>101380</v>
      </c>
      <c r="Q1610" s="36" t="str">
        <f>CONCATENATE(Cover!$D$6,"fdd/view?i=",P1610)</f>
        <v>https://www.dgiwg.org/FAD/fdd/view?i=101380</v>
      </c>
      <c r="R1610" s="13" t="s">
        <v>13741</v>
      </c>
      <c r="S1610" s="172"/>
      <c r="T1610" s="172"/>
      <c r="AS1610" s="82" t="s">
        <v>1790</v>
      </c>
      <c r="BF1610" s="83" t="s">
        <v>1790</v>
      </c>
      <c r="CT1610" s="166" t="s">
        <v>1790</v>
      </c>
    </row>
    <row r="1611" spans="1:99" ht="38.25" x14ac:dyDescent="0.2">
      <c r="A1611" s="176" t="str">
        <f t="shared" si="46"/>
        <v>trafficMonitorType</v>
      </c>
      <c r="B1611" s="11" t="s">
        <v>13747</v>
      </c>
      <c r="C1611" s="173"/>
      <c r="D1611" s="22" t="s">
        <v>13748</v>
      </c>
      <c r="E1611" s="15" t="s">
        <v>13749</v>
      </c>
      <c r="F1611" s="15" t="s">
        <v>13750</v>
      </c>
      <c r="G1611" s="174"/>
      <c r="H1611" s="17" t="s">
        <v>5932</v>
      </c>
      <c r="I1611" s="17" t="s">
        <v>6029</v>
      </c>
      <c r="J1611" s="369" t="str">
        <f>HYPERLINK("[#]Datatypes!B1594:L1594","TmyCode")</f>
        <v>TmyCode</v>
      </c>
      <c r="K1611" s="276"/>
      <c r="L1611" s="272"/>
      <c r="M1611" s="272"/>
      <c r="N1611" s="248" t="str">
        <f>HYPERLINK("[#]DatatypeListedValues!A9883:H9883","&lt;values&gt;")</f>
        <v>&lt;values&gt;</v>
      </c>
      <c r="O1611" s="277" t="b">
        <v>0</v>
      </c>
      <c r="P1611" s="37">
        <v>119075</v>
      </c>
      <c r="Q1611" s="36" t="str">
        <f>CONCATENATE(Cover!$D$6,"fdd/view?i=",P1611)</f>
        <v>https://www.dgiwg.org/FAD/fdd/view?i=119075</v>
      </c>
      <c r="R1611" s="13" t="s">
        <v>13746</v>
      </c>
      <c r="S1611" s="172"/>
      <c r="T1611" s="172"/>
      <c r="AP1611" s="81" t="s">
        <v>1790</v>
      </c>
      <c r="AQ1611" s="82" t="s">
        <v>1790</v>
      </c>
      <c r="AR1611" s="82" t="s">
        <v>1790</v>
      </c>
      <c r="AS1611" s="82" t="s">
        <v>1790</v>
      </c>
      <c r="AT1611" s="82" t="s">
        <v>1790</v>
      </c>
      <c r="AW1611" s="82" t="s">
        <v>1790</v>
      </c>
      <c r="BA1611" s="83" t="s">
        <v>1790</v>
      </c>
      <c r="BF1611" s="83" t="s">
        <v>1790</v>
      </c>
      <c r="BJ1611" s="83" t="s">
        <v>1790</v>
      </c>
      <c r="CE1611" s="87" t="s">
        <v>1790</v>
      </c>
    </row>
    <row r="1612" spans="1:99" x14ac:dyDescent="0.2">
      <c r="A1612" s="176" t="str">
        <f t="shared" si="46"/>
        <v>trafficRestrictionType</v>
      </c>
      <c r="B1612" s="11" t="s">
        <v>13753</v>
      </c>
      <c r="C1612" s="173"/>
      <c r="D1612" s="22" t="s">
        <v>13754</v>
      </c>
      <c r="E1612" s="15" t="s">
        <v>13755</v>
      </c>
      <c r="F1612" s="174"/>
      <c r="G1612" s="174"/>
      <c r="H1612" s="17" t="s">
        <v>5932</v>
      </c>
      <c r="I1612" s="269"/>
      <c r="J1612" s="369" t="str">
        <f>HYPERLINK("[#]Datatypes!B1596:L1596","SreCode")</f>
        <v>SreCode</v>
      </c>
      <c r="K1612" s="276"/>
      <c r="L1612" s="272"/>
      <c r="M1612" s="272"/>
      <c r="N1612" s="248" t="str">
        <f>HYPERLINK("[#]DatatypeListedValues!A9886:H9886","&lt;values&gt;")</f>
        <v>&lt;values&gt;</v>
      </c>
      <c r="O1612" s="277" t="b">
        <v>0</v>
      </c>
      <c r="P1612" s="37">
        <v>117797</v>
      </c>
      <c r="Q1612" s="36" t="str">
        <f>CONCATENATE(Cover!$D$6,"fdd/view?i=",P1612)</f>
        <v>https://www.dgiwg.org/FAD/fdd/view?i=117797</v>
      </c>
      <c r="R1612" s="13" t="s">
        <v>13752</v>
      </c>
      <c r="S1612" s="172"/>
      <c r="T1612" s="172"/>
      <c r="AP1612" s="81" t="s">
        <v>1790</v>
      </c>
      <c r="AQ1612" s="82" t="s">
        <v>1790</v>
      </c>
      <c r="AR1612" s="82" t="s">
        <v>1790</v>
      </c>
      <c r="AS1612" s="82" t="s">
        <v>1790</v>
      </c>
      <c r="AU1612" s="82" t="s">
        <v>1790</v>
      </c>
      <c r="CP1612" s="164" t="s">
        <v>1790</v>
      </c>
    </row>
    <row r="1613" spans="1:99" ht="25.5" x14ac:dyDescent="0.2">
      <c r="A1613" s="176" t="str">
        <f t="shared" si="46"/>
        <v>trafficSignalStationType</v>
      </c>
      <c r="B1613" s="11" t="s">
        <v>13758</v>
      </c>
      <c r="C1613" s="173"/>
      <c r="D1613" s="22" t="s">
        <v>13759</v>
      </c>
      <c r="E1613" s="15" t="s">
        <v>13760</v>
      </c>
      <c r="F1613" s="174"/>
      <c r="G1613" s="174"/>
      <c r="H1613" s="17" t="s">
        <v>5932</v>
      </c>
      <c r="I1613" s="17" t="s">
        <v>6029</v>
      </c>
      <c r="J1613" s="369" t="str">
        <f>HYPERLINK("[#]Datatypes!B1598:L1598","SitCode")</f>
        <v>SitCode</v>
      </c>
      <c r="K1613" s="276"/>
      <c r="L1613" s="272"/>
      <c r="M1613" s="272"/>
      <c r="N1613" s="248" t="str">
        <f>HYPERLINK("[#]DatatypeListedValues!A9893:H9893","&lt;values&gt;")</f>
        <v>&lt;values&gt;</v>
      </c>
      <c r="O1613" s="277" t="b">
        <v>0</v>
      </c>
      <c r="P1613" s="37">
        <v>101303</v>
      </c>
      <c r="Q1613" s="36" t="str">
        <f>CONCATENATE(Cover!$D$6,"fdd/view?i=",P1613)</f>
        <v>https://www.dgiwg.org/FAD/fdd/view?i=101303</v>
      </c>
      <c r="R1613" s="13" t="s">
        <v>13757</v>
      </c>
      <c r="S1613" s="172"/>
      <c r="T1613" s="172"/>
      <c r="AS1613" s="82" t="s">
        <v>1790</v>
      </c>
      <c r="AT1613" s="82" t="s">
        <v>1790</v>
      </c>
      <c r="AW1613" s="82" t="s">
        <v>1790</v>
      </c>
      <c r="BF1613" s="83" t="s">
        <v>1790</v>
      </c>
      <c r="CE1613" s="87" t="s">
        <v>1790</v>
      </c>
      <c r="CS1613" s="165" t="s">
        <v>1790</v>
      </c>
    </row>
    <row r="1614" spans="1:99" ht="25.5" x14ac:dyDescent="0.2">
      <c r="A1614" s="176" t="str">
        <f t="shared" si="46"/>
        <v>trainedAviatFirefighterCnt</v>
      </c>
      <c r="B1614" s="11" t="s">
        <v>13763</v>
      </c>
      <c r="C1614" s="173"/>
      <c r="D1614" s="22" t="s">
        <v>13764</v>
      </c>
      <c r="E1614" s="15" t="s">
        <v>13765</v>
      </c>
      <c r="F1614" s="174"/>
      <c r="G1614" s="174"/>
      <c r="H1614" s="17" t="s">
        <v>5932</v>
      </c>
      <c r="I1614" s="269"/>
      <c r="J1614" s="369" t="str">
        <f>HYPERLINK("[#]Datatypes!B380:L380","Count")</f>
        <v>Count</v>
      </c>
      <c r="K1614" s="276"/>
      <c r="L1614" s="272"/>
      <c r="M1614" s="272"/>
      <c r="N1614" s="273"/>
      <c r="O1614" s="269"/>
      <c r="P1614" s="37">
        <v>119616</v>
      </c>
      <c r="Q1614" s="36" t="str">
        <f>CONCATENATE(Cover!$D$6,"fdd/view?i=",P1614)</f>
        <v>https://www.dgiwg.org/FAD/fdd/view?i=119616</v>
      </c>
      <c r="R1614" s="13" t="s">
        <v>13762</v>
      </c>
      <c r="S1614" s="172"/>
      <c r="T1614" s="172"/>
      <c r="AT1614" s="82" t="s">
        <v>1790</v>
      </c>
      <c r="CE1614" s="87" t="s">
        <v>1790</v>
      </c>
      <c r="CH1614" s="83" t="s">
        <v>1790</v>
      </c>
      <c r="CQ1614" s="165" t="s">
        <v>1790</v>
      </c>
    </row>
    <row r="1615" spans="1:99" ht="25.5" x14ac:dyDescent="0.2">
      <c r="A1615" s="176" t="str">
        <f t="shared" si="46"/>
        <v>transitionAltitude</v>
      </c>
      <c r="B1615" s="11" t="s">
        <v>13767</v>
      </c>
      <c r="C1615" s="173"/>
      <c r="D1615" s="22" t="s">
        <v>13768</v>
      </c>
      <c r="E1615" s="15" t="s">
        <v>13769</v>
      </c>
      <c r="F1615" s="174"/>
      <c r="G1615" s="174"/>
      <c r="H1615" s="17" t="s">
        <v>5932</v>
      </c>
      <c r="I1615" s="269"/>
      <c r="J1615" s="369" t="str">
        <f>HYPERLINK("[#]Datatypes!B1231:L1231","Real")</f>
        <v>Real</v>
      </c>
      <c r="K1615" s="271" t="str">
        <f>HYPERLINK("[#]PhysicalQuantities!A20:N20","Length")</f>
        <v>Length</v>
      </c>
      <c r="L1615" s="270" t="str">
        <f>HYPERLINK("[#]UnitsOfMeasure!D103:G103","Foot")</f>
        <v>Foot</v>
      </c>
      <c r="M1615" s="272"/>
      <c r="N1615" s="273"/>
      <c r="O1615" s="269"/>
      <c r="P1615" s="37">
        <v>117727</v>
      </c>
      <c r="Q1615" s="36" t="str">
        <f>CONCATENATE(Cover!$D$6,"fdd/view?i=",P1615)</f>
        <v>https://www.dgiwg.org/FAD/fdd/view?i=117727</v>
      </c>
      <c r="R1615" s="13" t="s">
        <v>13766</v>
      </c>
      <c r="S1615" s="172"/>
      <c r="T1615" s="172"/>
      <c r="CE1615" s="87" t="s">
        <v>1790</v>
      </c>
    </row>
    <row r="1616" spans="1:99" x14ac:dyDescent="0.2">
      <c r="A1616" s="176" t="str">
        <f t="shared" si="46"/>
        <v>transitionLevel</v>
      </c>
      <c r="B1616" s="11" t="s">
        <v>13771</v>
      </c>
      <c r="C1616" s="173"/>
      <c r="D1616" s="22" t="s">
        <v>13772</v>
      </c>
      <c r="E1616" s="15" t="s">
        <v>13773</v>
      </c>
      <c r="F1616" s="174"/>
      <c r="G1616" s="174"/>
      <c r="H1616" s="17" t="s">
        <v>5932</v>
      </c>
      <c r="I1616" s="269"/>
      <c r="J1616" s="369" t="str">
        <f>HYPERLINK("[#]Datatypes!B1231:L1231","Real")</f>
        <v>Real</v>
      </c>
      <c r="K1616" s="271" t="str">
        <f>HYPERLINK("[#]PhysicalQuantities!A33:N33","Noncomparable")</f>
        <v>Noncomparable</v>
      </c>
      <c r="L1616" s="270" t="str">
        <f>HYPERLINK("[#]UnitsOfMeasure!D154:G154","Flight Level")</f>
        <v>Flight Level</v>
      </c>
      <c r="M1616" s="272"/>
      <c r="N1616" s="273"/>
      <c r="O1616" s="269"/>
      <c r="P1616" s="37">
        <v>117729</v>
      </c>
      <c r="Q1616" s="36" t="str">
        <f>CONCATENATE(Cover!$D$6,"fdd/view?i=",P1616)</f>
        <v>https://www.dgiwg.org/FAD/fdd/view?i=117729</v>
      </c>
      <c r="R1616" s="13" t="s">
        <v>13770</v>
      </c>
      <c r="S1616" s="172"/>
      <c r="T1616" s="172"/>
      <c r="CE1616" s="87" t="s">
        <v>1790</v>
      </c>
    </row>
    <row r="1617" spans="1:104" ht="63.75" x14ac:dyDescent="0.2">
      <c r="A1617" s="176" t="str">
        <f t="shared" si="46"/>
        <v>transEstimatedRange</v>
      </c>
      <c r="B1617" s="11" t="s">
        <v>13775</v>
      </c>
      <c r="C1617" s="173"/>
      <c r="D1617" s="22" t="s">
        <v>13776</v>
      </c>
      <c r="E1617" s="15" t="s">
        <v>13777</v>
      </c>
      <c r="F1617" s="15" t="s">
        <v>13778</v>
      </c>
      <c r="G1617" s="174"/>
      <c r="H1617" s="17" t="s">
        <v>5932</v>
      </c>
      <c r="I1617" s="269"/>
      <c r="J1617" s="369" t="str">
        <f>HYPERLINK("[#]Datatypes!B1231:L1231","Real")</f>
        <v>Real</v>
      </c>
      <c r="K1617" s="271" t="str">
        <f>HYPERLINK("[#]PhysicalQuantities!A20:N20","Length")</f>
        <v>Length</v>
      </c>
      <c r="L1617" s="270" t="str">
        <f>HYPERLINK("[#]UnitsOfMeasure!D80:G80","Metre")</f>
        <v>Metre</v>
      </c>
      <c r="M1617" s="272"/>
      <c r="N1617" s="273"/>
      <c r="O1617" s="269"/>
      <c r="P1617" s="37">
        <v>103219</v>
      </c>
      <c r="Q1617" s="36" t="str">
        <f>CONCATENATE(Cover!$D$6,"fdd/view?i=",P1617)</f>
        <v>https://www.dgiwg.org/FAD/fdd/view?i=103219</v>
      </c>
      <c r="R1617" s="13" t="s">
        <v>13774</v>
      </c>
      <c r="S1617" s="172"/>
      <c r="T1617" s="172"/>
      <c r="AE1617" s="82" t="s">
        <v>1790</v>
      </c>
      <c r="CQ1617" s="165" t="s">
        <v>1790</v>
      </c>
    </row>
    <row r="1618" spans="1:104" ht="25.5" x14ac:dyDescent="0.2">
      <c r="A1618" s="176" t="str">
        <f t="shared" si="46"/>
        <v>transportationBlockType</v>
      </c>
      <c r="B1618" s="11" t="s">
        <v>13780</v>
      </c>
      <c r="C1618" s="173"/>
      <c r="D1618" s="22" t="s">
        <v>13781</v>
      </c>
      <c r="E1618" s="15" t="s">
        <v>13782</v>
      </c>
      <c r="F1618" s="15" t="s">
        <v>13783</v>
      </c>
      <c r="G1618" s="174"/>
      <c r="H1618" s="17" t="s">
        <v>5932</v>
      </c>
      <c r="I1618" s="269"/>
      <c r="J1618" s="369" t="str">
        <f>HYPERLINK("[#]Datatypes!B1600:L1600","DgcCode")</f>
        <v>DgcCode</v>
      </c>
      <c r="K1618" s="276"/>
      <c r="L1618" s="272"/>
      <c r="M1618" s="272"/>
      <c r="N1618" s="248" t="str">
        <f>HYPERLINK("[#]DatatypeListedValues!A9903:H9903","&lt;values&gt;")</f>
        <v>&lt;values&gt;</v>
      </c>
      <c r="O1618" s="277" t="b">
        <v>0</v>
      </c>
      <c r="P1618" s="37">
        <v>100813</v>
      </c>
      <c r="Q1618" s="36" t="str">
        <f>CONCATENATE(Cover!$D$6,"fdd/view?i=",P1618)</f>
        <v>https://www.dgiwg.org/FAD/fdd/view?i=100813</v>
      </c>
      <c r="R1618" s="13" t="s">
        <v>13779</v>
      </c>
      <c r="S1618" s="172"/>
      <c r="T1618" s="172"/>
      <c r="AU1618" s="82" t="s">
        <v>1790</v>
      </c>
      <c r="CS1618" s="165" t="s">
        <v>1790</v>
      </c>
      <c r="CT1618" s="166" t="s">
        <v>1790</v>
      </c>
    </row>
    <row r="1619" spans="1:104" x14ac:dyDescent="0.2">
      <c r="A1619" s="176" t="str">
        <f t="shared" si="46"/>
        <v>transportationFacilityType</v>
      </c>
      <c r="B1619" s="11" t="s">
        <v>13786</v>
      </c>
      <c r="C1619" s="173"/>
      <c r="D1619" s="22" t="s">
        <v>13787</v>
      </c>
      <c r="E1619" s="15" t="s">
        <v>13788</v>
      </c>
      <c r="F1619" s="174"/>
      <c r="G1619" s="174"/>
      <c r="H1619" s="17" t="s">
        <v>5932</v>
      </c>
      <c r="I1619" s="269"/>
      <c r="J1619" s="369" t="str">
        <f>HYPERLINK("[#]Datatypes!B1602:L1602","TfcCode")</f>
        <v>TfcCode</v>
      </c>
      <c r="K1619" s="276"/>
      <c r="L1619" s="272"/>
      <c r="M1619" s="272"/>
      <c r="N1619" s="248" t="str">
        <f>HYPERLINK("[#]DatatypeListedValues!A9905:H9905","&lt;values&gt;")</f>
        <v>&lt;values&gt;</v>
      </c>
      <c r="O1619" s="277" t="b">
        <v>0</v>
      </c>
      <c r="P1619" s="37">
        <v>101363</v>
      </c>
      <c r="Q1619" s="36" t="str">
        <f>CONCATENATE(Cover!$D$6,"fdd/view?i=",P1619)</f>
        <v>https://www.dgiwg.org/FAD/fdd/view?i=101363</v>
      </c>
      <c r="R1619" s="13" t="s">
        <v>13785</v>
      </c>
      <c r="S1619" s="172"/>
      <c r="T1619" s="172"/>
      <c r="AW1619" s="82" t="s">
        <v>1790</v>
      </c>
      <c r="CT1619" s="166" t="s">
        <v>1790</v>
      </c>
    </row>
    <row r="1620" spans="1:104" ht="25.5" x14ac:dyDescent="0.2">
      <c r="A1620" s="176" t="str">
        <f t="shared" si="46"/>
        <v>transportRteConstructEffect</v>
      </c>
      <c r="B1620" s="11" t="s">
        <v>13791</v>
      </c>
      <c r="C1620" s="173"/>
      <c r="D1620" s="22" t="s">
        <v>13792</v>
      </c>
      <c r="E1620" s="15" t="s">
        <v>13793</v>
      </c>
      <c r="F1620" s="174"/>
      <c r="G1620" s="174"/>
      <c r="H1620" s="17" t="s">
        <v>5932</v>
      </c>
      <c r="I1620" s="269"/>
      <c r="J1620" s="369" t="str">
        <f>HYPERLINK("[#]Datatypes!B1604:L1604","CneCode")</f>
        <v>CneCode</v>
      </c>
      <c r="K1620" s="276"/>
      <c r="L1620" s="272"/>
      <c r="M1620" s="272"/>
      <c r="N1620" s="248" t="str">
        <f>HYPERLINK("[#]DatatypeListedValues!A9932:H9932","&lt;values&gt;")</f>
        <v>&lt;values&gt;</v>
      </c>
      <c r="O1620" s="277" t="b">
        <v>0</v>
      </c>
      <c r="P1620" s="37">
        <v>119524</v>
      </c>
      <c r="Q1620" s="36" t="str">
        <f>CONCATENATE(Cover!$D$6,"fdd/view?i=",P1620)</f>
        <v>https://www.dgiwg.org/FAD/fdd/view?i=119524</v>
      </c>
      <c r="R1620" s="13" t="s">
        <v>13790</v>
      </c>
      <c r="S1620" s="172"/>
      <c r="T1620" s="172"/>
      <c r="AP1620" s="81" t="s">
        <v>1790</v>
      </c>
      <c r="AQ1620" s="82" t="s">
        <v>1790</v>
      </c>
      <c r="AR1620" s="82" t="s">
        <v>1790</v>
      </c>
      <c r="AS1620" s="82" t="s">
        <v>1790</v>
      </c>
      <c r="AT1620" s="82" t="s">
        <v>1790</v>
      </c>
      <c r="AU1620" s="82" t="s">
        <v>1790</v>
      </c>
      <c r="AY1620" s="85" t="s">
        <v>1790</v>
      </c>
      <c r="CS1620" s="165" t="s">
        <v>1790</v>
      </c>
    </row>
    <row r="1621" spans="1:104" ht="25.5" x14ac:dyDescent="0.2">
      <c r="A1621" s="176" t="str">
        <f t="shared" si="46"/>
        <v>transRteLeavingRestrict</v>
      </c>
      <c r="B1621" s="11" t="s">
        <v>13796</v>
      </c>
      <c r="C1621" s="173"/>
      <c r="D1621" s="22" t="s">
        <v>13797</v>
      </c>
      <c r="E1621" s="15" t="s">
        <v>13798</v>
      </c>
      <c r="F1621" s="174"/>
      <c r="G1621" s="174"/>
      <c r="H1621" s="17" t="s">
        <v>5932</v>
      </c>
      <c r="I1621" s="269"/>
      <c r="J1621" s="369" t="str">
        <f>HYPERLINK("[#]Datatypes!B240:L240","Boolean")</f>
        <v>Boolean</v>
      </c>
      <c r="K1621" s="276"/>
      <c r="L1621" s="272"/>
      <c r="M1621" s="272"/>
      <c r="N1621" s="273"/>
      <c r="O1621" s="269"/>
      <c r="P1621" s="37">
        <v>118147</v>
      </c>
      <c r="Q1621" s="36" t="str">
        <f>CONCATENATE(Cover!$D$6,"fdd/view?i=",P1621)</f>
        <v>https://www.dgiwg.org/FAD/fdd/view?i=118147</v>
      </c>
      <c r="R1621" s="13" t="s">
        <v>13795</v>
      </c>
      <c r="S1621" s="172"/>
      <c r="T1621" s="172"/>
      <c r="AQ1621" s="82" t="s">
        <v>1790</v>
      </c>
      <c r="AU1621" s="82" t="s">
        <v>1790</v>
      </c>
      <c r="CS1621" s="165" t="s">
        <v>1790</v>
      </c>
    </row>
    <row r="1622" spans="1:104" ht="25.5" x14ac:dyDescent="0.2">
      <c r="A1622" s="176" t="str">
        <f t="shared" si="46"/>
        <v>transRteProtStructType</v>
      </c>
      <c r="B1622" s="11" t="s">
        <v>13800</v>
      </c>
      <c r="C1622" s="173"/>
      <c r="D1622" s="22" t="s">
        <v>13801</v>
      </c>
      <c r="E1622" s="15" t="s">
        <v>13802</v>
      </c>
      <c r="F1622" s="174"/>
      <c r="G1622" s="174"/>
      <c r="H1622" s="17" t="s">
        <v>5932</v>
      </c>
      <c r="I1622" s="269"/>
      <c r="J1622" s="369" t="str">
        <f>HYPERLINK("[#]Datatypes!B1606:L1606","TrpCode")</f>
        <v>TrpCode</v>
      </c>
      <c r="K1622" s="276"/>
      <c r="L1622" s="272"/>
      <c r="M1622" s="272"/>
      <c r="N1622" s="248" t="str">
        <f>HYPERLINK("[#]DatatypeListedValues!A9942:H9942","&lt;values&gt;")</f>
        <v>&lt;values&gt;</v>
      </c>
      <c r="O1622" s="277" t="b">
        <v>0</v>
      </c>
      <c r="P1622" s="37">
        <v>117799</v>
      </c>
      <c r="Q1622" s="36" t="str">
        <f>CONCATENATE(Cover!$D$6,"fdd/view?i=",P1622)</f>
        <v>https://www.dgiwg.org/FAD/fdd/view?i=117799</v>
      </c>
      <c r="R1622" s="13" t="s">
        <v>13799</v>
      </c>
      <c r="S1622" s="172"/>
      <c r="T1622" s="172"/>
      <c r="AP1622" s="81" t="s">
        <v>1790</v>
      </c>
      <c r="AQ1622" s="82" t="s">
        <v>1790</v>
      </c>
      <c r="AR1622" s="82" t="s">
        <v>1790</v>
      </c>
      <c r="AS1622" s="82" t="s">
        <v>1790</v>
      </c>
      <c r="AY1622" s="85" t="s">
        <v>1790</v>
      </c>
      <c r="CS1622" s="165" t="s">
        <v>1790</v>
      </c>
    </row>
    <row r="1623" spans="1:104" ht="25.5" x14ac:dyDescent="0.2">
      <c r="A1623" s="176" t="str">
        <f t="shared" si="46"/>
        <v>transportationSystemType</v>
      </c>
      <c r="B1623" s="11" t="s">
        <v>13805</v>
      </c>
      <c r="C1623" s="173"/>
      <c r="D1623" s="22" t="s">
        <v>13806</v>
      </c>
      <c r="E1623" s="15" t="s">
        <v>13807</v>
      </c>
      <c r="F1623" s="174"/>
      <c r="G1623" s="174"/>
      <c r="H1623" s="17" t="s">
        <v>5932</v>
      </c>
      <c r="I1623" s="17" t="s">
        <v>6029</v>
      </c>
      <c r="J1623" s="369" t="str">
        <f>HYPERLINK("[#]Datatypes!B1608:L1608","TrsCode")</f>
        <v>TrsCode</v>
      </c>
      <c r="K1623" s="276"/>
      <c r="L1623" s="272"/>
      <c r="M1623" s="272"/>
      <c r="N1623" s="248" t="str">
        <f>HYPERLINK("[#]DatatypeListedValues!A9946:H9946","&lt;values&gt;")</f>
        <v>&lt;values&gt;</v>
      </c>
      <c r="O1623" s="277" t="b">
        <v>0</v>
      </c>
      <c r="P1623" s="37">
        <v>109991</v>
      </c>
      <c r="Q1623" s="36" t="str">
        <f>CONCATENATE(Cover!$D$6,"fdd/view?i=",P1623)</f>
        <v>https://www.dgiwg.org/FAD/fdd/view?i=109991</v>
      </c>
      <c r="R1623" s="13" t="s">
        <v>13804</v>
      </c>
      <c r="S1623" s="172"/>
      <c r="T1623" s="172"/>
      <c r="AW1623" s="82" t="s">
        <v>1790</v>
      </c>
      <c r="CT1623" s="166" t="s">
        <v>1790</v>
      </c>
    </row>
    <row r="1624" spans="1:104" x14ac:dyDescent="0.2">
      <c r="A1624" s="176" t="str">
        <f t="shared" si="46"/>
        <v>transportationUse</v>
      </c>
      <c r="B1624" s="11" t="s">
        <v>13810</v>
      </c>
      <c r="C1624" s="173"/>
      <c r="D1624" s="22" t="s">
        <v>13811</v>
      </c>
      <c r="E1624" s="15" t="s">
        <v>13812</v>
      </c>
      <c r="F1624" s="174"/>
      <c r="G1624" s="174"/>
      <c r="H1624" s="17" t="s">
        <v>5932</v>
      </c>
      <c r="I1624" s="17" t="s">
        <v>6029</v>
      </c>
      <c r="J1624" s="369" t="str">
        <f>HYPERLINK("[#]Datatypes!B1610:L1610","TucCode")</f>
        <v>TucCode</v>
      </c>
      <c r="K1624" s="276"/>
      <c r="L1624" s="272"/>
      <c r="M1624" s="272"/>
      <c r="N1624" s="248" t="str">
        <f>HYPERLINK("[#]DatatypeListedValues!A9971:H9971","&lt;values&gt;")</f>
        <v>&lt;values&gt;</v>
      </c>
      <c r="O1624" s="277" t="b">
        <v>0</v>
      </c>
      <c r="P1624" s="37">
        <v>101399</v>
      </c>
      <c r="Q1624" s="36" t="str">
        <f>CONCATENATE(Cover!$D$6,"fdd/view?i=",P1624)</f>
        <v>https://www.dgiwg.org/FAD/fdd/view?i=101399</v>
      </c>
      <c r="R1624" s="13" t="s">
        <v>13809</v>
      </c>
      <c r="S1624" s="172"/>
      <c r="T1624" s="172"/>
      <c r="AW1624" s="82" t="s">
        <v>1790</v>
      </c>
      <c r="CT1624" s="166" t="s">
        <v>1790</v>
      </c>
    </row>
    <row r="1625" spans="1:104" ht="25.5" x14ac:dyDescent="0.2">
      <c r="A1625" s="176" t="str">
        <f t="shared" si="46"/>
        <v>trappy</v>
      </c>
      <c r="B1625" s="11" t="s">
        <v>13815</v>
      </c>
      <c r="C1625" s="173"/>
      <c r="D1625" s="22" t="s">
        <v>13816</v>
      </c>
      <c r="E1625" s="15" t="s">
        <v>13817</v>
      </c>
      <c r="F1625" s="174"/>
      <c r="G1625" s="174"/>
      <c r="H1625" s="17" t="s">
        <v>5932</v>
      </c>
      <c r="I1625" s="269"/>
      <c r="J1625" s="369" t="str">
        <f>HYPERLINK("[#]Datatypes!B240:L240","Boolean")</f>
        <v>Boolean</v>
      </c>
      <c r="K1625" s="276"/>
      <c r="L1625" s="272"/>
      <c r="M1625" s="272"/>
      <c r="N1625" s="273"/>
      <c r="O1625" s="269"/>
      <c r="P1625" s="37">
        <v>118584</v>
      </c>
      <c r="Q1625" s="36" t="str">
        <f>CONCATENATE(Cover!$D$6,"fdd/view?i=",P1625)</f>
        <v>https://www.dgiwg.org/FAD/fdd/view?i=118584</v>
      </c>
      <c r="R1625" s="13" t="s">
        <v>13814</v>
      </c>
      <c r="S1625" s="172"/>
      <c r="T1625" s="172"/>
      <c r="AU1625" s="82" t="s">
        <v>1790</v>
      </c>
      <c r="CJ1625" s="81" t="s">
        <v>1790</v>
      </c>
      <c r="CK1625" s="82" t="s">
        <v>1790</v>
      </c>
      <c r="CL1625" s="85" t="s">
        <v>1790</v>
      </c>
      <c r="CT1625" s="166" t="s">
        <v>1790</v>
      </c>
    </row>
    <row r="1626" spans="1:104" x14ac:dyDescent="0.2">
      <c r="A1626" s="176" t="str">
        <f t="shared" si="46"/>
        <v>travelledWayTotalLength</v>
      </c>
      <c r="B1626" s="11" t="s">
        <v>13819</v>
      </c>
      <c r="C1626" s="173"/>
      <c r="D1626" s="22" t="s">
        <v>13820</v>
      </c>
      <c r="E1626" s="15" t="s">
        <v>13821</v>
      </c>
      <c r="F1626" s="174"/>
      <c r="G1626" s="174"/>
      <c r="H1626" s="17" t="s">
        <v>5932</v>
      </c>
      <c r="I1626" s="269"/>
      <c r="J1626" s="369" t="str">
        <f>HYPERLINK("[#]Datatypes!B1233:L1233","RealInterval")</f>
        <v>RealInterval</v>
      </c>
      <c r="K1626" s="271" t="str">
        <f>HYPERLINK("[#]PhysicalQuantities!A20:N20","Length")</f>
        <v>Length</v>
      </c>
      <c r="L1626" s="270" t="str">
        <f>HYPERLINK("[#]UnitsOfMeasure!D83:G83","Kilometre")</f>
        <v>Kilometre</v>
      </c>
      <c r="M1626" s="272"/>
      <c r="N1626" s="273"/>
      <c r="O1626" s="269"/>
      <c r="P1626" s="37">
        <v>110728</v>
      </c>
      <c r="Q1626" s="36" t="str">
        <f>CONCATENATE(Cover!$D$6,"fdd/view?i=",P1626)</f>
        <v>https://www.dgiwg.org/FAD/fdd/view?i=110728</v>
      </c>
      <c r="R1626" s="13" t="s">
        <v>13818</v>
      </c>
      <c r="S1626" s="172"/>
      <c r="T1626" s="172"/>
      <c r="AW1626" s="82" t="s">
        <v>1790</v>
      </c>
      <c r="CQ1626" s="165" t="s">
        <v>1790</v>
      </c>
    </row>
    <row r="1627" spans="1:104" ht="25.5" x14ac:dyDescent="0.2">
      <c r="A1627" s="176" t="str">
        <f t="shared" si="46"/>
        <v>treeSpacing</v>
      </c>
      <c r="B1627" s="11" t="s">
        <v>13823</v>
      </c>
      <c r="C1627" s="173"/>
      <c r="D1627" s="22" t="s">
        <v>13824</v>
      </c>
      <c r="E1627" s="15" t="s">
        <v>13825</v>
      </c>
      <c r="F1627" s="174"/>
      <c r="G1627" s="174"/>
      <c r="H1627" s="17" t="s">
        <v>5932</v>
      </c>
      <c r="I1627" s="269"/>
      <c r="J1627" s="369" t="str">
        <f>HYPERLINK("[#]Datatypes!B1233:L1233","RealInterval")</f>
        <v>RealInterval</v>
      </c>
      <c r="K1627" s="271" t="str">
        <f>HYPERLINK("[#]PhysicalQuantities!A20:N20","Length")</f>
        <v>Length</v>
      </c>
      <c r="L1627" s="270" t="str">
        <f>HYPERLINK("[#]UnitsOfMeasure!D80:G80","Metre")</f>
        <v>Metre</v>
      </c>
      <c r="M1627" s="272"/>
      <c r="N1627" s="273"/>
      <c r="O1627" s="269"/>
      <c r="P1627" s="37">
        <v>101386</v>
      </c>
      <c r="Q1627" s="36" t="str">
        <f>CONCATENATE(Cover!$D$6,"fdd/view?i=",P1627)</f>
        <v>https://www.dgiwg.org/FAD/fdd/view?i=101386</v>
      </c>
      <c r="R1627" s="13" t="s">
        <v>13822</v>
      </c>
      <c r="S1627" s="172"/>
      <c r="T1627" s="172"/>
      <c r="BU1627" s="87" t="s">
        <v>1790</v>
      </c>
      <c r="BW1627" s="83" t="s">
        <v>1790</v>
      </c>
      <c r="CP1627" s="164" t="s">
        <v>1790</v>
      </c>
    </row>
    <row r="1628" spans="1:104" ht="25.5" x14ac:dyDescent="0.2">
      <c r="A1628" s="176" t="str">
        <f t="shared" si="46"/>
        <v>trueBearing</v>
      </c>
      <c r="B1628" s="11" t="s">
        <v>13827</v>
      </c>
      <c r="C1628" s="173"/>
      <c r="D1628" s="22" t="s">
        <v>13828</v>
      </c>
      <c r="E1628" s="15" t="s">
        <v>13829</v>
      </c>
      <c r="F1628" s="15" t="s">
        <v>13830</v>
      </c>
      <c r="G1628" s="174"/>
      <c r="H1628" s="17" t="s">
        <v>5932</v>
      </c>
      <c r="I1628" s="269"/>
      <c r="J1628" s="369" t="str">
        <f>HYPERLINK("[#]Datatypes!B1231:L1231","Real")</f>
        <v>Real</v>
      </c>
      <c r="K1628" s="271" t="str">
        <f>HYPERLINK("[#]PhysicalQuantities!A34:N34","Plane Angle")</f>
        <v>Plane Angle</v>
      </c>
      <c r="L1628" s="270" t="str">
        <f>HYPERLINK("[#]UnitsOfMeasure!D159:G159","Arc Degree")</f>
        <v>Arc Degree</v>
      </c>
      <c r="M1628" s="272"/>
      <c r="N1628" s="273"/>
      <c r="O1628" s="269"/>
      <c r="P1628" s="37">
        <v>117721</v>
      </c>
      <c r="Q1628" s="36" t="str">
        <f>CONCATENATE(Cover!$D$6,"fdd/view?i=",P1628)</f>
        <v>https://www.dgiwg.org/FAD/fdd/view?i=117721</v>
      </c>
      <c r="R1628" s="13" t="s">
        <v>13826</v>
      </c>
      <c r="S1628" s="172"/>
      <c r="T1628" s="172"/>
      <c r="CF1628" s="83" t="s">
        <v>1790</v>
      </c>
      <c r="CI1628" s="89" t="s">
        <v>1790</v>
      </c>
    </row>
    <row r="1629" spans="1:104" ht="25.5" x14ac:dyDescent="0.2">
      <c r="A1629" s="176" t="str">
        <f t="shared" si="46"/>
        <v>trueBearingAcc</v>
      </c>
      <c r="B1629" s="11" t="s">
        <v>13832</v>
      </c>
      <c r="C1629" s="173"/>
      <c r="D1629" s="22" t="s">
        <v>13833</v>
      </c>
      <c r="E1629" s="15" t="s">
        <v>13834</v>
      </c>
      <c r="F1629" s="174"/>
      <c r="G1629" s="174"/>
      <c r="H1629" s="17" t="s">
        <v>5932</v>
      </c>
      <c r="I1629" s="269"/>
      <c r="J1629" s="369" t="str">
        <f>HYPERLINK("[#]Datatypes!B1048:L1048","RealNonNegative")</f>
        <v>RealNonNegative</v>
      </c>
      <c r="K1629" s="271" t="str">
        <f>HYPERLINK("[#]PhysicalQuantities!A34:N34","Plane Angle")</f>
        <v>Plane Angle</v>
      </c>
      <c r="L1629" s="270" t="str">
        <f>HYPERLINK("[#]UnitsOfMeasure!D159:G159","Arc Degree")</f>
        <v>Arc Degree</v>
      </c>
      <c r="M1629" s="272"/>
      <c r="N1629" s="273"/>
      <c r="O1629" s="269"/>
      <c r="P1629" s="37">
        <v>119849</v>
      </c>
      <c r="Q1629" s="36" t="str">
        <f>CONCATENATE(Cover!$D$6,"fdd/view?i=",P1629)</f>
        <v>https://www.dgiwg.org/FAD/fdd/view?i=119849</v>
      </c>
      <c r="R1629" s="13" t="s">
        <v>13831</v>
      </c>
      <c r="S1629" s="172"/>
      <c r="T1629" s="172"/>
      <c r="AT1629" s="82" t="s">
        <v>1790</v>
      </c>
      <c r="CG1629" s="83" t="s">
        <v>1790</v>
      </c>
      <c r="CQ1629" s="165" t="s">
        <v>1790</v>
      </c>
      <c r="CZ1629" s="165" t="s">
        <v>1790</v>
      </c>
    </row>
    <row r="1630" spans="1:104" ht="25.5" x14ac:dyDescent="0.2">
      <c r="A1630" s="176" t="str">
        <f t="shared" si="46"/>
        <v>trueFeatureHeadingHighEnd</v>
      </c>
      <c r="B1630" s="11" t="s">
        <v>13836</v>
      </c>
      <c r="C1630" s="173"/>
      <c r="D1630" s="22" t="s">
        <v>13837</v>
      </c>
      <c r="E1630" s="15" t="s">
        <v>13838</v>
      </c>
      <c r="F1630" s="174"/>
      <c r="G1630" s="174"/>
      <c r="H1630" s="17" t="s">
        <v>5932</v>
      </c>
      <c r="I1630" s="269"/>
      <c r="J1630" s="369" t="str">
        <f>HYPERLINK("[#]Datatypes!B1231:L1231","Real")</f>
        <v>Real</v>
      </c>
      <c r="K1630" s="271" t="str">
        <f>HYPERLINK("[#]PhysicalQuantities!A34:N34","Plane Angle")</f>
        <v>Plane Angle</v>
      </c>
      <c r="L1630" s="270" t="str">
        <f>HYPERLINK("[#]UnitsOfMeasure!D159:G159","Arc Degree")</f>
        <v>Arc Degree</v>
      </c>
      <c r="M1630" s="272"/>
      <c r="N1630" s="273"/>
      <c r="O1630" s="269"/>
      <c r="P1630" s="37">
        <v>100890</v>
      </c>
      <c r="Q1630" s="36" t="str">
        <f>CONCATENATE(Cover!$D$6,"fdd/view?i=",P1630)</f>
        <v>https://www.dgiwg.org/FAD/fdd/view?i=100890</v>
      </c>
      <c r="R1630" s="13" t="s">
        <v>13835</v>
      </c>
      <c r="S1630" s="172"/>
      <c r="T1630" s="172"/>
      <c r="CP1630" s="164" t="s">
        <v>1790</v>
      </c>
    </row>
    <row r="1631" spans="1:104" ht="25.5" x14ac:dyDescent="0.2">
      <c r="A1631" s="176" t="str">
        <f t="shared" si="46"/>
        <v>trueFeatureHeadingLowEnd</v>
      </c>
      <c r="B1631" s="11" t="s">
        <v>13840</v>
      </c>
      <c r="C1631" s="173"/>
      <c r="D1631" s="22" t="s">
        <v>13841</v>
      </c>
      <c r="E1631" s="15" t="s">
        <v>13842</v>
      </c>
      <c r="F1631" s="174"/>
      <c r="G1631" s="174"/>
      <c r="H1631" s="17" t="s">
        <v>5932</v>
      </c>
      <c r="I1631" s="269"/>
      <c r="J1631" s="369" t="str">
        <f>HYPERLINK("[#]Datatypes!B1231:L1231","Real")</f>
        <v>Real</v>
      </c>
      <c r="K1631" s="271" t="str">
        <f>HYPERLINK("[#]PhysicalQuantities!A34:N34","Plane Angle")</f>
        <v>Plane Angle</v>
      </c>
      <c r="L1631" s="270" t="str">
        <f>HYPERLINK("[#]UnitsOfMeasure!D159:G159","Arc Degree")</f>
        <v>Arc Degree</v>
      </c>
      <c r="M1631" s="272"/>
      <c r="N1631" s="273"/>
      <c r="O1631" s="269"/>
      <c r="P1631" s="37">
        <v>100891</v>
      </c>
      <c r="Q1631" s="36" t="str">
        <f>CONCATENATE(Cover!$D$6,"fdd/view?i=",P1631)</f>
        <v>https://www.dgiwg.org/FAD/fdd/view?i=100891</v>
      </c>
      <c r="R1631" s="13" t="s">
        <v>13839</v>
      </c>
      <c r="S1631" s="172"/>
      <c r="T1631" s="172"/>
      <c r="CP1631" s="164" t="s">
        <v>1790</v>
      </c>
    </row>
    <row r="1632" spans="1:104" ht="38.25" x14ac:dyDescent="0.2">
      <c r="A1632" s="176" t="str">
        <f t="shared" si="46"/>
        <v>trueTrack</v>
      </c>
      <c r="B1632" s="11" t="s">
        <v>13844</v>
      </c>
      <c r="C1632" s="173"/>
      <c r="D1632" s="22" t="s">
        <v>13845</v>
      </c>
      <c r="E1632" s="15" t="s">
        <v>13846</v>
      </c>
      <c r="F1632" s="174"/>
      <c r="G1632" s="174"/>
      <c r="H1632" s="17" t="s">
        <v>5932</v>
      </c>
      <c r="I1632" s="269"/>
      <c r="J1632" s="369" t="str">
        <f>HYPERLINK("[#]Datatypes!B1231:L1231","Real")</f>
        <v>Real</v>
      </c>
      <c r="K1632" s="271" t="str">
        <f>HYPERLINK("[#]PhysicalQuantities!A34:N34","Plane Angle")</f>
        <v>Plane Angle</v>
      </c>
      <c r="L1632" s="270" t="str">
        <f>HYPERLINK("[#]UnitsOfMeasure!D159:G159","Arc Degree")</f>
        <v>Arc Degree</v>
      </c>
      <c r="M1632" s="272"/>
      <c r="N1632" s="273"/>
      <c r="O1632" s="269"/>
      <c r="P1632" s="37">
        <v>117733</v>
      </c>
      <c r="Q1632" s="36" t="str">
        <f>CONCATENATE(Cover!$D$6,"fdd/view?i=",P1632)</f>
        <v>https://www.dgiwg.org/FAD/fdd/view?i=117733</v>
      </c>
      <c r="R1632" s="13" t="s">
        <v>13843</v>
      </c>
      <c r="S1632" s="172"/>
      <c r="T1632" s="172"/>
      <c r="CF1632" s="83" t="s">
        <v>1790</v>
      </c>
      <c r="CI1632" s="89" t="s">
        <v>1790</v>
      </c>
    </row>
    <row r="1633" spans="1:105" x14ac:dyDescent="0.2">
      <c r="A1633" s="176" t="str">
        <f t="shared" si="46"/>
        <v>tssImoAdopted</v>
      </c>
      <c r="B1633" s="11" t="s">
        <v>13848</v>
      </c>
      <c r="C1633" s="173"/>
      <c r="D1633" s="22" t="s">
        <v>13849</v>
      </c>
      <c r="E1633" s="15" t="s">
        <v>13850</v>
      </c>
      <c r="F1633" s="174"/>
      <c r="G1633" s="174"/>
      <c r="H1633" s="17" t="s">
        <v>5932</v>
      </c>
      <c r="I1633" s="269"/>
      <c r="J1633" s="369" t="str">
        <f>HYPERLINK("[#]Datatypes!B240:L240","Boolean")</f>
        <v>Boolean</v>
      </c>
      <c r="K1633" s="276"/>
      <c r="L1633" s="272"/>
      <c r="M1633" s="272"/>
      <c r="N1633" s="273"/>
      <c r="O1633" s="269"/>
      <c r="P1633" s="37">
        <v>101396</v>
      </c>
      <c r="Q1633" s="36" t="str">
        <f>CONCATENATE(Cover!$D$6,"fdd/view?i=",P1633)</f>
        <v>https://www.dgiwg.org/FAD/fdd/view?i=101396</v>
      </c>
      <c r="R1633" s="13" t="s">
        <v>13847</v>
      </c>
      <c r="S1633" s="172"/>
      <c r="T1633" s="172"/>
      <c r="AS1633" s="82" t="s">
        <v>1790</v>
      </c>
      <c r="BF1633" s="83" t="s">
        <v>1790</v>
      </c>
      <c r="DA1633" s="165" t="s">
        <v>1790</v>
      </c>
    </row>
    <row r="1634" spans="1:105" ht="25.5" x14ac:dyDescent="0.2">
      <c r="A1634" s="176" t="str">
        <f t="shared" si="46"/>
        <v>tssAssocAidsToNavigation</v>
      </c>
      <c r="B1634" s="11" t="s">
        <v>13852</v>
      </c>
      <c r="C1634" s="173"/>
      <c r="D1634" s="22" t="s">
        <v>13853</v>
      </c>
      <c r="E1634" s="15" t="s">
        <v>13854</v>
      </c>
      <c r="F1634" s="174"/>
      <c r="G1634" s="174"/>
      <c r="H1634" s="17" t="s">
        <v>5932</v>
      </c>
      <c r="I1634" s="269"/>
      <c r="J1634" s="369" t="str">
        <f>HYPERLINK("[#]Datatypes!B1544:L1544","TextLexUnconstrained")</f>
        <v>TextLexUnconstrained</v>
      </c>
      <c r="K1634" s="276"/>
      <c r="L1634" s="272"/>
      <c r="M1634" s="272"/>
      <c r="N1634" s="273"/>
      <c r="O1634" s="269"/>
      <c r="P1634" s="37">
        <v>118157</v>
      </c>
      <c r="Q1634" s="36" t="str">
        <f>CONCATENATE(Cover!$D$6,"fdd/view?i=",P1634)</f>
        <v>https://www.dgiwg.org/FAD/fdd/view?i=118157</v>
      </c>
      <c r="R1634" s="13" t="s">
        <v>13851</v>
      </c>
      <c r="S1634" s="172"/>
      <c r="T1634" s="172"/>
      <c r="AS1634" s="82" t="s">
        <v>1790</v>
      </c>
      <c r="BE1634" s="83" t="s">
        <v>1790</v>
      </c>
    </row>
    <row r="1635" spans="1:105" x14ac:dyDescent="0.2">
      <c r="A1635" s="176" t="str">
        <f t="shared" si="46"/>
        <v>turnDirection</v>
      </c>
      <c r="B1635" s="11" t="s">
        <v>13856</v>
      </c>
      <c r="C1635" s="173"/>
      <c r="D1635" s="22" t="s">
        <v>13857</v>
      </c>
      <c r="E1635" s="15" t="s">
        <v>13858</v>
      </c>
      <c r="F1635" s="15" t="s">
        <v>13859</v>
      </c>
      <c r="G1635" s="174"/>
      <c r="H1635" s="17" t="s">
        <v>5932</v>
      </c>
      <c r="I1635" s="269"/>
      <c r="J1635" s="369" t="str">
        <f>HYPERLINK("[#]Datatypes!B1612:L1612","TndCode")</f>
        <v>TndCode</v>
      </c>
      <c r="K1635" s="276"/>
      <c r="L1635" s="272"/>
      <c r="M1635" s="272"/>
      <c r="N1635" s="248" t="str">
        <f>HYPERLINK("[#]DatatypeListedValues!A9977:H9977","&lt;values&gt;")</f>
        <v>&lt;values&gt;</v>
      </c>
      <c r="O1635" s="277" t="b">
        <v>0</v>
      </c>
      <c r="P1635" s="37">
        <v>117728</v>
      </c>
      <c r="Q1635" s="36" t="str">
        <f>CONCATENATE(Cover!$D$6,"fdd/view?i=",P1635)</f>
        <v>https://www.dgiwg.org/FAD/fdd/view?i=117728</v>
      </c>
      <c r="R1635" s="13" t="s">
        <v>13855</v>
      </c>
      <c r="S1635" s="172"/>
      <c r="T1635" s="172"/>
      <c r="CF1635" s="83" t="s">
        <v>1790</v>
      </c>
      <c r="CI1635" s="89" t="s">
        <v>1790</v>
      </c>
    </row>
    <row r="1636" spans="1:105" x14ac:dyDescent="0.2">
      <c r="A1636" s="176" t="str">
        <f t="shared" si="46"/>
        <v>typeOfControlStation</v>
      </c>
      <c r="B1636" s="11" t="s">
        <v>13862</v>
      </c>
      <c r="C1636" s="173"/>
      <c r="D1636" s="22" t="s">
        <v>13863</v>
      </c>
      <c r="E1636" s="15" t="s">
        <v>13864</v>
      </c>
      <c r="F1636" s="174"/>
      <c r="G1636" s="174"/>
      <c r="H1636" s="17" t="s">
        <v>5932</v>
      </c>
      <c r="I1636" s="269"/>
      <c r="J1636" s="369" t="str">
        <f>HYPERLINK("[#]Datatypes!B1614:L1614","Ty3Code")</f>
        <v>Ty3Code</v>
      </c>
      <c r="K1636" s="276"/>
      <c r="L1636" s="272"/>
      <c r="M1636" s="272"/>
      <c r="N1636" s="248" t="str">
        <f>HYPERLINK("[#]DatatypeListedValues!A9980:H9980","&lt;values&gt;")</f>
        <v>&lt;values&gt;</v>
      </c>
      <c r="O1636" s="277" t="b">
        <v>0</v>
      </c>
      <c r="P1636" s="37">
        <v>101403</v>
      </c>
      <c r="Q1636" s="36" t="str">
        <f>CONCATENATE(Cover!$D$6,"fdd/view?i=",P1636)</f>
        <v>https://www.dgiwg.org/FAD/fdd/view?i=101403</v>
      </c>
      <c r="R1636" s="13" t="s">
        <v>13861</v>
      </c>
      <c r="S1636" s="172"/>
      <c r="T1636" s="172"/>
      <c r="AT1636" s="82" t="s">
        <v>1790</v>
      </c>
      <c r="CE1636" s="87" t="s">
        <v>1790</v>
      </c>
      <c r="CT1636" s="166" t="s">
        <v>1790</v>
      </c>
    </row>
    <row r="1637" spans="1:105" ht="25.5" x14ac:dyDescent="0.2">
      <c r="A1637" s="176" t="str">
        <f t="shared" si="46"/>
        <v>uncoveringHeightKnown</v>
      </c>
      <c r="B1637" s="11" t="s">
        <v>13867</v>
      </c>
      <c r="C1637" s="173"/>
      <c r="D1637" s="22" t="s">
        <v>13868</v>
      </c>
      <c r="E1637" s="15" t="s">
        <v>13869</v>
      </c>
      <c r="F1637" s="174"/>
      <c r="G1637" s="174"/>
      <c r="H1637" s="17" t="s">
        <v>5932</v>
      </c>
      <c r="I1637" s="269"/>
      <c r="J1637" s="369" t="str">
        <f>HYPERLINK("[#]Datatypes!B240:L240","Boolean")</f>
        <v>Boolean</v>
      </c>
      <c r="K1637" s="276"/>
      <c r="L1637" s="272"/>
      <c r="M1637" s="272"/>
      <c r="N1637" s="273"/>
      <c r="O1637" s="269"/>
      <c r="P1637" s="37">
        <v>101411</v>
      </c>
      <c r="Q1637" s="36" t="str">
        <f>CONCATENATE(Cover!$D$6,"fdd/view?i=",P1637)</f>
        <v>https://www.dgiwg.org/FAD/fdd/view?i=101411</v>
      </c>
      <c r="R1637" s="13" t="s">
        <v>13866</v>
      </c>
      <c r="S1637" s="172"/>
      <c r="T1637" s="172"/>
      <c r="BB1637" s="83" t="s">
        <v>1790</v>
      </c>
      <c r="BG1637" s="83" t="s">
        <v>1790</v>
      </c>
      <c r="CP1637" s="164" t="s">
        <v>1790</v>
      </c>
      <c r="CZ1637" s="165" t="s">
        <v>1790</v>
      </c>
    </row>
    <row r="1638" spans="1:105" ht="25.5" x14ac:dyDescent="0.2">
      <c r="A1638" s="176" t="str">
        <f t="shared" si="46"/>
        <v>underbridgeClearance</v>
      </c>
      <c r="B1638" s="11" t="s">
        <v>13871</v>
      </c>
      <c r="C1638" s="173"/>
      <c r="D1638" s="22" t="s">
        <v>13872</v>
      </c>
      <c r="E1638" s="15" t="s">
        <v>13873</v>
      </c>
      <c r="F1638" s="174"/>
      <c r="G1638" s="174"/>
      <c r="H1638" s="17" t="s">
        <v>5932</v>
      </c>
      <c r="I1638" s="269"/>
      <c r="J1638" s="369" t="str">
        <f>HYPERLINK("[#]Datatypes!B1233:L1233","RealInterval")</f>
        <v>RealInterval</v>
      </c>
      <c r="K1638" s="271" t="str">
        <f>HYPERLINK("[#]PhysicalQuantities!A20:N20","Length")</f>
        <v>Length</v>
      </c>
      <c r="L1638" s="270" t="str">
        <f>HYPERLINK("[#]UnitsOfMeasure!D80:G80","Metre")</f>
        <v>Metre</v>
      </c>
      <c r="M1638" s="272"/>
      <c r="N1638" s="273"/>
      <c r="O1638" s="269"/>
      <c r="P1638" s="37">
        <v>101408</v>
      </c>
      <c r="Q1638" s="36" t="str">
        <f>CONCATENATE(Cover!$D$6,"fdd/view?i=",P1638)</f>
        <v>https://www.dgiwg.org/FAD/fdd/view?i=101408</v>
      </c>
      <c r="R1638" s="13" t="s">
        <v>13870</v>
      </c>
      <c r="S1638" s="172"/>
      <c r="T1638" s="172"/>
      <c r="AU1638" s="82" t="s">
        <v>1790</v>
      </c>
      <c r="AV1638" s="82" t="s">
        <v>1790</v>
      </c>
      <c r="BJ1638" s="83" t="s">
        <v>1790</v>
      </c>
      <c r="CQ1638" s="165" t="s">
        <v>1790</v>
      </c>
    </row>
    <row r="1639" spans="1:105" ht="38.25" x14ac:dyDescent="0.2">
      <c r="A1639" s="176" t="str">
        <f t="shared" si="46"/>
        <v>undergroundAccessOrient</v>
      </c>
      <c r="B1639" s="11" t="s">
        <v>13875</v>
      </c>
      <c r="C1639" s="173"/>
      <c r="D1639" s="22" t="s">
        <v>13876</v>
      </c>
      <c r="E1639" s="15" t="s">
        <v>13877</v>
      </c>
      <c r="F1639" s="174"/>
      <c r="G1639" s="174"/>
      <c r="H1639" s="17" t="s">
        <v>5932</v>
      </c>
      <c r="I1639" s="269"/>
      <c r="J1639" s="369" t="str">
        <f>HYPERLINK("[#]Datatypes!B1616:L1616","UaoCode")</f>
        <v>UaoCode</v>
      </c>
      <c r="K1639" s="276"/>
      <c r="L1639" s="272"/>
      <c r="M1639" s="272"/>
      <c r="N1639" s="248" t="str">
        <f>HYPERLINK("[#]DatatypeListedValues!A9982:H9982","&lt;values&gt;")</f>
        <v>&lt;values&gt;</v>
      </c>
      <c r="O1639" s="277" t="b">
        <v>0</v>
      </c>
      <c r="P1639" s="37">
        <v>119208</v>
      </c>
      <c r="Q1639" s="36" t="str">
        <f>CONCATENATE(Cover!$D$6,"fdd/view?i=",P1639)</f>
        <v>https://www.dgiwg.org/FAD/fdd/view?i=119208</v>
      </c>
      <c r="R1639" s="13" t="s">
        <v>13874</v>
      </c>
      <c r="S1639" s="172"/>
      <c r="T1639" s="172"/>
      <c r="AA1639" s="81" t="s">
        <v>1790</v>
      </c>
      <c r="CQ1639" s="165" t="s">
        <v>1790</v>
      </c>
      <c r="CS1639" s="165" t="s">
        <v>1790</v>
      </c>
    </row>
    <row r="1640" spans="1:105" x14ac:dyDescent="0.2">
      <c r="A1640" s="176" t="str">
        <f t="shared" si="46"/>
        <v>undergroundMineAccess</v>
      </c>
      <c r="B1640" s="11" t="s">
        <v>13880</v>
      </c>
      <c r="C1640" s="173"/>
      <c r="D1640" s="22" t="s">
        <v>13881</v>
      </c>
      <c r="E1640" s="15" t="s">
        <v>13882</v>
      </c>
      <c r="F1640" s="15" t="s">
        <v>13883</v>
      </c>
      <c r="G1640" s="174"/>
      <c r="H1640" s="17" t="s">
        <v>5932</v>
      </c>
      <c r="I1640" s="269"/>
      <c r="J1640" s="369" t="str">
        <f>HYPERLINK("[#]Datatypes!B1618:L1618","UmaCode")</f>
        <v>UmaCode</v>
      </c>
      <c r="K1640" s="276"/>
      <c r="L1640" s="272"/>
      <c r="M1640" s="272"/>
      <c r="N1640" s="248" t="str">
        <f>HYPERLINK("[#]DatatypeListedValues!A9987:H9987","&lt;values&gt;")</f>
        <v>&lt;values&gt;</v>
      </c>
      <c r="O1640" s="277" t="b">
        <v>0</v>
      </c>
      <c r="P1640" s="37">
        <v>111739</v>
      </c>
      <c r="Q1640" s="36" t="str">
        <f>CONCATENATE(Cover!$D$6,"fdd/view?i=",P1640)</f>
        <v>https://www.dgiwg.org/FAD/fdd/view?i=111739</v>
      </c>
      <c r="R1640" s="13" t="s">
        <v>13879</v>
      </c>
      <c r="S1640" s="172"/>
      <c r="T1640" s="172"/>
      <c r="AA1640" s="81" t="s">
        <v>1790</v>
      </c>
      <c r="CS1640" s="165" t="s">
        <v>1790</v>
      </c>
    </row>
    <row r="1641" spans="1:105" ht="25.5" x14ac:dyDescent="0.2">
      <c r="A1641" s="176" t="str">
        <f t="shared" si="46"/>
        <v>undergndStorageFormType</v>
      </c>
      <c r="B1641" s="11" t="s">
        <v>13886</v>
      </c>
      <c r="C1641" s="173"/>
      <c r="D1641" s="22" t="s">
        <v>13887</v>
      </c>
      <c r="E1641" s="15" t="s">
        <v>13888</v>
      </c>
      <c r="F1641" s="174"/>
      <c r="G1641" s="174"/>
      <c r="H1641" s="17" t="s">
        <v>5932</v>
      </c>
      <c r="I1641" s="269"/>
      <c r="J1641" s="369" t="str">
        <f>HYPERLINK("[#]Datatypes!B1620:L1620","UsfCode")</f>
        <v>UsfCode</v>
      </c>
      <c r="K1641" s="276"/>
      <c r="L1641" s="272"/>
      <c r="M1641" s="272"/>
      <c r="N1641" s="248" t="str">
        <f>HYPERLINK("[#]DatatypeListedValues!A9990:H9990","&lt;values&gt;")</f>
        <v>&lt;values&gt;</v>
      </c>
      <c r="O1641" s="277" t="b">
        <v>0</v>
      </c>
      <c r="P1641" s="37">
        <v>119209</v>
      </c>
      <c r="Q1641" s="36" t="str">
        <f>CONCATENATE(Cover!$D$6,"fdd/view?i=",P1641)</f>
        <v>https://www.dgiwg.org/FAD/fdd/view?i=119209</v>
      </c>
      <c r="R1641" s="13" t="s">
        <v>13885</v>
      </c>
      <c r="S1641" s="172"/>
      <c r="T1641" s="172"/>
      <c r="AG1641" s="82" t="s">
        <v>1790</v>
      </c>
      <c r="BM1641" s="82" t="s">
        <v>1790</v>
      </c>
      <c r="BP1641" s="82" t="s">
        <v>1790</v>
      </c>
      <c r="CS1641" s="165" t="s">
        <v>1790</v>
      </c>
    </row>
    <row r="1642" spans="1:105" ht="25.5" x14ac:dyDescent="0.2">
      <c r="A1642" s="176" t="str">
        <f t="shared" si="46"/>
        <v>undergrowthDensity</v>
      </c>
      <c r="B1642" s="11" t="s">
        <v>13891</v>
      </c>
      <c r="C1642" s="173"/>
      <c r="D1642" s="22" t="s">
        <v>13892</v>
      </c>
      <c r="E1642" s="15" t="s">
        <v>13893</v>
      </c>
      <c r="F1642" s="174"/>
      <c r="G1642" s="174"/>
      <c r="H1642" s="17" t="s">
        <v>5932</v>
      </c>
      <c r="I1642" s="269"/>
      <c r="J1642" s="369" t="str">
        <f>HYPERLINK("[#]Datatypes!B1238:L1238","RealNonNegInterval100")</f>
        <v>RealNonNegInterval100</v>
      </c>
      <c r="K1642" s="271" t="str">
        <f>HYPERLINK("[#]PhysicalQuantities!A39:N39","Pure Number")</f>
        <v>Pure Number</v>
      </c>
      <c r="L1642" s="270" t="str">
        <f>HYPERLINK("[#]UnitsOfMeasure!D215:G215","Percent")</f>
        <v>Percent</v>
      </c>
      <c r="M1642" s="272"/>
      <c r="N1642" s="273"/>
      <c r="O1642" s="269"/>
      <c r="P1642" s="37">
        <v>110692</v>
      </c>
      <c r="Q1642" s="36" t="str">
        <f>CONCATENATE(Cover!$D$6,"fdd/view?i=",P1642)</f>
        <v>https://www.dgiwg.org/FAD/fdd/view?i=110692</v>
      </c>
      <c r="R1642" s="13" t="s">
        <v>13890</v>
      </c>
      <c r="S1642" s="172"/>
      <c r="T1642" s="172"/>
      <c r="BV1642" s="83" t="s">
        <v>1790</v>
      </c>
      <c r="BW1642" s="83" t="s">
        <v>1790</v>
      </c>
      <c r="CQ1642" s="165" t="s">
        <v>1790</v>
      </c>
    </row>
    <row r="1643" spans="1:105" ht="25.5" x14ac:dyDescent="0.2">
      <c r="A1643" s="176" t="str">
        <f t="shared" si="46"/>
        <v>unemploymentRate</v>
      </c>
      <c r="B1643" s="11" t="s">
        <v>13895</v>
      </c>
      <c r="C1643" s="173"/>
      <c r="D1643" s="22" t="s">
        <v>13896</v>
      </c>
      <c r="E1643" s="15" t="s">
        <v>13897</v>
      </c>
      <c r="F1643" s="174"/>
      <c r="G1643" s="174"/>
      <c r="H1643" s="17" t="s">
        <v>5932</v>
      </c>
      <c r="I1643" s="269"/>
      <c r="J1643" s="369" t="str">
        <f>HYPERLINK("[#]Datatypes!B1231:L1231","Real")</f>
        <v>Real</v>
      </c>
      <c r="K1643" s="271" t="str">
        <f>HYPERLINK("[#]PhysicalQuantities!A39:N39","Pure Number")</f>
        <v>Pure Number</v>
      </c>
      <c r="L1643" s="270" t="str">
        <f>HYPERLINK("[#]UnitsOfMeasure!D215:G215","Percent")</f>
        <v>Percent</v>
      </c>
      <c r="M1643" s="272"/>
      <c r="N1643" s="273"/>
      <c r="O1643" s="269"/>
      <c r="P1643" s="37">
        <v>111686</v>
      </c>
      <c r="Q1643" s="36" t="str">
        <f>CONCATENATE(Cover!$D$6,"fdd/view?i=",P1643)</f>
        <v>https://www.dgiwg.org/FAD/fdd/view?i=111686</v>
      </c>
      <c r="R1643" s="13" t="s">
        <v>13894</v>
      </c>
      <c r="S1643" s="172"/>
      <c r="T1643" s="172"/>
      <c r="AK1643" s="83" t="s">
        <v>1790</v>
      </c>
      <c r="AM1643" s="83" t="s">
        <v>1790</v>
      </c>
      <c r="AO1643" s="89" t="s">
        <v>1790</v>
      </c>
      <c r="CQ1643" s="165" t="s">
        <v>1790</v>
      </c>
    </row>
    <row r="1644" spans="1:105" ht="63.75" x14ac:dyDescent="0.2">
      <c r="A1644" s="176" t="str">
        <f t="shared" si="46"/>
        <v>worldHeritageSite</v>
      </c>
      <c r="B1644" s="11" t="s">
        <v>13899</v>
      </c>
      <c r="C1644" s="173"/>
      <c r="D1644" s="22" t="s">
        <v>13900</v>
      </c>
      <c r="E1644" s="15" t="s">
        <v>13901</v>
      </c>
      <c r="F1644" s="15" t="s">
        <v>13902</v>
      </c>
      <c r="G1644" s="174"/>
      <c r="H1644" s="17" t="s">
        <v>5932</v>
      </c>
      <c r="I1644" s="269"/>
      <c r="J1644" s="369" t="str">
        <f>HYPERLINK("[#]Datatypes!B240:L240","Boolean")</f>
        <v>Boolean</v>
      </c>
      <c r="K1644" s="276"/>
      <c r="L1644" s="272"/>
      <c r="M1644" s="272"/>
      <c r="N1644" s="273"/>
      <c r="O1644" s="269"/>
      <c r="P1644" s="37">
        <v>118088</v>
      </c>
      <c r="Q1644" s="36" t="str">
        <f>CONCATENATE(Cover!$D$6,"fdd/view?i=",P1644)</f>
        <v>https://www.dgiwg.org/FAD/fdd/view?i=118088</v>
      </c>
      <c r="R1644" s="13" t="s">
        <v>13898</v>
      </c>
      <c r="S1644" s="172"/>
      <c r="T1644" s="172"/>
      <c r="AJ1644" s="83" t="s">
        <v>1790</v>
      </c>
      <c r="AO1644" s="89" t="s">
        <v>1790</v>
      </c>
      <c r="CT1644" s="166" t="s">
        <v>1790</v>
      </c>
    </row>
    <row r="1645" spans="1:105" ht="114.75" x14ac:dyDescent="0.2">
      <c r="A1645" s="176" t="str">
        <f t="shared" si="46"/>
        <v>uniqueEntityIdentifier</v>
      </c>
      <c r="B1645" s="11" t="s">
        <v>13904</v>
      </c>
      <c r="C1645" s="173"/>
      <c r="D1645" s="22" t="s">
        <v>13905</v>
      </c>
      <c r="E1645" s="15" t="s">
        <v>13906</v>
      </c>
      <c r="F1645" s="15" t="s">
        <v>13907</v>
      </c>
      <c r="G1645" s="174"/>
      <c r="H1645" s="17" t="s">
        <v>5932</v>
      </c>
      <c r="I1645" s="269"/>
      <c r="J1645" s="369" t="str">
        <f>HYPERLINK("[#]Datatypes!B1622:L1622","UfiStrucText")</f>
        <v>UfiStrucText</v>
      </c>
      <c r="K1645" s="276"/>
      <c r="L1645" s="272"/>
      <c r="M1645" s="272"/>
      <c r="N1645" s="273"/>
      <c r="O1645" s="269"/>
      <c r="P1645" s="37">
        <v>114242</v>
      </c>
      <c r="Q1645" s="36" t="str">
        <f>CONCATENATE(Cover!$D$6,"fdd/view?i=",P1645)</f>
        <v>https://www.dgiwg.org/FAD/fdd/view?i=114242</v>
      </c>
      <c r="R1645" s="13" t="s">
        <v>13903</v>
      </c>
      <c r="S1645" s="172"/>
      <c r="T1645" s="172"/>
      <c r="CV1645" s="83" t="s">
        <v>1790</v>
      </c>
    </row>
    <row r="1646" spans="1:105" x14ac:dyDescent="0.2">
      <c r="A1646" s="176" t="str">
        <f t="shared" si="46"/>
        <v>unitedNationsActivity</v>
      </c>
      <c r="B1646" s="11" t="s">
        <v>13910</v>
      </c>
      <c r="C1646" s="173"/>
      <c r="D1646" s="22" t="s">
        <v>13911</v>
      </c>
      <c r="E1646" s="15" t="s">
        <v>13912</v>
      </c>
      <c r="F1646" s="174"/>
      <c r="G1646" s="174"/>
      <c r="H1646" s="17" t="s">
        <v>5932</v>
      </c>
      <c r="I1646" s="269"/>
      <c r="J1646" s="369" t="str">
        <f>HYPERLINK("[#]Datatypes!B1624:L1624","KopCode")</f>
        <v>KopCode</v>
      </c>
      <c r="K1646" s="276"/>
      <c r="L1646" s="272"/>
      <c r="M1646" s="272"/>
      <c r="N1646" s="248" t="str">
        <f>HYPERLINK("[#]DatatypeListedValues!A9995:H9995","&lt;values&gt;")</f>
        <v>&lt;values&gt;</v>
      </c>
      <c r="O1646" s="277" t="b">
        <v>0</v>
      </c>
      <c r="P1646" s="37">
        <v>111608</v>
      </c>
      <c r="Q1646" s="36" t="str">
        <f>CONCATENATE(Cover!$D$6,"fdd/view?i=",P1646)</f>
        <v>https://www.dgiwg.org/FAD/fdd/view?i=111608</v>
      </c>
      <c r="R1646" s="13" t="s">
        <v>13909</v>
      </c>
      <c r="S1646" s="172"/>
      <c r="T1646" s="172"/>
      <c r="AM1646" s="83" t="s">
        <v>1790</v>
      </c>
      <c r="CK1646" s="82" t="s">
        <v>1790</v>
      </c>
      <c r="CL1646" s="85" t="s">
        <v>1790</v>
      </c>
      <c r="CT1646" s="166" t="s">
        <v>1790</v>
      </c>
    </row>
    <row r="1647" spans="1:105" x14ac:dyDescent="0.2">
      <c r="A1647" s="176" t="str">
        <f t="shared" si="46"/>
        <v>unitedNationsMission</v>
      </c>
      <c r="B1647" s="11" t="s">
        <v>13915</v>
      </c>
      <c r="C1647" s="173"/>
      <c r="D1647" s="22" t="s">
        <v>13916</v>
      </c>
      <c r="E1647" s="15" t="s">
        <v>13917</v>
      </c>
      <c r="F1647" s="174"/>
      <c r="G1647" s="174"/>
      <c r="H1647" s="17" t="s">
        <v>5932</v>
      </c>
      <c r="I1647" s="269"/>
      <c r="J1647" s="369" t="str">
        <f>HYPERLINK("[#]Datatypes!B1626:L1626","UneCode")</f>
        <v>UneCode</v>
      </c>
      <c r="K1647" s="276"/>
      <c r="L1647" s="272"/>
      <c r="M1647" s="272"/>
      <c r="N1647" s="248" t="str">
        <f>HYPERLINK("[#]DatatypeListedValues!A9998:H9998","&lt;values&gt;")</f>
        <v>&lt;values&gt;</v>
      </c>
      <c r="O1647" s="277" t="b">
        <v>0</v>
      </c>
      <c r="P1647" s="37">
        <v>111740</v>
      </c>
      <c r="Q1647" s="36" t="str">
        <f>CONCATENATE(Cover!$D$6,"fdd/view?i=",P1647)</f>
        <v>https://www.dgiwg.org/FAD/fdd/view?i=111740</v>
      </c>
      <c r="R1647" s="13" t="s">
        <v>13914</v>
      </c>
      <c r="S1647" s="172"/>
      <c r="T1647" s="172"/>
      <c r="AM1647" s="83" t="s">
        <v>1790</v>
      </c>
      <c r="CK1647" s="82" t="s">
        <v>1790</v>
      </c>
      <c r="CL1647" s="85" t="s">
        <v>1790</v>
      </c>
      <c r="CT1647" s="166" t="s">
        <v>1790</v>
      </c>
    </row>
    <row r="1648" spans="1:105" ht="38.25" x14ac:dyDescent="0.2">
      <c r="A1648" s="176" t="str">
        <f t="shared" si="46"/>
        <v>universalUniqueIdentifier</v>
      </c>
      <c r="B1648" s="11" t="s">
        <v>13920</v>
      </c>
      <c r="C1648" s="173"/>
      <c r="D1648" s="22" t="s">
        <v>13921</v>
      </c>
      <c r="E1648" s="15" t="s">
        <v>13922</v>
      </c>
      <c r="F1648" s="15" t="s">
        <v>13923</v>
      </c>
      <c r="G1648" s="174"/>
      <c r="H1648" s="17" t="s">
        <v>5932</v>
      </c>
      <c r="I1648" s="269"/>
      <c r="J1648" s="369" t="str">
        <f>HYPERLINK("[#]Datatypes!B1628:L1628","UuiStrucText")</f>
        <v>UuiStrucText</v>
      </c>
      <c r="K1648" s="276"/>
      <c r="L1648" s="272"/>
      <c r="M1648" s="272"/>
      <c r="N1648" s="273"/>
      <c r="O1648" s="269"/>
      <c r="P1648" s="37">
        <v>119450</v>
      </c>
      <c r="Q1648" s="36" t="str">
        <f>CONCATENATE(Cover!$D$6,"fdd/view?i=",P1648)</f>
        <v>https://www.dgiwg.org/FAD/fdd/view?i=119450</v>
      </c>
      <c r="R1648" s="13" t="s">
        <v>13919</v>
      </c>
      <c r="S1648" s="172"/>
      <c r="T1648" s="172"/>
      <c r="CV1648" s="83" t="s">
        <v>1790</v>
      </c>
    </row>
    <row r="1649" spans="1:105" x14ac:dyDescent="0.2">
      <c r="A1649" s="176" t="str">
        <f t="shared" si="46"/>
        <v>updateReason</v>
      </c>
      <c r="B1649" s="11" t="s">
        <v>13926</v>
      </c>
      <c r="C1649" s="173"/>
      <c r="D1649" s="22" t="s">
        <v>13927</v>
      </c>
      <c r="E1649" s="15" t="s">
        <v>13928</v>
      </c>
      <c r="F1649" s="174"/>
      <c r="G1649" s="174"/>
      <c r="H1649" s="17" t="s">
        <v>5932</v>
      </c>
      <c r="I1649" s="269"/>
      <c r="J1649" s="369" t="str">
        <f>HYPERLINK("[#]Datatypes!B1544:L1544","TextLexUnconstrained")</f>
        <v>TextLexUnconstrained</v>
      </c>
      <c r="K1649" s="276"/>
      <c r="L1649" s="272"/>
      <c r="M1649" s="272"/>
      <c r="N1649" s="273"/>
      <c r="O1649" s="269"/>
      <c r="P1649" s="37">
        <v>119219</v>
      </c>
      <c r="Q1649" s="36" t="str">
        <f>CONCATENATE(Cover!$D$6,"fdd/view?i=",P1649)</f>
        <v>https://www.dgiwg.org/FAD/fdd/view?i=119219</v>
      </c>
      <c r="R1649" s="13" t="s">
        <v>13925</v>
      </c>
      <c r="S1649" s="172"/>
      <c r="T1649" s="172"/>
      <c r="DA1649" s="165" t="s">
        <v>1790</v>
      </c>
    </row>
    <row r="1650" spans="1:105" ht="102" x14ac:dyDescent="0.2">
      <c r="A1650" s="176" t="str">
        <f t="shared" si="46"/>
        <v>upperAddressNumber</v>
      </c>
      <c r="B1650" s="11" t="s">
        <v>13930</v>
      </c>
      <c r="C1650" s="173"/>
      <c r="D1650" s="22" t="s">
        <v>13931</v>
      </c>
      <c r="E1650" s="15" t="s">
        <v>13932</v>
      </c>
      <c r="F1650" s="15" t="s">
        <v>13933</v>
      </c>
      <c r="G1650" s="174"/>
      <c r="H1650" s="17" t="s">
        <v>5932</v>
      </c>
      <c r="I1650" s="269"/>
      <c r="J1650" s="369" t="str">
        <f>HYPERLINK("[#]Datatypes!B742:L742","Integer")</f>
        <v>Integer</v>
      </c>
      <c r="K1650" s="271" t="str">
        <f>HYPERLINK("[#]PhysicalQuantities!A39:N39","Pure Number")</f>
        <v>Pure Number</v>
      </c>
      <c r="L1650" s="270" t="str">
        <f>HYPERLINK("[#]UnitsOfMeasure!D213:G213","Unitless")</f>
        <v>Unitless</v>
      </c>
      <c r="M1650" s="272"/>
      <c r="N1650" s="273"/>
      <c r="O1650" s="269"/>
      <c r="P1650" s="37">
        <v>101358</v>
      </c>
      <c r="Q1650" s="36" t="str">
        <f>CONCATENATE(Cover!$D$6,"fdd/view?i=",P1650)</f>
        <v>https://www.dgiwg.org/FAD/fdd/view?i=101358</v>
      </c>
      <c r="R1650" s="13" t="s">
        <v>13929</v>
      </c>
      <c r="S1650" s="172"/>
      <c r="T1650" s="172"/>
      <c r="AI1650" s="87" t="s">
        <v>1790</v>
      </c>
      <c r="CW1650" s="164" t="s">
        <v>1790</v>
      </c>
    </row>
    <row r="1651" spans="1:105" x14ac:dyDescent="0.2">
      <c r="A1651" s="176" t="str">
        <f t="shared" si="46"/>
        <v>upstreamHeight</v>
      </c>
      <c r="B1651" s="11" t="s">
        <v>13935</v>
      </c>
      <c r="C1651" s="173"/>
      <c r="D1651" s="22" t="s">
        <v>13936</v>
      </c>
      <c r="E1651" s="15" t="s">
        <v>13937</v>
      </c>
      <c r="F1651" s="174"/>
      <c r="G1651" s="174"/>
      <c r="H1651" s="17" t="s">
        <v>5932</v>
      </c>
      <c r="I1651" s="269"/>
      <c r="J1651" s="369" t="str">
        <f>HYPERLINK("[#]Datatypes!B1233:L1233","RealInterval")</f>
        <v>RealInterval</v>
      </c>
      <c r="K1651" s="271" t="str">
        <f>HYPERLINK("[#]PhysicalQuantities!A20:N20","Length")</f>
        <v>Length</v>
      </c>
      <c r="L1651" s="270" t="str">
        <f>HYPERLINK("[#]UnitsOfMeasure!D80:G80","Metre")</f>
        <v>Metre</v>
      </c>
      <c r="M1651" s="272"/>
      <c r="N1651" s="273"/>
      <c r="O1651" s="269"/>
      <c r="P1651" s="37">
        <v>110710</v>
      </c>
      <c r="Q1651" s="36" t="str">
        <f>CONCATENATE(Cover!$D$6,"fdd/view?i=",P1651)</f>
        <v>https://www.dgiwg.org/FAD/fdd/view?i=110710</v>
      </c>
      <c r="R1651" s="13" t="s">
        <v>13934</v>
      </c>
      <c r="S1651" s="172"/>
      <c r="T1651" s="172"/>
      <c r="BJ1651" s="83" t="s">
        <v>1790</v>
      </c>
      <c r="CP1651" s="164" t="s">
        <v>1790</v>
      </c>
    </row>
    <row r="1652" spans="1:105" x14ac:dyDescent="0.2">
      <c r="A1652" s="176" t="str">
        <f t="shared" si="46"/>
        <v>urbanLandUse</v>
      </c>
      <c r="B1652" s="11" t="s">
        <v>13939</v>
      </c>
      <c r="C1652" s="173"/>
      <c r="D1652" s="22" t="s">
        <v>13940</v>
      </c>
      <c r="E1652" s="15" t="s">
        <v>13941</v>
      </c>
      <c r="F1652" s="174"/>
      <c r="G1652" s="174"/>
      <c r="H1652" s="17" t="s">
        <v>5932</v>
      </c>
      <c r="I1652" s="17" t="s">
        <v>6029</v>
      </c>
      <c r="J1652" s="369" t="str">
        <f>HYPERLINK("[#]Datatypes!B1630:L1630","GauCode")</f>
        <v>GauCode</v>
      </c>
      <c r="K1652" s="276"/>
      <c r="L1652" s="272"/>
      <c r="M1652" s="272"/>
      <c r="N1652" s="248" t="str">
        <f>HYPERLINK("[#]DatatypeListedValues!A10002:H10002","&lt;values&gt;")</f>
        <v>&lt;values&gt;</v>
      </c>
      <c r="O1652" s="277" t="b">
        <v>0</v>
      </c>
      <c r="P1652" s="37">
        <v>111569</v>
      </c>
      <c r="Q1652" s="36" t="str">
        <f>CONCATENATE(Cover!$D$6,"fdd/view?i=",P1652)</f>
        <v>https://www.dgiwg.org/FAD/fdd/view?i=111569</v>
      </c>
      <c r="R1652" s="13" t="s">
        <v>13938</v>
      </c>
      <c r="S1652" s="172"/>
      <c r="T1652" s="172"/>
      <c r="AI1652" s="87" t="s">
        <v>1790</v>
      </c>
      <c r="AJ1652" s="83" t="s">
        <v>1790</v>
      </c>
      <c r="CT1652" s="166" t="s">
        <v>1790</v>
      </c>
    </row>
    <row r="1653" spans="1:105" ht="25.5" x14ac:dyDescent="0.2">
      <c r="A1653" s="176" t="str">
        <f t="shared" si="46"/>
        <v>usableFlowCapacity</v>
      </c>
      <c r="B1653" s="11" t="s">
        <v>13944</v>
      </c>
      <c r="C1653" s="173"/>
      <c r="D1653" s="22" t="s">
        <v>13945</v>
      </c>
      <c r="E1653" s="15" t="s">
        <v>13946</v>
      </c>
      <c r="F1653" s="15" t="s">
        <v>13947</v>
      </c>
      <c r="G1653" s="174"/>
      <c r="H1653" s="17" t="s">
        <v>5932</v>
      </c>
      <c r="I1653" s="269"/>
      <c r="J1653" s="369" t="str">
        <f>HYPERLINK("[#]Datatypes!B1231:L1231","Real")</f>
        <v>Real</v>
      </c>
      <c r="K1653" s="271" t="str">
        <f>HYPERLINK("[#]PhysicalQuantities!A53:N53","Volume Flow Rate")</f>
        <v>Volume Flow Rate</v>
      </c>
      <c r="L1653" s="270" t="str">
        <f>HYPERLINK("[#]UnitsOfMeasure!D292:G292","Cubic Metre per Hour")</f>
        <v>Cubic Metre per Hour</v>
      </c>
      <c r="M1653" s="272"/>
      <c r="N1653" s="273"/>
      <c r="O1653" s="269"/>
      <c r="P1653" s="37">
        <v>118579</v>
      </c>
      <c r="Q1653" s="36" t="str">
        <f>CONCATENATE(Cover!$D$6,"fdd/view?i=",P1653)</f>
        <v>https://www.dgiwg.org/FAD/fdd/view?i=118579</v>
      </c>
      <c r="R1653" s="13" t="s">
        <v>13943</v>
      </c>
      <c r="S1653" s="172"/>
      <c r="T1653" s="172"/>
      <c r="AB1653" s="82" t="s">
        <v>1790</v>
      </c>
      <c r="AG1653" s="82" t="s">
        <v>1790</v>
      </c>
      <c r="AR1653" s="82" t="s">
        <v>1790</v>
      </c>
      <c r="AY1653" s="85" t="s">
        <v>1790</v>
      </c>
      <c r="CQ1653" s="165" t="s">
        <v>1790</v>
      </c>
    </row>
    <row r="1654" spans="1:105" ht="25.5" x14ac:dyDescent="0.2">
      <c r="A1654" s="176" t="str">
        <f t="shared" si="46"/>
        <v>usableHeight</v>
      </c>
      <c r="B1654" s="11" t="s">
        <v>13949</v>
      </c>
      <c r="C1654" s="173"/>
      <c r="D1654" s="22" t="s">
        <v>13950</v>
      </c>
      <c r="E1654" s="15" t="s">
        <v>13951</v>
      </c>
      <c r="F1654" s="174"/>
      <c r="G1654" s="174"/>
      <c r="H1654" s="17" t="s">
        <v>5932</v>
      </c>
      <c r="I1654" s="269"/>
      <c r="J1654" s="369" t="str">
        <f>HYPERLINK("[#]Datatypes!B1231:L1231","Real")</f>
        <v>Real</v>
      </c>
      <c r="K1654" s="271" t="str">
        <f>HYPERLINK("[#]PhysicalQuantities!A20:N20","Length")</f>
        <v>Length</v>
      </c>
      <c r="L1654" s="270" t="str">
        <f>HYPERLINK("[#]UnitsOfMeasure!D80:G80","Metre")</f>
        <v>Metre</v>
      </c>
      <c r="M1654" s="272"/>
      <c r="N1654" s="273"/>
      <c r="O1654" s="269"/>
      <c r="P1654" s="37">
        <v>118142</v>
      </c>
      <c r="Q1654" s="36" t="str">
        <f>CONCATENATE(Cover!$D$6,"fdd/view?i=",P1654)</f>
        <v>https://www.dgiwg.org/FAD/fdd/view?i=118142</v>
      </c>
      <c r="R1654" s="13" t="s">
        <v>13948</v>
      </c>
      <c r="S1654" s="172"/>
      <c r="T1654" s="172"/>
      <c r="CQ1654" s="165" t="s">
        <v>1790</v>
      </c>
    </row>
    <row r="1655" spans="1:105" ht="76.5" x14ac:dyDescent="0.2">
      <c r="A1655" s="176" t="str">
        <f t="shared" si="46"/>
        <v>usableLength</v>
      </c>
      <c r="B1655" s="11" t="s">
        <v>13953</v>
      </c>
      <c r="C1655" s="173"/>
      <c r="D1655" s="22" t="s">
        <v>13954</v>
      </c>
      <c r="E1655" s="15" t="s">
        <v>13955</v>
      </c>
      <c r="F1655" s="15" t="s">
        <v>13956</v>
      </c>
      <c r="G1655" s="174"/>
      <c r="H1655" s="17" t="s">
        <v>5932</v>
      </c>
      <c r="I1655" s="269"/>
      <c r="J1655" s="369" t="str">
        <f>HYPERLINK("[#]Datatypes!B1233:L1233","RealInterval")</f>
        <v>RealInterval</v>
      </c>
      <c r="K1655" s="271" t="str">
        <f>HYPERLINK("[#]PhysicalQuantities!A20:N20","Length")</f>
        <v>Length</v>
      </c>
      <c r="L1655" s="270" t="str">
        <f>HYPERLINK("[#]UnitsOfMeasure!D80:G80","Metre")</f>
        <v>Metre</v>
      </c>
      <c r="M1655" s="272"/>
      <c r="N1655" s="273"/>
      <c r="O1655" s="269"/>
      <c r="P1655" s="37">
        <v>101004</v>
      </c>
      <c r="Q1655" s="36" t="str">
        <f>CONCATENATE(Cover!$D$6,"fdd/view?i=",P1655)</f>
        <v>https://www.dgiwg.org/FAD/fdd/view?i=101004</v>
      </c>
      <c r="R1655" s="13" t="s">
        <v>13952</v>
      </c>
      <c r="S1655" s="172"/>
      <c r="T1655" s="172"/>
      <c r="CQ1655" s="165" t="s">
        <v>1790</v>
      </c>
    </row>
    <row r="1656" spans="1:105" x14ac:dyDescent="0.2">
      <c r="A1656" s="176" t="str">
        <f t="shared" si="46"/>
        <v>usableWidth</v>
      </c>
      <c r="B1656" s="11" t="s">
        <v>13958</v>
      </c>
      <c r="C1656" s="173"/>
      <c r="D1656" s="22" t="s">
        <v>13959</v>
      </c>
      <c r="E1656" s="15" t="s">
        <v>13960</v>
      </c>
      <c r="F1656" s="15" t="s">
        <v>13961</v>
      </c>
      <c r="G1656" s="174"/>
      <c r="H1656" s="17" t="s">
        <v>5932</v>
      </c>
      <c r="I1656" s="269"/>
      <c r="J1656" s="369" t="str">
        <f>HYPERLINK("[#]Datatypes!B1233:L1233","RealInterval")</f>
        <v>RealInterval</v>
      </c>
      <c r="K1656" s="271" t="str">
        <f>HYPERLINK("[#]PhysicalQuantities!A20:N20","Length")</f>
        <v>Length</v>
      </c>
      <c r="L1656" s="270" t="str">
        <f>HYPERLINK("[#]UnitsOfMeasure!D80:G80","Metre")</f>
        <v>Metre</v>
      </c>
      <c r="M1656" s="272"/>
      <c r="N1656" s="273"/>
      <c r="O1656" s="269"/>
      <c r="P1656" s="37">
        <v>101485</v>
      </c>
      <c r="Q1656" s="36" t="str">
        <f>CONCATENATE(Cover!$D$6,"fdd/view?i=",P1656)</f>
        <v>https://www.dgiwg.org/FAD/fdd/view?i=101485</v>
      </c>
      <c r="R1656" s="13" t="s">
        <v>13957</v>
      </c>
      <c r="S1656" s="172"/>
      <c r="T1656" s="172"/>
      <c r="CQ1656" s="165" t="s">
        <v>1790</v>
      </c>
    </row>
    <row r="1657" spans="1:105" ht="25.5" x14ac:dyDescent="0.2">
      <c r="A1657" s="176" t="str">
        <f t="shared" si="46"/>
        <v>utcOffset</v>
      </c>
      <c r="B1657" s="11" t="s">
        <v>13963</v>
      </c>
      <c r="C1657" s="173"/>
      <c r="D1657" s="22" t="s">
        <v>13964</v>
      </c>
      <c r="E1657" s="15" t="s">
        <v>13965</v>
      </c>
      <c r="F1657" s="174"/>
      <c r="G1657" s="174"/>
      <c r="H1657" s="17" t="s">
        <v>5932</v>
      </c>
      <c r="I1657" s="269"/>
      <c r="J1657" s="369" t="str">
        <f>HYPERLINK("[#]Datatypes!B1231:L1231","Real")</f>
        <v>Real</v>
      </c>
      <c r="K1657" s="271" t="str">
        <f>HYPERLINK("[#]PhysicalQuantities!A51:N51","Time")</f>
        <v>Time</v>
      </c>
      <c r="L1657" s="270" t="str">
        <f>HYPERLINK("[#]UnitsOfMeasure!D268:G268","Hour")</f>
        <v>Hour</v>
      </c>
      <c r="M1657" s="272"/>
      <c r="N1657" s="273"/>
      <c r="O1657" s="269"/>
      <c r="P1657" s="37">
        <v>119210</v>
      </c>
      <c r="Q1657" s="36" t="str">
        <f>CONCATENATE(Cover!$D$6,"fdd/view?i=",P1657)</f>
        <v>https://www.dgiwg.org/FAD/fdd/view?i=119210</v>
      </c>
      <c r="R1657" s="13" t="s">
        <v>13962</v>
      </c>
      <c r="S1657" s="172"/>
      <c r="T1657" s="172"/>
      <c r="CC1657" s="81" t="s">
        <v>1790</v>
      </c>
      <c r="CQ1657" s="165" t="s">
        <v>1790</v>
      </c>
    </row>
    <row r="1658" spans="1:105" ht="25.5" x14ac:dyDescent="0.2">
      <c r="A1658" s="176" t="str">
        <f t="shared" si="46"/>
        <v>utilityFacilityType</v>
      </c>
      <c r="B1658" s="11" t="s">
        <v>13967</v>
      </c>
      <c r="C1658" s="173"/>
      <c r="D1658" s="22" t="s">
        <v>13968</v>
      </c>
      <c r="E1658" s="15" t="s">
        <v>13969</v>
      </c>
      <c r="F1658" s="15" t="s">
        <v>13970</v>
      </c>
      <c r="G1658" s="174"/>
      <c r="H1658" s="17" t="s">
        <v>5932</v>
      </c>
      <c r="I1658" s="269"/>
      <c r="J1658" s="369" t="str">
        <f>HYPERLINK("[#]Datatypes!B1632:L1632","UucCode")</f>
        <v>UucCode</v>
      </c>
      <c r="K1658" s="276"/>
      <c r="L1658" s="272"/>
      <c r="M1658" s="272"/>
      <c r="N1658" s="248" t="str">
        <f>HYPERLINK("[#]DatatypeListedValues!A10025:H10025","&lt;values&gt;")</f>
        <v>&lt;values&gt;</v>
      </c>
      <c r="O1658" s="277" t="b">
        <v>0</v>
      </c>
      <c r="P1658" s="37">
        <v>101421</v>
      </c>
      <c r="Q1658" s="36" t="str">
        <f>CONCATENATE(Cover!$D$6,"fdd/view?i=",P1658)</f>
        <v>https://www.dgiwg.org/FAD/fdd/view?i=101421</v>
      </c>
      <c r="R1658" s="13" t="s">
        <v>13966</v>
      </c>
      <c r="S1658" s="172"/>
      <c r="T1658" s="172"/>
      <c r="AF1658" s="82" t="s">
        <v>1790</v>
      </c>
      <c r="AN1658" s="83" t="s">
        <v>1790</v>
      </c>
      <c r="CT1658" s="166" t="s">
        <v>1790</v>
      </c>
    </row>
    <row r="1659" spans="1:105" ht="25.5" x14ac:dyDescent="0.2">
      <c r="A1659" s="176" t="str">
        <f t="shared" si="46"/>
        <v>vegetationCharacteristic</v>
      </c>
      <c r="B1659" s="11" t="s">
        <v>13973</v>
      </c>
      <c r="C1659" s="173"/>
      <c r="D1659" s="22" t="s">
        <v>13974</v>
      </c>
      <c r="E1659" s="15" t="s">
        <v>13975</v>
      </c>
      <c r="F1659" s="174"/>
      <c r="G1659" s="174"/>
      <c r="H1659" s="17" t="s">
        <v>5932</v>
      </c>
      <c r="I1659" s="269"/>
      <c r="J1659" s="369" t="str">
        <f>HYPERLINK("[#]Datatypes!B1634:L1634","VegCode")</f>
        <v>VegCode</v>
      </c>
      <c r="K1659" s="276"/>
      <c r="L1659" s="272"/>
      <c r="M1659" s="272"/>
      <c r="N1659" s="248" t="str">
        <f>HYPERLINK("[#]DatatypeListedValues!A10034:H10034","&lt;values&gt;")</f>
        <v>&lt;values&gt;</v>
      </c>
      <c r="O1659" s="277" t="b">
        <v>0</v>
      </c>
      <c r="P1659" s="37">
        <v>101448</v>
      </c>
      <c r="Q1659" s="36" t="str">
        <f>CONCATENATE(Cover!$D$6,"fdd/view?i=",P1659)</f>
        <v>https://www.dgiwg.org/FAD/fdd/view?i=101448</v>
      </c>
      <c r="R1659" s="13" t="s">
        <v>13972</v>
      </c>
      <c r="S1659" s="172"/>
      <c r="T1659" s="172"/>
      <c r="BV1659" s="83" t="s">
        <v>1790</v>
      </c>
      <c r="BW1659" s="83" t="s">
        <v>1790</v>
      </c>
      <c r="CS1659" s="165" t="s">
        <v>1790</v>
      </c>
      <c r="CT1659" s="166" t="s">
        <v>1790</v>
      </c>
    </row>
    <row r="1660" spans="1:105" ht="25.5" x14ac:dyDescent="0.2">
      <c r="A1660" s="176" t="str">
        <f t="shared" si="46"/>
        <v>vegetationDensityEval</v>
      </c>
      <c r="B1660" s="11" t="s">
        <v>13978</v>
      </c>
      <c r="C1660" s="173"/>
      <c r="D1660" s="22" t="s">
        <v>13979</v>
      </c>
      <c r="E1660" s="15" t="s">
        <v>13980</v>
      </c>
      <c r="F1660" s="174"/>
      <c r="G1660" s="174"/>
      <c r="H1660" s="17" t="s">
        <v>5932</v>
      </c>
      <c r="I1660" s="269"/>
      <c r="J1660" s="369" t="str">
        <f>HYPERLINK("[#]Datatypes!B1544:L1544","TextLexUnconstrained")</f>
        <v>TextLexUnconstrained</v>
      </c>
      <c r="K1660" s="276"/>
      <c r="L1660" s="272"/>
      <c r="M1660" s="272"/>
      <c r="N1660" s="273"/>
      <c r="O1660" s="269"/>
      <c r="P1660" s="37">
        <v>119211</v>
      </c>
      <c r="Q1660" s="36" t="str">
        <f>CONCATENATE(Cover!$D$6,"fdd/view?i=",P1660)</f>
        <v>https://www.dgiwg.org/FAD/fdd/view?i=119211</v>
      </c>
      <c r="R1660" s="13" t="s">
        <v>13977</v>
      </c>
      <c r="S1660" s="172"/>
      <c r="T1660" s="172"/>
      <c r="CB1660" s="89" t="s">
        <v>1790</v>
      </c>
      <c r="CS1660" s="165" t="s">
        <v>1790</v>
      </c>
    </row>
    <row r="1661" spans="1:105" ht="38.25" x14ac:dyDescent="0.2">
      <c r="A1661" s="176" t="str">
        <f t="shared" si="46"/>
        <v>vegetationPresent</v>
      </c>
      <c r="B1661" s="11" t="s">
        <v>13982</v>
      </c>
      <c r="C1661" s="173"/>
      <c r="D1661" s="22" t="s">
        <v>13983</v>
      </c>
      <c r="E1661" s="15" t="s">
        <v>13984</v>
      </c>
      <c r="F1661" s="15" t="s">
        <v>13985</v>
      </c>
      <c r="G1661" s="174"/>
      <c r="H1661" s="17" t="s">
        <v>5932</v>
      </c>
      <c r="I1661" s="269"/>
      <c r="J1661" s="369" t="str">
        <f>HYPERLINK("[#]Datatypes!B240:L240","Boolean")</f>
        <v>Boolean</v>
      </c>
      <c r="K1661" s="276"/>
      <c r="L1661" s="272"/>
      <c r="M1661" s="272"/>
      <c r="N1661" s="273"/>
      <c r="O1661" s="269"/>
      <c r="P1661" s="37">
        <v>117800</v>
      </c>
      <c r="Q1661" s="36" t="str">
        <f>CONCATENATE(Cover!$D$6,"fdd/view?i=",P1661)</f>
        <v>https://www.dgiwg.org/FAD/fdd/view?i=117800</v>
      </c>
      <c r="R1661" s="13" t="s">
        <v>13981</v>
      </c>
      <c r="S1661" s="172"/>
      <c r="T1661" s="172"/>
      <c r="CB1661" s="89" t="s">
        <v>1790</v>
      </c>
      <c r="CR1661" s="165" t="s">
        <v>1790</v>
      </c>
    </row>
    <row r="1662" spans="1:105" x14ac:dyDescent="0.2">
      <c r="A1662" s="176" t="str">
        <f t="shared" si="46"/>
        <v>vegetationSpecies</v>
      </c>
      <c r="B1662" s="11" t="s">
        <v>13987</v>
      </c>
      <c r="C1662" s="173"/>
      <c r="D1662" s="22" t="s">
        <v>13988</v>
      </c>
      <c r="E1662" s="15" t="s">
        <v>13989</v>
      </c>
      <c r="F1662" s="174"/>
      <c r="G1662" s="174"/>
      <c r="H1662" s="17" t="s">
        <v>5932</v>
      </c>
      <c r="I1662" s="269"/>
      <c r="J1662" s="369" t="str">
        <f>HYPERLINK("[#]Datatypes!B1636:L1636","VspCode")</f>
        <v>VspCode</v>
      </c>
      <c r="K1662" s="276"/>
      <c r="L1662" s="272"/>
      <c r="M1662" s="272"/>
      <c r="N1662" s="248" t="str">
        <f>HYPERLINK("[#]DatatypeListedValues!A10063:H10063","&lt;values&gt;")</f>
        <v>&lt;values&gt;</v>
      </c>
      <c r="O1662" s="277" t="b">
        <v>0</v>
      </c>
      <c r="P1662" s="37">
        <v>109994</v>
      </c>
      <c r="Q1662" s="36" t="str">
        <f>CONCATENATE(Cover!$D$6,"fdd/view?i=",P1662)</f>
        <v>https://www.dgiwg.org/FAD/fdd/view?i=109994</v>
      </c>
      <c r="R1662" s="13" t="s">
        <v>13986</v>
      </c>
      <c r="S1662" s="172"/>
      <c r="T1662" s="172"/>
      <c r="BV1662" s="83" t="s">
        <v>1790</v>
      </c>
      <c r="BW1662" s="83" t="s">
        <v>1790</v>
      </c>
      <c r="CS1662" s="165" t="s">
        <v>1790</v>
      </c>
    </row>
    <row r="1663" spans="1:105" ht="51" x14ac:dyDescent="0.2">
      <c r="A1663" s="176" t="str">
        <f t="shared" si="46"/>
        <v>vegetationTrafficImpact</v>
      </c>
      <c r="B1663" s="11" t="s">
        <v>13992</v>
      </c>
      <c r="C1663" s="173"/>
      <c r="D1663" s="22" t="s">
        <v>13993</v>
      </c>
      <c r="E1663" s="15" t="s">
        <v>13994</v>
      </c>
      <c r="F1663" s="15" t="s">
        <v>13995</v>
      </c>
      <c r="G1663" s="174"/>
      <c r="H1663" s="17" t="s">
        <v>5932</v>
      </c>
      <c r="I1663" s="269"/>
      <c r="J1663" s="369" t="str">
        <f>HYPERLINK("[#]Datatypes!B1238:L1238","RealNonNegInterval100")</f>
        <v>RealNonNegInterval100</v>
      </c>
      <c r="K1663" s="271" t="str">
        <f>HYPERLINK("[#]PhysicalQuantities!A39:N39","Pure Number")</f>
        <v>Pure Number</v>
      </c>
      <c r="L1663" s="270" t="str">
        <f>HYPERLINK("[#]UnitsOfMeasure!D215:G215","Percent")</f>
        <v>Percent</v>
      </c>
      <c r="M1663" s="272"/>
      <c r="N1663" s="273"/>
      <c r="O1663" s="269"/>
      <c r="P1663" s="37">
        <v>109995</v>
      </c>
      <c r="Q1663" s="36" t="str">
        <f>CONCATENATE(Cover!$D$6,"fdd/view?i=",P1663)</f>
        <v>https://www.dgiwg.org/FAD/fdd/view?i=109995</v>
      </c>
      <c r="R1663" s="13" t="s">
        <v>13991</v>
      </c>
      <c r="S1663" s="172"/>
      <c r="T1663" s="172"/>
      <c r="AU1663" s="82" t="s">
        <v>1790</v>
      </c>
      <c r="BW1663" s="83" t="s">
        <v>1790</v>
      </c>
      <c r="BX1663" s="83" t="s">
        <v>1790</v>
      </c>
      <c r="CJ1663" s="81" t="s">
        <v>1790</v>
      </c>
    </row>
    <row r="1664" spans="1:105" x14ac:dyDescent="0.2">
      <c r="A1664" s="176" t="str">
        <f t="shared" si="46"/>
        <v>vehicleCapacity</v>
      </c>
      <c r="B1664" s="11" t="s">
        <v>13997</v>
      </c>
      <c r="C1664" s="173"/>
      <c r="D1664" s="22" t="s">
        <v>13998</v>
      </c>
      <c r="E1664" s="15" t="s">
        <v>13999</v>
      </c>
      <c r="F1664" s="174"/>
      <c r="G1664" s="174"/>
      <c r="H1664" s="17" t="s">
        <v>5932</v>
      </c>
      <c r="I1664" s="269"/>
      <c r="J1664" s="369" t="str">
        <f>HYPERLINK("[#]Datatypes!B380:L380","Count")</f>
        <v>Count</v>
      </c>
      <c r="K1664" s="276"/>
      <c r="L1664" s="272"/>
      <c r="M1664" s="272"/>
      <c r="N1664" s="273"/>
      <c r="O1664" s="269"/>
      <c r="P1664" s="37">
        <v>101447</v>
      </c>
      <c r="Q1664" s="36" t="str">
        <f>CONCATENATE(Cover!$D$6,"fdd/view?i=",P1664)</f>
        <v>https://www.dgiwg.org/FAD/fdd/view?i=101447</v>
      </c>
      <c r="R1664" s="13" t="s">
        <v>13996</v>
      </c>
      <c r="S1664" s="172"/>
      <c r="T1664" s="172"/>
      <c r="AW1664" s="82" t="s">
        <v>1790</v>
      </c>
      <c r="CQ1664" s="165" t="s">
        <v>1790</v>
      </c>
    </row>
    <row r="1665" spans="1:106" ht="63.75" x14ac:dyDescent="0.2">
      <c r="A1665" s="176" t="str">
        <f t="shared" si="46"/>
        <v>vehicleScaleCount</v>
      </c>
      <c r="B1665" s="11" t="s">
        <v>14001</v>
      </c>
      <c r="C1665" s="173"/>
      <c r="D1665" s="22" t="s">
        <v>14002</v>
      </c>
      <c r="E1665" s="15" t="s">
        <v>14003</v>
      </c>
      <c r="F1665" s="15" t="s">
        <v>14004</v>
      </c>
      <c r="G1665" s="174"/>
      <c r="H1665" s="17" t="s">
        <v>5932</v>
      </c>
      <c r="I1665" s="269"/>
      <c r="J1665" s="369" t="str">
        <f>HYPERLINK("[#]Datatypes!B380:L380","Count")</f>
        <v>Count</v>
      </c>
      <c r="K1665" s="276"/>
      <c r="L1665" s="272"/>
      <c r="M1665" s="272"/>
      <c r="N1665" s="273"/>
      <c r="O1665" s="269"/>
      <c r="P1665" s="37">
        <v>117801</v>
      </c>
      <c r="Q1665" s="36" t="str">
        <f>CONCATENATE(Cover!$D$6,"fdd/view?i=",P1665)</f>
        <v>https://www.dgiwg.org/FAD/fdd/view?i=117801</v>
      </c>
      <c r="R1665" s="13" t="s">
        <v>14000</v>
      </c>
      <c r="S1665" s="172"/>
      <c r="T1665" s="172"/>
      <c r="AQ1665" s="82" t="s">
        <v>1790</v>
      </c>
      <c r="CP1665" s="164" t="s">
        <v>1790</v>
      </c>
    </row>
    <row r="1666" spans="1:106" x14ac:dyDescent="0.2">
      <c r="A1666" s="176" t="str">
        <f t="shared" si="46"/>
        <v>vehicleType</v>
      </c>
      <c r="B1666" s="11" t="s">
        <v>14006</v>
      </c>
      <c r="C1666" s="173"/>
      <c r="D1666" s="22" t="s">
        <v>14007</v>
      </c>
      <c r="E1666" s="15" t="s">
        <v>14008</v>
      </c>
      <c r="F1666" s="174"/>
      <c r="G1666" s="174"/>
      <c r="H1666" s="17" t="s">
        <v>5932</v>
      </c>
      <c r="I1666" s="269"/>
      <c r="J1666" s="369" t="str">
        <f>HYPERLINK("[#]Datatypes!B1638:L1638","VetCode")</f>
        <v>VetCode</v>
      </c>
      <c r="K1666" s="276"/>
      <c r="L1666" s="272"/>
      <c r="M1666" s="272"/>
      <c r="N1666" s="248" t="str">
        <f>HYPERLINK("[#]DatatypeListedValues!A10124:H10124","&lt;values&gt;")</f>
        <v>&lt;values&gt;</v>
      </c>
      <c r="O1666" s="277" t="b">
        <v>0</v>
      </c>
      <c r="P1666" s="37">
        <v>103065</v>
      </c>
      <c r="Q1666" s="36" t="str">
        <f>CONCATENATE(Cover!$D$6,"fdd/view?i=",P1666)</f>
        <v>https://www.dgiwg.org/FAD/fdd/view?i=103065</v>
      </c>
      <c r="R1666" s="13" t="s">
        <v>14005</v>
      </c>
      <c r="S1666" s="172"/>
      <c r="T1666" s="172"/>
      <c r="AW1666" s="82" t="s">
        <v>1790</v>
      </c>
      <c r="CT1666" s="166" t="s">
        <v>1790</v>
      </c>
    </row>
    <row r="1667" spans="1:106" ht="51" x14ac:dyDescent="0.2">
      <c r="A1667" s="176" t="str">
        <f t="shared" ref="A1667:A1730" si="47">HYPERLINK(Q1667,R1667)</f>
        <v>verticalAlarmLimit</v>
      </c>
      <c r="B1667" s="11" t="s">
        <v>14011</v>
      </c>
      <c r="C1667" s="173"/>
      <c r="D1667" s="22" t="s">
        <v>14012</v>
      </c>
      <c r="E1667" s="15" t="s">
        <v>14013</v>
      </c>
      <c r="F1667" s="15" t="s">
        <v>9423</v>
      </c>
      <c r="G1667" s="174"/>
      <c r="H1667" s="17" t="s">
        <v>5932</v>
      </c>
      <c r="I1667" s="269"/>
      <c r="J1667" s="369" t="str">
        <f>HYPERLINK("[#]Datatypes!B1048:L1048","RealNonNegative")</f>
        <v>RealNonNegative</v>
      </c>
      <c r="K1667" s="271" t="str">
        <f>HYPERLINK("[#]PhysicalQuantities!A20:N20","Length")</f>
        <v>Length</v>
      </c>
      <c r="L1667" s="270" t="str">
        <f>HYPERLINK("[#]UnitsOfMeasure!D80:G80","Metre")</f>
        <v>Metre</v>
      </c>
      <c r="M1667" s="272"/>
      <c r="N1667" s="273"/>
      <c r="O1667" s="269"/>
      <c r="P1667" s="37">
        <v>119611</v>
      </c>
      <c r="Q1667" s="36" t="str">
        <f>CONCATENATE(Cover!$D$6,"fdd/view?i=",P1667)</f>
        <v>https://www.dgiwg.org/FAD/fdd/view?i=119611</v>
      </c>
      <c r="R1667" s="13" t="s">
        <v>14010</v>
      </c>
      <c r="S1667" s="172"/>
      <c r="T1667" s="172"/>
      <c r="AT1667" s="82" t="s">
        <v>1790</v>
      </c>
      <c r="CF1667" s="83" t="s">
        <v>1790</v>
      </c>
      <c r="CQ1667" s="165" t="s">
        <v>1790</v>
      </c>
    </row>
    <row r="1668" spans="1:106" ht="25.5" x14ac:dyDescent="0.2">
      <c r="A1668" s="176" t="str">
        <f t="shared" si="47"/>
        <v>verticalClearanceRef</v>
      </c>
      <c r="B1668" s="11" t="s">
        <v>14015</v>
      </c>
      <c r="C1668" s="173"/>
      <c r="D1668" s="22" t="s">
        <v>14016</v>
      </c>
      <c r="E1668" s="15" t="s">
        <v>14017</v>
      </c>
      <c r="F1668" s="174"/>
      <c r="G1668" s="174"/>
      <c r="H1668" s="17" t="s">
        <v>5932</v>
      </c>
      <c r="I1668" s="269"/>
      <c r="J1668" s="369" t="str">
        <f>HYPERLINK("[#]Datatypes!B1640:L1640","VcdCode")</f>
        <v>VcdCode</v>
      </c>
      <c r="K1668" s="276"/>
      <c r="L1668" s="272"/>
      <c r="M1668" s="272"/>
      <c r="N1668" s="248" t="str">
        <f>HYPERLINK("[#]DatatypeListedValues!A10134:H10134","&lt;values&gt;")</f>
        <v>&lt;values&gt;</v>
      </c>
      <c r="O1668" s="277" t="b">
        <v>0</v>
      </c>
      <c r="P1668" s="37">
        <v>101438</v>
      </c>
      <c r="Q1668" s="36" t="str">
        <f>CONCATENATE(Cover!$D$6,"fdd/view?i=",P1668)</f>
        <v>https://www.dgiwg.org/FAD/fdd/view?i=101438</v>
      </c>
      <c r="R1668" s="13" t="s">
        <v>14014</v>
      </c>
      <c r="S1668" s="172"/>
      <c r="T1668" s="172"/>
      <c r="AU1668" s="82" t="s">
        <v>1790</v>
      </c>
      <c r="AV1668" s="82" t="s">
        <v>1790</v>
      </c>
      <c r="CQ1668" s="165" t="s">
        <v>1790</v>
      </c>
    </row>
    <row r="1669" spans="1:106" ht="38.25" x14ac:dyDescent="0.2">
      <c r="A1669" s="176" t="str">
        <f t="shared" si="47"/>
        <v>verticalClearanceRemark</v>
      </c>
      <c r="B1669" s="11" t="s">
        <v>14020</v>
      </c>
      <c r="C1669" s="173"/>
      <c r="D1669" s="22" t="s">
        <v>14021</v>
      </c>
      <c r="E1669" s="15" t="s">
        <v>14022</v>
      </c>
      <c r="F1669" s="15" t="s">
        <v>14023</v>
      </c>
      <c r="G1669" s="174"/>
      <c r="H1669" s="17" t="s">
        <v>5932</v>
      </c>
      <c r="I1669" s="269"/>
      <c r="J1669" s="369" t="str">
        <f>HYPERLINK("[#]Datatypes!B1532:L1532","TextLex132")</f>
        <v>TextLex132</v>
      </c>
      <c r="K1669" s="276"/>
      <c r="L1669" s="272"/>
      <c r="M1669" s="272"/>
      <c r="N1669" s="273"/>
      <c r="O1669" s="269"/>
      <c r="P1669" s="37">
        <v>101441</v>
      </c>
      <c r="Q1669" s="36" t="str">
        <f>CONCATENATE(Cover!$D$6,"fdd/view?i=",P1669)</f>
        <v>https://www.dgiwg.org/FAD/fdd/view?i=101441</v>
      </c>
      <c r="R1669" s="13" t="s">
        <v>14019</v>
      </c>
      <c r="S1669" s="172"/>
      <c r="T1669" s="172"/>
      <c r="AU1669" s="82" t="s">
        <v>1790</v>
      </c>
      <c r="AV1669" s="82" t="s">
        <v>1790</v>
      </c>
      <c r="CW1669" s="164" t="s">
        <v>1790</v>
      </c>
    </row>
    <row r="1670" spans="1:106" ht="38.25" x14ac:dyDescent="0.2">
      <c r="A1670" s="176" t="str">
        <f t="shared" si="47"/>
        <v>verticalClearanceClosed</v>
      </c>
      <c r="B1670" s="11" t="s">
        <v>14026</v>
      </c>
      <c r="C1670" s="173"/>
      <c r="D1670" s="22" t="s">
        <v>14027</v>
      </c>
      <c r="E1670" s="15" t="s">
        <v>14028</v>
      </c>
      <c r="F1670" s="174"/>
      <c r="G1670" s="174"/>
      <c r="H1670" s="17" t="s">
        <v>5932</v>
      </c>
      <c r="I1670" s="269"/>
      <c r="J1670" s="369" t="str">
        <f>HYPERLINK("[#]Datatypes!B1233:L1233","RealInterval")</f>
        <v>RealInterval</v>
      </c>
      <c r="K1670" s="271" t="str">
        <f>HYPERLINK("[#]PhysicalQuantities!A20:N20","Length")</f>
        <v>Length</v>
      </c>
      <c r="L1670" s="270" t="str">
        <f>HYPERLINK("[#]UnitsOfMeasure!D80:G80","Metre")</f>
        <v>Metre</v>
      </c>
      <c r="M1670" s="272"/>
      <c r="N1670" s="273"/>
      <c r="O1670" s="269"/>
      <c r="P1670" s="37">
        <v>101437</v>
      </c>
      <c r="Q1670" s="36" t="str">
        <f>CONCATENATE(Cover!$D$6,"fdd/view?i=",P1670)</f>
        <v>https://www.dgiwg.org/FAD/fdd/view?i=101437</v>
      </c>
      <c r="R1670" s="13" t="s">
        <v>14025</v>
      </c>
      <c r="S1670" s="172"/>
      <c r="T1670" s="172"/>
      <c r="AU1670" s="82" t="s">
        <v>1790</v>
      </c>
      <c r="AV1670" s="82" t="s">
        <v>1790</v>
      </c>
      <c r="CQ1670" s="165" t="s">
        <v>1790</v>
      </c>
    </row>
    <row r="1671" spans="1:106" ht="38.25" x14ac:dyDescent="0.2">
      <c r="A1671" s="176" t="str">
        <f t="shared" si="47"/>
        <v>verticalClearanceOpened</v>
      </c>
      <c r="B1671" s="11" t="s">
        <v>14030</v>
      </c>
      <c r="C1671" s="173"/>
      <c r="D1671" s="22" t="s">
        <v>14031</v>
      </c>
      <c r="E1671" s="15" t="s">
        <v>14032</v>
      </c>
      <c r="F1671" s="174"/>
      <c r="G1671" s="174"/>
      <c r="H1671" s="17" t="s">
        <v>5932</v>
      </c>
      <c r="I1671" s="269"/>
      <c r="J1671" s="369" t="str">
        <f>HYPERLINK("[#]Datatypes!B1233:L1233","RealInterval")</f>
        <v>RealInterval</v>
      </c>
      <c r="K1671" s="271" t="str">
        <f>HYPERLINK("[#]PhysicalQuantities!A20:N20","Length")</f>
        <v>Length</v>
      </c>
      <c r="L1671" s="270" t="str">
        <f>HYPERLINK("[#]UnitsOfMeasure!D80:G80","Metre")</f>
        <v>Metre</v>
      </c>
      <c r="M1671" s="272"/>
      <c r="N1671" s="273"/>
      <c r="O1671" s="269"/>
      <c r="P1671" s="37">
        <v>101439</v>
      </c>
      <c r="Q1671" s="36" t="str">
        <f>CONCATENATE(Cover!$D$6,"fdd/view?i=",P1671)</f>
        <v>https://www.dgiwg.org/FAD/fdd/view?i=101439</v>
      </c>
      <c r="R1671" s="13" t="s">
        <v>14029</v>
      </c>
      <c r="S1671" s="172"/>
      <c r="T1671" s="172"/>
      <c r="AU1671" s="82" t="s">
        <v>1790</v>
      </c>
      <c r="AV1671" s="82" t="s">
        <v>1790</v>
      </c>
      <c r="CQ1671" s="165" t="s">
        <v>1790</v>
      </c>
    </row>
    <row r="1672" spans="1:106" ht="25.5" x14ac:dyDescent="0.2">
      <c r="A1672" s="176" t="str">
        <f t="shared" si="47"/>
        <v>verticalClearanceSafe</v>
      </c>
      <c r="B1672" s="11" t="s">
        <v>14034</v>
      </c>
      <c r="C1672" s="173"/>
      <c r="D1672" s="22" t="s">
        <v>14035</v>
      </c>
      <c r="E1672" s="15" t="s">
        <v>14036</v>
      </c>
      <c r="F1672" s="174"/>
      <c r="G1672" s="174"/>
      <c r="H1672" s="17" t="s">
        <v>5932</v>
      </c>
      <c r="I1672" s="269"/>
      <c r="J1672" s="369" t="str">
        <f>HYPERLINK("[#]Datatypes!B1231:L1231","Real")</f>
        <v>Real</v>
      </c>
      <c r="K1672" s="271" t="str">
        <f>HYPERLINK("[#]PhysicalQuantities!A20:N20","Length")</f>
        <v>Length</v>
      </c>
      <c r="L1672" s="270" t="str">
        <f>HYPERLINK("[#]UnitsOfMeasure!D80:G80","Metre")</f>
        <v>Metre</v>
      </c>
      <c r="M1672" s="272"/>
      <c r="N1672" s="273"/>
      <c r="O1672" s="269"/>
      <c r="P1672" s="37">
        <v>101443</v>
      </c>
      <c r="Q1672" s="36" t="str">
        <f>CONCATENATE(Cover!$D$6,"fdd/view?i=",P1672)</f>
        <v>https://www.dgiwg.org/FAD/fdd/view?i=101443</v>
      </c>
      <c r="R1672" s="13" t="s">
        <v>14033</v>
      </c>
      <c r="S1672" s="172"/>
      <c r="T1672" s="172"/>
      <c r="AU1672" s="82" t="s">
        <v>1790</v>
      </c>
      <c r="AV1672" s="82" t="s">
        <v>1790</v>
      </c>
      <c r="CQ1672" s="165" t="s">
        <v>1790</v>
      </c>
    </row>
    <row r="1673" spans="1:106" ht="38.25" x14ac:dyDescent="0.2">
      <c r="A1673" s="176" t="str">
        <f t="shared" si="47"/>
        <v>verticalDatum</v>
      </c>
      <c r="B1673" s="11" t="s">
        <v>14038</v>
      </c>
      <c r="C1673" s="173"/>
      <c r="D1673" s="22" t="s">
        <v>14039</v>
      </c>
      <c r="E1673" s="15" t="s">
        <v>14040</v>
      </c>
      <c r="F1673" s="15" t="s">
        <v>14041</v>
      </c>
      <c r="G1673" s="174"/>
      <c r="H1673" s="17" t="s">
        <v>5932</v>
      </c>
      <c r="I1673" s="269"/>
      <c r="J1673" s="369" t="str">
        <f>HYPERLINK("[#]Datatypes!B1642:L1642","VdtCode")</f>
        <v>VdtCode</v>
      </c>
      <c r="K1673" s="276"/>
      <c r="L1673" s="272"/>
      <c r="M1673" s="272"/>
      <c r="N1673" s="248" t="str">
        <f>HYPERLINK("[#]DatatypeListedValues!A10141:H10141","&lt;values&gt;")</f>
        <v>&lt;values&gt;</v>
      </c>
      <c r="O1673" s="277" t="b">
        <v>0</v>
      </c>
      <c r="P1673" s="37">
        <v>111742</v>
      </c>
      <c r="Q1673" s="36" t="str">
        <f>CONCATENATE(Cover!$D$6,"fdd/view?i=",P1673)</f>
        <v>https://www.dgiwg.org/FAD/fdd/view?i=111742</v>
      </c>
      <c r="R1673" s="13" t="s">
        <v>14037</v>
      </c>
      <c r="S1673" s="172"/>
      <c r="T1673" s="172"/>
      <c r="CP1673" s="164" t="s">
        <v>1790</v>
      </c>
      <c r="CV1673" s="83" t="s">
        <v>1790</v>
      </c>
    </row>
    <row r="1674" spans="1:106" ht="76.5" x14ac:dyDescent="0.2">
      <c r="A1674" s="176" t="str">
        <f t="shared" si="47"/>
        <v>verticalDatumName</v>
      </c>
      <c r="B1674" s="11" t="s">
        <v>14044</v>
      </c>
      <c r="C1674" s="173"/>
      <c r="D1674" s="22" t="s">
        <v>14045</v>
      </c>
      <c r="E1674" s="15" t="s">
        <v>14046</v>
      </c>
      <c r="F1674" s="15" t="s">
        <v>14047</v>
      </c>
      <c r="G1674" s="174"/>
      <c r="H1674" s="17" t="s">
        <v>5932</v>
      </c>
      <c r="I1674" s="269"/>
      <c r="J1674" s="369" t="str">
        <f>HYPERLINK("[#]Datatypes!B1562:L1562","TextNonLexUnconstrained")</f>
        <v>TextNonLexUnconstrained</v>
      </c>
      <c r="K1674" s="276"/>
      <c r="L1674" s="272"/>
      <c r="M1674" s="272"/>
      <c r="N1674" s="273"/>
      <c r="O1674" s="269"/>
      <c r="P1674" s="37">
        <v>117737</v>
      </c>
      <c r="Q1674" s="36" t="str">
        <f>CONCATENATE(Cover!$D$6,"fdd/view?i=",P1674)</f>
        <v>https://www.dgiwg.org/FAD/fdd/view?i=117737</v>
      </c>
      <c r="R1674" s="13" t="s">
        <v>14043</v>
      </c>
      <c r="S1674" s="172"/>
      <c r="T1674" s="172"/>
      <c r="CQ1674" s="165" t="s">
        <v>1790</v>
      </c>
      <c r="CV1674" s="83" t="s">
        <v>1790</v>
      </c>
    </row>
    <row r="1675" spans="1:106" ht="38.25" x14ac:dyDescent="0.2">
      <c r="A1675" s="176" t="str">
        <f t="shared" si="47"/>
        <v>verticalDistanceReference</v>
      </c>
      <c r="B1675" s="11" t="s">
        <v>14049</v>
      </c>
      <c r="C1675" s="173"/>
      <c r="D1675" s="22" t="s">
        <v>14050</v>
      </c>
      <c r="E1675" s="15" t="s">
        <v>14051</v>
      </c>
      <c r="F1675" s="15" t="s">
        <v>14052</v>
      </c>
      <c r="G1675" s="174"/>
      <c r="H1675" s="17" t="s">
        <v>5932</v>
      </c>
      <c r="I1675" s="269"/>
      <c r="J1675" s="369" t="str">
        <f>HYPERLINK("[#]Datatypes!B1644:L1644","DrvCode")</f>
        <v>DrvCode</v>
      </c>
      <c r="K1675" s="276"/>
      <c r="L1675" s="272"/>
      <c r="M1675" s="272"/>
      <c r="N1675" s="248" t="str">
        <f>HYPERLINK("[#]DatatypeListedValues!A10148:H10148","&lt;values&gt;")</f>
        <v>&lt;values&gt;</v>
      </c>
      <c r="O1675" s="277" t="b">
        <v>0</v>
      </c>
      <c r="P1675" s="37">
        <v>117559</v>
      </c>
      <c r="Q1675" s="36" t="str">
        <f>CONCATENATE(Cover!$D$6,"fdd/view?i=",P1675)</f>
        <v>https://www.dgiwg.org/FAD/fdd/view?i=117559</v>
      </c>
      <c r="R1675" s="13" t="s">
        <v>14048</v>
      </c>
      <c r="S1675" s="172"/>
      <c r="T1675" s="172"/>
      <c r="CQ1675" s="165" t="s">
        <v>1790</v>
      </c>
    </row>
    <row r="1676" spans="1:106" ht="25.5" x14ac:dyDescent="0.2">
      <c r="A1676" s="176" t="str">
        <f t="shared" si="47"/>
        <v>verticalLowerLimit</v>
      </c>
      <c r="B1676" s="11" t="s">
        <v>14055</v>
      </c>
      <c r="C1676" s="173"/>
      <c r="D1676" s="22" t="s">
        <v>14056</v>
      </c>
      <c r="E1676" s="15" t="s">
        <v>14057</v>
      </c>
      <c r="F1676" s="174"/>
      <c r="G1676" s="174"/>
      <c r="H1676" s="17" t="s">
        <v>5932</v>
      </c>
      <c r="I1676" s="269"/>
      <c r="J1676" s="369" t="str">
        <f>HYPERLINK("[#]Datatypes!B1231:L1231","Real")</f>
        <v>Real</v>
      </c>
      <c r="K1676" s="271" t="str">
        <f>HYPERLINK("[#]PhysicalQuantities!A20:N20","Length")</f>
        <v>Length</v>
      </c>
      <c r="L1676" s="270" t="str">
        <f>HYPERLINK("[#]UnitsOfMeasure!D103:G103","Foot")</f>
        <v>Foot</v>
      </c>
      <c r="M1676" s="270" t="str">
        <f>HYPERLINK("[#]UnitsOfMeasure!D154:G154","Flight Level")</f>
        <v>Flight Level</v>
      </c>
      <c r="N1676" s="273"/>
      <c r="O1676" s="269"/>
      <c r="P1676" s="37">
        <v>117738</v>
      </c>
      <c r="Q1676" s="36" t="str">
        <f>CONCATENATE(Cover!$D$6,"fdd/view?i=",P1676)</f>
        <v>https://www.dgiwg.org/FAD/fdd/view?i=117738</v>
      </c>
      <c r="R1676" s="13" t="s">
        <v>14054</v>
      </c>
      <c r="S1676" s="172"/>
      <c r="T1676" s="172"/>
      <c r="CF1676" s="83" t="s">
        <v>1790</v>
      </c>
    </row>
    <row r="1677" spans="1:106" ht="25.5" x14ac:dyDescent="0.2">
      <c r="A1677" s="176" t="str">
        <f t="shared" si="47"/>
        <v>verticalObstructionIdent</v>
      </c>
      <c r="B1677" s="11" t="s">
        <v>14059</v>
      </c>
      <c r="C1677" s="173"/>
      <c r="D1677" s="22" t="s">
        <v>14060</v>
      </c>
      <c r="E1677" s="15" t="s">
        <v>14061</v>
      </c>
      <c r="F1677" s="15" t="s">
        <v>14062</v>
      </c>
      <c r="G1677" s="174"/>
      <c r="H1677" s="17" t="s">
        <v>5932</v>
      </c>
      <c r="I1677" s="269"/>
      <c r="J1677" s="369" t="str">
        <f>HYPERLINK("[#]Datatypes!B1646:L1646","VoiStrucText")</f>
        <v>VoiStrucText</v>
      </c>
      <c r="K1677" s="276"/>
      <c r="L1677" s="272"/>
      <c r="M1677" s="272"/>
      <c r="N1677" s="273"/>
      <c r="O1677" s="269"/>
      <c r="P1677" s="37">
        <v>101455</v>
      </c>
      <c r="Q1677" s="36" t="str">
        <f>CONCATENATE(Cover!$D$6,"fdd/view?i=",P1677)</f>
        <v>https://www.dgiwg.org/FAD/fdd/view?i=101455</v>
      </c>
      <c r="R1677" s="13" t="s">
        <v>14058</v>
      </c>
      <c r="S1677" s="172"/>
      <c r="T1677" s="172"/>
      <c r="AT1677" s="82" t="s">
        <v>1790</v>
      </c>
      <c r="CG1677" s="83" t="s">
        <v>1790</v>
      </c>
      <c r="CV1677" s="83" t="s">
        <v>1790</v>
      </c>
      <c r="DA1677" s="165" t="s">
        <v>1790</v>
      </c>
    </row>
    <row r="1678" spans="1:106" ht="25.5" x14ac:dyDescent="0.2">
      <c r="A1678" s="176" t="str">
        <f t="shared" si="47"/>
        <v>verticalOverrideLimit</v>
      </c>
      <c r="B1678" s="11" t="s">
        <v>14065</v>
      </c>
      <c r="C1678" s="173"/>
      <c r="D1678" s="22" t="s">
        <v>14066</v>
      </c>
      <c r="E1678" s="15" t="s">
        <v>14067</v>
      </c>
      <c r="F1678" s="174"/>
      <c r="G1678" s="174"/>
      <c r="H1678" s="17" t="s">
        <v>5932</v>
      </c>
      <c r="I1678" s="269"/>
      <c r="J1678" s="369" t="str">
        <f>HYPERLINK("[#]Datatypes!B1231:L1231","Real")</f>
        <v>Real</v>
      </c>
      <c r="K1678" s="271" t="str">
        <f>HYPERLINK("[#]PhysicalQuantities!A20:N20","Length")</f>
        <v>Length</v>
      </c>
      <c r="L1678" s="270" t="str">
        <f>HYPERLINK("[#]UnitsOfMeasure!D103:G103","Foot")</f>
        <v>Foot</v>
      </c>
      <c r="M1678" s="270" t="str">
        <f>HYPERLINK("[#]UnitsOfMeasure!D154:G154","Flight Level")</f>
        <v>Flight Level</v>
      </c>
      <c r="N1678" s="273"/>
      <c r="O1678" s="269"/>
      <c r="P1678" s="37">
        <v>117739</v>
      </c>
      <c r="Q1678" s="36" t="str">
        <f>CONCATENATE(Cover!$D$6,"fdd/view?i=",P1678)</f>
        <v>https://www.dgiwg.org/FAD/fdd/view?i=117739</v>
      </c>
      <c r="R1678" s="13" t="s">
        <v>14064</v>
      </c>
      <c r="S1678" s="172"/>
      <c r="T1678" s="172"/>
      <c r="CF1678" s="83" t="s">
        <v>1790</v>
      </c>
    </row>
    <row r="1679" spans="1:106" ht="25.5" x14ac:dyDescent="0.2">
      <c r="A1679" s="176" t="str">
        <f t="shared" si="47"/>
        <v>verticalRelativeLocation</v>
      </c>
      <c r="B1679" s="11" t="s">
        <v>14069</v>
      </c>
      <c r="C1679" s="173"/>
      <c r="D1679" s="22" t="s">
        <v>14070</v>
      </c>
      <c r="E1679" s="15" t="s">
        <v>14071</v>
      </c>
      <c r="F1679" s="174"/>
      <c r="G1679" s="174"/>
      <c r="H1679" s="17" t="s">
        <v>5932</v>
      </c>
      <c r="I1679" s="269"/>
      <c r="J1679" s="369" t="str">
        <f>HYPERLINK("[#]Datatypes!B1648:L1648","LocCode")</f>
        <v>LocCode</v>
      </c>
      <c r="K1679" s="276"/>
      <c r="L1679" s="272"/>
      <c r="M1679" s="272"/>
      <c r="N1679" s="248" t="str">
        <f>HYPERLINK("[#]DatatypeListedValues!A10152:H10152","&lt;values&gt;")</f>
        <v>&lt;values&gt;</v>
      </c>
      <c r="O1679" s="277" t="b">
        <v>0</v>
      </c>
      <c r="P1679" s="37">
        <v>101005</v>
      </c>
      <c r="Q1679" s="36" t="str">
        <f>CONCATENATE(Cover!$D$6,"fdd/view?i=",P1679)</f>
        <v>https://www.dgiwg.org/FAD/fdd/view?i=101005</v>
      </c>
      <c r="R1679" s="13" t="s">
        <v>14068</v>
      </c>
      <c r="S1679" s="172"/>
      <c r="T1679" s="172"/>
      <c r="AS1679" s="82" t="s">
        <v>1790</v>
      </c>
      <c r="AT1679" s="82" t="s">
        <v>1790</v>
      </c>
      <c r="BF1679" s="83" t="s">
        <v>1790</v>
      </c>
      <c r="CF1679" s="83" t="s">
        <v>1790</v>
      </c>
      <c r="CP1679" s="164" t="s">
        <v>1790</v>
      </c>
    </row>
    <row r="1680" spans="1:106" ht="51" x14ac:dyDescent="0.2">
      <c r="A1680" s="176" t="str">
        <f t="shared" si="47"/>
        <v>verticalSourceCategory</v>
      </c>
      <c r="B1680" s="11" t="s">
        <v>14075</v>
      </c>
      <c r="C1680" s="173"/>
      <c r="D1680" s="22" t="s">
        <v>14076</v>
      </c>
      <c r="E1680" s="15" t="s">
        <v>14077</v>
      </c>
      <c r="F1680" s="174"/>
      <c r="G1680" s="174"/>
      <c r="H1680" s="17" t="s">
        <v>5932</v>
      </c>
      <c r="I1680" s="269"/>
      <c r="J1680" s="369" t="str">
        <f>HYPERLINK("[#]Datatypes!B1650:L1650","VscCode")</f>
        <v>VscCode</v>
      </c>
      <c r="K1680" s="276"/>
      <c r="L1680" s="272"/>
      <c r="M1680" s="272"/>
      <c r="N1680" s="248" t="str">
        <f>HYPERLINK("[#]DatatypeListedValues!A10159:H10159","&lt;values&gt;")</f>
        <v>&lt;values&gt;</v>
      </c>
      <c r="O1680" s="277" t="b">
        <v>0</v>
      </c>
      <c r="P1680" s="37">
        <v>109993</v>
      </c>
      <c r="Q1680" s="36" t="str">
        <f>CONCATENATE(Cover!$D$6,"fdd/view?i=",P1680)</f>
        <v>https://www.dgiwg.org/FAD/fdd/view?i=109993</v>
      </c>
      <c r="R1680" s="13" t="s">
        <v>14073</v>
      </c>
      <c r="S1680" s="172"/>
      <c r="T1680" s="13" t="s">
        <v>14074</v>
      </c>
      <c r="CZ1680" s="165" t="s">
        <v>1790</v>
      </c>
      <c r="DB1680" s="166" t="s">
        <v>1790</v>
      </c>
    </row>
    <row r="1681" spans="1:99" ht="25.5" x14ac:dyDescent="0.2">
      <c r="A1681" s="176" t="str">
        <f t="shared" si="47"/>
        <v>verticalUpperLimit</v>
      </c>
      <c r="B1681" s="11" t="s">
        <v>14080</v>
      </c>
      <c r="C1681" s="173"/>
      <c r="D1681" s="22" t="s">
        <v>14081</v>
      </c>
      <c r="E1681" s="15" t="s">
        <v>14082</v>
      </c>
      <c r="F1681" s="174"/>
      <c r="G1681" s="174"/>
      <c r="H1681" s="17" t="s">
        <v>5932</v>
      </c>
      <c r="I1681" s="269"/>
      <c r="J1681" s="369" t="str">
        <f>HYPERLINK("[#]Datatypes!B1231:L1231","Real")</f>
        <v>Real</v>
      </c>
      <c r="K1681" s="271" t="str">
        <f>HYPERLINK("[#]PhysicalQuantities!A20:N20","Length")</f>
        <v>Length</v>
      </c>
      <c r="L1681" s="270" t="str">
        <f>HYPERLINK("[#]UnitsOfMeasure!D103:G103","Foot")</f>
        <v>Foot</v>
      </c>
      <c r="M1681" s="270" t="str">
        <f>HYPERLINK("[#]UnitsOfMeasure!D154:G154","Flight Level")</f>
        <v>Flight Level</v>
      </c>
      <c r="N1681" s="273"/>
      <c r="O1681" s="269"/>
      <c r="P1681" s="37">
        <v>117740</v>
      </c>
      <c r="Q1681" s="36" t="str">
        <f>CONCATENATE(Cover!$D$6,"fdd/view?i=",P1681)</f>
        <v>https://www.dgiwg.org/FAD/fdd/view?i=117740</v>
      </c>
      <c r="R1681" s="13" t="s">
        <v>14079</v>
      </c>
      <c r="S1681" s="172"/>
      <c r="T1681" s="172"/>
      <c r="CF1681" s="83" t="s">
        <v>1790</v>
      </c>
    </row>
    <row r="1682" spans="1:99" x14ac:dyDescent="0.2">
      <c r="A1682" s="176" t="str">
        <f t="shared" si="47"/>
        <v>vesselBoardingMethod</v>
      </c>
      <c r="B1682" s="11" t="s">
        <v>14084</v>
      </c>
      <c r="C1682" s="173"/>
      <c r="D1682" s="22" t="s">
        <v>14085</v>
      </c>
      <c r="E1682" s="15" t="s">
        <v>14086</v>
      </c>
      <c r="F1682" s="174"/>
      <c r="G1682" s="174"/>
      <c r="H1682" s="17" t="s">
        <v>5932</v>
      </c>
      <c r="I1682" s="269"/>
      <c r="J1682" s="369" t="str">
        <f>HYPERLINK("[#]Datatypes!B1652:L1652","VbmCode")</f>
        <v>VbmCode</v>
      </c>
      <c r="K1682" s="276"/>
      <c r="L1682" s="272"/>
      <c r="M1682" s="272"/>
      <c r="N1682" s="248" t="str">
        <f>HYPERLINK("[#]DatatypeListedValues!A10167:H10167","&lt;values&gt;")</f>
        <v>&lt;values&gt;</v>
      </c>
      <c r="O1682" s="277" t="b">
        <v>0</v>
      </c>
      <c r="P1682" s="37">
        <v>114243</v>
      </c>
      <c r="Q1682" s="36" t="str">
        <f>CONCATENATE(Cover!$D$6,"fdd/view?i=",P1682)</f>
        <v>https://www.dgiwg.org/FAD/fdd/view?i=114243</v>
      </c>
      <c r="R1682" s="13" t="s">
        <v>14083</v>
      </c>
      <c r="S1682" s="172"/>
      <c r="T1682" s="172"/>
      <c r="BG1682" s="83" t="s">
        <v>1790</v>
      </c>
      <c r="CT1682" s="166" t="s">
        <v>1790</v>
      </c>
    </row>
    <row r="1683" spans="1:99" x14ac:dyDescent="0.2">
      <c r="A1683" s="176" t="str">
        <f t="shared" si="47"/>
        <v>vesselBoardingPoint</v>
      </c>
      <c r="B1683" s="11" t="s">
        <v>14089</v>
      </c>
      <c r="C1683" s="173"/>
      <c r="D1683" s="22" t="s">
        <v>14090</v>
      </c>
      <c r="E1683" s="15" t="s">
        <v>14091</v>
      </c>
      <c r="F1683" s="174"/>
      <c r="G1683" s="174"/>
      <c r="H1683" s="17" t="s">
        <v>5932</v>
      </c>
      <c r="I1683" s="269"/>
      <c r="J1683" s="369" t="str">
        <f>HYPERLINK("[#]Datatypes!B1654:L1654","VepCode")</f>
        <v>VepCode</v>
      </c>
      <c r="K1683" s="276"/>
      <c r="L1683" s="272"/>
      <c r="M1683" s="272"/>
      <c r="N1683" s="248" t="str">
        <f>HYPERLINK("[#]DatatypeListedValues!A10171:H10171","&lt;values&gt;")</f>
        <v>&lt;values&gt;</v>
      </c>
      <c r="O1683" s="277" t="b">
        <v>0</v>
      </c>
      <c r="P1683" s="37">
        <v>114244</v>
      </c>
      <c r="Q1683" s="36" t="str">
        <f>CONCATENATE(Cover!$D$6,"fdd/view?i=",P1683)</f>
        <v>https://www.dgiwg.org/FAD/fdd/view?i=114244</v>
      </c>
      <c r="R1683" s="13" t="s">
        <v>14088</v>
      </c>
      <c r="S1683" s="172"/>
      <c r="T1683" s="172"/>
      <c r="BG1683" s="83" t="s">
        <v>1790</v>
      </c>
      <c r="CP1683" s="164" t="s">
        <v>1790</v>
      </c>
    </row>
    <row r="1684" spans="1:99" x14ac:dyDescent="0.2">
      <c r="A1684" s="176" t="str">
        <f t="shared" si="47"/>
        <v>vesselDraftCorrection</v>
      </c>
      <c r="B1684" s="11" t="s">
        <v>14094</v>
      </c>
      <c r="C1684" s="173"/>
      <c r="D1684" s="22" t="s">
        <v>14095</v>
      </c>
      <c r="E1684" s="15" t="s">
        <v>14096</v>
      </c>
      <c r="F1684" s="174"/>
      <c r="G1684" s="174"/>
      <c r="H1684" s="17" t="s">
        <v>5932</v>
      </c>
      <c r="I1684" s="269"/>
      <c r="J1684" s="369" t="str">
        <f>HYPERLINK("[#]Datatypes!B240:L240","Boolean")</f>
        <v>Boolean</v>
      </c>
      <c r="K1684" s="276"/>
      <c r="L1684" s="272"/>
      <c r="M1684" s="272"/>
      <c r="N1684" s="273"/>
      <c r="O1684" s="269"/>
      <c r="P1684" s="37">
        <v>100803</v>
      </c>
      <c r="Q1684" s="36" t="str">
        <f>CONCATENATE(Cover!$D$6,"fdd/view?i=",P1684)</f>
        <v>https://www.dgiwg.org/FAD/fdd/view?i=100803</v>
      </c>
      <c r="R1684" s="13" t="s">
        <v>14093</v>
      </c>
      <c r="S1684" s="172"/>
      <c r="T1684" s="172"/>
      <c r="BB1684" s="83" t="s">
        <v>1790</v>
      </c>
      <c r="CQ1684" s="165" t="s">
        <v>1790</v>
      </c>
    </row>
    <row r="1685" spans="1:99" ht="51" x14ac:dyDescent="0.2">
      <c r="A1685" s="176" t="str">
        <f t="shared" si="47"/>
        <v>vesselType</v>
      </c>
      <c r="B1685" s="11" t="s">
        <v>14098</v>
      </c>
      <c r="C1685" s="173"/>
      <c r="D1685" s="22" t="s">
        <v>14099</v>
      </c>
      <c r="E1685" s="15" t="s">
        <v>14100</v>
      </c>
      <c r="F1685" s="15" t="s">
        <v>14101</v>
      </c>
      <c r="G1685" s="174"/>
      <c r="H1685" s="17" t="s">
        <v>5932</v>
      </c>
      <c r="I1685" s="269"/>
      <c r="J1685" s="369" t="str">
        <f>HYPERLINK("[#]Datatypes!B1656:L1656","WktCode")</f>
        <v>WktCode</v>
      </c>
      <c r="K1685" s="276"/>
      <c r="L1685" s="272"/>
      <c r="M1685" s="272"/>
      <c r="N1685" s="248" t="str">
        <f>HYPERLINK("[#]DatatypeListedValues!A10176:H10176","&lt;values&gt;")</f>
        <v>&lt;values&gt;</v>
      </c>
      <c r="O1685" s="277" t="b">
        <v>0</v>
      </c>
      <c r="P1685" s="37">
        <v>101494</v>
      </c>
      <c r="Q1685" s="36" t="str">
        <f>CONCATENATE(Cover!$D$6,"fdd/view?i=",P1685)</f>
        <v>https://www.dgiwg.org/FAD/fdd/view?i=101494</v>
      </c>
      <c r="R1685" s="13" t="s">
        <v>14097</v>
      </c>
      <c r="S1685" s="172"/>
      <c r="T1685" s="172"/>
      <c r="BG1685" s="83" t="s">
        <v>1790</v>
      </c>
      <c r="CQ1685" s="165" t="s">
        <v>1790</v>
      </c>
      <c r="CT1685" s="166" t="s">
        <v>1790</v>
      </c>
    </row>
    <row r="1686" spans="1:99" ht="25.5" x14ac:dyDescent="0.2">
      <c r="A1686" s="176" t="str">
        <f t="shared" si="47"/>
        <v>vorBeaconType</v>
      </c>
      <c r="B1686" s="11" t="s">
        <v>14104</v>
      </c>
      <c r="C1686" s="173"/>
      <c r="D1686" s="22" t="s">
        <v>14105</v>
      </c>
      <c r="E1686" s="15" t="s">
        <v>14106</v>
      </c>
      <c r="F1686" s="15" t="s">
        <v>14107</v>
      </c>
      <c r="G1686" s="174"/>
      <c r="H1686" s="17" t="s">
        <v>5932</v>
      </c>
      <c r="I1686" s="269"/>
      <c r="J1686" s="369" t="str">
        <f>HYPERLINK("[#]Datatypes!B1658:L1658","VtyCode")</f>
        <v>VtyCode</v>
      </c>
      <c r="K1686" s="276"/>
      <c r="L1686" s="272"/>
      <c r="M1686" s="272"/>
      <c r="N1686" s="248" t="str">
        <f>HYPERLINK("[#]DatatypeListedValues!A10311:H10311","&lt;values&gt;")</f>
        <v>&lt;values&gt;</v>
      </c>
      <c r="O1686" s="277" t="b">
        <v>0</v>
      </c>
      <c r="P1686" s="37">
        <v>117744</v>
      </c>
      <c r="Q1686" s="36" t="str">
        <f>CONCATENATE(Cover!$D$6,"fdd/view?i=",P1686)</f>
        <v>https://www.dgiwg.org/FAD/fdd/view?i=117744</v>
      </c>
      <c r="R1686" s="13" t="s">
        <v>14103</v>
      </c>
      <c r="S1686" s="172"/>
      <c r="T1686" s="172"/>
      <c r="CG1686" s="83" t="s">
        <v>1790</v>
      </c>
    </row>
    <row r="1687" spans="1:99" ht="25.5" x14ac:dyDescent="0.2">
      <c r="A1687" s="176" t="str">
        <f t="shared" si="47"/>
        <v>victimAbducteeCount</v>
      </c>
      <c r="B1687" s="11" t="s">
        <v>14110</v>
      </c>
      <c r="C1687" s="173"/>
      <c r="D1687" s="22" t="s">
        <v>14111</v>
      </c>
      <c r="E1687" s="15" t="s">
        <v>14112</v>
      </c>
      <c r="F1687" s="174"/>
      <c r="G1687" s="174"/>
      <c r="H1687" s="17" t="s">
        <v>5932</v>
      </c>
      <c r="I1687" s="269"/>
      <c r="J1687" s="369" t="str">
        <f>HYPERLINK("[#]Datatypes!B380:L380","Count")</f>
        <v>Count</v>
      </c>
      <c r="K1687" s="276"/>
      <c r="L1687" s="272"/>
      <c r="M1687" s="272"/>
      <c r="N1687" s="273"/>
      <c r="O1687" s="269"/>
      <c r="P1687" s="37">
        <v>111745</v>
      </c>
      <c r="Q1687" s="36" t="str">
        <f>CONCATENATE(Cover!$D$6,"fdd/view?i=",P1687)</f>
        <v>https://www.dgiwg.org/FAD/fdd/view?i=111745</v>
      </c>
      <c r="R1687" s="13" t="s">
        <v>14109</v>
      </c>
      <c r="S1687" s="172"/>
      <c r="T1687" s="172"/>
      <c r="CL1687" s="85" t="s">
        <v>1790</v>
      </c>
      <c r="CQ1687" s="165" t="s">
        <v>1790</v>
      </c>
    </row>
    <row r="1688" spans="1:99" x14ac:dyDescent="0.2">
      <c r="A1688" s="176" t="str">
        <f t="shared" si="47"/>
        <v>victimFatalityCount</v>
      </c>
      <c r="B1688" s="11" t="s">
        <v>14114</v>
      </c>
      <c r="C1688" s="173"/>
      <c r="D1688" s="22" t="s">
        <v>14115</v>
      </c>
      <c r="E1688" s="15" t="s">
        <v>14116</v>
      </c>
      <c r="F1688" s="174"/>
      <c r="G1688" s="174"/>
      <c r="H1688" s="17" t="s">
        <v>5932</v>
      </c>
      <c r="I1688" s="269"/>
      <c r="J1688" s="369" t="str">
        <f>HYPERLINK("[#]Datatypes!B380:L380","Count")</f>
        <v>Count</v>
      </c>
      <c r="K1688" s="276"/>
      <c r="L1688" s="272"/>
      <c r="M1688" s="272"/>
      <c r="N1688" s="273"/>
      <c r="O1688" s="269"/>
      <c r="P1688" s="37">
        <v>111746</v>
      </c>
      <c r="Q1688" s="36" t="str">
        <f>CONCATENATE(Cover!$D$6,"fdd/view?i=",P1688)</f>
        <v>https://www.dgiwg.org/FAD/fdd/view?i=111746</v>
      </c>
      <c r="R1688" s="13" t="s">
        <v>14113</v>
      </c>
      <c r="S1688" s="172"/>
      <c r="T1688" s="172"/>
      <c r="CL1688" s="85" t="s">
        <v>1790</v>
      </c>
      <c r="CQ1688" s="165" t="s">
        <v>1790</v>
      </c>
    </row>
    <row r="1689" spans="1:99" x14ac:dyDescent="0.2">
      <c r="A1689" s="176" t="str">
        <f t="shared" si="47"/>
        <v>victimVesselName</v>
      </c>
      <c r="B1689" s="11" t="s">
        <v>14118</v>
      </c>
      <c r="C1689" s="173"/>
      <c r="D1689" s="22" t="s">
        <v>14119</v>
      </c>
      <c r="E1689" s="15" t="s">
        <v>14120</v>
      </c>
      <c r="F1689" s="174"/>
      <c r="G1689" s="174"/>
      <c r="H1689" s="17" t="s">
        <v>5932</v>
      </c>
      <c r="I1689" s="269"/>
      <c r="J1689" s="369" t="str">
        <f>HYPERLINK("[#]Datatypes!B1544:L1544","TextLexUnconstrained")</f>
        <v>TextLexUnconstrained</v>
      </c>
      <c r="K1689" s="276"/>
      <c r="L1689" s="272"/>
      <c r="M1689" s="272"/>
      <c r="N1689" s="273"/>
      <c r="O1689" s="269"/>
      <c r="P1689" s="37">
        <v>111751</v>
      </c>
      <c r="Q1689" s="36" t="str">
        <f>CONCATENATE(Cover!$D$6,"fdd/view?i=",P1689)</f>
        <v>https://www.dgiwg.org/FAD/fdd/view?i=111751</v>
      </c>
      <c r="R1689" s="13" t="s">
        <v>14117</v>
      </c>
      <c r="S1689" s="172"/>
      <c r="T1689" s="172"/>
      <c r="CL1689" s="85" t="s">
        <v>1790</v>
      </c>
      <c r="CU1689" s="87" t="s">
        <v>1790</v>
      </c>
    </row>
    <row r="1690" spans="1:99" x14ac:dyDescent="0.2">
      <c r="A1690" s="176" t="str">
        <f t="shared" si="47"/>
        <v>victimVesselOutcome</v>
      </c>
      <c r="B1690" s="11" t="s">
        <v>14122</v>
      </c>
      <c r="C1690" s="173"/>
      <c r="D1690" s="22" t="s">
        <v>14123</v>
      </c>
      <c r="E1690" s="15" t="s">
        <v>14124</v>
      </c>
      <c r="F1690" s="174"/>
      <c r="G1690" s="174"/>
      <c r="H1690" s="17" t="s">
        <v>5932</v>
      </c>
      <c r="I1690" s="269"/>
      <c r="J1690" s="369" t="str">
        <f>HYPERLINK("[#]Datatypes!B1660:L1660","VvoCode")</f>
        <v>VvoCode</v>
      </c>
      <c r="K1690" s="276"/>
      <c r="L1690" s="272"/>
      <c r="M1690" s="272"/>
      <c r="N1690" s="248" t="str">
        <f>HYPERLINK("[#]DatatypeListedValues!A10314:H10314","&lt;values&gt;")</f>
        <v>&lt;values&gt;</v>
      </c>
      <c r="O1690" s="277" t="b">
        <v>0</v>
      </c>
      <c r="P1690" s="37">
        <v>111752</v>
      </c>
      <c r="Q1690" s="36" t="str">
        <f>CONCATENATE(Cover!$D$6,"fdd/view?i=",P1690)</f>
        <v>https://www.dgiwg.org/FAD/fdd/view?i=111752</v>
      </c>
      <c r="R1690" s="13" t="s">
        <v>14121</v>
      </c>
      <c r="S1690" s="172"/>
      <c r="T1690" s="172"/>
      <c r="CL1690" s="85" t="s">
        <v>1790</v>
      </c>
      <c r="CS1690" s="165" t="s">
        <v>1790</v>
      </c>
    </row>
    <row r="1691" spans="1:99" ht="25.5" x14ac:dyDescent="0.2">
      <c r="A1691" s="176" t="str">
        <f t="shared" si="47"/>
        <v>victimVesselStatus</v>
      </c>
      <c r="B1691" s="11" t="s">
        <v>14127</v>
      </c>
      <c r="C1691" s="173"/>
      <c r="D1691" s="22" t="s">
        <v>14128</v>
      </c>
      <c r="E1691" s="15" t="s">
        <v>14129</v>
      </c>
      <c r="F1691" s="174"/>
      <c r="G1691" s="174"/>
      <c r="H1691" s="17" t="s">
        <v>5932</v>
      </c>
      <c r="I1691" s="269"/>
      <c r="J1691" s="369" t="str">
        <f>HYPERLINK("[#]Datatypes!B1662:L1662","VvsCode")</f>
        <v>VvsCode</v>
      </c>
      <c r="K1691" s="276"/>
      <c r="L1691" s="272"/>
      <c r="M1691" s="272"/>
      <c r="N1691" s="248" t="str">
        <f>HYPERLINK("[#]DatatypeListedValues!A10321:H10321","&lt;values&gt;")</f>
        <v>&lt;values&gt;</v>
      </c>
      <c r="O1691" s="277" t="b">
        <v>0</v>
      </c>
      <c r="P1691" s="37">
        <v>111753</v>
      </c>
      <c r="Q1691" s="36" t="str">
        <f>CONCATENATE(Cover!$D$6,"fdd/view?i=",P1691)</f>
        <v>https://www.dgiwg.org/FAD/fdd/view?i=111753</v>
      </c>
      <c r="R1691" s="13" t="s">
        <v>14126</v>
      </c>
      <c r="S1691" s="172"/>
      <c r="T1691" s="172"/>
      <c r="CL1691" s="85" t="s">
        <v>1790</v>
      </c>
      <c r="CS1691" s="165" t="s">
        <v>1790</v>
      </c>
    </row>
    <row r="1692" spans="1:99" ht="25.5" x14ac:dyDescent="0.2">
      <c r="A1692" s="176" t="str">
        <f t="shared" si="47"/>
        <v>victimVesselType</v>
      </c>
      <c r="B1692" s="11" t="s">
        <v>14132</v>
      </c>
      <c r="C1692" s="173"/>
      <c r="D1692" s="22" t="s">
        <v>14133</v>
      </c>
      <c r="E1692" s="15" t="s">
        <v>14134</v>
      </c>
      <c r="F1692" s="174"/>
      <c r="G1692" s="174"/>
      <c r="H1692" s="17" t="s">
        <v>5932</v>
      </c>
      <c r="I1692" s="269"/>
      <c r="J1692" s="369" t="str">
        <f>HYPERLINK("[#]Datatypes!B1664:L1664","VvtCode")</f>
        <v>VvtCode</v>
      </c>
      <c r="K1692" s="276"/>
      <c r="L1692" s="272"/>
      <c r="M1692" s="272"/>
      <c r="N1692" s="248" t="str">
        <f>HYPERLINK("[#]DatatypeListedValues!A10324:H10324","&lt;values&gt;")</f>
        <v>&lt;values&gt;</v>
      </c>
      <c r="O1692" s="277" t="b">
        <v>0</v>
      </c>
      <c r="P1692" s="37">
        <v>119213</v>
      </c>
      <c r="Q1692" s="36" t="str">
        <f>CONCATENATE(Cover!$D$6,"fdd/view?i=",P1692)</f>
        <v>https://www.dgiwg.org/FAD/fdd/view?i=119213</v>
      </c>
      <c r="R1692" s="13" t="s">
        <v>14131</v>
      </c>
      <c r="S1692" s="172"/>
      <c r="T1692" s="172"/>
      <c r="BF1692" s="83" t="s">
        <v>1790</v>
      </c>
      <c r="CL1692" s="85" t="s">
        <v>1790</v>
      </c>
      <c r="CT1692" s="166" t="s">
        <v>1790</v>
      </c>
    </row>
    <row r="1693" spans="1:99" x14ac:dyDescent="0.2">
      <c r="A1693" s="176" t="str">
        <f t="shared" si="47"/>
        <v>visibilityCondition</v>
      </c>
      <c r="B1693" s="11" t="s">
        <v>14137</v>
      </c>
      <c r="C1693" s="173"/>
      <c r="D1693" s="22" t="s">
        <v>14138</v>
      </c>
      <c r="E1693" s="15" t="s">
        <v>14139</v>
      </c>
      <c r="F1693" s="174"/>
      <c r="G1693" s="174"/>
      <c r="H1693" s="17" t="s">
        <v>5932</v>
      </c>
      <c r="I1693" s="269"/>
      <c r="J1693" s="369" t="str">
        <f>HYPERLINK("[#]Datatypes!B1544:L1544","TextLexUnconstrained")</f>
        <v>TextLexUnconstrained</v>
      </c>
      <c r="K1693" s="276"/>
      <c r="L1693" s="272"/>
      <c r="M1693" s="272"/>
      <c r="N1693" s="273"/>
      <c r="O1693" s="269"/>
      <c r="P1693" s="37">
        <v>118158</v>
      </c>
      <c r="Q1693" s="36" t="str">
        <f>CONCATENATE(Cover!$D$6,"fdd/view?i=",P1693)</f>
        <v>https://www.dgiwg.org/FAD/fdd/view?i=118158</v>
      </c>
      <c r="R1693" s="13" t="s">
        <v>14136</v>
      </c>
      <c r="S1693" s="172"/>
      <c r="T1693" s="172"/>
      <c r="CS1693" s="165" t="s">
        <v>1790</v>
      </c>
    </row>
    <row r="1694" spans="1:99" x14ac:dyDescent="0.2">
      <c r="A1694" s="176" t="str">
        <f t="shared" si="47"/>
        <v>visualAidsCategory</v>
      </c>
      <c r="B1694" s="11" t="s">
        <v>14141</v>
      </c>
      <c r="C1694" s="173"/>
      <c r="D1694" s="22" t="s">
        <v>14142</v>
      </c>
      <c r="E1694" s="15" t="s">
        <v>14143</v>
      </c>
      <c r="F1694" s="174"/>
      <c r="G1694" s="174"/>
      <c r="H1694" s="17" t="s">
        <v>5932</v>
      </c>
      <c r="I1694" s="269"/>
      <c r="J1694" s="369" t="str">
        <f>HYPERLINK("[#]Datatypes!B1666:L1666","VacCode")</f>
        <v>VacCode</v>
      </c>
      <c r="K1694" s="276"/>
      <c r="L1694" s="272"/>
      <c r="M1694" s="272"/>
      <c r="N1694" s="248" t="str">
        <f>HYPERLINK("[#]DatatypeListedValues!A10335:H10335","&lt;values&gt;")</f>
        <v>&lt;values&gt;</v>
      </c>
      <c r="O1694" s="277" t="b">
        <v>0</v>
      </c>
      <c r="P1694" s="37">
        <v>101428</v>
      </c>
      <c r="Q1694" s="36" t="str">
        <f>CONCATENATE(Cover!$D$6,"fdd/view?i=",P1694)</f>
        <v>https://www.dgiwg.org/FAD/fdd/view?i=101428</v>
      </c>
      <c r="R1694" s="13" t="s">
        <v>14140</v>
      </c>
      <c r="S1694" s="172"/>
      <c r="T1694" s="172"/>
      <c r="AT1694" s="82" t="s">
        <v>1790</v>
      </c>
      <c r="CE1694" s="87" t="s">
        <v>1790</v>
      </c>
      <c r="CG1694" s="83" t="s">
        <v>1790</v>
      </c>
      <c r="CS1694" s="165" t="s">
        <v>1790</v>
      </c>
    </row>
    <row r="1695" spans="1:99" ht="25.5" x14ac:dyDescent="0.2">
      <c r="A1695" s="176" t="str">
        <f t="shared" si="47"/>
        <v>vasisApproachSlope</v>
      </c>
      <c r="B1695" s="11" t="s">
        <v>14146</v>
      </c>
      <c r="C1695" s="173"/>
      <c r="D1695" s="22" t="s">
        <v>14147</v>
      </c>
      <c r="E1695" s="15" t="s">
        <v>14148</v>
      </c>
      <c r="F1695" s="174"/>
      <c r="G1695" s="174"/>
      <c r="H1695" s="17" t="s">
        <v>5932</v>
      </c>
      <c r="I1695" s="269"/>
      <c r="J1695" s="369" t="str">
        <f>HYPERLINK("[#]Datatypes!B1231:L1231","Real")</f>
        <v>Real</v>
      </c>
      <c r="K1695" s="271" t="str">
        <f>HYPERLINK("[#]PhysicalQuantities!A34:N34","Plane Angle")</f>
        <v>Plane Angle</v>
      </c>
      <c r="L1695" s="270" t="str">
        <f>HYPERLINK("[#]UnitsOfMeasure!D159:G159","Arc Degree")</f>
        <v>Arc Degree</v>
      </c>
      <c r="M1695" s="272"/>
      <c r="N1695" s="273"/>
      <c r="O1695" s="269"/>
      <c r="P1695" s="37">
        <v>117742</v>
      </c>
      <c r="Q1695" s="36" t="str">
        <f>CONCATENATE(Cover!$D$6,"fdd/view?i=",P1695)</f>
        <v>https://www.dgiwg.org/FAD/fdd/view?i=117742</v>
      </c>
      <c r="R1695" s="13" t="s">
        <v>14145</v>
      </c>
      <c r="S1695" s="172"/>
      <c r="T1695" s="172"/>
      <c r="CE1695" s="87" t="s">
        <v>1790</v>
      </c>
      <c r="CG1695" s="83" t="s">
        <v>1790</v>
      </c>
    </row>
    <row r="1696" spans="1:99" ht="25.5" x14ac:dyDescent="0.2">
      <c r="A1696" s="176" t="str">
        <f t="shared" si="47"/>
        <v>vasisNumberUnits</v>
      </c>
      <c r="B1696" s="11" t="s">
        <v>14150</v>
      </c>
      <c r="C1696" s="173"/>
      <c r="D1696" s="22" t="s">
        <v>14151</v>
      </c>
      <c r="E1696" s="15" t="s">
        <v>14152</v>
      </c>
      <c r="F1696" s="174"/>
      <c r="G1696" s="174"/>
      <c r="H1696" s="17" t="s">
        <v>5932</v>
      </c>
      <c r="I1696" s="269"/>
      <c r="J1696" s="369" t="str">
        <f>HYPERLINK("[#]Datatypes!B380:L380","Count")</f>
        <v>Count</v>
      </c>
      <c r="K1696" s="276"/>
      <c r="L1696" s="272"/>
      <c r="M1696" s="272"/>
      <c r="N1696" s="273"/>
      <c r="O1696" s="269"/>
      <c r="P1696" s="37">
        <v>117743</v>
      </c>
      <c r="Q1696" s="36" t="str">
        <f>CONCATENATE(Cover!$D$6,"fdd/view?i=",P1696)</f>
        <v>https://www.dgiwg.org/FAD/fdd/view?i=117743</v>
      </c>
      <c r="R1696" s="13" t="s">
        <v>14149</v>
      </c>
      <c r="S1696" s="172"/>
      <c r="T1696" s="172"/>
      <c r="CE1696" s="87" t="s">
        <v>1790</v>
      </c>
      <c r="CG1696" s="83" t="s">
        <v>1790</v>
      </c>
    </row>
    <row r="1697" spans="1:105" ht="25.5" x14ac:dyDescent="0.2">
      <c r="A1697" s="176" t="str">
        <f t="shared" si="47"/>
        <v>vasisType</v>
      </c>
      <c r="B1697" s="11" t="s">
        <v>14154</v>
      </c>
      <c r="C1697" s="173"/>
      <c r="D1697" s="22" t="s">
        <v>14155</v>
      </c>
      <c r="E1697" s="15" t="s">
        <v>14156</v>
      </c>
      <c r="F1697" s="174"/>
      <c r="G1697" s="174"/>
      <c r="H1697" s="17" t="s">
        <v>5932</v>
      </c>
      <c r="I1697" s="269"/>
      <c r="J1697" s="369" t="str">
        <f>HYPERLINK("[#]Datatypes!B1668:L1668","Vs1Code")</f>
        <v>Vs1Code</v>
      </c>
      <c r="K1697" s="276"/>
      <c r="L1697" s="272"/>
      <c r="M1697" s="272"/>
      <c r="N1697" s="248" t="str">
        <f>HYPERLINK("[#]DatatypeListedValues!A10337:H10337","&lt;values&gt;")</f>
        <v>&lt;values&gt;</v>
      </c>
      <c r="O1697" s="277" t="b">
        <v>0</v>
      </c>
      <c r="P1697" s="37">
        <v>117741</v>
      </c>
      <c r="Q1697" s="36" t="str">
        <f>CONCATENATE(Cover!$D$6,"fdd/view?i=",P1697)</f>
        <v>https://www.dgiwg.org/FAD/fdd/view?i=117741</v>
      </c>
      <c r="R1697" s="13" t="s">
        <v>14153</v>
      </c>
      <c r="S1697" s="172"/>
      <c r="T1697" s="172"/>
      <c r="CE1697" s="87" t="s">
        <v>1790</v>
      </c>
      <c r="CG1697" s="83" t="s">
        <v>1790</v>
      </c>
    </row>
    <row r="1698" spans="1:105" ht="25.5" x14ac:dyDescent="0.2">
      <c r="A1698" s="176" t="str">
        <f t="shared" si="47"/>
        <v>vfrPatternDirection</v>
      </c>
      <c r="B1698" s="11" t="s">
        <v>14159</v>
      </c>
      <c r="C1698" s="173"/>
      <c r="D1698" s="22" t="s">
        <v>14160</v>
      </c>
      <c r="E1698" s="15" t="s">
        <v>14161</v>
      </c>
      <c r="F1698" s="15" t="s">
        <v>14162</v>
      </c>
      <c r="G1698" s="15" t="s">
        <v>14163</v>
      </c>
      <c r="H1698" s="17" t="s">
        <v>5932</v>
      </c>
      <c r="I1698" s="269"/>
      <c r="J1698" s="369" t="str">
        <f>HYPERLINK("[#]Datatypes!B1670:L1670","AtdCode")</f>
        <v>AtdCode</v>
      </c>
      <c r="K1698" s="276"/>
      <c r="L1698" s="272"/>
      <c r="M1698" s="272"/>
      <c r="N1698" s="248" t="str">
        <f>HYPERLINK("[#]DatatypeListedValues!A10352:H10352","&lt;values&gt;")</f>
        <v>&lt;values&gt;</v>
      </c>
      <c r="O1698" s="277" t="b">
        <v>0</v>
      </c>
      <c r="P1698" s="37">
        <v>117521</v>
      </c>
      <c r="Q1698" s="36" t="str">
        <f>CONCATENATE(Cover!$D$6,"fdd/view?i=",P1698)</f>
        <v>https://www.dgiwg.org/FAD/fdd/view?i=117521</v>
      </c>
      <c r="R1698" s="13" t="s">
        <v>14158</v>
      </c>
      <c r="S1698" s="172"/>
      <c r="T1698" s="172"/>
      <c r="CE1698" s="87" t="s">
        <v>1790</v>
      </c>
    </row>
    <row r="1699" spans="1:105" ht="25.5" x14ac:dyDescent="0.2">
      <c r="A1699" s="176" t="str">
        <f t="shared" si="47"/>
        <v>visualReflectorPresent</v>
      </c>
      <c r="B1699" s="11" t="s">
        <v>14166</v>
      </c>
      <c r="C1699" s="173"/>
      <c r="D1699" s="22" t="s">
        <v>14167</v>
      </c>
      <c r="E1699" s="15" t="s">
        <v>14168</v>
      </c>
      <c r="F1699" s="174"/>
      <c r="G1699" s="174"/>
      <c r="H1699" s="17" t="s">
        <v>5932</v>
      </c>
      <c r="I1699" s="269"/>
      <c r="J1699" s="369" t="str">
        <f>HYPERLINK("[#]Datatypes!B240:L240","Boolean")</f>
        <v>Boolean</v>
      </c>
      <c r="K1699" s="276"/>
      <c r="L1699" s="272"/>
      <c r="M1699" s="272"/>
      <c r="N1699" s="273"/>
      <c r="O1699" s="269"/>
      <c r="P1699" s="37">
        <v>101462</v>
      </c>
      <c r="Q1699" s="36" t="str">
        <f>CONCATENATE(Cover!$D$6,"fdd/view?i=",P1699)</f>
        <v>https://www.dgiwg.org/FAD/fdd/view?i=101462</v>
      </c>
      <c r="R1699" s="13" t="s">
        <v>14165</v>
      </c>
      <c r="S1699" s="172"/>
      <c r="T1699" s="172"/>
      <c r="AS1699" s="82" t="s">
        <v>1790</v>
      </c>
      <c r="BF1699" s="83" t="s">
        <v>1790</v>
      </c>
      <c r="CS1699" s="165" t="s">
        <v>1790</v>
      </c>
      <c r="DA1699" s="165" t="s">
        <v>1790</v>
      </c>
    </row>
    <row r="1700" spans="1:105" x14ac:dyDescent="0.2">
      <c r="A1700" s="176" t="str">
        <f t="shared" si="47"/>
        <v>voidCollectionReason</v>
      </c>
      <c r="B1700" s="11" t="s">
        <v>14170</v>
      </c>
      <c r="C1700" s="173"/>
      <c r="D1700" s="22" t="s">
        <v>14171</v>
      </c>
      <c r="E1700" s="15" t="s">
        <v>14172</v>
      </c>
      <c r="F1700" s="174"/>
      <c r="G1700" s="174"/>
      <c r="H1700" s="17" t="s">
        <v>5932</v>
      </c>
      <c r="I1700" s="17" t="s">
        <v>6029</v>
      </c>
      <c r="J1700" s="369" t="str">
        <f>HYPERLINK("[#]Datatypes!B1672:L1672","VcaCode")</f>
        <v>VcaCode</v>
      </c>
      <c r="K1700" s="276"/>
      <c r="L1700" s="272"/>
      <c r="M1700" s="272"/>
      <c r="N1700" s="248" t="str">
        <f>HYPERLINK("[#]DatatypeListedValues!A10355:H10355","&lt;values&gt;")</f>
        <v>&lt;values&gt;</v>
      </c>
      <c r="O1700" s="277" t="b">
        <v>0</v>
      </c>
      <c r="P1700" s="37">
        <v>101435</v>
      </c>
      <c r="Q1700" s="36" t="str">
        <f>CONCATENATE(Cover!$D$6,"fdd/view?i=",P1700)</f>
        <v>https://www.dgiwg.org/FAD/fdd/view?i=101435</v>
      </c>
      <c r="R1700" s="13" t="s">
        <v>14169</v>
      </c>
      <c r="S1700" s="172"/>
      <c r="T1700" s="172"/>
      <c r="CW1700" s="164" t="s">
        <v>1790</v>
      </c>
      <c r="CZ1700" s="165" t="s">
        <v>1790</v>
      </c>
    </row>
    <row r="1701" spans="1:105" x14ac:dyDescent="0.2">
      <c r="A1701" s="176" t="str">
        <f t="shared" si="47"/>
        <v>voidCollectionType</v>
      </c>
      <c r="B1701" s="11" t="s">
        <v>14175</v>
      </c>
      <c r="C1701" s="173"/>
      <c r="D1701" s="22" t="s">
        <v>14176</v>
      </c>
      <c r="E1701" s="15" t="s">
        <v>14177</v>
      </c>
      <c r="F1701" s="174"/>
      <c r="G1701" s="174"/>
      <c r="H1701" s="17" t="s">
        <v>5932</v>
      </c>
      <c r="I1701" s="17" t="s">
        <v>6029</v>
      </c>
      <c r="J1701" s="369" t="str">
        <f>HYPERLINK("[#]Datatypes!B1674:L1674","VctCode")</f>
        <v>VctCode</v>
      </c>
      <c r="K1701" s="276"/>
      <c r="L1701" s="272"/>
      <c r="M1701" s="272"/>
      <c r="N1701" s="248" t="str">
        <f>HYPERLINK("[#]DatatypeListedValues!A10371:H10371","&lt;values&gt;")</f>
        <v>&lt;values&gt;</v>
      </c>
      <c r="O1701" s="277" t="b">
        <v>0</v>
      </c>
      <c r="P1701" s="37">
        <v>101444</v>
      </c>
      <c r="Q1701" s="36" t="str">
        <f>CONCATENATE(Cover!$D$6,"fdd/view?i=",P1701)</f>
        <v>https://www.dgiwg.org/FAD/fdd/view?i=101444</v>
      </c>
      <c r="R1701" s="13" t="s">
        <v>14174</v>
      </c>
      <c r="S1701" s="172"/>
      <c r="T1701" s="172"/>
      <c r="CW1701" s="164" t="s">
        <v>1790</v>
      </c>
      <c r="CZ1701" s="165" t="s">
        <v>1790</v>
      </c>
    </row>
    <row r="1702" spans="1:105" x14ac:dyDescent="0.2">
      <c r="A1702" s="176" t="str">
        <f t="shared" si="47"/>
        <v>volcanicActivity</v>
      </c>
      <c r="B1702" s="11" t="s">
        <v>14180</v>
      </c>
      <c r="C1702" s="173"/>
      <c r="D1702" s="22" t="s">
        <v>14181</v>
      </c>
      <c r="E1702" s="15" t="s">
        <v>14182</v>
      </c>
      <c r="F1702" s="174"/>
      <c r="G1702" s="174"/>
      <c r="H1702" s="17" t="s">
        <v>5932</v>
      </c>
      <c r="I1702" s="269"/>
      <c r="J1702" s="369" t="str">
        <f>HYPERLINK("[#]Datatypes!B1676:L1676","VoaCode")</f>
        <v>VoaCode</v>
      </c>
      <c r="K1702" s="276"/>
      <c r="L1702" s="272"/>
      <c r="M1702" s="272"/>
      <c r="N1702" s="248" t="str">
        <f>HYPERLINK("[#]DatatypeListedValues!A10374:H10374","&lt;values&gt;")</f>
        <v>&lt;values&gt;</v>
      </c>
      <c r="O1702" s="277" t="b">
        <v>0</v>
      </c>
      <c r="P1702" s="37">
        <v>111749</v>
      </c>
      <c r="Q1702" s="36" t="str">
        <f>CONCATENATE(Cover!$D$6,"fdd/view?i=",P1702)</f>
        <v>https://www.dgiwg.org/FAD/fdd/view?i=111749</v>
      </c>
      <c r="R1702" s="13" t="s">
        <v>14179</v>
      </c>
      <c r="S1702" s="172"/>
      <c r="T1702" s="172"/>
      <c r="BQ1702" s="82" t="s">
        <v>1790</v>
      </c>
      <c r="CT1702" s="166" t="s">
        <v>1790</v>
      </c>
    </row>
    <row r="1703" spans="1:105" ht="25.5" x14ac:dyDescent="0.2">
      <c r="A1703" s="176" t="str">
        <f t="shared" si="47"/>
        <v>volcanicEruptionFrequency</v>
      </c>
      <c r="B1703" s="11" t="s">
        <v>14185</v>
      </c>
      <c r="C1703" s="173"/>
      <c r="D1703" s="22" t="s">
        <v>14186</v>
      </c>
      <c r="E1703" s="15" t="s">
        <v>14187</v>
      </c>
      <c r="F1703" s="174"/>
      <c r="G1703" s="174"/>
      <c r="H1703" s="17" t="s">
        <v>5932</v>
      </c>
      <c r="I1703" s="269"/>
      <c r="J1703" s="369" t="str">
        <f>HYPERLINK("[#]Datatypes!B742:L742","Integer")</f>
        <v>Integer</v>
      </c>
      <c r="K1703" s="271" t="str">
        <f>HYPERLINK("[#]PhysicalQuantities!A51:N51","Time")</f>
        <v>Time</v>
      </c>
      <c r="L1703" s="270" t="str">
        <f>HYPERLINK("[#]UnitsOfMeasure!D264:G264","Tropical Year")</f>
        <v>Tropical Year</v>
      </c>
      <c r="M1703" s="272"/>
      <c r="N1703" s="273"/>
      <c r="O1703" s="269"/>
      <c r="P1703" s="37">
        <v>111563</v>
      </c>
      <c r="Q1703" s="36" t="str">
        <f>CONCATENATE(Cover!$D$6,"fdd/view?i=",P1703)</f>
        <v>https://www.dgiwg.org/FAD/fdd/view?i=111563</v>
      </c>
      <c r="R1703" s="13" t="s">
        <v>14184</v>
      </c>
      <c r="S1703" s="172"/>
      <c r="T1703" s="172"/>
      <c r="BQ1703" s="82" t="s">
        <v>1790</v>
      </c>
      <c r="CR1703" s="165" t="s">
        <v>1790</v>
      </c>
    </row>
    <row r="1704" spans="1:105" ht="76.5" x14ac:dyDescent="0.2">
      <c r="A1704" s="176" t="str">
        <f t="shared" si="47"/>
        <v>volcanicExplosivityIndex</v>
      </c>
      <c r="B1704" s="11" t="s">
        <v>14189</v>
      </c>
      <c r="C1704" s="173"/>
      <c r="D1704" s="22" t="s">
        <v>14190</v>
      </c>
      <c r="E1704" s="15" t="s">
        <v>14191</v>
      </c>
      <c r="F1704" s="15" t="s">
        <v>14192</v>
      </c>
      <c r="G1704" s="174"/>
      <c r="H1704" s="17" t="s">
        <v>5932</v>
      </c>
      <c r="I1704" s="269"/>
      <c r="J1704" s="369" t="str">
        <f>HYPERLINK("[#]Datatypes!B1678:L1678","VeiCode")</f>
        <v>VeiCode</v>
      </c>
      <c r="K1704" s="276"/>
      <c r="L1704" s="272"/>
      <c r="M1704" s="272"/>
      <c r="N1704" s="248" t="str">
        <f>HYPERLINK("[#]DatatypeListedValues!A10377:H10377","&lt;values&gt;")</f>
        <v>&lt;values&gt;</v>
      </c>
      <c r="O1704" s="277" t="b">
        <v>0</v>
      </c>
      <c r="P1704" s="37">
        <v>119212</v>
      </c>
      <c r="Q1704" s="36" t="str">
        <f>CONCATENATE(Cover!$D$6,"fdd/view?i=",P1704)</f>
        <v>https://www.dgiwg.org/FAD/fdd/view?i=119212</v>
      </c>
      <c r="R1704" s="13" t="s">
        <v>14188</v>
      </c>
      <c r="S1704" s="172"/>
      <c r="T1704" s="172"/>
      <c r="BQ1704" s="82" t="s">
        <v>1790</v>
      </c>
      <c r="CS1704" s="165" t="s">
        <v>1790</v>
      </c>
    </row>
    <row r="1705" spans="1:105" x14ac:dyDescent="0.2">
      <c r="A1705" s="176" t="str">
        <f t="shared" si="47"/>
        <v>volcanicLavaComposition</v>
      </c>
      <c r="B1705" s="11" t="s">
        <v>14195</v>
      </c>
      <c r="C1705" s="173"/>
      <c r="D1705" s="22" t="s">
        <v>14196</v>
      </c>
      <c r="E1705" s="15" t="s">
        <v>14197</v>
      </c>
      <c r="F1705" s="174"/>
      <c r="G1705" s="174"/>
      <c r="H1705" s="17" t="s">
        <v>5932</v>
      </c>
      <c r="I1705" s="269"/>
      <c r="J1705" s="369" t="str">
        <f>HYPERLINK("[#]Datatypes!B1680:L1680","VlcCode")</f>
        <v>VlcCode</v>
      </c>
      <c r="K1705" s="276"/>
      <c r="L1705" s="272"/>
      <c r="M1705" s="272"/>
      <c r="N1705" s="248" t="str">
        <f>HYPERLINK("[#]DatatypeListedValues!A10386:H10386","&lt;values&gt;")</f>
        <v>&lt;values&gt;</v>
      </c>
      <c r="O1705" s="277" t="b">
        <v>0</v>
      </c>
      <c r="P1705" s="37">
        <v>118616</v>
      </c>
      <c r="Q1705" s="36" t="str">
        <f>CONCATENATE(Cover!$D$6,"fdd/view?i=",P1705)</f>
        <v>https://www.dgiwg.org/FAD/fdd/view?i=118616</v>
      </c>
      <c r="R1705" s="13" t="s">
        <v>14194</v>
      </c>
      <c r="S1705" s="172"/>
      <c r="T1705" s="172"/>
      <c r="BQ1705" s="82" t="s">
        <v>1790</v>
      </c>
      <c r="CS1705" s="165" t="s">
        <v>1790</v>
      </c>
    </row>
    <row r="1706" spans="1:105" x14ac:dyDescent="0.2">
      <c r="A1706" s="176" t="str">
        <f t="shared" si="47"/>
        <v>volcanicPhenomenaType</v>
      </c>
      <c r="B1706" s="11" t="s">
        <v>14200</v>
      </c>
      <c r="C1706" s="173"/>
      <c r="D1706" s="22" t="s">
        <v>14201</v>
      </c>
      <c r="E1706" s="15" t="s">
        <v>14202</v>
      </c>
      <c r="F1706" s="174"/>
      <c r="G1706" s="174"/>
      <c r="H1706" s="17" t="s">
        <v>5932</v>
      </c>
      <c r="I1706" s="269"/>
      <c r="J1706" s="369" t="str">
        <f>HYPERLINK("[#]Datatypes!B1682:L1682","VptCode")</f>
        <v>VptCode</v>
      </c>
      <c r="K1706" s="276"/>
      <c r="L1706" s="272"/>
      <c r="M1706" s="272"/>
      <c r="N1706" s="248" t="str">
        <f>HYPERLINK("[#]DatatypeListedValues!A10390:H10390","&lt;values&gt;")</f>
        <v>&lt;values&gt;</v>
      </c>
      <c r="O1706" s="277" t="b">
        <v>0</v>
      </c>
      <c r="P1706" s="37">
        <v>111750</v>
      </c>
      <c r="Q1706" s="36" t="str">
        <f>CONCATENATE(Cover!$D$6,"fdd/view?i=",P1706)</f>
        <v>https://www.dgiwg.org/FAD/fdd/view?i=111750</v>
      </c>
      <c r="R1706" s="13" t="s">
        <v>14199</v>
      </c>
      <c r="S1706" s="172"/>
      <c r="T1706" s="172"/>
      <c r="BQ1706" s="82" t="s">
        <v>1790</v>
      </c>
      <c r="CS1706" s="165" t="s">
        <v>1790</v>
      </c>
    </row>
    <row r="1707" spans="1:105" x14ac:dyDescent="0.2">
      <c r="A1707" s="176" t="str">
        <f t="shared" si="47"/>
        <v>volcanoShape</v>
      </c>
      <c r="B1707" s="11" t="s">
        <v>14205</v>
      </c>
      <c r="C1707" s="173"/>
      <c r="D1707" s="22" t="s">
        <v>14206</v>
      </c>
      <c r="E1707" s="15" t="s">
        <v>14207</v>
      </c>
      <c r="F1707" s="174"/>
      <c r="G1707" s="174"/>
      <c r="H1707" s="17" t="s">
        <v>5932</v>
      </c>
      <c r="I1707" s="269"/>
      <c r="J1707" s="369" t="str">
        <f>HYPERLINK("[#]Datatypes!B1684:L1684","VgtCode")</f>
        <v>VgtCode</v>
      </c>
      <c r="K1707" s="276"/>
      <c r="L1707" s="272"/>
      <c r="M1707" s="272"/>
      <c r="N1707" s="248" t="str">
        <f>HYPERLINK("[#]DatatypeListedValues!A10404:H10404","&lt;values&gt;")</f>
        <v>&lt;values&gt;</v>
      </c>
      <c r="O1707" s="277" t="b">
        <v>0</v>
      </c>
      <c r="P1707" s="37">
        <v>101450</v>
      </c>
      <c r="Q1707" s="36" t="str">
        <f>CONCATENATE(Cover!$D$6,"fdd/view?i=",P1707)</f>
        <v>https://www.dgiwg.org/FAD/fdd/view?i=101450</v>
      </c>
      <c r="R1707" s="13" t="s">
        <v>14204</v>
      </c>
      <c r="S1707" s="172"/>
      <c r="T1707" s="172"/>
      <c r="BQ1707" s="82" t="s">
        <v>1790</v>
      </c>
      <c r="CS1707" s="165" t="s">
        <v>1790</v>
      </c>
    </row>
    <row r="1708" spans="1:105" x14ac:dyDescent="0.2">
      <c r="A1708" s="176" t="str">
        <f t="shared" si="47"/>
        <v>volume</v>
      </c>
      <c r="B1708" s="11" t="s">
        <v>14209</v>
      </c>
      <c r="C1708" s="173"/>
      <c r="D1708" s="22" t="s">
        <v>364</v>
      </c>
      <c r="E1708" s="15" t="s">
        <v>14210</v>
      </c>
      <c r="F1708" s="15" t="s">
        <v>14211</v>
      </c>
      <c r="G1708" s="174"/>
      <c r="H1708" s="17" t="s">
        <v>5932</v>
      </c>
      <c r="I1708" s="269"/>
      <c r="J1708" s="369" t="str">
        <f>HYPERLINK("[#]Datatypes!B1233:L1233","RealInterval")</f>
        <v>RealInterval</v>
      </c>
      <c r="K1708" s="271" t="str">
        <f>HYPERLINK("[#]PhysicalQuantities!A52:N52","Volume")</f>
        <v>Volume</v>
      </c>
      <c r="L1708" s="270" t="str">
        <f>HYPERLINK("[#]UnitsOfMeasure!D272:G272","Cubic Metre")</f>
        <v>Cubic Metre</v>
      </c>
      <c r="M1708" s="272"/>
      <c r="N1708" s="273"/>
      <c r="O1708" s="269"/>
      <c r="P1708" s="37">
        <v>109992</v>
      </c>
      <c r="Q1708" s="36" t="str">
        <f>CONCATENATE(Cover!$D$6,"fdd/view?i=",P1708)</f>
        <v>https://www.dgiwg.org/FAD/fdd/view?i=109992</v>
      </c>
      <c r="R1708" s="13" t="s">
        <v>363</v>
      </c>
      <c r="S1708" s="172"/>
      <c r="T1708" s="172"/>
      <c r="CQ1708" s="165" t="s">
        <v>1790</v>
      </c>
    </row>
    <row r="1709" spans="1:105" x14ac:dyDescent="0.2">
      <c r="A1709" s="176" t="str">
        <f t="shared" si="47"/>
        <v>wallType</v>
      </c>
      <c r="B1709" s="11" t="s">
        <v>14213</v>
      </c>
      <c r="C1709" s="173"/>
      <c r="D1709" s="22" t="s">
        <v>14214</v>
      </c>
      <c r="E1709" s="15" t="s">
        <v>14215</v>
      </c>
      <c r="F1709" s="174"/>
      <c r="G1709" s="174"/>
      <c r="H1709" s="17" t="s">
        <v>5932</v>
      </c>
      <c r="I1709" s="269"/>
      <c r="J1709" s="369" t="str">
        <f>HYPERLINK("[#]Datatypes!B1686:L1686","WtiCode")</f>
        <v>WtiCode</v>
      </c>
      <c r="K1709" s="276"/>
      <c r="L1709" s="272"/>
      <c r="M1709" s="272"/>
      <c r="N1709" s="248" t="str">
        <f>HYPERLINK("[#]DatatypeListedValues!A10409:H10409","&lt;values&gt;")</f>
        <v>&lt;values&gt;</v>
      </c>
      <c r="O1709" s="277" t="b">
        <v>0</v>
      </c>
      <c r="P1709" s="37">
        <v>101510</v>
      </c>
      <c r="Q1709" s="36" t="str">
        <f>CONCATENATE(Cover!$D$6,"fdd/view?i=",P1709)</f>
        <v>https://www.dgiwg.org/FAD/fdd/view?i=101510</v>
      </c>
      <c r="R1709" s="13" t="s">
        <v>14212</v>
      </c>
      <c r="S1709" s="172"/>
      <c r="T1709" s="172"/>
      <c r="AI1709" s="87" t="s">
        <v>1790</v>
      </c>
      <c r="CT1709" s="166" t="s">
        <v>1790</v>
      </c>
    </row>
    <row r="1710" spans="1:105" ht="25.5" x14ac:dyDescent="0.2">
      <c r="A1710" s="176" t="str">
        <f t="shared" si="47"/>
        <v>waterColumnDensity</v>
      </c>
      <c r="B1710" s="11" t="s">
        <v>14218</v>
      </c>
      <c r="C1710" s="173"/>
      <c r="D1710" s="22" t="s">
        <v>14219</v>
      </c>
      <c r="E1710" s="15" t="s">
        <v>14220</v>
      </c>
      <c r="F1710" s="174"/>
      <c r="G1710" s="174"/>
      <c r="H1710" s="17" t="s">
        <v>5932</v>
      </c>
      <c r="I1710" s="269"/>
      <c r="J1710" s="369" t="str">
        <f>HYPERLINK("[#]Datatypes!B1231:L1231","Real")</f>
        <v>Real</v>
      </c>
      <c r="K1710" s="271" t="str">
        <f>HYPERLINK("[#]PhysicalQuantities!A29:N29","Mass Density")</f>
        <v>Mass Density</v>
      </c>
      <c r="L1710" s="270" t="str">
        <f>HYPERLINK("[#]UnitsOfMeasure!D138:G138","Kilogram per cubic Metre")</f>
        <v>Kilogram per cubic Metre</v>
      </c>
      <c r="M1710" s="272"/>
      <c r="N1710" s="273"/>
      <c r="O1710" s="269"/>
      <c r="P1710" s="37">
        <v>101470</v>
      </c>
      <c r="Q1710" s="36" t="str">
        <f>CONCATENATE(Cover!$D$6,"fdd/view?i=",P1710)</f>
        <v>https://www.dgiwg.org/FAD/fdd/view?i=101470</v>
      </c>
      <c r="R1710" s="13" t="s">
        <v>14217</v>
      </c>
      <c r="S1710" s="172"/>
      <c r="T1710" s="172"/>
      <c r="BK1710" s="89" t="s">
        <v>1790</v>
      </c>
      <c r="CQ1710" s="165" t="s">
        <v>1790</v>
      </c>
    </row>
    <row r="1711" spans="1:105" x14ac:dyDescent="0.2">
      <c r="A1711" s="176" t="str">
        <f t="shared" si="47"/>
        <v>waterColumnDepth</v>
      </c>
      <c r="B1711" s="11" t="s">
        <v>14222</v>
      </c>
      <c r="C1711" s="173"/>
      <c r="D1711" s="22" t="s">
        <v>14223</v>
      </c>
      <c r="E1711" s="15" t="s">
        <v>14224</v>
      </c>
      <c r="F1711" s="174"/>
      <c r="G1711" s="174"/>
      <c r="H1711" s="17" t="s">
        <v>5932</v>
      </c>
      <c r="I1711" s="269"/>
      <c r="J1711" s="369" t="str">
        <f>HYPERLINK("[#]Datatypes!B1231:L1231","Real")</f>
        <v>Real</v>
      </c>
      <c r="K1711" s="271" t="str">
        <f>HYPERLINK("[#]PhysicalQuantities!A20:N20","Length")</f>
        <v>Length</v>
      </c>
      <c r="L1711" s="270" t="str">
        <f>HYPERLINK("[#]UnitsOfMeasure!D80:G80","Metre")</f>
        <v>Metre</v>
      </c>
      <c r="M1711" s="272"/>
      <c r="N1711" s="273"/>
      <c r="O1711" s="269"/>
      <c r="P1711" s="37">
        <v>101476</v>
      </c>
      <c r="Q1711" s="36" t="str">
        <f>CONCATENATE(Cover!$D$6,"fdd/view?i=",P1711)</f>
        <v>https://www.dgiwg.org/FAD/fdd/view?i=101476</v>
      </c>
      <c r="R1711" s="13" t="s">
        <v>14221</v>
      </c>
      <c r="S1711" s="172"/>
      <c r="T1711" s="172"/>
      <c r="BK1711" s="89" t="s">
        <v>1790</v>
      </c>
      <c r="CQ1711" s="165" t="s">
        <v>1790</v>
      </c>
    </row>
    <row r="1712" spans="1:105" ht="51" x14ac:dyDescent="0.2">
      <c r="A1712" s="176" t="str">
        <f t="shared" si="47"/>
        <v>waterColumnForelColorCode</v>
      </c>
      <c r="B1712" s="11" t="s">
        <v>14226</v>
      </c>
      <c r="C1712" s="173"/>
      <c r="D1712" s="22" t="s">
        <v>14227</v>
      </c>
      <c r="E1712" s="15" t="s">
        <v>14228</v>
      </c>
      <c r="F1712" s="15" t="s">
        <v>14229</v>
      </c>
      <c r="G1712" s="174"/>
      <c r="H1712" s="17" t="s">
        <v>5932</v>
      </c>
      <c r="I1712" s="269"/>
      <c r="J1712" s="369" t="str">
        <f>HYPERLINK("[#]Datatypes!B1688:L1688","WcfCode")</f>
        <v>WcfCode</v>
      </c>
      <c r="K1712" s="276"/>
      <c r="L1712" s="272"/>
      <c r="M1712" s="272"/>
      <c r="N1712" s="248" t="str">
        <f>HYPERLINK("[#]DatatypeListedValues!A10413:H10413","&lt;values&gt;")</f>
        <v>&lt;values&gt;</v>
      </c>
      <c r="O1712" s="277" t="b">
        <v>0</v>
      </c>
      <c r="P1712" s="37">
        <v>101471</v>
      </c>
      <c r="Q1712" s="36" t="str">
        <f>CONCATENATE(Cover!$D$6,"fdd/view?i=",P1712)</f>
        <v>https://www.dgiwg.org/FAD/fdd/view?i=101471</v>
      </c>
      <c r="R1712" s="13" t="s">
        <v>14225</v>
      </c>
      <c r="S1712" s="172"/>
      <c r="T1712" s="172"/>
      <c r="BK1712" s="89" t="s">
        <v>1790</v>
      </c>
      <c r="CS1712" s="165" t="s">
        <v>1790</v>
      </c>
      <c r="CW1712" s="164" t="s">
        <v>1790</v>
      </c>
    </row>
    <row r="1713" spans="1:104" x14ac:dyDescent="0.2">
      <c r="A1713" s="176" t="str">
        <f t="shared" si="47"/>
        <v>waterColumnSoundVelocity</v>
      </c>
      <c r="B1713" s="11" t="s">
        <v>14232</v>
      </c>
      <c r="C1713" s="173"/>
      <c r="D1713" s="22" t="s">
        <v>14233</v>
      </c>
      <c r="E1713" s="15" t="s">
        <v>14234</v>
      </c>
      <c r="F1713" s="174"/>
      <c r="G1713" s="174"/>
      <c r="H1713" s="17" t="s">
        <v>5932</v>
      </c>
      <c r="I1713" s="269"/>
      <c r="J1713" s="369" t="str">
        <f>HYPERLINK("[#]Datatypes!B1231:L1231","Real")</f>
        <v>Real</v>
      </c>
      <c r="K1713" s="271" t="str">
        <f>HYPERLINK("[#]PhysicalQuantities!A48:N48","Speed")</f>
        <v>Speed</v>
      </c>
      <c r="L1713" s="270" t="str">
        <f>HYPERLINK("[#]UnitsOfMeasure!D246:G246","Metre per Second")</f>
        <v>Metre per Second</v>
      </c>
      <c r="M1713" s="272"/>
      <c r="N1713" s="273"/>
      <c r="O1713" s="269"/>
      <c r="P1713" s="37">
        <v>101475</v>
      </c>
      <c r="Q1713" s="36" t="str">
        <f>CONCATENATE(Cover!$D$6,"fdd/view?i=",P1713)</f>
        <v>https://www.dgiwg.org/FAD/fdd/view?i=101475</v>
      </c>
      <c r="R1713" s="13" t="s">
        <v>14231</v>
      </c>
      <c r="S1713" s="172"/>
      <c r="T1713" s="172"/>
      <c r="BK1713" s="89" t="s">
        <v>1790</v>
      </c>
    </row>
    <row r="1714" spans="1:104" ht="25.5" x14ac:dyDescent="0.2">
      <c r="A1714" s="176" t="str">
        <f t="shared" si="47"/>
        <v>waterColumnTemperature</v>
      </c>
      <c r="B1714" s="11" t="s">
        <v>14236</v>
      </c>
      <c r="C1714" s="173"/>
      <c r="D1714" s="22" t="s">
        <v>14237</v>
      </c>
      <c r="E1714" s="15" t="s">
        <v>14238</v>
      </c>
      <c r="F1714" s="174"/>
      <c r="G1714" s="174"/>
      <c r="H1714" s="17" t="s">
        <v>5932</v>
      </c>
      <c r="I1714" s="269"/>
      <c r="J1714" s="369" t="str">
        <f>HYPERLINK("[#]Datatypes!B1231:L1231","Real")</f>
        <v>Real</v>
      </c>
      <c r="K1714" s="271" t="str">
        <f>HYPERLINK("[#]PhysicalQuantities!A50:N50","Thermodynamic Temperature")</f>
        <v>Thermodynamic Temperature</v>
      </c>
      <c r="L1714" s="270" t="str">
        <f>HYPERLINK("[#]UnitsOfMeasure!D262:G262","Degree Celsius")</f>
        <v>Degree Celsius</v>
      </c>
      <c r="M1714" s="272"/>
      <c r="N1714" s="273"/>
      <c r="O1714" s="269"/>
      <c r="P1714" s="37">
        <v>101474</v>
      </c>
      <c r="Q1714" s="36" t="str">
        <f>CONCATENATE(Cover!$D$6,"fdd/view?i=",P1714)</f>
        <v>https://www.dgiwg.org/FAD/fdd/view?i=101474</v>
      </c>
      <c r="R1714" s="13" t="s">
        <v>14235</v>
      </c>
      <c r="S1714" s="172"/>
      <c r="T1714" s="172"/>
      <c r="BK1714" s="89" t="s">
        <v>1790</v>
      </c>
    </row>
    <row r="1715" spans="1:104" x14ac:dyDescent="0.2">
      <c r="A1715" s="176" t="str">
        <f t="shared" si="47"/>
        <v>waterColumnVisQuality</v>
      </c>
      <c r="B1715" s="11" t="s">
        <v>14240</v>
      </c>
      <c r="C1715" s="173"/>
      <c r="D1715" s="22" t="s">
        <v>14241</v>
      </c>
      <c r="E1715" s="15" t="s">
        <v>14242</v>
      </c>
      <c r="F1715" s="174"/>
      <c r="G1715" s="174"/>
      <c r="H1715" s="17" t="s">
        <v>5932</v>
      </c>
      <c r="I1715" s="269"/>
      <c r="J1715" s="369" t="str">
        <f>HYPERLINK("[#]Datatypes!B1231:L1231","Real")</f>
        <v>Real</v>
      </c>
      <c r="K1715" s="271" t="str">
        <f>HYPERLINK("[#]PhysicalQuantities!A20:N20","Length")</f>
        <v>Length</v>
      </c>
      <c r="L1715" s="270" t="str">
        <f>HYPERLINK("[#]UnitsOfMeasure!D80:G80","Metre")</f>
        <v>Metre</v>
      </c>
      <c r="M1715" s="272"/>
      <c r="N1715" s="273"/>
      <c r="O1715" s="269"/>
      <c r="P1715" s="37">
        <v>101472</v>
      </c>
      <c r="Q1715" s="36" t="str">
        <f>CONCATENATE(Cover!$D$6,"fdd/view?i=",P1715)</f>
        <v>https://www.dgiwg.org/FAD/fdd/view?i=101472</v>
      </c>
      <c r="R1715" s="13" t="s">
        <v>14239</v>
      </c>
      <c r="S1715" s="172"/>
      <c r="T1715" s="172"/>
      <c r="BK1715" s="89" t="s">
        <v>1790</v>
      </c>
      <c r="CS1715" s="165" t="s">
        <v>1790</v>
      </c>
      <c r="CZ1715" s="165" t="s">
        <v>1790</v>
      </c>
    </row>
    <row r="1716" spans="1:104" ht="25.5" x14ac:dyDescent="0.2">
      <c r="A1716" s="176" t="str">
        <f t="shared" si="47"/>
        <v>waterConductivity</v>
      </c>
      <c r="B1716" s="11" t="s">
        <v>14244</v>
      </c>
      <c r="C1716" s="173"/>
      <c r="D1716" s="22" t="s">
        <v>14245</v>
      </c>
      <c r="E1716" s="15" t="s">
        <v>14246</v>
      </c>
      <c r="F1716" s="15" t="s">
        <v>14247</v>
      </c>
      <c r="G1716" s="174"/>
      <c r="H1716" s="17" t="s">
        <v>5932</v>
      </c>
      <c r="I1716" s="269"/>
      <c r="J1716" s="369" t="str">
        <f>HYPERLINK("[#]Datatypes!B1231:L1231","Real")</f>
        <v>Real</v>
      </c>
      <c r="K1716" s="271" t="str">
        <f>HYPERLINK("[#]PhysicalQuantities!A8:N8","Electric Conductivity")</f>
        <v>Electric Conductivity</v>
      </c>
      <c r="L1716" s="270" t="str">
        <f>HYPERLINK("[#]UnitsOfMeasure!D32:G32","Microsiemens per Centimetre")</f>
        <v>Microsiemens per Centimetre</v>
      </c>
      <c r="M1716" s="272"/>
      <c r="N1716" s="273"/>
      <c r="O1716" s="269"/>
      <c r="P1716" s="37">
        <v>119410</v>
      </c>
      <c r="Q1716" s="36" t="str">
        <f>CONCATENATE(Cover!$D$6,"fdd/view?i=",P1716)</f>
        <v>https://www.dgiwg.org/FAD/fdd/view?i=119410</v>
      </c>
      <c r="R1716" s="13" t="s">
        <v>14243</v>
      </c>
      <c r="S1716" s="172"/>
      <c r="T1716" s="172"/>
      <c r="BK1716" s="89" t="s">
        <v>1790</v>
      </c>
      <c r="CQ1716" s="165" t="s">
        <v>1790</v>
      </c>
    </row>
    <row r="1717" spans="1:104" ht="25.5" x14ac:dyDescent="0.2">
      <c r="A1717" s="176" t="str">
        <f t="shared" si="47"/>
        <v>waterCurrentSpeed</v>
      </c>
      <c r="B1717" s="11" t="s">
        <v>14249</v>
      </c>
      <c r="C1717" s="173"/>
      <c r="D1717" s="22" t="s">
        <v>14250</v>
      </c>
      <c r="E1717" s="15" t="s">
        <v>14251</v>
      </c>
      <c r="F1717" s="174"/>
      <c r="G1717" s="174"/>
      <c r="H1717" s="17" t="s">
        <v>5932</v>
      </c>
      <c r="I1717" s="269"/>
      <c r="J1717" s="369" t="str">
        <f>HYPERLINK("[#]Datatypes!B1233:L1233","RealInterval")</f>
        <v>RealInterval</v>
      </c>
      <c r="K1717" s="271" t="str">
        <f>HYPERLINK("[#]PhysicalQuantities!A48:N48","Speed")</f>
        <v>Speed</v>
      </c>
      <c r="L1717" s="270" t="str">
        <f>HYPERLINK("[#]UnitsOfMeasure!D246:G246","Metre per Second")</f>
        <v>Metre per Second</v>
      </c>
      <c r="M1717" s="272"/>
      <c r="N1717" s="273"/>
      <c r="O1717" s="269"/>
      <c r="P1717" s="37">
        <v>111754</v>
      </c>
      <c r="Q1717" s="36" t="str">
        <f>CONCATENATE(Cover!$D$6,"fdd/view?i=",P1717)</f>
        <v>https://www.dgiwg.org/FAD/fdd/view?i=111754</v>
      </c>
      <c r="R1717" s="13" t="s">
        <v>14248</v>
      </c>
      <c r="S1717" s="172"/>
      <c r="T1717" s="172"/>
      <c r="BE1717" s="83" t="s">
        <v>1790</v>
      </c>
      <c r="CQ1717" s="165" t="s">
        <v>1790</v>
      </c>
    </row>
    <row r="1718" spans="1:104" ht="25.5" x14ac:dyDescent="0.2">
      <c r="A1718" s="176" t="str">
        <f t="shared" si="47"/>
        <v>waterFlow</v>
      </c>
      <c r="B1718" s="11" t="s">
        <v>14253</v>
      </c>
      <c r="C1718" s="173"/>
      <c r="D1718" s="22" t="s">
        <v>14254</v>
      </c>
      <c r="E1718" s="15" t="s">
        <v>14255</v>
      </c>
      <c r="F1718" s="174"/>
      <c r="G1718" s="174"/>
      <c r="H1718" s="17" t="s">
        <v>5932</v>
      </c>
      <c r="I1718" s="269"/>
      <c r="J1718" s="369" t="str">
        <f>HYPERLINK("[#]Datatypes!B1231:L1231","Real")</f>
        <v>Real</v>
      </c>
      <c r="K1718" s="271" t="str">
        <f>HYPERLINK("[#]PhysicalQuantities!A53:N53","Volume Flow Rate")</f>
        <v>Volume Flow Rate</v>
      </c>
      <c r="L1718" s="270" t="str">
        <f>HYPERLINK("[#]UnitsOfMeasure!D292:G292","Cubic Metre per Hour")</f>
        <v>Cubic Metre per Hour</v>
      </c>
      <c r="M1718" s="272"/>
      <c r="N1718" s="273"/>
      <c r="O1718" s="269"/>
      <c r="P1718" s="37">
        <v>100644</v>
      </c>
      <c r="Q1718" s="36" t="str">
        <f>CONCATENATE(Cover!$D$6,"fdd/view?i=",P1718)</f>
        <v>https://www.dgiwg.org/FAD/fdd/view?i=100644</v>
      </c>
      <c r="R1718" s="13" t="s">
        <v>14252</v>
      </c>
      <c r="S1718" s="172"/>
      <c r="T1718" s="172"/>
      <c r="BE1718" s="83" t="s">
        <v>1790</v>
      </c>
      <c r="CQ1718" s="165" t="s">
        <v>1790</v>
      </c>
    </row>
    <row r="1719" spans="1:104" ht="25.5" x14ac:dyDescent="0.2">
      <c r="A1719" s="176" t="str">
        <f t="shared" si="47"/>
        <v>waterGateType</v>
      </c>
      <c r="B1719" s="11" t="s">
        <v>14257</v>
      </c>
      <c r="C1719" s="173"/>
      <c r="D1719" s="22" t="s">
        <v>14258</v>
      </c>
      <c r="E1719" s="15" t="s">
        <v>14259</v>
      </c>
      <c r="F1719" s="174"/>
      <c r="G1719" s="174"/>
      <c r="H1719" s="17" t="s">
        <v>5932</v>
      </c>
      <c r="I1719" s="269"/>
      <c r="J1719" s="369" t="str">
        <f>HYPERLINK("[#]Datatypes!B1690:L1690","GncCode")</f>
        <v>GncCode</v>
      </c>
      <c r="K1719" s="276"/>
      <c r="L1719" s="272"/>
      <c r="M1719" s="272"/>
      <c r="N1719" s="248" t="str">
        <f>HYPERLINK("[#]DatatypeListedValues!A10435:H10435","&lt;values&gt;")</f>
        <v>&lt;values&gt;</v>
      </c>
      <c r="O1719" s="277" t="b">
        <v>0</v>
      </c>
      <c r="P1719" s="37">
        <v>100916</v>
      </c>
      <c r="Q1719" s="36" t="str">
        <f>CONCATENATE(Cover!$D$6,"fdd/view?i=",P1719)</f>
        <v>https://www.dgiwg.org/FAD/fdd/view?i=100916</v>
      </c>
      <c r="R1719" s="13" t="s">
        <v>14256</v>
      </c>
      <c r="S1719" s="172"/>
      <c r="T1719" s="172"/>
      <c r="AS1719" s="82" t="s">
        <v>1790</v>
      </c>
      <c r="BA1719" s="83" t="s">
        <v>1790</v>
      </c>
      <c r="BF1719" s="83" t="s">
        <v>1790</v>
      </c>
      <c r="BJ1719" s="83" t="s">
        <v>1790</v>
      </c>
      <c r="CT1719" s="166" t="s">
        <v>1790</v>
      </c>
    </row>
    <row r="1720" spans="1:104" ht="38.25" x14ac:dyDescent="0.2">
      <c r="A1720" s="176" t="str">
        <f t="shared" si="47"/>
        <v>waterHardness</v>
      </c>
      <c r="B1720" s="11" t="s">
        <v>14262</v>
      </c>
      <c r="C1720" s="173"/>
      <c r="D1720" s="22" t="s">
        <v>14263</v>
      </c>
      <c r="E1720" s="15" t="s">
        <v>14264</v>
      </c>
      <c r="F1720" s="15" t="s">
        <v>14265</v>
      </c>
      <c r="G1720" s="174"/>
      <c r="H1720" s="17" t="s">
        <v>5932</v>
      </c>
      <c r="I1720" s="269"/>
      <c r="J1720" s="369" t="str">
        <f>HYPERLINK("[#]Datatypes!B1231:L1231","Real")</f>
        <v>Real</v>
      </c>
      <c r="K1720" s="271" t="str">
        <f>HYPERLINK("[#]PhysicalQuantities!A29:N29","Mass Density")</f>
        <v>Mass Density</v>
      </c>
      <c r="L1720" s="270" t="str">
        <f>HYPERLINK("[#]UnitsOfMeasure!D140:G140","Gram per cubic Metre")</f>
        <v>Gram per cubic Metre</v>
      </c>
      <c r="M1720" s="272"/>
      <c r="N1720" s="273"/>
      <c r="O1720" s="269"/>
      <c r="P1720" s="37">
        <v>119402</v>
      </c>
      <c r="Q1720" s="36" t="str">
        <f>CONCATENATE(Cover!$D$6,"fdd/view?i=",P1720)</f>
        <v>https://www.dgiwg.org/FAD/fdd/view?i=119402</v>
      </c>
      <c r="R1720" s="13" t="s">
        <v>14261</v>
      </c>
      <c r="S1720" s="172"/>
      <c r="T1720" s="172"/>
      <c r="BK1720" s="89" t="s">
        <v>1790</v>
      </c>
      <c r="BP1720" s="82" t="s">
        <v>1790</v>
      </c>
      <c r="CQ1720" s="165" t="s">
        <v>1790</v>
      </c>
    </row>
    <row r="1721" spans="1:104" ht="25.5" x14ac:dyDescent="0.2">
      <c r="A1721" s="176" t="str">
        <f t="shared" si="47"/>
        <v>waterLevelEffect</v>
      </c>
      <c r="B1721" s="11" t="s">
        <v>14267</v>
      </c>
      <c r="C1721" s="173"/>
      <c r="D1721" s="22" t="s">
        <v>14268</v>
      </c>
      <c r="E1721" s="15" t="s">
        <v>14269</v>
      </c>
      <c r="F1721" s="174"/>
      <c r="G1721" s="174"/>
      <c r="H1721" s="17" t="s">
        <v>5932</v>
      </c>
      <c r="I1721" s="269"/>
      <c r="J1721" s="369" t="str">
        <f>HYPERLINK("[#]Datatypes!B1692:L1692","WleCode")</f>
        <v>WleCode</v>
      </c>
      <c r="K1721" s="276"/>
      <c r="L1721" s="272"/>
      <c r="M1721" s="272"/>
      <c r="N1721" s="248" t="str">
        <f>HYPERLINK("[#]DatatypeListedValues!A10441:H10441","&lt;values&gt;")</f>
        <v>&lt;values&gt;</v>
      </c>
      <c r="O1721" s="277" t="b">
        <v>0</v>
      </c>
      <c r="P1721" s="37">
        <v>101495</v>
      </c>
      <c r="Q1721" s="36" t="str">
        <f>CONCATENATE(Cover!$D$6,"fdd/view?i=",P1721)</f>
        <v>https://www.dgiwg.org/FAD/fdd/view?i=101495</v>
      </c>
      <c r="R1721" s="13" t="s">
        <v>14266</v>
      </c>
      <c r="S1721" s="172"/>
      <c r="T1721" s="172"/>
      <c r="BB1721" s="83" t="s">
        <v>1790</v>
      </c>
      <c r="BG1721" s="83" t="s">
        <v>1790</v>
      </c>
      <c r="CP1721" s="164" t="s">
        <v>1790</v>
      </c>
      <c r="CQ1721" s="165" t="s">
        <v>1790</v>
      </c>
    </row>
    <row r="1722" spans="1:104" ht="25.5" x14ac:dyDescent="0.2">
      <c r="A1722" s="176" t="str">
        <f t="shared" si="47"/>
        <v>waterPotability</v>
      </c>
      <c r="B1722" s="11" t="s">
        <v>14272</v>
      </c>
      <c r="C1722" s="173"/>
      <c r="D1722" s="22" t="s">
        <v>14273</v>
      </c>
      <c r="E1722" s="15" t="s">
        <v>14274</v>
      </c>
      <c r="F1722" s="174"/>
      <c r="G1722" s="174"/>
      <c r="H1722" s="17" t="s">
        <v>5932</v>
      </c>
      <c r="I1722" s="269"/>
      <c r="J1722" s="369" t="str">
        <f>HYPERLINK("[#]Datatypes!B1694:L1694","YwqCode")</f>
        <v>YwqCode</v>
      </c>
      <c r="K1722" s="276"/>
      <c r="L1722" s="272"/>
      <c r="M1722" s="272"/>
      <c r="N1722" s="248" t="str">
        <f>HYPERLINK("[#]DatatypeListedValues!A10449:H10449","&lt;values&gt;")</f>
        <v>&lt;values&gt;</v>
      </c>
      <c r="O1722" s="277" t="b">
        <v>0</v>
      </c>
      <c r="P1722" s="37">
        <v>101525</v>
      </c>
      <c r="Q1722" s="36" t="str">
        <f>CONCATENATE(Cover!$D$6,"fdd/view?i=",P1722)</f>
        <v>https://www.dgiwg.org/FAD/fdd/view?i=101525</v>
      </c>
      <c r="R1722" s="13" t="s">
        <v>14271</v>
      </c>
      <c r="S1722" s="172"/>
      <c r="T1722" s="172"/>
      <c r="AB1722" s="82" t="s">
        <v>1790</v>
      </c>
      <c r="BJ1722" s="83" t="s">
        <v>1790</v>
      </c>
      <c r="BP1722" s="82" t="s">
        <v>1790</v>
      </c>
      <c r="BY1722" s="83" t="s">
        <v>1790</v>
      </c>
    </row>
    <row r="1723" spans="1:104" ht="51" x14ac:dyDescent="0.2">
      <c r="A1723" s="176" t="str">
        <f t="shared" si="47"/>
        <v>waterProtectionClass</v>
      </c>
      <c r="B1723" s="11" t="s">
        <v>14277</v>
      </c>
      <c r="C1723" s="173"/>
      <c r="D1723" s="22" t="s">
        <v>14278</v>
      </c>
      <c r="E1723" s="15" t="s">
        <v>14279</v>
      </c>
      <c r="F1723" s="15" t="s">
        <v>14280</v>
      </c>
      <c r="G1723" s="174"/>
      <c r="H1723" s="17" t="s">
        <v>5932</v>
      </c>
      <c r="I1723" s="269"/>
      <c r="J1723" s="369" t="str">
        <f>HYPERLINK("[#]Datatypes!B1696:L1696","WpaCode")</f>
        <v>WpaCode</v>
      </c>
      <c r="K1723" s="276"/>
      <c r="L1723" s="272"/>
      <c r="M1723" s="272"/>
      <c r="N1723" s="248" t="str">
        <f>HYPERLINK("[#]DatatypeListedValues!A10453:H10453","&lt;values&gt;")</f>
        <v>&lt;values&gt;</v>
      </c>
      <c r="O1723" s="277" t="b">
        <v>0</v>
      </c>
      <c r="P1723" s="37">
        <v>111763</v>
      </c>
      <c r="Q1723" s="36" t="str">
        <f>CONCATENATE(Cover!$D$6,"fdd/view?i=",P1723)</f>
        <v>https://www.dgiwg.org/FAD/fdd/view?i=111763</v>
      </c>
      <c r="R1723" s="13" t="s">
        <v>14276</v>
      </c>
      <c r="S1723" s="172"/>
      <c r="T1723" s="172"/>
      <c r="BJ1723" s="83" t="s">
        <v>1790</v>
      </c>
      <c r="BP1723" s="82" t="s">
        <v>1790</v>
      </c>
      <c r="BZ1723" s="83" t="s">
        <v>1790</v>
      </c>
      <c r="CT1723" s="166" t="s">
        <v>1790</v>
      </c>
    </row>
    <row r="1724" spans="1:104" x14ac:dyDescent="0.2">
      <c r="A1724" s="176" t="str">
        <f t="shared" si="47"/>
        <v>waterRaceType</v>
      </c>
      <c r="B1724" s="11" t="s">
        <v>14283</v>
      </c>
      <c r="C1724" s="173"/>
      <c r="D1724" s="22" t="s">
        <v>14284</v>
      </c>
      <c r="E1724" s="15" t="s">
        <v>14285</v>
      </c>
      <c r="F1724" s="174"/>
      <c r="G1724" s="174"/>
      <c r="H1724" s="17" t="s">
        <v>5932</v>
      </c>
      <c r="I1724" s="269"/>
      <c r="J1724" s="369" t="str">
        <f>HYPERLINK("[#]Datatypes!B1698:L1698","WrtCode")</f>
        <v>WrtCode</v>
      </c>
      <c r="K1724" s="276"/>
      <c r="L1724" s="272"/>
      <c r="M1724" s="272"/>
      <c r="N1724" s="248" t="str">
        <f>HYPERLINK("[#]DatatypeListedValues!A10458:H10458","&lt;values&gt;")</f>
        <v>&lt;values&gt;</v>
      </c>
      <c r="O1724" s="277" t="b">
        <v>0</v>
      </c>
      <c r="P1724" s="37">
        <v>117802</v>
      </c>
      <c r="Q1724" s="36" t="str">
        <f>CONCATENATE(Cover!$D$6,"fdd/view?i=",P1724)</f>
        <v>https://www.dgiwg.org/FAD/fdd/view?i=117802</v>
      </c>
      <c r="R1724" s="13" t="s">
        <v>14282</v>
      </c>
      <c r="S1724" s="172"/>
      <c r="T1724" s="172"/>
      <c r="BJ1724" s="83" t="s">
        <v>1790</v>
      </c>
      <c r="CS1724" s="165" t="s">
        <v>1790</v>
      </c>
    </row>
    <row r="1725" spans="1:104" x14ac:dyDescent="0.2">
      <c r="A1725" s="176" t="str">
        <f t="shared" si="47"/>
        <v>waterSupplyImportance</v>
      </c>
      <c r="B1725" s="11" t="s">
        <v>14288</v>
      </c>
      <c r="C1725" s="173"/>
      <c r="D1725" s="22" t="s">
        <v>14289</v>
      </c>
      <c r="E1725" s="15" t="s">
        <v>14290</v>
      </c>
      <c r="F1725" s="174"/>
      <c r="G1725" s="174"/>
      <c r="H1725" s="17" t="s">
        <v>5932</v>
      </c>
      <c r="I1725" s="269"/>
      <c r="J1725" s="369" t="str">
        <f>HYPERLINK("[#]Datatypes!B1700:L1700","WusCode")</f>
        <v>WusCode</v>
      </c>
      <c r="K1725" s="276"/>
      <c r="L1725" s="272"/>
      <c r="M1725" s="272"/>
      <c r="N1725" s="248" t="str">
        <f>HYPERLINK("[#]DatatypeListedValues!A10462:H10462","&lt;values&gt;")</f>
        <v>&lt;values&gt;</v>
      </c>
      <c r="O1725" s="277" t="b">
        <v>0</v>
      </c>
      <c r="P1725" s="37">
        <v>111766</v>
      </c>
      <c r="Q1725" s="36" t="str">
        <f>CONCATENATE(Cover!$D$6,"fdd/view?i=",P1725)</f>
        <v>https://www.dgiwg.org/FAD/fdd/view?i=111766</v>
      </c>
      <c r="R1725" s="13" t="s">
        <v>14287</v>
      </c>
      <c r="S1725" s="172"/>
      <c r="T1725" s="172"/>
      <c r="BJ1725" s="83" t="s">
        <v>1790</v>
      </c>
      <c r="BP1725" s="82" t="s">
        <v>1790</v>
      </c>
      <c r="BZ1725" s="83" t="s">
        <v>1790</v>
      </c>
      <c r="CT1725" s="166" t="s">
        <v>1790</v>
      </c>
    </row>
    <row r="1726" spans="1:104" ht="25.5" x14ac:dyDescent="0.2">
      <c r="A1726" s="176" t="str">
        <f t="shared" si="47"/>
        <v>waterTableDepth</v>
      </c>
      <c r="B1726" s="11" t="s">
        <v>14293</v>
      </c>
      <c r="C1726" s="173"/>
      <c r="D1726" s="22" t="s">
        <v>14294</v>
      </c>
      <c r="E1726" s="15" t="s">
        <v>14295</v>
      </c>
      <c r="F1726" s="174"/>
      <c r="G1726" s="174"/>
      <c r="H1726" s="17" t="s">
        <v>5932</v>
      </c>
      <c r="I1726" s="269"/>
      <c r="J1726" s="369" t="str">
        <f>HYPERLINK("[#]Datatypes!B1233:L1233","RealInterval")</f>
        <v>RealInterval</v>
      </c>
      <c r="K1726" s="271" t="str">
        <f>HYPERLINK("[#]PhysicalQuantities!A20:N20","Length")</f>
        <v>Length</v>
      </c>
      <c r="L1726" s="270" t="str">
        <f>HYPERLINK("[#]UnitsOfMeasure!D80:G80","Metre")</f>
        <v>Metre</v>
      </c>
      <c r="M1726" s="272"/>
      <c r="N1726" s="273"/>
      <c r="O1726" s="269"/>
      <c r="P1726" s="37">
        <v>109999</v>
      </c>
      <c r="Q1726" s="36" t="str">
        <f>CONCATENATE(Cover!$D$6,"fdd/view?i=",P1726)</f>
        <v>https://www.dgiwg.org/FAD/fdd/view?i=109999</v>
      </c>
      <c r="R1726" s="13" t="s">
        <v>14292</v>
      </c>
      <c r="S1726" s="172"/>
      <c r="T1726" s="172"/>
      <c r="BO1726" s="82" t="s">
        <v>1790</v>
      </c>
      <c r="BP1726" s="82" t="s">
        <v>1790</v>
      </c>
      <c r="CP1726" s="164" t="s">
        <v>1790</v>
      </c>
      <c r="CQ1726" s="165" t="s">
        <v>1790</v>
      </c>
    </row>
    <row r="1727" spans="1:104" ht="38.25" x14ac:dyDescent="0.2">
      <c r="A1727" s="176" t="str">
        <f t="shared" si="47"/>
        <v>waterTurbulenceType</v>
      </c>
      <c r="B1727" s="11" t="s">
        <v>14297</v>
      </c>
      <c r="C1727" s="173"/>
      <c r="D1727" s="22" t="s">
        <v>14298</v>
      </c>
      <c r="E1727" s="15" t="s">
        <v>14299</v>
      </c>
      <c r="F1727" s="15" t="s">
        <v>14300</v>
      </c>
      <c r="G1727" s="174"/>
      <c r="H1727" s="17" t="s">
        <v>5932</v>
      </c>
      <c r="I1727" s="269"/>
      <c r="J1727" s="369" t="str">
        <f>HYPERLINK("[#]Datatypes!B1702:L1702","WttCode")</f>
        <v>WttCode</v>
      </c>
      <c r="K1727" s="276"/>
      <c r="L1727" s="272"/>
      <c r="M1727" s="272"/>
      <c r="N1727" s="248" t="str">
        <f>HYPERLINK("[#]DatatypeListedValues!A10467:H10467","&lt;values&gt;")</f>
        <v>&lt;values&gt;</v>
      </c>
      <c r="O1727" s="277" t="b">
        <v>0</v>
      </c>
      <c r="P1727" s="37">
        <v>103059</v>
      </c>
      <c r="Q1727" s="36" t="str">
        <f>CONCATENATE(Cover!$D$6,"fdd/view?i=",P1727)</f>
        <v>https://www.dgiwg.org/FAD/fdd/view?i=103059</v>
      </c>
      <c r="R1727" s="13" t="s">
        <v>14296</v>
      </c>
      <c r="S1727" s="172"/>
      <c r="T1727" s="172"/>
      <c r="AS1727" s="82" t="s">
        <v>1790</v>
      </c>
      <c r="AZ1727" s="87" t="s">
        <v>1790</v>
      </c>
      <c r="BE1727" s="83" t="s">
        <v>1790</v>
      </c>
      <c r="BF1727" s="83" t="s">
        <v>1790</v>
      </c>
      <c r="BG1727" s="83" t="s">
        <v>1790</v>
      </c>
      <c r="CS1727" s="165" t="s">
        <v>1790</v>
      </c>
    </row>
    <row r="1728" spans="1:104" x14ac:dyDescent="0.2">
      <c r="A1728" s="176" t="str">
        <f t="shared" si="47"/>
        <v>waterType</v>
      </c>
      <c r="B1728" s="11" t="s">
        <v>14303</v>
      </c>
      <c r="C1728" s="173"/>
      <c r="D1728" s="22" t="s">
        <v>14304</v>
      </c>
      <c r="E1728" s="15" t="s">
        <v>14305</v>
      </c>
      <c r="F1728" s="174"/>
      <c r="G1728" s="174"/>
      <c r="H1728" s="17" t="s">
        <v>5932</v>
      </c>
      <c r="I1728" s="269"/>
      <c r="J1728" s="369" t="str">
        <f>HYPERLINK("[#]Datatypes!B1704:L1704","SccCode")</f>
        <v>SccCode</v>
      </c>
      <c r="K1728" s="276"/>
      <c r="L1728" s="272"/>
      <c r="M1728" s="272"/>
      <c r="N1728" s="248" t="str">
        <f>HYPERLINK("[#]DatatypeListedValues!A10476:H10476","&lt;values&gt;")</f>
        <v>&lt;values&gt;</v>
      </c>
      <c r="O1728" s="277" t="b">
        <v>0</v>
      </c>
      <c r="P1728" s="37">
        <v>101268</v>
      </c>
      <c r="Q1728" s="36" t="str">
        <f>CONCATENATE(Cover!$D$6,"fdd/view?i=",P1728)</f>
        <v>https://www.dgiwg.org/FAD/fdd/view?i=101268</v>
      </c>
      <c r="R1728" s="13" t="s">
        <v>14302</v>
      </c>
      <c r="S1728" s="172"/>
      <c r="T1728" s="172"/>
      <c r="BJ1728" s="83" t="s">
        <v>1790</v>
      </c>
      <c r="BP1728" s="82" t="s">
        <v>1790</v>
      </c>
      <c r="BZ1728" s="83" t="s">
        <v>1790</v>
      </c>
    </row>
    <row r="1729" spans="1:100" ht="25.5" x14ac:dyDescent="0.2">
      <c r="A1729" s="176" t="str">
        <f t="shared" si="47"/>
        <v>waterUse</v>
      </c>
      <c r="B1729" s="11" t="s">
        <v>14308</v>
      </c>
      <c r="C1729" s="173"/>
      <c r="D1729" s="22" t="s">
        <v>14309</v>
      </c>
      <c r="E1729" s="15" t="s">
        <v>14310</v>
      </c>
      <c r="F1729" s="15" t="s">
        <v>14311</v>
      </c>
      <c r="G1729" s="174"/>
      <c r="H1729" s="17" t="s">
        <v>5932</v>
      </c>
      <c r="I1729" s="17" t="s">
        <v>6029</v>
      </c>
      <c r="J1729" s="369" t="str">
        <f>HYPERLINK("[#]Datatypes!B1706:L1706","WurCode")</f>
        <v>WurCode</v>
      </c>
      <c r="K1729" s="276"/>
      <c r="L1729" s="272"/>
      <c r="M1729" s="272"/>
      <c r="N1729" s="248" t="str">
        <f>HYPERLINK("[#]DatatypeListedValues!A10483:H10483","&lt;values&gt;")</f>
        <v>&lt;values&gt;</v>
      </c>
      <c r="O1729" s="277" t="b">
        <v>0</v>
      </c>
      <c r="P1729" s="37">
        <v>119412</v>
      </c>
      <c r="Q1729" s="36" t="str">
        <f>CONCATENATE(Cover!$D$6,"fdd/view?i=",P1729)</f>
        <v>https://www.dgiwg.org/FAD/fdd/view?i=119412</v>
      </c>
      <c r="R1729" s="13" t="s">
        <v>14307</v>
      </c>
      <c r="S1729" s="172"/>
      <c r="T1729" s="172"/>
      <c r="AC1729" s="82" t="s">
        <v>1790</v>
      </c>
      <c r="BJ1729" s="83" t="s">
        <v>1790</v>
      </c>
      <c r="BP1729" s="82" t="s">
        <v>1790</v>
      </c>
      <c r="BU1729" s="87" t="s">
        <v>1790</v>
      </c>
    </row>
    <row r="1730" spans="1:100" ht="140.25" x14ac:dyDescent="0.2">
      <c r="A1730" s="176" t="str">
        <f t="shared" si="47"/>
        <v>waterWellConstructionDesc</v>
      </c>
      <c r="B1730" s="11" t="s">
        <v>14314</v>
      </c>
      <c r="C1730" s="173"/>
      <c r="D1730" s="22" t="s">
        <v>14315</v>
      </c>
      <c r="E1730" s="15" t="s">
        <v>14316</v>
      </c>
      <c r="F1730" s="15" t="s">
        <v>14317</v>
      </c>
      <c r="G1730" s="174"/>
      <c r="H1730" s="17" t="s">
        <v>5932</v>
      </c>
      <c r="I1730" s="269"/>
      <c r="J1730" s="369" t="str">
        <f>HYPERLINK("[#]Datatypes!B1544:L1544","TextLexUnconstrained")</f>
        <v>TextLexUnconstrained</v>
      </c>
      <c r="K1730" s="276"/>
      <c r="L1730" s="272"/>
      <c r="M1730" s="272"/>
      <c r="N1730" s="273"/>
      <c r="O1730" s="269"/>
      <c r="P1730" s="37">
        <v>119411</v>
      </c>
      <c r="Q1730" s="36" t="str">
        <f>CONCATENATE(Cover!$D$6,"fdd/view?i=",P1730)</f>
        <v>https://www.dgiwg.org/FAD/fdd/view?i=119411</v>
      </c>
      <c r="R1730" s="13" t="s">
        <v>14313</v>
      </c>
      <c r="S1730" s="172"/>
      <c r="T1730" s="172"/>
      <c r="AA1730" s="81" t="s">
        <v>1790</v>
      </c>
    </row>
    <row r="1731" spans="1:100" x14ac:dyDescent="0.2">
      <c r="A1731" s="176" t="str">
        <f t="shared" ref="A1731:A1776" si="48">HYPERLINK(Q1731,R1731)</f>
        <v>waterbodyBankHeight</v>
      </c>
      <c r="B1731" s="11" t="s">
        <v>14319</v>
      </c>
      <c r="C1731" s="173"/>
      <c r="D1731" s="22" t="s">
        <v>14320</v>
      </c>
      <c r="E1731" s="15" t="s">
        <v>14321</v>
      </c>
      <c r="F1731" s="174"/>
      <c r="G1731" s="174"/>
      <c r="H1731" s="17" t="s">
        <v>5932</v>
      </c>
      <c r="I1731" s="269"/>
      <c r="J1731" s="369" t="str">
        <f>HYPERLINK("[#]Datatypes!B1233:L1233","RealInterval")</f>
        <v>RealInterval</v>
      </c>
      <c r="K1731" s="271" t="str">
        <f>HYPERLINK("[#]PhysicalQuantities!A20:N20","Length")</f>
        <v>Length</v>
      </c>
      <c r="L1731" s="270" t="str">
        <f>HYPERLINK("[#]UnitsOfMeasure!D80:G80","Metre")</f>
        <v>Metre</v>
      </c>
      <c r="M1731" s="272"/>
      <c r="N1731" s="273"/>
      <c r="O1731" s="269"/>
      <c r="P1731" s="37">
        <v>114354</v>
      </c>
      <c r="Q1731" s="36" t="str">
        <f>CONCATENATE(Cover!$D$6,"fdd/view?i=",P1731)</f>
        <v>https://www.dgiwg.org/FAD/fdd/view?i=114354</v>
      </c>
      <c r="R1731" s="13" t="s">
        <v>14318</v>
      </c>
      <c r="S1731" s="172"/>
      <c r="T1731" s="172"/>
      <c r="BJ1731" s="83" t="s">
        <v>1790</v>
      </c>
      <c r="CQ1731" s="165" t="s">
        <v>1790</v>
      </c>
    </row>
    <row r="1732" spans="1:100" x14ac:dyDescent="0.2">
      <c r="A1732" s="176" t="str">
        <f t="shared" si="48"/>
        <v>waterbodyBankVegCover</v>
      </c>
      <c r="B1732" s="11" t="s">
        <v>14323</v>
      </c>
      <c r="C1732" s="173"/>
      <c r="D1732" s="22" t="s">
        <v>14324</v>
      </c>
      <c r="E1732" s="15" t="s">
        <v>14325</v>
      </c>
      <c r="F1732" s="174"/>
      <c r="G1732" s="174"/>
      <c r="H1732" s="17" t="s">
        <v>5932</v>
      </c>
      <c r="I1732" s="269"/>
      <c r="J1732" s="369" t="str">
        <f>HYPERLINK("[#]Datatypes!B1238:L1238","RealNonNegInterval100")</f>
        <v>RealNonNegInterval100</v>
      </c>
      <c r="K1732" s="271" t="str">
        <f>HYPERLINK("[#]PhysicalQuantities!A39:N39","Pure Number")</f>
        <v>Pure Number</v>
      </c>
      <c r="L1732" s="270" t="str">
        <f>HYPERLINK("[#]UnitsOfMeasure!D215:G215","Percent")</f>
        <v>Percent</v>
      </c>
      <c r="M1732" s="272"/>
      <c r="N1732" s="273"/>
      <c r="O1732" s="269"/>
      <c r="P1732" s="37">
        <v>114355</v>
      </c>
      <c r="Q1732" s="36" t="str">
        <f>CONCATENATE(Cover!$D$6,"fdd/view?i=",P1732)</f>
        <v>https://www.dgiwg.org/FAD/fdd/view?i=114355</v>
      </c>
      <c r="R1732" s="13" t="s">
        <v>14322</v>
      </c>
      <c r="S1732" s="172"/>
      <c r="T1732" s="172"/>
      <c r="BJ1732" s="83" t="s">
        <v>1790</v>
      </c>
      <c r="CB1732" s="89" t="s">
        <v>1790</v>
      </c>
      <c r="CQ1732" s="165" t="s">
        <v>1790</v>
      </c>
      <c r="CS1732" s="165" t="s">
        <v>1790</v>
      </c>
    </row>
    <row r="1733" spans="1:100" ht="25.5" x14ac:dyDescent="0.2">
      <c r="A1733" s="176" t="str">
        <f t="shared" si="48"/>
        <v>waterbodyBottomHardness</v>
      </c>
      <c r="B1733" s="11" t="s">
        <v>14327</v>
      </c>
      <c r="C1733" s="173"/>
      <c r="D1733" s="22" t="s">
        <v>14328</v>
      </c>
      <c r="E1733" s="15" t="s">
        <v>14329</v>
      </c>
      <c r="F1733" s="174"/>
      <c r="G1733" s="174"/>
      <c r="H1733" s="17" t="s">
        <v>5932</v>
      </c>
      <c r="I1733" s="269"/>
      <c r="J1733" s="369" t="str">
        <f>HYPERLINK("[#]Datatypes!B1708:L1708","SshCode")</f>
        <v>SshCode</v>
      </c>
      <c r="K1733" s="276"/>
      <c r="L1733" s="272"/>
      <c r="M1733" s="272"/>
      <c r="N1733" s="248" t="str">
        <f>HYPERLINK("[#]DatatypeListedValues!A10493:H10493","&lt;values&gt;")</f>
        <v>&lt;values&gt;</v>
      </c>
      <c r="O1733" s="277" t="b">
        <v>0</v>
      </c>
      <c r="P1733" s="37">
        <v>111727</v>
      </c>
      <c r="Q1733" s="36" t="str">
        <f>CONCATENATE(Cover!$D$6,"fdd/view?i=",P1733)</f>
        <v>https://www.dgiwg.org/FAD/fdd/view?i=111727</v>
      </c>
      <c r="R1733" s="13" t="s">
        <v>14326</v>
      </c>
      <c r="S1733" s="172"/>
      <c r="T1733" s="172"/>
      <c r="BC1733" s="83" t="s">
        <v>1790</v>
      </c>
      <c r="CS1733" s="165" t="s">
        <v>1790</v>
      </c>
    </row>
    <row r="1734" spans="1:100" ht="25.5" x14ac:dyDescent="0.2">
      <c r="A1734" s="176" t="str">
        <f t="shared" si="48"/>
        <v>waterbodyDepth</v>
      </c>
      <c r="B1734" s="11" t="s">
        <v>14332</v>
      </c>
      <c r="C1734" s="173"/>
      <c r="D1734" s="22" t="s">
        <v>14333</v>
      </c>
      <c r="E1734" s="15" t="s">
        <v>14334</v>
      </c>
      <c r="F1734" s="174"/>
      <c r="G1734" s="174"/>
      <c r="H1734" s="17" t="s">
        <v>5932</v>
      </c>
      <c r="I1734" s="269"/>
      <c r="J1734" s="369" t="str">
        <f>HYPERLINK("[#]Datatypes!B1231:L1231","Real")</f>
        <v>Real</v>
      </c>
      <c r="K1734" s="271" t="str">
        <f>HYPERLINK("[#]PhysicalQuantities!A20:N20","Length")</f>
        <v>Length</v>
      </c>
      <c r="L1734" s="270" t="str">
        <f>HYPERLINK("[#]UnitsOfMeasure!D80:G80","Metre")</f>
        <v>Metre</v>
      </c>
      <c r="M1734" s="272"/>
      <c r="N1734" s="273"/>
      <c r="O1734" s="269"/>
      <c r="P1734" s="37">
        <v>114353</v>
      </c>
      <c r="Q1734" s="36" t="str">
        <f>CONCATENATE(Cover!$D$6,"fdd/view?i=",P1734)</f>
        <v>https://www.dgiwg.org/FAD/fdd/view?i=114353</v>
      </c>
      <c r="R1734" s="13" t="s">
        <v>14331</v>
      </c>
      <c r="S1734" s="172"/>
      <c r="T1734" s="172"/>
      <c r="AZ1734" s="87" t="s">
        <v>1790</v>
      </c>
      <c r="BB1734" s="83" t="s">
        <v>1790</v>
      </c>
      <c r="BJ1734" s="83" t="s">
        <v>1790</v>
      </c>
      <c r="CP1734" s="164" t="s">
        <v>1790</v>
      </c>
    </row>
    <row r="1735" spans="1:100" ht="51" x14ac:dyDescent="0.2">
      <c r="A1735" s="176" t="str">
        <f t="shared" si="48"/>
        <v>waterbodyMorphology</v>
      </c>
      <c r="B1735" s="11" t="s">
        <v>14336</v>
      </c>
      <c r="C1735" s="173"/>
      <c r="D1735" s="22" t="s">
        <v>14337</v>
      </c>
      <c r="E1735" s="15" t="s">
        <v>14338</v>
      </c>
      <c r="F1735" s="15" t="s">
        <v>14339</v>
      </c>
      <c r="G1735" s="174"/>
      <c r="H1735" s="17" t="s">
        <v>5932</v>
      </c>
      <c r="I1735" s="269"/>
      <c r="J1735" s="369" t="str">
        <f>HYPERLINK("[#]Datatypes!B1710:L1710","SeaCode")</f>
        <v>SeaCode</v>
      </c>
      <c r="K1735" s="276"/>
      <c r="L1735" s="272"/>
      <c r="M1735" s="272"/>
      <c r="N1735" s="248" t="str">
        <f>HYPERLINK("[#]DatatypeListedValues!A10502:H10502","&lt;values&gt;")</f>
        <v>&lt;values&gt;</v>
      </c>
      <c r="O1735" s="277" t="b">
        <v>0</v>
      </c>
      <c r="P1735" s="37">
        <v>101281</v>
      </c>
      <c r="Q1735" s="36" t="str">
        <f>CONCATENATE(Cover!$D$6,"fdd/view?i=",P1735)</f>
        <v>https://www.dgiwg.org/FAD/fdd/view?i=101281</v>
      </c>
      <c r="R1735" s="13" t="s">
        <v>14335</v>
      </c>
      <c r="S1735" s="172"/>
      <c r="T1735" s="172"/>
      <c r="BC1735" s="83" t="s">
        <v>1790</v>
      </c>
      <c r="BK1735" s="89" t="s">
        <v>1790</v>
      </c>
      <c r="BM1735" s="82" t="s">
        <v>1790</v>
      </c>
      <c r="CS1735" s="165" t="s">
        <v>1790</v>
      </c>
    </row>
    <row r="1736" spans="1:100" ht="25.5" x14ac:dyDescent="0.2">
      <c r="A1736" s="176" t="str">
        <f t="shared" si="48"/>
        <v>waterbodyOverheadObstruct</v>
      </c>
      <c r="B1736" s="11" t="s">
        <v>14342</v>
      </c>
      <c r="C1736" s="173"/>
      <c r="D1736" s="22" t="s">
        <v>14343</v>
      </c>
      <c r="E1736" s="15" t="s">
        <v>14344</v>
      </c>
      <c r="F1736" s="174"/>
      <c r="G1736" s="174"/>
      <c r="H1736" s="17" t="s">
        <v>5932</v>
      </c>
      <c r="I1736" s="269"/>
      <c r="J1736" s="369" t="str">
        <f>HYPERLINK("[#]Datatypes!B240:L240","Boolean")</f>
        <v>Boolean</v>
      </c>
      <c r="K1736" s="276"/>
      <c r="L1736" s="272"/>
      <c r="M1736" s="272"/>
      <c r="N1736" s="273"/>
      <c r="O1736" s="269"/>
      <c r="P1736" s="37">
        <v>101139</v>
      </c>
      <c r="Q1736" s="36" t="str">
        <f>CONCATENATE(Cover!$D$6,"fdd/view?i=",P1736)</f>
        <v>https://www.dgiwg.org/FAD/fdd/view?i=101139</v>
      </c>
      <c r="R1736" s="13" t="s">
        <v>14341</v>
      </c>
      <c r="S1736" s="172"/>
      <c r="T1736" s="172"/>
      <c r="AS1736" s="82" t="s">
        <v>1790</v>
      </c>
      <c r="AU1736" s="82" t="s">
        <v>1790</v>
      </c>
      <c r="BF1736" s="83" t="s">
        <v>1790</v>
      </c>
      <c r="BJ1736" s="83" t="s">
        <v>1790</v>
      </c>
    </row>
    <row r="1737" spans="1:100" ht="25.5" x14ac:dyDescent="0.2">
      <c r="A1737" s="176" t="str">
        <f t="shared" si="48"/>
        <v>watercourseChannelType</v>
      </c>
      <c r="B1737" s="11" t="s">
        <v>14346</v>
      </c>
      <c r="C1737" s="173"/>
      <c r="D1737" s="22" t="s">
        <v>14347</v>
      </c>
      <c r="E1737" s="15" t="s">
        <v>14348</v>
      </c>
      <c r="F1737" s="174"/>
      <c r="G1737" s="174"/>
      <c r="H1737" s="17" t="s">
        <v>5932</v>
      </c>
      <c r="I1737" s="269"/>
      <c r="J1737" s="369" t="str">
        <f>HYPERLINK("[#]Datatypes!B1712:L1712","WccCode")</f>
        <v>WccCode</v>
      </c>
      <c r="K1737" s="276"/>
      <c r="L1737" s="272"/>
      <c r="M1737" s="272"/>
      <c r="N1737" s="248" t="str">
        <f>HYPERLINK("[#]DatatypeListedValues!A10621:H10621","&lt;values&gt;")</f>
        <v>&lt;values&gt;</v>
      </c>
      <c r="O1737" s="277" t="b">
        <v>0</v>
      </c>
      <c r="P1737" s="37">
        <v>101469</v>
      </c>
      <c r="Q1737" s="36" t="str">
        <f>CONCATENATE(Cover!$D$6,"fdd/view?i=",P1737)</f>
        <v>https://www.dgiwg.org/FAD/fdd/view?i=101469</v>
      </c>
      <c r="R1737" s="13" t="s">
        <v>14345</v>
      </c>
      <c r="S1737" s="172"/>
      <c r="T1737" s="172"/>
      <c r="BJ1737" s="83" t="s">
        <v>1790</v>
      </c>
      <c r="CS1737" s="165" t="s">
        <v>1790</v>
      </c>
    </row>
    <row r="1738" spans="1:100" x14ac:dyDescent="0.2">
      <c r="A1738" s="176" t="str">
        <f t="shared" si="48"/>
        <v>watercourseMorphology</v>
      </c>
      <c r="B1738" s="11" t="s">
        <v>14351</v>
      </c>
      <c r="C1738" s="173"/>
      <c r="D1738" s="22" t="s">
        <v>14352</v>
      </c>
      <c r="E1738" s="15" t="s">
        <v>14353</v>
      </c>
      <c r="F1738" s="174"/>
      <c r="G1738" s="174"/>
      <c r="H1738" s="17" t="s">
        <v>5932</v>
      </c>
      <c r="I1738" s="269"/>
      <c r="J1738" s="369" t="str">
        <f>HYPERLINK("[#]Datatypes!B1714:L1714","WmtCode")</f>
        <v>WmtCode</v>
      </c>
      <c r="K1738" s="276"/>
      <c r="L1738" s="272"/>
      <c r="M1738" s="272"/>
      <c r="N1738" s="248" t="str">
        <f>HYPERLINK("[#]DatatypeListedValues!A10629:H10629","&lt;values&gt;")</f>
        <v>&lt;values&gt;</v>
      </c>
      <c r="O1738" s="277" t="b">
        <v>0</v>
      </c>
      <c r="P1738" s="37">
        <v>111762</v>
      </c>
      <c r="Q1738" s="36" t="str">
        <f>CONCATENATE(Cover!$D$6,"fdd/view?i=",P1738)</f>
        <v>https://www.dgiwg.org/FAD/fdd/view?i=111762</v>
      </c>
      <c r="R1738" s="13" t="s">
        <v>14350</v>
      </c>
      <c r="S1738" s="172"/>
      <c r="T1738" s="172"/>
      <c r="BJ1738" s="83" t="s">
        <v>1790</v>
      </c>
      <c r="BM1738" s="82" t="s">
        <v>1790</v>
      </c>
      <c r="CS1738" s="165" t="s">
        <v>1790</v>
      </c>
    </row>
    <row r="1739" spans="1:100" x14ac:dyDescent="0.2">
      <c r="A1739" s="176" t="str">
        <f t="shared" si="48"/>
        <v>watercourseSinkType</v>
      </c>
      <c r="B1739" s="11" t="s">
        <v>14356</v>
      </c>
      <c r="C1739" s="173"/>
      <c r="D1739" s="22" t="s">
        <v>14357</v>
      </c>
      <c r="E1739" s="15" t="s">
        <v>14358</v>
      </c>
      <c r="F1739" s="174"/>
      <c r="G1739" s="174"/>
      <c r="H1739" s="17" t="s">
        <v>5932</v>
      </c>
      <c r="I1739" s="269"/>
      <c r="J1739" s="369" t="str">
        <f>HYPERLINK("[#]Datatypes!B1716:L1716","WstCode")</f>
        <v>WstCode</v>
      </c>
      <c r="K1739" s="276"/>
      <c r="L1739" s="272"/>
      <c r="M1739" s="272"/>
      <c r="N1739" s="248" t="str">
        <f>HYPERLINK("[#]DatatypeListedValues!A10643:H10643","&lt;values&gt;")</f>
        <v>&lt;values&gt;</v>
      </c>
      <c r="O1739" s="277" t="b">
        <v>0</v>
      </c>
      <c r="P1739" s="37">
        <v>101507</v>
      </c>
      <c r="Q1739" s="36" t="str">
        <f>CONCATENATE(Cover!$D$6,"fdd/view?i=",P1739)</f>
        <v>https://www.dgiwg.org/FAD/fdd/view?i=101507</v>
      </c>
      <c r="R1739" s="13" t="s">
        <v>14355</v>
      </c>
      <c r="S1739" s="172"/>
      <c r="T1739" s="172"/>
      <c r="BJ1739" s="83" t="s">
        <v>1790</v>
      </c>
      <c r="CS1739" s="165" t="s">
        <v>1790</v>
      </c>
    </row>
    <row r="1740" spans="1:100" ht="51" x14ac:dyDescent="0.2">
      <c r="A1740" s="176" t="str">
        <f t="shared" si="48"/>
        <v>waterwayClassification</v>
      </c>
      <c r="B1740" s="11" t="s">
        <v>14361</v>
      </c>
      <c r="C1740" s="173"/>
      <c r="D1740" s="22" t="s">
        <v>14362</v>
      </c>
      <c r="E1740" s="15" t="s">
        <v>14363</v>
      </c>
      <c r="F1740" s="174"/>
      <c r="G1740" s="174"/>
      <c r="H1740" s="17" t="s">
        <v>5932</v>
      </c>
      <c r="I1740" s="269"/>
      <c r="J1740" s="369" t="str">
        <f>HYPERLINK("[#]Datatypes!B1718:L1718","WwcCode")</f>
        <v>WwcCode</v>
      </c>
      <c r="K1740" s="276"/>
      <c r="L1740" s="272"/>
      <c r="M1740" s="272"/>
      <c r="N1740" s="248" t="str">
        <f>HYPERLINK("[#]DatatypeListedValues!A10647:H10647","&lt;values&gt;")</f>
        <v>&lt;values&gt;</v>
      </c>
      <c r="O1740" s="277" t="b">
        <v>0</v>
      </c>
      <c r="P1740" s="37">
        <v>111767</v>
      </c>
      <c r="Q1740" s="36" t="str">
        <f>CONCATENATE(Cover!$D$6,"fdd/view?i=",P1740)</f>
        <v>https://www.dgiwg.org/FAD/fdd/view?i=111767</v>
      </c>
      <c r="R1740" s="13" t="s">
        <v>14360</v>
      </c>
      <c r="S1740" s="172"/>
      <c r="T1740" s="172"/>
      <c r="AS1740" s="82" t="s">
        <v>1790</v>
      </c>
      <c r="BJ1740" s="83" t="s">
        <v>1790</v>
      </c>
      <c r="CQ1740" s="165" t="s">
        <v>1790</v>
      </c>
      <c r="CV1740" s="83" t="s">
        <v>1790</v>
      </c>
    </row>
    <row r="1741" spans="1:100" ht="38.25" x14ac:dyDescent="0.2">
      <c r="A1741" s="176" t="str">
        <f t="shared" si="48"/>
        <v>waterwayMaintStatus</v>
      </c>
      <c r="B1741" s="11" t="s">
        <v>14366</v>
      </c>
      <c r="C1741" s="173"/>
      <c r="D1741" s="22" t="s">
        <v>14367</v>
      </c>
      <c r="E1741" s="15" t="s">
        <v>14368</v>
      </c>
      <c r="F1741" s="15" t="s">
        <v>14369</v>
      </c>
      <c r="G1741" s="174"/>
      <c r="H1741" s="17" t="s">
        <v>5932</v>
      </c>
      <c r="I1741" s="269"/>
      <c r="J1741" s="369" t="str">
        <f>HYPERLINK("[#]Datatypes!B1720:L1720","WmaCode")</f>
        <v>WmaCode</v>
      </c>
      <c r="K1741" s="276"/>
      <c r="L1741" s="272"/>
      <c r="M1741" s="272"/>
      <c r="N1741" s="248" t="str">
        <f>HYPERLINK("[#]DatatypeListedValues!A10660:H10660","&lt;values&gt;")</f>
        <v>&lt;values&gt;</v>
      </c>
      <c r="O1741" s="277" t="b">
        <v>0</v>
      </c>
      <c r="P1741" s="37">
        <v>110737</v>
      </c>
      <c r="Q1741" s="36" t="str">
        <f>CONCATENATE(Cover!$D$6,"fdd/view?i=",P1741)</f>
        <v>https://www.dgiwg.org/FAD/fdd/view?i=110737</v>
      </c>
      <c r="R1741" s="13" t="s">
        <v>14365</v>
      </c>
      <c r="S1741" s="172"/>
      <c r="T1741" s="172"/>
      <c r="BJ1741" s="83" t="s">
        <v>1790</v>
      </c>
      <c r="CT1741" s="166" t="s">
        <v>1790</v>
      </c>
    </row>
    <row r="1742" spans="1:100" ht="51" x14ac:dyDescent="0.2">
      <c r="A1742" s="176" t="str">
        <f t="shared" si="48"/>
        <v>wayPointClass</v>
      </c>
      <c r="B1742" s="11" t="s">
        <v>14372</v>
      </c>
      <c r="C1742" s="173"/>
      <c r="D1742" s="22" t="s">
        <v>14373</v>
      </c>
      <c r="E1742" s="15" t="s">
        <v>14374</v>
      </c>
      <c r="F1742" s="15" t="s">
        <v>14375</v>
      </c>
      <c r="G1742" s="174"/>
      <c r="H1742" s="17" t="s">
        <v>5932</v>
      </c>
      <c r="I1742" s="269"/>
      <c r="J1742" s="369" t="str">
        <f>HYPERLINK("[#]Datatypes!B1722:L1722","WplCode")</f>
        <v>WplCode</v>
      </c>
      <c r="K1742" s="276"/>
      <c r="L1742" s="272"/>
      <c r="M1742" s="272"/>
      <c r="N1742" s="248" t="str">
        <f>HYPERLINK("[#]DatatypeListedValues!A10663:H10663","&lt;values&gt;")</f>
        <v>&lt;values&gt;</v>
      </c>
      <c r="O1742" s="277" t="b">
        <v>0</v>
      </c>
      <c r="P1742" s="37">
        <v>119651</v>
      </c>
      <c r="Q1742" s="36" t="str">
        <f>CONCATENATE(Cover!$D$6,"fdd/view?i=",P1742)</f>
        <v>https://www.dgiwg.org/FAD/fdd/view?i=119651</v>
      </c>
      <c r="R1742" s="13" t="s">
        <v>14371</v>
      </c>
      <c r="S1742" s="172"/>
      <c r="T1742" s="172"/>
      <c r="AT1742" s="82" t="s">
        <v>1790</v>
      </c>
      <c r="CF1742" s="83" t="s">
        <v>1790</v>
      </c>
      <c r="CT1742" s="166" t="s">
        <v>1790</v>
      </c>
    </row>
    <row r="1743" spans="1:100" ht="25.5" x14ac:dyDescent="0.2">
      <c r="A1743" s="176" t="str">
        <f t="shared" si="48"/>
        <v>wayPointType</v>
      </c>
      <c r="B1743" s="11" t="s">
        <v>5858</v>
      </c>
      <c r="C1743" s="173"/>
      <c r="D1743" s="22" t="s">
        <v>14378</v>
      </c>
      <c r="E1743" s="15" t="s">
        <v>14379</v>
      </c>
      <c r="F1743" s="174"/>
      <c r="G1743" s="174"/>
      <c r="H1743" s="17" t="s">
        <v>5932</v>
      </c>
      <c r="I1743" s="269"/>
      <c r="J1743" s="369" t="str">
        <f>HYPERLINK("[#]Datatypes!B1724:L1724","WptCode")</f>
        <v>WptCode</v>
      </c>
      <c r="K1743" s="276"/>
      <c r="L1743" s="272"/>
      <c r="M1743" s="272"/>
      <c r="N1743" s="248" t="str">
        <f>HYPERLINK("[#]DatatypeListedValues!A10665:H10665","&lt;values&gt;")</f>
        <v>&lt;values&gt;</v>
      </c>
      <c r="O1743" s="277" t="b">
        <v>0</v>
      </c>
      <c r="P1743" s="37">
        <v>117746</v>
      </c>
      <c r="Q1743" s="36" t="str">
        <f>CONCATENATE(Cover!$D$6,"fdd/view?i=",P1743)</f>
        <v>https://www.dgiwg.org/FAD/fdd/view?i=117746</v>
      </c>
      <c r="R1743" s="13" t="s">
        <v>14377</v>
      </c>
      <c r="S1743" s="172"/>
      <c r="T1743" s="172"/>
      <c r="CF1743" s="83" t="s">
        <v>1790</v>
      </c>
    </row>
    <row r="1744" spans="1:100" ht="25.5" x14ac:dyDescent="0.2">
      <c r="A1744" s="176" t="str">
        <f t="shared" si="48"/>
        <v>wayPointUsage</v>
      </c>
      <c r="B1744" s="11" t="s">
        <v>14382</v>
      </c>
      <c r="C1744" s="173"/>
      <c r="D1744" s="22" t="s">
        <v>14383</v>
      </c>
      <c r="E1744" s="15" t="s">
        <v>14384</v>
      </c>
      <c r="F1744" s="15" t="s">
        <v>14385</v>
      </c>
      <c r="G1744" s="174"/>
      <c r="H1744" s="17" t="s">
        <v>5932</v>
      </c>
      <c r="I1744" s="269"/>
      <c r="J1744" s="369" t="str">
        <f>HYPERLINK("[#]Datatypes!B1726:L1726","WpuCode")</f>
        <v>WpuCode</v>
      </c>
      <c r="K1744" s="276"/>
      <c r="L1744" s="272"/>
      <c r="M1744" s="272"/>
      <c r="N1744" s="248" t="str">
        <f>HYPERLINK("[#]DatatypeListedValues!A10667:H10667","&lt;values&gt;")</f>
        <v>&lt;values&gt;</v>
      </c>
      <c r="O1744" s="277" t="b">
        <v>0</v>
      </c>
      <c r="P1744" s="37">
        <v>119652</v>
      </c>
      <c r="Q1744" s="36" t="str">
        <f>CONCATENATE(Cover!$D$6,"fdd/view?i=",P1744)</f>
        <v>https://www.dgiwg.org/FAD/fdd/view?i=119652</v>
      </c>
      <c r="R1744" s="13" t="s">
        <v>14381</v>
      </c>
      <c r="S1744" s="172"/>
      <c r="T1744" s="172"/>
      <c r="AT1744" s="82" t="s">
        <v>1790</v>
      </c>
      <c r="CF1744" s="83" t="s">
        <v>1790</v>
      </c>
      <c r="CT1744" s="166" t="s">
        <v>1790</v>
      </c>
    </row>
    <row r="1745" spans="1:98" ht="25.5" x14ac:dyDescent="0.2">
      <c r="A1745" s="176" t="str">
        <f t="shared" si="48"/>
        <v>weaponStorageType</v>
      </c>
      <c r="B1745" s="11" t="s">
        <v>14388</v>
      </c>
      <c r="C1745" s="173"/>
      <c r="D1745" s="22" t="s">
        <v>14389</v>
      </c>
      <c r="E1745" s="15" t="s">
        <v>14390</v>
      </c>
      <c r="F1745" s="15" t="s">
        <v>6582</v>
      </c>
      <c r="G1745" s="174"/>
      <c r="H1745" s="17" t="s">
        <v>5932</v>
      </c>
      <c r="I1745" s="269"/>
      <c r="J1745" s="369" t="str">
        <f>HYPERLINK("[#]Datatypes!B1728:L1728","XmtCode")</f>
        <v>XmtCode</v>
      </c>
      <c r="K1745" s="276"/>
      <c r="L1745" s="272"/>
      <c r="M1745" s="272"/>
      <c r="N1745" s="248" t="str">
        <f>HYPERLINK("[#]DatatypeListedValues!A10671:H10671","&lt;values&gt;")</f>
        <v>&lt;values&gt;</v>
      </c>
      <c r="O1745" s="277" t="b">
        <v>0</v>
      </c>
      <c r="P1745" s="37">
        <v>119764</v>
      </c>
      <c r="Q1745" s="36" t="str">
        <f>CONCATENATE(Cover!$D$6,"fdd/view?i=",P1745)</f>
        <v>https://www.dgiwg.org/FAD/fdd/view?i=119764</v>
      </c>
      <c r="R1745" s="13" t="s">
        <v>14387</v>
      </c>
      <c r="S1745" s="172"/>
      <c r="T1745" s="172"/>
      <c r="CJ1745" s="81" t="s">
        <v>1790</v>
      </c>
      <c r="CT1745" s="166" t="s">
        <v>1790</v>
      </c>
    </row>
    <row r="1746" spans="1:98" x14ac:dyDescent="0.2">
      <c r="A1746" s="176" t="str">
        <f t="shared" si="48"/>
        <v>weaponSystemCat</v>
      </c>
      <c r="B1746" s="11" t="s">
        <v>14393</v>
      </c>
      <c r="C1746" s="173"/>
      <c r="D1746" s="22" t="s">
        <v>14394</v>
      </c>
      <c r="E1746" s="15" t="s">
        <v>14395</v>
      </c>
      <c r="F1746" s="174"/>
      <c r="G1746" s="174"/>
      <c r="H1746" s="17" t="s">
        <v>5932</v>
      </c>
      <c r="I1746" s="269"/>
      <c r="J1746" s="369" t="str">
        <f>HYPERLINK("[#]Datatypes!B1730:L1730","XfmCode")</f>
        <v>XfmCode</v>
      </c>
      <c r="K1746" s="276"/>
      <c r="L1746" s="272"/>
      <c r="M1746" s="272"/>
      <c r="N1746" s="248" t="str">
        <f>HYPERLINK("[#]DatatypeListedValues!A10674:H10674","&lt;values&gt;")</f>
        <v>&lt;values&gt;</v>
      </c>
      <c r="O1746" s="277" t="b">
        <v>0</v>
      </c>
      <c r="P1746" s="37">
        <v>119747</v>
      </c>
      <c r="Q1746" s="36" t="str">
        <f>CONCATENATE(Cover!$D$6,"fdd/view?i=",P1746)</f>
        <v>https://www.dgiwg.org/FAD/fdd/view?i=119747</v>
      </c>
      <c r="R1746" s="13" t="s">
        <v>14392</v>
      </c>
      <c r="S1746" s="172"/>
      <c r="T1746" s="172"/>
      <c r="CJ1746" s="81" t="s">
        <v>1790</v>
      </c>
      <c r="CT1746" s="166" t="s">
        <v>1790</v>
      </c>
    </row>
    <row r="1747" spans="1:98" x14ac:dyDescent="0.2">
      <c r="A1747" s="176" t="str">
        <f t="shared" si="48"/>
        <v>weaponsRangeType</v>
      </c>
      <c r="B1747" s="11" t="s">
        <v>14398</v>
      </c>
      <c r="C1747" s="173"/>
      <c r="D1747" s="22" t="s">
        <v>14399</v>
      </c>
      <c r="E1747" s="15" t="s">
        <v>14400</v>
      </c>
      <c r="F1747" s="174"/>
      <c r="G1747" s="174"/>
      <c r="H1747" s="17" t="s">
        <v>5932</v>
      </c>
      <c r="I1747" s="17" t="s">
        <v>6029</v>
      </c>
      <c r="J1747" s="369" t="str">
        <f>HYPERLINK("[#]Datatypes!B1732:L1732","FrtCode")</f>
        <v>FrtCode</v>
      </c>
      <c r="K1747" s="276"/>
      <c r="L1747" s="272"/>
      <c r="M1747" s="272"/>
      <c r="N1747" s="248" t="str">
        <f>HYPERLINK("[#]DatatypeListedValues!A10680:H10680","&lt;values&gt;")</f>
        <v>&lt;values&gt;</v>
      </c>
      <c r="O1747" s="277" t="b">
        <v>0</v>
      </c>
      <c r="P1747" s="37">
        <v>100899</v>
      </c>
      <c r="Q1747" s="36" t="str">
        <f>CONCATENATE(Cover!$D$6,"fdd/view?i=",P1747)</f>
        <v>https://www.dgiwg.org/FAD/fdd/view?i=100899</v>
      </c>
      <c r="R1747" s="13" t="s">
        <v>14397</v>
      </c>
      <c r="S1747" s="172"/>
      <c r="T1747" s="172"/>
      <c r="CJ1747" s="81" t="s">
        <v>1790</v>
      </c>
      <c r="CT1747" s="166" t="s">
        <v>1790</v>
      </c>
    </row>
    <row r="1748" spans="1:98" x14ac:dyDescent="0.2">
      <c r="A1748" s="176" t="str">
        <f t="shared" si="48"/>
        <v>weatherRestrictionType</v>
      </c>
      <c r="B1748" s="11" t="s">
        <v>14403</v>
      </c>
      <c r="C1748" s="173"/>
      <c r="D1748" s="22" t="s">
        <v>14404</v>
      </c>
      <c r="E1748" s="15" t="s">
        <v>14405</v>
      </c>
      <c r="F1748" s="174"/>
      <c r="G1748" s="174"/>
      <c r="H1748" s="17" t="s">
        <v>5932</v>
      </c>
      <c r="I1748" s="269"/>
      <c r="J1748" s="369" t="str">
        <f>HYPERLINK("[#]Datatypes!B1734:L1734","WrxCode")</f>
        <v>WrxCode</v>
      </c>
      <c r="K1748" s="276"/>
      <c r="L1748" s="272"/>
      <c r="M1748" s="272"/>
      <c r="N1748" s="248" t="str">
        <f>HYPERLINK("[#]DatatypeListedValues!A10686:H10686","&lt;values&gt;")</f>
        <v>&lt;values&gt;</v>
      </c>
      <c r="O1748" s="277" t="b">
        <v>0</v>
      </c>
      <c r="P1748" s="37">
        <v>118174</v>
      </c>
      <c r="Q1748" s="36" t="str">
        <f>CONCATENATE(Cover!$D$6,"fdd/view?i=",P1748)</f>
        <v>https://www.dgiwg.org/FAD/fdd/view?i=118174</v>
      </c>
      <c r="R1748" s="13" t="s">
        <v>14402</v>
      </c>
      <c r="S1748" s="172"/>
      <c r="T1748" s="172"/>
      <c r="AQ1748" s="82" t="s">
        <v>1790</v>
      </c>
      <c r="AU1748" s="82" t="s">
        <v>1790</v>
      </c>
      <c r="CT1748" s="166" t="s">
        <v>1790</v>
      </c>
    </row>
    <row r="1749" spans="1:98" x14ac:dyDescent="0.2">
      <c r="A1749" s="176" t="str">
        <f t="shared" si="48"/>
        <v>weightBearingCapacity</v>
      </c>
      <c r="B1749" s="11" t="s">
        <v>14408</v>
      </c>
      <c r="C1749" s="173"/>
      <c r="D1749" s="22" t="s">
        <v>14409</v>
      </c>
      <c r="E1749" s="15" t="s">
        <v>14410</v>
      </c>
      <c r="F1749" s="174"/>
      <c r="G1749" s="174"/>
      <c r="H1749" s="17" t="s">
        <v>5932</v>
      </c>
      <c r="I1749" s="269"/>
      <c r="J1749" s="369" t="str">
        <f>HYPERLINK("[#]Datatypes!B1231:L1231","Real")</f>
        <v>Real</v>
      </c>
      <c r="K1749" s="271" t="str">
        <f>HYPERLINK("[#]PhysicalQuantities!A28:N28","Mass")</f>
        <v>Mass</v>
      </c>
      <c r="L1749" s="270" t="str">
        <f>HYPERLINK("[#]UnitsOfMeasure!D127:G127","Kilogram")</f>
        <v>Kilogram</v>
      </c>
      <c r="M1749" s="272"/>
      <c r="N1749" s="273"/>
      <c r="O1749" s="269"/>
      <c r="P1749" s="37">
        <v>114427</v>
      </c>
      <c r="Q1749" s="36" t="str">
        <f>CONCATENATE(Cover!$D$6,"fdd/view?i=",P1749)</f>
        <v>https://www.dgiwg.org/FAD/fdd/view?i=114427</v>
      </c>
      <c r="R1749" s="13" t="s">
        <v>14407</v>
      </c>
      <c r="S1749" s="172"/>
      <c r="T1749" s="172"/>
      <c r="CQ1749" s="165" t="s">
        <v>1790</v>
      </c>
    </row>
    <row r="1750" spans="1:98" x14ac:dyDescent="0.2">
      <c r="A1750" s="176" t="str">
        <f t="shared" si="48"/>
        <v>weightRestrictionReason</v>
      </c>
      <c r="B1750" s="11" t="s">
        <v>14412</v>
      </c>
      <c r="C1750" s="173"/>
      <c r="D1750" s="22" t="s">
        <v>14413</v>
      </c>
      <c r="E1750" s="15" t="s">
        <v>14414</v>
      </c>
      <c r="F1750" s="174"/>
      <c r="G1750" s="174"/>
      <c r="H1750" s="17" t="s">
        <v>5932</v>
      </c>
      <c r="I1750" s="269"/>
      <c r="J1750" s="369" t="str">
        <f>HYPERLINK("[#]Datatypes!B1736:L1736","WerCode")</f>
        <v>WerCode</v>
      </c>
      <c r="K1750" s="276"/>
      <c r="L1750" s="272"/>
      <c r="M1750" s="272"/>
      <c r="N1750" s="248" t="str">
        <f>HYPERLINK("[#]DatatypeListedValues!A10691:H10691","&lt;values&gt;")</f>
        <v>&lt;values&gt;</v>
      </c>
      <c r="O1750" s="277" t="b">
        <v>0</v>
      </c>
      <c r="P1750" s="37">
        <v>118623</v>
      </c>
      <c r="Q1750" s="36" t="str">
        <f>CONCATENATE(Cover!$D$6,"fdd/view?i=",P1750)</f>
        <v>https://www.dgiwg.org/FAD/fdd/view?i=118623</v>
      </c>
      <c r="R1750" s="13" t="s">
        <v>14411</v>
      </c>
      <c r="S1750" s="172"/>
      <c r="T1750" s="172"/>
      <c r="AP1750" s="81" t="s">
        <v>1790</v>
      </c>
      <c r="AQ1750" s="82" t="s">
        <v>1790</v>
      </c>
      <c r="AU1750" s="82" t="s">
        <v>1790</v>
      </c>
    </row>
    <row r="1751" spans="1:98" x14ac:dyDescent="0.2">
      <c r="A1751" s="176" t="str">
        <f t="shared" si="48"/>
        <v>wellEquipment</v>
      </c>
      <c r="B1751" s="11" t="s">
        <v>14417</v>
      </c>
      <c r="C1751" s="173"/>
      <c r="D1751" s="22" t="s">
        <v>14418</v>
      </c>
      <c r="E1751" s="15" t="s">
        <v>14419</v>
      </c>
      <c r="F1751" s="15" t="s">
        <v>14420</v>
      </c>
      <c r="G1751" s="174"/>
      <c r="H1751" s="17" t="s">
        <v>5932</v>
      </c>
      <c r="I1751" s="17" t="s">
        <v>6029</v>
      </c>
      <c r="J1751" s="369" t="str">
        <f>HYPERLINK("[#]Datatypes!B1738:L1738","WeqCode")</f>
        <v>WeqCode</v>
      </c>
      <c r="K1751" s="276"/>
      <c r="L1751" s="272"/>
      <c r="M1751" s="272"/>
      <c r="N1751" s="248" t="str">
        <f>HYPERLINK("[#]DatatypeListedValues!A10695:H10695","&lt;values&gt;")</f>
        <v>&lt;values&gt;</v>
      </c>
      <c r="O1751" s="277" t="b">
        <v>0</v>
      </c>
      <c r="P1751" s="37">
        <v>111755</v>
      </c>
      <c r="Q1751" s="36" t="str">
        <f>CONCATENATE(Cover!$D$6,"fdd/view?i=",P1751)</f>
        <v>https://www.dgiwg.org/FAD/fdd/view?i=111755</v>
      </c>
      <c r="R1751" s="13" t="s">
        <v>14416</v>
      </c>
      <c r="S1751" s="172"/>
      <c r="T1751" s="172"/>
      <c r="AA1751" s="81" t="s">
        <v>1790</v>
      </c>
      <c r="BP1751" s="82" t="s">
        <v>1790</v>
      </c>
      <c r="CT1751" s="166" t="s">
        <v>1790</v>
      </c>
    </row>
    <row r="1752" spans="1:98" x14ac:dyDescent="0.2">
      <c r="A1752" s="176" t="str">
        <f t="shared" si="48"/>
        <v>wellType</v>
      </c>
      <c r="B1752" s="11" t="s">
        <v>14423</v>
      </c>
      <c r="C1752" s="173"/>
      <c r="D1752" s="22" t="s">
        <v>14424</v>
      </c>
      <c r="E1752" s="15" t="s">
        <v>14425</v>
      </c>
      <c r="F1752" s="174"/>
      <c r="G1752" s="174"/>
      <c r="H1752" s="17" t="s">
        <v>5932</v>
      </c>
      <c r="I1752" s="269"/>
      <c r="J1752" s="369" t="str">
        <f>HYPERLINK("[#]Datatypes!B1740:L1740","WftCode")</f>
        <v>WftCode</v>
      </c>
      <c r="K1752" s="276"/>
      <c r="L1752" s="272"/>
      <c r="M1752" s="272"/>
      <c r="N1752" s="248" t="str">
        <f>HYPERLINK("[#]DatatypeListedValues!A10705:H10705","&lt;values&gt;")</f>
        <v>&lt;values&gt;</v>
      </c>
      <c r="O1752" s="277" t="b">
        <v>0</v>
      </c>
      <c r="P1752" s="37">
        <v>101488</v>
      </c>
      <c r="Q1752" s="36" t="str">
        <f>CONCATENATE(Cover!$D$6,"fdd/view?i=",P1752)</f>
        <v>https://www.dgiwg.org/FAD/fdd/view?i=101488</v>
      </c>
      <c r="R1752" s="13" t="s">
        <v>14422</v>
      </c>
      <c r="S1752" s="172"/>
      <c r="T1752" s="172"/>
      <c r="AA1752" s="81" t="s">
        <v>1790</v>
      </c>
      <c r="BP1752" s="82" t="s">
        <v>1790</v>
      </c>
      <c r="CT1752" s="166" t="s">
        <v>1790</v>
      </c>
    </row>
    <row r="1753" spans="1:98" ht="102" x14ac:dyDescent="0.2">
      <c r="A1753" s="176" t="str">
        <f t="shared" si="48"/>
        <v>wellboreInjectionMaterial</v>
      </c>
      <c r="B1753" s="11" t="s">
        <v>14428</v>
      </c>
      <c r="C1753" s="173"/>
      <c r="D1753" s="22" t="s">
        <v>14429</v>
      </c>
      <c r="E1753" s="15" t="s">
        <v>14430</v>
      </c>
      <c r="F1753" s="15" t="s">
        <v>14431</v>
      </c>
      <c r="G1753" s="174"/>
      <c r="H1753" s="17" t="s">
        <v>5932</v>
      </c>
      <c r="I1753" s="17" t="s">
        <v>6029</v>
      </c>
      <c r="J1753" s="369" t="str">
        <f>HYPERLINK("[#]Datatypes!B1742:L1742","WimCode")</f>
        <v>WimCode</v>
      </c>
      <c r="K1753" s="276"/>
      <c r="L1753" s="272"/>
      <c r="M1753" s="272"/>
      <c r="N1753" s="248" t="str">
        <f>HYPERLINK("[#]DatatypeListedValues!A10710:H10710","&lt;values&gt;")</f>
        <v>&lt;values&gt;</v>
      </c>
      <c r="O1753" s="277" t="b">
        <v>0</v>
      </c>
      <c r="P1753" s="37">
        <v>119216</v>
      </c>
      <c r="Q1753" s="36" t="str">
        <f>CONCATENATE(Cover!$D$6,"fdd/view?i=",P1753)</f>
        <v>https://www.dgiwg.org/FAD/fdd/view?i=119216</v>
      </c>
      <c r="R1753" s="13" t="s">
        <v>14427</v>
      </c>
      <c r="S1753" s="172"/>
      <c r="T1753" s="172"/>
      <c r="AA1753" s="81" t="s">
        <v>1790</v>
      </c>
      <c r="BP1753" s="82" t="s">
        <v>1790</v>
      </c>
      <c r="CT1753" s="166" t="s">
        <v>1790</v>
      </c>
    </row>
    <row r="1754" spans="1:98" x14ac:dyDescent="0.2">
      <c r="A1754" s="176" t="str">
        <f t="shared" si="48"/>
        <v>wellboreStatus</v>
      </c>
      <c r="B1754" s="11" t="s">
        <v>14434</v>
      </c>
      <c r="C1754" s="173"/>
      <c r="D1754" s="22" t="s">
        <v>14435</v>
      </c>
      <c r="E1754" s="15" t="s">
        <v>14436</v>
      </c>
      <c r="F1754" s="15" t="s">
        <v>14437</v>
      </c>
      <c r="G1754" s="174"/>
      <c r="H1754" s="17" t="s">
        <v>5932</v>
      </c>
      <c r="I1754" s="17" t="s">
        <v>6029</v>
      </c>
      <c r="J1754" s="369" t="str">
        <f>HYPERLINK("[#]Datatypes!B1744:L1744","WbsCode")</f>
        <v>WbsCode</v>
      </c>
      <c r="K1754" s="276"/>
      <c r="L1754" s="272"/>
      <c r="M1754" s="272"/>
      <c r="N1754" s="248" t="str">
        <f>HYPERLINK("[#]DatatypeListedValues!A10724:H10724","&lt;values&gt;")</f>
        <v>&lt;values&gt;</v>
      </c>
      <c r="O1754" s="277" t="b">
        <v>0</v>
      </c>
      <c r="P1754" s="37">
        <v>119215</v>
      </c>
      <c r="Q1754" s="36" t="str">
        <f>CONCATENATE(Cover!$D$6,"fdd/view?i=",P1754)</f>
        <v>https://www.dgiwg.org/FAD/fdd/view?i=119215</v>
      </c>
      <c r="R1754" s="13" t="s">
        <v>14433</v>
      </c>
      <c r="S1754" s="172"/>
      <c r="T1754" s="172"/>
      <c r="AA1754" s="81" t="s">
        <v>1790</v>
      </c>
      <c r="BP1754" s="82" t="s">
        <v>1790</v>
      </c>
      <c r="CT1754" s="166" t="s">
        <v>1790</v>
      </c>
    </row>
    <row r="1755" spans="1:98" ht="25.5" x14ac:dyDescent="0.2">
      <c r="A1755" s="176" t="str">
        <f t="shared" si="48"/>
        <v>wetlandType</v>
      </c>
      <c r="B1755" s="11" t="s">
        <v>14440</v>
      </c>
      <c r="C1755" s="173"/>
      <c r="D1755" s="22" t="s">
        <v>14441</v>
      </c>
      <c r="E1755" s="15" t="s">
        <v>14442</v>
      </c>
      <c r="F1755" s="174"/>
      <c r="G1755" s="174"/>
      <c r="H1755" s="17" t="s">
        <v>5932</v>
      </c>
      <c r="I1755" s="269"/>
      <c r="J1755" s="369" t="str">
        <f>HYPERLINK("[#]Datatypes!B1746:L1746","WsfCode")</f>
        <v>WsfCode</v>
      </c>
      <c r="K1755" s="276"/>
      <c r="L1755" s="272"/>
      <c r="M1755" s="272"/>
      <c r="N1755" s="248" t="str">
        <f>HYPERLINK("[#]DatatypeListedValues!A10738:H10738","&lt;values&gt;")</f>
        <v>&lt;values&gt;</v>
      </c>
      <c r="O1755" s="277" t="b">
        <v>0</v>
      </c>
      <c r="P1755" s="37">
        <v>111764</v>
      </c>
      <c r="Q1755" s="36" t="str">
        <f>CONCATENATE(Cover!$D$6,"fdd/view?i=",P1755)</f>
        <v>https://www.dgiwg.org/FAD/fdd/view?i=111764</v>
      </c>
      <c r="R1755" s="13" t="s">
        <v>14439</v>
      </c>
      <c r="S1755" s="172"/>
      <c r="T1755" s="172"/>
      <c r="BM1755" s="82" t="s">
        <v>1790</v>
      </c>
      <c r="BO1755" s="82" t="s">
        <v>1790</v>
      </c>
      <c r="BX1755" s="83" t="s">
        <v>1790</v>
      </c>
      <c r="CS1755" s="165" t="s">
        <v>1790</v>
      </c>
    </row>
    <row r="1756" spans="1:98" ht="51" x14ac:dyDescent="0.2">
      <c r="A1756" s="176" t="str">
        <f t="shared" si="48"/>
        <v>wideBerth</v>
      </c>
      <c r="B1756" s="11" t="s">
        <v>14445</v>
      </c>
      <c r="C1756" s="173"/>
      <c r="D1756" s="22" t="s">
        <v>14446</v>
      </c>
      <c r="E1756" s="15" t="s">
        <v>14447</v>
      </c>
      <c r="F1756" s="15" t="s">
        <v>14448</v>
      </c>
      <c r="G1756" s="174"/>
      <c r="H1756" s="17" t="s">
        <v>5932</v>
      </c>
      <c r="I1756" s="269"/>
      <c r="J1756" s="369" t="str">
        <f>HYPERLINK("[#]Datatypes!B240:L240","Boolean")</f>
        <v>Boolean</v>
      </c>
      <c r="K1756" s="276"/>
      <c r="L1756" s="272"/>
      <c r="M1756" s="272"/>
      <c r="N1756" s="273"/>
      <c r="O1756" s="269"/>
      <c r="P1756" s="37">
        <v>111761</v>
      </c>
      <c r="Q1756" s="36" t="str">
        <f>CONCATENATE(Cover!$D$6,"fdd/view?i=",P1756)</f>
        <v>https://www.dgiwg.org/FAD/fdd/view?i=111761</v>
      </c>
      <c r="R1756" s="13" t="s">
        <v>14444</v>
      </c>
      <c r="S1756" s="172"/>
      <c r="T1756" s="172"/>
      <c r="AZ1756" s="87" t="s">
        <v>1790</v>
      </c>
      <c r="BA1756" s="83" t="s">
        <v>1790</v>
      </c>
    </row>
    <row r="1757" spans="1:98" ht="191.25" x14ac:dyDescent="0.2">
      <c r="A1757" s="176" t="str">
        <f t="shared" si="48"/>
        <v>width</v>
      </c>
      <c r="B1757" s="11" t="s">
        <v>14450</v>
      </c>
      <c r="C1757" s="173"/>
      <c r="D1757" s="22" t="s">
        <v>14451</v>
      </c>
      <c r="E1757" s="15" t="s">
        <v>14452</v>
      </c>
      <c r="F1757" s="15" t="s">
        <v>14453</v>
      </c>
      <c r="G1757" s="174"/>
      <c r="H1757" s="17" t="s">
        <v>5932</v>
      </c>
      <c r="I1757" s="269"/>
      <c r="J1757" s="369" t="str">
        <f>HYPERLINK("[#]Datatypes!B1233:L1233","RealInterval")</f>
        <v>RealInterval</v>
      </c>
      <c r="K1757" s="271" t="str">
        <f t="shared" ref="K1757:K1764" si="49">HYPERLINK("[#]PhysicalQuantities!A20:N20","Length")</f>
        <v>Length</v>
      </c>
      <c r="L1757" s="270" t="str">
        <f t="shared" ref="L1757:L1764" si="50">HYPERLINK("[#]UnitsOfMeasure!D80:G80","Metre")</f>
        <v>Metre</v>
      </c>
      <c r="M1757" s="272"/>
      <c r="N1757" s="273"/>
      <c r="O1757" s="269"/>
      <c r="P1757" s="37">
        <v>101492</v>
      </c>
      <c r="Q1757" s="36" t="str">
        <f>CONCATENATE(Cover!$D$6,"fdd/view?i=",P1757)</f>
        <v>https://www.dgiwg.org/FAD/fdd/view?i=101492</v>
      </c>
      <c r="R1757" s="13" t="s">
        <v>14449</v>
      </c>
      <c r="S1757" s="172"/>
      <c r="T1757" s="172"/>
      <c r="CQ1757" s="165" t="s">
        <v>1790</v>
      </c>
    </row>
    <row r="1758" spans="1:98" ht="25.5" x14ac:dyDescent="0.2">
      <c r="A1758" s="176" t="str">
        <f t="shared" si="48"/>
        <v>widthBeamOfVessel</v>
      </c>
      <c r="B1758" s="11" t="s">
        <v>14455</v>
      </c>
      <c r="C1758" s="173"/>
      <c r="D1758" s="22" t="s">
        <v>14456</v>
      </c>
      <c r="E1758" s="15" t="s">
        <v>14457</v>
      </c>
      <c r="F1758" s="174"/>
      <c r="G1758" s="174"/>
      <c r="H1758" s="17" t="s">
        <v>5932</v>
      </c>
      <c r="I1758" s="269"/>
      <c r="J1758" s="369" t="str">
        <f>HYPERLINK("[#]Datatypes!B1231:L1231","Real")</f>
        <v>Real</v>
      </c>
      <c r="K1758" s="271" t="str">
        <f t="shared" si="49"/>
        <v>Length</v>
      </c>
      <c r="L1758" s="270" t="str">
        <f t="shared" si="50"/>
        <v>Metre</v>
      </c>
      <c r="M1758" s="272"/>
      <c r="N1758" s="273"/>
      <c r="O1758" s="269"/>
      <c r="P1758" s="37">
        <v>119492</v>
      </c>
      <c r="Q1758" s="36" t="str">
        <f>CONCATENATE(Cover!$D$6,"fdd/view?i=",P1758)</f>
        <v>https://www.dgiwg.org/FAD/fdd/view?i=119492</v>
      </c>
      <c r="R1758" s="13" t="s">
        <v>14454</v>
      </c>
      <c r="S1758" s="172"/>
      <c r="T1758" s="172"/>
      <c r="AS1758" s="82" t="s">
        <v>1790</v>
      </c>
      <c r="AZ1758" s="87" t="s">
        <v>1790</v>
      </c>
      <c r="BA1758" s="83" t="s">
        <v>1790</v>
      </c>
      <c r="CQ1758" s="165" t="s">
        <v>1790</v>
      </c>
    </row>
    <row r="1759" spans="1:98" x14ac:dyDescent="0.2">
      <c r="A1759" s="176" t="str">
        <f t="shared" si="48"/>
        <v>widthAtBottom</v>
      </c>
      <c r="B1759" s="11" t="s">
        <v>14459</v>
      </c>
      <c r="C1759" s="173"/>
      <c r="D1759" s="22" t="s">
        <v>14460</v>
      </c>
      <c r="E1759" s="15" t="s">
        <v>14461</v>
      </c>
      <c r="F1759" s="174"/>
      <c r="G1759" s="174"/>
      <c r="H1759" s="17" t="s">
        <v>5932</v>
      </c>
      <c r="I1759" s="269"/>
      <c r="J1759" s="369" t="str">
        <f t="shared" ref="J1759:J1764" si="51">HYPERLINK("[#]Datatypes!B1233:L1233","RealInterval")</f>
        <v>RealInterval</v>
      </c>
      <c r="K1759" s="271" t="str">
        <f t="shared" si="49"/>
        <v>Length</v>
      </c>
      <c r="L1759" s="270" t="str">
        <f t="shared" si="50"/>
        <v>Metre</v>
      </c>
      <c r="M1759" s="272"/>
      <c r="N1759" s="273"/>
      <c r="O1759" s="269"/>
      <c r="P1759" s="37">
        <v>110733</v>
      </c>
      <c r="Q1759" s="36" t="str">
        <f>CONCATENATE(Cover!$D$6,"fdd/view?i=",P1759)</f>
        <v>https://www.dgiwg.org/FAD/fdd/view?i=110733</v>
      </c>
      <c r="R1759" s="13" t="s">
        <v>14458</v>
      </c>
      <c r="S1759" s="172"/>
      <c r="T1759" s="172"/>
      <c r="CQ1759" s="165" t="s">
        <v>1790</v>
      </c>
    </row>
    <row r="1760" spans="1:98" x14ac:dyDescent="0.2">
      <c r="A1760" s="176" t="str">
        <f t="shared" si="48"/>
        <v>widthAtMeanHighWater</v>
      </c>
      <c r="B1760" s="11" t="s">
        <v>14463</v>
      </c>
      <c r="C1760" s="173"/>
      <c r="D1760" s="22" t="s">
        <v>14464</v>
      </c>
      <c r="E1760" s="15" t="s">
        <v>14465</v>
      </c>
      <c r="F1760" s="174"/>
      <c r="G1760" s="174"/>
      <c r="H1760" s="17" t="s">
        <v>5932</v>
      </c>
      <c r="I1760" s="269"/>
      <c r="J1760" s="369" t="str">
        <f t="shared" si="51"/>
        <v>RealInterval</v>
      </c>
      <c r="K1760" s="271" t="str">
        <f t="shared" si="49"/>
        <v>Length</v>
      </c>
      <c r="L1760" s="270" t="str">
        <f t="shared" si="50"/>
        <v>Metre</v>
      </c>
      <c r="M1760" s="272"/>
      <c r="N1760" s="273"/>
      <c r="O1760" s="269"/>
      <c r="P1760" s="37">
        <v>101491</v>
      </c>
      <c r="Q1760" s="36" t="str">
        <f>CONCATENATE(Cover!$D$6,"fdd/view?i=",P1760)</f>
        <v>https://www.dgiwg.org/FAD/fdd/view?i=101491</v>
      </c>
      <c r="R1760" s="13" t="s">
        <v>14462</v>
      </c>
      <c r="S1760" s="172"/>
      <c r="T1760" s="172"/>
      <c r="CQ1760" s="165" t="s">
        <v>1790</v>
      </c>
    </row>
    <row r="1761" spans="1:109" x14ac:dyDescent="0.2">
      <c r="A1761" s="176" t="str">
        <f t="shared" si="48"/>
        <v>widthAtMeanLowWater</v>
      </c>
      <c r="B1761" s="11" t="s">
        <v>14467</v>
      </c>
      <c r="C1761" s="173"/>
      <c r="D1761" s="22" t="s">
        <v>14468</v>
      </c>
      <c r="E1761" s="15" t="s">
        <v>14469</v>
      </c>
      <c r="F1761" s="174"/>
      <c r="G1761" s="174"/>
      <c r="H1761" s="17" t="s">
        <v>5932</v>
      </c>
      <c r="I1761" s="269"/>
      <c r="J1761" s="369" t="str">
        <f t="shared" si="51"/>
        <v>RealInterval</v>
      </c>
      <c r="K1761" s="271" t="str">
        <f t="shared" si="49"/>
        <v>Length</v>
      </c>
      <c r="L1761" s="270" t="str">
        <f t="shared" si="50"/>
        <v>Metre</v>
      </c>
      <c r="M1761" s="272"/>
      <c r="N1761" s="273"/>
      <c r="O1761" s="269"/>
      <c r="P1761" s="37">
        <v>101497</v>
      </c>
      <c r="Q1761" s="36" t="str">
        <f>CONCATENATE(Cover!$D$6,"fdd/view?i=",P1761)</f>
        <v>https://www.dgiwg.org/FAD/fdd/view?i=101497</v>
      </c>
      <c r="R1761" s="13" t="s">
        <v>14466</v>
      </c>
      <c r="S1761" s="172"/>
      <c r="T1761" s="172"/>
      <c r="CQ1761" s="165" t="s">
        <v>1790</v>
      </c>
    </row>
    <row r="1762" spans="1:109" x14ac:dyDescent="0.2">
      <c r="A1762" s="176" t="str">
        <f t="shared" si="48"/>
        <v>widthAtMeanWater</v>
      </c>
      <c r="B1762" s="11" t="s">
        <v>14471</v>
      </c>
      <c r="C1762" s="173"/>
      <c r="D1762" s="22" t="s">
        <v>14472</v>
      </c>
      <c r="E1762" s="15" t="s">
        <v>14473</v>
      </c>
      <c r="F1762" s="174"/>
      <c r="G1762" s="174"/>
      <c r="H1762" s="17" t="s">
        <v>5932</v>
      </c>
      <c r="I1762" s="269"/>
      <c r="J1762" s="369" t="str">
        <f t="shared" si="51"/>
        <v>RealInterval</v>
      </c>
      <c r="K1762" s="271" t="str">
        <f t="shared" si="49"/>
        <v>Length</v>
      </c>
      <c r="L1762" s="270" t="str">
        <f t="shared" si="50"/>
        <v>Metre</v>
      </c>
      <c r="M1762" s="272"/>
      <c r="N1762" s="273"/>
      <c r="O1762" s="269"/>
      <c r="P1762" s="37">
        <v>101498</v>
      </c>
      <c r="Q1762" s="36" t="str">
        <f>CONCATENATE(Cover!$D$6,"fdd/view?i=",P1762)</f>
        <v>https://www.dgiwg.org/FAD/fdd/view?i=101498</v>
      </c>
      <c r="R1762" s="13" t="s">
        <v>14470</v>
      </c>
      <c r="S1762" s="172"/>
      <c r="T1762" s="172"/>
      <c r="CQ1762" s="165" t="s">
        <v>1790</v>
      </c>
    </row>
    <row r="1763" spans="1:109" x14ac:dyDescent="0.2">
      <c r="A1763" s="176" t="str">
        <f t="shared" si="48"/>
        <v>widthAtTop</v>
      </c>
      <c r="B1763" s="11" t="s">
        <v>14475</v>
      </c>
      <c r="C1763" s="173"/>
      <c r="D1763" s="22" t="s">
        <v>14476</v>
      </c>
      <c r="E1763" s="15" t="s">
        <v>14477</v>
      </c>
      <c r="F1763" s="174"/>
      <c r="G1763" s="174"/>
      <c r="H1763" s="17" t="s">
        <v>5932</v>
      </c>
      <c r="I1763" s="269"/>
      <c r="J1763" s="369" t="str">
        <f t="shared" si="51"/>
        <v>RealInterval</v>
      </c>
      <c r="K1763" s="271" t="str">
        <f t="shared" si="49"/>
        <v>Length</v>
      </c>
      <c r="L1763" s="270" t="str">
        <f t="shared" si="50"/>
        <v>Metre</v>
      </c>
      <c r="M1763" s="272"/>
      <c r="N1763" s="273"/>
      <c r="O1763" s="269"/>
      <c r="P1763" s="37">
        <v>110732</v>
      </c>
      <c r="Q1763" s="36" t="str">
        <f>CONCATENATE(Cover!$D$6,"fdd/view?i=",P1763)</f>
        <v>https://www.dgiwg.org/FAD/fdd/view?i=110732</v>
      </c>
      <c r="R1763" s="13" t="s">
        <v>14474</v>
      </c>
      <c r="S1763" s="172"/>
      <c r="T1763" s="172"/>
      <c r="CQ1763" s="165" t="s">
        <v>1790</v>
      </c>
    </row>
    <row r="1764" spans="1:109" ht="25.5" x14ac:dyDescent="0.2">
      <c r="A1764" s="176" t="str">
        <f t="shared" si="48"/>
        <v>widthOfSecondTravelledWay</v>
      </c>
      <c r="B1764" s="11" t="s">
        <v>14479</v>
      </c>
      <c r="C1764" s="173"/>
      <c r="D1764" s="22" t="s">
        <v>14480</v>
      </c>
      <c r="E1764" s="15" t="s">
        <v>14481</v>
      </c>
      <c r="F1764" s="174"/>
      <c r="G1764" s="174"/>
      <c r="H1764" s="17" t="s">
        <v>5932</v>
      </c>
      <c r="I1764" s="269"/>
      <c r="J1764" s="369" t="str">
        <f t="shared" si="51"/>
        <v>RealInterval</v>
      </c>
      <c r="K1764" s="271" t="str">
        <f t="shared" si="49"/>
        <v>Length</v>
      </c>
      <c r="L1764" s="270" t="str">
        <f t="shared" si="50"/>
        <v>Metre</v>
      </c>
      <c r="M1764" s="272"/>
      <c r="N1764" s="273"/>
      <c r="O1764" s="269"/>
      <c r="P1764" s="37">
        <v>110735</v>
      </c>
      <c r="Q1764" s="36" t="str">
        <f>CONCATENATE(Cover!$D$6,"fdd/view?i=",P1764)</f>
        <v>https://www.dgiwg.org/FAD/fdd/view?i=110735</v>
      </c>
      <c r="R1764" s="13" t="s">
        <v>14478</v>
      </c>
      <c r="S1764" s="172"/>
      <c r="T1764" s="172"/>
      <c r="AQ1764" s="82" t="s">
        <v>1790</v>
      </c>
      <c r="CQ1764" s="165" t="s">
        <v>1790</v>
      </c>
    </row>
    <row r="1765" spans="1:109" ht="25.5" x14ac:dyDescent="0.2">
      <c r="A1765" s="176" t="str">
        <f t="shared" si="48"/>
        <v>windDirectIndicatorType</v>
      </c>
      <c r="B1765" s="11" t="s">
        <v>14483</v>
      </c>
      <c r="C1765" s="173"/>
      <c r="D1765" s="22" t="s">
        <v>14484</v>
      </c>
      <c r="E1765" s="15" t="s">
        <v>14485</v>
      </c>
      <c r="F1765" s="174"/>
      <c r="G1765" s="174"/>
      <c r="H1765" s="17" t="s">
        <v>5932</v>
      </c>
      <c r="I1765" s="269"/>
      <c r="J1765" s="369" t="str">
        <f>HYPERLINK("[#]Datatypes!B1748:L1748","WntCode")</f>
        <v>WntCode</v>
      </c>
      <c r="K1765" s="276"/>
      <c r="L1765" s="272"/>
      <c r="M1765" s="272"/>
      <c r="N1765" s="248" t="str">
        <f>HYPERLINK("[#]DatatypeListedValues!A10751:H10751","&lt;values&gt;")</f>
        <v>&lt;values&gt;</v>
      </c>
      <c r="O1765" s="277" t="b">
        <v>0</v>
      </c>
      <c r="P1765" s="37">
        <v>117745</v>
      </c>
      <c r="Q1765" s="36" t="str">
        <f>CONCATENATE(Cover!$D$6,"fdd/view?i=",P1765)</f>
        <v>https://www.dgiwg.org/FAD/fdd/view?i=117745</v>
      </c>
      <c r="R1765" s="13" t="s">
        <v>14482</v>
      </c>
      <c r="S1765" s="172"/>
      <c r="T1765" s="172"/>
      <c r="CE1765" s="87" t="s">
        <v>1790</v>
      </c>
    </row>
    <row r="1766" spans="1:109" ht="25.5" x14ac:dyDescent="0.2">
      <c r="A1766" s="176" t="str">
        <f t="shared" si="48"/>
        <v>wingless</v>
      </c>
      <c r="B1766" s="11" t="s">
        <v>14488</v>
      </c>
      <c r="C1766" s="173"/>
      <c r="D1766" s="22" t="s">
        <v>14489</v>
      </c>
      <c r="E1766" s="15" t="s">
        <v>14490</v>
      </c>
      <c r="F1766" s="15" t="s">
        <v>14491</v>
      </c>
      <c r="G1766" s="174"/>
      <c r="H1766" s="17" t="s">
        <v>5932</v>
      </c>
      <c r="I1766" s="269"/>
      <c r="J1766" s="369" t="str">
        <f>HYPERLINK("[#]Datatypes!B240:L240","Boolean")</f>
        <v>Boolean</v>
      </c>
      <c r="K1766" s="276"/>
      <c r="L1766" s="272"/>
      <c r="M1766" s="272"/>
      <c r="N1766" s="273"/>
      <c r="O1766" s="269"/>
      <c r="P1766" s="37">
        <v>118589</v>
      </c>
      <c r="Q1766" s="36" t="str">
        <f>CONCATENATE(Cover!$D$6,"fdd/view?i=",P1766)</f>
        <v>https://www.dgiwg.org/FAD/fdd/view?i=118589</v>
      </c>
      <c r="R1766" s="13" t="s">
        <v>14487</v>
      </c>
      <c r="S1766" s="172"/>
      <c r="T1766" s="172"/>
      <c r="CS1766" s="165" t="s">
        <v>1790</v>
      </c>
    </row>
    <row r="1767" spans="1:109" ht="25.5" x14ac:dyDescent="0.2">
      <c r="A1767" s="176" t="str">
        <f t="shared" si="48"/>
        <v>winterCanopyCover</v>
      </c>
      <c r="B1767" s="11" t="s">
        <v>14493</v>
      </c>
      <c r="C1767" s="173"/>
      <c r="D1767" s="22" t="s">
        <v>14494</v>
      </c>
      <c r="E1767" s="15" t="s">
        <v>14495</v>
      </c>
      <c r="F1767" s="15" t="s">
        <v>7324</v>
      </c>
      <c r="G1767" s="174"/>
      <c r="H1767" s="17" t="s">
        <v>5932</v>
      </c>
      <c r="I1767" s="269"/>
      <c r="J1767" s="369" t="str">
        <f>HYPERLINK("[#]Datatypes!B1238:L1238","RealNonNegInterval100")</f>
        <v>RealNonNegInterval100</v>
      </c>
      <c r="K1767" s="271" t="str">
        <f>HYPERLINK("[#]PhysicalQuantities!A39:N39","Pure Number")</f>
        <v>Pure Number</v>
      </c>
      <c r="L1767" s="270" t="str">
        <f>HYPERLINK("[#]UnitsOfMeasure!D215:G215","Percent")</f>
        <v>Percent</v>
      </c>
      <c r="M1767" s="272"/>
      <c r="N1767" s="273"/>
      <c r="O1767" s="269"/>
      <c r="P1767" s="37">
        <v>109996</v>
      </c>
      <c r="Q1767" s="36" t="str">
        <f>CONCATENATE(Cover!$D$6,"fdd/view?i=",P1767)</f>
        <v>https://www.dgiwg.org/FAD/fdd/view?i=109996</v>
      </c>
      <c r="R1767" s="13" t="s">
        <v>14492</v>
      </c>
      <c r="S1767" s="172"/>
      <c r="T1767" s="172"/>
      <c r="BW1767" s="83" t="s">
        <v>1790</v>
      </c>
      <c r="CS1767" s="165" t="s">
        <v>1790</v>
      </c>
    </row>
    <row r="1768" spans="1:109" ht="38.25" x14ac:dyDescent="0.2">
      <c r="A1768" s="176" t="str">
        <f t="shared" si="48"/>
        <v>wirelessTelecomType</v>
      </c>
      <c r="B1768" s="11" t="s">
        <v>14497</v>
      </c>
      <c r="C1768" s="173"/>
      <c r="D1768" s="22" t="s">
        <v>14498</v>
      </c>
      <c r="E1768" s="15" t="s">
        <v>14499</v>
      </c>
      <c r="F1768" s="15" t="s">
        <v>14500</v>
      </c>
      <c r="G1768" s="174"/>
      <c r="H1768" s="17" t="s">
        <v>5932</v>
      </c>
      <c r="I1768" s="269"/>
      <c r="J1768" s="369" t="str">
        <f>HYPERLINK("[#]Datatypes!B1750:L1750","WitCode")</f>
        <v>WitCode</v>
      </c>
      <c r="K1768" s="276"/>
      <c r="L1768" s="272"/>
      <c r="M1768" s="272"/>
      <c r="N1768" s="248" t="str">
        <f>HYPERLINK("[#]DatatypeListedValues!A10754:H10754","&lt;values&gt;")</f>
        <v>&lt;values&gt;</v>
      </c>
      <c r="O1768" s="277" t="b">
        <v>0</v>
      </c>
      <c r="P1768" s="37">
        <v>114245</v>
      </c>
      <c r="Q1768" s="36" t="str">
        <f>CONCATENATE(Cover!$D$6,"fdd/view?i=",P1768)</f>
        <v>https://www.dgiwg.org/FAD/fdd/view?i=114245</v>
      </c>
      <c r="R1768" s="13" t="s">
        <v>14496</v>
      </c>
      <c r="S1768" s="172"/>
      <c r="T1768" s="172"/>
      <c r="AE1768" s="82" t="s">
        <v>1790</v>
      </c>
      <c r="CT1768" s="166" t="s">
        <v>1790</v>
      </c>
    </row>
    <row r="1769" spans="1:109" ht="25.5" x14ac:dyDescent="0.2">
      <c r="A1769" s="176" t="str">
        <f t="shared" si="48"/>
        <v>woodyVegetationDensity</v>
      </c>
      <c r="B1769" s="11" t="s">
        <v>14503</v>
      </c>
      <c r="C1769" s="173"/>
      <c r="D1769" s="22" t="s">
        <v>14504</v>
      </c>
      <c r="E1769" s="15" t="s">
        <v>14505</v>
      </c>
      <c r="F1769" s="174"/>
      <c r="G1769" s="174"/>
      <c r="H1769" s="17" t="s">
        <v>5932</v>
      </c>
      <c r="I1769" s="269"/>
      <c r="J1769" s="369" t="str">
        <f>HYPERLINK("[#]Datatypes!B1238:L1238","RealNonNegInterval100")</f>
        <v>RealNonNegInterval100</v>
      </c>
      <c r="K1769" s="271" t="str">
        <f>HYPERLINK("[#]PhysicalQuantities!A39:N39","Pure Number")</f>
        <v>Pure Number</v>
      </c>
      <c r="L1769" s="270" t="str">
        <f>HYPERLINK("[#]UnitsOfMeasure!D215:G215","Percent")</f>
        <v>Percent</v>
      </c>
      <c r="M1769" s="272"/>
      <c r="N1769" s="273"/>
      <c r="O1769" s="269"/>
      <c r="P1769" s="37">
        <v>110001</v>
      </c>
      <c r="Q1769" s="36" t="str">
        <f>CONCATENATE(Cover!$D$6,"fdd/view?i=",P1769)</f>
        <v>https://www.dgiwg.org/FAD/fdd/view?i=110001</v>
      </c>
      <c r="R1769" s="13" t="s">
        <v>14502</v>
      </c>
      <c r="S1769" s="172"/>
      <c r="T1769" s="172"/>
      <c r="BK1769" s="89" t="s">
        <v>1790</v>
      </c>
      <c r="BW1769" s="83" t="s">
        <v>1790</v>
      </c>
      <c r="BZ1769" s="83" t="s">
        <v>1790</v>
      </c>
    </row>
    <row r="1770" spans="1:109" ht="25.5" x14ac:dyDescent="0.2">
      <c r="A1770" s="176" t="str">
        <f t="shared" si="48"/>
        <v>worldAeroChartIdentifier</v>
      </c>
      <c r="B1770" s="11" t="s">
        <v>14507</v>
      </c>
      <c r="C1770" s="173"/>
      <c r="D1770" s="22" t="s">
        <v>14508</v>
      </c>
      <c r="E1770" s="15" t="s">
        <v>14509</v>
      </c>
      <c r="F1770" s="174"/>
      <c r="G1770" s="174"/>
      <c r="H1770" s="17" t="s">
        <v>5932</v>
      </c>
      <c r="I1770" s="269"/>
      <c r="J1770" s="369" t="str">
        <f>HYPERLINK("[#]Datatypes!B1752:L1752","Wa1StrucText")</f>
        <v>Wa1StrucText</v>
      </c>
      <c r="K1770" s="276"/>
      <c r="L1770" s="272"/>
      <c r="M1770" s="272"/>
      <c r="N1770" s="273"/>
      <c r="O1770" s="269"/>
      <c r="P1770" s="37">
        <v>119214</v>
      </c>
      <c r="Q1770" s="36" t="str">
        <f>CONCATENATE(Cover!$D$6,"fdd/view?i=",P1770)</f>
        <v>https://www.dgiwg.org/FAD/fdd/view?i=119214</v>
      </c>
      <c r="R1770" s="13" t="s">
        <v>14506</v>
      </c>
      <c r="S1770" s="172"/>
      <c r="T1770" s="172"/>
      <c r="AT1770" s="82" t="s">
        <v>1790</v>
      </c>
      <c r="CV1770" s="83" t="s">
        <v>1790</v>
      </c>
      <c r="CX1770" s="165" t="s">
        <v>1790</v>
      </c>
      <c r="DA1770" s="165" t="s">
        <v>1790</v>
      </c>
    </row>
    <row r="1771" spans="1:109" x14ac:dyDescent="0.2">
      <c r="A1771" s="176" t="str">
        <f t="shared" si="48"/>
        <v>worldPort</v>
      </c>
      <c r="B1771" s="11" t="s">
        <v>14512</v>
      </c>
      <c r="C1771" s="173"/>
      <c r="D1771" s="22" t="s">
        <v>14513</v>
      </c>
      <c r="E1771" s="15" t="s">
        <v>14514</v>
      </c>
      <c r="F1771" s="174"/>
      <c r="G1771" s="174"/>
      <c r="H1771" s="17" t="s">
        <v>5932</v>
      </c>
      <c r="I1771" s="269"/>
      <c r="J1771" s="369" t="str">
        <f>HYPERLINK("[#]Datatypes!B240:L240","Boolean")</f>
        <v>Boolean</v>
      </c>
      <c r="K1771" s="276"/>
      <c r="L1771" s="272"/>
      <c r="M1771" s="272"/>
      <c r="N1771" s="273"/>
      <c r="O1771" s="269"/>
      <c r="P1771" s="37">
        <v>101167</v>
      </c>
      <c r="Q1771" s="36" t="str">
        <f>CONCATENATE(Cover!$D$6,"fdd/view?i=",P1771)</f>
        <v>https://www.dgiwg.org/FAD/fdd/view?i=101167</v>
      </c>
      <c r="R1771" s="13" t="s">
        <v>14511</v>
      </c>
      <c r="S1771" s="172"/>
      <c r="T1771" s="172"/>
      <c r="AS1771" s="82" t="s">
        <v>1790</v>
      </c>
      <c r="BA1771" s="83" t="s">
        <v>1790</v>
      </c>
      <c r="DA1771" s="165" t="s">
        <v>1790</v>
      </c>
    </row>
    <row r="1772" spans="1:109" ht="63.75" x14ac:dyDescent="0.2">
      <c r="A1772" s="176" t="str">
        <f t="shared" si="48"/>
        <v>worldPortIndexIdentifier</v>
      </c>
      <c r="B1772" s="11" t="s">
        <v>14516</v>
      </c>
      <c r="C1772" s="173"/>
      <c r="D1772" s="22" t="s">
        <v>14517</v>
      </c>
      <c r="E1772" s="15" t="s">
        <v>14518</v>
      </c>
      <c r="F1772" s="15" t="s">
        <v>14519</v>
      </c>
      <c r="G1772" s="174"/>
      <c r="H1772" s="17" t="s">
        <v>5932</v>
      </c>
      <c r="I1772" s="269"/>
      <c r="J1772" s="369" t="str">
        <f>HYPERLINK("[#]Datatypes!B792:L792","KeyNonLex5")</f>
        <v>KeyNonLex5</v>
      </c>
      <c r="K1772" s="276"/>
      <c r="L1772" s="272"/>
      <c r="M1772" s="272"/>
      <c r="N1772" s="273"/>
      <c r="O1772" s="269"/>
      <c r="P1772" s="37">
        <v>101501</v>
      </c>
      <c r="Q1772" s="36" t="str">
        <f>CONCATENATE(Cover!$D$6,"fdd/view?i=",P1772)</f>
        <v>https://www.dgiwg.org/FAD/fdd/view?i=101501</v>
      </c>
      <c r="R1772" s="13" t="s">
        <v>14515</v>
      </c>
      <c r="S1772" s="172"/>
      <c r="T1772" s="172"/>
      <c r="AS1772" s="82" t="s">
        <v>1790</v>
      </c>
      <c r="BA1772" s="83" t="s">
        <v>1790</v>
      </c>
      <c r="CV1772" s="83" t="s">
        <v>1790</v>
      </c>
      <c r="DA1772" s="165" t="s">
        <v>1790</v>
      </c>
    </row>
    <row r="1773" spans="1:109" x14ac:dyDescent="0.2">
      <c r="A1773" s="176" t="str">
        <f t="shared" si="48"/>
        <v>wreckName</v>
      </c>
      <c r="B1773" s="11" t="s">
        <v>14522</v>
      </c>
      <c r="C1773" s="173"/>
      <c r="D1773" s="22" t="s">
        <v>14523</v>
      </c>
      <c r="E1773" s="15" t="s">
        <v>14524</v>
      </c>
      <c r="F1773" s="174"/>
      <c r="G1773" s="174"/>
      <c r="H1773" s="17" t="s">
        <v>5932</v>
      </c>
      <c r="I1773" s="269"/>
      <c r="J1773" s="369" t="str">
        <f>HYPERLINK("[#]Datatypes!B1544:L1544","TextLexUnconstrained")</f>
        <v>TextLexUnconstrained</v>
      </c>
      <c r="K1773" s="276"/>
      <c r="L1773" s="272"/>
      <c r="M1773" s="272"/>
      <c r="N1773" s="273"/>
      <c r="O1773" s="269"/>
      <c r="P1773" s="37">
        <v>118159</v>
      </c>
      <c r="Q1773" s="36" t="str">
        <f>CONCATENATE(Cover!$D$6,"fdd/view?i=",P1773)</f>
        <v>https://www.dgiwg.org/FAD/fdd/view?i=118159</v>
      </c>
      <c r="R1773" s="13" t="s">
        <v>14521</v>
      </c>
      <c r="S1773" s="172"/>
      <c r="T1773" s="172"/>
      <c r="BF1773" s="83" t="s">
        <v>1790</v>
      </c>
      <c r="CU1773" s="87" t="s">
        <v>1790</v>
      </c>
    </row>
    <row r="1774" spans="1:109" ht="38.25" x14ac:dyDescent="0.2">
      <c r="A1774" s="176" t="str">
        <f t="shared" si="48"/>
        <v>wreckNumber</v>
      </c>
      <c r="B1774" s="11" t="s">
        <v>14526</v>
      </c>
      <c r="C1774" s="173"/>
      <c r="D1774" s="22" t="s">
        <v>14527</v>
      </c>
      <c r="E1774" s="15" t="s">
        <v>14528</v>
      </c>
      <c r="F1774" s="15" t="s">
        <v>11071</v>
      </c>
      <c r="G1774" s="174"/>
      <c r="H1774" s="17" t="s">
        <v>5932</v>
      </c>
      <c r="I1774" s="269"/>
      <c r="J1774" s="369" t="str">
        <f>HYPERLINK("[#]Datatypes!B722:L722","Index")</f>
        <v>Index</v>
      </c>
      <c r="K1774" s="276"/>
      <c r="L1774" s="272"/>
      <c r="M1774" s="272"/>
      <c r="N1774" s="273"/>
      <c r="O1774" s="269"/>
      <c r="P1774" s="37">
        <v>101504</v>
      </c>
      <c r="Q1774" s="36" t="str">
        <f>CONCATENATE(Cover!$D$6,"fdd/view?i=",P1774)</f>
        <v>https://www.dgiwg.org/FAD/fdd/view?i=101504</v>
      </c>
      <c r="R1774" s="13" t="s">
        <v>14525</v>
      </c>
      <c r="S1774" s="172"/>
      <c r="T1774" s="172"/>
      <c r="BG1774" s="83" t="s">
        <v>1790</v>
      </c>
      <c r="CV1774" s="83" t="s">
        <v>1790</v>
      </c>
      <c r="DA1774" s="165" t="s">
        <v>1790</v>
      </c>
    </row>
    <row r="1775" spans="1:109" ht="25.5" x14ac:dyDescent="0.2">
      <c r="A1775" s="176" t="str">
        <f t="shared" si="48"/>
        <v>wreckHulkExposure</v>
      </c>
      <c r="B1775" s="11" t="s">
        <v>14530</v>
      </c>
      <c r="C1775" s="173"/>
      <c r="D1775" s="22" t="s">
        <v>14531</v>
      </c>
      <c r="E1775" s="15" t="s">
        <v>14532</v>
      </c>
      <c r="F1775" s="174"/>
      <c r="G1775" s="174"/>
      <c r="H1775" s="17" t="s">
        <v>5932</v>
      </c>
      <c r="I1775" s="269"/>
      <c r="J1775" s="369" t="str">
        <f>HYPERLINK("[#]Datatypes!B1754:L1754","WloCode")</f>
        <v>WloCode</v>
      </c>
      <c r="K1775" s="276"/>
      <c r="L1775" s="272"/>
      <c r="M1775" s="272"/>
      <c r="N1775" s="248" t="str">
        <f>HYPERLINK("[#]DatatypeListedValues!A10761:H10761","&lt;values&gt;")</f>
        <v>&lt;values&gt;</v>
      </c>
      <c r="O1775" s="277" t="b">
        <v>0</v>
      </c>
      <c r="P1775" s="37">
        <v>101496</v>
      </c>
      <c r="Q1775" s="36" t="str">
        <f>CONCATENATE(Cover!$D$6,"fdd/view?i=",P1775)</f>
        <v>https://www.dgiwg.org/FAD/fdd/view?i=101496</v>
      </c>
      <c r="R1775" s="13" t="s">
        <v>14529</v>
      </c>
      <c r="S1775" s="172"/>
      <c r="T1775" s="172"/>
      <c r="BB1775" s="83" t="s">
        <v>1790</v>
      </c>
      <c r="BG1775" s="83" t="s">
        <v>1790</v>
      </c>
      <c r="CQ1775" s="165" t="s">
        <v>1790</v>
      </c>
      <c r="CS1775" s="165" t="s">
        <v>1790</v>
      </c>
    </row>
    <row r="1776" spans="1:109" ht="25.5" x14ac:dyDescent="0.2">
      <c r="A1776" s="177" t="str">
        <f t="shared" si="48"/>
        <v>wreckStatus</v>
      </c>
      <c r="B1776" s="178" t="s">
        <v>14535</v>
      </c>
      <c r="C1776" s="179"/>
      <c r="D1776" s="180" t="s">
        <v>14536</v>
      </c>
      <c r="E1776" s="181" t="s">
        <v>14537</v>
      </c>
      <c r="F1776" s="182"/>
      <c r="G1776" s="182"/>
      <c r="H1776" s="278" t="s">
        <v>5932</v>
      </c>
      <c r="I1776" s="279"/>
      <c r="J1776" s="370" t="str">
        <f>HYPERLINK("[#]Datatypes!B1756:L1756","WrkCode")</f>
        <v>WrkCode</v>
      </c>
      <c r="K1776" s="280"/>
      <c r="L1776" s="281"/>
      <c r="M1776" s="281"/>
      <c r="N1776" s="249" t="str">
        <f>HYPERLINK("[#]DatatypeListedValues!A10766:H10766","&lt;values&gt;")</f>
        <v>&lt;values&gt;</v>
      </c>
      <c r="O1776" s="282" t="b">
        <v>0</v>
      </c>
      <c r="P1776" s="183">
        <v>101503</v>
      </c>
      <c r="Q1776" s="184" t="str">
        <f>CONCATENATE(Cover!$D$6,"fdd/view?i=",P1776)</f>
        <v>https://www.dgiwg.org/FAD/fdd/view?i=101503</v>
      </c>
      <c r="R1776" s="181" t="s">
        <v>14534</v>
      </c>
      <c r="S1776" s="182"/>
      <c r="T1776" s="182"/>
      <c r="U1776" s="185"/>
      <c r="V1776" s="181"/>
      <c r="W1776" s="181"/>
      <c r="X1776" s="181"/>
      <c r="Y1776" s="181"/>
      <c r="Z1776" s="181"/>
      <c r="AA1776" s="259"/>
      <c r="AB1776" s="260"/>
      <c r="AC1776" s="260"/>
      <c r="AD1776" s="260"/>
      <c r="AE1776" s="260"/>
      <c r="AF1776" s="260"/>
      <c r="AG1776" s="260"/>
      <c r="AH1776" s="261"/>
      <c r="AI1776" s="262"/>
      <c r="AJ1776" s="263"/>
      <c r="AK1776" s="263"/>
      <c r="AL1776" s="263"/>
      <c r="AM1776" s="263"/>
      <c r="AN1776" s="263"/>
      <c r="AO1776" s="264"/>
      <c r="AP1776" s="259"/>
      <c r="AQ1776" s="260"/>
      <c r="AR1776" s="260"/>
      <c r="AS1776" s="260"/>
      <c r="AT1776" s="260"/>
      <c r="AU1776" s="260"/>
      <c r="AV1776" s="260"/>
      <c r="AW1776" s="260"/>
      <c r="AX1776" s="260"/>
      <c r="AY1776" s="261"/>
      <c r="AZ1776" s="262"/>
      <c r="BA1776" s="263"/>
      <c r="BB1776" s="263"/>
      <c r="BC1776" s="263"/>
      <c r="BD1776" s="263"/>
      <c r="BE1776" s="263"/>
      <c r="BF1776" s="263"/>
      <c r="BG1776" s="263" t="s">
        <v>1790</v>
      </c>
      <c r="BH1776" s="263"/>
      <c r="BI1776" s="263"/>
      <c r="BJ1776" s="263"/>
      <c r="BK1776" s="264"/>
      <c r="BL1776" s="259"/>
      <c r="BM1776" s="260"/>
      <c r="BN1776" s="260"/>
      <c r="BO1776" s="260"/>
      <c r="BP1776" s="260"/>
      <c r="BQ1776" s="260"/>
      <c r="BR1776" s="260"/>
      <c r="BS1776" s="260"/>
      <c r="BT1776" s="261"/>
      <c r="BU1776" s="262"/>
      <c r="BV1776" s="263"/>
      <c r="BW1776" s="263"/>
      <c r="BX1776" s="263"/>
      <c r="BY1776" s="263"/>
      <c r="BZ1776" s="263"/>
      <c r="CA1776" s="263"/>
      <c r="CB1776" s="264"/>
      <c r="CC1776" s="259"/>
      <c r="CD1776" s="261"/>
      <c r="CE1776" s="262"/>
      <c r="CF1776" s="263"/>
      <c r="CG1776" s="263"/>
      <c r="CH1776" s="263"/>
      <c r="CI1776" s="264"/>
      <c r="CJ1776" s="259"/>
      <c r="CK1776" s="260"/>
      <c r="CL1776" s="261"/>
      <c r="CM1776" s="262"/>
      <c r="CN1776" s="263"/>
      <c r="CO1776" s="264"/>
      <c r="CP1776" s="265"/>
      <c r="CQ1776" s="266"/>
      <c r="CR1776" s="266"/>
      <c r="CS1776" s="266" t="s">
        <v>1790</v>
      </c>
      <c r="CT1776" s="267"/>
      <c r="CU1776" s="262"/>
      <c r="CV1776" s="263"/>
      <c r="CW1776" s="265"/>
      <c r="CX1776" s="266"/>
      <c r="CY1776" s="266"/>
      <c r="CZ1776" s="266"/>
      <c r="DA1776" s="266"/>
      <c r="DB1776" s="267"/>
      <c r="DC1776" s="262"/>
      <c r="DD1776" s="263"/>
      <c r="DE1776" s="268"/>
    </row>
    <row r="1777" spans="1:108" x14ac:dyDescent="0.2">
      <c r="A1777" s="68"/>
      <c r="AA1777" s="250"/>
      <c r="AB1777" s="251"/>
      <c r="AC1777" s="251"/>
      <c r="AD1777" s="251"/>
      <c r="AE1777" s="251"/>
      <c r="AF1777" s="251"/>
      <c r="AG1777" s="251"/>
      <c r="AH1777" s="252"/>
      <c r="AI1777" s="253"/>
      <c r="AJ1777" s="254"/>
      <c r="AK1777" s="254"/>
      <c r="AL1777" s="254"/>
      <c r="AM1777" s="254"/>
      <c r="AN1777" s="254"/>
      <c r="AO1777" s="255"/>
      <c r="AP1777" s="250"/>
      <c r="AQ1777" s="251"/>
      <c r="AR1777" s="251"/>
      <c r="AS1777" s="251"/>
      <c r="AT1777" s="251"/>
      <c r="AU1777" s="251"/>
      <c r="AV1777" s="251"/>
      <c r="AW1777" s="251"/>
      <c r="AX1777" s="251"/>
      <c r="AY1777" s="252"/>
      <c r="AZ1777" s="253"/>
      <c r="BA1777" s="254"/>
      <c r="BB1777" s="254"/>
      <c r="BC1777" s="254"/>
      <c r="BD1777" s="254"/>
      <c r="BE1777" s="254"/>
      <c r="BF1777" s="254"/>
      <c r="BG1777" s="254"/>
      <c r="BH1777" s="254"/>
      <c r="BI1777" s="254"/>
      <c r="BJ1777" s="254"/>
      <c r="BK1777" s="255"/>
      <c r="BL1777" s="250"/>
      <c r="BM1777" s="251"/>
      <c r="BN1777" s="251"/>
      <c r="BO1777" s="251"/>
      <c r="BP1777" s="251"/>
      <c r="BQ1777" s="251"/>
      <c r="BR1777" s="251"/>
      <c r="BS1777" s="251"/>
      <c r="BT1777" s="252"/>
      <c r="BU1777" s="253"/>
      <c r="BV1777" s="254"/>
      <c r="BW1777" s="254"/>
      <c r="BX1777" s="254"/>
      <c r="BY1777" s="254"/>
      <c r="BZ1777" s="254"/>
      <c r="CA1777" s="254"/>
      <c r="CB1777" s="255"/>
      <c r="CC1777" s="250"/>
      <c r="CD1777" s="252"/>
      <c r="CE1777" s="253"/>
      <c r="CF1777" s="254"/>
      <c r="CG1777" s="254"/>
      <c r="CH1777" s="254"/>
      <c r="CI1777" s="255"/>
      <c r="CJ1777" s="250"/>
      <c r="CK1777" s="251"/>
      <c r="CL1777" s="252"/>
      <c r="CM1777" s="253"/>
      <c r="CN1777" s="254"/>
      <c r="CO1777" s="255"/>
      <c r="CP1777" s="256"/>
      <c r="CQ1777" s="257"/>
      <c r="CR1777" s="257"/>
      <c r="CS1777" s="257"/>
      <c r="CT1777" s="258"/>
      <c r="CU1777" s="253"/>
      <c r="CV1777" s="254"/>
      <c r="CW1777" s="256"/>
      <c r="CX1777" s="257"/>
      <c r="CY1777" s="257"/>
      <c r="CZ1777" s="257"/>
      <c r="DA1777" s="257"/>
      <c r="DB1777" s="258"/>
      <c r="DC1777" s="253"/>
      <c r="DD1777" s="254"/>
    </row>
  </sheetData>
  <autoFilter ref="AA2:DD2"/>
  <mergeCells count="19">
    <mergeCell ref="CW1:DB1"/>
    <mergeCell ref="DC1:DD1"/>
    <mergeCell ref="BU1:CB1"/>
    <mergeCell ref="AA1:AH1"/>
    <mergeCell ref="CC1:CD1"/>
    <mergeCell ref="BL1:BT1"/>
    <mergeCell ref="AI1:AO1"/>
    <mergeCell ref="AP1:AY1"/>
    <mergeCell ref="AZ1:BK1"/>
    <mergeCell ref="CE1:CI1"/>
    <mergeCell ref="CJ1:CL1"/>
    <mergeCell ref="CM1:CO1"/>
    <mergeCell ref="CP1:CT1"/>
    <mergeCell ref="CU1:CV1"/>
    <mergeCell ref="V1:V2"/>
    <mergeCell ref="W1:W2"/>
    <mergeCell ref="X1:X2"/>
    <mergeCell ref="Y1:Y2"/>
    <mergeCell ref="Z1:Z2"/>
  </mergeCells>
  <phoneticPr fontId="8" type="noConversion"/>
  <pageMargins left="0.63" right="0.62" top="0.51" bottom="0.57999999999999996" header="0.35" footer="0.4"/>
  <pageSetup scale="65" orientation="landscape" copies="0" r:id="rId1"/>
  <headerFooter alignWithMargins="0">
    <oddHeader>&amp;A</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31"/>
  </sheetPr>
  <dimension ref="A1:Z1757"/>
  <sheetViews>
    <sheetView zoomScale="80" workbookViewId="0">
      <pane xSplit="5" ySplit="1" topLeftCell="F2" activePane="bottomRight" state="frozen"/>
      <selection activeCell="B1" sqref="B1"/>
      <selection pane="topRight" activeCell="F1" sqref="F1"/>
      <selection pane="bottomLeft" activeCell="B2" sqref="B2"/>
      <selection pane="bottomRight"/>
    </sheetView>
  </sheetViews>
  <sheetFormatPr baseColWidth="10" defaultColWidth="9.140625" defaultRowHeight="12.75" x14ac:dyDescent="0.2"/>
  <cols>
    <col min="1" max="1" width="22.7109375" style="26" customWidth="1"/>
    <col min="2" max="2" width="22.5703125" style="23" hidden="1" customWidth="1"/>
    <col min="3" max="3" width="28.28515625" style="14" customWidth="1"/>
    <col min="4" max="4" width="18.85546875" style="23" customWidth="1"/>
    <col min="5" max="5" width="23.140625" style="14" customWidth="1"/>
    <col min="6" max="7" width="33.140625" style="15" customWidth="1"/>
    <col min="8" max="8" width="25.5703125" style="15" customWidth="1"/>
    <col min="9" max="9" width="6.140625" style="19" customWidth="1"/>
    <col min="10" max="10" width="10.7109375" style="17" customWidth="1"/>
    <col min="11" max="11" width="25.7109375" style="20" hidden="1" customWidth="1"/>
    <col min="12" max="12" width="31.85546875" style="18" customWidth="1"/>
    <col min="13" max="13" width="6" style="15" hidden="1" customWidth="1"/>
    <col min="14" max="14" width="10" style="15" customWidth="1"/>
    <col min="15" max="16" width="9.140625" style="15"/>
    <col min="17" max="17" width="73.28515625" style="15" customWidth="1"/>
    <col min="18" max="18" width="34.7109375" style="15" hidden="1" customWidth="1"/>
    <col min="19" max="20" width="10.85546875" style="21" customWidth="1"/>
    <col min="21" max="21" width="10.140625" style="37" hidden="1" customWidth="1"/>
    <col min="22" max="22" width="2.42578125" style="36" hidden="1" customWidth="1"/>
    <col min="23" max="23" width="18.7109375" style="13" hidden="1" customWidth="1"/>
    <col min="24" max="25" width="30.7109375" style="13" hidden="1" customWidth="1"/>
    <col min="26" max="26" width="8.140625" style="105" hidden="1" customWidth="1"/>
    <col min="27" max="16384" width="9.140625" style="15"/>
  </cols>
  <sheetData>
    <row r="1" spans="1:26" s="46" customFormat="1" ht="25.5" x14ac:dyDescent="0.2">
      <c r="A1" s="69" t="s">
        <v>156</v>
      </c>
      <c r="B1" s="47" t="s">
        <v>16392</v>
      </c>
      <c r="C1" s="48" t="s">
        <v>49</v>
      </c>
      <c r="D1" s="49" t="s">
        <v>16393</v>
      </c>
      <c r="E1" s="49" t="s">
        <v>96</v>
      </c>
      <c r="F1" s="41" t="s">
        <v>33</v>
      </c>
      <c r="G1" s="41" t="s">
        <v>31</v>
      </c>
      <c r="H1" s="41" t="s">
        <v>45</v>
      </c>
      <c r="I1" s="49" t="s">
        <v>126</v>
      </c>
      <c r="J1" s="49" t="s">
        <v>125</v>
      </c>
      <c r="K1" s="41" t="s">
        <v>50</v>
      </c>
      <c r="L1" s="49" t="s">
        <v>133</v>
      </c>
      <c r="M1" s="41"/>
      <c r="N1" s="50" t="s">
        <v>80</v>
      </c>
      <c r="O1" s="42" t="s">
        <v>34</v>
      </c>
      <c r="P1" s="42" t="s">
        <v>51</v>
      </c>
      <c r="Q1" s="42" t="s">
        <v>52</v>
      </c>
      <c r="R1" s="42" t="s">
        <v>180</v>
      </c>
      <c r="S1" s="51" t="s">
        <v>53</v>
      </c>
      <c r="T1" s="99" t="s">
        <v>54</v>
      </c>
      <c r="U1" s="102" t="s">
        <v>46</v>
      </c>
      <c r="V1" s="109"/>
      <c r="W1" s="98" t="s">
        <v>42</v>
      </c>
      <c r="X1" s="98" t="s">
        <v>41</v>
      </c>
      <c r="Y1" s="98" t="s">
        <v>136</v>
      </c>
      <c r="Z1" s="104" t="s">
        <v>134</v>
      </c>
    </row>
    <row r="2" spans="1:26" ht="38.25" x14ac:dyDescent="0.2">
      <c r="A2" s="212" t="str">
        <f>HYPERLINK(V2,B2)</f>
        <v>AhmCode</v>
      </c>
      <c r="B2" s="283" t="s">
        <v>5964</v>
      </c>
      <c r="C2" s="284" t="s">
        <v>14539</v>
      </c>
      <c r="D2" s="285"/>
      <c r="E2" s="286"/>
      <c r="F2" s="287" t="s">
        <v>14540</v>
      </c>
      <c r="G2" s="286"/>
      <c r="H2" s="286"/>
      <c r="I2" s="288"/>
      <c r="J2" s="289"/>
      <c r="K2" s="290"/>
      <c r="L2" s="371" t="str">
        <f>HYPERLINK("[#]DatatypeListedValues!B2:H2","«enumeration»")</f>
        <v>«enumeration»</v>
      </c>
      <c r="M2" s="287" t="s">
        <v>6582</v>
      </c>
      <c r="N2" s="291" t="b">
        <v>0</v>
      </c>
      <c r="O2" s="286"/>
      <c r="P2" s="292"/>
      <c r="Q2" s="286"/>
      <c r="R2" s="286"/>
      <c r="S2" s="293"/>
      <c r="T2" s="294"/>
      <c r="U2" s="37">
        <v>1580</v>
      </c>
      <c r="V2" s="36" t="str">
        <f>CONCATENATE(Cover!$D$6,"fdd/view?i=",U2)</f>
        <v>https://www.dgiwg.org/FAD/fdd/view?i=1580</v>
      </c>
      <c r="W2" s="172"/>
      <c r="X2" s="172"/>
      <c r="Y2" s="172"/>
    </row>
    <row r="3" spans="1:26" ht="2.1" customHeight="1" x14ac:dyDescent="0.2">
      <c r="A3" s="295"/>
      <c r="B3" s="283"/>
      <c r="C3" s="296"/>
      <c r="D3" s="283"/>
      <c r="E3" s="296"/>
      <c r="F3" s="297"/>
      <c r="G3" s="297"/>
      <c r="H3" s="297"/>
      <c r="I3" s="298"/>
      <c r="J3" s="299"/>
      <c r="K3" s="300"/>
      <c r="L3" s="301"/>
      <c r="M3" s="297" t="s">
        <v>6582</v>
      </c>
      <c r="N3" s="297"/>
      <c r="O3" s="297"/>
      <c r="P3" s="297"/>
      <c r="Q3" s="297"/>
      <c r="R3" s="297"/>
      <c r="S3" s="302"/>
      <c r="T3" s="302"/>
      <c r="U3" s="303"/>
    </row>
    <row r="4" spans="1:26" ht="38.25" x14ac:dyDescent="0.2">
      <c r="A4" s="212" t="str">
        <f>HYPERLINK(V4,B4)</f>
        <v>AvmCode</v>
      </c>
      <c r="B4" s="283" t="s">
        <v>6009</v>
      </c>
      <c r="C4" s="284" t="s">
        <v>14541</v>
      </c>
      <c r="D4" s="285"/>
      <c r="E4" s="286"/>
      <c r="F4" s="287" t="s">
        <v>14542</v>
      </c>
      <c r="G4" s="286"/>
      <c r="H4" s="286"/>
      <c r="I4" s="288"/>
      <c r="J4" s="289"/>
      <c r="K4" s="290"/>
      <c r="L4" s="371" t="str">
        <f>HYPERLINK("[#]DatatypeListedValues!B25:H25","«enumeration»")</f>
        <v>«enumeration»</v>
      </c>
      <c r="M4" s="287" t="s">
        <v>6582</v>
      </c>
      <c r="N4" s="291" t="b">
        <v>0</v>
      </c>
      <c r="O4" s="286"/>
      <c r="P4" s="292"/>
      <c r="Q4" s="286"/>
      <c r="R4" s="286"/>
      <c r="S4" s="293"/>
      <c r="T4" s="294"/>
      <c r="U4" s="37">
        <v>1582</v>
      </c>
      <c r="V4" s="36" t="str">
        <f>CONCATENATE(Cover!$D$6,"fdd/view?i=",U4)</f>
        <v>https://www.dgiwg.org/FAD/fdd/view?i=1582</v>
      </c>
      <c r="W4" s="172"/>
      <c r="X4" s="172"/>
      <c r="Y4" s="172"/>
    </row>
    <row r="5" spans="1:26" ht="2.1" customHeight="1" x14ac:dyDescent="0.2">
      <c r="A5" s="295"/>
      <c r="B5" s="283"/>
      <c r="C5" s="296"/>
      <c r="D5" s="283"/>
      <c r="E5" s="296"/>
      <c r="F5" s="297"/>
      <c r="G5" s="297"/>
      <c r="H5" s="297"/>
      <c r="I5" s="298"/>
      <c r="J5" s="304"/>
      <c r="K5" s="300"/>
      <c r="L5" s="301"/>
      <c r="M5" s="297" t="s">
        <v>6582</v>
      </c>
      <c r="N5" s="297"/>
      <c r="O5" s="297"/>
      <c r="P5" s="297"/>
      <c r="Q5" s="297"/>
      <c r="R5" s="297"/>
      <c r="S5" s="302"/>
      <c r="T5" s="302"/>
      <c r="U5" s="303"/>
    </row>
    <row r="6" spans="1:26" ht="25.5" x14ac:dyDescent="0.2">
      <c r="A6" s="212" t="str">
        <f>HYPERLINK(V6,B6)</f>
        <v>AcsCode</v>
      </c>
      <c r="B6" s="283" t="s">
        <v>6024</v>
      </c>
      <c r="C6" s="284" t="s">
        <v>14543</v>
      </c>
      <c r="D6" s="285"/>
      <c r="E6" s="286"/>
      <c r="F6" s="287" t="s">
        <v>14544</v>
      </c>
      <c r="G6" s="286"/>
      <c r="H6" s="286"/>
      <c r="I6" s="288"/>
      <c r="J6" s="289"/>
      <c r="K6" s="290"/>
      <c r="L6" s="371" t="str">
        <f>HYPERLINK("[#]DatatypeListedValues!B48:H48","«enumeration»")</f>
        <v>«enumeration»</v>
      </c>
      <c r="M6" s="287" t="s">
        <v>6582</v>
      </c>
      <c r="N6" s="291" t="b">
        <v>0</v>
      </c>
      <c r="O6" s="286"/>
      <c r="P6" s="292"/>
      <c r="Q6" s="286"/>
      <c r="R6" s="286"/>
      <c r="S6" s="293"/>
      <c r="T6" s="294"/>
      <c r="U6" s="37">
        <v>1098</v>
      </c>
      <c r="V6" s="36" t="str">
        <f>CONCATENATE(Cover!$D$6,"fdd/view?i=",U6)</f>
        <v>https://www.dgiwg.org/FAD/fdd/view?i=1098</v>
      </c>
      <c r="W6" s="172"/>
      <c r="X6" s="172"/>
      <c r="Y6" s="172"/>
    </row>
    <row r="7" spans="1:26" ht="2.1" customHeight="1" x14ac:dyDescent="0.2">
      <c r="A7" s="295"/>
      <c r="B7" s="283"/>
      <c r="C7" s="296"/>
      <c r="D7" s="283"/>
      <c r="E7" s="296"/>
      <c r="F7" s="297"/>
      <c r="G7" s="297"/>
      <c r="H7" s="297"/>
      <c r="I7" s="298"/>
      <c r="J7" s="304"/>
      <c r="K7" s="300"/>
      <c r="L7" s="301"/>
      <c r="M7" s="297" t="s">
        <v>6582</v>
      </c>
      <c r="N7" s="297"/>
      <c r="O7" s="297"/>
      <c r="P7" s="297"/>
      <c r="Q7" s="297"/>
      <c r="R7" s="297"/>
      <c r="S7" s="302"/>
      <c r="T7" s="302"/>
      <c r="U7" s="303"/>
    </row>
    <row r="8" spans="1:26" ht="25.5" x14ac:dyDescent="0.2">
      <c r="A8" s="212" t="str">
        <f>HYPERLINK(V8,B8)</f>
        <v>UtyCode</v>
      </c>
      <c r="B8" s="283" t="s">
        <v>6030</v>
      </c>
      <c r="C8" s="284" t="s">
        <v>14545</v>
      </c>
      <c r="D8" s="285"/>
      <c r="E8" s="286"/>
      <c r="F8" s="287" t="s">
        <v>14546</v>
      </c>
      <c r="G8" s="286"/>
      <c r="H8" s="286"/>
      <c r="I8" s="288"/>
      <c r="J8" s="289"/>
      <c r="K8" s="290"/>
      <c r="L8" s="371" t="str">
        <f>HYPERLINK("[#]DatatypeListedValues!B55:H55","«enumeration»")</f>
        <v>«enumeration»</v>
      </c>
      <c r="M8" s="287" t="s">
        <v>6582</v>
      </c>
      <c r="N8" s="291" t="b">
        <v>0</v>
      </c>
      <c r="O8" s="286"/>
      <c r="P8" s="292"/>
      <c r="Q8" s="286"/>
      <c r="R8" s="286"/>
      <c r="S8" s="293"/>
      <c r="T8" s="294"/>
      <c r="U8" s="37">
        <v>118118</v>
      </c>
      <c r="V8" s="36" t="str">
        <f>CONCATENATE(Cover!$D$6,"fdd/view?i=",U8)</f>
        <v>https://www.dgiwg.org/FAD/fdd/view?i=118118</v>
      </c>
      <c r="W8" s="172"/>
      <c r="X8" s="172"/>
      <c r="Y8" s="172"/>
    </row>
    <row r="9" spans="1:26" ht="2.1" customHeight="1" x14ac:dyDescent="0.2">
      <c r="A9" s="295"/>
      <c r="B9" s="283"/>
      <c r="C9" s="296"/>
      <c r="D9" s="283"/>
      <c r="E9" s="296"/>
      <c r="F9" s="297"/>
      <c r="G9" s="297"/>
      <c r="H9" s="297"/>
      <c r="I9" s="298"/>
      <c r="J9" s="304"/>
      <c r="K9" s="300"/>
      <c r="L9" s="301"/>
      <c r="M9" s="297" t="s">
        <v>6582</v>
      </c>
      <c r="N9" s="297"/>
      <c r="O9" s="297"/>
      <c r="P9" s="297"/>
      <c r="Q9" s="297"/>
      <c r="R9" s="297"/>
      <c r="S9" s="302"/>
      <c r="T9" s="302"/>
      <c r="U9" s="303"/>
    </row>
    <row r="10" spans="1:26" ht="25.5" x14ac:dyDescent="0.2">
      <c r="A10" s="212" t="str">
        <f>HYPERLINK(V10,B10)</f>
        <v>BruCode</v>
      </c>
      <c r="B10" s="283" t="s">
        <v>6035</v>
      </c>
      <c r="C10" s="284" t="s">
        <v>14547</v>
      </c>
      <c r="D10" s="285"/>
      <c r="E10" s="286"/>
      <c r="F10" s="287" t="s">
        <v>14548</v>
      </c>
      <c r="G10" s="286"/>
      <c r="H10" s="286"/>
      <c r="I10" s="288"/>
      <c r="J10" s="289"/>
      <c r="K10" s="290"/>
      <c r="L10" s="371" t="str">
        <f>HYPERLINK("[#]DatatypeListedValues!B68:H68","«enumeration»")</f>
        <v>«enumeration»</v>
      </c>
      <c r="M10" s="287" t="s">
        <v>6582</v>
      </c>
      <c r="N10" s="287" t="b">
        <v>1</v>
      </c>
      <c r="O10" s="286"/>
      <c r="P10" s="292"/>
      <c r="Q10" s="286"/>
      <c r="R10" s="286"/>
      <c r="S10" s="293"/>
      <c r="T10" s="294"/>
      <c r="U10" s="37">
        <v>119876</v>
      </c>
      <c r="V10" s="36" t="str">
        <f>CONCATENATE(Cover!$D$6,"fdd/view?i=",U10)</f>
        <v>https://www.dgiwg.org/FAD/fdd/view?i=119876</v>
      </c>
      <c r="W10" s="172"/>
      <c r="X10" s="172"/>
      <c r="Y10" s="172"/>
    </row>
    <row r="11" spans="1:26" ht="2.1" customHeight="1" x14ac:dyDescent="0.2">
      <c r="A11" s="295"/>
      <c r="B11" s="283"/>
      <c r="C11" s="296"/>
      <c r="D11" s="283"/>
      <c r="E11" s="296"/>
      <c r="F11" s="297"/>
      <c r="G11" s="297"/>
      <c r="H11" s="297"/>
      <c r="I11" s="298"/>
      <c r="J11" s="304"/>
      <c r="K11" s="300"/>
      <c r="L11" s="301"/>
      <c r="M11" s="297" t="s">
        <v>6582</v>
      </c>
      <c r="N11" s="297"/>
      <c r="O11" s="297"/>
      <c r="P11" s="297"/>
      <c r="Q11" s="297"/>
      <c r="R11" s="297"/>
      <c r="S11" s="302"/>
      <c r="T11" s="302"/>
      <c r="U11" s="303"/>
    </row>
    <row r="12" spans="1:26" ht="178.5" x14ac:dyDescent="0.2">
      <c r="A12" s="212" t="str">
        <f>HYPERLINK(V12,B12)</f>
        <v>PdeStrucText</v>
      </c>
      <c r="B12" s="283" t="s">
        <v>6045</v>
      </c>
      <c r="C12" s="284" t="s">
        <v>14549</v>
      </c>
      <c r="D12" s="285"/>
      <c r="E12" s="286"/>
      <c r="F12" s="287" t="s">
        <v>14550</v>
      </c>
      <c r="G12" s="286"/>
      <c r="H12" s="287" t="s">
        <v>14552</v>
      </c>
      <c r="I12" s="288"/>
      <c r="J12" s="289"/>
      <c r="K12" s="290"/>
      <c r="L12" s="287" t="s">
        <v>14551</v>
      </c>
      <c r="M12" s="287" t="s">
        <v>6582</v>
      </c>
      <c r="N12" s="286"/>
      <c r="O12" s="287">
        <v>20</v>
      </c>
      <c r="P12" s="305" t="b">
        <v>0</v>
      </c>
      <c r="Q12" s="287" t="s">
        <v>14553</v>
      </c>
      <c r="R12" s="286"/>
      <c r="S12" s="293"/>
      <c r="T12" s="294"/>
      <c r="U12" s="37">
        <v>3748</v>
      </c>
      <c r="V12" s="36" t="str">
        <f>CONCATENATE(Cover!$D$6,"fdd/view?i=",U12)</f>
        <v>https://www.dgiwg.org/FAD/fdd/view?i=3748</v>
      </c>
      <c r="W12" s="172"/>
      <c r="X12" s="172"/>
      <c r="Y12" s="172"/>
    </row>
    <row r="13" spans="1:26" ht="2.1" customHeight="1" x14ac:dyDescent="0.2">
      <c r="A13" s="295"/>
      <c r="B13" s="283"/>
      <c r="C13" s="296"/>
      <c r="D13" s="283"/>
      <c r="E13" s="296"/>
      <c r="F13" s="297"/>
      <c r="G13" s="297"/>
      <c r="H13" s="297"/>
      <c r="I13" s="298"/>
      <c r="J13" s="304"/>
      <c r="K13" s="300"/>
      <c r="L13" s="301"/>
      <c r="M13" s="297" t="s">
        <v>6582</v>
      </c>
      <c r="N13" s="297"/>
      <c r="O13" s="297"/>
      <c r="P13" s="297"/>
      <c r="Q13" s="297"/>
      <c r="R13" s="297"/>
      <c r="S13" s="302"/>
      <c r="T13" s="302"/>
      <c r="U13" s="303"/>
    </row>
    <row r="14" spans="1:26" ht="165.75" x14ac:dyDescent="0.2">
      <c r="A14" s="212" t="str">
        <f>HYPERLINK(V14,B14)</f>
        <v>PdzStrucText</v>
      </c>
      <c r="B14" s="283" t="s">
        <v>6051</v>
      </c>
      <c r="C14" s="284" t="s">
        <v>14554</v>
      </c>
      <c r="D14" s="285"/>
      <c r="E14" s="286"/>
      <c r="F14" s="287" t="s">
        <v>14555</v>
      </c>
      <c r="G14" s="286"/>
      <c r="H14" s="287" t="s">
        <v>14552</v>
      </c>
      <c r="I14" s="288"/>
      <c r="J14" s="289"/>
      <c r="K14" s="290"/>
      <c r="L14" s="287" t="s">
        <v>14551</v>
      </c>
      <c r="M14" s="287" t="s">
        <v>6582</v>
      </c>
      <c r="N14" s="286"/>
      <c r="O14" s="287">
        <v>41</v>
      </c>
      <c r="P14" s="305" t="b">
        <v>0</v>
      </c>
      <c r="Q14" s="287" t="s">
        <v>14556</v>
      </c>
      <c r="R14" s="286"/>
      <c r="S14" s="293"/>
      <c r="T14" s="294"/>
      <c r="U14" s="37">
        <v>3777</v>
      </c>
      <c r="V14" s="36" t="str">
        <f>CONCATENATE(Cover!$D$6,"fdd/view?i=",U14)</f>
        <v>https://www.dgiwg.org/FAD/fdd/view?i=3777</v>
      </c>
      <c r="W14" s="172"/>
      <c r="X14" s="172"/>
      <c r="Y14" s="172"/>
    </row>
    <row r="15" spans="1:26" ht="2.1" customHeight="1" x14ac:dyDescent="0.2">
      <c r="A15" s="295"/>
      <c r="B15" s="283"/>
      <c r="C15" s="296"/>
      <c r="D15" s="283"/>
      <c r="E15" s="296"/>
      <c r="F15" s="297"/>
      <c r="G15" s="297"/>
      <c r="H15" s="297"/>
      <c r="I15" s="298"/>
      <c r="J15" s="304"/>
      <c r="K15" s="300"/>
      <c r="L15" s="301"/>
      <c r="M15" s="297" t="s">
        <v>6582</v>
      </c>
      <c r="N15" s="297"/>
      <c r="O15" s="297"/>
      <c r="P15" s="297"/>
      <c r="Q15" s="297"/>
      <c r="R15" s="297"/>
      <c r="S15" s="302"/>
      <c r="T15" s="302"/>
      <c r="U15" s="303"/>
    </row>
    <row r="16" spans="1:26" ht="178.5" x14ac:dyDescent="0.2">
      <c r="A16" s="212" t="str">
        <f>HYPERLINK(V16,B16)</f>
        <v>PdsStrucText</v>
      </c>
      <c r="B16" s="283" t="s">
        <v>6057</v>
      </c>
      <c r="C16" s="284" t="s">
        <v>14557</v>
      </c>
      <c r="D16" s="285"/>
      <c r="E16" s="286"/>
      <c r="F16" s="287" t="s">
        <v>14558</v>
      </c>
      <c r="G16" s="286"/>
      <c r="H16" s="287" t="s">
        <v>14552</v>
      </c>
      <c r="I16" s="288"/>
      <c r="J16" s="289"/>
      <c r="K16" s="290"/>
      <c r="L16" s="287" t="s">
        <v>14551</v>
      </c>
      <c r="M16" s="287" t="s">
        <v>6582</v>
      </c>
      <c r="N16" s="286"/>
      <c r="O16" s="287">
        <v>20</v>
      </c>
      <c r="P16" s="305" t="b">
        <v>0</v>
      </c>
      <c r="Q16" s="287" t="s">
        <v>14553</v>
      </c>
      <c r="R16" s="286"/>
      <c r="S16" s="293"/>
      <c r="T16" s="294"/>
      <c r="U16" s="37">
        <v>3750</v>
      </c>
      <c r="V16" s="36" t="str">
        <f>CONCATENATE(Cover!$D$6,"fdd/view?i=",U16)</f>
        <v>https://www.dgiwg.org/FAD/fdd/view?i=3750</v>
      </c>
      <c r="W16" s="172"/>
      <c r="X16" s="172"/>
      <c r="Y16" s="172"/>
    </row>
    <row r="17" spans="1:25" ht="2.1" customHeight="1" x14ac:dyDescent="0.2">
      <c r="A17" s="295"/>
      <c r="B17" s="283"/>
      <c r="C17" s="296"/>
      <c r="D17" s="283"/>
      <c r="E17" s="296"/>
      <c r="F17" s="297"/>
      <c r="G17" s="297"/>
      <c r="H17" s="297"/>
      <c r="I17" s="298"/>
      <c r="J17" s="304"/>
      <c r="K17" s="300"/>
      <c r="L17" s="301"/>
      <c r="M17" s="297" t="s">
        <v>6582</v>
      </c>
      <c r="N17" s="297"/>
      <c r="O17" s="297"/>
      <c r="P17" s="297"/>
      <c r="Q17" s="297"/>
      <c r="R17" s="297"/>
      <c r="S17" s="302"/>
      <c r="T17" s="302"/>
      <c r="U17" s="303"/>
    </row>
    <row r="18" spans="1:25" ht="51" x14ac:dyDescent="0.2">
      <c r="A18" s="212" t="str">
        <f>HYPERLINK(V18,B18)</f>
        <v>DotStrucText</v>
      </c>
      <c r="B18" s="283" t="s">
        <v>6069</v>
      </c>
      <c r="C18" s="284" t="s">
        <v>14559</v>
      </c>
      <c r="D18" s="285"/>
      <c r="E18" s="286"/>
      <c r="F18" s="287" t="s">
        <v>14560</v>
      </c>
      <c r="G18" s="286"/>
      <c r="H18" s="287" t="s">
        <v>14552</v>
      </c>
      <c r="I18" s="288"/>
      <c r="J18" s="289"/>
      <c r="K18" s="290"/>
      <c r="L18" s="287" t="s">
        <v>14551</v>
      </c>
      <c r="M18" s="287" t="s">
        <v>6582</v>
      </c>
      <c r="N18" s="286"/>
      <c r="O18" s="287">
        <v>20</v>
      </c>
      <c r="P18" s="305" t="b">
        <v>0</v>
      </c>
      <c r="Q18" s="287" t="s">
        <v>14561</v>
      </c>
      <c r="R18" s="286"/>
      <c r="S18" s="293"/>
      <c r="T18" s="294"/>
      <c r="U18" s="37">
        <v>3771</v>
      </c>
      <c r="V18" s="36" t="str">
        <f>CONCATENATE(Cover!$D$6,"fdd/view?i=",U18)</f>
        <v>https://www.dgiwg.org/FAD/fdd/view?i=3771</v>
      </c>
      <c r="W18" s="172"/>
      <c r="X18" s="172"/>
      <c r="Y18" s="172"/>
    </row>
    <row r="19" spans="1:25" ht="2.1" customHeight="1" x14ac:dyDescent="0.2">
      <c r="A19" s="295"/>
      <c r="B19" s="283"/>
      <c r="C19" s="296"/>
      <c r="D19" s="283"/>
      <c r="E19" s="296"/>
      <c r="F19" s="297"/>
      <c r="G19" s="297"/>
      <c r="H19" s="297"/>
      <c r="I19" s="298"/>
      <c r="J19" s="304"/>
      <c r="K19" s="300"/>
      <c r="L19" s="301"/>
      <c r="M19" s="297" t="s">
        <v>6582</v>
      </c>
      <c r="N19" s="297"/>
      <c r="O19" s="297"/>
      <c r="P19" s="297"/>
      <c r="Q19" s="297"/>
      <c r="R19" s="297"/>
      <c r="S19" s="302"/>
      <c r="T19" s="302"/>
      <c r="U19" s="303"/>
    </row>
    <row r="20" spans="1:25" ht="25.5" x14ac:dyDescent="0.2">
      <c r="A20" s="212" t="str">
        <f>HYPERLINK(V20,B20)</f>
        <v>DipCode</v>
      </c>
      <c r="B20" s="283" t="s">
        <v>6085</v>
      </c>
      <c r="C20" s="284" t="s">
        <v>14562</v>
      </c>
      <c r="D20" s="285"/>
      <c r="E20" s="286"/>
      <c r="F20" s="287" t="s">
        <v>14563</v>
      </c>
      <c r="G20" s="286"/>
      <c r="H20" s="286"/>
      <c r="I20" s="288"/>
      <c r="J20" s="289"/>
      <c r="K20" s="290"/>
      <c r="L20" s="371" t="str">
        <f>HYPERLINK("[#]DatatypeListedValues!B70:H70","«enumeration»")</f>
        <v>«enumeration»</v>
      </c>
      <c r="M20" s="287" t="s">
        <v>6582</v>
      </c>
      <c r="N20" s="291" t="b">
        <v>0</v>
      </c>
      <c r="O20" s="286"/>
      <c r="P20" s="292"/>
      <c r="Q20" s="286"/>
      <c r="R20" s="286"/>
      <c r="S20" s="293"/>
      <c r="T20" s="294"/>
      <c r="U20" s="37">
        <v>1190</v>
      </c>
      <c r="V20" s="36" t="str">
        <f>CONCATENATE(Cover!$D$6,"fdd/view?i=",U20)</f>
        <v>https://www.dgiwg.org/FAD/fdd/view?i=1190</v>
      </c>
      <c r="W20" s="172"/>
      <c r="X20" s="172"/>
      <c r="Y20" s="172"/>
    </row>
    <row r="21" spans="1:25" ht="2.1" customHeight="1" x14ac:dyDescent="0.2">
      <c r="A21" s="295"/>
      <c r="B21" s="283"/>
      <c r="C21" s="296"/>
      <c r="D21" s="283"/>
      <c r="E21" s="296"/>
      <c r="F21" s="297"/>
      <c r="G21" s="297"/>
      <c r="H21" s="297"/>
      <c r="I21" s="298"/>
      <c r="J21" s="304"/>
      <c r="K21" s="300"/>
      <c r="L21" s="301"/>
      <c r="M21" s="297" t="s">
        <v>6582</v>
      </c>
      <c r="N21" s="297"/>
      <c r="O21" s="297"/>
      <c r="P21" s="297"/>
      <c r="Q21" s="297"/>
      <c r="R21" s="297"/>
      <c r="S21" s="302"/>
      <c r="T21" s="302"/>
      <c r="U21" s="303"/>
    </row>
    <row r="22" spans="1:25" ht="25.5" x14ac:dyDescent="0.2">
      <c r="A22" s="212" t="str">
        <f>HYPERLINK(V22,B22)</f>
        <v>DrsCode</v>
      </c>
      <c r="B22" s="283" t="s">
        <v>6091</v>
      </c>
      <c r="C22" s="284" t="s">
        <v>14564</v>
      </c>
      <c r="D22" s="285"/>
      <c r="E22" s="286"/>
      <c r="F22" s="287" t="s">
        <v>14565</v>
      </c>
      <c r="G22" s="286"/>
      <c r="H22" s="286"/>
      <c r="I22" s="288"/>
      <c r="J22" s="289"/>
      <c r="K22" s="290"/>
      <c r="L22" s="371" t="str">
        <f>HYPERLINK("[#]DatatypeListedValues!B79:H79","«enumeration»")</f>
        <v>«enumeration»</v>
      </c>
      <c r="M22" s="287" t="s">
        <v>6582</v>
      </c>
      <c r="N22" s="291" t="b">
        <v>0</v>
      </c>
      <c r="O22" s="286"/>
      <c r="P22" s="292"/>
      <c r="Q22" s="286"/>
      <c r="R22" s="286"/>
      <c r="S22" s="293"/>
      <c r="T22" s="294"/>
      <c r="U22" s="37">
        <v>1194</v>
      </c>
      <c r="V22" s="36" t="str">
        <f>CONCATENATE(Cover!$D$6,"fdd/view?i=",U22)</f>
        <v>https://www.dgiwg.org/FAD/fdd/view?i=1194</v>
      </c>
      <c r="W22" s="172"/>
      <c r="X22" s="172"/>
      <c r="Y22" s="172"/>
    </row>
    <row r="23" spans="1:25" ht="2.1" customHeight="1" x14ac:dyDescent="0.2">
      <c r="A23" s="295"/>
      <c r="B23" s="283"/>
      <c r="C23" s="296"/>
      <c r="D23" s="283"/>
      <c r="E23" s="296"/>
      <c r="F23" s="297"/>
      <c r="G23" s="297"/>
      <c r="H23" s="297"/>
      <c r="I23" s="298"/>
      <c r="J23" s="304"/>
      <c r="K23" s="300"/>
      <c r="L23" s="301"/>
      <c r="M23" s="297" t="s">
        <v>6582</v>
      </c>
      <c r="N23" s="297"/>
      <c r="O23" s="297"/>
      <c r="P23" s="297"/>
      <c r="Q23" s="297"/>
      <c r="R23" s="297"/>
      <c r="S23" s="302"/>
      <c r="T23" s="302"/>
      <c r="U23" s="303"/>
    </row>
    <row r="24" spans="1:25" ht="38.25" x14ac:dyDescent="0.2">
      <c r="A24" s="212" t="str">
        <f>HYPERLINK(V24,B24)</f>
        <v>AdnStrucText</v>
      </c>
      <c r="B24" s="283" t="s">
        <v>6097</v>
      </c>
      <c r="C24" s="284" t="s">
        <v>14566</v>
      </c>
      <c r="D24" s="285"/>
      <c r="E24" s="286"/>
      <c r="F24" s="287" t="s">
        <v>14567</v>
      </c>
      <c r="G24" s="286"/>
      <c r="H24" s="287" t="s">
        <v>14552</v>
      </c>
      <c r="I24" s="288"/>
      <c r="J24" s="289"/>
      <c r="K24" s="290"/>
      <c r="L24" s="287" t="s">
        <v>14551</v>
      </c>
      <c r="M24" s="287" t="s">
        <v>6582</v>
      </c>
      <c r="N24" s="286"/>
      <c r="O24" s="287">
        <v>20</v>
      </c>
      <c r="P24" s="305" t="b">
        <v>0</v>
      </c>
      <c r="Q24" s="287" t="s">
        <v>14568</v>
      </c>
      <c r="R24" s="286"/>
      <c r="S24" s="293"/>
      <c r="T24" s="294"/>
      <c r="U24" s="37">
        <v>3770</v>
      </c>
      <c r="V24" s="36" t="str">
        <f>CONCATENATE(Cover!$D$6,"fdd/view?i=",U24)</f>
        <v>https://www.dgiwg.org/FAD/fdd/view?i=3770</v>
      </c>
      <c r="W24" s="172"/>
      <c r="X24" s="172"/>
      <c r="Y24" s="172"/>
    </row>
    <row r="25" spans="1:25" ht="2.1" customHeight="1" x14ac:dyDescent="0.2">
      <c r="A25" s="295"/>
      <c r="B25" s="283"/>
      <c r="C25" s="296"/>
      <c r="D25" s="283"/>
      <c r="E25" s="296"/>
      <c r="F25" s="297"/>
      <c r="G25" s="297"/>
      <c r="H25" s="297"/>
      <c r="I25" s="298"/>
      <c r="J25" s="304"/>
      <c r="K25" s="300"/>
      <c r="L25" s="301"/>
      <c r="M25" s="297" t="s">
        <v>6582</v>
      </c>
      <c r="N25" s="297"/>
      <c r="O25" s="297"/>
      <c r="P25" s="297"/>
      <c r="Q25" s="297"/>
      <c r="R25" s="297"/>
      <c r="S25" s="302"/>
      <c r="T25" s="302"/>
      <c r="U25" s="303"/>
    </row>
    <row r="26" spans="1:25" ht="38.25" x14ac:dyDescent="0.2">
      <c r="A26" s="212" t="str">
        <f>HYPERLINK(V26,B26)</f>
        <v>AdrStrucText</v>
      </c>
      <c r="B26" s="283" t="s">
        <v>6079</v>
      </c>
      <c r="C26" s="284" t="s">
        <v>14569</v>
      </c>
      <c r="D26" s="285"/>
      <c r="E26" s="286"/>
      <c r="F26" s="287" t="s">
        <v>14570</v>
      </c>
      <c r="G26" s="286"/>
      <c r="H26" s="287" t="s">
        <v>14552</v>
      </c>
      <c r="I26" s="288"/>
      <c r="J26" s="289"/>
      <c r="K26" s="290"/>
      <c r="L26" s="287" t="s">
        <v>14551</v>
      </c>
      <c r="M26" s="287" t="s">
        <v>6582</v>
      </c>
      <c r="N26" s="286"/>
      <c r="O26" s="305" t="s">
        <v>14571</v>
      </c>
      <c r="P26" s="287" t="b">
        <v>1</v>
      </c>
      <c r="Q26" s="287" t="s">
        <v>14572</v>
      </c>
      <c r="R26" s="286"/>
      <c r="S26" s="293"/>
      <c r="T26" s="294"/>
      <c r="U26" s="37">
        <v>1028</v>
      </c>
      <c r="V26" s="36" t="str">
        <f>CONCATENATE(Cover!$D$6,"fdd/view?i=",U26)</f>
        <v>https://www.dgiwg.org/FAD/fdd/view?i=1028</v>
      </c>
      <c r="W26" s="172"/>
      <c r="X26" s="172"/>
      <c r="Y26" s="172"/>
    </row>
    <row r="27" spans="1:25" ht="2.1" customHeight="1" x14ac:dyDescent="0.2">
      <c r="A27" s="295"/>
      <c r="B27" s="283"/>
      <c r="C27" s="296"/>
      <c r="D27" s="283"/>
      <c r="E27" s="296"/>
      <c r="F27" s="297"/>
      <c r="G27" s="297"/>
      <c r="H27" s="297"/>
      <c r="I27" s="298"/>
      <c r="J27" s="304"/>
      <c r="K27" s="300"/>
      <c r="L27" s="301"/>
      <c r="M27" s="297" t="s">
        <v>6582</v>
      </c>
      <c r="N27" s="297"/>
      <c r="O27" s="297"/>
      <c r="P27" s="297"/>
      <c r="Q27" s="297"/>
      <c r="R27" s="297"/>
      <c r="S27" s="302"/>
      <c r="T27" s="302"/>
      <c r="U27" s="303"/>
    </row>
    <row r="28" spans="1:25" ht="25.5" x14ac:dyDescent="0.2">
      <c r="A28" s="212" t="str">
        <f>HYPERLINK(V28,B28)</f>
        <v>AduCode</v>
      </c>
      <c r="B28" s="283" t="s">
        <v>6108</v>
      </c>
      <c r="C28" s="284" t="s">
        <v>14573</v>
      </c>
      <c r="D28" s="285"/>
      <c r="E28" s="286"/>
      <c r="F28" s="287" t="s">
        <v>14574</v>
      </c>
      <c r="G28" s="286"/>
      <c r="H28" s="286"/>
      <c r="I28" s="288"/>
      <c r="J28" s="289"/>
      <c r="K28" s="290"/>
      <c r="L28" s="371" t="str">
        <f>HYPERLINK("[#]DatatypeListedValues!B88:H88","«enumeration»")</f>
        <v>«enumeration»</v>
      </c>
      <c r="M28" s="287" t="s">
        <v>6582</v>
      </c>
      <c r="N28" s="291" t="b">
        <v>0</v>
      </c>
      <c r="O28" s="286"/>
      <c r="P28" s="292"/>
      <c r="Q28" s="286"/>
      <c r="R28" s="286"/>
      <c r="S28" s="293"/>
      <c r="T28" s="294"/>
      <c r="U28" s="37">
        <v>114491</v>
      </c>
      <c r="V28" s="36" t="str">
        <f>CONCATENATE(Cover!$D$6,"fdd/view?i=",U28)</f>
        <v>https://www.dgiwg.org/FAD/fdd/view?i=114491</v>
      </c>
      <c r="W28" s="172"/>
      <c r="X28" s="172"/>
      <c r="Y28" s="172"/>
    </row>
    <row r="29" spans="1:25" ht="2.1" customHeight="1" x14ac:dyDescent="0.2">
      <c r="A29" s="295"/>
      <c r="B29" s="283"/>
      <c r="C29" s="296"/>
      <c r="D29" s="283"/>
      <c r="E29" s="296"/>
      <c r="F29" s="297"/>
      <c r="G29" s="297"/>
      <c r="H29" s="297"/>
      <c r="I29" s="298"/>
      <c r="J29" s="304"/>
      <c r="K29" s="300"/>
      <c r="L29" s="301"/>
      <c r="M29" s="297" t="s">
        <v>6582</v>
      </c>
      <c r="N29" s="297"/>
      <c r="O29" s="297"/>
      <c r="P29" s="297"/>
      <c r="Q29" s="297"/>
      <c r="R29" s="297"/>
      <c r="S29" s="302"/>
      <c r="T29" s="302"/>
      <c r="U29" s="303"/>
    </row>
    <row r="30" spans="1:25" ht="25.5" x14ac:dyDescent="0.2">
      <c r="A30" s="212" t="str">
        <f>HYPERLINK(V30,B30)</f>
        <v>AslCode</v>
      </c>
      <c r="B30" s="283" t="s">
        <v>6119</v>
      </c>
      <c r="C30" s="284" t="s">
        <v>14575</v>
      </c>
      <c r="D30" s="285"/>
      <c r="E30" s="286"/>
      <c r="F30" s="287" t="s">
        <v>14576</v>
      </c>
      <c r="G30" s="286"/>
      <c r="H30" s="286"/>
      <c r="I30" s="288"/>
      <c r="J30" s="289"/>
      <c r="K30" s="290"/>
      <c r="L30" s="371" t="str">
        <f>HYPERLINK("[#]DatatypeListedValues!B96:H96","«enumeration»")</f>
        <v>«enumeration»</v>
      </c>
      <c r="M30" s="287" t="s">
        <v>6582</v>
      </c>
      <c r="N30" s="291" t="b">
        <v>0</v>
      </c>
      <c r="O30" s="286"/>
      <c r="P30" s="292"/>
      <c r="Q30" s="286"/>
      <c r="R30" s="286"/>
      <c r="S30" s="293"/>
      <c r="T30" s="294"/>
      <c r="U30" s="37">
        <v>1581</v>
      </c>
      <c r="V30" s="36" t="str">
        <f>CONCATENATE(Cover!$D$6,"fdd/view?i=",U30)</f>
        <v>https://www.dgiwg.org/FAD/fdd/view?i=1581</v>
      </c>
      <c r="W30" s="172"/>
      <c r="X30" s="172"/>
      <c r="Y30" s="172"/>
    </row>
    <row r="31" spans="1:25" ht="2.1" customHeight="1" x14ac:dyDescent="0.2">
      <c r="A31" s="295"/>
      <c r="B31" s="283"/>
      <c r="C31" s="296"/>
      <c r="D31" s="283"/>
      <c r="E31" s="296"/>
      <c r="F31" s="297"/>
      <c r="G31" s="297"/>
      <c r="H31" s="297"/>
      <c r="I31" s="298"/>
      <c r="J31" s="304"/>
      <c r="K31" s="300"/>
      <c r="L31" s="301"/>
      <c r="M31" s="297" t="s">
        <v>6582</v>
      </c>
      <c r="N31" s="297"/>
      <c r="O31" s="297"/>
      <c r="P31" s="297"/>
      <c r="Q31" s="297"/>
      <c r="R31" s="297"/>
      <c r="S31" s="302"/>
      <c r="T31" s="302"/>
      <c r="U31" s="303"/>
    </row>
    <row r="32" spans="1:25" ht="25.5" x14ac:dyDescent="0.2">
      <c r="A32" s="212" t="str">
        <f>HYPERLINK(V32,B32)</f>
        <v>ChxCode</v>
      </c>
      <c r="B32" s="283" t="s">
        <v>6150</v>
      </c>
      <c r="C32" s="284" t="s">
        <v>14577</v>
      </c>
      <c r="D32" s="285"/>
      <c r="E32" s="286"/>
      <c r="F32" s="287" t="s">
        <v>14578</v>
      </c>
      <c r="G32" s="286"/>
      <c r="H32" s="286"/>
      <c r="I32" s="288"/>
      <c r="J32" s="289"/>
      <c r="K32" s="290"/>
      <c r="L32" s="371" t="str">
        <f>HYPERLINK("[#]DatatypeListedValues!B102:H102","«enumeration»")</f>
        <v>«enumeration»</v>
      </c>
      <c r="M32" s="287" t="s">
        <v>6582</v>
      </c>
      <c r="N32" s="287" t="b">
        <v>1</v>
      </c>
      <c r="O32" s="286"/>
      <c r="P32" s="292"/>
      <c r="Q32" s="286"/>
      <c r="R32" s="286"/>
      <c r="S32" s="293"/>
      <c r="T32" s="294"/>
      <c r="U32" s="37">
        <v>117366</v>
      </c>
      <c r="V32" s="36" t="str">
        <f>CONCATENATE(Cover!$D$6,"fdd/view?i=",U32)</f>
        <v>https://www.dgiwg.org/FAD/fdd/view?i=117366</v>
      </c>
      <c r="W32" s="172"/>
      <c r="X32" s="172"/>
      <c r="Y32" s="172"/>
    </row>
    <row r="33" spans="1:25" ht="2.1" customHeight="1" x14ac:dyDescent="0.2">
      <c r="A33" s="295"/>
      <c r="B33" s="283"/>
      <c r="C33" s="296"/>
      <c r="D33" s="283"/>
      <c r="E33" s="296"/>
      <c r="F33" s="297"/>
      <c r="G33" s="297"/>
      <c r="H33" s="297"/>
      <c r="I33" s="298"/>
      <c r="J33" s="304"/>
      <c r="K33" s="300"/>
      <c r="L33" s="301"/>
      <c r="M33" s="297" t="s">
        <v>6582</v>
      </c>
      <c r="N33" s="297"/>
      <c r="O33" s="297"/>
      <c r="P33" s="297"/>
      <c r="Q33" s="297"/>
      <c r="R33" s="297"/>
      <c r="S33" s="302"/>
      <c r="T33" s="302"/>
      <c r="U33" s="303"/>
    </row>
    <row r="34" spans="1:25" ht="25.5" x14ac:dyDescent="0.2">
      <c r="A34" s="212" t="str">
        <f>HYPERLINK(V34,B34)</f>
        <v>ChyCode</v>
      </c>
      <c r="B34" s="283" t="s">
        <v>6155</v>
      </c>
      <c r="C34" s="284" t="s">
        <v>14579</v>
      </c>
      <c r="D34" s="285"/>
      <c r="E34" s="286"/>
      <c r="F34" s="287" t="s">
        <v>14580</v>
      </c>
      <c r="G34" s="286"/>
      <c r="H34" s="286"/>
      <c r="I34" s="288"/>
      <c r="J34" s="289"/>
      <c r="K34" s="290"/>
      <c r="L34" s="371" t="str">
        <f>HYPERLINK("[#]DatatypeListedValues!B454:H454","«enumeration»")</f>
        <v>«enumeration»</v>
      </c>
      <c r="M34" s="287" t="s">
        <v>6582</v>
      </c>
      <c r="N34" s="287" t="b">
        <v>1</v>
      </c>
      <c r="O34" s="286"/>
      <c r="P34" s="292"/>
      <c r="Q34" s="286"/>
      <c r="R34" s="286"/>
      <c r="S34" s="293"/>
      <c r="T34" s="294"/>
      <c r="U34" s="37">
        <v>117367</v>
      </c>
      <c r="V34" s="36" t="str">
        <f>CONCATENATE(Cover!$D$6,"fdd/view?i=",U34)</f>
        <v>https://www.dgiwg.org/FAD/fdd/view?i=117367</v>
      </c>
      <c r="W34" s="172"/>
      <c r="X34" s="172"/>
      <c r="Y34" s="172"/>
    </row>
    <row r="35" spans="1:25" ht="2.1" customHeight="1" x14ac:dyDescent="0.2">
      <c r="A35" s="295"/>
      <c r="B35" s="283"/>
      <c r="C35" s="296"/>
      <c r="D35" s="283"/>
      <c r="E35" s="296"/>
      <c r="F35" s="297"/>
      <c r="G35" s="297"/>
      <c r="H35" s="297"/>
      <c r="I35" s="298"/>
      <c r="J35" s="304"/>
      <c r="K35" s="300"/>
      <c r="L35" s="301"/>
      <c r="M35" s="297" t="s">
        <v>6582</v>
      </c>
      <c r="N35" s="297"/>
      <c r="O35" s="297"/>
      <c r="P35" s="297"/>
      <c r="Q35" s="297"/>
      <c r="R35" s="297"/>
      <c r="S35" s="302"/>
      <c r="T35" s="302"/>
      <c r="U35" s="303"/>
    </row>
    <row r="36" spans="1:25" ht="38.25" x14ac:dyDescent="0.2">
      <c r="A36" s="212" t="str">
        <f>HYPERLINK(V36,B36)</f>
        <v>RlsCode</v>
      </c>
      <c r="B36" s="283" t="s">
        <v>6166</v>
      </c>
      <c r="C36" s="284" t="s">
        <v>14581</v>
      </c>
      <c r="D36" s="285"/>
      <c r="E36" s="286"/>
      <c r="F36" s="287" t="s">
        <v>14582</v>
      </c>
      <c r="G36" s="286"/>
      <c r="H36" s="286"/>
      <c r="I36" s="288"/>
      <c r="J36" s="289"/>
      <c r="K36" s="290"/>
      <c r="L36" s="371" t="str">
        <f>HYPERLINK("[#]DatatypeListedValues!B806:H806","«enumeration»")</f>
        <v>«enumeration»</v>
      </c>
      <c r="M36" s="287" t="s">
        <v>6582</v>
      </c>
      <c r="N36" s="291" t="b">
        <v>0</v>
      </c>
      <c r="O36" s="286"/>
      <c r="P36" s="292"/>
      <c r="Q36" s="286"/>
      <c r="R36" s="286"/>
      <c r="S36" s="293"/>
      <c r="T36" s="294"/>
      <c r="U36" s="37">
        <v>117404</v>
      </c>
      <c r="V36" s="36" t="str">
        <f>CONCATENATE(Cover!$D$6,"fdd/view?i=",U36)</f>
        <v>https://www.dgiwg.org/FAD/fdd/view?i=117404</v>
      </c>
      <c r="W36" s="172"/>
      <c r="X36" s="172"/>
      <c r="Y36" s="172"/>
    </row>
    <row r="37" spans="1:25" ht="2.1" customHeight="1" x14ac:dyDescent="0.2">
      <c r="A37" s="295"/>
      <c r="B37" s="283"/>
      <c r="C37" s="296"/>
      <c r="D37" s="283"/>
      <c r="E37" s="296"/>
      <c r="F37" s="297"/>
      <c r="G37" s="297"/>
      <c r="H37" s="297"/>
      <c r="I37" s="298"/>
      <c r="J37" s="304"/>
      <c r="K37" s="300"/>
      <c r="L37" s="301"/>
      <c r="M37" s="297" t="s">
        <v>6582</v>
      </c>
      <c r="N37" s="297"/>
      <c r="O37" s="297"/>
      <c r="P37" s="297"/>
      <c r="Q37" s="297"/>
      <c r="R37" s="297"/>
      <c r="S37" s="302"/>
      <c r="T37" s="302"/>
      <c r="U37" s="303"/>
    </row>
    <row r="38" spans="1:25" ht="38.25" x14ac:dyDescent="0.2">
      <c r="A38" s="212" t="str">
        <f>HYPERLINK(V38,B38)</f>
        <v>AciStrucText</v>
      </c>
      <c r="B38" s="283" t="s">
        <v>6171</v>
      </c>
      <c r="C38" s="284" t="s">
        <v>14583</v>
      </c>
      <c r="D38" s="285"/>
      <c r="E38" s="286"/>
      <c r="F38" s="287" t="s">
        <v>14584</v>
      </c>
      <c r="G38" s="286"/>
      <c r="H38" s="287" t="s">
        <v>14552</v>
      </c>
      <c r="I38" s="288"/>
      <c r="J38" s="289"/>
      <c r="K38" s="290"/>
      <c r="L38" s="287" t="s">
        <v>14551</v>
      </c>
      <c r="M38" s="287" t="s">
        <v>6582</v>
      </c>
      <c r="N38" s="286"/>
      <c r="O38" s="287">
        <v>4</v>
      </c>
      <c r="P38" s="305" t="b">
        <v>0</v>
      </c>
      <c r="Q38" s="287" t="s">
        <v>14585</v>
      </c>
      <c r="R38" s="286"/>
      <c r="S38" s="293"/>
      <c r="T38" s="294"/>
      <c r="U38" s="37">
        <v>117434</v>
      </c>
      <c r="V38" s="36" t="str">
        <f>CONCATENATE(Cover!$D$6,"fdd/view?i=",U38)</f>
        <v>https://www.dgiwg.org/FAD/fdd/view?i=117434</v>
      </c>
      <c r="W38" s="172"/>
      <c r="X38" s="172"/>
      <c r="Y38" s="172"/>
    </row>
    <row r="39" spans="1:25" ht="2.1" customHeight="1" x14ac:dyDescent="0.2">
      <c r="A39" s="295"/>
      <c r="B39" s="283"/>
      <c r="C39" s="296"/>
      <c r="D39" s="283"/>
      <c r="E39" s="296"/>
      <c r="F39" s="297"/>
      <c r="G39" s="297"/>
      <c r="H39" s="297"/>
      <c r="I39" s="298"/>
      <c r="J39" s="304"/>
      <c r="K39" s="300"/>
      <c r="L39" s="301"/>
      <c r="M39" s="297" t="s">
        <v>6582</v>
      </c>
      <c r="N39" s="297"/>
      <c r="O39" s="297"/>
      <c r="P39" s="297"/>
      <c r="Q39" s="297"/>
      <c r="R39" s="297"/>
      <c r="S39" s="302"/>
      <c r="T39" s="302"/>
      <c r="U39" s="303"/>
    </row>
    <row r="40" spans="1:25" ht="25.5" x14ac:dyDescent="0.2">
      <c r="A40" s="212" t="str">
        <f>HYPERLINK(V40,B40)</f>
        <v>AcyCode</v>
      </c>
      <c r="B40" s="283" t="s">
        <v>6176</v>
      </c>
      <c r="C40" s="284" t="s">
        <v>14586</v>
      </c>
      <c r="D40" s="285"/>
      <c r="E40" s="286"/>
      <c r="F40" s="287" t="s">
        <v>14587</v>
      </c>
      <c r="G40" s="286"/>
      <c r="H40" s="286"/>
      <c r="I40" s="288"/>
      <c r="J40" s="289"/>
      <c r="K40" s="290"/>
      <c r="L40" s="371" t="str">
        <f>HYPERLINK("[#]DatatypeListedValues!B829:H829","«enumeration»")</f>
        <v>«enumeration»</v>
      </c>
      <c r="M40" s="287" t="s">
        <v>6582</v>
      </c>
      <c r="N40" s="291" t="b">
        <v>0</v>
      </c>
      <c r="O40" s="286"/>
      <c r="P40" s="292"/>
      <c r="Q40" s="286"/>
      <c r="R40" s="286"/>
      <c r="S40" s="293"/>
      <c r="T40" s="294"/>
      <c r="U40" s="37">
        <v>119793</v>
      </c>
      <c r="V40" s="36" t="str">
        <f>CONCATENATE(Cover!$D$6,"fdd/view?i=",U40)</f>
        <v>https://www.dgiwg.org/FAD/fdd/view?i=119793</v>
      </c>
      <c r="W40" s="172"/>
      <c r="X40" s="172"/>
      <c r="Y40" s="172"/>
    </row>
    <row r="41" spans="1:25" ht="2.1" customHeight="1" x14ac:dyDescent="0.2">
      <c r="A41" s="295"/>
      <c r="B41" s="283"/>
      <c r="C41" s="296"/>
      <c r="D41" s="283"/>
      <c r="E41" s="296"/>
      <c r="F41" s="297"/>
      <c r="G41" s="297"/>
      <c r="H41" s="297"/>
      <c r="I41" s="298"/>
      <c r="J41" s="304"/>
      <c r="K41" s="300"/>
      <c r="L41" s="301"/>
      <c r="M41" s="297" t="s">
        <v>6582</v>
      </c>
      <c r="N41" s="297"/>
      <c r="O41" s="297"/>
      <c r="P41" s="297"/>
      <c r="Q41" s="297"/>
      <c r="R41" s="297"/>
      <c r="S41" s="302"/>
      <c r="T41" s="302"/>
      <c r="U41" s="303"/>
    </row>
    <row r="42" spans="1:25" ht="25.5" x14ac:dyDescent="0.2">
      <c r="A42" s="212" t="str">
        <f>HYPERLINK(V42,B42)</f>
        <v>AffCode</v>
      </c>
      <c r="B42" s="283" t="s">
        <v>6195</v>
      </c>
      <c r="C42" s="284" t="s">
        <v>14588</v>
      </c>
      <c r="D42" s="285"/>
      <c r="E42" s="286"/>
      <c r="F42" s="287" t="s">
        <v>14589</v>
      </c>
      <c r="G42" s="286"/>
      <c r="H42" s="286"/>
      <c r="I42" s="288"/>
      <c r="J42" s="289"/>
      <c r="K42" s="290"/>
      <c r="L42" s="371" t="str">
        <f>HYPERLINK("[#]DatatypeListedValues!B831:H831","«enumeration»")</f>
        <v>«enumeration»</v>
      </c>
      <c r="M42" s="287" t="s">
        <v>6582</v>
      </c>
      <c r="N42" s="291" t="b">
        <v>0</v>
      </c>
      <c r="O42" s="286"/>
      <c r="P42" s="292"/>
      <c r="Q42" s="286"/>
      <c r="R42" s="286"/>
      <c r="S42" s="293"/>
      <c r="T42" s="294"/>
      <c r="U42" s="37">
        <v>117338</v>
      </c>
      <c r="V42" s="36" t="str">
        <f>CONCATENATE(Cover!$D$6,"fdd/view?i=",U42)</f>
        <v>https://www.dgiwg.org/FAD/fdd/view?i=117338</v>
      </c>
      <c r="W42" s="172"/>
      <c r="X42" s="172"/>
      <c r="Y42" s="172"/>
    </row>
    <row r="43" spans="1:25" ht="2.1" customHeight="1" x14ac:dyDescent="0.2">
      <c r="A43" s="295"/>
      <c r="B43" s="283"/>
      <c r="C43" s="296"/>
      <c r="D43" s="283"/>
      <c r="E43" s="296"/>
      <c r="F43" s="297"/>
      <c r="G43" s="297"/>
      <c r="H43" s="297"/>
      <c r="I43" s="298"/>
      <c r="J43" s="304"/>
      <c r="K43" s="300"/>
      <c r="L43" s="301"/>
      <c r="M43" s="297" t="s">
        <v>6582</v>
      </c>
      <c r="N43" s="297"/>
      <c r="O43" s="297"/>
      <c r="P43" s="297"/>
      <c r="Q43" s="297"/>
      <c r="R43" s="297"/>
      <c r="S43" s="302"/>
      <c r="T43" s="302"/>
      <c r="U43" s="303"/>
    </row>
    <row r="44" spans="1:25" ht="38.25" x14ac:dyDescent="0.2">
      <c r="A44" s="212" t="str">
        <f>HYPERLINK(V44,B44)</f>
        <v>AhsStrucText</v>
      </c>
      <c r="B44" s="283" t="s">
        <v>6200</v>
      </c>
      <c r="C44" s="284" t="s">
        <v>14590</v>
      </c>
      <c r="D44" s="285"/>
      <c r="E44" s="286"/>
      <c r="F44" s="287" t="s">
        <v>14591</v>
      </c>
      <c r="G44" s="286"/>
      <c r="H44" s="287" t="s">
        <v>14552</v>
      </c>
      <c r="I44" s="288"/>
      <c r="J44" s="289"/>
      <c r="K44" s="290"/>
      <c r="L44" s="287" t="s">
        <v>14551</v>
      </c>
      <c r="M44" s="287" t="s">
        <v>6582</v>
      </c>
      <c r="N44" s="286"/>
      <c r="O44" s="287">
        <v>5</v>
      </c>
      <c r="P44" s="305" t="b">
        <v>0</v>
      </c>
      <c r="Q44" s="287" t="s">
        <v>14592</v>
      </c>
      <c r="R44" s="286"/>
      <c r="S44" s="293"/>
      <c r="T44" s="294"/>
      <c r="U44" s="37">
        <v>118999</v>
      </c>
      <c r="V44" s="36" t="str">
        <f>CONCATENATE(Cover!$D$6,"fdd/view?i=",U44)</f>
        <v>https://www.dgiwg.org/FAD/fdd/view?i=118999</v>
      </c>
      <c r="W44" s="172"/>
      <c r="X44" s="172"/>
      <c r="Y44" s="172"/>
    </row>
    <row r="45" spans="1:25" ht="2.1" customHeight="1" x14ac:dyDescent="0.2">
      <c r="A45" s="295"/>
      <c r="B45" s="283"/>
      <c r="C45" s="296"/>
      <c r="D45" s="283"/>
      <c r="E45" s="296"/>
      <c r="F45" s="297"/>
      <c r="G45" s="297"/>
      <c r="H45" s="297"/>
      <c r="I45" s="298"/>
      <c r="J45" s="304"/>
      <c r="K45" s="300"/>
      <c r="L45" s="301"/>
      <c r="M45" s="297" t="s">
        <v>6582</v>
      </c>
      <c r="N45" s="297"/>
      <c r="O45" s="297"/>
      <c r="P45" s="297"/>
      <c r="Q45" s="297"/>
      <c r="R45" s="297"/>
      <c r="S45" s="302"/>
      <c r="T45" s="302"/>
      <c r="U45" s="303"/>
    </row>
    <row r="46" spans="1:25" ht="51" x14ac:dyDescent="0.2">
      <c r="A46" s="212" t="str">
        <f>HYPERLINK(V46,B46)</f>
        <v>AidKey</v>
      </c>
      <c r="B46" s="283" t="s">
        <v>6211</v>
      </c>
      <c r="C46" s="284" t="s">
        <v>14593</v>
      </c>
      <c r="D46" s="285"/>
      <c r="E46" s="286"/>
      <c r="F46" s="287" t="s">
        <v>14594</v>
      </c>
      <c r="G46" s="286"/>
      <c r="H46" s="287" t="s">
        <v>14596</v>
      </c>
      <c r="I46" s="288"/>
      <c r="J46" s="289"/>
      <c r="K46" s="290"/>
      <c r="L46" s="287" t="s">
        <v>14595</v>
      </c>
      <c r="M46" s="287" t="s">
        <v>6582</v>
      </c>
      <c r="N46" s="286"/>
      <c r="O46" s="287">
        <v>7</v>
      </c>
      <c r="P46" s="305" t="b">
        <v>0</v>
      </c>
      <c r="Q46" s="287" t="s">
        <v>14597</v>
      </c>
      <c r="R46" s="286"/>
      <c r="S46" s="293"/>
      <c r="T46" s="294"/>
      <c r="U46" s="37">
        <v>119001</v>
      </c>
      <c r="V46" s="36" t="str">
        <f>CONCATENATE(Cover!$D$6,"fdd/view?i=",U46)</f>
        <v>https://www.dgiwg.org/FAD/fdd/view?i=119001</v>
      </c>
      <c r="W46" s="172"/>
      <c r="X46" s="172"/>
      <c r="Y46" s="172"/>
    </row>
    <row r="47" spans="1:25" ht="2.1" customHeight="1" x14ac:dyDescent="0.2">
      <c r="A47" s="295"/>
      <c r="B47" s="283"/>
      <c r="C47" s="296"/>
      <c r="D47" s="283"/>
      <c r="E47" s="296"/>
      <c r="F47" s="297"/>
      <c r="G47" s="297"/>
      <c r="H47" s="297"/>
      <c r="I47" s="298"/>
      <c r="J47" s="304"/>
      <c r="K47" s="300"/>
      <c r="L47" s="301"/>
      <c r="M47" s="297" t="s">
        <v>6582</v>
      </c>
      <c r="N47" s="297"/>
      <c r="O47" s="297"/>
      <c r="P47" s="297"/>
      <c r="Q47" s="297"/>
      <c r="R47" s="297"/>
      <c r="S47" s="302"/>
      <c r="T47" s="302"/>
      <c r="U47" s="303"/>
    </row>
    <row r="48" spans="1:25" ht="38.25" x14ac:dyDescent="0.2">
      <c r="A48" s="212" t="str">
        <f>HYPERLINK(V48,B48)</f>
        <v>MalCode</v>
      </c>
      <c r="B48" s="283" t="s">
        <v>6225</v>
      </c>
      <c r="C48" s="284" t="s">
        <v>14598</v>
      </c>
      <c r="D48" s="285"/>
      <c r="E48" s="286"/>
      <c r="F48" s="287" t="s">
        <v>14599</v>
      </c>
      <c r="G48" s="286"/>
      <c r="H48" s="286"/>
      <c r="I48" s="288"/>
      <c r="J48" s="289"/>
      <c r="K48" s="290"/>
      <c r="L48" s="371" t="str">
        <f>HYPERLINK("[#]DatatypeListedValues!B844:H844","«enumeration»")</f>
        <v>«enumeration»</v>
      </c>
      <c r="M48" s="287" t="s">
        <v>6582</v>
      </c>
      <c r="N48" s="291" t="b">
        <v>0</v>
      </c>
      <c r="O48" s="286"/>
      <c r="P48" s="292"/>
      <c r="Q48" s="286"/>
      <c r="R48" s="286"/>
      <c r="S48" s="293"/>
      <c r="T48" s="294"/>
      <c r="U48" s="37">
        <v>117389</v>
      </c>
      <c r="V48" s="36" t="str">
        <f>CONCATENATE(Cover!$D$6,"fdd/view?i=",U48)</f>
        <v>https://www.dgiwg.org/FAD/fdd/view?i=117389</v>
      </c>
      <c r="W48" s="172"/>
      <c r="X48" s="172"/>
      <c r="Y48" s="172"/>
    </row>
    <row r="49" spans="1:25" ht="2.1" customHeight="1" x14ac:dyDescent="0.2">
      <c r="A49" s="295"/>
      <c r="B49" s="283"/>
      <c r="C49" s="296"/>
      <c r="D49" s="283"/>
      <c r="E49" s="296"/>
      <c r="F49" s="297"/>
      <c r="G49" s="297"/>
      <c r="H49" s="297"/>
      <c r="I49" s="298"/>
      <c r="J49" s="304"/>
      <c r="K49" s="300"/>
      <c r="L49" s="301"/>
      <c r="M49" s="297" t="s">
        <v>6582</v>
      </c>
      <c r="N49" s="297"/>
      <c r="O49" s="297"/>
      <c r="P49" s="297"/>
      <c r="Q49" s="297"/>
      <c r="R49" s="297"/>
      <c r="S49" s="302"/>
      <c r="T49" s="302"/>
      <c r="U49" s="303"/>
    </row>
    <row r="50" spans="1:25" ht="38.25" x14ac:dyDescent="0.2">
      <c r="A50" s="212" t="str">
        <f>HYPERLINK(V50,B50)</f>
        <v>AszCode</v>
      </c>
      <c r="B50" s="283" t="s">
        <v>6231</v>
      </c>
      <c r="C50" s="284" t="s">
        <v>14600</v>
      </c>
      <c r="D50" s="285"/>
      <c r="E50" s="286"/>
      <c r="F50" s="287" t="s">
        <v>14601</v>
      </c>
      <c r="G50" s="286"/>
      <c r="H50" s="286"/>
      <c r="I50" s="288"/>
      <c r="J50" s="289"/>
      <c r="K50" s="290"/>
      <c r="L50" s="371" t="str">
        <f>HYPERLINK("[#]DatatypeListedValues!B867:H867","«enumeration»")</f>
        <v>«enumeration»</v>
      </c>
      <c r="M50" s="287" t="s">
        <v>6582</v>
      </c>
      <c r="N50" s="291" t="b">
        <v>0</v>
      </c>
      <c r="O50" s="286"/>
      <c r="P50" s="292"/>
      <c r="Q50" s="286"/>
      <c r="R50" s="286"/>
      <c r="S50" s="293"/>
      <c r="T50" s="294"/>
      <c r="U50" s="37">
        <v>117361</v>
      </c>
      <c r="V50" s="36" t="str">
        <f>CONCATENATE(Cover!$D$6,"fdd/view?i=",U50)</f>
        <v>https://www.dgiwg.org/FAD/fdd/view?i=117361</v>
      </c>
      <c r="W50" s="172"/>
      <c r="X50" s="172"/>
      <c r="Y50" s="172"/>
    </row>
    <row r="51" spans="1:25" ht="2.1" customHeight="1" x14ac:dyDescent="0.2">
      <c r="A51" s="295"/>
      <c r="B51" s="283"/>
      <c r="C51" s="296"/>
      <c r="D51" s="283"/>
      <c r="E51" s="296"/>
      <c r="F51" s="297"/>
      <c r="G51" s="297"/>
      <c r="H51" s="297"/>
      <c r="I51" s="298"/>
      <c r="J51" s="304"/>
      <c r="K51" s="300"/>
      <c r="L51" s="301"/>
      <c r="M51" s="297" t="s">
        <v>6582</v>
      </c>
      <c r="N51" s="297"/>
      <c r="O51" s="297"/>
      <c r="P51" s="297"/>
      <c r="Q51" s="297"/>
      <c r="R51" s="297"/>
      <c r="S51" s="302"/>
      <c r="T51" s="302"/>
      <c r="U51" s="303"/>
    </row>
    <row r="52" spans="1:25" ht="38.25" x14ac:dyDescent="0.2">
      <c r="A52" s="212" t="str">
        <f>HYPERLINK(V52,B52)</f>
        <v>AsxCode</v>
      </c>
      <c r="B52" s="283" t="s">
        <v>6237</v>
      </c>
      <c r="C52" s="284" t="s">
        <v>14602</v>
      </c>
      <c r="D52" s="285"/>
      <c r="E52" s="286"/>
      <c r="F52" s="287" t="s">
        <v>14603</v>
      </c>
      <c r="G52" s="286"/>
      <c r="H52" s="286"/>
      <c r="I52" s="288"/>
      <c r="J52" s="289"/>
      <c r="K52" s="290"/>
      <c r="L52" s="371" t="str">
        <f>HYPERLINK("[#]DatatypeListedValues!B874:H874","«enumeration»")</f>
        <v>«enumeration»</v>
      </c>
      <c r="M52" s="287" t="s">
        <v>6582</v>
      </c>
      <c r="N52" s="291" t="b">
        <v>0</v>
      </c>
      <c r="O52" s="286"/>
      <c r="P52" s="292"/>
      <c r="Q52" s="286"/>
      <c r="R52" s="286"/>
      <c r="S52" s="293"/>
      <c r="T52" s="294"/>
      <c r="U52" s="37">
        <v>117360</v>
      </c>
      <c r="V52" s="36" t="str">
        <f>CONCATENATE(Cover!$D$6,"fdd/view?i=",U52)</f>
        <v>https://www.dgiwg.org/FAD/fdd/view?i=117360</v>
      </c>
      <c r="W52" s="172"/>
      <c r="X52" s="172"/>
      <c r="Y52" s="172"/>
    </row>
    <row r="53" spans="1:25" ht="2.1" customHeight="1" x14ac:dyDescent="0.2">
      <c r="A53" s="295"/>
      <c r="B53" s="283"/>
      <c r="C53" s="296"/>
      <c r="D53" s="283"/>
      <c r="E53" s="296"/>
      <c r="F53" s="297"/>
      <c r="G53" s="297"/>
      <c r="H53" s="297"/>
      <c r="I53" s="298"/>
      <c r="J53" s="304"/>
      <c r="K53" s="300"/>
      <c r="L53" s="301"/>
      <c r="M53" s="297" t="s">
        <v>6582</v>
      </c>
      <c r="N53" s="297"/>
      <c r="O53" s="297"/>
      <c r="P53" s="297"/>
      <c r="Q53" s="297"/>
      <c r="R53" s="297"/>
      <c r="S53" s="302"/>
      <c r="T53" s="302"/>
      <c r="U53" s="303"/>
    </row>
    <row r="54" spans="1:25" ht="38.25" x14ac:dyDescent="0.2">
      <c r="A54" s="212" t="str">
        <f>HYPERLINK(V54,B54)</f>
        <v>AsuCode</v>
      </c>
      <c r="B54" s="283" t="s">
        <v>6243</v>
      </c>
      <c r="C54" s="284" t="s">
        <v>14604</v>
      </c>
      <c r="D54" s="285"/>
      <c r="E54" s="286"/>
      <c r="F54" s="287" t="s">
        <v>14605</v>
      </c>
      <c r="G54" s="286"/>
      <c r="H54" s="286"/>
      <c r="I54" s="288"/>
      <c r="J54" s="289"/>
      <c r="K54" s="290"/>
      <c r="L54" s="371" t="str">
        <f>HYPERLINK("[#]DatatypeListedValues!B879:H879","«enumeration»")</f>
        <v>«enumeration»</v>
      </c>
      <c r="M54" s="287" t="s">
        <v>6582</v>
      </c>
      <c r="N54" s="291" t="b">
        <v>0</v>
      </c>
      <c r="O54" s="286"/>
      <c r="P54" s="292"/>
      <c r="Q54" s="286"/>
      <c r="R54" s="286"/>
      <c r="S54" s="293"/>
      <c r="T54" s="294"/>
      <c r="U54" s="37">
        <v>117359</v>
      </c>
      <c r="V54" s="36" t="str">
        <f>CONCATENATE(Cover!$D$6,"fdd/view?i=",U54)</f>
        <v>https://www.dgiwg.org/FAD/fdd/view?i=117359</v>
      </c>
      <c r="W54" s="172"/>
      <c r="X54" s="172"/>
      <c r="Y54" s="172"/>
    </row>
    <row r="55" spans="1:25" ht="2.1" customHeight="1" x14ac:dyDescent="0.2">
      <c r="A55" s="295"/>
      <c r="B55" s="283"/>
      <c r="C55" s="296"/>
      <c r="D55" s="283"/>
      <c r="E55" s="296"/>
      <c r="F55" s="297"/>
      <c r="G55" s="297"/>
      <c r="H55" s="297"/>
      <c r="I55" s="298"/>
      <c r="J55" s="304"/>
      <c r="K55" s="300"/>
      <c r="L55" s="301"/>
      <c r="M55" s="297" t="s">
        <v>6582</v>
      </c>
      <c r="N55" s="297"/>
      <c r="O55" s="297"/>
      <c r="P55" s="297"/>
      <c r="Q55" s="297"/>
      <c r="R55" s="297"/>
      <c r="S55" s="302"/>
      <c r="T55" s="302"/>
      <c r="U55" s="303"/>
    </row>
    <row r="56" spans="1:25" ht="38.25" x14ac:dyDescent="0.2">
      <c r="A56" s="212" t="str">
        <f>HYPERLINK(V56,B56)</f>
        <v>AspCode</v>
      </c>
      <c r="B56" s="283" t="s">
        <v>6248</v>
      </c>
      <c r="C56" s="284" t="s">
        <v>14606</v>
      </c>
      <c r="D56" s="285"/>
      <c r="E56" s="286"/>
      <c r="F56" s="287" t="s">
        <v>14607</v>
      </c>
      <c r="G56" s="286"/>
      <c r="H56" s="286"/>
      <c r="I56" s="288"/>
      <c r="J56" s="289"/>
      <c r="K56" s="290"/>
      <c r="L56" s="371" t="str">
        <f>HYPERLINK("[#]DatatypeListedValues!B900:H900","«enumeration»")</f>
        <v>«enumeration»</v>
      </c>
      <c r="M56" s="287" t="s">
        <v>6582</v>
      </c>
      <c r="N56" s="291" t="b">
        <v>0</v>
      </c>
      <c r="O56" s="286"/>
      <c r="P56" s="292"/>
      <c r="Q56" s="286"/>
      <c r="R56" s="286"/>
      <c r="S56" s="293"/>
      <c r="T56" s="294"/>
      <c r="U56" s="37">
        <v>117356</v>
      </c>
      <c r="V56" s="36" t="str">
        <f>CONCATENATE(Cover!$D$6,"fdd/view?i=",U56)</f>
        <v>https://www.dgiwg.org/FAD/fdd/view?i=117356</v>
      </c>
      <c r="W56" s="172"/>
      <c r="X56" s="172"/>
      <c r="Y56" s="172"/>
    </row>
    <row r="57" spans="1:25" ht="2.1" customHeight="1" x14ac:dyDescent="0.2">
      <c r="A57" s="295"/>
      <c r="B57" s="283"/>
      <c r="C57" s="296"/>
      <c r="D57" s="283"/>
      <c r="E57" s="296"/>
      <c r="F57" s="297"/>
      <c r="G57" s="297"/>
      <c r="H57" s="297"/>
      <c r="I57" s="298"/>
      <c r="J57" s="304"/>
      <c r="K57" s="300"/>
      <c r="L57" s="301"/>
      <c r="M57" s="297" t="s">
        <v>6582</v>
      </c>
      <c r="N57" s="297"/>
      <c r="O57" s="297"/>
      <c r="P57" s="297"/>
      <c r="Q57" s="297"/>
      <c r="R57" s="297"/>
      <c r="S57" s="302"/>
      <c r="T57" s="302"/>
      <c r="U57" s="303"/>
    </row>
    <row r="58" spans="1:25" ht="38.25" x14ac:dyDescent="0.2">
      <c r="A58" s="212" t="str">
        <f>HYPERLINK(V58,B58)</f>
        <v>SfsCode</v>
      </c>
      <c r="B58" s="283" t="s">
        <v>6258</v>
      </c>
      <c r="C58" s="284" t="s">
        <v>14608</v>
      </c>
      <c r="D58" s="285"/>
      <c r="E58" s="286"/>
      <c r="F58" s="287" t="s">
        <v>14609</v>
      </c>
      <c r="G58" s="286"/>
      <c r="H58" s="286"/>
      <c r="I58" s="288"/>
      <c r="J58" s="289"/>
      <c r="K58" s="290"/>
      <c r="L58" s="371" t="str">
        <f>HYPERLINK("[#]DatatypeListedValues!B908:H908","«enumeration»")</f>
        <v>«enumeration»</v>
      </c>
      <c r="M58" s="287" t="s">
        <v>6582</v>
      </c>
      <c r="N58" s="291" t="b">
        <v>0</v>
      </c>
      <c r="O58" s="286"/>
      <c r="P58" s="292"/>
      <c r="Q58" s="286"/>
      <c r="R58" s="286"/>
      <c r="S58" s="293"/>
      <c r="T58" s="294"/>
      <c r="U58" s="37">
        <v>119063</v>
      </c>
      <c r="V58" s="36" t="str">
        <f>CONCATENATE(Cover!$D$6,"fdd/view?i=",U58)</f>
        <v>https://www.dgiwg.org/FAD/fdd/view?i=119063</v>
      </c>
      <c r="W58" s="172"/>
      <c r="X58" s="172"/>
      <c r="Y58" s="172"/>
    </row>
    <row r="59" spans="1:25" ht="2.1" customHeight="1" x14ac:dyDescent="0.2">
      <c r="A59" s="295"/>
      <c r="B59" s="283"/>
      <c r="C59" s="296"/>
      <c r="D59" s="283"/>
      <c r="E59" s="296"/>
      <c r="F59" s="297"/>
      <c r="G59" s="297"/>
      <c r="H59" s="297"/>
      <c r="I59" s="298"/>
      <c r="J59" s="304"/>
      <c r="K59" s="300"/>
      <c r="L59" s="301"/>
      <c r="M59" s="297" t="s">
        <v>6582</v>
      </c>
      <c r="N59" s="297"/>
      <c r="O59" s="297"/>
      <c r="P59" s="297"/>
      <c r="Q59" s="297"/>
      <c r="R59" s="297"/>
      <c r="S59" s="302"/>
      <c r="T59" s="302"/>
      <c r="U59" s="303"/>
    </row>
    <row r="60" spans="1:25" ht="25.5" x14ac:dyDescent="0.2">
      <c r="A60" s="212" t="str">
        <f>HYPERLINK(V60,B60)</f>
        <v>AxsCode</v>
      </c>
      <c r="B60" s="283" t="s">
        <v>6274</v>
      </c>
      <c r="C60" s="284" t="s">
        <v>14610</v>
      </c>
      <c r="D60" s="285"/>
      <c r="E60" s="286"/>
      <c r="F60" s="287" t="s">
        <v>14611</v>
      </c>
      <c r="G60" s="286"/>
      <c r="H60" s="286"/>
      <c r="I60" s="288"/>
      <c r="J60" s="289"/>
      <c r="K60" s="290"/>
      <c r="L60" s="371" t="str">
        <f>HYPERLINK("[#]DatatypeListedValues!B917:H917","«enumeration»")</f>
        <v>«enumeration»</v>
      </c>
      <c r="M60" s="287" t="s">
        <v>6582</v>
      </c>
      <c r="N60" s="291" t="b">
        <v>0</v>
      </c>
      <c r="O60" s="286"/>
      <c r="P60" s="292"/>
      <c r="Q60" s="286"/>
      <c r="R60" s="286"/>
      <c r="S60" s="293"/>
      <c r="T60" s="294"/>
      <c r="U60" s="37">
        <v>117421</v>
      </c>
      <c r="V60" s="36" t="str">
        <f>CONCATENATE(Cover!$D$6,"fdd/view?i=",U60)</f>
        <v>https://www.dgiwg.org/FAD/fdd/view?i=117421</v>
      </c>
      <c r="W60" s="172"/>
      <c r="X60" s="172"/>
      <c r="Y60" s="172"/>
    </row>
    <row r="61" spans="1:25" ht="2.1" customHeight="1" x14ac:dyDescent="0.2">
      <c r="A61" s="295"/>
      <c r="B61" s="283"/>
      <c r="C61" s="296"/>
      <c r="D61" s="283"/>
      <c r="E61" s="296"/>
      <c r="F61" s="297"/>
      <c r="G61" s="297"/>
      <c r="H61" s="297"/>
      <c r="I61" s="298"/>
      <c r="J61" s="304"/>
      <c r="K61" s="300"/>
      <c r="L61" s="301"/>
      <c r="M61" s="297" t="s">
        <v>6582</v>
      </c>
      <c r="N61" s="297"/>
      <c r="O61" s="297"/>
      <c r="P61" s="297"/>
      <c r="Q61" s="297"/>
      <c r="R61" s="297"/>
      <c r="S61" s="302"/>
      <c r="T61" s="302"/>
      <c r="U61" s="303"/>
    </row>
    <row r="62" spans="1:25" ht="38.25" x14ac:dyDescent="0.2">
      <c r="A62" s="212" t="str">
        <f>HYPERLINK(V62,B62)</f>
        <v>AstCode</v>
      </c>
      <c r="B62" s="283" t="s">
        <v>6284</v>
      </c>
      <c r="C62" s="284" t="s">
        <v>14612</v>
      </c>
      <c r="D62" s="285"/>
      <c r="E62" s="286"/>
      <c r="F62" s="287" t="s">
        <v>14613</v>
      </c>
      <c r="G62" s="286"/>
      <c r="H62" s="286"/>
      <c r="I62" s="288"/>
      <c r="J62" s="289"/>
      <c r="K62" s="290"/>
      <c r="L62" s="371" t="str">
        <f>HYPERLINK("[#]DatatypeListedValues!B921:H921","«enumeration»")</f>
        <v>«enumeration»</v>
      </c>
      <c r="M62" s="287" t="s">
        <v>6582</v>
      </c>
      <c r="N62" s="291" t="b">
        <v>0</v>
      </c>
      <c r="O62" s="286"/>
      <c r="P62" s="292"/>
      <c r="Q62" s="286"/>
      <c r="R62" s="286"/>
      <c r="S62" s="293"/>
      <c r="T62" s="294"/>
      <c r="U62" s="37">
        <v>117358</v>
      </c>
      <c r="V62" s="36" t="str">
        <f>CONCATENATE(Cover!$D$6,"fdd/view?i=",U62)</f>
        <v>https://www.dgiwg.org/FAD/fdd/view?i=117358</v>
      </c>
      <c r="W62" s="172"/>
      <c r="X62" s="172"/>
      <c r="Y62" s="172"/>
    </row>
    <row r="63" spans="1:25" ht="2.1" customHeight="1" x14ac:dyDescent="0.2">
      <c r="A63" s="295"/>
      <c r="B63" s="283"/>
      <c r="C63" s="296"/>
      <c r="D63" s="283"/>
      <c r="E63" s="296"/>
      <c r="F63" s="297"/>
      <c r="G63" s="297"/>
      <c r="H63" s="297"/>
      <c r="I63" s="298"/>
      <c r="J63" s="304"/>
      <c r="K63" s="300"/>
      <c r="L63" s="301"/>
      <c r="M63" s="297" t="s">
        <v>6582</v>
      </c>
      <c r="N63" s="297"/>
      <c r="O63" s="297"/>
      <c r="P63" s="297"/>
      <c r="Q63" s="297"/>
      <c r="R63" s="297"/>
      <c r="S63" s="302"/>
      <c r="T63" s="302"/>
      <c r="U63" s="303"/>
    </row>
    <row r="64" spans="1:25" ht="25.5" x14ac:dyDescent="0.2">
      <c r="A64" s="212" t="str">
        <f>HYPERLINK(V64,B64)</f>
        <v>AbtCode</v>
      </c>
      <c r="B64" s="283" t="s">
        <v>6290</v>
      </c>
      <c r="C64" s="284" t="s">
        <v>14614</v>
      </c>
      <c r="D64" s="285"/>
      <c r="E64" s="286"/>
      <c r="F64" s="287" t="s">
        <v>14615</v>
      </c>
      <c r="G64" s="286"/>
      <c r="H64" s="286"/>
      <c r="I64" s="288"/>
      <c r="J64" s="289"/>
      <c r="K64" s="290"/>
      <c r="L64" s="371" t="str">
        <f>HYPERLINK("[#]DatatypeListedValues!B942:H942","«enumeration»")</f>
        <v>«enumeration»</v>
      </c>
      <c r="M64" s="287" t="s">
        <v>6582</v>
      </c>
      <c r="N64" s="291" t="b">
        <v>0</v>
      </c>
      <c r="O64" s="286"/>
      <c r="P64" s="292"/>
      <c r="Q64" s="286"/>
      <c r="R64" s="286"/>
      <c r="S64" s="293"/>
      <c r="T64" s="294"/>
      <c r="U64" s="37">
        <v>117332</v>
      </c>
      <c r="V64" s="36" t="str">
        <f>CONCATENATE(Cover!$D$6,"fdd/view?i=",U64)</f>
        <v>https://www.dgiwg.org/FAD/fdd/view?i=117332</v>
      </c>
      <c r="W64" s="172"/>
      <c r="X64" s="172"/>
      <c r="Y64" s="172"/>
    </row>
    <row r="65" spans="1:25" ht="2.1" customHeight="1" x14ac:dyDescent="0.2">
      <c r="A65" s="295"/>
      <c r="B65" s="283"/>
      <c r="C65" s="296"/>
      <c r="D65" s="283"/>
      <c r="E65" s="296"/>
      <c r="F65" s="297"/>
      <c r="G65" s="297"/>
      <c r="H65" s="297"/>
      <c r="I65" s="298"/>
      <c r="J65" s="304"/>
      <c r="K65" s="300"/>
      <c r="L65" s="301"/>
      <c r="M65" s="297" t="s">
        <v>6582</v>
      </c>
      <c r="N65" s="297"/>
      <c r="O65" s="297"/>
      <c r="P65" s="297"/>
      <c r="Q65" s="297"/>
      <c r="R65" s="297"/>
      <c r="S65" s="302"/>
      <c r="T65" s="302"/>
      <c r="U65" s="303"/>
    </row>
    <row r="66" spans="1:25" ht="38.25" x14ac:dyDescent="0.2">
      <c r="A66" s="212" t="str">
        <f>HYPERLINK(V66,B66)</f>
        <v>AcmCode</v>
      </c>
      <c r="B66" s="283" t="s">
        <v>6295</v>
      </c>
      <c r="C66" s="284" t="s">
        <v>14616</v>
      </c>
      <c r="D66" s="285"/>
      <c r="E66" s="286"/>
      <c r="F66" s="287" t="s">
        <v>14617</v>
      </c>
      <c r="G66" s="286"/>
      <c r="H66" s="286"/>
      <c r="I66" s="288"/>
      <c r="J66" s="289"/>
      <c r="K66" s="290"/>
      <c r="L66" s="371" t="str">
        <f>HYPERLINK("[#]DatatypeListedValues!B952:H952","«enumeration»")</f>
        <v>«enumeration»</v>
      </c>
      <c r="M66" s="287" t="s">
        <v>6582</v>
      </c>
      <c r="N66" s="291" t="b">
        <v>0</v>
      </c>
      <c r="O66" s="286"/>
      <c r="P66" s="292"/>
      <c r="Q66" s="286"/>
      <c r="R66" s="286"/>
      <c r="S66" s="293"/>
      <c r="T66" s="294"/>
      <c r="U66" s="37">
        <v>117333</v>
      </c>
      <c r="V66" s="36" t="str">
        <f>CONCATENATE(Cover!$D$6,"fdd/view?i=",U66)</f>
        <v>https://www.dgiwg.org/FAD/fdd/view?i=117333</v>
      </c>
      <c r="W66" s="172"/>
      <c r="X66" s="172"/>
      <c r="Y66" s="172"/>
    </row>
    <row r="67" spans="1:25" ht="2.1" customHeight="1" x14ac:dyDescent="0.2">
      <c r="A67" s="295"/>
      <c r="B67" s="283"/>
      <c r="C67" s="296"/>
      <c r="D67" s="283"/>
      <c r="E67" s="296"/>
      <c r="F67" s="297"/>
      <c r="G67" s="297"/>
      <c r="H67" s="297"/>
      <c r="I67" s="298"/>
      <c r="J67" s="304"/>
      <c r="K67" s="300"/>
      <c r="L67" s="301"/>
      <c r="M67" s="297" t="s">
        <v>6582</v>
      </c>
      <c r="N67" s="297"/>
      <c r="O67" s="297"/>
      <c r="P67" s="297"/>
      <c r="Q67" s="297"/>
      <c r="R67" s="297"/>
      <c r="S67" s="302"/>
      <c r="T67" s="302"/>
      <c r="U67" s="303"/>
    </row>
    <row r="68" spans="1:25" ht="25.5" x14ac:dyDescent="0.2">
      <c r="A68" s="212" t="str">
        <f>HYPERLINK(V68,B68)</f>
        <v>LfaCode</v>
      </c>
      <c r="B68" s="283" t="s">
        <v>6300</v>
      </c>
      <c r="C68" s="284" t="s">
        <v>14618</v>
      </c>
      <c r="D68" s="285"/>
      <c r="E68" s="286"/>
      <c r="F68" s="287" t="s">
        <v>14619</v>
      </c>
      <c r="G68" s="286"/>
      <c r="H68" s="286"/>
      <c r="I68" s="288"/>
      <c r="J68" s="289"/>
      <c r="K68" s="290"/>
      <c r="L68" s="371" t="str">
        <f>HYPERLINK("[#]DatatypeListedValues!B963:H963","«enumeration»")</f>
        <v>«enumeration»</v>
      </c>
      <c r="M68" s="287" t="s">
        <v>6582</v>
      </c>
      <c r="N68" s="291" t="b">
        <v>0</v>
      </c>
      <c r="O68" s="286"/>
      <c r="P68" s="292"/>
      <c r="Q68" s="286"/>
      <c r="R68" s="286"/>
      <c r="S68" s="293"/>
      <c r="T68" s="294"/>
      <c r="U68" s="37">
        <v>1278</v>
      </c>
      <c r="V68" s="36" t="str">
        <f>CONCATENATE(Cover!$D$6,"fdd/view?i=",U68)</f>
        <v>https://www.dgiwg.org/FAD/fdd/view?i=1278</v>
      </c>
      <c r="W68" s="172"/>
      <c r="X68" s="172"/>
      <c r="Y68" s="172"/>
    </row>
    <row r="69" spans="1:25" ht="2.1" customHeight="1" x14ac:dyDescent="0.2">
      <c r="A69" s="295"/>
      <c r="B69" s="283"/>
      <c r="C69" s="296"/>
      <c r="D69" s="283"/>
      <c r="E69" s="296"/>
      <c r="F69" s="297"/>
      <c r="G69" s="297"/>
      <c r="H69" s="297"/>
      <c r="I69" s="298"/>
      <c r="J69" s="304"/>
      <c r="K69" s="300"/>
      <c r="L69" s="301"/>
      <c r="M69" s="297" t="s">
        <v>6582</v>
      </c>
      <c r="N69" s="297"/>
      <c r="O69" s="297"/>
      <c r="P69" s="297"/>
      <c r="Q69" s="297"/>
      <c r="R69" s="297"/>
      <c r="S69" s="302"/>
      <c r="T69" s="302"/>
      <c r="U69" s="303"/>
    </row>
    <row r="70" spans="1:25" ht="38.25" x14ac:dyDescent="0.2">
      <c r="A70" s="212" t="str">
        <f>HYPERLINK(V70,B70)</f>
        <v>AniStrucText</v>
      </c>
      <c r="B70" s="283" t="s">
        <v>6316</v>
      </c>
      <c r="C70" s="284" t="s">
        <v>14620</v>
      </c>
      <c r="D70" s="285"/>
      <c r="E70" s="286"/>
      <c r="F70" s="287" t="s">
        <v>14621</v>
      </c>
      <c r="G70" s="286"/>
      <c r="H70" s="287" t="s">
        <v>14552</v>
      </c>
      <c r="I70" s="288"/>
      <c r="J70" s="289"/>
      <c r="K70" s="290"/>
      <c r="L70" s="287" t="s">
        <v>14551</v>
      </c>
      <c r="M70" s="287" t="s">
        <v>6582</v>
      </c>
      <c r="N70" s="286"/>
      <c r="O70" s="287">
        <v>4</v>
      </c>
      <c r="P70" s="305" t="b">
        <v>0</v>
      </c>
      <c r="Q70" s="287" t="s">
        <v>14622</v>
      </c>
      <c r="R70" s="286"/>
      <c r="S70" s="293"/>
      <c r="T70" s="294"/>
      <c r="U70" s="37">
        <v>117437</v>
      </c>
      <c r="V70" s="36" t="str">
        <f>CONCATENATE(Cover!$D$6,"fdd/view?i=",U70)</f>
        <v>https://www.dgiwg.org/FAD/fdd/view?i=117437</v>
      </c>
      <c r="W70" s="172"/>
      <c r="X70" s="172"/>
      <c r="Y70" s="172"/>
    </row>
    <row r="71" spans="1:25" ht="2.1" customHeight="1" x14ac:dyDescent="0.2">
      <c r="A71" s="295"/>
      <c r="B71" s="283"/>
      <c r="C71" s="296"/>
      <c r="D71" s="283"/>
      <c r="E71" s="296"/>
      <c r="F71" s="297"/>
      <c r="G71" s="297"/>
      <c r="H71" s="297"/>
      <c r="I71" s="298"/>
      <c r="J71" s="304"/>
      <c r="K71" s="300"/>
      <c r="L71" s="301"/>
      <c r="M71" s="297" t="s">
        <v>6582</v>
      </c>
      <c r="N71" s="297"/>
      <c r="O71" s="297"/>
      <c r="P71" s="297"/>
      <c r="Q71" s="297"/>
      <c r="R71" s="297"/>
      <c r="S71" s="302"/>
      <c r="T71" s="302"/>
      <c r="U71" s="303"/>
    </row>
    <row r="72" spans="1:25" ht="38.25" x14ac:dyDescent="0.2">
      <c r="A72" s="212" t="str">
        <f>HYPERLINK(V72,B72)</f>
        <v>AauCode</v>
      </c>
      <c r="B72" s="283" t="s">
        <v>6331</v>
      </c>
      <c r="C72" s="284" t="s">
        <v>14623</v>
      </c>
      <c r="D72" s="285"/>
      <c r="E72" s="286"/>
      <c r="F72" s="287" t="s">
        <v>14624</v>
      </c>
      <c r="G72" s="286"/>
      <c r="H72" s="286"/>
      <c r="I72" s="288"/>
      <c r="J72" s="289"/>
      <c r="K72" s="290"/>
      <c r="L72" s="371" t="str">
        <f>HYPERLINK("[#]DatatypeListedValues!B1053:H1053","«enumeration»")</f>
        <v>«enumeration»</v>
      </c>
      <c r="M72" s="287" t="s">
        <v>6582</v>
      </c>
      <c r="N72" s="291" t="b">
        <v>0</v>
      </c>
      <c r="O72" s="286"/>
      <c r="P72" s="292"/>
      <c r="Q72" s="286"/>
      <c r="R72" s="286"/>
      <c r="S72" s="293"/>
      <c r="T72" s="294"/>
      <c r="U72" s="37">
        <v>117331</v>
      </c>
      <c r="V72" s="36" t="str">
        <f>CONCATENATE(Cover!$D$6,"fdd/view?i=",U72)</f>
        <v>https://www.dgiwg.org/FAD/fdd/view?i=117331</v>
      </c>
      <c r="W72" s="172"/>
      <c r="X72" s="172"/>
      <c r="Y72" s="172"/>
    </row>
    <row r="73" spans="1:25" ht="2.1" customHeight="1" x14ac:dyDescent="0.2">
      <c r="A73" s="295"/>
      <c r="B73" s="283"/>
      <c r="C73" s="296"/>
      <c r="D73" s="283"/>
      <c r="E73" s="296"/>
      <c r="F73" s="297"/>
      <c r="G73" s="297"/>
      <c r="H73" s="297"/>
      <c r="I73" s="298"/>
      <c r="J73" s="304"/>
      <c r="K73" s="300"/>
      <c r="L73" s="301"/>
      <c r="M73" s="297" t="s">
        <v>6582</v>
      </c>
      <c r="N73" s="297"/>
      <c r="O73" s="297"/>
      <c r="P73" s="297"/>
      <c r="Q73" s="297"/>
      <c r="R73" s="297"/>
      <c r="S73" s="302"/>
      <c r="T73" s="302"/>
      <c r="U73" s="303"/>
    </row>
    <row r="74" spans="1:25" ht="25.5" x14ac:dyDescent="0.2">
      <c r="A74" s="212" t="str">
        <f>HYPERLINK(V74,B74)</f>
        <v>ArtCode</v>
      </c>
      <c r="B74" s="283" t="s">
        <v>6336</v>
      </c>
      <c r="C74" s="284" t="s">
        <v>14625</v>
      </c>
      <c r="D74" s="285"/>
      <c r="E74" s="286"/>
      <c r="F74" s="287" t="s">
        <v>14626</v>
      </c>
      <c r="G74" s="286"/>
      <c r="H74" s="286"/>
      <c r="I74" s="288"/>
      <c r="J74" s="289"/>
      <c r="K74" s="290"/>
      <c r="L74" s="371" t="str">
        <f>HYPERLINK("[#]DatatypeListedValues!B1057:H1057","«enumeration»")</f>
        <v>«enumeration»</v>
      </c>
      <c r="M74" s="287" t="s">
        <v>6582</v>
      </c>
      <c r="N74" s="291" t="b">
        <v>0</v>
      </c>
      <c r="O74" s="286"/>
      <c r="P74" s="292"/>
      <c r="Q74" s="286"/>
      <c r="R74" s="286"/>
      <c r="S74" s="293"/>
      <c r="T74" s="294"/>
      <c r="U74" s="37">
        <v>119493</v>
      </c>
      <c r="V74" s="36" t="str">
        <f>CONCATENATE(Cover!$D$6,"fdd/view?i=",U74)</f>
        <v>https://www.dgiwg.org/FAD/fdd/view?i=119493</v>
      </c>
      <c r="W74" s="172"/>
      <c r="X74" s="172"/>
      <c r="Y74" s="172"/>
    </row>
    <row r="75" spans="1:25" ht="2.1" customHeight="1" x14ac:dyDescent="0.2">
      <c r="A75" s="295"/>
      <c r="B75" s="283"/>
      <c r="C75" s="296"/>
      <c r="D75" s="283"/>
      <c r="E75" s="296"/>
      <c r="F75" s="297"/>
      <c r="G75" s="297"/>
      <c r="H75" s="297"/>
      <c r="I75" s="298"/>
      <c r="J75" s="304"/>
      <c r="K75" s="300"/>
      <c r="L75" s="301"/>
      <c r="M75" s="297" t="s">
        <v>6582</v>
      </c>
      <c r="N75" s="297"/>
      <c r="O75" s="297"/>
      <c r="P75" s="297"/>
      <c r="Q75" s="297"/>
      <c r="R75" s="297"/>
      <c r="S75" s="302"/>
      <c r="T75" s="302"/>
      <c r="U75" s="303"/>
    </row>
    <row r="76" spans="1:25" ht="38.25" x14ac:dyDescent="0.2">
      <c r="A76" s="212" t="str">
        <f>HYPERLINK(V76,B76)</f>
        <v>AsoCode</v>
      </c>
      <c r="B76" s="283" t="s">
        <v>6345</v>
      </c>
      <c r="C76" s="284" t="s">
        <v>14627</v>
      </c>
      <c r="D76" s="285"/>
      <c r="E76" s="286"/>
      <c r="F76" s="287" t="s">
        <v>14628</v>
      </c>
      <c r="G76" s="286"/>
      <c r="H76" s="286"/>
      <c r="I76" s="288"/>
      <c r="J76" s="289"/>
      <c r="K76" s="290"/>
      <c r="L76" s="371" t="str">
        <f>HYPERLINK("[#]DatatypeListedValues!B1060:H1060","«enumeration»")</f>
        <v>«enumeration»</v>
      </c>
      <c r="M76" s="287" t="s">
        <v>6582</v>
      </c>
      <c r="N76" s="291" t="b">
        <v>0</v>
      </c>
      <c r="O76" s="286"/>
      <c r="P76" s="292"/>
      <c r="Q76" s="286"/>
      <c r="R76" s="286"/>
      <c r="S76" s="293"/>
      <c r="T76" s="294"/>
      <c r="U76" s="37">
        <v>117355</v>
      </c>
      <c r="V76" s="36" t="str">
        <f>CONCATENATE(Cover!$D$6,"fdd/view?i=",U76)</f>
        <v>https://www.dgiwg.org/FAD/fdd/view?i=117355</v>
      </c>
      <c r="W76" s="172"/>
      <c r="X76" s="172"/>
      <c r="Y76" s="172"/>
    </row>
    <row r="77" spans="1:25" ht="2.1" customHeight="1" x14ac:dyDescent="0.2">
      <c r="A77" s="295"/>
      <c r="B77" s="283"/>
      <c r="C77" s="296"/>
      <c r="D77" s="283"/>
      <c r="E77" s="296"/>
      <c r="F77" s="297"/>
      <c r="G77" s="297"/>
      <c r="H77" s="297"/>
      <c r="I77" s="298"/>
      <c r="J77" s="304"/>
      <c r="K77" s="300"/>
      <c r="L77" s="301"/>
      <c r="M77" s="297" t="s">
        <v>6582</v>
      </c>
      <c r="N77" s="297"/>
      <c r="O77" s="297"/>
      <c r="P77" s="297"/>
      <c r="Q77" s="297"/>
      <c r="R77" s="297"/>
      <c r="S77" s="302"/>
      <c r="T77" s="302"/>
      <c r="U77" s="303"/>
    </row>
    <row r="78" spans="1:25" ht="25.5" x14ac:dyDescent="0.2">
      <c r="A78" s="212" t="str">
        <f>HYPERLINK(V78,B78)</f>
        <v>SerCode</v>
      </c>
      <c r="B78" s="283" t="s">
        <v>6351</v>
      </c>
      <c r="C78" s="284" t="s">
        <v>14629</v>
      </c>
      <c r="D78" s="285"/>
      <c r="E78" s="286"/>
      <c r="F78" s="287" t="s">
        <v>14630</v>
      </c>
      <c r="G78" s="286"/>
      <c r="H78" s="286"/>
      <c r="I78" s="288"/>
      <c r="J78" s="289"/>
      <c r="K78" s="290"/>
      <c r="L78" s="371" t="str">
        <f>HYPERLINK("[#]DatatypeListedValues!B1077:H1077","«enumeration»")</f>
        <v>«enumeration»</v>
      </c>
      <c r="M78" s="287" t="s">
        <v>6582</v>
      </c>
      <c r="N78" s="291" t="b">
        <v>0</v>
      </c>
      <c r="O78" s="286"/>
      <c r="P78" s="292"/>
      <c r="Q78" s="286"/>
      <c r="R78" s="286"/>
      <c r="S78" s="293"/>
      <c r="T78" s="294"/>
      <c r="U78" s="37">
        <v>117416</v>
      </c>
      <c r="V78" s="36" t="str">
        <f>CONCATENATE(Cover!$D$6,"fdd/view?i=",U78)</f>
        <v>https://www.dgiwg.org/FAD/fdd/view?i=117416</v>
      </c>
      <c r="W78" s="172"/>
      <c r="X78" s="172"/>
      <c r="Y78" s="172"/>
    </row>
    <row r="79" spans="1:25" ht="2.1" customHeight="1" x14ac:dyDescent="0.2">
      <c r="A79" s="295"/>
      <c r="B79" s="283"/>
      <c r="C79" s="296"/>
      <c r="D79" s="283"/>
      <c r="E79" s="296"/>
      <c r="F79" s="297"/>
      <c r="G79" s="297"/>
      <c r="H79" s="297"/>
      <c r="I79" s="298"/>
      <c r="J79" s="304"/>
      <c r="K79" s="300"/>
      <c r="L79" s="301"/>
      <c r="M79" s="297" t="s">
        <v>6582</v>
      </c>
      <c r="N79" s="297"/>
      <c r="O79" s="297"/>
      <c r="P79" s="297"/>
      <c r="Q79" s="297"/>
      <c r="R79" s="297"/>
      <c r="S79" s="302"/>
      <c r="T79" s="302"/>
      <c r="U79" s="303"/>
    </row>
    <row r="80" spans="1:25" ht="25.5" x14ac:dyDescent="0.2">
      <c r="A80" s="212" t="str">
        <f>HYPERLINK(V80,B80)</f>
        <v>AtuCode</v>
      </c>
      <c r="B80" s="283" t="s">
        <v>6366</v>
      </c>
      <c r="C80" s="284" t="s">
        <v>14631</v>
      </c>
      <c r="D80" s="285"/>
      <c r="E80" s="286"/>
      <c r="F80" s="287" t="s">
        <v>14632</v>
      </c>
      <c r="G80" s="286"/>
      <c r="H80" s="286"/>
      <c r="I80" s="288"/>
      <c r="J80" s="289"/>
      <c r="K80" s="290"/>
      <c r="L80" s="371" t="str">
        <f>HYPERLINK("[#]DatatypeListedValues!B1082:H1082","«enumeration»")</f>
        <v>«enumeration»</v>
      </c>
      <c r="M80" s="287" t="s">
        <v>6582</v>
      </c>
      <c r="N80" s="291" t="b">
        <v>0</v>
      </c>
      <c r="O80" s="286"/>
      <c r="P80" s="292"/>
      <c r="Q80" s="286"/>
      <c r="R80" s="286"/>
      <c r="S80" s="293"/>
      <c r="T80" s="294"/>
      <c r="U80" s="37">
        <v>117363</v>
      </c>
      <c r="V80" s="36" t="str">
        <f>CONCATENATE(Cover!$D$6,"fdd/view?i=",U80)</f>
        <v>https://www.dgiwg.org/FAD/fdd/view?i=117363</v>
      </c>
      <c r="W80" s="172"/>
      <c r="X80" s="172"/>
      <c r="Y80" s="172"/>
    </row>
    <row r="81" spans="1:25" ht="2.1" customHeight="1" x14ac:dyDescent="0.2">
      <c r="A81" s="295"/>
      <c r="B81" s="283"/>
      <c r="C81" s="296"/>
      <c r="D81" s="283"/>
      <c r="E81" s="296"/>
      <c r="F81" s="297"/>
      <c r="G81" s="297"/>
      <c r="H81" s="297"/>
      <c r="I81" s="298"/>
      <c r="J81" s="304"/>
      <c r="K81" s="300"/>
      <c r="L81" s="301"/>
      <c r="M81" s="297" t="s">
        <v>6582</v>
      </c>
      <c r="N81" s="297"/>
      <c r="O81" s="297"/>
      <c r="P81" s="297"/>
      <c r="Q81" s="297"/>
      <c r="R81" s="297"/>
      <c r="S81" s="302"/>
      <c r="T81" s="302"/>
      <c r="U81" s="303"/>
    </row>
    <row r="82" spans="1:25" ht="25.5" x14ac:dyDescent="0.2">
      <c r="A82" s="212" t="str">
        <f>HYPERLINK(V82,B82)</f>
        <v>FfoCode</v>
      </c>
      <c r="B82" s="283" t="s">
        <v>6372</v>
      </c>
      <c r="C82" s="284" t="s">
        <v>14633</v>
      </c>
      <c r="D82" s="285"/>
      <c r="E82" s="286"/>
      <c r="F82" s="287" t="s">
        <v>14634</v>
      </c>
      <c r="G82" s="286"/>
      <c r="H82" s="286"/>
      <c r="I82" s="288"/>
      <c r="J82" s="289"/>
      <c r="K82" s="290"/>
      <c r="L82" s="371" t="str">
        <f>HYPERLINK("[#]DatatypeListedValues!B1119:H1119","«enumeration»")</f>
        <v>«enumeration»</v>
      </c>
      <c r="M82" s="287" t="s">
        <v>6582</v>
      </c>
      <c r="N82" s="291" t="b">
        <v>0</v>
      </c>
      <c r="O82" s="286"/>
      <c r="P82" s="292"/>
      <c r="Q82" s="286"/>
      <c r="R82" s="286"/>
      <c r="S82" s="293"/>
      <c r="T82" s="294"/>
      <c r="U82" s="37">
        <v>118181</v>
      </c>
      <c r="V82" s="36" t="str">
        <f>CONCATENATE(Cover!$D$6,"fdd/view?i=",U82)</f>
        <v>https://www.dgiwg.org/FAD/fdd/view?i=118181</v>
      </c>
      <c r="W82" s="172"/>
      <c r="X82" s="172"/>
      <c r="Y82" s="172"/>
    </row>
    <row r="83" spans="1:25" ht="2.1" customHeight="1" x14ac:dyDescent="0.2">
      <c r="A83" s="295"/>
      <c r="B83" s="283"/>
      <c r="C83" s="296"/>
      <c r="D83" s="283"/>
      <c r="E83" s="296"/>
      <c r="F83" s="297"/>
      <c r="G83" s="297"/>
      <c r="H83" s="297"/>
      <c r="I83" s="298"/>
      <c r="J83" s="304"/>
      <c r="K83" s="300"/>
      <c r="L83" s="301"/>
      <c r="M83" s="297" t="s">
        <v>6582</v>
      </c>
      <c r="N83" s="297"/>
      <c r="O83" s="297"/>
      <c r="P83" s="297"/>
      <c r="Q83" s="297"/>
      <c r="R83" s="297"/>
      <c r="S83" s="302"/>
      <c r="T83" s="302"/>
      <c r="U83" s="303"/>
    </row>
    <row r="84" spans="1:25" ht="25.5" x14ac:dyDescent="0.2">
      <c r="A84" s="212" t="str">
        <f>HYPERLINK(V84,B84)</f>
        <v>AgaCode</v>
      </c>
      <c r="B84" s="283" t="s">
        <v>6382</v>
      </c>
      <c r="C84" s="284" t="s">
        <v>14635</v>
      </c>
      <c r="D84" s="285"/>
      <c r="E84" s="286"/>
      <c r="F84" s="287" t="s">
        <v>14636</v>
      </c>
      <c r="G84" s="286"/>
      <c r="H84" s="286"/>
      <c r="I84" s="288"/>
      <c r="J84" s="289"/>
      <c r="K84" s="290"/>
      <c r="L84" s="371" t="str">
        <f>HYPERLINK("[#]DatatypeListedValues!B1124:H1124","«enumeration»")</f>
        <v>«enumeration»</v>
      </c>
      <c r="M84" s="287" t="s">
        <v>6582</v>
      </c>
      <c r="N84" s="291" t="b">
        <v>0</v>
      </c>
      <c r="O84" s="286"/>
      <c r="P84" s="292"/>
      <c r="Q84" s="286"/>
      <c r="R84" s="286"/>
      <c r="S84" s="293"/>
      <c r="T84" s="294"/>
      <c r="U84" s="37">
        <v>1029</v>
      </c>
      <c r="V84" s="36" t="str">
        <f>CONCATENATE(Cover!$D$6,"fdd/view?i=",U84)</f>
        <v>https://www.dgiwg.org/FAD/fdd/view?i=1029</v>
      </c>
      <c r="W84" s="172"/>
      <c r="X84" s="172"/>
      <c r="Y84" s="172"/>
    </row>
    <row r="85" spans="1:25" ht="2.1" customHeight="1" x14ac:dyDescent="0.2">
      <c r="A85" s="295"/>
      <c r="B85" s="283"/>
      <c r="C85" s="296"/>
      <c r="D85" s="283"/>
      <c r="E85" s="296"/>
      <c r="F85" s="297"/>
      <c r="G85" s="297"/>
      <c r="H85" s="297"/>
      <c r="I85" s="298"/>
      <c r="J85" s="304"/>
      <c r="K85" s="300"/>
      <c r="L85" s="301"/>
      <c r="M85" s="297" t="s">
        <v>6582</v>
      </c>
      <c r="N85" s="297"/>
      <c r="O85" s="297"/>
      <c r="P85" s="297"/>
      <c r="Q85" s="297"/>
      <c r="R85" s="297"/>
      <c r="S85" s="302"/>
      <c r="T85" s="302"/>
      <c r="U85" s="303"/>
    </row>
    <row r="86" spans="1:25" ht="25.5" x14ac:dyDescent="0.2">
      <c r="A86" s="212" t="str">
        <f>HYPERLINK(V86,B86)</f>
        <v>AfcCode</v>
      </c>
      <c r="B86" s="283" t="s">
        <v>6391</v>
      </c>
      <c r="C86" s="284" t="s">
        <v>14637</v>
      </c>
      <c r="D86" s="285"/>
      <c r="E86" s="286"/>
      <c r="F86" s="287" t="s">
        <v>14638</v>
      </c>
      <c r="G86" s="286"/>
      <c r="H86" s="286"/>
      <c r="I86" s="288"/>
      <c r="J86" s="289"/>
      <c r="K86" s="290"/>
      <c r="L86" s="371" t="str">
        <f>HYPERLINK("[#]DatatypeListedValues!B1134:H1134","«enumeration»")</f>
        <v>«enumeration»</v>
      </c>
      <c r="M86" s="287" t="s">
        <v>6582</v>
      </c>
      <c r="N86" s="291" t="b">
        <v>0</v>
      </c>
      <c r="O86" s="286"/>
      <c r="P86" s="292"/>
      <c r="Q86" s="286"/>
      <c r="R86" s="286"/>
      <c r="S86" s="293"/>
      <c r="T86" s="294"/>
      <c r="U86" s="37">
        <v>1101</v>
      </c>
      <c r="V86" s="36" t="str">
        <f>CONCATENATE(Cover!$D$6,"fdd/view?i=",U86)</f>
        <v>https://www.dgiwg.org/FAD/fdd/view?i=1101</v>
      </c>
      <c r="W86" s="172"/>
      <c r="X86" s="172"/>
      <c r="Y86" s="172"/>
    </row>
    <row r="87" spans="1:25" ht="2.1" customHeight="1" x14ac:dyDescent="0.2">
      <c r="A87" s="295"/>
      <c r="B87" s="283"/>
      <c r="C87" s="296"/>
      <c r="D87" s="283"/>
      <c r="E87" s="296"/>
      <c r="F87" s="297"/>
      <c r="G87" s="297"/>
      <c r="H87" s="297"/>
      <c r="I87" s="298"/>
      <c r="J87" s="304"/>
      <c r="K87" s="300"/>
      <c r="L87" s="301"/>
      <c r="M87" s="297" t="s">
        <v>6582</v>
      </c>
      <c r="N87" s="297"/>
      <c r="O87" s="297"/>
      <c r="P87" s="297"/>
      <c r="Q87" s="297"/>
      <c r="R87" s="297"/>
      <c r="S87" s="302"/>
      <c r="T87" s="302"/>
      <c r="U87" s="303"/>
    </row>
    <row r="88" spans="1:25" ht="25.5" x14ac:dyDescent="0.2">
      <c r="A88" s="212" t="str">
        <f>HYPERLINK(V88,B88)</f>
        <v>AztCode</v>
      </c>
      <c r="B88" s="283" t="s">
        <v>6396</v>
      </c>
      <c r="C88" s="284" t="s">
        <v>14639</v>
      </c>
      <c r="D88" s="285"/>
      <c r="E88" s="286"/>
      <c r="F88" s="287" t="s">
        <v>14640</v>
      </c>
      <c r="G88" s="286"/>
      <c r="H88" s="286"/>
      <c r="I88" s="288"/>
      <c r="J88" s="289"/>
      <c r="K88" s="290"/>
      <c r="L88" s="371" t="str">
        <f>HYPERLINK("[#]DatatypeListedValues!B1143:H1143","«enumeration»")</f>
        <v>«enumeration»</v>
      </c>
      <c r="M88" s="287" t="s">
        <v>6582</v>
      </c>
      <c r="N88" s="291" t="b">
        <v>0</v>
      </c>
      <c r="O88" s="286"/>
      <c r="P88" s="292"/>
      <c r="Q88" s="286"/>
      <c r="R88" s="286"/>
      <c r="S88" s="293"/>
      <c r="T88" s="294"/>
      <c r="U88" s="37">
        <v>1792</v>
      </c>
      <c r="V88" s="36" t="str">
        <f>CONCATENATE(Cover!$D$6,"fdd/view?i=",U88)</f>
        <v>https://www.dgiwg.org/FAD/fdd/view?i=1792</v>
      </c>
      <c r="W88" s="172"/>
      <c r="X88" s="172"/>
      <c r="Y88" s="172"/>
    </row>
    <row r="89" spans="1:25" ht="2.1" customHeight="1" x14ac:dyDescent="0.2">
      <c r="A89" s="295"/>
      <c r="B89" s="283"/>
      <c r="C89" s="296"/>
      <c r="D89" s="283"/>
      <c r="E89" s="296"/>
      <c r="F89" s="297"/>
      <c r="G89" s="297"/>
      <c r="H89" s="297"/>
      <c r="I89" s="298"/>
      <c r="J89" s="304"/>
      <c r="K89" s="300"/>
      <c r="L89" s="301"/>
      <c r="M89" s="297" t="s">
        <v>6582</v>
      </c>
      <c r="N89" s="297"/>
      <c r="O89" s="297"/>
      <c r="P89" s="297"/>
      <c r="Q89" s="297"/>
      <c r="R89" s="297"/>
      <c r="S89" s="302"/>
      <c r="T89" s="302"/>
      <c r="U89" s="303"/>
    </row>
    <row r="90" spans="1:25" ht="25.5" x14ac:dyDescent="0.2">
      <c r="A90" s="212" t="str">
        <f>HYPERLINK(V90,B90)</f>
        <v>RpuCode</v>
      </c>
      <c r="B90" s="283" t="s">
        <v>6411</v>
      </c>
      <c r="C90" s="284" t="s">
        <v>14641</v>
      </c>
      <c r="D90" s="285"/>
      <c r="E90" s="286"/>
      <c r="F90" s="287" t="s">
        <v>14642</v>
      </c>
      <c r="G90" s="286"/>
      <c r="H90" s="286"/>
      <c r="I90" s="288"/>
      <c r="J90" s="289"/>
      <c r="K90" s="290"/>
      <c r="L90" s="371" t="str">
        <f>HYPERLINK("[#]DatatypeListedValues!B1153:H1153","«enumeration»")</f>
        <v>«enumeration»</v>
      </c>
      <c r="M90" s="287" t="s">
        <v>6582</v>
      </c>
      <c r="N90" s="291" t="b">
        <v>0</v>
      </c>
      <c r="O90" s="286"/>
      <c r="P90" s="292"/>
      <c r="Q90" s="286"/>
      <c r="R90" s="286"/>
      <c r="S90" s="293"/>
      <c r="T90" s="294"/>
      <c r="U90" s="37">
        <v>117408</v>
      </c>
      <c r="V90" s="36" t="str">
        <f>CONCATENATE(Cover!$D$6,"fdd/view?i=",U90)</f>
        <v>https://www.dgiwg.org/FAD/fdd/view?i=117408</v>
      </c>
      <c r="W90" s="172"/>
      <c r="X90" s="172"/>
      <c r="Y90" s="172"/>
    </row>
    <row r="91" spans="1:25" ht="2.1" customHeight="1" x14ac:dyDescent="0.2">
      <c r="A91" s="295"/>
      <c r="B91" s="283"/>
      <c r="C91" s="296"/>
      <c r="D91" s="283"/>
      <c r="E91" s="296"/>
      <c r="F91" s="297"/>
      <c r="G91" s="297"/>
      <c r="H91" s="297"/>
      <c r="I91" s="298"/>
      <c r="J91" s="304"/>
      <c r="K91" s="300"/>
      <c r="L91" s="301"/>
      <c r="M91" s="297" t="s">
        <v>6582</v>
      </c>
      <c r="N91" s="297"/>
      <c r="O91" s="297"/>
      <c r="P91" s="297"/>
      <c r="Q91" s="297"/>
      <c r="R91" s="297"/>
      <c r="S91" s="302"/>
      <c r="T91" s="302"/>
      <c r="U91" s="303"/>
    </row>
    <row r="92" spans="1:25" ht="25.5" x14ac:dyDescent="0.2">
      <c r="A92" s="212" t="str">
        <f>HYPERLINK(V92,B92)</f>
        <v>RdiCode</v>
      </c>
      <c r="B92" s="283" t="s">
        <v>6421</v>
      </c>
      <c r="C92" s="284" t="s">
        <v>14643</v>
      </c>
      <c r="D92" s="285"/>
      <c r="E92" s="286"/>
      <c r="F92" s="287" t="s">
        <v>14644</v>
      </c>
      <c r="G92" s="286"/>
      <c r="H92" s="286"/>
      <c r="I92" s="288"/>
      <c r="J92" s="289"/>
      <c r="K92" s="290"/>
      <c r="L92" s="371" t="str">
        <f>HYPERLINK("[#]DatatypeListedValues!B1163:H1163","«enumeration»")</f>
        <v>«enumeration»</v>
      </c>
      <c r="M92" s="287" t="s">
        <v>6582</v>
      </c>
      <c r="N92" s="291" t="b">
        <v>0</v>
      </c>
      <c r="O92" s="286"/>
      <c r="P92" s="292"/>
      <c r="Q92" s="286"/>
      <c r="R92" s="286"/>
      <c r="S92" s="293"/>
      <c r="T92" s="294"/>
      <c r="U92" s="37">
        <v>117403</v>
      </c>
      <c r="V92" s="36" t="str">
        <f>CONCATENATE(Cover!$D$6,"fdd/view?i=",U92)</f>
        <v>https://www.dgiwg.org/FAD/fdd/view?i=117403</v>
      </c>
      <c r="W92" s="172"/>
      <c r="X92" s="172"/>
      <c r="Y92" s="172"/>
    </row>
    <row r="93" spans="1:25" ht="2.1" customHeight="1" x14ac:dyDescent="0.2">
      <c r="A93" s="295"/>
      <c r="B93" s="283"/>
      <c r="C93" s="296"/>
      <c r="D93" s="283"/>
      <c r="E93" s="296"/>
      <c r="F93" s="297"/>
      <c r="G93" s="297"/>
      <c r="H93" s="297"/>
      <c r="I93" s="298"/>
      <c r="J93" s="304"/>
      <c r="K93" s="300"/>
      <c r="L93" s="301"/>
      <c r="M93" s="297" t="s">
        <v>6582</v>
      </c>
      <c r="N93" s="297"/>
      <c r="O93" s="297"/>
      <c r="P93" s="297"/>
      <c r="Q93" s="297"/>
      <c r="R93" s="297"/>
      <c r="S93" s="302"/>
      <c r="T93" s="302"/>
      <c r="U93" s="303"/>
    </row>
    <row r="94" spans="1:25" ht="25.5" x14ac:dyDescent="0.2">
      <c r="A94" s="212" t="str">
        <f>HYPERLINK(V94,B94)</f>
        <v>RptCode</v>
      </c>
      <c r="B94" s="283" t="s">
        <v>6426</v>
      </c>
      <c r="C94" s="284" t="s">
        <v>14645</v>
      </c>
      <c r="D94" s="285"/>
      <c r="E94" s="286"/>
      <c r="F94" s="287" t="s">
        <v>14646</v>
      </c>
      <c r="G94" s="286"/>
      <c r="H94" s="286"/>
      <c r="I94" s="288"/>
      <c r="J94" s="289"/>
      <c r="K94" s="290"/>
      <c r="L94" s="371" t="str">
        <f>HYPERLINK("[#]DatatypeListedValues!B1171:H1171","«enumeration»")</f>
        <v>«enumeration»</v>
      </c>
      <c r="M94" s="287" t="s">
        <v>6582</v>
      </c>
      <c r="N94" s="291" t="b">
        <v>0</v>
      </c>
      <c r="O94" s="286"/>
      <c r="P94" s="292"/>
      <c r="Q94" s="286"/>
      <c r="R94" s="286"/>
      <c r="S94" s="293"/>
      <c r="T94" s="294"/>
      <c r="U94" s="37">
        <v>117407</v>
      </c>
      <c r="V94" s="36" t="str">
        <f>CONCATENATE(Cover!$D$6,"fdd/view?i=",U94)</f>
        <v>https://www.dgiwg.org/FAD/fdd/view?i=117407</v>
      </c>
      <c r="W94" s="172"/>
      <c r="X94" s="172"/>
      <c r="Y94" s="172"/>
    </row>
    <row r="95" spans="1:25" ht="2.1" customHeight="1" x14ac:dyDescent="0.2">
      <c r="A95" s="295"/>
      <c r="B95" s="283"/>
      <c r="C95" s="296"/>
      <c r="D95" s="283"/>
      <c r="E95" s="296"/>
      <c r="F95" s="297"/>
      <c r="G95" s="297"/>
      <c r="H95" s="297"/>
      <c r="I95" s="298"/>
      <c r="J95" s="304"/>
      <c r="K95" s="300"/>
      <c r="L95" s="301"/>
      <c r="M95" s="297" t="s">
        <v>6582</v>
      </c>
      <c r="N95" s="297"/>
      <c r="O95" s="297"/>
      <c r="P95" s="297"/>
      <c r="Q95" s="297"/>
      <c r="R95" s="297"/>
      <c r="S95" s="302"/>
      <c r="T95" s="302"/>
      <c r="U95" s="303"/>
    </row>
    <row r="96" spans="1:25" ht="25.5" x14ac:dyDescent="0.2">
      <c r="A96" s="212" t="str">
        <f>HYPERLINK(V96,B96)</f>
        <v>RrtCode</v>
      </c>
      <c r="B96" s="283" t="s">
        <v>6436</v>
      </c>
      <c r="C96" s="284" t="s">
        <v>14647</v>
      </c>
      <c r="D96" s="285"/>
      <c r="E96" s="286"/>
      <c r="F96" s="287" t="s">
        <v>14648</v>
      </c>
      <c r="G96" s="286"/>
      <c r="H96" s="286"/>
      <c r="I96" s="288"/>
      <c r="J96" s="289"/>
      <c r="K96" s="290"/>
      <c r="L96" s="371" t="str">
        <f>HYPERLINK("[#]DatatypeListedValues!B1174:H1174","«enumeration»")</f>
        <v>«enumeration»</v>
      </c>
      <c r="M96" s="287" t="s">
        <v>6582</v>
      </c>
      <c r="N96" s="291" t="b">
        <v>0</v>
      </c>
      <c r="O96" s="286"/>
      <c r="P96" s="292"/>
      <c r="Q96" s="286"/>
      <c r="R96" s="286"/>
      <c r="S96" s="293"/>
      <c r="T96" s="294"/>
      <c r="U96" s="37">
        <v>117409</v>
      </c>
      <c r="V96" s="36" t="str">
        <f>CONCATENATE(Cover!$D$6,"fdd/view?i=",U96)</f>
        <v>https://www.dgiwg.org/FAD/fdd/view?i=117409</v>
      </c>
      <c r="W96" s="172"/>
      <c r="X96" s="172"/>
      <c r="Y96" s="172"/>
    </row>
    <row r="97" spans="1:25" ht="2.1" customHeight="1" x14ac:dyDescent="0.2">
      <c r="A97" s="295"/>
      <c r="B97" s="283"/>
      <c r="C97" s="296"/>
      <c r="D97" s="283"/>
      <c r="E97" s="296"/>
      <c r="F97" s="297"/>
      <c r="G97" s="297"/>
      <c r="H97" s="297"/>
      <c r="I97" s="298"/>
      <c r="J97" s="304"/>
      <c r="K97" s="300"/>
      <c r="L97" s="301"/>
      <c r="M97" s="297" t="s">
        <v>6582</v>
      </c>
      <c r="N97" s="297"/>
      <c r="O97" s="297"/>
      <c r="P97" s="297"/>
      <c r="Q97" s="297"/>
      <c r="R97" s="297"/>
      <c r="S97" s="302"/>
      <c r="T97" s="302"/>
      <c r="U97" s="303"/>
    </row>
    <row r="98" spans="1:25" ht="25.5" x14ac:dyDescent="0.2">
      <c r="A98" s="212" t="str">
        <f>HYPERLINK(V98,B98)</f>
        <v>ActCode</v>
      </c>
      <c r="B98" s="283" t="s">
        <v>6441</v>
      </c>
      <c r="C98" s="284" t="s">
        <v>14649</v>
      </c>
      <c r="D98" s="285"/>
      <c r="E98" s="286"/>
      <c r="F98" s="287" t="s">
        <v>14650</v>
      </c>
      <c r="G98" s="286"/>
      <c r="H98" s="286"/>
      <c r="I98" s="288"/>
      <c r="J98" s="289"/>
      <c r="K98" s="290"/>
      <c r="L98" s="371" t="str">
        <f>HYPERLINK("[#]DatatypeListedValues!B1177:H1177","«enumeration»")</f>
        <v>«enumeration»</v>
      </c>
      <c r="M98" s="287" t="s">
        <v>6582</v>
      </c>
      <c r="N98" s="291" t="b">
        <v>0</v>
      </c>
      <c r="O98" s="286"/>
      <c r="P98" s="292"/>
      <c r="Q98" s="286"/>
      <c r="R98" s="286"/>
      <c r="S98" s="293"/>
      <c r="T98" s="294"/>
      <c r="U98" s="37">
        <v>117335</v>
      </c>
      <c r="V98" s="36" t="str">
        <f>CONCATENATE(Cover!$D$6,"fdd/view?i=",U98)</f>
        <v>https://www.dgiwg.org/FAD/fdd/view?i=117335</v>
      </c>
      <c r="W98" s="172"/>
      <c r="X98" s="172"/>
      <c r="Y98" s="172"/>
    </row>
    <row r="99" spans="1:25" ht="2.1" customHeight="1" x14ac:dyDescent="0.2">
      <c r="A99" s="295"/>
      <c r="B99" s="283"/>
      <c r="C99" s="296"/>
      <c r="D99" s="283"/>
      <c r="E99" s="296"/>
      <c r="F99" s="297"/>
      <c r="G99" s="297"/>
      <c r="H99" s="297"/>
      <c r="I99" s="298"/>
      <c r="J99" s="304"/>
      <c r="K99" s="300"/>
      <c r="L99" s="301"/>
      <c r="M99" s="297" t="s">
        <v>6582</v>
      </c>
      <c r="N99" s="297"/>
      <c r="O99" s="297"/>
      <c r="P99" s="297"/>
      <c r="Q99" s="297"/>
      <c r="R99" s="297"/>
      <c r="S99" s="302"/>
      <c r="T99" s="302"/>
      <c r="U99" s="303"/>
    </row>
    <row r="100" spans="1:25" ht="25.5" x14ac:dyDescent="0.2">
      <c r="A100" s="212" t="str">
        <f>HYPERLINK(V100,B100)</f>
        <v>AmtCode</v>
      </c>
      <c r="B100" s="283" t="s">
        <v>6446</v>
      </c>
      <c r="C100" s="284" t="s">
        <v>14651</v>
      </c>
      <c r="D100" s="285"/>
      <c r="E100" s="286"/>
      <c r="F100" s="287" t="s">
        <v>14652</v>
      </c>
      <c r="G100" s="286"/>
      <c r="H100" s="286"/>
      <c r="I100" s="288"/>
      <c r="J100" s="289"/>
      <c r="K100" s="290"/>
      <c r="L100" s="371" t="str">
        <f>HYPERLINK("[#]DatatypeListedValues!B1192:H1192","«enumeration»")</f>
        <v>«enumeration»</v>
      </c>
      <c r="M100" s="287" t="s">
        <v>6582</v>
      </c>
      <c r="N100" s="291" t="b">
        <v>0</v>
      </c>
      <c r="O100" s="286"/>
      <c r="P100" s="292"/>
      <c r="Q100" s="286"/>
      <c r="R100" s="286"/>
      <c r="S100" s="293"/>
      <c r="T100" s="294"/>
      <c r="U100" s="37">
        <v>117347</v>
      </c>
      <c r="V100" s="36" t="str">
        <f>CONCATENATE(Cover!$D$6,"fdd/view?i=",U100)</f>
        <v>https://www.dgiwg.org/FAD/fdd/view?i=117347</v>
      </c>
      <c r="W100" s="172"/>
      <c r="X100" s="172"/>
      <c r="Y100" s="172"/>
    </row>
    <row r="101" spans="1:25" ht="2.1" customHeight="1" x14ac:dyDescent="0.2">
      <c r="A101" s="295"/>
      <c r="B101" s="283"/>
      <c r="C101" s="296"/>
      <c r="D101" s="283"/>
      <c r="E101" s="296"/>
      <c r="F101" s="297"/>
      <c r="G101" s="297"/>
      <c r="H101" s="297"/>
      <c r="I101" s="298"/>
      <c r="J101" s="304"/>
      <c r="K101" s="300"/>
      <c r="L101" s="301"/>
      <c r="M101" s="297" t="s">
        <v>6582</v>
      </c>
      <c r="N101" s="297"/>
      <c r="O101" s="297"/>
      <c r="P101" s="297"/>
      <c r="Q101" s="297"/>
      <c r="R101" s="297"/>
      <c r="S101" s="302"/>
      <c r="T101" s="302"/>
      <c r="U101" s="303"/>
    </row>
    <row r="102" spans="1:25" ht="25.5" x14ac:dyDescent="0.2">
      <c r="A102" s="212" t="str">
        <f>HYPERLINK(V102,B102)</f>
        <v>AtvCode</v>
      </c>
      <c r="B102" s="283" t="s">
        <v>6452</v>
      </c>
      <c r="C102" s="284" t="s">
        <v>14653</v>
      </c>
      <c r="D102" s="285"/>
      <c r="E102" s="286"/>
      <c r="F102" s="287" t="s">
        <v>14654</v>
      </c>
      <c r="G102" s="286"/>
      <c r="H102" s="286"/>
      <c r="I102" s="288"/>
      <c r="J102" s="289"/>
      <c r="K102" s="290"/>
      <c r="L102" s="371" t="str">
        <f>HYPERLINK("[#]DatatypeListedValues!B1197:H1197","«enumeration»")</f>
        <v>«enumeration»</v>
      </c>
      <c r="M102" s="287" t="s">
        <v>6582</v>
      </c>
      <c r="N102" s="291" t="b">
        <v>0</v>
      </c>
      <c r="O102" s="286"/>
      <c r="P102" s="292"/>
      <c r="Q102" s="286"/>
      <c r="R102" s="286"/>
      <c r="S102" s="293"/>
      <c r="T102" s="294"/>
      <c r="U102" s="37">
        <v>117364</v>
      </c>
      <c r="V102" s="36" t="str">
        <f>CONCATENATE(Cover!$D$6,"fdd/view?i=",U102)</f>
        <v>https://www.dgiwg.org/FAD/fdd/view?i=117364</v>
      </c>
      <c r="W102" s="172"/>
      <c r="X102" s="172"/>
      <c r="Y102" s="172"/>
    </row>
    <row r="103" spans="1:25" ht="2.1" customHeight="1" x14ac:dyDescent="0.2">
      <c r="A103" s="295"/>
      <c r="B103" s="283"/>
      <c r="C103" s="296"/>
      <c r="D103" s="283"/>
      <c r="E103" s="296"/>
      <c r="F103" s="297"/>
      <c r="G103" s="297"/>
      <c r="H103" s="297"/>
      <c r="I103" s="298"/>
      <c r="J103" s="304"/>
      <c r="K103" s="300"/>
      <c r="L103" s="301"/>
      <c r="M103" s="297" t="s">
        <v>6582</v>
      </c>
      <c r="N103" s="297"/>
      <c r="O103" s="297"/>
      <c r="P103" s="297"/>
      <c r="Q103" s="297"/>
      <c r="R103" s="297"/>
      <c r="S103" s="302"/>
      <c r="T103" s="302"/>
      <c r="U103" s="303"/>
    </row>
    <row r="104" spans="1:25" ht="38.25" x14ac:dyDescent="0.2">
      <c r="A104" s="212" t="str">
        <f>HYPERLINK(V104,B104)</f>
        <v>AdxStrucText</v>
      </c>
      <c r="B104" s="283" t="s">
        <v>6466</v>
      </c>
      <c r="C104" s="284" t="s">
        <v>14655</v>
      </c>
      <c r="D104" s="285"/>
      <c r="E104" s="286"/>
      <c r="F104" s="287" t="s">
        <v>14656</v>
      </c>
      <c r="G104" s="286"/>
      <c r="H104" s="287" t="s">
        <v>14552</v>
      </c>
      <c r="I104" s="288"/>
      <c r="J104" s="289"/>
      <c r="K104" s="290"/>
      <c r="L104" s="287" t="s">
        <v>14551</v>
      </c>
      <c r="M104" s="287" t="s">
        <v>6582</v>
      </c>
      <c r="N104" s="286"/>
      <c r="O104" s="287">
        <v>5</v>
      </c>
      <c r="P104" s="305" t="b">
        <v>0</v>
      </c>
      <c r="Q104" s="287" t="s">
        <v>14657</v>
      </c>
      <c r="R104" s="286"/>
      <c r="S104" s="293"/>
      <c r="T104" s="294"/>
      <c r="U104" s="37">
        <v>117435</v>
      </c>
      <c r="V104" s="36" t="str">
        <f>CONCATENATE(Cover!$D$6,"fdd/view?i=",U104)</f>
        <v>https://www.dgiwg.org/FAD/fdd/view?i=117435</v>
      </c>
      <c r="W104" s="172"/>
      <c r="X104" s="172"/>
      <c r="Y104" s="172"/>
    </row>
    <row r="105" spans="1:25" ht="2.1" customHeight="1" x14ac:dyDescent="0.2">
      <c r="A105" s="295"/>
      <c r="B105" s="283"/>
      <c r="C105" s="296"/>
      <c r="D105" s="283"/>
      <c r="E105" s="296"/>
      <c r="F105" s="297"/>
      <c r="G105" s="297"/>
      <c r="H105" s="297"/>
      <c r="I105" s="298"/>
      <c r="J105" s="304"/>
      <c r="K105" s="300"/>
      <c r="L105" s="301"/>
      <c r="M105" s="297" t="s">
        <v>6582</v>
      </c>
      <c r="N105" s="297"/>
      <c r="O105" s="297"/>
      <c r="P105" s="297"/>
      <c r="Q105" s="297"/>
      <c r="R105" s="297"/>
      <c r="S105" s="302"/>
      <c r="T105" s="302"/>
      <c r="U105" s="303"/>
    </row>
    <row r="106" spans="1:25" ht="38.25" x14ac:dyDescent="0.2">
      <c r="A106" s="212" t="str">
        <f>HYPERLINK(V106,B106)</f>
        <v>RsvCode</v>
      </c>
      <c r="B106" s="283" t="s">
        <v>6473</v>
      </c>
      <c r="C106" s="284" t="s">
        <v>14658</v>
      </c>
      <c r="D106" s="285"/>
      <c r="E106" s="286"/>
      <c r="F106" s="287" t="s">
        <v>14659</v>
      </c>
      <c r="G106" s="286"/>
      <c r="H106" s="286"/>
      <c r="I106" s="288"/>
      <c r="J106" s="289"/>
      <c r="K106" s="290"/>
      <c r="L106" s="371" t="str">
        <f>HYPERLINK("[#]DatatypeListedValues!B1206:H1206","«enumeration»")</f>
        <v>«enumeration»</v>
      </c>
      <c r="M106" s="287" t="s">
        <v>6582</v>
      </c>
      <c r="N106" s="291" t="b">
        <v>0</v>
      </c>
      <c r="O106" s="286"/>
      <c r="P106" s="292"/>
      <c r="Q106" s="286"/>
      <c r="R106" s="286"/>
      <c r="S106" s="293"/>
      <c r="T106" s="294"/>
      <c r="U106" s="37">
        <v>117410</v>
      </c>
      <c r="V106" s="36" t="str">
        <f>CONCATENATE(Cover!$D$6,"fdd/view?i=",U106)</f>
        <v>https://www.dgiwg.org/FAD/fdd/view?i=117410</v>
      </c>
      <c r="W106" s="172"/>
      <c r="X106" s="172"/>
      <c r="Y106" s="172"/>
    </row>
    <row r="107" spans="1:25" ht="2.1" customHeight="1" x14ac:dyDescent="0.2">
      <c r="A107" s="295"/>
      <c r="B107" s="283"/>
      <c r="C107" s="296"/>
      <c r="D107" s="283"/>
      <c r="E107" s="296"/>
      <c r="F107" s="297"/>
      <c r="G107" s="297"/>
      <c r="H107" s="297"/>
      <c r="I107" s="298"/>
      <c r="J107" s="304"/>
      <c r="K107" s="300"/>
      <c r="L107" s="301"/>
      <c r="M107" s="297" t="s">
        <v>6582</v>
      </c>
      <c r="N107" s="297"/>
      <c r="O107" s="297"/>
      <c r="P107" s="297"/>
      <c r="Q107" s="297"/>
      <c r="R107" s="297"/>
      <c r="S107" s="302"/>
      <c r="T107" s="302"/>
      <c r="U107" s="303"/>
    </row>
    <row r="108" spans="1:25" ht="38.25" x14ac:dyDescent="0.2">
      <c r="A108" s="212" t="str">
        <f>HYPERLINK(V108,B108)</f>
        <v>ArpCode</v>
      </c>
      <c r="B108" s="283" t="s">
        <v>6485</v>
      </c>
      <c r="C108" s="284" t="s">
        <v>14660</v>
      </c>
      <c r="D108" s="285"/>
      <c r="E108" s="286"/>
      <c r="F108" s="287" t="s">
        <v>14661</v>
      </c>
      <c r="G108" s="286"/>
      <c r="H108" s="286"/>
      <c r="I108" s="288"/>
      <c r="J108" s="289"/>
      <c r="K108" s="290"/>
      <c r="L108" s="371" t="str">
        <f>HYPERLINK("[#]DatatypeListedValues!B1215:H1215","«enumeration»")</f>
        <v>«enumeration»</v>
      </c>
      <c r="M108" s="287" t="s">
        <v>6582</v>
      </c>
      <c r="N108" s="291" t="b">
        <v>0</v>
      </c>
      <c r="O108" s="286"/>
      <c r="P108" s="292"/>
      <c r="Q108" s="286"/>
      <c r="R108" s="286"/>
      <c r="S108" s="293"/>
      <c r="T108" s="294"/>
      <c r="U108" s="37">
        <v>117353</v>
      </c>
      <c r="V108" s="36" t="str">
        <f>CONCATENATE(Cover!$D$6,"fdd/view?i=",U108)</f>
        <v>https://www.dgiwg.org/FAD/fdd/view?i=117353</v>
      </c>
      <c r="W108" s="172"/>
      <c r="X108" s="172"/>
      <c r="Y108" s="172"/>
    </row>
    <row r="109" spans="1:25" ht="2.1" customHeight="1" x14ac:dyDescent="0.2">
      <c r="A109" s="295"/>
      <c r="B109" s="283"/>
      <c r="C109" s="296"/>
      <c r="D109" s="283"/>
      <c r="E109" s="296"/>
      <c r="F109" s="297"/>
      <c r="G109" s="297"/>
      <c r="H109" s="297"/>
      <c r="I109" s="298"/>
      <c r="J109" s="304"/>
      <c r="K109" s="300"/>
      <c r="L109" s="301"/>
      <c r="M109" s="297" t="s">
        <v>6582</v>
      </c>
      <c r="N109" s="297"/>
      <c r="O109" s="297"/>
      <c r="P109" s="297"/>
      <c r="Q109" s="297"/>
      <c r="R109" s="297"/>
      <c r="S109" s="302"/>
      <c r="T109" s="302"/>
      <c r="U109" s="303"/>
    </row>
    <row r="110" spans="1:25" ht="38.25" x14ac:dyDescent="0.2">
      <c r="A110" s="212" t="str">
        <f>HYPERLINK(V110,B110)</f>
        <v>RsxCode</v>
      </c>
      <c r="B110" s="283" t="s">
        <v>6491</v>
      </c>
      <c r="C110" s="284" t="s">
        <v>14662</v>
      </c>
      <c r="D110" s="285"/>
      <c r="E110" s="286"/>
      <c r="F110" s="287" t="s">
        <v>14663</v>
      </c>
      <c r="G110" s="286"/>
      <c r="H110" s="286"/>
      <c r="I110" s="288"/>
      <c r="J110" s="289"/>
      <c r="K110" s="290"/>
      <c r="L110" s="371" t="str">
        <f>HYPERLINK("[#]DatatypeListedValues!B1222:H1222","«enumeration»")</f>
        <v>«enumeration»</v>
      </c>
      <c r="M110" s="287" t="s">
        <v>6582</v>
      </c>
      <c r="N110" s="291" t="b">
        <v>0</v>
      </c>
      <c r="O110" s="286"/>
      <c r="P110" s="292"/>
      <c r="Q110" s="286"/>
      <c r="R110" s="286"/>
      <c r="S110" s="293"/>
      <c r="T110" s="294"/>
      <c r="U110" s="37">
        <v>117411</v>
      </c>
      <c r="V110" s="36" t="str">
        <f>CONCATENATE(Cover!$D$6,"fdd/view?i=",U110)</f>
        <v>https://www.dgiwg.org/FAD/fdd/view?i=117411</v>
      </c>
      <c r="W110" s="172"/>
      <c r="X110" s="172"/>
      <c r="Y110" s="172"/>
    </row>
    <row r="111" spans="1:25" ht="2.1" customHeight="1" x14ac:dyDescent="0.2">
      <c r="A111" s="295"/>
      <c r="B111" s="283"/>
      <c r="C111" s="296"/>
      <c r="D111" s="283"/>
      <c r="E111" s="296"/>
      <c r="F111" s="297"/>
      <c r="G111" s="297"/>
      <c r="H111" s="297"/>
      <c r="I111" s="298"/>
      <c r="J111" s="304"/>
      <c r="K111" s="300"/>
      <c r="L111" s="301"/>
      <c r="M111" s="297" t="s">
        <v>6582</v>
      </c>
      <c r="N111" s="297"/>
      <c r="O111" s="297"/>
      <c r="P111" s="297"/>
      <c r="Q111" s="297"/>
      <c r="R111" s="297"/>
      <c r="S111" s="302"/>
      <c r="T111" s="302"/>
      <c r="U111" s="303"/>
    </row>
    <row r="112" spans="1:25" ht="25.5" x14ac:dyDescent="0.2">
      <c r="A112" s="212" t="str">
        <f>HYPERLINK(V112,B112)</f>
        <v>AryCode</v>
      </c>
      <c r="B112" s="283" t="s">
        <v>6501</v>
      </c>
      <c r="C112" s="284" t="s">
        <v>14664</v>
      </c>
      <c r="D112" s="285"/>
      <c r="E112" s="286"/>
      <c r="F112" s="287" t="s">
        <v>14665</v>
      </c>
      <c r="G112" s="286"/>
      <c r="H112" s="286"/>
      <c r="I112" s="288"/>
      <c r="J112" s="289"/>
      <c r="K112" s="290"/>
      <c r="L112" s="371" t="str">
        <f>HYPERLINK("[#]DatatypeListedValues!B1225:H1225","«enumeration»")</f>
        <v>«enumeration»</v>
      </c>
      <c r="M112" s="287" t="s">
        <v>6582</v>
      </c>
      <c r="N112" s="291" t="b">
        <v>0</v>
      </c>
      <c r="O112" s="286"/>
      <c r="P112" s="292"/>
      <c r="Q112" s="286"/>
      <c r="R112" s="286"/>
      <c r="S112" s="293"/>
      <c r="T112" s="294"/>
      <c r="U112" s="37">
        <v>117354</v>
      </c>
      <c r="V112" s="36" t="str">
        <f>CONCATENATE(Cover!$D$6,"fdd/view?i=",U112)</f>
        <v>https://www.dgiwg.org/FAD/fdd/view?i=117354</v>
      </c>
      <c r="W112" s="172"/>
      <c r="X112" s="172"/>
      <c r="Y112" s="172"/>
    </row>
    <row r="113" spans="1:25" ht="2.1" customHeight="1" x14ac:dyDescent="0.2">
      <c r="A113" s="295"/>
      <c r="B113" s="283"/>
      <c r="C113" s="296"/>
      <c r="D113" s="283"/>
      <c r="E113" s="296"/>
      <c r="F113" s="297"/>
      <c r="G113" s="297"/>
      <c r="H113" s="297"/>
      <c r="I113" s="298"/>
      <c r="J113" s="304"/>
      <c r="K113" s="300"/>
      <c r="L113" s="301"/>
      <c r="M113" s="297" t="s">
        <v>6582</v>
      </c>
      <c r="N113" s="297"/>
      <c r="O113" s="297"/>
      <c r="P113" s="297"/>
      <c r="Q113" s="297"/>
      <c r="R113" s="297"/>
      <c r="S113" s="302"/>
      <c r="T113" s="302"/>
      <c r="U113" s="303"/>
    </row>
    <row r="114" spans="1:25" ht="38.25" x14ac:dyDescent="0.2">
      <c r="A114" s="212" t="str">
        <f>HYPERLINK(V114,B114)</f>
        <v>ApxStrucText</v>
      </c>
      <c r="B114" s="283" t="s">
        <v>6507</v>
      </c>
      <c r="C114" s="284" t="s">
        <v>14666</v>
      </c>
      <c r="D114" s="285"/>
      <c r="E114" s="286"/>
      <c r="F114" s="287" t="s">
        <v>14667</v>
      </c>
      <c r="G114" s="286"/>
      <c r="H114" s="287" t="s">
        <v>14552</v>
      </c>
      <c r="I114" s="288"/>
      <c r="J114" s="289"/>
      <c r="K114" s="290"/>
      <c r="L114" s="287" t="s">
        <v>14551</v>
      </c>
      <c r="M114" s="287" t="s">
        <v>6582</v>
      </c>
      <c r="N114" s="286"/>
      <c r="O114" s="287">
        <v>2</v>
      </c>
      <c r="P114" s="305" t="b">
        <v>0</v>
      </c>
      <c r="Q114" s="287" t="s">
        <v>14668</v>
      </c>
      <c r="R114" s="286"/>
      <c r="S114" s="293"/>
      <c r="T114" s="294"/>
      <c r="U114" s="37">
        <v>117439</v>
      </c>
      <c r="V114" s="36" t="str">
        <f>CONCATENATE(Cover!$D$6,"fdd/view?i=",U114)</f>
        <v>https://www.dgiwg.org/FAD/fdd/view?i=117439</v>
      </c>
      <c r="W114" s="172"/>
      <c r="X114" s="172"/>
      <c r="Y114" s="172"/>
    </row>
    <row r="115" spans="1:25" ht="2.1" customHeight="1" x14ac:dyDescent="0.2">
      <c r="A115" s="295"/>
      <c r="B115" s="283"/>
      <c r="C115" s="296"/>
      <c r="D115" s="283"/>
      <c r="E115" s="296"/>
      <c r="F115" s="297"/>
      <c r="G115" s="297"/>
      <c r="H115" s="297"/>
      <c r="I115" s="298"/>
      <c r="J115" s="304"/>
      <c r="K115" s="300"/>
      <c r="L115" s="301"/>
      <c r="M115" s="297" t="s">
        <v>6582</v>
      </c>
      <c r="N115" s="297"/>
      <c r="O115" s="297"/>
      <c r="P115" s="297"/>
      <c r="Q115" s="297"/>
      <c r="R115" s="297"/>
      <c r="S115" s="302"/>
      <c r="T115" s="302"/>
      <c r="U115" s="303"/>
    </row>
    <row r="116" spans="1:25" ht="38.25" x14ac:dyDescent="0.2">
      <c r="A116" s="212" t="str">
        <f>HYPERLINK(V116,B116)</f>
        <v>ApnStrucText</v>
      </c>
      <c r="B116" s="283" t="s">
        <v>6513</v>
      </c>
      <c r="C116" s="284" t="s">
        <v>14669</v>
      </c>
      <c r="D116" s="285"/>
      <c r="E116" s="286"/>
      <c r="F116" s="287" t="s">
        <v>14670</v>
      </c>
      <c r="G116" s="286"/>
      <c r="H116" s="287" t="s">
        <v>14552</v>
      </c>
      <c r="I116" s="288"/>
      <c r="J116" s="289"/>
      <c r="K116" s="290"/>
      <c r="L116" s="287" t="s">
        <v>14551</v>
      </c>
      <c r="M116" s="287" t="s">
        <v>6582</v>
      </c>
      <c r="N116" s="286"/>
      <c r="O116" s="287">
        <v>3</v>
      </c>
      <c r="P116" s="305" t="b">
        <v>0</v>
      </c>
      <c r="Q116" s="287" t="s">
        <v>14671</v>
      </c>
      <c r="R116" s="286"/>
      <c r="S116" s="293"/>
      <c r="T116" s="294"/>
      <c r="U116" s="37">
        <v>117438</v>
      </c>
      <c r="V116" s="36" t="str">
        <f>CONCATENATE(Cover!$D$6,"fdd/view?i=",U116)</f>
        <v>https://www.dgiwg.org/FAD/fdd/view?i=117438</v>
      </c>
      <c r="W116" s="172"/>
      <c r="X116" s="172"/>
      <c r="Y116" s="172"/>
    </row>
    <row r="117" spans="1:25" ht="2.1" customHeight="1" x14ac:dyDescent="0.2">
      <c r="A117" s="295"/>
      <c r="B117" s="283"/>
      <c r="C117" s="296"/>
      <c r="D117" s="283"/>
      <c r="E117" s="296"/>
      <c r="F117" s="297"/>
      <c r="G117" s="297"/>
      <c r="H117" s="297"/>
      <c r="I117" s="298"/>
      <c r="J117" s="304"/>
      <c r="K117" s="300"/>
      <c r="L117" s="301"/>
      <c r="M117" s="297" t="s">
        <v>6582</v>
      </c>
      <c r="N117" s="297"/>
      <c r="O117" s="297"/>
      <c r="P117" s="297"/>
      <c r="Q117" s="297"/>
      <c r="R117" s="297"/>
      <c r="S117" s="302"/>
      <c r="T117" s="302"/>
      <c r="U117" s="303"/>
    </row>
    <row r="118" spans="1:25" ht="25.5" x14ac:dyDescent="0.2">
      <c r="A118" s="212" t="str">
        <f>HYPERLINK(V118,B118)</f>
        <v>AacCode</v>
      </c>
      <c r="B118" s="283" t="s">
        <v>6519</v>
      </c>
      <c r="C118" s="284" t="s">
        <v>14672</v>
      </c>
      <c r="D118" s="285"/>
      <c r="E118" s="286"/>
      <c r="F118" s="287" t="s">
        <v>14673</v>
      </c>
      <c r="G118" s="286"/>
      <c r="H118" s="286"/>
      <c r="I118" s="288"/>
      <c r="J118" s="289"/>
      <c r="K118" s="290"/>
      <c r="L118" s="371" t="str">
        <f>HYPERLINK("[#]DatatypeListedValues!B1233:H1233","«enumeration»")</f>
        <v>«enumeration»</v>
      </c>
      <c r="M118" s="287" t="s">
        <v>6582</v>
      </c>
      <c r="N118" s="291" t="b">
        <v>0</v>
      </c>
      <c r="O118" s="286"/>
      <c r="P118" s="292"/>
      <c r="Q118" s="286"/>
      <c r="R118" s="286"/>
      <c r="S118" s="293"/>
      <c r="T118" s="294"/>
      <c r="U118" s="37">
        <v>117329</v>
      </c>
      <c r="V118" s="36" t="str">
        <f>CONCATENATE(Cover!$D$6,"fdd/view?i=",U118)</f>
        <v>https://www.dgiwg.org/FAD/fdd/view?i=117329</v>
      </c>
      <c r="W118" s="172"/>
      <c r="X118" s="172"/>
      <c r="Y118" s="172"/>
    </row>
    <row r="119" spans="1:25" ht="2.1" customHeight="1" x14ac:dyDescent="0.2">
      <c r="A119" s="295"/>
      <c r="B119" s="283"/>
      <c r="C119" s="296"/>
      <c r="D119" s="283"/>
      <c r="E119" s="296"/>
      <c r="F119" s="297"/>
      <c r="G119" s="297"/>
      <c r="H119" s="297"/>
      <c r="I119" s="298"/>
      <c r="J119" s="304"/>
      <c r="K119" s="300"/>
      <c r="L119" s="301"/>
      <c r="M119" s="297" t="s">
        <v>6582</v>
      </c>
      <c r="N119" s="297"/>
      <c r="O119" s="297"/>
      <c r="P119" s="297"/>
      <c r="Q119" s="297"/>
      <c r="R119" s="297"/>
      <c r="S119" s="302"/>
      <c r="T119" s="302"/>
      <c r="U119" s="303"/>
    </row>
    <row r="120" spans="1:25" ht="25.5" x14ac:dyDescent="0.2">
      <c r="A120" s="212" t="str">
        <f>HYPERLINK(V120,B120)</f>
        <v>AdfCode</v>
      </c>
      <c r="B120" s="283" t="s">
        <v>6532</v>
      </c>
      <c r="C120" s="284" t="s">
        <v>14674</v>
      </c>
      <c r="D120" s="285"/>
      <c r="E120" s="286"/>
      <c r="F120" s="287" t="s">
        <v>14675</v>
      </c>
      <c r="G120" s="286"/>
      <c r="H120" s="286"/>
      <c r="I120" s="288"/>
      <c r="J120" s="289"/>
      <c r="K120" s="290"/>
      <c r="L120" s="371" t="str">
        <f>HYPERLINK("[#]DatatypeListedValues!B1239:H1239","«enumeration»")</f>
        <v>«enumeration»</v>
      </c>
      <c r="M120" s="287" t="s">
        <v>6582</v>
      </c>
      <c r="N120" s="291" t="b">
        <v>0</v>
      </c>
      <c r="O120" s="286"/>
      <c r="P120" s="292"/>
      <c r="Q120" s="286"/>
      <c r="R120" s="286"/>
      <c r="S120" s="293"/>
      <c r="T120" s="294"/>
      <c r="U120" s="37">
        <v>117337</v>
      </c>
      <c r="V120" s="36" t="str">
        <f>CONCATENATE(Cover!$D$6,"fdd/view?i=",U120)</f>
        <v>https://www.dgiwg.org/FAD/fdd/view?i=117337</v>
      </c>
      <c r="W120" s="172"/>
      <c r="X120" s="172"/>
      <c r="Y120" s="172"/>
    </row>
    <row r="121" spans="1:25" ht="2.1" customHeight="1" x14ac:dyDescent="0.2">
      <c r="A121" s="295"/>
      <c r="B121" s="283"/>
      <c r="C121" s="296"/>
      <c r="D121" s="283"/>
      <c r="E121" s="296"/>
      <c r="F121" s="297"/>
      <c r="G121" s="297"/>
      <c r="H121" s="297"/>
      <c r="I121" s="298"/>
      <c r="J121" s="304"/>
      <c r="K121" s="300"/>
      <c r="L121" s="301"/>
      <c r="M121" s="297" t="s">
        <v>6582</v>
      </c>
      <c r="N121" s="297"/>
      <c r="O121" s="297"/>
      <c r="P121" s="297"/>
      <c r="Q121" s="297"/>
      <c r="R121" s="297"/>
      <c r="S121" s="302"/>
      <c r="T121" s="302"/>
      <c r="U121" s="303"/>
    </row>
    <row r="122" spans="1:25" ht="25.5" x14ac:dyDescent="0.2">
      <c r="A122" s="212" t="str">
        <f>HYPERLINK(V122,B122)</f>
        <v>FryCode</v>
      </c>
      <c r="B122" s="283" t="s">
        <v>6541</v>
      </c>
      <c r="C122" s="284" t="s">
        <v>14676</v>
      </c>
      <c r="D122" s="285"/>
      <c r="E122" s="286"/>
      <c r="F122" s="287" t="s">
        <v>14677</v>
      </c>
      <c r="G122" s="286"/>
      <c r="H122" s="286"/>
      <c r="I122" s="288"/>
      <c r="J122" s="289"/>
      <c r="K122" s="290"/>
      <c r="L122" s="371" t="str">
        <f>HYPERLINK("[#]DatatypeListedValues!B1246:H1246","«enumeration»")</f>
        <v>«enumeration»</v>
      </c>
      <c r="M122" s="287" t="s">
        <v>6582</v>
      </c>
      <c r="N122" s="291" t="b">
        <v>0</v>
      </c>
      <c r="O122" s="286"/>
      <c r="P122" s="292"/>
      <c r="Q122" s="286"/>
      <c r="R122" s="286"/>
      <c r="S122" s="293"/>
      <c r="T122" s="294"/>
      <c r="U122" s="37">
        <v>119664</v>
      </c>
      <c r="V122" s="36" t="str">
        <f>CONCATENATE(Cover!$D$6,"fdd/view?i=",U122)</f>
        <v>https://www.dgiwg.org/FAD/fdd/view?i=119664</v>
      </c>
      <c r="W122" s="172"/>
      <c r="X122" s="172"/>
      <c r="Y122" s="172"/>
    </row>
    <row r="123" spans="1:25" ht="2.1" customHeight="1" x14ac:dyDescent="0.2">
      <c r="A123" s="295"/>
      <c r="B123" s="283"/>
      <c r="C123" s="296"/>
      <c r="D123" s="283"/>
      <c r="E123" s="296"/>
      <c r="F123" s="297"/>
      <c r="G123" s="297"/>
      <c r="H123" s="297"/>
      <c r="I123" s="298"/>
      <c r="J123" s="304"/>
      <c r="K123" s="300"/>
      <c r="L123" s="301"/>
      <c r="M123" s="297" t="s">
        <v>6582</v>
      </c>
      <c r="N123" s="297"/>
      <c r="O123" s="297"/>
      <c r="P123" s="297"/>
      <c r="Q123" s="297"/>
      <c r="R123" s="297"/>
      <c r="S123" s="302"/>
      <c r="T123" s="302"/>
      <c r="U123" s="303"/>
    </row>
    <row r="124" spans="1:25" ht="25.5" x14ac:dyDescent="0.2">
      <c r="A124" s="212" t="str">
        <f>HYPERLINK(V124,B124)</f>
        <v>AfiCode</v>
      </c>
      <c r="B124" s="283" t="s">
        <v>6546</v>
      </c>
      <c r="C124" s="284" t="s">
        <v>14678</v>
      </c>
      <c r="D124" s="285"/>
      <c r="E124" s="286"/>
      <c r="F124" s="287" t="s">
        <v>14679</v>
      </c>
      <c r="G124" s="286"/>
      <c r="H124" s="286"/>
      <c r="I124" s="288"/>
      <c r="J124" s="289"/>
      <c r="K124" s="290"/>
      <c r="L124" s="371" t="str">
        <f>HYPERLINK("[#]DatatypeListedValues!B1249:H1249","«enumeration»")</f>
        <v>«enumeration»</v>
      </c>
      <c r="M124" s="287" t="s">
        <v>6582</v>
      </c>
      <c r="N124" s="291" t="b">
        <v>0</v>
      </c>
      <c r="O124" s="286"/>
      <c r="P124" s="292"/>
      <c r="Q124" s="286"/>
      <c r="R124" s="286"/>
      <c r="S124" s="293"/>
      <c r="T124" s="294"/>
      <c r="U124" s="37">
        <v>119665</v>
      </c>
      <c r="V124" s="36" t="str">
        <f>CONCATENATE(Cover!$D$6,"fdd/view?i=",U124)</f>
        <v>https://www.dgiwg.org/FAD/fdd/view?i=119665</v>
      </c>
      <c r="W124" s="172"/>
      <c r="X124" s="172"/>
      <c r="Y124" s="172"/>
    </row>
    <row r="125" spans="1:25" ht="2.1" customHeight="1" x14ac:dyDescent="0.2">
      <c r="A125" s="295"/>
      <c r="B125" s="283"/>
      <c r="C125" s="296"/>
      <c r="D125" s="283"/>
      <c r="E125" s="296"/>
      <c r="F125" s="297"/>
      <c r="G125" s="297"/>
      <c r="H125" s="297"/>
      <c r="I125" s="298"/>
      <c r="J125" s="304"/>
      <c r="K125" s="300"/>
      <c r="L125" s="301"/>
      <c r="M125" s="297" t="s">
        <v>6582</v>
      </c>
      <c r="N125" s="297"/>
      <c r="O125" s="297"/>
      <c r="P125" s="297"/>
      <c r="Q125" s="297"/>
      <c r="R125" s="297"/>
      <c r="S125" s="302"/>
      <c r="T125" s="302"/>
      <c r="U125" s="303"/>
    </row>
    <row r="126" spans="1:25" ht="25.5" x14ac:dyDescent="0.2">
      <c r="A126" s="212" t="str">
        <f>HYPERLINK(V126,B126)</f>
        <v>AgsCode</v>
      </c>
      <c r="B126" s="283" t="s">
        <v>6555</v>
      </c>
      <c r="C126" s="284" t="s">
        <v>14680</v>
      </c>
      <c r="D126" s="285"/>
      <c r="E126" s="286"/>
      <c r="F126" s="287" t="s">
        <v>14681</v>
      </c>
      <c r="G126" s="286"/>
      <c r="H126" s="286"/>
      <c r="I126" s="288"/>
      <c r="J126" s="289"/>
      <c r="K126" s="290"/>
      <c r="L126" s="371" t="str">
        <f>HYPERLINK("[#]DatatypeListedValues!B1252:H1252","«enumeration»")</f>
        <v>«enumeration»</v>
      </c>
      <c r="M126" s="287" t="s">
        <v>6582</v>
      </c>
      <c r="N126" s="291" t="b">
        <v>0</v>
      </c>
      <c r="O126" s="286"/>
      <c r="P126" s="292"/>
      <c r="Q126" s="286"/>
      <c r="R126" s="286"/>
      <c r="S126" s="293"/>
      <c r="T126" s="294"/>
      <c r="U126" s="37">
        <v>117344</v>
      </c>
      <c r="V126" s="36" t="str">
        <f>CONCATENATE(Cover!$D$6,"fdd/view?i=",U126)</f>
        <v>https://www.dgiwg.org/FAD/fdd/view?i=117344</v>
      </c>
      <c r="W126" s="172"/>
      <c r="X126" s="172"/>
      <c r="Y126" s="172"/>
    </row>
    <row r="127" spans="1:25" ht="2.1" customHeight="1" x14ac:dyDescent="0.2">
      <c r="A127" s="295"/>
      <c r="B127" s="283"/>
      <c r="C127" s="296"/>
      <c r="D127" s="283"/>
      <c r="E127" s="296"/>
      <c r="F127" s="297"/>
      <c r="G127" s="297"/>
      <c r="H127" s="297"/>
      <c r="I127" s="298"/>
      <c r="J127" s="304"/>
      <c r="K127" s="300"/>
      <c r="L127" s="301"/>
      <c r="M127" s="297" t="s">
        <v>6582</v>
      </c>
      <c r="N127" s="297"/>
      <c r="O127" s="297"/>
      <c r="P127" s="297"/>
      <c r="Q127" s="297"/>
      <c r="R127" s="297"/>
      <c r="S127" s="302"/>
      <c r="T127" s="302"/>
      <c r="U127" s="303"/>
    </row>
    <row r="128" spans="1:25" ht="25.5" x14ac:dyDescent="0.2">
      <c r="A128" s="212" t="str">
        <f>HYPERLINK(V128,B128)</f>
        <v>AsrCode</v>
      </c>
      <c r="B128" s="283" t="s">
        <v>6566</v>
      </c>
      <c r="C128" s="284" t="s">
        <v>14682</v>
      </c>
      <c r="D128" s="285"/>
      <c r="E128" s="286"/>
      <c r="F128" s="287" t="s">
        <v>14683</v>
      </c>
      <c r="G128" s="286"/>
      <c r="H128" s="286"/>
      <c r="I128" s="288"/>
      <c r="J128" s="289"/>
      <c r="K128" s="290"/>
      <c r="L128" s="371" t="str">
        <f>HYPERLINK("[#]DatatypeListedValues!B1260:H1260","«enumeration»")</f>
        <v>«enumeration»</v>
      </c>
      <c r="M128" s="287" t="s">
        <v>6582</v>
      </c>
      <c r="N128" s="291" t="b">
        <v>0</v>
      </c>
      <c r="O128" s="286"/>
      <c r="P128" s="292"/>
      <c r="Q128" s="286"/>
      <c r="R128" s="286"/>
      <c r="S128" s="293"/>
      <c r="T128" s="294"/>
      <c r="U128" s="37">
        <v>117357</v>
      </c>
      <c r="V128" s="36" t="str">
        <f>CONCATENATE(Cover!$D$6,"fdd/view?i=",U128)</f>
        <v>https://www.dgiwg.org/FAD/fdd/view?i=117357</v>
      </c>
      <c r="W128" s="172"/>
      <c r="X128" s="172"/>
      <c r="Y128" s="172"/>
    </row>
    <row r="129" spans="1:25" ht="2.1" customHeight="1" x14ac:dyDescent="0.2">
      <c r="A129" s="295"/>
      <c r="B129" s="283"/>
      <c r="C129" s="296"/>
      <c r="D129" s="283"/>
      <c r="E129" s="296"/>
      <c r="F129" s="297"/>
      <c r="G129" s="297"/>
      <c r="H129" s="297"/>
      <c r="I129" s="298"/>
      <c r="J129" s="304"/>
      <c r="K129" s="300"/>
      <c r="L129" s="301"/>
      <c r="M129" s="297" t="s">
        <v>6582</v>
      </c>
      <c r="N129" s="297"/>
      <c r="O129" s="297"/>
      <c r="P129" s="297"/>
      <c r="Q129" s="297"/>
      <c r="R129" s="297"/>
      <c r="S129" s="302"/>
      <c r="T129" s="302"/>
      <c r="U129" s="303"/>
    </row>
    <row r="130" spans="1:25" ht="25.5" x14ac:dyDescent="0.2">
      <c r="A130" s="212" t="str">
        <f>HYPERLINK(V130,B130)</f>
        <v>SatCode</v>
      </c>
      <c r="B130" s="283" t="s">
        <v>6577</v>
      </c>
      <c r="C130" s="284" t="s">
        <v>14684</v>
      </c>
      <c r="D130" s="285"/>
      <c r="E130" s="286"/>
      <c r="F130" s="287" t="s">
        <v>14685</v>
      </c>
      <c r="G130" s="286"/>
      <c r="H130" s="286"/>
      <c r="I130" s="288"/>
      <c r="J130" s="289"/>
      <c r="K130" s="290"/>
      <c r="L130" s="371" t="str">
        <f>HYPERLINK("[#]DatatypeListedValues!B1265:H1265","«enumeration»")</f>
        <v>«enumeration»</v>
      </c>
      <c r="M130" s="287" t="s">
        <v>6582</v>
      </c>
      <c r="N130" s="291" t="b">
        <v>0</v>
      </c>
      <c r="O130" s="286"/>
      <c r="P130" s="292"/>
      <c r="Q130" s="286"/>
      <c r="R130" s="286"/>
      <c r="S130" s="293"/>
      <c r="T130" s="294"/>
      <c r="U130" s="37">
        <v>117414</v>
      </c>
      <c r="V130" s="36" t="str">
        <f>CONCATENATE(Cover!$D$6,"fdd/view?i=",U130)</f>
        <v>https://www.dgiwg.org/FAD/fdd/view?i=117414</v>
      </c>
      <c r="W130" s="172"/>
      <c r="X130" s="172"/>
      <c r="Y130" s="172"/>
    </row>
    <row r="131" spans="1:25" ht="2.1" customHeight="1" x14ac:dyDescent="0.2">
      <c r="A131" s="295"/>
      <c r="B131" s="283"/>
      <c r="C131" s="296"/>
      <c r="D131" s="283"/>
      <c r="E131" s="296"/>
      <c r="F131" s="297"/>
      <c r="G131" s="297"/>
      <c r="H131" s="297"/>
      <c r="I131" s="298"/>
      <c r="J131" s="304"/>
      <c r="K131" s="300"/>
      <c r="L131" s="301"/>
      <c r="M131" s="297" t="s">
        <v>6582</v>
      </c>
      <c r="N131" s="297"/>
      <c r="O131" s="297"/>
      <c r="P131" s="297"/>
      <c r="Q131" s="297"/>
      <c r="R131" s="297"/>
      <c r="S131" s="302"/>
      <c r="T131" s="302"/>
      <c r="U131" s="303"/>
    </row>
    <row r="132" spans="1:25" ht="25.5" x14ac:dyDescent="0.2">
      <c r="A132" s="212" t="str">
        <f>HYPERLINK(V132,B132)</f>
        <v>XaaCode</v>
      </c>
      <c r="B132" s="283" t="s">
        <v>6583</v>
      </c>
      <c r="C132" s="284" t="s">
        <v>14686</v>
      </c>
      <c r="D132" s="285"/>
      <c r="E132" s="286"/>
      <c r="F132" s="287" t="s">
        <v>14687</v>
      </c>
      <c r="G132" s="286"/>
      <c r="H132" s="286"/>
      <c r="I132" s="288"/>
      <c r="J132" s="289"/>
      <c r="K132" s="290"/>
      <c r="L132" s="371" t="str">
        <f>HYPERLINK("[#]DatatypeListedValues!B1271:H1271","«enumeration»")</f>
        <v>«enumeration»</v>
      </c>
      <c r="M132" s="287" t="s">
        <v>6582</v>
      </c>
      <c r="N132" s="291" t="b">
        <v>0</v>
      </c>
      <c r="O132" s="286"/>
      <c r="P132" s="292"/>
      <c r="Q132" s="286"/>
      <c r="R132" s="286"/>
      <c r="S132" s="293"/>
      <c r="T132" s="294"/>
      <c r="U132" s="37">
        <v>119771</v>
      </c>
      <c r="V132" s="36" t="str">
        <f>CONCATENATE(Cover!$D$6,"fdd/view?i=",U132)</f>
        <v>https://www.dgiwg.org/FAD/fdd/view?i=119771</v>
      </c>
      <c r="W132" s="172"/>
      <c r="X132" s="172"/>
      <c r="Y132" s="172"/>
    </row>
    <row r="133" spans="1:25" ht="2.1" customHeight="1" x14ac:dyDescent="0.2">
      <c r="A133" s="295"/>
      <c r="B133" s="283"/>
      <c r="C133" s="296"/>
      <c r="D133" s="283"/>
      <c r="E133" s="296"/>
      <c r="F133" s="297"/>
      <c r="G133" s="297"/>
      <c r="H133" s="297"/>
      <c r="I133" s="298"/>
      <c r="J133" s="304"/>
      <c r="K133" s="300"/>
      <c r="L133" s="301"/>
      <c r="M133" s="297" t="s">
        <v>6582</v>
      </c>
      <c r="N133" s="297"/>
      <c r="O133" s="297"/>
      <c r="P133" s="297"/>
      <c r="Q133" s="297"/>
      <c r="R133" s="297"/>
      <c r="S133" s="302"/>
      <c r="T133" s="302"/>
      <c r="U133" s="303"/>
    </row>
    <row r="134" spans="1:25" ht="25.5" x14ac:dyDescent="0.2">
      <c r="A134" s="212" t="str">
        <f>HYPERLINK(V134,B134)</f>
        <v>FptCode</v>
      </c>
      <c r="B134" s="283" t="s">
        <v>6588</v>
      </c>
      <c r="C134" s="284" t="s">
        <v>14688</v>
      </c>
      <c r="D134" s="285"/>
      <c r="E134" s="286"/>
      <c r="F134" s="287" t="s">
        <v>14689</v>
      </c>
      <c r="G134" s="286"/>
      <c r="H134" s="286"/>
      <c r="I134" s="288"/>
      <c r="J134" s="289"/>
      <c r="K134" s="290"/>
      <c r="L134" s="371" t="str">
        <f>HYPERLINK("[#]DatatypeListedValues!B1273:H1273","«enumeration»")</f>
        <v>«enumeration»</v>
      </c>
      <c r="M134" s="287" t="s">
        <v>6582</v>
      </c>
      <c r="N134" s="291" t="b">
        <v>0</v>
      </c>
      <c r="O134" s="286"/>
      <c r="P134" s="292"/>
      <c r="Q134" s="286"/>
      <c r="R134" s="286"/>
      <c r="S134" s="293"/>
      <c r="T134" s="294"/>
      <c r="U134" s="37">
        <v>1222</v>
      </c>
      <c r="V134" s="36" t="str">
        <f>CONCATENATE(Cover!$D$6,"fdd/view?i=",U134)</f>
        <v>https://www.dgiwg.org/FAD/fdd/view?i=1222</v>
      </c>
      <c r="W134" s="172"/>
      <c r="X134" s="172"/>
      <c r="Y134" s="172"/>
    </row>
    <row r="135" spans="1:25" ht="2.1" customHeight="1" x14ac:dyDescent="0.2">
      <c r="A135" s="295"/>
      <c r="B135" s="283"/>
      <c r="C135" s="296"/>
      <c r="D135" s="283"/>
      <c r="E135" s="296"/>
      <c r="F135" s="297"/>
      <c r="G135" s="297"/>
      <c r="H135" s="297"/>
      <c r="I135" s="298"/>
      <c r="J135" s="304"/>
      <c r="K135" s="300"/>
      <c r="L135" s="301"/>
      <c r="M135" s="297" t="s">
        <v>6582</v>
      </c>
      <c r="N135" s="297"/>
      <c r="O135" s="297"/>
      <c r="P135" s="297"/>
      <c r="Q135" s="297"/>
      <c r="R135" s="297"/>
      <c r="S135" s="302"/>
      <c r="T135" s="302"/>
      <c r="U135" s="303"/>
    </row>
    <row r="136" spans="1:25" ht="25.5" x14ac:dyDescent="0.2">
      <c r="A136" s="212" t="str">
        <f>HYPERLINK(V136,B136)</f>
        <v>AptCode</v>
      </c>
      <c r="B136" s="283" t="s">
        <v>6593</v>
      </c>
      <c r="C136" s="284" t="s">
        <v>14690</v>
      </c>
      <c r="D136" s="285"/>
      <c r="E136" s="286"/>
      <c r="F136" s="287" t="s">
        <v>14691</v>
      </c>
      <c r="G136" s="286"/>
      <c r="H136" s="286"/>
      <c r="I136" s="288"/>
      <c r="J136" s="289"/>
      <c r="K136" s="290"/>
      <c r="L136" s="371" t="str">
        <f>HYPERLINK("[#]DatatypeListedValues!B1277:H1277","«enumeration»")</f>
        <v>«enumeration»</v>
      </c>
      <c r="M136" s="287" t="s">
        <v>6582</v>
      </c>
      <c r="N136" s="291" t="b">
        <v>0</v>
      </c>
      <c r="O136" s="286"/>
      <c r="P136" s="292"/>
      <c r="Q136" s="286"/>
      <c r="R136" s="286"/>
      <c r="S136" s="293"/>
      <c r="T136" s="294"/>
      <c r="U136" s="37">
        <v>1107</v>
      </c>
      <c r="V136" s="36" t="str">
        <f>CONCATENATE(Cover!$D$6,"fdd/view?i=",U136)</f>
        <v>https://www.dgiwg.org/FAD/fdd/view?i=1107</v>
      </c>
      <c r="W136" s="172"/>
      <c r="X136" s="172"/>
      <c r="Y136" s="172"/>
    </row>
    <row r="137" spans="1:25" ht="2.1" customHeight="1" x14ac:dyDescent="0.2">
      <c r="A137" s="295"/>
      <c r="B137" s="283"/>
      <c r="C137" s="296"/>
      <c r="D137" s="283"/>
      <c r="E137" s="296"/>
      <c r="F137" s="297"/>
      <c r="G137" s="297"/>
      <c r="H137" s="297"/>
      <c r="I137" s="298"/>
      <c r="J137" s="304"/>
      <c r="K137" s="300"/>
      <c r="L137" s="301"/>
      <c r="M137" s="297" t="s">
        <v>6582</v>
      </c>
      <c r="N137" s="297"/>
      <c r="O137" s="297"/>
      <c r="P137" s="297"/>
      <c r="Q137" s="297"/>
      <c r="R137" s="297"/>
      <c r="S137" s="302"/>
      <c r="T137" s="302"/>
      <c r="U137" s="303"/>
    </row>
    <row r="138" spans="1:25" ht="25.5" x14ac:dyDescent="0.2">
      <c r="A138" s="212" t="str">
        <f>HYPERLINK(V138,B138)</f>
        <v>AaaCode</v>
      </c>
      <c r="B138" s="283" t="s">
        <v>6600</v>
      </c>
      <c r="C138" s="284" t="s">
        <v>14692</v>
      </c>
      <c r="D138" s="285"/>
      <c r="E138" s="286"/>
      <c r="F138" s="287" t="s">
        <v>14693</v>
      </c>
      <c r="G138" s="286"/>
      <c r="H138" s="286"/>
      <c r="I138" s="288"/>
      <c r="J138" s="289"/>
      <c r="K138" s="290"/>
      <c r="L138" s="371" t="str">
        <f>HYPERLINK("[#]DatatypeListedValues!B1292:H1292","«enumeration»")</f>
        <v>«enumeration»</v>
      </c>
      <c r="M138" s="287" t="s">
        <v>6582</v>
      </c>
      <c r="N138" s="291" t="b">
        <v>0</v>
      </c>
      <c r="O138" s="286"/>
      <c r="P138" s="292"/>
      <c r="Q138" s="286"/>
      <c r="R138" s="286"/>
      <c r="S138" s="293"/>
      <c r="T138" s="294"/>
      <c r="U138" s="37">
        <v>117328</v>
      </c>
      <c r="V138" s="36" t="str">
        <f>CONCATENATE(Cover!$D$6,"fdd/view?i=",U138)</f>
        <v>https://www.dgiwg.org/FAD/fdd/view?i=117328</v>
      </c>
      <c r="W138" s="172"/>
      <c r="X138" s="172"/>
      <c r="Y138" s="172"/>
    </row>
    <row r="139" spans="1:25" ht="2.1" customHeight="1" x14ac:dyDescent="0.2">
      <c r="A139" s="295"/>
      <c r="B139" s="283"/>
      <c r="C139" s="296"/>
      <c r="D139" s="283"/>
      <c r="E139" s="296"/>
      <c r="F139" s="297"/>
      <c r="G139" s="297"/>
      <c r="H139" s="297"/>
      <c r="I139" s="298"/>
      <c r="J139" s="304"/>
      <c r="K139" s="300"/>
      <c r="L139" s="301"/>
      <c r="M139" s="297" t="s">
        <v>6582</v>
      </c>
      <c r="N139" s="297"/>
      <c r="O139" s="297"/>
      <c r="P139" s="297"/>
      <c r="Q139" s="297"/>
      <c r="R139" s="297"/>
      <c r="S139" s="302"/>
      <c r="T139" s="302"/>
      <c r="U139" s="303"/>
    </row>
    <row r="140" spans="1:25" ht="25.5" x14ac:dyDescent="0.2">
      <c r="A140" s="212" t="str">
        <f>HYPERLINK(V140,B140)</f>
        <v>AcxCode</v>
      </c>
      <c r="B140" s="283" t="s">
        <v>6605</v>
      </c>
      <c r="C140" s="284" t="s">
        <v>14694</v>
      </c>
      <c r="D140" s="285"/>
      <c r="E140" s="286"/>
      <c r="F140" s="287" t="s">
        <v>14695</v>
      </c>
      <c r="G140" s="286"/>
      <c r="H140" s="286"/>
      <c r="I140" s="288"/>
      <c r="J140" s="289"/>
      <c r="K140" s="290"/>
      <c r="L140" s="371" t="str">
        <f>HYPERLINK("[#]DatatypeListedValues!B1350:H1350","«enumeration»")</f>
        <v>«enumeration»</v>
      </c>
      <c r="M140" s="287" t="s">
        <v>6582</v>
      </c>
      <c r="N140" s="291" t="b">
        <v>0</v>
      </c>
      <c r="O140" s="286"/>
      <c r="P140" s="292"/>
      <c r="Q140" s="286"/>
      <c r="R140" s="286"/>
      <c r="S140" s="293"/>
      <c r="T140" s="294"/>
      <c r="U140" s="37">
        <v>117336</v>
      </c>
      <c r="V140" s="36" t="str">
        <f>CONCATENATE(Cover!$D$6,"fdd/view?i=",U140)</f>
        <v>https://www.dgiwg.org/FAD/fdd/view?i=117336</v>
      </c>
      <c r="W140" s="172"/>
      <c r="X140" s="172"/>
      <c r="Y140" s="172"/>
    </row>
    <row r="141" spans="1:25" ht="2.1" customHeight="1" x14ac:dyDescent="0.2">
      <c r="A141" s="295"/>
      <c r="B141" s="283"/>
      <c r="C141" s="296"/>
      <c r="D141" s="283"/>
      <c r="E141" s="296"/>
      <c r="F141" s="297"/>
      <c r="G141" s="297"/>
      <c r="H141" s="297"/>
      <c r="I141" s="298"/>
      <c r="J141" s="304"/>
      <c r="K141" s="300"/>
      <c r="L141" s="301"/>
      <c r="M141" s="297" t="s">
        <v>6582</v>
      </c>
      <c r="N141" s="297"/>
      <c r="O141" s="297"/>
      <c r="P141" s="297"/>
      <c r="Q141" s="297"/>
      <c r="R141" s="297"/>
      <c r="S141" s="302"/>
      <c r="T141" s="302"/>
      <c r="U141" s="303"/>
    </row>
    <row r="142" spans="1:25" ht="25.5" x14ac:dyDescent="0.2">
      <c r="A142" s="212" t="str">
        <f>HYPERLINK(V142,B142)</f>
        <v>AcoCode</v>
      </c>
      <c r="B142" s="283" t="s">
        <v>6611</v>
      </c>
      <c r="C142" s="284" t="s">
        <v>14696</v>
      </c>
      <c r="D142" s="285"/>
      <c r="E142" s="286"/>
      <c r="F142" s="287" t="s">
        <v>14697</v>
      </c>
      <c r="G142" s="286"/>
      <c r="H142" s="286"/>
      <c r="I142" s="288"/>
      <c r="J142" s="289"/>
      <c r="K142" s="290"/>
      <c r="L142" s="371" t="str">
        <f>HYPERLINK("[#]DatatypeListedValues!B1357:H1357","«enumeration»")</f>
        <v>«enumeration»</v>
      </c>
      <c r="M142" s="287" t="s">
        <v>6582</v>
      </c>
      <c r="N142" s="291" t="b">
        <v>0</v>
      </c>
      <c r="O142" s="286"/>
      <c r="P142" s="292"/>
      <c r="Q142" s="286"/>
      <c r="R142" s="286"/>
      <c r="S142" s="293"/>
      <c r="T142" s="294"/>
      <c r="U142" s="37">
        <v>117334</v>
      </c>
      <c r="V142" s="36" t="str">
        <f>CONCATENATE(Cover!$D$6,"fdd/view?i=",U142)</f>
        <v>https://www.dgiwg.org/FAD/fdd/view?i=117334</v>
      </c>
      <c r="W142" s="172"/>
      <c r="X142" s="172"/>
      <c r="Y142" s="172"/>
    </row>
    <row r="143" spans="1:25" ht="2.1" customHeight="1" x14ac:dyDescent="0.2">
      <c r="A143" s="295"/>
      <c r="B143" s="283"/>
      <c r="C143" s="296"/>
      <c r="D143" s="283"/>
      <c r="E143" s="296"/>
      <c r="F143" s="297"/>
      <c r="G143" s="297"/>
      <c r="H143" s="297"/>
      <c r="I143" s="298"/>
      <c r="J143" s="304"/>
      <c r="K143" s="300"/>
      <c r="L143" s="301"/>
      <c r="M143" s="297" t="s">
        <v>6582</v>
      </c>
      <c r="N143" s="297"/>
      <c r="O143" s="297"/>
      <c r="P143" s="297"/>
      <c r="Q143" s="297"/>
      <c r="R143" s="297"/>
      <c r="S143" s="302"/>
      <c r="T143" s="302"/>
      <c r="U143" s="303"/>
    </row>
    <row r="144" spans="1:25" ht="25.5" x14ac:dyDescent="0.2">
      <c r="A144" s="212" t="str">
        <f>HYPERLINK(V144,B144)</f>
        <v>AtyCode</v>
      </c>
      <c r="B144" s="283" t="s">
        <v>6626</v>
      </c>
      <c r="C144" s="284" t="s">
        <v>14698</v>
      </c>
      <c r="D144" s="285"/>
      <c r="E144" s="286"/>
      <c r="F144" s="287" t="s">
        <v>14699</v>
      </c>
      <c r="G144" s="286"/>
      <c r="H144" s="286"/>
      <c r="I144" s="288"/>
      <c r="J144" s="289"/>
      <c r="K144" s="290"/>
      <c r="L144" s="371" t="str">
        <f>HYPERLINK("[#]DatatypeListedValues!B1360:H1360","«enumeration»")</f>
        <v>«enumeration»</v>
      </c>
      <c r="M144" s="287" t="s">
        <v>6582</v>
      </c>
      <c r="N144" s="291" t="b">
        <v>0</v>
      </c>
      <c r="O144" s="286"/>
      <c r="P144" s="292"/>
      <c r="Q144" s="286"/>
      <c r="R144" s="286"/>
      <c r="S144" s="293"/>
      <c r="T144" s="294"/>
      <c r="U144" s="37">
        <v>117365</v>
      </c>
      <c r="V144" s="36" t="str">
        <f>CONCATENATE(Cover!$D$6,"fdd/view?i=",U144)</f>
        <v>https://www.dgiwg.org/FAD/fdd/view?i=117365</v>
      </c>
      <c r="W144" s="172"/>
      <c r="X144" s="172"/>
      <c r="Y144" s="172"/>
    </row>
    <row r="145" spans="1:25" ht="2.1" customHeight="1" x14ac:dyDescent="0.2">
      <c r="A145" s="295"/>
      <c r="B145" s="283"/>
      <c r="C145" s="296"/>
      <c r="D145" s="283"/>
      <c r="E145" s="296"/>
      <c r="F145" s="297"/>
      <c r="G145" s="297"/>
      <c r="H145" s="297"/>
      <c r="I145" s="298"/>
      <c r="J145" s="304"/>
      <c r="K145" s="300"/>
      <c r="L145" s="301"/>
      <c r="M145" s="297" t="s">
        <v>6582</v>
      </c>
      <c r="N145" s="297"/>
      <c r="O145" s="297"/>
      <c r="P145" s="297"/>
      <c r="Q145" s="297"/>
      <c r="R145" s="297"/>
      <c r="S145" s="302"/>
      <c r="T145" s="302"/>
      <c r="U145" s="303"/>
    </row>
    <row r="146" spans="1:25" ht="25.5" x14ac:dyDescent="0.2">
      <c r="A146" s="212" t="str">
        <f>HYPERLINK(V146,B146)</f>
        <v>AarCode</v>
      </c>
      <c r="B146" s="283" t="s">
        <v>6636</v>
      </c>
      <c r="C146" s="284" t="s">
        <v>14700</v>
      </c>
      <c r="D146" s="285"/>
      <c r="E146" s="286"/>
      <c r="F146" s="287" t="s">
        <v>14701</v>
      </c>
      <c r="G146" s="286"/>
      <c r="H146" s="286"/>
      <c r="I146" s="288"/>
      <c r="J146" s="289"/>
      <c r="K146" s="290"/>
      <c r="L146" s="371" t="str">
        <f>HYPERLINK("[#]DatatypeListedValues!B1397:H1397","«enumeration»")</f>
        <v>«enumeration»</v>
      </c>
      <c r="M146" s="287" t="s">
        <v>6582</v>
      </c>
      <c r="N146" s="291" t="b">
        <v>0</v>
      </c>
      <c r="O146" s="286"/>
      <c r="P146" s="292"/>
      <c r="Q146" s="286"/>
      <c r="R146" s="286"/>
      <c r="S146" s="293"/>
      <c r="T146" s="294"/>
      <c r="U146" s="37">
        <v>117330</v>
      </c>
      <c r="V146" s="36" t="str">
        <f>CONCATENATE(Cover!$D$6,"fdd/view?i=",U146)</f>
        <v>https://www.dgiwg.org/FAD/fdd/view?i=117330</v>
      </c>
      <c r="W146" s="172"/>
      <c r="X146" s="172"/>
      <c r="Y146" s="172"/>
    </row>
    <row r="147" spans="1:25" ht="2.1" customHeight="1" x14ac:dyDescent="0.2">
      <c r="A147" s="295"/>
      <c r="B147" s="283"/>
      <c r="C147" s="296"/>
      <c r="D147" s="283"/>
      <c r="E147" s="296"/>
      <c r="F147" s="297"/>
      <c r="G147" s="297"/>
      <c r="H147" s="297"/>
      <c r="I147" s="298"/>
      <c r="J147" s="304"/>
      <c r="K147" s="300"/>
      <c r="L147" s="301"/>
      <c r="M147" s="297" t="s">
        <v>6582</v>
      </c>
      <c r="N147" s="297"/>
      <c r="O147" s="297"/>
      <c r="P147" s="297"/>
      <c r="Q147" s="297"/>
      <c r="R147" s="297"/>
      <c r="S147" s="302"/>
      <c r="T147" s="302"/>
      <c r="U147" s="303"/>
    </row>
    <row r="148" spans="1:25" ht="25.5" x14ac:dyDescent="0.2">
      <c r="A148" s="212" t="str">
        <f>HYPERLINK(V148,B148)</f>
        <v>AldCode</v>
      </c>
      <c r="B148" s="283" t="s">
        <v>6651</v>
      </c>
      <c r="C148" s="284" t="s">
        <v>14702</v>
      </c>
      <c r="D148" s="285"/>
      <c r="E148" s="286"/>
      <c r="F148" s="287" t="s">
        <v>14703</v>
      </c>
      <c r="G148" s="286"/>
      <c r="H148" s="286"/>
      <c r="I148" s="288"/>
      <c r="J148" s="289"/>
      <c r="K148" s="290"/>
      <c r="L148" s="371" t="str">
        <f>HYPERLINK("[#]DatatypeListedValues!B1403:H1403","«enumeration»")</f>
        <v>«enumeration»</v>
      </c>
      <c r="M148" s="287" t="s">
        <v>6582</v>
      </c>
      <c r="N148" s="291" t="b">
        <v>0</v>
      </c>
      <c r="O148" s="286"/>
      <c r="P148" s="292"/>
      <c r="Q148" s="286"/>
      <c r="R148" s="286"/>
      <c r="S148" s="293"/>
      <c r="T148" s="294"/>
      <c r="U148" s="37">
        <v>117346</v>
      </c>
      <c r="V148" s="36" t="str">
        <f>CONCATENATE(Cover!$D$6,"fdd/view?i=",U148)</f>
        <v>https://www.dgiwg.org/FAD/fdd/view?i=117346</v>
      </c>
      <c r="W148" s="172"/>
      <c r="X148" s="172"/>
      <c r="Y148" s="172"/>
    </row>
    <row r="149" spans="1:25" ht="2.1" customHeight="1" x14ac:dyDescent="0.2">
      <c r="A149" s="295"/>
      <c r="B149" s="283"/>
      <c r="C149" s="296"/>
      <c r="D149" s="283"/>
      <c r="E149" s="296"/>
      <c r="F149" s="297"/>
      <c r="G149" s="297"/>
      <c r="H149" s="297"/>
      <c r="I149" s="298"/>
      <c r="J149" s="304"/>
      <c r="K149" s="300"/>
      <c r="L149" s="301"/>
      <c r="M149" s="297" t="s">
        <v>6582</v>
      </c>
      <c r="N149" s="297"/>
      <c r="O149" s="297"/>
      <c r="P149" s="297"/>
      <c r="Q149" s="297"/>
      <c r="R149" s="297"/>
      <c r="S149" s="302"/>
      <c r="T149" s="302"/>
      <c r="U149" s="303"/>
    </row>
    <row r="150" spans="1:25" ht="25.5" x14ac:dyDescent="0.2">
      <c r="A150" s="212" t="str">
        <f>HYPERLINK(V150,B150)</f>
        <v>AmaCode</v>
      </c>
      <c r="B150" s="283" t="s">
        <v>6656</v>
      </c>
      <c r="C150" s="284" t="s">
        <v>14704</v>
      </c>
      <c r="D150" s="285"/>
      <c r="E150" s="286"/>
      <c r="F150" s="287" t="s">
        <v>14705</v>
      </c>
      <c r="G150" s="286"/>
      <c r="H150" s="286"/>
      <c r="I150" s="288"/>
      <c r="J150" s="289"/>
      <c r="K150" s="290"/>
      <c r="L150" s="371" t="str">
        <f>HYPERLINK("[#]DatatypeListedValues!B1410:H1410","«enumeration»")</f>
        <v>«enumeration»</v>
      </c>
      <c r="M150" s="287" t="s">
        <v>6582</v>
      </c>
      <c r="N150" s="291" t="b">
        <v>0</v>
      </c>
      <c r="O150" s="286"/>
      <c r="P150" s="292"/>
      <c r="Q150" s="286"/>
      <c r="R150" s="286"/>
      <c r="S150" s="293"/>
      <c r="T150" s="294"/>
      <c r="U150" s="37">
        <v>1562</v>
      </c>
      <c r="V150" s="36" t="str">
        <f>CONCATENATE(Cover!$D$6,"fdd/view?i=",U150)</f>
        <v>https://www.dgiwg.org/FAD/fdd/view?i=1562</v>
      </c>
      <c r="W150" s="172"/>
      <c r="X150" s="172"/>
      <c r="Y150" s="172"/>
    </row>
    <row r="151" spans="1:25" ht="2.1" customHeight="1" x14ac:dyDescent="0.2">
      <c r="A151" s="295"/>
      <c r="B151" s="283"/>
      <c r="C151" s="296"/>
      <c r="D151" s="283"/>
      <c r="E151" s="296"/>
      <c r="F151" s="297"/>
      <c r="G151" s="297"/>
      <c r="H151" s="297"/>
      <c r="I151" s="298"/>
      <c r="J151" s="304"/>
      <c r="K151" s="300"/>
      <c r="L151" s="301"/>
      <c r="M151" s="297" t="s">
        <v>6582</v>
      </c>
      <c r="N151" s="297"/>
      <c r="O151" s="297"/>
      <c r="P151" s="297"/>
      <c r="Q151" s="297"/>
      <c r="R151" s="297"/>
      <c r="S151" s="302"/>
      <c r="T151" s="302"/>
      <c r="U151" s="303"/>
    </row>
    <row r="152" spans="1:25" ht="25.5" x14ac:dyDescent="0.2">
      <c r="A152" s="212" t="str">
        <f>HYPERLINK(V152,B152)</f>
        <v>AchCode</v>
      </c>
      <c r="B152" s="283" t="s">
        <v>6661</v>
      </c>
      <c r="C152" s="284" t="s">
        <v>14706</v>
      </c>
      <c r="D152" s="285"/>
      <c r="E152" s="286"/>
      <c r="F152" s="287" t="s">
        <v>14707</v>
      </c>
      <c r="G152" s="286"/>
      <c r="H152" s="286"/>
      <c r="I152" s="288"/>
      <c r="J152" s="289"/>
      <c r="K152" s="290"/>
      <c r="L152" s="371" t="str">
        <f>HYPERLINK("[#]DatatypeListedValues!B1416:H1416","«enumeration»")</f>
        <v>«enumeration»</v>
      </c>
      <c r="M152" s="287" t="s">
        <v>6582</v>
      </c>
      <c r="N152" s="291" t="b">
        <v>0</v>
      </c>
      <c r="O152" s="286"/>
      <c r="P152" s="292"/>
      <c r="Q152" s="286"/>
      <c r="R152" s="286"/>
      <c r="S152" s="293"/>
      <c r="T152" s="294"/>
      <c r="U152" s="37">
        <v>1612</v>
      </c>
      <c r="V152" s="36" t="str">
        <f>CONCATENATE(Cover!$D$6,"fdd/view?i=",U152)</f>
        <v>https://www.dgiwg.org/FAD/fdd/view?i=1612</v>
      </c>
      <c r="W152" s="172"/>
      <c r="X152" s="172"/>
      <c r="Y152" s="172"/>
    </row>
    <row r="153" spans="1:25" ht="2.1" customHeight="1" x14ac:dyDescent="0.2">
      <c r="A153" s="295"/>
      <c r="B153" s="283"/>
      <c r="C153" s="296"/>
      <c r="D153" s="283"/>
      <c r="E153" s="296"/>
      <c r="F153" s="297"/>
      <c r="G153" s="297"/>
      <c r="H153" s="297"/>
      <c r="I153" s="298"/>
      <c r="J153" s="304"/>
      <c r="K153" s="300"/>
      <c r="L153" s="301"/>
      <c r="M153" s="297" t="s">
        <v>6582</v>
      </c>
      <c r="N153" s="297"/>
      <c r="O153" s="297"/>
      <c r="P153" s="297"/>
      <c r="Q153" s="297"/>
      <c r="R153" s="297"/>
      <c r="S153" s="302"/>
      <c r="T153" s="302"/>
      <c r="U153" s="303"/>
    </row>
    <row r="154" spans="1:25" ht="25.5" x14ac:dyDescent="0.2">
      <c r="A154" s="212" t="str">
        <f>HYPERLINK(V154,B154)</f>
        <v>AntCode</v>
      </c>
      <c r="B154" s="283" t="s">
        <v>6681</v>
      </c>
      <c r="C154" s="284" t="s">
        <v>14708</v>
      </c>
      <c r="D154" s="285"/>
      <c r="E154" s="286"/>
      <c r="F154" s="287" t="s">
        <v>14709</v>
      </c>
      <c r="G154" s="286"/>
      <c r="H154" s="286"/>
      <c r="I154" s="288"/>
      <c r="J154" s="289"/>
      <c r="K154" s="290"/>
      <c r="L154" s="371" t="str">
        <f>HYPERLINK("[#]DatatypeListedValues!B1429:H1429","«enumeration»")</f>
        <v>«enumeration»</v>
      </c>
      <c r="M154" s="287" t="s">
        <v>6582</v>
      </c>
      <c r="N154" s="291" t="b">
        <v>0</v>
      </c>
      <c r="O154" s="286"/>
      <c r="P154" s="292"/>
      <c r="Q154" s="286"/>
      <c r="R154" s="286"/>
      <c r="S154" s="293"/>
      <c r="T154" s="294"/>
      <c r="U154" s="37">
        <v>117349</v>
      </c>
      <c r="V154" s="36" t="str">
        <f>CONCATENATE(Cover!$D$6,"fdd/view?i=",U154)</f>
        <v>https://www.dgiwg.org/FAD/fdd/view?i=117349</v>
      </c>
      <c r="W154" s="172"/>
      <c r="X154" s="172"/>
      <c r="Y154" s="172"/>
    </row>
    <row r="155" spans="1:25" ht="2.1" customHeight="1" x14ac:dyDescent="0.2">
      <c r="A155" s="295"/>
      <c r="B155" s="283"/>
      <c r="C155" s="296"/>
      <c r="D155" s="283"/>
      <c r="E155" s="296"/>
      <c r="F155" s="297"/>
      <c r="G155" s="297"/>
      <c r="H155" s="297"/>
      <c r="I155" s="298"/>
      <c r="J155" s="304"/>
      <c r="K155" s="300"/>
      <c r="L155" s="301"/>
      <c r="M155" s="297" t="s">
        <v>6582</v>
      </c>
      <c r="N155" s="297"/>
      <c r="O155" s="297"/>
      <c r="P155" s="297"/>
      <c r="Q155" s="297"/>
      <c r="R155" s="297"/>
      <c r="S155" s="302"/>
      <c r="T155" s="302"/>
      <c r="U155" s="303"/>
    </row>
    <row r="156" spans="1:25" ht="25.5" x14ac:dyDescent="0.2">
      <c r="A156" s="212" t="str">
        <f>HYPERLINK(V156,B156)</f>
        <v>AnbCode</v>
      </c>
      <c r="B156" s="283" t="s">
        <v>6690</v>
      </c>
      <c r="C156" s="284" t="s">
        <v>14710</v>
      </c>
      <c r="D156" s="285"/>
      <c r="E156" s="286"/>
      <c r="F156" s="287" t="s">
        <v>14711</v>
      </c>
      <c r="G156" s="286"/>
      <c r="H156" s="286"/>
      <c r="I156" s="288"/>
      <c r="J156" s="289"/>
      <c r="K156" s="290"/>
      <c r="L156" s="371" t="str">
        <f>HYPERLINK("[#]DatatypeListedValues!B1432:H1432","«enumeration»")</f>
        <v>«enumeration»</v>
      </c>
      <c r="M156" s="287" t="s">
        <v>6582</v>
      </c>
      <c r="N156" s="291" t="b">
        <v>0</v>
      </c>
      <c r="O156" s="286"/>
      <c r="P156" s="292"/>
      <c r="Q156" s="286"/>
      <c r="R156" s="286"/>
      <c r="S156" s="293"/>
      <c r="T156" s="294"/>
      <c r="U156" s="37">
        <v>1034</v>
      </c>
      <c r="V156" s="36" t="str">
        <f>CONCATENATE(Cover!$D$6,"fdd/view?i=",U156)</f>
        <v>https://www.dgiwg.org/FAD/fdd/view?i=1034</v>
      </c>
      <c r="W156" s="172"/>
      <c r="X156" s="172"/>
      <c r="Y156" s="172"/>
    </row>
    <row r="157" spans="1:25" ht="2.1" customHeight="1" x14ac:dyDescent="0.2">
      <c r="A157" s="295"/>
      <c r="B157" s="283"/>
      <c r="C157" s="296"/>
      <c r="D157" s="283"/>
      <c r="E157" s="296"/>
      <c r="F157" s="297"/>
      <c r="G157" s="297"/>
      <c r="H157" s="297"/>
      <c r="I157" s="298"/>
      <c r="J157" s="304"/>
      <c r="K157" s="300"/>
      <c r="L157" s="301"/>
      <c r="M157" s="297" t="s">
        <v>6582</v>
      </c>
      <c r="N157" s="297"/>
      <c r="O157" s="297"/>
      <c r="P157" s="297"/>
      <c r="Q157" s="297"/>
      <c r="R157" s="297"/>
      <c r="S157" s="302"/>
      <c r="T157" s="302"/>
      <c r="U157" s="303"/>
    </row>
    <row r="158" spans="1:25" ht="25.5" x14ac:dyDescent="0.2">
      <c r="A158" s="212" t="str">
        <f>HYPERLINK(V158,B158)</f>
        <v>XesCode</v>
      </c>
      <c r="B158" s="283" t="s">
        <v>6699</v>
      </c>
      <c r="C158" s="284" t="s">
        <v>14712</v>
      </c>
      <c r="D158" s="285"/>
      <c r="E158" s="286"/>
      <c r="F158" s="287" t="s">
        <v>14713</v>
      </c>
      <c r="G158" s="286"/>
      <c r="H158" s="286"/>
      <c r="I158" s="288"/>
      <c r="J158" s="289"/>
      <c r="K158" s="290"/>
      <c r="L158" s="371" t="str">
        <f>HYPERLINK("[#]DatatypeListedValues!B1450:H1450","«enumeration»")</f>
        <v>«enumeration»</v>
      </c>
      <c r="M158" s="287" t="s">
        <v>6582</v>
      </c>
      <c r="N158" s="291" t="b">
        <v>0</v>
      </c>
      <c r="O158" s="286"/>
      <c r="P158" s="292"/>
      <c r="Q158" s="286"/>
      <c r="R158" s="286"/>
      <c r="S158" s="293"/>
      <c r="T158" s="294"/>
      <c r="U158" s="37">
        <v>119774</v>
      </c>
      <c r="V158" s="36" t="str">
        <f>CONCATENATE(Cover!$D$6,"fdd/view?i=",U158)</f>
        <v>https://www.dgiwg.org/FAD/fdd/view?i=119774</v>
      </c>
      <c r="W158" s="172"/>
      <c r="X158" s="172"/>
      <c r="Y158" s="172"/>
    </row>
    <row r="159" spans="1:25" ht="2.1" customHeight="1" x14ac:dyDescent="0.2">
      <c r="A159" s="295"/>
      <c r="B159" s="283"/>
      <c r="C159" s="296"/>
      <c r="D159" s="283"/>
      <c r="E159" s="296"/>
      <c r="F159" s="297"/>
      <c r="G159" s="297"/>
      <c r="H159" s="297"/>
      <c r="I159" s="298"/>
      <c r="J159" s="304"/>
      <c r="K159" s="300"/>
      <c r="L159" s="301"/>
      <c r="M159" s="297" t="s">
        <v>6582</v>
      </c>
      <c r="N159" s="297"/>
      <c r="O159" s="297"/>
      <c r="P159" s="297"/>
      <c r="Q159" s="297"/>
      <c r="R159" s="297"/>
      <c r="S159" s="302"/>
      <c r="T159" s="302"/>
      <c r="U159" s="303"/>
    </row>
    <row r="160" spans="1:25" ht="25.5" x14ac:dyDescent="0.2">
      <c r="A160" s="212" t="str">
        <f>HYPERLINK(V160,B160)</f>
        <v>ApmCode</v>
      </c>
      <c r="B160" s="283" t="s">
        <v>6704</v>
      </c>
      <c r="C160" s="284" t="s">
        <v>14714</v>
      </c>
      <c r="D160" s="285"/>
      <c r="E160" s="286"/>
      <c r="F160" s="287" t="s">
        <v>14715</v>
      </c>
      <c r="G160" s="286"/>
      <c r="H160" s="286"/>
      <c r="I160" s="288"/>
      <c r="J160" s="289"/>
      <c r="K160" s="290"/>
      <c r="L160" s="371" t="str">
        <f>HYPERLINK("[#]DatatypeListedValues!B1454:H1454","«enumeration»")</f>
        <v>«enumeration»</v>
      </c>
      <c r="M160" s="287" t="s">
        <v>6582</v>
      </c>
      <c r="N160" s="291" t="b">
        <v>0</v>
      </c>
      <c r="O160" s="286"/>
      <c r="P160" s="292"/>
      <c r="Q160" s="286"/>
      <c r="R160" s="286"/>
      <c r="S160" s="293"/>
      <c r="T160" s="294"/>
      <c r="U160" s="37">
        <v>119008</v>
      </c>
      <c r="V160" s="36" t="str">
        <f>CONCATENATE(Cover!$D$6,"fdd/view?i=",U160)</f>
        <v>https://www.dgiwg.org/FAD/fdd/view?i=119008</v>
      </c>
      <c r="W160" s="172"/>
      <c r="X160" s="172"/>
      <c r="Y160" s="172"/>
    </row>
    <row r="161" spans="1:25" ht="2.1" customHeight="1" x14ac:dyDescent="0.2">
      <c r="A161" s="295"/>
      <c r="B161" s="283"/>
      <c r="C161" s="296"/>
      <c r="D161" s="283"/>
      <c r="E161" s="296"/>
      <c r="F161" s="297"/>
      <c r="G161" s="297"/>
      <c r="H161" s="297"/>
      <c r="I161" s="298"/>
      <c r="J161" s="304"/>
      <c r="K161" s="300"/>
      <c r="L161" s="301"/>
      <c r="M161" s="297" t="s">
        <v>6582</v>
      </c>
      <c r="N161" s="297"/>
      <c r="O161" s="297"/>
      <c r="P161" s="297"/>
      <c r="Q161" s="297"/>
      <c r="R161" s="297"/>
      <c r="S161" s="302"/>
      <c r="T161" s="302"/>
      <c r="U161" s="303"/>
    </row>
    <row r="162" spans="1:25" ht="25.5" x14ac:dyDescent="0.2">
      <c r="A162" s="212" t="str">
        <f>HYPERLINK(V162,B162)</f>
        <v>ApfCode</v>
      </c>
      <c r="B162" s="283" t="s">
        <v>6718</v>
      </c>
      <c r="C162" s="284" t="s">
        <v>14716</v>
      </c>
      <c r="D162" s="285"/>
      <c r="E162" s="286"/>
      <c r="F162" s="287" t="s">
        <v>14717</v>
      </c>
      <c r="G162" s="286"/>
      <c r="H162" s="286"/>
      <c r="I162" s="288"/>
      <c r="J162" s="289"/>
      <c r="K162" s="290"/>
      <c r="L162" s="371" t="str">
        <f>HYPERLINK("[#]DatatypeListedValues!B1457:H1457","«enumeration»")</f>
        <v>«enumeration»</v>
      </c>
      <c r="M162" s="287" t="s">
        <v>6582</v>
      </c>
      <c r="N162" s="291" t="b">
        <v>0</v>
      </c>
      <c r="O162" s="286"/>
      <c r="P162" s="292"/>
      <c r="Q162" s="286"/>
      <c r="R162" s="286"/>
      <c r="S162" s="293"/>
      <c r="T162" s="294"/>
      <c r="U162" s="37">
        <v>117352</v>
      </c>
      <c r="V162" s="36" t="str">
        <f>CONCATENATE(Cover!$D$6,"fdd/view?i=",U162)</f>
        <v>https://www.dgiwg.org/FAD/fdd/view?i=117352</v>
      </c>
      <c r="W162" s="172"/>
      <c r="X162" s="172"/>
      <c r="Y162" s="172"/>
    </row>
    <row r="163" spans="1:25" ht="2.1" customHeight="1" x14ac:dyDescent="0.2">
      <c r="A163" s="295"/>
      <c r="B163" s="283"/>
      <c r="C163" s="296"/>
      <c r="D163" s="283"/>
      <c r="E163" s="296"/>
      <c r="F163" s="297"/>
      <c r="G163" s="297"/>
      <c r="H163" s="297"/>
      <c r="I163" s="298"/>
      <c r="J163" s="304"/>
      <c r="K163" s="300"/>
      <c r="L163" s="301"/>
      <c r="M163" s="297" t="s">
        <v>6582</v>
      </c>
      <c r="N163" s="297"/>
      <c r="O163" s="297"/>
      <c r="P163" s="297"/>
      <c r="Q163" s="297"/>
      <c r="R163" s="297"/>
      <c r="S163" s="302"/>
      <c r="T163" s="302"/>
      <c r="U163" s="303"/>
    </row>
    <row r="164" spans="1:25" ht="25.5" x14ac:dyDescent="0.2">
      <c r="A164" s="212" t="str">
        <f>HYPERLINK(V164,B164)</f>
        <v>IatCode</v>
      </c>
      <c r="B164" s="283" t="s">
        <v>6724</v>
      </c>
      <c r="C164" s="284" t="s">
        <v>14718</v>
      </c>
      <c r="D164" s="285"/>
      <c r="E164" s="286"/>
      <c r="F164" s="287" t="s">
        <v>14719</v>
      </c>
      <c r="G164" s="286"/>
      <c r="H164" s="286"/>
      <c r="I164" s="288"/>
      <c r="J164" s="289"/>
      <c r="K164" s="290"/>
      <c r="L164" s="371" t="str">
        <f>HYPERLINK("[#]DatatypeListedValues!B1460:H1460","«enumeration»")</f>
        <v>«enumeration»</v>
      </c>
      <c r="M164" s="287" t="s">
        <v>6582</v>
      </c>
      <c r="N164" s="291" t="b">
        <v>0</v>
      </c>
      <c r="O164" s="286"/>
      <c r="P164" s="292"/>
      <c r="Q164" s="286"/>
      <c r="R164" s="286"/>
      <c r="S164" s="293"/>
      <c r="T164" s="294"/>
      <c r="U164" s="37">
        <v>117381</v>
      </c>
      <c r="V164" s="36" t="str">
        <f>CONCATENATE(Cover!$D$6,"fdd/view?i=",U164)</f>
        <v>https://www.dgiwg.org/FAD/fdd/view?i=117381</v>
      </c>
      <c r="W164" s="172"/>
      <c r="X164" s="172"/>
      <c r="Y164" s="172"/>
    </row>
    <row r="165" spans="1:25" ht="2.1" customHeight="1" x14ac:dyDescent="0.2">
      <c r="A165" s="295"/>
      <c r="B165" s="283"/>
      <c r="C165" s="296"/>
      <c r="D165" s="283"/>
      <c r="E165" s="296"/>
      <c r="F165" s="297"/>
      <c r="G165" s="297"/>
      <c r="H165" s="297"/>
      <c r="I165" s="298"/>
      <c r="J165" s="304"/>
      <c r="K165" s="300"/>
      <c r="L165" s="301"/>
      <c r="M165" s="297" t="s">
        <v>6582</v>
      </c>
      <c r="N165" s="297"/>
      <c r="O165" s="297"/>
      <c r="P165" s="297"/>
      <c r="Q165" s="297"/>
      <c r="R165" s="297"/>
      <c r="S165" s="302"/>
      <c r="T165" s="302"/>
      <c r="U165" s="303"/>
    </row>
    <row r="166" spans="1:25" ht="25.5" x14ac:dyDescent="0.2">
      <c r="A166" s="212" t="str">
        <f>HYPERLINK(V166,B166)</f>
        <v>ApyCode</v>
      </c>
      <c r="B166" s="283" t="s">
        <v>6734</v>
      </c>
      <c r="C166" s="284" t="s">
        <v>14720</v>
      </c>
      <c r="D166" s="285"/>
      <c r="E166" s="286"/>
      <c r="F166" s="287" t="s">
        <v>14721</v>
      </c>
      <c r="G166" s="286"/>
      <c r="H166" s="286"/>
      <c r="I166" s="288"/>
      <c r="J166" s="289"/>
      <c r="K166" s="290"/>
      <c r="L166" s="371" t="str">
        <f>HYPERLINK("[#]DatatypeListedValues!B1494:H1494","«enumeration»")</f>
        <v>«enumeration»</v>
      </c>
      <c r="M166" s="287" t="s">
        <v>6582</v>
      </c>
      <c r="N166" s="291" t="b">
        <v>0</v>
      </c>
      <c r="O166" s="286"/>
      <c r="P166" s="292"/>
      <c r="Q166" s="286"/>
      <c r="R166" s="286"/>
      <c r="S166" s="293"/>
      <c r="T166" s="294"/>
      <c r="U166" s="37">
        <v>117376</v>
      </c>
      <c r="V166" s="36" t="str">
        <f>CONCATENATE(Cover!$D$6,"fdd/view?i=",U166)</f>
        <v>https://www.dgiwg.org/FAD/fdd/view?i=117376</v>
      </c>
      <c r="W166" s="172"/>
      <c r="X166" s="172"/>
      <c r="Y166" s="172"/>
    </row>
    <row r="167" spans="1:25" ht="2.1" customHeight="1" x14ac:dyDescent="0.2">
      <c r="A167" s="295"/>
      <c r="B167" s="283"/>
      <c r="C167" s="296"/>
      <c r="D167" s="283"/>
      <c r="E167" s="296"/>
      <c r="F167" s="297"/>
      <c r="G167" s="297"/>
      <c r="H167" s="297"/>
      <c r="I167" s="298"/>
      <c r="J167" s="304"/>
      <c r="K167" s="300"/>
      <c r="L167" s="301"/>
      <c r="M167" s="297" t="s">
        <v>6582</v>
      </c>
      <c r="N167" s="297"/>
      <c r="O167" s="297"/>
      <c r="P167" s="297"/>
      <c r="Q167" s="297"/>
      <c r="R167" s="297"/>
      <c r="S167" s="302"/>
      <c r="T167" s="302"/>
      <c r="U167" s="303"/>
    </row>
    <row r="168" spans="1:25" ht="25.5" x14ac:dyDescent="0.2">
      <c r="A168" s="212" t="str">
        <f>HYPERLINK(V168,B168)</f>
        <v>ApuCode</v>
      </c>
      <c r="B168" s="283" t="s">
        <v>6739</v>
      </c>
      <c r="C168" s="284" t="s">
        <v>14722</v>
      </c>
      <c r="D168" s="285"/>
      <c r="E168" s="286"/>
      <c r="F168" s="287" t="s">
        <v>14723</v>
      </c>
      <c r="G168" s="286"/>
      <c r="H168" s="286"/>
      <c r="I168" s="288"/>
      <c r="J168" s="289"/>
      <c r="K168" s="290"/>
      <c r="L168" s="371" t="str">
        <f>HYPERLINK("[#]DatatypeListedValues!B1502:H1502","«enumeration»")</f>
        <v>«enumeration»</v>
      </c>
      <c r="M168" s="287" t="s">
        <v>6582</v>
      </c>
      <c r="N168" s="291" t="b">
        <v>0</v>
      </c>
      <c r="O168" s="286"/>
      <c r="P168" s="292"/>
      <c r="Q168" s="286"/>
      <c r="R168" s="286"/>
      <c r="S168" s="293"/>
      <c r="T168" s="294"/>
      <c r="U168" s="37">
        <v>117377</v>
      </c>
      <c r="V168" s="36" t="str">
        <f>CONCATENATE(Cover!$D$6,"fdd/view?i=",U168)</f>
        <v>https://www.dgiwg.org/FAD/fdd/view?i=117377</v>
      </c>
      <c r="W168" s="172"/>
      <c r="X168" s="172"/>
      <c r="Y168" s="172"/>
    </row>
    <row r="169" spans="1:25" ht="2.1" customHeight="1" x14ac:dyDescent="0.2">
      <c r="A169" s="295"/>
      <c r="B169" s="283"/>
      <c r="C169" s="296"/>
      <c r="D169" s="283"/>
      <c r="E169" s="296"/>
      <c r="F169" s="297"/>
      <c r="G169" s="297"/>
      <c r="H169" s="297"/>
      <c r="I169" s="298"/>
      <c r="J169" s="304"/>
      <c r="K169" s="300"/>
      <c r="L169" s="301"/>
      <c r="M169" s="297" t="s">
        <v>6582</v>
      </c>
      <c r="N169" s="297"/>
      <c r="O169" s="297"/>
      <c r="P169" s="297"/>
      <c r="Q169" s="297"/>
      <c r="R169" s="297"/>
      <c r="S169" s="302"/>
      <c r="T169" s="302"/>
      <c r="U169" s="303"/>
    </row>
    <row r="170" spans="1:25" ht="25.5" x14ac:dyDescent="0.2">
      <c r="A170" s="212" t="str">
        <f>HYPERLINK(V170,B170)</f>
        <v>AqfCode</v>
      </c>
      <c r="B170" s="283" t="s">
        <v>6744</v>
      </c>
      <c r="C170" s="284" t="s">
        <v>14724</v>
      </c>
      <c r="D170" s="285"/>
      <c r="E170" s="286"/>
      <c r="F170" s="287" t="s">
        <v>14725</v>
      </c>
      <c r="G170" s="286"/>
      <c r="H170" s="286"/>
      <c r="I170" s="288"/>
      <c r="J170" s="289"/>
      <c r="K170" s="290"/>
      <c r="L170" s="371" t="str">
        <f>HYPERLINK("[#]DatatypeListedValues!B1517:H1517","«enumeration»")</f>
        <v>«enumeration»</v>
      </c>
      <c r="M170" s="287" t="s">
        <v>6582</v>
      </c>
      <c r="N170" s="291" t="b">
        <v>0</v>
      </c>
      <c r="O170" s="286"/>
      <c r="P170" s="292"/>
      <c r="Q170" s="286"/>
      <c r="R170" s="286"/>
      <c r="S170" s="293"/>
      <c r="T170" s="294"/>
      <c r="U170" s="37">
        <v>1026</v>
      </c>
      <c r="V170" s="36" t="str">
        <f>CONCATENATE(Cover!$D$6,"fdd/view?i=",U170)</f>
        <v>https://www.dgiwg.org/FAD/fdd/view?i=1026</v>
      </c>
      <c r="W170" s="172"/>
      <c r="X170" s="172"/>
      <c r="Y170" s="172"/>
    </row>
    <row r="171" spans="1:25" ht="2.1" customHeight="1" x14ac:dyDescent="0.2">
      <c r="A171" s="295"/>
      <c r="B171" s="283"/>
      <c r="C171" s="296"/>
      <c r="D171" s="283"/>
      <c r="E171" s="296"/>
      <c r="F171" s="297"/>
      <c r="G171" s="297"/>
      <c r="H171" s="297"/>
      <c r="I171" s="298"/>
      <c r="J171" s="304"/>
      <c r="K171" s="300"/>
      <c r="L171" s="301"/>
      <c r="M171" s="297" t="s">
        <v>6582</v>
      </c>
      <c r="N171" s="297"/>
      <c r="O171" s="297"/>
      <c r="P171" s="297"/>
      <c r="Q171" s="297"/>
      <c r="R171" s="297"/>
      <c r="S171" s="302"/>
      <c r="T171" s="302"/>
      <c r="U171" s="303"/>
    </row>
    <row r="172" spans="1:25" ht="25.5" x14ac:dyDescent="0.2">
      <c r="A172" s="212" t="str">
        <f>HYPERLINK(V172,B172)</f>
        <v>AghCode</v>
      </c>
      <c r="B172" s="283" t="s">
        <v>6754</v>
      </c>
      <c r="C172" s="284" t="s">
        <v>14726</v>
      </c>
      <c r="D172" s="285"/>
      <c r="E172" s="286"/>
      <c r="F172" s="287" t="s">
        <v>14727</v>
      </c>
      <c r="G172" s="286"/>
      <c r="H172" s="286"/>
      <c r="I172" s="288"/>
      <c r="J172" s="289"/>
      <c r="K172" s="290"/>
      <c r="L172" s="371" t="str">
        <f>HYPERLINK("[#]DatatypeListedValues!B1524:H1524","«enumeration»")</f>
        <v>«enumeration»</v>
      </c>
      <c r="M172" s="287" t="s">
        <v>6582</v>
      </c>
      <c r="N172" s="291" t="b">
        <v>0</v>
      </c>
      <c r="O172" s="286"/>
      <c r="P172" s="292"/>
      <c r="Q172" s="286"/>
      <c r="R172" s="286"/>
      <c r="S172" s="293"/>
      <c r="T172" s="294"/>
      <c r="U172" s="37">
        <v>119221</v>
      </c>
      <c r="V172" s="36" t="str">
        <f>CONCATENATE(Cover!$D$6,"fdd/view?i=",U172)</f>
        <v>https://www.dgiwg.org/FAD/fdd/view?i=119221</v>
      </c>
      <c r="W172" s="172"/>
      <c r="X172" s="172"/>
      <c r="Y172" s="172"/>
    </row>
    <row r="173" spans="1:25" ht="2.1" customHeight="1" x14ac:dyDescent="0.2">
      <c r="A173" s="295"/>
      <c r="B173" s="283"/>
      <c r="C173" s="296"/>
      <c r="D173" s="283"/>
      <c r="E173" s="296"/>
      <c r="F173" s="297"/>
      <c r="G173" s="297"/>
      <c r="H173" s="297"/>
      <c r="I173" s="298"/>
      <c r="J173" s="304"/>
      <c r="K173" s="300"/>
      <c r="L173" s="301"/>
      <c r="M173" s="297" t="s">
        <v>6582</v>
      </c>
      <c r="N173" s="297"/>
      <c r="O173" s="297"/>
      <c r="P173" s="297"/>
      <c r="Q173" s="297"/>
      <c r="R173" s="297"/>
      <c r="S173" s="302"/>
      <c r="T173" s="302"/>
      <c r="U173" s="303"/>
    </row>
    <row r="174" spans="1:25" ht="25.5" x14ac:dyDescent="0.2">
      <c r="A174" s="212" t="str">
        <f>HYPERLINK(V174,B174)</f>
        <v>AtcCode</v>
      </c>
      <c r="B174" s="283" t="s">
        <v>6759</v>
      </c>
      <c r="C174" s="284" t="s">
        <v>14728</v>
      </c>
      <c r="D174" s="285"/>
      <c r="E174" s="286"/>
      <c r="F174" s="287" t="s">
        <v>14729</v>
      </c>
      <c r="G174" s="286"/>
      <c r="H174" s="286"/>
      <c r="I174" s="288"/>
      <c r="J174" s="289"/>
      <c r="K174" s="290"/>
      <c r="L174" s="371" t="str">
        <f>HYPERLINK("[#]DatatypeListedValues!B1528:H1528","«enumeration»")</f>
        <v>«enumeration»</v>
      </c>
      <c r="M174" s="287" t="s">
        <v>6582</v>
      </c>
      <c r="N174" s="291" t="b">
        <v>0</v>
      </c>
      <c r="O174" s="286"/>
      <c r="P174" s="292"/>
      <c r="Q174" s="286"/>
      <c r="R174" s="286"/>
      <c r="S174" s="293"/>
      <c r="T174" s="294"/>
      <c r="U174" s="37">
        <v>1112</v>
      </c>
      <c r="V174" s="36" t="str">
        <f>CONCATENATE(Cover!$D$6,"fdd/view?i=",U174)</f>
        <v>https://www.dgiwg.org/FAD/fdd/view?i=1112</v>
      </c>
      <c r="W174" s="172"/>
      <c r="X174" s="172"/>
      <c r="Y174" s="172"/>
    </row>
    <row r="175" spans="1:25" ht="2.1" customHeight="1" x14ac:dyDescent="0.2">
      <c r="A175" s="295"/>
      <c r="B175" s="283"/>
      <c r="C175" s="296"/>
      <c r="D175" s="283"/>
      <c r="E175" s="296"/>
      <c r="F175" s="297"/>
      <c r="G175" s="297"/>
      <c r="H175" s="297"/>
      <c r="I175" s="298"/>
      <c r="J175" s="304"/>
      <c r="K175" s="300"/>
      <c r="L175" s="301"/>
      <c r="M175" s="297" t="s">
        <v>6582</v>
      </c>
      <c r="N175" s="297"/>
      <c r="O175" s="297"/>
      <c r="P175" s="297"/>
      <c r="Q175" s="297"/>
      <c r="R175" s="297"/>
      <c r="S175" s="302"/>
      <c r="T175" s="302"/>
      <c r="U175" s="303"/>
    </row>
    <row r="176" spans="1:25" ht="25.5" x14ac:dyDescent="0.2">
      <c r="A176" s="212" t="str">
        <f>HYPERLINK(V176,B176)</f>
        <v>AqpCode</v>
      </c>
      <c r="B176" s="283" t="s">
        <v>6765</v>
      </c>
      <c r="C176" s="284" t="s">
        <v>14730</v>
      </c>
      <c r="D176" s="285"/>
      <c r="E176" s="286"/>
      <c r="F176" s="287" t="s">
        <v>14731</v>
      </c>
      <c r="G176" s="286"/>
      <c r="H176" s="286"/>
      <c r="I176" s="288"/>
      <c r="J176" s="289"/>
      <c r="K176" s="290"/>
      <c r="L176" s="371" t="str">
        <f>HYPERLINK("[#]DatatypeListedValues!B1532:H1532","«enumeration»")</f>
        <v>«enumeration»</v>
      </c>
      <c r="M176" s="287" t="s">
        <v>6582</v>
      </c>
      <c r="N176" s="291" t="b">
        <v>0</v>
      </c>
      <c r="O176" s="286"/>
      <c r="P176" s="292"/>
      <c r="Q176" s="286"/>
      <c r="R176" s="286"/>
      <c r="S176" s="293"/>
      <c r="T176" s="294"/>
      <c r="U176" s="37">
        <v>119033</v>
      </c>
      <c r="V176" s="36" t="str">
        <f>CONCATENATE(Cover!$D$6,"fdd/view?i=",U176)</f>
        <v>https://www.dgiwg.org/FAD/fdd/view?i=119033</v>
      </c>
      <c r="W176" s="172"/>
      <c r="X176" s="172"/>
      <c r="Y176" s="172"/>
    </row>
    <row r="177" spans="1:25" ht="2.1" customHeight="1" x14ac:dyDescent="0.2">
      <c r="A177" s="295"/>
      <c r="B177" s="283"/>
      <c r="C177" s="296"/>
      <c r="D177" s="283"/>
      <c r="E177" s="296"/>
      <c r="F177" s="297"/>
      <c r="G177" s="297"/>
      <c r="H177" s="297"/>
      <c r="I177" s="298"/>
      <c r="J177" s="304"/>
      <c r="K177" s="300"/>
      <c r="L177" s="301"/>
      <c r="M177" s="297" t="s">
        <v>6582</v>
      </c>
      <c r="N177" s="297"/>
      <c r="O177" s="297"/>
      <c r="P177" s="297"/>
      <c r="Q177" s="297"/>
      <c r="R177" s="297"/>
      <c r="S177" s="302"/>
      <c r="T177" s="302"/>
      <c r="U177" s="303"/>
    </row>
    <row r="178" spans="1:25" ht="25.5" x14ac:dyDescent="0.2">
      <c r="A178" s="212" t="str">
        <f>HYPERLINK(V178,B178)</f>
        <v>AqoCode</v>
      </c>
      <c r="B178" s="283" t="s">
        <v>6778</v>
      </c>
      <c r="C178" s="284" t="s">
        <v>14732</v>
      </c>
      <c r="D178" s="285"/>
      <c r="E178" s="286"/>
      <c r="F178" s="287" t="s">
        <v>14733</v>
      </c>
      <c r="G178" s="286"/>
      <c r="H178" s="286"/>
      <c r="I178" s="288"/>
      <c r="J178" s="289"/>
      <c r="K178" s="290"/>
      <c r="L178" s="371" t="str">
        <f>HYPERLINK("[#]DatatypeListedValues!B1552:H1552","«enumeration»")</f>
        <v>«enumeration»</v>
      </c>
      <c r="M178" s="287" t="s">
        <v>6582</v>
      </c>
      <c r="N178" s="291" t="b">
        <v>0</v>
      </c>
      <c r="O178" s="286"/>
      <c r="P178" s="292"/>
      <c r="Q178" s="286"/>
      <c r="R178" s="286"/>
      <c r="S178" s="293"/>
      <c r="T178" s="294"/>
      <c r="U178" s="37">
        <v>119013</v>
      </c>
      <c r="V178" s="36" t="str">
        <f>CONCATENATE(Cover!$D$6,"fdd/view?i=",U178)</f>
        <v>https://www.dgiwg.org/FAD/fdd/view?i=119013</v>
      </c>
      <c r="W178" s="172"/>
      <c r="X178" s="172"/>
      <c r="Y178" s="172"/>
    </row>
    <row r="179" spans="1:25" ht="2.1" customHeight="1" x14ac:dyDescent="0.2">
      <c r="A179" s="295"/>
      <c r="B179" s="283"/>
      <c r="C179" s="296"/>
      <c r="D179" s="283"/>
      <c r="E179" s="296"/>
      <c r="F179" s="297"/>
      <c r="G179" s="297"/>
      <c r="H179" s="297"/>
      <c r="I179" s="298"/>
      <c r="J179" s="304"/>
      <c r="K179" s="300"/>
      <c r="L179" s="301"/>
      <c r="M179" s="297" t="s">
        <v>6582</v>
      </c>
      <c r="N179" s="297"/>
      <c r="O179" s="297"/>
      <c r="P179" s="297"/>
      <c r="Q179" s="297"/>
      <c r="R179" s="297"/>
      <c r="S179" s="302"/>
      <c r="T179" s="302"/>
      <c r="U179" s="303"/>
    </row>
    <row r="180" spans="1:25" ht="25.5" x14ac:dyDescent="0.2">
      <c r="A180" s="212" t="str">
        <f>HYPERLINK(V180,B180)</f>
        <v>AqcCode</v>
      </c>
      <c r="B180" s="283" t="s">
        <v>6784</v>
      </c>
      <c r="C180" s="284" t="s">
        <v>14734</v>
      </c>
      <c r="D180" s="285"/>
      <c r="E180" s="286"/>
      <c r="F180" s="287" t="s">
        <v>14735</v>
      </c>
      <c r="G180" s="286"/>
      <c r="H180" s="286"/>
      <c r="I180" s="288"/>
      <c r="J180" s="289"/>
      <c r="K180" s="290"/>
      <c r="L180" s="371" t="str">
        <f>HYPERLINK("[#]DatatypeListedValues!B1572:H1572","«enumeration»")</f>
        <v>«enumeration»</v>
      </c>
      <c r="M180" s="287" t="s">
        <v>6582</v>
      </c>
      <c r="N180" s="291" t="b">
        <v>0</v>
      </c>
      <c r="O180" s="286"/>
      <c r="P180" s="292"/>
      <c r="Q180" s="286"/>
      <c r="R180" s="286"/>
      <c r="S180" s="293"/>
      <c r="T180" s="294"/>
      <c r="U180" s="37">
        <v>1790</v>
      </c>
      <c r="V180" s="36" t="str">
        <f>CONCATENATE(Cover!$D$6,"fdd/view?i=",U180)</f>
        <v>https://www.dgiwg.org/FAD/fdd/view?i=1790</v>
      </c>
      <c r="W180" s="172"/>
      <c r="X180" s="172"/>
      <c r="Y180" s="172"/>
    </row>
    <row r="181" spans="1:25" ht="2.1" customHeight="1" x14ac:dyDescent="0.2">
      <c r="A181" s="295"/>
      <c r="B181" s="283"/>
      <c r="C181" s="296"/>
      <c r="D181" s="283"/>
      <c r="E181" s="296"/>
      <c r="F181" s="297"/>
      <c r="G181" s="297"/>
      <c r="H181" s="297"/>
      <c r="I181" s="298"/>
      <c r="J181" s="304"/>
      <c r="K181" s="300"/>
      <c r="L181" s="301"/>
      <c r="M181" s="297" t="s">
        <v>6582</v>
      </c>
      <c r="N181" s="297"/>
      <c r="O181" s="297"/>
      <c r="P181" s="297"/>
      <c r="Q181" s="297"/>
      <c r="R181" s="297"/>
      <c r="S181" s="302"/>
      <c r="T181" s="302"/>
      <c r="U181" s="303"/>
    </row>
    <row r="182" spans="1:25" ht="25.5" x14ac:dyDescent="0.2">
      <c r="A182" s="212" t="str">
        <f>HYPERLINK(V182,B182)</f>
        <v>AgcCode</v>
      </c>
      <c r="B182" s="283" t="s">
        <v>6826</v>
      </c>
      <c r="C182" s="284" t="s">
        <v>14736</v>
      </c>
      <c r="D182" s="285"/>
      <c r="E182" s="286"/>
      <c r="F182" s="287" t="s">
        <v>14737</v>
      </c>
      <c r="G182" s="286"/>
      <c r="H182" s="286"/>
      <c r="I182" s="288"/>
      <c r="J182" s="289"/>
      <c r="K182" s="290"/>
      <c r="L182" s="371" t="str">
        <f>HYPERLINK("[#]DatatypeListedValues!B1577:H1577","«enumeration»")</f>
        <v>«enumeration»</v>
      </c>
      <c r="M182" s="287" t="s">
        <v>6582</v>
      </c>
      <c r="N182" s="291" t="b">
        <v>0</v>
      </c>
      <c r="O182" s="286"/>
      <c r="P182" s="292"/>
      <c r="Q182" s="286"/>
      <c r="R182" s="286"/>
      <c r="S182" s="293"/>
      <c r="T182" s="294"/>
      <c r="U182" s="37">
        <v>1102</v>
      </c>
      <c r="V182" s="36" t="str">
        <f>CONCATENATE(Cover!$D$6,"fdd/view?i=",U182)</f>
        <v>https://www.dgiwg.org/FAD/fdd/view?i=1102</v>
      </c>
      <c r="W182" s="172"/>
      <c r="X182" s="172"/>
      <c r="Y182" s="172"/>
    </row>
    <row r="183" spans="1:25" ht="2.1" customHeight="1" x14ac:dyDescent="0.2">
      <c r="A183" s="295"/>
      <c r="B183" s="283"/>
      <c r="C183" s="296"/>
      <c r="D183" s="283"/>
      <c r="E183" s="296"/>
      <c r="F183" s="297"/>
      <c r="G183" s="297"/>
      <c r="H183" s="297"/>
      <c r="I183" s="298"/>
      <c r="J183" s="304"/>
      <c r="K183" s="300"/>
      <c r="L183" s="301"/>
      <c r="M183" s="297" t="s">
        <v>6582</v>
      </c>
      <c r="N183" s="297"/>
      <c r="O183" s="297"/>
      <c r="P183" s="297"/>
      <c r="Q183" s="297"/>
      <c r="R183" s="297"/>
      <c r="S183" s="302"/>
      <c r="T183" s="302"/>
      <c r="U183" s="303"/>
    </row>
    <row r="184" spans="1:25" ht="38.25" x14ac:dyDescent="0.2">
      <c r="A184" s="212" t="str">
        <f>HYPERLINK(V184,B184)</f>
        <v>AgbCode</v>
      </c>
      <c r="B184" s="283" t="s">
        <v>6833</v>
      </c>
      <c r="C184" s="284" t="s">
        <v>14738</v>
      </c>
      <c r="D184" s="285"/>
      <c r="E184" s="286"/>
      <c r="F184" s="287" t="s">
        <v>14739</v>
      </c>
      <c r="G184" s="286"/>
      <c r="H184" s="286"/>
      <c r="I184" s="288"/>
      <c r="J184" s="289"/>
      <c r="K184" s="290"/>
      <c r="L184" s="371" t="str">
        <f>HYPERLINK("[#]DatatypeListedValues!B1580:H1580","«enumeration»")</f>
        <v>«enumeration»</v>
      </c>
      <c r="M184" s="287" t="s">
        <v>6582</v>
      </c>
      <c r="N184" s="291" t="b">
        <v>0</v>
      </c>
      <c r="O184" s="286"/>
      <c r="P184" s="292"/>
      <c r="Q184" s="286"/>
      <c r="R184" s="286"/>
      <c r="S184" s="293"/>
      <c r="T184" s="294"/>
      <c r="U184" s="37">
        <v>117341</v>
      </c>
      <c r="V184" s="36" t="str">
        <f>CONCATENATE(Cover!$D$6,"fdd/view?i=",U184)</f>
        <v>https://www.dgiwg.org/FAD/fdd/view?i=117341</v>
      </c>
      <c r="W184" s="172"/>
      <c r="X184" s="172"/>
      <c r="Y184" s="172"/>
    </row>
    <row r="185" spans="1:25" ht="2.1" customHeight="1" x14ac:dyDescent="0.2">
      <c r="A185" s="295"/>
      <c r="B185" s="283"/>
      <c r="C185" s="296"/>
      <c r="D185" s="283"/>
      <c r="E185" s="296"/>
      <c r="F185" s="297"/>
      <c r="G185" s="297"/>
      <c r="H185" s="297"/>
      <c r="I185" s="298"/>
      <c r="J185" s="304"/>
      <c r="K185" s="300"/>
      <c r="L185" s="301"/>
      <c r="M185" s="297" t="s">
        <v>6582</v>
      </c>
      <c r="N185" s="297"/>
      <c r="O185" s="297"/>
      <c r="P185" s="297"/>
      <c r="Q185" s="297"/>
      <c r="R185" s="297"/>
      <c r="S185" s="302"/>
      <c r="T185" s="302"/>
      <c r="U185" s="303"/>
    </row>
    <row r="186" spans="1:25" ht="38.25" x14ac:dyDescent="0.2">
      <c r="A186" s="212" t="str">
        <f>HYPERLINK(V186,B186)</f>
        <v>AgeCode</v>
      </c>
      <c r="B186" s="283" t="s">
        <v>6840</v>
      </c>
      <c r="C186" s="284" t="s">
        <v>14740</v>
      </c>
      <c r="D186" s="285"/>
      <c r="E186" s="286"/>
      <c r="F186" s="287" t="s">
        <v>14741</v>
      </c>
      <c r="G186" s="286"/>
      <c r="H186" s="286"/>
      <c r="I186" s="288"/>
      <c r="J186" s="289"/>
      <c r="K186" s="290"/>
      <c r="L186" s="371" t="str">
        <f>HYPERLINK("[#]DatatypeListedValues!B1654:H1654","«enumeration»")</f>
        <v>«enumeration»</v>
      </c>
      <c r="M186" s="287" t="s">
        <v>6582</v>
      </c>
      <c r="N186" s="291" t="b">
        <v>0</v>
      </c>
      <c r="O186" s="286"/>
      <c r="P186" s="292"/>
      <c r="Q186" s="286"/>
      <c r="R186" s="286"/>
      <c r="S186" s="293"/>
      <c r="T186" s="294"/>
      <c r="U186" s="37">
        <v>117343</v>
      </c>
      <c r="V186" s="36" t="str">
        <f>CONCATENATE(Cover!$D$6,"fdd/view?i=",U186)</f>
        <v>https://www.dgiwg.org/FAD/fdd/view?i=117343</v>
      </c>
      <c r="W186" s="172"/>
      <c r="X186" s="172"/>
      <c r="Y186" s="172"/>
    </row>
    <row r="187" spans="1:25" ht="2.1" customHeight="1" x14ac:dyDescent="0.2">
      <c r="A187" s="295"/>
      <c r="B187" s="283"/>
      <c r="C187" s="296"/>
      <c r="D187" s="283"/>
      <c r="E187" s="296"/>
      <c r="F187" s="297"/>
      <c r="G187" s="297"/>
      <c r="H187" s="297"/>
      <c r="I187" s="298"/>
      <c r="J187" s="304"/>
      <c r="K187" s="300"/>
      <c r="L187" s="301"/>
      <c r="M187" s="297" t="s">
        <v>6582</v>
      </c>
      <c r="N187" s="297"/>
      <c r="O187" s="297"/>
      <c r="P187" s="297"/>
      <c r="Q187" s="297"/>
      <c r="R187" s="297"/>
      <c r="S187" s="302"/>
      <c r="T187" s="302"/>
      <c r="U187" s="303"/>
    </row>
    <row r="188" spans="1:25" ht="38.25" x14ac:dyDescent="0.2">
      <c r="A188" s="212" t="str">
        <f>HYPERLINK(V188,B188)</f>
        <v>AgdCode</v>
      </c>
      <c r="B188" s="283" t="s">
        <v>6846</v>
      </c>
      <c r="C188" s="284" t="s">
        <v>14742</v>
      </c>
      <c r="D188" s="285"/>
      <c r="E188" s="286"/>
      <c r="F188" s="287" t="s">
        <v>14743</v>
      </c>
      <c r="G188" s="286"/>
      <c r="H188" s="286"/>
      <c r="I188" s="288"/>
      <c r="J188" s="289"/>
      <c r="K188" s="290"/>
      <c r="L188" s="371" t="str">
        <f>HYPERLINK("[#]DatatypeListedValues!B1672:H1672","«enumeration»")</f>
        <v>«enumeration»</v>
      </c>
      <c r="M188" s="287" t="s">
        <v>6582</v>
      </c>
      <c r="N188" s="291" t="b">
        <v>0</v>
      </c>
      <c r="O188" s="286"/>
      <c r="P188" s="292"/>
      <c r="Q188" s="286"/>
      <c r="R188" s="286"/>
      <c r="S188" s="293"/>
      <c r="T188" s="294"/>
      <c r="U188" s="37">
        <v>117342</v>
      </c>
      <c r="V188" s="36" t="str">
        <f>CONCATENATE(Cover!$D$6,"fdd/view?i=",U188)</f>
        <v>https://www.dgiwg.org/FAD/fdd/view?i=117342</v>
      </c>
      <c r="W188" s="172"/>
      <c r="X188" s="172"/>
      <c r="Y188" s="172"/>
    </row>
    <row r="189" spans="1:25" ht="2.1" customHeight="1" x14ac:dyDescent="0.2">
      <c r="A189" s="295"/>
      <c r="B189" s="283"/>
      <c r="C189" s="296"/>
      <c r="D189" s="283"/>
      <c r="E189" s="296"/>
      <c r="F189" s="297"/>
      <c r="G189" s="297"/>
      <c r="H189" s="297"/>
      <c r="I189" s="298"/>
      <c r="J189" s="304"/>
      <c r="K189" s="300"/>
      <c r="L189" s="301"/>
      <c r="M189" s="297" t="s">
        <v>6582</v>
      </c>
      <c r="N189" s="297"/>
      <c r="O189" s="297"/>
      <c r="P189" s="297"/>
      <c r="Q189" s="297"/>
      <c r="R189" s="297"/>
      <c r="S189" s="302"/>
      <c r="T189" s="302"/>
      <c r="U189" s="303"/>
    </row>
    <row r="190" spans="1:25" ht="25.5" x14ac:dyDescent="0.2">
      <c r="A190" s="212" t="str">
        <f>HYPERLINK(V190,B190)</f>
        <v>AcgCode</v>
      </c>
      <c r="B190" s="283" t="s">
        <v>6891</v>
      </c>
      <c r="C190" s="284" t="s">
        <v>14744</v>
      </c>
      <c r="D190" s="285"/>
      <c r="E190" s="286"/>
      <c r="F190" s="287" t="s">
        <v>14745</v>
      </c>
      <c r="G190" s="286"/>
      <c r="H190" s="286"/>
      <c r="I190" s="288"/>
      <c r="J190" s="289"/>
      <c r="K190" s="290"/>
      <c r="L190" s="371" t="str">
        <f>HYPERLINK("[#]DatatypeListedValues!B1675:H1675","«enumeration»")</f>
        <v>«enumeration»</v>
      </c>
      <c r="M190" s="287" t="s">
        <v>6582</v>
      </c>
      <c r="N190" s="291" t="b">
        <v>0</v>
      </c>
      <c r="O190" s="286"/>
      <c r="P190" s="292"/>
      <c r="Q190" s="286"/>
      <c r="R190" s="286"/>
      <c r="S190" s="293"/>
      <c r="T190" s="294"/>
      <c r="U190" s="37">
        <v>119220</v>
      </c>
      <c r="V190" s="36" t="str">
        <f>CONCATENATE(Cover!$D$6,"fdd/view?i=",U190)</f>
        <v>https://www.dgiwg.org/FAD/fdd/view?i=119220</v>
      </c>
      <c r="W190" s="172"/>
      <c r="X190" s="172"/>
      <c r="Y190" s="172"/>
    </row>
    <row r="191" spans="1:25" ht="2.1" customHeight="1" x14ac:dyDescent="0.2">
      <c r="A191" s="295"/>
      <c r="B191" s="283"/>
      <c r="C191" s="296"/>
      <c r="D191" s="283"/>
      <c r="E191" s="296"/>
      <c r="F191" s="297"/>
      <c r="G191" s="297"/>
      <c r="H191" s="297"/>
      <c r="I191" s="298"/>
      <c r="J191" s="304"/>
      <c r="K191" s="300"/>
      <c r="L191" s="301"/>
      <c r="M191" s="297" t="s">
        <v>6582</v>
      </c>
      <c r="N191" s="297"/>
      <c r="O191" s="297"/>
      <c r="P191" s="297"/>
      <c r="Q191" s="297"/>
      <c r="R191" s="297"/>
      <c r="S191" s="302"/>
      <c r="T191" s="302"/>
      <c r="U191" s="303"/>
    </row>
    <row r="192" spans="1:25" ht="25.5" x14ac:dyDescent="0.2">
      <c r="A192" s="212" t="str">
        <f>HYPERLINK(V192,B192)</f>
        <v>FfaCode</v>
      </c>
      <c r="B192" s="283" t="s">
        <v>6897</v>
      </c>
      <c r="C192" s="284" t="s">
        <v>14746</v>
      </c>
      <c r="D192" s="285"/>
      <c r="E192" s="286"/>
      <c r="F192" s="287" t="s">
        <v>14747</v>
      </c>
      <c r="G192" s="286"/>
      <c r="H192" s="286"/>
      <c r="I192" s="288"/>
      <c r="J192" s="289"/>
      <c r="K192" s="290"/>
      <c r="L192" s="371" t="str">
        <f>HYPERLINK("[#]DatatypeListedValues!B1678:H1678","«enumeration»")</f>
        <v>«enumeration»</v>
      </c>
      <c r="M192" s="287" t="s">
        <v>6582</v>
      </c>
      <c r="N192" s="291" t="b">
        <v>0</v>
      </c>
      <c r="O192" s="286"/>
      <c r="P192" s="292"/>
      <c r="Q192" s="286"/>
      <c r="R192" s="286"/>
      <c r="S192" s="293"/>
      <c r="T192" s="294"/>
      <c r="U192" s="37">
        <v>1215</v>
      </c>
      <c r="V192" s="36" t="str">
        <f>CONCATENATE(Cover!$D$6,"fdd/view?i=",U192)</f>
        <v>https://www.dgiwg.org/FAD/fdd/view?i=1215</v>
      </c>
      <c r="W192" s="172"/>
      <c r="X192" s="172"/>
      <c r="Y192" s="172"/>
    </row>
    <row r="193" spans="1:25" ht="2.1" customHeight="1" x14ac:dyDescent="0.2">
      <c r="A193" s="295"/>
      <c r="B193" s="283"/>
      <c r="C193" s="296"/>
      <c r="D193" s="283"/>
      <c r="E193" s="296"/>
      <c r="F193" s="297"/>
      <c r="G193" s="297"/>
      <c r="H193" s="297"/>
      <c r="I193" s="298"/>
      <c r="J193" s="304"/>
      <c r="K193" s="300"/>
      <c r="L193" s="301"/>
      <c r="M193" s="297" t="s">
        <v>6582</v>
      </c>
      <c r="N193" s="297"/>
      <c r="O193" s="297"/>
      <c r="P193" s="297"/>
      <c r="Q193" s="297"/>
      <c r="R193" s="297"/>
      <c r="S193" s="302"/>
      <c r="T193" s="302"/>
      <c r="U193" s="303"/>
    </row>
    <row r="194" spans="1:25" ht="25.5" x14ac:dyDescent="0.2">
      <c r="A194" s="212" t="str">
        <f>HYPERLINK(V194,B194)</f>
        <v>MfaCode</v>
      </c>
      <c r="B194" s="283" t="s">
        <v>6902</v>
      </c>
      <c r="C194" s="284" t="s">
        <v>14748</v>
      </c>
      <c r="D194" s="285"/>
      <c r="E194" s="286"/>
      <c r="F194" s="287" t="s">
        <v>14749</v>
      </c>
      <c r="G194" s="286"/>
      <c r="H194" s="286"/>
      <c r="I194" s="288"/>
      <c r="J194" s="289"/>
      <c r="K194" s="290"/>
      <c r="L194" s="371" t="str">
        <f>HYPERLINK("[#]DatatypeListedValues!B1700:H1700","«enumeration»")</f>
        <v>«enumeration»</v>
      </c>
      <c r="M194" s="287" t="s">
        <v>6582</v>
      </c>
      <c r="N194" s="291" t="b">
        <v>0</v>
      </c>
      <c r="O194" s="286"/>
      <c r="P194" s="292"/>
      <c r="Q194" s="286"/>
      <c r="R194" s="286"/>
      <c r="S194" s="293"/>
      <c r="T194" s="294"/>
      <c r="U194" s="37">
        <v>1300</v>
      </c>
      <c r="V194" s="36" t="str">
        <f>CONCATENATE(Cover!$D$6,"fdd/view?i=",U194)</f>
        <v>https://www.dgiwg.org/FAD/fdd/view?i=1300</v>
      </c>
      <c r="W194" s="172"/>
      <c r="X194" s="172"/>
      <c r="Y194" s="172"/>
    </row>
    <row r="195" spans="1:25" ht="2.1" customHeight="1" x14ac:dyDescent="0.2">
      <c r="A195" s="295"/>
      <c r="B195" s="283"/>
      <c r="C195" s="296"/>
      <c r="D195" s="283"/>
      <c r="E195" s="296"/>
      <c r="F195" s="297"/>
      <c r="G195" s="297"/>
      <c r="H195" s="297"/>
      <c r="I195" s="298"/>
      <c r="J195" s="304"/>
      <c r="K195" s="300"/>
      <c r="L195" s="301"/>
      <c r="M195" s="297" t="s">
        <v>6582</v>
      </c>
      <c r="N195" s="297"/>
      <c r="O195" s="297"/>
      <c r="P195" s="297"/>
      <c r="Q195" s="297"/>
      <c r="R195" s="297"/>
      <c r="S195" s="302"/>
      <c r="T195" s="302"/>
      <c r="U195" s="303"/>
    </row>
    <row r="196" spans="1:25" ht="25.5" x14ac:dyDescent="0.2">
      <c r="A196" s="212" t="str">
        <f>HYPERLINK(V196,B196)</f>
        <v>AfaCode</v>
      </c>
      <c r="B196" s="283" t="s">
        <v>6907</v>
      </c>
      <c r="C196" s="284" t="s">
        <v>14750</v>
      </c>
      <c r="D196" s="285"/>
      <c r="E196" s="286"/>
      <c r="F196" s="287" t="s">
        <v>14751</v>
      </c>
      <c r="G196" s="286"/>
      <c r="H196" s="286"/>
      <c r="I196" s="288"/>
      <c r="J196" s="289"/>
      <c r="K196" s="290"/>
      <c r="L196" s="371" t="str">
        <f>HYPERLINK("[#]DatatypeListedValues!B1718:H1718","«enumeration»")</f>
        <v>«enumeration»</v>
      </c>
      <c r="M196" s="287" t="s">
        <v>6582</v>
      </c>
      <c r="N196" s="291" t="b">
        <v>0</v>
      </c>
      <c r="O196" s="286"/>
      <c r="P196" s="292"/>
      <c r="Q196" s="286"/>
      <c r="R196" s="286"/>
      <c r="S196" s="293"/>
      <c r="T196" s="294"/>
      <c r="U196" s="37">
        <v>1100</v>
      </c>
      <c r="V196" s="36" t="str">
        <f>CONCATENATE(Cover!$D$6,"fdd/view?i=",U196)</f>
        <v>https://www.dgiwg.org/FAD/fdd/view?i=1100</v>
      </c>
      <c r="W196" s="172"/>
      <c r="X196" s="172"/>
      <c r="Y196" s="172"/>
    </row>
    <row r="197" spans="1:25" ht="2.1" customHeight="1" x14ac:dyDescent="0.2">
      <c r="A197" s="295"/>
      <c r="B197" s="283"/>
      <c r="C197" s="296"/>
      <c r="D197" s="283"/>
      <c r="E197" s="296"/>
      <c r="F197" s="297"/>
      <c r="G197" s="297"/>
      <c r="H197" s="297"/>
      <c r="I197" s="298"/>
      <c r="J197" s="304"/>
      <c r="K197" s="300"/>
      <c r="L197" s="301"/>
      <c r="M197" s="297" t="s">
        <v>6582</v>
      </c>
      <c r="N197" s="297"/>
      <c r="O197" s="297"/>
      <c r="P197" s="297"/>
      <c r="Q197" s="297"/>
      <c r="R197" s="297"/>
      <c r="S197" s="302"/>
      <c r="T197" s="302"/>
      <c r="U197" s="303"/>
    </row>
    <row r="198" spans="1:25" ht="25.5" x14ac:dyDescent="0.2">
      <c r="A198" s="212" t="str">
        <f>HYPERLINK(V198,B198)</f>
        <v>AfuCode</v>
      </c>
      <c r="B198" s="283" t="s">
        <v>6918</v>
      </c>
      <c r="C198" s="284" t="s">
        <v>14752</v>
      </c>
      <c r="D198" s="285"/>
      <c r="E198" s="286"/>
      <c r="F198" s="287" t="s">
        <v>14753</v>
      </c>
      <c r="G198" s="286"/>
      <c r="H198" s="286"/>
      <c r="I198" s="288"/>
      <c r="J198" s="289"/>
      <c r="K198" s="290"/>
      <c r="L198" s="371" t="str">
        <f>HYPERLINK("[#]DatatypeListedValues!B1756:H1756","«enumeration»")</f>
        <v>«enumeration»</v>
      </c>
      <c r="M198" s="287" t="s">
        <v>6582</v>
      </c>
      <c r="N198" s="291" t="b">
        <v>0</v>
      </c>
      <c r="O198" s="286"/>
      <c r="P198" s="292"/>
      <c r="Q198" s="286"/>
      <c r="R198" s="286"/>
      <c r="S198" s="293"/>
      <c r="T198" s="294"/>
      <c r="U198" s="37">
        <v>117340</v>
      </c>
      <c r="V198" s="36" t="str">
        <f>CONCATENATE(Cover!$D$6,"fdd/view?i=",U198)</f>
        <v>https://www.dgiwg.org/FAD/fdd/view?i=117340</v>
      </c>
      <c r="W198" s="172"/>
      <c r="X198" s="172"/>
      <c r="Y198" s="172"/>
    </row>
    <row r="199" spans="1:25" ht="2.1" customHeight="1" x14ac:dyDescent="0.2">
      <c r="A199" s="295"/>
      <c r="B199" s="283"/>
      <c r="C199" s="296"/>
      <c r="D199" s="283"/>
      <c r="E199" s="296"/>
      <c r="F199" s="297"/>
      <c r="G199" s="297"/>
      <c r="H199" s="297"/>
      <c r="I199" s="298"/>
      <c r="J199" s="304"/>
      <c r="K199" s="300"/>
      <c r="L199" s="301"/>
      <c r="M199" s="297" t="s">
        <v>6582</v>
      </c>
      <c r="N199" s="297"/>
      <c r="O199" s="297"/>
      <c r="P199" s="297"/>
      <c r="Q199" s="297"/>
      <c r="R199" s="297"/>
      <c r="S199" s="302"/>
      <c r="T199" s="302"/>
      <c r="U199" s="303"/>
    </row>
    <row r="200" spans="1:25" ht="25.5" x14ac:dyDescent="0.2">
      <c r="A200" s="212" t="str">
        <f>HYPERLINK(V200,B200)</f>
        <v>AhfCode</v>
      </c>
      <c r="B200" s="283" t="s">
        <v>6923</v>
      </c>
      <c r="C200" s="284" t="s">
        <v>14754</v>
      </c>
      <c r="D200" s="285"/>
      <c r="E200" s="286"/>
      <c r="F200" s="287" t="s">
        <v>14755</v>
      </c>
      <c r="G200" s="286"/>
      <c r="H200" s="286"/>
      <c r="I200" s="288"/>
      <c r="J200" s="289"/>
      <c r="K200" s="290"/>
      <c r="L200" s="371" t="str">
        <f>HYPERLINK("[#]DatatypeListedValues!B1788:H1788","«enumeration»")</f>
        <v>«enumeration»</v>
      </c>
      <c r="M200" s="287" t="s">
        <v>6582</v>
      </c>
      <c r="N200" s="291" t="b">
        <v>0</v>
      </c>
      <c r="O200" s="286"/>
      <c r="P200" s="292"/>
      <c r="Q200" s="286"/>
      <c r="R200" s="286"/>
      <c r="S200" s="293"/>
      <c r="T200" s="294"/>
      <c r="U200" s="37">
        <v>117345</v>
      </c>
      <c r="V200" s="36" t="str">
        <f>CONCATENATE(Cover!$D$6,"fdd/view?i=",U200)</f>
        <v>https://www.dgiwg.org/FAD/fdd/view?i=117345</v>
      </c>
      <c r="W200" s="172"/>
      <c r="X200" s="172"/>
      <c r="Y200" s="172"/>
    </row>
    <row r="201" spans="1:25" ht="2.1" customHeight="1" x14ac:dyDescent="0.2">
      <c r="A201" s="295"/>
      <c r="B201" s="283"/>
      <c r="C201" s="296"/>
      <c r="D201" s="283"/>
      <c r="E201" s="296"/>
      <c r="F201" s="297"/>
      <c r="G201" s="297"/>
      <c r="H201" s="297"/>
      <c r="I201" s="298"/>
      <c r="J201" s="304"/>
      <c r="K201" s="300"/>
      <c r="L201" s="301"/>
      <c r="M201" s="297" t="s">
        <v>6582</v>
      </c>
      <c r="N201" s="297"/>
      <c r="O201" s="297"/>
      <c r="P201" s="297"/>
      <c r="Q201" s="297"/>
      <c r="R201" s="297"/>
      <c r="S201" s="302"/>
      <c r="T201" s="302"/>
      <c r="U201" s="303"/>
    </row>
    <row r="202" spans="1:25" ht="25.5" x14ac:dyDescent="0.2">
      <c r="A202" s="212" t="str">
        <f>HYPERLINK(V202,B202)</f>
        <v>AnsCode</v>
      </c>
      <c r="B202" s="283" t="s">
        <v>6928</v>
      </c>
      <c r="C202" s="284" t="s">
        <v>14756</v>
      </c>
      <c r="D202" s="285"/>
      <c r="E202" s="286"/>
      <c r="F202" s="287" t="s">
        <v>14757</v>
      </c>
      <c r="G202" s="286"/>
      <c r="H202" s="286"/>
      <c r="I202" s="288"/>
      <c r="J202" s="289"/>
      <c r="K202" s="290"/>
      <c r="L202" s="371" t="str">
        <f>HYPERLINK("[#]DatatypeListedValues!B1795:H1795","«enumeration»")</f>
        <v>«enumeration»</v>
      </c>
      <c r="M202" s="287" t="s">
        <v>6582</v>
      </c>
      <c r="N202" s="291" t="b">
        <v>0</v>
      </c>
      <c r="O202" s="286"/>
      <c r="P202" s="292"/>
      <c r="Q202" s="286"/>
      <c r="R202" s="286"/>
      <c r="S202" s="293"/>
      <c r="T202" s="294"/>
      <c r="U202" s="37">
        <v>117348</v>
      </c>
      <c r="V202" s="36" t="str">
        <f>CONCATENATE(Cover!$D$6,"fdd/view?i=",U202)</f>
        <v>https://www.dgiwg.org/FAD/fdd/view?i=117348</v>
      </c>
      <c r="W202" s="172"/>
      <c r="X202" s="172"/>
      <c r="Y202" s="172"/>
    </row>
    <row r="203" spans="1:25" ht="2.1" customHeight="1" x14ac:dyDescent="0.2">
      <c r="A203" s="295"/>
      <c r="B203" s="283"/>
      <c r="C203" s="296"/>
      <c r="D203" s="283"/>
      <c r="E203" s="296"/>
      <c r="F203" s="297"/>
      <c r="G203" s="297"/>
      <c r="H203" s="297"/>
      <c r="I203" s="298"/>
      <c r="J203" s="304"/>
      <c r="K203" s="300"/>
      <c r="L203" s="301"/>
      <c r="M203" s="297" t="s">
        <v>6582</v>
      </c>
      <c r="N203" s="297"/>
      <c r="O203" s="297"/>
      <c r="P203" s="297"/>
      <c r="Q203" s="297"/>
      <c r="R203" s="297"/>
      <c r="S203" s="302"/>
      <c r="T203" s="302"/>
      <c r="U203" s="303"/>
    </row>
    <row r="204" spans="1:25" ht="25.5" x14ac:dyDescent="0.2">
      <c r="A204" s="212" t="str">
        <f>HYPERLINK(V204,B204)</f>
        <v>AotCode</v>
      </c>
      <c r="B204" s="283" t="s">
        <v>6933</v>
      </c>
      <c r="C204" s="284" t="s">
        <v>14758</v>
      </c>
      <c r="D204" s="285"/>
      <c r="E204" s="286"/>
      <c r="F204" s="287" t="s">
        <v>14759</v>
      </c>
      <c r="G204" s="286"/>
      <c r="H204" s="286"/>
      <c r="I204" s="288"/>
      <c r="J204" s="289"/>
      <c r="K204" s="290"/>
      <c r="L204" s="371" t="str">
        <f>HYPERLINK("[#]DatatypeListedValues!B1803:H1803","«enumeration»")</f>
        <v>«enumeration»</v>
      </c>
      <c r="M204" s="287" t="s">
        <v>6582</v>
      </c>
      <c r="N204" s="291" t="b">
        <v>0</v>
      </c>
      <c r="O204" s="286"/>
      <c r="P204" s="292"/>
      <c r="Q204" s="286"/>
      <c r="R204" s="286"/>
      <c r="S204" s="293"/>
      <c r="T204" s="294"/>
      <c r="U204" s="37">
        <v>117351</v>
      </c>
      <c r="V204" s="36" t="str">
        <f>CONCATENATE(Cover!$D$6,"fdd/view?i=",U204)</f>
        <v>https://www.dgiwg.org/FAD/fdd/view?i=117351</v>
      </c>
      <c r="W204" s="172"/>
      <c r="X204" s="172"/>
      <c r="Y204" s="172"/>
    </row>
    <row r="205" spans="1:25" ht="2.1" customHeight="1" x14ac:dyDescent="0.2">
      <c r="A205" s="295"/>
      <c r="B205" s="283"/>
      <c r="C205" s="296"/>
      <c r="D205" s="283"/>
      <c r="E205" s="296"/>
      <c r="F205" s="297"/>
      <c r="G205" s="297"/>
      <c r="H205" s="297"/>
      <c r="I205" s="298"/>
      <c r="J205" s="304"/>
      <c r="K205" s="300"/>
      <c r="L205" s="301"/>
      <c r="M205" s="297" t="s">
        <v>6582</v>
      </c>
      <c r="N205" s="297"/>
      <c r="O205" s="297"/>
      <c r="P205" s="297"/>
      <c r="Q205" s="297"/>
      <c r="R205" s="297"/>
      <c r="S205" s="302"/>
      <c r="T205" s="302"/>
      <c r="U205" s="303"/>
    </row>
    <row r="206" spans="1:25" ht="25.5" x14ac:dyDescent="0.2">
      <c r="A206" s="212" t="str">
        <f>HYPERLINK(V206,B206)</f>
        <v>AosCode</v>
      </c>
      <c r="B206" s="283" t="s">
        <v>6938</v>
      </c>
      <c r="C206" s="284" t="s">
        <v>14760</v>
      </c>
      <c r="D206" s="285"/>
      <c r="E206" s="286"/>
      <c r="F206" s="287" t="s">
        <v>14761</v>
      </c>
      <c r="G206" s="286"/>
      <c r="H206" s="286"/>
      <c r="I206" s="288"/>
      <c r="J206" s="289"/>
      <c r="K206" s="290"/>
      <c r="L206" s="371" t="str">
        <f>HYPERLINK("[#]DatatypeListedValues!B1821:H1821","«enumeration»")</f>
        <v>«enumeration»</v>
      </c>
      <c r="M206" s="287" t="s">
        <v>6582</v>
      </c>
      <c r="N206" s="291" t="b">
        <v>0</v>
      </c>
      <c r="O206" s="286"/>
      <c r="P206" s="292"/>
      <c r="Q206" s="286"/>
      <c r="R206" s="286"/>
      <c r="S206" s="293"/>
      <c r="T206" s="294"/>
      <c r="U206" s="37">
        <v>117350</v>
      </c>
      <c r="V206" s="36" t="str">
        <f>CONCATENATE(Cover!$D$6,"fdd/view?i=",U206)</f>
        <v>https://www.dgiwg.org/FAD/fdd/view?i=117350</v>
      </c>
      <c r="W206" s="172"/>
      <c r="X206" s="172"/>
      <c r="Y206" s="172"/>
    </row>
    <row r="207" spans="1:25" ht="2.1" customHeight="1" x14ac:dyDescent="0.2">
      <c r="A207" s="295"/>
      <c r="B207" s="283"/>
      <c r="C207" s="296"/>
      <c r="D207" s="283"/>
      <c r="E207" s="296"/>
      <c r="F207" s="297"/>
      <c r="G207" s="297"/>
      <c r="H207" s="297"/>
      <c r="I207" s="298"/>
      <c r="J207" s="304"/>
      <c r="K207" s="300"/>
      <c r="L207" s="301"/>
      <c r="M207" s="297" t="s">
        <v>6582</v>
      </c>
      <c r="N207" s="297"/>
      <c r="O207" s="297"/>
      <c r="P207" s="297"/>
      <c r="Q207" s="297"/>
      <c r="R207" s="297"/>
      <c r="S207" s="302"/>
      <c r="T207" s="302"/>
      <c r="U207" s="303"/>
    </row>
    <row r="208" spans="1:25" ht="25.5" x14ac:dyDescent="0.2">
      <c r="A208" s="212" t="str">
        <f>HYPERLINK(V208,B208)</f>
        <v>PysCode</v>
      </c>
      <c r="B208" s="283" t="s">
        <v>6944</v>
      </c>
      <c r="C208" s="284" t="s">
        <v>14762</v>
      </c>
      <c r="D208" s="285"/>
      <c r="E208" s="286"/>
      <c r="F208" s="287" t="s">
        <v>14763</v>
      </c>
      <c r="G208" s="286"/>
      <c r="H208" s="286"/>
      <c r="I208" s="288"/>
      <c r="J208" s="289"/>
      <c r="K208" s="290"/>
      <c r="L208" s="371" t="str">
        <f>HYPERLINK("[#]DatatypeListedValues!B1829:H1829","«enumeration»")</f>
        <v>«enumeration»</v>
      </c>
      <c r="M208" s="287" t="s">
        <v>6582</v>
      </c>
      <c r="N208" s="291" t="b">
        <v>0</v>
      </c>
      <c r="O208" s="286"/>
      <c r="P208" s="292"/>
      <c r="Q208" s="286"/>
      <c r="R208" s="286"/>
      <c r="S208" s="293"/>
      <c r="T208" s="294"/>
      <c r="U208" s="37">
        <v>119874</v>
      </c>
      <c r="V208" s="36" t="str">
        <f>CONCATENATE(Cover!$D$6,"fdd/view?i=",U208)</f>
        <v>https://www.dgiwg.org/FAD/fdd/view?i=119874</v>
      </c>
      <c r="W208" s="172"/>
      <c r="X208" s="172"/>
      <c r="Y208" s="172"/>
    </row>
    <row r="209" spans="1:25" ht="2.1" customHeight="1" x14ac:dyDescent="0.2">
      <c r="A209" s="295"/>
      <c r="B209" s="283"/>
      <c r="C209" s="296"/>
      <c r="D209" s="283"/>
      <c r="E209" s="296"/>
      <c r="F209" s="297"/>
      <c r="G209" s="297"/>
      <c r="H209" s="297"/>
      <c r="I209" s="298"/>
      <c r="J209" s="304"/>
      <c r="K209" s="300"/>
      <c r="L209" s="301"/>
      <c r="M209" s="297" t="s">
        <v>6582</v>
      </c>
      <c r="N209" s="297"/>
      <c r="O209" s="297"/>
      <c r="P209" s="297"/>
      <c r="Q209" s="297"/>
      <c r="R209" s="297"/>
      <c r="S209" s="302"/>
      <c r="T209" s="302"/>
      <c r="U209" s="303"/>
    </row>
    <row r="210" spans="1:25" ht="25.5" x14ac:dyDescent="0.2">
      <c r="A210" s="212" t="str">
        <f>HYPERLINK(V210,B210)</f>
        <v>LbuCode</v>
      </c>
      <c r="B210" s="283" t="s">
        <v>6949</v>
      </c>
      <c r="C210" s="284" t="s">
        <v>14764</v>
      </c>
      <c r="D210" s="285"/>
      <c r="E210" s="286"/>
      <c r="F210" s="287" t="s">
        <v>14765</v>
      </c>
      <c r="G210" s="286"/>
      <c r="H210" s="286"/>
      <c r="I210" s="288"/>
      <c r="J210" s="289"/>
      <c r="K210" s="290"/>
      <c r="L210" s="371" t="str">
        <f>HYPERLINK("[#]DatatypeListedValues!B1836:H1836","«enumeration»")</f>
        <v>«enumeration»</v>
      </c>
      <c r="M210" s="287" t="s">
        <v>6582</v>
      </c>
      <c r="N210" s="291" t="b">
        <v>0</v>
      </c>
      <c r="O210" s="286"/>
      <c r="P210" s="292"/>
      <c r="Q210" s="286"/>
      <c r="R210" s="286"/>
      <c r="S210" s="293"/>
      <c r="T210" s="294"/>
      <c r="U210" s="37">
        <v>117386</v>
      </c>
      <c r="V210" s="36" t="str">
        <f>CONCATENATE(Cover!$D$6,"fdd/view?i=",U210)</f>
        <v>https://www.dgiwg.org/FAD/fdd/view?i=117386</v>
      </c>
      <c r="W210" s="172"/>
      <c r="X210" s="172"/>
      <c r="Y210" s="172"/>
    </row>
    <row r="211" spans="1:25" ht="2.1" customHeight="1" x14ac:dyDescent="0.2">
      <c r="A211" s="295"/>
      <c r="B211" s="283"/>
      <c r="C211" s="296"/>
      <c r="D211" s="283"/>
      <c r="E211" s="296"/>
      <c r="F211" s="297"/>
      <c r="G211" s="297"/>
      <c r="H211" s="297"/>
      <c r="I211" s="298"/>
      <c r="J211" s="304"/>
      <c r="K211" s="300"/>
      <c r="L211" s="301"/>
      <c r="M211" s="297" t="s">
        <v>6582</v>
      </c>
      <c r="N211" s="297"/>
      <c r="O211" s="297"/>
      <c r="P211" s="297"/>
      <c r="Q211" s="297"/>
      <c r="R211" s="297"/>
      <c r="S211" s="302"/>
      <c r="T211" s="302"/>
      <c r="U211" s="303"/>
    </row>
    <row r="212" spans="1:25" ht="25.5" x14ac:dyDescent="0.2">
      <c r="A212" s="212" t="str">
        <f>HYPERLINK(V212,B212)</f>
        <v>IboCode</v>
      </c>
      <c r="B212" s="283" t="s">
        <v>6959</v>
      </c>
      <c r="C212" s="284" t="s">
        <v>14766</v>
      </c>
      <c r="D212" s="285"/>
      <c r="E212" s="286"/>
      <c r="F212" s="287" t="s">
        <v>14767</v>
      </c>
      <c r="G212" s="286"/>
      <c r="H212" s="286"/>
      <c r="I212" s="288"/>
      <c r="J212" s="289"/>
      <c r="K212" s="290"/>
      <c r="L212" s="371" t="str">
        <f>HYPERLINK("[#]DatatypeListedValues!B1839:H1839","«enumeration»")</f>
        <v>«enumeration»</v>
      </c>
      <c r="M212" s="287" t="s">
        <v>6582</v>
      </c>
      <c r="N212" s="291" t="b">
        <v>0</v>
      </c>
      <c r="O212" s="286"/>
      <c r="P212" s="292"/>
      <c r="Q212" s="286"/>
      <c r="R212" s="286"/>
      <c r="S212" s="293"/>
      <c r="T212" s="294"/>
      <c r="U212" s="37">
        <v>117812</v>
      </c>
      <c r="V212" s="36" t="str">
        <f>CONCATENATE(Cover!$D$6,"fdd/view?i=",U212)</f>
        <v>https://www.dgiwg.org/FAD/fdd/view?i=117812</v>
      </c>
      <c r="W212" s="172"/>
      <c r="X212" s="172"/>
      <c r="Y212" s="172"/>
    </row>
    <row r="213" spans="1:25" ht="2.1" customHeight="1" x14ac:dyDescent="0.2">
      <c r="A213" s="295"/>
      <c r="B213" s="283"/>
      <c r="C213" s="296"/>
      <c r="D213" s="283"/>
      <c r="E213" s="296"/>
      <c r="F213" s="297"/>
      <c r="G213" s="297"/>
      <c r="H213" s="297"/>
      <c r="I213" s="298"/>
      <c r="J213" s="304"/>
      <c r="K213" s="300"/>
      <c r="L213" s="301"/>
      <c r="M213" s="297" t="s">
        <v>6582</v>
      </c>
      <c r="N213" s="297"/>
      <c r="O213" s="297"/>
      <c r="P213" s="297"/>
      <c r="Q213" s="297"/>
      <c r="R213" s="297"/>
      <c r="S213" s="302"/>
      <c r="T213" s="302"/>
      <c r="U213" s="303"/>
    </row>
    <row r="214" spans="1:25" ht="25.5" x14ac:dyDescent="0.2">
      <c r="A214" s="212" t="str">
        <f>HYPERLINK(V214,B214)</f>
        <v>BvcCode</v>
      </c>
      <c r="B214" s="283" t="s">
        <v>6964</v>
      </c>
      <c r="C214" s="284" t="s">
        <v>14768</v>
      </c>
      <c r="D214" s="285"/>
      <c r="E214" s="286"/>
      <c r="F214" s="287" t="s">
        <v>14769</v>
      </c>
      <c r="G214" s="286"/>
      <c r="H214" s="286"/>
      <c r="I214" s="288"/>
      <c r="J214" s="289"/>
      <c r="K214" s="290"/>
      <c r="L214" s="371" t="str">
        <f>HYPERLINK("[#]DatatypeListedValues!B1843:H1843","«enumeration»")</f>
        <v>«enumeration»</v>
      </c>
      <c r="M214" s="287" t="s">
        <v>6582</v>
      </c>
      <c r="N214" s="291" t="b">
        <v>0</v>
      </c>
      <c r="O214" s="286"/>
      <c r="P214" s="292"/>
      <c r="Q214" s="286"/>
      <c r="R214" s="286"/>
      <c r="S214" s="293"/>
      <c r="T214" s="294"/>
      <c r="U214" s="37">
        <v>117804</v>
      </c>
      <c r="V214" s="36" t="str">
        <f>CONCATENATE(Cover!$D$6,"fdd/view?i=",U214)</f>
        <v>https://www.dgiwg.org/FAD/fdd/view?i=117804</v>
      </c>
      <c r="W214" s="172"/>
      <c r="X214" s="172"/>
      <c r="Y214" s="172"/>
    </row>
    <row r="215" spans="1:25" ht="2.1" customHeight="1" x14ac:dyDescent="0.2">
      <c r="A215" s="295"/>
      <c r="B215" s="283"/>
      <c r="C215" s="296"/>
      <c r="D215" s="283"/>
      <c r="E215" s="296"/>
      <c r="F215" s="297"/>
      <c r="G215" s="297"/>
      <c r="H215" s="297"/>
      <c r="I215" s="298"/>
      <c r="J215" s="304"/>
      <c r="K215" s="300"/>
      <c r="L215" s="301"/>
      <c r="M215" s="297" t="s">
        <v>6582</v>
      </c>
      <c r="N215" s="297"/>
      <c r="O215" s="297"/>
      <c r="P215" s="297"/>
      <c r="Q215" s="297"/>
      <c r="R215" s="297"/>
      <c r="S215" s="302"/>
      <c r="T215" s="302"/>
      <c r="U215" s="303"/>
    </row>
    <row r="216" spans="1:25" ht="25.5" x14ac:dyDescent="0.2">
      <c r="A216" s="212" t="str">
        <f>HYPERLINK(V216,B216)</f>
        <v>BatCode</v>
      </c>
      <c r="B216" s="283" t="s">
        <v>6979</v>
      </c>
      <c r="C216" s="284" t="s">
        <v>14770</v>
      </c>
      <c r="D216" s="285"/>
      <c r="E216" s="286"/>
      <c r="F216" s="287" t="s">
        <v>14771</v>
      </c>
      <c r="G216" s="286"/>
      <c r="H216" s="286"/>
      <c r="I216" s="288"/>
      <c r="J216" s="289"/>
      <c r="K216" s="290"/>
      <c r="L216" s="371" t="str">
        <f>HYPERLINK("[#]DatatypeListedValues!B1855:H1855","«enumeration»")</f>
        <v>«enumeration»</v>
      </c>
      <c r="M216" s="287" t="s">
        <v>6582</v>
      </c>
      <c r="N216" s="291" t="b">
        <v>0</v>
      </c>
      <c r="O216" s="286"/>
      <c r="P216" s="292"/>
      <c r="Q216" s="286"/>
      <c r="R216" s="286"/>
      <c r="S216" s="293"/>
      <c r="T216" s="294"/>
      <c r="U216" s="37">
        <v>1793</v>
      </c>
      <c r="V216" s="36" t="str">
        <f>CONCATENATE(Cover!$D$6,"fdd/view?i=",U216)</f>
        <v>https://www.dgiwg.org/FAD/fdd/view?i=1793</v>
      </c>
      <c r="W216" s="172"/>
      <c r="X216" s="172"/>
      <c r="Y216" s="172"/>
    </row>
    <row r="217" spans="1:25" ht="2.1" customHeight="1" x14ac:dyDescent="0.2">
      <c r="A217" s="295"/>
      <c r="B217" s="283"/>
      <c r="C217" s="296"/>
      <c r="D217" s="283"/>
      <c r="E217" s="296"/>
      <c r="F217" s="297"/>
      <c r="G217" s="297"/>
      <c r="H217" s="297"/>
      <c r="I217" s="298"/>
      <c r="J217" s="304"/>
      <c r="K217" s="300"/>
      <c r="L217" s="301"/>
      <c r="M217" s="297" t="s">
        <v>6582</v>
      </c>
      <c r="N217" s="297"/>
      <c r="O217" s="297"/>
      <c r="P217" s="297"/>
      <c r="Q217" s="297"/>
      <c r="R217" s="297"/>
      <c r="S217" s="302"/>
      <c r="T217" s="302"/>
      <c r="U217" s="303"/>
    </row>
    <row r="218" spans="1:25" ht="165.75" x14ac:dyDescent="0.2">
      <c r="A218" s="212" t="str">
        <f>HYPERLINK(V218,B218)</f>
        <v>BenKey</v>
      </c>
      <c r="B218" s="283" t="s">
        <v>6990</v>
      </c>
      <c r="C218" s="284" t="s">
        <v>14772</v>
      </c>
      <c r="D218" s="285"/>
      <c r="E218" s="286"/>
      <c r="F218" s="287" t="s">
        <v>14773</v>
      </c>
      <c r="G218" s="286"/>
      <c r="H218" s="287" t="s">
        <v>14596</v>
      </c>
      <c r="I218" s="288"/>
      <c r="J218" s="289"/>
      <c r="K218" s="290"/>
      <c r="L218" s="287" t="s">
        <v>14595</v>
      </c>
      <c r="M218" s="287" t="s">
        <v>6582</v>
      </c>
      <c r="N218" s="286"/>
      <c r="O218" s="287">
        <v>10</v>
      </c>
      <c r="P218" s="305" t="b">
        <v>0</v>
      </c>
      <c r="Q218" s="287" t="s">
        <v>14774</v>
      </c>
      <c r="R218" s="286"/>
      <c r="S218" s="293"/>
      <c r="T218" s="294"/>
      <c r="U218" s="37">
        <v>3613</v>
      </c>
      <c r="V218" s="36" t="str">
        <f>CONCATENATE(Cover!$D$6,"fdd/view?i=",U218)</f>
        <v>https://www.dgiwg.org/FAD/fdd/view?i=3613</v>
      </c>
      <c r="W218" s="172"/>
      <c r="X218" s="172"/>
      <c r="Y218" s="172"/>
    </row>
    <row r="219" spans="1:25" ht="2.1" customHeight="1" x14ac:dyDescent="0.2">
      <c r="A219" s="295"/>
      <c r="B219" s="283"/>
      <c r="C219" s="296"/>
      <c r="D219" s="283"/>
      <c r="E219" s="296"/>
      <c r="F219" s="297"/>
      <c r="G219" s="297"/>
      <c r="H219" s="297"/>
      <c r="I219" s="298"/>
      <c r="J219" s="304"/>
      <c r="K219" s="300"/>
      <c r="L219" s="301"/>
      <c r="M219" s="297" t="s">
        <v>6582</v>
      </c>
      <c r="N219" s="297"/>
      <c r="O219" s="297"/>
      <c r="P219" s="297"/>
      <c r="Q219" s="297"/>
      <c r="R219" s="297"/>
      <c r="S219" s="302"/>
      <c r="T219" s="302"/>
      <c r="U219" s="303"/>
    </row>
    <row r="220" spans="1:25" ht="25.5" x14ac:dyDescent="0.2">
      <c r="A220" s="212" t="str">
        <f>HYPERLINK(V220,B220)</f>
        <v>BgtCode</v>
      </c>
      <c r="B220" s="283" t="s">
        <v>6995</v>
      </c>
      <c r="C220" s="284" t="s">
        <v>14775</v>
      </c>
      <c r="D220" s="285"/>
      <c r="E220" s="286"/>
      <c r="F220" s="287" t="s">
        <v>14776</v>
      </c>
      <c r="G220" s="286"/>
      <c r="H220" s="286"/>
      <c r="I220" s="288"/>
      <c r="J220" s="289"/>
      <c r="K220" s="290"/>
      <c r="L220" s="371" t="str">
        <f>HYPERLINK("[#]DatatypeListedValues!B1860:H1860","«enumeration»")</f>
        <v>«enumeration»</v>
      </c>
      <c r="M220" s="287" t="s">
        <v>6582</v>
      </c>
      <c r="N220" s="291" t="b">
        <v>0</v>
      </c>
      <c r="O220" s="286"/>
      <c r="P220" s="292"/>
      <c r="Q220" s="286"/>
      <c r="R220" s="286"/>
      <c r="S220" s="293"/>
      <c r="T220" s="294"/>
      <c r="U220" s="37">
        <v>117803</v>
      </c>
      <c r="V220" s="36" t="str">
        <f>CONCATENATE(Cover!$D$6,"fdd/view?i=",U220)</f>
        <v>https://www.dgiwg.org/FAD/fdd/view?i=117803</v>
      </c>
      <c r="W220" s="172"/>
      <c r="X220" s="172"/>
      <c r="Y220" s="172"/>
    </row>
    <row r="221" spans="1:25" ht="2.1" customHeight="1" x14ac:dyDescent="0.2">
      <c r="A221" s="295"/>
      <c r="B221" s="283"/>
      <c r="C221" s="296"/>
      <c r="D221" s="283"/>
      <c r="E221" s="296"/>
      <c r="F221" s="297"/>
      <c r="G221" s="297"/>
      <c r="H221" s="297"/>
      <c r="I221" s="298"/>
      <c r="J221" s="304"/>
      <c r="K221" s="300"/>
      <c r="L221" s="301"/>
      <c r="M221" s="297" t="s">
        <v>6582</v>
      </c>
      <c r="N221" s="297"/>
      <c r="O221" s="297"/>
      <c r="P221" s="297"/>
      <c r="Q221" s="297"/>
      <c r="R221" s="297"/>
      <c r="S221" s="302"/>
      <c r="T221" s="302"/>
      <c r="U221" s="303"/>
    </row>
    <row r="222" spans="1:25" ht="38.25" x14ac:dyDescent="0.2">
      <c r="A222" s="212" t="str">
        <f>HYPERLINK(V222,B222)</f>
        <v>DkcCode</v>
      </c>
      <c r="B222" s="283" t="s">
        <v>7001</v>
      </c>
      <c r="C222" s="284" t="s">
        <v>14777</v>
      </c>
      <c r="D222" s="285"/>
      <c r="E222" s="286"/>
      <c r="F222" s="287" t="s">
        <v>14778</v>
      </c>
      <c r="G222" s="286"/>
      <c r="H222" s="286"/>
      <c r="I222" s="288"/>
      <c r="J222" s="289"/>
      <c r="K222" s="290"/>
      <c r="L222" s="371" t="str">
        <f>HYPERLINK("[#]DatatypeListedValues!B1863:H1863","«enumeration»")</f>
        <v>«enumeration»</v>
      </c>
      <c r="M222" s="287" t="s">
        <v>6582</v>
      </c>
      <c r="N222" s="291" t="b">
        <v>0</v>
      </c>
      <c r="O222" s="286"/>
      <c r="P222" s="292"/>
      <c r="Q222" s="286"/>
      <c r="R222" s="286"/>
      <c r="S222" s="293"/>
      <c r="T222" s="294"/>
      <c r="U222" s="37">
        <v>1192</v>
      </c>
      <c r="V222" s="36" t="str">
        <f>CONCATENATE(Cover!$D$6,"fdd/view?i=",U222)</f>
        <v>https://www.dgiwg.org/FAD/fdd/view?i=1192</v>
      </c>
      <c r="W222" s="172"/>
      <c r="X222" s="172"/>
      <c r="Y222" s="172"/>
    </row>
    <row r="223" spans="1:25" ht="2.1" customHeight="1" x14ac:dyDescent="0.2">
      <c r="A223" s="295"/>
      <c r="B223" s="283"/>
      <c r="C223" s="296"/>
      <c r="D223" s="283"/>
      <c r="E223" s="296"/>
      <c r="F223" s="297"/>
      <c r="G223" s="297"/>
      <c r="H223" s="297"/>
      <c r="I223" s="298"/>
      <c r="J223" s="304"/>
      <c r="K223" s="300"/>
      <c r="L223" s="301"/>
      <c r="M223" s="297" t="s">
        <v>6582</v>
      </c>
      <c r="N223" s="297"/>
      <c r="O223" s="297"/>
      <c r="P223" s="297"/>
      <c r="Q223" s="297"/>
      <c r="R223" s="297"/>
      <c r="S223" s="302"/>
      <c r="T223" s="302"/>
      <c r="U223" s="303"/>
    </row>
    <row r="224" spans="1:25" ht="25.5" x14ac:dyDescent="0.2">
      <c r="A224" s="212" t="str">
        <f>HYPERLINK(V224,B224)</f>
        <v>TecCode</v>
      </c>
      <c r="B224" s="283" t="s">
        <v>7006</v>
      </c>
      <c r="C224" s="284" t="s">
        <v>14779</v>
      </c>
      <c r="D224" s="285"/>
      <c r="E224" s="286"/>
      <c r="F224" s="287" t="s">
        <v>14780</v>
      </c>
      <c r="G224" s="286"/>
      <c r="H224" s="286"/>
      <c r="I224" s="288"/>
      <c r="J224" s="289"/>
      <c r="K224" s="290"/>
      <c r="L224" s="371" t="str">
        <f>HYPERLINK("[#]DatatypeListedValues!B1874:H1874","«enumeration»")</f>
        <v>«enumeration»</v>
      </c>
      <c r="M224" s="287" t="s">
        <v>6582</v>
      </c>
      <c r="N224" s="291" t="b">
        <v>0</v>
      </c>
      <c r="O224" s="286"/>
      <c r="P224" s="292"/>
      <c r="Q224" s="286"/>
      <c r="R224" s="286"/>
      <c r="S224" s="293"/>
      <c r="T224" s="294"/>
      <c r="U224" s="37">
        <v>1484</v>
      </c>
      <c r="V224" s="36" t="str">
        <f>CONCATENATE(Cover!$D$6,"fdd/view?i=",U224)</f>
        <v>https://www.dgiwg.org/FAD/fdd/view?i=1484</v>
      </c>
      <c r="W224" s="172"/>
      <c r="X224" s="172"/>
      <c r="Y224" s="172"/>
    </row>
    <row r="225" spans="1:25" ht="2.1" customHeight="1" x14ac:dyDescent="0.2">
      <c r="A225" s="295"/>
      <c r="B225" s="283"/>
      <c r="C225" s="296"/>
      <c r="D225" s="283"/>
      <c r="E225" s="296"/>
      <c r="F225" s="297"/>
      <c r="G225" s="297"/>
      <c r="H225" s="297"/>
      <c r="I225" s="298"/>
      <c r="J225" s="304"/>
      <c r="K225" s="300"/>
      <c r="L225" s="301"/>
      <c r="M225" s="297" t="s">
        <v>6582</v>
      </c>
      <c r="N225" s="297"/>
      <c r="O225" s="297"/>
      <c r="P225" s="297"/>
      <c r="Q225" s="297"/>
      <c r="R225" s="297"/>
      <c r="S225" s="302"/>
      <c r="T225" s="302"/>
      <c r="U225" s="303"/>
    </row>
    <row r="226" spans="1:25" ht="25.5" x14ac:dyDescent="0.2">
      <c r="A226" s="212" t="str">
        <f>HYPERLINK(V226,B226)</f>
        <v>BycCode</v>
      </c>
      <c r="B226" s="283" t="s">
        <v>7016</v>
      </c>
      <c r="C226" s="284" t="s">
        <v>14781</v>
      </c>
      <c r="D226" s="285"/>
      <c r="E226" s="286"/>
      <c r="F226" s="287" t="s">
        <v>14782</v>
      </c>
      <c r="G226" s="286"/>
      <c r="H226" s="286"/>
      <c r="I226" s="288"/>
      <c r="J226" s="289"/>
      <c r="K226" s="290"/>
      <c r="L226" s="371" t="str">
        <f>HYPERLINK("[#]DatatypeListedValues!B1890:H1890","«enumeration»")</f>
        <v>«enumeration»</v>
      </c>
      <c r="M226" s="287" t="s">
        <v>6582</v>
      </c>
      <c r="N226" s="291" t="b">
        <v>0</v>
      </c>
      <c r="O226" s="286"/>
      <c r="P226" s="292"/>
      <c r="Q226" s="286"/>
      <c r="R226" s="286"/>
      <c r="S226" s="293"/>
      <c r="T226" s="294"/>
      <c r="U226" s="37">
        <v>1794</v>
      </c>
      <c r="V226" s="36" t="str">
        <f>CONCATENATE(Cover!$D$6,"fdd/view?i=",U226)</f>
        <v>https://www.dgiwg.org/FAD/fdd/view?i=1794</v>
      </c>
      <c r="W226" s="172"/>
      <c r="X226" s="172"/>
      <c r="Y226" s="172"/>
    </row>
    <row r="227" spans="1:25" ht="2.1" customHeight="1" x14ac:dyDescent="0.2">
      <c r="A227" s="295"/>
      <c r="B227" s="283"/>
      <c r="C227" s="296"/>
      <c r="D227" s="283"/>
      <c r="E227" s="296"/>
      <c r="F227" s="297"/>
      <c r="G227" s="297"/>
      <c r="H227" s="297"/>
      <c r="I227" s="298"/>
      <c r="J227" s="304"/>
      <c r="K227" s="300"/>
      <c r="L227" s="301"/>
      <c r="M227" s="297" t="s">
        <v>6582</v>
      </c>
      <c r="N227" s="297"/>
      <c r="O227" s="297"/>
      <c r="P227" s="297"/>
      <c r="Q227" s="297"/>
      <c r="R227" s="297"/>
      <c r="S227" s="302"/>
      <c r="T227" s="302"/>
      <c r="U227" s="303"/>
    </row>
    <row r="228" spans="1:25" ht="25.5" x14ac:dyDescent="0.2">
      <c r="A228" s="212" t="str">
        <f>HYPERLINK(V228,B228)</f>
        <v>BecCode</v>
      </c>
      <c r="B228" s="283" t="s">
        <v>7021</v>
      </c>
      <c r="C228" s="284" t="s">
        <v>14783</v>
      </c>
      <c r="D228" s="285"/>
      <c r="E228" s="286"/>
      <c r="F228" s="287" t="s">
        <v>14784</v>
      </c>
      <c r="G228" s="286"/>
      <c r="H228" s="286"/>
      <c r="I228" s="288"/>
      <c r="J228" s="289"/>
      <c r="K228" s="290"/>
      <c r="L228" s="371" t="str">
        <f>HYPERLINK("[#]DatatypeListedValues!B1895:H1895","«enumeration»")</f>
        <v>«enumeration»</v>
      </c>
      <c r="M228" s="287" t="s">
        <v>6582</v>
      </c>
      <c r="N228" s="291" t="b">
        <v>0</v>
      </c>
      <c r="O228" s="286"/>
      <c r="P228" s="292"/>
      <c r="Q228" s="286"/>
      <c r="R228" s="286"/>
      <c r="S228" s="293"/>
      <c r="T228" s="294"/>
      <c r="U228" s="37">
        <v>119222</v>
      </c>
      <c r="V228" s="36" t="str">
        <f>CONCATENATE(Cover!$D$6,"fdd/view?i=",U228)</f>
        <v>https://www.dgiwg.org/FAD/fdd/view?i=119222</v>
      </c>
      <c r="W228" s="172"/>
      <c r="X228" s="172"/>
      <c r="Y228" s="172"/>
    </row>
    <row r="229" spans="1:25" ht="2.1" customHeight="1" x14ac:dyDescent="0.2">
      <c r="A229" s="295"/>
      <c r="B229" s="283"/>
      <c r="C229" s="296"/>
      <c r="D229" s="283"/>
      <c r="E229" s="296"/>
      <c r="F229" s="297"/>
      <c r="G229" s="297"/>
      <c r="H229" s="297"/>
      <c r="I229" s="298"/>
      <c r="J229" s="304"/>
      <c r="K229" s="300"/>
      <c r="L229" s="301"/>
      <c r="M229" s="297" t="s">
        <v>6582</v>
      </c>
      <c r="N229" s="297"/>
      <c r="O229" s="297"/>
      <c r="P229" s="297"/>
      <c r="Q229" s="297"/>
      <c r="R229" s="297"/>
      <c r="S229" s="302"/>
      <c r="T229" s="302"/>
      <c r="U229" s="303"/>
    </row>
    <row r="230" spans="1:25" ht="38.25" x14ac:dyDescent="0.2">
      <c r="A230" s="212" t="str">
        <f>HYPERLINK(V230,B230)</f>
        <v>BrrStrucText</v>
      </c>
      <c r="B230" s="283" t="s">
        <v>7045</v>
      </c>
      <c r="C230" s="284" t="s">
        <v>14785</v>
      </c>
      <c r="D230" s="285"/>
      <c r="E230" s="286"/>
      <c r="F230" s="287" t="s">
        <v>14786</v>
      </c>
      <c r="G230" s="286"/>
      <c r="H230" s="287" t="s">
        <v>14552</v>
      </c>
      <c r="I230" s="288"/>
      <c r="J230" s="289"/>
      <c r="K230" s="290"/>
      <c r="L230" s="287" t="s">
        <v>14551</v>
      </c>
      <c r="M230" s="287" t="s">
        <v>6582</v>
      </c>
      <c r="N230" s="286"/>
      <c r="O230" s="287">
        <v>11</v>
      </c>
      <c r="P230" s="305" t="b">
        <v>0</v>
      </c>
      <c r="Q230" s="287" t="s">
        <v>14787</v>
      </c>
      <c r="R230" s="286"/>
      <c r="S230" s="293"/>
      <c r="T230" s="294"/>
      <c r="U230" s="37">
        <v>3736</v>
      </c>
      <c r="V230" s="36" t="str">
        <f>CONCATENATE(Cover!$D$6,"fdd/view?i=",U230)</f>
        <v>https://www.dgiwg.org/FAD/fdd/view?i=3736</v>
      </c>
      <c r="W230" s="172"/>
      <c r="X230" s="172"/>
      <c r="Y230" s="172"/>
    </row>
    <row r="231" spans="1:25" ht="2.1" customHeight="1" x14ac:dyDescent="0.2">
      <c r="A231" s="295"/>
      <c r="B231" s="283"/>
      <c r="C231" s="296"/>
      <c r="D231" s="283"/>
      <c r="E231" s="296"/>
      <c r="F231" s="297"/>
      <c r="G231" s="297"/>
      <c r="H231" s="297"/>
      <c r="I231" s="298"/>
      <c r="J231" s="304"/>
      <c r="K231" s="300"/>
      <c r="L231" s="301"/>
      <c r="M231" s="297" t="s">
        <v>6582</v>
      </c>
      <c r="N231" s="297"/>
      <c r="O231" s="297"/>
      <c r="P231" s="297"/>
      <c r="Q231" s="297"/>
      <c r="R231" s="297"/>
      <c r="S231" s="302"/>
      <c r="T231" s="302"/>
      <c r="U231" s="303"/>
    </row>
    <row r="232" spans="1:25" ht="25.5" x14ac:dyDescent="0.2">
      <c r="A232" s="212" t="str">
        <f>HYPERLINK(V232,B232)</f>
        <v>BcoCode</v>
      </c>
      <c r="B232" s="283" t="s">
        <v>7078</v>
      </c>
      <c r="C232" s="284" t="s">
        <v>14788</v>
      </c>
      <c r="D232" s="285"/>
      <c r="E232" s="286"/>
      <c r="F232" s="287" t="s">
        <v>14789</v>
      </c>
      <c r="G232" s="286"/>
      <c r="H232" s="286"/>
      <c r="I232" s="288"/>
      <c r="J232" s="289"/>
      <c r="K232" s="290"/>
      <c r="L232" s="371" t="str">
        <f>HYPERLINK("[#]DatatypeListedValues!B1899:H1899","«enumeration»")</f>
        <v>«enumeration»</v>
      </c>
      <c r="M232" s="287" t="s">
        <v>6582</v>
      </c>
      <c r="N232" s="291" t="b">
        <v>0</v>
      </c>
      <c r="O232" s="286"/>
      <c r="P232" s="292"/>
      <c r="Q232" s="286"/>
      <c r="R232" s="286"/>
      <c r="S232" s="293"/>
      <c r="T232" s="294"/>
      <c r="U232" s="37">
        <v>118630</v>
      </c>
      <c r="V232" s="36" t="str">
        <f>CONCATENATE(Cover!$D$6,"fdd/view?i=",U232)</f>
        <v>https://www.dgiwg.org/FAD/fdd/view?i=118630</v>
      </c>
      <c r="W232" s="172"/>
      <c r="X232" s="172"/>
      <c r="Y232" s="172"/>
    </row>
    <row r="233" spans="1:25" ht="2.1" customHeight="1" x14ac:dyDescent="0.2">
      <c r="A233" s="295"/>
      <c r="B233" s="283"/>
      <c r="C233" s="296"/>
      <c r="D233" s="283"/>
      <c r="E233" s="296"/>
      <c r="F233" s="297"/>
      <c r="G233" s="297"/>
      <c r="H233" s="297"/>
      <c r="I233" s="298"/>
      <c r="J233" s="304"/>
      <c r="K233" s="300"/>
      <c r="L233" s="301"/>
      <c r="M233" s="297" t="s">
        <v>6582</v>
      </c>
      <c r="N233" s="297"/>
      <c r="O233" s="297"/>
      <c r="P233" s="297"/>
      <c r="Q233" s="297"/>
      <c r="R233" s="297"/>
      <c r="S233" s="302"/>
      <c r="T233" s="302"/>
      <c r="U233" s="303"/>
    </row>
    <row r="234" spans="1:25" ht="25.5" x14ac:dyDescent="0.2">
      <c r="A234" s="212" t="str">
        <f>HYPERLINK(V234,B234)</f>
        <v>WwfCode</v>
      </c>
      <c r="B234" s="283" t="s">
        <v>7084</v>
      </c>
      <c r="C234" s="284" t="s">
        <v>14790</v>
      </c>
      <c r="D234" s="285"/>
      <c r="E234" s="286"/>
      <c r="F234" s="287" t="s">
        <v>14791</v>
      </c>
      <c r="G234" s="286"/>
      <c r="H234" s="286"/>
      <c r="I234" s="288"/>
      <c r="J234" s="289"/>
      <c r="K234" s="290"/>
      <c r="L234" s="371" t="str">
        <f>HYPERLINK("[#]DatatypeListedValues!B1902:H1902","«enumeration»")</f>
        <v>«enumeration»</v>
      </c>
      <c r="M234" s="287" t="s">
        <v>6582</v>
      </c>
      <c r="N234" s="291" t="b">
        <v>0</v>
      </c>
      <c r="O234" s="286"/>
      <c r="P234" s="292"/>
      <c r="Q234" s="286"/>
      <c r="R234" s="286"/>
      <c r="S234" s="293"/>
      <c r="T234" s="294"/>
      <c r="U234" s="37">
        <v>118644</v>
      </c>
      <c r="V234" s="36" t="str">
        <f>CONCATENATE(Cover!$D$6,"fdd/view?i=",U234)</f>
        <v>https://www.dgiwg.org/FAD/fdd/view?i=118644</v>
      </c>
      <c r="W234" s="172"/>
      <c r="X234" s="172"/>
      <c r="Y234" s="172"/>
    </row>
    <row r="235" spans="1:25" ht="2.1" customHeight="1" x14ac:dyDescent="0.2">
      <c r="A235" s="295"/>
      <c r="B235" s="283"/>
      <c r="C235" s="296"/>
      <c r="D235" s="283"/>
      <c r="E235" s="296"/>
      <c r="F235" s="297"/>
      <c r="G235" s="297"/>
      <c r="H235" s="297"/>
      <c r="I235" s="298"/>
      <c r="J235" s="304"/>
      <c r="K235" s="300"/>
      <c r="L235" s="301"/>
      <c r="M235" s="297" t="s">
        <v>6582</v>
      </c>
      <c r="N235" s="297"/>
      <c r="O235" s="297"/>
      <c r="P235" s="297"/>
      <c r="Q235" s="297"/>
      <c r="R235" s="297"/>
      <c r="S235" s="302"/>
      <c r="T235" s="302"/>
      <c r="U235" s="303"/>
    </row>
    <row r="236" spans="1:25" ht="25.5" x14ac:dyDescent="0.2">
      <c r="A236" s="212" t="str">
        <f>HYPERLINK(V236,B236)</f>
        <v>BocCode</v>
      </c>
      <c r="B236" s="283" t="s">
        <v>7099</v>
      </c>
      <c r="C236" s="284" t="s">
        <v>14792</v>
      </c>
      <c r="D236" s="285"/>
      <c r="E236" s="286"/>
      <c r="F236" s="287" t="s">
        <v>14793</v>
      </c>
      <c r="G236" s="286"/>
      <c r="H236" s="286"/>
      <c r="I236" s="288"/>
      <c r="J236" s="289"/>
      <c r="K236" s="290"/>
      <c r="L236" s="371" t="str">
        <f>HYPERLINK("[#]DatatypeListedValues!B1928:H1928","«enumeration»")</f>
        <v>«enumeration»</v>
      </c>
      <c r="M236" s="287" t="s">
        <v>6582</v>
      </c>
      <c r="N236" s="291" t="b">
        <v>0</v>
      </c>
      <c r="O236" s="286"/>
      <c r="P236" s="292"/>
      <c r="Q236" s="286"/>
      <c r="R236" s="286"/>
      <c r="S236" s="293"/>
      <c r="T236" s="294"/>
      <c r="U236" s="37">
        <v>1134</v>
      </c>
      <c r="V236" s="36" t="str">
        <f>CONCATENATE(Cover!$D$6,"fdd/view?i=",U236)</f>
        <v>https://www.dgiwg.org/FAD/fdd/view?i=1134</v>
      </c>
      <c r="W236" s="172"/>
      <c r="X236" s="172"/>
      <c r="Y236" s="172"/>
    </row>
    <row r="237" spans="1:25" ht="2.1" customHeight="1" x14ac:dyDescent="0.2">
      <c r="A237" s="295"/>
      <c r="B237" s="283"/>
      <c r="C237" s="296"/>
      <c r="D237" s="283"/>
      <c r="E237" s="296"/>
      <c r="F237" s="297"/>
      <c r="G237" s="297"/>
      <c r="H237" s="297"/>
      <c r="I237" s="298"/>
      <c r="J237" s="304"/>
      <c r="K237" s="300"/>
      <c r="L237" s="301"/>
      <c r="M237" s="297" t="s">
        <v>6582</v>
      </c>
      <c r="N237" s="297"/>
      <c r="O237" s="297"/>
      <c r="P237" s="297"/>
      <c r="Q237" s="297"/>
      <c r="R237" s="297"/>
      <c r="S237" s="302"/>
      <c r="T237" s="302"/>
      <c r="U237" s="303"/>
    </row>
    <row r="238" spans="1:25" ht="25.5" x14ac:dyDescent="0.2">
      <c r="A238" s="212" t="str">
        <f>HYPERLINK(V238,B238)</f>
        <v>BrdCode</v>
      </c>
      <c r="B238" s="283" t="s">
        <v>7109</v>
      </c>
      <c r="C238" s="284" t="s">
        <v>14794</v>
      </c>
      <c r="D238" s="285"/>
      <c r="E238" s="286"/>
      <c r="F238" s="287" t="s">
        <v>14795</v>
      </c>
      <c r="G238" s="286"/>
      <c r="H238" s="286"/>
      <c r="I238" s="288"/>
      <c r="J238" s="289"/>
      <c r="K238" s="290"/>
      <c r="L238" s="371" t="str">
        <f>HYPERLINK("[#]DatatypeListedValues!B1947:H1947","«enumeration»")</f>
        <v>«enumeration»</v>
      </c>
      <c r="M238" s="287" t="s">
        <v>6582</v>
      </c>
      <c r="N238" s="291" t="b">
        <v>0</v>
      </c>
      <c r="O238" s="286"/>
      <c r="P238" s="292"/>
      <c r="Q238" s="286"/>
      <c r="R238" s="286"/>
      <c r="S238" s="293"/>
      <c r="T238" s="294"/>
      <c r="U238" s="37">
        <v>119655</v>
      </c>
      <c r="V238" s="36" t="str">
        <f>CONCATENATE(Cover!$D$6,"fdd/view?i=",U238)</f>
        <v>https://www.dgiwg.org/FAD/fdd/view?i=119655</v>
      </c>
      <c r="W238" s="172"/>
      <c r="X238" s="172"/>
      <c r="Y238" s="172"/>
    </row>
    <row r="239" spans="1:25" ht="2.1" customHeight="1" x14ac:dyDescent="0.2">
      <c r="A239" s="295"/>
      <c r="B239" s="283"/>
      <c r="C239" s="296"/>
      <c r="D239" s="283"/>
      <c r="E239" s="296"/>
      <c r="F239" s="297"/>
      <c r="G239" s="297"/>
      <c r="H239" s="297"/>
      <c r="I239" s="298"/>
      <c r="J239" s="304"/>
      <c r="K239" s="300"/>
      <c r="L239" s="301"/>
      <c r="M239" s="297" t="s">
        <v>6582</v>
      </c>
      <c r="N239" s="297"/>
      <c r="O239" s="297"/>
      <c r="P239" s="297"/>
      <c r="Q239" s="297"/>
      <c r="R239" s="297"/>
      <c r="S239" s="302"/>
      <c r="T239" s="302"/>
      <c r="U239" s="303"/>
    </row>
    <row r="240" spans="1:25" ht="51" x14ac:dyDescent="0.2">
      <c r="A240" s="212" t="str">
        <f>HYPERLINK(V240,B240)</f>
        <v>Boolean</v>
      </c>
      <c r="B240" s="283" t="s">
        <v>6103</v>
      </c>
      <c r="C240" s="284" t="s">
        <v>6103</v>
      </c>
      <c r="D240" s="285"/>
      <c r="E240" s="286"/>
      <c r="F240" s="287" t="s">
        <v>14796</v>
      </c>
      <c r="G240" s="287" t="s">
        <v>14797</v>
      </c>
      <c r="H240" s="287" t="s">
        <v>14799</v>
      </c>
      <c r="I240" s="288"/>
      <c r="J240" s="289"/>
      <c r="K240" s="290"/>
      <c r="L240" s="287" t="s">
        <v>14798</v>
      </c>
      <c r="M240" s="287" t="s">
        <v>6582</v>
      </c>
      <c r="N240" s="286"/>
      <c r="O240" s="286"/>
      <c r="P240" s="292"/>
      <c r="Q240" s="286"/>
      <c r="R240" s="286"/>
      <c r="S240" s="293"/>
      <c r="T240" s="294"/>
      <c r="U240" s="37">
        <v>1001</v>
      </c>
      <c r="V240" s="36" t="str">
        <f>CONCATENATE(Cover!$D$6,"fdd/view?i=",U240)</f>
        <v>https://www.dgiwg.org/FAD/fdd/view?i=1001</v>
      </c>
      <c r="W240" s="172"/>
      <c r="X240" s="172"/>
      <c r="Y240" s="172"/>
    </row>
    <row r="241" spans="1:25" ht="2.1" customHeight="1" x14ac:dyDescent="0.2">
      <c r="A241" s="295"/>
      <c r="B241" s="283"/>
      <c r="C241" s="296"/>
      <c r="D241" s="283"/>
      <c r="E241" s="296"/>
      <c r="F241" s="297"/>
      <c r="G241" s="297"/>
      <c r="H241" s="297"/>
      <c r="I241" s="298"/>
      <c r="J241" s="304"/>
      <c r="K241" s="300"/>
      <c r="L241" s="301"/>
      <c r="M241" s="297" t="s">
        <v>6582</v>
      </c>
      <c r="N241" s="297"/>
      <c r="O241" s="297"/>
      <c r="P241" s="297"/>
      <c r="Q241" s="297"/>
      <c r="R241" s="297"/>
      <c r="S241" s="302"/>
      <c r="T241" s="302"/>
      <c r="U241" s="303"/>
    </row>
    <row r="242" spans="1:25" ht="25.5" x14ac:dyDescent="0.2">
      <c r="A242" s="212" t="str">
        <f>HYPERLINK(V242,B242)</f>
        <v>BryCode</v>
      </c>
      <c r="B242" s="283" t="s">
        <v>7114</v>
      </c>
      <c r="C242" s="284" t="s">
        <v>14800</v>
      </c>
      <c r="D242" s="285"/>
      <c r="E242" s="286"/>
      <c r="F242" s="287" t="s">
        <v>14801</v>
      </c>
      <c r="G242" s="286"/>
      <c r="H242" s="286"/>
      <c r="I242" s="288"/>
      <c r="J242" s="289"/>
      <c r="K242" s="290"/>
      <c r="L242" s="371" t="str">
        <f>HYPERLINK("[#]DatatypeListedValues!B1949:H1949","«enumeration»")</f>
        <v>«enumeration»</v>
      </c>
      <c r="M242" s="287" t="s">
        <v>6582</v>
      </c>
      <c r="N242" s="291" t="b">
        <v>0</v>
      </c>
      <c r="O242" s="286"/>
      <c r="P242" s="292"/>
      <c r="Q242" s="286"/>
      <c r="R242" s="286"/>
      <c r="S242" s="293"/>
      <c r="T242" s="294"/>
      <c r="U242" s="37">
        <v>118652</v>
      </c>
      <c r="V242" s="36" t="str">
        <f>CONCATENATE(Cover!$D$6,"fdd/view?i=",U242)</f>
        <v>https://www.dgiwg.org/FAD/fdd/view?i=118652</v>
      </c>
      <c r="W242" s="172"/>
      <c r="X242" s="172"/>
      <c r="Y242" s="172"/>
    </row>
    <row r="243" spans="1:25" ht="2.1" customHeight="1" x14ac:dyDescent="0.2">
      <c r="A243" s="295"/>
      <c r="B243" s="283"/>
      <c r="C243" s="296"/>
      <c r="D243" s="283"/>
      <c r="E243" s="296"/>
      <c r="F243" s="297"/>
      <c r="G243" s="297"/>
      <c r="H243" s="297"/>
      <c r="I243" s="298"/>
      <c r="J243" s="304"/>
      <c r="K243" s="300"/>
      <c r="L243" s="301"/>
      <c r="M243" s="297" t="s">
        <v>6582</v>
      </c>
      <c r="N243" s="297"/>
      <c r="O243" s="297"/>
      <c r="P243" s="297"/>
      <c r="Q243" s="297"/>
      <c r="R243" s="297"/>
      <c r="S243" s="302"/>
      <c r="T243" s="302"/>
      <c r="U243" s="303"/>
    </row>
    <row r="244" spans="1:25" ht="25.5" x14ac:dyDescent="0.2">
      <c r="A244" s="212" t="str">
        <f>HYPERLINK(V244,B244)</f>
        <v>BptCode</v>
      </c>
      <c r="B244" s="283" t="s">
        <v>7120</v>
      </c>
      <c r="C244" s="284" t="s">
        <v>14802</v>
      </c>
      <c r="D244" s="285"/>
      <c r="E244" s="286"/>
      <c r="F244" s="287" t="s">
        <v>14803</v>
      </c>
      <c r="G244" s="286"/>
      <c r="H244" s="286"/>
      <c r="I244" s="288"/>
      <c r="J244" s="289"/>
      <c r="K244" s="290"/>
      <c r="L244" s="371" t="str">
        <f>HYPERLINK("[#]DatatypeListedValues!B1954:H1954","«enumeration»")</f>
        <v>«enumeration»</v>
      </c>
      <c r="M244" s="287" t="s">
        <v>6582</v>
      </c>
      <c r="N244" s="291" t="b">
        <v>0</v>
      </c>
      <c r="O244" s="286"/>
      <c r="P244" s="292"/>
      <c r="Q244" s="286"/>
      <c r="R244" s="286"/>
      <c r="S244" s="293"/>
      <c r="T244" s="294"/>
      <c r="U244" s="37">
        <v>118645</v>
      </c>
      <c r="V244" s="36" t="str">
        <f>CONCATENATE(Cover!$D$6,"fdd/view?i=",U244)</f>
        <v>https://www.dgiwg.org/FAD/fdd/view?i=118645</v>
      </c>
      <c r="W244" s="172"/>
      <c r="X244" s="172"/>
      <c r="Y244" s="172"/>
    </row>
    <row r="245" spans="1:25" ht="2.1" customHeight="1" x14ac:dyDescent="0.2">
      <c r="A245" s="295"/>
      <c r="B245" s="283"/>
      <c r="C245" s="296"/>
      <c r="D245" s="283"/>
      <c r="E245" s="296"/>
      <c r="F245" s="297"/>
      <c r="G245" s="297"/>
      <c r="H245" s="297"/>
      <c r="I245" s="298"/>
      <c r="J245" s="304"/>
      <c r="K245" s="300"/>
      <c r="L245" s="301"/>
      <c r="M245" s="297" t="s">
        <v>6582</v>
      </c>
      <c r="N245" s="297"/>
      <c r="O245" s="297"/>
      <c r="P245" s="297"/>
      <c r="Q245" s="297"/>
      <c r="R245" s="297"/>
      <c r="S245" s="302"/>
      <c r="T245" s="302"/>
      <c r="U245" s="303"/>
    </row>
    <row r="246" spans="1:25" ht="63.75" x14ac:dyDescent="0.2">
      <c r="A246" s="212" t="str">
        <f>HYPERLINK(V246,B246)</f>
        <v>DtaStrucText</v>
      </c>
      <c r="B246" s="283" t="s">
        <v>7126</v>
      </c>
      <c r="C246" s="284" t="s">
        <v>14804</v>
      </c>
      <c r="D246" s="285"/>
      <c r="E246" s="286"/>
      <c r="F246" s="287" t="s">
        <v>14805</v>
      </c>
      <c r="G246" s="286"/>
      <c r="H246" s="287" t="s">
        <v>14552</v>
      </c>
      <c r="I246" s="288"/>
      <c r="J246" s="289"/>
      <c r="K246" s="290"/>
      <c r="L246" s="287" t="s">
        <v>14551</v>
      </c>
      <c r="M246" s="287" t="s">
        <v>6582</v>
      </c>
      <c r="N246" s="286"/>
      <c r="O246" s="287">
        <v>8</v>
      </c>
      <c r="P246" s="305" t="b">
        <v>0</v>
      </c>
      <c r="Q246" s="287" t="s">
        <v>14806</v>
      </c>
      <c r="R246" s="286"/>
      <c r="S246" s="293"/>
      <c r="T246" s="294"/>
      <c r="U246" s="37">
        <v>1027</v>
      </c>
      <c r="V246" s="36" t="str">
        <f>CONCATENATE(Cover!$D$6,"fdd/view?i=",U246)</f>
        <v>https://www.dgiwg.org/FAD/fdd/view?i=1027</v>
      </c>
      <c r="W246" s="172"/>
      <c r="X246" s="172"/>
      <c r="Y246" s="172"/>
    </row>
    <row r="247" spans="1:25" ht="2.1" customHeight="1" x14ac:dyDescent="0.2">
      <c r="A247" s="295"/>
      <c r="B247" s="283"/>
      <c r="C247" s="296"/>
      <c r="D247" s="283"/>
      <c r="E247" s="296"/>
      <c r="F247" s="297"/>
      <c r="G247" s="297"/>
      <c r="H247" s="297"/>
      <c r="I247" s="298"/>
      <c r="J247" s="304"/>
      <c r="K247" s="300"/>
      <c r="L247" s="301"/>
      <c r="M247" s="297" t="s">
        <v>6582</v>
      </c>
      <c r="N247" s="297"/>
      <c r="O247" s="297"/>
      <c r="P247" s="297"/>
      <c r="Q247" s="297"/>
      <c r="R247" s="297"/>
      <c r="S247" s="302"/>
      <c r="T247" s="302"/>
      <c r="U247" s="303"/>
    </row>
    <row r="248" spans="1:25" ht="25.5" x14ac:dyDescent="0.2">
      <c r="A248" s="212" t="str">
        <f>HYPERLINK(V248,B248)</f>
        <v>PtdCode</v>
      </c>
      <c r="B248" s="283" t="s">
        <v>7131</v>
      </c>
      <c r="C248" s="284" t="s">
        <v>14807</v>
      </c>
      <c r="D248" s="285"/>
      <c r="E248" s="286"/>
      <c r="F248" s="287" t="s">
        <v>14808</v>
      </c>
      <c r="G248" s="286"/>
      <c r="H248" s="286"/>
      <c r="I248" s="288"/>
      <c r="J248" s="289"/>
      <c r="K248" s="290"/>
      <c r="L248" s="371" t="str">
        <f>HYPERLINK("[#]DatatypeListedValues!B1958:H1958","«enumeration»")</f>
        <v>«enumeration»</v>
      </c>
      <c r="M248" s="287" t="s">
        <v>6582</v>
      </c>
      <c r="N248" s="291" t="b">
        <v>0</v>
      </c>
      <c r="O248" s="286"/>
      <c r="P248" s="292"/>
      <c r="Q248" s="286"/>
      <c r="R248" s="286"/>
      <c r="S248" s="293"/>
      <c r="T248" s="294"/>
      <c r="U248" s="37">
        <v>1896</v>
      </c>
      <c r="V248" s="36" t="str">
        <f>CONCATENATE(Cover!$D$6,"fdd/view?i=",U248)</f>
        <v>https://www.dgiwg.org/FAD/fdd/view?i=1896</v>
      </c>
      <c r="W248" s="172"/>
      <c r="X248" s="172"/>
      <c r="Y248" s="172"/>
    </row>
    <row r="249" spans="1:25" ht="2.1" customHeight="1" x14ac:dyDescent="0.2">
      <c r="A249" s="295"/>
      <c r="B249" s="283"/>
      <c r="C249" s="296"/>
      <c r="D249" s="283"/>
      <c r="E249" s="296"/>
      <c r="F249" s="297"/>
      <c r="G249" s="297"/>
      <c r="H249" s="297"/>
      <c r="I249" s="298"/>
      <c r="J249" s="304"/>
      <c r="K249" s="300"/>
      <c r="L249" s="301"/>
      <c r="M249" s="297" t="s">
        <v>6582</v>
      </c>
      <c r="N249" s="297"/>
      <c r="O249" s="297"/>
      <c r="P249" s="297"/>
      <c r="Q249" s="297"/>
      <c r="R249" s="297"/>
      <c r="S249" s="302"/>
      <c r="T249" s="302"/>
      <c r="U249" s="303"/>
    </row>
    <row r="250" spans="1:25" ht="25.5" x14ac:dyDescent="0.2">
      <c r="A250" s="212" t="str">
        <f>HYPERLINK(V250,B250)</f>
        <v>BcsCode</v>
      </c>
      <c r="B250" s="283" t="s">
        <v>7136</v>
      </c>
      <c r="C250" s="284" t="s">
        <v>14809</v>
      </c>
      <c r="D250" s="285"/>
      <c r="E250" s="286"/>
      <c r="F250" s="287" t="s">
        <v>14810</v>
      </c>
      <c r="G250" s="286"/>
      <c r="H250" s="286"/>
      <c r="I250" s="288"/>
      <c r="J250" s="289"/>
      <c r="K250" s="290"/>
      <c r="L250" s="371" t="str">
        <f>HYPERLINK("[#]DatatypeListedValues!B1972:H1972","«enumeration»")</f>
        <v>«enumeration»</v>
      </c>
      <c r="M250" s="287" t="s">
        <v>6582</v>
      </c>
      <c r="N250" s="291" t="b">
        <v>0</v>
      </c>
      <c r="O250" s="286"/>
      <c r="P250" s="292"/>
      <c r="Q250" s="286"/>
      <c r="R250" s="286"/>
      <c r="S250" s="293"/>
      <c r="T250" s="294"/>
      <c r="U250" s="37">
        <v>1609</v>
      </c>
      <c r="V250" s="36" t="str">
        <f>CONCATENATE(Cover!$D$6,"fdd/view?i=",U250)</f>
        <v>https://www.dgiwg.org/FAD/fdd/view?i=1609</v>
      </c>
      <c r="W250" s="172"/>
      <c r="X250" s="172"/>
      <c r="Y250" s="172"/>
    </row>
    <row r="251" spans="1:25" ht="2.1" customHeight="1" x14ac:dyDescent="0.2">
      <c r="A251" s="295"/>
      <c r="B251" s="283"/>
      <c r="C251" s="296"/>
      <c r="D251" s="283"/>
      <c r="E251" s="296"/>
      <c r="F251" s="297"/>
      <c r="G251" s="297"/>
      <c r="H251" s="297"/>
      <c r="I251" s="298"/>
      <c r="J251" s="304"/>
      <c r="K251" s="300"/>
      <c r="L251" s="301"/>
      <c r="M251" s="297" t="s">
        <v>6582</v>
      </c>
      <c r="N251" s="297"/>
      <c r="O251" s="297"/>
      <c r="P251" s="297"/>
      <c r="Q251" s="297"/>
      <c r="R251" s="297"/>
      <c r="S251" s="302"/>
      <c r="T251" s="302"/>
      <c r="U251" s="303"/>
    </row>
    <row r="252" spans="1:25" ht="25.5" x14ac:dyDescent="0.2">
      <c r="A252" s="212" t="str">
        <f>HYPERLINK(V252,B252)</f>
        <v>BmcCode</v>
      </c>
      <c r="B252" s="283" t="s">
        <v>7141</v>
      </c>
      <c r="C252" s="284" t="s">
        <v>14811</v>
      </c>
      <c r="D252" s="285"/>
      <c r="E252" s="286"/>
      <c r="F252" s="287" t="s">
        <v>14812</v>
      </c>
      <c r="G252" s="286"/>
      <c r="H252" s="286"/>
      <c r="I252" s="288"/>
      <c r="J252" s="289"/>
      <c r="K252" s="290"/>
      <c r="L252" s="371" t="str">
        <f>HYPERLINK("[#]DatatypeListedValues!B1975:H1975","«enumeration»")</f>
        <v>«enumeration»</v>
      </c>
      <c r="M252" s="287" t="s">
        <v>6582</v>
      </c>
      <c r="N252" s="291" t="b">
        <v>0</v>
      </c>
      <c r="O252" s="286"/>
      <c r="P252" s="292"/>
      <c r="Q252" s="286"/>
      <c r="R252" s="286"/>
      <c r="S252" s="293"/>
      <c r="T252" s="294"/>
      <c r="U252" s="37">
        <v>1133</v>
      </c>
      <c r="V252" s="36" t="str">
        <f>CONCATENATE(Cover!$D$6,"fdd/view?i=",U252)</f>
        <v>https://www.dgiwg.org/FAD/fdd/view?i=1133</v>
      </c>
      <c r="W252" s="172"/>
      <c r="X252" s="172"/>
      <c r="Y252" s="172"/>
    </row>
    <row r="253" spans="1:25" ht="2.1" customHeight="1" x14ac:dyDescent="0.2">
      <c r="A253" s="295"/>
      <c r="B253" s="283"/>
      <c r="C253" s="296"/>
      <c r="D253" s="283"/>
      <c r="E253" s="296"/>
      <c r="F253" s="297"/>
      <c r="G253" s="297"/>
      <c r="H253" s="297"/>
      <c r="I253" s="298"/>
      <c r="J253" s="304"/>
      <c r="K253" s="300"/>
      <c r="L253" s="301"/>
      <c r="M253" s="297" t="s">
        <v>6582</v>
      </c>
      <c r="N253" s="297"/>
      <c r="O253" s="297"/>
      <c r="P253" s="297"/>
      <c r="Q253" s="297"/>
      <c r="R253" s="297"/>
      <c r="S253" s="302"/>
      <c r="T253" s="302"/>
      <c r="U253" s="303"/>
    </row>
    <row r="254" spans="1:25" ht="25.5" x14ac:dyDescent="0.2">
      <c r="A254" s="212" t="str">
        <f>HYPERLINK(V254,B254)</f>
        <v>BobCode</v>
      </c>
      <c r="B254" s="283" t="s">
        <v>7147</v>
      </c>
      <c r="C254" s="284" t="s">
        <v>14813</v>
      </c>
      <c r="D254" s="285"/>
      <c r="E254" s="286"/>
      <c r="F254" s="287" t="s">
        <v>14814</v>
      </c>
      <c r="G254" s="286"/>
      <c r="H254" s="286"/>
      <c r="I254" s="288"/>
      <c r="J254" s="289"/>
      <c r="K254" s="290"/>
      <c r="L254" s="371" t="str">
        <f>HYPERLINK("[#]DatatypeListedValues!B1991:H1991","«enumeration»")</f>
        <v>«enumeration»</v>
      </c>
      <c r="M254" s="287" t="s">
        <v>6582</v>
      </c>
      <c r="N254" s="291" t="b">
        <v>0</v>
      </c>
      <c r="O254" s="286"/>
      <c r="P254" s="292"/>
      <c r="Q254" s="286"/>
      <c r="R254" s="286"/>
      <c r="S254" s="293"/>
      <c r="T254" s="294"/>
      <c r="U254" s="37">
        <v>118176</v>
      </c>
      <c r="V254" s="36" t="str">
        <f>CONCATENATE(Cover!$D$6,"fdd/view?i=",U254)</f>
        <v>https://www.dgiwg.org/FAD/fdd/view?i=118176</v>
      </c>
      <c r="W254" s="172"/>
      <c r="X254" s="172"/>
      <c r="Y254" s="172"/>
    </row>
    <row r="255" spans="1:25" ht="2.1" customHeight="1" x14ac:dyDescent="0.2">
      <c r="A255" s="295"/>
      <c r="B255" s="283"/>
      <c r="C255" s="296"/>
      <c r="D255" s="283"/>
      <c r="E255" s="296"/>
      <c r="F255" s="297"/>
      <c r="G255" s="297"/>
      <c r="H255" s="297"/>
      <c r="I255" s="298"/>
      <c r="J255" s="304"/>
      <c r="K255" s="300"/>
      <c r="L255" s="301"/>
      <c r="M255" s="297" t="s">
        <v>6582</v>
      </c>
      <c r="N255" s="297"/>
      <c r="O255" s="297"/>
      <c r="P255" s="297"/>
      <c r="Q255" s="297"/>
      <c r="R255" s="297"/>
      <c r="S255" s="302"/>
      <c r="T255" s="302"/>
      <c r="U255" s="303"/>
    </row>
    <row r="256" spans="1:25" ht="25.5" x14ac:dyDescent="0.2">
      <c r="A256" s="212" t="str">
        <f>HYPERLINK(V256,B256)</f>
        <v>CftCode</v>
      </c>
      <c r="B256" s="283" t="s">
        <v>7157</v>
      </c>
      <c r="C256" s="284" t="s">
        <v>14815</v>
      </c>
      <c r="D256" s="285"/>
      <c r="E256" s="286"/>
      <c r="F256" s="287" t="s">
        <v>14816</v>
      </c>
      <c r="G256" s="286"/>
      <c r="H256" s="286"/>
      <c r="I256" s="288"/>
      <c r="J256" s="289"/>
      <c r="K256" s="290"/>
      <c r="L256" s="371" t="str">
        <f>HYPERLINK("[#]DatatypeListedValues!B1998:H1998","«enumeration»")</f>
        <v>«enumeration»</v>
      </c>
      <c r="M256" s="287" t="s">
        <v>6582</v>
      </c>
      <c r="N256" s="291" t="b">
        <v>0</v>
      </c>
      <c r="O256" s="286"/>
      <c r="P256" s="292"/>
      <c r="Q256" s="286"/>
      <c r="R256" s="286"/>
      <c r="S256" s="293"/>
      <c r="T256" s="294"/>
      <c r="U256" s="37">
        <v>1162</v>
      </c>
      <c r="V256" s="36" t="str">
        <f>CONCATENATE(Cover!$D$6,"fdd/view?i=",U256)</f>
        <v>https://www.dgiwg.org/FAD/fdd/view?i=1162</v>
      </c>
      <c r="W256" s="172"/>
      <c r="X256" s="172"/>
      <c r="Y256" s="172"/>
    </row>
    <row r="257" spans="1:25" ht="2.1" customHeight="1" x14ac:dyDescent="0.2">
      <c r="A257" s="295"/>
      <c r="B257" s="283"/>
      <c r="C257" s="296"/>
      <c r="D257" s="283"/>
      <c r="E257" s="296"/>
      <c r="F257" s="297"/>
      <c r="G257" s="297"/>
      <c r="H257" s="297"/>
      <c r="I257" s="298"/>
      <c r="J257" s="304"/>
      <c r="K257" s="300"/>
      <c r="L257" s="301"/>
      <c r="M257" s="297" t="s">
        <v>6582</v>
      </c>
      <c r="N257" s="297"/>
      <c r="O257" s="297"/>
      <c r="P257" s="297"/>
      <c r="Q257" s="297"/>
      <c r="R257" s="297"/>
      <c r="S257" s="302"/>
      <c r="T257" s="302"/>
      <c r="U257" s="303"/>
    </row>
    <row r="258" spans="1:25" ht="25.5" x14ac:dyDescent="0.2">
      <c r="A258" s="212" t="str">
        <f>HYPERLINK(V258,B258)</f>
        <v>DspCode</v>
      </c>
      <c r="B258" s="283" t="s">
        <v>7162</v>
      </c>
      <c r="C258" s="284" t="s">
        <v>14817</v>
      </c>
      <c r="D258" s="285"/>
      <c r="E258" s="286"/>
      <c r="F258" s="287" t="s">
        <v>14818</v>
      </c>
      <c r="G258" s="286"/>
      <c r="H258" s="286"/>
      <c r="I258" s="288"/>
      <c r="J258" s="289"/>
      <c r="K258" s="290"/>
      <c r="L258" s="371" t="str">
        <f>HYPERLINK("[#]DatatypeListedValues!B2029:H2029","«enumeration»")</f>
        <v>«enumeration»</v>
      </c>
      <c r="M258" s="287" t="s">
        <v>6582</v>
      </c>
      <c r="N258" s="291" t="b">
        <v>0</v>
      </c>
      <c r="O258" s="286"/>
      <c r="P258" s="292"/>
      <c r="Q258" s="286"/>
      <c r="R258" s="286"/>
      <c r="S258" s="293"/>
      <c r="T258" s="294"/>
      <c r="U258" s="37">
        <v>1197</v>
      </c>
      <c r="V258" s="36" t="str">
        <f>CONCATENATE(Cover!$D$6,"fdd/view?i=",U258)</f>
        <v>https://www.dgiwg.org/FAD/fdd/view?i=1197</v>
      </c>
      <c r="W258" s="172"/>
      <c r="X258" s="172"/>
      <c r="Y258" s="172"/>
    </row>
    <row r="259" spans="1:25" ht="2.1" customHeight="1" x14ac:dyDescent="0.2">
      <c r="A259" s="295"/>
      <c r="B259" s="283"/>
      <c r="C259" s="296"/>
      <c r="D259" s="283"/>
      <c r="E259" s="296"/>
      <c r="F259" s="297"/>
      <c r="G259" s="297"/>
      <c r="H259" s="297"/>
      <c r="I259" s="298"/>
      <c r="J259" s="304"/>
      <c r="K259" s="300"/>
      <c r="L259" s="301"/>
      <c r="M259" s="297" t="s">
        <v>6582</v>
      </c>
      <c r="N259" s="297"/>
      <c r="O259" s="297"/>
      <c r="P259" s="297"/>
      <c r="Q259" s="297"/>
      <c r="R259" s="297"/>
      <c r="S259" s="302"/>
      <c r="T259" s="302"/>
      <c r="U259" s="303"/>
    </row>
    <row r="260" spans="1:25" ht="25.5" x14ac:dyDescent="0.2">
      <c r="A260" s="212" t="str">
        <f>HYPERLINK(V260,B260)</f>
        <v>RpcCode</v>
      </c>
      <c r="B260" s="283" t="s">
        <v>7176</v>
      </c>
      <c r="C260" s="284" t="s">
        <v>14819</v>
      </c>
      <c r="D260" s="285"/>
      <c r="E260" s="286"/>
      <c r="F260" s="287" t="s">
        <v>14820</v>
      </c>
      <c r="G260" s="286"/>
      <c r="H260" s="286"/>
      <c r="I260" s="288"/>
      <c r="J260" s="289"/>
      <c r="K260" s="290"/>
      <c r="L260" s="371" t="str">
        <f>HYPERLINK("[#]DatatypeListedValues!B2033:H2033","«enumeration»")</f>
        <v>«enumeration»</v>
      </c>
      <c r="M260" s="287" t="s">
        <v>6582</v>
      </c>
      <c r="N260" s="291" t="b">
        <v>0</v>
      </c>
      <c r="O260" s="286"/>
      <c r="P260" s="292"/>
      <c r="Q260" s="286"/>
      <c r="R260" s="286"/>
      <c r="S260" s="293"/>
      <c r="T260" s="294"/>
      <c r="U260" s="37">
        <v>1409</v>
      </c>
      <c r="V260" s="36" t="str">
        <f>CONCATENATE(Cover!$D$6,"fdd/view?i=",U260)</f>
        <v>https://www.dgiwg.org/FAD/fdd/view?i=1409</v>
      </c>
      <c r="W260" s="172"/>
      <c r="X260" s="172"/>
      <c r="Y260" s="172"/>
    </row>
    <row r="261" spans="1:25" ht="2.1" customHeight="1" x14ac:dyDescent="0.2">
      <c r="A261" s="295"/>
      <c r="B261" s="283"/>
      <c r="C261" s="296"/>
      <c r="D261" s="283"/>
      <c r="E261" s="296"/>
      <c r="F261" s="297"/>
      <c r="G261" s="297"/>
      <c r="H261" s="297"/>
      <c r="I261" s="298"/>
      <c r="J261" s="304"/>
      <c r="K261" s="300"/>
      <c r="L261" s="301"/>
      <c r="M261" s="297" t="s">
        <v>6582</v>
      </c>
      <c r="N261" s="297"/>
      <c r="O261" s="297"/>
      <c r="P261" s="297"/>
      <c r="Q261" s="297"/>
      <c r="R261" s="297"/>
      <c r="S261" s="302"/>
      <c r="T261" s="302"/>
      <c r="U261" s="303"/>
    </row>
    <row r="262" spans="1:25" ht="25.5" x14ac:dyDescent="0.2">
      <c r="A262" s="212" t="str">
        <f>HYPERLINK(V262,B262)</f>
        <v>BstCode</v>
      </c>
      <c r="B262" s="283" t="s">
        <v>7186</v>
      </c>
      <c r="C262" s="284" t="s">
        <v>14821</v>
      </c>
      <c r="D262" s="285"/>
      <c r="E262" s="286"/>
      <c r="F262" s="287" t="s">
        <v>14822</v>
      </c>
      <c r="G262" s="286"/>
      <c r="H262" s="286"/>
      <c r="I262" s="288"/>
      <c r="J262" s="289"/>
      <c r="K262" s="290"/>
      <c r="L262" s="371" t="str">
        <f>HYPERLINK("[#]DatatypeListedValues!B2038:H2038","«enumeration»")</f>
        <v>«enumeration»</v>
      </c>
      <c r="M262" s="287" t="s">
        <v>6582</v>
      </c>
      <c r="N262" s="291" t="b">
        <v>0</v>
      </c>
      <c r="O262" s="286"/>
      <c r="P262" s="292"/>
      <c r="Q262" s="286"/>
      <c r="R262" s="286"/>
      <c r="S262" s="293"/>
      <c r="T262" s="294"/>
      <c r="U262" s="37">
        <v>1146</v>
      </c>
      <c r="V262" s="36" t="str">
        <f>CONCATENATE(Cover!$D$6,"fdd/view?i=",U262)</f>
        <v>https://www.dgiwg.org/FAD/fdd/view?i=1146</v>
      </c>
      <c r="W262" s="172"/>
      <c r="X262" s="172"/>
      <c r="Y262" s="172"/>
    </row>
    <row r="263" spans="1:25" ht="2.1" customHeight="1" x14ac:dyDescent="0.2">
      <c r="A263" s="295"/>
      <c r="B263" s="283"/>
      <c r="C263" s="296"/>
      <c r="D263" s="283"/>
      <c r="E263" s="296"/>
      <c r="F263" s="297"/>
      <c r="G263" s="297"/>
      <c r="H263" s="297"/>
      <c r="I263" s="298"/>
      <c r="J263" s="304"/>
      <c r="K263" s="300"/>
      <c r="L263" s="301"/>
      <c r="M263" s="297" t="s">
        <v>6582</v>
      </c>
      <c r="N263" s="297"/>
      <c r="O263" s="297"/>
      <c r="P263" s="297"/>
      <c r="Q263" s="297"/>
      <c r="R263" s="297"/>
      <c r="S263" s="302"/>
      <c r="T263" s="302"/>
      <c r="U263" s="303"/>
    </row>
    <row r="264" spans="1:25" ht="25.5" x14ac:dyDescent="0.2">
      <c r="A264" s="212" t="str">
        <f>HYPERLINK(V264,B264)</f>
        <v>RsaCode</v>
      </c>
      <c r="B264" s="283" t="s">
        <v>7191</v>
      </c>
      <c r="C264" s="284" t="s">
        <v>14823</v>
      </c>
      <c r="D264" s="285"/>
      <c r="E264" s="286"/>
      <c r="F264" s="287" t="s">
        <v>14824</v>
      </c>
      <c r="G264" s="286"/>
      <c r="H264" s="286"/>
      <c r="I264" s="288"/>
      <c r="J264" s="289"/>
      <c r="K264" s="290"/>
      <c r="L264" s="371" t="str">
        <f>HYPERLINK("[#]DatatypeListedValues!B2045:H2045","«enumeration»")</f>
        <v>«enumeration»</v>
      </c>
      <c r="M264" s="287" t="s">
        <v>6582</v>
      </c>
      <c r="N264" s="291" t="b">
        <v>0</v>
      </c>
      <c r="O264" s="286"/>
      <c r="P264" s="292"/>
      <c r="Q264" s="286"/>
      <c r="R264" s="286"/>
      <c r="S264" s="293"/>
      <c r="T264" s="294"/>
      <c r="U264" s="37">
        <v>1413</v>
      </c>
      <c r="V264" s="36" t="str">
        <f>CONCATENATE(Cover!$D$6,"fdd/view?i=",U264)</f>
        <v>https://www.dgiwg.org/FAD/fdd/view?i=1413</v>
      </c>
      <c r="W264" s="172"/>
      <c r="X264" s="172"/>
      <c r="Y264" s="172"/>
    </row>
    <row r="265" spans="1:25" ht="2.1" customHeight="1" x14ac:dyDescent="0.2">
      <c r="A265" s="295"/>
      <c r="B265" s="283"/>
      <c r="C265" s="296"/>
      <c r="D265" s="283"/>
      <c r="E265" s="296"/>
      <c r="F265" s="297"/>
      <c r="G265" s="297"/>
      <c r="H265" s="297"/>
      <c r="I265" s="298"/>
      <c r="J265" s="304"/>
      <c r="K265" s="300"/>
      <c r="L265" s="301"/>
      <c r="M265" s="297" t="s">
        <v>6582</v>
      </c>
      <c r="N265" s="297"/>
      <c r="O265" s="297"/>
      <c r="P265" s="297"/>
      <c r="Q265" s="297"/>
      <c r="R265" s="297"/>
      <c r="S265" s="302"/>
      <c r="T265" s="302"/>
      <c r="U265" s="303"/>
    </row>
    <row r="266" spans="1:25" ht="25.5" x14ac:dyDescent="0.2">
      <c r="A266" s="212" t="str">
        <f>HYPERLINK(V266,B266)</f>
        <v>RbcCode</v>
      </c>
      <c r="B266" s="283" t="s">
        <v>7196</v>
      </c>
      <c r="C266" s="284" t="s">
        <v>14825</v>
      </c>
      <c r="D266" s="285"/>
      <c r="E266" s="286"/>
      <c r="F266" s="287" t="s">
        <v>14826</v>
      </c>
      <c r="G266" s="286"/>
      <c r="H266" s="286"/>
      <c r="I266" s="288"/>
      <c r="J266" s="289"/>
      <c r="K266" s="290"/>
      <c r="L266" s="371" t="str">
        <f>HYPERLINK("[#]DatatypeListedValues!B2048:H2048","«enumeration»")</f>
        <v>«enumeration»</v>
      </c>
      <c r="M266" s="287" t="s">
        <v>6582</v>
      </c>
      <c r="N266" s="291" t="b">
        <v>0</v>
      </c>
      <c r="O266" s="286"/>
      <c r="P266" s="292"/>
      <c r="Q266" s="286"/>
      <c r="R266" s="286"/>
      <c r="S266" s="293"/>
      <c r="T266" s="294"/>
      <c r="U266" s="37">
        <v>1392</v>
      </c>
      <c r="V266" s="36" t="str">
        <f>CONCATENATE(Cover!$D$6,"fdd/view?i=",U266)</f>
        <v>https://www.dgiwg.org/FAD/fdd/view?i=1392</v>
      </c>
      <c r="W266" s="172"/>
      <c r="X266" s="172"/>
      <c r="Y266" s="172"/>
    </row>
    <row r="267" spans="1:25" ht="2.1" customHeight="1" x14ac:dyDescent="0.2">
      <c r="A267" s="295"/>
      <c r="B267" s="283"/>
      <c r="C267" s="296"/>
      <c r="D267" s="283"/>
      <c r="E267" s="296"/>
      <c r="F267" s="297"/>
      <c r="G267" s="297"/>
      <c r="H267" s="297"/>
      <c r="I267" s="298"/>
      <c r="J267" s="304"/>
      <c r="K267" s="300"/>
      <c r="L267" s="301"/>
      <c r="M267" s="297" t="s">
        <v>6582</v>
      </c>
      <c r="N267" s="297"/>
      <c r="O267" s="297"/>
      <c r="P267" s="297"/>
      <c r="Q267" s="297"/>
      <c r="R267" s="297"/>
      <c r="S267" s="302"/>
      <c r="T267" s="302"/>
      <c r="U267" s="303"/>
    </row>
    <row r="268" spans="1:25" ht="25.5" x14ac:dyDescent="0.2">
      <c r="A268" s="212" t="str">
        <f>HYPERLINK(V268,B268)</f>
        <v>BotCode</v>
      </c>
      <c r="B268" s="283" t="s">
        <v>7201</v>
      </c>
      <c r="C268" s="284" t="s">
        <v>14827</v>
      </c>
      <c r="D268" s="285"/>
      <c r="E268" s="286"/>
      <c r="F268" s="287" t="s">
        <v>14828</v>
      </c>
      <c r="G268" s="286"/>
      <c r="H268" s="286"/>
      <c r="I268" s="288"/>
      <c r="J268" s="289"/>
      <c r="K268" s="290"/>
      <c r="L268" s="371" t="str">
        <f>HYPERLINK("[#]DatatypeListedValues!B2050:H2050","«enumeration»")</f>
        <v>«enumeration»</v>
      </c>
      <c r="M268" s="287" t="s">
        <v>6582</v>
      </c>
      <c r="N268" s="291" t="b">
        <v>0</v>
      </c>
      <c r="O268" s="286"/>
      <c r="P268" s="292"/>
      <c r="Q268" s="286"/>
      <c r="R268" s="286"/>
      <c r="S268" s="293"/>
      <c r="T268" s="294"/>
      <c r="U268" s="37">
        <v>1135</v>
      </c>
      <c r="V268" s="36" t="str">
        <f>CONCATENATE(Cover!$D$6,"fdd/view?i=",U268)</f>
        <v>https://www.dgiwg.org/FAD/fdd/view?i=1135</v>
      </c>
      <c r="W268" s="172"/>
      <c r="X268" s="172"/>
      <c r="Y268" s="172"/>
    </row>
    <row r="269" spans="1:25" ht="2.1" customHeight="1" x14ac:dyDescent="0.2">
      <c r="A269" s="295"/>
      <c r="B269" s="283"/>
      <c r="C269" s="296"/>
      <c r="D269" s="283"/>
      <c r="E269" s="296"/>
      <c r="F269" s="297"/>
      <c r="G269" s="297"/>
      <c r="H269" s="297"/>
      <c r="I269" s="298"/>
      <c r="J269" s="304"/>
      <c r="K269" s="300"/>
      <c r="L269" s="301"/>
      <c r="M269" s="297" t="s">
        <v>6582</v>
      </c>
      <c r="N269" s="297"/>
      <c r="O269" s="297"/>
      <c r="P269" s="297"/>
      <c r="Q269" s="297"/>
      <c r="R269" s="297"/>
      <c r="S269" s="302"/>
      <c r="T269" s="302"/>
      <c r="U269" s="303"/>
    </row>
    <row r="270" spans="1:25" ht="25.5" x14ac:dyDescent="0.2">
      <c r="A270" s="212" t="str">
        <f>HYPERLINK(V270,B270)</f>
        <v>BscCode</v>
      </c>
      <c r="B270" s="283" t="s">
        <v>7217</v>
      </c>
      <c r="C270" s="284" t="s">
        <v>14829</v>
      </c>
      <c r="D270" s="285"/>
      <c r="E270" s="286"/>
      <c r="F270" s="287" t="s">
        <v>14830</v>
      </c>
      <c r="G270" s="286"/>
      <c r="H270" s="286"/>
      <c r="I270" s="288"/>
      <c r="J270" s="289"/>
      <c r="K270" s="290"/>
      <c r="L270" s="371" t="str">
        <f>HYPERLINK("[#]DatatypeListedValues!B2058:H2058","«enumeration»")</f>
        <v>«enumeration»</v>
      </c>
      <c r="M270" s="287" t="s">
        <v>6582</v>
      </c>
      <c r="N270" s="291" t="b">
        <v>0</v>
      </c>
      <c r="O270" s="286"/>
      <c r="P270" s="292"/>
      <c r="Q270" s="286"/>
      <c r="R270" s="286"/>
      <c r="S270" s="293"/>
      <c r="T270" s="294"/>
      <c r="U270" s="37">
        <v>1141</v>
      </c>
      <c r="V270" s="36" t="str">
        <f>CONCATENATE(Cover!$D$6,"fdd/view?i=",U270)</f>
        <v>https://www.dgiwg.org/FAD/fdd/view?i=1141</v>
      </c>
      <c r="W270" s="172"/>
      <c r="X270" s="172"/>
      <c r="Y270" s="172"/>
    </row>
    <row r="271" spans="1:25" ht="2.1" customHeight="1" x14ac:dyDescent="0.2">
      <c r="A271" s="295"/>
      <c r="B271" s="283"/>
      <c r="C271" s="296"/>
      <c r="D271" s="283"/>
      <c r="E271" s="296"/>
      <c r="F271" s="297"/>
      <c r="G271" s="297"/>
      <c r="H271" s="297"/>
      <c r="I271" s="298"/>
      <c r="J271" s="304"/>
      <c r="K271" s="300"/>
      <c r="L271" s="301"/>
      <c r="M271" s="297" t="s">
        <v>6582</v>
      </c>
      <c r="N271" s="297"/>
      <c r="O271" s="297"/>
      <c r="P271" s="297"/>
      <c r="Q271" s="297"/>
      <c r="R271" s="297"/>
      <c r="S271" s="302"/>
      <c r="T271" s="302"/>
      <c r="U271" s="303"/>
    </row>
    <row r="272" spans="1:25" ht="25.5" x14ac:dyDescent="0.2">
      <c r="A272" s="212" t="str">
        <f>HYPERLINK(V272,B272)</f>
        <v>XbtCode</v>
      </c>
      <c r="B272" s="283" t="s">
        <v>7222</v>
      </c>
      <c r="C272" s="284" t="s">
        <v>14831</v>
      </c>
      <c r="D272" s="285"/>
      <c r="E272" s="286"/>
      <c r="F272" s="287" t="s">
        <v>14832</v>
      </c>
      <c r="G272" s="286"/>
      <c r="H272" s="286"/>
      <c r="I272" s="288"/>
      <c r="J272" s="289"/>
      <c r="K272" s="290"/>
      <c r="L272" s="371" t="str">
        <f>HYPERLINK("[#]DatatypeListedValues!B2077:H2077","«enumeration»")</f>
        <v>«enumeration»</v>
      </c>
      <c r="M272" s="287" t="s">
        <v>6582</v>
      </c>
      <c r="N272" s="291" t="b">
        <v>0</v>
      </c>
      <c r="O272" s="286"/>
      <c r="P272" s="292"/>
      <c r="Q272" s="286"/>
      <c r="R272" s="286"/>
      <c r="S272" s="293"/>
      <c r="T272" s="294"/>
      <c r="U272" s="37">
        <v>119773</v>
      </c>
      <c r="V272" s="36" t="str">
        <f>CONCATENATE(Cover!$D$6,"fdd/view?i=",U272)</f>
        <v>https://www.dgiwg.org/FAD/fdd/view?i=119773</v>
      </c>
      <c r="W272" s="172"/>
      <c r="X272" s="172"/>
      <c r="Y272" s="172"/>
    </row>
    <row r="273" spans="1:25" ht="2.1" customHeight="1" x14ac:dyDescent="0.2">
      <c r="A273" s="295"/>
      <c r="B273" s="283"/>
      <c r="C273" s="296"/>
      <c r="D273" s="283"/>
      <c r="E273" s="296"/>
      <c r="F273" s="297"/>
      <c r="G273" s="297"/>
      <c r="H273" s="297"/>
      <c r="I273" s="298"/>
      <c r="J273" s="304"/>
      <c r="K273" s="300"/>
      <c r="L273" s="301"/>
      <c r="M273" s="297" t="s">
        <v>6582</v>
      </c>
      <c r="N273" s="297"/>
      <c r="O273" s="297"/>
      <c r="P273" s="297"/>
      <c r="Q273" s="297"/>
      <c r="R273" s="297"/>
      <c r="S273" s="302"/>
      <c r="T273" s="302"/>
      <c r="U273" s="303"/>
    </row>
    <row r="274" spans="1:25" ht="25.5" x14ac:dyDescent="0.2">
      <c r="A274" s="212" t="str">
        <f>HYPERLINK(V274,B274)</f>
        <v>BovCode</v>
      </c>
      <c r="B274" s="283" t="s">
        <v>7232</v>
      </c>
      <c r="C274" s="284" t="s">
        <v>14833</v>
      </c>
      <c r="D274" s="285"/>
      <c r="E274" s="286"/>
      <c r="F274" s="287" t="s">
        <v>14834</v>
      </c>
      <c r="G274" s="286"/>
      <c r="H274" s="286"/>
      <c r="I274" s="288"/>
      <c r="J274" s="289"/>
      <c r="K274" s="290"/>
      <c r="L274" s="371" t="str">
        <f>HYPERLINK("[#]DatatypeListedValues!B2080:H2080","«enumeration»")</f>
        <v>«enumeration»</v>
      </c>
      <c r="M274" s="287" t="s">
        <v>6582</v>
      </c>
      <c r="N274" s="291" t="b">
        <v>0</v>
      </c>
      <c r="O274" s="286"/>
      <c r="P274" s="292"/>
      <c r="Q274" s="286"/>
      <c r="R274" s="286"/>
      <c r="S274" s="293"/>
      <c r="T274" s="294"/>
      <c r="U274" s="37">
        <v>118631</v>
      </c>
      <c r="V274" s="36" t="str">
        <f>CONCATENATE(Cover!$D$6,"fdd/view?i=",U274)</f>
        <v>https://www.dgiwg.org/FAD/fdd/view?i=118631</v>
      </c>
      <c r="W274" s="172"/>
      <c r="X274" s="172"/>
      <c r="Y274" s="172"/>
    </row>
    <row r="275" spans="1:25" ht="2.1" customHeight="1" x14ac:dyDescent="0.2">
      <c r="A275" s="295"/>
      <c r="B275" s="283"/>
      <c r="C275" s="296"/>
      <c r="D275" s="283"/>
      <c r="E275" s="296"/>
      <c r="F275" s="297"/>
      <c r="G275" s="297"/>
      <c r="H275" s="297"/>
      <c r="I275" s="298"/>
      <c r="J275" s="304"/>
      <c r="K275" s="300"/>
      <c r="L275" s="301"/>
      <c r="M275" s="297" t="s">
        <v>6582</v>
      </c>
      <c r="N275" s="297"/>
      <c r="O275" s="297"/>
      <c r="P275" s="297"/>
      <c r="Q275" s="297"/>
      <c r="R275" s="297"/>
      <c r="S275" s="302"/>
      <c r="T275" s="302"/>
      <c r="U275" s="303"/>
    </row>
    <row r="276" spans="1:25" ht="25.5" x14ac:dyDescent="0.2">
      <c r="A276" s="212" t="str">
        <f>HYPERLINK(V276,B276)</f>
        <v>BsuCode</v>
      </c>
      <c r="B276" s="283" t="s">
        <v>7237</v>
      </c>
      <c r="C276" s="284" t="s">
        <v>14835</v>
      </c>
      <c r="D276" s="285"/>
      <c r="E276" s="286"/>
      <c r="F276" s="287" t="s">
        <v>14836</v>
      </c>
      <c r="G276" s="286"/>
      <c r="H276" s="286"/>
      <c r="I276" s="288"/>
      <c r="J276" s="289"/>
      <c r="K276" s="290"/>
      <c r="L276" s="371" t="str">
        <f>HYPERLINK("[#]DatatypeListedValues!B2086:H2086","«enumeration»")</f>
        <v>«enumeration»</v>
      </c>
      <c r="M276" s="287" t="s">
        <v>6582</v>
      </c>
      <c r="N276" s="291" t="b">
        <v>0</v>
      </c>
      <c r="O276" s="286"/>
      <c r="P276" s="292"/>
      <c r="Q276" s="286"/>
      <c r="R276" s="286"/>
      <c r="S276" s="293"/>
      <c r="T276" s="294"/>
      <c r="U276" s="37">
        <v>118113</v>
      </c>
      <c r="V276" s="36" t="str">
        <f>CONCATENATE(Cover!$D$6,"fdd/view?i=",U276)</f>
        <v>https://www.dgiwg.org/FAD/fdd/view?i=118113</v>
      </c>
      <c r="W276" s="172"/>
      <c r="X276" s="172"/>
      <c r="Y276" s="172"/>
    </row>
    <row r="277" spans="1:25" ht="2.1" customHeight="1" x14ac:dyDescent="0.2">
      <c r="A277" s="295"/>
      <c r="B277" s="283"/>
      <c r="C277" s="296"/>
      <c r="D277" s="283"/>
      <c r="E277" s="296"/>
      <c r="F277" s="297"/>
      <c r="G277" s="297"/>
      <c r="H277" s="297"/>
      <c r="I277" s="298"/>
      <c r="J277" s="304"/>
      <c r="K277" s="300"/>
      <c r="L277" s="301"/>
      <c r="M277" s="297" t="s">
        <v>6582</v>
      </c>
      <c r="N277" s="297"/>
      <c r="O277" s="297"/>
      <c r="P277" s="297"/>
      <c r="Q277" s="297"/>
      <c r="R277" s="297"/>
      <c r="S277" s="302"/>
      <c r="T277" s="302"/>
      <c r="U277" s="303"/>
    </row>
    <row r="278" spans="1:25" ht="25.5" x14ac:dyDescent="0.2">
      <c r="A278" s="212" t="str">
        <f>HYPERLINK(V278,B278)</f>
        <v>BacCode</v>
      </c>
      <c r="B278" s="283" t="s">
        <v>7242</v>
      </c>
      <c r="C278" s="284" t="s">
        <v>14837</v>
      </c>
      <c r="D278" s="285"/>
      <c r="E278" s="286"/>
      <c r="F278" s="287" t="s">
        <v>14838</v>
      </c>
      <c r="G278" s="286"/>
      <c r="H278" s="286"/>
      <c r="I278" s="288"/>
      <c r="J278" s="289"/>
      <c r="K278" s="290"/>
      <c r="L278" s="371" t="str">
        <f>HYPERLINK("[#]DatatypeListedValues!B2103:H2103","«enumeration»")</f>
        <v>«enumeration»</v>
      </c>
      <c r="M278" s="287" t="s">
        <v>6582</v>
      </c>
      <c r="N278" s="291" t="b">
        <v>0</v>
      </c>
      <c r="O278" s="286"/>
      <c r="P278" s="292"/>
      <c r="Q278" s="286"/>
      <c r="R278" s="286"/>
      <c r="S278" s="293"/>
      <c r="T278" s="294"/>
      <c r="U278" s="37">
        <v>1123</v>
      </c>
      <c r="V278" s="36" t="str">
        <f>CONCATENATE(Cover!$D$6,"fdd/view?i=",U278)</f>
        <v>https://www.dgiwg.org/FAD/fdd/view?i=1123</v>
      </c>
      <c r="W278" s="172"/>
      <c r="X278" s="172"/>
      <c r="Y278" s="172"/>
    </row>
    <row r="279" spans="1:25" ht="2.1" customHeight="1" x14ac:dyDescent="0.2">
      <c r="A279" s="295"/>
      <c r="B279" s="283"/>
      <c r="C279" s="296"/>
      <c r="D279" s="283"/>
      <c r="E279" s="296"/>
      <c r="F279" s="297"/>
      <c r="G279" s="297"/>
      <c r="H279" s="297"/>
      <c r="I279" s="298"/>
      <c r="J279" s="304"/>
      <c r="K279" s="300"/>
      <c r="L279" s="301"/>
      <c r="M279" s="297" t="s">
        <v>6582</v>
      </c>
      <c r="N279" s="297"/>
      <c r="O279" s="297"/>
      <c r="P279" s="297"/>
      <c r="Q279" s="297"/>
      <c r="R279" s="297"/>
      <c r="S279" s="302"/>
      <c r="T279" s="302"/>
      <c r="U279" s="303"/>
    </row>
    <row r="280" spans="1:25" ht="25.5" x14ac:dyDescent="0.2">
      <c r="A280" s="212" t="str">
        <f>HYPERLINK(V280,B280)</f>
        <v>BufCode</v>
      </c>
      <c r="B280" s="283" t="s">
        <v>7248</v>
      </c>
      <c r="C280" s="284" t="s">
        <v>14839</v>
      </c>
      <c r="D280" s="285"/>
      <c r="E280" s="286"/>
      <c r="F280" s="287" t="s">
        <v>14840</v>
      </c>
      <c r="G280" s="286"/>
      <c r="H280" s="286"/>
      <c r="I280" s="288"/>
      <c r="J280" s="289"/>
      <c r="K280" s="290"/>
      <c r="L280" s="371" t="str">
        <f>HYPERLINK("[#]DatatypeListedValues!B2106:H2106","«enumeration»")</f>
        <v>«enumeration»</v>
      </c>
      <c r="M280" s="287" t="s">
        <v>6582</v>
      </c>
      <c r="N280" s="291" t="b">
        <v>0</v>
      </c>
      <c r="O280" s="286"/>
      <c r="P280" s="292"/>
      <c r="Q280" s="286"/>
      <c r="R280" s="286"/>
      <c r="S280" s="293"/>
      <c r="T280" s="294"/>
      <c r="U280" s="37">
        <v>118646</v>
      </c>
      <c r="V280" s="36" t="str">
        <f>CONCATENATE(Cover!$D$6,"fdd/view?i=",U280)</f>
        <v>https://www.dgiwg.org/FAD/fdd/view?i=118646</v>
      </c>
      <c r="W280" s="172"/>
      <c r="X280" s="172"/>
      <c r="Y280" s="172"/>
    </row>
    <row r="281" spans="1:25" ht="2.1" customHeight="1" x14ac:dyDescent="0.2">
      <c r="A281" s="295"/>
      <c r="B281" s="283"/>
      <c r="C281" s="296"/>
      <c r="D281" s="283"/>
      <c r="E281" s="296"/>
      <c r="F281" s="297"/>
      <c r="G281" s="297"/>
      <c r="H281" s="297"/>
      <c r="I281" s="298"/>
      <c r="J281" s="304"/>
      <c r="K281" s="300"/>
      <c r="L281" s="301"/>
      <c r="M281" s="297" t="s">
        <v>6582</v>
      </c>
      <c r="N281" s="297"/>
      <c r="O281" s="297"/>
      <c r="P281" s="297"/>
      <c r="Q281" s="297"/>
      <c r="R281" s="297"/>
      <c r="S281" s="302"/>
      <c r="T281" s="302"/>
      <c r="U281" s="303"/>
    </row>
    <row r="282" spans="1:25" ht="25.5" x14ac:dyDescent="0.2">
      <c r="A282" s="212" t="str">
        <f>HYPERLINK(V282,B282)</f>
        <v>BusCode</v>
      </c>
      <c r="B282" s="283" t="s">
        <v>7253</v>
      </c>
      <c r="C282" s="284" t="s">
        <v>14841</v>
      </c>
      <c r="D282" s="285"/>
      <c r="E282" s="286"/>
      <c r="F282" s="287" t="s">
        <v>14842</v>
      </c>
      <c r="G282" s="286"/>
      <c r="H282" s="286"/>
      <c r="I282" s="288"/>
      <c r="J282" s="289"/>
      <c r="K282" s="290"/>
      <c r="L282" s="371" t="str">
        <f>HYPERLINK("[#]DatatypeListedValues!B2115:H2115","«enumeration»")</f>
        <v>«enumeration»</v>
      </c>
      <c r="M282" s="287" t="s">
        <v>6582</v>
      </c>
      <c r="N282" s="291" t="b">
        <v>0</v>
      </c>
      <c r="O282" s="286"/>
      <c r="P282" s="292"/>
      <c r="Q282" s="286"/>
      <c r="R282" s="286"/>
      <c r="S282" s="293"/>
      <c r="T282" s="294"/>
      <c r="U282" s="37">
        <v>1570</v>
      </c>
      <c r="V282" s="36" t="str">
        <f>CONCATENATE(Cover!$D$6,"fdd/view?i=",U282)</f>
        <v>https://www.dgiwg.org/FAD/fdd/view?i=1570</v>
      </c>
      <c r="W282" s="172"/>
      <c r="X282" s="172"/>
      <c r="Y282" s="172"/>
    </row>
    <row r="283" spans="1:25" ht="2.1" customHeight="1" x14ac:dyDescent="0.2">
      <c r="A283" s="295"/>
      <c r="B283" s="283"/>
      <c r="C283" s="296"/>
      <c r="D283" s="283"/>
      <c r="E283" s="296"/>
      <c r="F283" s="297"/>
      <c r="G283" s="297"/>
      <c r="H283" s="297"/>
      <c r="I283" s="298"/>
      <c r="J283" s="304"/>
      <c r="K283" s="300"/>
      <c r="L283" s="301"/>
      <c r="M283" s="297" t="s">
        <v>6582</v>
      </c>
      <c r="N283" s="297"/>
      <c r="O283" s="297"/>
      <c r="P283" s="297"/>
      <c r="Q283" s="297"/>
      <c r="R283" s="297"/>
      <c r="S283" s="302"/>
      <c r="T283" s="302"/>
      <c r="U283" s="303"/>
    </row>
    <row r="284" spans="1:25" ht="25.5" x14ac:dyDescent="0.2">
      <c r="A284" s="212" t="str">
        <f>HYPERLINK(V284,B284)</f>
        <v>ButCode</v>
      </c>
      <c r="B284" s="283" t="s">
        <v>7258</v>
      </c>
      <c r="C284" s="284" t="s">
        <v>14843</v>
      </c>
      <c r="D284" s="285"/>
      <c r="E284" s="286"/>
      <c r="F284" s="287" t="s">
        <v>14844</v>
      </c>
      <c r="G284" s="286"/>
      <c r="H284" s="286"/>
      <c r="I284" s="288"/>
      <c r="J284" s="289"/>
      <c r="K284" s="290"/>
      <c r="L284" s="371" t="str">
        <f>HYPERLINK("[#]DatatypeListedValues!B2124:H2124","«enumeration»")</f>
        <v>«enumeration»</v>
      </c>
      <c r="M284" s="287" t="s">
        <v>6582</v>
      </c>
      <c r="N284" s="291" t="b">
        <v>0</v>
      </c>
      <c r="O284" s="286"/>
      <c r="P284" s="292"/>
      <c r="Q284" s="286"/>
      <c r="R284" s="286"/>
      <c r="S284" s="293"/>
      <c r="T284" s="294"/>
      <c r="U284" s="37">
        <v>1149</v>
      </c>
      <c r="V284" s="36" t="str">
        <f>CONCATENATE(Cover!$D$6,"fdd/view?i=",U284)</f>
        <v>https://www.dgiwg.org/FAD/fdd/view?i=1149</v>
      </c>
      <c r="W284" s="172"/>
      <c r="X284" s="172"/>
      <c r="Y284" s="172"/>
    </row>
    <row r="285" spans="1:25" ht="2.1" customHeight="1" x14ac:dyDescent="0.2">
      <c r="A285" s="295"/>
      <c r="B285" s="283"/>
      <c r="C285" s="296"/>
      <c r="D285" s="283"/>
      <c r="E285" s="296"/>
      <c r="F285" s="297"/>
      <c r="G285" s="297"/>
      <c r="H285" s="297"/>
      <c r="I285" s="298"/>
      <c r="J285" s="304"/>
      <c r="K285" s="300"/>
      <c r="L285" s="301"/>
      <c r="M285" s="297" t="s">
        <v>6582</v>
      </c>
      <c r="N285" s="297"/>
      <c r="O285" s="297"/>
      <c r="P285" s="297"/>
      <c r="Q285" s="297"/>
      <c r="R285" s="297"/>
      <c r="S285" s="302"/>
      <c r="T285" s="302"/>
      <c r="U285" s="303"/>
    </row>
    <row r="286" spans="1:25" ht="25.5" x14ac:dyDescent="0.2">
      <c r="A286" s="212" t="str">
        <f>HYPERLINK(V286,B286)</f>
        <v>BurCode</v>
      </c>
      <c r="B286" s="283" t="s">
        <v>7267</v>
      </c>
      <c r="C286" s="284" t="s">
        <v>14845</v>
      </c>
      <c r="D286" s="285"/>
      <c r="E286" s="286"/>
      <c r="F286" s="287" t="s">
        <v>14846</v>
      </c>
      <c r="G286" s="286"/>
      <c r="H286" s="286"/>
      <c r="I286" s="288"/>
      <c r="J286" s="289"/>
      <c r="K286" s="290"/>
      <c r="L286" s="371" t="str">
        <f>HYPERLINK("[#]DatatypeListedValues!B2221:H2221","«enumeration»")</f>
        <v>«enumeration»</v>
      </c>
      <c r="M286" s="287" t="s">
        <v>6582</v>
      </c>
      <c r="N286" s="291" t="b">
        <v>0</v>
      </c>
      <c r="O286" s="286"/>
      <c r="P286" s="292"/>
      <c r="Q286" s="286"/>
      <c r="R286" s="286"/>
      <c r="S286" s="293"/>
      <c r="T286" s="294"/>
      <c r="U286" s="37">
        <v>114376</v>
      </c>
      <c r="V286" s="36" t="str">
        <f>CONCATENATE(Cover!$D$6,"fdd/view?i=",U286)</f>
        <v>https://www.dgiwg.org/FAD/fdd/view?i=114376</v>
      </c>
      <c r="W286" s="172"/>
      <c r="X286" s="172"/>
      <c r="Y286" s="172"/>
    </row>
    <row r="287" spans="1:25" ht="2.1" customHeight="1" x14ac:dyDescent="0.2">
      <c r="A287" s="295"/>
      <c r="B287" s="283"/>
      <c r="C287" s="296"/>
      <c r="D287" s="283"/>
      <c r="E287" s="296"/>
      <c r="F287" s="297"/>
      <c r="G287" s="297"/>
      <c r="H287" s="297"/>
      <c r="I287" s="298"/>
      <c r="J287" s="304"/>
      <c r="K287" s="300"/>
      <c r="L287" s="301"/>
      <c r="M287" s="297" t="s">
        <v>6582</v>
      </c>
      <c r="N287" s="297"/>
      <c r="O287" s="297"/>
      <c r="P287" s="297"/>
      <c r="Q287" s="297"/>
      <c r="R287" s="297"/>
      <c r="S287" s="302"/>
      <c r="T287" s="302"/>
      <c r="U287" s="303"/>
    </row>
    <row r="288" spans="1:25" ht="25.5" x14ac:dyDescent="0.2">
      <c r="A288" s="212" t="str">
        <f>HYPERLINK(V288,B288)</f>
        <v>BccCode</v>
      </c>
      <c r="B288" s="283" t="s">
        <v>7273</v>
      </c>
      <c r="C288" s="284" t="s">
        <v>14847</v>
      </c>
      <c r="D288" s="285"/>
      <c r="E288" s="286"/>
      <c r="F288" s="287" t="s">
        <v>14848</v>
      </c>
      <c r="G288" s="286"/>
      <c r="H288" s="286"/>
      <c r="I288" s="288"/>
      <c r="J288" s="289"/>
      <c r="K288" s="290"/>
      <c r="L288" s="371" t="str">
        <f>HYPERLINK("[#]DatatypeListedValues!B2227:H2227","«enumeration»")</f>
        <v>«enumeration»</v>
      </c>
      <c r="M288" s="287" t="s">
        <v>6582</v>
      </c>
      <c r="N288" s="291" t="b">
        <v>0</v>
      </c>
      <c r="O288" s="286"/>
      <c r="P288" s="292"/>
      <c r="Q288" s="286"/>
      <c r="R288" s="286"/>
      <c r="S288" s="293"/>
      <c r="T288" s="294"/>
      <c r="U288" s="37">
        <v>1124</v>
      </c>
      <c r="V288" s="36" t="str">
        <f>CONCATENATE(Cover!$D$6,"fdd/view?i=",U288)</f>
        <v>https://www.dgiwg.org/FAD/fdd/view?i=1124</v>
      </c>
      <c r="W288" s="172"/>
      <c r="X288" s="172"/>
      <c r="Y288" s="172"/>
    </row>
    <row r="289" spans="1:25" ht="2.1" customHeight="1" x14ac:dyDescent="0.2">
      <c r="A289" s="295"/>
      <c r="B289" s="283"/>
      <c r="C289" s="296"/>
      <c r="D289" s="283"/>
      <c r="E289" s="296"/>
      <c r="F289" s="297"/>
      <c r="G289" s="297"/>
      <c r="H289" s="297"/>
      <c r="I289" s="298"/>
      <c r="J289" s="304"/>
      <c r="K289" s="300"/>
      <c r="L289" s="301"/>
      <c r="M289" s="297" t="s">
        <v>6582</v>
      </c>
      <c r="N289" s="297"/>
      <c r="O289" s="297"/>
      <c r="P289" s="297"/>
      <c r="Q289" s="297"/>
      <c r="R289" s="297"/>
      <c r="S289" s="302"/>
      <c r="T289" s="302"/>
      <c r="U289" s="303"/>
    </row>
    <row r="290" spans="1:25" ht="25.5" x14ac:dyDescent="0.2">
      <c r="A290" s="212" t="str">
        <f>HYPERLINK(V290,B290)</f>
        <v>PbyCode</v>
      </c>
      <c r="B290" s="283" t="s">
        <v>7279</v>
      </c>
      <c r="C290" s="284" t="s">
        <v>14849</v>
      </c>
      <c r="D290" s="285"/>
      <c r="E290" s="286"/>
      <c r="F290" s="287" t="s">
        <v>14850</v>
      </c>
      <c r="G290" s="286"/>
      <c r="H290" s="286"/>
      <c r="I290" s="288"/>
      <c r="J290" s="289"/>
      <c r="K290" s="290"/>
      <c r="L290" s="371" t="str">
        <f>HYPERLINK("[#]DatatypeListedValues!B2230:H2230","«enumeration»")</f>
        <v>«enumeration»</v>
      </c>
      <c r="M290" s="287" t="s">
        <v>6582</v>
      </c>
      <c r="N290" s="291" t="b">
        <v>0</v>
      </c>
      <c r="O290" s="286"/>
      <c r="P290" s="292"/>
      <c r="Q290" s="286"/>
      <c r="R290" s="286"/>
      <c r="S290" s="293"/>
      <c r="T290" s="294"/>
      <c r="U290" s="37">
        <v>1361</v>
      </c>
      <c r="V290" s="36" t="str">
        <f>CONCATENATE(Cover!$D$6,"fdd/view?i=",U290)</f>
        <v>https://www.dgiwg.org/FAD/fdd/view?i=1361</v>
      </c>
      <c r="W290" s="172"/>
      <c r="X290" s="172"/>
      <c r="Y290" s="172"/>
    </row>
    <row r="291" spans="1:25" ht="2.1" customHeight="1" x14ac:dyDescent="0.2">
      <c r="A291" s="295"/>
      <c r="B291" s="283"/>
      <c r="C291" s="296"/>
      <c r="D291" s="283"/>
      <c r="E291" s="296"/>
      <c r="F291" s="297"/>
      <c r="G291" s="297"/>
      <c r="H291" s="297"/>
      <c r="I291" s="298"/>
      <c r="J291" s="304"/>
      <c r="K291" s="300"/>
      <c r="L291" s="301"/>
      <c r="M291" s="297" t="s">
        <v>6582</v>
      </c>
      <c r="N291" s="297"/>
      <c r="O291" s="297"/>
      <c r="P291" s="297"/>
      <c r="Q291" s="297"/>
      <c r="R291" s="297"/>
      <c r="S291" s="302"/>
      <c r="T291" s="302"/>
      <c r="U291" s="303"/>
    </row>
    <row r="292" spans="1:25" ht="25.5" x14ac:dyDescent="0.2">
      <c r="A292" s="212" t="str">
        <f>HYPERLINK(V292,B292)</f>
        <v>TstCode</v>
      </c>
      <c r="B292" s="283" t="s">
        <v>7284</v>
      </c>
      <c r="C292" s="284" t="s">
        <v>14851</v>
      </c>
      <c r="D292" s="285"/>
      <c r="E292" s="286"/>
      <c r="F292" s="287" t="s">
        <v>14852</v>
      </c>
      <c r="G292" s="286"/>
      <c r="H292" s="286"/>
      <c r="I292" s="288"/>
      <c r="J292" s="289"/>
      <c r="K292" s="290"/>
      <c r="L292" s="371" t="str">
        <f>HYPERLINK("[#]DatatypeListedValues!B2252:H2252","«enumeration»")</f>
        <v>«enumeration»</v>
      </c>
      <c r="M292" s="287" t="s">
        <v>6582</v>
      </c>
      <c r="N292" s="291" t="b">
        <v>0</v>
      </c>
      <c r="O292" s="286"/>
      <c r="P292" s="292"/>
      <c r="Q292" s="286"/>
      <c r="R292" s="286"/>
      <c r="S292" s="293"/>
      <c r="T292" s="294"/>
      <c r="U292" s="37">
        <v>1502</v>
      </c>
      <c r="V292" s="36" t="str">
        <f>CONCATENATE(Cover!$D$6,"fdd/view?i=",U292)</f>
        <v>https://www.dgiwg.org/FAD/fdd/view?i=1502</v>
      </c>
      <c r="W292" s="172"/>
      <c r="X292" s="172"/>
      <c r="Y292" s="172"/>
    </row>
    <row r="293" spans="1:25" ht="2.1" customHeight="1" x14ac:dyDescent="0.2">
      <c r="A293" s="295"/>
      <c r="B293" s="283"/>
      <c r="C293" s="296"/>
      <c r="D293" s="283"/>
      <c r="E293" s="296"/>
      <c r="F293" s="297"/>
      <c r="G293" s="297"/>
      <c r="H293" s="297"/>
      <c r="I293" s="298"/>
      <c r="J293" s="304"/>
      <c r="K293" s="300"/>
      <c r="L293" s="301"/>
      <c r="M293" s="297" t="s">
        <v>6582</v>
      </c>
      <c r="N293" s="297"/>
      <c r="O293" s="297"/>
      <c r="P293" s="297"/>
      <c r="Q293" s="297"/>
      <c r="R293" s="297"/>
      <c r="S293" s="302"/>
      <c r="T293" s="302"/>
      <c r="U293" s="303"/>
    </row>
    <row r="294" spans="1:25" ht="25.5" x14ac:dyDescent="0.2">
      <c r="A294" s="212" t="str">
        <f>HYPERLINK(V294,B294)</f>
        <v>CabCode</v>
      </c>
      <c r="B294" s="283" t="s">
        <v>7289</v>
      </c>
      <c r="C294" s="284" t="s">
        <v>14853</v>
      </c>
      <c r="D294" s="285"/>
      <c r="E294" s="286"/>
      <c r="F294" s="287" t="s">
        <v>14854</v>
      </c>
      <c r="G294" s="286"/>
      <c r="H294" s="286"/>
      <c r="I294" s="288"/>
      <c r="J294" s="289"/>
      <c r="K294" s="290"/>
      <c r="L294" s="371" t="str">
        <f>HYPERLINK("[#]DatatypeListedValues!B2255:H2255","«enumeration»")</f>
        <v>«enumeration»</v>
      </c>
      <c r="M294" s="287" t="s">
        <v>6582</v>
      </c>
      <c r="N294" s="291" t="b">
        <v>0</v>
      </c>
      <c r="O294" s="286"/>
      <c r="P294" s="292"/>
      <c r="Q294" s="286"/>
      <c r="R294" s="286"/>
      <c r="S294" s="293"/>
      <c r="T294" s="294"/>
      <c r="U294" s="37">
        <v>1153</v>
      </c>
      <c r="V294" s="36" t="str">
        <f>CONCATENATE(Cover!$D$6,"fdd/view?i=",U294)</f>
        <v>https://www.dgiwg.org/FAD/fdd/view?i=1153</v>
      </c>
      <c r="W294" s="172"/>
      <c r="X294" s="172"/>
      <c r="Y294" s="172"/>
    </row>
    <row r="295" spans="1:25" ht="2.1" customHeight="1" x14ac:dyDescent="0.2">
      <c r="A295" s="295"/>
      <c r="B295" s="283"/>
      <c r="C295" s="296"/>
      <c r="D295" s="283"/>
      <c r="E295" s="296"/>
      <c r="F295" s="297"/>
      <c r="G295" s="297"/>
      <c r="H295" s="297"/>
      <c r="I295" s="298"/>
      <c r="J295" s="304"/>
      <c r="K295" s="300"/>
      <c r="L295" s="301"/>
      <c r="M295" s="297" t="s">
        <v>6582</v>
      </c>
      <c r="N295" s="297"/>
      <c r="O295" s="297"/>
      <c r="P295" s="297"/>
      <c r="Q295" s="297"/>
      <c r="R295" s="297"/>
      <c r="S295" s="302"/>
      <c r="T295" s="302"/>
      <c r="U295" s="303"/>
    </row>
    <row r="296" spans="1:25" ht="25.5" x14ac:dyDescent="0.2">
      <c r="A296" s="212" t="str">
        <f>HYPERLINK(V296,B296)</f>
        <v>CatCode</v>
      </c>
      <c r="B296" s="283" t="s">
        <v>7294</v>
      </c>
      <c r="C296" s="284" t="s">
        <v>14855</v>
      </c>
      <c r="D296" s="285"/>
      <c r="E296" s="286"/>
      <c r="F296" s="287" t="s">
        <v>14856</v>
      </c>
      <c r="G296" s="286"/>
      <c r="H296" s="286"/>
      <c r="I296" s="288"/>
      <c r="J296" s="289"/>
      <c r="K296" s="290"/>
      <c r="L296" s="371" t="str">
        <f>HYPERLINK("[#]DatatypeListedValues!B2269:H2269","«enumeration»")</f>
        <v>«enumeration»</v>
      </c>
      <c r="M296" s="287" t="s">
        <v>6582</v>
      </c>
      <c r="N296" s="291" t="b">
        <v>0</v>
      </c>
      <c r="O296" s="286"/>
      <c r="P296" s="292"/>
      <c r="Q296" s="286"/>
      <c r="R296" s="286"/>
      <c r="S296" s="293"/>
      <c r="T296" s="294"/>
      <c r="U296" s="37">
        <v>1569</v>
      </c>
      <c r="V296" s="36" t="str">
        <f>CONCATENATE(Cover!$D$6,"fdd/view?i=",U296)</f>
        <v>https://www.dgiwg.org/FAD/fdd/view?i=1569</v>
      </c>
      <c r="W296" s="172"/>
      <c r="X296" s="172"/>
      <c r="Y296" s="172"/>
    </row>
    <row r="297" spans="1:25" ht="2.1" customHeight="1" x14ac:dyDescent="0.2">
      <c r="A297" s="295"/>
      <c r="B297" s="283"/>
      <c r="C297" s="296"/>
      <c r="D297" s="283"/>
      <c r="E297" s="296"/>
      <c r="F297" s="297"/>
      <c r="G297" s="297"/>
      <c r="H297" s="297"/>
      <c r="I297" s="298"/>
      <c r="J297" s="304"/>
      <c r="K297" s="300"/>
      <c r="L297" s="301"/>
      <c r="M297" s="297" t="s">
        <v>6582</v>
      </c>
      <c r="N297" s="297"/>
      <c r="O297" s="297"/>
      <c r="P297" s="297"/>
      <c r="Q297" s="297"/>
      <c r="R297" s="297"/>
      <c r="S297" s="302"/>
      <c r="T297" s="302"/>
      <c r="U297" s="303"/>
    </row>
    <row r="298" spans="1:25" ht="25.5" x14ac:dyDescent="0.2">
      <c r="A298" s="212" t="str">
        <f>HYPERLINK(V298,B298)</f>
        <v>CdyCode</v>
      </c>
      <c r="B298" s="283" t="s">
        <v>7313</v>
      </c>
      <c r="C298" s="284" t="s">
        <v>14857</v>
      </c>
      <c r="D298" s="285"/>
      <c r="E298" s="286"/>
      <c r="F298" s="287" t="s">
        <v>14858</v>
      </c>
      <c r="G298" s="286"/>
      <c r="H298" s="286"/>
      <c r="I298" s="288"/>
      <c r="J298" s="289"/>
      <c r="K298" s="290"/>
      <c r="L298" s="371" t="str">
        <f>HYPERLINK("[#]DatatypeListedValues!B2276:H2276","«enumeration»")</f>
        <v>«enumeration»</v>
      </c>
      <c r="M298" s="287" t="s">
        <v>6582</v>
      </c>
      <c r="N298" s="291" t="b">
        <v>0</v>
      </c>
      <c r="O298" s="286"/>
      <c r="P298" s="292"/>
      <c r="Q298" s="286"/>
      <c r="R298" s="286"/>
      <c r="S298" s="293"/>
      <c r="T298" s="294"/>
      <c r="U298" s="37">
        <v>119871</v>
      </c>
      <c r="V298" s="36" t="str">
        <f>CONCATENATE(Cover!$D$6,"fdd/view?i=",U298)</f>
        <v>https://www.dgiwg.org/FAD/fdd/view?i=119871</v>
      </c>
      <c r="W298" s="172"/>
      <c r="X298" s="172"/>
      <c r="Y298" s="172"/>
    </row>
    <row r="299" spans="1:25" ht="2.1" customHeight="1" x14ac:dyDescent="0.2">
      <c r="A299" s="295"/>
      <c r="B299" s="283"/>
      <c r="C299" s="296"/>
      <c r="D299" s="283"/>
      <c r="E299" s="296"/>
      <c r="F299" s="297"/>
      <c r="G299" s="297"/>
      <c r="H299" s="297"/>
      <c r="I299" s="298"/>
      <c r="J299" s="304"/>
      <c r="K299" s="300"/>
      <c r="L299" s="301"/>
      <c r="M299" s="297" t="s">
        <v>6582</v>
      </c>
      <c r="N299" s="297"/>
      <c r="O299" s="297"/>
      <c r="P299" s="297"/>
      <c r="Q299" s="297"/>
      <c r="R299" s="297"/>
      <c r="S299" s="302"/>
      <c r="T299" s="302"/>
      <c r="U299" s="303"/>
    </row>
    <row r="300" spans="1:25" ht="25.5" x14ac:dyDescent="0.2">
      <c r="A300" s="212" t="str">
        <f>HYPERLINK(V300,B300)</f>
        <v>CmeCode</v>
      </c>
      <c r="B300" s="283" t="s">
        <v>7319</v>
      </c>
      <c r="C300" s="284" t="s">
        <v>14859</v>
      </c>
      <c r="D300" s="285"/>
      <c r="E300" s="286"/>
      <c r="F300" s="287" t="s">
        <v>14860</v>
      </c>
      <c r="G300" s="286"/>
      <c r="H300" s="286"/>
      <c r="I300" s="288"/>
      <c r="J300" s="289"/>
      <c r="K300" s="290"/>
      <c r="L300" s="371" t="str">
        <f>HYPERLINK("[#]DatatypeListedValues!B2290:H2290","«enumeration»")</f>
        <v>«enumeration»</v>
      </c>
      <c r="M300" s="287" t="s">
        <v>6582</v>
      </c>
      <c r="N300" s="287" t="b">
        <v>1</v>
      </c>
      <c r="O300" s="286"/>
      <c r="P300" s="292"/>
      <c r="Q300" s="286"/>
      <c r="R300" s="286"/>
      <c r="S300" s="293"/>
      <c r="T300" s="294"/>
      <c r="U300" s="37">
        <v>119660</v>
      </c>
      <c r="V300" s="36" t="str">
        <f>CONCATENATE(Cover!$D$6,"fdd/view?i=",U300)</f>
        <v>https://www.dgiwg.org/FAD/fdd/view?i=119660</v>
      </c>
      <c r="W300" s="172"/>
      <c r="X300" s="172"/>
      <c r="Y300" s="172"/>
    </row>
    <row r="301" spans="1:25" ht="2.1" customHeight="1" x14ac:dyDescent="0.2">
      <c r="A301" s="295"/>
      <c r="B301" s="283"/>
      <c r="C301" s="296"/>
      <c r="D301" s="283"/>
      <c r="E301" s="296"/>
      <c r="F301" s="297"/>
      <c r="G301" s="297"/>
      <c r="H301" s="297"/>
      <c r="I301" s="298"/>
      <c r="J301" s="304"/>
      <c r="K301" s="300"/>
      <c r="L301" s="301"/>
      <c r="M301" s="297" t="s">
        <v>6582</v>
      </c>
      <c r="N301" s="297"/>
      <c r="O301" s="297"/>
      <c r="P301" s="297"/>
      <c r="Q301" s="297"/>
      <c r="R301" s="297"/>
      <c r="S301" s="302"/>
      <c r="T301" s="302"/>
      <c r="U301" s="303"/>
    </row>
    <row r="302" spans="1:25" ht="25.5" x14ac:dyDescent="0.2">
      <c r="A302" s="212" t="str">
        <f>HYPERLINK(V302,B302)</f>
        <v>CtyCode</v>
      </c>
      <c r="B302" s="283" t="s">
        <v>7333</v>
      </c>
      <c r="C302" s="284" t="s">
        <v>14861</v>
      </c>
      <c r="D302" s="285"/>
      <c r="E302" s="286"/>
      <c r="F302" s="287" t="s">
        <v>14862</v>
      </c>
      <c r="G302" s="286"/>
      <c r="H302" s="286"/>
      <c r="I302" s="288"/>
      <c r="J302" s="289"/>
      <c r="K302" s="290"/>
      <c r="L302" s="371" t="str">
        <f>HYPERLINK("[#]DatatypeListedValues!B2292:H2292","«enumeration»")</f>
        <v>«enumeration»</v>
      </c>
      <c r="M302" s="287" t="s">
        <v>6582</v>
      </c>
      <c r="N302" s="291" t="b">
        <v>0</v>
      </c>
      <c r="O302" s="286"/>
      <c r="P302" s="292"/>
      <c r="Q302" s="286"/>
      <c r="R302" s="286"/>
      <c r="S302" s="293"/>
      <c r="T302" s="294"/>
      <c r="U302" s="37">
        <v>1579</v>
      </c>
      <c r="V302" s="36" t="str">
        <f>CONCATENATE(Cover!$D$6,"fdd/view?i=",U302)</f>
        <v>https://www.dgiwg.org/FAD/fdd/view?i=1579</v>
      </c>
      <c r="W302" s="172"/>
      <c r="X302" s="172"/>
      <c r="Y302" s="172"/>
    </row>
    <row r="303" spans="1:25" ht="2.1" customHeight="1" x14ac:dyDescent="0.2">
      <c r="A303" s="295"/>
      <c r="B303" s="283"/>
      <c r="C303" s="296"/>
      <c r="D303" s="283"/>
      <c r="E303" s="296"/>
      <c r="F303" s="297"/>
      <c r="G303" s="297"/>
      <c r="H303" s="297"/>
      <c r="I303" s="298"/>
      <c r="J303" s="304"/>
      <c r="K303" s="300"/>
      <c r="L303" s="301"/>
      <c r="M303" s="297" t="s">
        <v>6582</v>
      </c>
      <c r="N303" s="297"/>
      <c r="O303" s="297"/>
      <c r="P303" s="297"/>
      <c r="Q303" s="297"/>
      <c r="R303" s="297"/>
      <c r="S303" s="302"/>
      <c r="T303" s="302"/>
      <c r="U303" s="303"/>
    </row>
    <row r="304" spans="1:25" ht="25.5" x14ac:dyDescent="0.2">
      <c r="A304" s="212" t="str">
        <f>HYPERLINK(V304,B304)</f>
        <v>CtxCode</v>
      </c>
      <c r="B304" s="283" t="s">
        <v>7344</v>
      </c>
      <c r="C304" s="284" t="s">
        <v>14863</v>
      </c>
      <c r="D304" s="285"/>
      <c r="E304" s="286"/>
      <c r="F304" s="287" t="s">
        <v>14864</v>
      </c>
      <c r="G304" s="286"/>
      <c r="H304" s="286"/>
      <c r="I304" s="288"/>
      <c r="J304" s="289"/>
      <c r="K304" s="290"/>
      <c r="L304" s="371" t="str">
        <f>HYPERLINK("[#]DatatypeListedValues!B2298:H2298","«enumeration»")</f>
        <v>«enumeration»</v>
      </c>
      <c r="M304" s="287" t="s">
        <v>6582</v>
      </c>
      <c r="N304" s="291" t="b">
        <v>0</v>
      </c>
      <c r="O304" s="286"/>
      <c r="P304" s="292"/>
      <c r="Q304" s="286"/>
      <c r="R304" s="286"/>
      <c r="S304" s="293"/>
      <c r="T304" s="294"/>
      <c r="U304" s="37">
        <v>119225</v>
      </c>
      <c r="V304" s="36" t="str">
        <f>CONCATENATE(Cover!$D$6,"fdd/view?i=",U304)</f>
        <v>https://www.dgiwg.org/FAD/fdd/view?i=119225</v>
      </c>
      <c r="W304" s="172"/>
      <c r="X304" s="172"/>
      <c r="Y304" s="172"/>
    </row>
    <row r="305" spans="1:25" ht="2.1" customHeight="1" x14ac:dyDescent="0.2">
      <c r="A305" s="295"/>
      <c r="B305" s="283"/>
      <c r="C305" s="296"/>
      <c r="D305" s="283"/>
      <c r="E305" s="296"/>
      <c r="F305" s="297"/>
      <c r="G305" s="297"/>
      <c r="H305" s="297"/>
      <c r="I305" s="298"/>
      <c r="J305" s="304"/>
      <c r="K305" s="300"/>
      <c r="L305" s="301"/>
      <c r="M305" s="297" t="s">
        <v>6582</v>
      </c>
      <c r="N305" s="297"/>
      <c r="O305" s="297"/>
      <c r="P305" s="297"/>
      <c r="Q305" s="297"/>
      <c r="R305" s="297"/>
      <c r="S305" s="302"/>
      <c r="T305" s="302"/>
      <c r="U305" s="303"/>
    </row>
    <row r="306" spans="1:25" ht="25.5" x14ac:dyDescent="0.2">
      <c r="A306" s="212" t="str">
        <f>HYPERLINK(V306,B306)</f>
        <v>CpsCode</v>
      </c>
      <c r="B306" s="283" t="s">
        <v>7356</v>
      </c>
      <c r="C306" s="284" t="s">
        <v>14865</v>
      </c>
      <c r="D306" s="285"/>
      <c r="E306" s="286"/>
      <c r="F306" s="287" t="s">
        <v>14866</v>
      </c>
      <c r="G306" s="286"/>
      <c r="H306" s="286"/>
      <c r="I306" s="288"/>
      <c r="J306" s="289"/>
      <c r="K306" s="290"/>
      <c r="L306" s="371" t="str">
        <f>HYPERLINK("[#]DatatypeListedValues!B2305:H2305","«enumeration»")</f>
        <v>«enumeration»</v>
      </c>
      <c r="M306" s="287" t="s">
        <v>6582</v>
      </c>
      <c r="N306" s="291" t="b">
        <v>0</v>
      </c>
      <c r="O306" s="286"/>
      <c r="P306" s="292"/>
      <c r="Q306" s="286"/>
      <c r="R306" s="286"/>
      <c r="S306" s="293"/>
      <c r="T306" s="294"/>
      <c r="U306" s="37">
        <v>117805</v>
      </c>
      <c r="V306" s="36" t="str">
        <f>CONCATENATE(Cover!$D$6,"fdd/view?i=",U306)</f>
        <v>https://www.dgiwg.org/FAD/fdd/view?i=117805</v>
      </c>
      <c r="W306" s="172"/>
      <c r="X306" s="172"/>
      <c r="Y306" s="172"/>
    </row>
    <row r="307" spans="1:25" ht="2.1" customHeight="1" x14ac:dyDescent="0.2">
      <c r="A307" s="295"/>
      <c r="B307" s="283"/>
      <c r="C307" s="296"/>
      <c r="D307" s="283"/>
      <c r="E307" s="296"/>
      <c r="F307" s="297"/>
      <c r="G307" s="297"/>
      <c r="H307" s="297"/>
      <c r="I307" s="298"/>
      <c r="J307" s="304"/>
      <c r="K307" s="300"/>
      <c r="L307" s="301"/>
      <c r="M307" s="297" t="s">
        <v>6582</v>
      </c>
      <c r="N307" s="297"/>
      <c r="O307" s="297"/>
      <c r="P307" s="297"/>
      <c r="Q307" s="297"/>
      <c r="R307" s="297"/>
      <c r="S307" s="302"/>
      <c r="T307" s="302"/>
      <c r="U307" s="303"/>
    </row>
    <row r="308" spans="1:25" ht="25.5" x14ac:dyDescent="0.2">
      <c r="A308" s="212" t="str">
        <f>HYPERLINK(V308,B308)</f>
        <v>ChtCode</v>
      </c>
      <c r="B308" s="283" t="s">
        <v>7375</v>
      </c>
      <c r="C308" s="284" t="s">
        <v>14867</v>
      </c>
      <c r="D308" s="285"/>
      <c r="E308" s="286"/>
      <c r="F308" s="287" t="s">
        <v>14868</v>
      </c>
      <c r="G308" s="286"/>
      <c r="H308" s="286"/>
      <c r="I308" s="288"/>
      <c r="J308" s="289"/>
      <c r="K308" s="290"/>
      <c r="L308" s="371" t="str">
        <f>HYPERLINK("[#]DatatypeListedValues!B2310:H2310","«enumeration»")</f>
        <v>«enumeration»</v>
      </c>
      <c r="M308" s="287" t="s">
        <v>6582</v>
      </c>
      <c r="N308" s="291" t="b">
        <v>0</v>
      </c>
      <c r="O308" s="286"/>
      <c r="P308" s="292"/>
      <c r="Q308" s="286"/>
      <c r="R308" s="286"/>
      <c r="S308" s="293"/>
      <c r="T308" s="294"/>
      <c r="U308" s="37">
        <v>1164</v>
      </c>
      <c r="V308" s="36" t="str">
        <f>CONCATENATE(Cover!$D$6,"fdd/view?i=",U308)</f>
        <v>https://www.dgiwg.org/FAD/fdd/view?i=1164</v>
      </c>
      <c r="W308" s="172"/>
      <c r="X308" s="172"/>
      <c r="Y308" s="172"/>
    </row>
    <row r="309" spans="1:25" ht="2.1" customHeight="1" x14ac:dyDescent="0.2">
      <c r="A309" s="295"/>
      <c r="B309" s="283"/>
      <c r="C309" s="296"/>
      <c r="D309" s="283"/>
      <c r="E309" s="296"/>
      <c r="F309" s="297"/>
      <c r="G309" s="297"/>
      <c r="H309" s="297"/>
      <c r="I309" s="298"/>
      <c r="J309" s="304"/>
      <c r="K309" s="300"/>
      <c r="L309" s="301"/>
      <c r="M309" s="297" t="s">
        <v>6582</v>
      </c>
      <c r="N309" s="297"/>
      <c r="O309" s="297"/>
      <c r="P309" s="297"/>
      <c r="Q309" s="297"/>
      <c r="R309" s="297"/>
      <c r="S309" s="302"/>
      <c r="T309" s="302"/>
      <c r="U309" s="303"/>
    </row>
    <row r="310" spans="1:25" ht="38.25" x14ac:dyDescent="0.2">
      <c r="A310" s="212" t="str">
        <f>HYPERLINK(V310,B310)</f>
        <v>ColStrucText</v>
      </c>
      <c r="B310" s="283" t="s">
        <v>7381</v>
      </c>
      <c r="C310" s="284" t="s">
        <v>14869</v>
      </c>
      <c r="D310" s="285"/>
      <c r="E310" s="286"/>
      <c r="F310" s="287" t="s">
        <v>14870</v>
      </c>
      <c r="G310" s="286"/>
      <c r="H310" s="287" t="s">
        <v>14552</v>
      </c>
      <c r="I310" s="288"/>
      <c r="J310" s="289"/>
      <c r="K310" s="290"/>
      <c r="L310" s="287" t="s">
        <v>14551</v>
      </c>
      <c r="M310" s="287" t="s">
        <v>6582</v>
      </c>
      <c r="N310" s="286"/>
      <c r="O310" s="287">
        <v>80</v>
      </c>
      <c r="P310" s="305" t="b">
        <v>0</v>
      </c>
      <c r="Q310" s="287" t="s">
        <v>14871</v>
      </c>
      <c r="R310" s="286"/>
      <c r="S310" s="293"/>
      <c r="T310" s="294"/>
      <c r="U310" s="37">
        <v>3739</v>
      </c>
      <c r="V310" s="36" t="str">
        <f>CONCATENATE(Cover!$D$6,"fdd/view?i=",U310)</f>
        <v>https://www.dgiwg.org/FAD/fdd/view?i=3739</v>
      </c>
      <c r="W310" s="172"/>
      <c r="X310" s="172"/>
      <c r="Y310" s="172"/>
    </row>
    <row r="311" spans="1:25" ht="2.1" customHeight="1" x14ac:dyDescent="0.2">
      <c r="A311" s="295"/>
      <c r="B311" s="283"/>
      <c r="C311" s="296"/>
      <c r="D311" s="283"/>
      <c r="E311" s="296"/>
      <c r="F311" s="297"/>
      <c r="G311" s="297"/>
      <c r="H311" s="297"/>
      <c r="I311" s="298"/>
      <c r="J311" s="304"/>
      <c r="K311" s="300"/>
      <c r="L311" s="301"/>
      <c r="M311" s="297" t="s">
        <v>6582</v>
      </c>
      <c r="N311" s="297"/>
      <c r="O311" s="297"/>
      <c r="P311" s="297"/>
      <c r="Q311" s="297"/>
      <c r="R311" s="297"/>
      <c r="S311" s="302"/>
      <c r="T311" s="302"/>
      <c r="U311" s="303"/>
    </row>
    <row r="312" spans="1:25" ht="25.5" x14ac:dyDescent="0.2">
      <c r="A312" s="212" t="str">
        <f>HYPERLINK(V312,B312)</f>
        <v>BcpCode</v>
      </c>
      <c r="B312" s="283" t="s">
        <v>7392</v>
      </c>
      <c r="C312" s="284" t="s">
        <v>14872</v>
      </c>
      <c r="D312" s="285"/>
      <c r="E312" s="286"/>
      <c r="F312" s="287" t="s">
        <v>14873</v>
      </c>
      <c r="G312" s="286"/>
      <c r="H312" s="286"/>
      <c r="I312" s="288"/>
      <c r="J312" s="289"/>
      <c r="K312" s="290"/>
      <c r="L312" s="371" t="str">
        <f>HYPERLINK("[#]DatatypeListedValues!B2315:H2315","«enumeration»")</f>
        <v>«enumeration»</v>
      </c>
      <c r="M312" s="287" t="s">
        <v>6582</v>
      </c>
      <c r="N312" s="291" t="b">
        <v>0</v>
      </c>
      <c r="O312" s="286"/>
      <c r="P312" s="292"/>
      <c r="Q312" s="286"/>
      <c r="R312" s="286"/>
      <c r="S312" s="293"/>
      <c r="T312" s="294"/>
      <c r="U312" s="37">
        <v>118175</v>
      </c>
      <c r="V312" s="36" t="str">
        <f>CONCATENATE(Cover!$D$6,"fdd/view?i=",U312)</f>
        <v>https://www.dgiwg.org/FAD/fdd/view?i=118175</v>
      </c>
      <c r="W312" s="172"/>
      <c r="X312" s="172"/>
      <c r="Y312" s="172"/>
    </row>
    <row r="313" spans="1:25" ht="2.1" customHeight="1" x14ac:dyDescent="0.2">
      <c r="A313" s="295"/>
      <c r="B313" s="283"/>
      <c r="C313" s="296"/>
      <c r="D313" s="283"/>
      <c r="E313" s="296"/>
      <c r="F313" s="297"/>
      <c r="G313" s="297"/>
      <c r="H313" s="297"/>
      <c r="I313" s="298"/>
      <c r="J313" s="304"/>
      <c r="K313" s="300"/>
      <c r="L313" s="301"/>
      <c r="M313" s="297" t="s">
        <v>6582</v>
      </c>
      <c r="N313" s="297"/>
      <c r="O313" s="297"/>
      <c r="P313" s="297"/>
      <c r="Q313" s="297"/>
      <c r="R313" s="297"/>
      <c r="S313" s="302"/>
      <c r="T313" s="302"/>
      <c r="U313" s="303"/>
    </row>
    <row r="314" spans="1:25" ht="25.5" x14ac:dyDescent="0.2">
      <c r="A314" s="212" t="str">
        <f>HYPERLINK(V314,B314)</f>
        <v>EleCode</v>
      </c>
      <c r="B314" s="283" t="s">
        <v>7397</v>
      </c>
      <c r="C314" s="284" t="s">
        <v>14874</v>
      </c>
      <c r="D314" s="285"/>
      <c r="E314" s="286"/>
      <c r="F314" s="287" t="s">
        <v>14875</v>
      </c>
      <c r="G314" s="286"/>
      <c r="H314" s="286"/>
      <c r="I314" s="288"/>
      <c r="J314" s="289"/>
      <c r="K314" s="290"/>
      <c r="L314" s="371" t="str">
        <f>HYPERLINK("[#]DatatypeListedValues!B2323:H2323","«enumeration»")</f>
        <v>«enumeration»</v>
      </c>
      <c r="M314" s="287" t="s">
        <v>6582</v>
      </c>
      <c r="N314" s="291" t="b">
        <v>0</v>
      </c>
      <c r="O314" s="286"/>
      <c r="P314" s="292"/>
      <c r="Q314" s="286"/>
      <c r="R314" s="286"/>
      <c r="S314" s="293"/>
      <c r="T314" s="294"/>
      <c r="U314" s="37">
        <v>1820</v>
      </c>
      <c r="V314" s="36" t="str">
        <f>CONCATENATE(Cover!$D$6,"fdd/view?i=",U314)</f>
        <v>https://www.dgiwg.org/FAD/fdd/view?i=1820</v>
      </c>
      <c r="W314" s="172"/>
      <c r="X314" s="172"/>
      <c r="Y314" s="172"/>
    </row>
    <row r="315" spans="1:25" ht="2.1" customHeight="1" x14ac:dyDescent="0.2">
      <c r="A315" s="295"/>
      <c r="B315" s="283"/>
      <c r="C315" s="296"/>
      <c r="D315" s="283"/>
      <c r="E315" s="296"/>
      <c r="F315" s="297"/>
      <c r="G315" s="297"/>
      <c r="H315" s="297"/>
      <c r="I315" s="298"/>
      <c r="J315" s="304"/>
      <c r="K315" s="300"/>
      <c r="L315" s="301"/>
      <c r="M315" s="297" t="s">
        <v>6582</v>
      </c>
      <c r="N315" s="297"/>
      <c r="O315" s="297"/>
      <c r="P315" s="297"/>
      <c r="Q315" s="297"/>
      <c r="R315" s="297"/>
      <c r="S315" s="302"/>
      <c r="T315" s="302"/>
      <c r="U315" s="303"/>
    </row>
    <row r="316" spans="1:25" ht="25.5" x14ac:dyDescent="0.2">
      <c r="A316" s="212" t="str">
        <f>HYPERLINK(V316,B316)</f>
        <v>ChpCode</v>
      </c>
      <c r="B316" s="283" t="s">
        <v>7411</v>
      </c>
      <c r="C316" s="284" t="s">
        <v>14876</v>
      </c>
      <c r="D316" s="285"/>
      <c r="E316" s="286"/>
      <c r="F316" s="287" t="s">
        <v>14877</v>
      </c>
      <c r="G316" s="286"/>
      <c r="H316" s="286"/>
      <c r="I316" s="288"/>
      <c r="J316" s="289"/>
      <c r="K316" s="290"/>
      <c r="L316" s="371" t="str">
        <f>HYPERLINK("[#]DatatypeListedValues!B2384:H2384","«enumeration»")</f>
        <v>«enumeration»</v>
      </c>
      <c r="M316" s="287" t="s">
        <v>6582</v>
      </c>
      <c r="N316" s="291" t="b">
        <v>0</v>
      </c>
      <c r="O316" s="286"/>
      <c r="P316" s="292"/>
      <c r="Q316" s="286"/>
      <c r="R316" s="286"/>
      <c r="S316" s="293"/>
      <c r="T316" s="294"/>
      <c r="U316" s="37">
        <v>118177</v>
      </c>
      <c r="V316" s="36" t="str">
        <f>CONCATENATE(Cover!$D$6,"fdd/view?i=",U316)</f>
        <v>https://www.dgiwg.org/FAD/fdd/view?i=118177</v>
      </c>
      <c r="W316" s="172"/>
      <c r="X316" s="172"/>
      <c r="Y316" s="172"/>
    </row>
    <row r="317" spans="1:25" ht="2.1" customHeight="1" x14ac:dyDescent="0.2">
      <c r="A317" s="295"/>
      <c r="B317" s="283"/>
      <c r="C317" s="296"/>
      <c r="D317" s="283"/>
      <c r="E317" s="296"/>
      <c r="F317" s="297"/>
      <c r="G317" s="297"/>
      <c r="H317" s="297"/>
      <c r="I317" s="298"/>
      <c r="J317" s="304"/>
      <c r="K317" s="300"/>
      <c r="L317" s="301"/>
      <c r="M317" s="297" t="s">
        <v>6582</v>
      </c>
      <c r="N317" s="297"/>
      <c r="O317" s="297"/>
      <c r="P317" s="297"/>
      <c r="Q317" s="297"/>
      <c r="R317" s="297"/>
      <c r="S317" s="302"/>
      <c r="T317" s="302"/>
      <c r="U317" s="303"/>
    </row>
    <row r="318" spans="1:25" ht="38.25" x14ac:dyDescent="0.2">
      <c r="A318" s="212" t="str">
        <f>HYPERLINK(V318,B318)</f>
        <v>CpiStrucText</v>
      </c>
      <c r="B318" s="283" t="s">
        <v>7417</v>
      </c>
      <c r="C318" s="284" t="s">
        <v>14878</v>
      </c>
      <c r="D318" s="285"/>
      <c r="E318" s="286"/>
      <c r="F318" s="287" t="s">
        <v>14879</v>
      </c>
      <c r="G318" s="286"/>
      <c r="H318" s="287" t="s">
        <v>14552</v>
      </c>
      <c r="I318" s="288"/>
      <c r="J318" s="289"/>
      <c r="K318" s="290"/>
      <c r="L318" s="287" t="s">
        <v>14551</v>
      </c>
      <c r="M318" s="287" t="s">
        <v>6582</v>
      </c>
      <c r="N318" s="286"/>
      <c r="O318" s="287">
        <v>10</v>
      </c>
      <c r="P318" s="305" t="b">
        <v>0</v>
      </c>
      <c r="Q318" s="287" t="s">
        <v>14880</v>
      </c>
      <c r="R318" s="286"/>
      <c r="S318" s="293"/>
      <c r="T318" s="294"/>
      <c r="U318" s="37">
        <v>117440</v>
      </c>
      <c r="V318" s="36" t="str">
        <f>CONCATENATE(Cover!$D$6,"fdd/view?i=",U318)</f>
        <v>https://www.dgiwg.org/FAD/fdd/view?i=117440</v>
      </c>
      <c r="W318" s="172"/>
      <c r="X318" s="172"/>
      <c r="Y318" s="172"/>
    </row>
    <row r="319" spans="1:25" ht="2.1" customHeight="1" x14ac:dyDescent="0.2">
      <c r="A319" s="295"/>
      <c r="B319" s="283"/>
      <c r="C319" s="296"/>
      <c r="D319" s="283"/>
      <c r="E319" s="296"/>
      <c r="F319" s="297"/>
      <c r="G319" s="297"/>
      <c r="H319" s="297"/>
      <c r="I319" s="298"/>
      <c r="J319" s="304"/>
      <c r="K319" s="300"/>
      <c r="L319" s="301"/>
      <c r="M319" s="297" t="s">
        <v>6582</v>
      </c>
      <c r="N319" s="297"/>
      <c r="O319" s="297"/>
      <c r="P319" s="297"/>
      <c r="Q319" s="297"/>
      <c r="R319" s="297"/>
      <c r="S319" s="302"/>
      <c r="T319" s="302"/>
      <c r="U319" s="303"/>
    </row>
    <row r="320" spans="1:25" ht="25.5" x14ac:dyDescent="0.2">
      <c r="A320" s="212" t="str">
        <f>HYPERLINK(V320,B320)</f>
        <v>ClmCode</v>
      </c>
      <c r="B320" s="283" t="s">
        <v>7430</v>
      </c>
      <c r="C320" s="284" t="s">
        <v>14881</v>
      </c>
      <c r="D320" s="285"/>
      <c r="E320" s="286"/>
      <c r="F320" s="287" t="s">
        <v>14882</v>
      </c>
      <c r="G320" s="286"/>
      <c r="H320" s="286"/>
      <c r="I320" s="288"/>
      <c r="J320" s="289"/>
      <c r="K320" s="290"/>
      <c r="L320" s="371" t="str">
        <f>HYPERLINK("[#]DatatypeListedValues!B2396:H2396","«enumeration»")</f>
        <v>«enumeration»</v>
      </c>
      <c r="M320" s="287" t="s">
        <v>6582</v>
      </c>
      <c r="N320" s="291" t="b">
        <v>0</v>
      </c>
      <c r="O320" s="286"/>
      <c r="P320" s="292"/>
      <c r="Q320" s="286"/>
      <c r="R320" s="286"/>
      <c r="S320" s="293"/>
      <c r="T320" s="294"/>
      <c r="U320" s="37">
        <v>1800</v>
      </c>
      <c r="V320" s="36" t="str">
        <f>CONCATENATE(Cover!$D$6,"fdd/view?i=",U320)</f>
        <v>https://www.dgiwg.org/FAD/fdd/view?i=1800</v>
      </c>
      <c r="W320" s="172"/>
      <c r="X320" s="172"/>
      <c r="Y320" s="172"/>
    </row>
    <row r="321" spans="1:25" ht="2.1" customHeight="1" x14ac:dyDescent="0.2">
      <c r="A321" s="295"/>
      <c r="B321" s="283"/>
      <c r="C321" s="296"/>
      <c r="D321" s="283"/>
      <c r="E321" s="296"/>
      <c r="F321" s="297"/>
      <c r="G321" s="297"/>
      <c r="H321" s="297"/>
      <c r="I321" s="298"/>
      <c r="J321" s="304"/>
      <c r="K321" s="300"/>
      <c r="L321" s="301"/>
      <c r="M321" s="297" t="s">
        <v>6582</v>
      </c>
      <c r="N321" s="297"/>
      <c r="O321" s="297"/>
      <c r="P321" s="297"/>
      <c r="Q321" s="297"/>
      <c r="R321" s="297"/>
      <c r="S321" s="302"/>
      <c r="T321" s="302"/>
      <c r="U321" s="303"/>
    </row>
    <row r="322" spans="1:25" ht="25.5" x14ac:dyDescent="0.2">
      <c r="A322" s="212" t="str">
        <f>HYPERLINK(V322,B322)</f>
        <v>ClzCode</v>
      </c>
      <c r="B322" s="283" t="s">
        <v>7435</v>
      </c>
      <c r="C322" s="284" t="s">
        <v>14883</v>
      </c>
      <c r="D322" s="285"/>
      <c r="E322" s="286"/>
      <c r="F322" s="287" t="s">
        <v>14884</v>
      </c>
      <c r="G322" s="286"/>
      <c r="H322" s="286"/>
      <c r="I322" s="288"/>
      <c r="J322" s="289"/>
      <c r="K322" s="290"/>
      <c r="L322" s="371" t="str">
        <f>HYPERLINK("[#]DatatypeListedValues!B2430:H2430","«enumeration»")</f>
        <v>«enumeration»</v>
      </c>
      <c r="M322" s="287" t="s">
        <v>6582</v>
      </c>
      <c r="N322" s="291" t="b">
        <v>0</v>
      </c>
      <c r="O322" s="286"/>
      <c r="P322" s="292"/>
      <c r="Q322" s="286"/>
      <c r="R322" s="286"/>
      <c r="S322" s="293"/>
      <c r="T322" s="294"/>
      <c r="U322" s="37">
        <v>1801</v>
      </c>
      <c r="V322" s="36" t="str">
        <f>CONCATENATE(Cover!$D$6,"fdd/view?i=",U322)</f>
        <v>https://www.dgiwg.org/FAD/fdd/view?i=1801</v>
      </c>
      <c r="W322" s="172"/>
      <c r="X322" s="172"/>
      <c r="Y322" s="172"/>
    </row>
    <row r="323" spans="1:25" ht="2.1" customHeight="1" x14ac:dyDescent="0.2">
      <c r="A323" s="295"/>
      <c r="B323" s="283"/>
      <c r="C323" s="296"/>
      <c r="D323" s="283"/>
      <c r="E323" s="296"/>
      <c r="F323" s="297"/>
      <c r="G323" s="297"/>
      <c r="H323" s="297"/>
      <c r="I323" s="298"/>
      <c r="J323" s="304"/>
      <c r="K323" s="300"/>
      <c r="L323" s="301"/>
      <c r="M323" s="297" t="s">
        <v>6582</v>
      </c>
      <c r="N323" s="297"/>
      <c r="O323" s="297"/>
      <c r="P323" s="297"/>
      <c r="Q323" s="297"/>
      <c r="R323" s="297"/>
      <c r="S323" s="302"/>
      <c r="T323" s="302"/>
      <c r="U323" s="303"/>
    </row>
    <row r="324" spans="1:25" ht="25.5" x14ac:dyDescent="0.2">
      <c r="A324" s="212" t="str">
        <f>HYPERLINK(V324,B324)</f>
        <v>ShoCode</v>
      </c>
      <c r="B324" s="283" t="s">
        <v>7444</v>
      </c>
      <c r="C324" s="284" t="s">
        <v>14885</v>
      </c>
      <c r="D324" s="285"/>
      <c r="E324" s="286"/>
      <c r="F324" s="287" t="s">
        <v>14886</v>
      </c>
      <c r="G324" s="286"/>
      <c r="H324" s="286"/>
      <c r="I324" s="288"/>
      <c r="J324" s="289"/>
      <c r="K324" s="290"/>
      <c r="L324" s="371" t="str">
        <f>HYPERLINK("[#]DatatypeListedValues!B2437:H2437","«enumeration»")</f>
        <v>«enumeration»</v>
      </c>
      <c r="M324" s="287" t="s">
        <v>6582</v>
      </c>
      <c r="N324" s="291" t="b">
        <v>0</v>
      </c>
      <c r="O324" s="286"/>
      <c r="P324" s="292"/>
      <c r="Q324" s="286"/>
      <c r="R324" s="286"/>
      <c r="S324" s="293"/>
      <c r="T324" s="294"/>
      <c r="U324" s="37">
        <v>1443</v>
      </c>
      <c r="V324" s="36" t="str">
        <f>CONCATENATE(Cover!$D$6,"fdd/view?i=",U324)</f>
        <v>https://www.dgiwg.org/FAD/fdd/view?i=1443</v>
      </c>
      <c r="W324" s="172"/>
      <c r="X324" s="172"/>
      <c r="Y324" s="172"/>
    </row>
    <row r="325" spans="1:25" ht="2.1" customHeight="1" x14ac:dyDescent="0.2">
      <c r="A325" s="295"/>
      <c r="B325" s="283"/>
      <c r="C325" s="296"/>
      <c r="D325" s="283"/>
      <c r="E325" s="296"/>
      <c r="F325" s="297"/>
      <c r="G325" s="297"/>
      <c r="H325" s="297"/>
      <c r="I325" s="298"/>
      <c r="J325" s="304"/>
      <c r="K325" s="300"/>
      <c r="L325" s="301"/>
      <c r="M325" s="297" t="s">
        <v>6582</v>
      </c>
      <c r="N325" s="297"/>
      <c r="O325" s="297"/>
      <c r="P325" s="297"/>
      <c r="Q325" s="297"/>
      <c r="R325" s="297"/>
      <c r="S325" s="302"/>
      <c r="T325" s="302"/>
      <c r="U325" s="303"/>
    </row>
    <row r="326" spans="1:25" ht="25.5" x14ac:dyDescent="0.2">
      <c r="A326" s="212" t="str">
        <f>HYPERLINK(V326,B326)</f>
        <v>WpcCode</v>
      </c>
      <c r="B326" s="283" t="s">
        <v>7449</v>
      </c>
      <c r="C326" s="284" t="s">
        <v>14887</v>
      </c>
      <c r="D326" s="285"/>
      <c r="E326" s="286"/>
      <c r="F326" s="287" t="s">
        <v>14888</v>
      </c>
      <c r="G326" s="286"/>
      <c r="H326" s="286"/>
      <c r="I326" s="288"/>
      <c r="J326" s="289"/>
      <c r="K326" s="290"/>
      <c r="L326" s="371" t="str">
        <f>HYPERLINK("[#]DatatypeListedValues!B2450:H2450","«enumeration»")</f>
        <v>«enumeration»</v>
      </c>
      <c r="M326" s="287" t="s">
        <v>6582</v>
      </c>
      <c r="N326" s="291" t="b">
        <v>0</v>
      </c>
      <c r="O326" s="286"/>
      <c r="P326" s="292"/>
      <c r="Q326" s="286"/>
      <c r="R326" s="286"/>
      <c r="S326" s="293"/>
      <c r="T326" s="294"/>
      <c r="U326" s="37">
        <v>1541</v>
      </c>
      <c r="V326" s="36" t="str">
        <f>CONCATENATE(Cover!$D$6,"fdd/view?i=",U326)</f>
        <v>https://www.dgiwg.org/FAD/fdd/view?i=1541</v>
      </c>
      <c r="W326" s="172"/>
      <c r="X326" s="172"/>
      <c r="Y326" s="172"/>
    </row>
    <row r="327" spans="1:25" ht="2.1" customHeight="1" x14ac:dyDescent="0.2">
      <c r="A327" s="295"/>
      <c r="B327" s="283"/>
      <c r="C327" s="296"/>
      <c r="D327" s="283"/>
      <c r="E327" s="296"/>
      <c r="F327" s="297"/>
      <c r="G327" s="297"/>
      <c r="H327" s="297"/>
      <c r="I327" s="298"/>
      <c r="J327" s="304"/>
      <c r="K327" s="300"/>
      <c r="L327" s="301"/>
      <c r="M327" s="297" t="s">
        <v>6582</v>
      </c>
      <c r="N327" s="297"/>
      <c r="O327" s="297"/>
      <c r="P327" s="297"/>
      <c r="Q327" s="297"/>
      <c r="R327" s="297"/>
      <c r="S327" s="302"/>
      <c r="T327" s="302"/>
      <c r="U327" s="303"/>
    </row>
    <row r="328" spans="1:25" ht="25.5" x14ac:dyDescent="0.2">
      <c r="A328" s="212" t="str">
        <f>HYPERLINK(V328,B328)</f>
        <v>CptCode</v>
      </c>
      <c r="B328" s="283" t="s">
        <v>7486</v>
      </c>
      <c r="C328" s="284" t="s">
        <v>14889</v>
      </c>
      <c r="D328" s="285"/>
      <c r="E328" s="286"/>
      <c r="F328" s="287" t="s">
        <v>14890</v>
      </c>
      <c r="G328" s="286"/>
      <c r="H328" s="286"/>
      <c r="I328" s="288"/>
      <c r="J328" s="289"/>
      <c r="K328" s="290"/>
      <c r="L328" s="371" t="str">
        <f>HYPERLINK("[#]DatatypeListedValues!B2452:H2452","«enumeration»")</f>
        <v>«enumeration»</v>
      </c>
      <c r="M328" s="287" t="s">
        <v>6582</v>
      </c>
      <c r="N328" s="291" t="b">
        <v>0</v>
      </c>
      <c r="O328" s="286"/>
      <c r="P328" s="292"/>
      <c r="Q328" s="286"/>
      <c r="R328" s="286"/>
      <c r="S328" s="293"/>
      <c r="T328" s="294"/>
      <c r="U328" s="37">
        <v>1605</v>
      </c>
      <c r="V328" s="36" t="str">
        <f>CONCATENATE(Cover!$D$6,"fdd/view?i=",U328)</f>
        <v>https://www.dgiwg.org/FAD/fdd/view?i=1605</v>
      </c>
      <c r="W328" s="172"/>
      <c r="X328" s="172"/>
      <c r="Y328" s="172"/>
    </row>
    <row r="329" spans="1:25" ht="2.1" customHeight="1" x14ac:dyDescent="0.2">
      <c r="A329" s="295"/>
      <c r="B329" s="283"/>
      <c r="C329" s="296"/>
      <c r="D329" s="283"/>
      <c r="E329" s="296"/>
      <c r="F329" s="297"/>
      <c r="G329" s="297"/>
      <c r="H329" s="297"/>
      <c r="I329" s="298"/>
      <c r="J329" s="304"/>
      <c r="K329" s="300"/>
      <c r="L329" s="301"/>
      <c r="M329" s="297" t="s">
        <v>6582</v>
      </c>
      <c r="N329" s="297"/>
      <c r="O329" s="297"/>
      <c r="P329" s="297"/>
      <c r="Q329" s="297"/>
      <c r="R329" s="297"/>
      <c r="S329" s="302"/>
      <c r="T329" s="302"/>
      <c r="U329" s="303"/>
    </row>
    <row r="330" spans="1:25" ht="25.5" x14ac:dyDescent="0.2">
      <c r="A330" s="212" t="str">
        <f>HYPERLINK(V330,B330)</f>
        <v>CitCode</v>
      </c>
      <c r="B330" s="283" t="s">
        <v>7503</v>
      </c>
      <c r="C330" s="284" t="s">
        <v>14891</v>
      </c>
      <c r="D330" s="285"/>
      <c r="E330" s="286"/>
      <c r="F330" s="287" t="s">
        <v>14892</v>
      </c>
      <c r="G330" s="286"/>
      <c r="H330" s="286"/>
      <c r="I330" s="288"/>
      <c r="J330" s="289"/>
      <c r="K330" s="290"/>
      <c r="L330" s="371" t="str">
        <f>HYPERLINK("[#]DatatypeListedValues!B2459:H2459","«enumeration»")</f>
        <v>«enumeration»</v>
      </c>
      <c r="M330" s="287" t="s">
        <v>6582</v>
      </c>
      <c r="N330" s="291" t="b">
        <v>0</v>
      </c>
      <c r="O330" s="286"/>
      <c r="P330" s="292"/>
      <c r="Q330" s="286"/>
      <c r="R330" s="286"/>
      <c r="S330" s="293"/>
      <c r="T330" s="294"/>
      <c r="U330" s="37">
        <v>1583</v>
      </c>
      <c r="V330" s="36" t="str">
        <f>CONCATENATE(Cover!$D$6,"fdd/view?i=",U330)</f>
        <v>https://www.dgiwg.org/FAD/fdd/view?i=1583</v>
      </c>
      <c r="W330" s="172"/>
      <c r="X330" s="172"/>
      <c r="Y330" s="172"/>
    </row>
    <row r="331" spans="1:25" ht="2.1" customHeight="1" x14ac:dyDescent="0.2">
      <c r="A331" s="295"/>
      <c r="B331" s="283"/>
      <c r="C331" s="296"/>
      <c r="D331" s="283"/>
      <c r="E331" s="296"/>
      <c r="F331" s="297"/>
      <c r="G331" s="297"/>
      <c r="H331" s="297"/>
      <c r="I331" s="298"/>
      <c r="J331" s="304"/>
      <c r="K331" s="300"/>
      <c r="L331" s="301"/>
      <c r="M331" s="297" t="s">
        <v>6582</v>
      </c>
      <c r="N331" s="297"/>
      <c r="O331" s="297"/>
      <c r="P331" s="297"/>
      <c r="Q331" s="297"/>
      <c r="R331" s="297"/>
      <c r="S331" s="302"/>
      <c r="T331" s="302"/>
      <c r="U331" s="303"/>
    </row>
    <row r="332" spans="1:25" ht="25.5" x14ac:dyDescent="0.2">
      <c r="A332" s="212" t="str">
        <f>HYPERLINK(V332,B332)</f>
        <v>CmsCode</v>
      </c>
      <c r="B332" s="283" t="s">
        <v>7508</v>
      </c>
      <c r="C332" s="284" t="s">
        <v>14893</v>
      </c>
      <c r="D332" s="285"/>
      <c r="E332" s="286"/>
      <c r="F332" s="287" t="s">
        <v>14894</v>
      </c>
      <c r="G332" s="286"/>
      <c r="H332" s="286"/>
      <c r="I332" s="288"/>
      <c r="J332" s="289"/>
      <c r="K332" s="290"/>
      <c r="L332" s="371" t="str">
        <f>HYPERLINK("[#]DatatypeListedValues!B2475:H2475","«enumeration»")</f>
        <v>«enumeration»</v>
      </c>
      <c r="M332" s="287" t="s">
        <v>6582</v>
      </c>
      <c r="N332" s="291" t="b">
        <v>0</v>
      </c>
      <c r="O332" s="286"/>
      <c r="P332" s="292"/>
      <c r="Q332" s="286"/>
      <c r="R332" s="286"/>
      <c r="S332" s="293"/>
      <c r="T332" s="294"/>
      <c r="U332" s="37">
        <v>1168</v>
      </c>
      <c r="V332" s="36" t="str">
        <f>CONCATENATE(Cover!$D$6,"fdd/view?i=",U332)</f>
        <v>https://www.dgiwg.org/FAD/fdd/view?i=1168</v>
      </c>
      <c r="W332" s="172"/>
      <c r="X332" s="172"/>
      <c r="Y332" s="172"/>
    </row>
    <row r="333" spans="1:25" ht="2.1" customHeight="1" x14ac:dyDescent="0.2">
      <c r="A333" s="295"/>
      <c r="B333" s="283"/>
      <c r="C333" s="296"/>
      <c r="D333" s="283"/>
      <c r="E333" s="296"/>
      <c r="F333" s="297"/>
      <c r="G333" s="297"/>
      <c r="H333" s="297"/>
      <c r="I333" s="298"/>
      <c r="J333" s="304"/>
      <c r="K333" s="300"/>
      <c r="L333" s="301"/>
      <c r="M333" s="297" t="s">
        <v>6582</v>
      </c>
      <c r="N333" s="297"/>
      <c r="O333" s="297"/>
      <c r="P333" s="297"/>
      <c r="Q333" s="297"/>
      <c r="R333" s="297"/>
      <c r="S333" s="302"/>
      <c r="T333" s="302"/>
      <c r="U333" s="303"/>
    </row>
    <row r="334" spans="1:25" ht="38.25" x14ac:dyDescent="0.2">
      <c r="A334" s="212" t="str">
        <f>HYPERLINK(V334,B334)</f>
        <v>CmcStrucText</v>
      </c>
      <c r="B334" s="283" t="s">
        <v>7518</v>
      </c>
      <c r="C334" s="284" t="s">
        <v>14895</v>
      </c>
      <c r="D334" s="285"/>
      <c r="E334" s="286"/>
      <c r="F334" s="287" t="s">
        <v>14896</v>
      </c>
      <c r="G334" s="286"/>
      <c r="H334" s="287" t="s">
        <v>14552</v>
      </c>
      <c r="I334" s="288"/>
      <c r="J334" s="289"/>
      <c r="K334" s="290"/>
      <c r="L334" s="287" t="s">
        <v>14551</v>
      </c>
      <c r="M334" s="287" t="s">
        <v>6582</v>
      </c>
      <c r="N334" s="286"/>
      <c r="O334" s="287">
        <v>4</v>
      </c>
      <c r="P334" s="305" t="b">
        <v>0</v>
      </c>
      <c r="Q334" s="287" t="s">
        <v>14897</v>
      </c>
      <c r="R334" s="286"/>
      <c r="S334" s="293"/>
      <c r="T334" s="294"/>
      <c r="U334" s="37">
        <v>119224</v>
      </c>
      <c r="V334" s="36" t="str">
        <f>CONCATENATE(Cover!$D$6,"fdd/view?i=",U334)</f>
        <v>https://www.dgiwg.org/FAD/fdd/view?i=119224</v>
      </c>
      <c r="W334" s="172"/>
      <c r="X334" s="172"/>
      <c r="Y334" s="172"/>
    </row>
    <row r="335" spans="1:25" ht="2.1" customHeight="1" x14ac:dyDescent="0.2">
      <c r="A335" s="295"/>
      <c r="B335" s="283"/>
      <c r="C335" s="296"/>
      <c r="D335" s="283"/>
      <c r="E335" s="296"/>
      <c r="F335" s="297"/>
      <c r="G335" s="297"/>
      <c r="H335" s="297"/>
      <c r="I335" s="298"/>
      <c r="J335" s="304"/>
      <c r="K335" s="300"/>
      <c r="L335" s="301"/>
      <c r="M335" s="297" t="s">
        <v>6582</v>
      </c>
      <c r="N335" s="297"/>
      <c r="O335" s="297"/>
      <c r="P335" s="297"/>
      <c r="Q335" s="297"/>
      <c r="R335" s="297"/>
      <c r="S335" s="302"/>
      <c r="T335" s="302"/>
      <c r="U335" s="303"/>
    </row>
    <row r="336" spans="1:25" ht="25.5" x14ac:dyDescent="0.2">
      <c r="A336" s="212" t="str">
        <f>HYPERLINK(V336,B336)</f>
        <v>CusCode</v>
      </c>
      <c r="B336" s="283" t="s">
        <v>7523</v>
      </c>
      <c r="C336" s="284" t="s">
        <v>14898</v>
      </c>
      <c r="D336" s="285"/>
      <c r="E336" s="286"/>
      <c r="F336" s="287" t="s">
        <v>14899</v>
      </c>
      <c r="G336" s="286"/>
      <c r="H336" s="286"/>
      <c r="I336" s="288"/>
      <c r="J336" s="289"/>
      <c r="K336" s="290"/>
      <c r="L336" s="371" t="str">
        <f>HYPERLINK("[#]DatatypeListedValues!B2481:H2481","«enumeration»")</f>
        <v>«enumeration»</v>
      </c>
      <c r="M336" s="287" t="s">
        <v>6582</v>
      </c>
      <c r="N336" s="291" t="b">
        <v>0</v>
      </c>
      <c r="O336" s="286"/>
      <c r="P336" s="292"/>
      <c r="Q336" s="286"/>
      <c r="R336" s="286"/>
      <c r="S336" s="293"/>
      <c r="T336" s="294"/>
      <c r="U336" s="37">
        <v>1578</v>
      </c>
      <c r="V336" s="36" t="str">
        <f>CONCATENATE(Cover!$D$6,"fdd/view?i=",U336)</f>
        <v>https://www.dgiwg.org/FAD/fdd/view?i=1578</v>
      </c>
      <c r="W336" s="172"/>
      <c r="X336" s="172"/>
      <c r="Y336" s="172"/>
    </row>
    <row r="337" spans="1:25" ht="2.1" customHeight="1" x14ac:dyDescent="0.2">
      <c r="A337" s="295"/>
      <c r="B337" s="283"/>
      <c r="C337" s="296"/>
      <c r="D337" s="283"/>
      <c r="E337" s="296"/>
      <c r="F337" s="297"/>
      <c r="G337" s="297"/>
      <c r="H337" s="297"/>
      <c r="I337" s="298"/>
      <c r="J337" s="304"/>
      <c r="K337" s="300"/>
      <c r="L337" s="301"/>
      <c r="M337" s="297" t="s">
        <v>6582</v>
      </c>
      <c r="N337" s="297"/>
      <c r="O337" s="297"/>
      <c r="P337" s="297"/>
      <c r="Q337" s="297"/>
      <c r="R337" s="297"/>
      <c r="S337" s="302"/>
      <c r="T337" s="302"/>
      <c r="U337" s="303"/>
    </row>
    <row r="338" spans="1:25" ht="63.75" x14ac:dyDescent="0.2">
      <c r="A338" s="212" t="str">
        <f>HYPERLINK(V338,B338)</f>
        <v>McdStrucText</v>
      </c>
      <c r="B338" s="283" t="s">
        <v>7533</v>
      </c>
      <c r="C338" s="284" t="s">
        <v>14900</v>
      </c>
      <c r="D338" s="285"/>
      <c r="E338" s="286"/>
      <c r="F338" s="287" t="s">
        <v>14901</v>
      </c>
      <c r="G338" s="286"/>
      <c r="H338" s="287" t="s">
        <v>14552</v>
      </c>
      <c r="I338" s="288"/>
      <c r="J338" s="289"/>
      <c r="K338" s="290"/>
      <c r="L338" s="287" t="s">
        <v>14551</v>
      </c>
      <c r="M338" s="287" t="s">
        <v>6582</v>
      </c>
      <c r="N338" s="286"/>
      <c r="O338" s="287">
        <v>8</v>
      </c>
      <c r="P338" s="305" t="b">
        <v>0</v>
      </c>
      <c r="Q338" s="287" t="s">
        <v>14806</v>
      </c>
      <c r="R338" s="286"/>
      <c r="S338" s="293"/>
      <c r="T338" s="294"/>
      <c r="U338" s="37">
        <v>3744</v>
      </c>
      <c r="V338" s="36" t="str">
        <f>CONCATENATE(Cover!$D$6,"fdd/view?i=",U338)</f>
        <v>https://www.dgiwg.org/FAD/fdd/view?i=3744</v>
      </c>
      <c r="W338" s="172"/>
      <c r="X338" s="172"/>
      <c r="Y338" s="172"/>
    </row>
    <row r="339" spans="1:25" ht="2.1" customHeight="1" x14ac:dyDescent="0.2">
      <c r="A339" s="295"/>
      <c r="B339" s="283"/>
      <c r="C339" s="296"/>
      <c r="D339" s="283"/>
      <c r="E339" s="296"/>
      <c r="F339" s="297"/>
      <c r="G339" s="297"/>
      <c r="H339" s="297"/>
      <c r="I339" s="298"/>
      <c r="J339" s="304"/>
      <c r="K339" s="300"/>
      <c r="L339" s="301"/>
      <c r="M339" s="297" t="s">
        <v>6582</v>
      </c>
      <c r="N339" s="297"/>
      <c r="O339" s="297"/>
      <c r="P339" s="297"/>
      <c r="Q339" s="297"/>
      <c r="R339" s="297"/>
      <c r="S339" s="302"/>
      <c r="T339" s="302"/>
      <c r="U339" s="303"/>
    </row>
    <row r="340" spans="1:25" ht="25.5" x14ac:dyDescent="0.2">
      <c r="A340" s="212" t="str">
        <f>HYPERLINK(V340,B340)</f>
        <v>FunCode</v>
      </c>
      <c r="B340" s="283" t="s">
        <v>7543</v>
      </c>
      <c r="C340" s="284" t="s">
        <v>14902</v>
      </c>
      <c r="D340" s="285"/>
      <c r="E340" s="286"/>
      <c r="F340" s="287" t="s">
        <v>14903</v>
      </c>
      <c r="G340" s="286"/>
      <c r="H340" s="286"/>
      <c r="I340" s="288"/>
      <c r="J340" s="289"/>
      <c r="K340" s="290"/>
      <c r="L340" s="371" t="str">
        <f>HYPERLINK("[#]DatatypeListedValues!B2493:H2493","«enumeration»")</f>
        <v>«enumeration»</v>
      </c>
      <c r="M340" s="287" t="s">
        <v>6582</v>
      </c>
      <c r="N340" s="291" t="b">
        <v>0</v>
      </c>
      <c r="O340" s="286"/>
      <c r="P340" s="292"/>
      <c r="Q340" s="286"/>
      <c r="R340" s="286"/>
      <c r="S340" s="293"/>
      <c r="T340" s="294"/>
      <c r="U340" s="37">
        <v>1577</v>
      </c>
      <c r="V340" s="36" t="str">
        <f>CONCATENATE(Cover!$D$6,"fdd/view?i=",U340)</f>
        <v>https://www.dgiwg.org/FAD/fdd/view?i=1577</v>
      </c>
      <c r="W340" s="172"/>
      <c r="X340" s="172"/>
      <c r="Y340" s="172"/>
    </row>
    <row r="341" spans="1:25" ht="2.1" customHeight="1" x14ac:dyDescent="0.2">
      <c r="A341" s="295"/>
      <c r="B341" s="283"/>
      <c r="C341" s="296"/>
      <c r="D341" s="283"/>
      <c r="E341" s="296"/>
      <c r="F341" s="297"/>
      <c r="G341" s="297"/>
      <c r="H341" s="297"/>
      <c r="I341" s="298"/>
      <c r="J341" s="304"/>
      <c r="K341" s="300"/>
      <c r="L341" s="301"/>
      <c r="M341" s="297" t="s">
        <v>6582</v>
      </c>
      <c r="N341" s="297"/>
      <c r="O341" s="297"/>
      <c r="P341" s="297"/>
      <c r="Q341" s="297"/>
      <c r="R341" s="297"/>
      <c r="S341" s="302"/>
      <c r="T341" s="302"/>
      <c r="U341" s="303"/>
    </row>
    <row r="342" spans="1:25" ht="25.5" x14ac:dyDescent="0.2">
      <c r="A342" s="212" t="str">
        <f>HYPERLINK(V342,B342)</f>
        <v>CfuCode</v>
      </c>
      <c r="B342" s="283" t="s">
        <v>7553</v>
      </c>
      <c r="C342" s="284" t="s">
        <v>14904</v>
      </c>
      <c r="D342" s="285"/>
      <c r="E342" s="286"/>
      <c r="F342" s="287" t="s">
        <v>14905</v>
      </c>
      <c r="G342" s="286"/>
      <c r="H342" s="286"/>
      <c r="I342" s="288"/>
      <c r="J342" s="289"/>
      <c r="K342" s="290"/>
      <c r="L342" s="371" t="str">
        <f>HYPERLINK("[#]DatatypeListedValues!B2506:H2506","«enumeration»")</f>
        <v>«enumeration»</v>
      </c>
      <c r="M342" s="287" t="s">
        <v>6582</v>
      </c>
      <c r="N342" s="291" t="b">
        <v>0</v>
      </c>
      <c r="O342" s="286"/>
      <c r="P342" s="292"/>
      <c r="Q342" s="286"/>
      <c r="R342" s="286"/>
      <c r="S342" s="293"/>
      <c r="T342" s="294"/>
      <c r="U342" s="37">
        <v>1796</v>
      </c>
      <c r="V342" s="36" t="str">
        <f>CONCATENATE(Cover!$D$6,"fdd/view?i=",U342)</f>
        <v>https://www.dgiwg.org/FAD/fdd/view?i=1796</v>
      </c>
      <c r="W342" s="172"/>
      <c r="X342" s="172"/>
      <c r="Y342" s="172"/>
    </row>
    <row r="343" spans="1:25" ht="2.1" customHeight="1" x14ac:dyDescent="0.2">
      <c r="A343" s="295"/>
      <c r="B343" s="283"/>
      <c r="C343" s="296"/>
      <c r="D343" s="283"/>
      <c r="E343" s="296"/>
      <c r="F343" s="297"/>
      <c r="G343" s="297"/>
      <c r="H343" s="297"/>
      <c r="I343" s="298"/>
      <c r="J343" s="304"/>
      <c r="K343" s="300"/>
      <c r="L343" s="301"/>
      <c r="M343" s="297" t="s">
        <v>6582</v>
      </c>
      <c r="N343" s="297"/>
      <c r="O343" s="297"/>
      <c r="P343" s="297"/>
      <c r="Q343" s="297"/>
      <c r="R343" s="297"/>
      <c r="S343" s="302"/>
      <c r="T343" s="302"/>
      <c r="U343" s="303"/>
    </row>
    <row r="344" spans="1:25" ht="89.25" x14ac:dyDescent="0.2">
      <c r="A344" s="212" t="str">
        <f>HYPERLINK(V344,B344)</f>
        <v>CfgStrucText</v>
      </c>
      <c r="B344" s="283" t="s">
        <v>7558</v>
      </c>
      <c r="C344" s="284" t="s">
        <v>14906</v>
      </c>
      <c r="D344" s="285"/>
      <c r="E344" s="286"/>
      <c r="F344" s="287" t="s">
        <v>14907</v>
      </c>
      <c r="G344" s="286"/>
      <c r="H344" s="287" t="s">
        <v>14552</v>
      </c>
      <c r="I344" s="288"/>
      <c r="J344" s="289"/>
      <c r="K344" s="290"/>
      <c r="L344" s="287" t="s">
        <v>14551</v>
      </c>
      <c r="M344" s="287" t="s">
        <v>6582</v>
      </c>
      <c r="N344" s="286"/>
      <c r="O344" s="287">
        <v>8</v>
      </c>
      <c r="P344" s="305" t="b">
        <v>0</v>
      </c>
      <c r="Q344" s="287" t="s">
        <v>14908</v>
      </c>
      <c r="R344" s="286"/>
      <c r="S344" s="293"/>
      <c r="T344" s="294"/>
      <c r="U344" s="37">
        <v>118128</v>
      </c>
      <c r="V344" s="36" t="str">
        <f>CONCATENATE(Cover!$D$6,"fdd/view?i=",U344)</f>
        <v>https://www.dgiwg.org/FAD/fdd/view?i=118128</v>
      </c>
      <c r="W344" s="172"/>
      <c r="X344" s="172"/>
      <c r="Y344" s="172"/>
    </row>
    <row r="345" spans="1:25" ht="2.1" customHeight="1" x14ac:dyDescent="0.2">
      <c r="A345" s="295"/>
      <c r="B345" s="283"/>
      <c r="C345" s="296"/>
      <c r="D345" s="283"/>
      <c r="E345" s="296"/>
      <c r="F345" s="297"/>
      <c r="G345" s="297"/>
      <c r="H345" s="297"/>
      <c r="I345" s="298"/>
      <c r="J345" s="304"/>
      <c r="K345" s="300"/>
      <c r="L345" s="301"/>
      <c r="M345" s="297" t="s">
        <v>6582</v>
      </c>
      <c r="N345" s="297"/>
      <c r="O345" s="297"/>
      <c r="P345" s="297"/>
      <c r="Q345" s="297"/>
      <c r="R345" s="297"/>
      <c r="S345" s="302"/>
      <c r="T345" s="302"/>
      <c r="U345" s="303"/>
    </row>
    <row r="346" spans="1:25" ht="63.75" x14ac:dyDescent="0.2">
      <c r="A346" s="212" t="str">
        <f>HYPERLINK(V346,B346)</f>
        <v>CfbStrucText</v>
      </c>
      <c r="B346" s="283" t="s">
        <v>7567</v>
      </c>
      <c r="C346" s="284" t="s">
        <v>14909</v>
      </c>
      <c r="D346" s="285"/>
      <c r="E346" s="286"/>
      <c r="F346" s="287" t="s">
        <v>14910</v>
      </c>
      <c r="G346" s="286"/>
      <c r="H346" s="287" t="s">
        <v>14552</v>
      </c>
      <c r="I346" s="288"/>
      <c r="J346" s="289"/>
      <c r="K346" s="290"/>
      <c r="L346" s="287" t="s">
        <v>14551</v>
      </c>
      <c r="M346" s="287" t="s">
        <v>6582</v>
      </c>
      <c r="N346" s="286"/>
      <c r="O346" s="287">
        <v>8</v>
      </c>
      <c r="P346" s="305" t="b">
        <v>0</v>
      </c>
      <c r="Q346" s="287" t="s">
        <v>14806</v>
      </c>
      <c r="R346" s="286"/>
      <c r="S346" s="293"/>
      <c r="T346" s="294"/>
      <c r="U346" s="37">
        <v>1795</v>
      </c>
      <c r="V346" s="36" t="str">
        <f>CONCATENATE(Cover!$D$6,"fdd/view?i=",U346)</f>
        <v>https://www.dgiwg.org/FAD/fdd/view?i=1795</v>
      </c>
      <c r="W346" s="172"/>
      <c r="X346" s="172"/>
      <c r="Y346" s="172"/>
    </row>
    <row r="347" spans="1:25" ht="2.1" customHeight="1" x14ac:dyDescent="0.2">
      <c r="A347" s="295"/>
      <c r="B347" s="283"/>
      <c r="C347" s="296"/>
      <c r="D347" s="283"/>
      <c r="E347" s="296"/>
      <c r="F347" s="297"/>
      <c r="G347" s="297"/>
      <c r="H347" s="297"/>
      <c r="I347" s="298"/>
      <c r="J347" s="304"/>
      <c r="K347" s="300"/>
      <c r="L347" s="301"/>
      <c r="M347" s="297" t="s">
        <v>6582</v>
      </c>
      <c r="N347" s="297"/>
      <c r="O347" s="297"/>
      <c r="P347" s="297"/>
      <c r="Q347" s="297"/>
      <c r="R347" s="297"/>
      <c r="S347" s="302"/>
      <c r="T347" s="302"/>
      <c r="U347" s="303"/>
    </row>
    <row r="348" spans="1:25" ht="38.25" x14ac:dyDescent="0.2">
      <c r="A348" s="212" t="str">
        <f>HYPERLINK(V348,B348)</f>
        <v>CmbCode</v>
      </c>
      <c r="B348" s="283" t="s">
        <v>7572</v>
      </c>
      <c r="C348" s="284" t="s">
        <v>14911</v>
      </c>
      <c r="D348" s="285"/>
      <c r="E348" s="286"/>
      <c r="F348" s="287" t="s">
        <v>14912</v>
      </c>
      <c r="G348" s="286"/>
      <c r="H348" s="286"/>
      <c r="I348" s="288"/>
      <c r="J348" s="289"/>
      <c r="K348" s="290"/>
      <c r="L348" s="371" t="str">
        <f>HYPERLINK("[#]DatatypeListedValues!B2513:H2513","«enumeration»")</f>
        <v>«enumeration»</v>
      </c>
      <c r="M348" s="287" t="s">
        <v>6582</v>
      </c>
      <c r="N348" s="291" t="b">
        <v>0</v>
      </c>
      <c r="O348" s="286"/>
      <c r="P348" s="292"/>
      <c r="Q348" s="286"/>
      <c r="R348" s="286"/>
      <c r="S348" s="293"/>
      <c r="T348" s="294"/>
      <c r="U348" s="37">
        <v>1802</v>
      </c>
      <c r="V348" s="36" t="str">
        <f>CONCATENATE(Cover!$D$6,"fdd/view?i=",U348)</f>
        <v>https://www.dgiwg.org/FAD/fdd/view?i=1802</v>
      </c>
      <c r="W348" s="172"/>
      <c r="X348" s="172"/>
      <c r="Y348" s="172"/>
    </row>
    <row r="349" spans="1:25" ht="2.1" customHeight="1" x14ac:dyDescent="0.2">
      <c r="A349" s="295"/>
      <c r="B349" s="283"/>
      <c r="C349" s="296"/>
      <c r="D349" s="283"/>
      <c r="E349" s="296"/>
      <c r="F349" s="297"/>
      <c r="G349" s="297"/>
      <c r="H349" s="297"/>
      <c r="I349" s="298"/>
      <c r="J349" s="304"/>
      <c r="K349" s="300"/>
      <c r="L349" s="301"/>
      <c r="M349" s="297" t="s">
        <v>6582</v>
      </c>
      <c r="N349" s="297"/>
      <c r="O349" s="297"/>
      <c r="P349" s="297"/>
      <c r="Q349" s="297"/>
      <c r="R349" s="297"/>
      <c r="S349" s="302"/>
      <c r="T349" s="302"/>
      <c r="U349" s="303"/>
    </row>
    <row r="350" spans="1:25" ht="38.25" x14ac:dyDescent="0.2">
      <c r="A350" s="212" t="str">
        <f>HYPERLINK(V350,B350)</f>
        <v>CamCode</v>
      </c>
      <c r="B350" s="283" t="s">
        <v>7578</v>
      </c>
      <c r="C350" s="284" t="s">
        <v>14913</v>
      </c>
      <c r="D350" s="285"/>
      <c r="E350" s="286"/>
      <c r="F350" s="287" t="s">
        <v>14914</v>
      </c>
      <c r="G350" s="286"/>
      <c r="H350" s="286"/>
      <c r="I350" s="288"/>
      <c r="J350" s="289"/>
      <c r="K350" s="290"/>
      <c r="L350" s="371" t="str">
        <f>HYPERLINK("[#]DatatypeListedValues!B2522:H2522","«enumeration»")</f>
        <v>«enumeration»</v>
      </c>
      <c r="M350" s="287" t="s">
        <v>6582</v>
      </c>
      <c r="N350" s="291" t="b">
        <v>0</v>
      </c>
      <c r="O350" s="286"/>
      <c r="P350" s="292"/>
      <c r="Q350" s="286"/>
      <c r="R350" s="286"/>
      <c r="S350" s="293"/>
      <c r="T350" s="294"/>
      <c r="U350" s="37">
        <v>1721</v>
      </c>
      <c r="V350" s="36" t="str">
        <f>CONCATENATE(Cover!$D$6,"fdd/view?i=",U350)</f>
        <v>https://www.dgiwg.org/FAD/fdd/view?i=1721</v>
      </c>
      <c r="W350" s="172"/>
      <c r="X350" s="172"/>
      <c r="Y350" s="172"/>
    </row>
    <row r="351" spans="1:25" ht="2.1" customHeight="1" x14ac:dyDescent="0.2">
      <c r="A351" s="295"/>
      <c r="B351" s="283"/>
      <c r="C351" s="296"/>
      <c r="D351" s="283"/>
      <c r="E351" s="296"/>
      <c r="F351" s="297"/>
      <c r="G351" s="297"/>
      <c r="H351" s="297"/>
      <c r="I351" s="298"/>
      <c r="J351" s="304"/>
      <c r="K351" s="300"/>
      <c r="L351" s="301"/>
      <c r="M351" s="297" t="s">
        <v>6582</v>
      </c>
      <c r="N351" s="297"/>
      <c r="O351" s="297"/>
      <c r="P351" s="297"/>
      <c r="Q351" s="297"/>
      <c r="R351" s="297"/>
      <c r="S351" s="302"/>
      <c r="T351" s="302"/>
      <c r="U351" s="303"/>
    </row>
    <row r="352" spans="1:25" ht="25.5" x14ac:dyDescent="0.2">
      <c r="A352" s="212" t="str">
        <f>HYPERLINK(V352,B352)</f>
        <v>CoaCode</v>
      </c>
      <c r="B352" s="283" t="s">
        <v>7584</v>
      </c>
      <c r="C352" s="284" t="s">
        <v>14915</v>
      </c>
      <c r="D352" s="285"/>
      <c r="E352" s="286"/>
      <c r="F352" s="287" t="s">
        <v>14916</v>
      </c>
      <c r="G352" s="286"/>
      <c r="H352" s="286"/>
      <c r="I352" s="288"/>
      <c r="J352" s="289"/>
      <c r="K352" s="290"/>
      <c r="L352" s="371" t="str">
        <f>HYPERLINK("[#]DatatypeListedValues!B2533:H2533","«enumeration»")</f>
        <v>«enumeration»</v>
      </c>
      <c r="M352" s="287" t="s">
        <v>6582</v>
      </c>
      <c r="N352" s="291" t="b">
        <v>0</v>
      </c>
      <c r="O352" s="286"/>
      <c r="P352" s="292"/>
      <c r="Q352" s="286"/>
      <c r="R352" s="286"/>
      <c r="S352" s="293"/>
      <c r="T352" s="294"/>
      <c r="U352" s="37">
        <v>1573</v>
      </c>
      <c r="V352" s="36" t="str">
        <f>CONCATENATE(Cover!$D$6,"fdd/view?i=",U352)</f>
        <v>https://www.dgiwg.org/FAD/fdd/view?i=1573</v>
      </c>
      <c r="W352" s="172"/>
      <c r="X352" s="172"/>
      <c r="Y352" s="172"/>
    </row>
    <row r="353" spans="1:25" ht="2.1" customHeight="1" x14ac:dyDescent="0.2">
      <c r="A353" s="295"/>
      <c r="B353" s="283"/>
      <c r="C353" s="296"/>
      <c r="D353" s="283"/>
      <c r="E353" s="296"/>
      <c r="F353" s="297"/>
      <c r="G353" s="297"/>
      <c r="H353" s="297"/>
      <c r="I353" s="298"/>
      <c r="J353" s="304"/>
      <c r="K353" s="300"/>
      <c r="L353" s="301"/>
      <c r="M353" s="297" t="s">
        <v>6582</v>
      </c>
      <c r="N353" s="297"/>
      <c r="O353" s="297"/>
      <c r="P353" s="297"/>
      <c r="Q353" s="297"/>
      <c r="R353" s="297"/>
      <c r="S353" s="302"/>
      <c r="T353" s="302"/>
      <c r="U353" s="303"/>
    </row>
    <row r="354" spans="1:25" ht="25.5" x14ac:dyDescent="0.2">
      <c r="A354" s="212" t="str">
        <f>HYPERLINK(V354,B354)</f>
        <v>CogCode</v>
      </c>
      <c r="B354" s="283" t="s">
        <v>7589</v>
      </c>
      <c r="C354" s="284" t="s">
        <v>14917</v>
      </c>
      <c r="D354" s="285"/>
      <c r="E354" s="286"/>
      <c r="F354" s="287" t="s">
        <v>14918</v>
      </c>
      <c r="G354" s="286"/>
      <c r="H354" s="286"/>
      <c r="I354" s="288"/>
      <c r="J354" s="289"/>
      <c r="K354" s="290"/>
      <c r="L354" s="371" t="str">
        <f>HYPERLINK("[#]DatatypeListedValues!B2537:H2537","«enumeration»")</f>
        <v>«enumeration»</v>
      </c>
      <c r="M354" s="287" t="s">
        <v>6582</v>
      </c>
      <c r="N354" s="291" t="b">
        <v>0</v>
      </c>
      <c r="O354" s="286"/>
      <c r="P354" s="292"/>
      <c r="Q354" s="286"/>
      <c r="R354" s="286"/>
      <c r="S354" s="293"/>
      <c r="T354" s="294"/>
      <c r="U354" s="37">
        <v>1571</v>
      </c>
      <c r="V354" s="36" t="str">
        <f>CONCATENATE(Cover!$D$6,"fdd/view?i=",U354)</f>
        <v>https://www.dgiwg.org/FAD/fdd/view?i=1571</v>
      </c>
      <c r="W354" s="172"/>
      <c r="X354" s="172"/>
      <c r="Y354" s="172"/>
    </row>
    <row r="355" spans="1:25" ht="2.1" customHeight="1" x14ac:dyDescent="0.2">
      <c r="A355" s="295"/>
      <c r="B355" s="283"/>
      <c r="C355" s="296"/>
      <c r="D355" s="283"/>
      <c r="E355" s="296"/>
      <c r="F355" s="297"/>
      <c r="G355" s="297"/>
      <c r="H355" s="297"/>
      <c r="I355" s="298"/>
      <c r="J355" s="304"/>
      <c r="K355" s="300"/>
      <c r="L355" s="301"/>
      <c r="M355" s="297" t="s">
        <v>6582</v>
      </c>
      <c r="N355" s="297"/>
      <c r="O355" s="297"/>
      <c r="P355" s="297"/>
      <c r="Q355" s="297"/>
      <c r="R355" s="297"/>
      <c r="S355" s="302"/>
      <c r="T355" s="302"/>
      <c r="U355" s="303"/>
    </row>
    <row r="356" spans="1:25" ht="25.5" x14ac:dyDescent="0.2">
      <c r="A356" s="212" t="str">
        <f>HYPERLINK(V356,B356)</f>
        <v>CocCode</v>
      </c>
      <c r="B356" s="283" t="s">
        <v>7594</v>
      </c>
      <c r="C356" s="284" t="s">
        <v>14919</v>
      </c>
      <c r="D356" s="285"/>
      <c r="E356" s="286"/>
      <c r="F356" s="287" t="s">
        <v>14920</v>
      </c>
      <c r="G356" s="286"/>
      <c r="H356" s="286"/>
      <c r="I356" s="288"/>
      <c r="J356" s="289"/>
      <c r="K356" s="290"/>
      <c r="L356" s="371" t="str">
        <f>HYPERLINK("[#]DatatypeListedValues!B2541:H2541","«enumeration»")</f>
        <v>«enumeration»</v>
      </c>
      <c r="M356" s="287" t="s">
        <v>6582</v>
      </c>
      <c r="N356" s="291" t="b">
        <v>0</v>
      </c>
      <c r="O356" s="286"/>
      <c r="P356" s="292"/>
      <c r="Q356" s="286"/>
      <c r="R356" s="286"/>
      <c r="S356" s="293"/>
      <c r="T356" s="294"/>
      <c r="U356" s="37">
        <v>1574</v>
      </c>
      <c r="V356" s="36" t="str">
        <f>CONCATENATE(Cover!$D$6,"fdd/view?i=",U356)</f>
        <v>https://www.dgiwg.org/FAD/fdd/view?i=1574</v>
      </c>
      <c r="W356" s="172"/>
      <c r="X356" s="172"/>
      <c r="Y356" s="172"/>
    </row>
    <row r="357" spans="1:25" ht="2.1" customHeight="1" x14ac:dyDescent="0.2">
      <c r="A357" s="295"/>
      <c r="B357" s="283"/>
      <c r="C357" s="296"/>
      <c r="D357" s="283"/>
      <c r="E357" s="296"/>
      <c r="F357" s="297"/>
      <c r="G357" s="297"/>
      <c r="H357" s="297"/>
      <c r="I357" s="298"/>
      <c r="J357" s="304"/>
      <c r="K357" s="300"/>
      <c r="L357" s="301"/>
      <c r="M357" s="297" t="s">
        <v>6582</v>
      </c>
      <c r="N357" s="297"/>
      <c r="O357" s="297"/>
      <c r="P357" s="297"/>
      <c r="Q357" s="297"/>
      <c r="R357" s="297"/>
      <c r="S357" s="302"/>
      <c r="T357" s="302"/>
      <c r="U357" s="303"/>
    </row>
    <row r="358" spans="1:25" ht="89.25" x14ac:dyDescent="0.2">
      <c r="A358" s="212" t="str">
        <f>HYPERLINK(V358,B358)</f>
        <v>DctStrucText</v>
      </c>
      <c r="B358" s="283" t="s">
        <v>7599</v>
      </c>
      <c r="C358" s="284" t="s">
        <v>14921</v>
      </c>
      <c r="D358" s="285"/>
      <c r="E358" s="286"/>
      <c r="F358" s="287" t="s">
        <v>14922</v>
      </c>
      <c r="G358" s="286"/>
      <c r="H358" s="287" t="s">
        <v>14552</v>
      </c>
      <c r="I358" s="288"/>
      <c r="J358" s="289"/>
      <c r="K358" s="290"/>
      <c r="L358" s="287" t="s">
        <v>14551</v>
      </c>
      <c r="M358" s="287" t="s">
        <v>6582</v>
      </c>
      <c r="N358" s="286"/>
      <c r="O358" s="287">
        <v>8</v>
      </c>
      <c r="P358" s="305" t="b">
        <v>0</v>
      </c>
      <c r="Q358" s="287" t="s">
        <v>14908</v>
      </c>
      <c r="R358" s="286"/>
      <c r="S358" s="293"/>
      <c r="T358" s="294"/>
      <c r="U358" s="37">
        <v>118129</v>
      </c>
      <c r="V358" s="36" t="str">
        <f>CONCATENATE(Cover!$D$6,"fdd/view?i=",U358)</f>
        <v>https://www.dgiwg.org/FAD/fdd/view?i=118129</v>
      </c>
      <c r="W358" s="172"/>
      <c r="X358" s="172"/>
      <c r="Y358" s="172"/>
    </row>
    <row r="359" spans="1:25" ht="2.1" customHeight="1" x14ac:dyDescent="0.2">
      <c r="A359" s="295"/>
      <c r="B359" s="283"/>
      <c r="C359" s="296"/>
      <c r="D359" s="283"/>
      <c r="E359" s="296"/>
      <c r="F359" s="297"/>
      <c r="G359" s="297"/>
      <c r="H359" s="297"/>
      <c r="I359" s="298"/>
      <c r="J359" s="304"/>
      <c r="K359" s="300"/>
      <c r="L359" s="301"/>
      <c r="M359" s="297" t="s">
        <v>6582</v>
      </c>
      <c r="N359" s="297"/>
      <c r="O359" s="297"/>
      <c r="P359" s="297"/>
      <c r="Q359" s="297"/>
      <c r="R359" s="297"/>
      <c r="S359" s="302"/>
      <c r="T359" s="302"/>
      <c r="U359" s="303"/>
    </row>
    <row r="360" spans="1:25" ht="25.5" x14ac:dyDescent="0.2">
      <c r="A360" s="212" t="str">
        <f>HYPERLINK(V360,B360)</f>
        <v>ClpCode</v>
      </c>
      <c r="B360" s="283" t="s">
        <v>7604</v>
      </c>
      <c r="C360" s="284" t="s">
        <v>14923</v>
      </c>
      <c r="D360" s="285"/>
      <c r="E360" s="286"/>
      <c r="F360" s="287" t="s">
        <v>14924</v>
      </c>
      <c r="G360" s="286"/>
      <c r="H360" s="286"/>
      <c r="I360" s="288"/>
      <c r="J360" s="289"/>
      <c r="K360" s="290"/>
      <c r="L360" s="371" t="str">
        <f>HYPERLINK("[#]DatatypeListedValues!B2549:H2549","«enumeration»")</f>
        <v>«enumeration»</v>
      </c>
      <c r="M360" s="287" t="s">
        <v>6582</v>
      </c>
      <c r="N360" s="291" t="b">
        <v>0</v>
      </c>
      <c r="O360" s="286"/>
      <c r="P360" s="292"/>
      <c r="Q360" s="286"/>
      <c r="R360" s="286"/>
      <c r="S360" s="293"/>
      <c r="T360" s="294"/>
      <c r="U360" s="37">
        <v>114313</v>
      </c>
      <c r="V360" s="36" t="str">
        <f>CONCATENATE(Cover!$D$6,"fdd/view?i=",U360)</f>
        <v>https://www.dgiwg.org/FAD/fdd/view?i=114313</v>
      </c>
      <c r="W360" s="172"/>
      <c r="X360" s="172"/>
      <c r="Y360" s="172"/>
    </row>
    <row r="361" spans="1:25" ht="2.1" customHeight="1" x14ac:dyDescent="0.2">
      <c r="A361" s="295"/>
      <c r="B361" s="283"/>
      <c r="C361" s="296"/>
      <c r="D361" s="283"/>
      <c r="E361" s="296"/>
      <c r="F361" s="297"/>
      <c r="G361" s="297"/>
      <c r="H361" s="297"/>
      <c r="I361" s="298"/>
      <c r="J361" s="304"/>
      <c r="K361" s="300"/>
      <c r="L361" s="301"/>
      <c r="M361" s="297" t="s">
        <v>6582</v>
      </c>
      <c r="N361" s="297"/>
      <c r="O361" s="297"/>
      <c r="P361" s="297"/>
      <c r="Q361" s="297"/>
      <c r="R361" s="297"/>
      <c r="S361" s="302"/>
      <c r="T361" s="302"/>
      <c r="U361" s="303"/>
    </row>
    <row r="362" spans="1:25" ht="25.5" x14ac:dyDescent="0.2">
      <c r="A362" s="212" t="str">
        <f>HYPERLINK(V362,B362)</f>
        <v>MicCode</v>
      </c>
      <c r="B362" s="283" t="s">
        <v>7609</v>
      </c>
      <c r="C362" s="284" t="s">
        <v>14925</v>
      </c>
      <c r="D362" s="285"/>
      <c r="E362" s="286"/>
      <c r="F362" s="287" t="s">
        <v>14926</v>
      </c>
      <c r="G362" s="286"/>
      <c r="H362" s="286"/>
      <c r="I362" s="288"/>
      <c r="J362" s="289"/>
      <c r="K362" s="290"/>
      <c r="L362" s="371" t="str">
        <f>HYPERLINK("[#]DatatypeListedValues!B2551:H2551","«enumeration»")</f>
        <v>«enumeration»</v>
      </c>
      <c r="M362" s="287" t="s">
        <v>6582</v>
      </c>
      <c r="N362" s="291" t="b">
        <v>0</v>
      </c>
      <c r="O362" s="286"/>
      <c r="P362" s="292"/>
      <c r="Q362" s="286"/>
      <c r="R362" s="286"/>
      <c r="S362" s="293"/>
      <c r="T362" s="294"/>
      <c r="U362" s="37">
        <v>1304</v>
      </c>
      <c r="V362" s="36" t="str">
        <f>CONCATENATE(Cover!$D$6,"fdd/view?i=",U362)</f>
        <v>https://www.dgiwg.org/FAD/fdd/view?i=1304</v>
      </c>
      <c r="W362" s="172"/>
      <c r="X362" s="172"/>
      <c r="Y362" s="172"/>
    </row>
    <row r="363" spans="1:25" ht="2.1" customHeight="1" x14ac:dyDescent="0.2">
      <c r="A363" s="295"/>
      <c r="B363" s="283"/>
      <c r="C363" s="296"/>
      <c r="D363" s="283"/>
      <c r="E363" s="296"/>
      <c r="F363" s="297"/>
      <c r="G363" s="297"/>
      <c r="H363" s="297"/>
      <c r="I363" s="298"/>
      <c r="J363" s="304"/>
      <c r="K363" s="300"/>
      <c r="L363" s="301"/>
      <c r="M363" s="297" t="s">
        <v>6582</v>
      </c>
      <c r="N363" s="297"/>
      <c r="O363" s="297"/>
      <c r="P363" s="297"/>
      <c r="Q363" s="297"/>
      <c r="R363" s="297"/>
      <c r="S363" s="302"/>
      <c r="T363" s="302"/>
      <c r="U363" s="303"/>
    </row>
    <row r="364" spans="1:25" ht="25.5" x14ac:dyDescent="0.2">
      <c r="A364" s="212" t="str">
        <f>HYPERLINK(V364,B364)</f>
        <v>SbsCode</v>
      </c>
      <c r="B364" s="283" t="s">
        <v>7615</v>
      </c>
      <c r="C364" s="284" t="s">
        <v>14927</v>
      </c>
      <c r="D364" s="285"/>
      <c r="E364" s="286"/>
      <c r="F364" s="287" t="s">
        <v>14928</v>
      </c>
      <c r="G364" s="286"/>
      <c r="H364" s="286"/>
      <c r="I364" s="288"/>
      <c r="J364" s="289"/>
      <c r="K364" s="290"/>
      <c r="L364" s="371" t="str">
        <f>HYPERLINK("[#]DatatypeListedValues!B2554:H2554","«enumeration»")</f>
        <v>«enumeration»</v>
      </c>
      <c r="M364" s="287" t="s">
        <v>6582</v>
      </c>
      <c r="N364" s="291" t="b">
        <v>0</v>
      </c>
      <c r="O364" s="286"/>
      <c r="P364" s="292"/>
      <c r="Q364" s="286"/>
      <c r="R364" s="286"/>
      <c r="S364" s="293"/>
      <c r="T364" s="294"/>
      <c r="U364" s="37">
        <v>1911</v>
      </c>
      <c r="V364" s="36" t="str">
        <f>CONCATENATE(Cover!$D$6,"fdd/view?i=",U364)</f>
        <v>https://www.dgiwg.org/FAD/fdd/view?i=1911</v>
      </c>
      <c r="W364" s="172"/>
      <c r="X364" s="172"/>
      <c r="Y364" s="172"/>
    </row>
    <row r="365" spans="1:25" ht="2.1" customHeight="1" x14ac:dyDescent="0.2">
      <c r="A365" s="295"/>
      <c r="B365" s="283"/>
      <c r="C365" s="296"/>
      <c r="D365" s="283"/>
      <c r="E365" s="296"/>
      <c r="F365" s="297"/>
      <c r="G365" s="297"/>
      <c r="H365" s="297"/>
      <c r="I365" s="298"/>
      <c r="J365" s="304"/>
      <c r="K365" s="300"/>
      <c r="L365" s="301"/>
      <c r="M365" s="297" t="s">
        <v>6582</v>
      </c>
      <c r="N365" s="297"/>
      <c r="O365" s="297"/>
      <c r="P365" s="297"/>
      <c r="Q365" s="297"/>
      <c r="R365" s="297"/>
      <c r="S365" s="302"/>
      <c r="T365" s="302"/>
      <c r="U365" s="303"/>
    </row>
    <row r="366" spans="1:25" ht="25.5" x14ac:dyDescent="0.2">
      <c r="A366" s="212" t="str">
        <f>HYPERLINK(V366,B366)</f>
        <v>CsoCode</v>
      </c>
      <c r="B366" s="283" t="s">
        <v>7640</v>
      </c>
      <c r="C366" s="284" t="s">
        <v>14929</v>
      </c>
      <c r="D366" s="285"/>
      <c r="E366" s="286"/>
      <c r="F366" s="287" t="s">
        <v>14930</v>
      </c>
      <c r="G366" s="286"/>
      <c r="H366" s="286"/>
      <c r="I366" s="288"/>
      <c r="J366" s="289"/>
      <c r="K366" s="290"/>
      <c r="L366" s="371" t="str">
        <f>HYPERLINK("[#]DatatypeListedValues!B2560:H2560","«enumeration»")</f>
        <v>«enumeration»</v>
      </c>
      <c r="M366" s="287" t="s">
        <v>6582</v>
      </c>
      <c r="N366" s="291" t="b">
        <v>0</v>
      </c>
      <c r="O366" s="286"/>
      <c r="P366" s="292"/>
      <c r="Q366" s="286"/>
      <c r="R366" s="286"/>
      <c r="S366" s="293"/>
      <c r="T366" s="294"/>
      <c r="U366" s="37">
        <v>118120</v>
      </c>
      <c r="V366" s="36" t="str">
        <f>CONCATENATE(Cover!$D$6,"fdd/view?i=",U366)</f>
        <v>https://www.dgiwg.org/FAD/fdd/view?i=118120</v>
      </c>
      <c r="W366" s="172"/>
      <c r="X366" s="172"/>
      <c r="Y366" s="172"/>
    </row>
    <row r="367" spans="1:25" ht="2.1" customHeight="1" x14ac:dyDescent="0.2">
      <c r="A367" s="295"/>
      <c r="B367" s="283"/>
      <c r="C367" s="296"/>
      <c r="D367" s="283"/>
      <c r="E367" s="296"/>
      <c r="F367" s="297"/>
      <c r="G367" s="297"/>
      <c r="H367" s="297"/>
      <c r="I367" s="298"/>
      <c r="J367" s="304"/>
      <c r="K367" s="300"/>
      <c r="L367" s="301"/>
      <c r="M367" s="297" t="s">
        <v>6582</v>
      </c>
      <c r="N367" s="297"/>
      <c r="O367" s="297"/>
      <c r="P367" s="297"/>
      <c r="Q367" s="297"/>
      <c r="R367" s="297"/>
      <c r="S367" s="302"/>
      <c r="T367" s="302"/>
      <c r="U367" s="303"/>
    </row>
    <row r="368" spans="1:25" ht="25.5" x14ac:dyDescent="0.2">
      <c r="A368" s="212" t="str">
        <f>HYPERLINK(V368,B368)</f>
        <v>KelCode</v>
      </c>
      <c r="B368" s="283" t="s">
        <v>7645</v>
      </c>
      <c r="C368" s="284" t="s">
        <v>14931</v>
      </c>
      <c r="D368" s="285"/>
      <c r="E368" s="286"/>
      <c r="F368" s="287" t="s">
        <v>14932</v>
      </c>
      <c r="G368" s="286"/>
      <c r="H368" s="286"/>
      <c r="I368" s="288"/>
      <c r="J368" s="289"/>
      <c r="K368" s="290"/>
      <c r="L368" s="371" t="str">
        <f>HYPERLINK("[#]DatatypeListedValues!B2568:H2568","«enumeration»")</f>
        <v>«enumeration»</v>
      </c>
      <c r="M368" s="287" t="s">
        <v>6582</v>
      </c>
      <c r="N368" s="291" t="b">
        <v>0</v>
      </c>
      <c r="O368" s="286"/>
      <c r="P368" s="292"/>
      <c r="Q368" s="286"/>
      <c r="R368" s="286"/>
      <c r="S368" s="293"/>
      <c r="T368" s="294"/>
      <c r="U368" s="37">
        <v>1862</v>
      </c>
      <c r="V368" s="36" t="str">
        <f>CONCATENATE(Cover!$D$6,"fdd/view?i=",U368)</f>
        <v>https://www.dgiwg.org/FAD/fdd/view?i=1862</v>
      </c>
      <c r="W368" s="172"/>
      <c r="X368" s="172"/>
      <c r="Y368" s="172"/>
    </row>
    <row r="369" spans="1:25" ht="2.1" customHeight="1" x14ac:dyDescent="0.2">
      <c r="A369" s="295"/>
      <c r="B369" s="283"/>
      <c r="C369" s="296"/>
      <c r="D369" s="283"/>
      <c r="E369" s="296"/>
      <c r="F369" s="297"/>
      <c r="G369" s="297"/>
      <c r="H369" s="297"/>
      <c r="I369" s="298"/>
      <c r="J369" s="304"/>
      <c r="K369" s="300"/>
      <c r="L369" s="301"/>
      <c r="M369" s="297" t="s">
        <v>6582</v>
      </c>
      <c r="N369" s="297"/>
      <c r="O369" s="297"/>
      <c r="P369" s="297"/>
      <c r="Q369" s="297"/>
      <c r="R369" s="297"/>
      <c r="S369" s="302"/>
      <c r="T369" s="302"/>
      <c r="U369" s="303"/>
    </row>
    <row r="370" spans="1:25" ht="25.5" x14ac:dyDescent="0.2">
      <c r="A370" s="212" t="str">
        <f>HYPERLINK(V370,B370)</f>
        <v>EelCode</v>
      </c>
      <c r="B370" s="283" t="s">
        <v>7651</v>
      </c>
      <c r="C370" s="284" t="s">
        <v>14933</v>
      </c>
      <c r="D370" s="285"/>
      <c r="E370" s="286"/>
      <c r="F370" s="287" t="s">
        <v>14934</v>
      </c>
      <c r="G370" s="286"/>
      <c r="H370" s="286"/>
      <c r="I370" s="288"/>
      <c r="J370" s="289"/>
      <c r="K370" s="290"/>
      <c r="L370" s="371" t="str">
        <f>HYPERLINK("[#]DatatypeListedValues!B2573:H2573","«enumeration»")</f>
        <v>«enumeration»</v>
      </c>
      <c r="M370" s="287" t="s">
        <v>6582</v>
      </c>
      <c r="N370" s="291" t="b">
        <v>0</v>
      </c>
      <c r="O370" s="286"/>
      <c r="P370" s="292"/>
      <c r="Q370" s="286"/>
      <c r="R370" s="286"/>
      <c r="S370" s="293"/>
      <c r="T370" s="294"/>
      <c r="U370" s="37">
        <v>1819</v>
      </c>
      <c r="V370" s="36" t="str">
        <f>CONCATENATE(Cover!$D$6,"fdd/view?i=",U370)</f>
        <v>https://www.dgiwg.org/FAD/fdd/view?i=1819</v>
      </c>
      <c r="W370" s="172"/>
      <c r="X370" s="172"/>
      <c r="Y370" s="172"/>
    </row>
    <row r="371" spans="1:25" ht="2.1" customHeight="1" x14ac:dyDescent="0.2">
      <c r="A371" s="295"/>
      <c r="B371" s="283"/>
      <c r="C371" s="296"/>
      <c r="D371" s="283"/>
      <c r="E371" s="296"/>
      <c r="F371" s="297"/>
      <c r="G371" s="297"/>
      <c r="H371" s="297"/>
      <c r="I371" s="298"/>
      <c r="J371" s="304"/>
      <c r="K371" s="300"/>
      <c r="L371" s="301"/>
      <c r="M371" s="297" t="s">
        <v>6582</v>
      </c>
      <c r="N371" s="297"/>
      <c r="O371" s="297"/>
      <c r="P371" s="297"/>
      <c r="Q371" s="297"/>
      <c r="R371" s="297"/>
      <c r="S371" s="302"/>
      <c r="T371" s="302"/>
      <c r="U371" s="303"/>
    </row>
    <row r="372" spans="1:25" ht="25.5" x14ac:dyDescent="0.2">
      <c r="A372" s="212" t="str">
        <f>HYPERLINK(V372,B372)</f>
        <v>GliCode</v>
      </c>
      <c r="B372" s="283" t="s">
        <v>7657</v>
      </c>
      <c r="C372" s="284" t="s">
        <v>14935</v>
      </c>
      <c r="D372" s="285"/>
      <c r="E372" s="286"/>
      <c r="F372" s="287" t="s">
        <v>14936</v>
      </c>
      <c r="G372" s="286"/>
      <c r="H372" s="286"/>
      <c r="I372" s="288"/>
      <c r="J372" s="289"/>
      <c r="K372" s="290"/>
      <c r="L372" s="371" t="str">
        <f>HYPERLINK("[#]DatatypeListedValues!B2575:H2575","«enumeration»")</f>
        <v>«enumeration»</v>
      </c>
      <c r="M372" s="287" t="s">
        <v>6582</v>
      </c>
      <c r="N372" s="291" t="b">
        <v>0</v>
      </c>
      <c r="O372" s="286"/>
      <c r="P372" s="292"/>
      <c r="Q372" s="286"/>
      <c r="R372" s="286"/>
      <c r="S372" s="293"/>
      <c r="T372" s="294"/>
      <c r="U372" s="37">
        <v>1234</v>
      </c>
      <c r="V372" s="36" t="str">
        <f>CONCATENATE(Cover!$D$6,"fdd/view?i=",U372)</f>
        <v>https://www.dgiwg.org/FAD/fdd/view?i=1234</v>
      </c>
      <c r="W372" s="172"/>
      <c r="X372" s="172"/>
      <c r="Y372" s="172"/>
    </row>
    <row r="373" spans="1:25" ht="2.1" customHeight="1" x14ac:dyDescent="0.2">
      <c r="A373" s="295"/>
      <c r="B373" s="283"/>
      <c r="C373" s="296"/>
      <c r="D373" s="283"/>
      <c r="E373" s="296"/>
      <c r="F373" s="297"/>
      <c r="G373" s="297"/>
      <c r="H373" s="297"/>
      <c r="I373" s="298"/>
      <c r="J373" s="304"/>
      <c r="K373" s="300"/>
      <c r="L373" s="301"/>
      <c r="M373" s="297" t="s">
        <v>6582</v>
      </c>
      <c r="N373" s="297"/>
      <c r="O373" s="297"/>
      <c r="P373" s="297"/>
      <c r="Q373" s="297"/>
      <c r="R373" s="297"/>
      <c r="S373" s="302"/>
      <c r="T373" s="302"/>
      <c r="U373" s="303"/>
    </row>
    <row r="374" spans="1:25" ht="25.5" x14ac:dyDescent="0.2">
      <c r="A374" s="212" t="str">
        <f>HYPERLINK(V374,B374)</f>
        <v>CaaCode</v>
      </c>
      <c r="B374" s="283" t="s">
        <v>7668</v>
      </c>
      <c r="C374" s="284" t="s">
        <v>14937</v>
      </c>
      <c r="D374" s="285"/>
      <c r="E374" s="286"/>
      <c r="F374" s="287" t="s">
        <v>14938</v>
      </c>
      <c r="G374" s="286"/>
      <c r="H374" s="286"/>
      <c r="I374" s="288"/>
      <c r="J374" s="289"/>
      <c r="K374" s="290"/>
      <c r="L374" s="371" t="str">
        <f>HYPERLINK("[#]DatatypeListedValues!B2580:H2580","«enumeration»")</f>
        <v>«enumeration»</v>
      </c>
      <c r="M374" s="287" t="s">
        <v>6582</v>
      </c>
      <c r="N374" s="291" t="b">
        <v>0</v>
      </c>
      <c r="O374" s="286"/>
      <c r="P374" s="292"/>
      <c r="Q374" s="286"/>
      <c r="R374" s="286"/>
      <c r="S374" s="293"/>
      <c r="T374" s="294"/>
      <c r="U374" s="37">
        <v>1152</v>
      </c>
      <c r="V374" s="36" t="str">
        <f>CONCATENATE(Cover!$D$6,"fdd/view?i=",U374)</f>
        <v>https://www.dgiwg.org/FAD/fdd/view?i=1152</v>
      </c>
      <c r="W374" s="172"/>
      <c r="X374" s="172"/>
      <c r="Y374" s="172"/>
    </row>
    <row r="375" spans="1:25" ht="2.1" customHeight="1" x14ac:dyDescent="0.2">
      <c r="A375" s="295"/>
      <c r="B375" s="283"/>
      <c r="C375" s="296"/>
      <c r="D375" s="283"/>
      <c r="E375" s="296"/>
      <c r="F375" s="297"/>
      <c r="G375" s="297"/>
      <c r="H375" s="297"/>
      <c r="I375" s="298"/>
      <c r="J375" s="304"/>
      <c r="K375" s="300"/>
      <c r="L375" s="301"/>
      <c r="M375" s="297" t="s">
        <v>6582</v>
      </c>
      <c r="N375" s="297"/>
      <c r="O375" s="297"/>
      <c r="P375" s="297"/>
      <c r="Q375" s="297"/>
      <c r="R375" s="297"/>
      <c r="S375" s="302"/>
      <c r="T375" s="302"/>
      <c r="U375" s="303"/>
    </row>
    <row r="376" spans="1:25" ht="25.5" x14ac:dyDescent="0.2">
      <c r="A376" s="212" t="str">
        <f>HYPERLINK(V376,B376)</f>
        <v>CvtCode</v>
      </c>
      <c r="B376" s="283" t="s">
        <v>7687</v>
      </c>
      <c r="C376" s="284" t="s">
        <v>14939</v>
      </c>
      <c r="D376" s="285"/>
      <c r="E376" s="286"/>
      <c r="F376" s="287" t="s">
        <v>14940</v>
      </c>
      <c r="G376" s="286"/>
      <c r="H376" s="286"/>
      <c r="I376" s="288"/>
      <c r="J376" s="289"/>
      <c r="K376" s="290"/>
      <c r="L376" s="371" t="str">
        <f>HYPERLINK("[#]DatatypeListedValues!B2602:H2602","«enumeration»")</f>
        <v>«enumeration»</v>
      </c>
      <c r="M376" s="287" t="s">
        <v>6582</v>
      </c>
      <c r="N376" s="291" t="b">
        <v>0</v>
      </c>
      <c r="O376" s="286"/>
      <c r="P376" s="292"/>
      <c r="Q376" s="286"/>
      <c r="R376" s="286"/>
      <c r="S376" s="293"/>
      <c r="T376" s="294"/>
      <c r="U376" s="37">
        <v>119948</v>
      </c>
      <c r="V376" s="36" t="str">
        <f>CONCATENATE(Cover!$D$6,"fdd/view?i=",U376)</f>
        <v>https://www.dgiwg.org/FAD/fdd/view?i=119948</v>
      </c>
      <c r="W376" s="172"/>
      <c r="X376" s="172"/>
      <c r="Y376" s="172"/>
    </row>
    <row r="377" spans="1:25" ht="2.1" customHeight="1" x14ac:dyDescent="0.2">
      <c r="A377" s="295"/>
      <c r="B377" s="283"/>
      <c r="C377" s="296"/>
      <c r="D377" s="283"/>
      <c r="E377" s="296"/>
      <c r="F377" s="297"/>
      <c r="G377" s="297"/>
      <c r="H377" s="297"/>
      <c r="I377" s="298"/>
      <c r="J377" s="304"/>
      <c r="K377" s="300"/>
      <c r="L377" s="301"/>
      <c r="M377" s="297" t="s">
        <v>6582</v>
      </c>
      <c r="N377" s="297"/>
      <c r="O377" s="297"/>
      <c r="P377" s="297"/>
      <c r="Q377" s="297"/>
      <c r="R377" s="297"/>
      <c r="S377" s="302"/>
      <c r="T377" s="302"/>
      <c r="U377" s="303"/>
    </row>
    <row r="378" spans="1:25" ht="25.5" x14ac:dyDescent="0.2">
      <c r="A378" s="212" t="str">
        <f>HYPERLINK(V378,B378)</f>
        <v>CfcCode</v>
      </c>
      <c r="B378" s="283" t="s">
        <v>7697</v>
      </c>
      <c r="C378" s="284" t="s">
        <v>14941</v>
      </c>
      <c r="D378" s="285"/>
      <c r="E378" s="286"/>
      <c r="F378" s="287" t="s">
        <v>14942</v>
      </c>
      <c r="G378" s="286"/>
      <c r="H378" s="286"/>
      <c r="I378" s="288"/>
      <c r="J378" s="289"/>
      <c r="K378" s="290"/>
      <c r="L378" s="371" t="str">
        <f>HYPERLINK("[#]DatatypeListedValues!B2609:H2609","«enumeration»")</f>
        <v>«enumeration»</v>
      </c>
      <c r="M378" s="287" t="s">
        <v>6582</v>
      </c>
      <c r="N378" s="291" t="b">
        <v>0</v>
      </c>
      <c r="O378" s="286"/>
      <c r="P378" s="292"/>
      <c r="Q378" s="286"/>
      <c r="R378" s="286"/>
      <c r="S378" s="293"/>
      <c r="T378" s="294"/>
      <c r="U378" s="37">
        <v>1161</v>
      </c>
      <c r="V378" s="36" t="str">
        <f>CONCATENATE(Cover!$D$6,"fdd/view?i=",U378)</f>
        <v>https://www.dgiwg.org/FAD/fdd/view?i=1161</v>
      </c>
      <c r="W378" s="172"/>
      <c r="X378" s="172"/>
      <c r="Y378" s="172"/>
    </row>
    <row r="379" spans="1:25" ht="2.1" customHeight="1" x14ac:dyDescent="0.2">
      <c r="A379" s="295"/>
      <c r="B379" s="283"/>
      <c r="C379" s="296"/>
      <c r="D379" s="283"/>
      <c r="E379" s="296"/>
      <c r="F379" s="297"/>
      <c r="G379" s="297"/>
      <c r="H379" s="297"/>
      <c r="I379" s="298"/>
      <c r="J379" s="304"/>
      <c r="K379" s="300"/>
      <c r="L379" s="301"/>
      <c r="M379" s="297" t="s">
        <v>6582</v>
      </c>
      <c r="N379" s="297"/>
      <c r="O379" s="297"/>
      <c r="P379" s="297"/>
      <c r="Q379" s="297"/>
      <c r="R379" s="297"/>
      <c r="S379" s="302"/>
      <c r="T379" s="302"/>
      <c r="U379" s="303"/>
    </row>
    <row r="380" spans="1:25" ht="51" x14ac:dyDescent="0.2">
      <c r="A380" s="212" t="str">
        <f>HYPERLINK(V380,B380)</f>
        <v>Count</v>
      </c>
      <c r="B380" s="283" t="s">
        <v>6185</v>
      </c>
      <c r="C380" s="284" t="s">
        <v>6185</v>
      </c>
      <c r="D380" s="285"/>
      <c r="E380" s="286"/>
      <c r="F380" s="287" t="s">
        <v>14943</v>
      </c>
      <c r="G380" s="287" t="s">
        <v>14944</v>
      </c>
      <c r="H380" s="287" t="s">
        <v>14946</v>
      </c>
      <c r="I380" s="288"/>
      <c r="J380" s="289"/>
      <c r="K380" s="290"/>
      <c r="L380" s="287" t="s">
        <v>14945</v>
      </c>
      <c r="M380" s="287" t="s">
        <v>6582</v>
      </c>
      <c r="N380" s="286"/>
      <c r="O380" s="286"/>
      <c r="P380" s="292"/>
      <c r="Q380" s="286"/>
      <c r="R380" s="286"/>
      <c r="S380" s="293"/>
      <c r="T380" s="294"/>
      <c r="U380" s="37">
        <v>1003</v>
      </c>
      <c r="V380" s="36" t="str">
        <f>CONCATENATE(Cover!$D$6,"fdd/view?i=",U380)</f>
        <v>https://www.dgiwg.org/FAD/fdd/view?i=1003</v>
      </c>
      <c r="W380" s="172"/>
      <c r="X380" s="172"/>
      <c r="Y380" s="172"/>
    </row>
    <row r="381" spans="1:25" ht="2.1" customHeight="1" x14ac:dyDescent="0.2">
      <c r="A381" s="295"/>
      <c r="B381" s="283"/>
      <c r="C381" s="296"/>
      <c r="D381" s="283"/>
      <c r="E381" s="296"/>
      <c r="F381" s="297"/>
      <c r="G381" s="297"/>
      <c r="H381" s="297"/>
      <c r="I381" s="298"/>
      <c r="J381" s="304"/>
      <c r="K381" s="300"/>
      <c r="L381" s="301"/>
      <c r="M381" s="297" t="s">
        <v>6582</v>
      </c>
      <c r="N381" s="297"/>
      <c r="O381" s="297"/>
      <c r="P381" s="297"/>
      <c r="Q381" s="297"/>
      <c r="R381" s="297"/>
      <c r="S381" s="302"/>
      <c r="T381" s="302"/>
      <c r="U381" s="303"/>
    </row>
    <row r="382" spans="1:25" ht="25.5" x14ac:dyDescent="0.2">
      <c r="A382" s="212" t="str">
        <f>HYPERLINK(V382,B382)</f>
        <v>CouCode</v>
      </c>
      <c r="B382" s="283" t="s">
        <v>7707</v>
      </c>
      <c r="C382" s="284" t="s">
        <v>14947</v>
      </c>
      <c r="D382" s="285"/>
      <c r="E382" s="286"/>
      <c r="F382" s="287" t="s">
        <v>14948</v>
      </c>
      <c r="G382" s="286"/>
      <c r="H382" s="286"/>
      <c r="I382" s="288"/>
      <c r="J382" s="289"/>
      <c r="K382" s="290"/>
      <c r="L382" s="371" t="str">
        <f>HYPERLINK("[#]DatatypeListedValues!B2615:H2615","«enumeration»")</f>
        <v>«enumeration»</v>
      </c>
      <c r="M382" s="287" t="s">
        <v>6582</v>
      </c>
      <c r="N382" s="291" t="b">
        <v>0</v>
      </c>
      <c r="O382" s="286"/>
      <c r="P382" s="292"/>
      <c r="Q382" s="286"/>
      <c r="R382" s="286"/>
      <c r="S382" s="293"/>
      <c r="T382" s="294"/>
      <c r="U382" s="37">
        <v>117370</v>
      </c>
      <c r="V382" s="36" t="str">
        <f>CONCATENATE(Cover!$D$6,"fdd/view?i=",U382)</f>
        <v>https://www.dgiwg.org/FAD/fdd/view?i=117370</v>
      </c>
      <c r="W382" s="172"/>
      <c r="X382" s="172"/>
      <c r="Y382" s="172"/>
    </row>
    <row r="383" spans="1:25" ht="2.1" customHeight="1" x14ac:dyDescent="0.2">
      <c r="A383" s="295"/>
      <c r="B383" s="283"/>
      <c r="C383" s="296"/>
      <c r="D383" s="283"/>
      <c r="E383" s="296"/>
      <c r="F383" s="297"/>
      <c r="G383" s="297"/>
      <c r="H383" s="297"/>
      <c r="I383" s="298"/>
      <c r="J383" s="304"/>
      <c r="K383" s="300"/>
      <c r="L383" s="301"/>
      <c r="M383" s="297" t="s">
        <v>6582</v>
      </c>
      <c r="N383" s="297"/>
      <c r="O383" s="297"/>
      <c r="P383" s="297"/>
      <c r="Q383" s="297"/>
      <c r="R383" s="297"/>
      <c r="S383" s="302"/>
      <c r="T383" s="302"/>
      <c r="U383" s="303"/>
    </row>
    <row r="384" spans="1:25" ht="25.5" x14ac:dyDescent="0.2">
      <c r="A384" s="212" t="str">
        <f>HYPERLINK(V384,B384)</f>
        <v>CctCode</v>
      </c>
      <c r="B384" s="283" t="s">
        <v>7712</v>
      </c>
      <c r="C384" s="284" t="s">
        <v>14949</v>
      </c>
      <c r="D384" s="285"/>
      <c r="E384" s="286"/>
      <c r="F384" s="287" t="s">
        <v>14950</v>
      </c>
      <c r="G384" s="286"/>
      <c r="H384" s="286"/>
      <c r="I384" s="288"/>
      <c r="J384" s="289"/>
      <c r="K384" s="290"/>
      <c r="L384" s="371" t="str">
        <f>HYPERLINK("[#]DatatypeListedValues!B2621:H2621","«enumeration»")</f>
        <v>«enumeration»</v>
      </c>
      <c r="M384" s="287" t="s">
        <v>6582</v>
      </c>
      <c r="N384" s="291" t="b">
        <v>0</v>
      </c>
      <c r="O384" s="286"/>
      <c r="P384" s="292"/>
      <c r="Q384" s="286"/>
      <c r="R384" s="286"/>
      <c r="S384" s="293"/>
      <c r="T384" s="294"/>
      <c r="U384" s="37">
        <v>1567</v>
      </c>
      <c r="V384" s="36" t="str">
        <f>CONCATENATE(Cover!$D$6,"fdd/view?i=",U384)</f>
        <v>https://www.dgiwg.org/FAD/fdd/view?i=1567</v>
      </c>
      <c r="W384" s="172"/>
      <c r="X384" s="172"/>
      <c r="Y384" s="172"/>
    </row>
    <row r="385" spans="1:25" ht="2.1" customHeight="1" x14ac:dyDescent="0.2">
      <c r="A385" s="295"/>
      <c r="B385" s="283"/>
      <c r="C385" s="296"/>
      <c r="D385" s="283"/>
      <c r="E385" s="296"/>
      <c r="F385" s="297"/>
      <c r="G385" s="297"/>
      <c r="H385" s="297"/>
      <c r="I385" s="298"/>
      <c r="J385" s="304"/>
      <c r="K385" s="300"/>
      <c r="L385" s="301"/>
      <c r="M385" s="297" t="s">
        <v>6582</v>
      </c>
      <c r="N385" s="297"/>
      <c r="O385" s="297"/>
      <c r="P385" s="297"/>
      <c r="Q385" s="297"/>
      <c r="R385" s="297"/>
      <c r="S385" s="302"/>
      <c r="T385" s="302"/>
      <c r="U385" s="303"/>
    </row>
    <row r="386" spans="1:25" ht="25.5" x14ac:dyDescent="0.2">
      <c r="A386" s="212" t="str">
        <f>HYPERLINK(V386,B386)</f>
        <v>CrmCode</v>
      </c>
      <c r="B386" s="283" t="s">
        <v>7733</v>
      </c>
      <c r="C386" s="284" t="s">
        <v>14951</v>
      </c>
      <c r="D386" s="285"/>
      <c r="E386" s="286"/>
      <c r="F386" s="287" t="s">
        <v>14952</v>
      </c>
      <c r="G386" s="286"/>
      <c r="H386" s="286"/>
      <c r="I386" s="288"/>
      <c r="J386" s="289"/>
      <c r="K386" s="290"/>
      <c r="L386" s="371" t="str">
        <f>HYPERLINK("[#]DatatypeListedValues!B2625:H2625","«enumeration»")</f>
        <v>«enumeration»</v>
      </c>
      <c r="M386" s="287" t="s">
        <v>6582</v>
      </c>
      <c r="N386" s="291" t="b">
        <v>0</v>
      </c>
      <c r="O386" s="286"/>
      <c r="P386" s="292"/>
      <c r="Q386" s="286"/>
      <c r="R386" s="286"/>
      <c r="S386" s="293"/>
      <c r="T386" s="294"/>
      <c r="U386" s="37">
        <v>1180</v>
      </c>
      <c r="V386" s="36" t="str">
        <f>CONCATENATE(Cover!$D$6,"fdd/view?i=",U386)</f>
        <v>https://www.dgiwg.org/FAD/fdd/view?i=1180</v>
      </c>
      <c r="W386" s="172"/>
      <c r="X386" s="172"/>
      <c r="Y386" s="172"/>
    </row>
    <row r="387" spans="1:25" ht="2.1" customHeight="1" x14ac:dyDescent="0.2">
      <c r="A387" s="295"/>
      <c r="B387" s="283"/>
      <c r="C387" s="296"/>
      <c r="D387" s="283"/>
      <c r="E387" s="296"/>
      <c r="F387" s="297"/>
      <c r="G387" s="297"/>
      <c r="H387" s="297"/>
      <c r="I387" s="298"/>
      <c r="J387" s="304"/>
      <c r="K387" s="300"/>
      <c r="L387" s="301"/>
      <c r="M387" s="297" t="s">
        <v>6582</v>
      </c>
      <c r="N387" s="297"/>
      <c r="O387" s="297"/>
      <c r="P387" s="297"/>
      <c r="Q387" s="297"/>
      <c r="R387" s="297"/>
      <c r="S387" s="302"/>
      <c r="T387" s="302"/>
      <c r="U387" s="303"/>
    </row>
    <row r="388" spans="1:25" ht="25.5" x14ac:dyDescent="0.2">
      <c r="A388" s="212" t="str">
        <f>HYPERLINK(V388,B388)</f>
        <v>CraCode</v>
      </c>
      <c r="B388" s="283" t="s">
        <v>7742</v>
      </c>
      <c r="C388" s="284" t="s">
        <v>14953</v>
      </c>
      <c r="D388" s="285"/>
      <c r="E388" s="286"/>
      <c r="F388" s="287" t="s">
        <v>14954</v>
      </c>
      <c r="G388" s="286"/>
      <c r="H388" s="286"/>
      <c r="I388" s="288"/>
      <c r="J388" s="289"/>
      <c r="K388" s="290"/>
      <c r="L388" s="371" t="str">
        <f>HYPERLINK("[#]DatatypeListedValues!B2629:H2629","«enumeration»")</f>
        <v>«enumeration»</v>
      </c>
      <c r="M388" s="287" t="s">
        <v>6582</v>
      </c>
      <c r="N388" s="291" t="b">
        <v>0</v>
      </c>
      <c r="O388" s="286"/>
      <c r="P388" s="292"/>
      <c r="Q388" s="286"/>
      <c r="R388" s="286"/>
      <c r="S388" s="293"/>
      <c r="T388" s="294"/>
      <c r="U388" s="37">
        <v>1178</v>
      </c>
      <c r="V388" s="36" t="str">
        <f>CONCATENATE(Cover!$D$6,"fdd/view?i=",U388)</f>
        <v>https://www.dgiwg.org/FAD/fdd/view?i=1178</v>
      </c>
      <c r="W388" s="172"/>
      <c r="X388" s="172"/>
      <c r="Y388" s="172"/>
    </row>
    <row r="389" spans="1:25" ht="2.1" customHeight="1" x14ac:dyDescent="0.2">
      <c r="A389" s="295"/>
      <c r="B389" s="283"/>
      <c r="C389" s="296"/>
      <c r="D389" s="283"/>
      <c r="E389" s="296"/>
      <c r="F389" s="297"/>
      <c r="G389" s="297"/>
      <c r="H389" s="297"/>
      <c r="I389" s="298"/>
      <c r="J389" s="304"/>
      <c r="K389" s="300"/>
      <c r="L389" s="301"/>
      <c r="M389" s="297" t="s">
        <v>6582</v>
      </c>
      <c r="N389" s="297"/>
      <c r="O389" s="297"/>
      <c r="P389" s="297"/>
      <c r="Q389" s="297"/>
      <c r="R389" s="297"/>
      <c r="S389" s="302"/>
      <c r="T389" s="302"/>
      <c r="U389" s="303"/>
    </row>
    <row r="390" spans="1:25" ht="25.5" x14ac:dyDescent="0.2">
      <c r="A390" s="212" t="str">
        <f>HYPERLINK(V390,B390)</f>
        <v>CrtCode</v>
      </c>
      <c r="B390" s="283" t="s">
        <v>7747</v>
      </c>
      <c r="C390" s="284" t="s">
        <v>14955</v>
      </c>
      <c r="D390" s="285"/>
      <c r="E390" s="286"/>
      <c r="F390" s="287" t="s">
        <v>14956</v>
      </c>
      <c r="G390" s="286"/>
      <c r="H390" s="286"/>
      <c r="I390" s="288"/>
      <c r="J390" s="289"/>
      <c r="K390" s="290"/>
      <c r="L390" s="371" t="str">
        <f>HYPERLINK("[#]DatatypeListedValues!B2634:H2634","«enumeration»")</f>
        <v>«enumeration»</v>
      </c>
      <c r="M390" s="287" t="s">
        <v>6582</v>
      </c>
      <c r="N390" s="291" t="b">
        <v>0</v>
      </c>
      <c r="O390" s="286"/>
      <c r="P390" s="292"/>
      <c r="Q390" s="286"/>
      <c r="R390" s="286"/>
      <c r="S390" s="293"/>
      <c r="T390" s="294"/>
      <c r="U390" s="37">
        <v>1181</v>
      </c>
      <c r="V390" s="36" t="str">
        <f>CONCATENATE(Cover!$D$6,"fdd/view?i=",U390)</f>
        <v>https://www.dgiwg.org/FAD/fdd/view?i=1181</v>
      </c>
      <c r="W390" s="172"/>
      <c r="X390" s="172"/>
      <c r="Y390" s="172"/>
    </row>
    <row r="391" spans="1:25" ht="2.1" customHeight="1" x14ac:dyDescent="0.2">
      <c r="A391" s="295"/>
      <c r="B391" s="283"/>
      <c r="C391" s="296"/>
      <c r="D391" s="283"/>
      <c r="E391" s="296"/>
      <c r="F391" s="297"/>
      <c r="G391" s="297"/>
      <c r="H391" s="297"/>
      <c r="I391" s="298"/>
      <c r="J391" s="304"/>
      <c r="K391" s="300"/>
      <c r="L391" s="301"/>
      <c r="M391" s="297" t="s">
        <v>6582</v>
      </c>
      <c r="N391" s="297"/>
      <c r="O391" s="297"/>
      <c r="P391" s="297"/>
      <c r="Q391" s="297"/>
      <c r="R391" s="297"/>
      <c r="S391" s="302"/>
      <c r="T391" s="302"/>
      <c r="U391" s="303"/>
    </row>
    <row r="392" spans="1:25" ht="178.5" x14ac:dyDescent="0.2">
      <c r="A392" s="212" t="str">
        <f>HYPERLINK(V392,B392)</f>
        <v>CdtStrucText</v>
      </c>
      <c r="B392" s="283" t="s">
        <v>7753</v>
      </c>
      <c r="C392" s="284" t="s">
        <v>14957</v>
      </c>
      <c r="D392" s="285"/>
      <c r="E392" s="286"/>
      <c r="F392" s="287" t="s">
        <v>14958</v>
      </c>
      <c r="G392" s="286"/>
      <c r="H392" s="287" t="s">
        <v>14552</v>
      </c>
      <c r="I392" s="288"/>
      <c r="J392" s="289"/>
      <c r="K392" s="290"/>
      <c r="L392" s="287" t="s">
        <v>14551</v>
      </c>
      <c r="M392" s="287" t="s">
        <v>6582</v>
      </c>
      <c r="N392" s="286"/>
      <c r="O392" s="287">
        <v>20</v>
      </c>
      <c r="P392" s="305" t="b">
        <v>0</v>
      </c>
      <c r="Q392" s="287" t="s">
        <v>14553</v>
      </c>
      <c r="R392" s="286"/>
      <c r="S392" s="293"/>
      <c r="T392" s="294"/>
      <c r="U392" s="37">
        <v>119223</v>
      </c>
      <c r="V392" s="36" t="str">
        <f>CONCATENATE(Cover!$D$6,"fdd/view?i=",U392)</f>
        <v>https://www.dgiwg.org/FAD/fdd/view?i=119223</v>
      </c>
      <c r="W392" s="172"/>
      <c r="X392" s="172"/>
      <c r="Y392" s="172"/>
    </row>
    <row r="393" spans="1:25" ht="2.1" customHeight="1" x14ac:dyDescent="0.2">
      <c r="A393" s="295"/>
      <c r="B393" s="283"/>
      <c r="C393" s="296"/>
      <c r="D393" s="283"/>
      <c r="E393" s="296"/>
      <c r="F393" s="297"/>
      <c r="G393" s="297"/>
      <c r="H393" s="297"/>
      <c r="I393" s="298"/>
      <c r="J393" s="304"/>
      <c r="K393" s="300"/>
      <c r="L393" s="301"/>
      <c r="M393" s="297" t="s">
        <v>6582</v>
      </c>
      <c r="N393" s="297"/>
      <c r="O393" s="297"/>
      <c r="P393" s="297"/>
      <c r="Q393" s="297"/>
      <c r="R393" s="297"/>
      <c r="S393" s="302"/>
      <c r="T393" s="302"/>
      <c r="U393" s="303"/>
    </row>
    <row r="394" spans="1:25" ht="25.5" x14ac:dyDescent="0.2">
      <c r="A394" s="212" t="str">
        <f>HYPERLINK(V394,B394)</f>
        <v>CinCode</v>
      </c>
      <c r="B394" s="283" t="s">
        <v>7763</v>
      </c>
      <c r="C394" s="284" t="s">
        <v>14959</v>
      </c>
      <c r="D394" s="285"/>
      <c r="E394" s="286"/>
      <c r="F394" s="287" t="s">
        <v>14960</v>
      </c>
      <c r="G394" s="286"/>
      <c r="H394" s="286"/>
      <c r="I394" s="288"/>
      <c r="J394" s="289"/>
      <c r="K394" s="290"/>
      <c r="L394" s="371" t="str">
        <f>HYPERLINK("[#]DatatypeListedValues!B2639:H2639","«enumeration»")</f>
        <v>«enumeration»</v>
      </c>
      <c r="M394" s="287" t="s">
        <v>6582</v>
      </c>
      <c r="N394" s="291" t="b">
        <v>0</v>
      </c>
      <c r="O394" s="286"/>
      <c r="P394" s="292"/>
      <c r="Q394" s="286"/>
      <c r="R394" s="286"/>
      <c r="S394" s="293"/>
      <c r="T394" s="294"/>
      <c r="U394" s="37">
        <v>1798</v>
      </c>
      <c r="V394" s="36" t="str">
        <f>CONCATENATE(Cover!$D$6,"fdd/view?i=",U394)</f>
        <v>https://www.dgiwg.org/FAD/fdd/view?i=1798</v>
      </c>
      <c r="W394" s="172"/>
      <c r="X394" s="172"/>
      <c r="Y394" s="172"/>
    </row>
    <row r="395" spans="1:25" ht="2.1" customHeight="1" x14ac:dyDescent="0.2">
      <c r="A395" s="295"/>
      <c r="B395" s="283"/>
      <c r="C395" s="296"/>
      <c r="D395" s="283"/>
      <c r="E395" s="296"/>
      <c r="F395" s="297"/>
      <c r="G395" s="297"/>
      <c r="H395" s="297"/>
      <c r="I395" s="298"/>
      <c r="J395" s="304"/>
      <c r="K395" s="300"/>
      <c r="L395" s="301"/>
      <c r="M395" s="297" t="s">
        <v>6582</v>
      </c>
      <c r="N395" s="297"/>
      <c r="O395" s="297"/>
      <c r="P395" s="297"/>
      <c r="Q395" s="297"/>
      <c r="R395" s="297"/>
      <c r="S395" s="302"/>
      <c r="T395" s="302"/>
      <c r="U395" s="303"/>
    </row>
    <row r="396" spans="1:25" ht="25.5" x14ac:dyDescent="0.2">
      <c r="A396" s="212" t="str">
        <f>HYPERLINK(V396,B396)</f>
        <v>CspCode</v>
      </c>
      <c r="B396" s="283" t="s">
        <v>7768</v>
      </c>
      <c r="C396" s="284" t="s">
        <v>14961</v>
      </c>
      <c r="D396" s="285"/>
      <c r="E396" s="286"/>
      <c r="F396" s="287" t="s">
        <v>14962</v>
      </c>
      <c r="G396" s="286"/>
      <c r="H396" s="286"/>
      <c r="I396" s="288"/>
      <c r="J396" s="289"/>
      <c r="K396" s="290"/>
      <c r="L396" s="371" t="str">
        <f>HYPERLINK("[#]DatatypeListedValues!B2643:H2643","«enumeration»")</f>
        <v>«enumeration»</v>
      </c>
      <c r="M396" s="287" t="s">
        <v>6582</v>
      </c>
      <c r="N396" s="291" t="b">
        <v>0</v>
      </c>
      <c r="O396" s="286"/>
      <c r="P396" s="292"/>
      <c r="Q396" s="286"/>
      <c r="R396" s="286"/>
      <c r="S396" s="293"/>
      <c r="T396" s="294"/>
      <c r="U396" s="37">
        <v>1584</v>
      </c>
      <c r="V396" s="36" t="str">
        <f>CONCATENATE(Cover!$D$6,"fdd/view?i=",U396)</f>
        <v>https://www.dgiwg.org/FAD/fdd/view?i=1584</v>
      </c>
      <c r="W396" s="172"/>
      <c r="X396" s="172"/>
      <c r="Y396" s="172"/>
    </row>
    <row r="397" spans="1:25" ht="2.1" customHeight="1" x14ac:dyDescent="0.2">
      <c r="A397" s="295"/>
      <c r="B397" s="283"/>
      <c r="C397" s="296"/>
      <c r="D397" s="283"/>
      <c r="E397" s="296"/>
      <c r="F397" s="297"/>
      <c r="G397" s="297"/>
      <c r="H397" s="297"/>
      <c r="I397" s="298"/>
      <c r="J397" s="304"/>
      <c r="K397" s="300"/>
      <c r="L397" s="301"/>
      <c r="M397" s="297" t="s">
        <v>6582</v>
      </c>
      <c r="N397" s="297"/>
      <c r="O397" s="297"/>
      <c r="P397" s="297"/>
      <c r="Q397" s="297"/>
      <c r="R397" s="297"/>
      <c r="S397" s="302"/>
      <c r="T397" s="302"/>
      <c r="U397" s="303"/>
    </row>
    <row r="398" spans="1:25" ht="25.5" x14ac:dyDescent="0.2">
      <c r="A398" s="212" t="str">
        <f>HYPERLINK(V398,B398)</f>
        <v>TcsCode</v>
      </c>
      <c r="B398" s="283" t="s">
        <v>7783</v>
      </c>
      <c r="C398" s="284" t="s">
        <v>14963</v>
      </c>
      <c r="D398" s="285"/>
      <c r="E398" s="286"/>
      <c r="F398" s="287" t="s">
        <v>14964</v>
      </c>
      <c r="G398" s="286"/>
      <c r="H398" s="286"/>
      <c r="I398" s="288"/>
      <c r="J398" s="289"/>
      <c r="K398" s="290"/>
      <c r="L398" s="371" t="str">
        <f>HYPERLINK("[#]DatatypeListedValues!B2796:H2796","«enumeration»")</f>
        <v>«enumeration»</v>
      </c>
      <c r="M398" s="287" t="s">
        <v>6582</v>
      </c>
      <c r="N398" s="291" t="b">
        <v>0</v>
      </c>
      <c r="O398" s="286"/>
      <c r="P398" s="292"/>
      <c r="Q398" s="286"/>
      <c r="R398" s="286"/>
      <c r="S398" s="293"/>
      <c r="T398" s="294"/>
      <c r="U398" s="37">
        <v>1483</v>
      </c>
      <c r="V398" s="36" t="str">
        <f>CONCATENATE(Cover!$D$6,"fdd/view?i=",U398)</f>
        <v>https://www.dgiwg.org/FAD/fdd/view?i=1483</v>
      </c>
      <c r="W398" s="172"/>
      <c r="X398" s="172"/>
      <c r="Y398" s="172"/>
    </row>
    <row r="399" spans="1:25" ht="2.1" customHeight="1" x14ac:dyDescent="0.2">
      <c r="A399" s="295"/>
      <c r="B399" s="283"/>
      <c r="C399" s="296"/>
      <c r="D399" s="283"/>
      <c r="E399" s="296"/>
      <c r="F399" s="297"/>
      <c r="G399" s="297"/>
      <c r="H399" s="297"/>
      <c r="I399" s="298"/>
      <c r="J399" s="304"/>
      <c r="K399" s="300"/>
      <c r="L399" s="301"/>
      <c r="M399" s="297" t="s">
        <v>6582</v>
      </c>
      <c r="N399" s="297"/>
      <c r="O399" s="297"/>
      <c r="P399" s="297"/>
      <c r="Q399" s="297"/>
      <c r="R399" s="297"/>
      <c r="S399" s="302"/>
      <c r="T399" s="302"/>
      <c r="U399" s="303"/>
    </row>
    <row r="400" spans="1:25" ht="25.5" x14ac:dyDescent="0.2">
      <c r="A400" s="212" t="str">
        <f>HYPERLINK(V400,B400)</f>
        <v>CssCode</v>
      </c>
      <c r="B400" s="283" t="s">
        <v>7788</v>
      </c>
      <c r="C400" s="284" t="s">
        <v>14965</v>
      </c>
      <c r="D400" s="285"/>
      <c r="E400" s="286"/>
      <c r="F400" s="287" t="s">
        <v>14966</v>
      </c>
      <c r="G400" s="286"/>
      <c r="H400" s="286"/>
      <c r="I400" s="288"/>
      <c r="J400" s="289"/>
      <c r="K400" s="290"/>
      <c r="L400" s="371" t="str">
        <f>HYPERLINK("[#]DatatypeListedValues!B2800:H2800","«enumeration»")</f>
        <v>«enumeration»</v>
      </c>
      <c r="M400" s="287" t="s">
        <v>6582</v>
      </c>
      <c r="N400" s="291" t="b">
        <v>0</v>
      </c>
      <c r="O400" s="286"/>
      <c r="P400" s="292"/>
      <c r="Q400" s="286"/>
      <c r="R400" s="286"/>
      <c r="S400" s="293"/>
      <c r="T400" s="294"/>
      <c r="U400" s="37">
        <v>1560</v>
      </c>
      <c r="V400" s="36" t="str">
        <f>CONCATENATE(Cover!$D$6,"fdd/view?i=",U400)</f>
        <v>https://www.dgiwg.org/FAD/fdd/view?i=1560</v>
      </c>
      <c r="W400" s="172"/>
      <c r="X400" s="172"/>
      <c r="Y400" s="172"/>
    </row>
    <row r="401" spans="1:25" ht="2.1" customHeight="1" x14ac:dyDescent="0.2">
      <c r="A401" s="295"/>
      <c r="B401" s="283"/>
      <c r="C401" s="296"/>
      <c r="D401" s="283"/>
      <c r="E401" s="296"/>
      <c r="F401" s="297"/>
      <c r="G401" s="297"/>
      <c r="H401" s="297"/>
      <c r="I401" s="298"/>
      <c r="J401" s="304"/>
      <c r="K401" s="300"/>
      <c r="L401" s="301"/>
      <c r="M401" s="297" t="s">
        <v>6582</v>
      </c>
      <c r="N401" s="297"/>
      <c r="O401" s="297"/>
      <c r="P401" s="297"/>
      <c r="Q401" s="297"/>
      <c r="R401" s="297"/>
      <c r="S401" s="302"/>
      <c r="T401" s="302"/>
      <c r="U401" s="303"/>
    </row>
    <row r="402" spans="1:25" ht="25.5" x14ac:dyDescent="0.2">
      <c r="A402" s="212" t="str">
        <f>HYPERLINK(V402,B402)</f>
        <v>CulCode</v>
      </c>
      <c r="B402" s="283" t="s">
        <v>7798</v>
      </c>
      <c r="C402" s="284" t="s">
        <v>14967</v>
      </c>
      <c r="D402" s="285"/>
      <c r="E402" s="286"/>
      <c r="F402" s="287" t="s">
        <v>14968</v>
      </c>
      <c r="G402" s="286"/>
      <c r="H402" s="286"/>
      <c r="I402" s="288"/>
      <c r="J402" s="289"/>
      <c r="K402" s="290"/>
      <c r="L402" s="371" t="str">
        <f>HYPERLINK("[#]DatatypeListedValues!B2810:H2810","«enumeration»")</f>
        <v>«enumeration»</v>
      </c>
      <c r="M402" s="287" t="s">
        <v>6582</v>
      </c>
      <c r="N402" s="291" t="b">
        <v>0</v>
      </c>
      <c r="O402" s="286"/>
      <c r="P402" s="292"/>
      <c r="Q402" s="286"/>
      <c r="R402" s="286"/>
      <c r="S402" s="293"/>
      <c r="T402" s="294"/>
      <c r="U402" s="37">
        <v>1805</v>
      </c>
      <c r="V402" s="36" t="str">
        <f>CONCATENATE(Cover!$D$6,"fdd/view?i=",U402)</f>
        <v>https://www.dgiwg.org/FAD/fdd/view?i=1805</v>
      </c>
      <c r="W402" s="172"/>
      <c r="X402" s="172"/>
      <c r="Y402" s="172"/>
    </row>
    <row r="403" spans="1:25" ht="2.1" customHeight="1" x14ac:dyDescent="0.2">
      <c r="A403" s="295"/>
      <c r="B403" s="283"/>
      <c r="C403" s="296"/>
      <c r="D403" s="283"/>
      <c r="E403" s="296"/>
      <c r="F403" s="297"/>
      <c r="G403" s="297"/>
      <c r="H403" s="297"/>
      <c r="I403" s="298"/>
      <c r="J403" s="304"/>
      <c r="K403" s="300"/>
      <c r="L403" s="301"/>
      <c r="M403" s="297" t="s">
        <v>6582</v>
      </c>
      <c r="N403" s="297"/>
      <c r="O403" s="297"/>
      <c r="P403" s="297"/>
      <c r="Q403" s="297"/>
      <c r="R403" s="297"/>
      <c r="S403" s="302"/>
      <c r="T403" s="302"/>
      <c r="U403" s="303"/>
    </row>
    <row r="404" spans="1:25" ht="25.5" x14ac:dyDescent="0.2">
      <c r="A404" s="212" t="str">
        <f>HYPERLINK(V404,B404)</f>
        <v>EtuCode</v>
      </c>
      <c r="B404" s="283" t="s">
        <v>7807</v>
      </c>
      <c r="C404" s="284" t="s">
        <v>14969</v>
      </c>
      <c r="D404" s="285"/>
      <c r="E404" s="286"/>
      <c r="F404" s="287" t="s">
        <v>14970</v>
      </c>
      <c r="G404" s="286"/>
      <c r="H404" s="286"/>
      <c r="I404" s="288"/>
      <c r="J404" s="289"/>
      <c r="K404" s="290"/>
      <c r="L404" s="371" t="str">
        <f>HYPERLINK("[#]DatatypeListedValues!B2817:H2817","«enumeration»")</f>
        <v>«enumeration»</v>
      </c>
      <c r="M404" s="287" t="s">
        <v>6582</v>
      </c>
      <c r="N404" s="291" t="b">
        <v>0</v>
      </c>
      <c r="O404" s="286"/>
      <c r="P404" s="292"/>
      <c r="Q404" s="286"/>
      <c r="R404" s="286"/>
      <c r="S404" s="293"/>
      <c r="T404" s="294"/>
      <c r="U404" s="37">
        <v>1828</v>
      </c>
      <c r="V404" s="36" t="str">
        <f>CONCATENATE(Cover!$D$6,"fdd/view?i=",U404)</f>
        <v>https://www.dgiwg.org/FAD/fdd/view?i=1828</v>
      </c>
      <c r="W404" s="172"/>
      <c r="X404" s="172"/>
      <c r="Y404" s="172"/>
    </row>
    <row r="405" spans="1:25" ht="2.1" customHeight="1" x14ac:dyDescent="0.2">
      <c r="A405" s="295"/>
      <c r="B405" s="283"/>
      <c r="C405" s="296"/>
      <c r="D405" s="283"/>
      <c r="E405" s="296"/>
      <c r="F405" s="297"/>
      <c r="G405" s="297"/>
      <c r="H405" s="297"/>
      <c r="I405" s="298"/>
      <c r="J405" s="304"/>
      <c r="K405" s="300"/>
      <c r="L405" s="301"/>
      <c r="M405" s="297" t="s">
        <v>6582</v>
      </c>
      <c r="N405" s="297"/>
      <c r="O405" s="297"/>
      <c r="P405" s="297"/>
      <c r="Q405" s="297"/>
      <c r="R405" s="297"/>
      <c r="S405" s="302"/>
      <c r="T405" s="302"/>
      <c r="U405" s="303"/>
    </row>
    <row r="406" spans="1:25" ht="25.5" x14ac:dyDescent="0.2">
      <c r="A406" s="212" t="str">
        <f>HYPERLINK(V406,B406)</f>
        <v>CefCode</v>
      </c>
      <c r="B406" s="283" t="s">
        <v>7812</v>
      </c>
      <c r="C406" s="284" t="s">
        <v>14971</v>
      </c>
      <c r="D406" s="285"/>
      <c r="E406" s="286"/>
      <c r="F406" s="287" t="s">
        <v>14972</v>
      </c>
      <c r="G406" s="286"/>
      <c r="H406" s="286"/>
      <c r="I406" s="288"/>
      <c r="J406" s="289"/>
      <c r="K406" s="290"/>
      <c r="L406" s="371" t="str">
        <f>HYPERLINK("[#]DatatypeListedValues!B2826:H2826","«enumeration»")</f>
        <v>«enumeration»</v>
      </c>
      <c r="M406" s="287" t="s">
        <v>6582</v>
      </c>
      <c r="N406" s="291" t="b">
        <v>0</v>
      </c>
      <c r="O406" s="286"/>
      <c r="P406" s="292"/>
      <c r="Q406" s="286"/>
      <c r="R406" s="286"/>
      <c r="S406" s="293"/>
      <c r="T406" s="294"/>
      <c r="U406" s="37">
        <v>1159</v>
      </c>
      <c r="V406" s="36" t="str">
        <f>CONCATENATE(Cover!$D$6,"fdd/view?i=",U406)</f>
        <v>https://www.dgiwg.org/FAD/fdd/view?i=1159</v>
      </c>
      <c r="W406" s="172"/>
      <c r="X406" s="172"/>
      <c r="Y406" s="172"/>
    </row>
    <row r="407" spans="1:25" ht="2.1" customHeight="1" x14ac:dyDescent="0.2">
      <c r="A407" s="295"/>
      <c r="B407" s="283"/>
      <c r="C407" s="296"/>
      <c r="D407" s="283"/>
      <c r="E407" s="296"/>
      <c r="F407" s="297"/>
      <c r="G407" s="297"/>
      <c r="H407" s="297"/>
      <c r="I407" s="298"/>
      <c r="J407" s="304"/>
      <c r="K407" s="300"/>
      <c r="L407" s="301"/>
      <c r="M407" s="297" t="s">
        <v>6582</v>
      </c>
      <c r="N407" s="297"/>
      <c r="O407" s="297"/>
      <c r="P407" s="297"/>
      <c r="Q407" s="297"/>
      <c r="R407" s="297"/>
      <c r="S407" s="302"/>
      <c r="T407" s="302"/>
      <c r="U407" s="303"/>
    </row>
    <row r="408" spans="1:25" ht="25.5" x14ac:dyDescent="0.2">
      <c r="A408" s="212" t="str">
        <f>HYPERLINK(V408,B408)</f>
        <v>EtvCode</v>
      </c>
      <c r="B408" s="283" t="s">
        <v>7842</v>
      </c>
      <c r="C408" s="284" t="s">
        <v>14973</v>
      </c>
      <c r="D408" s="285"/>
      <c r="E408" s="286"/>
      <c r="F408" s="287" t="s">
        <v>14974</v>
      </c>
      <c r="G408" s="286"/>
      <c r="H408" s="286"/>
      <c r="I408" s="288"/>
      <c r="J408" s="289"/>
      <c r="K408" s="290"/>
      <c r="L408" s="371" t="str">
        <f>HYPERLINK("[#]DatatypeListedValues!B2840:H2840","«enumeration»")</f>
        <v>«enumeration»</v>
      </c>
      <c r="M408" s="287" t="s">
        <v>6582</v>
      </c>
      <c r="N408" s="291" t="b">
        <v>0</v>
      </c>
      <c r="O408" s="286"/>
      <c r="P408" s="292"/>
      <c r="Q408" s="286"/>
      <c r="R408" s="286"/>
      <c r="S408" s="293"/>
      <c r="T408" s="294"/>
      <c r="U408" s="37">
        <v>114493</v>
      </c>
      <c r="V408" s="36" t="str">
        <f>CONCATENATE(Cover!$D$6,"fdd/view?i=",U408)</f>
        <v>https://www.dgiwg.org/FAD/fdd/view?i=114493</v>
      </c>
      <c r="W408" s="172"/>
      <c r="X408" s="172"/>
      <c r="Y408" s="172"/>
    </row>
    <row r="409" spans="1:25" ht="2.1" customHeight="1" x14ac:dyDescent="0.2">
      <c r="A409" s="295"/>
      <c r="B409" s="283"/>
      <c r="C409" s="296"/>
      <c r="D409" s="283"/>
      <c r="E409" s="296"/>
      <c r="F409" s="297"/>
      <c r="G409" s="297"/>
      <c r="H409" s="297"/>
      <c r="I409" s="298"/>
      <c r="J409" s="304"/>
      <c r="K409" s="300"/>
      <c r="L409" s="301"/>
      <c r="M409" s="297" t="s">
        <v>6582</v>
      </c>
      <c r="N409" s="297"/>
      <c r="O409" s="297"/>
      <c r="P409" s="297"/>
      <c r="Q409" s="297"/>
      <c r="R409" s="297"/>
      <c r="S409" s="302"/>
      <c r="T409" s="302"/>
      <c r="U409" s="303"/>
    </row>
    <row r="410" spans="1:25" ht="25.5" x14ac:dyDescent="0.2">
      <c r="A410" s="212" t="str">
        <f>HYPERLINK(V410,B410)</f>
        <v>CtcCode</v>
      </c>
      <c r="B410" s="283" t="s">
        <v>7851</v>
      </c>
      <c r="C410" s="284" t="s">
        <v>14975</v>
      </c>
      <c r="D410" s="285"/>
      <c r="E410" s="286"/>
      <c r="F410" s="287" t="s">
        <v>14976</v>
      </c>
      <c r="G410" s="286"/>
      <c r="H410" s="286"/>
      <c r="I410" s="288"/>
      <c r="J410" s="289"/>
      <c r="K410" s="290"/>
      <c r="L410" s="371" t="str">
        <f>HYPERLINK("[#]DatatypeListedValues!B2844:H2844","«enumeration»")</f>
        <v>«enumeration»</v>
      </c>
      <c r="M410" s="287" t="s">
        <v>6582</v>
      </c>
      <c r="N410" s="291" t="b">
        <v>0</v>
      </c>
      <c r="O410" s="286"/>
      <c r="P410" s="292"/>
      <c r="Q410" s="286"/>
      <c r="R410" s="286"/>
      <c r="S410" s="293"/>
      <c r="T410" s="294"/>
      <c r="U410" s="37">
        <v>1184</v>
      </c>
      <c r="V410" s="36" t="str">
        <f>CONCATENATE(Cover!$D$6,"fdd/view?i=",U410)</f>
        <v>https://www.dgiwg.org/FAD/fdd/view?i=1184</v>
      </c>
      <c r="W410" s="172"/>
      <c r="X410" s="172"/>
      <c r="Y410" s="172"/>
    </row>
    <row r="411" spans="1:25" ht="2.1" customHeight="1" x14ac:dyDescent="0.2">
      <c r="A411" s="295"/>
      <c r="B411" s="283"/>
      <c r="C411" s="296"/>
      <c r="D411" s="283"/>
      <c r="E411" s="296"/>
      <c r="F411" s="297"/>
      <c r="G411" s="297"/>
      <c r="H411" s="297"/>
      <c r="I411" s="298"/>
      <c r="J411" s="304"/>
      <c r="K411" s="300"/>
      <c r="L411" s="301"/>
      <c r="M411" s="297" t="s">
        <v>6582</v>
      </c>
      <c r="N411" s="297"/>
      <c r="O411" s="297"/>
      <c r="P411" s="297"/>
      <c r="Q411" s="297"/>
      <c r="R411" s="297"/>
      <c r="S411" s="302"/>
      <c r="T411" s="302"/>
      <c r="U411" s="303"/>
    </row>
    <row r="412" spans="1:25" ht="25.5" x14ac:dyDescent="0.2">
      <c r="A412" s="212" t="str">
        <f>HYPERLINK(V412,B412)</f>
        <v>CurCode</v>
      </c>
      <c r="B412" s="283" t="s">
        <v>7872</v>
      </c>
      <c r="C412" s="284" t="s">
        <v>14977</v>
      </c>
      <c r="D412" s="285"/>
      <c r="E412" s="286"/>
      <c r="F412" s="287" t="s">
        <v>14978</v>
      </c>
      <c r="G412" s="286"/>
      <c r="H412" s="286"/>
      <c r="I412" s="288"/>
      <c r="J412" s="289"/>
      <c r="K412" s="290"/>
      <c r="L412" s="371" t="str">
        <f>HYPERLINK("[#]DatatypeListedValues!B2847:H2847","«enumeration»")</f>
        <v>«enumeration»</v>
      </c>
      <c r="M412" s="287" t="s">
        <v>6582</v>
      </c>
      <c r="N412" s="291" t="b">
        <v>0</v>
      </c>
      <c r="O412" s="286"/>
      <c r="P412" s="292"/>
      <c r="Q412" s="286"/>
      <c r="R412" s="286"/>
      <c r="S412" s="293"/>
      <c r="T412" s="294"/>
      <c r="U412" s="37">
        <v>1185</v>
      </c>
      <c r="V412" s="36" t="str">
        <f>CONCATENATE(Cover!$D$6,"fdd/view?i=",U412)</f>
        <v>https://www.dgiwg.org/FAD/fdd/view?i=1185</v>
      </c>
      <c r="W412" s="172"/>
      <c r="X412" s="172"/>
      <c r="Y412" s="172"/>
    </row>
    <row r="413" spans="1:25" ht="2.1" customHeight="1" x14ac:dyDescent="0.2">
      <c r="A413" s="295"/>
      <c r="B413" s="283"/>
      <c r="C413" s="296"/>
      <c r="D413" s="283"/>
      <c r="E413" s="296"/>
      <c r="F413" s="297"/>
      <c r="G413" s="297"/>
      <c r="H413" s="297"/>
      <c r="I413" s="298"/>
      <c r="J413" s="304"/>
      <c r="K413" s="300"/>
      <c r="L413" s="301"/>
      <c r="M413" s="297" t="s">
        <v>6582</v>
      </c>
      <c r="N413" s="297"/>
      <c r="O413" s="297"/>
      <c r="P413" s="297"/>
      <c r="Q413" s="297"/>
      <c r="R413" s="297"/>
      <c r="S413" s="302"/>
      <c r="T413" s="302"/>
      <c r="U413" s="303"/>
    </row>
    <row r="414" spans="1:25" ht="38.25" x14ac:dyDescent="0.2">
      <c r="A414" s="212" t="str">
        <f>HYPERLINK(V414,B414)</f>
        <v>CyrStrucText</v>
      </c>
      <c r="B414" s="283" t="s">
        <v>7893</v>
      </c>
      <c r="C414" s="284" t="s">
        <v>14979</v>
      </c>
      <c r="D414" s="285"/>
      <c r="E414" s="286"/>
      <c r="F414" s="287" t="s">
        <v>14980</v>
      </c>
      <c r="G414" s="286"/>
      <c r="H414" s="287" t="s">
        <v>14552</v>
      </c>
      <c r="I414" s="288"/>
      <c r="J414" s="289"/>
      <c r="K414" s="290"/>
      <c r="L414" s="287" t="s">
        <v>14551</v>
      </c>
      <c r="M414" s="287" t="s">
        <v>6582</v>
      </c>
      <c r="N414" s="286"/>
      <c r="O414" s="305" t="s">
        <v>14571</v>
      </c>
      <c r="P414" s="305" t="b">
        <v>0</v>
      </c>
      <c r="Q414" s="287" t="s">
        <v>14981</v>
      </c>
      <c r="R414" s="286"/>
      <c r="S414" s="293"/>
      <c r="T414" s="294"/>
      <c r="U414" s="37">
        <v>117441</v>
      </c>
      <c r="V414" s="36" t="str">
        <f>CONCATENATE(Cover!$D$6,"fdd/view?i=",U414)</f>
        <v>https://www.dgiwg.org/FAD/fdd/view?i=117441</v>
      </c>
      <c r="W414" s="172"/>
      <c r="X414" s="172"/>
      <c r="Y414" s="172"/>
    </row>
    <row r="415" spans="1:25" ht="2.1" customHeight="1" x14ac:dyDescent="0.2">
      <c r="A415" s="295"/>
      <c r="B415" s="283"/>
      <c r="C415" s="296"/>
      <c r="D415" s="283"/>
      <c r="E415" s="296"/>
      <c r="F415" s="297"/>
      <c r="G415" s="297"/>
      <c r="H415" s="297"/>
      <c r="I415" s="298"/>
      <c r="J415" s="304"/>
      <c r="K415" s="300"/>
      <c r="L415" s="301"/>
      <c r="M415" s="297" t="s">
        <v>6582</v>
      </c>
      <c r="N415" s="297"/>
      <c r="O415" s="297"/>
      <c r="P415" s="297"/>
      <c r="Q415" s="297"/>
      <c r="R415" s="297"/>
      <c r="S415" s="302"/>
      <c r="T415" s="302"/>
      <c r="U415" s="303"/>
    </row>
    <row r="416" spans="1:25" ht="25.5" x14ac:dyDescent="0.2">
      <c r="A416" s="212" t="str">
        <f>HYPERLINK(V416,B416)</f>
        <v>DftCode</v>
      </c>
      <c r="B416" s="283" t="s">
        <v>7907</v>
      </c>
      <c r="C416" s="284" t="s">
        <v>14982</v>
      </c>
      <c r="D416" s="285"/>
      <c r="E416" s="286"/>
      <c r="F416" s="287" t="s">
        <v>14983</v>
      </c>
      <c r="G416" s="286"/>
      <c r="H416" s="286"/>
      <c r="I416" s="288"/>
      <c r="J416" s="289"/>
      <c r="K416" s="290"/>
      <c r="L416" s="371" t="str">
        <f>HYPERLINK("[#]DatatypeListedValues!B2855:H2855","«enumeration»")</f>
        <v>«enumeration»</v>
      </c>
      <c r="M416" s="287" t="s">
        <v>6582</v>
      </c>
      <c r="N416" s="291" t="b">
        <v>0</v>
      </c>
      <c r="O416" s="286"/>
      <c r="P416" s="292"/>
      <c r="Q416" s="286"/>
      <c r="R416" s="286"/>
      <c r="S416" s="293"/>
      <c r="T416" s="294"/>
      <c r="U416" s="37">
        <v>1188</v>
      </c>
      <c r="V416" s="36" t="str">
        <f>CONCATENATE(Cover!$D$6,"fdd/view?i=",U416)</f>
        <v>https://www.dgiwg.org/FAD/fdd/view?i=1188</v>
      </c>
      <c r="W416" s="172"/>
      <c r="X416" s="172"/>
      <c r="Y416" s="172"/>
    </row>
    <row r="417" spans="1:25" ht="2.1" customHeight="1" x14ac:dyDescent="0.2">
      <c r="A417" s="295"/>
      <c r="B417" s="283"/>
      <c r="C417" s="296"/>
      <c r="D417" s="283"/>
      <c r="E417" s="296"/>
      <c r="F417" s="297"/>
      <c r="G417" s="297"/>
      <c r="H417" s="297"/>
      <c r="I417" s="298"/>
      <c r="J417" s="304"/>
      <c r="K417" s="300"/>
      <c r="L417" s="301"/>
      <c r="M417" s="297" t="s">
        <v>6582</v>
      </c>
      <c r="N417" s="297"/>
      <c r="O417" s="297"/>
      <c r="P417" s="297"/>
      <c r="Q417" s="297"/>
      <c r="R417" s="297"/>
      <c r="S417" s="302"/>
      <c r="T417" s="302"/>
      <c r="U417" s="303"/>
    </row>
    <row r="418" spans="1:25" ht="25.5" x14ac:dyDescent="0.2">
      <c r="A418" s="212" t="str">
        <f>HYPERLINK(V418,B418)</f>
        <v>DwtCode</v>
      </c>
      <c r="B418" s="283" t="s">
        <v>7913</v>
      </c>
      <c r="C418" s="284" t="s">
        <v>14984</v>
      </c>
      <c r="D418" s="285"/>
      <c r="E418" s="286"/>
      <c r="F418" s="287" t="s">
        <v>14985</v>
      </c>
      <c r="G418" s="286"/>
      <c r="H418" s="286"/>
      <c r="I418" s="288"/>
      <c r="J418" s="289"/>
      <c r="K418" s="290"/>
      <c r="L418" s="371" t="str">
        <f>HYPERLINK("[#]DatatypeListedValues!B2857:H2857","«enumeration»")</f>
        <v>«enumeration»</v>
      </c>
      <c r="M418" s="287" t="s">
        <v>6582</v>
      </c>
      <c r="N418" s="291" t="b">
        <v>0</v>
      </c>
      <c r="O418" s="286"/>
      <c r="P418" s="292"/>
      <c r="Q418" s="286"/>
      <c r="R418" s="286"/>
      <c r="S418" s="293"/>
      <c r="T418" s="294"/>
      <c r="U418" s="37">
        <v>1200</v>
      </c>
      <c r="V418" s="36" t="str">
        <f>CONCATENATE(Cover!$D$6,"fdd/view?i=",U418)</f>
        <v>https://www.dgiwg.org/FAD/fdd/view?i=1200</v>
      </c>
      <c r="W418" s="172"/>
      <c r="X418" s="172"/>
      <c r="Y418" s="172"/>
    </row>
    <row r="419" spans="1:25" ht="2.1" customHeight="1" x14ac:dyDescent="0.2">
      <c r="A419" s="295"/>
      <c r="B419" s="283"/>
      <c r="C419" s="296"/>
      <c r="D419" s="283"/>
      <c r="E419" s="296"/>
      <c r="F419" s="297"/>
      <c r="G419" s="297"/>
      <c r="H419" s="297"/>
      <c r="I419" s="298"/>
      <c r="J419" s="304"/>
      <c r="K419" s="300"/>
      <c r="L419" s="301"/>
      <c r="M419" s="297" t="s">
        <v>6582</v>
      </c>
      <c r="N419" s="297"/>
      <c r="O419" s="297"/>
      <c r="P419" s="297"/>
      <c r="Q419" s="297"/>
      <c r="R419" s="297"/>
      <c r="S419" s="302"/>
      <c r="T419" s="302"/>
      <c r="U419" s="303"/>
    </row>
    <row r="420" spans="1:25" ht="25.5" x14ac:dyDescent="0.2">
      <c r="A420" s="212" t="str">
        <f>HYPERLINK(V420,B420)</f>
        <v>CacCode</v>
      </c>
      <c r="B420" s="283" t="s">
        <v>7931</v>
      </c>
      <c r="C420" s="284" t="s">
        <v>14986</v>
      </c>
      <c r="D420" s="285"/>
      <c r="E420" s="286"/>
      <c r="F420" s="287" t="s">
        <v>14987</v>
      </c>
      <c r="G420" s="286"/>
      <c r="H420" s="286"/>
      <c r="I420" s="288"/>
      <c r="J420" s="289"/>
      <c r="K420" s="290"/>
      <c r="L420" s="371" t="str">
        <f>HYPERLINK("[#]DatatypeListedValues!B2862:H2862","«enumeration»")</f>
        <v>«enumeration»</v>
      </c>
      <c r="M420" s="287" t="s">
        <v>6582</v>
      </c>
      <c r="N420" s="291" t="b">
        <v>0</v>
      </c>
      <c r="O420" s="286"/>
      <c r="P420" s="292"/>
      <c r="Q420" s="286"/>
      <c r="R420" s="286"/>
      <c r="S420" s="293"/>
      <c r="T420" s="294"/>
      <c r="U420" s="37">
        <v>1154</v>
      </c>
      <c r="V420" s="36" t="str">
        <f>CONCATENATE(Cover!$D$6,"fdd/view?i=",U420)</f>
        <v>https://www.dgiwg.org/FAD/fdd/view?i=1154</v>
      </c>
      <c r="W420" s="172"/>
      <c r="X420" s="172"/>
      <c r="Y420" s="172"/>
    </row>
    <row r="421" spans="1:25" ht="2.1" customHeight="1" x14ac:dyDescent="0.2">
      <c r="A421" s="295"/>
      <c r="B421" s="283"/>
      <c r="C421" s="296"/>
      <c r="D421" s="283"/>
      <c r="E421" s="296"/>
      <c r="F421" s="297"/>
      <c r="G421" s="297"/>
      <c r="H421" s="297"/>
      <c r="I421" s="298"/>
      <c r="J421" s="304"/>
      <c r="K421" s="300"/>
      <c r="L421" s="301"/>
      <c r="M421" s="297" t="s">
        <v>6582</v>
      </c>
      <c r="N421" s="297"/>
      <c r="O421" s="297"/>
      <c r="P421" s="297"/>
      <c r="Q421" s="297"/>
      <c r="R421" s="297"/>
      <c r="S421" s="302"/>
      <c r="T421" s="302"/>
      <c r="U421" s="303"/>
    </row>
    <row r="422" spans="1:25" ht="38.25" x14ac:dyDescent="0.2">
      <c r="A422" s="212" t="str">
        <f>HYPERLINK(V422,B422)</f>
        <v>DqsStrucText</v>
      </c>
      <c r="B422" s="283" t="s">
        <v>7949</v>
      </c>
      <c r="C422" s="284" t="s">
        <v>14988</v>
      </c>
      <c r="D422" s="285"/>
      <c r="E422" s="286"/>
      <c r="F422" s="287" t="s">
        <v>14989</v>
      </c>
      <c r="G422" s="286"/>
      <c r="H422" s="287" t="s">
        <v>14552</v>
      </c>
      <c r="I422" s="288"/>
      <c r="J422" s="289"/>
      <c r="K422" s="290"/>
      <c r="L422" s="287" t="s">
        <v>14551</v>
      </c>
      <c r="M422" s="287" t="s">
        <v>6582</v>
      </c>
      <c r="N422" s="286"/>
      <c r="O422" s="305" t="s">
        <v>14571</v>
      </c>
      <c r="P422" s="287" t="b">
        <v>1</v>
      </c>
      <c r="Q422" s="287" t="s">
        <v>14990</v>
      </c>
      <c r="R422" s="286"/>
      <c r="S422" s="293"/>
      <c r="T422" s="294"/>
      <c r="U422" s="37">
        <v>1816</v>
      </c>
      <c r="V422" s="36" t="str">
        <f>CONCATENATE(Cover!$D$6,"fdd/view?i=",U422)</f>
        <v>https://www.dgiwg.org/FAD/fdd/view?i=1816</v>
      </c>
      <c r="W422" s="172"/>
      <c r="X422" s="172"/>
      <c r="Y422" s="172"/>
    </row>
    <row r="423" spans="1:25" ht="2.1" customHeight="1" x14ac:dyDescent="0.2">
      <c r="A423" s="295"/>
      <c r="B423" s="283"/>
      <c r="C423" s="296"/>
      <c r="D423" s="283"/>
      <c r="E423" s="296"/>
      <c r="F423" s="297"/>
      <c r="G423" s="297"/>
      <c r="H423" s="297"/>
      <c r="I423" s="298"/>
      <c r="J423" s="304"/>
      <c r="K423" s="300"/>
      <c r="L423" s="301"/>
      <c r="M423" s="297" t="s">
        <v>6582</v>
      </c>
      <c r="N423" s="297"/>
      <c r="O423" s="297"/>
      <c r="P423" s="297"/>
      <c r="Q423" s="297"/>
      <c r="R423" s="297"/>
      <c r="S423" s="302"/>
      <c r="T423" s="302"/>
      <c r="U423" s="303"/>
    </row>
    <row r="424" spans="1:25" ht="38.25" x14ac:dyDescent="0.2">
      <c r="A424" s="212" t="str">
        <f>HYPERLINK(V424,B424)</f>
        <v>DscStrucText</v>
      </c>
      <c r="B424" s="283" t="s">
        <v>7954</v>
      </c>
      <c r="C424" s="284" t="s">
        <v>14991</v>
      </c>
      <c r="D424" s="285"/>
      <c r="E424" s="286"/>
      <c r="F424" s="287" t="s">
        <v>14992</v>
      </c>
      <c r="G424" s="286"/>
      <c r="H424" s="287" t="s">
        <v>14552</v>
      </c>
      <c r="I424" s="288"/>
      <c r="J424" s="289"/>
      <c r="K424" s="290"/>
      <c r="L424" s="287" t="s">
        <v>14551</v>
      </c>
      <c r="M424" s="287" t="s">
        <v>6582</v>
      </c>
      <c r="N424" s="286"/>
      <c r="O424" s="305" t="s">
        <v>14571</v>
      </c>
      <c r="P424" s="287" t="b">
        <v>1</v>
      </c>
      <c r="Q424" s="287" t="s">
        <v>14993</v>
      </c>
      <c r="R424" s="286"/>
      <c r="S424" s="293"/>
      <c r="T424" s="294"/>
      <c r="U424" s="37">
        <v>1817</v>
      </c>
      <c r="V424" s="36" t="str">
        <f>CONCATENATE(Cover!$D$6,"fdd/view?i=",U424)</f>
        <v>https://www.dgiwg.org/FAD/fdd/view?i=1817</v>
      </c>
      <c r="W424" s="172"/>
      <c r="X424" s="172"/>
      <c r="Y424" s="172"/>
    </row>
    <row r="425" spans="1:25" ht="2.1" customHeight="1" x14ac:dyDescent="0.2">
      <c r="A425" s="295"/>
      <c r="B425" s="283"/>
      <c r="C425" s="296"/>
      <c r="D425" s="283"/>
      <c r="E425" s="296"/>
      <c r="F425" s="297"/>
      <c r="G425" s="297"/>
      <c r="H425" s="297"/>
      <c r="I425" s="298"/>
      <c r="J425" s="304"/>
      <c r="K425" s="300"/>
      <c r="L425" s="301"/>
      <c r="M425" s="297" t="s">
        <v>6582</v>
      </c>
      <c r="N425" s="297"/>
      <c r="O425" s="297"/>
      <c r="P425" s="297"/>
      <c r="Q425" s="297"/>
      <c r="R425" s="297"/>
      <c r="S425" s="302"/>
      <c r="T425" s="302"/>
      <c r="U425" s="303"/>
    </row>
    <row r="426" spans="1:25" ht="63.75" x14ac:dyDescent="0.2">
      <c r="A426" s="212" t="str">
        <f>HYPERLINK(V426,B426)</f>
        <v>DeqStrucText</v>
      </c>
      <c r="B426" s="283" t="s">
        <v>7959</v>
      </c>
      <c r="C426" s="284" t="s">
        <v>14994</v>
      </c>
      <c r="D426" s="285"/>
      <c r="E426" s="286"/>
      <c r="F426" s="287" t="s">
        <v>14995</v>
      </c>
      <c r="G426" s="286"/>
      <c r="H426" s="287" t="s">
        <v>14552</v>
      </c>
      <c r="I426" s="288"/>
      <c r="J426" s="289"/>
      <c r="K426" s="290"/>
      <c r="L426" s="287" t="s">
        <v>14551</v>
      </c>
      <c r="M426" s="287" t="s">
        <v>6582</v>
      </c>
      <c r="N426" s="286"/>
      <c r="O426" s="287">
        <v>8</v>
      </c>
      <c r="P426" s="305" t="b">
        <v>0</v>
      </c>
      <c r="Q426" s="287" t="s">
        <v>14806</v>
      </c>
      <c r="R426" s="286"/>
      <c r="S426" s="293"/>
      <c r="T426" s="294"/>
      <c r="U426" s="37">
        <v>1810</v>
      </c>
      <c r="V426" s="36" t="str">
        <f>CONCATENATE(Cover!$D$6,"fdd/view?i=",U426)</f>
        <v>https://www.dgiwg.org/FAD/fdd/view?i=1810</v>
      </c>
      <c r="W426" s="172"/>
      <c r="X426" s="172"/>
      <c r="Y426" s="172"/>
    </row>
    <row r="427" spans="1:25" ht="2.1" customHeight="1" x14ac:dyDescent="0.2">
      <c r="A427" s="295"/>
      <c r="B427" s="283"/>
      <c r="C427" s="296"/>
      <c r="D427" s="283"/>
      <c r="E427" s="296"/>
      <c r="F427" s="297"/>
      <c r="G427" s="297"/>
      <c r="H427" s="297"/>
      <c r="I427" s="298"/>
      <c r="J427" s="304"/>
      <c r="K427" s="300"/>
      <c r="L427" s="301"/>
      <c r="M427" s="297" t="s">
        <v>6582</v>
      </c>
      <c r="N427" s="297"/>
      <c r="O427" s="297"/>
      <c r="P427" s="297"/>
      <c r="Q427" s="297"/>
      <c r="R427" s="297"/>
      <c r="S427" s="302"/>
      <c r="T427" s="302"/>
      <c r="U427" s="303"/>
    </row>
    <row r="428" spans="1:25" ht="63.75" x14ac:dyDescent="0.2">
      <c r="A428" s="212" t="str">
        <f>HYPERLINK(V428,B428)</f>
        <v>YltStrucText</v>
      </c>
      <c r="B428" s="283" t="s">
        <v>7964</v>
      </c>
      <c r="C428" s="284" t="s">
        <v>14996</v>
      </c>
      <c r="D428" s="285"/>
      <c r="E428" s="286"/>
      <c r="F428" s="287" t="s">
        <v>14997</v>
      </c>
      <c r="G428" s="286"/>
      <c r="H428" s="287" t="s">
        <v>14552</v>
      </c>
      <c r="I428" s="288"/>
      <c r="J428" s="289"/>
      <c r="K428" s="290"/>
      <c r="L428" s="287" t="s">
        <v>14551</v>
      </c>
      <c r="M428" s="287" t="s">
        <v>6582</v>
      </c>
      <c r="N428" s="286"/>
      <c r="O428" s="287">
        <v>8</v>
      </c>
      <c r="P428" s="305" t="b">
        <v>0</v>
      </c>
      <c r="Q428" s="287" t="s">
        <v>14806</v>
      </c>
      <c r="R428" s="286"/>
      <c r="S428" s="293"/>
      <c r="T428" s="294"/>
      <c r="U428" s="37">
        <v>3888</v>
      </c>
      <c r="V428" s="36" t="str">
        <f>CONCATENATE(Cover!$D$6,"fdd/view?i=",U428)</f>
        <v>https://www.dgiwg.org/FAD/fdd/view?i=3888</v>
      </c>
      <c r="W428" s="172"/>
      <c r="X428" s="172"/>
      <c r="Y428" s="172"/>
    </row>
    <row r="429" spans="1:25" ht="2.1" customHeight="1" x14ac:dyDescent="0.2">
      <c r="A429" s="295"/>
      <c r="B429" s="283"/>
      <c r="C429" s="296"/>
      <c r="D429" s="283"/>
      <c r="E429" s="296"/>
      <c r="F429" s="297"/>
      <c r="G429" s="297"/>
      <c r="H429" s="297"/>
      <c r="I429" s="298"/>
      <c r="J429" s="304"/>
      <c r="K429" s="300"/>
      <c r="L429" s="301"/>
      <c r="M429" s="297" t="s">
        <v>6582</v>
      </c>
      <c r="N429" s="297"/>
      <c r="O429" s="297"/>
      <c r="P429" s="297"/>
      <c r="Q429" s="297"/>
      <c r="R429" s="297"/>
      <c r="S429" s="302"/>
      <c r="T429" s="302"/>
      <c r="U429" s="303"/>
    </row>
    <row r="430" spans="1:25" ht="89.25" x14ac:dyDescent="0.2">
      <c r="A430" s="212" t="str">
        <f>HYPERLINK(V430,B430)</f>
        <v>DskStrucText</v>
      </c>
      <c r="B430" s="283" t="s">
        <v>7969</v>
      </c>
      <c r="C430" s="284" t="s">
        <v>14998</v>
      </c>
      <c r="D430" s="285"/>
      <c r="E430" s="286"/>
      <c r="F430" s="287" t="s">
        <v>14999</v>
      </c>
      <c r="G430" s="286"/>
      <c r="H430" s="287" t="s">
        <v>14552</v>
      </c>
      <c r="I430" s="288"/>
      <c r="J430" s="289"/>
      <c r="K430" s="290"/>
      <c r="L430" s="287" t="s">
        <v>14551</v>
      </c>
      <c r="M430" s="287" t="s">
        <v>6582</v>
      </c>
      <c r="N430" s="286"/>
      <c r="O430" s="287">
        <v>8</v>
      </c>
      <c r="P430" s="305" t="b">
        <v>0</v>
      </c>
      <c r="Q430" s="287" t="s">
        <v>14908</v>
      </c>
      <c r="R430" s="286"/>
      <c r="S430" s="293"/>
      <c r="T430" s="294"/>
      <c r="U430" s="37">
        <v>118130</v>
      </c>
      <c r="V430" s="36" t="str">
        <f>CONCATENATE(Cover!$D$6,"fdd/view?i=",U430)</f>
        <v>https://www.dgiwg.org/FAD/fdd/view?i=118130</v>
      </c>
      <c r="W430" s="172"/>
      <c r="X430" s="172"/>
      <c r="Y430" s="172"/>
    </row>
    <row r="431" spans="1:25" ht="2.1" customHeight="1" x14ac:dyDescent="0.2">
      <c r="A431" s="295"/>
      <c r="B431" s="283"/>
      <c r="C431" s="296"/>
      <c r="D431" s="283"/>
      <c r="E431" s="296"/>
      <c r="F431" s="297"/>
      <c r="G431" s="297"/>
      <c r="H431" s="297"/>
      <c r="I431" s="298"/>
      <c r="J431" s="304"/>
      <c r="K431" s="300"/>
      <c r="L431" s="301"/>
      <c r="M431" s="297" t="s">
        <v>6582</v>
      </c>
      <c r="N431" s="297"/>
      <c r="O431" s="297"/>
      <c r="P431" s="297"/>
      <c r="Q431" s="297"/>
      <c r="R431" s="297"/>
      <c r="S431" s="302"/>
      <c r="T431" s="302"/>
      <c r="U431" s="303"/>
    </row>
    <row r="432" spans="1:25" ht="25.5" x14ac:dyDescent="0.2">
      <c r="A432" s="212" t="str">
        <f>HYPERLINK(V432,B432)</f>
        <v>DksCode</v>
      </c>
      <c r="B432" s="283" t="s">
        <v>7975</v>
      </c>
      <c r="C432" s="284" t="s">
        <v>15000</v>
      </c>
      <c r="D432" s="285"/>
      <c r="E432" s="286"/>
      <c r="F432" s="287" t="s">
        <v>15001</v>
      </c>
      <c r="G432" s="286"/>
      <c r="H432" s="286"/>
      <c r="I432" s="288"/>
      <c r="J432" s="289"/>
      <c r="K432" s="290"/>
      <c r="L432" s="371" t="str">
        <f>HYPERLINK("[#]DatatypeListedValues!B2868:H2868","«enumeration»")</f>
        <v>«enumeration»</v>
      </c>
      <c r="M432" s="287" t="s">
        <v>6582</v>
      </c>
      <c r="N432" s="291" t="b">
        <v>0</v>
      </c>
      <c r="O432" s="286"/>
      <c r="P432" s="292"/>
      <c r="Q432" s="286"/>
      <c r="R432" s="286"/>
      <c r="S432" s="293"/>
      <c r="T432" s="294"/>
      <c r="U432" s="37">
        <v>1608</v>
      </c>
      <c r="V432" s="36" t="str">
        <f>CONCATENATE(Cover!$D$6,"fdd/view?i=",U432)</f>
        <v>https://www.dgiwg.org/FAD/fdd/view?i=1608</v>
      </c>
      <c r="W432" s="172"/>
      <c r="X432" s="172"/>
      <c r="Y432" s="172"/>
    </row>
    <row r="433" spans="1:25" ht="2.1" customHeight="1" x14ac:dyDescent="0.2">
      <c r="A433" s="295"/>
      <c r="B433" s="283"/>
      <c r="C433" s="296"/>
      <c r="D433" s="283"/>
      <c r="E433" s="296"/>
      <c r="F433" s="297"/>
      <c r="G433" s="297"/>
      <c r="H433" s="297"/>
      <c r="I433" s="298"/>
      <c r="J433" s="304"/>
      <c r="K433" s="300"/>
      <c r="L433" s="301"/>
      <c r="M433" s="297" t="s">
        <v>6582</v>
      </c>
      <c r="N433" s="297"/>
      <c r="O433" s="297"/>
      <c r="P433" s="297"/>
      <c r="Q433" s="297"/>
      <c r="R433" s="297"/>
      <c r="S433" s="302"/>
      <c r="T433" s="302"/>
      <c r="U433" s="303"/>
    </row>
    <row r="434" spans="1:25" ht="63.75" x14ac:dyDescent="0.2">
      <c r="A434" s="212" t="str">
        <f>HYPERLINK(V434,B434)</f>
        <v>DebStrucText</v>
      </c>
      <c r="B434" s="283" t="s">
        <v>8000</v>
      </c>
      <c r="C434" s="284" t="s">
        <v>15002</v>
      </c>
      <c r="D434" s="285"/>
      <c r="E434" s="286"/>
      <c r="F434" s="287" t="s">
        <v>15003</v>
      </c>
      <c r="G434" s="286"/>
      <c r="H434" s="287" t="s">
        <v>14552</v>
      </c>
      <c r="I434" s="288"/>
      <c r="J434" s="289"/>
      <c r="K434" s="290"/>
      <c r="L434" s="287" t="s">
        <v>14551</v>
      </c>
      <c r="M434" s="287" t="s">
        <v>6582</v>
      </c>
      <c r="N434" s="286"/>
      <c r="O434" s="287">
        <v>8</v>
      </c>
      <c r="P434" s="305" t="b">
        <v>0</v>
      </c>
      <c r="Q434" s="287" t="s">
        <v>15004</v>
      </c>
      <c r="R434" s="286"/>
      <c r="S434" s="293"/>
      <c r="T434" s="294"/>
      <c r="U434" s="37">
        <v>1809</v>
      </c>
      <c r="V434" s="36" t="str">
        <f>CONCATENATE(Cover!$D$6,"fdd/view?i=",U434)</f>
        <v>https://www.dgiwg.org/FAD/fdd/view?i=1809</v>
      </c>
      <c r="W434" s="172"/>
      <c r="X434" s="172"/>
      <c r="Y434" s="172"/>
    </row>
    <row r="435" spans="1:25" ht="2.1" customHeight="1" x14ac:dyDescent="0.2">
      <c r="A435" s="295"/>
      <c r="B435" s="283"/>
      <c r="C435" s="296"/>
      <c r="D435" s="283"/>
      <c r="E435" s="296"/>
      <c r="F435" s="297"/>
      <c r="G435" s="297"/>
      <c r="H435" s="297"/>
      <c r="I435" s="298"/>
      <c r="J435" s="304"/>
      <c r="K435" s="300"/>
      <c r="L435" s="301"/>
      <c r="M435" s="297" t="s">
        <v>6582</v>
      </c>
      <c r="N435" s="297"/>
      <c r="O435" s="297"/>
      <c r="P435" s="297"/>
      <c r="Q435" s="297"/>
      <c r="R435" s="297"/>
      <c r="S435" s="302"/>
      <c r="T435" s="302"/>
      <c r="U435" s="303"/>
    </row>
    <row r="436" spans="1:25" ht="25.5" x14ac:dyDescent="0.2">
      <c r="A436" s="212" t="str">
        <f>HYPERLINK(V436,B436)</f>
        <v>EodCode</v>
      </c>
      <c r="B436" s="283" t="s">
        <v>8042</v>
      </c>
      <c r="C436" s="284" t="s">
        <v>15005</v>
      </c>
      <c r="D436" s="285"/>
      <c r="E436" s="286"/>
      <c r="F436" s="287" t="s">
        <v>15006</v>
      </c>
      <c r="G436" s="286"/>
      <c r="H436" s="286"/>
      <c r="I436" s="288"/>
      <c r="J436" s="289"/>
      <c r="K436" s="290"/>
      <c r="L436" s="371" t="str">
        <f>HYPERLINK("[#]DatatypeListedValues!B2875:H2875","«enumeration»")</f>
        <v>«enumeration»</v>
      </c>
      <c r="M436" s="287" t="s">
        <v>6582</v>
      </c>
      <c r="N436" s="291" t="b">
        <v>0</v>
      </c>
      <c r="O436" s="286"/>
      <c r="P436" s="292"/>
      <c r="Q436" s="286"/>
      <c r="R436" s="286"/>
      <c r="S436" s="293"/>
      <c r="T436" s="294"/>
      <c r="U436" s="37">
        <v>1203</v>
      </c>
      <c r="V436" s="36" t="str">
        <f>CONCATENATE(Cover!$D$6,"fdd/view?i=",U436)</f>
        <v>https://www.dgiwg.org/FAD/fdd/view?i=1203</v>
      </c>
      <c r="W436" s="172"/>
      <c r="X436" s="172"/>
      <c r="Y436" s="172"/>
    </row>
    <row r="437" spans="1:25" ht="2.1" customHeight="1" x14ac:dyDescent="0.2">
      <c r="A437" s="295"/>
      <c r="B437" s="283"/>
      <c r="C437" s="296"/>
      <c r="D437" s="283"/>
      <c r="E437" s="296"/>
      <c r="F437" s="297"/>
      <c r="G437" s="297"/>
      <c r="H437" s="297"/>
      <c r="I437" s="298"/>
      <c r="J437" s="304"/>
      <c r="K437" s="300"/>
      <c r="L437" s="301"/>
      <c r="M437" s="297" t="s">
        <v>6582</v>
      </c>
      <c r="N437" s="297"/>
      <c r="O437" s="297"/>
      <c r="P437" s="297"/>
      <c r="Q437" s="297"/>
      <c r="R437" s="297"/>
      <c r="S437" s="302"/>
      <c r="T437" s="302"/>
      <c r="U437" s="303"/>
    </row>
    <row r="438" spans="1:25" ht="76.5" x14ac:dyDescent="0.2">
      <c r="A438" s="212" t="str">
        <f>HYPERLINK(V438,B438)</f>
        <v>AixStrucText</v>
      </c>
      <c r="B438" s="283" t="s">
        <v>8060</v>
      </c>
      <c r="C438" s="284" t="s">
        <v>15007</v>
      </c>
      <c r="D438" s="285"/>
      <c r="E438" s="286"/>
      <c r="F438" s="287" t="s">
        <v>15008</v>
      </c>
      <c r="G438" s="286"/>
      <c r="H438" s="287" t="s">
        <v>14552</v>
      </c>
      <c r="I438" s="288"/>
      <c r="J438" s="289"/>
      <c r="K438" s="290"/>
      <c r="L438" s="287" t="s">
        <v>14551</v>
      </c>
      <c r="M438" s="287" t="s">
        <v>6582</v>
      </c>
      <c r="N438" s="286"/>
      <c r="O438" s="287">
        <v>4</v>
      </c>
      <c r="P438" s="305" t="b">
        <v>0</v>
      </c>
      <c r="Q438" s="287" t="s">
        <v>15009</v>
      </c>
      <c r="R438" s="286"/>
      <c r="S438" s="293"/>
      <c r="T438" s="294"/>
      <c r="U438" s="37">
        <v>117436</v>
      </c>
      <c r="V438" s="36" t="str">
        <f>CONCATENATE(Cover!$D$6,"fdd/view?i=",U438)</f>
        <v>https://www.dgiwg.org/FAD/fdd/view?i=117436</v>
      </c>
      <c r="W438" s="172"/>
      <c r="X438" s="172"/>
      <c r="Y438" s="172"/>
    </row>
    <row r="439" spans="1:25" ht="2.1" customHeight="1" x14ac:dyDescent="0.2">
      <c r="A439" s="295"/>
      <c r="B439" s="283"/>
      <c r="C439" s="296"/>
      <c r="D439" s="283"/>
      <c r="E439" s="296"/>
      <c r="F439" s="297"/>
      <c r="G439" s="297"/>
      <c r="H439" s="297"/>
      <c r="I439" s="298"/>
      <c r="J439" s="304"/>
      <c r="K439" s="300"/>
      <c r="L439" s="301"/>
      <c r="M439" s="297" t="s">
        <v>6582</v>
      </c>
      <c r="N439" s="297"/>
      <c r="O439" s="297"/>
      <c r="P439" s="297"/>
      <c r="Q439" s="297"/>
      <c r="R439" s="297"/>
      <c r="S439" s="302"/>
      <c r="T439" s="302"/>
      <c r="U439" s="303"/>
    </row>
    <row r="440" spans="1:25" ht="25.5" x14ac:dyDescent="0.2">
      <c r="A440" s="212" t="str">
        <f>HYPERLINK(V440,B440)</f>
        <v>De1Code</v>
      </c>
      <c r="B440" s="283" t="s">
        <v>8074</v>
      </c>
      <c r="C440" s="284" t="s">
        <v>15010</v>
      </c>
      <c r="D440" s="285"/>
      <c r="E440" s="286"/>
      <c r="F440" s="287" t="s">
        <v>15011</v>
      </c>
      <c r="G440" s="286"/>
      <c r="H440" s="286"/>
      <c r="I440" s="288"/>
      <c r="J440" s="289"/>
      <c r="K440" s="290"/>
      <c r="L440" s="371" t="str">
        <f>HYPERLINK("[#]DatatypeListedValues!B2878:H2878","«enumeration»")</f>
        <v>«enumeration»</v>
      </c>
      <c r="M440" s="287" t="s">
        <v>6582</v>
      </c>
      <c r="N440" s="291" t="b">
        <v>0</v>
      </c>
      <c r="O440" s="286"/>
      <c r="P440" s="292"/>
      <c r="Q440" s="286"/>
      <c r="R440" s="286"/>
      <c r="S440" s="293"/>
      <c r="T440" s="294"/>
      <c r="U440" s="37">
        <v>1807</v>
      </c>
      <c r="V440" s="36" t="str">
        <f>CONCATENATE(Cover!$D$6,"fdd/view?i=",U440)</f>
        <v>https://www.dgiwg.org/FAD/fdd/view?i=1807</v>
      </c>
      <c r="W440" s="172"/>
      <c r="X440" s="172"/>
      <c r="Y440" s="172"/>
    </row>
    <row r="441" spans="1:25" ht="2.1" customHeight="1" x14ac:dyDescent="0.2">
      <c r="A441" s="295"/>
      <c r="B441" s="283"/>
      <c r="C441" s="296"/>
      <c r="D441" s="283"/>
      <c r="E441" s="296"/>
      <c r="F441" s="297"/>
      <c r="G441" s="297"/>
      <c r="H441" s="297"/>
      <c r="I441" s="298"/>
      <c r="J441" s="304"/>
      <c r="K441" s="300"/>
      <c r="L441" s="301"/>
      <c r="M441" s="297" t="s">
        <v>6582</v>
      </c>
      <c r="N441" s="297"/>
      <c r="O441" s="297"/>
      <c r="P441" s="297"/>
      <c r="Q441" s="297"/>
      <c r="R441" s="297"/>
      <c r="S441" s="302"/>
      <c r="T441" s="302"/>
      <c r="U441" s="303"/>
    </row>
    <row r="442" spans="1:25" ht="25.5" x14ac:dyDescent="0.2">
      <c r="A442" s="212" t="str">
        <f>HYPERLINK(V442,B442)</f>
        <v>De2Code</v>
      </c>
      <c r="B442" s="283" t="s">
        <v>8079</v>
      </c>
      <c r="C442" s="284" t="s">
        <v>15012</v>
      </c>
      <c r="D442" s="285"/>
      <c r="E442" s="286"/>
      <c r="F442" s="287" t="s">
        <v>15013</v>
      </c>
      <c r="G442" s="286"/>
      <c r="H442" s="286"/>
      <c r="I442" s="288"/>
      <c r="J442" s="289"/>
      <c r="K442" s="290"/>
      <c r="L442" s="371" t="str">
        <f>HYPERLINK("[#]DatatypeListedValues!B2884:H2884","«enumeration»")</f>
        <v>«enumeration»</v>
      </c>
      <c r="M442" s="287" t="s">
        <v>6582</v>
      </c>
      <c r="N442" s="291" t="b">
        <v>0</v>
      </c>
      <c r="O442" s="286"/>
      <c r="P442" s="292"/>
      <c r="Q442" s="286"/>
      <c r="R442" s="286"/>
      <c r="S442" s="293"/>
      <c r="T442" s="294"/>
      <c r="U442" s="37">
        <v>1808</v>
      </c>
      <c r="V442" s="36" t="str">
        <f>CONCATENATE(Cover!$D$6,"fdd/view?i=",U442)</f>
        <v>https://www.dgiwg.org/FAD/fdd/view?i=1808</v>
      </c>
      <c r="W442" s="172"/>
      <c r="X442" s="172"/>
      <c r="Y442" s="172"/>
    </row>
    <row r="443" spans="1:25" ht="2.1" customHeight="1" x14ac:dyDescent="0.2">
      <c r="A443" s="295"/>
      <c r="B443" s="283"/>
      <c r="C443" s="296"/>
      <c r="D443" s="283"/>
      <c r="E443" s="296"/>
      <c r="F443" s="297"/>
      <c r="G443" s="297"/>
      <c r="H443" s="297"/>
      <c r="I443" s="298"/>
      <c r="J443" s="304"/>
      <c r="K443" s="300"/>
      <c r="L443" s="301"/>
      <c r="M443" s="297" t="s">
        <v>6582</v>
      </c>
      <c r="N443" s="297"/>
      <c r="O443" s="297"/>
      <c r="P443" s="297"/>
      <c r="Q443" s="297"/>
      <c r="R443" s="297"/>
      <c r="S443" s="302"/>
      <c r="T443" s="302"/>
      <c r="U443" s="303"/>
    </row>
    <row r="444" spans="1:25" ht="38.25" x14ac:dyDescent="0.2">
      <c r="A444" s="212" t="str">
        <f>HYPERLINK(V444,B444)</f>
        <v>DpiStrucText</v>
      </c>
      <c r="B444" s="283" t="s">
        <v>8084</v>
      </c>
      <c r="C444" s="284" t="s">
        <v>15014</v>
      </c>
      <c r="D444" s="285"/>
      <c r="E444" s="286"/>
      <c r="F444" s="287" t="s">
        <v>15015</v>
      </c>
      <c r="G444" s="286"/>
      <c r="H444" s="287" t="s">
        <v>14552</v>
      </c>
      <c r="I444" s="288"/>
      <c r="J444" s="289"/>
      <c r="K444" s="290"/>
      <c r="L444" s="287" t="s">
        <v>14551</v>
      </c>
      <c r="M444" s="287" t="s">
        <v>6582</v>
      </c>
      <c r="N444" s="286"/>
      <c r="O444" s="287">
        <v>5</v>
      </c>
      <c r="P444" s="305" t="b">
        <v>0</v>
      </c>
      <c r="Q444" s="287" t="s">
        <v>15016</v>
      </c>
      <c r="R444" s="286"/>
      <c r="S444" s="293"/>
      <c r="T444" s="294"/>
      <c r="U444" s="37">
        <v>117442</v>
      </c>
      <c r="V444" s="36" t="str">
        <f>CONCATENATE(Cover!$D$6,"fdd/view?i=",U444)</f>
        <v>https://www.dgiwg.org/FAD/fdd/view?i=117442</v>
      </c>
      <c r="W444" s="172"/>
      <c r="X444" s="172"/>
      <c r="Y444" s="172"/>
    </row>
    <row r="445" spans="1:25" ht="2.1" customHeight="1" x14ac:dyDescent="0.2">
      <c r="A445" s="295"/>
      <c r="B445" s="283"/>
      <c r="C445" s="296"/>
      <c r="D445" s="283"/>
      <c r="E445" s="296"/>
      <c r="F445" s="297"/>
      <c r="G445" s="297"/>
      <c r="H445" s="297"/>
      <c r="I445" s="298"/>
      <c r="J445" s="304"/>
      <c r="K445" s="300"/>
      <c r="L445" s="301"/>
      <c r="M445" s="297" t="s">
        <v>6582</v>
      </c>
      <c r="N445" s="297"/>
      <c r="O445" s="297"/>
      <c r="P445" s="297"/>
      <c r="Q445" s="297"/>
      <c r="R445" s="297"/>
      <c r="S445" s="302"/>
      <c r="T445" s="302"/>
      <c r="U445" s="303"/>
    </row>
    <row r="446" spans="1:25" ht="25.5" x14ac:dyDescent="0.2">
      <c r="A446" s="212" t="str">
        <f>HYPERLINK(V446,B446)</f>
        <v>DptCode</v>
      </c>
      <c r="B446" s="283" t="s">
        <v>8089</v>
      </c>
      <c r="C446" s="284" t="s">
        <v>15017</v>
      </c>
      <c r="D446" s="285"/>
      <c r="E446" s="286"/>
      <c r="F446" s="287" t="s">
        <v>15018</v>
      </c>
      <c r="G446" s="286"/>
      <c r="H446" s="286"/>
      <c r="I446" s="288"/>
      <c r="J446" s="289"/>
      <c r="K446" s="290"/>
      <c r="L446" s="371" t="str">
        <f>HYPERLINK("[#]DatatypeListedValues!B2886:H2886","«enumeration»")</f>
        <v>«enumeration»</v>
      </c>
      <c r="M446" s="287" t="s">
        <v>6582</v>
      </c>
      <c r="N446" s="291" t="b">
        <v>0</v>
      </c>
      <c r="O446" s="286"/>
      <c r="P446" s="292"/>
      <c r="Q446" s="286"/>
      <c r="R446" s="286"/>
      <c r="S446" s="293"/>
      <c r="T446" s="294"/>
      <c r="U446" s="37">
        <v>117372</v>
      </c>
      <c r="V446" s="36" t="str">
        <f>CONCATENATE(Cover!$D$6,"fdd/view?i=",U446)</f>
        <v>https://www.dgiwg.org/FAD/fdd/view?i=117372</v>
      </c>
      <c r="W446" s="172"/>
      <c r="X446" s="172"/>
      <c r="Y446" s="172"/>
    </row>
    <row r="447" spans="1:25" ht="2.1" customHeight="1" x14ac:dyDescent="0.2">
      <c r="A447" s="295"/>
      <c r="B447" s="283"/>
      <c r="C447" s="296"/>
      <c r="D447" s="283"/>
      <c r="E447" s="296"/>
      <c r="F447" s="297"/>
      <c r="G447" s="297"/>
      <c r="H447" s="297"/>
      <c r="I447" s="298"/>
      <c r="J447" s="304"/>
      <c r="K447" s="300"/>
      <c r="L447" s="301"/>
      <c r="M447" s="297" t="s">
        <v>6582</v>
      </c>
      <c r="N447" s="297"/>
      <c r="O447" s="297"/>
      <c r="P447" s="297"/>
      <c r="Q447" s="297"/>
      <c r="R447" s="297"/>
      <c r="S447" s="302"/>
      <c r="T447" s="302"/>
      <c r="U447" s="303"/>
    </row>
    <row r="448" spans="1:25" ht="25.5" x14ac:dyDescent="0.2">
      <c r="A448" s="212" t="str">
        <f>HYPERLINK(V448,B448)</f>
        <v>DrbCode</v>
      </c>
      <c r="B448" s="283" t="s">
        <v>8108</v>
      </c>
      <c r="C448" s="284" t="s">
        <v>15019</v>
      </c>
      <c r="D448" s="285"/>
      <c r="E448" s="286"/>
      <c r="F448" s="287" t="s">
        <v>15020</v>
      </c>
      <c r="G448" s="286"/>
      <c r="H448" s="286"/>
      <c r="I448" s="288"/>
      <c r="J448" s="289"/>
      <c r="K448" s="290"/>
      <c r="L448" s="371" t="str">
        <f>HYPERLINK("[#]DatatypeListedValues!B2889:H2889","«enumeration»")</f>
        <v>«enumeration»</v>
      </c>
      <c r="M448" s="287" t="s">
        <v>6582</v>
      </c>
      <c r="N448" s="291" t="b">
        <v>0</v>
      </c>
      <c r="O448" s="286"/>
      <c r="P448" s="292"/>
      <c r="Q448" s="286"/>
      <c r="R448" s="286"/>
      <c r="S448" s="293"/>
      <c r="T448" s="294"/>
      <c r="U448" s="37">
        <v>119877</v>
      </c>
      <c r="V448" s="36" t="str">
        <f>CONCATENATE(Cover!$D$6,"fdd/view?i=",U448)</f>
        <v>https://www.dgiwg.org/FAD/fdd/view?i=119877</v>
      </c>
      <c r="W448" s="172"/>
      <c r="X448" s="172"/>
      <c r="Y448" s="172"/>
    </row>
    <row r="449" spans="1:25" ht="2.1" customHeight="1" x14ac:dyDescent="0.2">
      <c r="A449" s="295"/>
      <c r="B449" s="283"/>
      <c r="C449" s="296"/>
      <c r="D449" s="283"/>
      <c r="E449" s="296"/>
      <c r="F449" s="297"/>
      <c r="G449" s="297"/>
      <c r="H449" s="297"/>
      <c r="I449" s="298"/>
      <c r="J449" s="304"/>
      <c r="K449" s="300"/>
      <c r="L449" s="301"/>
      <c r="M449" s="297" t="s">
        <v>6582</v>
      </c>
      <c r="N449" s="297"/>
      <c r="O449" s="297"/>
      <c r="P449" s="297"/>
      <c r="Q449" s="297"/>
      <c r="R449" s="297"/>
      <c r="S449" s="302"/>
      <c r="T449" s="302"/>
      <c r="U449" s="303"/>
    </row>
    <row r="450" spans="1:25" ht="25.5" x14ac:dyDescent="0.2">
      <c r="A450" s="212" t="str">
        <f>HYPERLINK(V450,B450)</f>
        <v>T03Code</v>
      </c>
      <c r="B450" s="283" t="s">
        <v>8135</v>
      </c>
      <c r="C450" s="284" t="s">
        <v>15021</v>
      </c>
      <c r="D450" s="285"/>
      <c r="E450" s="286"/>
      <c r="F450" s="287" t="s">
        <v>15022</v>
      </c>
      <c r="G450" s="286"/>
      <c r="H450" s="286"/>
      <c r="I450" s="288"/>
      <c r="J450" s="289"/>
      <c r="K450" s="290"/>
      <c r="L450" s="371" t="str">
        <f>HYPERLINK("[#]DatatypeListedValues!B2895:H2895","«enumeration»")</f>
        <v>«enumeration»</v>
      </c>
      <c r="M450" s="287" t="s">
        <v>6582</v>
      </c>
      <c r="N450" s="291" t="b">
        <v>0</v>
      </c>
      <c r="O450" s="286"/>
      <c r="P450" s="292"/>
      <c r="Q450" s="286"/>
      <c r="R450" s="286"/>
      <c r="S450" s="293"/>
      <c r="T450" s="294"/>
      <c r="U450" s="37">
        <v>118656</v>
      </c>
      <c r="V450" s="36" t="str">
        <f>CONCATENATE(Cover!$D$6,"fdd/view?i=",U450)</f>
        <v>https://www.dgiwg.org/FAD/fdd/view?i=118656</v>
      </c>
      <c r="W450" s="172"/>
      <c r="X450" s="172"/>
      <c r="Y450" s="172"/>
    </row>
    <row r="451" spans="1:25" ht="2.1" customHeight="1" x14ac:dyDescent="0.2">
      <c r="A451" s="295"/>
      <c r="B451" s="283"/>
      <c r="C451" s="296"/>
      <c r="D451" s="283"/>
      <c r="E451" s="296"/>
      <c r="F451" s="297"/>
      <c r="G451" s="297"/>
      <c r="H451" s="297"/>
      <c r="I451" s="298"/>
      <c r="J451" s="304"/>
      <c r="K451" s="300"/>
      <c r="L451" s="301"/>
      <c r="M451" s="297" t="s">
        <v>6582</v>
      </c>
      <c r="N451" s="297"/>
      <c r="O451" s="297"/>
      <c r="P451" s="297"/>
      <c r="Q451" s="297"/>
      <c r="R451" s="297"/>
      <c r="S451" s="302"/>
      <c r="T451" s="302"/>
      <c r="U451" s="303"/>
    </row>
    <row r="452" spans="1:25" ht="25.5" x14ac:dyDescent="0.2">
      <c r="A452" s="212" t="str">
        <f>HYPERLINK(V452,B452)</f>
        <v>DirCode</v>
      </c>
      <c r="B452" s="283" t="s">
        <v>8140</v>
      </c>
      <c r="C452" s="284" t="s">
        <v>15023</v>
      </c>
      <c r="D452" s="285"/>
      <c r="E452" s="286"/>
      <c r="F452" s="287" t="s">
        <v>15024</v>
      </c>
      <c r="G452" s="286"/>
      <c r="H452" s="286"/>
      <c r="I452" s="288"/>
      <c r="J452" s="289"/>
      <c r="K452" s="290"/>
      <c r="L452" s="371" t="str">
        <f>HYPERLINK("[#]DatatypeListedValues!B2899:H2899","«enumeration»")</f>
        <v>«enumeration»</v>
      </c>
      <c r="M452" s="287" t="s">
        <v>6582</v>
      </c>
      <c r="N452" s="291" t="b">
        <v>0</v>
      </c>
      <c r="O452" s="286"/>
      <c r="P452" s="292"/>
      <c r="Q452" s="286"/>
      <c r="R452" s="286"/>
      <c r="S452" s="293"/>
      <c r="T452" s="294"/>
      <c r="U452" s="37">
        <v>1191</v>
      </c>
      <c r="V452" s="36" t="str">
        <f>CONCATENATE(Cover!$D$6,"fdd/view?i=",U452)</f>
        <v>https://www.dgiwg.org/FAD/fdd/view?i=1191</v>
      </c>
      <c r="W452" s="172"/>
      <c r="X452" s="172"/>
      <c r="Y452" s="172"/>
    </row>
    <row r="453" spans="1:25" ht="2.1" customHeight="1" x14ac:dyDescent="0.2">
      <c r="A453" s="295"/>
      <c r="B453" s="283"/>
      <c r="C453" s="296"/>
      <c r="D453" s="283"/>
      <c r="E453" s="296"/>
      <c r="F453" s="297"/>
      <c r="G453" s="297"/>
      <c r="H453" s="297"/>
      <c r="I453" s="298"/>
      <c r="J453" s="304"/>
      <c r="K453" s="300"/>
      <c r="L453" s="301"/>
      <c r="M453" s="297" t="s">
        <v>6582</v>
      </c>
      <c r="N453" s="297"/>
      <c r="O453" s="297"/>
      <c r="P453" s="297"/>
      <c r="Q453" s="297"/>
      <c r="R453" s="297"/>
      <c r="S453" s="302"/>
      <c r="T453" s="302"/>
      <c r="U453" s="303"/>
    </row>
    <row r="454" spans="1:25" ht="25.5" x14ac:dyDescent="0.2">
      <c r="A454" s="212" t="str">
        <f>HYPERLINK(V454,B454)</f>
        <v>Si1Code</v>
      </c>
      <c r="B454" s="283" t="s">
        <v>8145</v>
      </c>
      <c r="C454" s="284" t="s">
        <v>15025</v>
      </c>
      <c r="D454" s="285"/>
      <c r="E454" s="286"/>
      <c r="F454" s="287" t="s">
        <v>15026</v>
      </c>
      <c r="G454" s="286"/>
      <c r="H454" s="286"/>
      <c r="I454" s="288"/>
      <c r="J454" s="289"/>
      <c r="K454" s="290"/>
      <c r="L454" s="371" t="str">
        <f>HYPERLINK("[#]DatatypeListedValues!B2904:H2904","«enumeration»")</f>
        <v>«enumeration»</v>
      </c>
      <c r="M454" s="287" t="s">
        <v>6582</v>
      </c>
      <c r="N454" s="291" t="b">
        <v>0</v>
      </c>
      <c r="O454" s="286"/>
      <c r="P454" s="292"/>
      <c r="Q454" s="286"/>
      <c r="R454" s="286"/>
      <c r="S454" s="293"/>
      <c r="T454" s="294"/>
      <c r="U454" s="37">
        <v>1912</v>
      </c>
      <c r="V454" s="36" t="str">
        <f>CONCATENATE(Cover!$D$6,"fdd/view?i=",U454)</f>
        <v>https://www.dgiwg.org/FAD/fdd/view?i=1912</v>
      </c>
      <c r="W454" s="172"/>
      <c r="X454" s="172"/>
      <c r="Y454" s="172"/>
    </row>
    <row r="455" spans="1:25" ht="2.1" customHeight="1" x14ac:dyDescent="0.2">
      <c r="A455" s="295"/>
      <c r="B455" s="283"/>
      <c r="C455" s="296"/>
      <c r="D455" s="283"/>
      <c r="E455" s="296"/>
      <c r="F455" s="297"/>
      <c r="G455" s="297"/>
      <c r="H455" s="297"/>
      <c r="I455" s="298"/>
      <c r="J455" s="304"/>
      <c r="K455" s="300"/>
      <c r="L455" s="301"/>
      <c r="M455" s="297" t="s">
        <v>6582</v>
      </c>
      <c r="N455" s="297"/>
      <c r="O455" s="297"/>
      <c r="P455" s="297"/>
      <c r="Q455" s="297"/>
      <c r="R455" s="297"/>
      <c r="S455" s="302"/>
      <c r="T455" s="302"/>
      <c r="U455" s="303"/>
    </row>
    <row r="456" spans="1:25" ht="25.5" x14ac:dyDescent="0.2">
      <c r="A456" s="212" t="str">
        <f>HYPERLINK(V456,B456)</f>
        <v>DibCode</v>
      </c>
      <c r="B456" s="283" t="s">
        <v>8150</v>
      </c>
      <c r="C456" s="284" t="s">
        <v>15027</v>
      </c>
      <c r="D456" s="285"/>
      <c r="E456" s="286"/>
      <c r="F456" s="287" t="s">
        <v>15028</v>
      </c>
      <c r="G456" s="286"/>
      <c r="H456" s="286"/>
      <c r="I456" s="288"/>
      <c r="J456" s="289"/>
      <c r="K456" s="290"/>
      <c r="L456" s="371" t="str">
        <f>HYPERLINK("[#]DatatypeListedValues!B2907:H2907","«enumeration»")</f>
        <v>«enumeration»</v>
      </c>
      <c r="M456" s="287" t="s">
        <v>6582</v>
      </c>
      <c r="N456" s="291" t="b">
        <v>0</v>
      </c>
      <c r="O456" s="286"/>
      <c r="P456" s="292"/>
      <c r="Q456" s="286"/>
      <c r="R456" s="286"/>
      <c r="S456" s="293"/>
      <c r="T456" s="294"/>
      <c r="U456" s="37">
        <v>118178</v>
      </c>
      <c r="V456" s="36" t="str">
        <f>CONCATENATE(Cover!$D$6,"fdd/view?i=",U456)</f>
        <v>https://www.dgiwg.org/FAD/fdd/view?i=118178</v>
      </c>
      <c r="W456" s="172"/>
      <c r="X456" s="172"/>
      <c r="Y456" s="172"/>
    </row>
    <row r="457" spans="1:25" ht="2.1" customHeight="1" x14ac:dyDescent="0.2">
      <c r="A457" s="295"/>
      <c r="B457" s="283"/>
      <c r="C457" s="296"/>
      <c r="D457" s="283"/>
      <c r="E457" s="296"/>
      <c r="F457" s="297"/>
      <c r="G457" s="297"/>
      <c r="H457" s="297"/>
      <c r="I457" s="298"/>
      <c r="J457" s="304"/>
      <c r="K457" s="300"/>
      <c r="L457" s="301"/>
      <c r="M457" s="297" t="s">
        <v>6582</v>
      </c>
      <c r="N457" s="297"/>
      <c r="O457" s="297"/>
      <c r="P457" s="297"/>
      <c r="Q457" s="297"/>
      <c r="R457" s="297"/>
      <c r="S457" s="302"/>
      <c r="T457" s="302"/>
      <c r="U457" s="303"/>
    </row>
    <row r="458" spans="1:25" ht="25.5" x14ac:dyDescent="0.2">
      <c r="A458" s="212" t="str">
        <f>HYPERLINK(V458,B458)</f>
        <v>DicCode</v>
      </c>
      <c r="B458" s="283" t="s">
        <v>8156</v>
      </c>
      <c r="C458" s="284" t="s">
        <v>15029</v>
      </c>
      <c r="D458" s="285"/>
      <c r="E458" s="286"/>
      <c r="F458" s="287" t="s">
        <v>15030</v>
      </c>
      <c r="G458" s="286"/>
      <c r="H458" s="286"/>
      <c r="I458" s="288"/>
      <c r="J458" s="289"/>
      <c r="K458" s="290"/>
      <c r="L458" s="371" t="str">
        <f>HYPERLINK("[#]DatatypeListedValues!B2926:H2926","«enumeration»")</f>
        <v>«enumeration»</v>
      </c>
      <c r="M458" s="287" t="s">
        <v>6582</v>
      </c>
      <c r="N458" s="291" t="b">
        <v>0</v>
      </c>
      <c r="O458" s="286"/>
      <c r="P458" s="292"/>
      <c r="Q458" s="286"/>
      <c r="R458" s="286"/>
      <c r="S458" s="293"/>
      <c r="T458" s="294"/>
      <c r="U458" s="37">
        <v>118179</v>
      </c>
      <c r="V458" s="36" t="str">
        <f>CONCATENATE(Cover!$D$6,"fdd/view?i=",U458)</f>
        <v>https://www.dgiwg.org/FAD/fdd/view?i=118179</v>
      </c>
      <c r="W458" s="172"/>
      <c r="X458" s="172"/>
      <c r="Y458" s="172"/>
    </row>
    <row r="459" spans="1:25" ht="2.1" customHeight="1" x14ac:dyDescent="0.2">
      <c r="A459" s="295"/>
      <c r="B459" s="283"/>
      <c r="C459" s="296"/>
      <c r="D459" s="283"/>
      <c r="E459" s="296"/>
      <c r="F459" s="297"/>
      <c r="G459" s="297"/>
      <c r="H459" s="297"/>
      <c r="I459" s="298"/>
      <c r="J459" s="304"/>
      <c r="K459" s="300"/>
      <c r="L459" s="301"/>
      <c r="M459" s="297" t="s">
        <v>6582</v>
      </c>
      <c r="N459" s="297"/>
      <c r="O459" s="297"/>
      <c r="P459" s="297"/>
      <c r="Q459" s="297"/>
      <c r="R459" s="297"/>
      <c r="S459" s="302"/>
      <c r="T459" s="302"/>
      <c r="U459" s="303"/>
    </row>
    <row r="460" spans="1:25" ht="38.25" x14ac:dyDescent="0.2">
      <c r="A460" s="212" t="str">
        <f>HYPERLINK(V460,B460)</f>
        <v>DtcCode</v>
      </c>
      <c r="B460" s="283" t="s">
        <v>8175</v>
      </c>
      <c r="C460" s="284" t="s">
        <v>15031</v>
      </c>
      <c r="D460" s="285"/>
      <c r="E460" s="286"/>
      <c r="F460" s="287" t="s">
        <v>15032</v>
      </c>
      <c r="G460" s="286"/>
      <c r="H460" s="286"/>
      <c r="I460" s="288"/>
      <c r="J460" s="289"/>
      <c r="K460" s="290"/>
      <c r="L460" s="371" t="str">
        <f>HYPERLINK("[#]DatatypeListedValues!B2934:H2934","«enumeration»")</f>
        <v>«enumeration»</v>
      </c>
      <c r="M460" s="287" t="s">
        <v>6582</v>
      </c>
      <c r="N460" s="287" t="b">
        <v>1</v>
      </c>
      <c r="O460" s="286"/>
      <c r="P460" s="292"/>
      <c r="Q460" s="286"/>
      <c r="R460" s="286"/>
      <c r="S460" s="293"/>
      <c r="T460" s="294"/>
      <c r="U460" s="37">
        <v>117374</v>
      </c>
      <c r="V460" s="36" t="str">
        <f>CONCATENATE(Cover!$D$6,"fdd/view?i=",U460)</f>
        <v>https://www.dgiwg.org/FAD/fdd/view?i=117374</v>
      </c>
      <c r="W460" s="172"/>
      <c r="X460" s="172"/>
      <c r="Y460" s="172"/>
    </row>
    <row r="461" spans="1:25" ht="2.1" customHeight="1" x14ac:dyDescent="0.2">
      <c r="A461" s="295"/>
      <c r="B461" s="283"/>
      <c r="C461" s="296"/>
      <c r="D461" s="283"/>
      <c r="E461" s="296"/>
      <c r="F461" s="297"/>
      <c r="G461" s="297"/>
      <c r="H461" s="297"/>
      <c r="I461" s="298"/>
      <c r="J461" s="304"/>
      <c r="K461" s="300"/>
      <c r="L461" s="301"/>
      <c r="M461" s="297" t="s">
        <v>6582</v>
      </c>
      <c r="N461" s="297"/>
      <c r="O461" s="297"/>
      <c r="P461" s="297"/>
      <c r="Q461" s="297"/>
      <c r="R461" s="297"/>
      <c r="S461" s="302"/>
      <c r="T461" s="302"/>
      <c r="U461" s="303"/>
    </row>
    <row r="462" spans="1:25" ht="25.5" x14ac:dyDescent="0.2">
      <c r="A462" s="212" t="str">
        <f>HYPERLINK(V462,B462)</f>
        <v>DmxCode</v>
      </c>
      <c r="B462" s="283" t="s">
        <v>8185</v>
      </c>
      <c r="C462" s="284" t="s">
        <v>15033</v>
      </c>
      <c r="D462" s="285"/>
      <c r="E462" s="286"/>
      <c r="F462" s="287" t="s">
        <v>15034</v>
      </c>
      <c r="G462" s="286"/>
      <c r="H462" s="286"/>
      <c r="I462" s="288"/>
      <c r="J462" s="289"/>
      <c r="K462" s="290"/>
      <c r="L462" s="371" t="str">
        <f>HYPERLINK("[#]DatatypeListedValues!B3286:H3286","«enumeration»")</f>
        <v>«enumeration»</v>
      </c>
      <c r="M462" s="287" t="s">
        <v>6582</v>
      </c>
      <c r="N462" s="291" t="b">
        <v>0</v>
      </c>
      <c r="O462" s="286"/>
      <c r="P462" s="292"/>
      <c r="Q462" s="286"/>
      <c r="R462" s="286"/>
      <c r="S462" s="293"/>
      <c r="T462" s="294"/>
      <c r="U462" s="37">
        <v>117371</v>
      </c>
      <c r="V462" s="36" t="str">
        <f>CONCATENATE(Cover!$D$6,"fdd/view?i=",U462)</f>
        <v>https://www.dgiwg.org/FAD/fdd/view?i=117371</v>
      </c>
      <c r="W462" s="172"/>
      <c r="X462" s="172"/>
      <c r="Y462" s="172"/>
    </row>
    <row r="463" spans="1:25" ht="2.1" customHeight="1" x14ac:dyDescent="0.2">
      <c r="A463" s="295"/>
      <c r="B463" s="283"/>
      <c r="C463" s="296"/>
      <c r="D463" s="283"/>
      <c r="E463" s="296"/>
      <c r="F463" s="297"/>
      <c r="G463" s="297"/>
      <c r="H463" s="297"/>
      <c r="I463" s="298"/>
      <c r="J463" s="304"/>
      <c r="K463" s="300"/>
      <c r="L463" s="301"/>
      <c r="M463" s="297" t="s">
        <v>6582</v>
      </c>
      <c r="N463" s="297"/>
      <c r="O463" s="297"/>
      <c r="P463" s="297"/>
      <c r="Q463" s="297"/>
      <c r="R463" s="297"/>
      <c r="S463" s="302"/>
      <c r="T463" s="302"/>
      <c r="U463" s="303"/>
    </row>
    <row r="464" spans="1:25" ht="25.5" x14ac:dyDescent="0.2">
      <c r="A464" s="212" t="str">
        <f>HYPERLINK(V464,B464)</f>
        <v>DitCode</v>
      </c>
      <c r="B464" s="283" t="s">
        <v>8194</v>
      </c>
      <c r="C464" s="284" t="s">
        <v>15035</v>
      </c>
      <c r="D464" s="285"/>
      <c r="E464" s="286"/>
      <c r="F464" s="287" t="s">
        <v>15036</v>
      </c>
      <c r="G464" s="286"/>
      <c r="H464" s="286"/>
      <c r="I464" s="288"/>
      <c r="J464" s="289"/>
      <c r="K464" s="290"/>
      <c r="L464" s="371" t="str">
        <f>HYPERLINK("[#]DatatypeListedValues!B3289:H3289","«enumeration»")</f>
        <v>«enumeration»</v>
      </c>
      <c r="M464" s="287" t="s">
        <v>6582</v>
      </c>
      <c r="N464" s="291" t="b">
        <v>0</v>
      </c>
      <c r="O464" s="286"/>
      <c r="P464" s="292"/>
      <c r="Q464" s="286"/>
      <c r="R464" s="286"/>
      <c r="S464" s="293"/>
      <c r="T464" s="294"/>
      <c r="U464" s="37">
        <v>1813</v>
      </c>
      <c r="V464" s="36" t="str">
        <f>CONCATENATE(Cover!$D$6,"fdd/view?i=",U464)</f>
        <v>https://www.dgiwg.org/FAD/fdd/view?i=1813</v>
      </c>
      <c r="W464" s="172"/>
      <c r="X464" s="172"/>
      <c r="Y464" s="172"/>
    </row>
    <row r="465" spans="1:25" ht="2.1" customHeight="1" x14ac:dyDescent="0.2">
      <c r="A465" s="295"/>
      <c r="B465" s="283"/>
      <c r="C465" s="296"/>
      <c r="D465" s="283"/>
      <c r="E465" s="296"/>
      <c r="F465" s="297"/>
      <c r="G465" s="297"/>
      <c r="H465" s="297"/>
      <c r="I465" s="298"/>
      <c r="J465" s="304"/>
      <c r="K465" s="300"/>
      <c r="L465" s="301"/>
      <c r="M465" s="297" t="s">
        <v>6582</v>
      </c>
      <c r="N465" s="297"/>
      <c r="O465" s="297"/>
      <c r="P465" s="297"/>
      <c r="Q465" s="297"/>
      <c r="R465" s="297"/>
      <c r="S465" s="302"/>
      <c r="T465" s="302"/>
      <c r="U465" s="303"/>
    </row>
    <row r="466" spans="1:25" ht="25.5" x14ac:dyDescent="0.2">
      <c r="A466" s="212" t="str">
        <f>HYPERLINK(V466,B466)</f>
        <v>DacCode</v>
      </c>
      <c r="B466" s="283" t="s">
        <v>8204</v>
      </c>
      <c r="C466" s="284" t="s">
        <v>15037</v>
      </c>
      <c r="D466" s="285"/>
      <c r="E466" s="286"/>
      <c r="F466" s="287" t="s">
        <v>15038</v>
      </c>
      <c r="G466" s="286"/>
      <c r="H466" s="286"/>
      <c r="I466" s="288"/>
      <c r="J466" s="289"/>
      <c r="K466" s="290"/>
      <c r="L466" s="371" t="str">
        <f>HYPERLINK("[#]DatatypeListedValues!B3292:H3292","«enumeration»")</f>
        <v>«enumeration»</v>
      </c>
      <c r="M466" s="287" t="s">
        <v>6582</v>
      </c>
      <c r="N466" s="291" t="b">
        <v>0</v>
      </c>
      <c r="O466" s="286"/>
      <c r="P466" s="292"/>
      <c r="Q466" s="286"/>
      <c r="R466" s="286"/>
      <c r="S466" s="293"/>
      <c r="T466" s="294"/>
      <c r="U466" s="37">
        <v>114492</v>
      </c>
      <c r="V466" s="36" t="str">
        <f>CONCATENATE(Cover!$D$6,"fdd/view?i=",U466)</f>
        <v>https://www.dgiwg.org/FAD/fdd/view?i=114492</v>
      </c>
      <c r="W466" s="172"/>
      <c r="X466" s="172"/>
      <c r="Y466" s="172"/>
    </row>
    <row r="467" spans="1:25" ht="2.1" customHeight="1" x14ac:dyDescent="0.2">
      <c r="A467" s="295"/>
      <c r="B467" s="283"/>
      <c r="C467" s="296"/>
      <c r="D467" s="283"/>
      <c r="E467" s="296"/>
      <c r="F467" s="297"/>
      <c r="G467" s="297"/>
      <c r="H467" s="297"/>
      <c r="I467" s="298"/>
      <c r="J467" s="304"/>
      <c r="K467" s="300"/>
      <c r="L467" s="301"/>
      <c r="M467" s="297" t="s">
        <v>6582</v>
      </c>
      <c r="N467" s="297"/>
      <c r="O467" s="297"/>
      <c r="P467" s="297"/>
      <c r="Q467" s="297"/>
      <c r="R467" s="297"/>
      <c r="S467" s="302"/>
      <c r="T467" s="302"/>
      <c r="U467" s="303"/>
    </row>
    <row r="468" spans="1:25" ht="25.5" x14ac:dyDescent="0.2">
      <c r="A468" s="212" t="str">
        <f>HYPERLINK(V468,B468)</f>
        <v>DtyCode</v>
      </c>
      <c r="B468" s="283" t="s">
        <v>8221</v>
      </c>
      <c r="C468" s="284" t="s">
        <v>15039</v>
      </c>
      <c r="D468" s="285"/>
      <c r="E468" s="286"/>
      <c r="F468" s="287" t="s">
        <v>15040</v>
      </c>
      <c r="G468" s="286"/>
      <c r="H468" s="286"/>
      <c r="I468" s="288"/>
      <c r="J468" s="289"/>
      <c r="K468" s="290"/>
      <c r="L468" s="371" t="str">
        <f>HYPERLINK("[#]DatatypeListedValues!B3295:H3295","«enumeration»")</f>
        <v>«enumeration»</v>
      </c>
      <c r="M468" s="287" t="s">
        <v>6582</v>
      </c>
      <c r="N468" s="291" t="b">
        <v>0</v>
      </c>
      <c r="O468" s="286"/>
      <c r="P468" s="292"/>
      <c r="Q468" s="286"/>
      <c r="R468" s="286"/>
      <c r="S468" s="293"/>
      <c r="T468" s="294"/>
      <c r="U468" s="37">
        <v>1607</v>
      </c>
      <c r="V468" s="36" t="str">
        <f>CONCATENATE(Cover!$D$6,"fdd/view?i=",U468)</f>
        <v>https://www.dgiwg.org/FAD/fdd/view?i=1607</v>
      </c>
      <c r="W468" s="172"/>
      <c r="X468" s="172"/>
      <c r="Y468" s="172"/>
    </row>
    <row r="469" spans="1:25" ht="2.1" customHeight="1" x14ac:dyDescent="0.2">
      <c r="A469" s="295"/>
      <c r="B469" s="283"/>
      <c r="C469" s="296"/>
      <c r="D469" s="283"/>
      <c r="E469" s="296"/>
      <c r="F469" s="297"/>
      <c r="G469" s="297"/>
      <c r="H469" s="297"/>
      <c r="I469" s="298"/>
      <c r="J469" s="304"/>
      <c r="K469" s="300"/>
      <c r="L469" s="301"/>
      <c r="M469" s="297" t="s">
        <v>6582</v>
      </c>
      <c r="N469" s="297"/>
      <c r="O469" s="297"/>
      <c r="P469" s="297"/>
      <c r="Q469" s="297"/>
      <c r="R469" s="297"/>
      <c r="S469" s="302"/>
      <c r="T469" s="302"/>
      <c r="U469" s="303"/>
    </row>
    <row r="470" spans="1:25" ht="25.5" x14ac:dyDescent="0.2">
      <c r="A470" s="212" t="str">
        <f>HYPERLINK(V470,B470)</f>
        <v>DstCode</v>
      </c>
      <c r="B470" s="283" t="s">
        <v>8226</v>
      </c>
      <c r="C470" s="284" t="s">
        <v>15041</v>
      </c>
      <c r="D470" s="285"/>
      <c r="E470" s="286"/>
      <c r="F470" s="287" t="s">
        <v>15042</v>
      </c>
      <c r="G470" s="286"/>
      <c r="H470" s="286"/>
      <c r="I470" s="288"/>
      <c r="J470" s="289"/>
      <c r="K470" s="290"/>
      <c r="L470" s="371" t="str">
        <f>HYPERLINK("[#]DatatypeListedValues!B3298:H3298","«enumeration»")</f>
        <v>«enumeration»</v>
      </c>
      <c r="M470" s="287" t="s">
        <v>6582</v>
      </c>
      <c r="N470" s="291" t="b">
        <v>0</v>
      </c>
      <c r="O470" s="286"/>
      <c r="P470" s="292"/>
      <c r="Q470" s="286"/>
      <c r="R470" s="286"/>
      <c r="S470" s="293"/>
      <c r="T470" s="294"/>
      <c r="U470" s="37">
        <v>119658</v>
      </c>
      <c r="V470" s="36" t="str">
        <f>CONCATENATE(Cover!$D$6,"fdd/view?i=",U470)</f>
        <v>https://www.dgiwg.org/FAD/fdd/view?i=119658</v>
      </c>
      <c r="W470" s="172"/>
      <c r="X470" s="172"/>
      <c r="Y470" s="172"/>
    </row>
    <row r="471" spans="1:25" ht="2.1" customHeight="1" x14ac:dyDescent="0.2">
      <c r="A471" s="295"/>
      <c r="B471" s="283"/>
      <c r="C471" s="296"/>
      <c r="D471" s="283"/>
      <c r="E471" s="296"/>
      <c r="F471" s="297"/>
      <c r="G471" s="297"/>
      <c r="H471" s="297"/>
      <c r="I471" s="298"/>
      <c r="J471" s="304"/>
      <c r="K471" s="300"/>
      <c r="L471" s="301"/>
      <c r="M471" s="297" t="s">
        <v>6582</v>
      </c>
      <c r="N471" s="297"/>
      <c r="O471" s="297"/>
      <c r="P471" s="297"/>
      <c r="Q471" s="297"/>
      <c r="R471" s="297"/>
      <c r="S471" s="302"/>
      <c r="T471" s="302"/>
      <c r="U471" s="303"/>
    </row>
    <row r="472" spans="1:25" ht="25.5" x14ac:dyDescent="0.2">
      <c r="A472" s="212" t="str">
        <f>HYPERLINK(V472,B472)</f>
        <v>DrtCode</v>
      </c>
      <c r="B472" s="283" t="s">
        <v>8241</v>
      </c>
      <c r="C472" s="284" t="s">
        <v>15043</v>
      </c>
      <c r="D472" s="285"/>
      <c r="E472" s="286"/>
      <c r="F472" s="287" t="s">
        <v>15044</v>
      </c>
      <c r="G472" s="286"/>
      <c r="H472" s="286"/>
      <c r="I472" s="288"/>
      <c r="J472" s="289"/>
      <c r="K472" s="290"/>
      <c r="L472" s="371" t="str">
        <f>HYPERLINK("[#]DatatypeListedValues!B3302:H3302","«enumeration»")</f>
        <v>«enumeration»</v>
      </c>
      <c r="M472" s="287" t="s">
        <v>6582</v>
      </c>
      <c r="N472" s="291" t="b">
        <v>0</v>
      </c>
      <c r="O472" s="286"/>
      <c r="P472" s="292"/>
      <c r="Q472" s="286"/>
      <c r="R472" s="286"/>
      <c r="S472" s="293"/>
      <c r="T472" s="294"/>
      <c r="U472" s="37">
        <v>1195</v>
      </c>
      <c r="V472" s="36" t="str">
        <f>CONCATENATE(Cover!$D$6,"fdd/view?i=",U472)</f>
        <v>https://www.dgiwg.org/FAD/fdd/view?i=1195</v>
      </c>
      <c r="W472" s="172"/>
      <c r="X472" s="172"/>
      <c r="Y472" s="172"/>
    </row>
    <row r="473" spans="1:25" ht="2.1" customHeight="1" x14ac:dyDescent="0.2">
      <c r="A473" s="295"/>
      <c r="B473" s="283"/>
      <c r="C473" s="296"/>
      <c r="D473" s="283"/>
      <c r="E473" s="296"/>
      <c r="F473" s="297"/>
      <c r="G473" s="297"/>
      <c r="H473" s="297"/>
      <c r="I473" s="298"/>
      <c r="J473" s="304"/>
      <c r="K473" s="300"/>
      <c r="L473" s="301"/>
      <c r="M473" s="297" t="s">
        <v>6582</v>
      </c>
      <c r="N473" s="297"/>
      <c r="O473" s="297"/>
      <c r="P473" s="297"/>
      <c r="Q473" s="297"/>
      <c r="R473" s="297"/>
      <c r="S473" s="302"/>
      <c r="T473" s="302"/>
      <c r="U473" s="303"/>
    </row>
    <row r="474" spans="1:25" ht="25.5" x14ac:dyDescent="0.2">
      <c r="A474" s="212" t="str">
        <f>HYPERLINK(V474,B474)</f>
        <v>WfcCode</v>
      </c>
      <c r="B474" s="283" t="s">
        <v>8250</v>
      </c>
      <c r="C474" s="284" t="s">
        <v>15045</v>
      </c>
      <c r="D474" s="285"/>
      <c r="E474" s="286"/>
      <c r="F474" s="287" t="s">
        <v>15046</v>
      </c>
      <c r="G474" s="286"/>
      <c r="H474" s="286"/>
      <c r="I474" s="288"/>
      <c r="J474" s="289"/>
      <c r="K474" s="290"/>
      <c r="L474" s="371" t="str">
        <f>HYPERLINK("[#]DatatypeListedValues!B3307:H3307","«enumeration»")</f>
        <v>«enumeration»</v>
      </c>
      <c r="M474" s="287" t="s">
        <v>6582</v>
      </c>
      <c r="N474" s="291" t="b">
        <v>0</v>
      </c>
      <c r="O474" s="286"/>
      <c r="P474" s="292"/>
      <c r="Q474" s="286"/>
      <c r="R474" s="286"/>
      <c r="S474" s="293"/>
      <c r="T474" s="294"/>
      <c r="U474" s="37">
        <v>3881</v>
      </c>
      <c r="V474" s="36" t="str">
        <f>CONCATENATE(Cover!$D$6,"fdd/view?i=",U474)</f>
        <v>https://www.dgiwg.org/FAD/fdd/view?i=3881</v>
      </c>
      <c r="W474" s="172"/>
      <c r="X474" s="172"/>
      <c r="Y474" s="172"/>
    </row>
    <row r="475" spans="1:25" ht="2.1" customHeight="1" x14ac:dyDescent="0.2">
      <c r="A475" s="295"/>
      <c r="B475" s="283"/>
      <c r="C475" s="296"/>
      <c r="D475" s="283"/>
      <c r="E475" s="296"/>
      <c r="F475" s="297"/>
      <c r="G475" s="297"/>
      <c r="H475" s="297"/>
      <c r="I475" s="298"/>
      <c r="J475" s="304"/>
      <c r="K475" s="300"/>
      <c r="L475" s="301"/>
      <c r="M475" s="297" t="s">
        <v>6582</v>
      </c>
      <c r="N475" s="297"/>
      <c r="O475" s="297"/>
      <c r="P475" s="297"/>
      <c r="Q475" s="297"/>
      <c r="R475" s="297"/>
      <c r="S475" s="302"/>
      <c r="T475" s="302"/>
      <c r="U475" s="303"/>
    </row>
    <row r="476" spans="1:25" ht="25.5" x14ac:dyDescent="0.2">
      <c r="A476" s="212" t="str">
        <f>HYPERLINK(V476,B476)</f>
        <v>DpgCode</v>
      </c>
      <c r="B476" s="283" t="s">
        <v>8255</v>
      </c>
      <c r="C476" s="284" t="s">
        <v>15047</v>
      </c>
      <c r="D476" s="285"/>
      <c r="E476" s="286"/>
      <c r="F476" s="287" t="s">
        <v>15048</v>
      </c>
      <c r="G476" s="286"/>
      <c r="H476" s="286"/>
      <c r="I476" s="288"/>
      <c r="J476" s="289"/>
      <c r="K476" s="290"/>
      <c r="L476" s="371" t="str">
        <f>HYPERLINK("[#]DatatypeListedValues!B3309:H3309","«enumeration»")</f>
        <v>«enumeration»</v>
      </c>
      <c r="M476" s="287" t="s">
        <v>6582</v>
      </c>
      <c r="N476" s="291" t="b">
        <v>0</v>
      </c>
      <c r="O476" s="286"/>
      <c r="P476" s="292"/>
      <c r="Q476" s="286"/>
      <c r="R476" s="286"/>
      <c r="S476" s="293"/>
      <c r="T476" s="294"/>
      <c r="U476" s="37">
        <v>1613</v>
      </c>
      <c r="V476" s="36" t="str">
        <f>CONCATENATE(Cover!$D$6,"fdd/view?i=",U476)</f>
        <v>https://www.dgiwg.org/FAD/fdd/view?i=1613</v>
      </c>
      <c r="W476" s="172"/>
      <c r="X476" s="172"/>
      <c r="Y476" s="172"/>
    </row>
    <row r="477" spans="1:25" ht="2.1" customHeight="1" x14ac:dyDescent="0.2">
      <c r="A477" s="295"/>
      <c r="B477" s="283"/>
      <c r="C477" s="296"/>
      <c r="D477" s="283"/>
      <c r="E477" s="296"/>
      <c r="F477" s="297"/>
      <c r="G477" s="297"/>
      <c r="H477" s="297"/>
      <c r="I477" s="298"/>
      <c r="J477" s="304"/>
      <c r="K477" s="300"/>
      <c r="L477" s="301"/>
      <c r="M477" s="297" t="s">
        <v>6582</v>
      </c>
      <c r="N477" s="297"/>
      <c r="O477" s="297"/>
      <c r="P477" s="297"/>
      <c r="Q477" s="297"/>
      <c r="R477" s="297"/>
      <c r="S477" s="302"/>
      <c r="T477" s="302"/>
      <c r="U477" s="303"/>
    </row>
    <row r="478" spans="1:25" ht="38.25" x14ac:dyDescent="0.2">
      <c r="A478" s="212" t="str">
        <f>HYPERLINK(V478,B478)</f>
        <v>DupStrucText</v>
      </c>
      <c r="B478" s="283" t="s">
        <v>8262</v>
      </c>
      <c r="C478" s="284" t="s">
        <v>15049</v>
      </c>
      <c r="D478" s="285"/>
      <c r="E478" s="286"/>
      <c r="F478" s="287" t="s">
        <v>15050</v>
      </c>
      <c r="G478" s="286"/>
      <c r="H478" s="287" t="s">
        <v>14552</v>
      </c>
      <c r="I478" s="288"/>
      <c r="J478" s="289"/>
      <c r="K478" s="290"/>
      <c r="L478" s="287" t="s">
        <v>14551</v>
      </c>
      <c r="M478" s="287" t="s">
        <v>6582</v>
      </c>
      <c r="N478" s="286"/>
      <c r="O478" s="287">
        <v>10</v>
      </c>
      <c r="P478" s="305" t="b">
        <v>0</v>
      </c>
      <c r="Q478" s="287" t="s">
        <v>14880</v>
      </c>
      <c r="R478" s="286"/>
      <c r="S478" s="293"/>
      <c r="T478" s="294"/>
      <c r="U478" s="37">
        <v>117443</v>
      </c>
      <c r="V478" s="36" t="str">
        <f>CONCATENATE(Cover!$D$6,"fdd/view?i=",U478)</f>
        <v>https://www.dgiwg.org/FAD/fdd/view?i=117443</v>
      </c>
      <c r="W478" s="172"/>
      <c r="X478" s="172"/>
      <c r="Y478" s="172"/>
    </row>
    <row r="479" spans="1:25" ht="2.1" customHeight="1" x14ac:dyDescent="0.2">
      <c r="A479" s="295"/>
      <c r="B479" s="283"/>
      <c r="C479" s="296"/>
      <c r="D479" s="283"/>
      <c r="E479" s="296"/>
      <c r="F479" s="297"/>
      <c r="G479" s="297"/>
      <c r="H479" s="297"/>
      <c r="I479" s="298"/>
      <c r="J479" s="304"/>
      <c r="K479" s="300"/>
      <c r="L479" s="301"/>
      <c r="M479" s="297" t="s">
        <v>6582</v>
      </c>
      <c r="N479" s="297"/>
      <c r="O479" s="297"/>
      <c r="P479" s="297"/>
      <c r="Q479" s="297"/>
      <c r="R479" s="297"/>
      <c r="S479" s="302"/>
      <c r="T479" s="302"/>
      <c r="U479" s="303"/>
    </row>
    <row r="480" spans="1:25" ht="25.5" x14ac:dyDescent="0.2">
      <c r="A480" s="212" t="str">
        <f>HYPERLINK(V480,B480)</f>
        <v>DdcCode</v>
      </c>
      <c r="B480" s="283" t="s">
        <v>8267</v>
      </c>
      <c r="C480" s="284" t="s">
        <v>15051</v>
      </c>
      <c r="D480" s="285"/>
      <c r="E480" s="286"/>
      <c r="F480" s="287" t="s">
        <v>15052</v>
      </c>
      <c r="G480" s="286"/>
      <c r="H480" s="286"/>
      <c r="I480" s="288"/>
      <c r="J480" s="289"/>
      <c r="K480" s="290"/>
      <c r="L480" s="371" t="str">
        <f>HYPERLINK("[#]DatatypeListedValues!B3315:H3315","«enumeration»")</f>
        <v>«enumeration»</v>
      </c>
      <c r="M480" s="287" t="s">
        <v>6582</v>
      </c>
      <c r="N480" s="291" t="b">
        <v>0</v>
      </c>
      <c r="O480" s="286"/>
      <c r="P480" s="292"/>
      <c r="Q480" s="286"/>
      <c r="R480" s="286"/>
      <c r="S480" s="293"/>
      <c r="T480" s="294"/>
      <c r="U480" s="37">
        <v>1187</v>
      </c>
      <c r="V480" s="36" t="str">
        <f>CONCATENATE(Cover!$D$6,"fdd/view?i=",U480)</f>
        <v>https://www.dgiwg.org/FAD/fdd/view?i=1187</v>
      </c>
      <c r="W480" s="172"/>
      <c r="X480" s="172"/>
      <c r="Y480" s="172"/>
    </row>
    <row r="481" spans="1:25" ht="2.1" customHeight="1" x14ac:dyDescent="0.2">
      <c r="A481" s="295"/>
      <c r="B481" s="283"/>
      <c r="C481" s="296"/>
      <c r="D481" s="283"/>
      <c r="E481" s="296"/>
      <c r="F481" s="297"/>
      <c r="G481" s="297"/>
      <c r="H481" s="297"/>
      <c r="I481" s="298"/>
      <c r="J481" s="304"/>
      <c r="K481" s="300"/>
      <c r="L481" s="301"/>
      <c r="M481" s="297" t="s">
        <v>6582</v>
      </c>
      <c r="N481" s="297"/>
      <c r="O481" s="297"/>
      <c r="P481" s="297"/>
      <c r="Q481" s="297"/>
      <c r="R481" s="297"/>
      <c r="S481" s="302"/>
      <c r="T481" s="302"/>
      <c r="U481" s="303"/>
    </row>
    <row r="482" spans="1:25" ht="178.5" x14ac:dyDescent="0.2">
      <c r="A482" s="212" t="str">
        <f>HYPERLINK(V482,B482)</f>
        <v>YmdStrucText</v>
      </c>
      <c r="B482" s="283" t="s">
        <v>8278</v>
      </c>
      <c r="C482" s="284" t="s">
        <v>15053</v>
      </c>
      <c r="D482" s="285"/>
      <c r="E482" s="286"/>
      <c r="F482" s="287" t="s">
        <v>15054</v>
      </c>
      <c r="G482" s="286"/>
      <c r="H482" s="287" t="s">
        <v>14552</v>
      </c>
      <c r="I482" s="288"/>
      <c r="J482" s="289"/>
      <c r="K482" s="290"/>
      <c r="L482" s="287" t="s">
        <v>14551</v>
      </c>
      <c r="M482" s="287" t="s">
        <v>6582</v>
      </c>
      <c r="N482" s="286"/>
      <c r="O482" s="287">
        <v>20</v>
      </c>
      <c r="P482" s="305" t="b">
        <v>0</v>
      </c>
      <c r="Q482" s="287" t="s">
        <v>14553</v>
      </c>
      <c r="R482" s="286"/>
      <c r="S482" s="293"/>
      <c r="T482" s="294"/>
      <c r="U482" s="37">
        <v>119630</v>
      </c>
      <c r="V482" s="36" t="str">
        <f>CONCATENATE(Cover!$D$6,"fdd/view?i=",U482)</f>
        <v>https://www.dgiwg.org/FAD/fdd/view?i=119630</v>
      </c>
      <c r="W482" s="172"/>
      <c r="X482" s="172"/>
      <c r="Y482" s="172"/>
    </row>
    <row r="483" spans="1:25" ht="2.1" customHeight="1" x14ac:dyDescent="0.2">
      <c r="A483" s="295"/>
      <c r="B483" s="283"/>
      <c r="C483" s="296"/>
      <c r="D483" s="283"/>
      <c r="E483" s="296"/>
      <c r="F483" s="297"/>
      <c r="G483" s="297"/>
      <c r="H483" s="297"/>
      <c r="I483" s="298"/>
      <c r="J483" s="304"/>
      <c r="K483" s="300"/>
      <c r="L483" s="301"/>
      <c r="M483" s="297" t="s">
        <v>6582</v>
      </c>
      <c r="N483" s="297"/>
      <c r="O483" s="297"/>
      <c r="P483" s="297"/>
      <c r="Q483" s="297"/>
      <c r="R483" s="297"/>
      <c r="S483" s="302"/>
      <c r="T483" s="302"/>
      <c r="U483" s="303"/>
    </row>
    <row r="484" spans="1:25" ht="25.5" x14ac:dyDescent="0.2">
      <c r="A484" s="212" t="str">
        <f>HYPERLINK(V484,B484)</f>
        <v>Es1Code</v>
      </c>
      <c r="B484" s="283" t="s">
        <v>8283</v>
      </c>
      <c r="C484" s="284" t="s">
        <v>15055</v>
      </c>
      <c r="D484" s="285"/>
      <c r="E484" s="286"/>
      <c r="F484" s="287" t="s">
        <v>15056</v>
      </c>
      <c r="G484" s="286"/>
      <c r="H484" s="286"/>
      <c r="I484" s="288"/>
      <c r="J484" s="289"/>
      <c r="K484" s="290"/>
      <c r="L484" s="371" t="str">
        <f>HYPERLINK("[#]DatatypeListedValues!B3329:H3329","«enumeration»")</f>
        <v>«enumeration»</v>
      </c>
      <c r="M484" s="287" t="s">
        <v>6582</v>
      </c>
      <c r="N484" s="291" t="b">
        <v>0</v>
      </c>
      <c r="O484" s="286"/>
      <c r="P484" s="292"/>
      <c r="Q484" s="286"/>
      <c r="R484" s="286"/>
      <c r="S484" s="293"/>
      <c r="T484" s="294"/>
      <c r="U484" s="37">
        <v>1824</v>
      </c>
      <c r="V484" s="36" t="str">
        <f>CONCATENATE(Cover!$D$6,"fdd/view?i=",U484)</f>
        <v>https://www.dgiwg.org/FAD/fdd/view?i=1824</v>
      </c>
      <c r="W484" s="172"/>
      <c r="X484" s="172"/>
      <c r="Y484" s="172"/>
    </row>
    <row r="485" spans="1:25" ht="2.1" customHeight="1" x14ac:dyDescent="0.2">
      <c r="A485" s="295"/>
      <c r="B485" s="283"/>
      <c r="C485" s="296"/>
      <c r="D485" s="283"/>
      <c r="E485" s="296"/>
      <c r="F485" s="297"/>
      <c r="G485" s="297"/>
      <c r="H485" s="297"/>
      <c r="I485" s="298"/>
      <c r="J485" s="304"/>
      <c r="K485" s="300"/>
      <c r="L485" s="301"/>
      <c r="M485" s="297" t="s">
        <v>6582</v>
      </c>
      <c r="N485" s="297"/>
      <c r="O485" s="297"/>
      <c r="P485" s="297"/>
      <c r="Q485" s="297"/>
      <c r="R485" s="297"/>
      <c r="S485" s="302"/>
      <c r="T485" s="302"/>
      <c r="U485" s="303"/>
    </row>
    <row r="486" spans="1:25" ht="25.5" x14ac:dyDescent="0.2">
      <c r="A486" s="212" t="str">
        <f>HYPERLINK(V486,B486)</f>
        <v>EmtCode</v>
      </c>
      <c r="B486" s="283" t="s">
        <v>8306</v>
      </c>
      <c r="C486" s="284" t="s">
        <v>15057</v>
      </c>
      <c r="D486" s="285"/>
      <c r="E486" s="286"/>
      <c r="F486" s="287" t="s">
        <v>15058</v>
      </c>
      <c r="G486" s="286"/>
      <c r="H486" s="286"/>
      <c r="I486" s="288"/>
      <c r="J486" s="289"/>
      <c r="K486" s="290"/>
      <c r="L486" s="371" t="str">
        <f>HYPERLINK("[#]DatatypeListedValues!B3337:H3337","«enumeration»")</f>
        <v>«enumeration»</v>
      </c>
      <c r="M486" s="287" t="s">
        <v>6582</v>
      </c>
      <c r="N486" s="291" t="b">
        <v>0</v>
      </c>
      <c r="O486" s="286"/>
      <c r="P486" s="292"/>
      <c r="Q486" s="286"/>
      <c r="R486" s="286"/>
      <c r="S486" s="293"/>
      <c r="T486" s="294"/>
      <c r="U486" s="37">
        <v>118633</v>
      </c>
      <c r="V486" s="36" t="str">
        <f>CONCATENATE(Cover!$D$6,"fdd/view?i=",U486)</f>
        <v>https://www.dgiwg.org/FAD/fdd/view?i=118633</v>
      </c>
      <c r="W486" s="172"/>
      <c r="X486" s="172"/>
      <c r="Y486" s="172"/>
    </row>
    <row r="487" spans="1:25" ht="2.1" customHeight="1" x14ac:dyDescent="0.2">
      <c r="A487" s="295"/>
      <c r="B487" s="283"/>
      <c r="C487" s="296"/>
      <c r="D487" s="283"/>
      <c r="E487" s="296"/>
      <c r="F487" s="297"/>
      <c r="G487" s="297"/>
      <c r="H487" s="297"/>
      <c r="I487" s="298"/>
      <c r="J487" s="304"/>
      <c r="K487" s="300"/>
      <c r="L487" s="301"/>
      <c r="M487" s="297" t="s">
        <v>6582</v>
      </c>
      <c r="N487" s="297"/>
      <c r="O487" s="297"/>
      <c r="P487" s="297"/>
      <c r="Q487" s="297"/>
      <c r="R487" s="297"/>
      <c r="S487" s="302"/>
      <c r="T487" s="302"/>
      <c r="U487" s="303"/>
    </row>
    <row r="488" spans="1:25" ht="25.5" x14ac:dyDescent="0.2">
      <c r="A488" s="212" t="str">
        <f>HYPERLINK(V488,B488)</f>
        <v>Ed1Code</v>
      </c>
      <c r="B488" s="283" t="s">
        <v>8312</v>
      </c>
      <c r="C488" s="284" t="s">
        <v>15059</v>
      </c>
      <c r="D488" s="285"/>
      <c r="E488" s="286"/>
      <c r="F488" s="287" t="s">
        <v>15060</v>
      </c>
      <c r="G488" s="286"/>
      <c r="H488" s="286"/>
      <c r="I488" s="288"/>
      <c r="J488" s="289"/>
      <c r="K488" s="290"/>
      <c r="L488" s="371" t="str">
        <f>HYPERLINK("[#]DatatypeListedValues!B3345:H3345","«enumeration»")</f>
        <v>«enumeration»</v>
      </c>
      <c r="M488" s="287" t="s">
        <v>6582</v>
      </c>
      <c r="N488" s="291" t="b">
        <v>0</v>
      </c>
      <c r="O488" s="286"/>
      <c r="P488" s="292"/>
      <c r="Q488" s="286"/>
      <c r="R488" s="286"/>
      <c r="S488" s="293"/>
      <c r="T488" s="294"/>
      <c r="U488" s="37">
        <v>1818</v>
      </c>
      <c r="V488" s="36" t="str">
        <f>CONCATENATE(Cover!$D$6,"fdd/view?i=",U488)</f>
        <v>https://www.dgiwg.org/FAD/fdd/view?i=1818</v>
      </c>
      <c r="W488" s="172"/>
      <c r="X488" s="172"/>
      <c r="Y488" s="172"/>
    </row>
    <row r="489" spans="1:25" ht="2.1" customHeight="1" x14ac:dyDescent="0.2">
      <c r="A489" s="295"/>
      <c r="B489" s="283"/>
      <c r="C489" s="296"/>
      <c r="D489" s="283"/>
      <c r="E489" s="296"/>
      <c r="F489" s="297"/>
      <c r="G489" s="297"/>
      <c r="H489" s="297"/>
      <c r="I489" s="298"/>
      <c r="J489" s="304"/>
      <c r="K489" s="300"/>
      <c r="L489" s="301"/>
      <c r="M489" s="297" t="s">
        <v>6582</v>
      </c>
      <c r="N489" s="297"/>
      <c r="O489" s="297"/>
      <c r="P489" s="297"/>
      <c r="Q489" s="297"/>
      <c r="R489" s="297"/>
      <c r="S489" s="302"/>
      <c r="T489" s="302"/>
      <c r="U489" s="303"/>
    </row>
    <row r="490" spans="1:25" ht="25.5" x14ac:dyDescent="0.2">
      <c r="A490" s="212" t="str">
        <f>HYPERLINK(V490,B490)</f>
        <v>ErbCode</v>
      </c>
      <c r="B490" s="283" t="s">
        <v>8318</v>
      </c>
      <c r="C490" s="284" t="s">
        <v>15061</v>
      </c>
      <c r="D490" s="285"/>
      <c r="E490" s="286"/>
      <c r="F490" s="287" t="s">
        <v>15062</v>
      </c>
      <c r="G490" s="286"/>
      <c r="H490" s="286"/>
      <c r="I490" s="288"/>
      <c r="J490" s="289"/>
      <c r="K490" s="290"/>
      <c r="L490" s="371" t="str">
        <f>HYPERLINK("[#]DatatypeListedValues!B3349:H3349","«enumeration»")</f>
        <v>«enumeration»</v>
      </c>
      <c r="M490" s="287" t="s">
        <v>6582</v>
      </c>
      <c r="N490" s="291" t="b">
        <v>0</v>
      </c>
      <c r="O490" s="286"/>
      <c r="P490" s="292"/>
      <c r="Q490" s="286"/>
      <c r="R490" s="286"/>
      <c r="S490" s="293"/>
      <c r="T490" s="294"/>
      <c r="U490" s="37">
        <v>1822</v>
      </c>
      <c r="V490" s="36" t="str">
        <f>CONCATENATE(Cover!$D$6,"fdd/view?i=",U490)</f>
        <v>https://www.dgiwg.org/FAD/fdd/view?i=1822</v>
      </c>
      <c r="W490" s="172"/>
      <c r="X490" s="172"/>
      <c r="Y490" s="172"/>
    </row>
    <row r="491" spans="1:25" ht="2.1" customHeight="1" x14ac:dyDescent="0.2">
      <c r="A491" s="295"/>
      <c r="B491" s="283"/>
      <c r="C491" s="296"/>
      <c r="D491" s="283"/>
      <c r="E491" s="296"/>
      <c r="F491" s="297"/>
      <c r="G491" s="297"/>
      <c r="H491" s="297"/>
      <c r="I491" s="298"/>
      <c r="J491" s="304"/>
      <c r="K491" s="300"/>
      <c r="L491" s="301"/>
      <c r="M491" s="297" t="s">
        <v>6582</v>
      </c>
      <c r="N491" s="297"/>
      <c r="O491" s="297"/>
      <c r="P491" s="297"/>
      <c r="Q491" s="297"/>
      <c r="R491" s="297"/>
      <c r="S491" s="302"/>
      <c r="T491" s="302"/>
      <c r="U491" s="303"/>
    </row>
    <row r="492" spans="1:25" ht="25.5" x14ac:dyDescent="0.2">
      <c r="A492" s="212" t="str">
        <f>HYPERLINK(V492,B492)</f>
        <v>EcoCode</v>
      </c>
      <c r="B492" s="283" t="s">
        <v>8323</v>
      </c>
      <c r="C492" s="284" t="s">
        <v>15063</v>
      </c>
      <c r="D492" s="285"/>
      <c r="E492" s="286"/>
      <c r="F492" s="287" t="s">
        <v>15064</v>
      </c>
      <c r="G492" s="286"/>
      <c r="H492" s="286"/>
      <c r="I492" s="288"/>
      <c r="J492" s="289"/>
      <c r="K492" s="290"/>
      <c r="L492" s="371" t="str">
        <f>HYPERLINK("[#]DatatypeListedValues!B3352:H3352","«enumeration»")</f>
        <v>«enumeration»</v>
      </c>
      <c r="M492" s="287" t="s">
        <v>6582</v>
      </c>
      <c r="N492" s="291" t="b">
        <v>0</v>
      </c>
      <c r="O492" s="286"/>
      <c r="P492" s="292"/>
      <c r="Q492" s="286"/>
      <c r="R492" s="286"/>
      <c r="S492" s="293"/>
      <c r="T492" s="294"/>
      <c r="U492" s="37">
        <v>118632</v>
      </c>
      <c r="V492" s="36" t="str">
        <f>CONCATENATE(Cover!$D$6,"fdd/view?i=",U492)</f>
        <v>https://www.dgiwg.org/FAD/fdd/view?i=118632</v>
      </c>
      <c r="W492" s="172"/>
      <c r="X492" s="172"/>
      <c r="Y492" s="172"/>
    </row>
    <row r="493" spans="1:25" ht="2.1" customHeight="1" x14ac:dyDescent="0.2">
      <c r="A493" s="295"/>
      <c r="B493" s="283"/>
      <c r="C493" s="296"/>
      <c r="D493" s="283"/>
      <c r="E493" s="296"/>
      <c r="F493" s="297"/>
      <c r="G493" s="297"/>
      <c r="H493" s="297"/>
      <c r="I493" s="298"/>
      <c r="J493" s="304"/>
      <c r="K493" s="300"/>
      <c r="L493" s="301"/>
      <c r="M493" s="297" t="s">
        <v>6582</v>
      </c>
      <c r="N493" s="297"/>
      <c r="O493" s="297"/>
      <c r="P493" s="297"/>
      <c r="Q493" s="297"/>
      <c r="R493" s="297"/>
      <c r="S493" s="302"/>
      <c r="T493" s="302"/>
      <c r="U493" s="303"/>
    </row>
    <row r="494" spans="1:25" ht="25.5" x14ac:dyDescent="0.2">
      <c r="A494" s="212" t="str">
        <f>HYPERLINK(V494,B494)</f>
        <v>EbtCode</v>
      </c>
      <c r="B494" s="283" t="s">
        <v>8328</v>
      </c>
      <c r="C494" s="284" t="s">
        <v>15065</v>
      </c>
      <c r="D494" s="285"/>
      <c r="E494" s="286"/>
      <c r="F494" s="287" t="s">
        <v>15066</v>
      </c>
      <c r="G494" s="286"/>
      <c r="H494" s="286"/>
      <c r="I494" s="288"/>
      <c r="J494" s="289"/>
      <c r="K494" s="290"/>
      <c r="L494" s="371" t="str">
        <f>HYPERLINK("[#]DatatypeListedValues!B3360:H3360","«enumeration»")</f>
        <v>«enumeration»</v>
      </c>
      <c r="M494" s="287" t="s">
        <v>6582</v>
      </c>
      <c r="N494" s="291" t="b">
        <v>0</v>
      </c>
      <c r="O494" s="286"/>
      <c r="P494" s="292"/>
      <c r="Q494" s="286"/>
      <c r="R494" s="286"/>
      <c r="S494" s="293"/>
      <c r="T494" s="294"/>
      <c r="U494" s="37">
        <v>1201</v>
      </c>
      <c r="V494" s="36" t="str">
        <f>CONCATENATE(Cover!$D$6,"fdd/view?i=",U494)</f>
        <v>https://www.dgiwg.org/FAD/fdd/view?i=1201</v>
      </c>
      <c r="W494" s="172"/>
      <c r="X494" s="172"/>
      <c r="Y494" s="172"/>
    </row>
    <row r="495" spans="1:25" ht="2.1" customHeight="1" x14ac:dyDescent="0.2">
      <c r="A495" s="295"/>
      <c r="B495" s="283"/>
      <c r="C495" s="296"/>
      <c r="D495" s="283"/>
      <c r="E495" s="296"/>
      <c r="F495" s="297"/>
      <c r="G495" s="297"/>
      <c r="H495" s="297"/>
      <c r="I495" s="298"/>
      <c r="J495" s="304"/>
      <c r="K495" s="300"/>
      <c r="L495" s="301"/>
      <c r="M495" s="297" t="s">
        <v>6582</v>
      </c>
      <c r="N495" s="297"/>
      <c r="O495" s="297"/>
      <c r="P495" s="297"/>
      <c r="Q495" s="297"/>
      <c r="R495" s="297"/>
      <c r="S495" s="302"/>
      <c r="T495" s="302"/>
      <c r="U495" s="303"/>
    </row>
    <row r="496" spans="1:25" ht="25.5" x14ac:dyDescent="0.2">
      <c r="A496" s="212" t="str">
        <f>HYPERLINK(V496,B496)</f>
        <v>ElaCode</v>
      </c>
      <c r="B496" s="283" t="s">
        <v>8372</v>
      </c>
      <c r="C496" s="284" t="s">
        <v>15067</v>
      </c>
      <c r="D496" s="285"/>
      <c r="E496" s="286"/>
      <c r="F496" s="287" t="s">
        <v>15068</v>
      </c>
      <c r="G496" s="286"/>
      <c r="H496" s="286"/>
      <c r="I496" s="288"/>
      <c r="J496" s="289"/>
      <c r="K496" s="290"/>
      <c r="L496" s="371" t="str">
        <f>HYPERLINK("[#]DatatypeListedValues!B3367:H3367","«enumeration»")</f>
        <v>«enumeration»</v>
      </c>
      <c r="M496" s="287" t="s">
        <v>6582</v>
      </c>
      <c r="N496" s="291" t="b">
        <v>0</v>
      </c>
      <c r="O496" s="286"/>
      <c r="P496" s="292"/>
      <c r="Q496" s="286"/>
      <c r="R496" s="286"/>
      <c r="S496" s="293"/>
      <c r="T496" s="294"/>
      <c r="U496" s="37">
        <v>1202</v>
      </c>
      <c r="V496" s="36" t="str">
        <f>CONCATENATE(Cover!$D$6,"fdd/view?i=",U496)</f>
        <v>https://www.dgiwg.org/FAD/fdd/view?i=1202</v>
      </c>
      <c r="W496" s="172"/>
      <c r="X496" s="172"/>
      <c r="Y496" s="172"/>
    </row>
    <row r="497" spans="1:25" ht="2.1" customHeight="1" x14ac:dyDescent="0.2">
      <c r="A497" s="295"/>
      <c r="B497" s="283"/>
      <c r="C497" s="296"/>
      <c r="D497" s="283"/>
      <c r="E497" s="296"/>
      <c r="F497" s="297"/>
      <c r="G497" s="297"/>
      <c r="H497" s="297"/>
      <c r="I497" s="298"/>
      <c r="J497" s="304"/>
      <c r="K497" s="300"/>
      <c r="L497" s="301"/>
      <c r="M497" s="297" t="s">
        <v>6582</v>
      </c>
      <c r="N497" s="297"/>
      <c r="O497" s="297"/>
      <c r="P497" s="297"/>
      <c r="Q497" s="297"/>
      <c r="R497" s="297"/>
      <c r="S497" s="302"/>
      <c r="T497" s="302"/>
      <c r="U497" s="303"/>
    </row>
    <row r="498" spans="1:25" ht="25.5" x14ac:dyDescent="0.2">
      <c r="A498" s="212" t="str">
        <f>HYPERLINK(V498,B498)</f>
        <v>EscCode</v>
      </c>
      <c r="B498" s="283" t="s">
        <v>8381</v>
      </c>
      <c r="C498" s="284" t="s">
        <v>15069</v>
      </c>
      <c r="D498" s="285"/>
      <c r="E498" s="286"/>
      <c r="F498" s="287" t="s">
        <v>15070</v>
      </c>
      <c r="G498" s="286"/>
      <c r="H498" s="286"/>
      <c r="I498" s="288"/>
      <c r="J498" s="289"/>
      <c r="K498" s="290"/>
      <c r="L498" s="371" t="str">
        <f>HYPERLINK("[#]DatatypeListedValues!B3369:H3369","«enumeration»")</f>
        <v>«enumeration»</v>
      </c>
      <c r="M498" s="287" t="s">
        <v>6582</v>
      </c>
      <c r="N498" s="291" t="b">
        <v>0</v>
      </c>
      <c r="O498" s="286"/>
      <c r="P498" s="292"/>
      <c r="Q498" s="286"/>
      <c r="R498" s="286"/>
      <c r="S498" s="293"/>
      <c r="T498" s="294"/>
      <c r="U498" s="37">
        <v>1825</v>
      </c>
      <c r="V498" s="36" t="str">
        <f>CONCATENATE(Cover!$D$6,"fdd/view?i=",U498)</f>
        <v>https://www.dgiwg.org/FAD/fdd/view?i=1825</v>
      </c>
      <c r="W498" s="172"/>
      <c r="X498" s="172"/>
      <c r="Y498" s="172"/>
    </row>
    <row r="499" spans="1:25" ht="2.1" customHeight="1" x14ac:dyDescent="0.2">
      <c r="A499" s="295"/>
      <c r="B499" s="283"/>
      <c r="C499" s="296"/>
      <c r="D499" s="283"/>
      <c r="E499" s="296"/>
      <c r="F499" s="297"/>
      <c r="G499" s="297"/>
      <c r="H499" s="297"/>
      <c r="I499" s="298"/>
      <c r="J499" s="304"/>
      <c r="K499" s="300"/>
      <c r="L499" s="301"/>
      <c r="M499" s="297" t="s">
        <v>6582</v>
      </c>
      <c r="N499" s="297"/>
      <c r="O499" s="297"/>
      <c r="P499" s="297"/>
      <c r="Q499" s="297"/>
      <c r="R499" s="297"/>
      <c r="S499" s="302"/>
      <c r="T499" s="302"/>
      <c r="U499" s="303"/>
    </row>
    <row r="500" spans="1:25" ht="25.5" x14ac:dyDescent="0.2">
      <c r="A500" s="212" t="str">
        <f>HYPERLINK(V500,B500)</f>
        <v>FicCode</v>
      </c>
      <c r="B500" s="283" t="s">
        <v>8404</v>
      </c>
      <c r="C500" s="284" t="s">
        <v>15071</v>
      </c>
      <c r="D500" s="285"/>
      <c r="E500" s="286"/>
      <c r="F500" s="287" t="s">
        <v>15072</v>
      </c>
      <c r="G500" s="286"/>
      <c r="H500" s="286"/>
      <c r="I500" s="288"/>
      <c r="J500" s="289"/>
      <c r="K500" s="290"/>
      <c r="L500" s="371" t="str">
        <f>HYPERLINK("[#]DatatypeListedValues!B3375:H3375","«enumeration»")</f>
        <v>«enumeration»</v>
      </c>
      <c r="M500" s="287" t="s">
        <v>6582</v>
      </c>
      <c r="N500" s="291" t="b">
        <v>0</v>
      </c>
      <c r="O500" s="286"/>
      <c r="P500" s="292"/>
      <c r="Q500" s="286"/>
      <c r="R500" s="286"/>
      <c r="S500" s="293"/>
      <c r="T500" s="294"/>
      <c r="U500" s="37">
        <v>1219</v>
      </c>
      <c r="V500" s="36" t="str">
        <f>CONCATENATE(Cover!$D$6,"fdd/view?i=",U500)</f>
        <v>https://www.dgiwg.org/FAD/fdd/view?i=1219</v>
      </c>
      <c r="W500" s="172"/>
      <c r="X500" s="172"/>
      <c r="Y500" s="172"/>
    </row>
    <row r="501" spans="1:25" ht="2.1" customHeight="1" x14ac:dyDescent="0.2">
      <c r="A501" s="295"/>
      <c r="B501" s="283"/>
      <c r="C501" s="296"/>
      <c r="D501" s="283"/>
      <c r="E501" s="296"/>
      <c r="F501" s="297"/>
      <c r="G501" s="297"/>
      <c r="H501" s="297"/>
      <c r="I501" s="298"/>
      <c r="J501" s="304"/>
      <c r="K501" s="300"/>
      <c r="L501" s="301"/>
      <c r="M501" s="297" t="s">
        <v>6582</v>
      </c>
      <c r="N501" s="297"/>
      <c r="O501" s="297"/>
      <c r="P501" s="297"/>
      <c r="Q501" s="297"/>
      <c r="R501" s="297"/>
      <c r="S501" s="302"/>
      <c r="T501" s="302"/>
      <c r="U501" s="303"/>
    </row>
    <row r="502" spans="1:25" ht="25.5" x14ac:dyDescent="0.2">
      <c r="A502" s="212" t="str">
        <f>HYPERLINK(V502,B502)</f>
        <v>ApoCode</v>
      </c>
      <c r="B502" s="283" t="s">
        <v>8418</v>
      </c>
      <c r="C502" s="284" t="s">
        <v>15073</v>
      </c>
      <c r="D502" s="285"/>
      <c r="E502" s="286"/>
      <c r="F502" s="287" t="s">
        <v>15074</v>
      </c>
      <c r="G502" s="286"/>
      <c r="H502" s="286"/>
      <c r="I502" s="288"/>
      <c r="J502" s="289"/>
      <c r="K502" s="290"/>
      <c r="L502" s="371" t="str">
        <f>HYPERLINK("[#]DatatypeListedValues!B3381:H3381","«enumeration»")</f>
        <v>«enumeration»</v>
      </c>
      <c r="M502" s="287" t="s">
        <v>6582</v>
      </c>
      <c r="N502" s="291" t="b">
        <v>0</v>
      </c>
      <c r="O502" s="286"/>
      <c r="P502" s="292"/>
      <c r="Q502" s="286"/>
      <c r="R502" s="286"/>
      <c r="S502" s="293"/>
      <c r="T502" s="294"/>
      <c r="U502" s="37">
        <v>1788</v>
      </c>
      <c r="V502" s="36" t="str">
        <f>CONCATENATE(Cover!$D$6,"fdd/view?i=",U502)</f>
        <v>https://www.dgiwg.org/FAD/fdd/view?i=1788</v>
      </c>
      <c r="W502" s="172"/>
      <c r="X502" s="172"/>
      <c r="Y502" s="172"/>
    </row>
    <row r="503" spans="1:25" ht="2.1" customHeight="1" x14ac:dyDescent="0.2">
      <c r="A503" s="295"/>
      <c r="B503" s="283"/>
      <c r="C503" s="296"/>
      <c r="D503" s="283"/>
      <c r="E503" s="296"/>
      <c r="F503" s="297"/>
      <c r="G503" s="297"/>
      <c r="H503" s="297"/>
      <c r="I503" s="298"/>
      <c r="J503" s="304"/>
      <c r="K503" s="300"/>
      <c r="L503" s="301"/>
      <c r="M503" s="297" t="s">
        <v>6582</v>
      </c>
      <c r="N503" s="297"/>
      <c r="O503" s="297"/>
      <c r="P503" s="297"/>
      <c r="Q503" s="297"/>
      <c r="R503" s="297"/>
      <c r="S503" s="302"/>
      <c r="T503" s="302"/>
      <c r="U503" s="303"/>
    </row>
    <row r="504" spans="1:25" ht="25.5" x14ac:dyDescent="0.2">
      <c r="A504" s="212" t="str">
        <f>HYPERLINK(V504,B504)</f>
        <v>ErmCode</v>
      </c>
      <c r="B504" s="283" t="s">
        <v>8424</v>
      </c>
      <c r="C504" s="284" t="s">
        <v>15075</v>
      </c>
      <c r="D504" s="285"/>
      <c r="E504" s="286"/>
      <c r="F504" s="287" t="s">
        <v>15076</v>
      </c>
      <c r="G504" s="286"/>
      <c r="H504" s="286"/>
      <c r="I504" s="288"/>
      <c r="J504" s="289"/>
      <c r="K504" s="290"/>
      <c r="L504" s="371" t="str">
        <f>HYPERLINK("[#]DatatypeListedValues!B3387:H3387","«enumeration»")</f>
        <v>«enumeration»</v>
      </c>
      <c r="M504" s="287" t="s">
        <v>6582</v>
      </c>
      <c r="N504" s="291" t="b">
        <v>0</v>
      </c>
      <c r="O504" s="286"/>
      <c r="P504" s="292"/>
      <c r="Q504" s="286"/>
      <c r="R504" s="286"/>
      <c r="S504" s="293"/>
      <c r="T504" s="294"/>
      <c r="U504" s="37">
        <v>1823</v>
      </c>
      <c r="V504" s="36" t="str">
        <f>CONCATENATE(Cover!$D$6,"fdd/view?i=",U504)</f>
        <v>https://www.dgiwg.org/FAD/fdd/view?i=1823</v>
      </c>
      <c r="W504" s="172"/>
      <c r="X504" s="172"/>
      <c r="Y504" s="172"/>
    </row>
    <row r="505" spans="1:25" ht="2.1" customHeight="1" x14ac:dyDescent="0.2">
      <c r="A505" s="295"/>
      <c r="B505" s="283"/>
      <c r="C505" s="296"/>
      <c r="D505" s="283"/>
      <c r="E505" s="296"/>
      <c r="F505" s="297"/>
      <c r="G505" s="297"/>
      <c r="H505" s="297"/>
      <c r="I505" s="298"/>
      <c r="J505" s="304"/>
      <c r="K505" s="300"/>
      <c r="L505" s="301"/>
      <c r="M505" s="297" t="s">
        <v>6582</v>
      </c>
      <c r="N505" s="297"/>
      <c r="O505" s="297"/>
      <c r="P505" s="297"/>
      <c r="Q505" s="297"/>
      <c r="R505" s="297"/>
      <c r="S505" s="302"/>
      <c r="T505" s="302"/>
      <c r="U505" s="303"/>
    </row>
    <row r="506" spans="1:25" ht="25.5" x14ac:dyDescent="0.2">
      <c r="A506" s="212" t="str">
        <f>HYPERLINK(V506,B506)</f>
        <v>EtyCode</v>
      </c>
      <c r="B506" s="283" t="s">
        <v>8429</v>
      </c>
      <c r="C506" s="284" t="s">
        <v>15077</v>
      </c>
      <c r="D506" s="285"/>
      <c r="E506" s="286"/>
      <c r="F506" s="287" t="s">
        <v>15078</v>
      </c>
      <c r="G506" s="286"/>
      <c r="H506" s="286"/>
      <c r="I506" s="288"/>
      <c r="J506" s="289"/>
      <c r="K506" s="290"/>
      <c r="L506" s="371" t="str">
        <f>HYPERLINK("[#]DatatypeListedValues!B3396:H3396","«enumeration»")</f>
        <v>«enumeration»</v>
      </c>
      <c r="M506" s="287" t="s">
        <v>6582</v>
      </c>
      <c r="N506" s="291" t="b">
        <v>0</v>
      </c>
      <c r="O506" s="286"/>
      <c r="P506" s="292"/>
      <c r="Q506" s="286"/>
      <c r="R506" s="286"/>
      <c r="S506" s="293"/>
      <c r="T506" s="294"/>
      <c r="U506" s="37">
        <v>117821</v>
      </c>
      <c r="V506" s="36" t="str">
        <f>CONCATENATE(Cover!$D$6,"fdd/view?i=",U506)</f>
        <v>https://www.dgiwg.org/FAD/fdd/view?i=117821</v>
      </c>
      <c r="W506" s="172"/>
      <c r="X506" s="172"/>
      <c r="Y506" s="172"/>
    </row>
    <row r="507" spans="1:25" ht="2.1" customHeight="1" x14ac:dyDescent="0.2">
      <c r="A507" s="295"/>
      <c r="B507" s="283"/>
      <c r="C507" s="296"/>
      <c r="D507" s="283"/>
      <c r="E507" s="296"/>
      <c r="F507" s="297"/>
      <c r="G507" s="297"/>
      <c r="H507" s="297"/>
      <c r="I507" s="298"/>
      <c r="J507" s="304"/>
      <c r="K507" s="300"/>
      <c r="L507" s="301"/>
      <c r="M507" s="297" t="s">
        <v>6582</v>
      </c>
      <c r="N507" s="297"/>
      <c r="O507" s="297"/>
      <c r="P507" s="297"/>
      <c r="Q507" s="297"/>
      <c r="R507" s="297"/>
      <c r="S507" s="302"/>
      <c r="T507" s="302"/>
      <c r="U507" s="303"/>
    </row>
    <row r="508" spans="1:25" ht="25.5" x14ac:dyDescent="0.2">
      <c r="A508" s="212" t="str">
        <f>HYPERLINK(V508,B508)</f>
        <v>EetCode</v>
      </c>
      <c r="B508" s="283" t="s">
        <v>8434</v>
      </c>
      <c r="C508" s="284" t="s">
        <v>15079</v>
      </c>
      <c r="D508" s="285"/>
      <c r="E508" s="286"/>
      <c r="F508" s="287" t="s">
        <v>15080</v>
      </c>
      <c r="G508" s="286"/>
      <c r="H508" s="286"/>
      <c r="I508" s="288"/>
      <c r="J508" s="289"/>
      <c r="K508" s="290"/>
      <c r="L508" s="371" t="str">
        <f>HYPERLINK("[#]DatatypeListedValues!B3400:H3400","«enumeration»")</f>
        <v>«enumeration»</v>
      </c>
      <c r="M508" s="287" t="s">
        <v>6582</v>
      </c>
      <c r="N508" s="291" t="b">
        <v>0</v>
      </c>
      <c r="O508" s="286"/>
      <c r="P508" s="292"/>
      <c r="Q508" s="286"/>
      <c r="R508" s="286"/>
      <c r="S508" s="293"/>
      <c r="T508" s="294"/>
      <c r="U508" s="37">
        <v>118114</v>
      </c>
      <c r="V508" s="36" t="str">
        <f>CONCATENATE(Cover!$D$6,"fdd/view?i=",U508)</f>
        <v>https://www.dgiwg.org/FAD/fdd/view?i=118114</v>
      </c>
      <c r="W508" s="172"/>
      <c r="X508" s="172"/>
      <c r="Y508" s="172"/>
    </row>
    <row r="509" spans="1:25" ht="2.1" customHeight="1" x14ac:dyDescent="0.2">
      <c r="A509" s="295"/>
      <c r="B509" s="283"/>
      <c r="C509" s="296"/>
      <c r="D509" s="283"/>
      <c r="E509" s="296"/>
      <c r="F509" s="297"/>
      <c r="G509" s="297"/>
      <c r="H509" s="297"/>
      <c r="I509" s="298"/>
      <c r="J509" s="304"/>
      <c r="K509" s="300"/>
      <c r="L509" s="301"/>
      <c r="M509" s="297" t="s">
        <v>6582</v>
      </c>
      <c r="N509" s="297"/>
      <c r="O509" s="297"/>
      <c r="P509" s="297"/>
      <c r="Q509" s="297"/>
      <c r="R509" s="297"/>
      <c r="S509" s="302"/>
      <c r="T509" s="302"/>
      <c r="U509" s="303"/>
    </row>
    <row r="510" spans="1:25" ht="25.5" x14ac:dyDescent="0.2">
      <c r="A510" s="212" t="str">
        <f>HYPERLINK(V510,B510)</f>
        <v>FteCode</v>
      </c>
      <c r="B510" s="283" t="s">
        <v>8440</v>
      </c>
      <c r="C510" s="284" t="s">
        <v>15081</v>
      </c>
      <c r="D510" s="285"/>
      <c r="E510" s="286"/>
      <c r="F510" s="287" t="s">
        <v>15082</v>
      </c>
      <c r="G510" s="286"/>
      <c r="H510" s="286"/>
      <c r="I510" s="288"/>
      <c r="J510" s="289"/>
      <c r="K510" s="290"/>
      <c r="L510" s="371" t="str">
        <f>HYPERLINK("[#]DatatypeListedValues!B3405:H3405","«enumeration»")</f>
        <v>«enumeration»</v>
      </c>
      <c r="M510" s="287" t="s">
        <v>6582</v>
      </c>
      <c r="N510" s="291" t="b">
        <v>0</v>
      </c>
      <c r="O510" s="286"/>
      <c r="P510" s="292"/>
      <c r="Q510" s="286"/>
      <c r="R510" s="286"/>
      <c r="S510" s="293"/>
      <c r="T510" s="294"/>
      <c r="U510" s="37">
        <v>119055</v>
      </c>
      <c r="V510" s="36" t="str">
        <f>CONCATENATE(Cover!$D$6,"fdd/view?i=",U510)</f>
        <v>https://www.dgiwg.org/FAD/fdd/view?i=119055</v>
      </c>
      <c r="W510" s="172"/>
      <c r="X510" s="172"/>
      <c r="Y510" s="172"/>
    </row>
    <row r="511" spans="1:25" ht="2.1" customHeight="1" x14ac:dyDescent="0.2">
      <c r="A511" s="295"/>
      <c r="B511" s="283"/>
      <c r="C511" s="296"/>
      <c r="D511" s="283"/>
      <c r="E511" s="296"/>
      <c r="F511" s="297"/>
      <c r="G511" s="297"/>
      <c r="H511" s="297"/>
      <c r="I511" s="298"/>
      <c r="J511" s="304"/>
      <c r="K511" s="300"/>
      <c r="L511" s="301"/>
      <c r="M511" s="297" t="s">
        <v>6582</v>
      </c>
      <c r="N511" s="297"/>
      <c r="O511" s="297"/>
      <c r="P511" s="297"/>
      <c r="Q511" s="297"/>
      <c r="R511" s="297"/>
      <c r="S511" s="302"/>
      <c r="T511" s="302"/>
      <c r="U511" s="303"/>
    </row>
    <row r="512" spans="1:25" ht="25.5" x14ac:dyDescent="0.2">
      <c r="A512" s="212" t="str">
        <f>HYPERLINK(V512,B512)</f>
        <v>EitCode</v>
      </c>
      <c r="B512" s="283" t="s">
        <v>8446</v>
      </c>
      <c r="C512" s="284" t="s">
        <v>15083</v>
      </c>
      <c r="D512" s="285"/>
      <c r="E512" s="286"/>
      <c r="F512" s="287" t="s">
        <v>15084</v>
      </c>
      <c r="G512" s="286"/>
      <c r="H512" s="286"/>
      <c r="I512" s="288"/>
      <c r="J512" s="289"/>
      <c r="K512" s="290"/>
      <c r="L512" s="371" t="str">
        <f>HYPERLINK("[#]DatatypeListedValues!B3411:H3411","«enumeration»")</f>
        <v>«enumeration»</v>
      </c>
      <c r="M512" s="287" t="s">
        <v>6582</v>
      </c>
      <c r="N512" s="291" t="b">
        <v>0</v>
      </c>
      <c r="O512" s="286"/>
      <c r="P512" s="292"/>
      <c r="Q512" s="286"/>
      <c r="R512" s="286"/>
      <c r="S512" s="293"/>
      <c r="T512" s="294"/>
      <c r="U512" s="37">
        <v>114247</v>
      </c>
      <c r="V512" s="36" t="str">
        <f>CONCATENATE(Cover!$D$6,"fdd/view?i=",U512)</f>
        <v>https://www.dgiwg.org/FAD/fdd/view?i=114247</v>
      </c>
      <c r="W512" s="172"/>
      <c r="X512" s="172"/>
      <c r="Y512" s="172"/>
    </row>
    <row r="513" spans="1:25" ht="2.1" customHeight="1" x14ac:dyDescent="0.2">
      <c r="A513" s="295"/>
      <c r="B513" s="283"/>
      <c r="C513" s="296"/>
      <c r="D513" s="283"/>
      <c r="E513" s="296"/>
      <c r="F513" s="297"/>
      <c r="G513" s="297"/>
      <c r="H513" s="297"/>
      <c r="I513" s="298"/>
      <c r="J513" s="304"/>
      <c r="K513" s="300"/>
      <c r="L513" s="301"/>
      <c r="M513" s="297" t="s">
        <v>6582</v>
      </c>
      <c r="N513" s="297"/>
      <c r="O513" s="297"/>
      <c r="P513" s="297"/>
      <c r="Q513" s="297"/>
      <c r="R513" s="297"/>
      <c r="S513" s="302"/>
      <c r="T513" s="302"/>
      <c r="U513" s="303"/>
    </row>
    <row r="514" spans="1:25" ht="25.5" x14ac:dyDescent="0.2">
      <c r="A514" s="212" t="str">
        <f>HYPERLINK(V514,B514)</f>
        <v>EcmCode</v>
      </c>
      <c r="B514" s="283" t="s">
        <v>8451</v>
      </c>
      <c r="C514" s="284" t="s">
        <v>15085</v>
      </c>
      <c r="D514" s="285"/>
      <c r="E514" s="286"/>
      <c r="F514" s="287" t="s">
        <v>15086</v>
      </c>
      <c r="G514" s="286"/>
      <c r="H514" s="286"/>
      <c r="I514" s="288"/>
      <c r="J514" s="289"/>
      <c r="K514" s="290"/>
      <c r="L514" s="371" t="str">
        <f>HYPERLINK("[#]DatatypeListedValues!B3417:H3417","«enumeration»")</f>
        <v>«enumeration»</v>
      </c>
      <c r="M514" s="287" t="s">
        <v>6582</v>
      </c>
      <c r="N514" s="291" t="b">
        <v>0</v>
      </c>
      <c r="O514" s="286"/>
      <c r="P514" s="292"/>
      <c r="Q514" s="286"/>
      <c r="R514" s="286"/>
      <c r="S514" s="293"/>
      <c r="T514" s="294"/>
      <c r="U514" s="37">
        <v>119656</v>
      </c>
      <c r="V514" s="36" t="str">
        <f>CONCATENATE(Cover!$D$6,"fdd/view?i=",U514)</f>
        <v>https://www.dgiwg.org/FAD/fdd/view?i=119656</v>
      </c>
      <c r="W514" s="172"/>
      <c r="X514" s="172"/>
      <c r="Y514" s="172"/>
    </row>
    <row r="515" spans="1:25" ht="2.1" customHeight="1" x14ac:dyDescent="0.2">
      <c r="A515" s="295"/>
      <c r="B515" s="283"/>
      <c r="C515" s="296"/>
      <c r="D515" s="283"/>
      <c r="E515" s="296"/>
      <c r="F515" s="297"/>
      <c r="G515" s="297"/>
      <c r="H515" s="297"/>
      <c r="I515" s="298"/>
      <c r="J515" s="304"/>
      <c r="K515" s="300"/>
      <c r="L515" s="301"/>
      <c r="M515" s="297" t="s">
        <v>6582</v>
      </c>
      <c r="N515" s="297"/>
      <c r="O515" s="297"/>
      <c r="P515" s="297"/>
      <c r="Q515" s="297"/>
      <c r="R515" s="297"/>
      <c r="S515" s="302"/>
      <c r="T515" s="302"/>
      <c r="U515" s="303"/>
    </row>
    <row r="516" spans="1:25" ht="25.5" x14ac:dyDescent="0.2">
      <c r="A516" s="212" t="str">
        <f>HYPERLINK(V516,B516)</f>
        <v>EecCode</v>
      </c>
      <c r="B516" s="283" t="s">
        <v>8461</v>
      </c>
      <c r="C516" s="284" t="s">
        <v>15087</v>
      </c>
      <c r="D516" s="285"/>
      <c r="E516" s="286"/>
      <c r="F516" s="287" t="s">
        <v>15088</v>
      </c>
      <c r="G516" s="286"/>
      <c r="H516" s="286"/>
      <c r="I516" s="288"/>
      <c r="J516" s="289"/>
      <c r="K516" s="290"/>
      <c r="L516" s="371" t="str">
        <f>HYPERLINK("[#]DatatypeListedValues!B3421:H3421","«enumeration»")</f>
        <v>«enumeration»</v>
      </c>
      <c r="M516" s="287" t="s">
        <v>6582</v>
      </c>
      <c r="N516" s="291" t="b">
        <v>0</v>
      </c>
      <c r="O516" s="286"/>
      <c r="P516" s="292"/>
      <c r="Q516" s="286"/>
      <c r="R516" s="286"/>
      <c r="S516" s="293"/>
      <c r="T516" s="294"/>
      <c r="U516" s="37">
        <v>4856</v>
      </c>
      <c r="V516" s="36" t="str">
        <f>CONCATENATE(Cover!$D$6,"fdd/view?i=",U516)</f>
        <v>https://www.dgiwg.org/FAD/fdd/view?i=4856</v>
      </c>
      <c r="W516" s="172"/>
      <c r="X516" s="172"/>
      <c r="Y516" s="172"/>
    </row>
    <row r="517" spans="1:25" ht="2.1" customHeight="1" x14ac:dyDescent="0.2">
      <c r="A517" s="295"/>
      <c r="B517" s="283"/>
      <c r="C517" s="296"/>
      <c r="D517" s="283"/>
      <c r="E517" s="296"/>
      <c r="F517" s="297"/>
      <c r="G517" s="297"/>
      <c r="H517" s="297"/>
      <c r="I517" s="298"/>
      <c r="J517" s="304"/>
      <c r="K517" s="300"/>
      <c r="L517" s="301"/>
      <c r="M517" s="297" t="s">
        <v>6582</v>
      </c>
      <c r="N517" s="297"/>
      <c r="O517" s="297"/>
      <c r="P517" s="297"/>
      <c r="Q517" s="297"/>
      <c r="R517" s="297"/>
      <c r="S517" s="302"/>
      <c r="T517" s="302"/>
      <c r="U517" s="303"/>
    </row>
    <row r="518" spans="1:25" ht="25.5" x14ac:dyDescent="0.2">
      <c r="A518" s="212" t="str">
        <f>HYPERLINK(V518,B518)</f>
        <v>Kd1Code</v>
      </c>
      <c r="B518" s="283" t="s">
        <v>8466</v>
      </c>
      <c r="C518" s="284" t="s">
        <v>15089</v>
      </c>
      <c r="D518" s="285"/>
      <c r="E518" s="286"/>
      <c r="F518" s="287" t="s">
        <v>15090</v>
      </c>
      <c r="G518" s="286"/>
      <c r="H518" s="286"/>
      <c r="I518" s="288"/>
      <c r="J518" s="289"/>
      <c r="K518" s="290"/>
      <c r="L518" s="371" t="str">
        <f>HYPERLINK("[#]DatatypeListedValues!B3431:H3431","«enumeration»")</f>
        <v>«enumeration»</v>
      </c>
      <c r="M518" s="287" t="s">
        <v>6582</v>
      </c>
      <c r="N518" s="291" t="b">
        <v>0</v>
      </c>
      <c r="O518" s="286"/>
      <c r="P518" s="292"/>
      <c r="Q518" s="286"/>
      <c r="R518" s="286"/>
      <c r="S518" s="293"/>
      <c r="T518" s="294"/>
      <c r="U518" s="37">
        <v>1860</v>
      </c>
      <c r="V518" s="36" t="str">
        <f>CONCATENATE(Cover!$D$6,"fdd/view?i=",U518)</f>
        <v>https://www.dgiwg.org/FAD/fdd/view?i=1860</v>
      </c>
      <c r="W518" s="172"/>
      <c r="X518" s="172"/>
      <c r="Y518" s="172"/>
    </row>
    <row r="519" spans="1:25" ht="2.1" customHeight="1" x14ac:dyDescent="0.2">
      <c r="A519" s="295"/>
      <c r="B519" s="283"/>
      <c r="C519" s="296"/>
      <c r="D519" s="283"/>
      <c r="E519" s="296"/>
      <c r="F519" s="297"/>
      <c r="G519" s="297"/>
      <c r="H519" s="297"/>
      <c r="I519" s="298"/>
      <c r="J519" s="304"/>
      <c r="K519" s="300"/>
      <c r="L519" s="301"/>
      <c r="M519" s="297" t="s">
        <v>6582</v>
      </c>
      <c r="N519" s="297"/>
      <c r="O519" s="297"/>
      <c r="P519" s="297"/>
      <c r="Q519" s="297"/>
      <c r="R519" s="297"/>
      <c r="S519" s="302"/>
      <c r="T519" s="302"/>
      <c r="U519" s="303"/>
    </row>
    <row r="520" spans="1:25" ht="25.5" x14ac:dyDescent="0.2">
      <c r="A520" s="212" t="str">
        <f>HYPERLINK(V520,B520)</f>
        <v>Ke1Code</v>
      </c>
      <c r="B520" s="283" t="s">
        <v>8471</v>
      </c>
      <c r="C520" s="284" t="s">
        <v>15091</v>
      </c>
      <c r="D520" s="285"/>
      <c r="E520" s="286"/>
      <c r="F520" s="287" t="s">
        <v>15092</v>
      </c>
      <c r="G520" s="286"/>
      <c r="H520" s="286"/>
      <c r="I520" s="288"/>
      <c r="J520" s="289"/>
      <c r="K520" s="290"/>
      <c r="L520" s="371" t="str">
        <f>HYPERLINK("[#]DatatypeListedValues!B3447:H3447","«enumeration»")</f>
        <v>«enumeration»</v>
      </c>
      <c r="M520" s="287" t="s">
        <v>6582</v>
      </c>
      <c r="N520" s="291" t="b">
        <v>0</v>
      </c>
      <c r="O520" s="286"/>
      <c r="P520" s="292"/>
      <c r="Q520" s="286"/>
      <c r="R520" s="286"/>
      <c r="S520" s="293"/>
      <c r="T520" s="294"/>
      <c r="U520" s="37">
        <v>1861</v>
      </c>
      <c r="V520" s="36" t="str">
        <f>CONCATENATE(Cover!$D$6,"fdd/view?i=",U520)</f>
        <v>https://www.dgiwg.org/FAD/fdd/view?i=1861</v>
      </c>
      <c r="W520" s="172"/>
      <c r="X520" s="172"/>
      <c r="Y520" s="172"/>
    </row>
    <row r="521" spans="1:25" ht="2.1" customHeight="1" x14ac:dyDescent="0.2">
      <c r="A521" s="295"/>
      <c r="B521" s="283"/>
      <c r="C521" s="296"/>
      <c r="D521" s="283"/>
      <c r="E521" s="296"/>
      <c r="F521" s="297"/>
      <c r="G521" s="297"/>
      <c r="H521" s="297"/>
      <c r="I521" s="298"/>
      <c r="J521" s="304"/>
      <c r="K521" s="300"/>
      <c r="L521" s="301"/>
      <c r="M521" s="297" t="s">
        <v>6582</v>
      </c>
      <c r="N521" s="297"/>
      <c r="O521" s="297"/>
      <c r="P521" s="297"/>
      <c r="Q521" s="297"/>
      <c r="R521" s="297"/>
      <c r="S521" s="302"/>
      <c r="T521" s="302"/>
      <c r="U521" s="303"/>
    </row>
    <row r="522" spans="1:25" ht="25.5" x14ac:dyDescent="0.2">
      <c r="A522" s="212" t="str">
        <f>HYPERLINK(V522,B522)</f>
        <v>EqcCode</v>
      </c>
      <c r="B522" s="283" t="s">
        <v>8480</v>
      </c>
      <c r="C522" s="284" t="s">
        <v>15093</v>
      </c>
      <c r="D522" s="285"/>
      <c r="E522" s="286"/>
      <c r="F522" s="287" t="s">
        <v>15094</v>
      </c>
      <c r="G522" s="286"/>
      <c r="H522" s="286"/>
      <c r="I522" s="288"/>
      <c r="J522" s="289"/>
      <c r="K522" s="290"/>
      <c r="L522" s="371" t="str">
        <f>HYPERLINK("[#]DatatypeListedValues!B3473:H3473","«enumeration»")</f>
        <v>«enumeration»</v>
      </c>
      <c r="M522" s="287" t="s">
        <v>6582</v>
      </c>
      <c r="N522" s="291" t="b">
        <v>0</v>
      </c>
      <c r="O522" s="286"/>
      <c r="P522" s="292"/>
      <c r="Q522" s="286"/>
      <c r="R522" s="286"/>
      <c r="S522" s="293"/>
      <c r="T522" s="294"/>
      <c r="U522" s="37">
        <v>118180</v>
      </c>
      <c r="V522" s="36" t="str">
        <f>CONCATENATE(Cover!$D$6,"fdd/view?i=",U522)</f>
        <v>https://www.dgiwg.org/FAD/fdd/view?i=118180</v>
      </c>
      <c r="W522" s="172"/>
      <c r="X522" s="172"/>
      <c r="Y522" s="172"/>
    </row>
    <row r="523" spans="1:25" ht="2.1" customHeight="1" x14ac:dyDescent="0.2">
      <c r="A523" s="295"/>
      <c r="B523" s="283"/>
      <c r="C523" s="296"/>
      <c r="D523" s="283"/>
      <c r="E523" s="296"/>
      <c r="F523" s="297"/>
      <c r="G523" s="297"/>
      <c r="H523" s="297"/>
      <c r="I523" s="298"/>
      <c r="J523" s="304"/>
      <c r="K523" s="300"/>
      <c r="L523" s="301"/>
      <c r="M523" s="297" t="s">
        <v>6582</v>
      </c>
      <c r="N523" s="297"/>
      <c r="O523" s="297"/>
      <c r="P523" s="297"/>
      <c r="Q523" s="297"/>
      <c r="R523" s="297"/>
      <c r="S523" s="302"/>
      <c r="T523" s="302"/>
      <c r="U523" s="303"/>
    </row>
    <row r="524" spans="1:25" ht="25.5" x14ac:dyDescent="0.2">
      <c r="A524" s="212" t="str">
        <f>HYPERLINK(V524,B524)</f>
        <v>EtcCode</v>
      </c>
      <c r="B524" s="283" t="s">
        <v>8503</v>
      </c>
      <c r="C524" s="284" t="s">
        <v>15095</v>
      </c>
      <c r="D524" s="285"/>
      <c r="E524" s="286"/>
      <c r="F524" s="287" t="s">
        <v>15096</v>
      </c>
      <c r="G524" s="286"/>
      <c r="H524" s="286"/>
      <c r="I524" s="288"/>
      <c r="J524" s="289"/>
      <c r="K524" s="290"/>
      <c r="L524" s="371" t="str">
        <f>HYPERLINK("[#]DatatypeListedValues!B3483:H3483","«enumeration»")</f>
        <v>«enumeration»</v>
      </c>
      <c r="M524" s="287" t="s">
        <v>6582</v>
      </c>
      <c r="N524" s="291" t="b">
        <v>0</v>
      </c>
      <c r="O524" s="286"/>
      <c r="P524" s="292"/>
      <c r="Q524" s="286"/>
      <c r="R524" s="286"/>
      <c r="S524" s="293"/>
      <c r="T524" s="294"/>
      <c r="U524" s="37">
        <v>1826</v>
      </c>
      <c r="V524" s="36" t="str">
        <f>CONCATENATE(Cover!$D$6,"fdd/view?i=",U524)</f>
        <v>https://www.dgiwg.org/FAD/fdd/view?i=1826</v>
      </c>
      <c r="W524" s="172"/>
      <c r="X524" s="172"/>
      <c r="Y524" s="172"/>
    </row>
    <row r="525" spans="1:25" ht="2.1" customHeight="1" x14ac:dyDescent="0.2">
      <c r="A525" s="295"/>
      <c r="B525" s="283"/>
      <c r="C525" s="296"/>
      <c r="D525" s="283"/>
      <c r="E525" s="296"/>
      <c r="F525" s="297"/>
      <c r="G525" s="297"/>
      <c r="H525" s="297"/>
      <c r="I525" s="298"/>
      <c r="J525" s="304"/>
      <c r="K525" s="300"/>
      <c r="L525" s="301"/>
      <c r="M525" s="297" t="s">
        <v>6582</v>
      </c>
      <c r="N525" s="297"/>
      <c r="O525" s="297"/>
      <c r="P525" s="297"/>
      <c r="Q525" s="297"/>
      <c r="R525" s="297"/>
      <c r="S525" s="302"/>
      <c r="T525" s="302"/>
      <c r="U525" s="303"/>
    </row>
    <row r="526" spans="1:25" ht="25.5" x14ac:dyDescent="0.2">
      <c r="A526" s="212" t="str">
        <f>HYPERLINK(V526,B526)</f>
        <v>EruCode</v>
      </c>
      <c r="B526" s="283" t="s">
        <v>8509</v>
      </c>
      <c r="C526" s="284" t="s">
        <v>15097</v>
      </c>
      <c r="D526" s="285"/>
      <c r="E526" s="286"/>
      <c r="F526" s="287" t="s">
        <v>15098</v>
      </c>
      <c r="G526" s="286"/>
      <c r="H526" s="286"/>
      <c r="I526" s="288"/>
      <c r="J526" s="289"/>
      <c r="K526" s="290"/>
      <c r="L526" s="371" t="str">
        <f>HYPERLINK("[#]DatatypeListedValues!B3492:H3492","«enumeration»")</f>
        <v>«enumeration»</v>
      </c>
      <c r="M526" s="287" t="s">
        <v>6582</v>
      </c>
      <c r="N526" s="291" t="b">
        <v>0</v>
      </c>
      <c r="O526" s="286"/>
      <c r="P526" s="292"/>
      <c r="Q526" s="286"/>
      <c r="R526" s="286"/>
      <c r="S526" s="293"/>
      <c r="T526" s="294"/>
      <c r="U526" s="37">
        <v>119145</v>
      </c>
      <c r="V526" s="36" t="str">
        <f>CONCATENATE(Cover!$D$6,"fdd/view?i=",U526)</f>
        <v>https://www.dgiwg.org/FAD/fdd/view?i=119145</v>
      </c>
      <c r="W526" s="172"/>
      <c r="X526" s="172"/>
      <c r="Y526" s="172"/>
    </row>
    <row r="527" spans="1:25" ht="2.1" customHeight="1" x14ac:dyDescent="0.2">
      <c r="A527" s="295"/>
      <c r="B527" s="283"/>
      <c r="C527" s="296"/>
      <c r="D527" s="283"/>
      <c r="E527" s="296"/>
      <c r="F527" s="297"/>
      <c r="G527" s="297"/>
      <c r="H527" s="297"/>
      <c r="I527" s="298"/>
      <c r="J527" s="304"/>
      <c r="K527" s="300"/>
      <c r="L527" s="301"/>
      <c r="M527" s="297" t="s">
        <v>6582</v>
      </c>
      <c r="N527" s="297"/>
      <c r="O527" s="297"/>
      <c r="P527" s="297"/>
      <c r="Q527" s="297"/>
      <c r="R527" s="297"/>
      <c r="S527" s="302"/>
      <c r="T527" s="302"/>
      <c r="U527" s="303"/>
    </row>
    <row r="528" spans="1:25" ht="178.5" x14ac:dyDescent="0.2">
      <c r="A528" s="212" t="str">
        <f>HYPERLINK(V528,B528)</f>
        <v>CdvStrucText</v>
      </c>
      <c r="B528" s="283" t="s">
        <v>8515</v>
      </c>
      <c r="C528" s="284" t="s">
        <v>15099</v>
      </c>
      <c r="D528" s="285"/>
      <c r="E528" s="286"/>
      <c r="F528" s="287" t="s">
        <v>15100</v>
      </c>
      <c r="G528" s="286"/>
      <c r="H528" s="287" t="s">
        <v>14552</v>
      </c>
      <c r="I528" s="288"/>
      <c r="J528" s="289"/>
      <c r="K528" s="290"/>
      <c r="L528" s="287" t="s">
        <v>14551</v>
      </c>
      <c r="M528" s="287" t="s">
        <v>6582</v>
      </c>
      <c r="N528" s="286"/>
      <c r="O528" s="287">
        <v>20</v>
      </c>
      <c r="P528" s="305" t="b">
        <v>0</v>
      </c>
      <c r="Q528" s="287" t="s">
        <v>14553</v>
      </c>
      <c r="R528" s="286"/>
      <c r="S528" s="293"/>
      <c r="T528" s="294"/>
      <c r="U528" s="37">
        <v>3738</v>
      </c>
      <c r="V528" s="36" t="str">
        <f>CONCATENATE(Cover!$D$6,"fdd/view?i=",U528)</f>
        <v>https://www.dgiwg.org/FAD/fdd/view?i=3738</v>
      </c>
      <c r="W528" s="172"/>
      <c r="X528" s="172"/>
      <c r="Y528" s="172"/>
    </row>
    <row r="529" spans="1:25" ht="2.1" customHeight="1" x14ac:dyDescent="0.2">
      <c r="A529" s="295"/>
      <c r="B529" s="283"/>
      <c r="C529" s="296"/>
      <c r="D529" s="283"/>
      <c r="E529" s="296"/>
      <c r="F529" s="297"/>
      <c r="G529" s="297"/>
      <c r="H529" s="297"/>
      <c r="I529" s="298"/>
      <c r="J529" s="304"/>
      <c r="K529" s="300"/>
      <c r="L529" s="301"/>
      <c r="M529" s="297" t="s">
        <v>6582</v>
      </c>
      <c r="N529" s="297"/>
      <c r="O529" s="297"/>
      <c r="P529" s="297"/>
      <c r="Q529" s="297"/>
      <c r="R529" s="297"/>
      <c r="S529" s="302"/>
      <c r="T529" s="302"/>
      <c r="U529" s="303"/>
    </row>
    <row r="530" spans="1:25" ht="38.25" x14ac:dyDescent="0.2">
      <c r="A530" s="212" t="str">
        <f>HYPERLINK(V530,B530)</f>
        <v>CtiStrucText</v>
      </c>
      <c r="B530" s="283" t="s">
        <v>8520</v>
      </c>
      <c r="C530" s="284" t="s">
        <v>15101</v>
      </c>
      <c r="D530" s="285"/>
      <c r="E530" s="286"/>
      <c r="F530" s="287" t="s">
        <v>15102</v>
      </c>
      <c r="G530" s="286"/>
      <c r="H530" s="287" t="s">
        <v>14552</v>
      </c>
      <c r="I530" s="288"/>
      <c r="J530" s="289"/>
      <c r="K530" s="290"/>
      <c r="L530" s="287" t="s">
        <v>14551</v>
      </c>
      <c r="M530" s="287" t="s">
        <v>6582</v>
      </c>
      <c r="N530" s="286"/>
      <c r="O530" s="305" t="s">
        <v>14571</v>
      </c>
      <c r="P530" s="305" t="b">
        <v>0</v>
      </c>
      <c r="Q530" s="286"/>
      <c r="R530" s="286"/>
      <c r="S530" s="293"/>
      <c r="T530" s="294"/>
      <c r="U530" s="37">
        <v>1803</v>
      </c>
      <c r="V530" s="36" t="str">
        <f>CONCATENATE(Cover!$D$6,"fdd/view?i=",U530)</f>
        <v>https://www.dgiwg.org/FAD/fdd/view?i=1803</v>
      </c>
      <c r="W530" s="172"/>
      <c r="X530" s="172"/>
      <c r="Y530" s="172"/>
    </row>
    <row r="531" spans="1:25" ht="2.1" customHeight="1" x14ac:dyDescent="0.2">
      <c r="A531" s="295"/>
      <c r="B531" s="283"/>
      <c r="C531" s="296"/>
      <c r="D531" s="283"/>
      <c r="E531" s="296"/>
      <c r="F531" s="297"/>
      <c r="G531" s="297"/>
      <c r="H531" s="297"/>
      <c r="I531" s="298"/>
      <c r="J531" s="304"/>
      <c r="K531" s="300"/>
      <c r="L531" s="301"/>
      <c r="M531" s="297" t="s">
        <v>6582</v>
      </c>
      <c r="N531" s="297"/>
      <c r="O531" s="297"/>
      <c r="P531" s="297"/>
      <c r="Q531" s="297"/>
      <c r="R531" s="297"/>
      <c r="S531" s="302"/>
      <c r="T531" s="302"/>
      <c r="U531" s="303"/>
    </row>
    <row r="532" spans="1:25" ht="25.5" x14ac:dyDescent="0.2">
      <c r="A532" s="212" t="str">
        <f>HYPERLINK(V532,B532)</f>
        <v>CdpCode</v>
      </c>
      <c r="B532" s="283" t="s">
        <v>8526</v>
      </c>
      <c r="C532" s="284" t="s">
        <v>15103</v>
      </c>
      <c r="D532" s="285"/>
      <c r="E532" s="286"/>
      <c r="F532" s="287" t="s">
        <v>15104</v>
      </c>
      <c r="G532" s="286"/>
      <c r="H532" s="286"/>
      <c r="I532" s="288"/>
      <c r="J532" s="289"/>
      <c r="K532" s="290"/>
      <c r="L532" s="371" t="str">
        <f>HYPERLINK("[#]DatatypeListedValues!B3496:H3496","«enumeration»")</f>
        <v>«enumeration»</v>
      </c>
      <c r="M532" s="287" t="s">
        <v>6582</v>
      </c>
      <c r="N532" s="291" t="b">
        <v>0</v>
      </c>
      <c r="O532" s="286"/>
      <c r="P532" s="292"/>
      <c r="Q532" s="286"/>
      <c r="R532" s="286"/>
      <c r="S532" s="293"/>
      <c r="T532" s="294"/>
      <c r="U532" s="37">
        <v>1158</v>
      </c>
      <c r="V532" s="36" t="str">
        <f>CONCATENATE(Cover!$D$6,"fdd/view?i=",U532)</f>
        <v>https://www.dgiwg.org/FAD/fdd/view?i=1158</v>
      </c>
      <c r="W532" s="172"/>
      <c r="X532" s="172"/>
      <c r="Y532" s="172"/>
    </row>
    <row r="533" spans="1:25" ht="2.1" customHeight="1" x14ac:dyDescent="0.2">
      <c r="A533" s="295"/>
      <c r="B533" s="283"/>
      <c r="C533" s="296"/>
      <c r="D533" s="283"/>
      <c r="E533" s="296"/>
      <c r="F533" s="297"/>
      <c r="G533" s="297"/>
      <c r="H533" s="297"/>
      <c r="I533" s="298"/>
      <c r="J533" s="304"/>
      <c r="K533" s="300"/>
      <c r="L533" s="301"/>
      <c r="M533" s="297" t="s">
        <v>6582</v>
      </c>
      <c r="N533" s="297"/>
      <c r="O533" s="297"/>
      <c r="P533" s="297"/>
      <c r="Q533" s="297"/>
      <c r="R533" s="297"/>
      <c r="S533" s="302"/>
      <c r="T533" s="302"/>
      <c r="U533" s="303"/>
    </row>
    <row r="534" spans="1:25" ht="25.5" x14ac:dyDescent="0.2">
      <c r="A534" s="212" t="str">
        <f>HYPERLINK(V534,B534)</f>
        <v>CoeCode</v>
      </c>
      <c r="B534" s="283" t="s">
        <v>8539</v>
      </c>
      <c r="C534" s="284" t="s">
        <v>15105</v>
      </c>
      <c r="D534" s="285"/>
      <c r="E534" s="286"/>
      <c r="F534" s="287" t="s">
        <v>15106</v>
      </c>
      <c r="G534" s="286"/>
      <c r="H534" s="286"/>
      <c r="I534" s="288"/>
      <c r="J534" s="289"/>
      <c r="K534" s="290"/>
      <c r="L534" s="371" t="str">
        <f>HYPERLINK("[#]DatatypeListedValues!B3527:H3527","«enumeration»")</f>
        <v>«enumeration»</v>
      </c>
      <c r="M534" s="287" t="s">
        <v>6582</v>
      </c>
      <c r="N534" s="291" t="b">
        <v>0</v>
      </c>
      <c r="O534" s="286"/>
      <c r="P534" s="292"/>
      <c r="Q534" s="286"/>
      <c r="R534" s="286"/>
      <c r="S534" s="293"/>
      <c r="T534" s="294"/>
      <c r="U534" s="37">
        <v>1172</v>
      </c>
      <c r="V534" s="36" t="str">
        <f>CONCATENATE(Cover!$D$6,"fdd/view?i=",U534)</f>
        <v>https://www.dgiwg.org/FAD/fdd/view?i=1172</v>
      </c>
      <c r="W534" s="172"/>
      <c r="X534" s="172"/>
      <c r="Y534" s="172"/>
    </row>
    <row r="535" spans="1:25" ht="2.1" customHeight="1" x14ac:dyDescent="0.2">
      <c r="A535" s="295"/>
      <c r="B535" s="283"/>
      <c r="C535" s="296"/>
      <c r="D535" s="283"/>
      <c r="E535" s="296"/>
      <c r="F535" s="297"/>
      <c r="G535" s="297"/>
      <c r="H535" s="297"/>
      <c r="I535" s="298"/>
      <c r="J535" s="304"/>
      <c r="K535" s="300"/>
      <c r="L535" s="301"/>
      <c r="M535" s="297" t="s">
        <v>6582</v>
      </c>
      <c r="N535" s="297"/>
      <c r="O535" s="297"/>
      <c r="P535" s="297"/>
      <c r="Q535" s="297"/>
      <c r="R535" s="297"/>
      <c r="S535" s="302"/>
      <c r="T535" s="302"/>
      <c r="U535" s="303"/>
    </row>
    <row r="536" spans="1:25" ht="25.5" x14ac:dyDescent="0.2">
      <c r="A536" s="212" t="str">
        <f>HYPERLINK(V536,B536)</f>
        <v>ExuCode</v>
      </c>
      <c r="B536" s="283" t="s">
        <v>7026</v>
      </c>
      <c r="C536" s="284" t="s">
        <v>15107</v>
      </c>
      <c r="D536" s="285"/>
      <c r="E536" s="286"/>
      <c r="F536" s="287" t="s">
        <v>15108</v>
      </c>
      <c r="G536" s="286"/>
      <c r="H536" s="286"/>
      <c r="I536" s="288"/>
      <c r="J536" s="289"/>
      <c r="K536" s="290"/>
      <c r="L536" s="371" t="str">
        <f>HYPERLINK("[#]DatatypeListedValues!B3530:H3530","«enumeration»")</f>
        <v>«enumeration»</v>
      </c>
      <c r="M536" s="287" t="s">
        <v>6582</v>
      </c>
      <c r="N536" s="291" t="b">
        <v>0</v>
      </c>
      <c r="O536" s="286"/>
      <c r="P536" s="292"/>
      <c r="Q536" s="286"/>
      <c r="R536" s="286"/>
      <c r="S536" s="293"/>
      <c r="T536" s="294"/>
      <c r="U536" s="37">
        <v>114316</v>
      </c>
      <c r="V536" s="36" t="str">
        <f>CONCATENATE(Cover!$D$6,"fdd/view?i=",U536)</f>
        <v>https://www.dgiwg.org/FAD/fdd/view?i=114316</v>
      </c>
      <c r="W536" s="172"/>
      <c r="X536" s="172"/>
      <c r="Y536" s="172"/>
    </row>
    <row r="537" spans="1:25" ht="2.1" customHeight="1" x14ac:dyDescent="0.2">
      <c r="A537" s="295"/>
      <c r="B537" s="283"/>
      <c r="C537" s="296"/>
      <c r="D537" s="283"/>
      <c r="E537" s="296"/>
      <c r="F537" s="297"/>
      <c r="G537" s="297"/>
      <c r="H537" s="297"/>
      <c r="I537" s="298"/>
      <c r="J537" s="304"/>
      <c r="K537" s="300"/>
      <c r="L537" s="301"/>
      <c r="M537" s="297" t="s">
        <v>6582</v>
      </c>
      <c r="N537" s="297"/>
      <c r="O537" s="297"/>
      <c r="P537" s="297"/>
      <c r="Q537" s="297"/>
      <c r="R537" s="297"/>
      <c r="S537" s="302"/>
      <c r="T537" s="302"/>
      <c r="U537" s="303"/>
    </row>
    <row r="538" spans="1:25" ht="25.5" x14ac:dyDescent="0.2">
      <c r="A538" s="212" t="str">
        <f>HYPERLINK(V538,B538)</f>
        <v>MznCode</v>
      </c>
      <c r="B538" s="283" t="s">
        <v>8562</v>
      </c>
      <c r="C538" s="284" t="s">
        <v>15109</v>
      </c>
      <c r="D538" s="285"/>
      <c r="E538" s="286"/>
      <c r="F538" s="287" t="s">
        <v>15110</v>
      </c>
      <c r="G538" s="286"/>
      <c r="H538" s="286"/>
      <c r="I538" s="288"/>
      <c r="J538" s="289"/>
      <c r="K538" s="290"/>
      <c r="L538" s="371" t="str">
        <f>HYPERLINK("[#]DatatypeListedValues!B3534:H3534","«enumeration»")</f>
        <v>«enumeration»</v>
      </c>
      <c r="M538" s="287" t="s">
        <v>6582</v>
      </c>
      <c r="N538" s="291" t="b">
        <v>0</v>
      </c>
      <c r="O538" s="286"/>
      <c r="P538" s="292"/>
      <c r="Q538" s="286"/>
      <c r="R538" s="286"/>
      <c r="S538" s="293"/>
      <c r="T538" s="294"/>
      <c r="U538" s="37">
        <v>118925</v>
      </c>
      <c r="V538" s="36" t="str">
        <f>CONCATENATE(Cover!$D$6,"fdd/view?i=",U538)</f>
        <v>https://www.dgiwg.org/FAD/fdd/view?i=118925</v>
      </c>
      <c r="W538" s="172"/>
      <c r="X538" s="172"/>
      <c r="Y538" s="172"/>
    </row>
    <row r="539" spans="1:25" ht="2.1" customHeight="1" x14ac:dyDescent="0.2">
      <c r="A539" s="295"/>
      <c r="B539" s="283"/>
      <c r="C539" s="296"/>
      <c r="D539" s="283"/>
      <c r="E539" s="296"/>
      <c r="F539" s="297"/>
      <c r="G539" s="297"/>
      <c r="H539" s="297"/>
      <c r="I539" s="298"/>
      <c r="J539" s="304"/>
      <c r="K539" s="300"/>
      <c r="L539" s="301"/>
      <c r="M539" s="297" t="s">
        <v>6582</v>
      </c>
      <c r="N539" s="297"/>
      <c r="O539" s="297"/>
      <c r="P539" s="297"/>
      <c r="Q539" s="297"/>
      <c r="R539" s="297"/>
      <c r="S539" s="302"/>
      <c r="T539" s="302"/>
      <c r="U539" s="303"/>
    </row>
    <row r="540" spans="1:25" ht="25.5" x14ac:dyDescent="0.2">
      <c r="A540" s="212" t="str">
        <f>HYPERLINK(V540,B540)</f>
        <v>EtsCode</v>
      </c>
      <c r="B540" s="283" t="s">
        <v>8567</v>
      </c>
      <c r="C540" s="284" t="s">
        <v>15111</v>
      </c>
      <c r="D540" s="285"/>
      <c r="E540" s="286"/>
      <c r="F540" s="287" t="s">
        <v>15112</v>
      </c>
      <c r="G540" s="286"/>
      <c r="H540" s="286"/>
      <c r="I540" s="288"/>
      <c r="J540" s="289"/>
      <c r="K540" s="290"/>
      <c r="L540" s="371" t="str">
        <f>HYPERLINK("[#]DatatypeListedValues!B3543:H3543","«enumeration»")</f>
        <v>«enumeration»</v>
      </c>
      <c r="M540" s="287" t="s">
        <v>6582</v>
      </c>
      <c r="N540" s="291" t="b">
        <v>0</v>
      </c>
      <c r="O540" s="286"/>
      <c r="P540" s="292"/>
      <c r="Q540" s="286"/>
      <c r="R540" s="286"/>
      <c r="S540" s="293"/>
      <c r="T540" s="294"/>
      <c r="U540" s="37">
        <v>114250</v>
      </c>
      <c r="V540" s="36" t="str">
        <f>CONCATENATE(Cover!$D$6,"fdd/view?i=",U540)</f>
        <v>https://www.dgiwg.org/FAD/fdd/view?i=114250</v>
      </c>
      <c r="W540" s="172"/>
      <c r="X540" s="172"/>
      <c r="Y540" s="172"/>
    </row>
    <row r="541" spans="1:25" ht="2.1" customHeight="1" x14ac:dyDescent="0.2">
      <c r="A541" s="295"/>
      <c r="B541" s="283"/>
      <c r="C541" s="296"/>
      <c r="D541" s="283"/>
      <c r="E541" s="296"/>
      <c r="F541" s="297"/>
      <c r="G541" s="297"/>
      <c r="H541" s="297"/>
      <c r="I541" s="298"/>
      <c r="J541" s="304"/>
      <c r="K541" s="300"/>
      <c r="L541" s="301"/>
      <c r="M541" s="297" t="s">
        <v>6582</v>
      </c>
      <c r="N541" s="297"/>
      <c r="O541" s="297"/>
      <c r="P541" s="297"/>
      <c r="Q541" s="297"/>
      <c r="R541" s="297"/>
      <c r="S541" s="302"/>
      <c r="T541" s="302"/>
      <c r="U541" s="303"/>
    </row>
    <row r="542" spans="1:25" ht="38.25" x14ac:dyDescent="0.2">
      <c r="A542" s="212" t="str">
        <f>HYPERLINK(V542,B542)</f>
        <v>TmsStrucText</v>
      </c>
      <c r="B542" s="283" t="s">
        <v>8577</v>
      </c>
      <c r="C542" s="284" t="s">
        <v>15113</v>
      </c>
      <c r="D542" s="285"/>
      <c r="E542" s="286"/>
      <c r="F542" s="287" t="s">
        <v>15114</v>
      </c>
      <c r="G542" s="286"/>
      <c r="H542" s="287" t="s">
        <v>14552</v>
      </c>
      <c r="I542" s="288"/>
      <c r="J542" s="289"/>
      <c r="K542" s="290"/>
      <c r="L542" s="287" t="s">
        <v>14551</v>
      </c>
      <c r="M542" s="287" t="s">
        <v>6582</v>
      </c>
      <c r="N542" s="286"/>
      <c r="O542" s="287">
        <v>80</v>
      </c>
      <c r="P542" s="305" t="b">
        <v>0</v>
      </c>
      <c r="Q542" s="286"/>
      <c r="R542" s="286"/>
      <c r="S542" s="293"/>
      <c r="T542" s="294"/>
      <c r="U542" s="37">
        <v>3760</v>
      </c>
      <c r="V542" s="36" t="str">
        <f>CONCATENATE(Cover!$D$6,"fdd/view?i=",U542)</f>
        <v>https://www.dgiwg.org/FAD/fdd/view?i=3760</v>
      </c>
      <c r="W542" s="172"/>
      <c r="X542" s="172"/>
      <c r="Y542" s="172"/>
    </row>
    <row r="543" spans="1:25" ht="2.1" customHeight="1" x14ac:dyDescent="0.2">
      <c r="A543" s="295"/>
      <c r="B543" s="283"/>
      <c r="C543" s="296"/>
      <c r="D543" s="283"/>
      <c r="E543" s="296"/>
      <c r="F543" s="297"/>
      <c r="G543" s="297"/>
      <c r="H543" s="297"/>
      <c r="I543" s="298"/>
      <c r="J543" s="304"/>
      <c r="K543" s="300"/>
      <c r="L543" s="301"/>
      <c r="M543" s="297" t="s">
        <v>6582</v>
      </c>
      <c r="N543" s="297"/>
      <c r="O543" s="297"/>
      <c r="P543" s="297"/>
      <c r="Q543" s="297"/>
      <c r="R543" s="297"/>
      <c r="S543" s="302"/>
      <c r="T543" s="302"/>
      <c r="U543" s="303"/>
    </row>
    <row r="544" spans="1:25" ht="25.5" x14ac:dyDescent="0.2">
      <c r="A544" s="212" t="str">
        <f>HYPERLINK(V544,B544)</f>
        <v>FtpCode</v>
      </c>
      <c r="B544" s="283" t="s">
        <v>8582</v>
      </c>
      <c r="C544" s="284" t="s">
        <v>15115</v>
      </c>
      <c r="D544" s="285"/>
      <c r="E544" s="286"/>
      <c r="F544" s="287" t="s">
        <v>15116</v>
      </c>
      <c r="G544" s="286"/>
      <c r="H544" s="286"/>
      <c r="I544" s="288"/>
      <c r="J544" s="289"/>
      <c r="K544" s="290"/>
      <c r="L544" s="371" t="str">
        <f>HYPERLINK("[#]DatatypeListedValues!B3594:H3594","«enumeration»")</f>
        <v>«enumeration»</v>
      </c>
      <c r="M544" s="287" t="s">
        <v>6582</v>
      </c>
      <c r="N544" s="291" t="b">
        <v>0</v>
      </c>
      <c r="O544" s="286"/>
      <c r="P544" s="292"/>
      <c r="Q544" s="286"/>
      <c r="R544" s="286"/>
      <c r="S544" s="293"/>
      <c r="T544" s="294"/>
      <c r="U544" s="37">
        <v>1226</v>
      </c>
      <c r="V544" s="36" t="str">
        <f>CONCATENATE(Cover!$D$6,"fdd/view?i=",U544)</f>
        <v>https://www.dgiwg.org/FAD/fdd/view?i=1226</v>
      </c>
      <c r="W544" s="172"/>
      <c r="X544" s="172"/>
      <c r="Y544" s="172"/>
    </row>
    <row r="545" spans="1:25" ht="2.1" customHeight="1" x14ac:dyDescent="0.2">
      <c r="A545" s="295"/>
      <c r="B545" s="283"/>
      <c r="C545" s="296"/>
      <c r="D545" s="283"/>
      <c r="E545" s="296"/>
      <c r="F545" s="297"/>
      <c r="G545" s="297"/>
      <c r="H545" s="297"/>
      <c r="I545" s="298"/>
      <c r="J545" s="304"/>
      <c r="K545" s="300"/>
      <c r="L545" s="301"/>
      <c r="M545" s="297" t="s">
        <v>6582</v>
      </c>
      <c r="N545" s="297"/>
      <c r="O545" s="297"/>
      <c r="P545" s="297"/>
      <c r="Q545" s="297"/>
      <c r="R545" s="297"/>
      <c r="S545" s="302"/>
      <c r="T545" s="302"/>
      <c r="U545" s="303"/>
    </row>
    <row r="546" spans="1:25" ht="25.5" x14ac:dyDescent="0.2">
      <c r="A546" s="212" t="str">
        <f>HYPERLINK(V546,B546)</f>
        <v>CosCode</v>
      </c>
      <c r="B546" s="283" t="s">
        <v>8588</v>
      </c>
      <c r="C546" s="284" t="s">
        <v>15117</v>
      </c>
      <c r="D546" s="285"/>
      <c r="E546" s="286"/>
      <c r="F546" s="287" t="s">
        <v>15118</v>
      </c>
      <c r="G546" s="286"/>
      <c r="H546" s="286"/>
      <c r="I546" s="288"/>
      <c r="J546" s="289"/>
      <c r="K546" s="290"/>
      <c r="L546" s="371" t="str">
        <f>HYPERLINK("[#]DatatypeListedValues!B3596:H3596","«enumeration»")</f>
        <v>«enumeration»</v>
      </c>
      <c r="M546" s="287" t="s">
        <v>6582</v>
      </c>
      <c r="N546" s="291" t="b">
        <v>0</v>
      </c>
      <c r="O546" s="286"/>
      <c r="P546" s="292"/>
      <c r="Q546" s="286"/>
      <c r="R546" s="286"/>
      <c r="S546" s="293"/>
      <c r="T546" s="294"/>
      <c r="U546" s="37">
        <v>1175</v>
      </c>
      <c r="V546" s="36" t="str">
        <f>CONCATENATE(Cover!$D$6,"fdd/view?i=",U546)</f>
        <v>https://www.dgiwg.org/FAD/fdd/view?i=1175</v>
      </c>
      <c r="W546" s="172"/>
      <c r="X546" s="172"/>
      <c r="Y546" s="172"/>
    </row>
    <row r="547" spans="1:25" ht="2.1" customHeight="1" x14ac:dyDescent="0.2">
      <c r="A547" s="295"/>
      <c r="B547" s="283"/>
      <c r="C547" s="296"/>
      <c r="D547" s="283"/>
      <c r="E547" s="296"/>
      <c r="F547" s="297"/>
      <c r="G547" s="297"/>
      <c r="H547" s="297"/>
      <c r="I547" s="298"/>
      <c r="J547" s="304"/>
      <c r="K547" s="300"/>
      <c r="L547" s="301"/>
      <c r="M547" s="297" t="s">
        <v>6582</v>
      </c>
      <c r="N547" s="297"/>
      <c r="O547" s="297"/>
      <c r="P547" s="297"/>
      <c r="Q547" s="297"/>
      <c r="R547" s="297"/>
      <c r="S547" s="302"/>
      <c r="T547" s="302"/>
      <c r="U547" s="303"/>
    </row>
    <row r="548" spans="1:25" ht="25.5" x14ac:dyDescent="0.2">
      <c r="A548" s="212" t="str">
        <f>HYPERLINK(V548,B548)</f>
        <v>FggCode</v>
      </c>
      <c r="B548" s="283" t="s">
        <v>8594</v>
      </c>
      <c r="C548" s="284" t="s">
        <v>15119</v>
      </c>
      <c r="D548" s="285"/>
      <c r="E548" s="286"/>
      <c r="F548" s="287" t="s">
        <v>15120</v>
      </c>
      <c r="G548" s="286"/>
      <c r="H548" s="286"/>
      <c r="I548" s="288"/>
      <c r="J548" s="289"/>
      <c r="K548" s="290"/>
      <c r="L548" s="371" t="str">
        <f>HYPERLINK("[#]DatatypeListedValues!B3610:H3610","«enumeration»")</f>
        <v>«enumeration»</v>
      </c>
      <c r="M548" s="287" t="s">
        <v>6582</v>
      </c>
      <c r="N548" s="291" t="b">
        <v>0</v>
      </c>
      <c r="O548" s="286"/>
      <c r="P548" s="292"/>
      <c r="Q548" s="286"/>
      <c r="R548" s="286"/>
      <c r="S548" s="293"/>
      <c r="T548" s="294"/>
      <c r="U548" s="37">
        <v>1831</v>
      </c>
      <c r="V548" s="36" t="str">
        <f>CONCATENATE(Cover!$D$6,"fdd/view?i=",U548)</f>
        <v>https://www.dgiwg.org/FAD/fdd/view?i=1831</v>
      </c>
      <c r="W548" s="172"/>
      <c r="X548" s="172"/>
      <c r="Y548" s="172"/>
    </row>
    <row r="549" spans="1:25" ht="2.1" customHeight="1" x14ac:dyDescent="0.2">
      <c r="A549" s="295"/>
      <c r="B549" s="283"/>
      <c r="C549" s="296"/>
      <c r="D549" s="283"/>
      <c r="E549" s="296"/>
      <c r="F549" s="297"/>
      <c r="G549" s="297"/>
      <c r="H549" s="297"/>
      <c r="I549" s="298"/>
      <c r="J549" s="304"/>
      <c r="K549" s="300"/>
      <c r="L549" s="301"/>
      <c r="M549" s="297" t="s">
        <v>6582</v>
      </c>
      <c r="N549" s="297"/>
      <c r="O549" s="297"/>
      <c r="P549" s="297"/>
      <c r="Q549" s="297"/>
      <c r="R549" s="297"/>
      <c r="S549" s="302"/>
      <c r="T549" s="302"/>
      <c r="U549" s="303"/>
    </row>
    <row r="550" spans="1:25" ht="25.5" x14ac:dyDescent="0.2">
      <c r="A550" s="212" t="str">
        <f>HYPERLINK(V550,B550)</f>
        <v>FmmCode</v>
      </c>
      <c r="B550" s="283" t="s">
        <v>8599</v>
      </c>
      <c r="C550" s="284" t="s">
        <v>15121</v>
      </c>
      <c r="D550" s="285"/>
      <c r="E550" s="286"/>
      <c r="F550" s="287" t="s">
        <v>15122</v>
      </c>
      <c r="G550" s="286"/>
      <c r="H550" s="286"/>
      <c r="I550" s="288"/>
      <c r="J550" s="289"/>
      <c r="K550" s="290"/>
      <c r="L550" s="371" t="str">
        <f>HYPERLINK("[#]DatatypeListedValues!B3642:H3642","«enumeration»")</f>
        <v>«enumeration»</v>
      </c>
      <c r="M550" s="287" t="s">
        <v>6582</v>
      </c>
      <c r="N550" s="291" t="b">
        <v>0</v>
      </c>
      <c r="O550" s="286"/>
      <c r="P550" s="292"/>
      <c r="Q550" s="286"/>
      <c r="R550" s="286"/>
      <c r="S550" s="293"/>
      <c r="T550" s="294"/>
      <c r="U550" s="37">
        <v>1221</v>
      </c>
      <c r="V550" s="36" t="str">
        <f>CONCATENATE(Cover!$D$6,"fdd/view?i=",U550)</f>
        <v>https://www.dgiwg.org/FAD/fdd/view?i=1221</v>
      </c>
      <c r="W550" s="172"/>
      <c r="X550" s="172"/>
      <c r="Y550" s="172"/>
    </row>
    <row r="551" spans="1:25" ht="2.1" customHeight="1" x14ac:dyDescent="0.2">
      <c r="A551" s="295"/>
      <c r="B551" s="283"/>
      <c r="C551" s="296"/>
      <c r="D551" s="283"/>
      <c r="E551" s="296"/>
      <c r="F551" s="297"/>
      <c r="G551" s="297"/>
      <c r="H551" s="297"/>
      <c r="I551" s="298"/>
      <c r="J551" s="304"/>
      <c r="K551" s="300"/>
      <c r="L551" s="301"/>
      <c r="M551" s="297" t="s">
        <v>6582</v>
      </c>
      <c r="N551" s="297"/>
      <c r="O551" s="297"/>
      <c r="P551" s="297"/>
      <c r="Q551" s="297"/>
      <c r="R551" s="297"/>
      <c r="S551" s="302"/>
      <c r="T551" s="302"/>
      <c r="U551" s="303"/>
    </row>
    <row r="552" spans="1:25" ht="25.5" x14ac:dyDescent="0.2">
      <c r="A552" s="212" t="str">
        <f>HYPERLINK(V552,B552)</f>
        <v>FfpCode</v>
      </c>
      <c r="B552" s="283" t="s">
        <v>8604</v>
      </c>
      <c r="C552" s="284" t="s">
        <v>15123</v>
      </c>
      <c r="D552" s="285"/>
      <c r="E552" s="286"/>
      <c r="F552" s="287" t="s">
        <v>15124</v>
      </c>
      <c r="G552" s="286"/>
      <c r="H552" s="286"/>
      <c r="I552" s="288"/>
      <c r="J552" s="289"/>
      <c r="K552" s="290"/>
      <c r="L552" s="371" t="str">
        <f>HYPERLINK("[#]DatatypeListedValues!B3646:H3646","«enumeration»")</f>
        <v>«enumeration»</v>
      </c>
      <c r="M552" s="287" t="s">
        <v>6582</v>
      </c>
      <c r="N552" s="291" t="b">
        <v>0</v>
      </c>
      <c r="O552" s="286"/>
      <c r="P552" s="292"/>
      <c r="Q552" s="286"/>
      <c r="R552" s="286"/>
      <c r="S552" s="293"/>
      <c r="T552" s="294"/>
      <c r="U552" s="37">
        <v>1217</v>
      </c>
      <c r="V552" s="36" t="str">
        <f>CONCATENATE(Cover!$D$6,"fdd/view?i=",U552)</f>
        <v>https://www.dgiwg.org/FAD/fdd/view?i=1217</v>
      </c>
      <c r="W552" s="172"/>
      <c r="X552" s="172"/>
      <c r="Y552" s="172"/>
    </row>
    <row r="553" spans="1:25" ht="2.1" customHeight="1" x14ac:dyDescent="0.2">
      <c r="A553" s="295"/>
      <c r="B553" s="283"/>
      <c r="C553" s="296"/>
      <c r="D553" s="283"/>
      <c r="E553" s="296"/>
      <c r="F553" s="297"/>
      <c r="G553" s="297"/>
      <c r="H553" s="297"/>
      <c r="I553" s="298"/>
      <c r="J553" s="304"/>
      <c r="K553" s="300"/>
      <c r="L553" s="301"/>
      <c r="M553" s="297" t="s">
        <v>6582</v>
      </c>
      <c r="N553" s="297"/>
      <c r="O553" s="297"/>
      <c r="P553" s="297"/>
      <c r="Q553" s="297"/>
      <c r="R553" s="297"/>
      <c r="S553" s="302"/>
      <c r="T553" s="302"/>
      <c r="U553" s="303"/>
    </row>
    <row r="554" spans="1:25" ht="25.5" x14ac:dyDescent="0.2">
      <c r="A554" s="212" t="str">
        <f>HYPERLINK(V554,B554)</f>
        <v>FcoCode</v>
      </c>
      <c r="B554" s="283" t="s">
        <v>8609</v>
      </c>
      <c r="C554" s="284" t="s">
        <v>15125</v>
      </c>
      <c r="D554" s="285"/>
      <c r="E554" s="286"/>
      <c r="F554" s="287" t="s">
        <v>15126</v>
      </c>
      <c r="G554" s="286"/>
      <c r="H554" s="286"/>
      <c r="I554" s="288"/>
      <c r="J554" s="289"/>
      <c r="K554" s="290"/>
      <c r="L554" s="371" t="str">
        <f>HYPERLINK("[#]DatatypeListedValues!B3654:H3654","«enumeration»")</f>
        <v>«enumeration»</v>
      </c>
      <c r="M554" s="287" t="s">
        <v>6582</v>
      </c>
      <c r="N554" s="291" t="b">
        <v>0</v>
      </c>
      <c r="O554" s="286"/>
      <c r="P554" s="292"/>
      <c r="Q554" s="286"/>
      <c r="R554" s="286"/>
      <c r="S554" s="293"/>
      <c r="T554" s="294"/>
      <c r="U554" s="37">
        <v>1210</v>
      </c>
      <c r="V554" s="36" t="str">
        <f>CONCATENATE(Cover!$D$6,"fdd/view?i=",U554)</f>
        <v>https://www.dgiwg.org/FAD/fdd/view?i=1210</v>
      </c>
      <c r="W554" s="172"/>
      <c r="X554" s="172"/>
      <c r="Y554" s="172"/>
    </row>
    <row r="555" spans="1:25" ht="2.1" customHeight="1" x14ac:dyDescent="0.2">
      <c r="A555" s="295"/>
      <c r="B555" s="283"/>
      <c r="C555" s="296"/>
      <c r="D555" s="283"/>
      <c r="E555" s="296"/>
      <c r="F555" s="297"/>
      <c r="G555" s="297"/>
      <c r="H555" s="297"/>
      <c r="I555" s="298"/>
      <c r="J555" s="304"/>
      <c r="K555" s="300"/>
      <c r="L555" s="301"/>
      <c r="M555" s="297" t="s">
        <v>6582</v>
      </c>
      <c r="N555" s="297"/>
      <c r="O555" s="297"/>
      <c r="P555" s="297"/>
      <c r="Q555" s="297"/>
      <c r="R555" s="297"/>
      <c r="S555" s="302"/>
      <c r="T555" s="302"/>
      <c r="U555" s="303"/>
    </row>
    <row r="556" spans="1:25" ht="25.5" x14ac:dyDescent="0.2">
      <c r="A556" s="212" t="str">
        <f>HYPERLINK(V556,B556)</f>
        <v>FfnCode</v>
      </c>
      <c r="B556" s="283" t="s">
        <v>8623</v>
      </c>
      <c r="C556" s="284" t="s">
        <v>15127</v>
      </c>
      <c r="D556" s="285"/>
      <c r="E556" s="286"/>
      <c r="F556" s="287" t="s">
        <v>15128</v>
      </c>
      <c r="G556" s="286"/>
      <c r="H556" s="286"/>
      <c r="I556" s="288"/>
      <c r="J556" s="289"/>
      <c r="K556" s="290"/>
      <c r="L556" s="371" t="str">
        <f>HYPERLINK("[#]DatatypeListedValues!B3658:H3658","«enumeration»")</f>
        <v>«enumeration»</v>
      </c>
      <c r="M556" s="287" t="s">
        <v>6582</v>
      </c>
      <c r="N556" s="291" t="b">
        <v>0</v>
      </c>
      <c r="O556" s="286"/>
      <c r="P556" s="292"/>
      <c r="Q556" s="286"/>
      <c r="R556" s="286"/>
      <c r="S556" s="293"/>
      <c r="T556" s="294"/>
      <c r="U556" s="37">
        <v>1830</v>
      </c>
      <c r="V556" s="36" t="str">
        <f>CONCATENATE(Cover!$D$6,"fdd/view?i=",U556)</f>
        <v>https://www.dgiwg.org/FAD/fdd/view?i=1830</v>
      </c>
      <c r="W556" s="172"/>
      <c r="X556" s="172"/>
      <c r="Y556" s="172"/>
    </row>
    <row r="557" spans="1:25" ht="2.1" customHeight="1" x14ac:dyDescent="0.2">
      <c r="A557" s="295"/>
      <c r="B557" s="283"/>
      <c r="C557" s="296"/>
      <c r="D557" s="283"/>
      <c r="E557" s="296"/>
      <c r="F557" s="297"/>
      <c r="G557" s="297"/>
      <c r="H557" s="297"/>
      <c r="I557" s="298"/>
      <c r="J557" s="304"/>
      <c r="K557" s="300"/>
      <c r="L557" s="301"/>
      <c r="M557" s="297" t="s">
        <v>6582</v>
      </c>
      <c r="N557" s="297"/>
      <c r="O557" s="297"/>
      <c r="P557" s="297"/>
      <c r="Q557" s="297"/>
      <c r="R557" s="297"/>
      <c r="S557" s="302"/>
      <c r="T557" s="302"/>
      <c r="U557" s="303"/>
    </row>
    <row r="558" spans="1:25" ht="25.5" x14ac:dyDescent="0.2">
      <c r="A558" s="212" t="str">
        <f>HYPERLINK(V558,B558)</f>
        <v>FvoCode</v>
      </c>
      <c r="B558" s="283" t="s">
        <v>8646</v>
      </c>
      <c r="C558" s="284" t="s">
        <v>15129</v>
      </c>
      <c r="D558" s="285"/>
      <c r="E558" s="286"/>
      <c r="F558" s="287" t="s">
        <v>15130</v>
      </c>
      <c r="G558" s="286"/>
      <c r="H558" s="286"/>
      <c r="I558" s="288"/>
      <c r="J558" s="289"/>
      <c r="K558" s="290"/>
      <c r="L558" s="371" t="str">
        <f>HYPERLINK("[#]DatatypeListedValues!B3963:H3963","«enumeration»")</f>
        <v>«enumeration»</v>
      </c>
      <c r="M558" s="287" t="s">
        <v>6582</v>
      </c>
      <c r="N558" s="291" t="b">
        <v>0</v>
      </c>
      <c r="O558" s="286"/>
      <c r="P558" s="292"/>
      <c r="Q558" s="286"/>
      <c r="R558" s="286"/>
      <c r="S558" s="293"/>
      <c r="T558" s="294"/>
      <c r="U558" s="37">
        <v>1229</v>
      </c>
      <c r="V558" s="36" t="str">
        <f>CONCATENATE(Cover!$D$6,"fdd/view?i=",U558)</f>
        <v>https://www.dgiwg.org/FAD/fdd/view?i=1229</v>
      </c>
      <c r="W558" s="172"/>
      <c r="X558" s="172"/>
      <c r="Y558" s="172"/>
    </row>
    <row r="559" spans="1:25" ht="2.1" customHeight="1" x14ac:dyDescent="0.2">
      <c r="A559" s="295"/>
      <c r="B559" s="283"/>
      <c r="C559" s="296"/>
      <c r="D559" s="283"/>
      <c r="E559" s="296"/>
      <c r="F559" s="297"/>
      <c r="G559" s="297"/>
      <c r="H559" s="297"/>
      <c r="I559" s="298"/>
      <c r="J559" s="304"/>
      <c r="K559" s="300"/>
      <c r="L559" s="301"/>
      <c r="M559" s="297" t="s">
        <v>6582</v>
      </c>
      <c r="N559" s="297"/>
      <c r="O559" s="297"/>
      <c r="P559" s="297"/>
      <c r="Q559" s="297"/>
      <c r="R559" s="297"/>
      <c r="S559" s="302"/>
      <c r="T559" s="302"/>
      <c r="U559" s="303"/>
    </row>
    <row r="560" spans="1:25" ht="25.5" x14ac:dyDescent="0.2">
      <c r="A560" s="212" t="str">
        <f>HYPERLINK(V560,B560)</f>
        <v>FefCode</v>
      </c>
      <c r="B560" s="283" t="s">
        <v>8675</v>
      </c>
      <c r="C560" s="284" t="s">
        <v>15131</v>
      </c>
      <c r="D560" s="285"/>
      <c r="E560" s="286"/>
      <c r="F560" s="287" t="s">
        <v>15132</v>
      </c>
      <c r="G560" s="286"/>
      <c r="H560" s="286"/>
      <c r="I560" s="288"/>
      <c r="J560" s="289"/>
      <c r="K560" s="290"/>
      <c r="L560" s="371" t="str">
        <f>HYPERLINK("[#]DatatypeListedValues!B3968:H3968","«enumeration»")</f>
        <v>«enumeration»</v>
      </c>
      <c r="M560" s="287" t="s">
        <v>6582</v>
      </c>
      <c r="N560" s="291" t="b">
        <v>0</v>
      </c>
      <c r="O560" s="286"/>
      <c r="P560" s="292"/>
      <c r="Q560" s="286"/>
      <c r="R560" s="286"/>
      <c r="S560" s="293"/>
      <c r="T560" s="294"/>
      <c r="U560" s="37">
        <v>118651</v>
      </c>
      <c r="V560" s="36" t="str">
        <f>CONCATENATE(Cover!$D$6,"fdd/view?i=",U560)</f>
        <v>https://www.dgiwg.org/FAD/fdd/view?i=118651</v>
      </c>
      <c r="W560" s="172"/>
      <c r="X560" s="172"/>
      <c r="Y560" s="172"/>
    </row>
    <row r="561" spans="1:25" ht="2.1" customHeight="1" x14ac:dyDescent="0.2">
      <c r="A561" s="295"/>
      <c r="B561" s="283"/>
      <c r="C561" s="296"/>
      <c r="D561" s="283"/>
      <c r="E561" s="296"/>
      <c r="F561" s="297"/>
      <c r="G561" s="297"/>
      <c r="H561" s="297"/>
      <c r="I561" s="298"/>
      <c r="J561" s="304"/>
      <c r="K561" s="300"/>
      <c r="L561" s="301"/>
      <c r="M561" s="297" t="s">
        <v>6582</v>
      </c>
      <c r="N561" s="297"/>
      <c r="O561" s="297"/>
      <c r="P561" s="297"/>
      <c r="Q561" s="297"/>
      <c r="R561" s="297"/>
      <c r="S561" s="302"/>
      <c r="T561" s="302"/>
      <c r="U561" s="303"/>
    </row>
    <row r="562" spans="1:25" ht="25.5" x14ac:dyDescent="0.2">
      <c r="A562" s="212" t="str">
        <f>HYPERLINK(V562,B562)</f>
        <v>FtiCode</v>
      </c>
      <c r="B562" s="283" t="s">
        <v>8680</v>
      </c>
      <c r="C562" s="284" t="s">
        <v>15133</v>
      </c>
      <c r="D562" s="285"/>
      <c r="E562" s="286"/>
      <c r="F562" s="287" t="s">
        <v>15134</v>
      </c>
      <c r="G562" s="286"/>
      <c r="H562" s="286"/>
      <c r="I562" s="288"/>
      <c r="J562" s="289"/>
      <c r="K562" s="290"/>
      <c r="L562" s="371" t="str">
        <f>HYPERLINK("[#]DatatypeListedValues!B3973:H3973","«enumeration»")</f>
        <v>«enumeration»</v>
      </c>
      <c r="M562" s="287" t="s">
        <v>6582</v>
      </c>
      <c r="N562" s="291" t="b">
        <v>0</v>
      </c>
      <c r="O562" s="286"/>
      <c r="P562" s="292"/>
      <c r="Q562" s="286"/>
      <c r="R562" s="286"/>
      <c r="S562" s="293"/>
      <c r="T562" s="294"/>
      <c r="U562" s="37">
        <v>1225</v>
      </c>
      <c r="V562" s="36" t="str">
        <f>CONCATENATE(Cover!$D$6,"fdd/view?i=",U562)</f>
        <v>https://www.dgiwg.org/FAD/fdd/view?i=1225</v>
      </c>
      <c r="W562" s="172"/>
      <c r="X562" s="172"/>
      <c r="Y562" s="172"/>
    </row>
    <row r="563" spans="1:25" ht="2.1" customHeight="1" x14ac:dyDescent="0.2">
      <c r="A563" s="295"/>
      <c r="B563" s="283"/>
      <c r="C563" s="296"/>
      <c r="D563" s="283"/>
      <c r="E563" s="296"/>
      <c r="F563" s="297"/>
      <c r="G563" s="297"/>
      <c r="H563" s="297"/>
      <c r="I563" s="298"/>
      <c r="J563" s="304"/>
      <c r="K563" s="300"/>
      <c r="L563" s="301"/>
      <c r="M563" s="297" t="s">
        <v>6582</v>
      </c>
      <c r="N563" s="297"/>
      <c r="O563" s="297"/>
      <c r="P563" s="297"/>
      <c r="Q563" s="297"/>
      <c r="R563" s="297"/>
      <c r="S563" s="302"/>
      <c r="T563" s="302"/>
      <c r="U563" s="303"/>
    </row>
    <row r="564" spans="1:25" ht="178.5" x14ac:dyDescent="0.2">
      <c r="A564" s="212" t="str">
        <f>HYPERLINK(V564,B564)</f>
        <v>FctStrucText</v>
      </c>
      <c r="B564" s="283" t="s">
        <v>8698</v>
      </c>
      <c r="C564" s="284" t="s">
        <v>15135</v>
      </c>
      <c r="D564" s="285"/>
      <c r="E564" s="286"/>
      <c r="F564" s="287" t="s">
        <v>15136</v>
      </c>
      <c r="G564" s="286"/>
      <c r="H564" s="287" t="s">
        <v>14552</v>
      </c>
      <c r="I564" s="288"/>
      <c r="J564" s="289"/>
      <c r="K564" s="290"/>
      <c r="L564" s="287" t="s">
        <v>14551</v>
      </c>
      <c r="M564" s="287" t="s">
        <v>6582</v>
      </c>
      <c r="N564" s="286"/>
      <c r="O564" s="287">
        <v>20</v>
      </c>
      <c r="P564" s="305" t="b">
        <v>0</v>
      </c>
      <c r="Q564" s="287" t="s">
        <v>15137</v>
      </c>
      <c r="R564" s="286"/>
      <c r="S564" s="293"/>
      <c r="T564" s="294"/>
      <c r="U564" s="37">
        <v>118160</v>
      </c>
      <c r="V564" s="36" t="str">
        <f>CONCATENATE(Cover!$D$6,"fdd/view?i=",U564)</f>
        <v>https://www.dgiwg.org/FAD/fdd/view?i=118160</v>
      </c>
      <c r="W564" s="172"/>
      <c r="X564" s="172"/>
      <c r="Y564" s="172"/>
    </row>
    <row r="565" spans="1:25" ht="2.1" customHeight="1" x14ac:dyDescent="0.2">
      <c r="A565" s="295"/>
      <c r="B565" s="283"/>
      <c r="C565" s="296"/>
      <c r="D565" s="283"/>
      <c r="E565" s="296"/>
      <c r="F565" s="297"/>
      <c r="G565" s="297"/>
      <c r="H565" s="297"/>
      <c r="I565" s="298"/>
      <c r="J565" s="304"/>
      <c r="K565" s="300"/>
      <c r="L565" s="301"/>
      <c r="M565" s="297" t="s">
        <v>6582</v>
      </c>
      <c r="N565" s="297"/>
      <c r="O565" s="297"/>
      <c r="P565" s="297"/>
      <c r="Q565" s="297"/>
      <c r="R565" s="297"/>
      <c r="S565" s="302"/>
      <c r="T565" s="302"/>
      <c r="U565" s="303"/>
    </row>
    <row r="566" spans="1:25" ht="25.5" x14ac:dyDescent="0.2">
      <c r="A566" s="212" t="str">
        <f>HYPERLINK(V566,B566)</f>
        <v>FerCode</v>
      </c>
      <c r="B566" s="283" t="s">
        <v>8703</v>
      </c>
      <c r="C566" s="284" t="s">
        <v>15138</v>
      </c>
      <c r="D566" s="285"/>
      <c r="E566" s="286"/>
      <c r="F566" s="287" t="s">
        <v>15139</v>
      </c>
      <c r="G566" s="286"/>
      <c r="H566" s="286"/>
      <c r="I566" s="288"/>
      <c r="J566" s="289"/>
      <c r="K566" s="290"/>
      <c r="L566" s="371" t="str">
        <f>HYPERLINK("[#]DatatypeListedValues!B3982:H3982","«enumeration»")</f>
        <v>«enumeration»</v>
      </c>
      <c r="M566" s="287" t="s">
        <v>6582</v>
      </c>
      <c r="N566" s="291" t="b">
        <v>0</v>
      </c>
      <c r="O566" s="286"/>
      <c r="P566" s="292"/>
      <c r="Q566" s="286"/>
      <c r="R566" s="286"/>
      <c r="S566" s="293"/>
      <c r="T566" s="294"/>
      <c r="U566" s="37">
        <v>1214</v>
      </c>
      <c r="V566" s="36" t="str">
        <f>CONCATENATE(Cover!$D$6,"fdd/view?i=",U566)</f>
        <v>https://www.dgiwg.org/FAD/fdd/view?i=1214</v>
      </c>
      <c r="W566" s="172"/>
      <c r="X566" s="172"/>
      <c r="Y566" s="172"/>
    </row>
    <row r="567" spans="1:25" ht="2.1" customHeight="1" x14ac:dyDescent="0.2">
      <c r="A567" s="295"/>
      <c r="B567" s="283"/>
      <c r="C567" s="296"/>
      <c r="D567" s="283"/>
      <c r="E567" s="296"/>
      <c r="F567" s="297"/>
      <c r="G567" s="297"/>
      <c r="H567" s="297"/>
      <c r="I567" s="298"/>
      <c r="J567" s="304"/>
      <c r="K567" s="300"/>
      <c r="L567" s="301"/>
      <c r="M567" s="297" t="s">
        <v>6582</v>
      </c>
      <c r="N567" s="297"/>
      <c r="O567" s="297"/>
      <c r="P567" s="297"/>
      <c r="Q567" s="297"/>
      <c r="R567" s="297"/>
      <c r="S567" s="302"/>
      <c r="T567" s="302"/>
      <c r="U567" s="303"/>
    </row>
    <row r="568" spans="1:25" ht="25.5" x14ac:dyDescent="0.2">
      <c r="A568" s="212" t="str">
        <f>HYPERLINK(V568,B568)</f>
        <v>FapCode</v>
      </c>
      <c r="B568" s="283" t="s">
        <v>8712</v>
      </c>
      <c r="C568" s="284" t="s">
        <v>15140</v>
      </c>
      <c r="D568" s="285"/>
      <c r="E568" s="286"/>
      <c r="F568" s="287" t="s">
        <v>15141</v>
      </c>
      <c r="G568" s="286"/>
      <c r="H568" s="286"/>
      <c r="I568" s="288"/>
      <c r="J568" s="289"/>
      <c r="K568" s="290"/>
      <c r="L568" s="371" t="str">
        <f>HYPERLINK("[#]DatatypeListedValues!B3985:H3985","«enumeration»")</f>
        <v>«enumeration»</v>
      </c>
      <c r="M568" s="287" t="s">
        <v>6582</v>
      </c>
      <c r="N568" s="291" t="b">
        <v>0</v>
      </c>
      <c r="O568" s="286"/>
      <c r="P568" s="292"/>
      <c r="Q568" s="286"/>
      <c r="R568" s="286"/>
      <c r="S568" s="293"/>
      <c r="T568" s="294"/>
      <c r="U568" s="37">
        <v>117375</v>
      </c>
      <c r="V568" s="36" t="str">
        <f>CONCATENATE(Cover!$D$6,"fdd/view?i=",U568)</f>
        <v>https://www.dgiwg.org/FAD/fdd/view?i=117375</v>
      </c>
      <c r="W568" s="172"/>
      <c r="X568" s="172"/>
      <c r="Y568" s="172"/>
    </row>
    <row r="569" spans="1:25" ht="2.1" customHeight="1" x14ac:dyDescent="0.2">
      <c r="A569" s="295"/>
      <c r="B569" s="283"/>
      <c r="C569" s="296"/>
      <c r="D569" s="283"/>
      <c r="E569" s="296"/>
      <c r="F569" s="297"/>
      <c r="G569" s="297"/>
      <c r="H569" s="297"/>
      <c r="I569" s="298"/>
      <c r="J569" s="304"/>
      <c r="K569" s="300"/>
      <c r="L569" s="301"/>
      <c r="M569" s="297" t="s">
        <v>6582</v>
      </c>
      <c r="N569" s="297"/>
      <c r="O569" s="297"/>
      <c r="P569" s="297"/>
      <c r="Q569" s="297"/>
      <c r="R569" s="297"/>
      <c r="S569" s="302"/>
      <c r="T569" s="302"/>
      <c r="U569" s="303"/>
    </row>
    <row r="570" spans="1:25" ht="38.25" x14ac:dyDescent="0.2">
      <c r="A570" s="212" t="str">
        <f>HYPERLINK(V570,B570)</f>
        <v>Fi1StrucText</v>
      </c>
      <c r="B570" s="283" t="s">
        <v>8728</v>
      </c>
      <c r="C570" s="284" t="s">
        <v>8725</v>
      </c>
      <c r="D570" s="285"/>
      <c r="E570" s="286"/>
      <c r="F570" s="287" t="s">
        <v>15142</v>
      </c>
      <c r="G570" s="286"/>
      <c r="H570" s="287" t="s">
        <v>14552</v>
      </c>
      <c r="I570" s="288"/>
      <c r="J570" s="289"/>
      <c r="K570" s="290"/>
      <c r="L570" s="287" t="s">
        <v>14551</v>
      </c>
      <c r="M570" s="287" t="s">
        <v>6582</v>
      </c>
      <c r="N570" s="286"/>
      <c r="O570" s="287">
        <v>2</v>
      </c>
      <c r="P570" s="305" t="b">
        <v>0</v>
      </c>
      <c r="Q570" s="287" t="s">
        <v>15143</v>
      </c>
      <c r="R570" s="286"/>
      <c r="S570" s="293"/>
      <c r="T570" s="294"/>
      <c r="U570" s="37">
        <v>1832</v>
      </c>
      <c r="V570" s="36" t="str">
        <f>CONCATENATE(Cover!$D$6,"fdd/view?i=",U570)</f>
        <v>https://www.dgiwg.org/FAD/fdd/view?i=1832</v>
      </c>
      <c r="W570" s="172"/>
      <c r="X570" s="172"/>
      <c r="Y570" s="172"/>
    </row>
    <row r="571" spans="1:25" ht="2.1" customHeight="1" x14ac:dyDescent="0.2">
      <c r="A571" s="295"/>
      <c r="B571" s="283"/>
      <c r="C571" s="296"/>
      <c r="D571" s="283"/>
      <c r="E571" s="296"/>
      <c r="F571" s="297"/>
      <c r="G571" s="297"/>
      <c r="H571" s="297"/>
      <c r="I571" s="298"/>
      <c r="J571" s="304"/>
      <c r="K571" s="300"/>
      <c r="L571" s="301"/>
      <c r="M571" s="297" t="s">
        <v>6582</v>
      </c>
      <c r="N571" s="297"/>
      <c r="O571" s="297"/>
      <c r="P571" s="297"/>
      <c r="Q571" s="297"/>
      <c r="R571" s="297"/>
      <c r="S571" s="302"/>
      <c r="T571" s="302"/>
      <c r="U571" s="303"/>
    </row>
    <row r="572" spans="1:25" ht="51" x14ac:dyDescent="0.2">
      <c r="A572" s="212" t="str">
        <f>HYPERLINK(V572,B572)</f>
        <v>Fi5StrucText</v>
      </c>
      <c r="B572" s="283" t="s">
        <v>8740</v>
      </c>
      <c r="C572" s="284" t="s">
        <v>8737</v>
      </c>
      <c r="D572" s="285"/>
      <c r="E572" s="286"/>
      <c r="F572" s="287" t="s">
        <v>15144</v>
      </c>
      <c r="G572" s="286"/>
      <c r="H572" s="287" t="s">
        <v>14552</v>
      </c>
      <c r="I572" s="288"/>
      <c r="J572" s="289"/>
      <c r="K572" s="290"/>
      <c r="L572" s="287" t="s">
        <v>14551</v>
      </c>
      <c r="M572" s="287" t="s">
        <v>6582</v>
      </c>
      <c r="N572" s="286"/>
      <c r="O572" s="287">
        <v>4</v>
      </c>
      <c r="P572" s="305" t="b">
        <v>0</v>
      </c>
      <c r="Q572" s="287" t="s">
        <v>15145</v>
      </c>
      <c r="R572" s="286"/>
      <c r="S572" s="293"/>
      <c r="T572" s="294"/>
      <c r="U572" s="37">
        <v>1834</v>
      </c>
      <c r="V572" s="36" t="str">
        <f>CONCATENATE(Cover!$D$6,"fdd/view?i=",U572)</f>
        <v>https://www.dgiwg.org/FAD/fdd/view?i=1834</v>
      </c>
      <c r="W572" s="172"/>
      <c r="X572" s="172"/>
      <c r="Y572" s="172"/>
    </row>
    <row r="573" spans="1:25" ht="2.1" customHeight="1" x14ac:dyDescent="0.2">
      <c r="A573" s="295"/>
      <c r="B573" s="283"/>
      <c r="C573" s="296"/>
      <c r="D573" s="283"/>
      <c r="E573" s="296"/>
      <c r="F573" s="297"/>
      <c r="G573" s="297"/>
      <c r="H573" s="297"/>
      <c r="I573" s="298"/>
      <c r="J573" s="304"/>
      <c r="K573" s="300"/>
      <c r="L573" s="301"/>
      <c r="M573" s="297" t="s">
        <v>6582</v>
      </c>
      <c r="N573" s="297"/>
      <c r="O573" s="297"/>
      <c r="P573" s="297"/>
      <c r="Q573" s="297"/>
      <c r="R573" s="297"/>
      <c r="S573" s="302"/>
      <c r="T573" s="302"/>
      <c r="U573" s="303"/>
    </row>
    <row r="574" spans="1:25" ht="38.25" x14ac:dyDescent="0.2">
      <c r="A574" s="212" t="str">
        <f>HYPERLINK(V574,B574)</f>
        <v>Fi3StrucText</v>
      </c>
      <c r="B574" s="283" t="s">
        <v>8746</v>
      </c>
      <c r="C574" s="284" t="s">
        <v>8743</v>
      </c>
      <c r="D574" s="285"/>
      <c r="E574" s="286"/>
      <c r="F574" s="287" t="s">
        <v>15146</v>
      </c>
      <c r="G574" s="286"/>
      <c r="H574" s="287" t="s">
        <v>14552</v>
      </c>
      <c r="I574" s="288"/>
      <c r="J574" s="289"/>
      <c r="K574" s="290"/>
      <c r="L574" s="287" t="s">
        <v>14551</v>
      </c>
      <c r="M574" s="287" t="s">
        <v>6582</v>
      </c>
      <c r="N574" s="286"/>
      <c r="O574" s="287">
        <v>2</v>
      </c>
      <c r="P574" s="305" t="b">
        <v>0</v>
      </c>
      <c r="Q574" s="287" t="s">
        <v>15147</v>
      </c>
      <c r="R574" s="286"/>
      <c r="S574" s="293"/>
      <c r="T574" s="294"/>
      <c r="U574" s="37">
        <v>1833</v>
      </c>
      <c r="V574" s="36" t="str">
        <f>CONCATENATE(Cover!$D$6,"fdd/view?i=",U574)</f>
        <v>https://www.dgiwg.org/FAD/fdd/view?i=1833</v>
      </c>
      <c r="W574" s="172"/>
      <c r="X574" s="172"/>
      <c r="Y574" s="172"/>
    </row>
    <row r="575" spans="1:25" ht="2.1" customHeight="1" x14ac:dyDescent="0.2">
      <c r="A575" s="295"/>
      <c r="B575" s="283"/>
      <c r="C575" s="296"/>
      <c r="D575" s="283"/>
      <c r="E575" s="296"/>
      <c r="F575" s="297"/>
      <c r="G575" s="297"/>
      <c r="H575" s="297"/>
      <c r="I575" s="298"/>
      <c r="J575" s="304"/>
      <c r="K575" s="300"/>
      <c r="L575" s="301"/>
      <c r="M575" s="297" t="s">
        <v>6582</v>
      </c>
      <c r="N575" s="297"/>
      <c r="O575" s="297"/>
      <c r="P575" s="297"/>
      <c r="Q575" s="297"/>
      <c r="R575" s="297"/>
      <c r="S575" s="302"/>
      <c r="T575" s="302"/>
      <c r="U575" s="303"/>
    </row>
    <row r="576" spans="1:25" ht="178.5" x14ac:dyDescent="0.2">
      <c r="A576" s="212" t="str">
        <f>HYPERLINK(V576,B576)</f>
        <v>FddStrucText</v>
      </c>
      <c r="B576" s="283" t="s">
        <v>8757</v>
      </c>
      <c r="C576" s="284" t="s">
        <v>15148</v>
      </c>
      <c r="D576" s="285"/>
      <c r="E576" s="286"/>
      <c r="F576" s="287" t="s">
        <v>15149</v>
      </c>
      <c r="G576" s="286"/>
      <c r="H576" s="287" t="s">
        <v>14552</v>
      </c>
      <c r="I576" s="288"/>
      <c r="J576" s="289"/>
      <c r="K576" s="290"/>
      <c r="L576" s="287" t="s">
        <v>14551</v>
      </c>
      <c r="M576" s="287" t="s">
        <v>6582</v>
      </c>
      <c r="N576" s="286"/>
      <c r="O576" s="287">
        <v>20</v>
      </c>
      <c r="P576" s="305" t="b">
        <v>0</v>
      </c>
      <c r="Q576" s="287" t="s">
        <v>14553</v>
      </c>
      <c r="R576" s="286"/>
      <c r="S576" s="293"/>
      <c r="T576" s="294"/>
      <c r="U576" s="37">
        <v>117808</v>
      </c>
      <c r="V576" s="36" t="str">
        <f>CONCATENATE(Cover!$D$6,"fdd/view?i=",U576)</f>
        <v>https://www.dgiwg.org/FAD/fdd/view?i=117808</v>
      </c>
      <c r="W576" s="172"/>
      <c r="X576" s="172"/>
      <c r="Y576" s="172"/>
    </row>
    <row r="577" spans="1:25" ht="2.1" customHeight="1" x14ac:dyDescent="0.2">
      <c r="A577" s="295"/>
      <c r="B577" s="283"/>
      <c r="C577" s="296"/>
      <c r="D577" s="283"/>
      <c r="E577" s="296"/>
      <c r="F577" s="297"/>
      <c r="G577" s="297"/>
      <c r="H577" s="297"/>
      <c r="I577" s="298"/>
      <c r="J577" s="304"/>
      <c r="K577" s="300"/>
      <c r="L577" s="301"/>
      <c r="M577" s="297" t="s">
        <v>6582</v>
      </c>
      <c r="N577" s="297"/>
      <c r="O577" s="297"/>
      <c r="P577" s="297"/>
      <c r="Q577" s="297"/>
      <c r="R577" s="297"/>
      <c r="S577" s="302"/>
      <c r="T577" s="302"/>
      <c r="U577" s="303"/>
    </row>
    <row r="578" spans="1:25" ht="25.5" x14ac:dyDescent="0.2">
      <c r="A578" s="212" t="str">
        <f>HYPERLINK(V578,B578)</f>
        <v>FfcCode</v>
      </c>
      <c r="B578" s="283" t="s">
        <v>8767</v>
      </c>
      <c r="C578" s="284" t="s">
        <v>15150</v>
      </c>
      <c r="D578" s="285"/>
      <c r="E578" s="286"/>
      <c r="F578" s="287" t="s">
        <v>15151</v>
      </c>
      <c r="G578" s="286"/>
      <c r="H578" s="286"/>
      <c r="I578" s="288"/>
      <c r="J578" s="289"/>
      <c r="K578" s="290"/>
      <c r="L578" s="371" t="str">
        <f>HYPERLINK("[#]DatatypeListedValues!B3988:H3988","«enumeration»")</f>
        <v>«enumeration»</v>
      </c>
      <c r="M578" s="287" t="s">
        <v>6582</v>
      </c>
      <c r="N578" s="291" t="b">
        <v>0</v>
      </c>
      <c r="O578" s="286"/>
      <c r="P578" s="292"/>
      <c r="Q578" s="286"/>
      <c r="R578" s="286"/>
      <c r="S578" s="293"/>
      <c r="T578" s="294"/>
      <c r="U578" s="37">
        <v>1216</v>
      </c>
      <c r="V578" s="36" t="str">
        <f>CONCATENATE(Cover!$D$6,"fdd/view?i=",U578)</f>
        <v>https://www.dgiwg.org/FAD/fdd/view?i=1216</v>
      </c>
      <c r="W578" s="172"/>
      <c r="X578" s="172"/>
      <c r="Y578" s="172"/>
    </row>
    <row r="579" spans="1:25" ht="2.1" customHeight="1" x14ac:dyDescent="0.2">
      <c r="A579" s="295"/>
      <c r="B579" s="283"/>
      <c r="C579" s="296"/>
      <c r="D579" s="283"/>
      <c r="E579" s="296"/>
      <c r="F579" s="297"/>
      <c r="G579" s="297"/>
      <c r="H579" s="297"/>
      <c r="I579" s="298"/>
      <c r="J579" s="304"/>
      <c r="K579" s="300"/>
      <c r="L579" s="301"/>
      <c r="M579" s="297" t="s">
        <v>6582</v>
      </c>
      <c r="N579" s="297"/>
      <c r="O579" s="297"/>
      <c r="P579" s="297"/>
      <c r="Q579" s="297"/>
      <c r="R579" s="297"/>
      <c r="S579" s="302"/>
      <c r="T579" s="302"/>
      <c r="U579" s="303"/>
    </row>
    <row r="580" spans="1:25" ht="25.5" x14ac:dyDescent="0.2">
      <c r="A580" s="212" t="str">
        <f>HYPERLINK(V580,B580)</f>
        <v>AfrCode</v>
      </c>
      <c r="B580" s="283" t="s">
        <v>8785</v>
      </c>
      <c r="C580" s="284" t="s">
        <v>15152</v>
      </c>
      <c r="D580" s="285"/>
      <c r="E580" s="286"/>
      <c r="F580" s="287" t="s">
        <v>15153</v>
      </c>
      <c r="G580" s="286"/>
      <c r="H580" s="286"/>
      <c r="I580" s="288"/>
      <c r="J580" s="289"/>
      <c r="K580" s="290"/>
      <c r="L580" s="371" t="str">
        <f>HYPERLINK("[#]DatatypeListedValues!B3997:H3997","«enumeration»")</f>
        <v>«enumeration»</v>
      </c>
      <c r="M580" s="287" t="s">
        <v>6582</v>
      </c>
      <c r="N580" s="291" t="b">
        <v>0</v>
      </c>
      <c r="O580" s="286"/>
      <c r="P580" s="292"/>
      <c r="Q580" s="286"/>
      <c r="R580" s="286"/>
      <c r="S580" s="293"/>
      <c r="T580" s="294"/>
      <c r="U580" s="37">
        <v>117339</v>
      </c>
      <c r="V580" s="36" t="str">
        <f>CONCATENATE(Cover!$D$6,"fdd/view?i=",U580)</f>
        <v>https://www.dgiwg.org/FAD/fdd/view?i=117339</v>
      </c>
      <c r="W580" s="172"/>
      <c r="X580" s="172"/>
      <c r="Y580" s="172"/>
    </row>
    <row r="581" spans="1:25" ht="2.1" customHeight="1" x14ac:dyDescent="0.2">
      <c r="A581" s="295"/>
      <c r="B581" s="283"/>
      <c r="C581" s="296"/>
      <c r="D581" s="283"/>
      <c r="E581" s="296"/>
      <c r="F581" s="297"/>
      <c r="G581" s="297"/>
      <c r="H581" s="297"/>
      <c r="I581" s="298"/>
      <c r="J581" s="304"/>
      <c r="K581" s="300"/>
      <c r="L581" s="301"/>
      <c r="M581" s="297" t="s">
        <v>6582</v>
      </c>
      <c r="N581" s="297"/>
      <c r="O581" s="297"/>
      <c r="P581" s="297"/>
      <c r="Q581" s="297"/>
      <c r="R581" s="297"/>
      <c r="S581" s="302"/>
      <c r="T581" s="302"/>
      <c r="U581" s="303"/>
    </row>
    <row r="582" spans="1:25" ht="25.5" x14ac:dyDescent="0.2">
      <c r="A582" s="212" t="str">
        <f>HYPERLINK(V582,B582)</f>
        <v>FbtCode</v>
      </c>
      <c r="B582" s="283" t="s">
        <v>8799</v>
      </c>
      <c r="C582" s="284" t="s">
        <v>15154</v>
      </c>
      <c r="D582" s="285"/>
      <c r="E582" s="286"/>
      <c r="F582" s="287" t="s">
        <v>15155</v>
      </c>
      <c r="G582" s="286"/>
      <c r="H582" s="286"/>
      <c r="I582" s="288"/>
      <c r="J582" s="289"/>
      <c r="K582" s="290"/>
      <c r="L582" s="371" t="str">
        <f>HYPERLINK("[#]DatatypeListedValues!B4000:H4000","«enumeration»")</f>
        <v>«enumeration»</v>
      </c>
      <c r="M582" s="287" t="s">
        <v>6582</v>
      </c>
      <c r="N582" s="291" t="b">
        <v>0</v>
      </c>
      <c r="O582" s="286"/>
      <c r="P582" s="292"/>
      <c r="Q582" s="286"/>
      <c r="R582" s="286"/>
      <c r="S582" s="293"/>
      <c r="T582" s="294"/>
      <c r="U582" s="37">
        <v>117806</v>
      </c>
      <c r="V582" s="36" t="str">
        <f>CONCATENATE(Cover!$D$6,"fdd/view?i=",U582)</f>
        <v>https://www.dgiwg.org/FAD/fdd/view?i=117806</v>
      </c>
      <c r="W582" s="172"/>
      <c r="X582" s="172"/>
      <c r="Y582" s="172"/>
    </row>
    <row r="583" spans="1:25" ht="2.1" customHeight="1" x14ac:dyDescent="0.2">
      <c r="A583" s="295"/>
      <c r="B583" s="283"/>
      <c r="C583" s="296"/>
      <c r="D583" s="283"/>
      <c r="E583" s="296"/>
      <c r="F583" s="297"/>
      <c r="G583" s="297"/>
      <c r="H583" s="297"/>
      <c r="I583" s="298"/>
      <c r="J583" s="304"/>
      <c r="K583" s="300"/>
      <c r="L583" s="301"/>
      <c r="M583" s="297" t="s">
        <v>6582</v>
      </c>
      <c r="N583" s="297"/>
      <c r="O583" s="297"/>
      <c r="P583" s="297"/>
      <c r="Q583" s="297"/>
      <c r="R583" s="297"/>
      <c r="S583" s="302"/>
      <c r="T583" s="302"/>
      <c r="U583" s="303"/>
    </row>
    <row r="584" spans="1:25" ht="25.5" x14ac:dyDescent="0.2">
      <c r="A584" s="212" t="str">
        <f>HYPERLINK(V584,B584)</f>
        <v>FcsCode</v>
      </c>
      <c r="B584" s="283" t="s">
        <v>8804</v>
      </c>
      <c r="C584" s="284" t="s">
        <v>15156</v>
      </c>
      <c r="D584" s="285"/>
      <c r="E584" s="286"/>
      <c r="F584" s="287" t="s">
        <v>15157</v>
      </c>
      <c r="G584" s="286"/>
      <c r="H584" s="286"/>
      <c r="I584" s="288"/>
      <c r="J584" s="289"/>
      <c r="K584" s="290"/>
      <c r="L584" s="371" t="str">
        <f>HYPERLINK("[#]DatatypeListedValues!B4004:H4004","«enumeration»")</f>
        <v>«enumeration»</v>
      </c>
      <c r="M584" s="287" t="s">
        <v>6582</v>
      </c>
      <c r="N584" s="291" t="b">
        <v>0</v>
      </c>
      <c r="O584" s="286"/>
      <c r="P584" s="292"/>
      <c r="Q584" s="286"/>
      <c r="R584" s="286"/>
      <c r="S584" s="293"/>
      <c r="T584" s="294"/>
      <c r="U584" s="37">
        <v>117807</v>
      </c>
      <c r="V584" s="36" t="str">
        <f>CONCATENATE(Cover!$D$6,"fdd/view?i=",U584)</f>
        <v>https://www.dgiwg.org/FAD/fdd/view?i=117807</v>
      </c>
      <c r="W584" s="172"/>
      <c r="X584" s="172"/>
      <c r="Y584" s="172"/>
    </row>
    <row r="585" spans="1:25" ht="2.1" customHeight="1" x14ac:dyDescent="0.2">
      <c r="A585" s="295"/>
      <c r="B585" s="283"/>
      <c r="C585" s="296"/>
      <c r="D585" s="283"/>
      <c r="E585" s="296"/>
      <c r="F585" s="297"/>
      <c r="G585" s="297"/>
      <c r="H585" s="297"/>
      <c r="I585" s="298"/>
      <c r="J585" s="304"/>
      <c r="K585" s="300"/>
      <c r="L585" s="301"/>
      <c r="M585" s="297" t="s">
        <v>6582</v>
      </c>
      <c r="N585" s="297"/>
      <c r="O585" s="297"/>
      <c r="P585" s="297"/>
      <c r="Q585" s="297"/>
      <c r="R585" s="297"/>
      <c r="S585" s="302"/>
      <c r="T585" s="302"/>
      <c r="U585" s="303"/>
    </row>
    <row r="586" spans="1:25" ht="25.5" x14ac:dyDescent="0.2">
      <c r="A586" s="212" t="str">
        <f>HYPERLINK(V586,B586)</f>
        <v>GenCode</v>
      </c>
      <c r="B586" s="283" t="s">
        <v>8821</v>
      </c>
      <c r="C586" s="284" t="s">
        <v>15158</v>
      </c>
      <c r="D586" s="285"/>
      <c r="E586" s="286"/>
      <c r="F586" s="287" t="s">
        <v>15159</v>
      </c>
      <c r="G586" s="286"/>
      <c r="H586" s="286"/>
      <c r="I586" s="288"/>
      <c r="J586" s="289"/>
      <c r="K586" s="290"/>
      <c r="L586" s="371" t="str">
        <f>HYPERLINK("[#]DatatypeListedValues!B4009:H4009","«enumeration»")</f>
        <v>«enumeration»</v>
      </c>
      <c r="M586" s="287" t="s">
        <v>6582</v>
      </c>
      <c r="N586" s="291" t="b">
        <v>0</v>
      </c>
      <c r="O586" s="286"/>
      <c r="P586" s="292"/>
      <c r="Q586" s="286"/>
      <c r="R586" s="286"/>
      <c r="S586" s="293"/>
      <c r="T586" s="294"/>
      <c r="U586" s="37">
        <v>1231</v>
      </c>
      <c r="V586" s="36" t="str">
        <f>CONCATENATE(Cover!$D$6,"fdd/view?i=",U586)</f>
        <v>https://www.dgiwg.org/FAD/fdd/view?i=1231</v>
      </c>
      <c r="W586" s="172"/>
      <c r="X586" s="172"/>
      <c r="Y586" s="172"/>
    </row>
    <row r="587" spans="1:25" ht="2.1" customHeight="1" x14ac:dyDescent="0.2">
      <c r="A587" s="295"/>
      <c r="B587" s="283"/>
      <c r="C587" s="296"/>
      <c r="D587" s="283"/>
      <c r="E587" s="296"/>
      <c r="F587" s="297"/>
      <c r="G587" s="297"/>
      <c r="H587" s="297"/>
      <c r="I587" s="298"/>
      <c r="J587" s="304"/>
      <c r="K587" s="300"/>
      <c r="L587" s="301"/>
      <c r="M587" s="297" t="s">
        <v>6582</v>
      </c>
      <c r="N587" s="297"/>
      <c r="O587" s="297"/>
      <c r="P587" s="297"/>
      <c r="Q587" s="297"/>
      <c r="R587" s="297"/>
      <c r="S587" s="302"/>
      <c r="T587" s="302"/>
      <c r="U587" s="303"/>
    </row>
    <row r="588" spans="1:25" ht="25.5" x14ac:dyDescent="0.2">
      <c r="A588" s="212" t="str">
        <f>HYPERLINK(V588,B588)</f>
        <v>SstCode</v>
      </c>
      <c r="B588" s="283" t="s">
        <v>8826</v>
      </c>
      <c r="C588" s="284" t="s">
        <v>15160</v>
      </c>
      <c r="D588" s="285"/>
      <c r="E588" s="286"/>
      <c r="F588" s="287" t="s">
        <v>15161</v>
      </c>
      <c r="G588" s="286"/>
      <c r="H588" s="286"/>
      <c r="I588" s="288"/>
      <c r="J588" s="289"/>
      <c r="K588" s="290"/>
      <c r="L588" s="371" t="str">
        <f>HYPERLINK("[#]DatatypeListedValues!B4013:H4013","«enumeration»")</f>
        <v>«enumeration»</v>
      </c>
      <c r="M588" s="287" t="s">
        <v>6582</v>
      </c>
      <c r="N588" s="291" t="b">
        <v>0</v>
      </c>
      <c r="O588" s="286"/>
      <c r="P588" s="292"/>
      <c r="Q588" s="286"/>
      <c r="R588" s="286"/>
      <c r="S588" s="293"/>
      <c r="T588" s="294"/>
      <c r="U588" s="37">
        <v>1467</v>
      </c>
      <c r="V588" s="36" t="str">
        <f>CONCATENATE(Cover!$D$6,"fdd/view?i=",U588)</f>
        <v>https://www.dgiwg.org/FAD/fdd/view?i=1467</v>
      </c>
      <c r="W588" s="172"/>
      <c r="X588" s="172"/>
      <c r="Y588" s="172"/>
    </row>
    <row r="589" spans="1:25" ht="2.1" customHeight="1" x14ac:dyDescent="0.2">
      <c r="A589" s="295"/>
      <c r="B589" s="283"/>
      <c r="C589" s="296"/>
      <c r="D589" s="283"/>
      <c r="E589" s="296"/>
      <c r="F589" s="297"/>
      <c r="G589" s="297"/>
      <c r="H589" s="297"/>
      <c r="I589" s="298"/>
      <c r="J589" s="304"/>
      <c r="K589" s="300"/>
      <c r="L589" s="301"/>
      <c r="M589" s="297" t="s">
        <v>6582</v>
      </c>
      <c r="N589" s="297"/>
      <c r="O589" s="297"/>
      <c r="P589" s="297"/>
      <c r="Q589" s="297"/>
      <c r="R589" s="297"/>
      <c r="S589" s="302"/>
      <c r="T589" s="302"/>
      <c r="U589" s="303"/>
    </row>
    <row r="590" spans="1:25" ht="25.5" x14ac:dyDescent="0.2">
      <c r="A590" s="212" t="str">
        <f>HYPERLINK(V590,B590)</f>
        <v>TreCode</v>
      </c>
      <c r="B590" s="283" t="s">
        <v>8831</v>
      </c>
      <c r="C590" s="284" t="s">
        <v>15162</v>
      </c>
      <c r="D590" s="285"/>
      <c r="E590" s="286"/>
      <c r="F590" s="287" t="s">
        <v>15163</v>
      </c>
      <c r="G590" s="286"/>
      <c r="H590" s="286"/>
      <c r="I590" s="288"/>
      <c r="J590" s="289"/>
      <c r="K590" s="290"/>
      <c r="L590" s="371" t="str">
        <f>HYPERLINK("[#]DatatypeListedValues!B4026:H4026","«enumeration»")</f>
        <v>«enumeration»</v>
      </c>
      <c r="M590" s="287" t="s">
        <v>6582</v>
      </c>
      <c r="N590" s="291" t="b">
        <v>0</v>
      </c>
      <c r="O590" s="286"/>
      <c r="P590" s="292"/>
      <c r="Q590" s="286"/>
      <c r="R590" s="286"/>
      <c r="S590" s="293"/>
      <c r="T590" s="294"/>
      <c r="U590" s="37">
        <v>1492</v>
      </c>
      <c r="V590" s="36" t="str">
        <f>CONCATENATE(Cover!$D$6,"fdd/view?i=",U590)</f>
        <v>https://www.dgiwg.org/FAD/fdd/view?i=1492</v>
      </c>
      <c r="W590" s="172"/>
      <c r="X590" s="172"/>
      <c r="Y590" s="172"/>
    </row>
    <row r="591" spans="1:25" ht="2.1" customHeight="1" x14ac:dyDescent="0.2">
      <c r="A591" s="295"/>
      <c r="B591" s="283"/>
      <c r="C591" s="296"/>
      <c r="D591" s="283"/>
      <c r="E591" s="296"/>
      <c r="F591" s="297"/>
      <c r="G591" s="297"/>
      <c r="H591" s="297"/>
      <c r="I591" s="298"/>
      <c r="J591" s="304"/>
      <c r="K591" s="300"/>
      <c r="L591" s="301"/>
      <c r="M591" s="297" t="s">
        <v>6582</v>
      </c>
      <c r="N591" s="297"/>
      <c r="O591" s="297"/>
      <c r="P591" s="297"/>
      <c r="Q591" s="297"/>
      <c r="R591" s="297"/>
      <c r="S591" s="302"/>
      <c r="T591" s="302"/>
      <c r="U591" s="303"/>
    </row>
    <row r="592" spans="1:25" ht="89.25" x14ac:dyDescent="0.2">
      <c r="A592" s="212" t="str">
        <f>HYPERLINK(V592,B592)</f>
        <v>FgiStrucText</v>
      </c>
      <c r="B592" s="283" t="s">
        <v>8837</v>
      </c>
      <c r="C592" s="284" t="s">
        <v>15164</v>
      </c>
      <c r="D592" s="285"/>
      <c r="E592" s="286"/>
      <c r="F592" s="287" t="s">
        <v>15165</v>
      </c>
      <c r="G592" s="286"/>
      <c r="H592" s="287" t="s">
        <v>14552</v>
      </c>
      <c r="I592" s="288"/>
      <c r="J592" s="289"/>
      <c r="K592" s="290"/>
      <c r="L592" s="287" t="s">
        <v>14551</v>
      </c>
      <c r="M592" s="287" t="s">
        <v>6582</v>
      </c>
      <c r="N592" s="286"/>
      <c r="O592" s="305" t="s">
        <v>14571</v>
      </c>
      <c r="P592" s="305" t="b">
        <v>0</v>
      </c>
      <c r="Q592" s="287" t="s">
        <v>15166</v>
      </c>
      <c r="R592" s="286"/>
      <c r="S592" s="293"/>
      <c r="T592" s="294"/>
      <c r="U592" s="37">
        <v>114254</v>
      </c>
      <c r="V592" s="36" t="str">
        <f>CONCATENATE(Cover!$D$6,"fdd/view?i=",U592)</f>
        <v>https://www.dgiwg.org/FAD/fdd/view?i=114254</v>
      </c>
      <c r="W592" s="172"/>
      <c r="X592" s="172"/>
      <c r="Y592" s="172"/>
    </row>
    <row r="593" spans="1:25" ht="2.1" customHeight="1" x14ac:dyDescent="0.2">
      <c r="A593" s="295"/>
      <c r="B593" s="283"/>
      <c r="C593" s="296"/>
      <c r="D593" s="283"/>
      <c r="E593" s="296"/>
      <c r="F593" s="297"/>
      <c r="G593" s="297"/>
      <c r="H593" s="297"/>
      <c r="I593" s="298"/>
      <c r="J593" s="304"/>
      <c r="K593" s="300"/>
      <c r="L593" s="301"/>
      <c r="M593" s="297" t="s">
        <v>6582</v>
      </c>
      <c r="N593" s="297"/>
      <c r="O593" s="297"/>
      <c r="P593" s="297"/>
      <c r="Q593" s="297"/>
      <c r="R593" s="297"/>
      <c r="S593" s="302"/>
      <c r="T593" s="302"/>
      <c r="U593" s="303"/>
    </row>
    <row r="594" spans="1:25" ht="25.5" x14ac:dyDescent="0.2">
      <c r="A594" s="212" t="str">
        <f>HYPERLINK(V594,B594)</f>
        <v>FrcCode</v>
      </c>
      <c r="B594" s="283" t="s">
        <v>8842</v>
      </c>
      <c r="C594" s="284" t="s">
        <v>15167</v>
      </c>
      <c r="D594" s="285"/>
      <c r="E594" s="286"/>
      <c r="F594" s="287" t="s">
        <v>15168</v>
      </c>
      <c r="G594" s="286"/>
      <c r="H594" s="286"/>
      <c r="I594" s="288"/>
      <c r="J594" s="289"/>
      <c r="K594" s="290"/>
      <c r="L594" s="371" t="str">
        <f>HYPERLINK("[#]DatatypeListedValues!B4031:H4031","«enumeration»")</f>
        <v>«enumeration»</v>
      </c>
      <c r="M594" s="287" t="s">
        <v>6582</v>
      </c>
      <c r="N594" s="291" t="b">
        <v>0</v>
      </c>
      <c r="O594" s="286"/>
      <c r="P594" s="292"/>
      <c r="Q594" s="286"/>
      <c r="R594" s="286"/>
      <c r="S594" s="293"/>
      <c r="T594" s="294"/>
      <c r="U594" s="37">
        <v>1838</v>
      </c>
      <c r="V594" s="36" t="str">
        <f>CONCATENATE(Cover!$D$6,"fdd/view?i=",U594)</f>
        <v>https://www.dgiwg.org/FAD/fdd/view?i=1838</v>
      </c>
      <c r="W594" s="172"/>
      <c r="X594" s="172"/>
      <c r="Y594" s="172"/>
    </row>
    <row r="595" spans="1:25" ht="2.1" customHeight="1" x14ac:dyDescent="0.2">
      <c r="A595" s="295"/>
      <c r="B595" s="283"/>
      <c r="C595" s="296"/>
      <c r="D595" s="283"/>
      <c r="E595" s="296"/>
      <c r="F595" s="297"/>
      <c r="G595" s="297"/>
      <c r="H595" s="297"/>
      <c r="I595" s="298"/>
      <c r="J595" s="304"/>
      <c r="K595" s="300"/>
      <c r="L595" s="301"/>
      <c r="M595" s="297" t="s">
        <v>6582</v>
      </c>
      <c r="N595" s="297"/>
      <c r="O595" s="297"/>
      <c r="P595" s="297"/>
      <c r="Q595" s="297"/>
      <c r="R595" s="297"/>
      <c r="S595" s="302"/>
      <c r="T595" s="302"/>
      <c r="U595" s="303"/>
    </row>
    <row r="596" spans="1:25" ht="25.5" x14ac:dyDescent="0.2">
      <c r="A596" s="212" t="str">
        <f>HYPERLINK(V596,B596)</f>
        <v>FofCode</v>
      </c>
      <c r="B596" s="283" t="s">
        <v>8851</v>
      </c>
      <c r="C596" s="284" t="s">
        <v>15169</v>
      </c>
      <c r="D596" s="285"/>
      <c r="E596" s="286"/>
      <c r="F596" s="287" t="s">
        <v>15170</v>
      </c>
      <c r="G596" s="286"/>
      <c r="H596" s="286"/>
      <c r="I596" s="288"/>
      <c r="J596" s="289"/>
      <c r="K596" s="290"/>
      <c r="L596" s="371" t="str">
        <f>HYPERLINK("[#]DatatypeListedValues!B4038:H4038","«enumeration»")</f>
        <v>«enumeration»</v>
      </c>
      <c r="M596" s="287" t="s">
        <v>6582</v>
      </c>
      <c r="N596" s="291" t="b">
        <v>0</v>
      </c>
      <c r="O596" s="286"/>
      <c r="P596" s="292"/>
      <c r="Q596" s="286"/>
      <c r="R596" s="286"/>
      <c r="S596" s="293"/>
      <c r="T596" s="294"/>
      <c r="U596" s="37">
        <v>1836</v>
      </c>
      <c r="V596" s="36" t="str">
        <f>CONCATENATE(Cover!$D$6,"fdd/view?i=",U596)</f>
        <v>https://www.dgiwg.org/FAD/fdd/view?i=1836</v>
      </c>
      <c r="W596" s="172"/>
      <c r="X596" s="172"/>
      <c r="Y596" s="172"/>
    </row>
    <row r="597" spans="1:25" ht="2.1" customHeight="1" x14ac:dyDescent="0.2">
      <c r="A597" s="295"/>
      <c r="B597" s="283"/>
      <c r="C597" s="296"/>
      <c r="D597" s="283"/>
      <c r="E597" s="296"/>
      <c r="F597" s="297"/>
      <c r="G597" s="297"/>
      <c r="H597" s="297"/>
      <c r="I597" s="298"/>
      <c r="J597" s="304"/>
      <c r="K597" s="300"/>
      <c r="L597" s="301"/>
      <c r="M597" s="297" t="s">
        <v>6582</v>
      </c>
      <c r="N597" s="297"/>
      <c r="O597" s="297"/>
      <c r="P597" s="297"/>
      <c r="Q597" s="297"/>
      <c r="R597" s="297"/>
      <c r="S597" s="302"/>
      <c r="T597" s="302"/>
      <c r="U597" s="303"/>
    </row>
    <row r="598" spans="1:25" ht="25.5" x14ac:dyDescent="0.2">
      <c r="A598" s="212" t="str">
        <f>HYPERLINK(V598,B598)</f>
        <v>FtyCode</v>
      </c>
      <c r="B598" s="283" t="s">
        <v>8856</v>
      </c>
      <c r="C598" s="284" t="s">
        <v>15171</v>
      </c>
      <c r="D598" s="285"/>
      <c r="E598" s="286"/>
      <c r="F598" s="287" t="s">
        <v>15172</v>
      </c>
      <c r="G598" s="286"/>
      <c r="H598" s="286"/>
      <c r="I598" s="288"/>
      <c r="J598" s="289"/>
      <c r="K598" s="290"/>
      <c r="L598" s="371" t="str">
        <f>HYPERLINK("[#]DatatypeListedValues!B4044:H4044","«enumeration»")</f>
        <v>«enumeration»</v>
      </c>
      <c r="M598" s="287" t="s">
        <v>6582</v>
      </c>
      <c r="N598" s="291" t="b">
        <v>0</v>
      </c>
      <c r="O598" s="286"/>
      <c r="P598" s="292"/>
      <c r="Q598" s="286"/>
      <c r="R598" s="286"/>
      <c r="S598" s="293"/>
      <c r="T598" s="294"/>
      <c r="U598" s="37">
        <v>1839</v>
      </c>
      <c r="V598" s="36" t="str">
        <f>CONCATENATE(Cover!$D$6,"fdd/view?i=",U598)</f>
        <v>https://www.dgiwg.org/FAD/fdd/view?i=1839</v>
      </c>
      <c r="W598" s="172"/>
      <c r="X598" s="172"/>
      <c r="Y598" s="172"/>
    </row>
    <row r="599" spans="1:25" ht="2.1" customHeight="1" x14ac:dyDescent="0.2">
      <c r="A599" s="295"/>
      <c r="B599" s="283"/>
      <c r="C599" s="296"/>
      <c r="D599" s="283"/>
      <c r="E599" s="296"/>
      <c r="F599" s="297"/>
      <c r="G599" s="297"/>
      <c r="H599" s="297"/>
      <c r="I599" s="298"/>
      <c r="J599" s="304"/>
      <c r="K599" s="300"/>
      <c r="L599" s="301"/>
      <c r="M599" s="297" t="s">
        <v>6582</v>
      </c>
      <c r="N599" s="297"/>
      <c r="O599" s="297"/>
      <c r="P599" s="297"/>
      <c r="Q599" s="297"/>
      <c r="R599" s="297"/>
      <c r="S599" s="302"/>
      <c r="T599" s="302"/>
      <c r="U599" s="303"/>
    </row>
    <row r="600" spans="1:25" ht="25.5" x14ac:dyDescent="0.2">
      <c r="A600" s="212" t="str">
        <f>HYPERLINK(V600,B600)</f>
        <v>FocCode</v>
      </c>
      <c r="B600" s="283" t="s">
        <v>8861</v>
      </c>
      <c r="C600" s="284" t="s">
        <v>15173</v>
      </c>
      <c r="D600" s="285"/>
      <c r="E600" s="286"/>
      <c r="F600" s="287" t="s">
        <v>15174</v>
      </c>
      <c r="G600" s="286"/>
      <c r="H600" s="286"/>
      <c r="I600" s="288"/>
      <c r="J600" s="289"/>
      <c r="K600" s="290"/>
      <c r="L600" s="371" t="str">
        <f>HYPERLINK("[#]DatatypeListedValues!B4052:H4052","«enumeration»")</f>
        <v>«enumeration»</v>
      </c>
      <c r="M600" s="287" t="s">
        <v>6582</v>
      </c>
      <c r="N600" s="291" t="b">
        <v>0</v>
      </c>
      <c r="O600" s="286"/>
      <c r="P600" s="292"/>
      <c r="Q600" s="286"/>
      <c r="R600" s="286"/>
      <c r="S600" s="293"/>
      <c r="T600" s="294"/>
      <c r="U600" s="37">
        <v>1835</v>
      </c>
      <c r="V600" s="36" t="str">
        <f>CONCATENATE(Cover!$D$6,"fdd/view?i=",U600)</f>
        <v>https://www.dgiwg.org/FAD/fdd/view?i=1835</v>
      </c>
      <c r="W600" s="172"/>
      <c r="X600" s="172"/>
      <c r="Y600" s="172"/>
    </row>
    <row r="601" spans="1:25" ht="2.1" customHeight="1" x14ac:dyDescent="0.2">
      <c r="A601" s="295"/>
      <c r="B601" s="283"/>
      <c r="C601" s="296"/>
      <c r="D601" s="283"/>
      <c r="E601" s="296"/>
      <c r="F601" s="297"/>
      <c r="G601" s="297"/>
      <c r="H601" s="297"/>
      <c r="I601" s="298"/>
      <c r="J601" s="304"/>
      <c r="K601" s="300"/>
      <c r="L601" s="301"/>
      <c r="M601" s="297" t="s">
        <v>6582</v>
      </c>
      <c r="N601" s="297"/>
      <c r="O601" s="297"/>
      <c r="P601" s="297"/>
      <c r="Q601" s="297"/>
      <c r="R601" s="297"/>
      <c r="S601" s="302"/>
      <c r="T601" s="302"/>
      <c r="U601" s="303"/>
    </row>
    <row r="602" spans="1:25" ht="25.5" x14ac:dyDescent="0.2">
      <c r="A602" s="212" t="str">
        <f>HYPERLINK(V602,B602)</f>
        <v>FouCode</v>
      </c>
      <c r="B602" s="283" t="s">
        <v>8866</v>
      </c>
      <c r="C602" s="284" t="s">
        <v>15175</v>
      </c>
      <c r="D602" s="285"/>
      <c r="E602" s="286"/>
      <c r="F602" s="287" t="s">
        <v>15176</v>
      </c>
      <c r="G602" s="286"/>
      <c r="H602" s="286"/>
      <c r="I602" s="288"/>
      <c r="J602" s="289"/>
      <c r="K602" s="290"/>
      <c r="L602" s="371" t="str">
        <f>HYPERLINK("[#]DatatypeListedValues!B4059:H4059","«enumeration»")</f>
        <v>«enumeration»</v>
      </c>
      <c r="M602" s="287" t="s">
        <v>6582</v>
      </c>
      <c r="N602" s="291" t="b">
        <v>0</v>
      </c>
      <c r="O602" s="286"/>
      <c r="P602" s="292"/>
      <c r="Q602" s="286"/>
      <c r="R602" s="286"/>
      <c r="S602" s="293"/>
      <c r="T602" s="294"/>
      <c r="U602" s="37">
        <v>1837</v>
      </c>
      <c r="V602" s="36" t="str">
        <f>CONCATENATE(Cover!$D$6,"fdd/view?i=",U602)</f>
        <v>https://www.dgiwg.org/FAD/fdd/view?i=1837</v>
      </c>
      <c r="W602" s="172"/>
      <c r="X602" s="172"/>
      <c r="Y602" s="172"/>
    </row>
    <row r="603" spans="1:25" ht="2.1" customHeight="1" x14ac:dyDescent="0.2">
      <c r="A603" s="295"/>
      <c r="B603" s="283"/>
      <c r="C603" s="296"/>
      <c r="D603" s="283"/>
      <c r="E603" s="296"/>
      <c r="F603" s="297"/>
      <c r="G603" s="297"/>
      <c r="H603" s="297"/>
      <c r="I603" s="298"/>
      <c r="J603" s="304"/>
      <c r="K603" s="300"/>
      <c r="L603" s="301"/>
      <c r="M603" s="297" t="s">
        <v>6582</v>
      </c>
      <c r="N603" s="297"/>
      <c r="O603" s="297"/>
      <c r="P603" s="297"/>
      <c r="Q603" s="297"/>
      <c r="R603" s="297"/>
      <c r="S603" s="302"/>
      <c r="T603" s="302"/>
      <c r="U603" s="303"/>
    </row>
    <row r="604" spans="1:25" ht="25.5" x14ac:dyDescent="0.2">
      <c r="A604" s="212" t="str">
        <f>HYPERLINK(V604,B604)</f>
        <v>FceCode</v>
      </c>
      <c r="B604" s="283" t="s">
        <v>8871</v>
      </c>
      <c r="C604" s="284" t="s">
        <v>15177</v>
      </c>
      <c r="D604" s="285"/>
      <c r="E604" s="286"/>
      <c r="F604" s="287" t="s">
        <v>15178</v>
      </c>
      <c r="G604" s="286"/>
      <c r="H604" s="286"/>
      <c r="I604" s="288"/>
      <c r="J604" s="289"/>
      <c r="K604" s="290"/>
      <c r="L604" s="371" t="str">
        <f>HYPERLINK("[#]DatatypeListedValues!B4071:H4071","«enumeration»")</f>
        <v>«enumeration»</v>
      </c>
      <c r="M604" s="287" t="s">
        <v>6582</v>
      </c>
      <c r="N604" s="291" t="b">
        <v>0</v>
      </c>
      <c r="O604" s="286"/>
      <c r="P604" s="292"/>
      <c r="Q604" s="286"/>
      <c r="R604" s="286"/>
      <c r="S604" s="293"/>
      <c r="T604" s="294"/>
      <c r="U604" s="37">
        <v>1829</v>
      </c>
      <c r="V604" s="36" t="str">
        <f>CONCATENATE(Cover!$D$6,"fdd/view?i=",U604)</f>
        <v>https://www.dgiwg.org/FAD/fdd/view?i=1829</v>
      </c>
      <c r="W604" s="172"/>
      <c r="X604" s="172"/>
      <c r="Y604" s="172"/>
    </row>
    <row r="605" spans="1:25" ht="2.1" customHeight="1" x14ac:dyDescent="0.2">
      <c r="A605" s="295"/>
      <c r="B605" s="283"/>
      <c r="C605" s="296"/>
      <c r="D605" s="283"/>
      <c r="E605" s="296"/>
      <c r="F605" s="297"/>
      <c r="G605" s="297"/>
      <c r="H605" s="297"/>
      <c r="I605" s="298"/>
      <c r="J605" s="304"/>
      <c r="K605" s="300"/>
      <c r="L605" s="301"/>
      <c r="M605" s="297" t="s">
        <v>6582</v>
      </c>
      <c r="N605" s="297"/>
      <c r="O605" s="297"/>
      <c r="P605" s="297"/>
      <c r="Q605" s="297"/>
      <c r="R605" s="297"/>
      <c r="S605" s="302"/>
      <c r="T605" s="302"/>
      <c r="U605" s="303"/>
    </row>
    <row r="606" spans="1:25" ht="25.5" x14ac:dyDescent="0.2">
      <c r="A606" s="212" t="str">
        <f>HYPERLINK(V606,B606)</f>
        <v>EttCode</v>
      </c>
      <c r="B606" s="283" t="s">
        <v>8875</v>
      </c>
      <c r="C606" s="284" t="s">
        <v>15179</v>
      </c>
      <c r="D606" s="285"/>
      <c r="E606" s="286"/>
      <c r="F606" s="287" t="s">
        <v>15180</v>
      </c>
      <c r="G606" s="286"/>
      <c r="H606" s="286"/>
      <c r="I606" s="288"/>
      <c r="J606" s="289"/>
      <c r="K606" s="290"/>
      <c r="L606" s="371" t="str">
        <f>HYPERLINK("[#]DatatypeListedValues!B4074:H4074","«enumeration»")</f>
        <v>«enumeration»</v>
      </c>
      <c r="M606" s="287" t="s">
        <v>6582</v>
      </c>
      <c r="N606" s="291" t="b">
        <v>0</v>
      </c>
      <c r="O606" s="286"/>
      <c r="P606" s="292"/>
      <c r="Q606" s="286"/>
      <c r="R606" s="286"/>
      <c r="S606" s="293"/>
      <c r="T606" s="294"/>
      <c r="U606" s="37">
        <v>1827</v>
      </c>
      <c r="V606" s="36" t="str">
        <f>CONCATENATE(Cover!$D$6,"fdd/view?i=",U606)</f>
        <v>https://www.dgiwg.org/FAD/fdd/view?i=1827</v>
      </c>
      <c r="W606" s="172"/>
      <c r="X606" s="172"/>
      <c r="Y606" s="172"/>
    </row>
    <row r="607" spans="1:25" ht="2.1" customHeight="1" x14ac:dyDescent="0.2">
      <c r="A607" s="295"/>
      <c r="B607" s="283"/>
      <c r="C607" s="296"/>
      <c r="D607" s="283"/>
      <c r="E607" s="296"/>
      <c r="F607" s="297"/>
      <c r="G607" s="297"/>
      <c r="H607" s="297"/>
      <c r="I607" s="298"/>
      <c r="J607" s="304"/>
      <c r="K607" s="300"/>
      <c r="L607" s="301"/>
      <c r="M607" s="297" t="s">
        <v>6582</v>
      </c>
      <c r="N607" s="297"/>
      <c r="O607" s="297"/>
      <c r="P607" s="297"/>
      <c r="Q607" s="297"/>
      <c r="R607" s="297"/>
      <c r="S607" s="302"/>
      <c r="T607" s="302"/>
      <c r="U607" s="303"/>
    </row>
    <row r="608" spans="1:25" ht="25.5" x14ac:dyDescent="0.2">
      <c r="A608" s="212" t="str">
        <f>HYPERLINK(V608,B608)</f>
        <v>FzrCode</v>
      </c>
      <c r="B608" s="283" t="s">
        <v>8884</v>
      </c>
      <c r="C608" s="284" t="s">
        <v>15181</v>
      </c>
      <c r="D608" s="285"/>
      <c r="E608" s="286"/>
      <c r="F608" s="287" t="s">
        <v>15182</v>
      </c>
      <c r="G608" s="286"/>
      <c r="H608" s="286"/>
      <c r="I608" s="288"/>
      <c r="J608" s="289"/>
      <c r="K608" s="290"/>
      <c r="L608" s="371" t="str">
        <f>HYPERLINK("[#]DatatypeListedValues!B4089:H4089","«enumeration»")</f>
        <v>«enumeration»</v>
      </c>
      <c r="M608" s="287" t="s">
        <v>6582</v>
      </c>
      <c r="N608" s="291" t="b">
        <v>0</v>
      </c>
      <c r="O608" s="286"/>
      <c r="P608" s="292"/>
      <c r="Q608" s="286"/>
      <c r="R608" s="286"/>
      <c r="S608" s="293"/>
      <c r="T608" s="294"/>
      <c r="U608" s="37">
        <v>118927</v>
      </c>
      <c r="V608" s="36" t="str">
        <f>CONCATENATE(Cover!$D$6,"fdd/view?i=",U608)</f>
        <v>https://www.dgiwg.org/FAD/fdd/view?i=118927</v>
      </c>
      <c r="W608" s="172"/>
      <c r="X608" s="172"/>
      <c r="Y608" s="172"/>
    </row>
    <row r="609" spans="1:25" ht="2.1" customHeight="1" x14ac:dyDescent="0.2">
      <c r="A609" s="295"/>
      <c r="B609" s="283"/>
      <c r="C609" s="296"/>
      <c r="D609" s="283"/>
      <c r="E609" s="296"/>
      <c r="F609" s="297"/>
      <c r="G609" s="297"/>
      <c r="H609" s="297"/>
      <c r="I609" s="298"/>
      <c r="J609" s="304"/>
      <c r="K609" s="300"/>
      <c r="L609" s="301"/>
      <c r="M609" s="297" t="s">
        <v>6582</v>
      </c>
      <c r="N609" s="297"/>
      <c r="O609" s="297"/>
      <c r="P609" s="297"/>
      <c r="Q609" s="297"/>
      <c r="R609" s="297"/>
      <c r="S609" s="302"/>
      <c r="T609" s="302"/>
      <c r="U609" s="303"/>
    </row>
    <row r="610" spans="1:25" ht="25.5" x14ac:dyDescent="0.2">
      <c r="A610" s="212" t="str">
        <f>HYPERLINK(V610,B610)</f>
        <v>SicCode</v>
      </c>
      <c r="B610" s="283" t="s">
        <v>8897</v>
      </c>
      <c r="C610" s="284" t="s">
        <v>15183</v>
      </c>
      <c r="D610" s="285"/>
      <c r="E610" s="286"/>
      <c r="F610" s="287" t="s">
        <v>15184</v>
      </c>
      <c r="G610" s="286"/>
      <c r="H610" s="286"/>
      <c r="I610" s="288"/>
      <c r="J610" s="289"/>
      <c r="K610" s="290"/>
      <c r="L610" s="371" t="str">
        <f>HYPERLINK("[#]DatatypeListedValues!B4095:H4095","«enumeration»")</f>
        <v>«enumeration»</v>
      </c>
      <c r="M610" s="287" t="s">
        <v>6582</v>
      </c>
      <c r="N610" s="291" t="b">
        <v>0</v>
      </c>
      <c r="O610" s="286"/>
      <c r="P610" s="292"/>
      <c r="Q610" s="286"/>
      <c r="R610" s="286"/>
      <c r="S610" s="293"/>
      <c r="T610" s="294"/>
      <c r="U610" s="37">
        <v>1447</v>
      </c>
      <c r="V610" s="36" t="str">
        <f>CONCATENATE(Cover!$D$6,"fdd/view?i=",U610)</f>
        <v>https://www.dgiwg.org/FAD/fdd/view?i=1447</v>
      </c>
      <c r="W610" s="172"/>
      <c r="X610" s="172"/>
      <c r="Y610" s="172"/>
    </row>
    <row r="611" spans="1:25" ht="2.1" customHeight="1" x14ac:dyDescent="0.2">
      <c r="A611" s="295"/>
      <c r="B611" s="283"/>
      <c r="C611" s="296"/>
      <c r="D611" s="283"/>
      <c r="E611" s="296"/>
      <c r="F611" s="297"/>
      <c r="G611" s="297"/>
      <c r="H611" s="297"/>
      <c r="I611" s="298"/>
      <c r="J611" s="304"/>
      <c r="K611" s="300"/>
      <c r="L611" s="301"/>
      <c r="M611" s="297" t="s">
        <v>6582</v>
      </c>
      <c r="N611" s="297"/>
      <c r="O611" s="297"/>
      <c r="P611" s="297"/>
      <c r="Q611" s="297"/>
      <c r="R611" s="297"/>
      <c r="S611" s="302"/>
      <c r="T611" s="302"/>
      <c r="U611" s="303"/>
    </row>
    <row r="612" spans="1:25" ht="25.5" x14ac:dyDescent="0.2">
      <c r="A612" s="212" t="str">
        <f>HYPERLINK(V612,B612)</f>
        <v>FdmCode</v>
      </c>
      <c r="B612" s="283" t="s">
        <v>8902</v>
      </c>
      <c r="C612" s="284" t="s">
        <v>15185</v>
      </c>
      <c r="D612" s="285"/>
      <c r="E612" s="286"/>
      <c r="F612" s="287" t="s">
        <v>15186</v>
      </c>
      <c r="G612" s="286"/>
      <c r="H612" s="286"/>
      <c r="I612" s="288"/>
      <c r="J612" s="289"/>
      <c r="K612" s="290"/>
      <c r="L612" s="371" t="str">
        <f>HYPERLINK("[#]DatatypeListedValues!B4097:H4097","«enumeration»")</f>
        <v>«enumeration»</v>
      </c>
      <c r="M612" s="287" t="s">
        <v>6582</v>
      </c>
      <c r="N612" s="291" t="b">
        <v>0</v>
      </c>
      <c r="O612" s="286"/>
      <c r="P612" s="292"/>
      <c r="Q612" s="286"/>
      <c r="R612" s="286"/>
      <c r="S612" s="293"/>
      <c r="T612" s="294"/>
      <c r="U612" s="37">
        <v>1211</v>
      </c>
      <c r="V612" s="36" t="str">
        <f>CONCATENATE(Cover!$D$6,"fdd/view?i=",U612)</f>
        <v>https://www.dgiwg.org/FAD/fdd/view?i=1211</v>
      </c>
      <c r="W612" s="172"/>
      <c r="X612" s="172"/>
      <c r="Y612" s="172"/>
    </row>
    <row r="613" spans="1:25" ht="2.1" customHeight="1" x14ac:dyDescent="0.2">
      <c r="A613" s="295"/>
      <c r="B613" s="283"/>
      <c r="C613" s="296"/>
      <c r="D613" s="283"/>
      <c r="E613" s="296"/>
      <c r="F613" s="297"/>
      <c r="G613" s="297"/>
      <c r="H613" s="297"/>
      <c r="I613" s="298"/>
      <c r="J613" s="304"/>
      <c r="K613" s="300"/>
      <c r="L613" s="301"/>
      <c r="M613" s="297" t="s">
        <v>6582</v>
      </c>
      <c r="N613" s="297"/>
      <c r="O613" s="297"/>
      <c r="P613" s="297"/>
      <c r="Q613" s="297"/>
      <c r="R613" s="297"/>
      <c r="S613" s="302"/>
      <c r="T613" s="302"/>
      <c r="U613" s="303"/>
    </row>
    <row r="614" spans="1:25" ht="25.5" x14ac:dyDescent="0.2">
      <c r="A614" s="212" t="str">
        <f>HYPERLINK(V614,B614)</f>
        <v>B01Code</v>
      </c>
      <c r="B614" s="283" t="s">
        <v>8916</v>
      </c>
      <c r="C614" s="284" t="s">
        <v>15187</v>
      </c>
      <c r="D614" s="285"/>
      <c r="E614" s="286"/>
      <c r="F614" s="287" t="s">
        <v>15188</v>
      </c>
      <c r="G614" s="286"/>
      <c r="H614" s="286"/>
      <c r="I614" s="288"/>
      <c r="J614" s="289"/>
      <c r="K614" s="290"/>
      <c r="L614" s="371" t="str">
        <f>HYPERLINK("[#]DatatypeListedValues!B4101:H4101","«enumeration»")</f>
        <v>«enumeration»</v>
      </c>
      <c r="M614" s="287" t="s">
        <v>6582</v>
      </c>
      <c r="N614" s="291" t="b">
        <v>0</v>
      </c>
      <c r="O614" s="286"/>
      <c r="P614" s="292"/>
      <c r="Q614" s="286"/>
      <c r="R614" s="286"/>
      <c r="S614" s="293"/>
      <c r="T614" s="294"/>
      <c r="U614" s="37">
        <v>1122</v>
      </c>
      <c r="V614" s="36" t="str">
        <f>CONCATENATE(Cover!$D$6,"fdd/view?i=",U614)</f>
        <v>https://www.dgiwg.org/FAD/fdd/view?i=1122</v>
      </c>
      <c r="W614" s="172"/>
      <c r="X614" s="172"/>
      <c r="Y614" s="172"/>
    </row>
    <row r="615" spans="1:25" ht="2.1" customHeight="1" x14ac:dyDescent="0.2">
      <c r="A615" s="295"/>
      <c r="B615" s="283"/>
      <c r="C615" s="296"/>
      <c r="D615" s="283"/>
      <c r="E615" s="296"/>
      <c r="F615" s="297"/>
      <c r="G615" s="297"/>
      <c r="H615" s="297"/>
      <c r="I615" s="298"/>
      <c r="J615" s="304"/>
      <c r="K615" s="300"/>
      <c r="L615" s="301"/>
      <c r="M615" s="297" t="s">
        <v>6582</v>
      </c>
      <c r="N615" s="297"/>
      <c r="O615" s="297"/>
      <c r="P615" s="297"/>
      <c r="Q615" s="297"/>
      <c r="R615" s="297"/>
      <c r="S615" s="302"/>
      <c r="T615" s="302"/>
      <c r="U615" s="303"/>
    </row>
    <row r="616" spans="1:25" ht="25.5" x14ac:dyDescent="0.2">
      <c r="A616" s="212" t="str">
        <f>HYPERLINK(V616,B616)</f>
        <v>FtsCode</v>
      </c>
      <c r="B616" s="283" t="s">
        <v>8922</v>
      </c>
      <c r="C616" s="284" t="s">
        <v>15189</v>
      </c>
      <c r="D616" s="285"/>
      <c r="E616" s="286"/>
      <c r="F616" s="287" t="s">
        <v>15190</v>
      </c>
      <c r="G616" s="286"/>
      <c r="H616" s="286"/>
      <c r="I616" s="288"/>
      <c r="J616" s="289"/>
      <c r="K616" s="290"/>
      <c r="L616" s="371" t="str">
        <f>HYPERLINK("[#]DatatypeListedValues!B4111:H4111","«enumeration»")</f>
        <v>«enumeration»</v>
      </c>
      <c r="M616" s="287" t="s">
        <v>6582</v>
      </c>
      <c r="N616" s="291" t="b">
        <v>0</v>
      </c>
      <c r="O616" s="286"/>
      <c r="P616" s="292"/>
      <c r="Q616" s="286"/>
      <c r="R616" s="286"/>
      <c r="S616" s="293"/>
      <c r="T616" s="294"/>
      <c r="U616" s="37">
        <v>119080</v>
      </c>
      <c r="V616" s="36" t="str">
        <f>CONCATENATE(Cover!$D$6,"fdd/view?i=",U616)</f>
        <v>https://www.dgiwg.org/FAD/fdd/view?i=119080</v>
      </c>
      <c r="W616" s="172"/>
      <c r="X616" s="172"/>
      <c r="Y616" s="172"/>
    </row>
    <row r="617" spans="1:25" ht="2.1" customHeight="1" x14ac:dyDescent="0.2">
      <c r="A617" s="295"/>
      <c r="B617" s="283"/>
      <c r="C617" s="296"/>
      <c r="D617" s="283"/>
      <c r="E617" s="296"/>
      <c r="F617" s="297"/>
      <c r="G617" s="297"/>
      <c r="H617" s="297"/>
      <c r="I617" s="298"/>
      <c r="J617" s="304"/>
      <c r="K617" s="300"/>
      <c r="L617" s="301"/>
      <c r="M617" s="297" t="s">
        <v>6582</v>
      </c>
      <c r="N617" s="297"/>
      <c r="O617" s="297"/>
      <c r="P617" s="297"/>
      <c r="Q617" s="297"/>
      <c r="R617" s="297"/>
      <c r="S617" s="302"/>
      <c r="T617" s="302"/>
      <c r="U617" s="303"/>
    </row>
    <row r="618" spans="1:25" ht="25.5" x14ac:dyDescent="0.2">
      <c r="A618" s="212" t="str">
        <f>HYPERLINK(V618,B618)</f>
        <v>FucCode</v>
      </c>
      <c r="B618" s="283" t="s">
        <v>8947</v>
      </c>
      <c r="C618" s="284" t="s">
        <v>15191</v>
      </c>
      <c r="D618" s="285"/>
      <c r="E618" s="286"/>
      <c r="F618" s="287" t="s">
        <v>15192</v>
      </c>
      <c r="G618" s="286"/>
      <c r="H618" s="286"/>
      <c r="I618" s="288"/>
      <c r="J618" s="289"/>
      <c r="K618" s="290"/>
      <c r="L618" s="371" t="str">
        <f>HYPERLINK("[#]DatatypeListedValues!B4117:H4117","«enumeration»")</f>
        <v>«enumeration»</v>
      </c>
      <c r="M618" s="287" t="s">
        <v>6582</v>
      </c>
      <c r="N618" s="291" t="b">
        <v>0</v>
      </c>
      <c r="O618" s="286"/>
      <c r="P618" s="292"/>
      <c r="Q618" s="286"/>
      <c r="R618" s="286"/>
      <c r="S618" s="293"/>
      <c r="T618" s="294"/>
      <c r="U618" s="37">
        <v>1227</v>
      </c>
      <c r="V618" s="36" t="str">
        <f>CONCATENATE(Cover!$D$6,"fdd/view?i=",U618)</f>
        <v>https://www.dgiwg.org/FAD/fdd/view?i=1227</v>
      </c>
      <c r="W618" s="172"/>
      <c r="X618" s="172"/>
      <c r="Y618" s="172"/>
    </row>
    <row r="619" spans="1:25" ht="2.1" customHeight="1" x14ac:dyDescent="0.2">
      <c r="A619" s="295"/>
      <c r="B619" s="283"/>
      <c r="C619" s="296"/>
      <c r="D619" s="283"/>
      <c r="E619" s="296"/>
      <c r="F619" s="297"/>
      <c r="G619" s="297"/>
      <c r="H619" s="297"/>
      <c r="I619" s="298"/>
      <c r="J619" s="304"/>
      <c r="K619" s="300"/>
      <c r="L619" s="301"/>
      <c r="M619" s="297" t="s">
        <v>6582</v>
      </c>
      <c r="N619" s="297"/>
      <c r="O619" s="297"/>
      <c r="P619" s="297"/>
      <c r="Q619" s="297"/>
      <c r="R619" s="297"/>
      <c r="S619" s="302"/>
      <c r="T619" s="302"/>
      <c r="U619" s="303"/>
    </row>
    <row r="620" spans="1:25" ht="25.5" x14ac:dyDescent="0.2">
      <c r="A620" s="212" t="str">
        <f>HYPERLINK(V620,B620)</f>
        <v>GtcCode</v>
      </c>
      <c r="B620" s="283" t="s">
        <v>8952</v>
      </c>
      <c r="C620" s="284" t="s">
        <v>15193</v>
      </c>
      <c r="D620" s="285"/>
      <c r="E620" s="286"/>
      <c r="F620" s="287" t="s">
        <v>15194</v>
      </c>
      <c r="G620" s="286"/>
      <c r="H620" s="286"/>
      <c r="I620" s="288"/>
      <c r="J620" s="289"/>
      <c r="K620" s="290"/>
      <c r="L620" s="371" t="str">
        <f>HYPERLINK("[#]DatatypeListedValues!B4146:H4146","«enumeration»")</f>
        <v>«enumeration»</v>
      </c>
      <c r="M620" s="287" t="s">
        <v>6582</v>
      </c>
      <c r="N620" s="291" t="b">
        <v>0</v>
      </c>
      <c r="O620" s="286"/>
      <c r="P620" s="292"/>
      <c r="Q620" s="286"/>
      <c r="R620" s="286"/>
      <c r="S620" s="293"/>
      <c r="T620" s="294"/>
      <c r="U620" s="37">
        <v>1237</v>
      </c>
      <c r="V620" s="36" t="str">
        <f>CONCATENATE(Cover!$D$6,"fdd/view?i=",U620)</f>
        <v>https://www.dgiwg.org/FAD/fdd/view?i=1237</v>
      </c>
      <c r="W620" s="172"/>
      <c r="X620" s="172"/>
      <c r="Y620" s="172"/>
    </row>
    <row r="621" spans="1:25" ht="2.1" customHeight="1" x14ac:dyDescent="0.2">
      <c r="A621" s="295"/>
      <c r="B621" s="283"/>
      <c r="C621" s="296"/>
      <c r="D621" s="283"/>
      <c r="E621" s="296"/>
      <c r="F621" s="297"/>
      <c r="G621" s="297"/>
      <c r="H621" s="297"/>
      <c r="I621" s="298"/>
      <c r="J621" s="304"/>
      <c r="K621" s="300"/>
      <c r="L621" s="301"/>
      <c r="M621" s="297" t="s">
        <v>6582</v>
      </c>
      <c r="N621" s="297"/>
      <c r="O621" s="297"/>
      <c r="P621" s="297"/>
      <c r="Q621" s="297"/>
      <c r="R621" s="297"/>
      <c r="S621" s="302"/>
      <c r="T621" s="302"/>
      <c r="U621" s="303"/>
    </row>
    <row r="622" spans="1:25" ht="25.5" x14ac:dyDescent="0.2">
      <c r="A622" s="212" t="str">
        <f>HYPERLINK(V622,B622)</f>
        <v>DpsCode</v>
      </c>
      <c r="B622" s="283" t="s">
        <v>8979</v>
      </c>
      <c r="C622" s="284" t="s">
        <v>15195</v>
      </c>
      <c r="D622" s="285"/>
      <c r="E622" s="286"/>
      <c r="F622" s="287" t="s">
        <v>15196</v>
      </c>
      <c r="G622" s="286"/>
      <c r="H622" s="286"/>
      <c r="I622" s="288"/>
      <c r="J622" s="289"/>
      <c r="K622" s="290"/>
      <c r="L622" s="371" t="str">
        <f>HYPERLINK("[#]DatatypeListedValues!B4150:H4150","«enumeration»")</f>
        <v>«enumeration»</v>
      </c>
      <c r="M622" s="287" t="s">
        <v>6582</v>
      </c>
      <c r="N622" s="291" t="b">
        <v>0</v>
      </c>
      <c r="O622" s="286"/>
      <c r="P622" s="292"/>
      <c r="Q622" s="286"/>
      <c r="R622" s="286"/>
      <c r="S622" s="293"/>
      <c r="T622" s="294"/>
      <c r="U622" s="37">
        <v>1815</v>
      </c>
      <c r="V622" s="36" t="str">
        <f>CONCATENATE(Cover!$D$6,"fdd/view?i=",U622)</f>
        <v>https://www.dgiwg.org/FAD/fdd/view?i=1815</v>
      </c>
      <c r="W622" s="172"/>
      <c r="X622" s="172"/>
      <c r="Y622" s="172"/>
    </row>
    <row r="623" spans="1:25" ht="2.1" customHeight="1" x14ac:dyDescent="0.2">
      <c r="A623" s="295"/>
      <c r="B623" s="283"/>
      <c r="C623" s="296"/>
      <c r="D623" s="283"/>
      <c r="E623" s="296"/>
      <c r="F623" s="297"/>
      <c r="G623" s="297"/>
      <c r="H623" s="297"/>
      <c r="I623" s="298"/>
      <c r="J623" s="304"/>
      <c r="K623" s="300"/>
      <c r="L623" s="301"/>
      <c r="M623" s="297" t="s">
        <v>6582</v>
      </c>
      <c r="N623" s="297"/>
      <c r="O623" s="297"/>
      <c r="P623" s="297"/>
      <c r="Q623" s="297"/>
      <c r="R623" s="297"/>
      <c r="S623" s="302"/>
      <c r="T623" s="302"/>
      <c r="U623" s="303"/>
    </row>
    <row r="624" spans="1:25" ht="25.5" x14ac:dyDescent="0.2">
      <c r="A624" s="212" t="str">
        <f>HYPERLINK(V624,B624)</f>
        <v>HzdCode</v>
      </c>
      <c r="B624" s="283" t="s">
        <v>9007</v>
      </c>
      <c r="C624" s="284" t="s">
        <v>15197</v>
      </c>
      <c r="D624" s="285"/>
      <c r="E624" s="286"/>
      <c r="F624" s="287" t="s">
        <v>15198</v>
      </c>
      <c r="G624" s="286"/>
      <c r="H624" s="286"/>
      <c r="I624" s="288"/>
      <c r="J624" s="289"/>
      <c r="K624" s="290"/>
      <c r="L624" s="371" t="str">
        <f>HYPERLINK("[#]DatatypeListedValues!B4159:H4159","«enumeration»")</f>
        <v>«enumeration»</v>
      </c>
      <c r="M624" s="287" t="s">
        <v>6582</v>
      </c>
      <c r="N624" s="291" t="b">
        <v>0</v>
      </c>
      <c r="O624" s="286"/>
      <c r="P624" s="292"/>
      <c r="Q624" s="286"/>
      <c r="R624" s="286"/>
      <c r="S624" s="293"/>
      <c r="T624" s="294"/>
      <c r="U624" s="37">
        <v>1266</v>
      </c>
      <c r="V624" s="36" t="str">
        <f>CONCATENATE(Cover!$D$6,"fdd/view?i=",U624)</f>
        <v>https://www.dgiwg.org/FAD/fdd/view?i=1266</v>
      </c>
      <c r="W624" s="172"/>
      <c r="X624" s="172"/>
      <c r="Y624" s="172"/>
    </row>
    <row r="625" spans="1:25" ht="2.1" customHeight="1" x14ac:dyDescent="0.2">
      <c r="A625" s="295"/>
      <c r="B625" s="283"/>
      <c r="C625" s="296"/>
      <c r="D625" s="283"/>
      <c r="E625" s="296"/>
      <c r="F625" s="297"/>
      <c r="G625" s="297"/>
      <c r="H625" s="297"/>
      <c r="I625" s="298"/>
      <c r="J625" s="304"/>
      <c r="K625" s="300"/>
      <c r="L625" s="301"/>
      <c r="M625" s="297" t="s">
        <v>6582</v>
      </c>
      <c r="N625" s="297"/>
      <c r="O625" s="297"/>
      <c r="P625" s="297"/>
      <c r="Q625" s="297"/>
      <c r="R625" s="297"/>
      <c r="S625" s="302"/>
      <c r="T625" s="302"/>
      <c r="U625" s="303"/>
    </row>
    <row r="626" spans="1:25" ht="63.75" x14ac:dyDescent="0.2">
      <c r="A626" s="212" t="str">
        <f>HYPERLINK(V626,B626)</f>
        <v>GnsStrucText</v>
      </c>
      <c r="B626" s="283" t="s">
        <v>9013</v>
      </c>
      <c r="C626" s="284" t="s">
        <v>15199</v>
      </c>
      <c r="D626" s="285"/>
      <c r="E626" s="286"/>
      <c r="F626" s="287" t="s">
        <v>15200</v>
      </c>
      <c r="G626" s="286"/>
      <c r="H626" s="287" t="s">
        <v>14552</v>
      </c>
      <c r="I626" s="288"/>
      <c r="J626" s="289"/>
      <c r="K626" s="290"/>
      <c r="L626" s="287" t="s">
        <v>14551</v>
      </c>
      <c r="M626" s="287" t="s">
        <v>6582</v>
      </c>
      <c r="N626" s="286"/>
      <c r="O626" s="287">
        <v>1</v>
      </c>
      <c r="P626" s="305" t="b">
        <v>0</v>
      </c>
      <c r="Q626" s="287" t="s">
        <v>15201</v>
      </c>
      <c r="R626" s="286"/>
      <c r="S626" s="293"/>
      <c r="T626" s="294"/>
      <c r="U626" s="37">
        <v>3809</v>
      </c>
      <c r="V626" s="36" t="str">
        <f>CONCATENATE(Cover!$D$6,"fdd/view?i=",U626)</f>
        <v>https://www.dgiwg.org/FAD/fdd/view?i=3809</v>
      </c>
      <c r="W626" s="172"/>
      <c r="X626" s="172"/>
      <c r="Y626" s="172"/>
    </row>
    <row r="627" spans="1:25" ht="2.1" customHeight="1" x14ac:dyDescent="0.2">
      <c r="A627" s="295"/>
      <c r="B627" s="283"/>
      <c r="C627" s="296"/>
      <c r="D627" s="283"/>
      <c r="E627" s="296"/>
      <c r="F627" s="297"/>
      <c r="G627" s="297"/>
      <c r="H627" s="297"/>
      <c r="I627" s="298"/>
      <c r="J627" s="304"/>
      <c r="K627" s="300"/>
      <c r="L627" s="301"/>
      <c r="M627" s="297" t="s">
        <v>6582</v>
      </c>
      <c r="N627" s="297"/>
      <c r="O627" s="297"/>
      <c r="P627" s="297"/>
      <c r="Q627" s="297"/>
      <c r="R627" s="297"/>
      <c r="S627" s="302"/>
      <c r="T627" s="302"/>
      <c r="U627" s="303"/>
    </row>
    <row r="628" spans="1:25" ht="38.25" x14ac:dyDescent="0.2">
      <c r="A628" s="212" t="str">
        <f>HYPERLINK(V628,B628)</f>
        <v>GndStrucText</v>
      </c>
      <c r="B628" s="283" t="s">
        <v>9019</v>
      </c>
      <c r="C628" s="284" t="s">
        <v>15202</v>
      </c>
      <c r="D628" s="285"/>
      <c r="E628" s="286"/>
      <c r="F628" s="287" t="s">
        <v>15203</v>
      </c>
      <c r="G628" s="286"/>
      <c r="H628" s="287" t="s">
        <v>14552</v>
      </c>
      <c r="I628" s="288"/>
      <c r="J628" s="289"/>
      <c r="K628" s="290"/>
      <c r="L628" s="287" t="s">
        <v>14551</v>
      </c>
      <c r="M628" s="287" t="s">
        <v>6582</v>
      </c>
      <c r="N628" s="286"/>
      <c r="O628" s="287">
        <v>5</v>
      </c>
      <c r="P628" s="305" t="b">
        <v>0</v>
      </c>
      <c r="Q628" s="287" t="s">
        <v>15204</v>
      </c>
      <c r="R628" s="286"/>
      <c r="S628" s="293"/>
      <c r="T628" s="294"/>
      <c r="U628" s="37">
        <v>3808</v>
      </c>
      <c r="V628" s="36" t="str">
        <f>CONCATENATE(Cover!$D$6,"fdd/view?i=",U628)</f>
        <v>https://www.dgiwg.org/FAD/fdd/view?i=3808</v>
      </c>
      <c r="W628" s="172"/>
      <c r="X628" s="172"/>
      <c r="Y628" s="172"/>
    </row>
    <row r="629" spans="1:25" ht="2.1" customHeight="1" x14ac:dyDescent="0.2">
      <c r="A629" s="295"/>
      <c r="B629" s="283"/>
      <c r="C629" s="296"/>
      <c r="D629" s="283"/>
      <c r="E629" s="296"/>
      <c r="F629" s="297"/>
      <c r="G629" s="297"/>
      <c r="H629" s="297"/>
      <c r="I629" s="298"/>
      <c r="J629" s="304"/>
      <c r="K629" s="300"/>
      <c r="L629" s="301"/>
      <c r="M629" s="297" t="s">
        <v>6582</v>
      </c>
      <c r="N629" s="297"/>
      <c r="O629" s="297"/>
      <c r="P629" s="297"/>
      <c r="Q629" s="297"/>
      <c r="R629" s="297"/>
      <c r="S629" s="302"/>
      <c r="T629" s="302"/>
      <c r="U629" s="303"/>
    </row>
    <row r="630" spans="1:25" ht="25.5" x14ac:dyDescent="0.2">
      <c r="A630" s="212" t="str">
        <f>HYPERLINK(V630,B630)</f>
        <v>GntCode</v>
      </c>
      <c r="B630" s="283" t="s">
        <v>9024</v>
      </c>
      <c r="C630" s="284" t="s">
        <v>15205</v>
      </c>
      <c r="D630" s="285"/>
      <c r="E630" s="286"/>
      <c r="F630" s="287" t="s">
        <v>15206</v>
      </c>
      <c r="G630" s="286"/>
      <c r="H630" s="286"/>
      <c r="I630" s="288"/>
      <c r="J630" s="289"/>
      <c r="K630" s="290"/>
      <c r="L630" s="371" t="str">
        <f>HYPERLINK("[#]DatatypeListedValues!B4472:H4472","«enumeration»")</f>
        <v>«enumeration»</v>
      </c>
      <c r="M630" s="287" t="s">
        <v>6582</v>
      </c>
      <c r="N630" s="291" t="b">
        <v>0</v>
      </c>
      <c r="O630" s="286"/>
      <c r="P630" s="292"/>
      <c r="Q630" s="286"/>
      <c r="R630" s="286"/>
      <c r="S630" s="293"/>
      <c r="T630" s="294"/>
      <c r="U630" s="37">
        <v>1845</v>
      </c>
      <c r="V630" s="36" t="str">
        <f>CONCATENATE(Cover!$D$6,"fdd/view?i=",U630)</f>
        <v>https://www.dgiwg.org/FAD/fdd/view?i=1845</v>
      </c>
      <c r="W630" s="172"/>
      <c r="X630" s="172"/>
      <c r="Y630" s="172"/>
    </row>
    <row r="631" spans="1:25" ht="2.1" customHeight="1" x14ac:dyDescent="0.2">
      <c r="A631" s="295"/>
      <c r="B631" s="283"/>
      <c r="C631" s="296"/>
      <c r="D631" s="283"/>
      <c r="E631" s="296"/>
      <c r="F631" s="297"/>
      <c r="G631" s="297"/>
      <c r="H631" s="297"/>
      <c r="I631" s="298"/>
      <c r="J631" s="304"/>
      <c r="K631" s="300"/>
      <c r="L631" s="301"/>
      <c r="M631" s="297" t="s">
        <v>6582</v>
      </c>
      <c r="N631" s="297"/>
      <c r="O631" s="297"/>
      <c r="P631" s="297"/>
      <c r="Q631" s="297"/>
      <c r="R631" s="297"/>
      <c r="S631" s="302"/>
      <c r="T631" s="302"/>
      <c r="U631" s="303"/>
    </row>
    <row r="632" spans="1:25" ht="25.5" x14ac:dyDescent="0.2">
      <c r="A632" s="212" t="str">
        <f>HYPERLINK(V632,B632)</f>
        <v>GeoCode</v>
      </c>
      <c r="B632" s="283" t="s">
        <v>9034</v>
      </c>
      <c r="C632" s="284" t="s">
        <v>15207</v>
      </c>
      <c r="D632" s="285"/>
      <c r="E632" s="286"/>
      <c r="F632" s="287" t="s">
        <v>15208</v>
      </c>
      <c r="G632" s="286"/>
      <c r="H632" s="286"/>
      <c r="I632" s="288"/>
      <c r="J632" s="289"/>
      <c r="K632" s="290"/>
      <c r="L632" s="371" t="str">
        <f>HYPERLINK("[#]DatatypeListedValues!B4482:H4482","«enumeration»")</f>
        <v>«enumeration»</v>
      </c>
      <c r="M632" s="287" t="s">
        <v>6582</v>
      </c>
      <c r="N632" s="291" t="b">
        <v>0</v>
      </c>
      <c r="O632" s="286"/>
      <c r="P632" s="292"/>
      <c r="Q632" s="286"/>
      <c r="R632" s="286"/>
      <c r="S632" s="293"/>
      <c r="T632" s="294"/>
      <c r="U632" s="37">
        <v>1232</v>
      </c>
      <c r="V632" s="36" t="str">
        <f>CONCATENATE(Cover!$D$6,"fdd/view?i=",U632)</f>
        <v>https://www.dgiwg.org/FAD/fdd/view?i=1232</v>
      </c>
      <c r="W632" s="172"/>
      <c r="X632" s="172"/>
      <c r="Y632" s="172"/>
    </row>
    <row r="633" spans="1:25" ht="2.1" customHeight="1" x14ac:dyDescent="0.2">
      <c r="A633" s="295"/>
      <c r="B633" s="283"/>
      <c r="C633" s="296"/>
      <c r="D633" s="283"/>
      <c r="E633" s="296"/>
      <c r="F633" s="297"/>
      <c r="G633" s="297"/>
      <c r="H633" s="297"/>
      <c r="I633" s="298"/>
      <c r="J633" s="304"/>
      <c r="K633" s="300"/>
      <c r="L633" s="301"/>
      <c r="M633" s="297" t="s">
        <v>6582</v>
      </c>
      <c r="N633" s="297"/>
      <c r="O633" s="297"/>
      <c r="P633" s="297"/>
      <c r="Q633" s="297"/>
      <c r="R633" s="297"/>
      <c r="S633" s="302"/>
      <c r="T633" s="302"/>
      <c r="U633" s="303"/>
    </row>
    <row r="634" spans="1:25" ht="25.5" x14ac:dyDescent="0.2">
      <c r="A634" s="212" t="str">
        <f>HYPERLINK(V634,B634)</f>
        <v>GmaCode</v>
      </c>
      <c r="B634" s="283" t="s">
        <v>9052</v>
      </c>
      <c r="C634" s="284" t="s">
        <v>15209</v>
      </c>
      <c r="D634" s="285"/>
      <c r="E634" s="286"/>
      <c r="F634" s="287" t="s">
        <v>15210</v>
      </c>
      <c r="G634" s="286"/>
      <c r="H634" s="286"/>
      <c r="I634" s="288"/>
      <c r="J634" s="289"/>
      <c r="K634" s="290"/>
      <c r="L634" s="371" t="str">
        <f>HYPERLINK("[#]DatatypeListedValues!B4502:H4502","«enumeration»")</f>
        <v>«enumeration»</v>
      </c>
      <c r="M634" s="287" t="s">
        <v>6582</v>
      </c>
      <c r="N634" s="291" t="b">
        <v>0</v>
      </c>
      <c r="O634" s="286"/>
      <c r="P634" s="292"/>
      <c r="Q634" s="286"/>
      <c r="R634" s="286"/>
      <c r="S634" s="293"/>
      <c r="T634" s="294"/>
      <c r="U634" s="37">
        <v>1842</v>
      </c>
      <c r="V634" s="36" t="str">
        <f>CONCATENATE(Cover!$D$6,"fdd/view?i=",U634)</f>
        <v>https://www.dgiwg.org/FAD/fdd/view?i=1842</v>
      </c>
      <c r="W634" s="172"/>
      <c r="X634" s="172"/>
      <c r="Y634" s="172"/>
    </row>
    <row r="635" spans="1:25" ht="2.1" customHeight="1" x14ac:dyDescent="0.2">
      <c r="A635" s="295"/>
      <c r="B635" s="283"/>
      <c r="C635" s="296"/>
      <c r="D635" s="283"/>
      <c r="E635" s="296"/>
      <c r="F635" s="297"/>
      <c r="G635" s="297"/>
      <c r="H635" s="297"/>
      <c r="I635" s="298"/>
      <c r="J635" s="304"/>
      <c r="K635" s="300"/>
      <c r="L635" s="301"/>
      <c r="M635" s="297" t="s">
        <v>6582</v>
      </c>
      <c r="N635" s="297"/>
      <c r="O635" s="297"/>
      <c r="P635" s="297"/>
      <c r="Q635" s="297"/>
      <c r="R635" s="297"/>
      <c r="S635" s="302"/>
      <c r="T635" s="302"/>
      <c r="U635" s="303"/>
    </row>
    <row r="636" spans="1:25" ht="25.5" x14ac:dyDescent="0.2">
      <c r="A636" s="212" t="str">
        <f>HYPERLINK(V636,B636)</f>
        <v>GmmCode</v>
      </c>
      <c r="B636" s="283" t="s">
        <v>9057</v>
      </c>
      <c r="C636" s="284" t="s">
        <v>15211</v>
      </c>
      <c r="D636" s="285"/>
      <c r="E636" s="286"/>
      <c r="F636" s="287" t="s">
        <v>15212</v>
      </c>
      <c r="G636" s="286"/>
      <c r="H636" s="286"/>
      <c r="I636" s="288"/>
      <c r="J636" s="289"/>
      <c r="K636" s="290"/>
      <c r="L636" s="371" t="str">
        <f>HYPERLINK("[#]DatatypeListedValues!B4506:H4506","«enumeration»")</f>
        <v>«enumeration»</v>
      </c>
      <c r="M636" s="287" t="s">
        <v>6582</v>
      </c>
      <c r="N636" s="291" t="b">
        <v>0</v>
      </c>
      <c r="O636" s="286"/>
      <c r="P636" s="292"/>
      <c r="Q636" s="286"/>
      <c r="R636" s="286"/>
      <c r="S636" s="293"/>
      <c r="T636" s="294"/>
      <c r="U636" s="37">
        <v>1844</v>
      </c>
      <c r="V636" s="36" t="str">
        <f>CONCATENATE(Cover!$D$6,"fdd/view?i=",U636)</f>
        <v>https://www.dgiwg.org/FAD/fdd/view?i=1844</v>
      </c>
      <c r="W636" s="172"/>
      <c r="X636" s="172"/>
      <c r="Y636" s="172"/>
    </row>
    <row r="637" spans="1:25" ht="2.1" customHeight="1" x14ac:dyDescent="0.2">
      <c r="A637" s="295"/>
      <c r="B637" s="283"/>
      <c r="C637" s="296"/>
      <c r="D637" s="283"/>
      <c r="E637" s="296"/>
      <c r="F637" s="297"/>
      <c r="G637" s="297"/>
      <c r="H637" s="297"/>
      <c r="I637" s="298"/>
      <c r="J637" s="304"/>
      <c r="K637" s="300"/>
      <c r="L637" s="301"/>
      <c r="M637" s="297" t="s">
        <v>6582</v>
      </c>
      <c r="N637" s="297"/>
      <c r="O637" s="297"/>
      <c r="P637" s="297"/>
      <c r="Q637" s="297"/>
      <c r="R637" s="297"/>
      <c r="S637" s="302"/>
      <c r="T637" s="302"/>
      <c r="U637" s="303"/>
    </row>
    <row r="638" spans="1:25" ht="25.5" x14ac:dyDescent="0.2">
      <c r="A638" s="212" t="str">
        <f>HYPERLINK(V638,B638)</f>
        <v>GsgCode</v>
      </c>
      <c r="B638" s="283" t="s">
        <v>9067</v>
      </c>
      <c r="C638" s="284" t="s">
        <v>15213</v>
      </c>
      <c r="D638" s="285"/>
      <c r="E638" s="286"/>
      <c r="F638" s="287" t="s">
        <v>15214</v>
      </c>
      <c r="G638" s="286"/>
      <c r="H638" s="286"/>
      <c r="I638" s="288"/>
      <c r="J638" s="289"/>
      <c r="K638" s="290"/>
      <c r="L638" s="371" t="str">
        <f>HYPERLINK("[#]DatatypeListedValues!B4516:H4516","«enumeration»")</f>
        <v>«enumeration»</v>
      </c>
      <c r="M638" s="287" t="s">
        <v>6582</v>
      </c>
      <c r="N638" s="291" t="b">
        <v>0</v>
      </c>
      <c r="O638" s="286"/>
      <c r="P638" s="292"/>
      <c r="Q638" s="286"/>
      <c r="R638" s="286"/>
      <c r="S638" s="293"/>
      <c r="T638" s="294"/>
      <c r="U638" s="37">
        <v>1846</v>
      </c>
      <c r="V638" s="36" t="str">
        <f>CONCATENATE(Cover!$D$6,"fdd/view?i=",U638)</f>
        <v>https://www.dgiwg.org/FAD/fdd/view?i=1846</v>
      </c>
      <c r="W638" s="172"/>
      <c r="X638" s="172"/>
      <c r="Y638" s="172"/>
    </row>
    <row r="639" spans="1:25" ht="2.1" customHeight="1" x14ac:dyDescent="0.2">
      <c r="A639" s="295"/>
      <c r="B639" s="283"/>
      <c r="C639" s="296"/>
      <c r="D639" s="283"/>
      <c r="E639" s="296"/>
      <c r="F639" s="297"/>
      <c r="G639" s="297"/>
      <c r="H639" s="297"/>
      <c r="I639" s="298"/>
      <c r="J639" s="304"/>
      <c r="K639" s="300"/>
      <c r="L639" s="301"/>
      <c r="M639" s="297" t="s">
        <v>6582</v>
      </c>
      <c r="N639" s="297"/>
      <c r="O639" s="297"/>
      <c r="P639" s="297"/>
      <c r="Q639" s="297"/>
      <c r="R639" s="297"/>
      <c r="S639" s="302"/>
      <c r="T639" s="302"/>
      <c r="U639" s="303"/>
    </row>
    <row r="640" spans="1:25" ht="38.25" x14ac:dyDescent="0.2">
      <c r="A640" s="212" t="str">
        <f>HYPERLINK(V640,B640)</f>
        <v>GhpCode</v>
      </c>
      <c r="B640" s="283" t="s">
        <v>9073</v>
      </c>
      <c r="C640" s="284" t="s">
        <v>15215</v>
      </c>
      <c r="D640" s="285"/>
      <c r="E640" s="286"/>
      <c r="F640" s="287" t="s">
        <v>15216</v>
      </c>
      <c r="G640" s="286"/>
      <c r="H640" s="286"/>
      <c r="I640" s="288"/>
      <c r="J640" s="289"/>
      <c r="K640" s="290"/>
      <c r="L640" s="371" t="str">
        <f>HYPERLINK("[#]DatatypeListedValues!B4522:H4522","«enumeration»")</f>
        <v>«enumeration»</v>
      </c>
      <c r="M640" s="287" t="s">
        <v>6582</v>
      </c>
      <c r="N640" s="291" t="b">
        <v>0</v>
      </c>
      <c r="O640" s="286"/>
      <c r="P640" s="292"/>
      <c r="Q640" s="286"/>
      <c r="R640" s="286"/>
      <c r="S640" s="293"/>
      <c r="T640" s="294"/>
      <c r="U640" s="37">
        <v>1841</v>
      </c>
      <c r="V640" s="36" t="str">
        <f>CONCATENATE(Cover!$D$6,"fdd/view?i=",U640)</f>
        <v>https://www.dgiwg.org/FAD/fdd/view?i=1841</v>
      </c>
      <c r="W640" s="172"/>
      <c r="X640" s="172"/>
      <c r="Y640" s="172"/>
    </row>
    <row r="641" spans="1:25" ht="2.1" customHeight="1" x14ac:dyDescent="0.2">
      <c r="A641" s="295"/>
      <c r="B641" s="283"/>
      <c r="C641" s="296"/>
      <c r="D641" s="283"/>
      <c r="E641" s="296"/>
      <c r="F641" s="297"/>
      <c r="G641" s="297"/>
      <c r="H641" s="297"/>
      <c r="I641" s="298"/>
      <c r="J641" s="304"/>
      <c r="K641" s="300"/>
      <c r="L641" s="301"/>
      <c r="M641" s="297" t="s">
        <v>6582</v>
      </c>
      <c r="N641" s="297"/>
      <c r="O641" s="297"/>
      <c r="P641" s="297"/>
      <c r="Q641" s="297"/>
      <c r="R641" s="297"/>
      <c r="S641" s="302"/>
      <c r="T641" s="302"/>
      <c r="U641" s="303"/>
    </row>
    <row r="642" spans="1:25" ht="25.5" x14ac:dyDescent="0.2">
      <c r="A642" s="212" t="str">
        <f>HYPERLINK(V642,B642)</f>
        <v>GztCode</v>
      </c>
      <c r="B642" s="283" t="s">
        <v>9087</v>
      </c>
      <c r="C642" s="284" t="s">
        <v>15217</v>
      </c>
      <c r="D642" s="285"/>
      <c r="E642" s="286"/>
      <c r="F642" s="287" t="s">
        <v>15218</v>
      </c>
      <c r="G642" s="286"/>
      <c r="H642" s="286"/>
      <c r="I642" s="288"/>
      <c r="J642" s="289"/>
      <c r="K642" s="290"/>
      <c r="L642" s="371" t="str">
        <f>HYPERLINK("[#]DatatypeListedValues!B4534:H4534","«enumeration»")</f>
        <v>«enumeration»</v>
      </c>
      <c r="M642" s="287" t="s">
        <v>6582</v>
      </c>
      <c r="N642" s="291" t="b">
        <v>0</v>
      </c>
      <c r="O642" s="286"/>
      <c r="P642" s="292"/>
      <c r="Q642" s="286"/>
      <c r="R642" s="286"/>
      <c r="S642" s="293"/>
      <c r="T642" s="294"/>
      <c r="U642" s="37">
        <v>118928</v>
      </c>
      <c r="V642" s="36" t="str">
        <f>CONCATENATE(Cover!$D$6,"fdd/view?i=",U642)</f>
        <v>https://www.dgiwg.org/FAD/fdd/view?i=118928</v>
      </c>
      <c r="W642" s="172"/>
      <c r="X642" s="172"/>
      <c r="Y642" s="172"/>
    </row>
    <row r="643" spans="1:25" ht="2.1" customHeight="1" x14ac:dyDescent="0.2">
      <c r="A643" s="295"/>
      <c r="B643" s="283"/>
      <c r="C643" s="296"/>
      <c r="D643" s="283"/>
      <c r="E643" s="296"/>
      <c r="F643" s="297"/>
      <c r="G643" s="297"/>
      <c r="H643" s="297"/>
      <c r="I643" s="298"/>
      <c r="J643" s="304"/>
      <c r="K643" s="300"/>
      <c r="L643" s="301"/>
      <c r="M643" s="297" t="s">
        <v>6582</v>
      </c>
      <c r="N643" s="297"/>
      <c r="O643" s="297"/>
      <c r="P643" s="297"/>
      <c r="Q643" s="297"/>
      <c r="R643" s="297"/>
      <c r="S643" s="302"/>
      <c r="T643" s="302"/>
      <c r="U643" s="303"/>
    </row>
    <row r="644" spans="1:25" ht="25.5" x14ac:dyDescent="0.2">
      <c r="A644" s="212" t="str">
        <f>HYPERLINK(V644,B644)</f>
        <v>Va5Code</v>
      </c>
      <c r="B644" s="283" t="s">
        <v>9097</v>
      </c>
      <c r="C644" s="284" t="s">
        <v>15219</v>
      </c>
      <c r="D644" s="285"/>
      <c r="E644" s="286"/>
      <c r="F644" s="287" t="s">
        <v>15220</v>
      </c>
      <c r="G644" s="286"/>
      <c r="H644" s="286"/>
      <c r="I644" s="288"/>
      <c r="J644" s="289"/>
      <c r="K644" s="290"/>
      <c r="L644" s="371" t="str">
        <f>HYPERLINK("[#]DatatypeListedValues!B4544:H4544","«enumeration»")</f>
        <v>«enumeration»</v>
      </c>
      <c r="M644" s="287" t="s">
        <v>6582</v>
      </c>
      <c r="N644" s="291" t="b">
        <v>0</v>
      </c>
      <c r="O644" s="286"/>
      <c r="P644" s="292"/>
      <c r="Q644" s="286"/>
      <c r="R644" s="286"/>
      <c r="S644" s="293"/>
      <c r="T644" s="294"/>
      <c r="U644" s="37">
        <v>3873</v>
      </c>
      <c r="V644" s="36" t="str">
        <f>CONCATENATE(Cover!$D$6,"fdd/view?i=",U644)</f>
        <v>https://www.dgiwg.org/FAD/fdd/view?i=3873</v>
      </c>
      <c r="W644" s="172"/>
      <c r="X644" s="172"/>
      <c r="Y644" s="172"/>
    </row>
    <row r="645" spans="1:25" ht="2.1" customHeight="1" x14ac:dyDescent="0.2">
      <c r="A645" s="295"/>
      <c r="B645" s="283"/>
      <c r="C645" s="296"/>
      <c r="D645" s="283"/>
      <c r="E645" s="296"/>
      <c r="F645" s="297"/>
      <c r="G645" s="297"/>
      <c r="H645" s="297"/>
      <c r="I645" s="298"/>
      <c r="J645" s="304"/>
      <c r="K645" s="300"/>
      <c r="L645" s="301"/>
      <c r="M645" s="297" t="s">
        <v>6582</v>
      </c>
      <c r="N645" s="297"/>
      <c r="O645" s="297"/>
      <c r="P645" s="297"/>
      <c r="Q645" s="297"/>
      <c r="R645" s="297"/>
      <c r="S645" s="302"/>
      <c r="T645" s="302"/>
      <c r="U645" s="303"/>
    </row>
    <row r="646" spans="1:25" ht="25.5" x14ac:dyDescent="0.2">
      <c r="A646" s="212" t="str">
        <f>HYPERLINK(V646,B646)</f>
        <v>GecCode</v>
      </c>
      <c r="B646" s="283" t="s">
        <v>9107</v>
      </c>
      <c r="C646" s="284" t="s">
        <v>15221</v>
      </c>
      <c r="D646" s="285"/>
      <c r="E646" s="286"/>
      <c r="F646" s="287" t="s">
        <v>15222</v>
      </c>
      <c r="G646" s="286"/>
      <c r="H646" s="286"/>
      <c r="I646" s="288"/>
      <c r="J646" s="289"/>
      <c r="K646" s="290"/>
      <c r="L646" s="371" t="str">
        <f>HYPERLINK("[#]DatatypeListedValues!B4550:H4550","«enumeration»")</f>
        <v>«enumeration»</v>
      </c>
      <c r="M646" s="287" t="s">
        <v>6582</v>
      </c>
      <c r="N646" s="291" t="b">
        <v>0</v>
      </c>
      <c r="O646" s="286"/>
      <c r="P646" s="292"/>
      <c r="Q646" s="286"/>
      <c r="R646" s="286"/>
      <c r="S646" s="293"/>
      <c r="T646" s="294"/>
      <c r="U646" s="37">
        <v>1230</v>
      </c>
      <c r="V646" s="36" t="str">
        <f>CONCATENATE(Cover!$D$6,"fdd/view?i=",U646)</f>
        <v>https://www.dgiwg.org/FAD/fdd/view?i=1230</v>
      </c>
      <c r="W646" s="172"/>
      <c r="X646" s="172"/>
      <c r="Y646" s="172"/>
    </row>
    <row r="647" spans="1:25" ht="2.1" customHeight="1" x14ac:dyDescent="0.2">
      <c r="A647" s="295"/>
      <c r="B647" s="283"/>
      <c r="C647" s="296"/>
      <c r="D647" s="283"/>
      <c r="E647" s="296"/>
      <c r="F647" s="297"/>
      <c r="G647" s="297"/>
      <c r="H647" s="297"/>
      <c r="I647" s="298"/>
      <c r="J647" s="304"/>
      <c r="K647" s="300"/>
      <c r="L647" s="301"/>
      <c r="M647" s="297" t="s">
        <v>6582</v>
      </c>
      <c r="N647" s="297"/>
      <c r="O647" s="297"/>
      <c r="P647" s="297"/>
      <c r="Q647" s="297"/>
      <c r="R647" s="297"/>
      <c r="S647" s="302"/>
      <c r="T647" s="302"/>
      <c r="U647" s="303"/>
    </row>
    <row r="648" spans="1:25" ht="25.5" x14ac:dyDescent="0.2">
      <c r="A648" s="212" t="str">
        <f>HYPERLINK(V648,B648)</f>
        <v>LspCode</v>
      </c>
      <c r="B648" s="283" t="s">
        <v>9112</v>
      </c>
      <c r="C648" s="284" t="s">
        <v>15223</v>
      </c>
      <c r="D648" s="285"/>
      <c r="E648" s="286"/>
      <c r="F648" s="287" t="s">
        <v>15224</v>
      </c>
      <c r="G648" s="286"/>
      <c r="H648" s="286"/>
      <c r="I648" s="288"/>
      <c r="J648" s="289"/>
      <c r="K648" s="290"/>
      <c r="L648" s="371" t="str">
        <f>HYPERLINK("[#]DatatypeListedValues!B4563:H4563","«enumeration»")</f>
        <v>«enumeration»</v>
      </c>
      <c r="M648" s="287" t="s">
        <v>6582</v>
      </c>
      <c r="N648" s="291" t="b">
        <v>0</v>
      </c>
      <c r="O648" s="286"/>
      <c r="P648" s="292"/>
      <c r="Q648" s="286"/>
      <c r="R648" s="286"/>
      <c r="S648" s="293"/>
      <c r="T648" s="294"/>
      <c r="U648" s="37">
        <v>1286</v>
      </c>
      <c r="V648" s="36" t="str">
        <f>CONCATENATE(Cover!$D$6,"fdd/view?i=",U648)</f>
        <v>https://www.dgiwg.org/FAD/fdd/view?i=1286</v>
      </c>
      <c r="W648" s="172"/>
      <c r="X648" s="172"/>
      <c r="Y648" s="172"/>
    </row>
    <row r="649" spans="1:25" ht="2.1" customHeight="1" x14ac:dyDescent="0.2">
      <c r="A649" s="295"/>
      <c r="B649" s="283"/>
      <c r="C649" s="296"/>
      <c r="D649" s="283"/>
      <c r="E649" s="296"/>
      <c r="F649" s="297"/>
      <c r="G649" s="297"/>
      <c r="H649" s="297"/>
      <c r="I649" s="298"/>
      <c r="J649" s="304"/>
      <c r="K649" s="300"/>
      <c r="L649" s="301"/>
      <c r="M649" s="297" t="s">
        <v>6582</v>
      </c>
      <c r="N649" s="297"/>
      <c r="O649" s="297"/>
      <c r="P649" s="297"/>
      <c r="Q649" s="297"/>
      <c r="R649" s="297"/>
      <c r="S649" s="302"/>
      <c r="T649" s="302"/>
      <c r="U649" s="303"/>
    </row>
    <row r="650" spans="1:25" ht="25.5" x14ac:dyDescent="0.2">
      <c r="A650" s="212" t="str">
        <f>HYPERLINK(V650,B650)</f>
        <v>GotCode</v>
      </c>
      <c r="B650" s="283" t="s">
        <v>9117</v>
      </c>
      <c r="C650" s="284" t="s">
        <v>15225</v>
      </c>
      <c r="D650" s="285"/>
      <c r="E650" s="286"/>
      <c r="F650" s="287" t="s">
        <v>15226</v>
      </c>
      <c r="G650" s="286"/>
      <c r="H650" s="286"/>
      <c r="I650" s="288"/>
      <c r="J650" s="289"/>
      <c r="K650" s="290"/>
      <c r="L650" s="371" t="str">
        <f>HYPERLINK("[#]DatatypeListedValues!B4580:H4580","«enumeration»")</f>
        <v>«enumeration»</v>
      </c>
      <c r="M650" s="287" t="s">
        <v>6582</v>
      </c>
      <c r="N650" s="291" t="b">
        <v>0</v>
      </c>
      <c r="O650" s="286"/>
      <c r="P650" s="292"/>
      <c r="Q650" s="286"/>
      <c r="R650" s="286"/>
      <c r="S650" s="293"/>
      <c r="T650" s="294"/>
      <c r="U650" s="37">
        <v>1586</v>
      </c>
      <c r="V650" s="36" t="str">
        <f>CONCATENATE(Cover!$D$6,"fdd/view?i=",U650)</f>
        <v>https://www.dgiwg.org/FAD/fdd/view?i=1586</v>
      </c>
      <c r="W650" s="172"/>
      <c r="X650" s="172"/>
      <c r="Y650" s="172"/>
    </row>
    <row r="651" spans="1:25" ht="2.1" customHeight="1" x14ac:dyDescent="0.2">
      <c r="A651" s="295"/>
      <c r="B651" s="283"/>
      <c r="C651" s="296"/>
      <c r="D651" s="283"/>
      <c r="E651" s="296"/>
      <c r="F651" s="297"/>
      <c r="G651" s="297"/>
      <c r="H651" s="297"/>
      <c r="I651" s="298"/>
      <c r="J651" s="304"/>
      <c r="K651" s="300"/>
      <c r="L651" s="301"/>
      <c r="M651" s="297" t="s">
        <v>6582</v>
      </c>
      <c r="N651" s="297"/>
      <c r="O651" s="297"/>
      <c r="P651" s="297"/>
      <c r="Q651" s="297"/>
      <c r="R651" s="297"/>
      <c r="S651" s="302"/>
      <c r="T651" s="302"/>
      <c r="U651" s="303"/>
    </row>
    <row r="652" spans="1:25" ht="25.5" x14ac:dyDescent="0.2">
      <c r="A652" s="212" t="str">
        <f>HYPERLINK(V652,B652)</f>
        <v>CngCode</v>
      </c>
      <c r="B652" s="283" t="s">
        <v>9137</v>
      </c>
      <c r="C652" s="284" t="s">
        <v>15227</v>
      </c>
      <c r="D652" s="285"/>
      <c r="E652" s="286"/>
      <c r="F652" s="287" t="s">
        <v>15228</v>
      </c>
      <c r="G652" s="286"/>
      <c r="H652" s="286"/>
      <c r="I652" s="288"/>
      <c r="J652" s="289"/>
      <c r="K652" s="290"/>
      <c r="L652" s="371" t="str">
        <f>HYPERLINK("[#]DatatypeListedValues!B4585:H4585","«enumeration»")</f>
        <v>«enumeration»</v>
      </c>
      <c r="M652" s="287" t="s">
        <v>6582</v>
      </c>
      <c r="N652" s="291" t="b">
        <v>0</v>
      </c>
      <c r="O652" s="286"/>
      <c r="P652" s="292"/>
      <c r="Q652" s="286"/>
      <c r="R652" s="286"/>
      <c r="S652" s="293"/>
      <c r="T652" s="294"/>
      <c r="U652" s="37">
        <v>117369</v>
      </c>
      <c r="V652" s="36" t="str">
        <f>CONCATENATE(Cover!$D$6,"fdd/view?i=",U652)</f>
        <v>https://www.dgiwg.org/FAD/fdd/view?i=117369</v>
      </c>
      <c r="W652" s="172"/>
      <c r="X652" s="172"/>
      <c r="Y652" s="172"/>
    </row>
    <row r="653" spans="1:25" ht="2.1" customHeight="1" x14ac:dyDescent="0.2">
      <c r="A653" s="295"/>
      <c r="B653" s="283"/>
      <c r="C653" s="296"/>
      <c r="D653" s="283"/>
      <c r="E653" s="296"/>
      <c r="F653" s="297"/>
      <c r="G653" s="297"/>
      <c r="H653" s="297"/>
      <c r="I653" s="298"/>
      <c r="J653" s="304"/>
      <c r="K653" s="300"/>
      <c r="L653" s="301"/>
      <c r="M653" s="297" t="s">
        <v>6582</v>
      </c>
      <c r="N653" s="297"/>
      <c r="O653" s="297"/>
      <c r="P653" s="297"/>
      <c r="Q653" s="297"/>
      <c r="R653" s="297"/>
      <c r="S653" s="302"/>
      <c r="T653" s="302"/>
      <c r="U653" s="303"/>
    </row>
    <row r="654" spans="1:25" ht="25.5" x14ac:dyDescent="0.2">
      <c r="A654" s="212" t="str">
        <f>HYPERLINK(V654,B654)</f>
        <v>GfcCode</v>
      </c>
      <c r="B654" s="283" t="s">
        <v>9142</v>
      </c>
      <c r="C654" s="284" t="s">
        <v>15229</v>
      </c>
      <c r="D654" s="285"/>
      <c r="E654" s="286"/>
      <c r="F654" s="287" t="s">
        <v>15230</v>
      </c>
      <c r="G654" s="286"/>
      <c r="H654" s="286"/>
      <c r="I654" s="288"/>
      <c r="J654" s="289"/>
      <c r="K654" s="290"/>
      <c r="L654" s="371" t="str">
        <f>HYPERLINK("[#]DatatypeListedValues!B4587:H4587","«enumeration»")</f>
        <v>«enumeration»</v>
      </c>
      <c r="M654" s="287" t="s">
        <v>6582</v>
      </c>
      <c r="N654" s="291" t="b">
        <v>0</v>
      </c>
      <c r="O654" s="286"/>
      <c r="P654" s="292"/>
      <c r="Q654" s="286"/>
      <c r="R654" s="286"/>
      <c r="S654" s="293"/>
      <c r="T654" s="294"/>
      <c r="U654" s="37">
        <v>1233</v>
      </c>
      <c r="V654" s="36" t="str">
        <f>CONCATENATE(Cover!$D$6,"fdd/view?i=",U654)</f>
        <v>https://www.dgiwg.org/FAD/fdd/view?i=1233</v>
      </c>
      <c r="W654" s="172"/>
      <c r="X654" s="172"/>
      <c r="Y654" s="172"/>
    </row>
    <row r="655" spans="1:25" ht="2.1" customHeight="1" x14ac:dyDescent="0.2">
      <c r="A655" s="295"/>
      <c r="B655" s="283"/>
      <c r="C655" s="296"/>
      <c r="D655" s="283"/>
      <c r="E655" s="296"/>
      <c r="F655" s="297"/>
      <c r="G655" s="297"/>
      <c r="H655" s="297"/>
      <c r="I655" s="298"/>
      <c r="J655" s="304"/>
      <c r="K655" s="300"/>
      <c r="L655" s="301"/>
      <c r="M655" s="297" t="s">
        <v>6582</v>
      </c>
      <c r="N655" s="297"/>
      <c r="O655" s="297"/>
      <c r="P655" s="297"/>
      <c r="Q655" s="297"/>
      <c r="R655" s="297"/>
      <c r="S655" s="302"/>
      <c r="T655" s="302"/>
      <c r="U655" s="303"/>
    </row>
    <row r="656" spans="1:25" ht="25.5" x14ac:dyDescent="0.2">
      <c r="A656" s="212" t="str">
        <f>HYPERLINK(V656,B656)</f>
        <v>CetCode</v>
      </c>
      <c r="B656" s="283" t="s">
        <v>9152</v>
      </c>
      <c r="C656" s="284" t="s">
        <v>15231</v>
      </c>
      <c r="D656" s="285"/>
      <c r="E656" s="286"/>
      <c r="F656" s="287" t="s">
        <v>15232</v>
      </c>
      <c r="G656" s="286"/>
      <c r="H656" s="286"/>
      <c r="I656" s="288"/>
      <c r="J656" s="289"/>
      <c r="K656" s="290"/>
      <c r="L656" s="371" t="str">
        <f>HYPERLINK("[#]DatatypeListedValues!B4602:H4602","«enumeration»")</f>
        <v>«enumeration»</v>
      </c>
      <c r="M656" s="287" t="s">
        <v>6582</v>
      </c>
      <c r="N656" s="291" t="b">
        <v>0</v>
      </c>
      <c r="O656" s="286"/>
      <c r="P656" s="292"/>
      <c r="Q656" s="286"/>
      <c r="R656" s="286"/>
      <c r="S656" s="293"/>
      <c r="T656" s="294"/>
      <c r="U656" s="37">
        <v>1160</v>
      </c>
      <c r="V656" s="36" t="str">
        <f>CONCATENATE(Cover!$D$6,"fdd/view?i=",U656)</f>
        <v>https://www.dgiwg.org/FAD/fdd/view?i=1160</v>
      </c>
      <c r="W656" s="172"/>
      <c r="X656" s="172"/>
      <c r="Y656" s="172"/>
    </row>
    <row r="657" spans="1:25" ht="2.1" customHeight="1" x14ac:dyDescent="0.2">
      <c r="A657" s="295"/>
      <c r="B657" s="283"/>
      <c r="C657" s="296"/>
      <c r="D657" s="283"/>
      <c r="E657" s="296"/>
      <c r="F657" s="297"/>
      <c r="G657" s="297"/>
      <c r="H657" s="297"/>
      <c r="I657" s="298"/>
      <c r="J657" s="304"/>
      <c r="K657" s="300"/>
      <c r="L657" s="301"/>
      <c r="M657" s="297" t="s">
        <v>6582</v>
      </c>
      <c r="N657" s="297"/>
      <c r="O657" s="297"/>
      <c r="P657" s="297"/>
      <c r="Q657" s="297"/>
      <c r="R657" s="297"/>
      <c r="S657" s="302"/>
      <c r="T657" s="302"/>
      <c r="U657" s="303"/>
    </row>
    <row r="658" spans="1:25" ht="178.5" x14ac:dyDescent="0.2">
      <c r="A658" s="212" t="str">
        <f>HYPERLINK(V658,B658)</f>
        <v>GvdStrucText</v>
      </c>
      <c r="B658" s="283" t="s">
        <v>9175</v>
      </c>
      <c r="C658" s="284" t="s">
        <v>15233</v>
      </c>
      <c r="D658" s="285"/>
      <c r="E658" s="286"/>
      <c r="F658" s="287" t="s">
        <v>15234</v>
      </c>
      <c r="G658" s="286"/>
      <c r="H658" s="287" t="s">
        <v>14552</v>
      </c>
      <c r="I658" s="288"/>
      <c r="J658" s="289"/>
      <c r="K658" s="290"/>
      <c r="L658" s="287" t="s">
        <v>14551</v>
      </c>
      <c r="M658" s="287" t="s">
        <v>6582</v>
      </c>
      <c r="N658" s="286"/>
      <c r="O658" s="287">
        <v>20</v>
      </c>
      <c r="P658" s="305" t="b">
        <v>0</v>
      </c>
      <c r="Q658" s="287" t="s">
        <v>14553</v>
      </c>
      <c r="R658" s="286"/>
      <c r="S658" s="293"/>
      <c r="T658" s="294"/>
      <c r="U658" s="37">
        <v>119625</v>
      </c>
      <c r="V658" s="36" t="str">
        <f>CONCATENATE(Cover!$D$6,"fdd/view?i=",U658)</f>
        <v>https://www.dgiwg.org/FAD/fdd/view?i=119625</v>
      </c>
      <c r="W658" s="172"/>
      <c r="X658" s="172"/>
      <c r="Y658" s="172"/>
    </row>
    <row r="659" spans="1:25" ht="2.1" customHeight="1" x14ac:dyDescent="0.2">
      <c r="A659" s="295"/>
      <c r="B659" s="283"/>
      <c r="C659" s="296"/>
      <c r="D659" s="283"/>
      <c r="E659" s="296"/>
      <c r="F659" s="297"/>
      <c r="G659" s="297"/>
      <c r="H659" s="297"/>
      <c r="I659" s="298"/>
      <c r="J659" s="304"/>
      <c r="K659" s="300"/>
      <c r="L659" s="301"/>
      <c r="M659" s="297" t="s">
        <v>6582</v>
      </c>
      <c r="N659" s="297"/>
      <c r="O659" s="297"/>
      <c r="P659" s="297"/>
      <c r="Q659" s="297"/>
      <c r="R659" s="297"/>
      <c r="S659" s="302"/>
      <c r="T659" s="302"/>
      <c r="U659" s="303"/>
    </row>
    <row r="660" spans="1:25" ht="25.5" x14ac:dyDescent="0.2">
      <c r="A660" s="212" t="str">
        <f>HYPERLINK(V660,B660)</f>
        <v>GvgCode</v>
      </c>
      <c r="B660" s="283" t="s">
        <v>9189</v>
      </c>
      <c r="C660" s="284" t="s">
        <v>15235</v>
      </c>
      <c r="D660" s="285"/>
      <c r="E660" s="286"/>
      <c r="F660" s="287" t="s">
        <v>15236</v>
      </c>
      <c r="G660" s="286"/>
      <c r="H660" s="286"/>
      <c r="I660" s="288"/>
      <c r="J660" s="289"/>
      <c r="K660" s="290"/>
      <c r="L660" s="371" t="str">
        <f>HYPERLINK("[#]DatatypeListedValues!B4606:H4606","«enumeration»")</f>
        <v>«enumeration»</v>
      </c>
      <c r="M660" s="287" t="s">
        <v>6582</v>
      </c>
      <c r="N660" s="291" t="b">
        <v>0</v>
      </c>
      <c r="O660" s="286"/>
      <c r="P660" s="292"/>
      <c r="Q660" s="286"/>
      <c r="R660" s="286"/>
      <c r="S660" s="293"/>
      <c r="T660" s="294"/>
      <c r="U660" s="37">
        <v>1847</v>
      </c>
      <c r="V660" s="36" t="str">
        <f>CONCATENATE(Cover!$D$6,"fdd/view?i=",U660)</f>
        <v>https://www.dgiwg.org/FAD/fdd/view?i=1847</v>
      </c>
      <c r="W660" s="172"/>
      <c r="X660" s="172"/>
      <c r="Y660" s="172"/>
    </row>
    <row r="661" spans="1:25" ht="2.1" customHeight="1" x14ac:dyDescent="0.2">
      <c r="A661" s="295"/>
      <c r="B661" s="283"/>
      <c r="C661" s="296"/>
      <c r="D661" s="283"/>
      <c r="E661" s="296"/>
      <c r="F661" s="297"/>
      <c r="G661" s="297"/>
      <c r="H661" s="297"/>
      <c r="I661" s="298"/>
      <c r="J661" s="304"/>
      <c r="K661" s="300"/>
      <c r="L661" s="301"/>
      <c r="M661" s="297" t="s">
        <v>6582</v>
      </c>
      <c r="N661" s="297"/>
      <c r="O661" s="297"/>
      <c r="P661" s="297"/>
      <c r="Q661" s="297"/>
      <c r="R661" s="297"/>
      <c r="S661" s="302"/>
      <c r="T661" s="302"/>
      <c r="U661" s="303"/>
    </row>
    <row r="662" spans="1:25" ht="25.5" x14ac:dyDescent="0.2">
      <c r="A662" s="212" t="str">
        <f>HYPERLINK(V662,B662)</f>
        <v>AqaCode</v>
      </c>
      <c r="B662" s="283" t="s">
        <v>9194</v>
      </c>
      <c r="C662" s="284" t="s">
        <v>15237</v>
      </c>
      <c r="D662" s="285"/>
      <c r="E662" s="286"/>
      <c r="F662" s="287" t="s">
        <v>15238</v>
      </c>
      <c r="G662" s="286"/>
      <c r="H662" s="286"/>
      <c r="I662" s="288"/>
      <c r="J662" s="289"/>
      <c r="K662" s="290"/>
      <c r="L662" s="371" t="str">
        <f>HYPERLINK("[#]DatatypeListedValues!B4610:H4610","«enumeration»")</f>
        <v>«enumeration»</v>
      </c>
      <c r="M662" s="287" t="s">
        <v>6582</v>
      </c>
      <c r="N662" s="291" t="b">
        <v>0</v>
      </c>
      <c r="O662" s="286"/>
      <c r="P662" s="292"/>
      <c r="Q662" s="286"/>
      <c r="R662" s="286"/>
      <c r="S662" s="293"/>
      <c r="T662" s="294"/>
      <c r="U662" s="37">
        <v>1789</v>
      </c>
      <c r="V662" s="36" t="str">
        <f>CONCATENATE(Cover!$D$6,"fdd/view?i=",U662)</f>
        <v>https://www.dgiwg.org/FAD/fdd/view?i=1789</v>
      </c>
      <c r="W662" s="172"/>
      <c r="X662" s="172"/>
      <c r="Y662" s="172"/>
    </row>
    <row r="663" spans="1:25" ht="2.1" customHeight="1" x14ac:dyDescent="0.2">
      <c r="A663" s="295"/>
      <c r="B663" s="283"/>
      <c r="C663" s="296"/>
      <c r="D663" s="283"/>
      <c r="E663" s="296"/>
      <c r="F663" s="297"/>
      <c r="G663" s="297"/>
      <c r="H663" s="297"/>
      <c r="I663" s="298"/>
      <c r="J663" s="304"/>
      <c r="K663" s="300"/>
      <c r="L663" s="301"/>
      <c r="M663" s="297" t="s">
        <v>6582</v>
      </c>
      <c r="N663" s="297"/>
      <c r="O663" s="297"/>
      <c r="P663" s="297"/>
      <c r="Q663" s="297"/>
      <c r="R663" s="297"/>
      <c r="S663" s="302"/>
      <c r="T663" s="302"/>
      <c r="U663" s="303"/>
    </row>
    <row r="664" spans="1:25" ht="25.5" x14ac:dyDescent="0.2">
      <c r="A664" s="212" t="str">
        <f>HYPERLINK(V664,B664)</f>
        <v>PthCode</v>
      </c>
      <c r="B664" s="283" t="s">
        <v>9219</v>
      </c>
      <c r="C664" s="284" t="s">
        <v>15239</v>
      </c>
      <c r="D664" s="285"/>
      <c r="E664" s="286"/>
      <c r="F664" s="287" t="s">
        <v>15240</v>
      </c>
      <c r="G664" s="286"/>
      <c r="H664" s="286"/>
      <c r="I664" s="288"/>
      <c r="J664" s="289"/>
      <c r="K664" s="290"/>
      <c r="L664" s="371" t="str">
        <f>HYPERLINK("[#]DatatypeListedValues!B4615:H4615","«enumeration»")</f>
        <v>«enumeration»</v>
      </c>
      <c r="M664" s="287" t="s">
        <v>6582</v>
      </c>
      <c r="N664" s="291" t="b">
        <v>0</v>
      </c>
      <c r="O664" s="286"/>
      <c r="P664" s="292"/>
      <c r="Q664" s="286"/>
      <c r="R664" s="286"/>
      <c r="S664" s="293"/>
      <c r="T664" s="294"/>
      <c r="U664" s="37">
        <v>1897</v>
      </c>
      <c r="V664" s="36" t="str">
        <f>CONCATENATE(Cover!$D$6,"fdd/view?i=",U664)</f>
        <v>https://www.dgiwg.org/FAD/fdd/view?i=1897</v>
      </c>
      <c r="W664" s="172"/>
      <c r="X664" s="172"/>
      <c r="Y664" s="172"/>
    </row>
    <row r="665" spans="1:25" ht="2.1" customHeight="1" x14ac:dyDescent="0.2">
      <c r="A665" s="295"/>
      <c r="B665" s="283"/>
      <c r="C665" s="296"/>
      <c r="D665" s="283"/>
      <c r="E665" s="296"/>
      <c r="F665" s="297"/>
      <c r="G665" s="297"/>
      <c r="H665" s="297"/>
      <c r="I665" s="298"/>
      <c r="J665" s="304"/>
      <c r="K665" s="300"/>
      <c r="L665" s="301"/>
      <c r="M665" s="297" t="s">
        <v>6582</v>
      </c>
      <c r="N665" s="297"/>
      <c r="O665" s="297"/>
      <c r="P665" s="297"/>
      <c r="Q665" s="297"/>
      <c r="R665" s="297"/>
      <c r="S665" s="302"/>
      <c r="T665" s="302"/>
      <c r="U665" s="303"/>
    </row>
    <row r="666" spans="1:25" ht="25.5" x14ac:dyDescent="0.2">
      <c r="A666" s="212" t="str">
        <f>HYPERLINK(V666,B666)</f>
        <v>HtpCode</v>
      </c>
      <c r="B666" s="283" t="s">
        <v>9232</v>
      </c>
      <c r="C666" s="284" t="s">
        <v>15241</v>
      </c>
      <c r="D666" s="285"/>
      <c r="E666" s="286"/>
      <c r="F666" s="287" t="s">
        <v>15242</v>
      </c>
      <c r="G666" s="286"/>
      <c r="H666" s="286"/>
      <c r="I666" s="288"/>
      <c r="J666" s="289"/>
      <c r="K666" s="290"/>
      <c r="L666" s="371" t="str">
        <f>HYPERLINK("[#]DatatypeListedValues!B4629:H4629","«enumeration»")</f>
        <v>«enumeration»</v>
      </c>
      <c r="M666" s="287" t="s">
        <v>6582</v>
      </c>
      <c r="N666" s="291" t="b">
        <v>0</v>
      </c>
      <c r="O666" s="286"/>
      <c r="P666" s="292"/>
      <c r="Q666" s="286"/>
      <c r="R666" s="286"/>
      <c r="S666" s="293"/>
      <c r="T666" s="294"/>
      <c r="U666" s="37">
        <v>1261</v>
      </c>
      <c r="V666" s="36" t="str">
        <f>CONCATENATE(Cover!$D$6,"fdd/view?i=",U666)</f>
        <v>https://www.dgiwg.org/FAD/fdd/view?i=1261</v>
      </c>
      <c r="W666" s="172"/>
      <c r="X666" s="172"/>
      <c r="Y666" s="172"/>
    </row>
    <row r="667" spans="1:25" ht="2.1" customHeight="1" x14ac:dyDescent="0.2">
      <c r="A667" s="295"/>
      <c r="B667" s="283"/>
      <c r="C667" s="296"/>
      <c r="D667" s="283"/>
      <c r="E667" s="296"/>
      <c r="F667" s="297"/>
      <c r="G667" s="297"/>
      <c r="H667" s="297"/>
      <c r="I667" s="298"/>
      <c r="J667" s="304"/>
      <c r="K667" s="300"/>
      <c r="L667" s="301"/>
      <c r="M667" s="297" t="s">
        <v>6582</v>
      </c>
      <c r="N667" s="297"/>
      <c r="O667" s="297"/>
      <c r="P667" s="297"/>
      <c r="Q667" s="297"/>
      <c r="R667" s="297"/>
      <c r="S667" s="302"/>
      <c r="T667" s="302"/>
      <c r="U667" s="303"/>
    </row>
    <row r="668" spans="1:25" ht="25.5" x14ac:dyDescent="0.2">
      <c r="A668" s="212" t="str">
        <f>HYPERLINK(V668,B668)</f>
        <v>FhcCode</v>
      </c>
      <c r="B668" s="283" t="s">
        <v>9237</v>
      </c>
      <c r="C668" s="284" t="s">
        <v>15243</v>
      </c>
      <c r="D668" s="285"/>
      <c r="E668" s="286"/>
      <c r="F668" s="287" t="s">
        <v>15244</v>
      </c>
      <c r="G668" s="286"/>
      <c r="H668" s="286"/>
      <c r="I668" s="288"/>
      <c r="J668" s="289"/>
      <c r="K668" s="290"/>
      <c r="L668" s="371" t="str">
        <f>HYPERLINK("[#]DatatypeListedValues!B4636:H4636","«enumeration»")</f>
        <v>«enumeration»</v>
      </c>
      <c r="M668" s="287" t="s">
        <v>6582</v>
      </c>
      <c r="N668" s="291" t="b">
        <v>0</v>
      </c>
      <c r="O668" s="286"/>
      <c r="P668" s="292"/>
      <c r="Q668" s="286"/>
      <c r="R668" s="286"/>
      <c r="S668" s="293"/>
      <c r="T668" s="294"/>
      <c r="U668" s="37">
        <v>1218</v>
      </c>
      <c r="V668" s="36" t="str">
        <f>CONCATENATE(Cover!$D$6,"fdd/view?i=",U668)</f>
        <v>https://www.dgiwg.org/FAD/fdd/view?i=1218</v>
      </c>
      <c r="W668" s="172"/>
      <c r="X668" s="172"/>
      <c r="Y668" s="172"/>
    </row>
    <row r="669" spans="1:25" ht="2.1" customHeight="1" x14ac:dyDescent="0.2">
      <c r="A669" s="295"/>
      <c r="B669" s="283"/>
      <c r="C669" s="296"/>
      <c r="D669" s="283"/>
      <c r="E669" s="296"/>
      <c r="F669" s="297"/>
      <c r="G669" s="297"/>
      <c r="H669" s="297"/>
      <c r="I669" s="298"/>
      <c r="J669" s="304"/>
      <c r="K669" s="300"/>
      <c r="L669" s="301"/>
      <c r="M669" s="297" t="s">
        <v>6582</v>
      </c>
      <c r="N669" s="297"/>
      <c r="O669" s="297"/>
      <c r="P669" s="297"/>
      <c r="Q669" s="297"/>
      <c r="R669" s="297"/>
      <c r="S669" s="302"/>
      <c r="T669" s="302"/>
      <c r="U669" s="303"/>
    </row>
    <row r="670" spans="1:25" ht="25.5" x14ac:dyDescent="0.2">
      <c r="A670" s="212" t="str">
        <f>HYPERLINK(V670,B670)</f>
        <v>HstCode</v>
      </c>
      <c r="B670" s="283" t="s">
        <v>9248</v>
      </c>
      <c r="C670" s="284" t="s">
        <v>15245</v>
      </c>
      <c r="D670" s="285"/>
      <c r="E670" s="286"/>
      <c r="F670" s="287" t="s">
        <v>15246</v>
      </c>
      <c r="G670" s="286"/>
      <c r="H670" s="286"/>
      <c r="I670" s="288"/>
      <c r="J670" s="289"/>
      <c r="K670" s="290"/>
      <c r="L670" s="371" t="str">
        <f>HYPERLINK("[#]DatatypeListedValues!B4647:H4647","«enumeration»")</f>
        <v>«enumeration»</v>
      </c>
      <c r="M670" s="287" t="s">
        <v>6582</v>
      </c>
      <c r="N670" s="291" t="b">
        <v>0</v>
      </c>
      <c r="O670" s="286"/>
      <c r="P670" s="292"/>
      <c r="Q670" s="286"/>
      <c r="R670" s="286"/>
      <c r="S670" s="293"/>
      <c r="T670" s="294"/>
      <c r="U670" s="37">
        <v>119657</v>
      </c>
      <c r="V670" s="36" t="str">
        <f>CONCATENATE(Cover!$D$6,"fdd/view?i=",U670)</f>
        <v>https://www.dgiwg.org/FAD/fdd/view?i=119657</v>
      </c>
      <c r="W670" s="172"/>
      <c r="X670" s="172"/>
      <c r="Y670" s="172"/>
    </row>
    <row r="671" spans="1:25" ht="2.1" customHeight="1" x14ac:dyDescent="0.2">
      <c r="A671" s="295"/>
      <c r="B671" s="283"/>
      <c r="C671" s="296"/>
      <c r="D671" s="283"/>
      <c r="E671" s="296"/>
      <c r="F671" s="297"/>
      <c r="G671" s="297"/>
      <c r="H671" s="297"/>
      <c r="I671" s="298"/>
      <c r="J671" s="304"/>
      <c r="K671" s="300"/>
      <c r="L671" s="301"/>
      <c r="M671" s="297" t="s">
        <v>6582</v>
      </c>
      <c r="N671" s="297"/>
      <c r="O671" s="297"/>
      <c r="P671" s="297"/>
      <c r="Q671" s="297"/>
      <c r="R671" s="297"/>
      <c r="S671" s="302"/>
      <c r="T671" s="302"/>
      <c r="U671" s="303"/>
    </row>
    <row r="672" spans="1:25" ht="25.5" x14ac:dyDescent="0.2">
      <c r="A672" s="212" t="str">
        <f>HYPERLINK(V672,B672)</f>
        <v>If1Code</v>
      </c>
      <c r="B672" s="283" t="s">
        <v>9253</v>
      </c>
      <c r="C672" s="284" t="s">
        <v>15247</v>
      </c>
      <c r="D672" s="285"/>
      <c r="E672" s="286"/>
      <c r="F672" s="287" t="s">
        <v>15248</v>
      </c>
      <c r="G672" s="286"/>
      <c r="H672" s="286"/>
      <c r="I672" s="288"/>
      <c r="J672" s="289"/>
      <c r="K672" s="290"/>
      <c r="L672" s="371" t="str">
        <f>HYPERLINK("[#]DatatypeListedValues!B4650:H4650","«enumeration»")</f>
        <v>«enumeration»</v>
      </c>
      <c r="M672" s="287" t="s">
        <v>6582</v>
      </c>
      <c r="N672" s="291" t="b">
        <v>0</v>
      </c>
      <c r="O672" s="286"/>
      <c r="P672" s="292"/>
      <c r="Q672" s="286"/>
      <c r="R672" s="286"/>
      <c r="S672" s="293"/>
      <c r="T672" s="294"/>
      <c r="U672" s="37">
        <v>1855</v>
      </c>
      <c r="V672" s="36" t="str">
        <f>CONCATENATE(Cover!$D$6,"fdd/view?i=",U672)</f>
        <v>https://www.dgiwg.org/FAD/fdd/view?i=1855</v>
      </c>
      <c r="W672" s="172"/>
      <c r="X672" s="172"/>
      <c r="Y672" s="172"/>
    </row>
    <row r="673" spans="1:25" ht="2.1" customHeight="1" x14ac:dyDescent="0.2">
      <c r="A673" s="295"/>
      <c r="B673" s="283"/>
      <c r="C673" s="296"/>
      <c r="D673" s="283"/>
      <c r="E673" s="296"/>
      <c r="F673" s="297"/>
      <c r="G673" s="297"/>
      <c r="H673" s="297"/>
      <c r="I673" s="298"/>
      <c r="J673" s="304"/>
      <c r="K673" s="300"/>
      <c r="L673" s="301"/>
      <c r="M673" s="297" t="s">
        <v>6582</v>
      </c>
      <c r="N673" s="297"/>
      <c r="O673" s="297"/>
      <c r="P673" s="297"/>
      <c r="Q673" s="297"/>
      <c r="R673" s="297"/>
      <c r="S673" s="302"/>
      <c r="T673" s="302"/>
      <c r="U673" s="303"/>
    </row>
    <row r="674" spans="1:25" ht="25.5" x14ac:dyDescent="0.2">
      <c r="A674" s="212" t="str">
        <f>HYPERLINK(V674,B674)</f>
        <v>HfsCode</v>
      </c>
      <c r="B674" s="283" t="s">
        <v>9258</v>
      </c>
      <c r="C674" s="284" t="s">
        <v>15249</v>
      </c>
      <c r="D674" s="285"/>
      <c r="E674" s="286"/>
      <c r="F674" s="287" t="s">
        <v>15250</v>
      </c>
      <c r="G674" s="286"/>
      <c r="H674" s="286"/>
      <c r="I674" s="288"/>
      <c r="J674" s="289"/>
      <c r="K674" s="290"/>
      <c r="L674" s="371" t="str">
        <f>HYPERLINK("[#]DatatypeListedValues!B4664:H4664","«enumeration»")</f>
        <v>«enumeration»</v>
      </c>
      <c r="M674" s="287" t="s">
        <v>6582</v>
      </c>
      <c r="N674" s="291" t="b">
        <v>0</v>
      </c>
      <c r="O674" s="286"/>
      <c r="P674" s="292"/>
      <c r="Q674" s="286"/>
      <c r="R674" s="286"/>
      <c r="S674" s="293"/>
      <c r="T674" s="294"/>
      <c r="U674" s="37">
        <v>1848</v>
      </c>
      <c r="V674" s="36" t="str">
        <f>CONCATENATE(Cover!$D$6,"fdd/view?i=",U674)</f>
        <v>https://www.dgiwg.org/FAD/fdd/view?i=1848</v>
      </c>
      <c r="W674" s="172"/>
      <c r="X674" s="172"/>
      <c r="Y674" s="172"/>
    </row>
    <row r="675" spans="1:25" ht="2.1" customHeight="1" x14ac:dyDescent="0.2">
      <c r="A675" s="295"/>
      <c r="B675" s="283"/>
      <c r="C675" s="296"/>
      <c r="D675" s="283"/>
      <c r="E675" s="296"/>
      <c r="F675" s="297"/>
      <c r="G675" s="297"/>
      <c r="H675" s="297"/>
      <c r="I675" s="298"/>
      <c r="J675" s="304"/>
      <c r="K675" s="300"/>
      <c r="L675" s="301"/>
      <c r="M675" s="297" t="s">
        <v>6582</v>
      </c>
      <c r="N675" s="297"/>
      <c r="O675" s="297"/>
      <c r="P675" s="297"/>
      <c r="Q675" s="297"/>
      <c r="R675" s="297"/>
      <c r="S675" s="302"/>
      <c r="T675" s="302"/>
      <c r="U675" s="303"/>
    </row>
    <row r="676" spans="1:25" ht="25.5" x14ac:dyDescent="0.2">
      <c r="A676" s="212" t="str">
        <f>HYPERLINK(V676,B676)</f>
        <v>DfpCode</v>
      </c>
      <c r="B676" s="283" t="s">
        <v>9263</v>
      </c>
      <c r="C676" s="284" t="s">
        <v>15251</v>
      </c>
      <c r="D676" s="285"/>
      <c r="E676" s="286"/>
      <c r="F676" s="287" t="s">
        <v>15252</v>
      </c>
      <c r="G676" s="286"/>
      <c r="H676" s="286"/>
      <c r="I676" s="288"/>
      <c r="J676" s="289"/>
      <c r="K676" s="290"/>
      <c r="L676" s="371" t="str">
        <f>HYPERLINK("[#]DatatypeListedValues!B4666:H4666","«enumeration»")</f>
        <v>«enumeration»</v>
      </c>
      <c r="M676" s="287" t="s">
        <v>6582</v>
      </c>
      <c r="N676" s="291" t="b">
        <v>0</v>
      </c>
      <c r="O676" s="286"/>
      <c r="P676" s="292"/>
      <c r="Q676" s="286"/>
      <c r="R676" s="286"/>
      <c r="S676" s="293"/>
      <c r="T676" s="294"/>
      <c r="U676" s="37">
        <v>1812</v>
      </c>
      <c r="V676" s="36" t="str">
        <f>CONCATENATE(Cover!$D$6,"fdd/view?i=",U676)</f>
        <v>https://www.dgiwg.org/FAD/fdd/view?i=1812</v>
      </c>
      <c r="W676" s="172"/>
      <c r="X676" s="172"/>
      <c r="Y676" s="172"/>
    </row>
    <row r="677" spans="1:25" ht="2.1" customHeight="1" x14ac:dyDescent="0.2">
      <c r="A677" s="295"/>
      <c r="B677" s="283"/>
      <c r="C677" s="296"/>
      <c r="D677" s="283"/>
      <c r="E677" s="296"/>
      <c r="F677" s="297"/>
      <c r="G677" s="297"/>
      <c r="H677" s="297"/>
      <c r="I677" s="298"/>
      <c r="J677" s="304"/>
      <c r="K677" s="300"/>
      <c r="L677" s="301"/>
      <c r="M677" s="297" t="s">
        <v>6582</v>
      </c>
      <c r="N677" s="297"/>
      <c r="O677" s="297"/>
      <c r="P677" s="297"/>
      <c r="Q677" s="297"/>
      <c r="R677" s="297"/>
      <c r="S677" s="302"/>
      <c r="T677" s="302"/>
      <c r="U677" s="303"/>
    </row>
    <row r="678" spans="1:25" ht="25.5" x14ac:dyDescent="0.2">
      <c r="A678" s="212" t="str">
        <f>HYPERLINK(V678,B678)</f>
        <v>DfdCode</v>
      </c>
      <c r="B678" s="283" t="s">
        <v>9268</v>
      </c>
      <c r="C678" s="284" t="s">
        <v>15253</v>
      </c>
      <c r="D678" s="285"/>
      <c r="E678" s="286"/>
      <c r="F678" s="287" t="s">
        <v>15254</v>
      </c>
      <c r="G678" s="286"/>
      <c r="H678" s="286"/>
      <c r="I678" s="288"/>
      <c r="J678" s="289"/>
      <c r="K678" s="290"/>
      <c r="L678" s="371" t="str">
        <f>HYPERLINK("[#]DatatypeListedValues!B4678:H4678","«enumeration»")</f>
        <v>«enumeration»</v>
      </c>
      <c r="M678" s="287" t="s">
        <v>6582</v>
      </c>
      <c r="N678" s="291" t="b">
        <v>0</v>
      </c>
      <c r="O678" s="286"/>
      <c r="P678" s="292"/>
      <c r="Q678" s="286"/>
      <c r="R678" s="286"/>
      <c r="S678" s="293"/>
      <c r="T678" s="294"/>
      <c r="U678" s="37">
        <v>1811</v>
      </c>
      <c r="V678" s="36" t="str">
        <f>CONCATENATE(Cover!$D$6,"fdd/view?i=",U678)</f>
        <v>https://www.dgiwg.org/FAD/fdd/view?i=1811</v>
      </c>
      <c r="W678" s="172"/>
      <c r="X678" s="172"/>
      <c r="Y678" s="172"/>
    </row>
    <row r="679" spans="1:25" ht="2.1" customHeight="1" x14ac:dyDescent="0.2">
      <c r="A679" s="295"/>
      <c r="B679" s="283"/>
      <c r="C679" s="296"/>
      <c r="D679" s="283"/>
      <c r="E679" s="296"/>
      <c r="F679" s="297"/>
      <c r="G679" s="297"/>
      <c r="H679" s="297"/>
      <c r="I679" s="298"/>
      <c r="J679" s="304"/>
      <c r="K679" s="300"/>
      <c r="L679" s="301"/>
      <c r="M679" s="297" t="s">
        <v>6582</v>
      </c>
      <c r="N679" s="297"/>
      <c r="O679" s="297"/>
      <c r="P679" s="297"/>
      <c r="Q679" s="297"/>
      <c r="R679" s="297"/>
      <c r="S679" s="302"/>
      <c r="T679" s="302"/>
      <c r="U679" s="303"/>
    </row>
    <row r="680" spans="1:25" ht="25.5" x14ac:dyDescent="0.2">
      <c r="A680" s="212" t="str">
        <f>HYPERLINK(V680,B680)</f>
        <v>HpcCode</v>
      </c>
      <c r="B680" s="283" t="s">
        <v>9337</v>
      </c>
      <c r="C680" s="284" t="s">
        <v>15255</v>
      </c>
      <c r="D680" s="285"/>
      <c r="E680" s="286"/>
      <c r="F680" s="287" t="s">
        <v>15256</v>
      </c>
      <c r="G680" s="286"/>
      <c r="H680" s="286"/>
      <c r="I680" s="288"/>
      <c r="J680" s="289"/>
      <c r="K680" s="290"/>
      <c r="L680" s="371" t="str">
        <f>HYPERLINK("[#]DatatypeListedValues!B4681:H4681","«enumeration»")</f>
        <v>«enumeration»</v>
      </c>
      <c r="M680" s="287" t="s">
        <v>6582</v>
      </c>
      <c r="N680" s="291" t="b">
        <v>0</v>
      </c>
      <c r="O680" s="286"/>
      <c r="P680" s="292"/>
      <c r="Q680" s="286"/>
      <c r="R680" s="286"/>
      <c r="S680" s="293"/>
      <c r="T680" s="294"/>
      <c r="U680" s="37">
        <v>117378</v>
      </c>
      <c r="V680" s="36" t="str">
        <f>CONCATENATE(Cover!$D$6,"fdd/view?i=",U680)</f>
        <v>https://www.dgiwg.org/FAD/fdd/view?i=117378</v>
      </c>
      <c r="W680" s="172"/>
      <c r="X680" s="172"/>
      <c r="Y680" s="172"/>
    </row>
    <row r="681" spans="1:25" ht="2.1" customHeight="1" x14ac:dyDescent="0.2">
      <c r="A681" s="295"/>
      <c r="B681" s="283"/>
      <c r="C681" s="296"/>
      <c r="D681" s="283"/>
      <c r="E681" s="296"/>
      <c r="F681" s="297"/>
      <c r="G681" s="297"/>
      <c r="H681" s="297"/>
      <c r="I681" s="298"/>
      <c r="J681" s="304"/>
      <c r="K681" s="300"/>
      <c r="L681" s="301"/>
      <c r="M681" s="297" t="s">
        <v>6582</v>
      </c>
      <c r="N681" s="297"/>
      <c r="O681" s="297"/>
      <c r="P681" s="297"/>
      <c r="Q681" s="297"/>
      <c r="R681" s="297"/>
      <c r="S681" s="302"/>
      <c r="T681" s="302"/>
      <c r="U681" s="303"/>
    </row>
    <row r="682" spans="1:25" ht="25.5" x14ac:dyDescent="0.2">
      <c r="A682" s="212" t="str">
        <f>HYPERLINK(V682,B682)</f>
        <v>HafCode</v>
      </c>
      <c r="B682" s="283" t="s">
        <v>9342</v>
      </c>
      <c r="C682" s="284" t="s">
        <v>15257</v>
      </c>
      <c r="D682" s="285"/>
      <c r="E682" s="286"/>
      <c r="F682" s="287" t="s">
        <v>15258</v>
      </c>
      <c r="G682" s="286"/>
      <c r="H682" s="286"/>
      <c r="I682" s="288"/>
      <c r="J682" s="289"/>
      <c r="K682" s="290"/>
      <c r="L682" s="371" t="str">
        <f>HYPERLINK("[#]DatatypeListedValues!B4684:H4684","«enumeration»")</f>
        <v>«enumeration»</v>
      </c>
      <c r="M682" s="287" t="s">
        <v>6582</v>
      </c>
      <c r="N682" s="291" t="b">
        <v>0</v>
      </c>
      <c r="O682" s="286"/>
      <c r="P682" s="292"/>
      <c r="Q682" s="286"/>
      <c r="R682" s="286"/>
      <c r="S682" s="293"/>
      <c r="T682" s="294"/>
      <c r="U682" s="37">
        <v>1243</v>
      </c>
      <c r="V682" s="36" t="str">
        <f>CONCATENATE(Cover!$D$6,"fdd/view?i=",U682)</f>
        <v>https://www.dgiwg.org/FAD/fdd/view?i=1243</v>
      </c>
      <c r="W682" s="172"/>
      <c r="X682" s="172"/>
      <c r="Y682" s="172"/>
    </row>
    <row r="683" spans="1:25" ht="2.1" customHeight="1" x14ac:dyDescent="0.2">
      <c r="A683" s="295"/>
      <c r="B683" s="283"/>
      <c r="C683" s="296"/>
      <c r="D683" s="283"/>
      <c r="E683" s="296"/>
      <c r="F683" s="297"/>
      <c r="G683" s="297"/>
      <c r="H683" s="297"/>
      <c r="I683" s="298"/>
      <c r="J683" s="304"/>
      <c r="K683" s="300"/>
      <c r="L683" s="301"/>
      <c r="M683" s="297" t="s">
        <v>6582</v>
      </c>
      <c r="N683" s="297"/>
      <c r="O683" s="297"/>
      <c r="P683" s="297"/>
      <c r="Q683" s="297"/>
      <c r="R683" s="297"/>
      <c r="S683" s="302"/>
      <c r="T683" s="302"/>
      <c r="U683" s="303"/>
    </row>
    <row r="684" spans="1:25" ht="102" x14ac:dyDescent="0.2">
      <c r="A684" s="212" t="str">
        <f>HYPERLINK(V684,B684)</f>
        <v>HwsStrucText</v>
      </c>
      <c r="B684" s="283" t="s">
        <v>9351</v>
      </c>
      <c r="C684" s="284" t="s">
        <v>15259</v>
      </c>
      <c r="D684" s="285"/>
      <c r="E684" s="286"/>
      <c r="F684" s="287" t="s">
        <v>15260</v>
      </c>
      <c r="G684" s="286"/>
      <c r="H684" s="287" t="s">
        <v>14552</v>
      </c>
      <c r="I684" s="288"/>
      <c r="J684" s="289"/>
      <c r="K684" s="290"/>
      <c r="L684" s="287" t="s">
        <v>14551</v>
      </c>
      <c r="M684" s="287" t="s">
        <v>6582</v>
      </c>
      <c r="N684" s="286"/>
      <c r="O684" s="287">
        <v>5</v>
      </c>
      <c r="P684" s="305" t="b">
        <v>0</v>
      </c>
      <c r="Q684" s="287" t="s">
        <v>15261</v>
      </c>
      <c r="R684" s="286"/>
      <c r="S684" s="293"/>
      <c r="T684" s="294"/>
      <c r="U684" s="37">
        <v>117811</v>
      </c>
      <c r="V684" s="36" t="str">
        <f>CONCATENATE(Cover!$D$6,"fdd/view?i=",U684)</f>
        <v>https://www.dgiwg.org/FAD/fdd/view?i=117811</v>
      </c>
      <c r="W684" s="172"/>
      <c r="X684" s="172"/>
      <c r="Y684" s="172"/>
    </row>
    <row r="685" spans="1:25" ht="2.1" customHeight="1" x14ac:dyDescent="0.2">
      <c r="A685" s="295"/>
      <c r="B685" s="283"/>
      <c r="C685" s="296"/>
      <c r="D685" s="283"/>
      <c r="E685" s="296"/>
      <c r="F685" s="297"/>
      <c r="G685" s="297"/>
      <c r="H685" s="297"/>
      <c r="I685" s="298"/>
      <c r="J685" s="304"/>
      <c r="K685" s="300"/>
      <c r="L685" s="301"/>
      <c r="M685" s="297" t="s">
        <v>6582</v>
      </c>
      <c r="N685" s="297"/>
      <c r="O685" s="297"/>
      <c r="P685" s="297"/>
      <c r="Q685" s="297"/>
      <c r="R685" s="297"/>
      <c r="S685" s="302"/>
      <c r="T685" s="302"/>
      <c r="U685" s="303"/>
    </row>
    <row r="686" spans="1:25" ht="25.5" x14ac:dyDescent="0.2">
      <c r="A686" s="212" t="str">
        <f>HYPERLINK(V686,B686)</f>
        <v>HssCode</v>
      </c>
      <c r="B686" s="283" t="s">
        <v>9371</v>
      </c>
      <c r="C686" s="284" t="s">
        <v>15262</v>
      </c>
      <c r="D686" s="285"/>
      <c r="E686" s="286"/>
      <c r="F686" s="287" t="s">
        <v>15263</v>
      </c>
      <c r="G686" s="286"/>
      <c r="H686" s="286"/>
      <c r="I686" s="288"/>
      <c r="J686" s="289"/>
      <c r="K686" s="290"/>
      <c r="L686" s="371" t="str">
        <f>HYPERLINK("[#]DatatypeListedValues!B4694:H4694","«enumeration»")</f>
        <v>«enumeration»</v>
      </c>
      <c r="M686" s="287" t="s">
        <v>6582</v>
      </c>
      <c r="N686" s="291" t="b">
        <v>0</v>
      </c>
      <c r="O686" s="286"/>
      <c r="P686" s="292"/>
      <c r="Q686" s="286"/>
      <c r="R686" s="286"/>
      <c r="S686" s="293"/>
      <c r="T686" s="294"/>
      <c r="U686" s="37">
        <v>1260</v>
      </c>
      <c r="V686" s="36" t="str">
        <f>CONCATENATE(Cover!$D$6,"fdd/view?i=",U686)</f>
        <v>https://www.dgiwg.org/FAD/fdd/view?i=1260</v>
      </c>
      <c r="W686" s="172"/>
      <c r="X686" s="172"/>
      <c r="Y686" s="172"/>
    </row>
    <row r="687" spans="1:25" ht="2.1" customHeight="1" x14ac:dyDescent="0.2">
      <c r="A687" s="295"/>
      <c r="B687" s="283"/>
      <c r="C687" s="296"/>
      <c r="D687" s="283"/>
      <c r="E687" s="296"/>
      <c r="F687" s="297"/>
      <c r="G687" s="297"/>
      <c r="H687" s="297"/>
      <c r="I687" s="298"/>
      <c r="J687" s="304"/>
      <c r="K687" s="300"/>
      <c r="L687" s="301"/>
      <c r="M687" s="297" t="s">
        <v>6582</v>
      </c>
      <c r="N687" s="297"/>
      <c r="O687" s="297"/>
      <c r="P687" s="297"/>
      <c r="Q687" s="297"/>
      <c r="R687" s="297"/>
      <c r="S687" s="302"/>
      <c r="T687" s="302"/>
      <c r="U687" s="303"/>
    </row>
    <row r="688" spans="1:25" ht="25.5" x14ac:dyDescent="0.2">
      <c r="A688" s="212" t="str">
        <f>HYPERLINK(V688,B688)</f>
        <v>HpyCode</v>
      </c>
      <c r="B688" s="283" t="s">
        <v>9404</v>
      </c>
      <c r="C688" s="284" t="s">
        <v>15264</v>
      </c>
      <c r="D688" s="285"/>
      <c r="E688" s="286"/>
      <c r="F688" s="287" t="s">
        <v>15265</v>
      </c>
      <c r="G688" s="286"/>
      <c r="H688" s="286"/>
      <c r="I688" s="288"/>
      <c r="J688" s="289"/>
      <c r="K688" s="290"/>
      <c r="L688" s="371" t="str">
        <f>HYPERLINK("[#]DatatypeListedValues!B4702:H4702","«enumeration»")</f>
        <v>«enumeration»</v>
      </c>
      <c r="M688" s="287" t="s">
        <v>6582</v>
      </c>
      <c r="N688" s="291" t="b">
        <v>0</v>
      </c>
      <c r="O688" s="286"/>
      <c r="P688" s="292"/>
      <c r="Q688" s="286"/>
      <c r="R688" s="286"/>
      <c r="S688" s="293"/>
      <c r="T688" s="294"/>
      <c r="U688" s="37">
        <v>117379</v>
      </c>
      <c r="V688" s="36" t="str">
        <f>CONCATENATE(Cover!$D$6,"fdd/view?i=",U688)</f>
        <v>https://www.dgiwg.org/FAD/fdd/view?i=117379</v>
      </c>
      <c r="W688" s="172"/>
      <c r="X688" s="172"/>
      <c r="Y688" s="172"/>
    </row>
    <row r="689" spans="1:25" ht="2.1" customHeight="1" x14ac:dyDescent="0.2">
      <c r="A689" s="295"/>
      <c r="B689" s="283"/>
      <c r="C689" s="296"/>
      <c r="D689" s="283"/>
      <c r="E689" s="296"/>
      <c r="F689" s="297"/>
      <c r="G689" s="297"/>
      <c r="H689" s="297"/>
      <c r="I689" s="298"/>
      <c r="J689" s="304"/>
      <c r="K689" s="300"/>
      <c r="L689" s="301"/>
      <c r="M689" s="297" t="s">
        <v>6582</v>
      </c>
      <c r="N689" s="297"/>
      <c r="O689" s="297"/>
      <c r="P689" s="297"/>
      <c r="Q689" s="297"/>
      <c r="R689" s="297"/>
      <c r="S689" s="302"/>
      <c r="T689" s="302"/>
      <c r="U689" s="303"/>
    </row>
    <row r="690" spans="1:25" ht="25.5" x14ac:dyDescent="0.2">
      <c r="A690" s="212" t="str">
        <f>HYPERLINK(V690,B690)</f>
        <v>AccCode</v>
      </c>
      <c r="B690" s="283" t="s">
        <v>9418</v>
      </c>
      <c r="C690" s="284" t="s">
        <v>15266</v>
      </c>
      <c r="D690" s="285"/>
      <c r="E690" s="286"/>
      <c r="F690" s="287" t="s">
        <v>15267</v>
      </c>
      <c r="G690" s="286"/>
      <c r="H690" s="286"/>
      <c r="I690" s="288"/>
      <c r="J690" s="289"/>
      <c r="K690" s="290"/>
      <c r="L690" s="371" t="str">
        <f>HYPERLINK("[#]DatatypeListedValues!B4704:H4704","«enumeration»")</f>
        <v>«enumeration»</v>
      </c>
      <c r="M690" s="287" t="s">
        <v>6582</v>
      </c>
      <c r="N690" s="291" t="b">
        <v>0</v>
      </c>
      <c r="O690" s="286"/>
      <c r="P690" s="292"/>
      <c r="Q690" s="286"/>
      <c r="R690" s="286"/>
      <c r="S690" s="293"/>
      <c r="T690" s="294"/>
      <c r="U690" s="37">
        <v>1095</v>
      </c>
      <c r="V690" s="36" t="str">
        <f>CONCATENATE(Cover!$D$6,"fdd/view?i=",U690)</f>
        <v>https://www.dgiwg.org/FAD/fdd/view?i=1095</v>
      </c>
      <c r="W690" s="172"/>
      <c r="X690" s="172"/>
      <c r="Y690" s="172"/>
    </row>
    <row r="691" spans="1:25" ht="2.1" customHeight="1" x14ac:dyDescent="0.2">
      <c r="A691" s="295"/>
      <c r="B691" s="283"/>
      <c r="C691" s="296"/>
      <c r="D691" s="283"/>
      <c r="E691" s="296"/>
      <c r="F691" s="297"/>
      <c r="G691" s="297"/>
      <c r="H691" s="297"/>
      <c r="I691" s="298"/>
      <c r="J691" s="304"/>
      <c r="K691" s="300"/>
      <c r="L691" s="301"/>
      <c r="M691" s="297" t="s">
        <v>6582</v>
      </c>
      <c r="N691" s="297"/>
      <c r="O691" s="297"/>
      <c r="P691" s="297"/>
      <c r="Q691" s="297"/>
      <c r="R691" s="297"/>
      <c r="S691" s="302"/>
      <c r="T691" s="302"/>
      <c r="U691" s="303"/>
    </row>
    <row r="692" spans="1:25" ht="25.5" x14ac:dyDescent="0.2">
      <c r="A692" s="212" t="str">
        <f>HYPERLINK(V692,B692)</f>
        <v>IdtCode</v>
      </c>
      <c r="B692" s="283" t="s">
        <v>9440</v>
      </c>
      <c r="C692" s="284" t="s">
        <v>15268</v>
      </c>
      <c r="D692" s="285"/>
      <c r="E692" s="286"/>
      <c r="F692" s="287" t="s">
        <v>15269</v>
      </c>
      <c r="G692" s="286"/>
      <c r="H692" s="286"/>
      <c r="I692" s="288"/>
      <c r="J692" s="289"/>
      <c r="K692" s="290"/>
      <c r="L692" s="371" t="str">
        <f>HYPERLINK("[#]DatatypeListedValues!B4708:H4708","«enumeration»")</f>
        <v>«enumeration»</v>
      </c>
      <c r="M692" s="287" t="s">
        <v>6582</v>
      </c>
      <c r="N692" s="291" t="b">
        <v>0</v>
      </c>
      <c r="O692" s="286"/>
      <c r="P692" s="292"/>
      <c r="Q692" s="286"/>
      <c r="R692" s="286"/>
      <c r="S692" s="293"/>
      <c r="T692" s="294"/>
      <c r="U692" s="37">
        <v>118183</v>
      </c>
      <c r="V692" s="36" t="str">
        <f>CONCATENATE(Cover!$D$6,"fdd/view?i=",U692)</f>
        <v>https://www.dgiwg.org/FAD/fdd/view?i=118183</v>
      </c>
      <c r="W692" s="172"/>
      <c r="X692" s="172"/>
      <c r="Y692" s="172"/>
    </row>
    <row r="693" spans="1:25" ht="2.1" customHeight="1" x14ac:dyDescent="0.2">
      <c r="A693" s="295"/>
      <c r="B693" s="283"/>
      <c r="C693" s="296"/>
      <c r="D693" s="283"/>
      <c r="E693" s="296"/>
      <c r="F693" s="297"/>
      <c r="G693" s="297"/>
      <c r="H693" s="297"/>
      <c r="I693" s="298"/>
      <c r="J693" s="304"/>
      <c r="K693" s="300"/>
      <c r="L693" s="301"/>
      <c r="M693" s="297" t="s">
        <v>6582</v>
      </c>
      <c r="N693" s="297"/>
      <c r="O693" s="297"/>
      <c r="P693" s="297"/>
      <c r="Q693" s="297"/>
      <c r="R693" s="297"/>
      <c r="S693" s="302"/>
      <c r="T693" s="302"/>
      <c r="U693" s="303"/>
    </row>
    <row r="694" spans="1:25" ht="25.5" x14ac:dyDescent="0.2">
      <c r="A694" s="212" t="str">
        <f>HYPERLINK(V694,B694)</f>
        <v>HwtCode</v>
      </c>
      <c r="B694" s="283" t="s">
        <v>9445</v>
      </c>
      <c r="C694" s="284" t="s">
        <v>15270</v>
      </c>
      <c r="D694" s="285"/>
      <c r="E694" s="286"/>
      <c r="F694" s="287" t="s">
        <v>15271</v>
      </c>
      <c r="G694" s="286"/>
      <c r="H694" s="286"/>
      <c r="I694" s="288"/>
      <c r="J694" s="289"/>
      <c r="K694" s="290"/>
      <c r="L694" s="371" t="str">
        <f>HYPERLINK("[#]DatatypeListedValues!B4730:H4730","«enumeration»")</f>
        <v>«enumeration»</v>
      </c>
      <c r="M694" s="287" t="s">
        <v>6582</v>
      </c>
      <c r="N694" s="291" t="b">
        <v>0</v>
      </c>
      <c r="O694" s="286"/>
      <c r="P694" s="292"/>
      <c r="Q694" s="286"/>
      <c r="R694" s="286"/>
      <c r="S694" s="293"/>
      <c r="T694" s="294"/>
      <c r="U694" s="37">
        <v>1263</v>
      </c>
      <c r="V694" s="36" t="str">
        <f>CONCATENATE(Cover!$D$6,"fdd/view?i=",U694)</f>
        <v>https://www.dgiwg.org/FAD/fdd/view?i=1263</v>
      </c>
      <c r="W694" s="172"/>
      <c r="X694" s="172"/>
      <c r="Y694" s="172"/>
    </row>
    <row r="695" spans="1:25" ht="2.1" customHeight="1" x14ac:dyDescent="0.2">
      <c r="A695" s="295"/>
      <c r="B695" s="283"/>
      <c r="C695" s="296"/>
      <c r="D695" s="283"/>
      <c r="E695" s="296"/>
      <c r="F695" s="297"/>
      <c r="G695" s="297"/>
      <c r="H695" s="297"/>
      <c r="I695" s="298"/>
      <c r="J695" s="304"/>
      <c r="K695" s="300"/>
      <c r="L695" s="301"/>
      <c r="M695" s="297" t="s">
        <v>6582</v>
      </c>
      <c r="N695" s="297"/>
      <c r="O695" s="297"/>
      <c r="P695" s="297"/>
      <c r="Q695" s="297"/>
      <c r="R695" s="297"/>
      <c r="S695" s="302"/>
      <c r="T695" s="302"/>
      <c r="U695" s="303"/>
    </row>
    <row r="696" spans="1:25" ht="25.5" x14ac:dyDescent="0.2">
      <c r="A696" s="212" t="str">
        <f>HYPERLINK(V696,B696)</f>
        <v>HlkCode</v>
      </c>
      <c r="B696" s="283" t="s">
        <v>9451</v>
      </c>
      <c r="C696" s="284" t="s">
        <v>15272</v>
      </c>
      <c r="D696" s="285"/>
      <c r="E696" s="286"/>
      <c r="F696" s="287" t="s">
        <v>15273</v>
      </c>
      <c r="G696" s="286"/>
      <c r="H696" s="286"/>
      <c r="I696" s="288"/>
      <c r="J696" s="289"/>
      <c r="K696" s="290"/>
      <c r="L696" s="371" t="str">
        <f>HYPERLINK("[#]DatatypeListedValues!B4743:H4743","«enumeration»")</f>
        <v>«enumeration»</v>
      </c>
      <c r="M696" s="287" t="s">
        <v>6582</v>
      </c>
      <c r="N696" s="291" t="b">
        <v>0</v>
      </c>
      <c r="O696" s="286"/>
      <c r="P696" s="292"/>
      <c r="Q696" s="286"/>
      <c r="R696" s="286"/>
      <c r="S696" s="293"/>
      <c r="T696" s="294"/>
      <c r="U696" s="37">
        <v>1250</v>
      </c>
      <c r="V696" s="36" t="str">
        <f>CONCATENATE(Cover!$D$6,"fdd/view?i=",U696)</f>
        <v>https://www.dgiwg.org/FAD/fdd/view?i=1250</v>
      </c>
      <c r="W696" s="172"/>
      <c r="X696" s="172"/>
      <c r="Y696" s="172"/>
    </row>
    <row r="697" spans="1:25" ht="2.1" customHeight="1" x14ac:dyDescent="0.2">
      <c r="A697" s="295"/>
      <c r="B697" s="283"/>
      <c r="C697" s="296"/>
      <c r="D697" s="283"/>
      <c r="E697" s="296"/>
      <c r="F697" s="297"/>
      <c r="G697" s="297"/>
      <c r="H697" s="297"/>
      <c r="I697" s="298"/>
      <c r="J697" s="304"/>
      <c r="K697" s="300"/>
      <c r="L697" s="301"/>
      <c r="M697" s="297" t="s">
        <v>6582</v>
      </c>
      <c r="N697" s="297"/>
      <c r="O697" s="297"/>
      <c r="P697" s="297"/>
      <c r="Q697" s="297"/>
      <c r="R697" s="297"/>
      <c r="S697" s="302"/>
      <c r="T697" s="302"/>
      <c r="U697" s="303"/>
    </row>
    <row r="698" spans="1:25" ht="25.5" x14ac:dyDescent="0.2">
      <c r="A698" s="212" t="str">
        <f>HYPERLINK(V698,B698)</f>
        <v>DneCode</v>
      </c>
      <c r="B698" s="283" t="s">
        <v>9457</v>
      </c>
      <c r="C698" s="284" t="s">
        <v>15274</v>
      </c>
      <c r="D698" s="285"/>
      <c r="E698" s="286"/>
      <c r="F698" s="287" t="s">
        <v>15275</v>
      </c>
      <c r="G698" s="286"/>
      <c r="H698" s="286"/>
      <c r="I698" s="288"/>
      <c r="J698" s="289"/>
      <c r="K698" s="290"/>
      <c r="L698" s="371" t="str">
        <f>HYPERLINK("[#]DatatypeListedValues!B4754:H4754","«enumeration»")</f>
        <v>«enumeration»</v>
      </c>
      <c r="M698" s="287" t="s">
        <v>6582</v>
      </c>
      <c r="N698" s="291" t="b">
        <v>0</v>
      </c>
      <c r="O698" s="286"/>
      <c r="P698" s="292"/>
      <c r="Q698" s="286"/>
      <c r="R698" s="286"/>
      <c r="S698" s="293"/>
      <c r="T698" s="294"/>
      <c r="U698" s="37">
        <v>1814</v>
      </c>
      <c r="V698" s="36" t="str">
        <f>CONCATENATE(Cover!$D$6,"fdd/view?i=",U698)</f>
        <v>https://www.dgiwg.org/FAD/fdd/view?i=1814</v>
      </c>
      <c r="W698" s="172"/>
      <c r="X698" s="172"/>
      <c r="Y698" s="172"/>
    </row>
    <row r="699" spans="1:25" ht="2.1" customHeight="1" x14ac:dyDescent="0.2">
      <c r="A699" s="295"/>
      <c r="B699" s="283"/>
      <c r="C699" s="296"/>
      <c r="D699" s="283"/>
      <c r="E699" s="296"/>
      <c r="F699" s="297"/>
      <c r="G699" s="297"/>
      <c r="H699" s="297"/>
      <c r="I699" s="298"/>
      <c r="J699" s="304"/>
      <c r="K699" s="300"/>
      <c r="L699" s="301"/>
      <c r="M699" s="297" t="s">
        <v>6582</v>
      </c>
      <c r="N699" s="297"/>
      <c r="O699" s="297"/>
      <c r="P699" s="297"/>
      <c r="Q699" s="297"/>
      <c r="R699" s="297"/>
      <c r="S699" s="302"/>
      <c r="T699" s="302"/>
      <c r="U699" s="303"/>
    </row>
    <row r="700" spans="1:25" ht="25.5" x14ac:dyDescent="0.2">
      <c r="A700" s="212" t="str">
        <f>HYPERLINK(V700,B700)</f>
        <v>HhaCode</v>
      </c>
      <c r="B700" s="283" t="s">
        <v>9462</v>
      </c>
      <c r="C700" s="284" t="s">
        <v>15276</v>
      </c>
      <c r="D700" s="285"/>
      <c r="E700" s="286"/>
      <c r="F700" s="287" t="s">
        <v>15277</v>
      </c>
      <c r="G700" s="286"/>
      <c r="H700" s="286"/>
      <c r="I700" s="288"/>
      <c r="J700" s="289"/>
      <c r="K700" s="290"/>
      <c r="L700" s="371" t="str">
        <f>HYPERLINK("[#]DatatypeListedValues!B4759:H4759","«enumeration»")</f>
        <v>«enumeration»</v>
      </c>
      <c r="M700" s="287" t="s">
        <v>6582</v>
      </c>
      <c r="N700" s="291" t="b">
        <v>0</v>
      </c>
      <c r="O700" s="286"/>
      <c r="P700" s="292"/>
      <c r="Q700" s="286"/>
      <c r="R700" s="286"/>
      <c r="S700" s="293"/>
      <c r="T700" s="294"/>
      <c r="U700" s="37">
        <v>117810</v>
      </c>
      <c r="V700" s="36" t="str">
        <f>CONCATENATE(Cover!$D$6,"fdd/view?i=",U700)</f>
        <v>https://www.dgiwg.org/FAD/fdd/view?i=117810</v>
      </c>
      <c r="W700" s="172"/>
      <c r="X700" s="172"/>
      <c r="Y700" s="172"/>
    </row>
    <row r="701" spans="1:25" ht="2.1" customHeight="1" x14ac:dyDescent="0.2">
      <c r="A701" s="295"/>
      <c r="B701" s="283"/>
      <c r="C701" s="296"/>
      <c r="D701" s="283"/>
      <c r="E701" s="296"/>
      <c r="F701" s="297"/>
      <c r="G701" s="297"/>
      <c r="H701" s="297"/>
      <c r="I701" s="298"/>
      <c r="J701" s="304"/>
      <c r="K701" s="300"/>
      <c r="L701" s="301"/>
      <c r="M701" s="297" t="s">
        <v>6582</v>
      </c>
      <c r="N701" s="297"/>
      <c r="O701" s="297"/>
      <c r="P701" s="297"/>
      <c r="Q701" s="297"/>
      <c r="R701" s="297"/>
      <c r="S701" s="302"/>
      <c r="T701" s="302"/>
      <c r="U701" s="303"/>
    </row>
    <row r="702" spans="1:25" ht="38.25" x14ac:dyDescent="0.2">
      <c r="A702" s="212" t="str">
        <f>HYPERLINK(V702,B702)</f>
        <v>HraCode</v>
      </c>
      <c r="B702" s="283" t="s">
        <v>9467</v>
      </c>
      <c r="C702" s="284" t="s">
        <v>15278</v>
      </c>
      <c r="D702" s="285"/>
      <c r="E702" s="286"/>
      <c r="F702" s="287" t="s">
        <v>15279</v>
      </c>
      <c r="G702" s="286"/>
      <c r="H702" s="286"/>
      <c r="I702" s="288"/>
      <c r="J702" s="289"/>
      <c r="K702" s="290"/>
      <c r="L702" s="371" t="str">
        <f>HYPERLINK("[#]DatatypeListedValues!B4765:H4765","«enumeration»")</f>
        <v>«enumeration»</v>
      </c>
      <c r="M702" s="287" t="s">
        <v>6582</v>
      </c>
      <c r="N702" s="291" t="b">
        <v>0</v>
      </c>
      <c r="O702" s="286"/>
      <c r="P702" s="292"/>
      <c r="Q702" s="286"/>
      <c r="R702" s="286"/>
      <c r="S702" s="293"/>
      <c r="T702" s="294"/>
      <c r="U702" s="37">
        <v>119147</v>
      </c>
      <c r="V702" s="36" t="str">
        <f>CONCATENATE(Cover!$D$6,"fdd/view?i=",U702)</f>
        <v>https://www.dgiwg.org/FAD/fdd/view?i=119147</v>
      </c>
      <c r="W702" s="172"/>
      <c r="X702" s="172"/>
      <c r="Y702" s="172"/>
    </row>
    <row r="703" spans="1:25" ht="2.1" customHeight="1" x14ac:dyDescent="0.2">
      <c r="A703" s="295"/>
      <c r="B703" s="283"/>
      <c r="C703" s="296"/>
      <c r="D703" s="283"/>
      <c r="E703" s="296"/>
      <c r="F703" s="297"/>
      <c r="G703" s="297"/>
      <c r="H703" s="297"/>
      <c r="I703" s="298"/>
      <c r="J703" s="304"/>
      <c r="K703" s="300"/>
      <c r="L703" s="301"/>
      <c r="M703" s="297" t="s">
        <v>6582</v>
      </c>
      <c r="N703" s="297"/>
      <c r="O703" s="297"/>
      <c r="P703" s="297"/>
      <c r="Q703" s="297"/>
      <c r="R703" s="297"/>
      <c r="S703" s="302"/>
      <c r="T703" s="302"/>
      <c r="U703" s="303"/>
    </row>
    <row r="704" spans="1:25" ht="25.5" x14ac:dyDescent="0.2">
      <c r="A704" s="212" t="str">
        <f>HYPERLINK(V704,B704)</f>
        <v>HbrCode</v>
      </c>
      <c r="B704" s="283" t="s">
        <v>9477</v>
      </c>
      <c r="C704" s="284" t="s">
        <v>15280</v>
      </c>
      <c r="D704" s="285"/>
      <c r="E704" s="286"/>
      <c r="F704" s="287" t="s">
        <v>15281</v>
      </c>
      <c r="G704" s="286"/>
      <c r="H704" s="286"/>
      <c r="I704" s="288"/>
      <c r="J704" s="289"/>
      <c r="K704" s="290"/>
      <c r="L704" s="371" t="str">
        <f>HYPERLINK("[#]DatatypeListedValues!B4766:H4766","«enumeration»")</f>
        <v>«enumeration»</v>
      </c>
      <c r="M704" s="287" t="s">
        <v>6582</v>
      </c>
      <c r="N704" s="291" t="b">
        <v>0</v>
      </c>
      <c r="O704" s="286"/>
      <c r="P704" s="292"/>
      <c r="Q704" s="286"/>
      <c r="R704" s="286"/>
      <c r="S704" s="293"/>
      <c r="T704" s="294"/>
      <c r="U704" s="37">
        <v>117809</v>
      </c>
      <c r="V704" s="36" t="str">
        <f>CONCATENATE(Cover!$D$6,"fdd/view?i=",U704)</f>
        <v>https://www.dgiwg.org/FAD/fdd/view?i=117809</v>
      </c>
      <c r="W704" s="172"/>
      <c r="X704" s="172"/>
      <c r="Y704" s="172"/>
    </row>
    <row r="705" spans="1:25" ht="2.1" customHeight="1" x14ac:dyDescent="0.2">
      <c r="A705" s="295"/>
      <c r="B705" s="283"/>
      <c r="C705" s="296"/>
      <c r="D705" s="283"/>
      <c r="E705" s="296"/>
      <c r="F705" s="297"/>
      <c r="G705" s="297"/>
      <c r="H705" s="297"/>
      <c r="I705" s="298"/>
      <c r="J705" s="304"/>
      <c r="K705" s="300"/>
      <c r="L705" s="301"/>
      <c r="M705" s="297" t="s">
        <v>6582</v>
      </c>
      <c r="N705" s="297"/>
      <c r="O705" s="297"/>
      <c r="P705" s="297"/>
      <c r="Q705" s="297"/>
      <c r="R705" s="297"/>
      <c r="S705" s="302"/>
      <c r="T705" s="302"/>
      <c r="U705" s="303"/>
    </row>
    <row r="706" spans="1:25" ht="25.5" x14ac:dyDescent="0.2">
      <c r="A706" s="212" t="str">
        <f>HYPERLINK(V706,B706)</f>
        <v>NscCode</v>
      </c>
      <c r="B706" s="283" t="s">
        <v>9496</v>
      </c>
      <c r="C706" s="284" t="s">
        <v>15282</v>
      </c>
      <c r="D706" s="285"/>
      <c r="E706" s="286"/>
      <c r="F706" s="287" t="s">
        <v>15283</v>
      </c>
      <c r="G706" s="286"/>
      <c r="H706" s="286"/>
      <c r="I706" s="288"/>
      <c r="J706" s="289"/>
      <c r="K706" s="290"/>
      <c r="L706" s="371" t="str">
        <f>HYPERLINK("[#]DatatypeListedValues!B4773:H4773","«enumeration»")</f>
        <v>«enumeration»</v>
      </c>
      <c r="M706" s="287" t="s">
        <v>6582</v>
      </c>
      <c r="N706" s="291" t="b">
        <v>0</v>
      </c>
      <c r="O706" s="286"/>
      <c r="P706" s="292"/>
      <c r="Q706" s="286"/>
      <c r="R706" s="286"/>
      <c r="S706" s="293"/>
      <c r="T706" s="294"/>
      <c r="U706" s="37">
        <v>1339</v>
      </c>
      <c r="V706" s="36" t="str">
        <f>CONCATENATE(Cover!$D$6,"fdd/view?i=",U706)</f>
        <v>https://www.dgiwg.org/FAD/fdd/view?i=1339</v>
      </c>
      <c r="W706" s="172"/>
      <c r="X706" s="172"/>
      <c r="Y706" s="172"/>
    </row>
    <row r="707" spans="1:25" ht="2.1" customHeight="1" x14ac:dyDescent="0.2">
      <c r="A707" s="295"/>
      <c r="B707" s="283"/>
      <c r="C707" s="296"/>
      <c r="D707" s="283"/>
      <c r="E707" s="296"/>
      <c r="F707" s="297"/>
      <c r="G707" s="297"/>
      <c r="H707" s="297"/>
      <c r="I707" s="298"/>
      <c r="J707" s="304"/>
      <c r="K707" s="300"/>
      <c r="L707" s="301"/>
      <c r="M707" s="297" t="s">
        <v>6582</v>
      </c>
      <c r="N707" s="297"/>
      <c r="O707" s="297"/>
      <c r="P707" s="297"/>
      <c r="Q707" s="297"/>
      <c r="R707" s="297"/>
      <c r="S707" s="302"/>
      <c r="T707" s="302"/>
      <c r="U707" s="303"/>
    </row>
    <row r="708" spans="1:25" ht="25.5" x14ac:dyDescent="0.2">
      <c r="A708" s="212" t="str">
        <f>HYPERLINK(V708,B708)</f>
        <v>HypCode</v>
      </c>
      <c r="B708" s="283" t="s">
        <v>9507</v>
      </c>
      <c r="C708" s="284" t="s">
        <v>15284</v>
      </c>
      <c r="D708" s="285"/>
      <c r="E708" s="286"/>
      <c r="F708" s="287" t="s">
        <v>15285</v>
      </c>
      <c r="G708" s="286"/>
      <c r="H708" s="286"/>
      <c r="I708" s="288"/>
      <c r="J708" s="289"/>
      <c r="K708" s="290"/>
      <c r="L708" s="371" t="str">
        <f>HYPERLINK("[#]DatatypeListedValues!B4780:H4780","«enumeration»")</f>
        <v>«enumeration»</v>
      </c>
      <c r="M708" s="287" t="s">
        <v>6582</v>
      </c>
      <c r="N708" s="291" t="b">
        <v>0</v>
      </c>
      <c r="O708" s="286"/>
      <c r="P708" s="292"/>
      <c r="Q708" s="286"/>
      <c r="R708" s="286"/>
      <c r="S708" s="293"/>
      <c r="T708" s="294"/>
      <c r="U708" s="37">
        <v>1265</v>
      </c>
      <c r="V708" s="36" t="str">
        <f>CONCATENATE(Cover!$D$6,"fdd/view?i=",U708)</f>
        <v>https://www.dgiwg.org/FAD/fdd/view?i=1265</v>
      </c>
      <c r="W708" s="172"/>
      <c r="X708" s="172"/>
      <c r="Y708" s="172"/>
    </row>
    <row r="709" spans="1:25" ht="2.1" customHeight="1" x14ac:dyDescent="0.2">
      <c r="A709" s="295"/>
      <c r="B709" s="283"/>
      <c r="C709" s="296"/>
      <c r="D709" s="283"/>
      <c r="E709" s="296"/>
      <c r="F709" s="297"/>
      <c r="G709" s="297"/>
      <c r="H709" s="297"/>
      <c r="I709" s="298"/>
      <c r="J709" s="304"/>
      <c r="K709" s="300"/>
      <c r="L709" s="301"/>
      <c r="M709" s="297" t="s">
        <v>6582</v>
      </c>
      <c r="N709" s="297"/>
      <c r="O709" s="297"/>
      <c r="P709" s="297"/>
      <c r="Q709" s="297"/>
      <c r="R709" s="297"/>
      <c r="S709" s="302"/>
      <c r="T709" s="302"/>
      <c r="U709" s="303"/>
    </row>
    <row r="710" spans="1:25" ht="25.5" x14ac:dyDescent="0.2">
      <c r="A710" s="212" t="str">
        <f>HYPERLINK(V710,B710)</f>
        <v>RetCode</v>
      </c>
      <c r="B710" s="283" t="s">
        <v>9513</v>
      </c>
      <c r="C710" s="284" t="s">
        <v>15286</v>
      </c>
      <c r="D710" s="285"/>
      <c r="E710" s="286"/>
      <c r="F710" s="287" t="s">
        <v>15287</v>
      </c>
      <c r="G710" s="286"/>
      <c r="H710" s="286"/>
      <c r="I710" s="288"/>
      <c r="J710" s="289"/>
      <c r="K710" s="290"/>
      <c r="L710" s="371" t="str">
        <f>HYPERLINK("[#]DatatypeListedValues!B4784:H4784","«enumeration»")</f>
        <v>«enumeration»</v>
      </c>
      <c r="M710" s="287" t="s">
        <v>6582</v>
      </c>
      <c r="N710" s="291" t="b">
        <v>0</v>
      </c>
      <c r="O710" s="286"/>
      <c r="P710" s="292"/>
      <c r="Q710" s="286"/>
      <c r="R710" s="286"/>
      <c r="S710" s="293"/>
      <c r="T710" s="294"/>
      <c r="U710" s="37">
        <v>1397</v>
      </c>
      <c r="V710" s="36" t="str">
        <f>CONCATENATE(Cover!$D$6,"fdd/view?i=",U710)</f>
        <v>https://www.dgiwg.org/FAD/fdd/view?i=1397</v>
      </c>
      <c r="W710" s="172"/>
      <c r="X710" s="172"/>
      <c r="Y710" s="172"/>
    </row>
    <row r="711" spans="1:25" ht="2.1" customHeight="1" x14ac:dyDescent="0.2">
      <c r="A711" s="295"/>
      <c r="B711" s="283"/>
      <c r="C711" s="296"/>
      <c r="D711" s="283"/>
      <c r="E711" s="296"/>
      <c r="F711" s="297"/>
      <c r="G711" s="297"/>
      <c r="H711" s="297"/>
      <c r="I711" s="298"/>
      <c r="J711" s="304"/>
      <c r="K711" s="300"/>
      <c r="L711" s="301"/>
      <c r="M711" s="297" t="s">
        <v>6582</v>
      </c>
      <c r="N711" s="297"/>
      <c r="O711" s="297"/>
      <c r="P711" s="297"/>
      <c r="Q711" s="297"/>
      <c r="R711" s="297"/>
      <c r="S711" s="302"/>
      <c r="T711" s="302"/>
      <c r="U711" s="303"/>
    </row>
    <row r="712" spans="1:25" ht="25.5" x14ac:dyDescent="0.2">
      <c r="A712" s="212" t="str">
        <f>HYPERLINK(V712,B712)</f>
        <v>HqcCode</v>
      </c>
      <c r="B712" s="283" t="s">
        <v>9519</v>
      </c>
      <c r="C712" s="284" t="s">
        <v>15288</v>
      </c>
      <c r="D712" s="285"/>
      <c r="E712" s="286"/>
      <c r="F712" s="287" t="s">
        <v>15289</v>
      </c>
      <c r="G712" s="286"/>
      <c r="H712" s="286"/>
      <c r="I712" s="288"/>
      <c r="J712" s="289"/>
      <c r="K712" s="290"/>
      <c r="L712" s="371" t="str">
        <f>HYPERLINK("[#]DatatypeListedValues!B4787:H4787","«enumeration»")</f>
        <v>«enumeration»</v>
      </c>
      <c r="M712" s="287" t="s">
        <v>6582</v>
      </c>
      <c r="N712" s="291" t="b">
        <v>0</v>
      </c>
      <c r="O712" s="286"/>
      <c r="P712" s="292"/>
      <c r="Q712" s="286"/>
      <c r="R712" s="286"/>
      <c r="S712" s="293"/>
      <c r="T712" s="294"/>
      <c r="U712" s="37">
        <v>1254</v>
      </c>
      <c r="V712" s="36" t="str">
        <f>CONCATENATE(Cover!$D$6,"fdd/view?i=",U712)</f>
        <v>https://www.dgiwg.org/FAD/fdd/view?i=1254</v>
      </c>
      <c r="W712" s="172"/>
      <c r="X712" s="172"/>
      <c r="Y712" s="172"/>
    </row>
    <row r="713" spans="1:25" ht="2.1" customHeight="1" x14ac:dyDescent="0.2">
      <c r="A713" s="295"/>
      <c r="B713" s="283"/>
      <c r="C713" s="296"/>
      <c r="D713" s="283"/>
      <c r="E713" s="296"/>
      <c r="F713" s="297"/>
      <c r="G713" s="297"/>
      <c r="H713" s="297"/>
      <c r="I713" s="298"/>
      <c r="J713" s="304"/>
      <c r="K713" s="300"/>
      <c r="L713" s="301"/>
      <c r="M713" s="297" t="s">
        <v>6582</v>
      </c>
      <c r="N713" s="297"/>
      <c r="O713" s="297"/>
      <c r="P713" s="297"/>
      <c r="Q713" s="297"/>
      <c r="R713" s="297"/>
      <c r="S713" s="302"/>
      <c r="T713" s="302"/>
      <c r="U713" s="303"/>
    </row>
    <row r="714" spans="1:25" ht="38.25" x14ac:dyDescent="0.2">
      <c r="A714" s="212" t="str">
        <f>HYPERLINK(V714,B714)</f>
        <v>ItaStrucText</v>
      </c>
      <c r="B714" s="283" t="s">
        <v>9529</v>
      </c>
      <c r="C714" s="284" t="s">
        <v>15290</v>
      </c>
      <c r="D714" s="285"/>
      <c r="E714" s="286"/>
      <c r="F714" s="287" t="s">
        <v>15291</v>
      </c>
      <c r="G714" s="286"/>
      <c r="H714" s="287" t="s">
        <v>14552</v>
      </c>
      <c r="I714" s="288"/>
      <c r="J714" s="289"/>
      <c r="K714" s="290"/>
      <c r="L714" s="287" t="s">
        <v>14551</v>
      </c>
      <c r="M714" s="287" t="s">
        <v>6582</v>
      </c>
      <c r="N714" s="286"/>
      <c r="O714" s="287">
        <v>5</v>
      </c>
      <c r="P714" s="305" t="b">
        <v>0</v>
      </c>
      <c r="Q714" s="287" t="s">
        <v>15016</v>
      </c>
      <c r="R714" s="286"/>
      <c r="S714" s="293"/>
      <c r="T714" s="294"/>
      <c r="U714" s="37">
        <v>117445</v>
      </c>
      <c r="V714" s="36" t="str">
        <f>CONCATENATE(Cover!$D$6,"fdd/view?i=",U714)</f>
        <v>https://www.dgiwg.org/FAD/fdd/view?i=117445</v>
      </c>
      <c r="W714" s="172"/>
      <c r="X714" s="172"/>
      <c r="Y714" s="172"/>
    </row>
    <row r="715" spans="1:25" ht="2.1" customHeight="1" x14ac:dyDescent="0.2">
      <c r="A715" s="295"/>
      <c r="B715" s="283"/>
      <c r="C715" s="296"/>
      <c r="D715" s="283"/>
      <c r="E715" s="296"/>
      <c r="F715" s="297"/>
      <c r="G715" s="297"/>
      <c r="H715" s="297"/>
      <c r="I715" s="298"/>
      <c r="J715" s="304"/>
      <c r="K715" s="300"/>
      <c r="L715" s="301"/>
      <c r="M715" s="297" t="s">
        <v>6582</v>
      </c>
      <c r="N715" s="297"/>
      <c r="O715" s="297"/>
      <c r="P715" s="297"/>
      <c r="Q715" s="297"/>
      <c r="R715" s="297"/>
      <c r="S715" s="302"/>
      <c r="T715" s="302"/>
      <c r="U715" s="303"/>
    </row>
    <row r="716" spans="1:25" ht="38.25" x14ac:dyDescent="0.2">
      <c r="A716" s="212" t="str">
        <f>HYPERLINK(V716,B716)</f>
        <v>IkoStrucText</v>
      </c>
      <c r="B716" s="283" t="s">
        <v>9540</v>
      </c>
      <c r="C716" s="284" t="s">
        <v>15292</v>
      </c>
      <c r="D716" s="285"/>
      <c r="E716" s="286"/>
      <c r="F716" s="287" t="s">
        <v>15293</v>
      </c>
      <c r="G716" s="286"/>
      <c r="H716" s="287" t="s">
        <v>14552</v>
      </c>
      <c r="I716" s="288"/>
      <c r="J716" s="289"/>
      <c r="K716" s="290"/>
      <c r="L716" s="287" t="s">
        <v>14551</v>
      </c>
      <c r="M716" s="287" t="s">
        <v>6582</v>
      </c>
      <c r="N716" s="286"/>
      <c r="O716" s="287">
        <v>4</v>
      </c>
      <c r="P716" s="305" t="b">
        <v>0</v>
      </c>
      <c r="Q716" s="287" t="s">
        <v>15294</v>
      </c>
      <c r="R716" s="286"/>
      <c r="S716" s="293"/>
      <c r="T716" s="294"/>
      <c r="U716" s="37">
        <v>117444</v>
      </c>
      <c r="V716" s="36" t="str">
        <f>CONCATENATE(Cover!$D$6,"fdd/view?i=",U716)</f>
        <v>https://www.dgiwg.org/FAD/fdd/view?i=117444</v>
      </c>
      <c r="W716" s="172"/>
      <c r="X716" s="172"/>
      <c r="Y716" s="172"/>
    </row>
    <row r="717" spans="1:25" ht="2.1" customHeight="1" x14ac:dyDescent="0.2">
      <c r="A717" s="295"/>
      <c r="B717" s="283"/>
      <c r="C717" s="296"/>
      <c r="D717" s="283"/>
      <c r="E717" s="296"/>
      <c r="F717" s="297"/>
      <c r="G717" s="297"/>
      <c r="H717" s="297"/>
      <c r="I717" s="298"/>
      <c r="J717" s="304"/>
      <c r="K717" s="300"/>
      <c r="L717" s="301"/>
      <c r="M717" s="297" t="s">
        <v>6582</v>
      </c>
      <c r="N717" s="297"/>
      <c r="O717" s="297"/>
      <c r="P717" s="297"/>
      <c r="Q717" s="297"/>
      <c r="R717" s="297"/>
      <c r="S717" s="302"/>
      <c r="T717" s="302"/>
      <c r="U717" s="303"/>
    </row>
    <row r="718" spans="1:25" ht="25.5" x14ac:dyDescent="0.2">
      <c r="A718" s="212" t="str">
        <f>HYPERLINK(V718,B718)</f>
        <v>IktCode</v>
      </c>
      <c r="B718" s="283" t="s">
        <v>9546</v>
      </c>
      <c r="C718" s="284" t="s">
        <v>15295</v>
      </c>
      <c r="D718" s="285"/>
      <c r="E718" s="286"/>
      <c r="F718" s="287" t="s">
        <v>15296</v>
      </c>
      <c r="G718" s="286"/>
      <c r="H718" s="286"/>
      <c r="I718" s="288"/>
      <c r="J718" s="289"/>
      <c r="K718" s="290"/>
      <c r="L718" s="371" t="str">
        <f>HYPERLINK("[#]DatatypeListedValues!B4809:H4809","«enumeration»")</f>
        <v>«enumeration»</v>
      </c>
      <c r="M718" s="287" t="s">
        <v>6582</v>
      </c>
      <c r="N718" s="291" t="b">
        <v>0</v>
      </c>
      <c r="O718" s="286"/>
      <c r="P718" s="292"/>
      <c r="Q718" s="286"/>
      <c r="R718" s="286"/>
      <c r="S718" s="293"/>
      <c r="T718" s="294"/>
      <c r="U718" s="37">
        <v>117383</v>
      </c>
      <c r="V718" s="36" t="str">
        <f>CONCATENATE(Cover!$D$6,"fdd/view?i=",U718)</f>
        <v>https://www.dgiwg.org/FAD/fdd/view?i=117383</v>
      </c>
      <c r="W718" s="172"/>
      <c r="X718" s="172"/>
      <c r="Y718" s="172"/>
    </row>
    <row r="719" spans="1:25" ht="2.1" customHeight="1" x14ac:dyDescent="0.2">
      <c r="A719" s="295"/>
      <c r="B719" s="283"/>
      <c r="C719" s="296"/>
      <c r="D719" s="283"/>
      <c r="E719" s="296"/>
      <c r="F719" s="297"/>
      <c r="G719" s="297"/>
      <c r="H719" s="297"/>
      <c r="I719" s="298"/>
      <c r="J719" s="304"/>
      <c r="K719" s="300"/>
      <c r="L719" s="301"/>
      <c r="M719" s="297" t="s">
        <v>6582</v>
      </c>
      <c r="N719" s="297"/>
      <c r="O719" s="297"/>
      <c r="P719" s="297"/>
      <c r="Q719" s="297"/>
      <c r="R719" s="297"/>
      <c r="S719" s="302"/>
      <c r="T719" s="302"/>
      <c r="U719" s="303"/>
    </row>
    <row r="720" spans="1:25" ht="25.5" x14ac:dyDescent="0.2">
      <c r="A720" s="212" t="str">
        <f>HYPERLINK(V720,B720)</f>
        <v>IdsCode</v>
      </c>
      <c r="B720" s="283" t="s">
        <v>9572</v>
      </c>
      <c r="C720" s="284" t="s">
        <v>15297</v>
      </c>
      <c r="D720" s="285"/>
      <c r="E720" s="286"/>
      <c r="F720" s="287" t="s">
        <v>15298</v>
      </c>
      <c r="G720" s="286"/>
      <c r="H720" s="286"/>
      <c r="I720" s="288"/>
      <c r="J720" s="289"/>
      <c r="K720" s="290"/>
      <c r="L720" s="371" t="str">
        <f>HYPERLINK("[#]DatatypeListedValues!B4834:H4834","«enumeration»")</f>
        <v>«enumeration»</v>
      </c>
      <c r="M720" s="287" t="s">
        <v>6582</v>
      </c>
      <c r="N720" s="291" t="b">
        <v>0</v>
      </c>
      <c r="O720" s="286"/>
      <c r="P720" s="292"/>
      <c r="Q720" s="286"/>
      <c r="R720" s="286"/>
      <c r="S720" s="293"/>
      <c r="T720" s="294"/>
      <c r="U720" s="37">
        <v>118182</v>
      </c>
      <c r="V720" s="36" t="str">
        <f>CONCATENATE(Cover!$D$6,"fdd/view?i=",U720)</f>
        <v>https://www.dgiwg.org/FAD/fdd/view?i=118182</v>
      </c>
      <c r="W720" s="172"/>
      <c r="X720" s="172"/>
      <c r="Y720" s="172"/>
    </row>
    <row r="721" spans="1:25" ht="2.1" customHeight="1" x14ac:dyDescent="0.2">
      <c r="A721" s="295"/>
      <c r="B721" s="283"/>
      <c r="C721" s="296"/>
      <c r="D721" s="283"/>
      <c r="E721" s="296"/>
      <c r="F721" s="297"/>
      <c r="G721" s="297"/>
      <c r="H721" s="297"/>
      <c r="I721" s="298"/>
      <c r="J721" s="304"/>
      <c r="K721" s="300"/>
      <c r="L721" s="301"/>
      <c r="M721" s="297" t="s">
        <v>6582</v>
      </c>
      <c r="N721" s="297"/>
      <c r="O721" s="297"/>
      <c r="P721" s="297"/>
      <c r="Q721" s="297"/>
      <c r="R721" s="297"/>
      <c r="S721" s="302"/>
      <c r="T721" s="302"/>
      <c r="U721" s="303"/>
    </row>
    <row r="722" spans="1:25" ht="51" x14ac:dyDescent="0.2">
      <c r="A722" s="212" t="str">
        <f>HYPERLINK(V722,B722)</f>
        <v>Index</v>
      </c>
      <c r="B722" s="283" t="s">
        <v>6954</v>
      </c>
      <c r="C722" s="284" t="s">
        <v>6954</v>
      </c>
      <c r="D722" s="285"/>
      <c r="E722" s="286"/>
      <c r="F722" s="287" t="s">
        <v>15299</v>
      </c>
      <c r="G722" s="287" t="s">
        <v>15300</v>
      </c>
      <c r="H722" s="287" t="s">
        <v>15302</v>
      </c>
      <c r="I722" s="288"/>
      <c r="J722" s="289"/>
      <c r="K722" s="290"/>
      <c r="L722" s="287" t="s">
        <v>15301</v>
      </c>
      <c r="M722" s="287" t="s">
        <v>6582</v>
      </c>
      <c r="N722" s="286"/>
      <c r="O722" s="286"/>
      <c r="P722" s="292"/>
      <c r="Q722" s="286"/>
      <c r="R722" s="286"/>
      <c r="S722" s="293"/>
      <c r="T722" s="294"/>
      <c r="U722" s="37">
        <v>1009</v>
      </c>
      <c r="V722" s="36" t="str">
        <f>CONCATENATE(Cover!$D$6,"fdd/view?i=",U722)</f>
        <v>https://www.dgiwg.org/FAD/fdd/view?i=1009</v>
      </c>
      <c r="W722" s="172"/>
      <c r="X722" s="172"/>
      <c r="Y722" s="172"/>
    </row>
    <row r="723" spans="1:25" ht="2.1" customHeight="1" x14ac:dyDescent="0.2">
      <c r="A723" s="295"/>
      <c r="B723" s="283"/>
      <c r="C723" s="296"/>
      <c r="D723" s="283"/>
      <c r="E723" s="296"/>
      <c r="F723" s="297"/>
      <c r="G723" s="297"/>
      <c r="H723" s="297"/>
      <c r="I723" s="298"/>
      <c r="J723" s="304"/>
      <c r="K723" s="300"/>
      <c r="L723" s="301"/>
      <c r="M723" s="297" t="s">
        <v>6582</v>
      </c>
      <c r="N723" s="297"/>
      <c r="O723" s="297"/>
      <c r="P723" s="297"/>
      <c r="Q723" s="297"/>
      <c r="R723" s="297"/>
      <c r="S723" s="302"/>
      <c r="T723" s="302"/>
      <c r="U723" s="303"/>
    </row>
    <row r="724" spans="1:25" ht="25.5" x14ac:dyDescent="0.2">
      <c r="A724" s="212" t="str">
        <f>HYPERLINK(V724,B724)</f>
        <v>ImiCode</v>
      </c>
      <c r="B724" s="283" t="s">
        <v>9581</v>
      </c>
      <c r="C724" s="284" t="s">
        <v>15303</v>
      </c>
      <c r="D724" s="285"/>
      <c r="E724" s="286"/>
      <c r="F724" s="287" t="s">
        <v>15304</v>
      </c>
      <c r="G724" s="286"/>
      <c r="H724" s="286"/>
      <c r="I724" s="288"/>
      <c r="J724" s="289"/>
      <c r="K724" s="290"/>
      <c r="L724" s="371" t="str">
        <f>HYPERLINK("[#]DatatypeListedValues!B4842:H4842","«enumeration»")</f>
        <v>«enumeration»</v>
      </c>
      <c r="M724" s="287" t="s">
        <v>6582</v>
      </c>
      <c r="N724" s="291" t="b">
        <v>0</v>
      </c>
      <c r="O724" s="286"/>
      <c r="P724" s="292"/>
      <c r="Q724" s="286"/>
      <c r="R724" s="286"/>
      <c r="S724" s="293"/>
      <c r="T724" s="294"/>
      <c r="U724" s="37">
        <v>1856</v>
      </c>
      <c r="V724" s="36" t="str">
        <f>CONCATENATE(Cover!$D$6,"fdd/view?i=",U724)</f>
        <v>https://www.dgiwg.org/FAD/fdd/view?i=1856</v>
      </c>
      <c r="W724" s="172"/>
      <c r="X724" s="172"/>
      <c r="Y724" s="172"/>
    </row>
    <row r="725" spans="1:25" ht="2.1" customHeight="1" x14ac:dyDescent="0.2">
      <c r="A725" s="295"/>
      <c r="B725" s="283"/>
      <c r="C725" s="296"/>
      <c r="D725" s="283"/>
      <c r="E725" s="296"/>
      <c r="F725" s="297"/>
      <c r="G725" s="297"/>
      <c r="H725" s="297"/>
      <c r="I725" s="298"/>
      <c r="J725" s="304"/>
      <c r="K725" s="300"/>
      <c r="L725" s="301"/>
      <c r="M725" s="297" t="s">
        <v>6582</v>
      </c>
      <c r="N725" s="297"/>
      <c r="O725" s="297"/>
      <c r="P725" s="297"/>
      <c r="Q725" s="297"/>
      <c r="R725" s="297"/>
      <c r="S725" s="302"/>
      <c r="T725" s="302"/>
      <c r="U725" s="303"/>
    </row>
    <row r="726" spans="1:25" ht="25.5" x14ac:dyDescent="0.2">
      <c r="A726" s="212" t="str">
        <f>HYPERLINK(V726,B726)</f>
        <v>MiiCode</v>
      </c>
      <c r="B726" s="283" t="s">
        <v>9595</v>
      </c>
      <c r="C726" s="284" t="s">
        <v>15305</v>
      </c>
      <c r="D726" s="285"/>
      <c r="E726" s="286"/>
      <c r="F726" s="287" t="s">
        <v>15306</v>
      </c>
      <c r="G726" s="286"/>
      <c r="H726" s="286"/>
      <c r="I726" s="288"/>
      <c r="J726" s="289"/>
      <c r="K726" s="290"/>
      <c r="L726" s="371" t="str">
        <f>HYPERLINK("[#]DatatypeListedValues!B4864:H4864","«enumeration»")</f>
        <v>«enumeration»</v>
      </c>
      <c r="M726" s="287" t="s">
        <v>6582</v>
      </c>
      <c r="N726" s="291" t="b">
        <v>0</v>
      </c>
      <c r="O726" s="286"/>
      <c r="P726" s="292"/>
      <c r="Q726" s="286"/>
      <c r="R726" s="286"/>
      <c r="S726" s="293"/>
      <c r="T726" s="294"/>
      <c r="U726" s="37">
        <v>1306</v>
      </c>
      <c r="V726" s="36" t="str">
        <f>CONCATENATE(Cover!$D$6,"fdd/view?i=",U726)</f>
        <v>https://www.dgiwg.org/FAD/fdd/view?i=1306</v>
      </c>
      <c r="W726" s="172"/>
      <c r="X726" s="172"/>
      <c r="Y726" s="172"/>
    </row>
    <row r="727" spans="1:25" ht="2.1" customHeight="1" x14ac:dyDescent="0.2">
      <c r="A727" s="295"/>
      <c r="B727" s="283"/>
      <c r="C727" s="296"/>
      <c r="D727" s="283"/>
      <c r="E727" s="296"/>
      <c r="F727" s="297"/>
      <c r="G727" s="297"/>
      <c r="H727" s="297"/>
      <c r="I727" s="298"/>
      <c r="J727" s="304"/>
      <c r="K727" s="300"/>
      <c r="L727" s="301"/>
      <c r="M727" s="297" t="s">
        <v>6582</v>
      </c>
      <c r="N727" s="297"/>
      <c r="O727" s="297"/>
      <c r="P727" s="297"/>
      <c r="Q727" s="297"/>
      <c r="R727" s="297"/>
      <c r="S727" s="302"/>
      <c r="T727" s="302"/>
      <c r="U727" s="303"/>
    </row>
    <row r="728" spans="1:25" ht="25.5" x14ac:dyDescent="0.2">
      <c r="A728" s="212" t="str">
        <f>HYPERLINK(V728,B728)</f>
        <v>SleCode</v>
      </c>
      <c r="B728" s="283" t="s">
        <v>9609</v>
      </c>
      <c r="C728" s="284" t="s">
        <v>15307</v>
      </c>
      <c r="D728" s="285"/>
      <c r="E728" s="286"/>
      <c r="F728" s="287" t="s">
        <v>15308</v>
      </c>
      <c r="G728" s="286"/>
      <c r="H728" s="286"/>
      <c r="I728" s="288"/>
      <c r="J728" s="289"/>
      <c r="K728" s="290"/>
      <c r="L728" s="371" t="str">
        <f>HYPERLINK("[#]DatatypeListedValues!B4868:H4868","«enumeration»")</f>
        <v>«enumeration»</v>
      </c>
      <c r="M728" s="287" t="s">
        <v>6582</v>
      </c>
      <c r="N728" s="291" t="b">
        <v>0</v>
      </c>
      <c r="O728" s="286"/>
      <c r="P728" s="292"/>
      <c r="Q728" s="286"/>
      <c r="R728" s="286"/>
      <c r="S728" s="293"/>
      <c r="T728" s="294"/>
      <c r="U728" s="37">
        <v>1914</v>
      </c>
      <c r="V728" s="36" t="str">
        <f>CONCATENATE(Cover!$D$6,"fdd/view?i=",U728)</f>
        <v>https://www.dgiwg.org/FAD/fdd/view?i=1914</v>
      </c>
      <c r="W728" s="172"/>
      <c r="X728" s="172"/>
      <c r="Y728" s="172"/>
    </row>
    <row r="729" spans="1:25" ht="2.1" customHeight="1" x14ac:dyDescent="0.2">
      <c r="A729" s="295"/>
      <c r="B729" s="283"/>
      <c r="C729" s="296"/>
      <c r="D729" s="283"/>
      <c r="E729" s="296"/>
      <c r="F729" s="297"/>
      <c r="G729" s="297"/>
      <c r="H729" s="297"/>
      <c r="I729" s="298"/>
      <c r="J729" s="304"/>
      <c r="K729" s="300"/>
      <c r="L729" s="301"/>
      <c r="M729" s="297" t="s">
        <v>6582</v>
      </c>
      <c r="N729" s="297"/>
      <c r="O729" s="297"/>
      <c r="P729" s="297"/>
      <c r="Q729" s="297"/>
      <c r="R729" s="297"/>
      <c r="S729" s="302"/>
      <c r="T729" s="302"/>
      <c r="U729" s="303"/>
    </row>
    <row r="730" spans="1:25" ht="25.5" x14ac:dyDescent="0.2">
      <c r="A730" s="212" t="str">
        <f>HYPERLINK(V730,B730)</f>
        <v>FwbCode</v>
      </c>
      <c r="B730" s="283" t="s">
        <v>9626</v>
      </c>
      <c r="C730" s="284" t="s">
        <v>15309</v>
      </c>
      <c r="D730" s="285"/>
      <c r="E730" s="286"/>
      <c r="F730" s="287" t="s">
        <v>15310</v>
      </c>
      <c r="G730" s="286"/>
      <c r="H730" s="286"/>
      <c r="I730" s="288"/>
      <c r="J730" s="289"/>
      <c r="K730" s="290"/>
      <c r="L730" s="371" t="str">
        <f>HYPERLINK("[#]DatatypeListedValues!B4872:H4872","«enumeration»")</f>
        <v>«enumeration»</v>
      </c>
      <c r="M730" s="287" t="s">
        <v>6582</v>
      </c>
      <c r="N730" s="291" t="b">
        <v>0</v>
      </c>
      <c r="O730" s="286"/>
      <c r="P730" s="292"/>
      <c r="Q730" s="286"/>
      <c r="R730" s="286"/>
      <c r="S730" s="293"/>
      <c r="T730" s="294"/>
      <c r="U730" s="37">
        <v>118634</v>
      </c>
      <c r="V730" s="36" t="str">
        <f>CONCATENATE(Cover!$D$6,"fdd/view?i=",U730)</f>
        <v>https://www.dgiwg.org/FAD/fdd/view?i=118634</v>
      </c>
      <c r="W730" s="172"/>
      <c r="X730" s="172"/>
      <c r="Y730" s="172"/>
    </row>
    <row r="731" spans="1:25" ht="2.1" customHeight="1" x14ac:dyDescent="0.2">
      <c r="A731" s="295"/>
      <c r="B731" s="283"/>
      <c r="C731" s="296"/>
      <c r="D731" s="283"/>
      <c r="E731" s="296"/>
      <c r="F731" s="297"/>
      <c r="G731" s="297"/>
      <c r="H731" s="297"/>
      <c r="I731" s="298"/>
      <c r="J731" s="304"/>
      <c r="K731" s="300"/>
      <c r="L731" s="301"/>
      <c r="M731" s="297" t="s">
        <v>6582</v>
      </c>
      <c r="N731" s="297"/>
      <c r="O731" s="297"/>
      <c r="P731" s="297"/>
      <c r="Q731" s="297"/>
      <c r="R731" s="297"/>
      <c r="S731" s="302"/>
      <c r="T731" s="302"/>
      <c r="U731" s="303"/>
    </row>
    <row r="732" spans="1:25" ht="25.5" x14ac:dyDescent="0.2">
      <c r="A732" s="212" t="str">
        <f>HYPERLINK(V732,B732)</f>
        <v>IwtCode</v>
      </c>
      <c r="B732" s="283" t="s">
        <v>9635</v>
      </c>
      <c r="C732" s="284" t="s">
        <v>15311</v>
      </c>
      <c r="D732" s="285"/>
      <c r="E732" s="286"/>
      <c r="F732" s="287" t="s">
        <v>15312</v>
      </c>
      <c r="G732" s="286"/>
      <c r="H732" s="286"/>
      <c r="I732" s="288"/>
      <c r="J732" s="289"/>
      <c r="K732" s="290"/>
      <c r="L732" s="371" t="str">
        <f>HYPERLINK("[#]DatatypeListedValues!B4885:H4885","«enumeration»")</f>
        <v>«enumeration»</v>
      </c>
      <c r="M732" s="287" t="s">
        <v>6582</v>
      </c>
      <c r="N732" s="291" t="b">
        <v>0</v>
      </c>
      <c r="O732" s="286"/>
      <c r="P732" s="292"/>
      <c r="Q732" s="286"/>
      <c r="R732" s="286"/>
      <c r="S732" s="293"/>
      <c r="T732" s="294"/>
      <c r="U732" s="37">
        <v>117813</v>
      </c>
      <c r="V732" s="36" t="str">
        <f>CONCATENATE(Cover!$D$6,"fdd/view?i=",U732)</f>
        <v>https://www.dgiwg.org/FAD/fdd/view?i=117813</v>
      </c>
      <c r="W732" s="172"/>
      <c r="X732" s="172"/>
      <c r="Y732" s="172"/>
    </row>
    <row r="733" spans="1:25" ht="2.1" customHeight="1" x14ac:dyDescent="0.2">
      <c r="A733" s="295"/>
      <c r="B733" s="283"/>
      <c r="C733" s="296"/>
      <c r="D733" s="283"/>
      <c r="E733" s="296"/>
      <c r="F733" s="297"/>
      <c r="G733" s="297"/>
      <c r="H733" s="297"/>
      <c r="I733" s="298"/>
      <c r="J733" s="304"/>
      <c r="K733" s="300"/>
      <c r="L733" s="301"/>
      <c r="M733" s="297" t="s">
        <v>6582</v>
      </c>
      <c r="N733" s="297"/>
      <c r="O733" s="297"/>
      <c r="P733" s="297"/>
      <c r="Q733" s="297"/>
      <c r="R733" s="297"/>
      <c r="S733" s="302"/>
      <c r="T733" s="302"/>
      <c r="U733" s="303"/>
    </row>
    <row r="734" spans="1:25" ht="25.5" x14ac:dyDescent="0.2">
      <c r="A734" s="212" t="str">
        <f>HYPERLINK(V734,B734)</f>
        <v>IbcCode</v>
      </c>
      <c r="B734" s="283" t="s">
        <v>9640</v>
      </c>
      <c r="C734" s="284" t="s">
        <v>15313</v>
      </c>
      <c r="D734" s="285"/>
      <c r="E734" s="286"/>
      <c r="F734" s="287" t="s">
        <v>15314</v>
      </c>
      <c r="G734" s="286"/>
      <c r="H734" s="286"/>
      <c r="I734" s="288"/>
      <c r="J734" s="289"/>
      <c r="K734" s="290"/>
      <c r="L734" s="371" t="str">
        <f>HYPERLINK("[#]DatatypeListedValues!B4897:H4897","«enumeration»")</f>
        <v>«enumeration»</v>
      </c>
      <c r="M734" s="287" t="s">
        <v>6582</v>
      </c>
      <c r="N734" s="291" t="b">
        <v>0</v>
      </c>
      <c r="O734" s="286"/>
      <c r="P734" s="292"/>
      <c r="Q734" s="286"/>
      <c r="R734" s="286"/>
      <c r="S734" s="293"/>
      <c r="T734" s="294"/>
      <c r="U734" s="37">
        <v>1269</v>
      </c>
      <c r="V734" s="36" t="str">
        <f>CONCATENATE(Cover!$D$6,"fdd/view?i=",U734)</f>
        <v>https://www.dgiwg.org/FAD/fdd/view?i=1269</v>
      </c>
      <c r="W734" s="172"/>
      <c r="X734" s="172"/>
      <c r="Y734" s="172"/>
    </row>
    <row r="735" spans="1:25" ht="2.1" customHeight="1" x14ac:dyDescent="0.2">
      <c r="A735" s="295"/>
      <c r="B735" s="283"/>
      <c r="C735" s="296"/>
      <c r="D735" s="283"/>
      <c r="E735" s="296"/>
      <c r="F735" s="297"/>
      <c r="G735" s="297"/>
      <c r="H735" s="297"/>
      <c r="I735" s="298"/>
      <c r="J735" s="304"/>
      <c r="K735" s="300"/>
      <c r="L735" s="301"/>
      <c r="M735" s="297" t="s">
        <v>6582</v>
      </c>
      <c r="N735" s="297"/>
      <c r="O735" s="297"/>
      <c r="P735" s="297"/>
      <c r="Q735" s="297"/>
      <c r="R735" s="297"/>
      <c r="S735" s="302"/>
      <c r="T735" s="302"/>
      <c r="U735" s="303"/>
    </row>
    <row r="736" spans="1:25" ht="38.25" x14ac:dyDescent="0.2">
      <c r="A736" s="212" t="str">
        <f>HYPERLINK(V736,B736)</f>
        <v>IfrCode</v>
      </c>
      <c r="B736" s="283" t="s">
        <v>9650</v>
      </c>
      <c r="C736" s="284" t="s">
        <v>15315</v>
      </c>
      <c r="D736" s="285"/>
      <c r="E736" s="286"/>
      <c r="F736" s="287" t="s">
        <v>15316</v>
      </c>
      <c r="G736" s="286"/>
      <c r="H736" s="286"/>
      <c r="I736" s="288"/>
      <c r="J736" s="289"/>
      <c r="K736" s="290"/>
      <c r="L736" s="371" t="str">
        <f>HYPERLINK("[#]DatatypeListedValues!B4899:H4899","«enumeration»")</f>
        <v>«enumeration»</v>
      </c>
      <c r="M736" s="287" t="s">
        <v>6582</v>
      </c>
      <c r="N736" s="291" t="b">
        <v>0</v>
      </c>
      <c r="O736" s="286"/>
      <c r="P736" s="292"/>
      <c r="Q736" s="286"/>
      <c r="R736" s="286"/>
      <c r="S736" s="293"/>
      <c r="T736" s="294"/>
      <c r="U736" s="37">
        <v>117382</v>
      </c>
      <c r="V736" s="36" t="str">
        <f>CONCATENATE(Cover!$D$6,"fdd/view?i=",U736)</f>
        <v>https://www.dgiwg.org/FAD/fdd/view?i=117382</v>
      </c>
      <c r="W736" s="172"/>
      <c r="X736" s="172"/>
      <c r="Y736" s="172"/>
    </row>
    <row r="737" spans="1:25" ht="2.1" customHeight="1" x14ac:dyDescent="0.2">
      <c r="A737" s="295"/>
      <c r="B737" s="283"/>
      <c r="C737" s="296"/>
      <c r="D737" s="283"/>
      <c r="E737" s="296"/>
      <c r="F737" s="297"/>
      <c r="G737" s="297"/>
      <c r="H737" s="297"/>
      <c r="I737" s="298"/>
      <c r="J737" s="304"/>
      <c r="K737" s="300"/>
      <c r="L737" s="301"/>
      <c r="M737" s="297" t="s">
        <v>6582</v>
      </c>
      <c r="N737" s="297"/>
      <c r="O737" s="297"/>
      <c r="P737" s="297"/>
      <c r="Q737" s="297"/>
      <c r="R737" s="297"/>
      <c r="S737" s="302"/>
      <c r="T737" s="302"/>
      <c r="U737" s="303"/>
    </row>
    <row r="738" spans="1:25" ht="38.25" x14ac:dyDescent="0.2">
      <c r="A738" s="212" t="str">
        <f>HYPERLINK(V738,B738)</f>
        <v>IlcCode</v>
      </c>
      <c r="B738" s="283" t="s">
        <v>9656</v>
      </c>
      <c r="C738" s="284" t="s">
        <v>15317</v>
      </c>
      <c r="D738" s="285"/>
      <c r="E738" s="286"/>
      <c r="F738" s="287" t="s">
        <v>15318</v>
      </c>
      <c r="G738" s="286"/>
      <c r="H738" s="286"/>
      <c r="I738" s="288"/>
      <c r="J738" s="289"/>
      <c r="K738" s="290"/>
      <c r="L738" s="371" t="str">
        <f>HYPERLINK("[#]DatatypeListedValues!B4903:H4903","«enumeration»")</f>
        <v>«enumeration»</v>
      </c>
      <c r="M738" s="287" t="s">
        <v>6582</v>
      </c>
      <c r="N738" s="287" t="b">
        <v>1</v>
      </c>
      <c r="O738" s="286"/>
      <c r="P738" s="292"/>
      <c r="Q738" s="286"/>
      <c r="R738" s="286"/>
      <c r="S738" s="293"/>
      <c r="T738" s="294"/>
      <c r="U738" s="37">
        <v>117384</v>
      </c>
      <c r="V738" s="36" t="str">
        <f>CONCATENATE(Cover!$D$6,"fdd/view?i=",U738)</f>
        <v>https://www.dgiwg.org/FAD/fdd/view?i=117384</v>
      </c>
      <c r="W738" s="172"/>
      <c r="X738" s="172"/>
      <c r="Y738" s="172"/>
    </row>
    <row r="739" spans="1:25" ht="2.1" customHeight="1" x14ac:dyDescent="0.2">
      <c r="A739" s="295"/>
      <c r="B739" s="283"/>
      <c r="C739" s="296"/>
      <c r="D739" s="283"/>
      <c r="E739" s="296"/>
      <c r="F739" s="297"/>
      <c r="G739" s="297"/>
      <c r="H739" s="297"/>
      <c r="I739" s="298"/>
      <c r="J739" s="304"/>
      <c r="K739" s="300"/>
      <c r="L739" s="301"/>
      <c r="M739" s="297" t="s">
        <v>6582</v>
      </c>
      <c r="N739" s="297"/>
      <c r="O739" s="297"/>
      <c r="P739" s="297"/>
      <c r="Q739" s="297"/>
      <c r="R739" s="297"/>
      <c r="S739" s="302"/>
      <c r="T739" s="302"/>
      <c r="U739" s="303"/>
    </row>
    <row r="740" spans="1:25" ht="38.25" x14ac:dyDescent="0.2">
      <c r="A740" s="212" t="str">
        <f>HYPERLINK(V740,B740)</f>
        <v>IaeCode</v>
      </c>
      <c r="B740" s="283" t="s">
        <v>9678</v>
      </c>
      <c r="C740" s="284" t="s">
        <v>15319</v>
      </c>
      <c r="D740" s="285"/>
      <c r="E740" s="286"/>
      <c r="F740" s="287" t="s">
        <v>15320</v>
      </c>
      <c r="G740" s="286"/>
      <c r="H740" s="286"/>
      <c r="I740" s="288"/>
      <c r="J740" s="289"/>
      <c r="K740" s="290"/>
      <c r="L740" s="371" t="str">
        <f>HYPERLINK("[#]DatatypeListedValues!B4910:H4910","«enumeration»")</f>
        <v>«enumeration»</v>
      </c>
      <c r="M740" s="287" t="s">
        <v>6582</v>
      </c>
      <c r="N740" s="291" t="b">
        <v>0</v>
      </c>
      <c r="O740" s="286"/>
      <c r="P740" s="292"/>
      <c r="Q740" s="286"/>
      <c r="R740" s="286"/>
      <c r="S740" s="293"/>
      <c r="T740" s="294"/>
      <c r="U740" s="37">
        <v>117380</v>
      </c>
      <c r="V740" s="36" t="str">
        <f>CONCATENATE(Cover!$D$6,"fdd/view?i=",U740)</f>
        <v>https://www.dgiwg.org/FAD/fdd/view?i=117380</v>
      </c>
      <c r="W740" s="172"/>
      <c r="X740" s="172"/>
      <c r="Y740" s="172"/>
    </row>
    <row r="741" spans="1:25" ht="2.1" customHeight="1" x14ac:dyDescent="0.2">
      <c r="A741" s="295"/>
      <c r="B741" s="283"/>
      <c r="C741" s="296"/>
      <c r="D741" s="283"/>
      <c r="E741" s="296"/>
      <c r="F741" s="297"/>
      <c r="G741" s="297"/>
      <c r="H741" s="297"/>
      <c r="I741" s="298"/>
      <c r="J741" s="304"/>
      <c r="K741" s="300"/>
      <c r="L741" s="301"/>
      <c r="M741" s="297" t="s">
        <v>6582</v>
      </c>
      <c r="N741" s="297"/>
      <c r="O741" s="297"/>
      <c r="P741" s="297"/>
      <c r="Q741" s="297"/>
      <c r="R741" s="297"/>
      <c r="S741" s="302"/>
      <c r="T741" s="302"/>
      <c r="U741" s="303"/>
    </row>
    <row r="742" spans="1:25" ht="38.25" x14ac:dyDescent="0.2">
      <c r="A742" s="212" t="str">
        <f>HYPERLINK(V742,B742)</f>
        <v>Integer</v>
      </c>
      <c r="B742" s="283" t="s">
        <v>7227</v>
      </c>
      <c r="C742" s="284" t="s">
        <v>7227</v>
      </c>
      <c r="D742" s="285"/>
      <c r="E742" s="286"/>
      <c r="F742" s="287" t="s">
        <v>15321</v>
      </c>
      <c r="G742" s="287" t="s">
        <v>15322</v>
      </c>
      <c r="H742" s="287" t="s">
        <v>15324</v>
      </c>
      <c r="I742" s="288"/>
      <c r="J742" s="289"/>
      <c r="K742" s="290"/>
      <c r="L742" s="287" t="s">
        <v>15323</v>
      </c>
      <c r="M742" s="287" t="s">
        <v>6582</v>
      </c>
      <c r="N742" s="286"/>
      <c r="O742" s="286"/>
      <c r="P742" s="292"/>
      <c r="Q742" s="286"/>
      <c r="R742" s="286"/>
      <c r="S742" s="293"/>
      <c r="T742" s="294"/>
      <c r="U742" s="37">
        <v>1011</v>
      </c>
      <c r="V742" s="36" t="str">
        <f>CONCATENATE(Cover!$D$6,"fdd/view?i=",U742)</f>
        <v>https://www.dgiwg.org/FAD/fdd/view?i=1011</v>
      </c>
      <c r="W742" s="172"/>
      <c r="X742" s="172"/>
      <c r="Y742" s="172"/>
    </row>
    <row r="743" spans="1:25" ht="2.1" customHeight="1" x14ac:dyDescent="0.2">
      <c r="A743" s="295"/>
      <c r="B743" s="283"/>
      <c r="C743" s="296"/>
      <c r="D743" s="283"/>
      <c r="E743" s="296"/>
      <c r="F743" s="297"/>
      <c r="G743" s="297"/>
      <c r="H743" s="297"/>
      <c r="I743" s="298"/>
      <c r="J743" s="304"/>
      <c r="K743" s="300"/>
      <c r="L743" s="301"/>
      <c r="M743" s="297" t="s">
        <v>6582</v>
      </c>
      <c r="N743" s="297"/>
      <c r="O743" s="297"/>
      <c r="P743" s="297"/>
      <c r="Q743" s="297"/>
      <c r="R743" s="297"/>
      <c r="S743" s="302"/>
      <c r="T743" s="302"/>
      <c r="U743" s="303"/>
    </row>
    <row r="744" spans="1:25" ht="38.25" x14ac:dyDescent="0.2">
      <c r="A744" s="212" t="str">
        <f>HYPERLINK(V744,B744)</f>
        <v>Integer0to100</v>
      </c>
      <c r="B744" s="283" t="s">
        <v>7778</v>
      </c>
      <c r="C744" s="284" t="s">
        <v>15325</v>
      </c>
      <c r="D744" s="285"/>
      <c r="E744" s="286"/>
      <c r="F744" s="287" t="s">
        <v>15326</v>
      </c>
      <c r="G744" s="286"/>
      <c r="H744" s="287" t="s">
        <v>15324</v>
      </c>
      <c r="I744" s="288"/>
      <c r="J744" s="289"/>
      <c r="K744" s="290"/>
      <c r="L744" s="287" t="s">
        <v>15323</v>
      </c>
      <c r="M744" s="287" t="s">
        <v>6582</v>
      </c>
      <c r="N744" s="286"/>
      <c r="O744" s="286"/>
      <c r="P744" s="292"/>
      <c r="Q744" s="286"/>
      <c r="R744" s="286"/>
      <c r="S744" s="306" t="s">
        <v>15327</v>
      </c>
      <c r="T744" s="307" t="s">
        <v>15328</v>
      </c>
      <c r="U744" s="37">
        <v>3601</v>
      </c>
      <c r="V744" s="36" t="str">
        <f>CONCATENATE(Cover!$D$6,"fdd/view?i=",U744)</f>
        <v>https://www.dgiwg.org/FAD/fdd/view?i=3601</v>
      </c>
      <c r="W744" s="172"/>
      <c r="X744" s="172"/>
      <c r="Y744" s="172"/>
    </row>
    <row r="745" spans="1:25" ht="2.1" customHeight="1" x14ac:dyDescent="0.2">
      <c r="A745" s="295"/>
      <c r="B745" s="283"/>
      <c r="C745" s="296"/>
      <c r="D745" s="283"/>
      <c r="E745" s="296"/>
      <c r="F745" s="297"/>
      <c r="G745" s="297"/>
      <c r="H745" s="297"/>
      <c r="I745" s="298"/>
      <c r="J745" s="304"/>
      <c r="K745" s="300"/>
      <c r="L745" s="301"/>
      <c r="M745" s="297" t="s">
        <v>6582</v>
      </c>
      <c r="N745" s="297"/>
      <c r="O745" s="297"/>
      <c r="P745" s="297"/>
      <c r="Q745" s="297"/>
      <c r="R745" s="297"/>
      <c r="S745" s="302"/>
      <c r="T745" s="302"/>
      <c r="U745" s="303"/>
    </row>
    <row r="746" spans="1:25" ht="38.25" x14ac:dyDescent="0.2">
      <c r="A746" s="212" t="str">
        <f>HYPERLINK(V746,B746)</f>
        <v>Integer0to120</v>
      </c>
      <c r="B746" s="283" t="s">
        <v>10043</v>
      </c>
      <c r="C746" s="284" t="s">
        <v>15329</v>
      </c>
      <c r="D746" s="285"/>
      <c r="E746" s="286"/>
      <c r="F746" s="287" t="s">
        <v>15330</v>
      </c>
      <c r="G746" s="286"/>
      <c r="H746" s="287" t="s">
        <v>15324</v>
      </c>
      <c r="I746" s="288"/>
      <c r="J746" s="289"/>
      <c r="K746" s="290"/>
      <c r="L746" s="287" t="s">
        <v>15323</v>
      </c>
      <c r="M746" s="287" t="s">
        <v>6582</v>
      </c>
      <c r="N746" s="286"/>
      <c r="O746" s="286"/>
      <c r="P746" s="292"/>
      <c r="Q746" s="286"/>
      <c r="R746" s="286"/>
      <c r="S746" s="306" t="s">
        <v>15327</v>
      </c>
      <c r="T746" s="307" t="s">
        <v>15331</v>
      </c>
      <c r="U746" s="37">
        <v>117433</v>
      </c>
      <c r="V746" s="36" t="str">
        <f>CONCATENATE(Cover!$D$6,"fdd/view?i=",U746)</f>
        <v>https://www.dgiwg.org/FAD/fdd/view?i=117433</v>
      </c>
      <c r="W746" s="172"/>
      <c r="X746" s="172"/>
      <c r="Y746" s="172"/>
    </row>
    <row r="747" spans="1:25" ht="2.1" customHeight="1" x14ac:dyDescent="0.2">
      <c r="A747" s="295"/>
      <c r="B747" s="283"/>
      <c r="C747" s="296"/>
      <c r="D747" s="283"/>
      <c r="E747" s="296"/>
      <c r="F747" s="297"/>
      <c r="G747" s="297"/>
      <c r="H747" s="297"/>
      <c r="I747" s="298"/>
      <c r="J747" s="304"/>
      <c r="K747" s="300"/>
      <c r="L747" s="301"/>
      <c r="M747" s="297" t="s">
        <v>6582</v>
      </c>
      <c r="N747" s="297"/>
      <c r="O747" s="297"/>
      <c r="P747" s="297"/>
      <c r="Q747" s="297"/>
      <c r="R747" s="297"/>
      <c r="S747" s="302"/>
      <c r="T747" s="302"/>
      <c r="U747" s="303"/>
    </row>
    <row r="748" spans="1:25" ht="38.25" x14ac:dyDescent="0.2">
      <c r="A748" s="212" t="str">
        <f>HYPERLINK(V748,B748)</f>
        <v>Integer0to359</v>
      </c>
      <c r="B748" s="283" t="s">
        <v>8118</v>
      </c>
      <c r="C748" s="284" t="s">
        <v>15332</v>
      </c>
      <c r="D748" s="285"/>
      <c r="E748" s="286"/>
      <c r="F748" s="287" t="s">
        <v>15333</v>
      </c>
      <c r="G748" s="286"/>
      <c r="H748" s="287" t="s">
        <v>15324</v>
      </c>
      <c r="I748" s="288"/>
      <c r="J748" s="289"/>
      <c r="K748" s="290"/>
      <c r="L748" s="287" t="s">
        <v>15323</v>
      </c>
      <c r="M748" s="287" t="s">
        <v>6582</v>
      </c>
      <c r="N748" s="286"/>
      <c r="O748" s="286"/>
      <c r="P748" s="292"/>
      <c r="Q748" s="286"/>
      <c r="R748" s="286"/>
      <c r="S748" s="306" t="s">
        <v>15327</v>
      </c>
      <c r="T748" s="307" t="s">
        <v>15334</v>
      </c>
      <c r="U748" s="37">
        <v>3602</v>
      </c>
      <c r="V748" s="36" t="str">
        <f>CONCATENATE(Cover!$D$6,"fdd/view?i=",U748)</f>
        <v>https://www.dgiwg.org/FAD/fdd/view?i=3602</v>
      </c>
      <c r="W748" s="172"/>
      <c r="X748" s="172"/>
      <c r="Y748" s="172"/>
    </row>
    <row r="749" spans="1:25" ht="2.1" customHeight="1" x14ac:dyDescent="0.2">
      <c r="A749" s="295"/>
      <c r="B749" s="283"/>
      <c r="C749" s="296"/>
      <c r="D749" s="283"/>
      <c r="E749" s="296"/>
      <c r="F749" s="297"/>
      <c r="G749" s="297"/>
      <c r="H749" s="297"/>
      <c r="I749" s="298"/>
      <c r="J749" s="304"/>
      <c r="K749" s="300"/>
      <c r="L749" s="301"/>
      <c r="M749" s="297" t="s">
        <v>6582</v>
      </c>
      <c r="N749" s="297"/>
      <c r="O749" s="297"/>
      <c r="P749" s="297"/>
      <c r="Q749" s="297"/>
      <c r="R749" s="297"/>
      <c r="S749" s="302"/>
      <c r="T749" s="302"/>
      <c r="U749" s="303"/>
    </row>
    <row r="750" spans="1:25" ht="25.5" x14ac:dyDescent="0.2">
      <c r="A750" s="212" t="str">
        <f>HYPERLINK(V750,B750)</f>
        <v>IruCode</v>
      </c>
      <c r="B750" s="283" t="s">
        <v>9684</v>
      </c>
      <c r="C750" s="284" t="s">
        <v>15335</v>
      </c>
      <c r="D750" s="285"/>
      <c r="E750" s="286"/>
      <c r="F750" s="287" t="s">
        <v>15336</v>
      </c>
      <c r="G750" s="286"/>
      <c r="H750" s="286"/>
      <c r="I750" s="288"/>
      <c r="J750" s="289"/>
      <c r="K750" s="290"/>
      <c r="L750" s="371" t="str">
        <f>HYPERLINK("[#]DatatypeListedValues!B4924:H4924","«enumeration»")</f>
        <v>«enumeration»</v>
      </c>
      <c r="M750" s="287" t="s">
        <v>6582</v>
      </c>
      <c r="N750" s="291" t="b">
        <v>0</v>
      </c>
      <c r="O750" s="286"/>
      <c r="P750" s="292"/>
      <c r="Q750" s="286"/>
      <c r="R750" s="286"/>
      <c r="S750" s="293"/>
      <c r="T750" s="294"/>
      <c r="U750" s="37">
        <v>119523</v>
      </c>
      <c r="V750" s="36" t="str">
        <f>CONCATENATE(Cover!$D$6,"fdd/view?i=",U750)</f>
        <v>https://www.dgiwg.org/FAD/fdd/view?i=119523</v>
      </c>
      <c r="W750" s="172"/>
      <c r="X750" s="172"/>
      <c r="Y750" s="172"/>
    </row>
    <row r="751" spans="1:25" ht="2.1" customHeight="1" x14ac:dyDescent="0.2">
      <c r="A751" s="295"/>
      <c r="B751" s="283"/>
      <c r="C751" s="296"/>
      <c r="D751" s="283"/>
      <c r="E751" s="296"/>
      <c r="F751" s="297"/>
      <c r="G751" s="297"/>
      <c r="H751" s="297"/>
      <c r="I751" s="298"/>
      <c r="J751" s="304"/>
      <c r="K751" s="300"/>
      <c r="L751" s="301"/>
      <c r="M751" s="297" t="s">
        <v>6582</v>
      </c>
      <c r="N751" s="297"/>
      <c r="O751" s="297"/>
      <c r="P751" s="297"/>
      <c r="Q751" s="297"/>
      <c r="R751" s="297"/>
      <c r="S751" s="302"/>
      <c r="T751" s="302"/>
      <c r="U751" s="303"/>
    </row>
    <row r="752" spans="1:25" ht="25.5" x14ac:dyDescent="0.2">
      <c r="A752" s="212" t="str">
        <f>HYPERLINK(V752,B752)</f>
        <v>IztCode</v>
      </c>
      <c r="B752" s="283" t="s">
        <v>9701</v>
      </c>
      <c r="C752" s="284" t="s">
        <v>15337</v>
      </c>
      <c r="D752" s="285"/>
      <c r="E752" s="286"/>
      <c r="F752" s="287" t="s">
        <v>15338</v>
      </c>
      <c r="G752" s="286"/>
      <c r="H752" s="286"/>
      <c r="I752" s="288"/>
      <c r="J752" s="289"/>
      <c r="K752" s="290"/>
      <c r="L752" s="371" t="str">
        <f>HYPERLINK("[#]DatatypeListedValues!B4933:H4933","«enumeration»")</f>
        <v>«enumeration»</v>
      </c>
      <c r="M752" s="287" t="s">
        <v>6582</v>
      </c>
      <c r="N752" s="291" t="b">
        <v>0</v>
      </c>
      <c r="O752" s="286"/>
      <c r="P752" s="292"/>
      <c r="Q752" s="286"/>
      <c r="R752" s="286"/>
      <c r="S752" s="293"/>
      <c r="T752" s="294"/>
      <c r="U752" s="37">
        <v>118929</v>
      </c>
      <c r="V752" s="36" t="str">
        <f>CONCATENATE(Cover!$D$6,"fdd/view?i=",U752)</f>
        <v>https://www.dgiwg.org/FAD/fdd/view?i=118929</v>
      </c>
      <c r="W752" s="172"/>
      <c r="X752" s="172"/>
      <c r="Y752" s="172"/>
    </row>
    <row r="753" spans="1:25" ht="2.1" customHeight="1" x14ac:dyDescent="0.2">
      <c r="A753" s="295"/>
      <c r="B753" s="283"/>
      <c r="C753" s="296"/>
      <c r="D753" s="283"/>
      <c r="E753" s="296"/>
      <c r="F753" s="297"/>
      <c r="G753" s="297"/>
      <c r="H753" s="297"/>
      <c r="I753" s="298"/>
      <c r="J753" s="304"/>
      <c r="K753" s="300"/>
      <c r="L753" s="301"/>
      <c r="M753" s="297" t="s">
        <v>6582</v>
      </c>
      <c r="N753" s="297"/>
      <c r="O753" s="297"/>
      <c r="P753" s="297"/>
      <c r="Q753" s="297"/>
      <c r="R753" s="297"/>
      <c r="S753" s="302"/>
      <c r="T753" s="302"/>
      <c r="U753" s="303"/>
    </row>
    <row r="754" spans="1:25" ht="38.25" x14ac:dyDescent="0.2">
      <c r="A754" s="212" t="str">
        <f>HYPERLINK(V754,B754)</f>
        <v>IgbStrucText</v>
      </c>
      <c r="B754" s="283" t="s">
        <v>9706</v>
      </c>
      <c r="C754" s="284" t="s">
        <v>15339</v>
      </c>
      <c r="D754" s="285"/>
      <c r="E754" s="286"/>
      <c r="F754" s="287" t="s">
        <v>15340</v>
      </c>
      <c r="G754" s="286"/>
      <c r="H754" s="287" t="s">
        <v>14552</v>
      </c>
      <c r="I754" s="288"/>
      <c r="J754" s="289"/>
      <c r="K754" s="290"/>
      <c r="L754" s="287" t="s">
        <v>14551</v>
      </c>
      <c r="M754" s="287" t="s">
        <v>6582</v>
      </c>
      <c r="N754" s="286"/>
      <c r="O754" s="287">
        <v>6</v>
      </c>
      <c r="P754" s="305" t="b">
        <v>0</v>
      </c>
      <c r="Q754" s="287" t="s">
        <v>15341</v>
      </c>
      <c r="R754" s="286"/>
      <c r="S754" s="293"/>
      <c r="T754" s="294"/>
      <c r="U754" s="37">
        <v>119730</v>
      </c>
      <c r="V754" s="36" t="str">
        <f>CONCATENATE(Cover!$D$6,"fdd/view?i=",U754)</f>
        <v>https://www.dgiwg.org/FAD/fdd/view?i=119730</v>
      </c>
      <c r="W754" s="172"/>
      <c r="X754" s="172"/>
      <c r="Y754" s="172"/>
    </row>
    <row r="755" spans="1:25" ht="2.1" customHeight="1" x14ac:dyDescent="0.2">
      <c r="A755" s="295"/>
      <c r="B755" s="283"/>
      <c r="C755" s="296"/>
      <c r="D755" s="283"/>
      <c r="E755" s="296"/>
      <c r="F755" s="297"/>
      <c r="G755" s="297"/>
      <c r="H755" s="297"/>
      <c r="I755" s="298"/>
      <c r="J755" s="304"/>
      <c r="K755" s="300"/>
      <c r="L755" s="301"/>
      <c r="M755" s="297" t="s">
        <v>6582</v>
      </c>
      <c r="N755" s="297"/>
      <c r="O755" s="297"/>
      <c r="P755" s="297"/>
      <c r="Q755" s="297"/>
      <c r="R755" s="297"/>
      <c r="S755" s="302"/>
      <c r="T755" s="302"/>
      <c r="U755" s="303"/>
    </row>
    <row r="756" spans="1:25" ht="38.25" x14ac:dyDescent="0.2">
      <c r="A756" s="212" t="str">
        <f>HYPERLINK(V756,B756)</f>
        <v>DamCode</v>
      </c>
      <c r="B756" s="283" t="s">
        <v>9711</v>
      </c>
      <c r="C756" s="284" t="s">
        <v>15342</v>
      </c>
      <c r="D756" s="285"/>
      <c r="E756" s="286"/>
      <c r="F756" s="287" t="s">
        <v>15343</v>
      </c>
      <c r="G756" s="286"/>
      <c r="H756" s="286"/>
      <c r="I756" s="288"/>
      <c r="J756" s="289"/>
      <c r="K756" s="290"/>
      <c r="L756" s="371" t="str">
        <f>HYPERLINK("[#]DatatypeListedValues!B4936:H4936","«enumeration»")</f>
        <v>«enumeration»</v>
      </c>
      <c r="M756" s="287" t="s">
        <v>6582</v>
      </c>
      <c r="N756" s="291" t="b">
        <v>0</v>
      </c>
      <c r="O756" s="286"/>
      <c r="P756" s="292"/>
      <c r="Q756" s="286"/>
      <c r="R756" s="286"/>
      <c r="S756" s="293"/>
      <c r="T756" s="294"/>
      <c r="U756" s="37">
        <v>1806</v>
      </c>
      <c r="V756" s="36" t="str">
        <f>CONCATENATE(Cover!$D$6,"fdd/view?i=",U756)</f>
        <v>https://www.dgiwg.org/FAD/fdd/view?i=1806</v>
      </c>
      <c r="W756" s="172"/>
      <c r="X756" s="172"/>
      <c r="Y756" s="172"/>
    </row>
    <row r="757" spans="1:25" ht="2.1" customHeight="1" x14ac:dyDescent="0.2">
      <c r="A757" s="295"/>
      <c r="B757" s="283"/>
      <c r="C757" s="296"/>
      <c r="D757" s="283"/>
      <c r="E757" s="296"/>
      <c r="F757" s="297"/>
      <c r="G757" s="297"/>
      <c r="H757" s="297"/>
      <c r="I757" s="298"/>
      <c r="J757" s="304"/>
      <c r="K757" s="300"/>
      <c r="L757" s="301"/>
      <c r="M757" s="297" t="s">
        <v>6582</v>
      </c>
      <c r="N757" s="297"/>
      <c r="O757" s="297"/>
      <c r="P757" s="297"/>
      <c r="Q757" s="297"/>
      <c r="R757" s="297"/>
      <c r="S757" s="302"/>
      <c r="T757" s="302"/>
      <c r="U757" s="303"/>
    </row>
    <row r="758" spans="1:25" ht="25.5" x14ac:dyDescent="0.2">
      <c r="A758" s="212" t="str">
        <f>HYPERLINK(V758,B758)</f>
        <v>CscCode</v>
      </c>
      <c r="B758" s="283" t="s">
        <v>9716</v>
      </c>
      <c r="C758" s="284" t="s">
        <v>15344</v>
      </c>
      <c r="D758" s="285"/>
      <c r="E758" s="286"/>
      <c r="F758" s="287" t="s">
        <v>15345</v>
      </c>
      <c r="G758" s="286"/>
      <c r="H758" s="286"/>
      <c r="I758" s="288"/>
      <c r="J758" s="289"/>
      <c r="K758" s="290"/>
      <c r="L758" s="371" t="str">
        <f>HYPERLINK("[#]DatatypeListedValues!B4955:H4955","«enumeration»")</f>
        <v>«enumeration»</v>
      </c>
      <c r="M758" s="287" t="s">
        <v>6582</v>
      </c>
      <c r="N758" s="291" t="b">
        <v>0</v>
      </c>
      <c r="O758" s="286"/>
      <c r="P758" s="292"/>
      <c r="Q758" s="286"/>
      <c r="R758" s="286"/>
      <c r="S758" s="293"/>
      <c r="T758" s="294"/>
      <c r="U758" s="37">
        <v>1182</v>
      </c>
      <c r="V758" s="36" t="str">
        <f>CONCATENATE(Cover!$D$6,"fdd/view?i=",U758)</f>
        <v>https://www.dgiwg.org/FAD/fdd/view?i=1182</v>
      </c>
      <c r="W758" s="172"/>
      <c r="X758" s="172"/>
      <c r="Y758" s="172"/>
    </row>
    <row r="759" spans="1:25" ht="2.1" customHeight="1" x14ac:dyDescent="0.2">
      <c r="A759" s="295"/>
      <c r="B759" s="283"/>
      <c r="C759" s="296"/>
      <c r="D759" s="283"/>
      <c r="E759" s="296"/>
      <c r="F759" s="297"/>
      <c r="G759" s="297"/>
      <c r="H759" s="297"/>
      <c r="I759" s="298"/>
      <c r="J759" s="304"/>
      <c r="K759" s="300"/>
      <c r="L759" s="301"/>
      <c r="M759" s="297" t="s">
        <v>6582</v>
      </c>
      <c r="N759" s="297"/>
      <c r="O759" s="297"/>
      <c r="P759" s="297"/>
      <c r="Q759" s="297"/>
      <c r="R759" s="297"/>
      <c r="S759" s="302"/>
      <c r="T759" s="302"/>
      <c r="U759" s="303"/>
    </row>
    <row r="760" spans="1:25" ht="165.75" x14ac:dyDescent="0.2">
      <c r="A760" s="212" t="str">
        <f>HYPERLINK(V760,B760)</f>
        <v>IncCode</v>
      </c>
      <c r="B760" s="283" t="s">
        <v>15346</v>
      </c>
      <c r="C760" s="284" t="s">
        <v>15347</v>
      </c>
      <c r="D760" s="285"/>
      <c r="E760" s="286"/>
      <c r="F760" s="287" t="s">
        <v>15348</v>
      </c>
      <c r="G760" s="287" t="s">
        <v>15349</v>
      </c>
      <c r="H760" s="286"/>
      <c r="I760" s="288"/>
      <c r="J760" s="289"/>
      <c r="K760" s="290"/>
      <c r="L760" s="371" t="str">
        <f>HYPERLINK("[#]DatatypeListedValues!B4961:H4961","«enumeration»")</f>
        <v>«enumeration»</v>
      </c>
      <c r="M760" s="287" t="s">
        <v>6582</v>
      </c>
      <c r="N760" s="287" t="b">
        <v>1</v>
      </c>
      <c r="O760" s="286"/>
      <c r="P760" s="292"/>
      <c r="Q760" s="286"/>
      <c r="R760" s="286"/>
      <c r="S760" s="293"/>
      <c r="T760" s="294"/>
      <c r="U760" s="37">
        <v>1706</v>
      </c>
      <c r="V760" s="36" t="str">
        <f>CONCATENATE(Cover!$D$6,"fdd/view?i=",U760)</f>
        <v>https://www.dgiwg.org/FAD/fdd/view?i=1706</v>
      </c>
      <c r="W760" s="172"/>
      <c r="X760" s="172"/>
      <c r="Y760" s="172"/>
    </row>
    <row r="761" spans="1:25" ht="2.1" customHeight="1" x14ac:dyDescent="0.2">
      <c r="A761" s="295"/>
      <c r="B761" s="283"/>
      <c r="C761" s="296"/>
      <c r="D761" s="283"/>
      <c r="E761" s="296"/>
      <c r="F761" s="297"/>
      <c r="G761" s="297"/>
      <c r="H761" s="297"/>
      <c r="I761" s="298"/>
      <c r="J761" s="304"/>
      <c r="K761" s="300"/>
      <c r="L761" s="301"/>
      <c r="M761" s="297" t="s">
        <v>6582</v>
      </c>
      <c r="N761" s="297"/>
      <c r="O761" s="297"/>
      <c r="P761" s="297"/>
      <c r="Q761" s="297"/>
      <c r="R761" s="297"/>
      <c r="S761" s="302"/>
      <c r="T761" s="302"/>
      <c r="U761" s="303"/>
    </row>
    <row r="762" spans="1:25" ht="89.25" x14ac:dyDescent="0.2">
      <c r="A762" s="212" t="str">
        <f>HYPERLINK(V762,B762)</f>
        <v>IndStrucText</v>
      </c>
      <c r="B762" s="283" t="s">
        <v>9721</v>
      </c>
      <c r="C762" s="284" t="s">
        <v>15350</v>
      </c>
      <c r="D762" s="285"/>
      <c r="E762" s="286"/>
      <c r="F762" s="287" t="s">
        <v>15351</v>
      </c>
      <c r="G762" s="286"/>
      <c r="H762" s="287" t="s">
        <v>14552</v>
      </c>
      <c r="I762" s="288"/>
      <c r="J762" s="289"/>
      <c r="K762" s="290"/>
      <c r="L762" s="287" t="s">
        <v>14551</v>
      </c>
      <c r="M762" s="287" t="s">
        <v>6582</v>
      </c>
      <c r="N762" s="286"/>
      <c r="O762" s="287">
        <v>8</v>
      </c>
      <c r="P762" s="305" t="b">
        <v>0</v>
      </c>
      <c r="Q762" s="287" t="s">
        <v>14908</v>
      </c>
      <c r="R762" s="286"/>
      <c r="S762" s="293"/>
      <c r="T762" s="294"/>
      <c r="U762" s="37">
        <v>118131</v>
      </c>
      <c r="V762" s="36" t="str">
        <f>CONCATENATE(Cover!$D$6,"fdd/view?i=",U762)</f>
        <v>https://www.dgiwg.org/FAD/fdd/view?i=118131</v>
      </c>
      <c r="W762" s="172"/>
      <c r="X762" s="172"/>
      <c r="Y762" s="172"/>
    </row>
    <row r="763" spans="1:25" ht="2.1" customHeight="1" x14ac:dyDescent="0.2">
      <c r="A763" s="295"/>
      <c r="B763" s="283"/>
      <c r="C763" s="296"/>
      <c r="D763" s="283"/>
      <c r="E763" s="296"/>
      <c r="F763" s="297"/>
      <c r="G763" s="297"/>
      <c r="H763" s="297"/>
      <c r="I763" s="298"/>
      <c r="J763" s="304"/>
      <c r="K763" s="300"/>
      <c r="L763" s="301"/>
      <c r="M763" s="297" t="s">
        <v>6582</v>
      </c>
      <c r="N763" s="297"/>
      <c r="O763" s="297"/>
      <c r="P763" s="297"/>
      <c r="Q763" s="297"/>
      <c r="R763" s="297"/>
      <c r="S763" s="302"/>
      <c r="T763" s="302"/>
      <c r="U763" s="303"/>
    </row>
    <row r="764" spans="1:25" ht="25.5" x14ac:dyDescent="0.2">
      <c r="A764" s="212" t="str">
        <f>HYPERLINK(V764,B764)</f>
        <v>InuCode</v>
      </c>
      <c r="B764" s="283" t="s">
        <v>9726</v>
      </c>
      <c r="C764" s="284" t="s">
        <v>15352</v>
      </c>
      <c r="D764" s="285"/>
      <c r="E764" s="286"/>
      <c r="F764" s="287" t="s">
        <v>15353</v>
      </c>
      <c r="G764" s="286"/>
      <c r="H764" s="286"/>
      <c r="I764" s="288"/>
      <c r="J764" s="289"/>
      <c r="K764" s="290"/>
      <c r="L764" s="371" t="str">
        <f>HYPERLINK("[#]DatatypeListedValues!B4970:H4970","«enumeration»")</f>
        <v>«enumeration»</v>
      </c>
      <c r="M764" s="287" t="s">
        <v>6582</v>
      </c>
      <c r="N764" s="291" t="b">
        <v>0</v>
      </c>
      <c r="O764" s="286"/>
      <c r="P764" s="292"/>
      <c r="Q764" s="286"/>
      <c r="R764" s="286"/>
      <c r="S764" s="293"/>
      <c r="T764" s="294"/>
      <c r="U764" s="37">
        <v>114377</v>
      </c>
      <c r="V764" s="36" t="str">
        <f>CONCATENATE(Cover!$D$6,"fdd/view?i=",U764)</f>
        <v>https://www.dgiwg.org/FAD/fdd/view?i=114377</v>
      </c>
      <c r="W764" s="172"/>
      <c r="X764" s="172"/>
      <c r="Y764" s="172"/>
    </row>
    <row r="765" spans="1:25" ht="2.1" customHeight="1" x14ac:dyDescent="0.2">
      <c r="A765" s="295"/>
      <c r="B765" s="283"/>
      <c r="C765" s="296"/>
      <c r="D765" s="283"/>
      <c r="E765" s="296"/>
      <c r="F765" s="297"/>
      <c r="G765" s="297"/>
      <c r="H765" s="297"/>
      <c r="I765" s="298"/>
      <c r="J765" s="304"/>
      <c r="K765" s="300"/>
      <c r="L765" s="301"/>
      <c r="M765" s="297" t="s">
        <v>6582</v>
      </c>
      <c r="N765" s="297"/>
      <c r="O765" s="297"/>
      <c r="P765" s="297"/>
      <c r="Q765" s="297"/>
      <c r="R765" s="297"/>
      <c r="S765" s="302"/>
      <c r="T765" s="302"/>
      <c r="U765" s="303"/>
    </row>
    <row r="766" spans="1:25" ht="25.5" x14ac:dyDescent="0.2">
      <c r="A766" s="212" t="str">
        <f>HYPERLINK(V766,B766)</f>
        <v>IrgCode</v>
      </c>
      <c r="B766" s="283" t="s">
        <v>9735</v>
      </c>
      <c r="C766" s="284" t="s">
        <v>15354</v>
      </c>
      <c r="D766" s="285"/>
      <c r="E766" s="286"/>
      <c r="F766" s="287" t="s">
        <v>15355</v>
      </c>
      <c r="G766" s="286"/>
      <c r="H766" s="286"/>
      <c r="I766" s="288"/>
      <c r="J766" s="289"/>
      <c r="K766" s="290"/>
      <c r="L766" s="371" t="str">
        <f>HYPERLINK("[#]DatatypeListedValues!B4972:H4972","«enumeration»")</f>
        <v>«enumeration»</v>
      </c>
      <c r="M766" s="287" t="s">
        <v>6582</v>
      </c>
      <c r="N766" s="291" t="b">
        <v>0</v>
      </c>
      <c r="O766" s="286"/>
      <c r="P766" s="292"/>
      <c r="Q766" s="286"/>
      <c r="R766" s="286"/>
      <c r="S766" s="293"/>
      <c r="T766" s="294"/>
      <c r="U766" s="37">
        <v>1273</v>
      </c>
      <c r="V766" s="36" t="str">
        <f>CONCATENATE(Cover!$D$6,"fdd/view?i=",U766)</f>
        <v>https://www.dgiwg.org/FAD/fdd/view?i=1273</v>
      </c>
      <c r="W766" s="172"/>
      <c r="X766" s="172"/>
      <c r="Y766" s="172"/>
    </row>
    <row r="767" spans="1:25" ht="2.1" customHeight="1" x14ac:dyDescent="0.2">
      <c r="A767" s="295"/>
      <c r="B767" s="283"/>
      <c r="C767" s="296"/>
      <c r="D767" s="283"/>
      <c r="E767" s="296"/>
      <c r="F767" s="297"/>
      <c r="G767" s="297"/>
      <c r="H767" s="297"/>
      <c r="I767" s="298"/>
      <c r="J767" s="304"/>
      <c r="K767" s="300"/>
      <c r="L767" s="301"/>
      <c r="M767" s="297" t="s">
        <v>6582</v>
      </c>
      <c r="N767" s="297"/>
      <c r="O767" s="297"/>
      <c r="P767" s="297"/>
      <c r="Q767" s="297"/>
      <c r="R767" s="297"/>
      <c r="S767" s="302"/>
      <c r="T767" s="302"/>
      <c r="U767" s="303"/>
    </row>
    <row r="768" spans="1:25" ht="63.75" x14ac:dyDescent="0.2">
      <c r="A768" s="212" t="str">
        <f>HYPERLINK(V768,B768)</f>
        <v>Is1StrucText</v>
      </c>
      <c r="B768" s="283" t="s">
        <v>9745</v>
      </c>
      <c r="C768" s="284" t="s">
        <v>9742</v>
      </c>
      <c r="D768" s="285"/>
      <c r="E768" s="286"/>
      <c r="F768" s="287" t="s">
        <v>15356</v>
      </c>
      <c r="G768" s="286"/>
      <c r="H768" s="287" t="s">
        <v>14552</v>
      </c>
      <c r="I768" s="288"/>
      <c r="J768" s="289"/>
      <c r="K768" s="290"/>
      <c r="L768" s="287" t="s">
        <v>14551</v>
      </c>
      <c r="M768" s="287" t="s">
        <v>6582</v>
      </c>
      <c r="N768" s="286"/>
      <c r="O768" s="287">
        <v>4</v>
      </c>
      <c r="P768" s="305" t="b">
        <v>0</v>
      </c>
      <c r="Q768" s="287" t="s">
        <v>15357</v>
      </c>
      <c r="R768" s="286"/>
      <c r="S768" s="293"/>
      <c r="T768" s="294"/>
      <c r="U768" s="37">
        <v>1859</v>
      </c>
      <c r="V768" s="36" t="str">
        <f>CONCATENATE(Cover!$D$6,"fdd/view?i=",U768)</f>
        <v>https://www.dgiwg.org/FAD/fdd/view?i=1859</v>
      </c>
      <c r="W768" s="172"/>
      <c r="X768" s="172"/>
      <c r="Y768" s="172"/>
    </row>
    <row r="769" spans="1:25" ht="2.1" customHeight="1" x14ac:dyDescent="0.2">
      <c r="A769" s="295"/>
      <c r="B769" s="283"/>
      <c r="C769" s="296"/>
      <c r="D769" s="283"/>
      <c r="E769" s="296"/>
      <c r="F769" s="297"/>
      <c r="G769" s="297"/>
      <c r="H769" s="297"/>
      <c r="I769" s="298"/>
      <c r="J769" s="304"/>
      <c r="K769" s="300"/>
      <c r="L769" s="301"/>
      <c r="M769" s="297" t="s">
        <v>6582</v>
      </c>
      <c r="N769" s="297"/>
      <c r="O769" s="297"/>
      <c r="P769" s="297"/>
      <c r="Q769" s="297"/>
      <c r="R769" s="297"/>
      <c r="S769" s="302"/>
      <c r="T769" s="302"/>
      <c r="U769" s="303"/>
    </row>
    <row r="770" spans="1:25" ht="38.25" x14ac:dyDescent="0.2">
      <c r="A770" s="212" t="str">
        <f>HYPERLINK(V770,B770)</f>
        <v>Ic1StrucText</v>
      </c>
      <c r="B770" s="283" t="s">
        <v>9751</v>
      </c>
      <c r="C770" s="284" t="s">
        <v>15358</v>
      </c>
      <c r="D770" s="285"/>
      <c r="E770" s="286"/>
      <c r="F770" s="287" t="s">
        <v>15359</v>
      </c>
      <c r="G770" s="286"/>
      <c r="H770" s="287" t="s">
        <v>14552</v>
      </c>
      <c r="I770" s="288"/>
      <c r="J770" s="289"/>
      <c r="K770" s="290"/>
      <c r="L770" s="287" t="s">
        <v>14551</v>
      </c>
      <c r="M770" s="287" t="s">
        <v>6582</v>
      </c>
      <c r="N770" s="286"/>
      <c r="O770" s="287">
        <v>2</v>
      </c>
      <c r="P770" s="305" t="b">
        <v>0</v>
      </c>
      <c r="Q770" s="286"/>
      <c r="R770" s="286"/>
      <c r="S770" s="293"/>
      <c r="T770" s="294"/>
      <c r="U770" s="37">
        <v>1849</v>
      </c>
      <c r="V770" s="36" t="str">
        <f>CONCATENATE(Cover!$D$6,"fdd/view?i=",U770)</f>
        <v>https://www.dgiwg.org/FAD/fdd/view?i=1849</v>
      </c>
      <c r="W770" s="172"/>
      <c r="X770" s="172"/>
      <c r="Y770" s="172"/>
    </row>
    <row r="771" spans="1:25" ht="2.1" customHeight="1" x14ac:dyDescent="0.2">
      <c r="A771" s="295"/>
      <c r="B771" s="283"/>
      <c r="C771" s="296"/>
      <c r="D771" s="283"/>
      <c r="E771" s="296"/>
      <c r="F771" s="297"/>
      <c r="G771" s="297"/>
      <c r="H771" s="297"/>
      <c r="I771" s="298"/>
      <c r="J771" s="304"/>
      <c r="K771" s="300"/>
      <c r="L771" s="301"/>
      <c r="M771" s="297" t="s">
        <v>6582</v>
      </c>
      <c r="N771" s="297"/>
      <c r="O771" s="297"/>
      <c r="P771" s="297"/>
      <c r="Q771" s="297"/>
      <c r="R771" s="297"/>
      <c r="S771" s="302"/>
      <c r="T771" s="302"/>
      <c r="U771" s="303"/>
    </row>
    <row r="772" spans="1:25" ht="38.25" x14ac:dyDescent="0.2">
      <c r="A772" s="212" t="str">
        <f>HYPERLINK(V772,B772)</f>
        <v>Ic2StrucText</v>
      </c>
      <c r="B772" s="283" t="s">
        <v>9757</v>
      </c>
      <c r="C772" s="284" t="s">
        <v>15360</v>
      </c>
      <c r="D772" s="285"/>
      <c r="E772" s="286"/>
      <c r="F772" s="287" t="s">
        <v>15361</v>
      </c>
      <c r="G772" s="286"/>
      <c r="H772" s="287" t="s">
        <v>14552</v>
      </c>
      <c r="I772" s="288"/>
      <c r="J772" s="289"/>
      <c r="K772" s="290"/>
      <c r="L772" s="287" t="s">
        <v>14551</v>
      </c>
      <c r="M772" s="287" t="s">
        <v>6582</v>
      </c>
      <c r="N772" s="286"/>
      <c r="O772" s="287">
        <v>3</v>
      </c>
      <c r="P772" s="305" t="b">
        <v>0</v>
      </c>
      <c r="Q772" s="286"/>
      <c r="R772" s="286"/>
      <c r="S772" s="293"/>
      <c r="T772" s="294"/>
      <c r="U772" s="37">
        <v>1850</v>
      </c>
      <c r="V772" s="36" t="str">
        <f>CONCATENATE(Cover!$D$6,"fdd/view?i=",U772)</f>
        <v>https://www.dgiwg.org/FAD/fdd/view?i=1850</v>
      </c>
      <c r="W772" s="172"/>
      <c r="X772" s="172"/>
      <c r="Y772" s="172"/>
    </row>
    <row r="773" spans="1:25" ht="2.1" customHeight="1" x14ac:dyDescent="0.2">
      <c r="A773" s="295"/>
      <c r="B773" s="283"/>
      <c r="C773" s="296"/>
      <c r="D773" s="283"/>
      <c r="E773" s="296"/>
      <c r="F773" s="297"/>
      <c r="G773" s="297"/>
      <c r="H773" s="297"/>
      <c r="I773" s="298"/>
      <c r="J773" s="304"/>
      <c r="K773" s="300"/>
      <c r="L773" s="301"/>
      <c r="M773" s="297" t="s">
        <v>6582</v>
      </c>
      <c r="N773" s="297"/>
      <c r="O773" s="297"/>
      <c r="P773" s="297"/>
      <c r="Q773" s="297"/>
      <c r="R773" s="297"/>
      <c r="S773" s="302"/>
      <c r="T773" s="302"/>
      <c r="U773" s="303"/>
    </row>
    <row r="774" spans="1:25" ht="38.25" x14ac:dyDescent="0.2">
      <c r="A774" s="212" t="str">
        <f>HYPERLINK(V774,B774)</f>
        <v>Ic3StrucText</v>
      </c>
      <c r="B774" s="283" t="s">
        <v>9763</v>
      </c>
      <c r="C774" s="284" t="s">
        <v>15362</v>
      </c>
      <c r="D774" s="285"/>
      <c r="E774" s="286"/>
      <c r="F774" s="287" t="s">
        <v>15363</v>
      </c>
      <c r="G774" s="286"/>
      <c r="H774" s="287" t="s">
        <v>14552</v>
      </c>
      <c r="I774" s="288"/>
      <c r="J774" s="289"/>
      <c r="K774" s="290"/>
      <c r="L774" s="287" t="s">
        <v>14551</v>
      </c>
      <c r="M774" s="287" t="s">
        <v>6582</v>
      </c>
      <c r="N774" s="286"/>
      <c r="O774" s="287">
        <v>3</v>
      </c>
      <c r="P774" s="305" t="b">
        <v>0</v>
      </c>
      <c r="Q774" s="286"/>
      <c r="R774" s="286"/>
      <c r="S774" s="293"/>
      <c r="T774" s="294"/>
      <c r="U774" s="37">
        <v>1851</v>
      </c>
      <c r="V774" s="36" t="str">
        <f>CONCATENATE(Cover!$D$6,"fdd/view?i=",U774)</f>
        <v>https://www.dgiwg.org/FAD/fdd/view?i=1851</v>
      </c>
      <c r="W774" s="172"/>
      <c r="X774" s="172"/>
      <c r="Y774" s="172"/>
    </row>
    <row r="775" spans="1:25" ht="2.1" customHeight="1" x14ac:dyDescent="0.2">
      <c r="A775" s="295"/>
      <c r="B775" s="283"/>
      <c r="C775" s="296"/>
      <c r="D775" s="283"/>
      <c r="E775" s="296"/>
      <c r="F775" s="297"/>
      <c r="G775" s="297"/>
      <c r="H775" s="297"/>
      <c r="I775" s="298"/>
      <c r="J775" s="304"/>
      <c r="K775" s="300"/>
      <c r="L775" s="301"/>
      <c r="M775" s="297" t="s">
        <v>6582</v>
      </c>
      <c r="N775" s="297"/>
      <c r="O775" s="297"/>
      <c r="P775" s="297"/>
      <c r="Q775" s="297"/>
      <c r="R775" s="297"/>
      <c r="S775" s="302"/>
      <c r="T775" s="302"/>
      <c r="U775" s="303"/>
    </row>
    <row r="776" spans="1:25" ht="38.25" x14ac:dyDescent="0.2">
      <c r="A776" s="212" t="str">
        <f>HYPERLINK(V776,B776)</f>
        <v>Ic5StrucText</v>
      </c>
      <c r="B776" s="283" t="s">
        <v>9773</v>
      </c>
      <c r="C776" s="284" t="s">
        <v>15364</v>
      </c>
      <c r="D776" s="285"/>
      <c r="E776" s="286"/>
      <c r="F776" s="287" t="s">
        <v>15365</v>
      </c>
      <c r="G776" s="286"/>
      <c r="H776" s="287" t="s">
        <v>14552</v>
      </c>
      <c r="I776" s="288"/>
      <c r="J776" s="289"/>
      <c r="K776" s="290"/>
      <c r="L776" s="287" t="s">
        <v>14551</v>
      </c>
      <c r="M776" s="287" t="s">
        <v>6582</v>
      </c>
      <c r="N776" s="286"/>
      <c r="O776" s="287">
        <v>3</v>
      </c>
      <c r="P776" s="305" t="b">
        <v>0</v>
      </c>
      <c r="Q776" s="287" t="s">
        <v>15366</v>
      </c>
      <c r="R776" s="286"/>
      <c r="S776" s="293"/>
      <c r="T776" s="294"/>
      <c r="U776" s="37">
        <v>1852</v>
      </c>
      <c r="V776" s="36" t="str">
        <f>CONCATENATE(Cover!$D$6,"fdd/view?i=",U776)</f>
        <v>https://www.dgiwg.org/FAD/fdd/view?i=1852</v>
      </c>
      <c r="W776" s="172"/>
      <c r="X776" s="172"/>
      <c r="Y776" s="172"/>
    </row>
    <row r="777" spans="1:25" ht="2.1" customHeight="1" x14ac:dyDescent="0.2">
      <c r="A777" s="295"/>
      <c r="B777" s="283"/>
      <c r="C777" s="296"/>
      <c r="D777" s="283"/>
      <c r="E777" s="296"/>
      <c r="F777" s="297"/>
      <c r="G777" s="297"/>
      <c r="H777" s="297"/>
      <c r="I777" s="298"/>
      <c r="J777" s="304"/>
      <c r="K777" s="300"/>
      <c r="L777" s="301"/>
      <c r="M777" s="297" t="s">
        <v>6582</v>
      </c>
      <c r="N777" s="297"/>
      <c r="O777" s="297"/>
      <c r="P777" s="297"/>
      <c r="Q777" s="297"/>
      <c r="R777" s="297"/>
      <c r="S777" s="302"/>
      <c r="T777" s="302"/>
      <c r="U777" s="303"/>
    </row>
    <row r="778" spans="1:25" ht="51" x14ac:dyDescent="0.2">
      <c r="A778" s="212" t="str">
        <f>HYPERLINK(V778,B778)</f>
        <v>Ic7StrucText</v>
      </c>
      <c r="B778" s="283" t="s">
        <v>9783</v>
      </c>
      <c r="C778" s="284" t="s">
        <v>15367</v>
      </c>
      <c r="D778" s="285"/>
      <c r="E778" s="286"/>
      <c r="F778" s="287" t="s">
        <v>15368</v>
      </c>
      <c r="G778" s="286"/>
      <c r="H778" s="287" t="s">
        <v>14552</v>
      </c>
      <c r="I778" s="288"/>
      <c r="J778" s="289"/>
      <c r="K778" s="290"/>
      <c r="L778" s="287" t="s">
        <v>14551</v>
      </c>
      <c r="M778" s="287" t="s">
        <v>6582</v>
      </c>
      <c r="N778" s="286"/>
      <c r="O778" s="287">
        <v>4</v>
      </c>
      <c r="P778" s="305" t="b">
        <v>0</v>
      </c>
      <c r="Q778" s="287" t="s">
        <v>15369</v>
      </c>
      <c r="R778" s="286"/>
      <c r="S778" s="293"/>
      <c r="T778" s="294"/>
      <c r="U778" s="37">
        <v>1853</v>
      </c>
      <c r="V778" s="36" t="str">
        <f>CONCATENATE(Cover!$D$6,"fdd/view?i=",U778)</f>
        <v>https://www.dgiwg.org/FAD/fdd/view?i=1853</v>
      </c>
      <c r="W778" s="172"/>
      <c r="X778" s="172"/>
      <c r="Y778" s="172"/>
    </row>
    <row r="779" spans="1:25" ht="2.1" customHeight="1" x14ac:dyDescent="0.2">
      <c r="A779" s="295"/>
      <c r="B779" s="283"/>
      <c r="C779" s="296"/>
      <c r="D779" s="283"/>
      <c r="E779" s="296"/>
      <c r="F779" s="297"/>
      <c r="G779" s="297"/>
      <c r="H779" s="297"/>
      <c r="I779" s="298"/>
      <c r="J779" s="304"/>
      <c r="K779" s="300"/>
      <c r="L779" s="301"/>
      <c r="M779" s="297" t="s">
        <v>6582</v>
      </c>
      <c r="N779" s="297"/>
      <c r="O779" s="297"/>
      <c r="P779" s="297"/>
      <c r="Q779" s="297"/>
      <c r="R779" s="297"/>
      <c r="S779" s="302"/>
      <c r="T779" s="302"/>
      <c r="U779" s="303"/>
    </row>
    <row r="780" spans="1:25" ht="25.5" x14ac:dyDescent="0.2">
      <c r="A780" s="212" t="str">
        <f>HYPERLINK(V780,B780)</f>
        <v>JatCode</v>
      </c>
      <c r="B780" s="283" t="s">
        <v>9794</v>
      </c>
      <c r="C780" s="284" t="s">
        <v>15370</v>
      </c>
      <c r="D780" s="285"/>
      <c r="E780" s="286"/>
      <c r="F780" s="287" t="s">
        <v>15371</v>
      </c>
      <c r="G780" s="286"/>
      <c r="H780" s="286"/>
      <c r="I780" s="288"/>
      <c r="J780" s="289"/>
      <c r="K780" s="290"/>
      <c r="L780" s="371" t="str">
        <f>HYPERLINK("[#]DatatypeListedValues!B4980:H4980","«enumeration»")</f>
        <v>«enumeration»</v>
      </c>
      <c r="M780" s="287" t="s">
        <v>6582</v>
      </c>
      <c r="N780" s="291" t="b">
        <v>0</v>
      </c>
      <c r="O780" s="286"/>
      <c r="P780" s="292"/>
      <c r="Q780" s="286"/>
      <c r="R780" s="286"/>
      <c r="S780" s="293"/>
      <c r="T780" s="294"/>
      <c r="U780" s="37">
        <v>117385</v>
      </c>
      <c r="V780" s="36" t="str">
        <f>CONCATENATE(Cover!$D$6,"fdd/view?i=",U780)</f>
        <v>https://www.dgiwg.org/FAD/fdd/view?i=117385</v>
      </c>
      <c r="W780" s="172"/>
      <c r="X780" s="172"/>
      <c r="Y780" s="172"/>
    </row>
    <row r="781" spans="1:25" ht="2.1" customHeight="1" x14ac:dyDescent="0.2">
      <c r="A781" s="295"/>
      <c r="B781" s="283"/>
      <c r="C781" s="296"/>
      <c r="D781" s="283"/>
      <c r="E781" s="296"/>
      <c r="F781" s="297"/>
      <c r="G781" s="297"/>
      <c r="H781" s="297"/>
      <c r="I781" s="298"/>
      <c r="J781" s="304"/>
      <c r="K781" s="300"/>
      <c r="L781" s="301"/>
      <c r="M781" s="297" t="s">
        <v>6582</v>
      </c>
      <c r="N781" s="297"/>
      <c r="O781" s="297"/>
      <c r="P781" s="297"/>
      <c r="Q781" s="297"/>
      <c r="R781" s="297"/>
      <c r="S781" s="302"/>
      <c r="T781" s="302"/>
      <c r="U781" s="303"/>
    </row>
    <row r="782" spans="1:25" ht="38.25" x14ac:dyDescent="0.2">
      <c r="A782" s="212" t="str">
        <f>HYPERLINK(V782,B782)</f>
        <v>KeyNonLex18</v>
      </c>
      <c r="B782" s="283" t="s">
        <v>10881</v>
      </c>
      <c r="C782" s="284" t="s">
        <v>15372</v>
      </c>
      <c r="D782" s="285"/>
      <c r="E782" s="286"/>
      <c r="F782" s="287" t="s">
        <v>15373</v>
      </c>
      <c r="G782" s="286"/>
      <c r="H782" s="287" t="s">
        <v>14596</v>
      </c>
      <c r="I782" s="288"/>
      <c r="J782" s="289"/>
      <c r="K782" s="290"/>
      <c r="L782" s="287" t="s">
        <v>14595</v>
      </c>
      <c r="M782" s="287" t="s">
        <v>6582</v>
      </c>
      <c r="N782" s="286"/>
      <c r="O782" s="287">
        <v>18</v>
      </c>
      <c r="P782" s="305" t="b">
        <v>0</v>
      </c>
      <c r="Q782" s="286"/>
      <c r="R782" s="286"/>
      <c r="S782" s="293"/>
      <c r="T782" s="294"/>
      <c r="U782" s="37">
        <v>3614</v>
      </c>
      <c r="V782" s="36" t="str">
        <f>CONCATENATE(Cover!$D$6,"fdd/view?i=",U782)</f>
        <v>https://www.dgiwg.org/FAD/fdd/view?i=3614</v>
      </c>
      <c r="W782" s="172"/>
      <c r="X782" s="172"/>
      <c r="Y782" s="172"/>
    </row>
    <row r="783" spans="1:25" ht="2.1" customHeight="1" x14ac:dyDescent="0.2">
      <c r="A783" s="295"/>
      <c r="B783" s="283"/>
      <c r="C783" s="296"/>
      <c r="D783" s="283"/>
      <c r="E783" s="296"/>
      <c r="F783" s="297"/>
      <c r="G783" s="297"/>
      <c r="H783" s="297"/>
      <c r="I783" s="298"/>
      <c r="J783" s="304"/>
      <c r="K783" s="300"/>
      <c r="L783" s="301"/>
      <c r="M783" s="297" t="s">
        <v>6582</v>
      </c>
      <c r="N783" s="297"/>
      <c r="O783" s="297"/>
      <c r="P783" s="297"/>
      <c r="Q783" s="297"/>
      <c r="R783" s="297"/>
      <c r="S783" s="302"/>
      <c r="T783" s="302"/>
      <c r="U783" s="303"/>
    </row>
    <row r="784" spans="1:25" ht="38.25" x14ac:dyDescent="0.2">
      <c r="A784" s="212" t="str">
        <f>HYPERLINK(V784,B784)</f>
        <v>KeyNonLex24</v>
      </c>
      <c r="B784" s="283" t="s">
        <v>7207</v>
      </c>
      <c r="C784" s="284" t="s">
        <v>15374</v>
      </c>
      <c r="D784" s="285"/>
      <c r="E784" s="286"/>
      <c r="F784" s="287" t="s">
        <v>15375</v>
      </c>
      <c r="G784" s="286"/>
      <c r="H784" s="287" t="s">
        <v>14596</v>
      </c>
      <c r="I784" s="288"/>
      <c r="J784" s="289"/>
      <c r="K784" s="290"/>
      <c r="L784" s="287" t="s">
        <v>14595</v>
      </c>
      <c r="M784" s="287" t="s">
        <v>6582</v>
      </c>
      <c r="N784" s="286"/>
      <c r="O784" s="287">
        <v>24</v>
      </c>
      <c r="P784" s="305" t="b">
        <v>0</v>
      </c>
      <c r="Q784" s="286"/>
      <c r="R784" s="286"/>
      <c r="S784" s="293"/>
      <c r="T784" s="294"/>
      <c r="U784" s="37">
        <v>3616</v>
      </c>
      <c r="V784" s="36" t="str">
        <f>CONCATENATE(Cover!$D$6,"fdd/view?i=",U784)</f>
        <v>https://www.dgiwg.org/FAD/fdd/view?i=3616</v>
      </c>
      <c r="W784" s="172"/>
      <c r="X784" s="172"/>
      <c r="Y784" s="172"/>
    </row>
    <row r="785" spans="1:25" ht="2.1" customHeight="1" x14ac:dyDescent="0.2">
      <c r="A785" s="295"/>
      <c r="B785" s="283"/>
      <c r="C785" s="296"/>
      <c r="D785" s="283"/>
      <c r="E785" s="296"/>
      <c r="F785" s="297"/>
      <c r="G785" s="297"/>
      <c r="H785" s="297"/>
      <c r="I785" s="298"/>
      <c r="J785" s="304"/>
      <c r="K785" s="300"/>
      <c r="L785" s="301"/>
      <c r="M785" s="297" t="s">
        <v>6582</v>
      </c>
      <c r="N785" s="297"/>
      <c r="O785" s="297"/>
      <c r="P785" s="297"/>
      <c r="Q785" s="297"/>
      <c r="R785" s="297"/>
      <c r="S785" s="302"/>
      <c r="T785" s="302"/>
      <c r="U785" s="303"/>
    </row>
    <row r="786" spans="1:25" ht="38.25" x14ac:dyDescent="0.2">
      <c r="A786" s="212" t="str">
        <f>HYPERLINK(V786,B786)</f>
        <v>KeyNonLex254</v>
      </c>
      <c r="B786" s="283" t="s">
        <v>12581</v>
      </c>
      <c r="C786" s="284" t="s">
        <v>15376</v>
      </c>
      <c r="D786" s="285"/>
      <c r="E786" s="286"/>
      <c r="F786" s="287" t="s">
        <v>15377</v>
      </c>
      <c r="G786" s="286"/>
      <c r="H786" s="287" t="s">
        <v>14596</v>
      </c>
      <c r="I786" s="288"/>
      <c r="J786" s="289"/>
      <c r="K786" s="290"/>
      <c r="L786" s="287" t="s">
        <v>14595</v>
      </c>
      <c r="M786" s="287" t="s">
        <v>6582</v>
      </c>
      <c r="N786" s="286"/>
      <c r="O786" s="287">
        <v>254</v>
      </c>
      <c r="P786" s="305" t="b">
        <v>0</v>
      </c>
      <c r="Q786" s="286"/>
      <c r="R786" s="286"/>
      <c r="S786" s="293"/>
      <c r="T786" s="294"/>
      <c r="U786" s="37">
        <v>119226</v>
      </c>
      <c r="V786" s="36" t="str">
        <f>CONCATENATE(Cover!$D$6,"fdd/view?i=",U786)</f>
        <v>https://www.dgiwg.org/FAD/fdd/view?i=119226</v>
      </c>
      <c r="W786" s="172"/>
      <c r="X786" s="172"/>
      <c r="Y786" s="172"/>
    </row>
    <row r="787" spans="1:25" ht="2.1" customHeight="1" x14ac:dyDescent="0.2">
      <c r="A787" s="295"/>
      <c r="B787" s="283"/>
      <c r="C787" s="296"/>
      <c r="D787" s="283"/>
      <c r="E787" s="296"/>
      <c r="F787" s="297"/>
      <c r="G787" s="297"/>
      <c r="H787" s="297"/>
      <c r="I787" s="298"/>
      <c r="J787" s="304"/>
      <c r="K787" s="300"/>
      <c r="L787" s="301"/>
      <c r="M787" s="297" t="s">
        <v>6582</v>
      </c>
      <c r="N787" s="297"/>
      <c r="O787" s="297"/>
      <c r="P787" s="297"/>
      <c r="Q787" s="297"/>
      <c r="R787" s="297"/>
      <c r="S787" s="302"/>
      <c r="T787" s="302"/>
      <c r="U787" s="303"/>
    </row>
    <row r="788" spans="1:25" ht="38.25" x14ac:dyDescent="0.2">
      <c r="A788" s="212" t="str">
        <f>HYPERLINK(V788,B788)</f>
        <v>KeyNonLex30</v>
      </c>
      <c r="B788" s="283" t="s">
        <v>12958</v>
      </c>
      <c r="C788" s="284" t="s">
        <v>15378</v>
      </c>
      <c r="D788" s="285"/>
      <c r="E788" s="286"/>
      <c r="F788" s="287" t="s">
        <v>15379</v>
      </c>
      <c r="G788" s="286"/>
      <c r="H788" s="287" t="s">
        <v>14596</v>
      </c>
      <c r="I788" s="288"/>
      <c r="J788" s="289"/>
      <c r="K788" s="290"/>
      <c r="L788" s="287" t="s">
        <v>14595</v>
      </c>
      <c r="M788" s="287" t="s">
        <v>6582</v>
      </c>
      <c r="N788" s="286"/>
      <c r="O788" s="287">
        <v>30</v>
      </c>
      <c r="P788" s="305" t="b">
        <v>0</v>
      </c>
      <c r="Q788" s="286"/>
      <c r="R788" s="286"/>
      <c r="S788" s="293"/>
      <c r="T788" s="294"/>
      <c r="U788" s="37">
        <v>3617</v>
      </c>
      <c r="V788" s="36" t="str">
        <f>CONCATENATE(Cover!$D$6,"fdd/view?i=",U788)</f>
        <v>https://www.dgiwg.org/FAD/fdd/view?i=3617</v>
      </c>
      <c r="W788" s="172"/>
      <c r="X788" s="172"/>
      <c r="Y788" s="172"/>
    </row>
    <row r="789" spans="1:25" ht="2.1" customHeight="1" x14ac:dyDescent="0.2">
      <c r="A789" s="295"/>
      <c r="B789" s="283"/>
      <c r="C789" s="296"/>
      <c r="D789" s="283"/>
      <c r="E789" s="296"/>
      <c r="F789" s="297"/>
      <c r="G789" s="297"/>
      <c r="H789" s="297"/>
      <c r="I789" s="298"/>
      <c r="J789" s="304"/>
      <c r="K789" s="300"/>
      <c r="L789" s="301"/>
      <c r="M789" s="297" t="s">
        <v>6582</v>
      </c>
      <c r="N789" s="297"/>
      <c r="O789" s="297"/>
      <c r="P789" s="297"/>
      <c r="Q789" s="297"/>
      <c r="R789" s="297"/>
      <c r="S789" s="302"/>
      <c r="T789" s="302"/>
      <c r="U789" s="303"/>
    </row>
    <row r="790" spans="1:25" ht="38.25" x14ac:dyDescent="0.2">
      <c r="A790" s="212" t="str">
        <f>HYPERLINK(V790,B790)</f>
        <v>KeyNonLex4</v>
      </c>
      <c r="B790" s="283" t="s">
        <v>8553</v>
      </c>
      <c r="C790" s="284" t="s">
        <v>15380</v>
      </c>
      <c r="D790" s="285"/>
      <c r="E790" s="286"/>
      <c r="F790" s="287" t="s">
        <v>15381</v>
      </c>
      <c r="G790" s="286"/>
      <c r="H790" s="287" t="s">
        <v>14596</v>
      </c>
      <c r="I790" s="288"/>
      <c r="J790" s="289"/>
      <c r="K790" s="290"/>
      <c r="L790" s="287" t="s">
        <v>14595</v>
      </c>
      <c r="M790" s="287" t="s">
        <v>6582</v>
      </c>
      <c r="N790" s="286"/>
      <c r="O790" s="287">
        <v>4</v>
      </c>
      <c r="P790" s="305" t="b">
        <v>0</v>
      </c>
      <c r="Q790" s="286"/>
      <c r="R790" s="286"/>
      <c r="S790" s="293"/>
      <c r="T790" s="294"/>
      <c r="U790" s="37">
        <v>3609</v>
      </c>
      <c r="V790" s="36" t="str">
        <f>CONCATENATE(Cover!$D$6,"fdd/view?i=",U790)</f>
        <v>https://www.dgiwg.org/FAD/fdd/view?i=3609</v>
      </c>
      <c r="W790" s="172"/>
      <c r="X790" s="172"/>
      <c r="Y790" s="172"/>
    </row>
    <row r="791" spans="1:25" ht="2.1" customHeight="1" x14ac:dyDescent="0.2">
      <c r="A791" s="295"/>
      <c r="B791" s="283"/>
      <c r="C791" s="296"/>
      <c r="D791" s="283"/>
      <c r="E791" s="296"/>
      <c r="F791" s="297"/>
      <c r="G791" s="297"/>
      <c r="H791" s="297"/>
      <c r="I791" s="298"/>
      <c r="J791" s="304"/>
      <c r="K791" s="300"/>
      <c r="L791" s="301"/>
      <c r="M791" s="297" t="s">
        <v>6582</v>
      </c>
      <c r="N791" s="297"/>
      <c r="O791" s="297"/>
      <c r="P791" s="297"/>
      <c r="Q791" s="297"/>
      <c r="R791" s="297"/>
      <c r="S791" s="302"/>
      <c r="T791" s="302"/>
      <c r="U791" s="303"/>
    </row>
    <row r="792" spans="1:25" ht="38.25" x14ac:dyDescent="0.2">
      <c r="A792" s="212" t="str">
        <f>HYPERLINK(V792,B792)</f>
        <v>KeyNonLex5</v>
      </c>
      <c r="B792" s="283" t="s">
        <v>14520</v>
      </c>
      <c r="C792" s="284" t="s">
        <v>15382</v>
      </c>
      <c r="D792" s="285"/>
      <c r="E792" s="286"/>
      <c r="F792" s="287" t="s">
        <v>15383</v>
      </c>
      <c r="G792" s="286"/>
      <c r="H792" s="287" t="s">
        <v>14596</v>
      </c>
      <c r="I792" s="288"/>
      <c r="J792" s="289"/>
      <c r="K792" s="290"/>
      <c r="L792" s="287" t="s">
        <v>14595</v>
      </c>
      <c r="M792" s="287" t="s">
        <v>6582</v>
      </c>
      <c r="N792" s="286"/>
      <c r="O792" s="287">
        <v>5</v>
      </c>
      <c r="P792" s="305" t="b">
        <v>0</v>
      </c>
      <c r="Q792" s="286"/>
      <c r="R792" s="286"/>
      <c r="S792" s="293"/>
      <c r="T792" s="294"/>
      <c r="U792" s="37">
        <v>3610</v>
      </c>
      <c r="V792" s="36" t="str">
        <f>CONCATENATE(Cover!$D$6,"fdd/view?i=",U792)</f>
        <v>https://www.dgiwg.org/FAD/fdd/view?i=3610</v>
      </c>
      <c r="W792" s="172"/>
      <c r="X792" s="172"/>
      <c r="Y792" s="172"/>
    </row>
    <row r="793" spans="1:25" ht="2.1" customHeight="1" x14ac:dyDescent="0.2">
      <c r="A793" s="295"/>
      <c r="B793" s="283"/>
      <c r="C793" s="296"/>
      <c r="D793" s="283"/>
      <c r="E793" s="296"/>
      <c r="F793" s="297"/>
      <c r="G793" s="297"/>
      <c r="H793" s="297"/>
      <c r="I793" s="298"/>
      <c r="J793" s="304"/>
      <c r="K793" s="300"/>
      <c r="L793" s="301"/>
      <c r="M793" s="297" t="s">
        <v>6582</v>
      </c>
      <c r="N793" s="297"/>
      <c r="O793" s="297"/>
      <c r="P793" s="297"/>
      <c r="Q793" s="297"/>
      <c r="R793" s="297"/>
      <c r="S793" s="302"/>
      <c r="T793" s="302"/>
      <c r="U793" s="303"/>
    </row>
    <row r="794" spans="1:25" ht="38.25" x14ac:dyDescent="0.2">
      <c r="A794" s="212" t="str">
        <f>HYPERLINK(V794,B794)</f>
        <v>KeyNonLex80</v>
      </c>
      <c r="B794" s="283" t="s">
        <v>7064</v>
      </c>
      <c r="C794" s="284" t="s">
        <v>15384</v>
      </c>
      <c r="D794" s="285"/>
      <c r="E794" s="286"/>
      <c r="F794" s="287" t="s">
        <v>15385</v>
      </c>
      <c r="G794" s="286"/>
      <c r="H794" s="287" t="s">
        <v>14596</v>
      </c>
      <c r="I794" s="288"/>
      <c r="J794" s="289"/>
      <c r="K794" s="290"/>
      <c r="L794" s="287" t="s">
        <v>14595</v>
      </c>
      <c r="M794" s="287" t="s">
        <v>6582</v>
      </c>
      <c r="N794" s="286"/>
      <c r="O794" s="287">
        <v>80</v>
      </c>
      <c r="P794" s="305" t="b">
        <v>0</v>
      </c>
      <c r="Q794" s="286"/>
      <c r="R794" s="286"/>
      <c r="S794" s="293"/>
      <c r="T794" s="294"/>
      <c r="U794" s="37">
        <v>3619</v>
      </c>
      <c r="V794" s="36" t="str">
        <f>CONCATENATE(Cover!$D$6,"fdd/view?i=",U794)</f>
        <v>https://www.dgiwg.org/FAD/fdd/view?i=3619</v>
      </c>
      <c r="W794" s="172"/>
      <c r="X794" s="172"/>
      <c r="Y794" s="172"/>
    </row>
    <row r="795" spans="1:25" ht="2.1" customHeight="1" x14ac:dyDescent="0.2">
      <c r="A795" s="295"/>
      <c r="B795" s="283"/>
      <c r="C795" s="296"/>
      <c r="D795" s="283"/>
      <c r="E795" s="296"/>
      <c r="F795" s="297"/>
      <c r="G795" s="297"/>
      <c r="H795" s="297"/>
      <c r="I795" s="298"/>
      <c r="J795" s="304"/>
      <c r="K795" s="300"/>
      <c r="L795" s="301"/>
      <c r="M795" s="297" t="s">
        <v>6582</v>
      </c>
      <c r="N795" s="297"/>
      <c r="O795" s="297"/>
      <c r="P795" s="297"/>
      <c r="Q795" s="297"/>
      <c r="R795" s="297"/>
      <c r="S795" s="302"/>
      <c r="T795" s="302"/>
      <c r="U795" s="303"/>
    </row>
    <row r="796" spans="1:25" ht="38.25" x14ac:dyDescent="0.2">
      <c r="A796" s="212" t="str">
        <f>HYPERLINK(V796,B796)</f>
        <v>KeyNonLex9</v>
      </c>
      <c r="B796" s="283" t="s">
        <v>11594</v>
      </c>
      <c r="C796" s="284" t="s">
        <v>15386</v>
      </c>
      <c r="D796" s="285"/>
      <c r="E796" s="286"/>
      <c r="F796" s="287" t="s">
        <v>15387</v>
      </c>
      <c r="G796" s="286"/>
      <c r="H796" s="287" t="s">
        <v>14596</v>
      </c>
      <c r="I796" s="288"/>
      <c r="J796" s="289"/>
      <c r="K796" s="290"/>
      <c r="L796" s="287" t="s">
        <v>14595</v>
      </c>
      <c r="M796" s="287" t="s">
        <v>6582</v>
      </c>
      <c r="N796" s="286"/>
      <c r="O796" s="287">
        <v>9</v>
      </c>
      <c r="P796" s="305" t="b">
        <v>0</v>
      </c>
      <c r="Q796" s="286"/>
      <c r="R796" s="286"/>
      <c r="S796" s="293"/>
      <c r="T796" s="294"/>
      <c r="U796" s="37">
        <v>3611</v>
      </c>
      <c r="V796" s="36" t="str">
        <f>CONCATENATE(Cover!$D$6,"fdd/view?i=",U796)</f>
        <v>https://www.dgiwg.org/FAD/fdd/view?i=3611</v>
      </c>
      <c r="W796" s="172"/>
      <c r="X796" s="172"/>
      <c r="Y796" s="172"/>
    </row>
    <row r="797" spans="1:25" ht="2.1" customHeight="1" x14ac:dyDescent="0.2">
      <c r="A797" s="295"/>
      <c r="B797" s="283"/>
      <c r="C797" s="296"/>
      <c r="D797" s="283"/>
      <c r="E797" s="296"/>
      <c r="F797" s="297"/>
      <c r="G797" s="297"/>
      <c r="H797" s="297"/>
      <c r="I797" s="298"/>
      <c r="J797" s="304"/>
      <c r="K797" s="300"/>
      <c r="L797" s="301"/>
      <c r="M797" s="297" t="s">
        <v>6582</v>
      </c>
      <c r="N797" s="297"/>
      <c r="O797" s="297"/>
      <c r="P797" s="297"/>
      <c r="Q797" s="297"/>
      <c r="R797" s="297"/>
      <c r="S797" s="302"/>
      <c r="T797" s="302"/>
      <c r="U797" s="303"/>
    </row>
    <row r="798" spans="1:25" ht="25.5" x14ac:dyDescent="0.2">
      <c r="A798" s="212" t="str">
        <f>HYPERLINK(V798,B798)</f>
        <v>LmtCode</v>
      </c>
      <c r="B798" s="283" t="s">
        <v>9809</v>
      </c>
      <c r="C798" s="284" t="s">
        <v>15388</v>
      </c>
      <c r="D798" s="285"/>
      <c r="E798" s="286"/>
      <c r="F798" s="287" t="s">
        <v>15389</v>
      </c>
      <c r="G798" s="286"/>
      <c r="H798" s="286"/>
      <c r="I798" s="288"/>
      <c r="J798" s="289"/>
      <c r="K798" s="290"/>
      <c r="L798" s="371" t="str">
        <f>HYPERLINK("[#]DatatypeListedValues!B5152:H5152","«enumeration»")</f>
        <v>«enumeration»</v>
      </c>
      <c r="M798" s="287" t="s">
        <v>6582</v>
      </c>
      <c r="N798" s="291" t="b">
        <v>0</v>
      </c>
      <c r="O798" s="286"/>
      <c r="P798" s="292"/>
      <c r="Q798" s="286"/>
      <c r="R798" s="286"/>
      <c r="S798" s="293"/>
      <c r="T798" s="294"/>
      <c r="U798" s="37">
        <v>1281</v>
      </c>
      <c r="V798" s="36" t="str">
        <f>CONCATENATE(Cover!$D$6,"fdd/view?i=",U798)</f>
        <v>https://www.dgiwg.org/FAD/fdd/view?i=1281</v>
      </c>
      <c r="W798" s="172"/>
      <c r="X798" s="172"/>
      <c r="Y798" s="172"/>
    </row>
    <row r="799" spans="1:25" ht="2.1" customHeight="1" x14ac:dyDescent="0.2">
      <c r="A799" s="295"/>
      <c r="B799" s="283"/>
      <c r="C799" s="296"/>
      <c r="D799" s="283"/>
      <c r="E799" s="296"/>
      <c r="F799" s="297"/>
      <c r="G799" s="297"/>
      <c r="H799" s="297"/>
      <c r="I799" s="298"/>
      <c r="J799" s="304"/>
      <c r="K799" s="300"/>
      <c r="L799" s="301"/>
      <c r="M799" s="297" t="s">
        <v>6582</v>
      </c>
      <c r="N799" s="297"/>
      <c r="O799" s="297"/>
      <c r="P799" s="297"/>
      <c r="Q799" s="297"/>
      <c r="R799" s="297"/>
      <c r="S799" s="302"/>
      <c r="T799" s="302"/>
      <c r="U799" s="303"/>
    </row>
    <row r="800" spans="1:25" ht="25.5" x14ac:dyDescent="0.2">
      <c r="A800" s="212" t="str">
        <f>HYPERLINK(V800,B800)</f>
        <v>PrlCode</v>
      </c>
      <c r="B800" s="283" t="s">
        <v>9814</v>
      </c>
      <c r="C800" s="284" t="s">
        <v>15390</v>
      </c>
      <c r="D800" s="285"/>
      <c r="E800" s="286"/>
      <c r="F800" s="287" t="s">
        <v>15391</v>
      </c>
      <c r="G800" s="286"/>
      <c r="H800" s="286"/>
      <c r="I800" s="288"/>
      <c r="J800" s="289"/>
      <c r="K800" s="290"/>
      <c r="L800" s="371" t="str">
        <f>HYPERLINK("[#]DatatypeListedValues!B5161:H5161","«enumeration»")</f>
        <v>«enumeration»</v>
      </c>
      <c r="M800" s="287" t="s">
        <v>6582</v>
      </c>
      <c r="N800" s="291" t="b">
        <v>0</v>
      </c>
      <c r="O800" s="286"/>
      <c r="P800" s="292"/>
      <c r="Q800" s="286"/>
      <c r="R800" s="286"/>
      <c r="S800" s="293"/>
      <c r="T800" s="294"/>
      <c r="U800" s="37">
        <v>1892</v>
      </c>
      <c r="V800" s="36" t="str">
        <f>CONCATENATE(Cover!$D$6,"fdd/view?i=",U800)</f>
        <v>https://www.dgiwg.org/FAD/fdd/view?i=1892</v>
      </c>
      <c r="W800" s="172"/>
      <c r="X800" s="172"/>
      <c r="Y800" s="172"/>
    </row>
    <row r="801" spans="1:25" ht="2.1" customHeight="1" x14ac:dyDescent="0.2">
      <c r="A801" s="295"/>
      <c r="B801" s="283"/>
      <c r="C801" s="296"/>
      <c r="D801" s="283"/>
      <c r="E801" s="296"/>
      <c r="F801" s="297"/>
      <c r="G801" s="297"/>
      <c r="H801" s="297"/>
      <c r="I801" s="298"/>
      <c r="J801" s="304"/>
      <c r="K801" s="300"/>
      <c r="L801" s="301"/>
      <c r="M801" s="297" t="s">
        <v>6582</v>
      </c>
      <c r="N801" s="297"/>
      <c r="O801" s="297"/>
      <c r="P801" s="297"/>
      <c r="Q801" s="297"/>
      <c r="R801" s="297"/>
      <c r="S801" s="302"/>
      <c r="T801" s="302"/>
      <c r="U801" s="303"/>
    </row>
    <row r="802" spans="1:25" ht="25.5" x14ac:dyDescent="0.2">
      <c r="A802" s="212" t="str">
        <f>HYPERLINK(V802,B802)</f>
        <v>AtpCode</v>
      </c>
      <c r="B802" s="283" t="s">
        <v>9836</v>
      </c>
      <c r="C802" s="284" t="s">
        <v>15392</v>
      </c>
      <c r="D802" s="285"/>
      <c r="E802" s="286"/>
      <c r="F802" s="287" t="s">
        <v>15393</v>
      </c>
      <c r="G802" s="286"/>
      <c r="H802" s="286"/>
      <c r="I802" s="288"/>
      <c r="J802" s="289"/>
      <c r="K802" s="290"/>
      <c r="L802" s="371" t="str">
        <f>HYPERLINK("[#]DatatypeListedValues!B5164:H5164","«enumeration»")</f>
        <v>«enumeration»</v>
      </c>
      <c r="M802" s="287" t="s">
        <v>6582</v>
      </c>
      <c r="N802" s="291" t="b">
        <v>0</v>
      </c>
      <c r="O802" s="286"/>
      <c r="P802" s="292"/>
      <c r="Q802" s="286"/>
      <c r="R802" s="286"/>
      <c r="S802" s="293"/>
      <c r="T802" s="294"/>
      <c r="U802" s="37">
        <v>1791</v>
      </c>
      <c r="V802" s="36" t="str">
        <f>CONCATENATE(Cover!$D$6,"fdd/view?i=",U802)</f>
        <v>https://www.dgiwg.org/FAD/fdd/view?i=1791</v>
      </c>
      <c r="W802" s="172"/>
      <c r="X802" s="172"/>
      <c r="Y802" s="172"/>
    </row>
    <row r="803" spans="1:25" ht="2.1" customHeight="1" x14ac:dyDescent="0.2">
      <c r="A803" s="295"/>
      <c r="B803" s="283"/>
      <c r="C803" s="296"/>
      <c r="D803" s="283"/>
      <c r="E803" s="296"/>
      <c r="F803" s="297"/>
      <c r="G803" s="297"/>
      <c r="H803" s="297"/>
      <c r="I803" s="298"/>
      <c r="J803" s="304"/>
      <c r="K803" s="300"/>
      <c r="L803" s="301"/>
      <c r="M803" s="297" t="s">
        <v>6582</v>
      </c>
      <c r="N803" s="297"/>
      <c r="O803" s="297"/>
      <c r="P803" s="297"/>
      <c r="Q803" s="297"/>
      <c r="R803" s="297"/>
      <c r="S803" s="302"/>
      <c r="T803" s="302"/>
      <c r="U803" s="303"/>
    </row>
    <row r="804" spans="1:25" ht="25.5" x14ac:dyDescent="0.2">
      <c r="A804" s="212" t="str">
        <f>HYPERLINK(V804,B804)</f>
        <v>LhcCode</v>
      </c>
      <c r="B804" s="283" t="s">
        <v>9841</v>
      </c>
      <c r="C804" s="284" t="s">
        <v>15394</v>
      </c>
      <c r="D804" s="285"/>
      <c r="E804" s="286"/>
      <c r="F804" s="287" t="s">
        <v>15395</v>
      </c>
      <c r="G804" s="286"/>
      <c r="H804" s="286"/>
      <c r="I804" s="288"/>
      <c r="J804" s="289"/>
      <c r="K804" s="290"/>
      <c r="L804" s="371" t="str">
        <f>HYPERLINK("[#]DatatypeListedValues!B5202:H5202","«enumeration»")</f>
        <v>«enumeration»</v>
      </c>
      <c r="M804" s="287" t="s">
        <v>6582</v>
      </c>
      <c r="N804" s="291" t="b">
        <v>0</v>
      </c>
      <c r="O804" s="286"/>
      <c r="P804" s="292"/>
      <c r="Q804" s="286"/>
      <c r="R804" s="286"/>
      <c r="S804" s="293"/>
      <c r="T804" s="294"/>
      <c r="U804" s="37">
        <v>118635</v>
      </c>
      <c r="V804" s="36" t="str">
        <f>CONCATENATE(Cover!$D$6,"fdd/view?i=",U804)</f>
        <v>https://www.dgiwg.org/FAD/fdd/view?i=118635</v>
      </c>
      <c r="W804" s="172"/>
      <c r="X804" s="172"/>
      <c r="Y804" s="172"/>
    </row>
    <row r="805" spans="1:25" ht="2.1" customHeight="1" x14ac:dyDescent="0.2">
      <c r="A805" s="295"/>
      <c r="B805" s="283"/>
      <c r="C805" s="296"/>
      <c r="D805" s="283"/>
      <c r="E805" s="296"/>
      <c r="F805" s="297"/>
      <c r="G805" s="297"/>
      <c r="H805" s="297"/>
      <c r="I805" s="298"/>
      <c r="J805" s="304"/>
      <c r="K805" s="300"/>
      <c r="L805" s="301"/>
      <c r="M805" s="297" t="s">
        <v>6582</v>
      </c>
      <c r="N805" s="297"/>
      <c r="O805" s="297"/>
      <c r="P805" s="297"/>
      <c r="Q805" s="297"/>
      <c r="R805" s="297"/>
      <c r="S805" s="302"/>
      <c r="T805" s="302"/>
      <c r="U805" s="303"/>
    </row>
    <row r="806" spans="1:25" ht="25.5" x14ac:dyDescent="0.2">
      <c r="A806" s="212" t="str">
        <f>HYPERLINK(V806,B806)</f>
        <v>LclCode</v>
      </c>
      <c r="B806" s="283" t="s">
        <v>9858</v>
      </c>
      <c r="C806" s="284" t="s">
        <v>15396</v>
      </c>
      <c r="D806" s="285"/>
      <c r="E806" s="286"/>
      <c r="F806" s="287" t="s">
        <v>15397</v>
      </c>
      <c r="G806" s="286"/>
      <c r="H806" s="286"/>
      <c r="I806" s="288"/>
      <c r="J806" s="289"/>
      <c r="K806" s="290"/>
      <c r="L806" s="371" t="str">
        <f>HYPERLINK("[#]DatatypeListedValues!B5208:H5208","«enumeration»")</f>
        <v>«enumeration»</v>
      </c>
      <c r="M806" s="287" t="s">
        <v>6582</v>
      </c>
      <c r="N806" s="291" t="b">
        <v>0</v>
      </c>
      <c r="O806" s="286"/>
      <c r="P806" s="292"/>
      <c r="Q806" s="286"/>
      <c r="R806" s="286"/>
      <c r="S806" s="293"/>
      <c r="T806" s="294"/>
      <c r="U806" s="37">
        <v>1867</v>
      </c>
      <c r="V806" s="36" t="str">
        <f>CONCATENATE(Cover!$D$6,"fdd/view?i=",U806)</f>
        <v>https://www.dgiwg.org/FAD/fdd/view?i=1867</v>
      </c>
      <c r="W806" s="172"/>
      <c r="X806" s="172"/>
      <c r="Y806" s="172"/>
    </row>
    <row r="807" spans="1:25" ht="2.1" customHeight="1" x14ac:dyDescent="0.2">
      <c r="A807" s="295"/>
      <c r="B807" s="283"/>
      <c r="C807" s="296"/>
      <c r="D807" s="283"/>
      <c r="E807" s="296"/>
      <c r="F807" s="297"/>
      <c r="G807" s="297"/>
      <c r="H807" s="297"/>
      <c r="I807" s="298"/>
      <c r="J807" s="304"/>
      <c r="K807" s="300"/>
      <c r="L807" s="301"/>
      <c r="M807" s="297" t="s">
        <v>6582</v>
      </c>
      <c r="N807" s="297"/>
      <c r="O807" s="297"/>
      <c r="P807" s="297"/>
      <c r="Q807" s="297"/>
      <c r="R807" s="297"/>
      <c r="S807" s="302"/>
      <c r="T807" s="302"/>
      <c r="U807" s="303"/>
    </row>
    <row r="808" spans="1:25" ht="25.5" x14ac:dyDescent="0.2">
      <c r="A808" s="212" t="str">
        <f>HYPERLINK(V808,B808)</f>
        <v>LngCode</v>
      </c>
      <c r="B808" s="283" t="s">
        <v>9852</v>
      </c>
      <c r="C808" s="284" t="s">
        <v>9861</v>
      </c>
      <c r="D808" s="285"/>
      <c r="E808" s="286"/>
      <c r="F808" s="287" t="s">
        <v>15398</v>
      </c>
      <c r="G808" s="286"/>
      <c r="H808" s="286"/>
      <c r="I808" s="288"/>
      <c r="J808" s="289"/>
      <c r="K808" s="290"/>
      <c r="L808" s="371" t="str">
        <f>HYPERLINK("[#]DatatypeListedValues!B5212:H5212","«enumeration»")</f>
        <v>«enumeration»</v>
      </c>
      <c r="M808" s="287" t="s">
        <v>6582</v>
      </c>
      <c r="N808" s="291" t="b">
        <v>0</v>
      </c>
      <c r="O808" s="286"/>
      <c r="P808" s="292"/>
      <c r="Q808" s="286"/>
      <c r="R808" s="286"/>
      <c r="S808" s="293"/>
      <c r="T808" s="294"/>
      <c r="U808" s="37">
        <v>1283</v>
      </c>
      <c r="V808" s="36" t="str">
        <f>CONCATENATE(Cover!$D$6,"fdd/view?i=",U808)</f>
        <v>https://www.dgiwg.org/FAD/fdd/view?i=1283</v>
      </c>
      <c r="W808" s="172"/>
      <c r="X808" s="172"/>
      <c r="Y808" s="172"/>
    </row>
    <row r="809" spans="1:25" ht="2.1" customHeight="1" x14ac:dyDescent="0.2">
      <c r="A809" s="295"/>
      <c r="B809" s="283"/>
      <c r="C809" s="296"/>
      <c r="D809" s="283"/>
      <c r="E809" s="296"/>
      <c r="F809" s="297"/>
      <c r="G809" s="297"/>
      <c r="H809" s="297"/>
      <c r="I809" s="298"/>
      <c r="J809" s="304"/>
      <c r="K809" s="300"/>
      <c r="L809" s="301"/>
      <c r="M809" s="297" t="s">
        <v>6582</v>
      </c>
      <c r="N809" s="297"/>
      <c r="O809" s="297"/>
      <c r="P809" s="297"/>
      <c r="Q809" s="297"/>
      <c r="R809" s="297"/>
      <c r="S809" s="302"/>
      <c r="T809" s="302"/>
      <c r="U809" s="303"/>
    </row>
    <row r="810" spans="1:25" ht="38.25" x14ac:dyDescent="0.2">
      <c r="A810" s="212" t="str">
        <f>HYPERLINK(V810,B810)</f>
        <v>LanStrucText</v>
      </c>
      <c r="B810" s="283" t="s">
        <v>9864</v>
      </c>
      <c r="C810" s="284" t="s">
        <v>15399</v>
      </c>
      <c r="D810" s="285"/>
      <c r="E810" s="286"/>
      <c r="F810" s="287" t="s">
        <v>15400</v>
      </c>
      <c r="G810" s="286"/>
      <c r="H810" s="287" t="s">
        <v>14552</v>
      </c>
      <c r="I810" s="288"/>
      <c r="J810" s="289"/>
      <c r="K810" s="290"/>
      <c r="L810" s="287" t="s">
        <v>14551</v>
      </c>
      <c r="M810" s="287" t="s">
        <v>6582</v>
      </c>
      <c r="N810" s="286"/>
      <c r="O810" s="287">
        <v>3</v>
      </c>
      <c r="P810" s="305" t="b">
        <v>0</v>
      </c>
      <c r="Q810" s="286"/>
      <c r="R810" s="286"/>
      <c r="S810" s="293"/>
      <c r="T810" s="294"/>
      <c r="U810" s="37">
        <v>1866</v>
      </c>
      <c r="V810" s="36" t="str">
        <f>CONCATENATE(Cover!$D$6,"fdd/view?i=",U810)</f>
        <v>https://www.dgiwg.org/FAD/fdd/view?i=1866</v>
      </c>
      <c r="W810" s="172"/>
      <c r="X810" s="172"/>
      <c r="Y810" s="172"/>
    </row>
    <row r="811" spans="1:25" ht="2.1" customHeight="1" x14ac:dyDescent="0.2">
      <c r="A811" s="295"/>
      <c r="B811" s="283"/>
      <c r="C811" s="296"/>
      <c r="D811" s="283"/>
      <c r="E811" s="296"/>
      <c r="F811" s="297"/>
      <c r="G811" s="297"/>
      <c r="H811" s="297"/>
      <c r="I811" s="298"/>
      <c r="J811" s="304"/>
      <c r="K811" s="300"/>
      <c r="L811" s="301"/>
      <c r="M811" s="297" t="s">
        <v>6582</v>
      </c>
      <c r="N811" s="297"/>
      <c r="O811" s="297"/>
      <c r="P811" s="297"/>
      <c r="Q811" s="297"/>
      <c r="R811" s="297"/>
      <c r="S811" s="302"/>
      <c r="T811" s="302"/>
      <c r="U811" s="303"/>
    </row>
    <row r="812" spans="1:25" ht="38.25" x14ac:dyDescent="0.2">
      <c r="A812" s="212" t="str">
        <f>HYPERLINK(V812,B812)</f>
        <v>LadStrucText</v>
      </c>
      <c r="B812" s="283" t="s">
        <v>9870</v>
      </c>
      <c r="C812" s="284" t="s">
        <v>15401</v>
      </c>
      <c r="D812" s="285"/>
      <c r="E812" s="286"/>
      <c r="F812" s="287" t="s">
        <v>15402</v>
      </c>
      <c r="G812" s="286"/>
      <c r="H812" s="287" t="s">
        <v>14552</v>
      </c>
      <c r="I812" s="288"/>
      <c r="J812" s="289"/>
      <c r="K812" s="290"/>
      <c r="L812" s="287" t="s">
        <v>14551</v>
      </c>
      <c r="M812" s="287" t="s">
        <v>6582</v>
      </c>
      <c r="N812" s="286"/>
      <c r="O812" s="287">
        <v>3</v>
      </c>
      <c r="P812" s="305" t="b">
        <v>0</v>
      </c>
      <c r="Q812" s="286"/>
      <c r="R812" s="286"/>
      <c r="S812" s="293"/>
      <c r="T812" s="294"/>
      <c r="U812" s="37">
        <v>1865</v>
      </c>
      <c r="V812" s="36" t="str">
        <f>CONCATENATE(Cover!$D$6,"fdd/view?i=",U812)</f>
        <v>https://www.dgiwg.org/FAD/fdd/view?i=1865</v>
      </c>
      <c r="W812" s="172"/>
      <c r="X812" s="172"/>
      <c r="Y812" s="172"/>
    </row>
    <row r="813" spans="1:25" ht="2.1" customHeight="1" x14ac:dyDescent="0.2">
      <c r="A813" s="295"/>
      <c r="B813" s="283"/>
      <c r="C813" s="296"/>
      <c r="D813" s="283"/>
      <c r="E813" s="296"/>
      <c r="F813" s="297"/>
      <c r="G813" s="297"/>
      <c r="H813" s="297"/>
      <c r="I813" s="298"/>
      <c r="J813" s="304"/>
      <c r="K813" s="300"/>
      <c r="L813" s="301"/>
      <c r="M813" s="297" t="s">
        <v>6582</v>
      </c>
      <c r="N813" s="297"/>
      <c r="O813" s="297"/>
      <c r="P813" s="297"/>
      <c r="Q813" s="297"/>
      <c r="R813" s="297"/>
      <c r="S813" s="302"/>
      <c r="T813" s="302"/>
      <c r="U813" s="303"/>
    </row>
    <row r="814" spans="1:25" ht="178.5" x14ac:dyDescent="0.2">
      <c r="A814" s="212" t="str">
        <f>HYPERLINK(V814,B814)</f>
        <v>LddStrucText</v>
      </c>
      <c r="B814" s="283" t="s">
        <v>9885</v>
      </c>
      <c r="C814" s="284" t="s">
        <v>15403</v>
      </c>
      <c r="D814" s="285"/>
      <c r="E814" s="286"/>
      <c r="F814" s="287" t="s">
        <v>15404</v>
      </c>
      <c r="G814" s="286"/>
      <c r="H814" s="287" t="s">
        <v>14552</v>
      </c>
      <c r="I814" s="288"/>
      <c r="J814" s="289"/>
      <c r="K814" s="290"/>
      <c r="L814" s="287" t="s">
        <v>14551</v>
      </c>
      <c r="M814" s="287" t="s">
        <v>6582</v>
      </c>
      <c r="N814" s="286"/>
      <c r="O814" s="287">
        <v>20</v>
      </c>
      <c r="P814" s="305" t="b">
        <v>0</v>
      </c>
      <c r="Q814" s="287" t="s">
        <v>14553</v>
      </c>
      <c r="R814" s="286"/>
      <c r="S814" s="293"/>
      <c r="T814" s="294"/>
      <c r="U814" s="37">
        <v>117814</v>
      </c>
      <c r="V814" s="36" t="str">
        <f>CONCATENATE(Cover!$D$6,"fdd/view?i=",U814)</f>
        <v>https://www.dgiwg.org/FAD/fdd/view?i=117814</v>
      </c>
      <c r="W814" s="172"/>
      <c r="X814" s="172"/>
      <c r="Y814" s="172"/>
    </row>
    <row r="815" spans="1:25" ht="2.1" customHeight="1" x14ac:dyDescent="0.2">
      <c r="A815" s="295"/>
      <c r="B815" s="283"/>
      <c r="C815" s="296"/>
      <c r="D815" s="283"/>
      <c r="E815" s="296"/>
      <c r="F815" s="297"/>
      <c r="G815" s="297"/>
      <c r="H815" s="297"/>
      <c r="I815" s="298"/>
      <c r="J815" s="304"/>
      <c r="K815" s="300"/>
      <c r="L815" s="301"/>
      <c r="M815" s="297" t="s">
        <v>6582</v>
      </c>
      <c r="N815" s="297"/>
      <c r="O815" s="297"/>
      <c r="P815" s="297"/>
      <c r="Q815" s="297"/>
      <c r="R815" s="297"/>
      <c r="S815" s="302"/>
      <c r="T815" s="302"/>
      <c r="U815" s="303"/>
    </row>
    <row r="816" spans="1:25" ht="63.75" x14ac:dyDescent="0.2">
      <c r="A816" s="212" t="str">
        <f>HYPERLINK(V816,B816)</f>
        <v>LreStrucText</v>
      </c>
      <c r="B816" s="283" t="s">
        <v>9890</v>
      </c>
      <c r="C816" s="284" t="s">
        <v>15405</v>
      </c>
      <c r="D816" s="285"/>
      <c r="E816" s="286"/>
      <c r="F816" s="287" t="s">
        <v>15406</v>
      </c>
      <c r="G816" s="286"/>
      <c r="H816" s="287" t="s">
        <v>14552</v>
      </c>
      <c r="I816" s="288"/>
      <c r="J816" s="289"/>
      <c r="K816" s="290"/>
      <c r="L816" s="287" t="s">
        <v>14551</v>
      </c>
      <c r="M816" s="287" t="s">
        <v>6582</v>
      </c>
      <c r="N816" s="286"/>
      <c r="O816" s="287">
        <v>8</v>
      </c>
      <c r="P816" s="305" t="b">
        <v>0</v>
      </c>
      <c r="Q816" s="287" t="s">
        <v>14806</v>
      </c>
      <c r="R816" s="286"/>
      <c r="S816" s="293"/>
      <c r="T816" s="294"/>
      <c r="U816" s="37">
        <v>114259</v>
      </c>
      <c r="V816" s="36" t="str">
        <f>CONCATENATE(Cover!$D$6,"fdd/view?i=",U816)</f>
        <v>https://www.dgiwg.org/FAD/fdd/view?i=114259</v>
      </c>
      <c r="W816" s="172"/>
      <c r="X816" s="172"/>
      <c r="Y816" s="172"/>
    </row>
    <row r="817" spans="1:25" ht="2.1" customHeight="1" x14ac:dyDescent="0.2">
      <c r="A817" s="295"/>
      <c r="B817" s="283"/>
      <c r="C817" s="296"/>
      <c r="D817" s="283"/>
      <c r="E817" s="296"/>
      <c r="F817" s="297"/>
      <c r="G817" s="297"/>
      <c r="H817" s="297"/>
      <c r="I817" s="298"/>
      <c r="J817" s="304"/>
      <c r="K817" s="300"/>
      <c r="L817" s="301"/>
      <c r="M817" s="297" t="s">
        <v>6582</v>
      </c>
      <c r="N817" s="297"/>
      <c r="O817" s="297"/>
      <c r="P817" s="297"/>
      <c r="Q817" s="297"/>
      <c r="R817" s="297"/>
      <c r="S817" s="302"/>
      <c r="T817" s="302"/>
      <c r="U817" s="303"/>
    </row>
    <row r="818" spans="1:25" ht="25.5" x14ac:dyDescent="0.2">
      <c r="A818" s="212" t="str">
        <f>HYPERLINK(V818,B818)</f>
        <v>AclCode</v>
      </c>
      <c r="B818" s="283" t="s">
        <v>9904</v>
      </c>
      <c r="C818" s="284" t="s">
        <v>15407</v>
      </c>
      <c r="D818" s="285"/>
      <c r="E818" s="286"/>
      <c r="F818" s="287" t="s">
        <v>15408</v>
      </c>
      <c r="G818" s="286"/>
      <c r="H818" s="286"/>
      <c r="I818" s="288"/>
      <c r="J818" s="289"/>
      <c r="K818" s="290"/>
      <c r="L818" s="371" t="str">
        <f>HYPERLINK("[#]DatatypeListedValues!B5268:H5268","«enumeration»")</f>
        <v>«enumeration»</v>
      </c>
      <c r="M818" s="287" t="s">
        <v>6582</v>
      </c>
      <c r="N818" s="291" t="b">
        <v>0</v>
      </c>
      <c r="O818" s="286"/>
      <c r="P818" s="292"/>
      <c r="Q818" s="286"/>
      <c r="R818" s="286"/>
      <c r="S818" s="293"/>
      <c r="T818" s="294"/>
      <c r="U818" s="37">
        <v>1096</v>
      </c>
      <c r="V818" s="36" t="str">
        <f>CONCATENATE(Cover!$D$6,"fdd/view?i=",U818)</f>
        <v>https://www.dgiwg.org/FAD/fdd/view?i=1096</v>
      </c>
      <c r="W818" s="172"/>
      <c r="X818" s="172"/>
      <c r="Y818" s="172"/>
    </row>
    <row r="819" spans="1:25" ht="2.1" customHeight="1" x14ac:dyDescent="0.2">
      <c r="A819" s="295"/>
      <c r="B819" s="283"/>
      <c r="C819" s="296"/>
      <c r="D819" s="283"/>
      <c r="E819" s="296"/>
      <c r="F819" s="297"/>
      <c r="G819" s="297"/>
      <c r="H819" s="297"/>
      <c r="I819" s="298"/>
      <c r="J819" s="304"/>
      <c r="K819" s="300"/>
      <c r="L819" s="301"/>
      <c r="M819" s="297" t="s">
        <v>6582</v>
      </c>
      <c r="N819" s="297"/>
      <c r="O819" s="297"/>
      <c r="P819" s="297"/>
      <c r="Q819" s="297"/>
      <c r="R819" s="297"/>
      <c r="S819" s="302"/>
      <c r="T819" s="302"/>
      <c r="U819" s="303"/>
    </row>
    <row r="820" spans="1:25" ht="25.5" x14ac:dyDescent="0.2">
      <c r="A820" s="212" t="str">
        <f>HYPERLINK(V820,B820)</f>
        <v>ShlCode</v>
      </c>
      <c r="B820" s="283" t="s">
        <v>9913</v>
      </c>
      <c r="C820" s="284" t="s">
        <v>15409</v>
      </c>
      <c r="D820" s="285"/>
      <c r="E820" s="286"/>
      <c r="F820" s="287" t="s">
        <v>15410</v>
      </c>
      <c r="G820" s="286"/>
      <c r="H820" s="286"/>
      <c r="I820" s="288"/>
      <c r="J820" s="289"/>
      <c r="K820" s="290"/>
      <c r="L820" s="371" t="str">
        <f>HYPERLINK("[#]DatatypeListedValues!B5270:H5270","«enumeration»")</f>
        <v>«enumeration»</v>
      </c>
      <c r="M820" s="287" t="s">
        <v>6582</v>
      </c>
      <c r="N820" s="291" t="b">
        <v>0</v>
      </c>
      <c r="O820" s="286"/>
      <c r="P820" s="292"/>
      <c r="Q820" s="286"/>
      <c r="R820" s="286"/>
      <c r="S820" s="293"/>
      <c r="T820" s="294"/>
      <c r="U820" s="37">
        <v>1442</v>
      </c>
      <c r="V820" s="36" t="str">
        <f>CONCATENATE(Cover!$D$6,"fdd/view?i=",U820)</f>
        <v>https://www.dgiwg.org/FAD/fdd/view?i=1442</v>
      </c>
      <c r="W820" s="172"/>
      <c r="X820" s="172"/>
      <c r="Y820" s="172"/>
    </row>
    <row r="821" spans="1:25" ht="2.1" customHeight="1" x14ac:dyDescent="0.2">
      <c r="A821" s="295"/>
      <c r="B821" s="283"/>
      <c r="C821" s="296"/>
      <c r="D821" s="283"/>
      <c r="E821" s="296"/>
      <c r="F821" s="297"/>
      <c r="G821" s="297"/>
      <c r="H821" s="297"/>
      <c r="I821" s="298"/>
      <c r="J821" s="304"/>
      <c r="K821" s="300"/>
      <c r="L821" s="301"/>
      <c r="M821" s="297" t="s">
        <v>6582</v>
      </c>
      <c r="N821" s="297"/>
      <c r="O821" s="297"/>
      <c r="P821" s="297"/>
      <c r="Q821" s="297"/>
      <c r="R821" s="297"/>
      <c r="S821" s="302"/>
      <c r="T821" s="302"/>
      <c r="U821" s="303"/>
    </row>
    <row r="822" spans="1:25" ht="25.5" x14ac:dyDescent="0.2">
      <c r="A822" s="212" t="str">
        <f>HYPERLINK(V822,B822)</f>
        <v>LgaCode</v>
      </c>
      <c r="B822" s="283" t="s">
        <v>9936</v>
      </c>
      <c r="C822" s="284" t="s">
        <v>15411</v>
      </c>
      <c r="D822" s="285"/>
      <c r="E822" s="286"/>
      <c r="F822" s="287" t="s">
        <v>15412</v>
      </c>
      <c r="G822" s="286"/>
      <c r="H822" s="286"/>
      <c r="I822" s="288"/>
      <c r="J822" s="289"/>
      <c r="K822" s="290"/>
      <c r="L822" s="371" t="str">
        <f>HYPERLINK("[#]DatatypeListedValues!B5277:H5277","«enumeration»")</f>
        <v>«enumeration»</v>
      </c>
      <c r="M822" s="287" t="s">
        <v>6582</v>
      </c>
      <c r="N822" s="291" t="b">
        <v>0</v>
      </c>
      <c r="O822" s="286"/>
      <c r="P822" s="292"/>
      <c r="Q822" s="286"/>
      <c r="R822" s="286"/>
      <c r="S822" s="293"/>
      <c r="T822" s="294"/>
      <c r="U822" s="37">
        <v>1868</v>
      </c>
      <c r="V822" s="36" t="str">
        <f>CONCATENATE(Cover!$D$6,"fdd/view?i=",U822)</f>
        <v>https://www.dgiwg.org/FAD/fdd/view?i=1868</v>
      </c>
      <c r="W822" s="172"/>
      <c r="X822" s="172"/>
      <c r="Y822" s="172"/>
    </row>
    <row r="823" spans="1:25" ht="2.1" customHeight="1" x14ac:dyDescent="0.2">
      <c r="A823" s="295"/>
      <c r="B823" s="283"/>
      <c r="C823" s="296"/>
      <c r="D823" s="283"/>
      <c r="E823" s="296"/>
      <c r="F823" s="297"/>
      <c r="G823" s="297"/>
      <c r="H823" s="297"/>
      <c r="I823" s="298"/>
      <c r="J823" s="304"/>
      <c r="K823" s="300"/>
      <c r="L823" s="301"/>
      <c r="M823" s="297" t="s">
        <v>6582</v>
      </c>
      <c r="N823" s="297"/>
      <c r="O823" s="297"/>
      <c r="P823" s="297"/>
      <c r="Q823" s="297"/>
      <c r="R823" s="297"/>
      <c r="S823" s="302"/>
      <c r="T823" s="302"/>
      <c r="U823" s="303"/>
    </row>
    <row r="824" spans="1:25" ht="25.5" x14ac:dyDescent="0.2">
      <c r="A824" s="212" t="str">
        <f>HYPERLINK(V824,B824)</f>
        <v>LisCode</v>
      </c>
      <c r="B824" s="283" t="s">
        <v>9980</v>
      </c>
      <c r="C824" s="284" t="s">
        <v>15413</v>
      </c>
      <c r="D824" s="285"/>
      <c r="E824" s="286"/>
      <c r="F824" s="287" t="s">
        <v>15414</v>
      </c>
      <c r="G824" s="286"/>
      <c r="H824" s="286"/>
      <c r="I824" s="288"/>
      <c r="J824" s="289"/>
      <c r="K824" s="290"/>
      <c r="L824" s="371" t="str">
        <f>HYPERLINK("[#]DatatypeListedValues!B5280:H5280","«enumeration»")</f>
        <v>«enumeration»</v>
      </c>
      <c r="M824" s="287" t="s">
        <v>6582</v>
      </c>
      <c r="N824" s="291" t="b">
        <v>0</v>
      </c>
      <c r="O824" s="286"/>
      <c r="P824" s="292"/>
      <c r="Q824" s="286"/>
      <c r="R824" s="286"/>
      <c r="S824" s="293"/>
      <c r="T824" s="294"/>
      <c r="U824" s="37">
        <v>117387</v>
      </c>
      <c r="V824" s="36" t="str">
        <f>CONCATENATE(Cover!$D$6,"fdd/view?i=",U824)</f>
        <v>https://www.dgiwg.org/FAD/fdd/view?i=117387</v>
      </c>
      <c r="W824" s="172"/>
      <c r="X824" s="172"/>
      <c r="Y824" s="172"/>
    </row>
    <row r="825" spans="1:25" ht="2.1" customHeight="1" x14ac:dyDescent="0.2">
      <c r="A825" s="295"/>
      <c r="B825" s="283"/>
      <c r="C825" s="296"/>
      <c r="D825" s="283"/>
      <c r="E825" s="296"/>
      <c r="F825" s="297"/>
      <c r="G825" s="297"/>
      <c r="H825" s="297"/>
      <c r="I825" s="298"/>
      <c r="J825" s="304"/>
      <c r="K825" s="300"/>
      <c r="L825" s="301"/>
      <c r="M825" s="297" t="s">
        <v>6582</v>
      </c>
      <c r="N825" s="297"/>
      <c r="O825" s="297"/>
      <c r="P825" s="297"/>
      <c r="Q825" s="297"/>
      <c r="R825" s="297"/>
      <c r="S825" s="302"/>
      <c r="T825" s="302"/>
      <c r="U825" s="303"/>
    </row>
    <row r="826" spans="1:25" ht="25.5" x14ac:dyDescent="0.2">
      <c r="A826" s="212" t="str">
        <f>HYPERLINK(V826,B826)</f>
        <v>LivCode</v>
      </c>
      <c r="B826" s="283" t="s">
        <v>9986</v>
      </c>
      <c r="C826" s="284" t="s">
        <v>15415</v>
      </c>
      <c r="D826" s="285"/>
      <c r="E826" s="286"/>
      <c r="F826" s="287" t="s">
        <v>15416</v>
      </c>
      <c r="G826" s="286"/>
      <c r="H826" s="286"/>
      <c r="I826" s="288"/>
      <c r="J826" s="289"/>
      <c r="K826" s="290"/>
      <c r="L826" s="371" t="str">
        <f>HYPERLINK("[#]DatatypeListedValues!B5283:H5283","«enumeration»")</f>
        <v>«enumeration»</v>
      </c>
      <c r="M826" s="287" t="s">
        <v>6582</v>
      </c>
      <c r="N826" s="291" t="b">
        <v>0</v>
      </c>
      <c r="O826" s="286"/>
      <c r="P826" s="292"/>
      <c r="Q826" s="286"/>
      <c r="R826" s="286"/>
      <c r="S826" s="293"/>
      <c r="T826" s="294"/>
      <c r="U826" s="37">
        <v>117388</v>
      </c>
      <c r="V826" s="36" t="str">
        <f>CONCATENATE(Cover!$D$6,"fdd/view?i=",U826)</f>
        <v>https://www.dgiwg.org/FAD/fdd/view?i=117388</v>
      </c>
      <c r="W826" s="172"/>
      <c r="X826" s="172"/>
      <c r="Y826" s="172"/>
    </row>
    <row r="827" spans="1:25" ht="2.1" customHeight="1" x14ac:dyDescent="0.2">
      <c r="A827" s="295"/>
      <c r="B827" s="283"/>
      <c r="C827" s="296"/>
      <c r="D827" s="283"/>
      <c r="E827" s="296"/>
      <c r="F827" s="297"/>
      <c r="G827" s="297"/>
      <c r="H827" s="297"/>
      <c r="I827" s="298"/>
      <c r="J827" s="304"/>
      <c r="K827" s="300"/>
      <c r="L827" s="301"/>
      <c r="M827" s="297" t="s">
        <v>6582</v>
      </c>
      <c r="N827" s="297"/>
      <c r="O827" s="297"/>
      <c r="P827" s="297"/>
      <c r="Q827" s="297"/>
      <c r="R827" s="297"/>
      <c r="S827" s="302"/>
      <c r="T827" s="302"/>
      <c r="U827" s="303"/>
    </row>
    <row r="828" spans="1:25" ht="25.5" x14ac:dyDescent="0.2">
      <c r="A828" s="212" t="str">
        <f>HYPERLINK(V828,B828)</f>
        <v>VisCode</v>
      </c>
      <c r="B828" s="283" t="s">
        <v>9991</v>
      </c>
      <c r="C828" s="284" t="s">
        <v>15417</v>
      </c>
      <c r="D828" s="285"/>
      <c r="E828" s="286"/>
      <c r="F828" s="287" t="s">
        <v>15418</v>
      </c>
      <c r="G828" s="286"/>
      <c r="H828" s="286"/>
      <c r="I828" s="288"/>
      <c r="J828" s="289"/>
      <c r="K828" s="290"/>
      <c r="L828" s="371" t="str">
        <f>HYPERLINK("[#]DatatypeListedValues!B5285:H5285","«enumeration»")</f>
        <v>«enumeration»</v>
      </c>
      <c r="M828" s="287" t="s">
        <v>6582</v>
      </c>
      <c r="N828" s="291" t="b">
        <v>0</v>
      </c>
      <c r="O828" s="286"/>
      <c r="P828" s="292"/>
      <c r="Q828" s="286"/>
      <c r="R828" s="286"/>
      <c r="S828" s="293"/>
      <c r="T828" s="294"/>
      <c r="U828" s="37">
        <v>1525</v>
      </c>
      <c r="V828" s="36" t="str">
        <f>CONCATENATE(Cover!$D$6,"fdd/view?i=",U828)</f>
        <v>https://www.dgiwg.org/FAD/fdd/view?i=1525</v>
      </c>
      <c r="W828" s="172"/>
      <c r="X828" s="172"/>
      <c r="Y828" s="172"/>
    </row>
    <row r="829" spans="1:25" ht="2.1" customHeight="1" x14ac:dyDescent="0.2">
      <c r="A829" s="295"/>
      <c r="B829" s="283"/>
      <c r="C829" s="296"/>
      <c r="D829" s="283"/>
      <c r="E829" s="296"/>
      <c r="F829" s="297"/>
      <c r="G829" s="297"/>
      <c r="H829" s="297"/>
      <c r="I829" s="298"/>
      <c r="J829" s="304"/>
      <c r="K829" s="300"/>
      <c r="L829" s="301"/>
      <c r="M829" s="297" t="s">
        <v>6582</v>
      </c>
      <c r="N829" s="297"/>
      <c r="O829" s="297"/>
      <c r="P829" s="297"/>
      <c r="Q829" s="297"/>
      <c r="R829" s="297"/>
      <c r="S829" s="302"/>
      <c r="T829" s="302"/>
      <c r="U829" s="303"/>
    </row>
    <row r="830" spans="1:25" ht="25.5" x14ac:dyDescent="0.2">
      <c r="A830" s="212" t="str">
        <f>HYPERLINK(V830,B830)</f>
        <v>RtaCode</v>
      </c>
      <c r="B830" s="283" t="s">
        <v>10005</v>
      </c>
      <c r="C830" s="284" t="s">
        <v>15419</v>
      </c>
      <c r="D830" s="285"/>
      <c r="E830" s="286"/>
      <c r="F830" s="287" t="s">
        <v>15420</v>
      </c>
      <c r="G830" s="286"/>
      <c r="H830" s="286"/>
      <c r="I830" s="288"/>
      <c r="J830" s="289"/>
      <c r="K830" s="290"/>
      <c r="L830" s="371" t="str">
        <f>HYPERLINK("[#]DatatypeListedValues!B5293:H5293","«enumeration»")</f>
        <v>«enumeration»</v>
      </c>
      <c r="M830" s="287" t="s">
        <v>6582</v>
      </c>
      <c r="N830" s="291" t="b">
        <v>0</v>
      </c>
      <c r="O830" s="286"/>
      <c r="P830" s="292"/>
      <c r="Q830" s="286"/>
      <c r="R830" s="286"/>
      <c r="S830" s="293"/>
      <c r="T830" s="294"/>
      <c r="U830" s="37">
        <v>1576</v>
      </c>
      <c r="V830" s="36" t="str">
        <f>CONCATENATE(Cover!$D$6,"fdd/view?i=",U830)</f>
        <v>https://www.dgiwg.org/FAD/fdd/view?i=1576</v>
      </c>
      <c r="W830" s="172"/>
      <c r="X830" s="172"/>
      <c r="Y830" s="172"/>
    </row>
    <row r="831" spans="1:25" ht="2.1" customHeight="1" x14ac:dyDescent="0.2">
      <c r="A831" s="295"/>
      <c r="B831" s="283"/>
      <c r="C831" s="296"/>
      <c r="D831" s="283"/>
      <c r="E831" s="296"/>
      <c r="F831" s="297"/>
      <c r="G831" s="297"/>
      <c r="H831" s="297"/>
      <c r="I831" s="298"/>
      <c r="J831" s="304"/>
      <c r="K831" s="300"/>
      <c r="L831" s="301"/>
      <c r="M831" s="297" t="s">
        <v>6582</v>
      </c>
      <c r="N831" s="297"/>
      <c r="O831" s="297"/>
      <c r="P831" s="297"/>
      <c r="Q831" s="297"/>
      <c r="R831" s="297"/>
      <c r="S831" s="302"/>
      <c r="T831" s="302"/>
      <c r="U831" s="303"/>
    </row>
    <row r="832" spans="1:25" ht="25.5" x14ac:dyDescent="0.2">
      <c r="A832" s="212" t="str">
        <f>HYPERLINK(V832,B832)</f>
        <v>ImlCode</v>
      </c>
      <c r="B832" s="283" t="s">
        <v>10010</v>
      </c>
      <c r="C832" s="284" t="s">
        <v>15421</v>
      </c>
      <c r="D832" s="285"/>
      <c r="E832" s="286"/>
      <c r="F832" s="287" t="s">
        <v>15422</v>
      </c>
      <c r="G832" s="286"/>
      <c r="H832" s="286"/>
      <c r="I832" s="288"/>
      <c r="J832" s="289"/>
      <c r="K832" s="290"/>
      <c r="L832" s="371" t="str">
        <f>HYPERLINK("[#]DatatypeListedValues!B5296:H5296","«enumeration»")</f>
        <v>«enumeration»</v>
      </c>
      <c r="M832" s="287" t="s">
        <v>6582</v>
      </c>
      <c r="N832" s="291" t="b">
        <v>0</v>
      </c>
      <c r="O832" s="286"/>
      <c r="P832" s="292"/>
      <c r="Q832" s="286"/>
      <c r="R832" s="286"/>
      <c r="S832" s="293"/>
      <c r="T832" s="294"/>
      <c r="U832" s="37">
        <v>1857</v>
      </c>
      <c r="V832" s="36" t="str">
        <f>CONCATENATE(Cover!$D$6,"fdd/view?i=",U832)</f>
        <v>https://www.dgiwg.org/FAD/fdd/view?i=1857</v>
      </c>
      <c r="W832" s="172"/>
      <c r="X832" s="172"/>
      <c r="Y832" s="172"/>
    </row>
    <row r="833" spans="1:25" ht="2.1" customHeight="1" x14ac:dyDescent="0.2">
      <c r="A833" s="295"/>
      <c r="B833" s="283"/>
      <c r="C833" s="296"/>
      <c r="D833" s="283"/>
      <c r="E833" s="296"/>
      <c r="F833" s="297"/>
      <c r="G833" s="297"/>
      <c r="H833" s="297"/>
      <c r="I833" s="298"/>
      <c r="J833" s="304"/>
      <c r="K833" s="300"/>
      <c r="L833" s="301"/>
      <c r="M833" s="297" t="s">
        <v>6582</v>
      </c>
      <c r="N833" s="297"/>
      <c r="O833" s="297"/>
      <c r="P833" s="297"/>
      <c r="Q833" s="297"/>
      <c r="R833" s="297"/>
      <c r="S833" s="302"/>
      <c r="T833" s="302"/>
      <c r="U833" s="303"/>
    </row>
    <row r="834" spans="1:25" ht="25.5" x14ac:dyDescent="0.2">
      <c r="A834" s="212" t="str">
        <f>HYPERLINK(V834,B834)</f>
        <v>NapCode</v>
      </c>
      <c r="B834" s="283" t="s">
        <v>10015</v>
      </c>
      <c r="C834" s="284" t="s">
        <v>15423</v>
      </c>
      <c r="D834" s="285"/>
      <c r="E834" s="286"/>
      <c r="F834" s="287" t="s">
        <v>15424</v>
      </c>
      <c r="G834" s="286"/>
      <c r="H834" s="286"/>
      <c r="I834" s="288"/>
      <c r="J834" s="289"/>
      <c r="K834" s="290"/>
      <c r="L834" s="371" t="str">
        <f>HYPERLINK("[#]DatatypeListedValues!B5301:H5301","«enumeration»")</f>
        <v>«enumeration»</v>
      </c>
      <c r="M834" s="287" t="s">
        <v>6582</v>
      </c>
      <c r="N834" s="291" t="b">
        <v>0</v>
      </c>
      <c r="O834" s="286"/>
      <c r="P834" s="292"/>
      <c r="Q834" s="286"/>
      <c r="R834" s="286"/>
      <c r="S834" s="293"/>
      <c r="T834" s="294"/>
      <c r="U834" s="37">
        <v>1876</v>
      </c>
      <c r="V834" s="36" t="str">
        <f>CONCATENATE(Cover!$D$6,"fdd/view?i=",U834)</f>
        <v>https://www.dgiwg.org/FAD/fdd/view?i=1876</v>
      </c>
      <c r="W834" s="172"/>
      <c r="X834" s="172"/>
      <c r="Y834" s="172"/>
    </row>
    <row r="835" spans="1:25" ht="2.1" customHeight="1" x14ac:dyDescent="0.2">
      <c r="A835" s="295"/>
      <c r="B835" s="283"/>
      <c r="C835" s="296"/>
      <c r="D835" s="283"/>
      <c r="E835" s="296"/>
      <c r="F835" s="297"/>
      <c r="G835" s="297"/>
      <c r="H835" s="297"/>
      <c r="I835" s="298"/>
      <c r="J835" s="304"/>
      <c r="K835" s="300"/>
      <c r="L835" s="301"/>
      <c r="M835" s="297" t="s">
        <v>6582</v>
      </c>
      <c r="N835" s="297"/>
      <c r="O835" s="297"/>
      <c r="P835" s="297"/>
      <c r="Q835" s="297"/>
      <c r="R835" s="297"/>
      <c r="S835" s="302"/>
      <c r="T835" s="302"/>
      <c r="U835" s="303"/>
    </row>
    <row r="836" spans="1:25" ht="25.5" x14ac:dyDescent="0.2">
      <c r="A836" s="212" t="str">
        <f>HYPERLINK(V836,B836)</f>
        <v>LptCode</v>
      </c>
      <c r="B836" s="283" t="s">
        <v>10020</v>
      </c>
      <c r="C836" s="284" t="s">
        <v>15425</v>
      </c>
      <c r="D836" s="285"/>
      <c r="E836" s="286"/>
      <c r="F836" s="287" t="s">
        <v>15426</v>
      </c>
      <c r="G836" s="286"/>
      <c r="H836" s="286"/>
      <c r="I836" s="288"/>
      <c r="J836" s="289"/>
      <c r="K836" s="290"/>
      <c r="L836" s="371" t="str">
        <f>HYPERLINK("[#]DatatypeListedValues!B5325:H5325","«enumeration»")</f>
        <v>«enumeration»</v>
      </c>
      <c r="M836" s="287" t="s">
        <v>6582</v>
      </c>
      <c r="N836" s="291" t="b">
        <v>0</v>
      </c>
      <c r="O836" s="286"/>
      <c r="P836" s="292"/>
      <c r="Q836" s="286"/>
      <c r="R836" s="286"/>
      <c r="S836" s="293"/>
      <c r="T836" s="294"/>
      <c r="U836" s="37">
        <v>1869</v>
      </c>
      <c r="V836" s="36" t="str">
        <f>CONCATENATE(Cover!$D$6,"fdd/view?i=",U836)</f>
        <v>https://www.dgiwg.org/FAD/fdd/view?i=1869</v>
      </c>
      <c r="W836" s="172"/>
      <c r="X836" s="172"/>
      <c r="Y836" s="172"/>
    </row>
    <row r="837" spans="1:25" ht="2.1" customHeight="1" x14ac:dyDescent="0.2">
      <c r="A837" s="295"/>
      <c r="B837" s="283"/>
      <c r="C837" s="296"/>
      <c r="D837" s="283"/>
      <c r="E837" s="296"/>
      <c r="F837" s="297"/>
      <c r="G837" s="297"/>
      <c r="H837" s="297"/>
      <c r="I837" s="298"/>
      <c r="J837" s="304"/>
      <c r="K837" s="300"/>
      <c r="L837" s="301"/>
      <c r="M837" s="297" t="s">
        <v>6582</v>
      </c>
      <c r="N837" s="297"/>
      <c r="O837" s="297"/>
      <c r="P837" s="297"/>
      <c r="Q837" s="297"/>
      <c r="R837" s="297"/>
      <c r="S837" s="302"/>
      <c r="T837" s="302"/>
      <c r="U837" s="303"/>
    </row>
    <row r="838" spans="1:25" ht="25.5" x14ac:dyDescent="0.2">
      <c r="A838" s="212" t="str">
        <f>HYPERLINK(V838,B838)</f>
        <v>LcvCode</v>
      </c>
      <c r="B838" s="283" t="s">
        <v>10049</v>
      </c>
      <c r="C838" s="284" t="s">
        <v>15427</v>
      </c>
      <c r="D838" s="285"/>
      <c r="E838" s="286"/>
      <c r="F838" s="287" t="s">
        <v>15428</v>
      </c>
      <c r="G838" s="286"/>
      <c r="H838" s="286"/>
      <c r="I838" s="288"/>
      <c r="J838" s="289"/>
      <c r="K838" s="290"/>
      <c r="L838" s="371" t="str">
        <f>HYPERLINK("[#]DatatypeListedValues!B5327:H5327","«enumeration»")</f>
        <v>«enumeration»</v>
      </c>
      <c r="M838" s="287" t="s">
        <v>6582</v>
      </c>
      <c r="N838" s="291" t="b">
        <v>0</v>
      </c>
      <c r="O838" s="286"/>
      <c r="P838" s="292"/>
      <c r="Q838" s="286"/>
      <c r="R838" s="286"/>
      <c r="S838" s="293"/>
      <c r="T838" s="294"/>
      <c r="U838" s="37">
        <v>119227</v>
      </c>
      <c r="V838" s="36" t="str">
        <f>CONCATENATE(Cover!$D$6,"fdd/view?i=",U838)</f>
        <v>https://www.dgiwg.org/FAD/fdd/view?i=119227</v>
      </c>
      <c r="W838" s="172"/>
      <c r="X838" s="172"/>
      <c r="Y838" s="172"/>
    </row>
    <row r="839" spans="1:25" ht="2.1" customHeight="1" x14ac:dyDescent="0.2">
      <c r="A839" s="295"/>
      <c r="B839" s="283"/>
      <c r="C839" s="296"/>
      <c r="D839" s="283"/>
      <c r="E839" s="296"/>
      <c r="F839" s="297"/>
      <c r="G839" s="297"/>
      <c r="H839" s="297"/>
      <c r="I839" s="298"/>
      <c r="J839" s="304"/>
      <c r="K839" s="300"/>
      <c r="L839" s="301"/>
      <c r="M839" s="297" t="s">
        <v>6582</v>
      </c>
      <c r="N839" s="297"/>
      <c r="O839" s="297"/>
      <c r="P839" s="297"/>
      <c r="Q839" s="297"/>
      <c r="R839" s="297"/>
      <c r="S839" s="302"/>
      <c r="T839" s="302"/>
      <c r="U839" s="303"/>
    </row>
    <row r="840" spans="1:25" ht="25.5" x14ac:dyDescent="0.2">
      <c r="A840" s="212" t="str">
        <f>HYPERLINK(V840,B840)</f>
        <v>RstCode</v>
      </c>
      <c r="B840" s="283" t="s">
        <v>10059</v>
      </c>
      <c r="C840" s="284" t="s">
        <v>15429</v>
      </c>
      <c r="D840" s="285"/>
      <c r="E840" s="286"/>
      <c r="F840" s="287" t="s">
        <v>15430</v>
      </c>
      <c r="G840" s="286"/>
      <c r="H840" s="286"/>
      <c r="I840" s="288"/>
      <c r="J840" s="289"/>
      <c r="K840" s="290"/>
      <c r="L840" s="371" t="str">
        <f>HYPERLINK("[#]DatatypeListedValues!B5332:H5332","«enumeration»")</f>
        <v>«enumeration»</v>
      </c>
      <c r="M840" s="287" t="s">
        <v>6582</v>
      </c>
      <c r="N840" s="291" t="b">
        <v>0</v>
      </c>
      <c r="O840" s="286"/>
      <c r="P840" s="292"/>
      <c r="Q840" s="286"/>
      <c r="R840" s="286"/>
      <c r="S840" s="293"/>
      <c r="T840" s="294"/>
      <c r="U840" s="37">
        <v>1416</v>
      </c>
      <c r="V840" s="36" t="str">
        <f>CONCATENATE(Cover!$D$6,"fdd/view?i=",U840)</f>
        <v>https://www.dgiwg.org/FAD/fdd/view?i=1416</v>
      </c>
      <c r="W840" s="172"/>
      <c r="X840" s="172"/>
      <c r="Y840" s="172"/>
    </row>
    <row r="841" spans="1:25" ht="2.1" customHeight="1" x14ac:dyDescent="0.2">
      <c r="A841" s="295"/>
      <c r="B841" s="283"/>
      <c r="C841" s="296"/>
      <c r="D841" s="283"/>
      <c r="E841" s="296"/>
      <c r="F841" s="297"/>
      <c r="G841" s="297"/>
      <c r="H841" s="297"/>
      <c r="I841" s="298"/>
      <c r="J841" s="304"/>
      <c r="K841" s="300"/>
      <c r="L841" s="301"/>
      <c r="M841" s="297" t="s">
        <v>6582</v>
      </c>
      <c r="N841" s="297"/>
      <c r="O841" s="297"/>
      <c r="P841" s="297"/>
      <c r="Q841" s="297"/>
      <c r="R841" s="297"/>
      <c r="S841" s="302"/>
      <c r="T841" s="302"/>
      <c r="U841" s="303"/>
    </row>
    <row r="842" spans="1:25" ht="25.5" x14ac:dyDescent="0.2">
      <c r="A842" s="212" t="str">
        <f>HYPERLINK(V842,B842)</f>
        <v>SrlCode</v>
      </c>
      <c r="B842" s="283" t="s">
        <v>10080</v>
      </c>
      <c r="C842" s="284" t="s">
        <v>15431</v>
      </c>
      <c r="D842" s="285"/>
      <c r="E842" s="286"/>
      <c r="F842" s="287" t="s">
        <v>15432</v>
      </c>
      <c r="G842" s="286"/>
      <c r="H842" s="286"/>
      <c r="I842" s="288"/>
      <c r="J842" s="289"/>
      <c r="K842" s="290"/>
      <c r="L842" s="371" t="str">
        <f>HYPERLINK("[#]DatatypeListedValues!B5365:H5365","«enumeration»")</f>
        <v>«enumeration»</v>
      </c>
      <c r="M842" s="287" t="s">
        <v>6582</v>
      </c>
      <c r="N842" s="291" t="b">
        <v>0</v>
      </c>
      <c r="O842" s="286"/>
      <c r="P842" s="292"/>
      <c r="Q842" s="286"/>
      <c r="R842" s="286"/>
      <c r="S842" s="293"/>
      <c r="T842" s="294"/>
      <c r="U842" s="37">
        <v>1463</v>
      </c>
      <c r="V842" s="36" t="str">
        <f>CONCATENATE(Cover!$D$6,"fdd/view?i=",U842)</f>
        <v>https://www.dgiwg.org/FAD/fdd/view?i=1463</v>
      </c>
      <c r="W842" s="172"/>
      <c r="X842" s="172"/>
      <c r="Y842" s="172"/>
    </row>
    <row r="843" spans="1:25" ht="2.1" customHeight="1" x14ac:dyDescent="0.2">
      <c r="A843" s="295"/>
      <c r="B843" s="283"/>
      <c r="C843" s="296"/>
      <c r="D843" s="283"/>
      <c r="E843" s="296"/>
      <c r="F843" s="297"/>
      <c r="G843" s="297"/>
      <c r="H843" s="297"/>
      <c r="I843" s="298"/>
      <c r="J843" s="304"/>
      <c r="K843" s="300"/>
      <c r="L843" s="301"/>
      <c r="M843" s="297" t="s">
        <v>6582</v>
      </c>
      <c r="N843" s="297"/>
      <c r="O843" s="297"/>
      <c r="P843" s="297"/>
      <c r="Q843" s="297"/>
      <c r="R843" s="297"/>
      <c r="S843" s="302"/>
      <c r="T843" s="302"/>
      <c r="U843" s="303"/>
    </row>
    <row r="844" spans="1:25" ht="25.5" x14ac:dyDescent="0.2">
      <c r="A844" s="212" t="str">
        <f>HYPERLINK(V844,B844)</f>
        <v>LvhCode</v>
      </c>
      <c r="B844" s="283" t="s">
        <v>10097</v>
      </c>
      <c r="C844" s="284" t="s">
        <v>10095</v>
      </c>
      <c r="D844" s="285"/>
      <c r="E844" s="286"/>
      <c r="F844" s="287" t="s">
        <v>15433</v>
      </c>
      <c r="G844" s="286"/>
      <c r="H844" s="286"/>
      <c r="I844" s="288"/>
      <c r="J844" s="289"/>
      <c r="K844" s="290"/>
      <c r="L844" s="371" t="str">
        <f>HYPERLINK("[#]DatatypeListedValues!B5368:H5368","«enumeration»")</f>
        <v>«enumeration»</v>
      </c>
      <c r="M844" s="287" t="s">
        <v>6582</v>
      </c>
      <c r="N844" s="291" t="b">
        <v>0</v>
      </c>
      <c r="O844" s="286"/>
      <c r="P844" s="292"/>
      <c r="Q844" s="286"/>
      <c r="R844" s="286"/>
      <c r="S844" s="293"/>
      <c r="T844" s="294"/>
      <c r="U844" s="37">
        <v>119146</v>
      </c>
      <c r="V844" s="36" t="str">
        <f>CONCATENATE(Cover!$D$6,"fdd/view?i=",U844)</f>
        <v>https://www.dgiwg.org/FAD/fdd/view?i=119146</v>
      </c>
      <c r="W844" s="172"/>
      <c r="X844" s="172"/>
      <c r="Y844" s="172"/>
    </row>
    <row r="845" spans="1:25" ht="2.1" customHeight="1" x14ac:dyDescent="0.2">
      <c r="A845" s="295"/>
      <c r="B845" s="283"/>
      <c r="C845" s="296"/>
      <c r="D845" s="283"/>
      <c r="E845" s="296"/>
      <c r="F845" s="297"/>
      <c r="G845" s="297"/>
      <c r="H845" s="297"/>
      <c r="I845" s="298"/>
      <c r="J845" s="304"/>
      <c r="K845" s="300"/>
      <c r="L845" s="301"/>
      <c r="M845" s="297" t="s">
        <v>6582</v>
      </c>
      <c r="N845" s="297"/>
      <c r="O845" s="297"/>
      <c r="P845" s="297"/>
      <c r="Q845" s="297"/>
      <c r="R845" s="297"/>
      <c r="S845" s="302"/>
      <c r="T845" s="302"/>
      <c r="U845" s="303"/>
    </row>
    <row r="846" spans="1:25" ht="102" x14ac:dyDescent="0.2">
      <c r="A846" s="212" t="str">
        <f>HYPERLINK(V846,B846)</f>
        <v>LwsStrucText</v>
      </c>
      <c r="B846" s="283" t="s">
        <v>10102</v>
      </c>
      <c r="C846" s="284" t="s">
        <v>15434</v>
      </c>
      <c r="D846" s="285"/>
      <c r="E846" s="286"/>
      <c r="F846" s="287" t="s">
        <v>15435</v>
      </c>
      <c r="G846" s="286"/>
      <c r="H846" s="287" t="s">
        <v>14552</v>
      </c>
      <c r="I846" s="288"/>
      <c r="J846" s="289"/>
      <c r="K846" s="290"/>
      <c r="L846" s="287" t="s">
        <v>14551</v>
      </c>
      <c r="M846" s="287" t="s">
        <v>6582</v>
      </c>
      <c r="N846" s="286"/>
      <c r="O846" s="287">
        <v>5</v>
      </c>
      <c r="P846" s="305" t="b">
        <v>0</v>
      </c>
      <c r="Q846" s="287" t="s">
        <v>15261</v>
      </c>
      <c r="R846" s="286"/>
      <c r="S846" s="293"/>
      <c r="T846" s="294"/>
      <c r="U846" s="37">
        <v>117815</v>
      </c>
      <c r="V846" s="36" t="str">
        <f>CONCATENATE(Cover!$D$6,"fdd/view?i=",U846)</f>
        <v>https://www.dgiwg.org/FAD/fdd/view?i=117815</v>
      </c>
      <c r="W846" s="172"/>
      <c r="X846" s="172"/>
      <c r="Y846" s="172"/>
    </row>
    <row r="847" spans="1:25" ht="2.1" customHeight="1" x14ac:dyDescent="0.2">
      <c r="A847" s="295"/>
      <c r="B847" s="283"/>
      <c r="C847" s="296"/>
      <c r="D847" s="283"/>
      <c r="E847" s="296"/>
      <c r="F847" s="297"/>
      <c r="G847" s="297"/>
      <c r="H847" s="297"/>
      <c r="I847" s="298"/>
      <c r="J847" s="304"/>
      <c r="K847" s="300"/>
      <c r="L847" s="301"/>
      <c r="M847" s="297" t="s">
        <v>6582</v>
      </c>
      <c r="N847" s="297"/>
      <c r="O847" s="297"/>
      <c r="P847" s="297"/>
      <c r="Q847" s="297"/>
      <c r="R847" s="297"/>
      <c r="S847" s="302"/>
      <c r="T847" s="302"/>
      <c r="U847" s="303"/>
    </row>
    <row r="848" spans="1:25" ht="38.25" x14ac:dyDescent="0.2">
      <c r="A848" s="212" t="str">
        <f>HYPERLINK(V848,B848)</f>
        <v>MadCode</v>
      </c>
      <c r="B848" s="283" t="s">
        <v>10134</v>
      </c>
      <c r="C848" s="284" t="s">
        <v>15436</v>
      </c>
      <c r="D848" s="285"/>
      <c r="E848" s="286"/>
      <c r="F848" s="287" t="s">
        <v>15437</v>
      </c>
      <c r="G848" s="286"/>
      <c r="H848" s="286"/>
      <c r="I848" s="288"/>
      <c r="J848" s="289"/>
      <c r="K848" s="290"/>
      <c r="L848" s="371" t="str">
        <f>HYPERLINK("[#]DatatypeListedValues!B5371:H5371","«enumeration»")</f>
        <v>«enumeration»</v>
      </c>
      <c r="M848" s="287" t="s">
        <v>6582</v>
      </c>
      <c r="N848" s="291" t="b">
        <v>0</v>
      </c>
      <c r="O848" s="286"/>
      <c r="P848" s="292"/>
      <c r="Q848" s="286"/>
      <c r="R848" s="286"/>
      <c r="S848" s="293"/>
      <c r="T848" s="294"/>
      <c r="U848" s="37">
        <v>114406</v>
      </c>
      <c r="V848" s="36" t="str">
        <f>CONCATENATE(Cover!$D$6,"fdd/view?i=",U848)</f>
        <v>https://www.dgiwg.org/FAD/fdd/view?i=114406</v>
      </c>
      <c r="W848" s="172"/>
      <c r="X848" s="172"/>
      <c r="Y848" s="172"/>
    </row>
    <row r="849" spans="1:25" ht="2.1" customHeight="1" x14ac:dyDescent="0.2">
      <c r="A849" s="295"/>
      <c r="B849" s="283"/>
      <c r="C849" s="296"/>
      <c r="D849" s="283"/>
      <c r="E849" s="296"/>
      <c r="F849" s="297"/>
      <c r="G849" s="297"/>
      <c r="H849" s="297"/>
      <c r="I849" s="298"/>
      <c r="J849" s="304"/>
      <c r="K849" s="300"/>
      <c r="L849" s="301"/>
      <c r="M849" s="297" t="s">
        <v>6582</v>
      </c>
      <c r="N849" s="297"/>
      <c r="O849" s="297"/>
      <c r="P849" s="297"/>
      <c r="Q849" s="297"/>
      <c r="R849" s="297"/>
      <c r="S849" s="302"/>
      <c r="T849" s="302"/>
      <c r="U849" s="303"/>
    </row>
    <row r="850" spans="1:25" ht="38.25" x14ac:dyDescent="0.2">
      <c r="A850" s="212" t="str">
        <f>HYPERLINK(V850,B850)</f>
        <v>MvdStrucText</v>
      </c>
      <c r="B850" s="283" t="s">
        <v>10176</v>
      </c>
      <c r="C850" s="284" t="s">
        <v>15438</v>
      </c>
      <c r="D850" s="285"/>
      <c r="E850" s="286"/>
      <c r="F850" s="287" t="s">
        <v>15439</v>
      </c>
      <c r="G850" s="286"/>
      <c r="H850" s="287" t="s">
        <v>14552</v>
      </c>
      <c r="I850" s="288"/>
      <c r="J850" s="289"/>
      <c r="K850" s="290"/>
      <c r="L850" s="287" t="s">
        <v>14551</v>
      </c>
      <c r="M850" s="287" t="s">
        <v>6582</v>
      </c>
      <c r="N850" s="286"/>
      <c r="O850" s="287">
        <v>8</v>
      </c>
      <c r="P850" s="305" t="b">
        <v>0</v>
      </c>
      <c r="Q850" s="287" t="s">
        <v>15440</v>
      </c>
      <c r="R850" s="286"/>
      <c r="S850" s="293"/>
      <c r="T850" s="294"/>
      <c r="U850" s="37">
        <v>117446</v>
      </c>
      <c r="V850" s="36" t="str">
        <f>CONCATENATE(Cover!$D$6,"fdd/view?i=",U850)</f>
        <v>https://www.dgiwg.org/FAD/fdd/view?i=117446</v>
      </c>
      <c r="W850" s="172"/>
      <c r="X850" s="172"/>
      <c r="Y850" s="172"/>
    </row>
    <row r="851" spans="1:25" ht="2.1" customHeight="1" x14ac:dyDescent="0.2">
      <c r="A851" s="295"/>
      <c r="B851" s="283"/>
      <c r="C851" s="296"/>
      <c r="D851" s="283"/>
      <c r="E851" s="296"/>
      <c r="F851" s="297"/>
      <c r="G851" s="297"/>
      <c r="H851" s="297"/>
      <c r="I851" s="298"/>
      <c r="J851" s="304"/>
      <c r="K851" s="300"/>
      <c r="L851" s="301"/>
      <c r="M851" s="297" t="s">
        <v>6582</v>
      </c>
      <c r="N851" s="297"/>
      <c r="O851" s="297"/>
      <c r="P851" s="297"/>
      <c r="Q851" s="297"/>
      <c r="R851" s="297"/>
      <c r="S851" s="302"/>
      <c r="T851" s="302"/>
      <c r="U851" s="303"/>
    </row>
    <row r="852" spans="1:25" ht="25.5" x14ac:dyDescent="0.2">
      <c r="A852" s="212" t="str">
        <f>HYPERLINK(V852,B852)</f>
        <v>IcfCode</v>
      </c>
      <c r="B852" s="283" t="s">
        <v>10230</v>
      </c>
      <c r="C852" s="284" t="s">
        <v>15441</v>
      </c>
      <c r="D852" s="285"/>
      <c r="E852" s="286"/>
      <c r="F852" s="287" t="s">
        <v>15442</v>
      </c>
      <c r="G852" s="286"/>
      <c r="H852" s="286"/>
      <c r="I852" s="288"/>
      <c r="J852" s="289"/>
      <c r="K852" s="290"/>
      <c r="L852" s="371" t="str">
        <f>HYPERLINK("[#]DatatypeListedValues!B5375:H5375","«enumeration»")</f>
        <v>«enumeration»</v>
      </c>
      <c r="M852" s="287" t="s">
        <v>6582</v>
      </c>
      <c r="N852" s="291" t="b">
        <v>0</v>
      </c>
      <c r="O852" s="286"/>
      <c r="P852" s="292"/>
      <c r="Q852" s="286"/>
      <c r="R852" s="286"/>
      <c r="S852" s="293"/>
      <c r="T852" s="294"/>
      <c r="U852" s="37">
        <v>1271</v>
      </c>
      <c r="V852" s="36" t="str">
        <f>CONCATENATE(Cover!$D$6,"fdd/view?i=",U852)</f>
        <v>https://www.dgiwg.org/FAD/fdd/view?i=1271</v>
      </c>
      <c r="W852" s="172"/>
      <c r="X852" s="172"/>
      <c r="Y852" s="172"/>
    </row>
    <row r="853" spans="1:25" ht="2.1" customHeight="1" x14ac:dyDescent="0.2">
      <c r="A853" s="295"/>
      <c r="B853" s="283"/>
      <c r="C853" s="296"/>
      <c r="D853" s="283"/>
      <c r="E853" s="296"/>
      <c r="F853" s="297"/>
      <c r="G853" s="297"/>
      <c r="H853" s="297"/>
      <c r="I853" s="298"/>
      <c r="J853" s="304"/>
      <c r="K853" s="300"/>
      <c r="L853" s="301"/>
      <c r="M853" s="297" t="s">
        <v>6582</v>
      </c>
      <c r="N853" s="297"/>
      <c r="O853" s="297"/>
      <c r="P853" s="297"/>
      <c r="Q853" s="297"/>
      <c r="R853" s="297"/>
      <c r="S853" s="302"/>
      <c r="T853" s="302"/>
      <c r="U853" s="303"/>
    </row>
    <row r="854" spans="1:25" ht="25.5" x14ac:dyDescent="0.2">
      <c r="A854" s="212" t="str">
        <f>HYPERLINK(V854,B854)</f>
        <v>MbgCode</v>
      </c>
      <c r="B854" s="283" t="s">
        <v>10236</v>
      </c>
      <c r="C854" s="284" t="s">
        <v>15443</v>
      </c>
      <c r="D854" s="285"/>
      <c r="E854" s="286"/>
      <c r="F854" s="287" t="s">
        <v>15444</v>
      </c>
      <c r="G854" s="286"/>
      <c r="H854" s="286"/>
      <c r="I854" s="288"/>
      <c r="J854" s="289"/>
      <c r="K854" s="290"/>
      <c r="L854" s="371" t="str">
        <f>HYPERLINK("[#]DatatypeListedValues!B5403:H5403","«enumeration»")</f>
        <v>«enumeration»</v>
      </c>
      <c r="M854" s="287" t="s">
        <v>6582</v>
      </c>
      <c r="N854" s="291" t="b">
        <v>0</v>
      </c>
      <c r="O854" s="286"/>
      <c r="P854" s="292"/>
      <c r="Q854" s="286"/>
      <c r="R854" s="286"/>
      <c r="S854" s="293"/>
      <c r="T854" s="294"/>
      <c r="U854" s="37">
        <v>119228</v>
      </c>
      <c r="V854" s="36" t="str">
        <f>CONCATENATE(Cover!$D$6,"fdd/view?i=",U854)</f>
        <v>https://www.dgiwg.org/FAD/fdd/view?i=119228</v>
      </c>
      <c r="W854" s="172"/>
      <c r="X854" s="172"/>
      <c r="Y854" s="172"/>
    </row>
    <row r="855" spans="1:25" ht="2.1" customHeight="1" x14ac:dyDescent="0.2">
      <c r="A855" s="295"/>
      <c r="B855" s="283"/>
      <c r="C855" s="296"/>
      <c r="D855" s="283"/>
      <c r="E855" s="296"/>
      <c r="F855" s="297"/>
      <c r="G855" s="297"/>
      <c r="H855" s="297"/>
      <c r="I855" s="298"/>
      <c r="J855" s="304"/>
      <c r="K855" s="300"/>
      <c r="L855" s="301"/>
      <c r="M855" s="297" t="s">
        <v>6582</v>
      </c>
      <c r="N855" s="297"/>
      <c r="O855" s="297"/>
      <c r="P855" s="297"/>
      <c r="Q855" s="297"/>
      <c r="R855" s="297"/>
      <c r="S855" s="302"/>
      <c r="T855" s="302"/>
      <c r="U855" s="303"/>
    </row>
    <row r="856" spans="1:25" ht="25.5" x14ac:dyDescent="0.2">
      <c r="A856" s="212" t="str">
        <f>HYPERLINK(V856,B856)</f>
        <v>MfeCode</v>
      </c>
      <c r="B856" s="283" t="s">
        <v>10241</v>
      </c>
      <c r="C856" s="284" t="s">
        <v>15445</v>
      </c>
      <c r="D856" s="285"/>
      <c r="E856" s="286"/>
      <c r="F856" s="287" t="s">
        <v>15446</v>
      </c>
      <c r="G856" s="286"/>
      <c r="H856" s="286"/>
      <c r="I856" s="288"/>
      <c r="J856" s="289"/>
      <c r="K856" s="290"/>
      <c r="L856" s="371" t="str">
        <f>HYPERLINK("[#]DatatypeListedValues!B5407:H5407","«enumeration»")</f>
        <v>«enumeration»</v>
      </c>
      <c r="M856" s="287" t="s">
        <v>6582</v>
      </c>
      <c r="N856" s="291" t="b">
        <v>0</v>
      </c>
      <c r="O856" s="286"/>
      <c r="P856" s="292"/>
      <c r="Q856" s="286"/>
      <c r="R856" s="286"/>
      <c r="S856" s="293"/>
      <c r="T856" s="294"/>
      <c r="U856" s="37">
        <v>117816</v>
      </c>
      <c r="V856" s="36" t="str">
        <f>CONCATENATE(Cover!$D$6,"fdd/view?i=",U856)</f>
        <v>https://www.dgiwg.org/FAD/fdd/view?i=117816</v>
      </c>
      <c r="W856" s="172"/>
      <c r="X856" s="172"/>
      <c r="Y856" s="172"/>
    </row>
    <row r="857" spans="1:25" ht="2.1" customHeight="1" x14ac:dyDescent="0.2">
      <c r="A857" s="295"/>
      <c r="B857" s="283"/>
      <c r="C857" s="296"/>
      <c r="D857" s="283"/>
      <c r="E857" s="296"/>
      <c r="F857" s="297"/>
      <c r="G857" s="297"/>
      <c r="H857" s="297"/>
      <c r="I857" s="298"/>
      <c r="J857" s="304"/>
      <c r="K857" s="300"/>
      <c r="L857" s="301"/>
      <c r="M857" s="297" t="s">
        <v>6582</v>
      </c>
      <c r="N857" s="297"/>
      <c r="O857" s="297"/>
      <c r="P857" s="297"/>
      <c r="Q857" s="297"/>
      <c r="R857" s="297"/>
      <c r="S857" s="302"/>
      <c r="T857" s="302"/>
      <c r="U857" s="303"/>
    </row>
    <row r="858" spans="1:25" ht="25.5" x14ac:dyDescent="0.2">
      <c r="A858" s="212" t="str">
        <f>HYPERLINK(V858,B858)</f>
        <v>NlcCode</v>
      </c>
      <c r="B858" s="283" t="s">
        <v>10250</v>
      </c>
      <c r="C858" s="284" t="s">
        <v>15447</v>
      </c>
      <c r="D858" s="285"/>
      <c r="E858" s="286"/>
      <c r="F858" s="287" t="s">
        <v>15448</v>
      </c>
      <c r="G858" s="286"/>
      <c r="H858" s="286"/>
      <c r="I858" s="288"/>
      <c r="J858" s="289"/>
      <c r="K858" s="290"/>
      <c r="L858" s="371" t="str">
        <f>HYPERLINK("[#]DatatypeListedValues!B5410:H5410","«enumeration»")</f>
        <v>«enumeration»</v>
      </c>
      <c r="M858" s="287" t="s">
        <v>6582</v>
      </c>
      <c r="N858" s="291" t="b">
        <v>0</v>
      </c>
      <c r="O858" s="286"/>
      <c r="P858" s="292"/>
      <c r="Q858" s="286"/>
      <c r="R858" s="286"/>
      <c r="S858" s="293"/>
      <c r="T858" s="294"/>
      <c r="U858" s="37">
        <v>1336</v>
      </c>
      <c r="V858" s="36" t="str">
        <f>CONCATENATE(Cover!$D$6,"fdd/view?i=",U858)</f>
        <v>https://www.dgiwg.org/FAD/fdd/view?i=1336</v>
      </c>
      <c r="W858" s="172"/>
      <c r="X858" s="172"/>
      <c r="Y858" s="172"/>
    </row>
    <row r="859" spans="1:25" ht="2.1" customHeight="1" x14ac:dyDescent="0.2">
      <c r="A859" s="295"/>
      <c r="B859" s="283"/>
      <c r="C859" s="296"/>
      <c r="D859" s="283"/>
      <c r="E859" s="296"/>
      <c r="F859" s="297"/>
      <c r="G859" s="297"/>
      <c r="H859" s="297"/>
      <c r="I859" s="298"/>
      <c r="J859" s="304"/>
      <c r="K859" s="300"/>
      <c r="L859" s="301"/>
      <c r="M859" s="297" t="s">
        <v>6582</v>
      </c>
      <c r="N859" s="297"/>
      <c r="O859" s="297"/>
      <c r="P859" s="297"/>
      <c r="Q859" s="297"/>
      <c r="R859" s="297"/>
      <c r="S859" s="302"/>
      <c r="T859" s="302"/>
      <c r="U859" s="303"/>
    </row>
    <row r="860" spans="1:25" ht="25.5" x14ac:dyDescent="0.2">
      <c r="A860" s="212" t="str">
        <f>HYPERLINK(V860,B860)</f>
        <v>RscCode</v>
      </c>
      <c r="B860" s="283" t="s">
        <v>10255</v>
      </c>
      <c r="C860" s="284" t="s">
        <v>15449</v>
      </c>
      <c r="D860" s="285"/>
      <c r="E860" s="286"/>
      <c r="F860" s="287" t="s">
        <v>15450</v>
      </c>
      <c r="G860" s="286"/>
      <c r="H860" s="286"/>
      <c r="I860" s="288"/>
      <c r="J860" s="289"/>
      <c r="K860" s="290"/>
      <c r="L860" s="371" t="str">
        <f>HYPERLINK("[#]DatatypeListedValues!B5413:H5413","«enumeration»")</f>
        <v>«enumeration»</v>
      </c>
      <c r="M860" s="287" t="s">
        <v>6582</v>
      </c>
      <c r="N860" s="291" t="b">
        <v>0</v>
      </c>
      <c r="O860" s="286"/>
      <c r="P860" s="292"/>
      <c r="Q860" s="286"/>
      <c r="R860" s="286"/>
      <c r="S860" s="293"/>
      <c r="T860" s="294"/>
      <c r="U860" s="37">
        <v>1414</v>
      </c>
      <c r="V860" s="36" t="str">
        <f>CONCATENATE(Cover!$D$6,"fdd/view?i=",U860)</f>
        <v>https://www.dgiwg.org/FAD/fdd/view?i=1414</v>
      </c>
      <c r="W860" s="172"/>
      <c r="X860" s="172"/>
      <c r="Y860" s="172"/>
    </row>
    <row r="861" spans="1:25" ht="2.1" customHeight="1" x14ac:dyDescent="0.2">
      <c r="A861" s="295"/>
      <c r="B861" s="283"/>
      <c r="C861" s="296"/>
      <c r="D861" s="283"/>
      <c r="E861" s="296"/>
      <c r="F861" s="297"/>
      <c r="G861" s="297"/>
      <c r="H861" s="297"/>
      <c r="I861" s="298"/>
      <c r="J861" s="304"/>
      <c r="K861" s="300"/>
      <c r="L861" s="301"/>
      <c r="M861" s="297" t="s">
        <v>6582</v>
      </c>
      <c r="N861" s="297"/>
      <c r="O861" s="297"/>
      <c r="P861" s="297"/>
      <c r="Q861" s="297"/>
      <c r="R861" s="297"/>
      <c r="S861" s="302"/>
      <c r="T861" s="302"/>
      <c r="U861" s="303"/>
    </row>
    <row r="862" spans="1:25" ht="25.5" x14ac:dyDescent="0.2">
      <c r="A862" s="212" t="str">
        <f>HYPERLINK(V862,B862)</f>
        <v>MhaCode</v>
      </c>
      <c r="B862" s="283" t="s">
        <v>10261</v>
      </c>
      <c r="C862" s="284" t="s">
        <v>15451</v>
      </c>
      <c r="D862" s="285"/>
      <c r="E862" s="286"/>
      <c r="F862" s="287" t="s">
        <v>15452</v>
      </c>
      <c r="G862" s="286"/>
      <c r="H862" s="286"/>
      <c r="I862" s="288"/>
      <c r="J862" s="289"/>
      <c r="K862" s="290"/>
      <c r="L862" s="371" t="str">
        <f>HYPERLINK("[#]DatatypeListedValues!B5421:H5421","«enumeration»")</f>
        <v>«enumeration»</v>
      </c>
      <c r="M862" s="287" t="s">
        <v>6582</v>
      </c>
      <c r="N862" s="291" t="b">
        <v>0</v>
      </c>
      <c r="O862" s="286"/>
      <c r="P862" s="292"/>
      <c r="Q862" s="286"/>
      <c r="R862" s="286"/>
      <c r="S862" s="293"/>
      <c r="T862" s="294"/>
      <c r="U862" s="37">
        <v>119229</v>
      </c>
      <c r="V862" s="36" t="str">
        <f>CONCATENATE(Cover!$D$6,"fdd/view?i=",U862)</f>
        <v>https://www.dgiwg.org/FAD/fdd/view?i=119229</v>
      </c>
      <c r="W862" s="172"/>
      <c r="X862" s="172"/>
      <c r="Y862" s="172"/>
    </row>
    <row r="863" spans="1:25" ht="2.1" customHeight="1" x14ac:dyDescent="0.2">
      <c r="A863" s="295"/>
      <c r="B863" s="283"/>
      <c r="C863" s="296"/>
      <c r="D863" s="283"/>
      <c r="E863" s="296"/>
      <c r="F863" s="297"/>
      <c r="G863" s="297"/>
      <c r="H863" s="297"/>
      <c r="I863" s="298"/>
      <c r="J863" s="304"/>
      <c r="K863" s="300"/>
      <c r="L863" s="301"/>
      <c r="M863" s="297" t="s">
        <v>6582</v>
      </c>
      <c r="N863" s="297"/>
      <c r="O863" s="297"/>
      <c r="P863" s="297"/>
      <c r="Q863" s="297"/>
      <c r="R863" s="297"/>
      <c r="S863" s="302"/>
      <c r="T863" s="302"/>
      <c r="U863" s="303"/>
    </row>
    <row r="864" spans="1:25" ht="25.5" x14ac:dyDescent="0.2">
      <c r="A864" s="212" t="str">
        <f>HYPERLINK(V864,B864)</f>
        <v>SawCode</v>
      </c>
      <c r="B864" s="283" t="s">
        <v>10266</v>
      </c>
      <c r="C864" s="284" t="s">
        <v>15453</v>
      </c>
      <c r="D864" s="285"/>
      <c r="E864" s="286"/>
      <c r="F864" s="287" t="s">
        <v>15454</v>
      </c>
      <c r="G864" s="286"/>
      <c r="H864" s="286"/>
      <c r="I864" s="288"/>
      <c r="J864" s="289"/>
      <c r="K864" s="290"/>
      <c r="L864" s="371" t="str">
        <f>HYPERLINK("[#]DatatypeListedValues!B5423:H5423","«enumeration»")</f>
        <v>«enumeration»</v>
      </c>
      <c r="M864" s="287" t="s">
        <v>6582</v>
      </c>
      <c r="N864" s="291" t="b">
        <v>0</v>
      </c>
      <c r="O864" s="286"/>
      <c r="P864" s="292"/>
      <c r="Q864" s="286"/>
      <c r="R864" s="286"/>
      <c r="S864" s="293"/>
      <c r="T864" s="294"/>
      <c r="U864" s="37">
        <v>1425</v>
      </c>
      <c r="V864" s="36" t="str">
        <f>CONCATENATE(Cover!$D$6,"fdd/view?i=",U864)</f>
        <v>https://www.dgiwg.org/FAD/fdd/view?i=1425</v>
      </c>
      <c r="W864" s="172"/>
      <c r="X864" s="172"/>
      <c r="Y864" s="172"/>
    </row>
    <row r="865" spans="1:25" ht="2.1" customHeight="1" x14ac:dyDescent="0.2">
      <c r="A865" s="295"/>
      <c r="B865" s="283"/>
      <c r="C865" s="296"/>
      <c r="D865" s="283"/>
      <c r="E865" s="296"/>
      <c r="F865" s="297"/>
      <c r="G865" s="297"/>
      <c r="H865" s="297"/>
      <c r="I865" s="298"/>
      <c r="J865" s="304"/>
      <c r="K865" s="300"/>
      <c r="L865" s="301"/>
      <c r="M865" s="297" t="s">
        <v>6582</v>
      </c>
      <c r="N865" s="297"/>
      <c r="O865" s="297"/>
      <c r="P865" s="297"/>
      <c r="Q865" s="297"/>
      <c r="R865" s="297"/>
      <c r="S865" s="302"/>
      <c r="T865" s="302"/>
      <c r="U865" s="303"/>
    </row>
    <row r="866" spans="1:25" ht="25.5" x14ac:dyDescent="0.2">
      <c r="A866" s="212" t="str">
        <f>HYPERLINK(V866,B866)</f>
        <v>AgrCode</v>
      </c>
      <c r="B866" s="283" t="s">
        <v>10271</v>
      </c>
      <c r="C866" s="284" t="s">
        <v>15455</v>
      </c>
      <c r="D866" s="285"/>
      <c r="E866" s="286"/>
      <c r="F866" s="287" t="s">
        <v>15456</v>
      </c>
      <c r="G866" s="286"/>
      <c r="H866" s="286"/>
      <c r="I866" s="288"/>
      <c r="J866" s="289"/>
      <c r="K866" s="290"/>
      <c r="L866" s="371" t="str">
        <f>HYPERLINK("[#]DatatypeListedValues!B5438:H5438","«enumeration»")</f>
        <v>«enumeration»</v>
      </c>
      <c r="M866" s="287" t="s">
        <v>6582</v>
      </c>
      <c r="N866" s="291" t="b">
        <v>0</v>
      </c>
      <c r="O866" s="286"/>
      <c r="P866" s="292"/>
      <c r="Q866" s="286"/>
      <c r="R866" s="286"/>
      <c r="S866" s="293"/>
      <c r="T866" s="294"/>
      <c r="U866" s="37">
        <v>1030</v>
      </c>
      <c r="V866" s="36" t="str">
        <f>CONCATENATE(Cover!$D$6,"fdd/view?i=",U866)</f>
        <v>https://www.dgiwg.org/FAD/fdd/view?i=1030</v>
      </c>
      <c r="W866" s="172"/>
      <c r="X866" s="172"/>
      <c r="Y866" s="172"/>
    </row>
    <row r="867" spans="1:25" ht="2.1" customHeight="1" x14ac:dyDescent="0.2">
      <c r="A867" s="295"/>
      <c r="B867" s="283"/>
      <c r="C867" s="296"/>
      <c r="D867" s="283"/>
      <c r="E867" s="296"/>
      <c r="F867" s="297"/>
      <c r="G867" s="297"/>
      <c r="H867" s="297"/>
      <c r="I867" s="298"/>
      <c r="J867" s="304"/>
      <c r="K867" s="300"/>
      <c r="L867" s="301"/>
      <c r="M867" s="297" t="s">
        <v>6582</v>
      </c>
      <c r="N867" s="297"/>
      <c r="O867" s="297"/>
      <c r="P867" s="297"/>
      <c r="Q867" s="297"/>
      <c r="R867" s="297"/>
      <c r="S867" s="302"/>
      <c r="T867" s="302"/>
      <c r="U867" s="303"/>
    </row>
    <row r="868" spans="1:25" ht="25.5" x14ac:dyDescent="0.2">
      <c r="A868" s="212" t="str">
        <f>HYPERLINK(V868,B868)</f>
        <v>AgtCode</v>
      </c>
      <c r="B868" s="283" t="s">
        <v>10276</v>
      </c>
      <c r="C868" s="284" t="s">
        <v>15457</v>
      </c>
      <c r="D868" s="285"/>
      <c r="E868" s="286"/>
      <c r="F868" s="287" t="s">
        <v>15458</v>
      </c>
      <c r="G868" s="286"/>
      <c r="H868" s="286"/>
      <c r="I868" s="288"/>
      <c r="J868" s="289"/>
      <c r="K868" s="290"/>
      <c r="L868" s="371" t="str">
        <f>HYPERLINK("[#]DatatypeListedValues!B5441:H5441","«enumeration»")</f>
        <v>«enumeration»</v>
      </c>
      <c r="M868" s="287" t="s">
        <v>6582</v>
      </c>
      <c r="N868" s="291" t="b">
        <v>0</v>
      </c>
      <c r="O868" s="286"/>
      <c r="P868" s="292"/>
      <c r="Q868" s="286"/>
      <c r="R868" s="286"/>
      <c r="S868" s="293"/>
      <c r="T868" s="294"/>
      <c r="U868" s="37">
        <v>1031</v>
      </c>
      <c r="V868" s="36" t="str">
        <f>CONCATENATE(Cover!$D$6,"fdd/view?i=",U868)</f>
        <v>https://www.dgiwg.org/FAD/fdd/view?i=1031</v>
      </c>
      <c r="W868" s="172"/>
      <c r="X868" s="172"/>
      <c r="Y868" s="172"/>
    </row>
    <row r="869" spans="1:25" ht="2.1" customHeight="1" x14ac:dyDescent="0.2">
      <c r="A869" s="295"/>
      <c r="B869" s="283"/>
      <c r="C869" s="296"/>
      <c r="D869" s="283"/>
      <c r="E869" s="296"/>
      <c r="F869" s="297"/>
      <c r="G869" s="297"/>
      <c r="H869" s="297"/>
      <c r="I869" s="298"/>
      <c r="J869" s="304"/>
      <c r="K869" s="300"/>
      <c r="L869" s="301"/>
      <c r="M869" s="297" t="s">
        <v>6582</v>
      </c>
      <c r="N869" s="297"/>
      <c r="O869" s="297"/>
      <c r="P869" s="297"/>
      <c r="Q869" s="297"/>
      <c r="R869" s="297"/>
      <c r="S869" s="302"/>
      <c r="T869" s="302"/>
      <c r="U869" s="303"/>
    </row>
    <row r="870" spans="1:25" ht="25.5" x14ac:dyDescent="0.2">
      <c r="A870" s="212" t="str">
        <f>HYPERLINK(V870,B870)</f>
        <v>MrrCode</v>
      </c>
      <c r="B870" s="283" t="s">
        <v>10282</v>
      </c>
      <c r="C870" s="284" t="s">
        <v>15459</v>
      </c>
      <c r="D870" s="285"/>
      <c r="E870" s="286"/>
      <c r="F870" s="287" t="s">
        <v>15460</v>
      </c>
      <c r="G870" s="286"/>
      <c r="H870" s="286"/>
      <c r="I870" s="288"/>
      <c r="J870" s="289"/>
      <c r="K870" s="290"/>
      <c r="L870" s="371" t="str">
        <f>HYPERLINK("[#]DatatypeListedValues!B5449:H5449","«enumeration»")</f>
        <v>«enumeration»</v>
      </c>
      <c r="M870" s="287" t="s">
        <v>6582</v>
      </c>
      <c r="N870" s="291" t="b">
        <v>0</v>
      </c>
      <c r="O870" s="286"/>
      <c r="P870" s="292"/>
      <c r="Q870" s="286"/>
      <c r="R870" s="286"/>
      <c r="S870" s="293"/>
      <c r="T870" s="294"/>
      <c r="U870" s="37">
        <v>1618</v>
      </c>
      <c r="V870" s="36" t="str">
        <f>CONCATENATE(Cover!$D$6,"fdd/view?i=",U870)</f>
        <v>https://www.dgiwg.org/FAD/fdd/view?i=1618</v>
      </c>
      <c r="W870" s="172"/>
      <c r="X870" s="172"/>
      <c r="Y870" s="172"/>
    </row>
    <row r="871" spans="1:25" ht="2.1" customHeight="1" x14ac:dyDescent="0.2">
      <c r="A871" s="295"/>
      <c r="B871" s="283"/>
      <c r="C871" s="296"/>
      <c r="D871" s="283"/>
      <c r="E871" s="296"/>
      <c r="F871" s="297"/>
      <c r="G871" s="297"/>
      <c r="H871" s="297"/>
      <c r="I871" s="298"/>
      <c r="J871" s="304"/>
      <c r="K871" s="300"/>
      <c r="L871" s="301"/>
      <c r="M871" s="297" t="s">
        <v>6582</v>
      </c>
      <c r="N871" s="297"/>
      <c r="O871" s="297"/>
      <c r="P871" s="297"/>
      <c r="Q871" s="297"/>
      <c r="R871" s="297"/>
      <c r="S871" s="302"/>
      <c r="T871" s="302"/>
      <c r="U871" s="303"/>
    </row>
    <row r="872" spans="1:25" ht="25.5" x14ac:dyDescent="0.2">
      <c r="A872" s="212" t="str">
        <f>HYPERLINK(V872,B872)</f>
        <v>McyCode</v>
      </c>
      <c r="B872" s="283" t="s">
        <v>10287</v>
      </c>
      <c r="C872" s="284" t="s">
        <v>15461</v>
      </c>
      <c r="D872" s="285"/>
      <c r="E872" s="286"/>
      <c r="F872" s="287" t="s">
        <v>15462</v>
      </c>
      <c r="G872" s="286"/>
      <c r="H872" s="286"/>
      <c r="I872" s="288"/>
      <c r="J872" s="289"/>
      <c r="K872" s="290"/>
      <c r="L872" s="371" t="str">
        <f>HYPERLINK("[#]DatatypeListedValues!B5491:H5491","«enumeration»")</f>
        <v>«enumeration»</v>
      </c>
      <c r="M872" s="287" t="s">
        <v>6582</v>
      </c>
      <c r="N872" s="291" t="b">
        <v>0</v>
      </c>
      <c r="O872" s="286"/>
      <c r="P872" s="292"/>
      <c r="Q872" s="286"/>
      <c r="R872" s="286"/>
      <c r="S872" s="293"/>
      <c r="T872" s="294"/>
      <c r="U872" s="37">
        <v>1614</v>
      </c>
      <c r="V872" s="36" t="str">
        <f>CONCATENATE(Cover!$D$6,"fdd/view?i=",U872)</f>
        <v>https://www.dgiwg.org/FAD/fdd/view?i=1614</v>
      </c>
      <c r="W872" s="172"/>
      <c r="X872" s="172"/>
      <c r="Y872" s="172"/>
    </row>
    <row r="873" spans="1:25" ht="2.1" customHeight="1" x14ac:dyDescent="0.2">
      <c r="A873" s="295"/>
      <c r="B873" s="283"/>
      <c r="C873" s="296"/>
      <c r="D873" s="283"/>
      <c r="E873" s="296"/>
      <c r="F873" s="297"/>
      <c r="G873" s="297"/>
      <c r="H873" s="297"/>
      <c r="I873" s="298"/>
      <c r="J873" s="304"/>
      <c r="K873" s="300"/>
      <c r="L873" s="301"/>
      <c r="M873" s="297" t="s">
        <v>6582</v>
      </c>
      <c r="N873" s="297"/>
      <c r="O873" s="297"/>
      <c r="P873" s="297"/>
      <c r="Q873" s="297"/>
      <c r="R873" s="297"/>
      <c r="S873" s="302"/>
      <c r="T873" s="302"/>
      <c r="U873" s="303"/>
    </row>
    <row r="874" spans="1:25" ht="25.5" x14ac:dyDescent="0.2">
      <c r="A874" s="212" t="str">
        <f>HYPERLINK(V874,B874)</f>
        <v>MglCode</v>
      </c>
      <c r="B874" s="283" t="s">
        <v>10293</v>
      </c>
      <c r="C874" s="284" t="s">
        <v>15463</v>
      </c>
      <c r="D874" s="285"/>
      <c r="E874" s="286"/>
      <c r="F874" s="287" t="s">
        <v>15464</v>
      </c>
      <c r="G874" s="286"/>
      <c r="H874" s="286"/>
      <c r="I874" s="288"/>
      <c r="J874" s="289"/>
      <c r="K874" s="290"/>
      <c r="L874" s="371" t="str">
        <f>HYPERLINK("[#]DatatypeListedValues!B5505:H5505","«enumeration»")</f>
        <v>«enumeration»</v>
      </c>
      <c r="M874" s="287" t="s">
        <v>6582</v>
      </c>
      <c r="N874" s="291" t="b">
        <v>0</v>
      </c>
      <c r="O874" s="286"/>
      <c r="P874" s="292"/>
      <c r="Q874" s="286"/>
      <c r="R874" s="286"/>
      <c r="S874" s="293"/>
      <c r="T874" s="294"/>
      <c r="U874" s="37">
        <v>1611</v>
      </c>
      <c r="V874" s="36" t="str">
        <f>CONCATENATE(Cover!$D$6,"fdd/view?i=",U874)</f>
        <v>https://www.dgiwg.org/FAD/fdd/view?i=1611</v>
      </c>
      <c r="W874" s="172"/>
      <c r="X874" s="172"/>
      <c r="Y874" s="172"/>
    </row>
    <row r="875" spans="1:25" ht="2.1" customHeight="1" x14ac:dyDescent="0.2">
      <c r="A875" s="295"/>
      <c r="B875" s="283"/>
      <c r="C875" s="296"/>
      <c r="D875" s="283"/>
      <c r="E875" s="296"/>
      <c r="F875" s="297"/>
      <c r="G875" s="297"/>
      <c r="H875" s="297"/>
      <c r="I875" s="298"/>
      <c r="J875" s="304"/>
      <c r="K875" s="300"/>
      <c r="L875" s="301"/>
      <c r="M875" s="297" t="s">
        <v>6582</v>
      </c>
      <c r="N875" s="297"/>
      <c r="O875" s="297"/>
      <c r="P875" s="297"/>
      <c r="Q875" s="297"/>
      <c r="R875" s="297"/>
      <c r="S875" s="302"/>
      <c r="T875" s="302"/>
      <c r="U875" s="303"/>
    </row>
    <row r="876" spans="1:25" ht="25.5" x14ac:dyDescent="0.2">
      <c r="A876" s="212" t="str">
        <f>HYPERLINK(V876,B876)</f>
        <v>LfcCode</v>
      </c>
      <c r="B876" s="283" t="s">
        <v>10298</v>
      </c>
      <c r="C876" s="284" t="s">
        <v>15465</v>
      </c>
      <c r="D876" s="285"/>
      <c r="E876" s="286"/>
      <c r="F876" s="287" t="s">
        <v>15466</v>
      </c>
      <c r="G876" s="286"/>
      <c r="H876" s="286"/>
      <c r="I876" s="288"/>
      <c r="J876" s="289"/>
      <c r="K876" s="290"/>
      <c r="L876" s="371" t="str">
        <f>HYPERLINK("[#]DatatypeListedValues!B5514:H5514","«enumeration»")</f>
        <v>«enumeration»</v>
      </c>
      <c r="M876" s="287" t="s">
        <v>6582</v>
      </c>
      <c r="N876" s="291" t="b">
        <v>0</v>
      </c>
      <c r="O876" s="286"/>
      <c r="P876" s="292"/>
      <c r="Q876" s="286"/>
      <c r="R876" s="286"/>
      <c r="S876" s="293"/>
      <c r="T876" s="294"/>
      <c r="U876" s="37">
        <v>1279</v>
      </c>
      <c r="V876" s="36" t="str">
        <f>CONCATENATE(Cover!$D$6,"fdd/view?i=",U876)</f>
        <v>https://www.dgiwg.org/FAD/fdd/view?i=1279</v>
      </c>
      <c r="W876" s="172"/>
      <c r="X876" s="172"/>
      <c r="Y876" s="172"/>
    </row>
    <row r="877" spans="1:25" ht="2.1" customHeight="1" x14ac:dyDescent="0.2">
      <c r="A877" s="295"/>
      <c r="B877" s="283"/>
      <c r="C877" s="296"/>
      <c r="D877" s="283"/>
      <c r="E877" s="296"/>
      <c r="F877" s="297"/>
      <c r="G877" s="297"/>
      <c r="H877" s="297"/>
      <c r="I877" s="298"/>
      <c r="J877" s="304"/>
      <c r="K877" s="300"/>
      <c r="L877" s="301"/>
      <c r="M877" s="297" t="s">
        <v>6582</v>
      </c>
      <c r="N877" s="297"/>
      <c r="O877" s="297"/>
      <c r="P877" s="297"/>
      <c r="Q877" s="297"/>
      <c r="R877" s="297"/>
      <c r="S877" s="302"/>
      <c r="T877" s="302"/>
      <c r="U877" s="303"/>
    </row>
    <row r="878" spans="1:25" ht="38.25" x14ac:dyDescent="0.2">
      <c r="A878" s="212" t="str">
        <f>HYPERLINK(V878,B878)</f>
        <v>MnbCode</v>
      </c>
      <c r="B878" s="283" t="s">
        <v>10303</v>
      </c>
      <c r="C878" s="284" t="s">
        <v>15467</v>
      </c>
      <c r="D878" s="285"/>
      <c r="E878" s="286"/>
      <c r="F878" s="287" t="s">
        <v>15468</v>
      </c>
      <c r="G878" s="286"/>
      <c r="H878" s="286"/>
      <c r="I878" s="288"/>
      <c r="J878" s="289"/>
      <c r="K878" s="290"/>
      <c r="L878" s="371" t="str">
        <f>HYPERLINK("[#]DatatypeListedValues!B5533:H5533","«enumeration»")</f>
        <v>«enumeration»</v>
      </c>
      <c r="M878" s="287" t="s">
        <v>6582</v>
      </c>
      <c r="N878" s="291" t="b">
        <v>0</v>
      </c>
      <c r="O878" s="286"/>
      <c r="P878" s="292"/>
      <c r="Q878" s="286"/>
      <c r="R878" s="286"/>
      <c r="S878" s="293"/>
      <c r="T878" s="294"/>
      <c r="U878" s="37">
        <v>119795</v>
      </c>
      <c r="V878" s="36" t="str">
        <f>CONCATENATE(Cover!$D$6,"fdd/view?i=",U878)</f>
        <v>https://www.dgiwg.org/FAD/fdd/view?i=119795</v>
      </c>
      <c r="W878" s="172"/>
      <c r="X878" s="172"/>
      <c r="Y878" s="172"/>
    </row>
    <row r="879" spans="1:25" ht="2.1" customHeight="1" x14ac:dyDescent="0.2">
      <c r="A879" s="295"/>
      <c r="B879" s="283"/>
      <c r="C879" s="296"/>
      <c r="D879" s="283"/>
      <c r="E879" s="296"/>
      <c r="F879" s="297"/>
      <c r="G879" s="297"/>
      <c r="H879" s="297"/>
      <c r="I879" s="298"/>
      <c r="J879" s="304"/>
      <c r="K879" s="300"/>
      <c r="L879" s="301"/>
      <c r="M879" s="297" t="s">
        <v>6582</v>
      </c>
      <c r="N879" s="297"/>
      <c r="O879" s="297"/>
      <c r="P879" s="297"/>
      <c r="Q879" s="297"/>
      <c r="R879" s="297"/>
      <c r="S879" s="302"/>
      <c r="T879" s="302"/>
      <c r="U879" s="303"/>
    </row>
    <row r="880" spans="1:25" ht="25.5" x14ac:dyDescent="0.2">
      <c r="A880" s="212" t="str">
        <f>HYPERLINK(V880,B880)</f>
        <v>BetCode</v>
      </c>
      <c r="B880" s="283" t="s">
        <v>10308</v>
      </c>
      <c r="C880" s="284" t="s">
        <v>15469</v>
      </c>
      <c r="D880" s="285"/>
      <c r="E880" s="286"/>
      <c r="F880" s="287" t="s">
        <v>15470</v>
      </c>
      <c r="G880" s="286"/>
      <c r="H880" s="286"/>
      <c r="I880" s="288"/>
      <c r="J880" s="289"/>
      <c r="K880" s="290"/>
      <c r="L880" s="371" t="str">
        <f>HYPERLINK("[#]DatatypeListedValues!B5539:H5539","«enumeration»")</f>
        <v>«enumeration»</v>
      </c>
      <c r="M880" s="287" t="s">
        <v>6582</v>
      </c>
      <c r="N880" s="291" t="b">
        <v>0</v>
      </c>
      <c r="O880" s="286"/>
      <c r="P880" s="292"/>
      <c r="Q880" s="286"/>
      <c r="R880" s="286"/>
      <c r="S880" s="293"/>
      <c r="T880" s="294"/>
      <c r="U880" s="37">
        <v>1130</v>
      </c>
      <c r="V880" s="36" t="str">
        <f>CONCATENATE(Cover!$D$6,"fdd/view?i=",U880)</f>
        <v>https://www.dgiwg.org/FAD/fdd/view?i=1130</v>
      </c>
      <c r="W880" s="172"/>
      <c r="X880" s="172"/>
      <c r="Y880" s="172"/>
    </row>
    <row r="881" spans="1:25" ht="2.1" customHeight="1" x14ac:dyDescent="0.2">
      <c r="A881" s="295"/>
      <c r="B881" s="283"/>
      <c r="C881" s="296"/>
      <c r="D881" s="283"/>
      <c r="E881" s="296"/>
      <c r="F881" s="297"/>
      <c r="G881" s="297"/>
      <c r="H881" s="297"/>
      <c r="I881" s="298"/>
      <c r="J881" s="304"/>
      <c r="K881" s="300"/>
      <c r="L881" s="301"/>
      <c r="M881" s="297" t="s">
        <v>6582</v>
      </c>
      <c r="N881" s="297"/>
      <c r="O881" s="297"/>
      <c r="P881" s="297"/>
      <c r="Q881" s="297"/>
      <c r="R881" s="297"/>
      <c r="S881" s="302"/>
      <c r="T881" s="302"/>
      <c r="U881" s="303"/>
    </row>
    <row r="882" spans="1:25" ht="25.5" x14ac:dyDescent="0.2">
      <c r="A882" s="212" t="str">
        <f>HYPERLINK(V882,B882)</f>
        <v>LafCode</v>
      </c>
      <c r="B882" s="283" t="s">
        <v>10313</v>
      </c>
      <c r="C882" s="284" t="s">
        <v>15471</v>
      </c>
      <c r="D882" s="285"/>
      <c r="E882" s="286"/>
      <c r="F882" s="287" t="s">
        <v>15472</v>
      </c>
      <c r="G882" s="286"/>
      <c r="H882" s="286"/>
      <c r="I882" s="288"/>
      <c r="J882" s="289"/>
      <c r="K882" s="290"/>
      <c r="L882" s="371" t="str">
        <f>HYPERLINK("[#]DatatypeListedValues!B5620:H5620","«enumeration»")</f>
        <v>«enumeration»</v>
      </c>
      <c r="M882" s="287" t="s">
        <v>6582</v>
      </c>
      <c r="N882" s="291" t="b">
        <v>0</v>
      </c>
      <c r="O882" s="286"/>
      <c r="P882" s="292"/>
      <c r="Q882" s="286"/>
      <c r="R882" s="286"/>
      <c r="S882" s="293"/>
      <c r="T882" s="294"/>
      <c r="U882" s="37">
        <v>1277</v>
      </c>
      <c r="V882" s="36" t="str">
        <f>CONCATENATE(Cover!$D$6,"fdd/view?i=",U882)</f>
        <v>https://www.dgiwg.org/FAD/fdd/view?i=1277</v>
      </c>
      <c r="W882" s="172"/>
      <c r="X882" s="172"/>
      <c r="Y882" s="172"/>
    </row>
    <row r="883" spans="1:25" ht="2.1" customHeight="1" x14ac:dyDescent="0.2">
      <c r="A883" s="295"/>
      <c r="B883" s="283"/>
      <c r="C883" s="296"/>
      <c r="D883" s="283"/>
      <c r="E883" s="296"/>
      <c r="F883" s="297"/>
      <c r="G883" s="297"/>
      <c r="H883" s="297"/>
      <c r="I883" s="298"/>
      <c r="J883" s="304"/>
      <c r="K883" s="300"/>
      <c r="L883" s="301"/>
      <c r="M883" s="297" t="s">
        <v>6582</v>
      </c>
      <c r="N883" s="297"/>
      <c r="O883" s="297"/>
      <c r="P883" s="297"/>
      <c r="Q883" s="297"/>
      <c r="R883" s="297"/>
      <c r="S883" s="302"/>
      <c r="T883" s="302"/>
      <c r="U883" s="303"/>
    </row>
    <row r="884" spans="1:25" ht="25.5" x14ac:dyDescent="0.2">
      <c r="A884" s="212" t="str">
        <f>HYPERLINK(V884,B884)</f>
        <v>MnrCode</v>
      </c>
      <c r="B884" s="283" t="s">
        <v>10323</v>
      </c>
      <c r="C884" s="284" t="s">
        <v>15473</v>
      </c>
      <c r="D884" s="285"/>
      <c r="E884" s="286"/>
      <c r="F884" s="287" t="s">
        <v>15474</v>
      </c>
      <c r="G884" s="286"/>
      <c r="H884" s="286"/>
      <c r="I884" s="288"/>
      <c r="J884" s="289"/>
      <c r="K884" s="290"/>
      <c r="L884" s="371" t="str">
        <f>HYPERLINK("[#]DatatypeListedValues!B5629:H5629","«enumeration»")</f>
        <v>«enumeration»</v>
      </c>
      <c r="M884" s="287" t="s">
        <v>6582</v>
      </c>
      <c r="N884" s="291" t="b">
        <v>0</v>
      </c>
      <c r="O884" s="286"/>
      <c r="P884" s="292"/>
      <c r="Q884" s="286"/>
      <c r="R884" s="286"/>
      <c r="S884" s="293"/>
      <c r="T884" s="294"/>
      <c r="U884" s="37">
        <v>1617</v>
      </c>
      <c r="V884" s="36" t="str">
        <f>CONCATENATE(Cover!$D$6,"fdd/view?i=",U884)</f>
        <v>https://www.dgiwg.org/FAD/fdd/view?i=1617</v>
      </c>
      <c r="W884" s="172"/>
      <c r="X884" s="172"/>
      <c r="Y884" s="172"/>
    </row>
    <row r="885" spans="1:25" ht="2.1" customHeight="1" x14ac:dyDescent="0.2">
      <c r="A885" s="295"/>
      <c r="B885" s="283"/>
      <c r="C885" s="296"/>
      <c r="D885" s="283"/>
      <c r="E885" s="296"/>
      <c r="F885" s="297"/>
      <c r="G885" s="297"/>
      <c r="H885" s="297"/>
      <c r="I885" s="298"/>
      <c r="J885" s="304"/>
      <c r="K885" s="300"/>
      <c r="L885" s="301"/>
      <c r="M885" s="297" t="s">
        <v>6582</v>
      </c>
      <c r="N885" s="297"/>
      <c r="O885" s="297"/>
      <c r="P885" s="297"/>
      <c r="Q885" s="297"/>
      <c r="R885" s="297"/>
      <c r="S885" s="302"/>
      <c r="T885" s="302"/>
      <c r="U885" s="303"/>
    </row>
    <row r="886" spans="1:25" ht="25.5" x14ac:dyDescent="0.2">
      <c r="A886" s="212" t="str">
        <f>HYPERLINK(V886,B886)</f>
        <v>MrtCode</v>
      </c>
      <c r="B886" s="283" t="s">
        <v>10334</v>
      </c>
      <c r="C886" s="284" t="s">
        <v>15475</v>
      </c>
      <c r="D886" s="285"/>
      <c r="E886" s="286"/>
      <c r="F886" s="287" t="s">
        <v>15476</v>
      </c>
      <c r="G886" s="286"/>
      <c r="H886" s="286"/>
      <c r="I886" s="288"/>
      <c r="J886" s="289"/>
      <c r="K886" s="290"/>
      <c r="L886" s="371" t="str">
        <f>HYPERLINK("[#]DatatypeListedValues!B5659:H5659","«enumeration»")</f>
        <v>«enumeration»</v>
      </c>
      <c r="M886" s="287" t="s">
        <v>6582</v>
      </c>
      <c r="N886" s="291" t="b">
        <v>0</v>
      </c>
      <c r="O886" s="286"/>
      <c r="P886" s="292"/>
      <c r="Q886" s="286"/>
      <c r="R886" s="286"/>
      <c r="S886" s="293"/>
      <c r="T886" s="294"/>
      <c r="U886" s="37">
        <v>114248</v>
      </c>
      <c r="V886" s="36" t="str">
        <f>CONCATENATE(Cover!$D$6,"fdd/view?i=",U886)</f>
        <v>https://www.dgiwg.org/FAD/fdd/view?i=114248</v>
      </c>
      <c r="W886" s="172"/>
      <c r="X886" s="172"/>
      <c r="Y886" s="172"/>
    </row>
    <row r="887" spans="1:25" ht="2.1" customHeight="1" x14ac:dyDescent="0.2">
      <c r="A887" s="295"/>
      <c r="B887" s="283"/>
      <c r="C887" s="296"/>
      <c r="D887" s="283"/>
      <c r="E887" s="296"/>
      <c r="F887" s="297"/>
      <c r="G887" s="297"/>
      <c r="H887" s="297"/>
      <c r="I887" s="298"/>
      <c r="J887" s="304"/>
      <c r="K887" s="300"/>
      <c r="L887" s="301"/>
      <c r="M887" s="297" t="s">
        <v>6582</v>
      </c>
      <c r="N887" s="297"/>
      <c r="O887" s="297"/>
      <c r="P887" s="297"/>
      <c r="Q887" s="297"/>
      <c r="R887" s="297"/>
      <c r="S887" s="302"/>
      <c r="T887" s="302"/>
      <c r="U887" s="303"/>
    </row>
    <row r="888" spans="1:25" ht="25.5" x14ac:dyDescent="0.2">
      <c r="A888" s="212" t="str">
        <f>HYPERLINK(V888,B888)</f>
        <v>StaCode</v>
      </c>
      <c r="B888" s="283" t="s">
        <v>10339</v>
      </c>
      <c r="C888" s="284" t="s">
        <v>15477</v>
      </c>
      <c r="D888" s="285"/>
      <c r="E888" s="286"/>
      <c r="F888" s="287" t="s">
        <v>15478</v>
      </c>
      <c r="G888" s="286"/>
      <c r="H888" s="286"/>
      <c r="I888" s="288"/>
      <c r="J888" s="289"/>
      <c r="K888" s="290"/>
      <c r="L888" s="371" t="str">
        <f>HYPERLINK("[#]DatatypeListedValues!B5668:H5668","«enumeration»")</f>
        <v>«enumeration»</v>
      </c>
      <c r="M888" s="287" t="s">
        <v>6582</v>
      </c>
      <c r="N888" s="291" t="b">
        <v>0</v>
      </c>
      <c r="O888" s="286"/>
      <c r="P888" s="292"/>
      <c r="Q888" s="286"/>
      <c r="R888" s="286"/>
      <c r="S888" s="293"/>
      <c r="T888" s="294"/>
      <c r="U888" s="37">
        <v>1468</v>
      </c>
      <c r="V888" s="36" t="str">
        <f>CONCATENATE(Cover!$D$6,"fdd/view?i=",U888)</f>
        <v>https://www.dgiwg.org/FAD/fdd/view?i=1468</v>
      </c>
      <c r="W888" s="172"/>
      <c r="X888" s="172"/>
      <c r="Y888" s="172"/>
    </row>
    <row r="889" spans="1:25" ht="2.1" customHeight="1" x14ac:dyDescent="0.2">
      <c r="A889" s="295"/>
      <c r="B889" s="283"/>
      <c r="C889" s="296"/>
      <c r="D889" s="283"/>
      <c r="E889" s="296"/>
      <c r="F889" s="297"/>
      <c r="G889" s="297"/>
      <c r="H889" s="297"/>
      <c r="I889" s="298"/>
      <c r="J889" s="304"/>
      <c r="K889" s="300"/>
      <c r="L889" s="301"/>
      <c r="M889" s="297" t="s">
        <v>6582</v>
      </c>
      <c r="N889" s="297"/>
      <c r="O889" s="297"/>
      <c r="P889" s="297"/>
      <c r="Q889" s="297"/>
      <c r="R889" s="297"/>
      <c r="S889" s="302"/>
      <c r="T889" s="302"/>
      <c r="U889" s="303"/>
    </row>
    <row r="890" spans="1:25" ht="25.5" x14ac:dyDescent="0.2">
      <c r="A890" s="212" t="str">
        <f>HYPERLINK(V890,B890)</f>
        <v>StiCode</v>
      </c>
      <c r="B890" s="283" t="s">
        <v>10344</v>
      </c>
      <c r="C890" s="284" t="s">
        <v>15479</v>
      </c>
      <c r="D890" s="285"/>
      <c r="E890" s="286"/>
      <c r="F890" s="287" t="s">
        <v>15480</v>
      </c>
      <c r="G890" s="286"/>
      <c r="H890" s="286"/>
      <c r="I890" s="288"/>
      <c r="J890" s="289"/>
      <c r="K890" s="290"/>
      <c r="L890" s="371" t="str">
        <f>HYPERLINK("[#]DatatypeListedValues!B5693:H5693","«enumeration»")</f>
        <v>«enumeration»</v>
      </c>
      <c r="M890" s="287" t="s">
        <v>6582</v>
      </c>
      <c r="N890" s="291" t="b">
        <v>0</v>
      </c>
      <c r="O890" s="286"/>
      <c r="P890" s="292"/>
      <c r="Q890" s="286"/>
      <c r="R890" s="286"/>
      <c r="S890" s="293"/>
      <c r="T890" s="294"/>
      <c r="U890" s="37">
        <v>1919</v>
      </c>
      <c r="V890" s="36" t="str">
        <f>CONCATENATE(Cover!$D$6,"fdd/view?i=",U890)</f>
        <v>https://www.dgiwg.org/FAD/fdd/view?i=1919</v>
      </c>
      <c r="W890" s="172"/>
      <c r="X890" s="172"/>
      <c r="Y890" s="172"/>
    </row>
    <row r="891" spans="1:25" ht="2.1" customHeight="1" x14ac:dyDescent="0.2">
      <c r="A891" s="295"/>
      <c r="B891" s="283"/>
      <c r="C891" s="296"/>
      <c r="D891" s="283"/>
      <c r="E891" s="296"/>
      <c r="F891" s="297"/>
      <c r="G891" s="297"/>
      <c r="H891" s="297"/>
      <c r="I891" s="298"/>
      <c r="J891" s="304"/>
      <c r="K891" s="300"/>
      <c r="L891" s="301"/>
      <c r="M891" s="297" t="s">
        <v>6582</v>
      </c>
      <c r="N891" s="297"/>
      <c r="O891" s="297"/>
      <c r="P891" s="297"/>
      <c r="Q891" s="297"/>
      <c r="R891" s="297"/>
      <c r="S891" s="302"/>
      <c r="T891" s="302"/>
      <c r="U891" s="303"/>
    </row>
    <row r="892" spans="1:25" ht="25.5" x14ac:dyDescent="0.2">
      <c r="A892" s="212" t="str">
        <f>HYPERLINK(V892,B892)</f>
        <v>MttCode</v>
      </c>
      <c r="B892" s="283" t="s">
        <v>10349</v>
      </c>
      <c r="C892" s="284" t="s">
        <v>15481</v>
      </c>
      <c r="D892" s="285"/>
      <c r="E892" s="286"/>
      <c r="F892" s="287" t="s">
        <v>15482</v>
      </c>
      <c r="G892" s="286"/>
      <c r="H892" s="286"/>
      <c r="I892" s="288"/>
      <c r="J892" s="289"/>
      <c r="K892" s="290"/>
      <c r="L892" s="371" t="str">
        <f>HYPERLINK("[#]DatatypeListedValues!B5702:H5702","«enumeration»")</f>
        <v>«enumeration»</v>
      </c>
      <c r="M892" s="287" t="s">
        <v>6582</v>
      </c>
      <c r="N892" s="291" t="b">
        <v>0</v>
      </c>
      <c r="O892" s="286"/>
      <c r="P892" s="292"/>
      <c r="Q892" s="286"/>
      <c r="R892" s="286"/>
      <c r="S892" s="293"/>
      <c r="T892" s="294"/>
      <c r="U892" s="37">
        <v>1332</v>
      </c>
      <c r="V892" s="36" t="str">
        <f>CONCATENATE(Cover!$D$6,"fdd/view?i=",U892)</f>
        <v>https://www.dgiwg.org/FAD/fdd/view?i=1332</v>
      </c>
      <c r="W892" s="172"/>
      <c r="X892" s="172"/>
      <c r="Y892" s="172"/>
    </row>
    <row r="893" spans="1:25" ht="2.1" customHeight="1" x14ac:dyDescent="0.2">
      <c r="A893" s="295"/>
      <c r="B893" s="283"/>
      <c r="C893" s="296"/>
      <c r="D893" s="283"/>
      <c r="E893" s="296"/>
      <c r="F893" s="297"/>
      <c r="G893" s="297"/>
      <c r="H893" s="297"/>
      <c r="I893" s="298"/>
      <c r="J893" s="304"/>
      <c r="K893" s="300"/>
      <c r="L893" s="301"/>
      <c r="M893" s="297" t="s">
        <v>6582</v>
      </c>
      <c r="N893" s="297"/>
      <c r="O893" s="297"/>
      <c r="P893" s="297"/>
      <c r="Q893" s="297"/>
      <c r="R893" s="297"/>
      <c r="S893" s="302"/>
      <c r="T893" s="302"/>
      <c r="U893" s="303"/>
    </row>
    <row r="894" spans="1:25" ht="38.25" x14ac:dyDescent="0.2">
      <c r="A894" s="212" t="str">
        <f>HYPERLINK(V894,B894)</f>
        <v>TspCode</v>
      </c>
      <c r="B894" s="283" t="s">
        <v>10355</v>
      </c>
      <c r="C894" s="284" t="s">
        <v>15483</v>
      </c>
      <c r="D894" s="285"/>
      <c r="E894" s="286"/>
      <c r="F894" s="287" t="s">
        <v>15484</v>
      </c>
      <c r="G894" s="286"/>
      <c r="H894" s="286"/>
      <c r="I894" s="288"/>
      <c r="J894" s="289"/>
      <c r="K894" s="290"/>
      <c r="L894" s="371" t="str">
        <f>HYPERLINK("[#]DatatypeListedValues!B5707:H5707","«enumeration»")</f>
        <v>«enumeration»</v>
      </c>
      <c r="M894" s="287" t="s">
        <v>6582</v>
      </c>
      <c r="N894" s="291" t="b">
        <v>0</v>
      </c>
      <c r="O894" s="286"/>
      <c r="P894" s="292"/>
      <c r="Q894" s="286"/>
      <c r="R894" s="286"/>
      <c r="S894" s="293"/>
      <c r="T894" s="294"/>
      <c r="U894" s="37">
        <v>1500</v>
      </c>
      <c r="V894" s="36" t="str">
        <f>CONCATENATE(Cover!$D$6,"fdd/view?i=",U894)</f>
        <v>https://www.dgiwg.org/FAD/fdd/view?i=1500</v>
      </c>
      <c r="W894" s="172"/>
      <c r="X894" s="172"/>
      <c r="Y894" s="172"/>
    </row>
    <row r="895" spans="1:25" ht="2.1" customHeight="1" x14ac:dyDescent="0.2">
      <c r="A895" s="295"/>
      <c r="B895" s="283"/>
      <c r="C895" s="296"/>
      <c r="D895" s="283"/>
      <c r="E895" s="296"/>
      <c r="F895" s="297"/>
      <c r="G895" s="297"/>
      <c r="H895" s="297"/>
      <c r="I895" s="298"/>
      <c r="J895" s="304"/>
      <c r="K895" s="300"/>
      <c r="L895" s="301"/>
      <c r="M895" s="297" t="s">
        <v>6582</v>
      </c>
      <c r="N895" s="297"/>
      <c r="O895" s="297"/>
      <c r="P895" s="297"/>
      <c r="Q895" s="297"/>
      <c r="R895" s="297"/>
      <c r="S895" s="302"/>
      <c r="T895" s="302"/>
      <c r="U895" s="303"/>
    </row>
    <row r="896" spans="1:25" ht="25.5" x14ac:dyDescent="0.2">
      <c r="A896" s="212" t="str">
        <f>HYPERLINK(V896,B896)</f>
        <v>MclCode</v>
      </c>
      <c r="B896" s="283" t="s">
        <v>10362</v>
      </c>
      <c r="C896" s="284" t="s">
        <v>15485</v>
      </c>
      <c r="D896" s="285"/>
      <c r="E896" s="286"/>
      <c r="F896" s="287" t="s">
        <v>15486</v>
      </c>
      <c r="G896" s="286"/>
      <c r="H896" s="286"/>
      <c r="I896" s="288"/>
      <c r="J896" s="289"/>
      <c r="K896" s="290"/>
      <c r="L896" s="371" t="str">
        <f>HYPERLINK("[#]DatatypeListedValues!B5718:H5718","«enumeration»")</f>
        <v>«enumeration»</v>
      </c>
      <c r="M896" s="287" t="s">
        <v>6582</v>
      </c>
      <c r="N896" s="291" t="b">
        <v>0</v>
      </c>
      <c r="O896" s="286"/>
      <c r="P896" s="292"/>
      <c r="Q896" s="286"/>
      <c r="R896" s="286"/>
      <c r="S896" s="293"/>
      <c r="T896" s="294"/>
      <c r="U896" s="37">
        <v>117391</v>
      </c>
      <c r="V896" s="36" t="str">
        <f>CONCATENATE(Cover!$D$6,"fdd/view?i=",U896)</f>
        <v>https://www.dgiwg.org/FAD/fdd/view?i=117391</v>
      </c>
      <c r="W896" s="172"/>
      <c r="X896" s="172"/>
      <c r="Y896" s="172"/>
    </row>
    <row r="897" spans="1:25" ht="2.1" customHeight="1" x14ac:dyDescent="0.2">
      <c r="A897" s="295"/>
      <c r="B897" s="283"/>
      <c r="C897" s="296"/>
      <c r="D897" s="283"/>
      <c r="E897" s="296"/>
      <c r="F897" s="297"/>
      <c r="G897" s="297"/>
      <c r="H897" s="297"/>
      <c r="I897" s="298"/>
      <c r="J897" s="304"/>
      <c r="K897" s="300"/>
      <c r="L897" s="301"/>
      <c r="M897" s="297" t="s">
        <v>6582</v>
      </c>
      <c r="N897" s="297"/>
      <c r="O897" s="297"/>
      <c r="P897" s="297"/>
      <c r="Q897" s="297"/>
      <c r="R897" s="297"/>
      <c r="S897" s="302"/>
      <c r="T897" s="302"/>
      <c r="U897" s="303"/>
    </row>
    <row r="898" spans="1:25" ht="25.5" x14ac:dyDescent="0.2">
      <c r="A898" s="212" t="str">
        <f>HYPERLINK(V898,B898)</f>
        <v>MbtCode</v>
      </c>
      <c r="B898" s="283" t="s">
        <v>10368</v>
      </c>
      <c r="C898" s="284" t="s">
        <v>15487</v>
      </c>
      <c r="D898" s="285"/>
      <c r="E898" s="286"/>
      <c r="F898" s="287" t="s">
        <v>15488</v>
      </c>
      <c r="G898" s="286"/>
      <c r="H898" s="286"/>
      <c r="I898" s="288"/>
      <c r="J898" s="289"/>
      <c r="K898" s="290"/>
      <c r="L898" s="371" t="str">
        <f>HYPERLINK("[#]DatatypeListedValues!B5722:H5722","«enumeration»")</f>
        <v>«enumeration»</v>
      </c>
      <c r="M898" s="287" t="s">
        <v>6582</v>
      </c>
      <c r="N898" s="291" t="b">
        <v>0</v>
      </c>
      <c r="O898" s="286"/>
      <c r="P898" s="292"/>
      <c r="Q898" s="286"/>
      <c r="R898" s="286"/>
      <c r="S898" s="293"/>
      <c r="T898" s="294"/>
      <c r="U898" s="37">
        <v>117390</v>
      </c>
      <c r="V898" s="36" t="str">
        <f>CONCATENATE(Cover!$D$6,"fdd/view?i=",U898)</f>
        <v>https://www.dgiwg.org/FAD/fdd/view?i=117390</v>
      </c>
      <c r="W898" s="172"/>
      <c r="X898" s="172"/>
      <c r="Y898" s="172"/>
    </row>
    <row r="899" spans="1:25" ht="2.1" customHeight="1" x14ac:dyDescent="0.2">
      <c r="A899" s="295"/>
      <c r="B899" s="283"/>
      <c r="C899" s="296"/>
      <c r="D899" s="283"/>
      <c r="E899" s="296"/>
      <c r="F899" s="297"/>
      <c r="G899" s="297"/>
      <c r="H899" s="297"/>
      <c r="I899" s="298"/>
      <c r="J899" s="304"/>
      <c r="K899" s="300"/>
      <c r="L899" s="301"/>
      <c r="M899" s="297" t="s">
        <v>6582</v>
      </c>
      <c r="N899" s="297"/>
      <c r="O899" s="297"/>
      <c r="P899" s="297"/>
      <c r="Q899" s="297"/>
      <c r="R899" s="297"/>
      <c r="S899" s="302"/>
      <c r="T899" s="302"/>
      <c r="U899" s="303"/>
    </row>
    <row r="900" spans="1:25" ht="25.5" x14ac:dyDescent="0.2">
      <c r="A900" s="212" t="str">
        <f>HYPERLINK(V900,B900)</f>
        <v>MtyCode</v>
      </c>
      <c r="B900" s="283" t="s">
        <v>10373</v>
      </c>
      <c r="C900" s="284" t="s">
        <v>15489</v>
      </c>
      <c r="D900" s="285"/>
      <c r="E900" s="286"/>
      <c r="F900" s="287" t="s">
        <v>15490</v>
      </c>
      <c r="G900" s="286"/>
      <c r="H900" s="286"/>
      <c r="I900" s="288"/>
      <c r="J900" s="289"/>
      <c r="K900" s="290"/>
      <c r="L900" s="371" t="str">
        <f>HYPERLINK("[#]DatatypeListedValues!B5726:H5726","«enumeration»")</f>
        <v>«enumeration»</v>
      </c>
      <c r="M900" s="287" t="s">
        <v>6582</v>
      </c>
      <c r="N900" s="291" t="b">
        <v>0</v>
      </c>
      <c r="O900" s="286"/>
      <c r="P900" s="292"/>
      <c r="Q900" s="286"/>
      <c r="R900" s="286"/>
      <c r="S900" s="293"/>
      <c r="T900" s="294"/>
      <c r="U900" s="37">
        <v>1587</v>
      </c>
      <c r="V900" s="36" t="str">
        <f>CONCATENATE(Cover!$D$6,"fdd/view?i=",U900)</f>
        <v>https://www.dgiwg.org/FAD/fdd/view?i=1587</v>
      </c>
      <c r="W900" s="172"/>
      <c r="X900" s="172"/>
      <c r="Y900" s="172"/>
    </row>
    <row r="901" spans="1:25" ht="2.1" customHeight="1" x14ac:dyDescent="0.2">
      <c r="A901" s="295"/>
      <c r="B901" s="283"/>
      <c r="C901" s="296"/>
      <c r="D901" s="283"/>
      <c r="E901" s="296"/>
      <c r="F901" s="297"/>
      <c r="G901" s="297"/>
      <c r="H901" s="297"/>
      <c r="I901" s="298"/>
      <c r="J901" s="304"/>
      <c r="K901" s="300"/>
      <c r="L901" s="301"/>
      <c r="M901" s="297" t="s">
        <v>6582</v>
      </c>
      <c r="N901" s="297"/>
      <c r="O901" s="297"/>
      <c r="P901" s="297"/>
      <c r="Q901" s="297"/>
      <c r="R901" s="297"/>
      <c r="S901" s="302"/>
      <c r="T901" s="302"/>
      <c r="U901" s="303"/>
    </row>
    <row r="902" spans="1:25" ht="25.5" x14ac:dyDescent="0.2">
      <c r="A902" s="212" t="str">
        <f>HYPERLINK(V902,B902)</f>
        <v>MtcCode</v>
      </c>
      <c r="B902" s="283" t="s">
        <v>10378</v>
      </c>
      <c r="C902" s="284" t="s">
        <v>15491</v>
      </c>
      <c r="D902" s="285"/>
      <c r="E902" s="286"/>
      <c r="F902" s="287" t="s">
        <v>15492</v>
      </c>
      <c r="G902" s="286"/>
      <c r="H902" s="286"/>
      <c r="I902" s="288"/>
      <c r="J902" s="289"/>
      <c r="K902" s="290"/>
      <c r="L902" s="371" t="str">
        <f>HYPERLINK("[#]DatatypeListedValues!B5729:H5729","«enumeration»")</f>
        <v>«enumeration»</v>
      </c>
      <c r="M902" s="287" t="s">
        <v>6582</v>
      </c>
      <c r="N902" s="291" t="b">
        <v>0</v>
      </c>
      <c r="O902" s="286"/>
      <c r="P902" s="292"/>
      <c r="Q902" s="286"/>
      <c r="R902" s="286"/>
      <c r="S902" s="293"/>
      <c r="T902" s="294"/>
      <c r="U902" s="37">
        <v>118637</v>
      </c>
      <c r="V902" s="36" t="str">
        <f>CONCATENATE(Cover!$D$6,"fdd/view?i=",U902)</f>
        <v>https://www.dgiwg.org/FAD/fdd/view?i=118637</v>
      </c>
      <c r="W902" s="172"/>
      <c r="X902" s="172"/>
      <c r="Y902" s="172"/>
    </row>
    <row r="903" spans="1:25" ht="2.1" customHeight="1" x14ac:dyDescent="0.2">
      <c r="A903" s="295"/>
      <c r="B903" s="283"/>
      <c r="C903" s="296"/>
      <c r="D903" s="283"/>
      <c r="E903" s="296"/>
      <c r="F903" s="297"/>
      <c r="G903" s="297"/>
      <c r="H903" s="297"/>
      <c r="I903" s="298"/>
      <c r="J903" s="304"/>
      <c r="K903" s="300"/>
      <c r="L903" s="301"/>
      <c r="M903" s="297" t="s">
        <v>6582</v>
      </c>
      <c r="N903" s="297"/>
      <c r="O903" s="297"/>
      <c r="P903" s="297"/>
      <c r="Q903" s="297"/>
      <c r="R903" s="297"/>
      <c r="S903" s="302"/>
      <c r="T903" s="302"/>
      <c r="U903" s="303"/>
    </row>
    <row r="904" spans="1:25" ht="25.5" x14ac:dyDescent="0.2">
      <c r="A904" s="212" t="str">
        <f>HYPERLINK(V904,B904)</f>
        <v>MhfCode</v>
      </c>
      <c r="B904" s="283" t="s">
        <v>10383</v>
      </c>
      <c r="C904" s="284" t="s">
        <v>15493</v>
      </c>
      <c r="D904" s="285"/>
      <c r="E904" s="286"/>
      <c r="F904" s="287" t="s">
        <v>15494</v>
      </c>
      <c r="G904" s="286"/>
      <c r="H904" s="286"/>
      <c r="I904" s="288"/>
      <c r="J904" s="289"/>
      <c r="K904" s="290"/>
      <c r="L904" s="371" t="str">
        <f>HYPERLINK("[#]DatatypeListedValues!B5733:H5733","«enumeration»")</f>
        <v>«enumeration»</v>
      </c>
      <c r="M904" s="287" t="s">
        <v>6582</v>
      </c>
      <c r="N904" s="291" t="b">
        <v>0</v>
      </c>
      <c r="O904" s="286"/>
      <c r="P904" s="292"/>
      <c r="Q904" s="286"/>
      <c r="R904" s="286"/>
      <c r="S904" s="293"/>
      <c r="T904" s="294"/>
      <c r="U904" s="37">
        <v>1302</v>
      </c>
      <c r="V904" s="36" t="str">
        <f>CONCATENATE(Cover!$D$6,"fdd/view?i=",U904)</f>
        <v>https://www.dgiwg.org/FAD/fdd/view?i=1302</v>
      </c>
      <c r="W904" s="172"/>
      <c r="X904" s="172"/>
      <c r="Y904" s="172"/>
    </row>
    <row r="905" spans="1:25" ht="2.1" customHeight="1" x14ac:dyDescent="0.2">
      <c r="A905" s="295"/>
      <c r="B905" s="283"/>
      <c r="C905" s="296"/>
      <c r="D905" s="283"/>
      <c r="E905" s="296"/>
      <c r="F905" s="297"/>
      <c r="G905" s="297"/>
      <c r="H905" s="297"/>
      <c r="I905" s="298"/>
      <c r="J905" s="304"/>
      <c r="K905" s="300"/>
      <c r="L905" s="301"/>
      <c r="M905" s="297" t="s">
        <v>6582</v>
      </c>
      <c r="N905" s="297"/>
      <c r="O905" s="297"/>
      <c r="P905" s="297"/>
      <c r="Q905" s="297"/>
      <c r="R905" s="297"/>
      <c r="S905" s="302"/>
      <c r="T905" s="302"/>
      <c r="U905" s="303"/>
    </row>
    <row r="906" spans="1:25" ht="25.5" x14ac:dyDescent="0.2">
      <c r="A906" s="212" t="str">
        <f>HYPERLINK(V906,B906)</f>
        <v>MelCode</v>
      </c>
      <c r="B906" s="283" t="s">
        <v>10461</v>
      </c>
      <c r="C906" s="284" t="s">
        <v>15495</v>
      </c>
      <c r="D906" s="285"/>
      <c r="E906" s="286"/>
      <c r="F906" s="287" t="s">
        <v>15496</v>
      </c>
      <c r="G906" s="286"/>
      <c r="H906" s="286"/>
      <c r="I906" s="288"/>
      <c r="J906" s="289"/>
      <c r="K906" s="290"/>
      <c r="L906" s="371" t="str">
        <f>HYPERLINK("[#]DatatypeListedValues!B5749:H5749","«enumeration»")</f>
        <v>«enumeration»</v>
      </c>
      <c r="M906" s="287" t="s">
        <v>6582</v>
      </c>
      <c r="N906" s="291" t="b">
        <v>0</v>
      </c>
      <c r="O906" s="286"/>
      <c r="P906" s="292"/>
      <c r="Q906" s="286"/>
      <c r="R906" s="286"/>
      <c r="S906" s="293"/>
      <c r="T906" s="294"/>
      <c r="U906" s="37">
        <v>119426</v>
      </c>
      <c r="V906" s="36" t="str">
        <f>CONCATENATE(Cover!$D$6,"fdd/view?i=",U906)</f>
        <v>https://www.dgiwg.org/FAD/fdd/view?i=119426</v>
      </c>
      <c r="W906" s="172"/>
      <c r="X906" s="172"/>
      <c r="Y906" s="172"/>
    </row>
    <row r="907" spans="1:25" ht="2.1" customHeight="1" x14ac:dyDescent="0.2">
      <c r="A907" s="295"/>
      <c r="B907" s="283"/>
      <c r="C907" s="296"/>
      <c r="D907" s="283"/>
      <c r="E907" s="296"/>
      <c r="F907" s="297"/>
      <c r="G907" s="297"/>
      <c r="H907" s="297"/>
      <c r="I907" s="298"/>
      <c r="J907" s="304"/>
      <c r="K907" s="300"/>
      <c r="L907" s="301"/>
      <c r="M907" s="297" t="s">
        <v>6582</v>
      </c>
      <c r="N907" s="297"/>
      <c r="O907" s="297"/>
      <c r="P907" s="297"/>
      <c r="Q907" s="297"/>
      <c r="R907" s="297"/>
      <c r="S907" s="302"/>
      <c r="T907" s="302"/>
      <c r="U907" s="303"/>
    </row>
    <row r="908" spans="1:25" ht="25.5" x14ac:dyDescent="0.2">
      <c r="A908" s="212" t="str">
        <f>HYPERLINK(V908,B908)</f>
        <v>MetCode</v>
      </c>
      <c r="B908" s="283" t="s">
        <v>10471</v>
      </c>
      <c r="C908" s="284" t="s">
        <v>15497</v>
      </c>
      <c r="D908" s="285"/>
      <c r="E908" s="286"/>
      <c r="F908" s="287" t="s">
        <v>15498</v>
      </c>
      <c r="G908" s="286"/>
      <c r="H908" s="286"/>
      <c r="I908" s="288"/>
      <c r="J908" s="289"/>
      <c r="K908" s="290"/>
      <c r="L908" s="371" t="str">
        <f>HYPERLINK("[#]DatatypeListedValues!B5775:H5775","«enumeration»")</f>
        <v>«enumeration»</v>
      </c>
      <c r="M908" s="287" t="s">
        <v>6582</v>
      </c>
      <c r="N908" s="291" t="b">
        <v>0</v>
      </c>
      <c r="O908" s="286"/>
      <c r="P908" s="292"/>
      <c r="Q908" s="286"/>
      <c r="R908" s="286"/>
      <c r="S908" s="293"/>
      <c r="T908" s="294"/>
      <c r="U908" s="37">
        <v>1871</v>
      </c>
      <c r="V908" s="36" t="str">
        <f>CONCATENATE(Cover!$D$6,"fdd/view?i=",U908)</f>
        <v>https://www.dgiwg.org/FAD/fdd/view?i=1871</v>
      </c>
      <c r="W908" s="172"/>
      <c r="X908" s="172"/>
      <c r="Y908" s="172"/>
    </row>
    <row r="909" spans="1:25" ht="2.1" customHeight="1" x14ac:dyDescent="0.2">
      <c r="A909" s="295"/>
      <c r="B909" s="283"/>
      <c r="C909" s="296"/>
      <c r="D909" s="283"/>
      <c r="E909" s="296"/>
      <c r="F909" s="297"/>
      <c r="G909" s="297"/>
      <c r="H909" s="297"/>
      <c r="I909" s="298"/>
      <c r="J909" s="304"/>
      <c r="K909" s="300"/>
      <c r="L909" s="301"/>
      <c r="M909" s="297" t="s">
        <v>6582</v>
      </c>
      <c r="N909" s="297"/>
      <c r="O909" s="297"/>
      <c r="P909" s="297"/>
      <c r="Q909" s="297"/>
      <c r="R909" s="297"/>
      <c r="S909" s="302"/>
      <c r="T909" s="302"/>
      <c r="U909" s="303"/>
    </row>
    <row r="910" spans="1:25" ht="63.75" x14ac:dyDescent="0.2">
      <c r="A910" s="212" t="str">
        <f>HYPERLINK(V910,B910)</f>
        <v>MdaStrucText</v>
      </c>
      <c r="B910" s="283" t="s">
        <v>10484</v>
      </c>
      <c r="C910" s="284" t="s">
        <v>15499</v>
      </c>
      <c r="D910" s="285"/>
      <c r="E910" s="286"/>
      <c r="F910" s="287" t="s">
        <v>15500</v>
      </c>
      <c r="G910" s="286"/>
      <c r="H910" s="287" t="s">
        <v>14552</v>
      </c>
      <c r="I910" s="288"/>
      <c r="J910" s="289"/>
      <c r="K910" s="290"/>
      <c r="L910" s="287" t="s">
        <v>14551</v>
      </c>
      <c r="M910" s="287" t="s">
        <v>6582</v>
      </c>
      <c r="N910" s="286"/>
      <c r="O910" s="287">
        <v>8</v>
      </c>
      <c r="P910" s="305" t="b">
        <v>0</v>
      </c>
      <c r="Q910" s="287" t="s">
        <v>14806</v>
      </c>
      <c r="R910" s="286"/>
      <c r="S910" s="293"/>
      <c r="T910" s="294"/>
      <c r="U910" s="37">
        <v>114256</v>
      </c>
      <c r="V910" s="36" t="str">
        <f>CONCATENATE(Cover!$D$6,"fdd/view?i=",U910)</f>
        <v>https://www.dgiwg.org/FAD/fdd/view?i=114256</v>
      </c>
      <c r="W910" s="172"/>
      <c r="X910" s="172"/>
      <c r="Y910" s="172"/>
    </row>
    <row r="911" spans="1:25" ht="2.1" customHeight="1" x14ac:dyDescent="0.2">
      <c r="A911" s="295"/>
      <c r="B911" s="283"/>
      <c r="C911" s="296"/>
      <c r="D911" s="283"/>
      <c r="E911" s="296"/>
      <c r="F911" s="297"/>
      <c r="G911" s="297"/>
      <c r="H911" s="297"/>
      <c r="I911" s="298"/>
      <c r="J911" s="304"/>
      <c r="K911" s="300"/>
      <c r="L911" s="301"/>
      <c r="M911" s="297" t="s">
        <v>6582</v>
      </c>
      <c r="N911" s="297"/>
      <c r="O911" s="297"/>
      <c r="P911" s="297"/>
      <c r="Q911" s="297"/>
      <c r="R911" s="297"/>
      <c r="S911" s="302"/>
      <c r="T911" s="302"/>
      <c r="U911" s="303"/>
    </row>
    <row r="912" spans="1:25" ht="25.5" x14ac:dyDescent="0.2">
      <c r="A912" s="212" t="str">
        <f>HYPERLINK(V912,B912)</f>
        <v>MeoCode</v>
      </c>
      <c r="B912" s="283" t="s">
        <v>10494</v>
      </c>
      <c r="C912" s="284" t="s">
        <v>15501</v>
      </c>
      <c r="D912" s="285"/>
      <c r="E912" s="286"/>
      <c r="F912" s="287" t="s">
        <v>15502</v>
      </c>
      <c r="G912" s="286"/>
      <c r="H912" s="286"/>
      <c r="I912" s="288"/>
      <c r="J912" s="289"/>
      <c r="K912" s="290"/>
      <c r="L912" s="371" t="str">
        <f>HYPERLINK("[#]DatatypeListedValues!B5780:H5780","«enumeration»")</f>
        <v>«enumeration»</v>
      </c>
      <c r="M912" s="287" t="s">
        <v>6582</v>
      </c>
      <c r="N912" s="291" t="b">
        <v>0</v>
      </c>
      <c r="O912" s="286"/>
      <c r="P912" s="292"/>
      <c r="Q912" s="286"/>
      <c r="R912" s="286"/>
      <c r="S912" s="293"/>
      <c r="T912" s="294"/>
      <c r="U912" s="37">
        <v>1870</v>
      </c>
      <c r="V912" s="36" t="str">
        <f>CONCATENATE(Cover!$D$6,"fdd/view?i=",U912)</f>
        <v>https://www.dgiwg.org/FAD/fdd/view?i=1870</v>
      </c>
      <c r="W912" s="172"/>
      <c r="X912" s="172"/>
      <c r="Y912" s="172"/>
    </row>
    <row r="913" spans="1:25" ht="2.1" customHeight="1" x14ac:dyDescent="0.2">
      <c r="A913" s="295"/>
      <c r="B913" s="283"/>
      <c r="C913" s="296"/>
      <c r="D913" s="283"/>
      <c r="E913" s="296"/>
      <c r="F913" s="297"/>
      <c r="G913" s="297"/>
      <c r="H913" s="297"/>
      <c r="I913" s="298"/>
      <c r="J913" s="304"/>
      <c r="K913" s="300"/>
      <c r="L913" s="301"/>
      <c r="M913" s="297" t="s">
        <v>6582</v>
      </c>
      <c r="N913" s="297"/>
      <c r="O913" s="297"/>
      <c r="P913" s="297"/>
      <c r="Q913" s="297"/>
      <c r="R913" s="297"/>
      <c r="S913" s="302"/>
      <c r="T913" s="302"/>
      <c r="U913" s="303"/>
    </row>
    <row r="914" spans="1:25" ht="25.5" x14ac:dyDescent="0.2">
      <c r="A914" s="212" t="str">
        <f>HYPERLINK(V914,B914)</f>
        <v>CmlCode</v>
      </c>
      <c r="B914" s="283" t="s">
        <v>10500</v>
      </c>
      <c r="C914" s="284" t="s">
        <v>15503</v>
      </c>
      <c r="D914" s="285"/>
      <c r="E914" s="286"/>
      <c r="F914" s="287" t="s">
        <v>15504</v>
      </c>
      <c r="G914" s="286"/>
      <c r="H914" s="286"/>
      <c r="I914" s="288"/>
      <c r="J914" s="289"/>
      <c r="K914" s="290"/>
      <c r="L914" s="371" t="str">
        <f>HYPERLINK("[#]DatatypeListedValues!B5803:H5803","«enumeration»")</f>
        <v>«enumeration»</v>
      </c>
      <c r="M914" s="287" t="s">
        <v>6582</v>
      </c>
      <c r="N914" s="287" t="b">
        <v>1</v>
      </c>
      <c r="O914" s="286"/>
      <c r="P914" s="292"/>
      <c r="Q914" s="286"/>
      <c r="R914" s="286"/>
      <c r="S914" s="293"/>
      <c r="T914" s="294"/>
      <c r="U914" s="37">
        <v>117368</v>
      </c>
      <c r="V914" s="36" t="str">
        <f>CONCATENATE(Cover!$D$6,"fdd/view?i=",U914)</f>
        <v>https://www.dgiwg.org/FAD/fdd/view?i=117368</v>
      </c>
      <c r="W914" s="172"/>
      <c r="X914" s="172"/>
      <c r="Y914" s="172"/>
    </row>
    <row r="915" spans="1:25" ht="2.1" customHeight="1" x14ac:dyDescent="0.2">
      <c r="A915" s="295"/>
      <c r="B915" s="283"/>
      <c r="C915" s="296"/>
      <c r="D915" s="283"/>
      <c r="E915" s="296"/>
      <c r="F915" s="297"/>
      <c r="G915" s="297"/>
      <c r="H915" s="297"/>
      <c r="I915" s="298"/>
      <c r="J915" s="304"/>
      <c r="K915" s="300"/>
      <c r="L915" s="301"/>
      <c r="M915" s="297" t="s">
        <v>6582</v>
      </c>
      <c r="N915" s="297"/>
      <c r="O915" s="297"/>
      <c r="P915" s="297"/>
      <c r="Q915" s="297"/>
      <c r="R915" s="297"/>
      <c r="S915" s="302"/>
      <c r="T915" s="302"/>
      <c r="U915" s="303"/>
    </row>
    <row r="916" spans="1:25" ht="38.25" x14ac:dyDescent="0.2">
      <c r="A916" s="212" t="str">
        <f>HYPERLINK(V916,B916)</f>
        <v>MltCode</v>
      </c>
      <c r="B916" s="283" t="s">
        <v>10538</v>
      </c>
      <c r="C916" s="284" t="s">
        <v>15505</v>
      </c>
      <c r="D916" s="285"/>
      <c r="E916" s="286"/>
      <c r="F916" s="287" t="s">
        <v>15506</v>
      </c>
      <c r="G916" s="286"/>
      <c r="H916" s="286"/>
      <c r="I916" s="288"/>
      <c r="J916" s="289"/>
      <c r="K916" s="290"/>
      <c r="L916" s="371" t="str">
        <f>HYPERLINK("[#]DatatypeListedValues!B6003:H6003","«enumeration»")</f>
        <v>«enumeration»</v>
      </c>
      <c r="M916" s="287" t="s">
        <v>6582</v>
      </c>
      <c r="N916" s="291" t="b">
        <v>0</v>
      </c>
      <c r="O916" s="286"/>
      <c r="P916" s="292"/>
      <c r="Q916" s="286"/>
      <c r="R916" s="286"/>
      <c r="S916" s="293"/>
      <c r="T916" s="294"/>
      <c r="U916" s="37">
        <v>117392</v>
      </c>
      <c r="V916" s="36" t="str">
        <f>CONCATENATE(Cover!$D$6,"fdd/view?i=",U916)</f>
        <v>https://www.dgiwg.org/FAD/fdd/view?i=117392</v>
      </c>
      <c r="W916" s="172"/>
      <c r="X916" s="172"/>
      <c r="Y916" s="172"/>
    </row>
    <row r="917" spans="1:25" ht="2.1" customHeight="1" x14ac:dyDescent="0.2">
      <c r="A917" s="295"/>
      <c r="B917" s="283"/>
      <c r="C917" s="296"/>
      <c r="D917" s="283"/>
      <c r="E917" s="296"/>
      <c r="F917" s="297"/>
      <c r="G917" s="297"/>
      <c r="H917" s="297"/>
      <c r="I917" s="298"/>
      <c r="J917" s="304"/>
      <c r="K917" s="300"/>
      <c r="L917" s="301"/>
      <c r="M917" s="297" t="s">
        <v>6582</v>
      </c>
      <c r="N917" s="297"/>
      <c r="O917" s="297"/>
      <c r="P917" s="297"/>
      <c r="Q917" s="297"/>
      <c r="R917" s="297"/>
      <c r="S917" s="302"/>
      <c r="T917" s="302"/>
      <c r="U917" s="303"/>
    </row>
    <row r="918" spans="1:25" ht="25.5" x14ac:dyDescent="0.2">
      <c r="A918" s="212" t="str">
        <f>HYPERLINK(V918,B918)</f>
        <v>RfrCode</v>
      </c>
      <c r="B918" s="283" t="s">
        <v>10543</v>
      </c>
      <c r="C918" s="284" t="s">
        <v>15507</v>
      </c>
      <c r="D918" s="285"/>
      <c r="E918" s="286"/>
      <c r="F918" s="287" t="s">
        <v>15508</v>
      </c>
      <c r="G918" s="286"/>
      <c r="H918" s="286"/>
      <c r="I918" s="288"/>
      <c r="J918" s="289"/>
      <c r="K918" s="290"/>
      <c r="L918" s="371" t="str">
        <f>HYPERLINK("[#]DatatypeListedValues!B6005:H6005","«enumeration»")</f>
        <v>«enumeration»</v>
      </c>
      <c r="M918" s="287" t="s">
        <v>6582</v>
      </c>
      <c r="N918" s="291" t="b">
        <v>0</v>
      </c>
      <c r="O918" s="286"/>
      <c r="P918" s="292"/>
      <c r="Q918" s="286"/>
      <c r="R918" s="286"/>
      <c r="S918" s="293"/>
      <c r="T918" s="294"/>
      <c r="U918" s="37">
        <v>1905</v>
      </c>
      <c r="V918" s="36" t="str">
        <f>CONCATENATE(Cover!$D$6,"fdd/view?i=",U918)</f>
        <v>https://www.dgiwg.org/FAD/fdd/view?i=1905</v>
      </c>
      <c r="W918" s="172"/>
      <c r="X918" s="172"/>
      <c r="Y918" s="172"/>
    </row>
    <row r="919" spans="1:25" ht="2.1" customHeight="1" x14ac:dyDescent="0.2">
      <c r="A919" s="295"/>
      <c r="B919" s="283"/>
      <c r="C919" s="296"/>
      <c r="D919" s="283"/>
      <c r="E919" s="296"/>
      <c r="F919" s="297"/>
      <c r="G919" s="297"/>
      <c r="H919" s="297"/>
      <c r="I919" s="298"/>
      <c r="J919" s="304"/>
      <c r="K919" s="300"/>
      <c r="L919" s="301"/>
      <c r="M919" s="297" t="s">
        <v>6582</v>
      </c>
      <c r="N919" s="297"/>
      <c r="O919" s="297"/>
      <c r="P919" s="297"/>
      <c r="Q919" s="297"/>
      <c r="R919" s="297"/>
      <c r="S919" s="302"/>
      <c r="T919" s="302"/>
      <c r="U919" s="303"/>
    </row>
    <row r="920" spans="1:25" ht="25.5" x14ac:dyDescent="0.2">
      <c r="A920" s="212" t="str">
        <f>HYPERLINK(V920,B920)</f>
        <v>RfmCode</v>
      </c>
      <c r="B920" s="283" t="s">
        <v>10548</v>
      </c>
      <c r="C920" s="284" t="s">
        <v>15509</v>
      </c>
      <c r="D920" s="285"/>
      <c r="E920" s="286"/>
      <c r="F920" s="287" t="s">
        <v>15510</v>
      </c>
      <c r="G920" s="286"/>
      <c r="H920" s="286"/>
      <c r="I920" s="288"/>
      <c r="J920" s="289"/>
      <c r="K920" s="290"/>
      <c r="L920" s="371" t="str">
        <f>HYPERLINK("[#]DatatypeListedValues!B6011:H6011","«enumeration»")</f>
        <v>«enumeration»</v>
      </c>
      <c r="M920" s="287" t="s">
        <v>6582</v>
      </c>
      <c r="N920" s="291" t="b">
        <v>0</v>
      </c>
      <c r="O920" s="286"/>
      <c r="P920" s="292"/>
      <c r="Q920" s="286"/>
      <c r="R920" s="286"/>
      <c r="S920" s="293"/>
      <c r="T920" s="294"/>
      <c r="U920" s="37">
        <v>1904</v>
      </c>
      <c r="V920" s="36" t="str">
        <f>CONCATENATE(Cover!$D$6,"fdd/view?i=",U920)</f>
        <v>https://www.dgiwg.org/FAD/fdd/view?i=1904</v>
      </c>
      <c r="W920" s="172"/>
      <c r="X920" s="172"/>
      <c r="Y920" s="172"/>
    </row>
    <row r="921" spans="1:25" ht="2.1" customHeight="1" x14ac:dyDescent="0.2">
      <c r="A921" s="295"/>
      <c r="B921" s="283"/>
      <c r="C921" s="296"/>
      <c r="D921" s="283"/>
      <c r="E921" s="296"/>
      <c r="F921" s="297"/>
      <c r="G921" s="297"/>
      <c r="H921" s="297"/>
      <c r="I921" s="298"/>
      <c r="J921" s="304"/>
      <c r="K921" s="300"/>
      <c r="L921" s="301"/>
      <c r="M921" s="297" t="s">
        <v>6582</v>
      </c>
      <c r="N921" s="297"/>
      <c r="O921" s="297"/>
      <c r="P921" s="297"/>
      <c r="Q921" s="297"/>
      <c r="R921" s="297"/>
      <c r="S921" s="302"/>
      <c r="T921" s="302"/>
      <c r="U921" s="303"/>
    </row>
    <row r="922" spans="1:25" ht="25.5" x14ac:dyDescent="0.2">
      <c r="A922" s="212" t="str">
        <f>HYPERLINK(V922,B922)</f>
        <v>DmlCode</v>
      </c>
      <c r="B922" s="283" t="s">
        <v>10554</v>
      </c>
      <c r="C922" s="284" t="s">
        <v>15511</v>
      </c>
      <c r="D922" s="285"/>
      <c r="E922" s="286"/>
      <c r="F922" s="287" t="s">
        <v>15512</v>
      </c>
      <c r="G922" s="286"/>
      <c r="H922" s="286"/>
      <c r="I922" s="288"/>
      <c r="J922" s="289"/>
      <c r="K922" s="290"/>
      <c r="L922" s="371" t="str">
        <f>HYPERLINK("[#]DatatypeListedValues!B6021:H6021","«enumeration»")</f>
        <v>«enumeration»</v>
      </c>
      <c r="M922" s="287" t="s">
        <v>6582</v>
      </c>
      <c r="N922" s="291" t="b">
        <v>0</v>
      </c>
      <c r="O922" s="286"/>
      <c r="P922" s="292"/>
      <c r="Q922" s="286"/>
      <c r="R922" s="286"/>
      <c r="S922" s="293"/>
      <c r="T922" s="294"/>
      <c r="U922" s="37">
        <v>114314</v>
      </c>
      <c r="V922" s="36" t="str">
        <f>CONCATENATE(Cover!$D$6,"fdd/view?i=",U922)</f>
        <v>https://www.dgiwg.org/FAD/fdd/view?i=114314</v>
      </c>
      <c r="W922" s="172"/>
      <c r="X922" s="172"/>
      <c r="Y922" s="172"/>
    </row>
    <row r="923" spans="1:25" ht="2.1" customHeight="1" x14ac:dyDescent="0.2">
      <c r="A923" s="295"/>
      <c r="B923" s="283"/>
      <c r="C923" s="296"/>
      <c r="D923" s="283"/>
      <c r="E923" s="296"/>
      <c r="F923" s="297"/>
      <c r="G923" s="297"/>
      <c r="H923" s="297"/>
      <c r="I923" s="298"/>
      <c r="J923" s="304"/>
      <c r="K923" s="300"/>
      <c r="L923" s="301"/>
      <c r="M923" s="297" t="s">
        <v>6582</v>
      </c>
      <c r="N923" s="297"/>
      <c r="O923" s="297"/>
      <c r="P923" s="297"/>
      <c r="Q923" s="297"/>
      <c r="R923" s="297"/>
      <c r="S923" s="302"/>
      <c r="T923" s="302"/>
      <c r="U923" s="303"/>
    </row>
    <row r="924" spans="1:25" ht="25.5" x14ac:dyDescent="0.2">
      <c r="A924" s="212" t="str">
        <f>HYPERLINK(V924,B924)</f>
        <v>XafCode</v>
      </c>
      <c r="B924" s="283" t="s">
        <v>10559</v>
      </c>
      <c r="C924" s="284" t="s">
        <v>15513</v>
      </c>
      <c r="D924" s="285"/>
      <c r="E924" s="286"/>
      <c r="F924" s="287" t="s">
        <v>15514</v>
      </c>
      <c r="G924" s="286"/>
      <c r="H924" s="286"/>
      <c r="I924" s="288"/>
      <c r="J924" s="289"/>
      <c r="K924" s="290"/>
      <c r="L924" s="371" t="str">
        <f>HYPERLINK("[#]DatatypeListedValues!B6025:H6025","«enumeration»")</f>
        <v>«enumeration»</v>
      </c>
      <c r="M924" s="287" t="s">
        <v>6582</v>
      </c>
      <c r="N924" s="291" t="b">
        <v>0</v>
      </c>
      <c r="O924" s="286"/>
      <c r="P924" s="292"/>
      <c r="Q924" s="286"/>
      <c r="R924" s="286"/>
      <c r="S924" s="293"/>
      <c r="T924" s="294"/>
      <c r="U924" s="37">
        <v>119772</v>
      </c>
      <c r="V924" s="36" t="str">
        <f>CONCATENATE(Cover!$D$6,"fdd/view?i=",U924)</f>
        <v>https://www.dgiwg.org/FAD/fdd/view?i=119772</v>
      </c>
      <c r="W924" s="172"/>
      <c r="X924" s="172"/>
      <c r="Y924" s="172"/>
    </row>
    <row r="925" spans="1:25" ht="2.1" customHeight="1" x14ac:dyDescent="0.2">
      <c r="A925" s="295"/>
      <c r="B925" s="283"/>
      <c r="C925" s="296"/>
      <c r="D925" s="283"/>
      <c r="E925" s="296"/>
      <c r="F925" s="297"/>
      <c r="G925" s="297"/>
      <c r="H925" s="297"/>
      <c r="I925" s="298"/>
      <c r="J925" s="304"/>
      <c r="K925" s="300"/>
      <c r="L925" s="301"/>
      <c r="M925" s="297" t="s">
        <v>6582</v>
      </c>
      <c r="N925" s="297"/>
      <c r="O925" s="297"/>
      <c r="P925" s="297"/>
      <c r="Q925" s="297"/>
      <c r="R925" s="297"/>
      <c r="S925" s="302"/>
      <c r="T925" s="302"/>
      <c r="U925" s="303"/>
    </row>
    <row r="926" spans="1:25" ht="38.25" x14ac:dyDescent="0.2">
      <c r="A926" s="212" t="str">
        <f>HYPERLINK(V926,B926)</f>
        <v>CcgCode</v>
      </c>
      <c r="B926" s="283" t="s">
        <v>10568</v>
      </c>
      <c r="C926" s="284" t="s">
        <v>15515</v>
      </c>
      <c r="D926" s="285"/>
      <c r="E926" s="286"/>
      <c r="F926" s="287" t="s">
        <v>15516</v>
      </c>
      <c r="G926" s="286"/>
      <c r="H926" s="286"/>
      <c r="I926" s="288"/>
      <c r="J926" s="289"/>
      <c r="K926" s="290"/>
      <c r="L926" s="371" t="str">
        <f>HYPERLINK("[#]DatatypeListedValues!B6027:H6027","«enumeration»")</f>
        <v>«enumeration»</v>
      </c>
      <c r="M926" s="287" t="s">
        <v>6582</v>
      </c>
      <c r="N926" s="291" t="b">
        <v>0</v>
      </c>
      <c r="O926" s="286"/>
      <c r="P926" s="292"/>
      <c r="Q926" s="286"/>
      <c r="R926" s="286"/>
      <c r="S926" s="293"/>
      <c r="T926" s="294"/>
      <c r="U926" s="37">
        <v>118119</v>
      </c>
      <c r="V926" s="36" t="str">
        <f>CONCATENATE(Cover!$D$6,"fdd/view?i=",U926)</f>
        <v>https://www.dgiwg.org/FAD/fdd/view?i=118119</v>
      </c>
      <c r="W926" s="172"/>
      <c r="X926" s="172"/>
      <c r="Y926" s="172"/>
    </row>
    <row r="927" spans="1:25" ht="2.1" customHeight="1" x14ac:dyDescent="0.2">
      <c r="A927" s="295"/>
      <c r="B927" s="283"/>
      <c r="C927" s="296"/>
      <c r="D927" s="283"/>
      <c r="E927" s="296"/>
      <c r="F927" s="297"/>
      <c r="G927" s="297"/>
      <c r="H927" s="297"/>
      <c r="I927" s="298"/>
      <c r="J927" s="304"/>
      <c r="K927" s="300"/>
      <c r="L927" s="301"/>
      <c r="M927" s="297" t="s">
        <v>6582</v>
      </c>
      <c r="N927" s="297"/>
      <c r="O927" s="297"/>
      <c r="P927" s="297"/>
      <c r="Q927" s="297"/>
      <c r="R927" s="297"/>
      <c r="S927" s="302"/>
      <c r="T927" s="302"/>
      <c r="U927" s="303"/>
    </row>
    <row r="928" spans="1:25" ht="25.5" x14ac:dyDescent="0.2">
      <c r="A928" s="212" t="str">
        <f>HYPERLINK(V928,B928)</f>
        <v>MfcCode</v>
      </c>
      <c r="B928" s="283" t="s">
        <v>10573</v>
      </c>
      <c r="C928" s="284" t="s">
        <v>15517</v>
      </c>
      <c r="D928" s="285"/>
      <c r="E928" s="286"/>
      <c r="F928" s="287" t="s">
        <v>15518</v>
      </c>
      <c r="G928" s="286"/>
      <c r="H928" s="286"/>
      <c r="I928" s="288"/>
      <c r="J928" s="289"/>
      <c r="K928" s="290"/>
      <c r="L928" s="371" t="str">
        <f>HYPERLINK("[#]DatatypeListedValues!B6031:H6031","«enumeration»")</f>
        <v>«enumeration»</v>
      </c>
      <c r="M928" s="287" t="s">
        <v>6582</v>
      </c>
      <c r="N928" s="291" t="b">
        <v>0</v>
      </c>
      <c r="O928" s="286"/>
      <c r="P928" s="292"/>
      <c r="Q928" s="286"/>
      <c r="R928" s="286"/>
      <c r="S928" s="293"/>
      <c r="T928" s="294"/>
      <c r="U928" s="37">
        <v>1301</v>
      </c>
      <c r="V928" s="36" t="str">
        <f>CONCATENATE(Cover!$D$6,"fdd/view?i=",U928)</f>
        <v>https://www.dgiwg.org/FAD/fdd/view?i=1301</v>
      </c>
      <c r="W928" s="172"/>
      <c r="X928" s="172"/>
      <c r="Y928" s="172"/>
    </row>
    <row r="929" spans="1:25" ht="2.1" customHeight="1" x14ac:dyDescent="0.2">
      <c r="A929" s="295"/>
      <c r="B929" s="283"/>
      <c r="C929" s="296"/>
      <c r="D929" s="283"/>
      <c r="E929" s="296"/>
      <c r="F929" s="297"/>
      <c r="G929" s="297"/>
      <c r="H929" s="297"/>
      <c r="I929" s="298"/>
      <c r="J929" s="304"/>
      <c r="K929" s="300"/>
      <c r="L929" s="301"/>
      <c r="M929" s="297" t="s">
        <v>6582</v>
      </c>
      <c r="N929" s="297"/>
      <c r="O929" s="297"/>
      <c r="P929" s="297"/>
      <c r="Q929" s="297"/>
      <c r="R929" s="297"/>
      <c r="S929" s="302"/>
      <c r="T929" s="302"/>
      <c r="U929" s="303"/>
    </row>
    <row r="930" spans="1:25" ht="153" x14ac:dyDescent="0.2">
      <c r="A930" s="212" t="str">
        <f>HYPERLINK(V930,B930)</f>
        <v>MgrStrucText</v>
      </c>
      <c r="B930" s="283" t="s">
        <v>10579</v>
      </c>
      <c r="C930" s="284" t="s">
        <v>15519</v>
      </c>
      <c r="D930" s="285"/>
      <c r="E930" s="286"/>
      <c r="F930" s="287" t="s">
        <v>15520</v>
      </c>
      <c r="G930" s="286"/>
      <c r="H930" s="287" t="s">
        <v>14552</v>
      </c>
      <c r="I930" s="288"/>
      <c r="J930" s="289"/>
      <c r="K930" s="290"/>
      <c r="L930" s="287" t="s">
        <v>14551</v>
      </c>
      <c r="M930" s="287" t="s">
        <v>6582</v>
      </c>
      <c r="N930" s="286"/>
      <c r="O930" s="287">
        <v>13</v>
      </c>
      <c r="P930" s="305" t="b">
        <v>0</v>
      </c>
      <c r="Q930" s="287" t="s">
        <v>15521</v>
      </c>
      <c r="R930" s="286"/>
      <c r="S930" s="293"/>
      <c r="T930" s="294"/>
      <c r="U930" s="37">
        <v>114257</v>
      </c>
      <c r="V930" s="36" t="str">
        <f>CONCATENATE(Cover!$D$6,"fdd/view?i=",U930)</f>
        <v>https://www.dgiwg.org/FAD/fdd/view?i=114257</v>
      </c>
      <c r="W930" s="172"/>
      <c r="X930" s="172"/>
      <c r="Y930" s="172"/>
    </row>
    <row r="931" spans="1:25" ht="2.1" customHeight="1" x14ac:dyDescent="0.2">
      <c r="A931" s="295"/>
      <c r="B931" s="283"/>
      <c r="C931" s="296"/>
      <c r="D931" s="283"/>
      <c r="E931" s="296"/>
      <c r="F931" s="297"/>
      <c r="G931" s="297"/>
      <c r="H931" s="297"/>
      <c r="I931" s="298"/>
      <c r="J931" s="304"/>
      <c r="K931" s="300"/>
      <c r="L931" s="301"/>
      <c r="M931" s="297" t="s">
        <v>6582</v>
      </c>
      <c r="N931" s="297"/>
      <c r="O931" s="297"/>
      <c r="P931" s="297"/>
      <c r="Q931" s="297"/>
      <c r="R931" s="297"/>
      <c r="S931" s="302"/>
      <c r="T931" s="302"/>
      <c r="U931" s="303"/>
    </row>
    <row r="932" spans="1:25" ht="25.5" x14ac:dyDescent="0.2">
      <c r="A932" s="212" t="str">
        <f>HYPERLINK(V932,B932)</f>
        <v>TmzCode</v>
      </c>
      <c r="B932" s="283" t="s">
        <v>10592</v>
      </c>
      <c r="C932" s="284" t="s">
        <v>15522</v>
      </c>
      <c r="D932" s="285"/>
      <c r="E932" s="286"/>
      <c r="F932" s="287" t="s">
        <v>15523</v>
      </c>
      <c r="G932" s="286"/>
      <c r="H932" s="286"/>
      <c r="I932" s="288"/>
      <c r="J932" s="289"/>
      <c r="K932" s="290"/>
      <c r="L932" s="371" t="str">
        <f>HYPERLINK("[#]DatatypeListedValues!B6046:H6046","«enumeration»")</f>
        <v>«enumeration»</v>
      </c>
      <c r="M932" s="287" t="s">
        <v>6582</v>
      </c>
      <c r="N932" s="291" t="b">
        <v>0</v>
      </c>
      <c r="O932" s="286"/>
      <c r="P932" s="292"/>
      <c r="Q932" s="286"/>
      <c r="R932" s="286"/>
      <c r="S932" s="293"/>
      <c r="T932" s="294"/>
      <c r="U932" s="37">
        <v>1923</v>
      </c>
      <c r="V932" s="36" t="str">
        <f>CONCATENATE(Cover!$D$6,"fdd/view?i=",U932)</f>
        <v>https://www.dgiwg.org/FAD/fdd/view?i=1923</v>
      </c>
      <c r="W932" s="172"/>
      <c r="X932" s="172"/>
      <c r="Y932" s="172"/>
    </row>
    <row r="933" spans="1:25" ht="2.1" customHeight="1" x14ac:dyDescent="0.2">
      <c r="A933" s="295"/>
      <c r="B933" s="283"/>
      <c r="C933" s="296"/>
      <c r="D933" s="283"/>
      <c r="E933" s="296"/>
      <c r="F933" s="297"/>
      <c r="G933" s="297"/>
      <c r="H933" s="297"/>
      <c r="I933" s="298"/>
      <c r="J933" s="304"/>
      <c r="K933" s="300"/>
      <c r="L933" s="301"/>
      <c r="M933" s="297" t="s">
        <v>6582</v>
      </c>
      <c r="N933" s="297"/>
      <c r="O933" s="297"/>
      <c r="P933" s="297"/>
      <c r="Q933" s="297"/>
      <c r="R933" s="297"/>
      <c r="S933" s="302"/>
      <c r="T933" s="302"/>
      <c r="U933" s="303"/>
    </row>
    <row r="934" spans="1:25" ht="25.5" x14ac:dyDescent="0.2">
      <c r="A934" s="212" t="str">
        <f>HYPERLINK(V934,B934)</f>
        <v>MruCode</v>
      </c>
      <c r="B934" s="283" t="s">
        <v>10602</v>
      </c>
      <c r="C934" s="284" t="s">
        <v>15524</v>
      </c>
      <c r="D934" s="285"/>
      <c r="E934" s="286"/>
      <c r="F934" s="287" t="s">
        <v>15525</v>
      </c>
      <c r="G934" s="286"/>
      <c r="H934" s="286"/>
      <c r="I934" s="288"/>
      <c r="J934" s="289"/>
      <c r="K934" s="290"/>
      <c r="L934" s="371" t="str">
        <f>HYPERLINK("[#]DatatypeListedValues!B6053:H6053","«enumeration»")</f>
        <v>«enumeration»</v>
      </c>
      <c r="M934" s="287" t="s">
        <v>6582</v>
      </c>
      <c r="N934" s="291" t="b">
        <v>0</v>
      </c>
      <c r="O934" s="286"/>
      <c r="P934" s="292"/>
      <c r="Q934" s="286"/>
      <c r="R934" s="286"/>
      <c r="S934" s="293"/>
      <c r="T934" s="294"/>
      <c r="U934" s="37">
        <v>117393</v>
      </c>
      <c r="V934" s="36" t="str">
        <f>CONCATENATE(Cover!$D$6,"fdd/view?i=",U934)</f>
        <v>https://www.dgiwg.org/FAD/fdd/view?i=117393</v>
      </c>
      <c r="W934" s="172"/>
      <c r="X934" s="172"/>
      <c r="Y934" s="172"/>
    </row>
    <row r="935" spans="1:25" ht="2.1" customHeight="1" x14ac:dyDescent="0.2">
      <c r="A935" s="295"/>
      <c r="B935" s="283"/>
      <c r="C935" s="296"/>
      <c r="D935" s="283"/>
      <c r="E935" s="296"/>
      <c r="F935" s="297"/>
      <c r="G935" s="297"/>
      <c r="H935" s="297"/>
      <c r="I935" s="298"/>
      <c r="J935" s="304"/>
      <c r="K935" s="300"/>
      <c r="L935" s="301"/>
      <c r="M935" s="297" t="s">
        <v>6582</v>
      </c>
      <c r="N935" s="297"/>
      <c r="O935" s="297"/>
      <c r="P935" s="297"/>
      <c r="Q935" s="297"/>
      <c r="R935" s="297"/>
      <c r="S935" s="302"/>
      <c r="T935" s="302"/>
      <c r="U935" s="303"/>
    </row>
    <row r="936" spans="1:25" ht="25.5" x14ac:dyDescent="0.2">
      <c r="A936" s="212" t="str">
        <f>HYPERLINK(V936,B936)</f>
        <v>YsuCode</v>
      </c>
      <c r="B936" s="283" t="s">
        <v>10608</v>
      </c>
      <c r="C936" s="284" t="s">
        <v>15526</v>
      </c>
      <c r="D936" s="285"/>
      <c r="E936" s="286"/>
      <c r="F936" s="287" t="s">
        <v>15527</v>
      </c>
      <c r="G936" s="286"/>
      <c r="H936" s="286"/>
      <c r="I936" s="288"/>
      <c r="J936" s="289"/>
      <c r="K936" s="290"/>
      <c r="L936" s="371" t="str">
        <f>HYPERLINK("[#]DatatypeListedValues!B6056:H6056","«enumeration»")</f>
        <v>«enumeration»</v>
      </c>
      <c r="M936" s="287" t="s">
        <v>6582</v>
      </c>
      <c r="N936" s="291" t="b">
        <v>0</v>
      </c>
      <c r="O936" s="286"/>
      <c r="P936" s="292"/>
      <c r="Q936" s="286"/>
      <c r="R936" s="286"/>
      <c r="S936" s="293"/>
      <c r="T936" s="294"/>
      <c r="U936" s="37">
        <v>1555</v>
      </c>
      <c r="V936" s="36" t="str">
        <f>CONCATENATE(Cover!$D$6,"fdd/view?i=",U936)</f>
        <v>https://www.dgiwg.org/FAD/fdd/view?i=1555</v>
      </c>
      <c r="W936" s="172"/>
      <c r="X936" s="172"/>
      <c r="Y936" s="172"/>
    </row>
    <row r="937" spans="1:25" ht="2.1" customHeight="1" x14ac:dyDescent="0.2">
      <c r="A937" s="295"/>
      <c r="B937" s="283"/>
      <c r="C937" s="296"/>
      <c r="D937" s="283"/>
      <c r="E937" s="296"/>
      <c r="F937" s="297"/>
      <c r="G937" s="297"/>
      <c r="H937" s="297"/>
      <c r="I937" s="298"/>
      <c r="J937" s="304"/>
      <c r="K937" s="300"/>
      <c r="L937" s="301"/>
      <c r="M937" s="297" t="s">
        <v>6582</v>
      </c>
      <c r="N937" s="297"/>
      <c r="O937" s="297"/>
      <c r="P937" s="297"/>
      <c r="Q937" s="297"/>
      <c r="R937" s="297"/>
      <c r="S937" s="302"/>
      <c r="T937" s="302"/>
      <c r="U937" s="303"/>
    </row>
    <row r="938" spans="1:25" ht="25.5" x14ac:dyDescent="0.2">
      <c r="A938" s="212" t="str">
        <f>HYPERLINK(V938,B938)</f>
        <v>XhtCode</v>
      </c>
      <c r="B938" s="283" t="s">
        <v>10613</v>
      </c>
      <c r="C938" s="284" t="s">
        <v>15528</v>
      </c>
      <c r="D938" s="285"/>
      <c r="E938" s="286"/>
      <c r="F938" s="287" t="s">
        <v>15529</v>
      </c>
      <c r="G938" s="286"/>
      <c r="H938" s="286"/>
      <c r="I938" s="288"/>
      <c r="J938" s="289"/>
      <c r="K938" s="290"/>
      <c r="L938" s="371" t="str">
        <f>HYPERLINK("[#]DatatypeListedValues!B6064:H6064","«enumeration»")</f>
        <v>«enumeration»</v>
      </c>
      <c r="M938" s="287" t="s">
        <v>6582</v>
      </c>
      <c r="N938" s="291" t="b">
        <v>0</v>
      </c>
      <c r="O938" s="286"/>
      <c r="P938" s="292"/>
      <c r="Q938" s="286"/>
      <c r="R938" s="286"/>
      <c r="S938" s="293"/>
      <c r="T938" s="294"/>
      <c r="U938" s="37">
        <v>119776</v>
      </c>
      <c r="V938" s="36" t="str">
        <f>CONCATENATE(Cover!$D$6,"fdd/view?i=",U938)</f>
        <v>https://www.dgiwg.org/FAD/fdd/view?i=119776</v>
      </c>
      <c r="W938" s="172"/>
      <c r="X938" s="172"/>
      <c r="Y938" s="172"/>
    </row>
    <row r="939" spans="1:25" ht="2.1" customHeight="1" x14ac:dyDescent="0.2">
      <c r="A939" s="295"/>
      <c r="B939" s="283"/>
      <c r="C939" s="296"/>
      <c r="D939" s="283"/>
      <c r="E939" s="296"/>
      <c r="F939" s="297"/>
      <c r="G939" s="297"/>
      <c r="H939" s="297"/>
      <c r="I939" s="298"/>
      <c r="J939" s="304"/>
      <c r="K939" s="300"/>
      <c r="L939" s="301"/>
      <c r="M939" s="297" t="s">
        <v>6582</v>
      </c>
      <c r="N939" s="297"/>
      <c r="O939" s="297"/>
      <c r="P939" s="297"/>
      <c r="Q939" s="297"/>
      <c r="R939" s="297"/>
      <c r="S939" s="302"/>
      <c r="T939" s="302"/>
      <c r="U939" s="303"/>
    </row>
    <row r="940" spans="1:25" ht="25.5" x14ac:dyDescent="0.2">
      <c r="A940" s="212" t="str">
        <f>HYPERLINK(V940,B940)</f>
        <v>MiaCode</v>
      </c>
      <c r="B940" s="283" t="s">
        <v>10618</v>
      </c>
      <c r="C940" s="284" t="s">
        <v>15530</v>
      </c>
      <c r="D940" s="285"/>
      <c r="E940" s="286"/>
      <c r="F940" s="287" t="s">
        <v>15531</v>
      </c>
      <c r="G940" s="286"/>
      <c r="H940" s="286"/>
      <c r="I940" s="288"/>
      <c r="J940" s="289"/>
      <c r="K940" s="290"/>
      <c r="L940" s="371" t="str">
        <f>HYPERLINK("[#]DatatypeListedValues!B6068:H6068","«enumeration»")</f>
        <v>«enumeration»</v>
      </c>
      <c r="M940" s="287" t="s">
        <v>6582</v>
      </c>
      <c r="N940" s="291" t="b">
        <v>0</v>
      </c>
      <c r="O940" s="286"/>
      <c r="P940" s="292"/>
      <c r="Q940" s="286"/>
      <c r="R940" s="286"/>
      <c r="S940" s="293"/>
      <c r="T940" s="294"/>
      <c r="U940" s="37">
        <v>1303</v>
      </c>
      <c r="V940" s="36" t="str">
        <f>CONCATENATE(Cover!$D$6,"fdd/view?i=",U940)</f>
        <v>https://www.dgiwg.org/FAD/fdd/view?i=1303</v>
      </c>
      <c r="W940" s="172"/>
      <c r="X940" s="172"/>
      <c r="Y940" s="172"/>
    </row>
    <row r="941" spans="1:25" ht="2.1" customHeight="1" x14ac:dyDescent="0.2">
      <c r="A941" s="295"/>
      <c r="B941" s="283"/>
      <c r="C941" s="296"/>
      <c r="D941" s="283"/>
      <c r="E941" s="296"/>
      <c r="F941" s="297"/>
      <c r="G941" s="297"/>
      <c r="H941" s="297"/>
      <c r="I941" s="298"/>
      <c r="J941" s="304"/>
      <c r="K941" s="300"/>
      <c r="L941" s="301"/>
      <c r="M941" s="297" t="s">
        <v>6582</v>
      </c>
      <c r="N941" s="297"/>
      <c r="O941" s="297"/>
      <c r="P941" s="297"/>
      <c r="Q941" s="297"/>
      <c r="R941" s="297"/>
      <c r="S941" s="302"/>
      <c r="T941" s="302"/>
      <c r="U941" s="303"/>
    </row>
    <row r="942" spans="1:25" ht="25.5" x14ac:dyDescent="0.2">
      <c r="A942" s="212" t="str">
        <f>HYPERLINK(V942,B942)</f>
        <v>MidCode</v>
      </c>
      <c r="B942" s="283" t="s">
        <v>10627</v>
      </c>
      <c r="C942" s="284" t="s">
        <v>15532</v>
      </c>
      <c r="D942" s="285"/>
      <c r="E942" s="286"/>
      <c r="F942" s="287" t="s">
        <v>15533</v>
      </c>
      <c r="G942" s="286"/>
      <c r="H942" s="286"/>
      <c r="I942" s="288"/>
      <c r="J942" s="289"/>
      <c r="K942" s="290"/>
      <c r="L942" s="371" t="str">
        <f>HYPERLINK("[#]DatatypeListedValues!B6072:H6072","«enumeration»")</f>
        <v>«enumeration»</v>
      </c>
      <c r="M942" s="287" t="s">
        <v>6582</v>
      </c>
      <c r="N942" s="291" t="b">
        <v>0</v>
      </c>
      <c r="O942" s="286"/>
      <c r="P942" s="292"/>
      <c r="Q942" s="286"/>
      <c r="R942" s="286"/>
      <c r="S942" s="293"/>
      <c r="T942" s="294"/>
      <c r="U942" s="37">
        <v>1305</v>
      </c>
      <c r="V942" s="36" t="str">
        <f>CONCATENATE(Cover!$D$6,"fdd/view?i=",U942)</f>
        <v>https://www.dgiwg.org/FAD/fdd/view?i=1305</v>
      </c>
      <c r="W942" s="172"/>
      <c r="X942" s="172"/>
      <c r="Y942" s="172"/>
    </row>
    <row r="943" spans="1:25" ht="2.1" customHeight="1" x14ac:dyDescent="0.2">
      <c r="A943" s="295"/>
      <c r="B943" s="283"/>
      <c r="C943" s="296"/>
      <c r="D943" s="283"/>
      <c r="E943" s="296"/>
      <c r="F943" s="297"/>
      <c r="G943" s="297"/>
      <c r="H943" s="297"/>
      <c r="I943" s="298"/>
      <c r="J943" s="304"/>
      <c r="K943" s="300"/>
      <c r="L943" s="301"/>
      <c r="M943" s="297" t="s">
        <v>6582</v>
      </c>
      <c r="N943" s="297"/>
      <c r="O943" s="297"/>
      <c r="P943" s="297"/>
      <c r="Q943" s="297"/>
      <c r="R943" s="297"/>
      <c r="S943" s="302"/>
      <c r="T943" s="302"/>
      <c r="U943" s="303"/>
    </row>
    <row r="944" spans="1:25" ht="25.5" x14ac:dyDescent="0.2">
      <c r="A944" s="212" t="str">
        <f>HYPERLINK(V944,B944)</f>
        <v>MshCode</v>
      </c>
      <c r="B944" s="283" t="s">
        <v>10632</v>
      </c>
      <c r="C944" s="284" t="s">
        <v>15534</v>
      </c>
      <c r="D944" s="285"/>
      <c r="E944" s="286"/>
      <c r="F944" s="287" t="s">
        <v>15535</v>
      </c>
      <c r="G944" s="286"/>
      <c r="H944" s="286"/>
      <c r="I944" s="288"/>
      <c r="J944" s="289"/>
      <c r="K944" s="290"/>
      <c r="L944" s="371" t="str">
        <f>HYPERLINK("[#]DatatypeListedValues!B6075:H6075","«enumeration»")</f>
        <v>«enumeration»</v>
      </c>
      <c r="M944" s="287" t="s">
        <v>6582</v>
      </c>
      <c r="N944" s="291" t="b">
        <v>0</v>
      </c>
      <c r="O944" s="286"/>
      <c r="P944" s="292"/>
      <c r="Q944" s="286"/>
      <c r="R944" s="286"/>
      <c r="S944" s="293"/>
      <c r="T944" s="294"/>
      <c r="U944" s="37">
        <v>1324</v>
      </c>
      <c r="V944" s="36" t="str">
        <f>CONCATENATE(Cover!$D$6,"fdd/view?i=",U944)</f>
        <v>https://www.dgiwg.org/FAD/fdd/view?i=1324</v>
      </c>
      <c r="W944" s="172"/>
      <c r="X944" s="172"/>
      <c r="Y944" s="172"/>
    </row>
    <row r="945" spans="1:25" ht="2.1" customHeight="1" x14ac:dyDescent="0.2">
      <c r="A945" s="295"/>
      <c r="B945" s="283"/>
      <c r="C945" s="296"/>
      <c r="D945" s="283"/>
      <c r="E945" s="296"/>
      <c r="F945" s="297"/>
      <c r="G945" s="297"/>
      <c r="H945" s="297"/>
      <c r="I945" s="298"/>
      <c r="J945" s="304"/>
      <c r="K945" s="300"/>
      <c r="L945" s="301"/>
      <c r="M945" s="297" t="s">
        <v>6582</v>
      </c>
      <c r="N945" s="297"/>
      <c r="O945" s="297"/>
      <c r="P945" s="297"/>
      <c r="Q945" s="297"/>
      <c r="R945" s="297"/>
      <c r="S945" s="302"/>
      <c r="T945" s="302"/>
      <c r="U945" s="303"/>
    </row>
    <row r="946" spans="1:25" ht="25.5" x14ac:dyDescent="0.2">
      <c r="A946" s="212" t="str">
        <f>HYPERLINK(V946,B946)</f>
        <v>MsrCode</v>
      </c>
      <c r="B946" s="283" t="s">
        <v>10638</v>
      </c>
      <c r="C946" s="284" t="s">
        <v>15536</v>
      </c>
      <c r="D946" s="285"/>
      <c r="E946" s="286"/>
      <c r="F946" s="287" t="s">
        <v>15537</v>
      </c>
      <c r="G946" s="286"/>
      <c r="H946" s="286"/>
      <c r="I946" s="288"/>
      <c r="J946" s="289"/>
      <c r="K946" s="290"/>
      <c r="L946" s="371" t="str">
        <f>HYPERLINK("[#]DatatypeListedValues!B6082:H6082","«enumeration»")</f>
        <v>«enumeration»</v>
      </c>
      <c r="M946" s="287" t="s">
        <v>6582</v>
      </c>
      <c r="N946" s="291" t="b">
        <v>0</v>
      </c>
      <c r="O946" s="286"/>
      <c r="P946" s="292"/>
      <c r="Q946" s="286"/>
      <c r="R946" s="286"/>
      <c r="S946" s="293"/>
      <c r="T946" s="294"/>
      <c r="U946" s="37">
        <v>1326</v>
      </c>
      <c r="V946" s="36" t="str">
        <f>CONCATENATE(Cover!$D$6,"fdd/view?i=",U946)</f>
        <v>https://www.dgiwg.org/FAD/fdd/view?i=1326</v>
      </c>
      <c r="W946" s="172"/>
      <c r="X946" s="172"/>
      <c r="Y946" s="172"/>
    </row>
    <row r="947" spans="1:25" ht="2.1" customHeight="1" x14ac:dyDescent="0.2">
      <c r="A947" s="295"/>
      <c r="B947" s="283"/>
      <c r="C947" s="296"/>
      <c r="D947" s="283"/>
      <c r="E947" s="296"/>
      <c r="F947" s="297"/>
      <c r="G947" s="297"/>
      <c r="H947" s="297"/>
      <c r="I947" s="298"/>
      <c r="J947" s="304"/>
      <c r="K947" s="300"/>
      <c r="L947" s="301"/>
      <c r="M947" s="297" t="s">
        <v>6582</v>
      </c>
      <c r="N947" s="297"/>
      <c r="O947" s="297"/>
      <c r="P947" s="297"/>
      <c r="Q947" s="297"/>
      <c r="R947" s="297"/>
      <c r="S947" s="302"/>
      <c r="T947" s="302"/>
      <c r="U947" s="303"/>
    </row>
    <row r="948" spans="1:25" ht="25.5" x14ac:dyDescent="0.2">
      <c r="A948" s="212" t="str">
        <f>HYPERLINK(V948,B948)</f>
        <v>MswCode</v>
      </c>
      <c r="B948" s="283" t="s">
        <v>10644</v>
      </c>
      <c r="C948" s="284" t="s">
        <v>15538</v>
      </c>
      <c r="D948" s="285"/>
      <c r="E948" s="286"/>
      <c r="F948" s="287" t="s">
        <v>15539</v>
      </c>
      <c r="G948" s="286"/>
      <c r="H948" s="286"/>
      <c r="I948" s="288"/>
      <c r="J948" s="289"/>
      <c r="K948" s="290"/>
      <c r="L948" s="371" t="str">
        <f>HYPERLINK("[#]DatatypeListedValues!B6088:H6088","«enumeration»")</f>
        <v>«enumeration»</v>
      </c>
      <c r="M948" s="287" t="s">
        <v>6582</v>
      </c>
      <c r="N948" s="291" t="b">
        <v>0</v>
      </c>
      <c r="O948" s="286"/>
      <c r="P948" s="292"/>
      <c r="Q948" s="286"/>
      <c r="R948" s="286"/>
      <c r="S948" s="293"/>
      <c r="T948" s="294"/>
      <c r="U948" s="37">
        <v>1330</v>
      </c>
      <c r="V948" s="36" t="str">
        <f>CONCATENATE(Cover!$D$6,"fdd/view?i=",U948)</f>
        <v>https://www.dgiwg.org/FAD/fdd/view?i=1330</v>
      </c>
      <c r="W948" s="172"/>
      <c r="X948" s="172"/>
      <c r="Y948" s="172"/>
    </row>
    <row r="949" spans="1:25" ht="2.1" customHeight="1" x14ac:dyDescent="0.2">
      <c r="A949" s="295"/>
      <c r="B949" s="283"/>
      <c r="C949" s="296"/>
      <c r="D949" s="283"/>
      <c r="E949" s="296"/>
      <c r="F949" s="297"/>
      <c r="G949" s="297"/>
      <c r="H949" s="297"/>
      <c r="I949" s="298"/>
      <c r="J949" s="304"/>
      <c r="K949" s="300"/>
      <c r="L949" s="301"/>
      <c r="M949" s="297" t="s">
        <v>6582</v>
      </c>
      <c r="N949" s="297"/>
      <c r="O949" s="297"/>
      <c r="P949" s="297"/>
      <c r="Q949" s="297"/>
      <c r="R949" s="297"/>
      <c r="S949" s="302"/>
      <c r="T949" s="302"/>
      <c r="U949" s="303"/>
    </row>
    <row r="950" spans="1:25" ht="25.5" x14ac:dyDescent="0.2">
      <c r="A950" s="212" t="str">
        <f>HYPERLINK(V950,B950)</f>
        <v>MnaCode</v>
      </c>
      <c r="B950" s="283" t="s">
        <v>10649</v>
      </c>
      <c r="C950" s="284" t="s">
        <v>15540</v>
      </c>
      <c r="D950" s="285"/>
      <c r="E950" s="286"/>
      <c r="F950" s="287" t="s">
        <v>15541</v>
      </c>
      <c r="G950" s="286"/>
      <c r="H950" s="286"/>
      <c r="I950" s="288"/>
      <c r="J950" s="289"/>
      <c r="K950" s="290"/>
      <c r="L950" s="371" t="str">
        <f>HYPERLINK("[#]DatatypeListedValues!B6093:H6093","«enumeration»")</f>
        <v>«enumeration»</v>
      </c>
      <c r="M950" s="287" t="s">
        <v>6582</v>
      </c>
      <c r="N950" s="291" t="b">
        <v>0</v>
      </c>
      <c r="O950" s="286"/>
      <c r="P950" s="292"/>
      <c r="Q950" s="286"/>
      <c r="R950" s="286"/>
      <c r="S950" s="293"/>
      <c r="T950" s="294"/>
      <c r="U950" s="37">
        <v>1311</v>
      </c>
      <c r="V950" s="36" t="str">
        <f>CONCATENATE(Cover!$D$6,"fdd/view?i=",U950)</f>
        <v>https://www.dgiwg.org/FAD/fdd/view?i=1311</v>
      </c>
      <c r="W950" s="172"/>
      <c r="X950" s="172"/>
      <c r="Y950" s="172"/>
    </row>
    <row r="951" spans="1:25" ht="2.1" customHeight="1" x14ac:dyDescent="0.2">
      <c r="A951" s="295"/>
      <c r="B951" s="283"/>
      <c r="C951" s="296"/>
      <c r="D951" s="283"/>
      <c r="E951" s="296"/>
      <c r="F951" s="297"/>
      <c r="G951" s="297"/>
      <c r="H951" s="297"/>
      <c r="I951" s="298"/>
      <c r="J951" s="304"/>
      <c r="K951" s="300"/>
      <c r="L951" s="301"/>
      <c r="M951" s="297" t="s">
        <v>6582</v>
      </c>
      <c r="N951" s="297"/>
      <c r="O951" s="297"/>
      <c r="P951" s="297"/>
      <c r="Q951" s="297"/>
      <c r="R951" s="297"/>
      <c r="S951" s="302"/>
      <c r="T951" s="302"/>
      <c r="U951" s="303"/>
    </row>
    <row r="952" spans="1:25" ht="25.5" x14ac:dyDescent="0.2">
      <c r="A952" s="212" t="str">
        <f>HYPERLINK(V952,B952)</f>
        <v>MnlCode</v>
      </c>
      <c r="B952" s="283" t="s">
        <v>10654</v>
      </c>
      <c r="C952" s="284" t="s">
        <v>15542</v>
      </c>
      <c r="D952" s="285"/>
      <c r="E952" s="286"/>
      <c r="F952" s="287" t="s">
        <v>15543</v>
      </c>
      <c r="G952" s="286"/>
      <c r="H952" s="286"/>
      <c r="I952" s="288"/>
      <c r="J952" s="289"/>
      <c r="K952" s="290"/>
      <c r="L952" s="371" t="str">
        <f>HYPERLINK("[#]DatatypeListedValues!B6095:H6095","«enumeration»")</f>
        <v>«enumeration»</v>
      </c>
      <c r="M952" s="287" t="s">
        <v>6582</v>
      </c>
      <c r="N952" s="291" t="b">
        <v>0</v>
      </c>
      <c r="O952" s="286"/>
      <c r="P952" s="292"/>
      <c r="Q952" s="286"/>
      <c r="R952" s="286"/>
      <c r="S952" s="293"/>
      <c r="T952" s="294"/>
      <c r="U952" s="37">
        <v>1314</v>
      </c>
      <c r="V952" s="36" t="str">
        <f>CONCATENATE(Cover!$D$6,"fdd/view?i=",U952)</f>
        <v>https://www.dgiwg.org/FAD/fdd/view?i=1314</v>
      </c>
      <c r="W952" s="172"/>
      <c r="X952" s="172"/>
      <c r="Y952" s="172"/>
    </row>
    <row r="953" spans="1:25" ht="2.1" customHeight="1" x14ac:dyDescent="0.2">
      <c r="A953" s="295"/>
      <c r="B953" s="283"/>
      <c r="C953" s="296"/>
      <c r="D953" s="283"/>
      <c r="E953" s="296"/>
      <c r="F953" s="297"/>
      <c r="G953" s="297"/>
      <c r="H953" s="297"/>
      <c r="I953" s="298"/>
      <c r="J953" s="304"/>
      <c r="K953" s="300"/>
      <c r="L953" s="301"/>
      <c r="M953" s="297" t="s">
        <v>6582</v>
      </c>
      <c r="N953" s="297"/>
      <c r="O953" s="297"/>
      <c r="P953" s="297"/>
      <c r="Q953" s="297"/>
      <c r="R953" s="297"/>
      <c r="S953" s="302"/>
      <c r="T953" s="302"/>
      <c r="U953" s="303"/>
    </row>
    <row r="954" spans="1:25" ht="25.5" x14ac:dyDescent="0.2">
      <c r="A954" s="212" t="str">
        <f>HYPERLINK(V954,B954)</f>
        <v>MncCode</v>
      </c>
      <c r="B954" s="283" t="s">
        <v>10663</v>
      </c>
      <c r="C954" s="284" t="s">
        <v>15544</v>
      </c>
      <c r="D954" s="285"/>
      <c r="E954" s="286"/>
      <c r="F954" s="287" t="s">
        <v>15545</v>
      </c>
      <c r="G954" s="286"/>
      <c r="H954" s="286"/>
      <c r="I954" s="288"/>
      <c r="J954" s="289"/>
      <c r="K954" s="290"/>
      <c r="L954" s="371" t="str">
        <f>HYPERLINK("[#]DatatypeListedValues!B6098:H6098","«enumeration»")</f>
        <v>«enumeration»</v>
      </c>
      <c r="M954" s="287" t="s">
        <v>6582</v>
      </c>
      <c r="N954" s="291" t="b">
        <v>0</v>
      </c>
      <c r="O954" s="286"/>
      <c r="P954" s="292"/>
      <c r="Q954" s="286"/>
      <c r="R954" s="286"/>
      <c r="S954" s="293"/>
      <c r="T954" s="294"/>
      <c r="U954" s="37">
        <v>1312</v>
      </c>
      <c r="V954" s="36" t="str">
        <f>CONCATENATE(Cover!$D$6,"fdd/view?i=",U954)</f>
        <v>https://www.dgiwg.org/FAD/fdd/view?i=1312</v>
      </c>
      <c r="W954" s="172"/>
      <c r="X954" s="172"/>
      <c r="Y954" s="172"/>
    </row>
    <row r="955" spans="1:25" ht="2.1" customHeight="1" x14ac:dyDescent="0.2">
      <c r="A955" s="295"/>
      <c r="B955" s="283"/>
      <c r="C955" s="296"/>
      <c r="D955" s="283"/>
      <c r="E955" s="296"/>
      <c r="F955" s="297"/>
      <c r="G955" s="297"/>
      <c r="H955" s="297"/>
      <c r="I955" s="298"/>
      <c r="J955" s="304"/>
      <c r="K955" s="300"/>
      <c r="L955" s="301"/>
      <c r="M955" s="297" t="s">
        <v>6582</v>
      </c>
      <c r="N955" s="297"/>
      <c r="O955" s="297"/>
      <c r="P955" s="297"/>
      <c r="Q955" s="297"/>
      <c r="R955" s="297"/>
      <c r="S955" s="302"/>
      <c r="T955" s="302"/>
      <c r="U955" s="303"/>
    </row>
    <row r="956" spans="1:25" ht="25.5" x14ac:dyDescent="0.2">
      <c r="A956" s="212" t="str">
        <f>HYPERLINK(V956,B956)</f>
        <v>MimCode</v>
      </c>
      <c r="B956" s="283" t="s">
        <v>10668</v>
      </c>
      <c r="C956" s="284" t="s">
        <v>15546</v>
      </c>
      <c r="D956" s="285"/>
      <c r="E956" s="286"/>
      <c r="F956" s="287" t="s">
        <v>15547</v>
      </c>
      <c r="G956" s="286"/>
      <c r="H956" s="286"/>
      <c r="I956" s="288"/>
      <c r="J956" s="289"/>
      <c r="K956" s="290"/>
      <c r="L956" s="371" t="str">
        <f>HYPERLINK("[#]DatatypeListedValues!B6100:H6100","«enumeration»")</f>
        <v>«enumeration»</v>
      </c>
      <c r="M956" s="287" t="s">
        <v>6582</v>
      </c>
      <c r="N956" s="291" t="b">
        <v>0</v>
      </c>
      <c r="O956" s="286"/>
      <c r="P956" s="292"/>
      <c r="Q956" s="286"/>
      <c r="R956" s="286"/>
      <c r="S956" s="293"/>
      <c r="T956" s="294"/>
      <c r="U956" s="37">
        <v>1307</v>
      </c>
      <c r="V956" s="36" t="str">
        <f>CONCATENATE(Cover!$D$6,"fdd/view?i=",U956)</f>
        <v>https://www.dgiwg.org/FAD/fdd/view?i=1307</v>
      </c>
      <c r="W956" s="172"/>
      <c r="X956" s="172"/>
      <c r="Y956" s="172"/>
    </row>
    <row r="957" spans="1:25" ht="2.1" customHeight="1" x14ac:dyDescent="0.2">
      <c r="A957" s="295"/>
      <c r="B957" s="283"/>
      <c r="C957" s="296"/>
      <c r="D957" s="283"/>
      <c r="E957" s="296"/>
      <c r="F957" s="297"/>
      <c r="G957" s="297"/>
      <c r="H957" s="297"/>
      <c r="I957" s="298"/>
      <c r="J957" s="304"/>
      <c r="K957" s="300"/>
      <c r="L957" s="301"/>
      <c r="M957" s="297" t="s">
        <v>6582</v>
      </c>
      <c r="N957" s="297"/>
      <c r="O957" s="297"/>
      <c r="P957" s="297"/>
      <c r="Q957" s="297"/>
      <c r="R957" s="297"/>
      <c r="S957" s="302"/>
      <c r="T957" s="302"/>
      <c r="U957" s="303"/>
    </row>
    <row r="958" spans="1:25" ht="25.5" x14ac:dyDescent="0.2">
      <c r="A958" s="212" t="str">
        <f>HYPERLINK(V958,B958)</f>
        <v>MplCode</v>
      </c>
      <c r="B958" s="283" t="s">
        <v>10673</v>
      </c>
      <c r="C958" s="284" t="s">
        <v>15548</v>
      </c>
      <c r="D958" s="285"/>
      <c r="E958" s="286"/>
      <c r="F958" s="287" t="s">
        <v>15549</v>
      </c>
      <c r="G958" s="286"/>
      <c r="H958" s="286"/>
      <c r="I958" s="288"/>
      <c r="J958" s="289"/>
      <c r="K958" s="290"/>
      <c r="L958" s="371" t="str">
        <f>HYPERLINK("[#]DatatypeListedValues!B6107:H6107","«enumeration»")</f>
        <v>«enumeration»</v>
      </c>
      <c r="M958" s="287" t="s">
        <v>6582</v>
      </c>
      <c r="N958" s="291" t="b">
        <v>0</v>
      </c>
      <c r="O958" s="286"/>
      <c r="P958" s="292"/>
      <c r="Q958" s="286"/>
      <c r="R958" s="286"/>
      <c r="S958" s="293"/>
      <c r="T958" s="294"/>
      <c r="U958" s="37">
        <v>1318</v>
      </c>
      <c r="V958" s="36" t="str">
        <f>CONCATENATE(Cover!$D$6,"fdd/view?i=",U958)</f>
        <v>https://www.dgiwg.org/FAD/fdd/view?i=1318</v>
      </c>
      <c r="W958" s="172"/>
      <c r="X958" s="172"/>
      <c r="Y958" s="172"/>
    </row>
    <row r="959" spans="1:25" ht="2.1" customHeight="1" x14ac:dyDescent="0.2">
      <c r="A959" s="295"/>
      <c r="B959" s="283"/>
      <c r="C959" s="296"/>
      <c r="D959" s="283"/>
      <c r="E959" s="296"/>
      <c r="F959" s="297"/>
      <c r="G959" s="297"/>
      <c r="H959" s="297"/>
      <c r="I959" s="298"/>
      <c r="J959" s="304"/>
      <c r="K959" s="300"/>
      <c r="L959" s="301"/>
      <c r="M959" s="297" t="s">
        <v>6582</v>
      </c>
      <c r="N959" s="297"/>
      <c r="O959" s="297"/>
      <c r="P959" s="297"/>
      <c r="Q959" s="297"/>
      <c r="R959" s="297"/>
      <c r="S959" s="302"/>
      <c r="T959" s="302"/>
      <c r="U959" s="303"/>
    </row>
    <row r="960" spans="1:25" ht="25.5" x14ac:dyDescent="0.2">
      <c r="A960" s="212" t="str">
        <f>HYPERLINK(V960,B960)</f>
        <v>MniCode</v>
      </c>
      <c r="B960" s="283" t="s">
        <v>10678</v>
      </c>
      <c r="C960" s="284" t="s">
        <v>15550</v>
      </c>
      <c r="D960" s="285"/>
      <c r="E960" s="286"/>
      <c r="F960" s="287" t="s">
        <v>15551</v>
      </c>
      <c r="G960" s="286"/>
      <c r="H960" s="286"/>
      <c r="I960" s="288"/>
      <c r="J960" s="289"/>
      <c r="K960" s="290"/>
      <c r="L960" s="371" t="str">
        <f>HYPERLINK("[#]DatatypeListedValues!B6115:H6115","«enumeration»")</f>
        <v>«enumeration»</v>
      </c>
      <c r="M960" s="287" t="s">
        <v>6582</v>
      </c>
      <c r="N960" s="291" t="b">
        <v>0</v>
      </c>
      <c r="O960" s="286"/>
      <c r="P960" s="292"/>
      <c r="Q960" s="286"/>
      <c r="R960" s="286"/>
      <c r="S960" s="293"/>
      <c r="T960" s="294"/>
      <c r="U960" s="37">
        <v>1313</v>
      </c>
      <c r="V960" s="36" t="str">
        <f>CONCATENATE(Cover!$D$6,"fdd/view?i=",U960)</f>
        <v>https://www.dgiwg.org/FAD/fdd/view?i=1313</v>
      </c>
      <c r="W960" s="172"/>
      <c r="X960" s="172"/>
      <c r="Y960" s="172"/>
    </row>
    <row r="961" spans="1:25" ht="2.1" customHeight="1" x14ac:dyDescent="0.2">
      <c r="A961" s="295"/>
      <c r="B961" s="283"/>
      <c r="C961" s="296"/>
      <c r="D961" s="283"/>
      <c r="E961" s="296"/>
      <c r="F961" s="297"/>
      <c r="G961" s="297"/>
      <c r="H961" s="297"/>
      <c r="I961" s="298"/>
      <c r="J961" s="304"/>
      <c r="K961" s="300"/>
      <c r="L961" s="301"/>
      <c r="M961" s="297" t="s">
        <v>6582</v>
      </c>
      <c r="N961" s="297"/>
      <c r="O961" s="297"/>
      <c r="P961" s="297"/>
      <c r="Q961" s="297"/>
      <c r="R961" s="297"/>
      <c r="S961" s="302"/>
      <c r="T961" s="302"/>
      <c r="U961" s="303"/>
    </row>
    <row r="962" spans="1:25" ht="25.5" x14ac:dyDescent="0.2">
      <c r="A962" s="212" t="str">
        <f>HYPERLINK(V962,B962)</f>
        <v>MsdCode</v>
      </c>
      <c r="B962" s="283" t="s">
        <v>10683</v>
      </c>
      <c r="C962" s="284" t="s">
        <v>15552</v>
      </c>
      <c r="D962" s="285"/>
      <c r="E962" s="286"/>
      <c r="F962" s="287" t="s">
        <v>15553</v>
      </c>
      <c r="G962" s="286"/>
      <c r="H962" s="286"/>
      <c r="I962" s="288"/>
      <c r="J962" s="289"/>
      <c r="K962" s="290"/>
      <c r="L962" s="371" t="str">
        <f>HYPERLINK("[#]DatatypeListedValues!B6118:H6118","«enumeration»")</f>
        <v>«enumeration»</v>
      </c>
      <c r="M962" s="287" t="s">
        <v>6582</v>
      </c>
      <c r="N962" s="291" t="b">
        <v>0</v>
      </c>
      <c r="O962" s="286"/>
      <c r="P962" s="292"/>
      <c r="Q962" s="286"/>
      <c r="R962" s="286"/>
      <c r="S962" s="293"/>
      <c r="T962" s="294"/>
      <c r="U962" s="37">
        <v>1323</v>
      </c>
      <c r="V962" s="36" t="str">
        <f>CONCATENATE(Cover!$D$6,"fdd/view?i=",U962)</f>
        <v>https://www.dgiwg.org/FAD/fdd/view?i=1323</v>
      </c>
      <c r="W962" s="172"/>
      <c r="X962" s="172"/>
      <c r="Y962" s="172"/>
    </row>
    <row r="963" spans="1:25" ht="2.1" customHeight="1" x14ac:dyDescent="0.2">
      <c r="A963" s="295"/>
      <c r="B963" s="283"/>
      <c r="C963" s="296"/>
      <c r="D963" s="283"/>
      <c r="E963" s="296"/>
      <c r="F963" s="297"/>
      <c r="G963" s="297"/>
      <c r="H963" s="297"/>
      <c r="I963" s="298"/>
      <c r="J963" s="304"/>
      <c r="K963" s="300"/>
      <c r="L963" s="301"/>
      <c r="M963" s="297" t="s">
        <v>6582</v>
      </c>
      <c r="N963" s="297"/>
      <c r="O963" s="297"/>
      <c r="P963" s="297"/>
      <c r="Q963" s="297"/>
      <c r="R963" s="297"/>
      <c r="S963" s="302"/>
      <c r="T963" s="302"/>
      <c r="U963" s="303"/>
    </row>
    <row r="964" spans="1:25" ht="25.5" x14ac:dyDescent="0.2">
      <c r="A964" s="212" t="str">
        <f>HYPERLINK(V964,B964)</f>
        <v>MdcCode</v>
      </c>
      <c r="B964" s="283" t="s">
        <v>10692</v>
      </c>
      <c r="C964" s="284" t="s">
        <v>15554</v>
      </c>
      <c r="D964" s="285"/>
      <c r="E964" s="286"/>
      <c r="F964" s="287" t="s">
        <v>15555</v>
      </c>
      <c r="G964" s="286"/>
      <c r="H964" s="286"/>
      <c r="I964" s="288"/>
      <c r="J964" s="289"/>
      <c r="K964" s="290"/>
      <c r="L964" s="371" t="str">
        <f>HYPERLINK("[#]DatatypeListedValues!B6132:H6132","«enumeration»")</f>
        <v>«enumeration»</v>
      </c>
      <c r="M964" s="287" t="s">
        <v>6582</v>
      </c>
      <c r="N964" s="291" t="b">
        <v>0</v>
      </c>
      <c r="O964" s="286"/>
      <c r="P964" s="292"/>
      <c r="Q964" s="286"/>
      <c r="R964" s="286"/>
      <c r="S964" s="293"/>
      <c r="T964" s="294"/>
      <c r="U964" s="37">
        <v>1297</v>
      </c>
      <c r="V964" s="36" t="str">
        <f>CONCATENATE(Cover!$D$6,"fdd/view?i=",U964)</f>
        <v>https://www.dgiwg.org/FAD/fdd/view?i=1297</v>
      </c>
      <c r="W964" s="172"/>
      <c r="X964" s="172"/>
      <c r="Y964" s="172"/>
    </row>
    <row r="965" spans="1:25" ht="2.1" customHeight="1" x14ac:dyDescent="0.2">
      <c r="A965" s="295"/>
      <c r="B965" s="283"/>
      <c r="C965" s="296"/>
      <c r="D965" s="283"/>
      <c r="E965" s="296"/>
      <c r="F965" s="297"/>
      <c r="G965" s="297"/>
      <c r="H965" s="297"/>
      <c r="I965" s="298"/>
      <c r="J965" s="304"/>
      <c r="K965" s="300"/>
      <c r="L965" s="301"/>
      <c r="M965" s="297" t="s">
        <v>6582</v>
      </c>
      <c r="N965" s="297"/>
      <c r="O965" s="297"/>
      <c r="P965" s="297"/>
      <c r="Q965" s="297"/>
      <c r="R965" s="297"/>
      <c r="S965" s="302"/>
      <c r="T965" s="302"/>
      <c r="U965" s="303"/>
    </row>
    <row r="966" spans="1:25" ht="25.5" x14ac:dyDescent="0.2">
      <c r="A966" s="212" t="str">
        <f>HYPERLINK(V966,B966)</f>
        <v>MhcCode</v>
      </c>
      <c r="B966" s="283" t="s">
        <v>10697</v>
      </c>
      <c r="C966" s="284" t="s">
        <v>15556</v>
      </c>
      <c r="D966" s="285"/>
      <c r="E966" s="286"/>
      <c r="F966" s="287" t="s">
        <v>15557</v>
      </c>
      <c r="G966" s="286"/>
      <c r="H966" s="286"/>
      <c r="I966" s="288"/>
      <c r="J966" s="289"/>
      <c r="K966" s="290"/>
      <c r="L966" s="371" t="str">
        <f>HYPERLINK("[#]DatatypeListedValues!B6136:H6136","«enumeration»")</f>
        <v>«enumeration»</v>
      </c>
      <c r="M966" s="287" t="s">
        <v>6582</v>
      </c>
      <c r="N966" s="291" t="b">
        <v>0</v>
      </c>
      <c r="O966" s="286"/>
      <c r="P966" s="292"/>
      <c r="Q966" s="286"/>
      <c r="R966" s="286"/>
      <c r="S966" s="293"/>
      <c r="T966" s="294"/>
      <c r="U966" s="37">
        <v>114494</v>
      </c>
      <c r="V966" s="36" t="str">
        <f>CONCATENATE(Cover!$D$6,"fdd/view?i=",U966)</f>
        <v>https://www.dgiwg.org/FAD/fdd/view?i=114494</v>
      </c>
      <c r="W966" s="172"/>
      <c r="X966" s="172"/>
      <c r="Y966" s="172"/>
    </row>
    <row r="967" spans="1:25" ht="2.1" customHeight="1" x14ac:dyDescent="0.2">
      <c r="A967" s="295"/>
      <c r="B967" s="283"/>
      <c r="C967" s="296"/>
      <c r="D967" s="283"/>
      <c r="E967" s="296"/>
      <c r="F967" s="297"/>
      <c r="G967" s="297"/>
      <c r="H967" s="297"/>
      <c r="I967" s="298"/>
      <c r="J967" s="304"/>
      <c r="K967" s="300"/>
      <c r="L967" s="301"/>
      <c r="M967" s="297" t="s">
        <v>6582</v>
      </c>
      <c r="N967" s="297"/>
      <c r="O967" s="297"/>
      <c r="P967" s="297"/>
      <c r="Q967" s="297"/>
      <c r="R967" s="297"/>
      <c r="S967" s="302"/>
      <c r="T967" s="302"/>
      <c r="U967" s="303"/>
    </row>
    <row r="968" spans="1:25" ht="25.5" x14ac:dyDescent="0.2">
      <c r="A968" s="212" t="str">
        <f>HYPERLINK(V968,B968)</f>
        <v>MisCode</v>
      </c>
      <c r="B968" s="283" t="s">
        <v>10702</v>
      </c>
      <c r="C968" s="284" t="s">
        <v>15558</v>
      </c>
      <c r="D968" s="285"/>
      <c r="E968" s="286"/>
      <c r="F968" s="287" t="s">
        <v>15559</v>
      </c>
      <c r="G968" s="286"/>
      <c r="H968" s="286"/>
      <c r="I968" s="288"/>
      <c r="J968" s="289"/>
      <c r="K968" s="290"/>
      <c r="L968" s="371" t="str">
        <f>HYPERLINK("[#]DatatypeListedValues!B6140:H6140","«enumeration»")</f>
        <v>«enumeration»</v>
      </c>
      <c r="M968" s="287" t="s">
        <v>6582</v>
      </c>
      <c r="N968" s="291" t="b">
        <v>0</v>
      </c>
      <c r="O968" s="286"/>
      <c r="P968" s="292"/>
      <c r="Q968" s="286"/>
      <c r="R968" s="286"/>
      <c r="S968" s="293"/>
      <c r="T968" s="294"/>
      <c r="U968" s="37">
        <v>1610</v>
      </c>
      <c r="V968" s="36" t="str">
        <f>CONCATENATE(Cover!$D$6,"fdd/view?i=",U968)</f>
        <v>https://www.dgiwg.org/FAD/fdd/view?i=1610</v>
      </c>
      <c r="W968" s="172"/>
      <c r="X968" s="172"/>
      <c r="Y968" s="172"/>
    </row>
    <row r="969" spans="1:25" ht="2.1" customHeight="1" x14ac:dyDescent="0.2">
      <c r="A969" s="295"/>
      <c r="B969" s="283"/>
      <c r="C969" s="296"/>
      <c r="D969" s="283"/>
      <c r="E969" s="296"/>
      <c r="F969" s="297"/>
      <c r="G969" s="297"/>
      <c r="H969" s="297"/>
      <c r="I969" s="298"/>
      <c r="J969" s="304"/>
      <c r="K969" s="300"/>
      <c r="L969" s="301"/>
      <c r="M969" s="297" t="s">
        <v>6582</v>
      </c>
      <c r="N969" s="297"/>
      <c r="O969" s="297"/>
      <c r="P969" s="297"/>
      <c r="Q969" s="297"/>
      <c r="R969" s="297"/>
      <c r="S969" s="302"/>
      <c r="T969" s="302"/>
      <c r="U969" s="303"/>
    </row>
    <row r="970" spans="1:25" ht="25.5" x14ac:dyDescent="0.2">
      <c r="A970" s="212" t="str">
        <f>HYPERLINK(V970,B970)</f>
        <v>NdeCode</v>
      </c>
      <c r="B970" s="283" t="s">
        <v>10707</v>
      </c>
      <c r="C970" s="284" t="s">
        <v>15560</v>
      </c>
      <c r="D970" s="285"/>
      <c r="E970" s="286"/>
      <c r="F970" s="287" t="s">
        <v>15561</v>
      </c>
      <c r="G970" s="286"/>
      <c r="H970" s="286"/>
      <c r="I970" s="288"/>
      <c r="J970" s="289"/>
      <c r="K970" s="290"/>
      <c r="L970" s="371" t="str">
        <f>HYPERLINK("[#]DatatypeListedValues!B6143:H6143","«enumeration»")</f>
        <v>«enumeration»</v>
      </c>
      <c r="M970" s="287" t="s">
        <v>6582</v>
      </c>
      <c r="N970" s="291" t="b">
        <v>0</v>
      </c>
      <c r="O970" s="286"/>
      <c r="P970" s="292"/>
      <c r="Q970" s="286"/>
      <c r="R970" s="286"/>
      <c r="S970" s="293"/>
      <c r="T970" s="294"/>
      <c r="U970" s="37">
        <v>1878</v>
      </c>
      <c r="V970" s="36" t="str">
        <f>CONCATENATE(Cover!$D$6,"fdd/view?i=",U970)</f>
        <v>https://www.dgiwg.org/FAD/fdd/view?i=1878</v>
      </c>
      <c r="W970" s="172"/>
      <c r="X970" s="172"/>
      <c r="Y970" s="172"/>
    </row>
    <row r="971" spans="1:25" ht="2.1" customHeight="1" x14ac:dyDescent="0.2">
      <c r="A971" s="295"/>
      <c r="B971" s="283"/>
      <c r="C971" s="296"/>
      <c r="D971" s="283"/>
      <c r="E971" s="296"/>
      <c r="F971" s="297"/>
      <c r="G971" s="297"/>
      <c r="H971" s="297"/>
      <c r="I971" s="298"/>
      <c r="J971" s="304"/>
      <c r="K971" s="300"/>
      <c r="L971" s="301"/>
      <c r="M971" s="297" t="s">
        <v>6582</v>
      </c>
      <c r="N971" s="297"/>
      <c r="O971" s="297"/>
      <c r="P971" s="297"/>
      <c r="Q971" s="297"/>
      <c r="R971" s="297"/>
      <c r="S971" s="302"/>
      <c r="T971" s="302"/>
      <c r="U971" s="303"/>
    </row>
    <row r="972" spans="1:25" ht="25.5" x14ac:dyDescent="0.2">
      <c r="A972" s="212" t="str">
        <f>HYPERLINK(V972,B972)</f>
        <v>MspCode</v>
      </c>
      <c r="B972" s="283" t="s">
        <v>10712</v>
      </c>
      <c r="C972" s="284" t="s">
        <v>15562</v>
      </c>
      <c r="D972" s="285"/>
      <c r="E972" s="286"/>
      <c r="F972" s="287" t="s">
        <v>15563</v>
      </c>
      <c r="G972" s="286"/>
      <c r="H972" s="286"/>
      <c r="I972" s="288"/>
      <c r="J972" s="289"/>
      <c r="K972" s="290"/>
      <c r="L972" s="371" t="str">
        <f>HYPERLINK("[#]DatatypeListedValues!B6155:H6155","«enumeration»")</f>
        <v>«enumeration»</v>
      </c>
      <c r="M972" s="287" t="s">
        <v>6582</v>
      </c>
      <c r="N972" s="291" t="b">
        <v>0</v>
      </c>
      <c r="O972" s="286"/>
      <c r="P972" s="292"/>
      <c r="Q972" s="286"/>
      <c r="R972" s="286"/>
      <c r="S972" s="293"/>
      <c r="T972" s="294"/>
      <c r="U972" s="37">
        <v>1874</v>
      </c>
      <c r="V972" s="36" t="str">
        <f>CONCATENATE(Cover!$D$6,"fdd/view?i=",U972)</f>
        <v>https://www.dgiwg.org/FAD/fdd/view?i=1874</v>
      </c>
      <c r="W972" s="172"/>
      <c r="X972" s="172"/>
      <c r="Y972" s="172"/>
    </row>
    <row r="973" spans="1:25" ht="2.1" customHeight="1" x14ac:dyDescent="0.2">
      <c r="A973" s="295"/>
      <c r="B973" s="283"/>
      <c r="C973" s="296"/>
      <c r="D973" s="283"/>
      <c r="E973" s="296"/>
      <c r="F973" s="297"/>
      <c r="G973" s="297"/>
      <c r="H973" s="297"/>
      <c r="I973" s="298"/>
      <c r="J973" s="304"/>
      <c r="K973" s="300"/>
      <c r="L973" s="301"/>
      <c r="M973" s="297" t="s">
        <v>6582</v>
      </c>
      <c r="N973" s="297"/>
      <c r="O973" s="297"/>
      <c r="P973" s="297"/>
      <c r="Q973" s="297"/>
      <c r="R973" s="297"/>
      <c r="S973" s="302"/>
      <c r="T973" s="302"/>
      <c r="U973" s="303"/>
    </row>
    <row r="974" spans="1:25" ht="38.25" x14ac:dyDescent="0.2">
      <c r="A974" s="212" t="str">
        <f>HYPERLINK(V974,B974)</f>
        <v>McgStrucText</v>
      </c>
      <c r="B974" s="283" t="s">
        <v>10731</v>
      </c>
      <c r="C974" s="284" t="s">
        <v>15564</v>
      </c>
      <c r="D974" s="285"/>
      <c r="E974" s="286"/>
      <c r="F974" s="287" t="s">
        <v>15565</v>
      </c>
      <c r="G974" s="286"/>
      <c r="H974" s="287" t="s">
        <v>14552</v>
      </c>
      <c r="I974" s="288"/>
      <c r="J974" s="289"/>
      <c r="K974" s="290"/>
      <c r="L974" s="287" t="s">
        <v>14551</v>
      </c>
      <c r="M974" s="287" t="s">
        <v>6582</v>
      </c>
      <c r="N974" s="286"/>
      <c r="O974" s="287">
        <v>7</v>
      </c>
      <c r="P974" s="305" t="b">
        <v>0</v>
      </c>
      <c r="Q974" s="287" t="s">
        <v>15566</v>
      </c>
      <c r="R974" s="286"/>
      <c r="S974" s="293"/>
      <c r="T974" s="294"/>
      <c r="U974" s="37">
        <v>117447</v>
      </c>
      <c r="V974" s="36" t="str">
        <f>CONCATENATE(Cover!$D$6,"fdd/view?i=",U974)</f>
        <v>https://www.dgiwg.org/FAD/fdd/view?i=117447</v>
      </c>
      <c r="W974" s="172"/>
      <c r="X974" s="172"/>
      <c r="Y974" s="172"/>
    </row>
    <row r="975" spans="1:25" ht="2.1" customHeight="1" x14ac:dyDescent="0.2">
      <c r="A975" s="295"/>
      <c r="B975" s="283"/>
      <c r="C975" s="296"/>
      <c r="D975" s="283"/>
      <c r="E975" s="296"/>
      <c r="F975" s="297"/>
      <c r="G975" s="297"/>
      <c r="H975" s="297"/>
      <c r="I975" s="298"/>
      <c r="J975" s="304"/>
      <c r="K975" s="300"/>
      <c r="L975" s="301"/>
      <c r="M975" s="297" t="s">
        <v>6582</v>
      </c>
      <c r="N975" s="297"/>
      <c r="O975" s="297"/>
      <c r="P975" s="297"/>
      <c r="Q975" s="297"/>
      <c r="R975" s="297"/>
      <c r="S975" s="302"/>
      <c r="T975" s="302"/>
      <c r="U975" s="303"/>
    </row>
    <row r="976" spans="1:25" ht="25.5" x14ac:dyDescent="0.2">
      <c r="A976" s="212" t="str">
        <f>HYPERLINK(V976,B976)</f>
        <v>XmeCode</v>
      </c>
      <c r="B976" s="283" t="s">
        <v>10785</v>
      </c>
      <c r="C976" s="284" t="s">
        <v>15567</v>
      </c>
      <c r="D976" s="285"/>
      <c r="E976" s="286"/>
      <c r="F976" s="287" t="s">
        <v>15568</v>
      </c>
      <c r="G976" s="286"/>
      <c r="H976" s="286"/>
      <c r="I976" s="288"/>
      <c r="J976" s="289"/>
      <c r="K976" s="290"/>
      <c r="L976" s="371" t="str">
        <f>HYPERLINK("[#]DatatypeListedValues!B6157:H6157","«enumeration»")</f>
        <v>«enumeration»</v>
      </c>
      <c r="M976" s="287" t="s">
        <v>6582</v>
      </c>
      <c r="N976" s="291" t="b">
        <v>0</v>
      </c>
      <c r="O976" s="286"/>
      <c r="P976" s="292"/>
      <c r="Q976" s="286"/>
      <c r="R976" s="286"/>
      <c r="S976" s="293"/>
      <c r="T976" s="294"/>
      <c r="U976" s="37">
        <v>119777</v>
      </c>
      <c r="V976" s="36" t="str">
        <f>CONCATENATE(Cover!$D$6,"fdd/view?i=",U976)</f>
        <v>https://www.dgiwg.org/FAD/fdd/view?i=119777</v>
      </c>
      <c r="W976" s="172"/>
      <c r="X976" s="172"/>
      <c r="Y976" s="172"/>
    </row>
    <row r="977" spans="1:25" ht="2.1" customHeight="1" x14ac:dyDescent="0.2">
      <c r="A977" s="295"/>
      <c r="B977" s="283"/>
      <c r="C977" s="296"/>
      <c r="D977" s="283"/>
      <c r="E977" s="296"/>
      <c r="F977" s="297"/>
      <c r="G977" s="297"/>
      <c r="H977" s="297"/>
      <c r="I977" s="298"/>
      <c r="J977" s="304"/>
      <c r="K977" s="300"/>
      <c r="L977" s="301"/>
      <c r="M977" s="297" t="s">
        <v>6582</v>
      </c>
      <c r="N977" s="297"/>
      <c r="O977" s="297"/>
      <c r="P977" s="297"/>
      <c r="Q977" s="297"/>
      <c r="R977" s="297"/>
      <c r="S977" s="302"/>
      <c r="T977" s="302"/>
      <c r="U977" s="303"/>
    </row>
    <row r="978" spans="1:25" ht="25.5" x14ac:dyDescent="0.2">
      <c r="A978" s="212" t="str">
        <f>HYPERLINK(V978,B978)</f>
        <v>MstCode</v>
      </c>
      <c r="B978" s="283" t="s">
        <v>10790</v>
      </c>
      <c r="C978" s="284" t="s">
        <v>15569</v>
      </c>
      <c r="D978" s="285"/>
      <c r="E978" s="286"/>
      <c r="F978" s="287" t="s">
        <v>15570</v>
      </c>
      <c r="G978" s="286"/>
      <c r="H978" s="286"/>
      <c r="I978" s="288"/>
      <c r="J978" s="289"/>
      <c r="K978" s="290"/>
      <c r="L978" s="371" t="str">
        <f>HYPERLINK("[#]DatatypeListedValues!B6161:H6161","«enumeration»")</f>
        <v>«enumeration»</v>
      </c>
      <c r="M978" s="287" t="s">
        <v>6582</v>
      </c>
      <c r="N978" s="291" t="b">
        <v>0</v>
      </c>
      <c r="O978" s="286"/>
      <c r="P978" s="292"/>
      <c r="Q978" s="286"/>
      <c r="R978" s="286"/>
      <c r="S978" s="293"/>
      <c r="T978" s="294"/>
      <c r="U978" s="37">
        <v>1328</v>
      </c>
      <c r="V978" s="36" t="str">
        <f>CONCATENATE(Cover!$D$6,"fdd/view?i=",U978)</f>
        <v>https://www.dgiwg.org/FAD/fdd/view?i=1328</v>
      </c>
      <c r="W978" s="172"/>
      <c r="X978" s="172"/>
      <c r="Y978" s="172"/>
    </row>
    <row r="979" spans="1:25" ht="2.1" customHeight="1" x14ac:dyDescent="0.2">
      <c r="A979" s="295"/>
      <c r="B979" s="283"/>
      <c r="C979" s="296"/>
      <c r="D979" s="283"/>
      <c r="E979" s="296"/>
      <c r="F979" s="297"/>
      <c r="G979" s="297"/>
      <c r="H979" s="297"/>
      <c r="I979" s="298"/>
      <c r="J979" s="304"/>
      <c r="K979" s="300"/>
      <c r="L979" s="301"/>
      <c r="M979" s="297" t="s">
        <v>6582</v>
      </c>
      <c r="N979" s="297"/>
      <c r="O979" s="297"/>
      <c r="P979" s="297"/>
      <c r="Q979" s="297"/>
      <c r="R979" s="297"/>
      <c r="S979" s="302"/>
      <c r="T979" s="302"/>
      <c r="U979" s="303"/>
    </row>
    <row r="980" spans="1:25" ht="178.5" x14ac:dyDescent="0.2">
      <c r="A980" s="212" t="str">
        <f>HYPERLINK(V980,B980)</f>
        <v>MdtStrucText</v>
      </c>
      <c r="B980" s="283" t="s">
        <v>10799</v>
      </c>
      <c r="C980" s="284" t="s">
        <v>15571</v>
      </c>
      <c r="D980" s="285"/>
      <c r="E980" s="286"/>
      <c r="F980" s="287" t="s">
        <v>15572</v>
      </c>
      <c r="G980" s="286"/>
      <c r="H980" s="287" t="s">
        <v>14552</v>
      </c>
      <c r="I980" s="288"/>
      <c r="J980" s="289"/>
      <c r="K980" s="290"/>
      <c r="L980" s="287" t="s">
        <v>14551</v>
      </c>
      <c r="M980" s="287" t="s">
        <v>6582</v>
      </c>
      <c r="N980" s="286"/>
      <c r="O980" s="287">
        <v>20</v>
      </c>
      <c r="P980" s="305" t="b">
        <v>0</v>
      </c>
      <c r="Q980" s="287" t="s">
        <v>14553</v>
      </c>
      <c r="R980" s="286"/>
      <c r="S980" s="293"/>
      <c r="T980" s="294"/>
      <c r="U980" s="37">
        <v>114249</v>
      </c>
      <c r="V980" s="36" t="str">
        <f>CONCATENATE(Cover!$D$6,"fdd/view?i=",U980)</f>
        <v>https://www.dgiwg.org/FAD/fdd/view?i=114249</v>
      </c>
      <c r="W980" s="172"/>
      <c r="X980" s="172"/>
      <c r="Y980" s="172"/>
    </row>
    <row r="981" spans="1:25" ht="2.1" customHeight="1" x14ac:dyDescent="0.2">
      <c r="A981" s="295"/>
      <c r="B981" s="283"/>
      <c r="C981" s="296"/>
      <c r="D981" s="283"/>
      <c r="E981" s="296"/>
      <c r="F981" s="297"/>
      <c r="G981" s="297"/>
      <c r="H981" s="297"/>
      <c r="I981" s="298"/>
      <c r="J981" s="304"/>
      <c r="K981" s="300"/>
      <c r="L981" s="301"/>
      <c r="M981" s="297" t="s">
        <v>6582</v>
      </c>
      <c r="N981" s="297"/>
      <c r="O981" s="297"/>
      <c r="P981" s="297"/>
      <c r="Q981" s="297"/>
      <c r="R981" s="297"/>
      <c r="S981" s="302"/>
      <c r="T981" s="302"/>
      <c r="U981" s="303"/>
    </row>
    <row r="982" spans="1:25" ht="38.25" x14ac:dyDescent="0.2">
      <c r="A982" s="212" t="str">
        <f>HYPERLINK(V982,B982)</f>
        <v>IemCode</v>
      </c>
      <c r="B982" s="283" t="s">
        <v>10805</v>
      </c>
      <c r="C982" s="284" t="s">
        <v>15573</v>
      </c>
      <c r="D982" s="285"/>
      <c r="E982" s="286"/>
      <c r="F982" s="287" t="s">
        <v>15574</v>
      </c>
      <c r="G982" s="286"/>
      <c r="H982" s="286"/>
      <c r="I982" s="288"/>
      <c r="J982" s="289"/>
      <c r="K982" s="290"/>
      <c r="L982" s="371" t="str">
        <f>HYPERLINK("[#]DatatypeListedValues!B6186:H6186","«enumeration»")</f>
        <v>«enumeration»</v>
      </c>
      <c r="M982" s="287" t="s">
        <v>6582</v>
      </c>
      <c r="N982" s="291" t="b">
        <v>0</v>
      </c>
      <c r="O982" s="286"/>
      <c r="P982" s="292"/>
      <c r="Q982" s="286"/>
      <c r="R982" s="286"/>
      <c r="S982" s="293"/>
      <c r="T982" s="294"/>
      <c r="U982" s="37">
        <v>1854</v>
      </c>
      <c r="V982" s="36" t="str">
        <f>CONCATENATE(Cover!$D$6,"fdd/view?i=",U982)</f>
        <v>https://www.dgiwg.org/FAD/fdd/view?i=1854</v>
      </c>
      <c r="W982" s="172"/>
      <c r="X982" s="172"/>
      <c r="Y982" s="172"/>
    </row>
    <row r="983" spans="1:25" ht="2.1" customHeight="1" x14ac:dyDescent="0.2">
      <c r="A983" s="295"/>
      <c r="B983" s="283"/>
      <c r="C983" s="296"/>
      <c r="D983" s="283"/>
      <c r="E983" s="296"/>
      <c r="F983" s="297"/>
      <c r="G983" s="297"/>
      <c r="H983" s="297"/>
      <c r="I983" s="298"/>
      <c r="J983" s="304"/>
      <c r="K983" s="300"/>
      <c r="L983" s="301"/>
      <c r="M983" s="297" t="s">
        <v>6582</v>
      </c>
      <c r="N983" s="297"/>
      <c r="O983" s="297"/>
      <c r="P983" s="297"/>
      <c r="Q983" s="297"/>
      <c r="R983" s="297"/>
      <c r="S983" s="302"/>
      <c r="T983" s="302"/>
      <c r="U983" s="303"/>
    </row>
    <row r="984" spans="1:25" ht="25.5" x14ac:dyDescent="0.2">
      <c r="A984" s="212" t="str">
        <f>HYPERLINK(V984,B984)</f>
        <v>MmeCode</v>
      </c>
      <c r="B984" s="283" t="s">
        <v>10820</v>
      </c>
      <c r="C984" s="284" t="s">
        <v>15575</v>
      </c>
      <c r="D984" s="285"/>
      <c r="E984" s="286"/>
      <c r="F984" s="287" t="s">
        <v>15576</v>
      </c>
      <c r="G984" s="286"/>
      <c r="H984" s="286"/>
      <c r="I984" s="288"/>
      <c r="J984" s="289"/>
      <c r="K984" s="290"/>
      <c r="L984" s="371" t="str">
        <f>HYPERLINK("[#]DatatypeListedValues!B6198:H6198","«enumeration»")</f>
        <v>«enumeration»</v>
      </c>
      <c r="M984" s="287" t="s">
        <v>6582</v>
      </c>
      <c r="N984" s="291" t="b">
        <v>0</v>
      </c>
      <c r="O984" s="286"/>
      <c r="P984" s="292"/>
      <c r="Q984" s="286"/>
      <c r="R984" s="286"/>
      <c r="S984" s="293"/>
      <c r="T984" s="294"/>
      <c r="U984" s="37">
        <v>119794</v>
      </c>
      <c r="V984" s="36" t="str">
        <f>CONCATENATE(Cover!$D$6,"fdd/view?i=",U984)</f>
        <v>https://www.dgiwg.org/FAD/fdd/view?i=119794</v>
      </c>
      <c r="W984" s="172"/>
      <c r="X984" s="172"/>
      <c r="Y984" s="172"/>
    </row>
    <row r="985" spans="1:25" ht="2.1" customHeight="1" x14ac:dyDescent="0.2">
      <c r="A985" s="295"/>
      <c r="B985" s="283"/>
      <c r="C985" s="296"/>
      <c r="D985" s="283"/>
      <c r="E985" s="296"/>
      <c r="F985" s="297"/>
      <c r="G985" s="297"/>
      <c r="H985" s="297"/>
      <c r="I985" s="298"/>
      <c r="J985" s="304"/>
      <c r="K985" s="300"/>
      <c r="L985" s="301"/>
      <c r="M985" s="297" t="s">
        <v>6582</v>
      </c>
      <c r="N985" s="297"/>
      <c r="O985" s="297"/>
      <c r="P985" s="297"/>
      <c r="Q985" s="297"/>
      <c r="R985" s="297"/>
      <c r="S985" s="302"/>
      <c r="T985" s="302"/>
      <c r="U985" s="303"/>
    </row>
    <row r="986" spans="1:25" ht="25.5" x14ac:dyDescent="0.2">
      <c r="A986" s="212" t="str">
        <f>HYPERLINK(V986,B986)</f>
        <v>MtpCode</v>
      </c>
      <c r="B986" s="283" t="s">
        <v>10825</v>
      </c>
      <c r="C986" s="284" t="s">
        <v>15577</v>
      </c>
      <c r="D986" s="285"/>
      <c r="E986" s="286"/>
      <c r="F986" s="287" t="s">
        <v>15578</v>
      </c>
      <c r="G986" s="286"/>
      <c r="H986" s="286"/>
      <c r="I986" s="288"/>
      <c r="J986" s="289"/>
      <c r="K986" s="290"/>
      <c r="L986" s="371" t="str">
        <f>HYPERLINK("[#]DatatypeListedValues!B6200:H6200","«enumeration»")</f>
        <v>«enumeration»</v>
      </c>
      <c r="M986" s="287" t="s">
        <v>6582</v>
      </c>
      <c r="N986" s="291" t="b">
        <v>0</v>
      </c>
      <c r="O986" s="286"/>
      <c r="P986" s="292"/>
      <c r="Q986" s="286"/>
      <c r="R986" s="286"/>
      <c r="S986" s="293"/>
      <c r="T986" s="294"/>
      <c r="U986" s="37">
        <v>1875</v>
      </c>
      <c r="V986" s="36" t="str">
        <f>CONCATENATE(Cover!$D$6,"fdd/view?i=",U986)</f>
        <v>https://www.dgiwg.org/FAD/fdd/view?i=1875</v>
      </c>
      <c r="W986" s="172"/>
      <c r="X986" s="172"/>
      <c r="Y986" s="172"/>
    </row>
    <row r="987" spans="1:25" ht="2.1" customHeight="1" x14ac:dyDescent="0.2">
      <c r="A987" s="295"/>
      <c r="B987" s="283"/>
      <c r="C987" s="296"/>
      <c r="D987" s="283"/>
      <c r="E987" s="296"/>
      <c r="F987" s="297"/>
      <c r="G987" s="297"/>
      <c r="H987" s="297"/>
      <c r="I987" s="298"/>
      <c r="J987" s="304"/>
      <c r="K987" s="300"/>
      <c r="L987" s="301"/>
      <c r="M987" s="297" t="s">
        <v>6582</v>
      </c>
      <c r="N987" s="297"/>
      <c r="O987" s="297"/>
      <c r="P987" s="297"/>
      <c r="Q987" s="297"/>
      <c r="R987" s="297"/>
      <c r="S987" s="302"/>
      <c r="T987" s="302"/>
      <c r="U987" s="303"/>
    </row>
    <row r="988" spans="1:25" ht="25.5" x14ac:dyDescent="0.2">
      <c r="A988" s="212" t="str">
        <f>HYPERLINK(V988,B988)</f>
        <v>MwfCode</v>
      </c>
      <c r="B988" s="283" t="s">
        <v>10830</v>
      </c>
      <c r="C988" s="284" t="s">
        <v>15579</v>
      </c>
      <c r="D988" s="285"/>
      <c r="E988" s="286"/>
      <c r="F988" s="287" t="s">
        <v>15580</v>
      </c>
      <c r="G988" s="286"/>
      <c r="H988" s="286"/>
      <c r="I988" s="288"/>
      <c r="J988" s="289"/>
      <c r="K988" s="290"/>
      <c r="L988" s="371" t="str">
        <f>HYPERLINK("[#]DatatypeListedValues!B6203:H6203","«enumeration»")</f>
        <v>«enumeration»</v>
      </c>
      <c r="M988" s="287" t="s">
        <v>6582</v>
      </c>
      <c r="N988" s="291" t="b">
        <v>0</v>
      </c>
      <c r="O988" s="286"/>
      <c r="P988" s="292"/>
      <c r="Q988" s="286"/>
      <c r="R988" s="286"/>
      <c r="S988" s="293"/>
      <c r="T988" s="294"/>
      <c r="U988" s="37">
        <v>1334</v>
      </c>
      <c r="V988" s="36" t="str">
        <f>CONCATENATE(Cover!$D$6,"fdd/view?i=",U988)</f>
        <v>https://www.dgiwg.org/FAD/fdd/view?i=1334</v>
      </c>
      <c r="W988" s="172"/>
      <c r="X988" s="172"/>
      <c r="Y988" s="172"/>
    </row>
    <row r="989" spans="1:25" ht="2.1" customHeight="1" x14ac:dyDescent="0.2">
      <c r="A989" s="295"/>
      <c r="B989" s="283"/>
      <c r="C989" s="296"/>
      <c r="D989" s="283"/>
      <c r="E989" s="296"/>
      <c r="F989" s="297"/>
      <c r="G989" s="297"/>
      <c r="H989" s="297"/>
      <c r="I989" s="298"/>
      <c r="J989" s="304"/>
      <c r="K989" s="300"/>
      <c r="L989" s="301"/>
      <c r="M989" s="297" t="s">
        <v>6582</v>
      </c>
      <c r="N989" s="297"/>
      <c r="O989" s="297"/>
      <c r="P989" s="297"/>
      <c r="Q989" s="297"/>
      <c r="R989" s="297"/>
      <c r="S989" s="302"/>
      <c r="T989" s="302"/>
      <c r="U989" s="303"/>
    </row>
    <row r="990" spans="1:25" ht="25.5" x14ac:dyDescent="0.2">
      <c r="A990" s="212" t="str">
        <f>HYPERLINK(V990,B990)</f>
        <v>MctCode</v>
      </c>
      <c r="B990" s="283" t="s">
        <v>10835</v>
      </c>
      <c r="C990" s="284" t="s">
        <v>15581</v>
      </c>
      <c r="D990" s="285"/>
      <c r="E990" s="286"/>
      <c r="F990" s="287" t="s">
        <v>15582</v>
      </c>
      <c r="G990" s="286"/>
      <c r="H990" s="286"/>
      <c r="I990" s="288"/>
      <c r="J990" s="289"/>
      <c r="K990" s="290"/>
      <c r="L990" s="371" t="str">
        <f>HYPERLINK("[#]DatatypeListedValues!B6211:H6211","«enumeration»")</f>
        <v>«enumeration»</v>
      </c>
      <c r="M990" s="287" t="s">
        <v>6582</v>
      </c>
      <c r="N990" s="291" t="b">
        <v>0</v>
      </c>
      <c r="O990" s="286"/>
      <c r="P990" s="292"/>
      <c r="Q990" s="286"/>
      <c r="R990" s="286"/>
      <c r="S990" s="293"/>
      <c r="T990" s="294"/>
      <c r="U990" s="37">
        <v>1295</v>
      </c>
      <c r="V990" s="36" t="str">
        <f>CONCATENATE(Cover!$D$6,"fdd/view?i=",U990)</f>
        <v>https://www.dgiwg.org/FAD/fdd/view?i=1295</v>
      </c>
      <c r="W990" s="172"/>
      <c r="X990" s="172"/>
      <c r="Y990" s="172"/>
    </row>
    <row r="991" spans="1:25" ht="2.1" customHeight="1" x14ac:dyDescent="0.2">
      <c r="A991" s="295"/>
      <c r="B991" s="283"/>
      <c r="C991" s="296"/>
      <c r="D991" s="283"/>
      <c r="E991" s="296"/>
      <c r="F991" s="297"/>
      <c r="G991" s="297"/>
      <c r="H991" s="297"/>
      <c r="I991" s="298"/>
      <c r="J991" s="304"/>
      <c r="K991" s="300"/>
      <c r="L991" s="301"/>
      <c r="M991" s="297" t="s">
        <v>6582</v>
      </c>
      <c r="N991" s="297"/>
      <c r="O991" s="297"/>
      <c r="P991" s="297"/>
      <c r="Q991" s="297"/>
      <c r="R991" s="297"/>
      <c r="S991" s="302"/>
      <c r="T991" s="302"/>
      <c r="U991" s="303"/>
    </row>
    <row r="992" spans="1:25" ht="25.5" x14ac:dyDescent="0.2">
      <c r="A992" s="212" t="str">
        <f>HYPERLINK(V992,B992)</f>
        <v>MorCode</v>
      </c>
      <c r="B992" s="283" t="s">
        <v>10840</v>
      </c>
      <c r="C992" s="284" t="s">
        <v>15583</v>
      </c>
      <c r="D992" s="285"/>
      <c r="E992" s="286"/>
      <c r="F992" s="287" t="s">
        <v>15584</v>
      </c>
      <c r="G992" s="286"/>
      <c r="H992" s="286"/>
      <c r="I992" s="288"/>
      <c r="J992" s="289"/>
      <c r="K992" s="290"/>
      <c r="L992" s="371" t="str">
        <f>HYPERLINK("[#]DatatypeListedValues!B6216:H6216","«enumeration»")</f>
        <v>«enumeration»</v>
      </c>
      <c r="M992" s="287" t="s">
        <v>6582</v>
      </c>
      <c r="N992" s="291" t="b">
        <v>0</v>
      </c>
      <c r="O992" s="286"/>
      <c r="P992" s="292"/>
      <c r="Q992" s="286"/>
      <c r="R992" s="286"/>
      <c r="S992" s="293"/>
      <c r="T992" s="294"/>
      <c r="U992" s="37">
        <v>1873</v>
      </c>
      <c r="V992" s="36" t="str">
        <f>CONCATENATE(Cover!$D$6,"fdd/view?i=",U992)</f>
        <v>https://www.dgiwg.org/FAD/fdd/view?i=1873</v>
      </c>
      <c r="W992" s="172"/>
      <c r="X992" s="172"/>
      <c r="Y992" s="172"/>
    </row>
    <row r="993" spans="1:25" ht="2.1" customHeight="1" x14ac:dyDescent="0.2">
      <c r="A993" s="295"/>
      <c r="B993" s="283"/>
      <c r="C993" s="296"/>
      <c r="D993" s="283"/>
      <c r="E993" s="296"/>
      <c r="F993" s="297"/>
      <c r="G993" s="297"/>
      <c r="H993" s="297"/>
      <c r="I993" s="298"/>
      <c r="J993" s="304"/>
      <c r="K993" s="300"/>
      <c r="L993" s="301"/>
      <c r="M993" s="297" t="s">
        <v>6582</v>
      </c>
      <c r="N993" s="297"/>
      <c r="O993" s="297"/>
      <c r="P993" s="297"/>
      <c r="Q993" s="297"/>
      <c r="R993" s="297"/>
      <c r="S993" s="302"/>
      <c r="T993" s="302"/>
      <c r="U993" s="303"/>
    </row>
    <row r="994" spans="1:25" ht="38.25" x14ac:dyDescent="0.2">
      <c r="A994" s="212" t="str">
        <f>HYPERLINK(V994,B994)</f>
        <v>MlrStrucText</v>
      </c>
      <c r="B994" s="283" t="s">
        <v>10857</v>
      </c>
      <c r="C994" s="284" t="s">
        <v>15585</v>
      </c>
      <c r="D994" s="285"/>
      <c r="E994" s="286"/>
      <c r="F994" s="287" t="s">
        <v>15586</v>
      </c>
      <c r="G994" s="286"/>
      <c r="H994" s="287" t="s">
        <v>14552</v>
      </c>
      <c r="I994" s="288"/>
      <c r="J994" s="289"/>
      <c r="K994" s="290"/>
      <c r="L994" s="287" t="s">
        <v>14551</v>
      </c>
      <c r="M994" s="287" t="s">
        <v>6582</v>
      </c>
      <c r="N994" s="286"/>
      <c r="O994" s="287">
        <v>255</v>
      </c>
      <c r="P994" s="305" t="b">
        <v>0</v>
      </c>
      <c r="Q994" s="287" t="s">
        <v>15587</v>
      </c>
      <c r="R994" s="286"/>
      <c r="S994" s="293"/>
      <c r="T994" s="294"/>
      <c r="U994" s="37">
        <v>3745</v>
      </c>
      <c r="V994" s="36" t="str">
        <f>CONCATENATE(Cover!$D$6,"fdd/view?i=",U994)</f>
        <v>https://www.dgiwg.org/FAD/fdd/view?i=3745</v>
      </c>
      <c r="W994" s="172"/>
      <c r="X994" s="172"/>
      <c r="Y994" s="172"/>
    </row>
    <row r="995" spans="1:25" ht="2.1" customHeight="1" x14ac:dyDescent="0.2">
      <c r="A995" s="295"/>
      <c r="B995" s="283"/>
      <c r="C995" s="296"/>
      <c r="D995" s="283"/>
      <c r="E995" s="296"/>
      <c r="F995" s="297"/>
      <c r="G995" s="297"/>
      <c r="H995" s="297"/>
      <c r="I995" s="298"/>
      <c r="J995" s="304"/>
      <c r="K995" s="300"/>
      <c r="L995" s="301"/>
      <c r="M995" s="297" t="s">
        <v>6582</v>
      </c>
      <c r="N995" s="297"/>
      <c r="O995" s="297"/>
      <c r="P995" s="297"/>
      <c r="Q995" s="297"/>
      <c r="R995" s="297"/>
      <c r="S995" s="302"/>
      <c r="T995" s="302"/>
      <c r="U995" s="303"/>
    </row>
    <row r="996" spans="1:25" ht="178.5" x14ac:dyDescent="0.2">
      <c r="A996" s="212" t="str">
        <f>HYPERLINK(V996,B996)</f>
        <v>NedStrucText</v>
      </c>
      <c r="B996" s="283" t="s">
        <v>10875</v>
      </c>
      <c r="C996" s="284" t="s">
        <v>15588</v>
      </c>
      <c r="D996" s="285"/>
      <c r="E996" s="286"/>
      <c r="F996" s="287" t="s">
        <v>15589</v>
      </c>
      <c r="G996" s="286"/>
      <c r="H996" s="287" t="s">
        <v>14552</v>
      </c>
      <c r="I996" s="288"/>
      <c r="J996" s="289"/>
      <c r="K996" s="290"/>
      <c r="L996" s="287" t="s">
        <v>14551</v>
      </c>
      <c r="M996" s="287" t="s">
        <v>6582</v>
      </c>
      <c r="N996" s="286"/>
      <c r="O996" s="287">
        <v>20</v>
      </c>
      <c r="P996" s="305" t="b">
        <v>0</v>
      </c>
      <c r="Q996" s="287" t="s">
        <v>14553</v>
      </c>
      <c r="R996" s="286"/>
      <c r="S996" s="293"/>
      <c r="T996" s="294"/>
      <c r="U996" s="37">
        <v>1879</v>
      </c>
      <c r="V996" s="36" t="str">
        <f>CONCATENATE(Cover!$D$6,"fdd/view?i=",U996)</f>
        <v>https://www.dgiwg.org/FAD/fdd/view?i=1879</v>
      </c>
      <c r="W996" s="172"/>
      <c r="X996" s="172"/>
      <c r="Y996" s="172"/>
    </row>
    <row r="997" spans="1:25" ht="2.1" customHeight="1" x14ac:dyDescent="0.2">
      <c r="A997" s="295"/>
      <c r="B997" s="283"/>
      <c r="C997" s="296"/>
      <c r="D997" s="283"/>
      <c r="E997" s="296"/>
      <c r="F997" s="297"/>
      <c r="G997" s="297"/>
      <c r="H997" s="297"/>
      <c r="I997" s="298"/>
      <c r="J997" s="304"/>
      <c r="K997" s="300"/>
      <c r="L997" s="301"/>
      <c r="M997" s="297" t="s">
        <v>6582</v>
      </c>
      <c r="N997" s="297"/>
      <c r="O997" s="297"/>
      <c r="P997" s="297"/>
      <c r="Q997" s="297"/>
      <c r="R997" s="297"/>
      <c r="S997" s="302"/>
      <c r="T997" s="302"/>
      <c r="U997" s="303"/>
    </row>
    <row r="998" spans="1:25" ht="38.25" x14ac:dyDescent="0.2">
      <c r="A998" s="212" t="str">
        <f>HYPERLINK(V998,B998)</f>
        <v>GmcStrucText</v>
      </c>
      <c r="B998" s="283" t="s">
        <v>10896</v>
      </c>
      <c r="C998" s="284" t="s">
        <v>15590</v>
      </c>
      <c r="D998" s="285"/>
      <c r="E998" s="286"/>
      <c r="F998" s="287" t="s">
        <v>15591</v>
      </c>
      <c r="G998" s="286"/>
      <c r="H998" s="287" t="s">
        <v>14552</v>
      </c>
      <c r="I998" s="288"/>
      <c r="J998" s="289"/>
      <c r="K998" s="290"/>
      <c r="L998" s="287" t="s">
        <v>14551</v>
      </c>
      <c r="M998" s="287" t="s">
        <v>6582</v>
      </c>
      <c r="N998" s="286"/>
      <c r="O998" s="305" t="s">
        <v>14571</v>
      </c>
      <c r="P998" s="287" t="b">
        <v>1</v>
      </c>
      <c r="Q998" s="287" t="s">
        <v>14993</v>
      </c>
      <c r="R998" s="286"/>
      <c r="S998" s="293"/>
      <c r="T998" s="294"/>
      <c r="U998" s="37">
        <v>1843</v>
      </c>
      <c r="V998" s="36" t="str">
        <f>CONCATENATE(Cover!$D$6,"fdd/view?i=",U998)</f>
        <v>https://www.dgiwg.org/FAD/fdd/view?i=1843</v>
      </c>
      <c r="W998" s="172"/>
      <c r="X998" s="172"/>
      <c r="Y998" s="172"/>
    </row>
    <row r="999" spans="1:25" ht="2.1" customHeight="1" x14ac:dyDescent="0.2">
      <c r="A999" s="295"/>
      <c r="B999" s="283"/>
      <c r="C999" s="296"/>
      <c r="D999" s="283"/>
      <c r="E999" s="296"/>
      <c r="F999" s="297"/>
      <c r="G999" s="297"/>
      <c r="H999" s="297"/>
      <c r="I999" s="298"/>
      <c r="J999" s="304"/>
      <c r="K999" s="300"/>
      <c r="L999" s="301"/>
      <c r="M999" s="297" t="s">
        <v>6582</v>
      </c>
      <c r="N999" s="297"/>
      <c r="O999" s="297"/>
      <c r="P999" s="297"/>
      <c r="Q999" s="297"/>
      <c r="R999" s="297"/>
      <c r="S999" s="302"/>
      <c r="T999" s="302"/>
      <c r="U999" s="303"/>
    </row>
    <row r="1000" spans="1:25" ht="178.5" x14ac:dyDescent="0.2">
      <c r="A1000" s="212" t="str">
        <f>HYPERLINK(V1000,B1000)</f>
        <v>NtdStrucText</v>
      </c>
      <c r="B1000" s="283" t="s">
        <v>10901</v>
      </c>
      <c r="C1000" s="284" t="s">
        <v>15592</v>
      </c>
      <c r="D1000" s="285"/>
      <c r="E1000" s="286"/>
      <c r="F1000" s="287" t="s">
        <v>15593</v>
      </c>
      <c r="G1000" s="286"/>
      <c r="H1000" s="287" t="s">
        <v>14552</v>
      </c>
      <c r="I1000" s="288"/>
      <c r="J1000" s="289"/>
      <c r="K1000" s="290"/>
      <c r="L1000" s="287" t="s">
        <v>14551</v>
      </c>
      <c r="M1000" s="287" t="s">
        <v>6582</v>
      </c>
      <c r="N1000" s="286"/>
      <c r="O1000" s="287">
        <v>20</v>
      </c>
      <c r="P1000" s="305" t="b">
        <v>0</v>
      </c>
      <c r="Q1000" s="287" t="s">
        <v>14553</v>
      </c>
      <c r="R1000" s="286"/>
      <c r="S1000" s="293"/>
      <c r="T1000" s="294"/>
      <c r="U1000" s="37">
        <v>1881</v>
      </c>
      <c r="V1000" s="36" t="str">
        <f>CONCATENATE(Cover!$D$6,"fdd/view?i=",U1000)</f>
        <v>https://www.dgiwg.org/FAD/fdd/view?i=1881</v>
      </c>
      <c r="W1000" s="172"/>
      <c r="X1000" s="172"/>
      <c r="Y1000" s="172"/>
    </row>
    <row r="1001" spans="1:25" ht="2.1" customHeight="1" x14ac:dyDescent="0.2">
      <c r="A1001" s="295"/>
      <c r="B1001" s="283"/>
      <c r="C1001" s="296"/>
      <c r="D1001" s="283"/>
      <c r="E1001" s="296"/>
      <c r="F1001" s="297"/>
      <c r="G1001" s="297"/>
      <c r="H1001" s="297"/>
      <c r="I1001" s="298"/>
      <c r="J1001" s="304"/>
      <c r="K1001" s="300"/>
      <c r="L1001" s="301"/>
      <c r="M1001" s="297" t="s">
        <v>6582</v>
      </c>
      <c r="N1001" s="297"/>
      <c r="O1001" s="297"/>
      <c r="P1001" s="297"/>
      <c r="Q1001" s="297"/>
      <c r="R1001" s="297"/>
      <c r="S1001" s="302"/>
      <c r="T1001" s="302"/>
      <c r="U1001" s="303"/>
    </row>
    <row r="1002" spans="1:25" ht="25.5" x14ac:dyDescent="0.2">
      <c r="A1002" s="212" t="str">
        <f>HYPERLINK(V1002,B1002)</f>
        <v>NltCode</v>
      </c>
      <c r="B1002" s="283" t="s">
        <v>10911</v>
      </c>
      <c r="C1002" s="284" t="s">
        <v>15594</v>
      </c>
      <c r="D1002" s="285"/>
      <c r="E1002" s="286"/>
      <c r="F1002" s="287" t="s">
        <v>15595</v>
      </c>
      <c r="G1002" s="286"/>
      <c r="H1002" s="286"/>
      <c r="I1002" s="288"/>
      <c r="J1002" s="289"/>
      <c r="K1002" s="290"/>
      <c r="L1002" s="371" t="str">
        <f>HYPERLINK("[#]DatatypeListedValues!B6220:H6220","«enumeration»")</f>
        <v>«enumeration»</v>
      </c>
      <c r="M1002" s="287" t="s">
        <v>6582</v>
      </c>
      <c r="N1002" s="291" t="b">
        <v>0</v>
      </c>
      <c r="O1002" s="286"/>
      <c r="P1002" s="292"/>
      <c r="Q1002" s="286"/>
      <c r="R1002" s="286"/>
      <c r="S1002" s="293"/>
      <c r="T1002" s="294"/>
      <c r="U1002" s="37">
        <v>114261</v>
      </c>
      <c r="V1002" s="36" t="str">
        <f>CONCATENATE(Cover!$D$6,"fdd/view?i=",U1002)</f>
        <v>https://www.dgiwg.org/FAD/fdd/view?i=114261</v>
      </c>
      <c r="W1002" s="172"/>
      <c r="X1002" s="172"/>
      <c r="Y1002" s="172"/>
    </row>
    <row r="1003" spans="1:25" ht="2.1" customHeight="1" x14ac:dyDescent="0.2">
      <c r="A1003" s="295"/>
      <c r="B1003" s="283"/>
      <c r="C1003" s="296"/>
      <c r="D1003" s="283"/>
      <c r="E1003" s="296"/>
      <c r="F1003" s="297"/>
      <c r="G1003" s="297"/>
      <c r="H1003" s="297"/>
      <c r="I1003" s="298"/>
      <c r="J1003" s="304"/>
      <c r="K1003" s="300"/>
      <c r="L1003" s="301"/>
      <c r="M1003" s="297" t="s">
        <v>6582</v>
      </c>
      <c r="N1003" s="297"/>
      <c r="O1003" s="297"/>
      <c r="P1003" s="297"/>
      <c r="Q1003" s="297"/>
      <c r="R1003" s="297"/>
      <c r="S1003" s="302"/>
      <c r="T1003" s="302"/>
      <c r="U1003" s="303"/>
    </row>
    <row r="1004" spans="1:25" ht="25.5" x14ac:dyDescent="0.2">
      <c r="A1004" s="212" t="str">
        <f>HYPERLINK(V1004,B1004)</f>
        <v>NctCode</v>
      </c>
      <c r="B1004" s="283" t="s">
        <v>10916</v>
      </c>
      <c r="C1004" s="284" t="s">
        <v>15596</v>
      </c>
      <c r="D1004" s="285"/>
      <c r="E1004" s="286"/>
      <c r="F1004" s="287" t="s">
        <v>15597</v>
      </c>
      <c r="G1004" s="286"/>
      <c r="H1004" s="286"/>
      <c r="I1004" s="288"/>
      <c r="J1004" s="289"/>
      <c r="K1004" s="290"/>
      <c r="L1004" s="371" t="str">
        <f>HYPERLINK("[#]DatatypeListedValues!B6225:H6225","«enumeration»")</f>
        <v>«enumeration»</v>
      </c>
      <c r="M1004" s="287" t="s">
        <v>6582</v>
      </c>
      <c r="N1004" s="291" t="b">
        <v>0</v>
      </c>
      <c r="O1004" s="286"/>
      <c r="P1004" s="292"/>
      <c r="Q1004" s="286"/>
      <c r="R1004" s="286"/>
      <c r="S1004" s="293"/>
      <c r="T1004" s="294"/>
      <c r="U1004" s="37">
        <v>1877</v>
      </c>
      <c r="V1004" s="36" t="str">
        <f>CONCATENATE(Cover!$D$6,"fdd/view?i=",U1004)</f>
        <v>https://www.dgiwg.org/FAD/fdd/view?i=1877</v>
      </c>
      <c r="W1004" s="172"/>
      <c r="X1004" s="172"/>
      <c r="Y1004" s="172"/>
    </row>
    <row r="1005" spans="1:25" ht="2.1" customHeight="1" x14ac:dyDescent="0.2">
      <c r="A1005" s="295"/>
      <c r="B1005" s="283"/>
      <c r="C1005" s="296"/>
      <c r="D1005" s="283"/>
      <c r="E1005" s="296"/>
      <c r="F1005" s="297"/>
      <c r="G1005" s="297"/>
      <c r="H1005" s="297"/>
      <c r="I1005" s="298"/>
      <c r="J1005" s="304"/>
      <c r="K1005" s="300"/>
      <c r="L1005" s="301"/>
      <c r="M1005" s="297" t="s">
        <v>6582</v>
      </c>
      <c r="N1005" s="297"/>
      <c r="O1005" s="297"/>
      <c r="P1005" s="297"/>
      <c r="Q1005" s="297"/>
      <c r="R1005" s="297"/>
      <c r="S1005" s="302"/>
      <c r="T1005" s="302"/>
      <c r="U1005" s="303"/>
    </row>
    <row r="1006" spans="1:25" ht="25.5" x14ac:dyDescent="0.2">
      <c r="A1006" s="212" t="str">
        <f>HYPERLINK(V1006,B1006)</f>
        <v>NmiCode</v>
      </c>
      <c r="B1006" s="283" t="s">
        <v>10926</v>
      </c>
      <c r="C1006" s="284" t="s">
        <v>15598</v>
      </c>
      <c r="D1006" s="285"/>
      <c r="E1006" s="286"/>
      <c r="F1006" s="287" t="s">
        <v>15599</v>
      </c>
      <c r="G1006" s="286"/>
      <c r="H1006" s="286"/>
      <c r="I1006" s="288"/>
      <c r="J1006" s="289"/>
      <c r="K1006" s="290"/>
      <c r="L1006" s="371" t="str">
        <f>HYPERLINK("[#]DatatypeListedValues!B6228:H6228","«enumeration»")</f>
        <v>«enumeration»</v>
      </c>
      <c r="M1006" s="287" t="s">
        <v>6582</v>
      </c>
      <c r="N1006" s="291" t="b">
        <v>0</v>
      </c>
      <c r="O1006" s="286"/>
      <c r="P1006" s="292"/>
      <c r="Q1006" s="286"/>
      <c r="R1006" s="286"/>
      <c r="S1006" s="293"/>
      <c r="T1006" s="294"/>
      <c r="U1006" s="37">
        <v>118653</v>
      </c>
      <c r="V1006" s="36" t="str">
        <f>CONCATENATE(Cover!$D$6,"fdd/view?i=",U1006)</f>
        <v>https://www.dgiwg.org/FAD/fdd/view?i=118653</v>
      </c>
      <c r="W1006" s="172"/>
      <c r="X1006" s="172"/>
      <c r="Y1006" s="172"/>
    </row>
    <row r="1007" spans="1:25" ht="2.1" customHeight="1" x14ac:dyDescent="0.2">
      <c r="A1007" s="295"/>
      <c r="B1007" s="283"/>
      <c r="C1007" s="296"/>
      <c r="D1007" s="283"/>
      <c r="E1007" s="296"/>
      <c r="F1007" s="297"/>
      <c r="G1007" s="297"/>
      <c r="H1007" s="297"/>
      <c r="I1007" s="298"/>
      <c r="J1007" s="304"/>
      <c r="K1007" s="300"/>
      <c r="L1007" s="301"/>
      <c r="M1007" s="297" t="s">
        <v>6582</v>
      </c>
      <c r="N1007" s="297"/>
      <c r="O1007" s="297"/>
      <c r="P1007" s="297"/>
      <c r="Q1007" s="297"/>
      <c r="R1007" s="297"/>
      <c r="S1007" s="302"/>
      <c r="T1007" s="302"/>
      <c r="U1007" s="303"/>
    </row>
    <row r="1008" spans="1:25" ht="25.5" x14ac:dyDescent="0.2">
      <c r="A1008" s="212" t="str">
        <f>HYPERLINK(V1008,B1008)</f>
        <v>NasCode</v>
      </c>
      <c r="B1008" s="283" t="s">
        <v>10936</v>
      </c>
      <c r="C1008" s="284" t="s">
        <v>15600</v>
      </c>
      <c r="D1008" s="285"/>
      <c r="E1008" s="286"/>
      <c r="F1008" s="287" t="s">
        <v>15601</v>
      </c>
      <c r="G1008" s="286"/>
      <c r="H1008" s="286"/>
      <c r="I1008" s="288"/>
      <c r="J1008" s="289"/>
      <c r="K1008" s="290"/>
      <c r="L1008" s="371" t="str">
        <f>HYPERLINK("[#]DatatypeListedValues!B6232:H6232","«enumeration»")</f>
        <v>«enumeration»</v>
      </c>
      <c r="M1008" s="287" t="s">
        <v>6582</v>
      </c>
      <c r="N1008" s="291" t="b">
        <v>0</v>
      </c>
      <c r="O1008" s="286"/>
      <c r="P1008" s="292"/>
      <c r="Q1008" s="286"/>
      <c r="R1008" s="286"/>
      <c r="S1008" s="293"/>
      <c r="T1008" s="294"/>
      <c r="U1008" s="37">
        <v>1335</v>
      </c>
      <c r="V1008" s="36" t="str">
        <f>CONCATENATE(Cover!$D$6,"fdd/view?i=",U1008)</f>
        <v>https://www.dgiwg.org/FAD/fdd/view?i=1335</v>
      </c>
      <c r="W1008" s="172"/>
      <c r="X1008" s="172"/>
      <c r="Y1008" s="172"/>
    </row>
    <row r="1009" spans="1:25" ht="2.1" customHeight="1" x14ac:dyDescent="0.2">
      <c r="A1009" s="295"/>
      <c r="B1009" s="283"/>
      <c r="C1009" s="296"/>
      <c r="D1009" s="283"/>
      <c r="E1009" s="296"/>
      <c r="F1009" s="297"/>
      <c r="G1009" s="297"/>
      <c r="H1009" s="297"/>
      <c r="I1009" s="298"/>
      <c r="J1009" s="304"/>
      <c r="K1009" s="300"/>
      <c r="L1009" s="301"/>
      <c r="M1009" s="297" t="s">
        <v>6582</v>
      </c>
      <c r="N1009" s="297"/>
      <c r="O1009" s="297"/>
      <c r="P1009" s="297"/>
      <c r="Q1009" s="297"/>
      <c r="R1009" s="297"/>
      <c r="S1009" s="302"/>
      <c r="T1009" s="302"/>
      <c r="U1009" s="303"/>
    </row>
    <row r="1010" spans="1:25" ht="25.5" x14ac:dyDescent="0.2">
      <c r="A1010" s="212" t="str">
        <f>HYPERLINK(V1010,B1010)</f>
        <v>NdiCode</v>
      </c>
      <c r="B1010" s="283" t="s">
        <v>10941</v>
      </c>
      <c r="C1010" s="284" t="s">
        <v>15602</v>
      </c>
      <c r="D1010" s="285"/>
      <c r="E1010" s="286"/>
      <c r="F1010" s="287" t="s">
        <v>15603</v>
      </c>
      <c r="G1010" s="286"/>
      <c r="H1010" s="286"/>
      <c r="I1010" s="288"/>
      <c r="J1010" s="289"/>
      <c r="K1010" s="290"/>
      <c r="L1010" s="371" t="str">
        <f>HYPERLINK("[#]DatatypeListedValues!B6235:H6235","«enumeration»")</f>
        <v>«enumeration»</v>
      </c>
      <c r="M1010" s="287" t="s">
        <v>6582</v>
      </c>
      <c r="N1010" s="291" t="b">
        <v>0</v>
      </c>
      <c r="O1010" s="286"/>
      <c r="P1010" s="292"/>
      <c r="Q1010" s="286"/>
      <c r="R1010" s="286"/>
      <c r="S1010" s="293"/>
      <c r="T1010" s="294"/>
      <c r="U1010" s="37">
        <v>118638</v>
      </c>
      <c r="V1010" s="36" t="str">
        <f>CONCATENATE(Cover!$D$6,"fdd/view?i=",U1010)</f>
        <v>https://www.dgiwg.org/FAD/fdd/view?i=118638</v>
      </c>
      <c r="W1010" s="172"/>
      <c r="X1010" s="172"/>
      <c r="Y1010" s="172"/>
    </row>
    <row r="1011" spans="1:25" ht="2.1" customHeight="1" x14ac:dyDescent="0.2">
      <c r="A1011" s="295"/>
      <c r="B1011" s="283"/>
      <c r="C1011" s="296"/>
      <c r="D1011" s="283"/>
      <c r="E1011" s="296"/>
      <c r="F1011" s="297"/>
      <c r="G1011" s="297"/>
      <c r="H1011" s="297"/>
      <c r="I1011" s="298"/>
      <c r="J1011" s="304"/>
      <c r="K1011" s="300"/>
      <c r="L1011" s="301"/>
      <c r="M1011" s="297" t="s">
        <v>6582</v>
      </c>
      <c r="N1011" s="297"/>
      <c r="O1011" s="297"/>
      <c r="P1011" s="297"/>
      <c r="Q1011" s="297"/>
      <c r="R1011" s="297"/>
      <c r="S1011" s="302"/>
      <c r="T1011" s="302"/>
      <c r="U1011" s="303"/>
    </row>
    <row r="1012" spans="1:25" ht="25.5" x14ac:dyDescent="0.2">
      <c r="A1012" s="212" t="str">
        <f>HYPERLINK(V1012,B1012)</f>
        <v>LmsCode</v>
      </c>
      <c r="B1012" s="283" t="s">
        <v>10946</v>
      </c>
      <c r="C1012" s="284" t="s">
        <v>15604</v>
      </c>
      <c r="D1012" s="285"/>
      <c r="E1012" s="286"/>
      <c r="F1012" s="287" t="s">
        <v>15605</v>
      </c>
      <c r="G1012" s="286"/>
      <c r="H1012" s="286"/>
      <c r="I1012" s="288"/>
      <c r="J1012" s="289"/>
      <c r="K1012" s="290"/>
      <c r="L1012" s="371" t="str">
        <f>HYPERLINK("[#]DatatypeListedValues!B6258:H6258","«enumeration»")</f>
        <v>«enumeration»</v>
      </c>
      <c r="M1012" s="287" t="s">
        <v>6582</v>
      </c>
      <c r="N1012" s="291" t="b">
        <v>0</v>
      </c>
      <c r="O1012" s="286"/>
      <c r="P1012" s="292"/>
      <c r="Q1012" s="286"/>
      <c r="R1012" s="286"/>
      <c r="S1012" s="293"/>
      <c r="T1012" s="294"/>
      <c r="U1012" s="37">
        <v>118636</v>
      </c>
      <c r="V1012" s="36" t="str">
        <f>CONCATENATE(Cover!$D$6,"fdd/view?i=",U1012)</f>
        <v>https://www.dgiwg.org/FAD/fdd/view?i=118636</v>
      </c>
      <c r="W1012" s="172"/>
      <c r="X1012" s="172"/>
      <c r="Y1012" s="172"/>
    </row>
    <row r="1013" spans="1:25" ht="2.1" customHeight="1" x14ac:dyDescent="0.2">
      <c r="A1013" s="295"/>
      <c r="B1013" s="283"/>
      <c r="C1013" s="296"/>
      <c r="D1013" s="283"/>
      <c r="E1013" s="296"/>
      <c r="F1013" s="297"/>
      <c r="G1013" s="297"/>
      <c r="H1013" s="297"/>
      <c r="I1013" s="298"/>
      <c r="J1013" s="304"/>
      <c r="K1013" s="300"/>
      <c r="L1013" s="301"/>
      <c r="M1013" s="297" t="s">
        <v>6582</v>
      </c>
      <c r="N1013" s="297"/>
      <c r="O1013" s="297"/>
      <c r="P1013" s="297"/>
      <c r="Q1013" s="297"/>
      <c r="R1013" s="297"/>
      <c r="S1013" s="302"/>
      <c r="T1013" s="302"/>
      <c r="U1013" s="303"/>
    </row>
    <row r="1014" spans="1:25" ht="25.5" x14ac:dyDescent="0.2">
      <c r="A1014" s="212" t="str">
        <f>HYPERLINK(V1014,B1014)</f>
        <v>NslCode</v>
      </c>
      <c r="B1014" s="283" t="s">
        <v>10951</v>
      </c>
      <c r="C1014" s="284" t="s">
        <v>15606</v>
      </c>
      <c r="D1014" s="285"/>
      <c r="E1014" s="286"/>
      <c r="F1014" s="287" t="s">
        <v>15607</v>
      </c>
      <c r="G1014" s="286"/>
      <c r="H1014" s="286"/>
      <c r="I1014" s="288"/>
      <c r="J1014" s="289"/>
      <c r="K1014" s="290"/>
      <c r="L1014" s="371" t="str">
        <f>HYPERLINK("[#]DatatypeListedValues!B6261:H6261","«enumeration»")</f>
        <v>«enumeration»</v>
      </c>
      <c r="M1014" s="287" t="s">
        <v>6582</v>
      </c>
      <c r="N1014" s="291" t="b">
        <v>0</v>
      </c>
      <c r="O1014" s="286"/>
      <c r="P1014" s="292"/>
      <c r="Q1014" s="286"/>
      <c r="R1014" s="286"/>
      <c r="S1014" s="293"/>
      <c r="T1014" s="294"/>
      <c r="U1014" s="37">
        <v>118639</v>
      </c>
      <c r="V1014" s="36" t="str">
        <f>CONCATENATE(Cover!$D$6,"fdd/view?i=",U1014)</f>
        <v>https://www.dgiwg.org/FAD/fdd/view?i=118639</v>
      </c>
      <c r="W1014" s="172"/>
      <c r="X1014" s="172"/>
      <c r="Y1014" s="172"/>
    </row>
    <row r="1015" spans="1:25" ht="2.1" customHeight="1" x14ac:dyDescent="0.2">
      <c r="A1015" s="295"/>
      <c r="B1015" s="283"/>
      <c r="C1015" s="296"/>
      <c r="D1015" s="283"/>
      <c r="E1015" s="296"/>
      <c r="F1015" s="297"/>
      <c r="G1015" s="297"/>
      <c r="H1015" s="297"/>
      <c r="I1015" s="298"/>
      <c r="J1015" s="304"/>
      <c r="K1015" s="300"/>
      <c r="L1015" s="301"/>
      <c r="M1015" s="297" t="s">
        <v>6582</v>
      </c>
      <c r="N1015" s="297"/>
      <c r="O1015" s="297"/>
      <c r="P1015" s="297"/>
      <c r="Q1015" s="297"/>
      <c r="R1015" s="297"/>
      <c r="S1015" s="302"/>
      <c r="T1015" s="302"/>
      <c r="U1015" s="303"/>
    </row>
    <row r="1016" spans="1:25" ht="25.5" x14ac:dyDescent="0.2">
      <c r="A1016" s="212" t="str">
        <f>HYPERLINK(V1016,B1016)</f>
        <v>SwtCode</v>
      </c>
      <c r="B1016" s="283" t="s">
        <v>10956</v>
      </c>
      <c r="C1016" s="284" t="s">
        <v>15608</v>
      </c>
      <c r="D1016" s="285"/>
      <c r="E1016" s="286"/>
      <c r="F1016" s="287" t="s">
        <v>15609</v>
      </c>
      <c r="G1016" s="286"/>
      <c r="H1016" s="286"/>
      <c r="I1016" s="288"/>
      <c r="J1016" s="289"/>
      <c r="K1016" s="290"/>
      <c r="L1016" s="371" t="str">
        <f>HYPERLINK("[#]DatatypeListedValues!B6274:H6274","«enumeration»")</f>
        <v>«enumeration»</v>
      </c>
      <c r="M1016" s="287" t="s">
        <v>6582</v>
      </c>
      <c r="N1016" s="291" t="b">
        <v>0</v>
      </c>
      <c r="O1016" s="286"/>
      <c r="P1016" s="292"/>
      <c r="Q1016" s="286"/>
      <c r="R1016" s="286"/>
      <c r="S1016" s="293"/>
      <c r="T1016" s="294"/>
      <c r="U1016" s="37">
        <v>1480</v>
      </c>
      <c r="V1016" s="36" t="str">
        <f>CONCATENATE(Cover!$D$6,"fdd/view?i=",U1016)</f>
        <v>https://www.dgiwg.org/FAD/fdd/view?i=1480</v>
      </c>
      <c r="W1016" s="172"/>
      <c r="X1016" s="172"/>
      <c r="Y1016" s="172"/>
    </row>
    <row r="1017" spans="1:25" ht="2.1" customHeight="1" x14ac:dyDescent="0.2">
      <c r="A1017" s="295"/>
      <c r="B1017" s="283"/>
      <c r="C1017" s="296"/>
      <c r="D1017" s="283"/>
      <c r="E1017" s="296"/>
      <c r="F1017" s="297"/>
      <c r="G1017" s="297"/>
      <c r="H1017" s="297"/>
      <c r="I1017" s="298"/>
      <c r="J1017" s="304"/>
      <c r="K1017" s="300"/>
      <c r="L1017" s="301"/>
      <c r="M1017" s="297" t="s">
        <v>6582</v>
      </c>
      <c r="N1017" s="297"/>
      <c r="O1017" s="297"/>
      <c r="P1017" s="297"/>
      <c r="Q1017" s="297"/>
      <c r="R1017" s="297"/>
      <c r="S1017" s="302"/>
      <c r="T1017" s="302"/>
      <c r="U1017" s="303"/>
    </row>
    <row r="1018" spans="1:25" ht="25.5" x14ac:dyDescent="0.2">
      <c r="A1018" s="212" t="str">
        <f>HYPERLINK(V1018,B1018)</f>
        <v>NfpCode</v>
      </c>
      <c r="B1018" s="283" t="s">
        <v>10965</v>
      </c>
      <c r="C1018" s="284" t="s">
        <v>15610</v>
      </c>
      <c r="D1018" s="285"/>
      <c r="E1018" s="286"/>
      <c r="F1018" s="287" t="s">
        <v>15611</v>
      </c>
      <c r="G1018" s="286"/>
      <c r="H1018" s="286"/>
      <c r="I1018" s="288"/>
      <c r="J1018" s="289"/>
      <c r="K1018" s="290"/>
      <c r="L1018" s="371" t="str">
        <f>HYPERLINK("[#]DatatypeListedValues!B6282:H6282","«enumeration»")</f>
        <v>«enumeration»</v>
      </c>
      <c r="M1018" s="287" t="s">
        <v>6582</v>
      </c>
      <c r="N1018" s="291" t="b">
        <v>0</v>
      </c>
      <c r="O1018" s="286"/>
      <c r="P1018" s="292"/>
      <c r="Q1018" s="286"/>
      <c r="R1018" s="286"/>
      <c r="S1018" s="293"/>
      <c r="T1018" s="294"/>
      <c r="U1018" s="37">
        <v>1615</v>
      </c>
      <c r="V1018" s="36" t="str">
        <f>CONCATENATE(Cover!$D$6,"fdd/view?i=",U1018)</f>
        <v>https://www.dgiwg.org/FAD/fdd/view?i=1615</v>
      </c>
      <c r="W1018" s="172"/>
      <c r="X1018" s="172"/>
      <c r="Y1018" s="172"/>
    </row>
    <row r="1019" spans="1:25" ht="2.1" customHeight="1" x14ac:dyDescent="0.2">
      <c r="A1019" s="295"/>
      <c r="B1019" s="283"/>
      <c r="C1019" s="296"/>
      <c r="D1019" s="283"/>
      <c r="E1019" s="296"/>
      <c r="F1019" s="297"/>
      <c r="G1019" s="297"/>
      <c r="H1019" s="297"/>
      <c r="I1019" s="298"/>
      <c r="J1019" s="304"/>
      <c r="K1019" s="300"/>
      <c r="L1019" s="301"/>
      <c r="M1019" s="297" t="s">
        <v>6582</v>
      </c>
      <c r="N1019" s="297"/>
      <c r="O1019" s="297"/>
      <c r="P1019" s="297"/>
      <c r="Q1019" s="297"/>
      <c r="R1019" s="297"/>
      <c r="S1019" s="302"/>
      <c r="T1019" s="302"/>
      <c r="U1019" s="303"/>
    </row>
    <row r="1020" spans="1:25" ht="25.5" x14ac:dyDescent="0.2">
      <c r="A1020" s="212" t="str">
        <f>HYPERLINK(V1020,B1020)</f>
        <v>MmtCode</v>
      </c>
      <c r="B1020" s="283" t="s">
        <v>10970</v>
      </c>
      <c r="C1020" s="284" t="s">
        <v>15612</v>
      </c>
      <c r="D1020" s="285"/>
      <c r="E1020" s="286"/>
      <c r="F1020" s="287" t="s">
        <v>15613</v>
      </c>
      <c r="G1020" s="286"/>
      <c r="H1020" s="286"/>
      <c r="I1020" s="288"/>
      <c r="J1020" s="289"/>
      <c r="K1020" s="290"/>
      <c r="L1020" s="371" t="str">
        <f>HYPERLINK("[#]DatatypeListedValues!B6292:H6292","«enumeration»")</f>
        <v>«enumeration»</v>
      </c>
      <c r="M1020" s="287" t="s">
        <v>6582</v>
      </c>
      <c r="N1020" s="291" t="b">
        <v>0</v>
      </c>
      <c r="O1020" s="286"/>
      <c r="P1020" s="292"/>
      <c r="Q1020" s="286"/>
      <c r="R1020" s="286"/>
      <c r="S1020" s="293"/>
      <c r="T1020" s="294"/>
      <c r="U1020" s="37">
        <v>1310</v>
      </c>
      <c r="V1020" s="36" t="str">
        <f>CONCATENATE(Cover!$D$6,"fdd/view?i=",U1020)</f>
        <v>https://www.dgiwg.org/FAD/fdd/view?i=1310</v>
      </c>
      <c r="W1020" s="172"/>
      <c r="X1020" s="172"/>
      <c r="Y1020" s="172"/>
    </row>
    <row r="1021" spans="1:25" ht="2.1" customHeight="1" x14ac:dyDescent="0.2">
      <c r="A1021" s="295"/>
      <c r="B1021" s="283"/>
      <c r="C1021" s="296"/>
      <c r="D1021" s="283"/>
      <c r="E1021" s="296"/>
      <c r="F1021" s="297"/>
      <c r="G1021" s="297"/>
      <c r="H1021" s="297"/>
      <c r="I1021" s="298"/>
      <c r="J1021" s="304"/>
      <c r="K1021" s="300"/>
      <c r="L1021" s="301"/>
      <c r="M1021" s="297" t="s">
        <v>6582</v>
      </c>
      <c r="N1021" s="297"/>
      <c r="O1021" s="297"/>
      <c r="P1021" s="297"/>
      <c r="Q1021" s="297"/>
      <c r="R1021" s="297"/>
      <c r="S1021" s="302"/>
      <c r="T1021" s="302"/>
      <c r="U1021" s="303"/>
    </row>
    <row r="1022" spans="1:25" ht="25.5" x14ac:dyDescent="0.2">
      <c r="A1022" s="212" t="str">
        <f>HYPERLINK(V1022,B1022)</f>
        <v>MpcCode</v>
      </c>
      <c r="B1022" s="283" t="s">
        <v>10975</v>
      </c>
      <c r="C1022" s="284" t="s">
        <v>15614</v>
      </c>
      <c r="D1022" s="285"/>
      <c r="E1022" s="286"/>
      <c r="F1022" s="287" t="s">
        <v>15615</v>
      </c>
      <c r="G1022" s="286"/>
      <c r="H1022" s="286"/>
      <c r="I1022" s="288"/>
      <c r="J1022" s="289"/>
      <c r="K1022" s="290"/>
      <c r="L1022" s="371" t="str">
        <f>HYPERLINK("[#]DatatypeListedValues!B6302:H6302","«enumeration»")</f>
        <v>«enumeration»</v>
      </c>
      <c r="M1022" s="287" t="s">
        <v>6582</v>
      </c>
      <c r="N1022" s="291" t="b">
        <v>0</v>
      </c>
      <c r="O1022" s="286"/>
      <c r="P1022" s="292"/>
      <c r="Q1022" s="286"/>
      <c r="R1022" s="286"/>
      <c r="S1022" s="293"/>
      <c r="T1022" s="294"/>
      <c r="U1022" s="37">
        <v>1316</v>
      </c>
      <c r="V1022" s="36" t="str">
        <f>CONCATENATE(Cover!$D$6,"fdd/view?i=",U1022)</f>
        <v>https://www.dgiwg.org/FAD/fdd/view?i=1316</v>
      </c>
      <c r="W1022" s="172"/>
      <c r="X1022" s="172"/>
      <c r="Y1022" s="172"/>
    </row>
    <row r="1023" spans="1:25" ht="2.1" customHeight="1" x14ac:dyDescent="0.2">
      <c r="A1023" s="295"/>
      <c r="B1023" s="283"/>
      <c r="C1023" s="296"/>
      <c r="D1023" s="283"/>
      <c r="E1023" s="296"/>
      <c r="F1023" s="297"/>
      <c r="G1023" s="297"/>
      <c r="H1023" s="297"/>
      <c r="I1023" s="298"/>
      <c r="J1023" s="304"/>
      <c r="K1023" s="300"/>
      <c r="L1023" s="301"/>
      <c r="M1023" s="297" t="s">
        <v>6582</v>
      </c>
      <c r="N1023" s="297"/>
      <c r="O1023" s="297"/>
      <c r="P1023" s="297"/>
      <c r="Q1023" s="297"/>
      <c r="R1023" s="297"/>
      <c r="S1023" s="302"/>
      <c r="T1023" s="302"/>
      <c r="U1023" s="303"/>
    </row>
    <row r="1024" spans="1:25" ht="25.5" x14ac:dyDescent="0.2">
      <c r="A1024" s="212" t="str">
        <f>HYPERLINK(V1024,B1024)</f>
        <v>MpuCode</v>
      </c>
      <c r="B1024" s="283" t="s">
        <v>10980</v>
      </c>
      <c r="C1024" s="284" t="s">
        <v>15616</v>
      </c>
      <c r="D1024" s="285"/>
      <c r="E1024" s="286"/>
      <c r="F1024" s="287" t="s">
        <v>15617</v>
      </c>
      <c r="G1024" s="286"/>
      <c r="H1024" s="286"/>
      <c r="I1024" s="288"/>
      <c r="J1024" s="289"/>
      <c r="K1024" s="290"/>
      <c r="L1024" s="371" t="str">
        <f>HYPERLINK("[#]DatatypeListedValues!B6318:H6318","«enumeration»")</f>
        <v>«enumeration»</v>
      </c>
      <c r="M1024" s="287" t="s">
        <v>6582</v>
      </c>
      <c r="N1024" s="291" t="b">
        <v>0</v>
      </c>
      <c r="O1024" s="286"/>
      <c r="P1024" s="292"/>
      <c r="Q1024" s="286"/>
      <c r="R1024" s="286"/>
      <c r="S1024" s="293"/>
      <c r="T1024" s="294"/>
      <c r="U1024" s="37">
        <v>1321</v>
      </c>
      <c r="V1024" s="36" t="str">
        <f>CONCATENATE(Cover!$D$6,"fdd/view?i=",U1024)</f>
        <v>https://www.dgiwg.org/FAD/fdd/view?i=1321</v>
      </c>
      <c r="W1024" s="172"/>
      <c r="X1024" s="172"/>
      <c r="Y1024" s="172"/>
    </row>
    <row r="1025" spans="1:25" ht="2.1" customHeight="1" x14ac:dyDescent="0.2">
      <c r="A1025" s="295"/>
      <c r="B1025" s="283"/>
      <c r="C1025" s="296"/>
      <c r="D1025" s="283"/>
      <c r="E1025" s="296"/>
      <c r="F1025" s="297"/>
      <c r="G1025" s="297"/>
      <c r="H1025" s="297"/>
      <c r="I1025" s="298"/>
      <c r="J1025" s="304"/>
      <c r="K1025" s="300"/>
      <c r="L1025" s="301"/>
      <c r="M1025" s="297" t="s">
        <v>6582</v>
      </c>
      <c r="N1025" s="297"/>
      <c r="O1025" s="297"/>
      <c r="P1025" s="297"/>
      <c r="Q1025" s="297"/>
      <c r="R1025" s="297"/>
      <c r="S1025" s="302"/>
      <c r="T1025" s="302"/>
      <c r="U1025" s="303"/>
    </row>
    <row r="1026" spans="1:25" ht="25.5" x14ac:dyDescent="0.2">
      <c r="A1026" s="212" t="str">
        <f>HYPERLINK(V1026,B1026)</f>
        <v>NoaCode</v>
      </c>
      <c r="B1026" s="283" t="s">
        <v>10985</v>
      </c>
      <c r="C1026" s="284" t="s">
        <v>15618</v>
      </c>
      <c r="D1026" s="285"/>
      <c r="E1026" s="286"/>
      <c r="F1026" s="287" t="s">
        <v>15619</v>
      </c>
      <c r="G1026" s="286"/>
      <c r="H1026" s="286"/>
      <c r="I1026" s="288"/>
      <c r="J1026" s="289"/>
      <c r="K1026" s="290"/>
      <c r="L1026" s="371" t="str">
        <f>HYPERLINK("[#]DatatypeListedValues!B6322:H6322","«enumeration»")</f>
        <v>«enumeration»</v>
      </c>
      <c r="M1026" s="287" t="s">
        <v>6582</v>
      </c>
      <c r="N1026" s="291" t="b">
        <v>0</v>
      </c>
      <c r="O1026" s="286"/>
      <c r="P1026" s="292"/>
      <c r="Q1026" s="286"/>
      <c r="R1026" s="286"/>
      <c r="S1026" s="293"/>
      <c r="T1026" s="294"/>
      <c r="U1026" s="37">
        <v>1616</v>
      </c>
      <c r="V1026" s="36" t="str">
        <f>CONCATENATE(Cover!$D$6,"fdd/view?i=",U1026)</f>
        <v>https://www.dgiwg.org/FAD/fdd/view?i=1616</v>
      </c>
      <c r="W1026" s="172"/>
      <c r="X1026" s="172"/>
      <c r="Y1026" s="172"/>
    </row>
    <row r="1027" spans="1:25" ht="2.1" customHeight="1" x14ac:dyDescent="0.2">
      <c r="A1027" s="295"/>
      <c r="B1027" s="283"/>
      <c r="C1027" s="296"/>
      <c r="D1027" s="283"/>
      <c r="E1027" s="296"/>
      <c r="F1027" s="297"/>
      <c r="G1027" s="297"/>
      <c r="H1027" s="297"/>
      <c r="I1027" s="298"/>
      <c r="J1027" s="304"/>
      <c r="K1027" s="300"/>
      <c r="L1027" s="301"/>
      <c r="M1027" s="297" t="s">
        <v>6582</v>
      </c>
      <c r="N1027" s="297"/>
      <c r="O1027" s="297"/>
      <c r="P1027" s="297"/>
      <c r="Q1027" s="297"/>
      <c r="R1027" s="297"/>
      <c r="S1027" s="302"/>
      <c r="T1027" s="302"/>
      <c r="U1027" s="303"/>
    </row>
    <row r="1028" spans="1:25" ht="25.5" x14ac:dyDescent="0.2">
      <c r="A1028" s="212" t="str">
        <f>HYPERLINK(V1028,B1028)</f>
        <v>NvsCode</v>
      </c>
      <c r="B1028" s="283" t="s">
        <v>10991</v>
      </c>
      <c r="C1028" s="284" t="s">
        <v>15620</v>
      </c>
      <c r="D1028" s="285"/>
      <c r="E1028" s="286"/>
      <c r="F1028" s="287" t="s">
        <v>15621</v>
      </c>
      <c r="G1028" s="286"/>
      <c r="H1028" s="286"/>
      <c r="I1028" s="288"/>
      <c r="J1028" s="289"/>
      <c r="K1028" s="290"/>
      <c r="L1028" s="371" t="str">
        <f>HYPERLINK("[#]DatatypeListedValues!B6350:H6350","«enumeration»")</f>
        <v>«enumeration»</v>
      </c>
      <c r="M1028" s="287" t="s">
        <v>6582</v>
      </c>
      <c r="N1028" s="291" t="b">
        <v>0</v>
      </c>
      <c r="O1028" s="286"/>
      <c r="P1028" s="292"/>
      <c r="Q1028" s="286"/>
      <c r="R1028" s="286"/>
      <c r="S1028" s="293"/>
      <c r="T1028" s="294"/>
      <c r="U1028" s="37">
        <v>1341</v>
      </c>
      <c r="V1028" s="36" t="str">
        <f>CONCATENATE(Cover!$D$6,"fdd/view?i=",U1028)</f>
        <v>https://www.dgiwg.org/FAD/fdd/view?i=1341</v>
      </c>
      <c r="W1028" s="172"/>
      <c r="X1028" s="172"/>
      <c r="Y1028" s="172"/>
    </row>
    <row r="1029" spans="1:25" ht="2.1" customHeight="1" x14ac:dyDescent="0.2">
      <c r="A1029" s="295"/>
      <c r="B1029" s="283"/>
      <c r="C1029" s="296"/>
      <c r="D1029" s="283"/>
      <c r="E1029" s="296"/>
      <c r="F1029" s="297"/>
      <c r="G1029" s="297"/>
      <c r="H1029" s="297"/>
      <c r="I1029" s="298"/>
      <c r="J1029" s="304"/>
      <c r="K1029" s="300"/>
      <c r="L1029" s="301"/>
      <c r="M1029" s="297" t="s">
        <v>6582</v>
      </c>
      <c r="N1029" s="297"/>
      <c r="O1029" s="297"/>
      <c r="P1029" s="297"/>
      <c r="Q1029" s="297"/>
      <c r="R1029" s="297"/>
      <c r="S1029" s="302"/>
      <c r="T1029" s="302"/>
      <c r="U1029" s="303"/>
    </row>
    <row r="1030" spans="1:25" ht="51" x14ac:dyDescent="0.2">
      <c r="A1030" s="212" t="str">
        <f>HYPERLINK(V1030,B1030)</f>
        <v>PaiStrucText</v>
      </c>
      <c r="B1030" s="283" t="s">
        <v>10997</v>
      </c>
      <c r="C1030" s="284" t="s">
        <v>15622</v>
      </c>
      <c r="D1030" s="285"/>
      <c r="E1030" s="286"/>
      <c r="F1030" s="287" t="s">
        <v>15623</v>
      </c>
      <c r="G1030" s="286"/>
      <c r="H1030" s="287" t="s">
        <v>14552</v>
      </c>
      <c r="I1030" s="288"/>
      <c r="J1030" s="289"/>
      <c r="K1030" s="290"/>
      <c r="L1030" s="287" t="s">
        <v>14551</v>
      </c>
      <c r="M1030" s="287" t="s">
        <v>6582</v>
      </c>
      <c r="N1030" s="286"/>
      <c r="O1030" s="287">
        <v>11</v>
      </c>
      <c r="P1030" s="305" t="b">
        <v>0</v>
      </c>
      <c r="Q1030" s="287" t="s">
        <v>15624</v>
      </c>
      <c r="R1030" s="286"/>
      <c r="S1030" s="293"/>
      <c r="T1030" s="294"/>
      <c r="U1030" s="37">
        <v>117448</v>
      </c>
      <c r="V1030" s="36" t="str">
        <f>CONCATENATE(Cover!$D$6,"fdd/view?i=",U1030)</f>
        <v>https://www.dgiwg.org/FAD/fdd/view?i=117448</v>
      </c>
      <c r="W1030" s="172"/>
      <c r="X1030" s="172"/>
      <c r="Y1030" s="172"/>
    </row>
    <row r="1031" spans="1:25" ht="2.1" customHeight="1" x14ac:dyDescent="0.2">
      <c r="A1031" s="295"/>
      <c r="B1031" s="283"/>
      <c r="C1031" s="296"/>
      <c r="D1031" s="283"/>
      <c r="E1031" s="296"/>
      <c r="F1031" s="297"/>
      <c r="G1031" s="297"/>
      <c r="H1031" s="297"/>
      <c r="I1031" s="298"/>
      <c r="J1031" s="304"/>
      <c r="K1031" s="300"/>
      <c r="L1031" s="301"/>
      <c r="M1031" s="297" t="s">
        <v>6582</v>
      </c>
      <c r="N1031" s="297"/>
      <c r="O1031" s="297"/>
      <c r="P1031" s="297"/>
      <c r="Q1031" s="297"/>
      <c r="R1031" s="297"/>
      <c r="S1031" s="302"/>
      <c r="T1031" s="302"/>
      <c r="U1031" s="303"/>
    </row>
    <row r="1032" spans="1:25" ht="51" x14ac:dyDescent="0.2">
      <c r="A1032" s="212" t="str">
        <f>HYPERLINK(V1032,B1032)</f>
        <v>PdiStrucText</v>
      </c>
      <c r="B1032" s="283" t="s">
        <v>11002</v>
      </c>
      <c r="C1032" s="284" t="s">
        <v>15625</v>
      </c>
      <c r="D1032" s="285"/>
      <c r="E1032" s="286"/>
      <c r="F1032" s="287" t="s">
        <v>15626</v>
      </c>
      <c r="G1032" s="286"/>
      <c r="H1032" s="287" t="s">
        <v>14552</v>
      </c>
      <c r="I1032" s="288"/>
      <c r="J1032" s="289"/>
      <c r="K1032" s="290"/>
      <c r="L1032" s="287" t="s">
        <v>14551</v>
      </c>
      <c r="M1032" s="287" t="s">
        <v>6582</v>
      </c>
      <c r="N1032" s="286"/>
      <c r="O1032" s="287">
        <v>10</v>
      </c>
      <c r="P1032" s="305" t="b">
        <v>0</v>
      </c>
      <c r="Q1032" s="287" t="s">
        <v>15627</v>
      </c>
      <c r="R1032" s="286"/>
      <c r="S1032" s="293"/>
      <c r="T1032" s="294"/>
      <c r="U1032" s="37">
        <v>117450</v>
      </c>
      <c r="V1032" s="36" t="str">
        <f>CONCATENATE(Cover!$D$6,"fdd/view?i=",U1032)</f>
        <v>https://www.dgiwg.org/FAD/fdd/view?i=117450</v>
      </c>
      <c r="W1032" s="172"/>
      <c r="X1032" s="172"/>
      <c r="Y1032" s="172"/>
    </row>
    <row r="1033" spans="1:25" ht="2.1" customHeight="1" x14ac:dyDescent="0.2">
      <c r="A1033" s="295"/>
      <c r="B1033" s="283"/>
      <c r="C1033" s="296"/>
      <c r="D1033" s="283"/>
      <c r="E1033" s="296"/>
      <c r="F1033" s="297"/>
      <c r="G1033" s="297"/>
      <c r="H1033" s="297"/>
      <c r="I1033" s="298"/>
      <c r="J1033" s="304"/>
      <c r="K1033" s="300"/>
      <c r="L1033" s="301"/>
      <c r="M1033" s="297" t="s">
        <v>6582</v>
      </c>
      <c r="N1033" s="297"/>
      <c r="O1033" s="297"/>
      <c r="P1033" s="297"/>
      <c r="Q1033" s="297"/>
      <c r="R1033" s="297"/>
      <c r="S1033" s="302"/>
      <c r="T1033" s="302"/>
      <c r="U1033" s="303"/>
    </row>
    <row r="1034" spans="1:25" ht="25.5" x14ac:dyDescent="0.2">
      <c r="A1034" s="212" t="str">
        <f>HYPERLINK(V1034,B1034)</f>
        <v>ChaCode</v>
      </c>
      <c r="B1034" s="283" t="s">
        <v>11012</v>
      </c>
      <c r="C1034" s="284" t="s">
        <v>15628</v>
      </c>
      <c r="D1034" s="285"/>
      <c r="E1034" s="286"/>
      <c r="F1034" s="287" t="s">
        <v>15629</v>
      </c>
      <c r="G1034" s="286"/>
      <c r="H1034" s="286"/>
      <c r="I1034" s="288"/>
      <c r="J1034" s="289"/>
      <c r="K1034" s="290"/>
      <c r="L1034" s="371" t="str">
        <f>HYPERLINK("[#]DatatypeListedValues!B6355:H6355","«enumeration»")</f>
        <v>«enumeration»</v>
      </c>
      <c r="M1034" s="287" t="s">
        <v>6582</v>
      </c>
      <c r="N1034" s="291" t="b">
        <v>0</v>
      </c>
      <c r="O1034" s="286"/>
      <c r="P1034" s="292"/>
      <c r="Q1034" s="286"/>
      <c r="R1034" s="286"/>
      <c r="S1034" s="293"/>
      <c r="T1034" s="294"/>
      <c r="U1034" s="37">
        <v>1163</v>
      </c>
      <c r="V1034" s="36" t="str">
        <f>CONCATENATE(Cover!$D$6,"fdd/view?i=",U1034)</f>
        <v>https://www.dgiwg.org/FAD/fdd/view?i=1163</v>
      </c>
      <c r="W1034" s="172"/>
      <c r="X1034" s="172"/>
      <c r="Y1034" s="172"/>
    </row>
    <row r="1035" spans="1:25" ht="2.1" customHeight="1" x14ac:dyDescent="0.2">
      <c r="A1035" s="295"/>
      <c r="B1035" s="283"/>
      <c r="C1035" s="296"/>
      <c r="D1035" s="283"/>
      <c r="E1035" s="296"/>
      <c r="F1035" s="297"/>
      <c r="G1035" s="297"/>
      <c r="H1035" s="297"/>
      <c r="I1035" s="298"/>
      <c r="J1035" s="304"/>
      <c r="K1035" s="300"/>
      <c r="L1035" s="301"/>
      <c r="M1035" s="297" t="s">
        <v>6582</v>
      </c>
      <c r="N1035" s="297"/>
      <c r="O1035" s="297"/>
      <c r="P1035" s="297"/>
      <c r="Q1035" s="297"/>
      <c r="R1035" s="297"/>
      <c r="S1035" s="302"/>
      <c r="T1035" s="302"/>
      <c r="U1035" s="303"/>
    </row>
    <row r="1036" spans="1:25" ht="25.5" x14ac:dyDescent="0.2">
      <c r="A1036" s="212" t="str">
        <f>HYPERLINK(V1036,B1036)</f>
        <v>NmcCode</v>
      </c>
      <c r="B1036" s="283" t="s">
        <v>11018</v>
      </c>
      <c r="C1036" s="284" t="s">
        <v>15630</v>
      </c>
      <c r="D1036" s="285"/>
      <c r="E1036" s="286"/>
      <c r="F1036" s="287" t="s">
        <v>15631</v>
      </c>
      <c r="G1036" s="286"/>
      <c r="H1036" s="286"/>
      <c r="I1036" s="288"/>
      <c r="J1036" s="289"/>
      <c r="K1036" s="290"/>
      <c r="L1036" s="371" t="str">
        <f>HYPERLINK("[#]DatatypeListedValues!B6381:H6381","«enumeration»")</f>
        <v>«enumeration»</v>
      </c>
      <c r="M1036" s="287" t="s">
        <v>6582</v>
      </c>
      <c r="N1036" s="291" t="b">
        <v>0</v>
      </c>
      <c r="O1036" s="286"/>
      <c r="P1036" s="292"/>
      <c r="Q1036" s="286"/>
      <c r="R1036" s="286"/>
      <c r="S1036" s="293"/>
      <c r="T1036" s="294"/>
      <c r="U1036" s="37">
        <v>1604</v>
      </c>
      <c r="V1036" s="36" t="str">
        <f>CONCATENATE(Cover!$D$6,"fdd/view?i=",U1036)</f>
        <v>https://www.dgiwg.org/FAD/fdd/view?i=1604</v>
      </c>
      <c r="W1036" s="172"/>
      <c r="X1036" s="172"/>
      <c r="Y1036" s="172"/>
    </row>
    <row r="1037" spans="1:25" ht="2.1" customHeight="1" x14ac:dyDescent="0.2">
      <c r="A1037" s="295"/>
      <c r="B1037" s="283"/>
      <c r="C1037" s="296"/>
      <c r="D1037" s="283"/>
      <c r="E1037" s="296"/>
      <c r="F1037" s="297"/>
      <c r="G1037" s="297"/>
      <c r="H1037" s="297"/>
      <c r="I1037" s="298"/>
      <c r="J1037" s="304"/>
      <c r="K1037" s="300"/>
      <c r="L1037" s="301"/>
      <c r="M1037" s="297" t="s">
        <v>6582</v>
      </c>
      <c r="N1037" s="297"/>
      <c r="O1037" s="297"/>
      <c r="P1037" s="297"/>
      <c r="Q1037" s="297"/>
      <c r="R1037" s="297"/>
      <c r="S1037" s="302"/>
      <c r="T1037" s="302"/>
      <c r="U1037" s="303"/>
    </row>
    <row r="1038" spans="1:25" ht="25.5" x14ac:dyDescent="0.2">
      <c r="A1038" s="212" t="str">
        <f>HYPERLINK(V1038,B1038)</f>
        <v>NchCode</v>
      </c>
      <c r="B1038" s="283" t="s">
        <v>11024</v>
      </c>
      <c r="C1038" s="284" t="s">
        <v>15632</v>
      </c>
      <c r="D1038" s="285"/>
      <c r="E1038" s="286"/>
      <c r="F1038" s="287" t="s">
        <v>15633</v>
      </c>
      <c r="G1038" s="286"/>
      <c r="H1038" s="286"/>
      <c r="I1038" s="288"/>
      <c r="J1038" s="289"/>
      <c r="K1038" s="290"/>
      <c r="L1038" s="371" t="str">
        <f>HYPERLINK("[#]DatatypeListedValues!B6394:H6394","«enumeration»")</f>
        <v>«enumeration»</v>
      </c>
      <c r="M1038" s="287" t="s">
        <v>6582</v>
      </c>
      <c r="N1038" s="291" t="b">
        <v>0</v>
      </c>
      <c r="O1038" s="286"/>
      <c r="P1038" s="292"/>
      <c r="Q1038" s="286"/>
      <c r="R1038" s="286"/>
      <c r="S1038" s="293"/>
      <c r="T1038" s="294"/>
      <c r="U1038" s="37">
        <v>117394</v>
      </c>
      <c r="V1038" s="36" t="str">
        <f>CONCATENATE(Cover!$D$6,"fdd/view?i=",U1038)</f>
        <v>https://www.dgiwg.org/FAD/fdd/view?i=117394</v>
      </c>
      <c r="W1038" s="172"/>
      <c r="X1038" s="172"/>
      <c r="Y1038" s="172"/>
    </row>
    <row r="1039" spans="1:25" ht="2.1" customHeight="1" x14ac:dyDescent="0.2">
      <c r="A1039" s="295"/>
      <c r="B1039" s="283"/>
      <c r="C1039" s="296"/>
      <c r="D1039" s="283"/>
      <c r="E1039" s="296"/>
      <c r="F1039" s="297"/>
      <c r="G1039" s="297"/>
      <c r="H1039" s="297"/>
      <c r="I1039" s="298"/>
      <c r="J1039" s="304"/>
      <c r="K1039" s="300"/>
      <c r="L1039" s="301"/>
      <c r="M1039" s="297" t="s">
        <v>6582</v>
      </c>
      <c r="N1039" s="297"/>
      <c r="O1039" s="297"/>
      <c r="P1039" s="297"/>
      <c r="Q1039" s="297"/>
      <c r="R1039" s="297"/>
      <c r="S1039" s="302"/>
      <c r="T1039" s="302"/>
      <c r="U1039" s="303"/>
    </row>
    <row r="1040" spans="1:25" ht="25.5" x14ac:dyDescent="0.2">
      <c r="A1040" s="212" t="str">
        <f>HYPERLINK(V1040,B1040)</f>
        <v>NstCode</v>
      </c>
      <c r="B1040" s="283" t="s">
        <v>11033</v>
      </c>
      <c r="C1040" s="284" t="s">
        <v>15634</v>
      </c>
      <c r="D1040" s="285"/>
      <c r="E1040" s="286"/>
      <c r="F1040" s="287" t="s">
        <v>15635</v>
      </c>
      <c r="G1040" s="286"/>
      <c r="H1040" s="286"/>
      <c r="I1040" s="288"/>
      <c r="J1040" s="289"/>
      <c r="K1040" s="290"/>
      <c r="L1040" s="371" t="str">
        <f>HYPERLINK("[#]DatatypeListedValues!B6400:H6400","«enumeration»")</f>
        <v>«enumeration»</v>
      </c>
      <c r="M1040" s="287" t="s">
        <v>6582</v>
      </c>
      <c r="N1040" s="291" t="b">
        <v>0</v>
      </c>
      <c r="O1040" s="286"/>
      <c r="P1040" s="292"/>
      <c r="Q1040" s="286"/>
      <c r="R1040" s="286"/>
      <c r="S1040" s="293"/>
      <c r="T1040" s="294"/>
      <c r="U1040" s="37">
        <v>1340</v>
      </c>
      <c r="V1040" s="36" t="str">
        <f>CONCATENATE(Cover!$D$6,"fdd/view?i=",U1040)</f>
        <v>https://www.dgiwg.org/FAD/fdd/view?i=1340</v>
      </c>
      <c r="W1040" s="172"/>
      <c r="X1040" s="172"/>
      <c r="Y1040" s="172"/>
    </row>
    <row r="1041" spans="1:25" ht="2.1" customHeight="1" x14ac:dyDescent="0.2">
      <c r="A1041" s="295"/>
      <c r="B1041" s="283"/>
      <c r="C1041" s="296"/>
      <c r="D1041" s="283"/>
      <c r="E1041" s="296"/>
      <c r="F1041" s="297"/>
      <c r="G1041" s="297"/>
      <c r="H1041" s="297"/>
      <c r="I1041" s="298"/>
      <c r="J1041" s="304"/>
      <c r="K1041" s="300"/>
      <c r="L1041" s="301"/>
      <c r="M1041" s="297" t="s">
        <v>6582</v>
      </c>
      <c r="N1041" s="297"/>
      <c r="O1041" s="297"/>
      <c r="P1041" s="297"/>
      <c r="Q1041" s="297"/>
      <c r="R1041" s="297"/>
      <c r="S1041" s="302"/>
      <c r="T1041" s="302"/>
      <c r="U1041" s="303"/>
    </row>
    <row r="1042" spans="1:25" ht="25.5" x14ac:dyDescent="0.2">
      <c r="A1042" s="212" t="str">
        <f>HYPERLINK(V1042,B1042)</f>
        <v>StlCode</v>
      </c>
      <c r="B1042" s="283" t="s">
        <v>11048</v>
      </c>
      <c r="C1042" s="284" t="s">
        <v>15636</v>
      </c>
      <c r="D1042" s="285"/>
      <c r="E1042" s="286"/>
      <c r="F1042" s="287" t="s">
        <v>15637</v>
      </c>
      <c r="G1042" s="286"/>
      <c r="H1042" s="286"/>
      <c r="I1042" s="288"/>
      <c r="J1042" s="289"/>
      <c r="K1042" s="290"/>
      <c r="L1042" s="371" t="str">
        <f>HYPERLINK("[#]DatatypeListedValues!B6478:H6478","«enumeration»")</f>
        <v>«enumeration»</v>
      </c>
      <c r="M1042" s="287" t="s">
        <v>6582</v>
      </c>
      <c r="N1042" s="291" t="b">
        <v>0</v>
      </c>
      <c r="O1042" s="286"/>
      <c r="P1042" s="292"/>
      <c r="Q1042" s="286"/>
      <c r="R1042" s="286"/>
      <c r="S1042" s="293"/>
      <c r="T1042" s="294"/>
      <c r="U1042" s="37">
        <v>1471</v>
      </c>
      <c r="V1042" s="36" t="str">
        <f>CONCATENATE(Cover!$D$6,"fdd/view?i=",U1042)</f>
        <v>https://www.dgiwg.org/FAD/fdd/view?i=1471</v>
      </c>
      <c r="W1042" s="172"/>
      <c r="X1042" s="172"/>
      <c r="Y1042" s="172"/>
    </row>
    <row r="1043" spans="1:25" ht="2.1" customHeight="1" x14ac:dyDescent="0.2">
      <c r="A1043" s="295"/>
      <c r="B1043" s="283"/>
      <c r="C1043" s="296"/>
      <c r="D1043" s="283"/>
      <c r="E1043" s="296"/>
      <c r="F1043" s="297"/>
      <c r="G1043" s="297"/>
      <c r="H1043" s="297"/>
      <c r="I1043" s="298"/>
      <c r="J1043" s="304"/>
      <c r="K1043" s="300"/>
      <c r="L1043" s="301"/>
      <c r="M1043" s="297" t="s">
        <v>6582</v>
      </c>
      <c r="N1043" s="297"/>
      <c r="O1043" s="297"/>
      <c r="P1043" s="297"/>
      <c r="Q1043" s="297"/>
      <c r="R1043" s="297"/>
      <c r="S1043" s="302"/>
      <c r="T1043" s="302"/>
      <c r="U1043" s="303"/>
    </row>
    <row r="1044" spans="1:25" ht="25.5" x14ac:dyDescent="0.2">
      <c r="A1044" s="212" t="str">
        <f>HYPERLINK(V1044,B1044)</f>
        <v>DmnCode</v>
      </c>
      <c r="B1044" s="283" t="s">
        <v>11053</v>
      </c>
      <c r="C1044" s="284" t="s">
        <v>15638</v>
      </c>
      <c r="D1044" s="285"/>
      <c r="E1044" s="286"/>
      <c r="F1044" s="287" t="s">
        <v>15639</v>
      </c>
      <c r="G1044" s="286"/>
      <c r="H1044" s="286"/>
      <c r="I1044" s="288"/>
      <c r="J1044" s="289"/>
      <c r="K1044" s="290"/>
      <c r="L1044" s="371" t="str">
        <f>HYPERLINK("[#]DatatypeListedValues!B6482:H6482","«enumeration»")</f>
        <v>«enumeration»</v>
      </c>
      <c r="M1044" s="287" t="s">
        <v>6582</v>
      </c>
      <c r="N1044" s="291" t="b">
        <v>0</v>
      </c>
      <c r="O1044" s="286"/>
      <c r="P1044" s="292"/>
      <c r="Q1044" s="286"/>
      <c r="R1044" s="286"/>
      <c r="S1044" s="293"/>
      <c r="T1044" s="294"/>
      <c r="U1044" s="37">
        <v>114315</v>
      </c>
      <c r="V1044" s="36" t="str">
        <f>CONCATENATE(Cover!$D$6,"fdd/view?i=",U1044)</f>
        <v>https://www.dgiwg.org/FAD/fdd/view?i=114315</v>
      </c>
      <c r="W1044" s="172"/>
      <c r="X1044" s="172"/>
      <c r="Y1044" s="172"/>
    </row>
    <row r="1045" spans="1:25" ht="2.1" customHeight="1" x14ac:dyDescent="0.2">
      <c r="A1045" s="295"/>
      <c r="B1045" s="283"/>
      <c r="C1045" s="296"/>
      <c r="D1045" s="283"/>
      <c r="E1045" s="296"/>
      <c r="F1045" s="297"/>
      <c r="G1045" s="297"/>
      <c r="H1045" s="297"/>
      <c r="I1045" s="298"/>
      <c r="J1045" s="304"/>
      <c r="K1045" s="300"/>
      <c r="L1045" s="301"/>
      <c r="M1045" s="297" t="s">
        <v>6582</v>
      </c>
      <c r="N1045" s="297"/>
      <c r="O1045" s="297"/>
      <c r="P1045" s="297"/>
      <c r="Q1045" s="297"/>
      <c r="R1045" s="297"/>
      <c r="S1045" s="302"/>
      <c r="T1045" s="302"/>
      <c r="U1045" s="303"/>
    </row>
    <row r="1046" spans="1:25" ht="38.25" x14ac:dyDescent="0.2">
      <c r="A1046" s="212" t="str">
        <f>HYPERLINK(V1046,B1046)</f>
        <v>IntegerNonNegative</v>
      </c>
      <c r="B1046" s="283" t="s">
        <v>10489</v>
      </c>
      <c r="C1046" s="284" t="s">
        <v>15640</v>
      </c>
      <c r="D1046" s="285"/>
      <c r="E1046" s="286"/>
      <c r="F1046" s="287" t="s">
        <v>15641</v>
      </c>
      <c r="G1046" s="286"/>
      <c r="H1046" s="287" t="s">
        <v>15324</v>
      </c>
      <c r="I1046" s="288"/>
      <c r="J1046" s="289"/>
      <c r="K1046" s="290"/>
      <c r="L1046" s="287" t="s">
        <v>15323</v>
      </c>
      <c r="M1046" s="287" t="s">
        <v>6582</v>
      </c>
      <c r="N1046" s="286"/>
      <c r="O1046" s="286"/>
      <c r="P1046" s="292"/>
      <c r="Q1046" s="286"/>
      <c r="R1046" s="286"/>
      <c r="S1046" s="306" t="s">
        <v>15327</v>
      </c>
      <c r="T1046" s="294"/>
      <c r="U1046" s="37">
        <v>3593</v>
      </c>
      <c r="V1046" s="36" t="str">
        <f>CONCATENATE(Cover!$D$6,"fdd/view?i=",U1046)</f>
        <v>https://www.dgiwg.org/FAD/fdd/view?i=3593</v>
      </c>
      <c r="W1046" s="172"/>
      <c r="X1046" s="172"/>
      <c r="Y1046" s="172"/>
    </row>
    <row r="1047" spans="1:25" ht="2.1" customHeight="1" x14ac:dyDescent="0.2">
      <c r="A1047" s="295"/>
      <c r="B1047" s="283"/>
      <c r="C1047" s="296"/>
      <c r="D1047" s="283"/>
      <c r="E1047" s="296"/>
      <c r="F1047" s="297"/>
      <c r="G1047" s="297"/>
      <c r="H1047" s="297"/>
      <c r="I1047" s="298"/>
      <c r="J1047" s="304"/>
      <c r="K1047" s="300"/>
      <c r="L1047" s="301"/>
      <c r="M1047" s="297" t="s">
        <v>6582</v>
      </c>
      <c r="N1047" s="297"/>
      <c r="O1047" s="297"/>
      <c r="P1047" s="297"/>
      <c r="Q1047" s="297"/>
      <c r="R1047" s="297"/>
      <c r="S1047" s="302"/>
      <c r="T1047" s="302"/>
      <c r="U1047" s="303"/>
    </row>
    <row r="1048" spans="1:25" ht="38.25" x14ac:dyDescent="0.2">
      <c r="A1048" s="212" t="str">
        <f>HYPERLINK(V1048,B1048)</f>
        <v>RealNonNegative</v>
      </c>
      <c r="B1048" s="283" t="s">
        <v>6401</v>
      </c>
      <c r="C1048" s="284" t="s">
        <v>15642</v>
      </c>
      <c r="D1048" s="285"/>
      <c r="E1048" s="286"/>
      <c r="F1048" s="287" t="s">
        <v>15643</v>
      </c>
      <c r="G1048" s="286"/>
      <c r="H1048" s="287" t="s">
        <v>15645</v>
      </c>
      <c r="I1048" s="288"/>
      <c r="J1048" s="289"/>
      <c r="K1048" s="290"/>
      <c r="L1048" s="287" t="s">
        <v>15644</v>
      </c>
      <c r="M1048" s="287" t="s">
        <v>6582</v>
      </c>
      <c r="N1048" s="286"/>
      <c r="O1048" s="286"/>
      <c r="P1048" s="292"/>
      <c r="Q1048" s="286"/>
      <c r="R1048" s="286"/>
      <c r="S1048" s="306" t="s">
        <v>15327</v>
      </c>
      <c r="T1048" s="294"/>
      <c r="U1048" s="37">
        <v>3622</v>
      </c>
      <c r="V1048" s="36" t="str">
        <f>CONCATENATE(Cover!$D$6,"fdd/view?i=",U1048)</f>
        <v>https://www.dgiwg.org/FAD/fdd/view?i=3622</v>
      </c>
      <c r="W1048" s="172"/>
      <c r="X1048" s="172"/>
      <c r="Y1048" s="172"/>
    </row>
    <row r="1049" spans="1:25" ht="2.1" customHeight="1" x14ac:dyDescent="0.2">
      <c r="A1049" s="295"/>
      <c r="B1049" s="283"/>
      <c r="C1049" s="296"/>
      <c r="D1049" s="283"/>
      <c r="E1049" s="296"/>
      <c r="F1049" s="297"/>
      <c r="G1049" s="297"/>
      <c r="H1049" s="297"/>
      <c r="I1049" s="298"/>
      <c r="J1049" s="304"/>
      <c r="K1049" s="300"/>
      <c r="L1049" s="301"/>
      <c r="M1049" s="297" t="s">
        <v>6582</v>
      </c>
      <c r="N1049" s="297"/>
      <c r="O1049" s="297"/>
      <c r="P1049" s="297"/>
      <c r="Q1049" s="297"/>
      <c r="R1049" s="297"/>
      <c r="S1049" s="302"/>
      <c r="T1049" s="302"/>
      <c r="U1049" s="303"/>
    </row>
    <row r="1050" spans="1:25" ht="38.25" x14ac:dyDescent="0.2">
      <c r="A1050" s="190" t="str">
        <f>HYPERLINK(V1050,B1050)</f>
        <v>RealNonNegInterval</v>
      </c>
      <c r="B1050" s="408" t="s">
        <v>13531</v>
      </c>
      <c r="C1050" s="411" t="s">
        <v>15646</v>
      </c>
      <c r="D1050" s="308"/>
      <c r="E1050" s="309"/>
      <c r="F1050" s="310" t="s">
        <v>15647</v>
      </c>
      <c r="G1050" s="309"/>
      <c r="H1050" s="310" t="s">
        <v>15649</v>
      </c>
      <c r="I1050" s="311"/>
      <c r="J1050" s="312"/>
      <c r="K1050" s="313"/>
      <c r="L1050" s="314" t="s">
        <v>15648</v>
      </c>
      <c r="M1050" s="310" t="s">
        <v>6582</v>
      </c>
      <c r="N1050" s="309"/>
      <c r="O1050" s="309"/>
      <c r="P1050" s="315"/>
      <c r="Q1050" s="309"/>
      <c r="R1050" s="309"/>
      <c r="S1050" s="316" t="s">
        <v>15327</v>
      </c>
      <c r="T1050" s="317"/>
      <c r="U1050" s="37">
        <v>3623</v>
      </c>
      <c r="V1050" s="36" t="str">
        <f>CONCATENATE(Cover!$D$6,"fdd/view?i=",U1050)</f>
        <v>https://www.dgiwg.org/FAD/fdd/view?i=3623</v>
      </c>
      <c r="W1050" s="172"/>
      <c r="X1050" s="172"/>
      <c r="Y1050" s="172"/>
    </row>
    <row r="1051" spans="1:25" ht="76.5" x14ac:dyDescent="0.2">
      <c r="A1051" s="197" t="str">
        <f>HYPERLINK(V1051,"   " &amp; D1051)</f>
        <v xml:space="preserve">   lowerValue</v>
      </c>
      <c r="B1051" s="409"/>
      <c r="C1051" s="412"/>
      <c r="D1051" s="332" t="s">
        <v>15650</v>
      </c>
      <c r="E1051" s="339" t="s">
        <v>15651</v>
      </c>
      <c r="F1051" s="233" t="s">
        <v>15652</v>
      </c>
      <c r="G1051" s="233" t="s">
        <v>15653</v>
      </c>
      <c r="H1051" s="227"/>
      <c r="I1051" s="334" t="s">
        <v>5932</v>
      </c>
      <c r="J1051" s="335"/>
      <c r="K1051" s="336" t="s">
        <v>5938</v>
      </c>
      <c r="L1051" s="372" t="str">
        <f>HYPERLINK("[#]Datatypes!B1231:L1231","Real")</f>
        <v>Real</v>
      </c>
      <c r="M1051" s="13" t="s">
        <v>15654</v>
      </c>
      <c r="N1051" s="322"/>
      <c r="O1051" s="322"/>
      <c r="P1051" s="322"/>
      <c r="Q1051" s="322"/>
      <c r="R1051" s="322"/>
      <c r="S1051" s="323"/>
      <c r="T1051" s="324"/>
      <c r="U1051" s="37">
        <v>4857</v>
      </c>
      <c r="V1051" s="36" t="str">
        <f>CONCATENATE(Cover!$D$6,"fdd/view?i=",U1051)</f>
        <v>https://www.dgiwg.org/FAD/fdd/view?i=4857</v>
      </c>
      <c r="W1051" s="172"/>
      <c r="X1051" s="172"/>
      <c r="Y1051" s="172"/>
    </row>
    <row r="1052" spans="1:25" ht="76.5" x14ac:dyDescent="0.2">
      <c r="A1052" s="197" t="str">
        <f>HYPERLINK(V1052,"   " &amp; D1052)</f>
        <v xml:space="preserve">   upperValue</v>
      </c>
      <c r="B1052" s="409"/>
      <c r="C1052" s="412"/>
      <c r="D1052" s="337" t="s">
        <v>15655</v>
      </c>
      <c r="E1052" s="340" t="s">
        <v>15656</v>
      </c>
      <c r="F1052" s="13" t="s">
        <v>15652</v>
      </c>
      <c r="G1052" s="13" t="s">
        <v>15657</v>
      </c>
      <c r="H1052" s="172"/>
      <c r="I1052" s="319" t="s">
        <v>5932</v>
      </c>
      <c r="J1052" s="320"/>
      <c r="K1052" s="321" t="s">
        <v>5938</v>
      </c>
      <c r="L1052" s="373" t="str">
        <f>HYPERLINK("[#]Datatypes!B1231:L1231","Real")</f>
        <v>Real</v>
      </c>
      <c r="M1052" s="13" t="s">
        <v>15654</v>
      </c>
      <c r="N1052" s="322"/>
      <c r="O1052" s="322"/>
      <c r="P1052" s="322"/>
      <c r="Q1052" s="322"/>
      <c r="R1052" s="322"/>
      <c r="S1052" s="323"/>
      <c r="T1052" s="324"/>
      <c r="U1052" s="37">
        <v>4858</v>
      </c>
      <c r="V1052" s="36" t="str">
        <f>CONCATENATE(Cover!$D$6,"fdd/view?i=",U1052)</f>
        <v>https://www.dgiwg.org/FAD/fdd/view?i=4858</v>
      </c>
      <c r="W1052" s="172"/>
      <c r="X1052" s="172"/>
      <c r="Y1052" s="172"/>
    </row>
    <row r="1053" spans="1:25" ht="38.25" x14ac:dyDescent="0.2">
      <c r="A1053" s="203" t="str">
        <f>HYPERLINK(V1053,"   " &amp; D1053)</f>
        <v xml:space="preserve">   closure</v>
      </c>
      <c r="B1053" s="410"/>
      <c r="C1053" s="413"/>
      <c r="D1053" s="338" t="s">
        <v>15658</v>
      </c>
      <c r="E1053" s="341" t="s">
        <v>15659</v>
      </c>
      <c r="F1053" s="210" t="s">
        <v>15660</v>
      </c>
      <c r="G1053" s="210" t="s">
        <v>15661</v>
      </c>
      <c r="H1053" s="232"/>
      <c r="I1053" s="326" t="s">
        <v>5932</v>
      </c>
      <c r="J1053" s="327"/>
      <c r="K1053" s="328" t="s">
        <v>15346</v>
      </c>
      <c r="L1053" s="374" t="str">
        <f>HYPERLINK("[#]Datatypes!B760:L760","Interval Closure Type Code")</f>
        <v>Interval Closure Type Code</v>
      </c>
      <c r="M1053" s="210" t="s">
        <v>15654</v>
      </c>
      <c r="N1053" s="329"/>
      <c r="O1053" s="329"/>
      <c r="P1053" s="329"/>
      <c r="Q1053" s="329"/>
      <c r="R1053" s="329"/>
      <c r="S1053" s="330"/>
      <c r="T1053" s="331"/>
      <c r="U1053" s="37">
        <v>4859</v>
      </c>
      <c r="V1053" s="36" t="str">
        <f>CONCATENATE(Cover!$D$6,"fdd/view?i=",U1053)</f>
        <v>https://www.dgiwg.org/FAD/fdd/view?i=4859</v>
      </c>
      <c r="W1053" s="172"/>
      <c r="X1053" s="172"/>
      <c r="Y1053" s="172"/>
    </row>
    <row r="1054" spans="1:25" ht="2.1" customHeight="1" x14ac:dyDescent="0.2">
      <c r="A1054" s="295"/>
      <c r="B1054" s="283"/>
      <c r="C1054" s="296"/>
      <c r="D1054" s="283"/>
      <c r="E1054" s="296"/>
      <c r="F1054" s="297"/>
      <c r="G1054" s="297"/>
      <c r="H1054" s="297"/>
      <c r="I1054" s="298"/>
      <c r="J1054" s="304"/>
      <c r="K1054" s="300"/>
      <c r="L1054" s="301"/>
      <c r="M1054" s="297" t="s">
        <v>6582</v>
      </c>
      <c r="N1054" s="297"/>
      <c r="O1054" s="297"/>
      <c r="P1054" s="297"/>
      <c r="Q1054" s="297"/>
      <c r="R1054" s="297"/>
      <c r="S1054" s="302"/>
      <c r="T1054" s="302"/>
      <c r="U1054" s="303"/>
    </row>
    <row r="1055" spans="1:25" ht="89.25" x14ac:dyDescent="0.2">
      <c r="A1055" s="212" t="str">
        <f>HYPERLINK(V1055,B1055)</f>
        <v>WdtStrucText</v>
      </c>
      <c r="B1055" s="283" t="s">
        <v>11072</v>
      </c>
      <c r="C1055" s="284" t="s">
        <v>15662</v>
      </c>
      <c r="D1055" s="285"/>
      <c r="E1055" s="286"/>
      <c r="F1055" s="287" t="s">
        <v>15663</v>
      </c>
      <c r="G1055" s="286"/>
      <c r="H1055" s="287" t="s">
        <v>14552</v>
      </c>
      <c r="I1055" s="288"/>
      <c r="J1055" s="289"/>
      <c r="K1055" s="290"/>
      <c r="L1055" s="287" t="s">
        <v>14551</v>
      </c>
      <c r="M1055" s="287" t="s">
        <v>6582</v>
      </c>
      <c r="N1055" s="286"/>
      <c r="O1055" s="287">
        <v>8</v>
      </c>
      <c r="P1055" s="305" t="b">
        <v>0</v>
      </c>
      <c r="Q1055" s="287" t="s">
        <v>14908</v>
      </c>
      <c r="R1055" s="286"/>
      <c r="S1055" s="293"/>
      <c r="T1055" s="294"/>
      <c r="U1055" s="37">
        <v>3769</v>
      </c>
      <c r="V1055" s="36" t="str">
        <f>CONCATENATE(Cover!$D$6,"fdd/view?i=",U1055)</f>
        <v>https://www.dgiwg.org/FAD/fdd/view?i=3769</v>
      </c>
      <c r="W1055" s="172"/>
      <c r="X1055" s="172"/>
      <c r="Y1055" s="172"/>
    </row>
    <row r="1056" spans="1:25" ht="2.1" customHeight="1" x14ac:dyDescent="0.2">
      <c r="A1056" s="295"/>
      <c r="B1056" s="283"/>
      <c r="C1056" s="296"/>
      <c r="D1056" s="283"/>
      <c r="E1056" s="296"/>
      <c r="F1056" s="297"/>
      <c r="G1056" s="297"/>
      <c r="H1056" s="297"/>
      <c r="I1056" s="298"/>
      <c r="J1056" s="304"/>
      <c r="K1056" s="300"/>
      <c r="L1056" s="301"/>
      <c r="M1056" s="297" t="s">
        <v>6582</v>
      </c>
      <c r="N1056" s="297"/>
      <c r="O1056" s="297"/>
      <c r="P1056" s="297"/>
      <c r="Q1056" s="297"/>
      <c r="R1056" s="297"/>
      <c r="S1056" s="302"/>
      <c r="T1056" s="302"/>
      <c r="U1056" s="303"/>
    </row>
    <row r="1057" spans="1:25" ht="38.25" x14ac:dyDescent="0.2">
      <c r="A1057" s="212" t="str">
        <f>HYPERLINK(V1057,B1057)</f>
        <v>RagCode</v>
      </c>
      <c r="B1057" s="283" t="s">
        <v>11078</v>
      </c>
      <c r="C1057" s="284" t="s">
        <v>15664</v>
      </c>
      <c r="D1057" s="285"/>
      <c r="E1057" s="286"/>
      <c r="F1057" s="287" t="s">
        <v>15665</v>
      </c>
      <c r="G1057" s="286"/>
      <c r="H1057" s="286"/>
      <c r="I1057" s="288"/>
      <c r="J1057" s="289"/>
      <c r="K1057" s="290"/>
      <c r="L1057" s="371" t="str">
        <f>HYPERLINK("[#]DatatypeListedValues!B6486:H6486","«enumeration»")</f>
        <v>«enumeration»</v>
      </c>
      <c r="M1057" s="287" t="s">
        <v>6582</v>
      </c>
      <c r="N1057" s="291" t="b">
        <v>0</v>
      </c>
      <c r="O1057" s="286"/>
      <c r="P1057" s="292"/>
      <c r="Q1057" s="286"/>
      <c r="R1057" s="286"/>
      <c r="S1057" s="293"/>
      <c r="T1057" s="294"/>
      <c r="U1057" s="37">
        <v>1388</v>
      </c>
      <c r="V1057" s="36" t="str">
        <f>CONCATENATE(Cover!$D$6,"fdd/view?i=",U1057)</f>
        <v>https://www.dgiwg.org/FAD/fdd/view?i=1388</v>
      </c>
      <c r="W1057" s="172"/>
      <c r="X1057" s="172"/>
      <c r="Y1057" s="172"/>
    </row>
    <row r="1058" spans="1:25" ht="2.1" customHeight="1" x14ac:dyDescent="0.2">
      <c r="A1058" s="295"/>
      <c r="B1058" s="283"/>
      <c r="C1058" s="296"/>
      <c r="D1058" s="283"/>
      <c r="E1058" s="296"/>
      <c r="F1058" s="297"/>
      <c r="G1058" s="297"/>
      <c r="H1058" s="297"/>
      <c r="I1058" s="298"/>
      <c r="J1058" s="304"/>
      <c r="K1058" s="300"/>
      <c r="L1058" s="301"/>
      <c r="M1058" s="297" t="s">
        <v>6582</v>
      </c>
      <c r="N1058" s="297"/>
      <c r="O1058" s="297"/>
      <c r="P1058" s="297"/>
      <c r="Q1058" s="297"/>
      <c r="R1058" s="297"/>
      <c r="S1058" s="302"/>
      <c r="T1058" s="302"/>
      <c r="U1058" s="303"/>
    </row>
    <row r="1059" spans="1:25" ht="25.5" x14ac:dyDescent="0.2">
      <c r="A1059" s="212" t="str">
        <f>HYPERLINK(V1059,B1059)</f>
        <v>NrtCode</v>
      </c>
      <c r="B1059" s="283" t="s">
        <v>11084</v>
      </c>
      <c r="C1059" s="284" t="s">
        <v>15666</v>
      </c>
      <c r="D1059" s="285"/>
      <c r="E1059" s="286"/>
      <c r="F1059" s="287" t="s">
        <v>15667</v>
      </c>
      <c r="G1059" s="286"/>
      <c r="H1059" s="286"/>
      <c r="I1059" s="288"/>
      <c r="J1059" s="289"/>
      <c r="K1059" s="290"/>
      <c r="L1059" s="371" t="str">
        <f>HYPERLINK("[#]DatatypeListedValues!B6506:H6506","«enumeration»")</f>
        <v>«enumeration»</v>
      </c>
      <c r="M1059" s="287" t="s">
        <v>6582</v>
      </c>
      <c r="N1059" s="291" t="b">
        <v>0</v>
      </c>
      <c r="O1059" s="286"/>
      <c r="P1059" s="292"/>
      <c r="Q1059" s="286"/>
      <c r="R1059" s="286"/>
      <c r="S1059" s="293"/>
      <c r="T1059" s="294"/>
      <c r="U1059" s="37">
        <v>117395</v>
      </c>
      <c r="V1059" s="36" t="str">
        <f>CONCATENATE(Cover!$D$6,"fdd/view?i=",U1059)</f>
        <v>https://www.dgiwg.org/FAD/fdd/view?i=117395</v>
      </c>
      <c r="W1059" s="172"/>
      <c r="X1059" s="172"/>
      <c r="Y1059" s="172"/>
    </row>
    <row r="1060" spans="1:25" ht="2.1" customHeight="1" x14ac:dyDescent="0.2">
      <c r="A1060" s="295"/>
      <c r="B1060" s="283"/>
      <c r="C1060" s="296"/>
      <c r="D1060" s="283"/>
      <c r="E1060" s="296"/>
      <c r="F1060" s="297"/>
      <c r="G1060" s="297"/>
      <c r="H1060" s="297"/>
      <c r="I1060" s="298"/>
      <c r="J1060" s="304"/>
      <c r="K1060" s="300"/>
      <c r="L1060" s="301"/>
      <c r="M1060" s="297" t="s">
        <v>6582</v>
      </c>
      <c r="N1060" s="297"/>
      <c r="O1060" s="297"/>
      <c r="P1060" s="297"/>
      <c r="Q1060" s="297"/>
      <c r="R1060" s="297"/>
      <c r="S1060" s="302"/>
      <c r="T1060" s="302"/>
      <c r="U1060" s="303"/>
    </row>
    <row r="1061" spans="1:25" ht="63.75" x14ac:dyDescent="0.2">
      <c r="A1061" s="212" t="str">
        <f>HYPERLINK(V1061,B1061)</f>
        <v>NmdStrucText</v>
      </c>
      <c r="B1061" s="283" t="s">
        <v>11089</v>
      </c>
      <c r="C1061" s="284" t="s">
        <v>15668</v>
      </c>
      <c r="D1061" s="285"/>
      <c r="E1061" s="286"/>
      <c r="F1061" s="287" t="s">
        <v>15669</v>
      </c>
      <c r="G1061" s="286"/>
      <c r="H1061" s="287" t="s">
        <v>14552</v>
      </c>
      <c r="I1061" s="288"/>
      <c r="J1061" s="289"/>
      <c r="K1061" s="290"/>
      <c r="L1061" s="287" t="s">
        <v>14551</v>
      </c>
      <c r="M1061" s="287" t="s">
        <v>6582</v>
      </c>
      <c r="N1061" s="286"/>
      <c r="O1061" s="287">
        <v>8</v>
      </c>
      <c r="P1061" s="305" t="b">
        <v>0</v>
      </c>
      <c r="Q1061" s="287" t="s">
        <v>14806</v>
      </c>
      <c r="R1061" s="286"/>
      <c r="S1061" s="293"/>
      <c r="T1061" s="294"/>
      <c r="U1061" s="37">
        <v>3747</v>
      </c>
      <c r="V1061" s="36" t="str">
        <f>CONCATENATE(Cover!$D$6,"fdd/view?i=",U1061)</f>
        <v>https://www.dgiwg.org/FAD/fdd/view?i=3747</v>
      </c>
      <c r="W1061" s="172"/>
      <c r="X1061" s="172"/>
      <c r="Y1061" s="172"/>
    </row>
    <row r="1062" spans="1:25" ht="2.1" customHeight="1" x14ac:dyDescent="0.2">
      <c r="A1062" s="295"/>
      <c r="B1062" s="283"/>
      <c r="C1062" s="296"/>
      <c r="D1062" s="283"/>
      <c r="E1062" s="296"/>
      <c r="F1062" s="297"/>
      <c r="G1062" s="297"/>
      <c r="H1062" s="297"/>
      <c r="I1062" s="298"/>
      <c r="J1062" s="304"/>
      <c r="K1062" s="300"/>
      <c r="L1062" s="301"/>
      <c r="M1062" s="297" t="s">
        <v>6582</v>
      </c>
      <c r="N1062" s="297"/>
      <c r="O1062" s="297"/>
      <c r="P1062" s="297"/>
      <c r="Q1062" s="297"/>
      <c r="R1062" s="297"/>
      <c r="S1062" s="302"/>
      <c r="T1062" s="302"/>
      <c r="U1062" s="303"/>
    </row>
    <row r="1063" spans="1:25" ht="25.5" x14ac:dyDescent="0.2">
      <c r="A1063" s="212" t="str">
        <f>HYPERLINK(V1063,B1063)</f>
        <v>OtcCode</v>
      </c>
      <c r="B1063" s="283" t="s">
        <v>11125</v>
      </c>
      <c r="C1063" s="284" t="s">
        <v>15670</v>
      </c>
      <c r="D1063" s="285"/>
      <c r="E1063" s="286"/>
      <c r="F1063" s="287" t="s">
        <v>15671</v>
      </c>
      <c r="G1063" s="286"/>
      <c r="H1063" s="286"/>
      <c r="I1063" s="288"/>
      <c r="J1063" s="289"/>
      <c r="K1063" s="290"/>
      <c r="L1063" s="371" t="str">
        <f>HYPERLINK("[#]DatatypeListedValues!B6509:H6509","«enumeration»")</f>
        <v>«enumeration»</v>
      </c>
      <c r="M1063" s="287" t="s">
        <v>6582</v>
      </c>
      <c r="N1063" s="291" t="b">
        <v>0</v>
      </c>
      <c r="O1063" s="286"/>
      <c r="P1063" s="292"/>
      <c r="Q1063" s="286"/>
      <c r="R1063" s="286"/>
      <c r="S1063" s="293"/>
      <c r="T1063" s="294"/>
      <c r="U1063" s="37">
        <v>1885</v>
      </c>
      <c r="V1063" s="36" t="str">
        <f>CONCATENATE(Cover!$D$6,"fdd/view?i=",U1063)</f>
        <v>https://www.dgiwg.org/FAD/fdd/view?i=1885</v>
      </c>
      <c r="W1063" s="172"/>
      <c r="X1063" s="172"/>
      <c r="Y1063" s="172"/>
    </row>
    <row r="1064" spans="1:25" ht="2.1" customHeight="1" x14ac:dyDescent="0.2">
      <c r="A1064" s="295"/>
      <c r="B1064" s="283"/>
      <c r="C1064" s="296"/>
      <c r="D1064" s="283"/>
      <c r="E1064" s="296"/>
      <c r="F1064" s="297"/>
      <c r="G1064" s="297"/>
      <c r="H1064" s="297"/>
      <c r="I1064" s="298"/>
      <c r="J1064" s="304"/>
      <c r="K1064" s="300"/>
      <c r="L1064" s="301"/>
      <c r="M1064" s="297" t="s">
        <v>6582</v>
      </c>
      <c r="N1064" s="297"/>
      <c r="O1064" s="297"/>
      <c r="P1064" s="297"/>
      <c r="Q1064" s="297"/>
      <c r="R1064" s="297"/>
      <c r="S1064" s="302"/>
      <c r="T1064" s="302"/>
      <c r="U1064" s="303"/>
    </row>
    <row r="1065" spans="1:25" ht="25.5" x14ac:dyDescent="0.2">
      <c r="A1065" s="212" t="str">
        <f>HYPERLINK(V1065,B1065)</f>
        <v>OlqCode</v>
      </c>
      <c r="B1065" s="283" t="s">
        <v>11158</v>
      </c>
      <c r="C1065" s="284" t="s">
        <v>15672</v>
      </c>
      <c r="D1065" s="285"/>
      <c r="E1065" s="286"/>
      <c r="F1065" s="287" t="s">
        <v>15673</v>
      </c>
      <c r="G1065" s="286"/>
      <c r="H1065" s="286"/>
      <c r="I1065" s="288"/>
      <c r="J1065" s="289"/>
      <c r="K1065" s="290"/>
      <c r="L1065" s="371" t="str">
        <f>HYPERLINK("[#]DatatypeListedValues!B6513:H6513","«enumeration»")</f>
        <v>«enumeration»</v>
      </c>
      <c r="M1065" s="287" t="s">
        <v>6582</v>
      </c>
      <c r="N1065" s="291" t="b">
        <v>0</v>
      </c>
      <c r="O1065" s="286"/>
      <c r="P1065" s="292"/>
      <c r="Q1065" s="286"/>
      <c r="R1065" s="286"/>
      <c r="S1065" s="293"/>
      <c r="T1065" s="294"/>
      <c r="U1065" s="37">
        <v>1348</v>
      </c>
      <c r="V1065" s="36" t="str">
        <f>CONCATENATE(Cover!$D$6,"fdd/view?i=",U1065)</f>
        <v>https://www.dgiwg.org/FAD/fdd/view?i=1348</v>
      </c>
      <c r="W1065" s="172"/>
      <c r="X1065" s="172"/>
      <c r="Y1065" s="172"/>
    </row>
    <row r="1066" spans="1:25" ht="2.1" customHeight="1" x14ac:dyDescent="0.2">
      <c r="A1066" s="295"/>
      <c r="B1066" s="283"/>
      <c r="C1066" s="296"/>
      <c r="D1066" s="283"/>
      <c r="E1066" s="296"/>
      <c r="F1066" s="297"/>
      <c r="G1066" s="297"/>
      <c r="H1066" s="297"/>
      <c r="I1066" s="298"/>
      <c r="J1066" s="304"/>
      <c r="K1066" s="300"/>
      <c r="L1066" s="301"/>
      <c r="M1066" s="297" t="s">
        <v>6582</v>
      </c>
      <c r="N1066" s="297"/>
      <c r="O1066" s="297"/>
      <c r="P1066" s="297"/>
      <c r="Q1066" s="297"/>
      <c r="R1066" s="297"/>
      <c r="S1066" s="302"/>
      <c r="T1066" s="302"/>
      <c r="U1066" s="303"/>
    </row>
    <row r="1067" spans="1:25" ht="25.5" x14ac:dyDescent="0.2">
      <c r="A1067" s="212" t="str">
        <f>HYPERLINK(V1067,B1067)</f>
        <v>LpcCode</v>
      </c>
      <c r="B1067" s="283" t="s">
        <v>11163</v>
      </c>
      <c r="C1067" s="284" t="s">
        <v>15674</v>
      </c>
      <c r="D1067" s="285"/>
      <c r="E1067" s="286"/>
      <c r="F1067" s="287" t="s">
        <v>15675</v>
      </c>
      <c r="G1067" s="286"/>
      <c r="H1067" s="286"/>
      <c r="I1067" s="288"/>
      <c r="J1067" s="289"/>
      <c r="K1067" s="290"/>
      <c r="L1067" s="371" t="str">
        <f>HYPERLINK("[#]DatatypeListedValues!B6516:H6516","«enumeration»")</f>
        <v>«enumeration»</v>
      </c>
      <c r="M1067" s="287" t="s">
        <v>6582</v>
      </c>
      <c r="N1067" s="291" t="b">
        <v>0</v>
      </c>
      <c r="O1067" s="286"/>
      <c r="P1067" s="292"/>
      <c r="Q1067" s="286"/>
      <c r="R1067" s="286"/>
      <c r="S1067" s="293"/>
      <c r="T1067" s="294"/>
      <c r="U1067" s="37">
        <v>1285</v>
      </c>
      <c r="V1067" s="36" t="str">
        <f>CONCATENATE(Cover!$D$6,"fdd/view?i=",U1067)</f>
        <v>https://www.dgiwg.org/FAD/fdd/view?i=1285</v>
      </c>
      <c r="W1067" s="172"/>
      <c r="X1067" s="172"/>
      <c r="Y1067" s="172"/>
    </row>
    <row r="1068" spans="1:25" ht="2.1" customHeight="1" x14ac:dyDescent="0.2">
      <c r="A1068" s="295"/>
      <c r="B1068" s="283"/>
      <c r="C1068" s="296"/>
      <c r="D1068" s="283"/>
      <c r="E1068" s="296"/>
      <c r="F1068" s="297"/>
      <c r="G1068" s="297"/>
      <c r="H1068" s="297"/>
      <c r="I1068" s="298"/>
      <c r="J1068" s="304"/>
      <c r="K1068" s="300"/>
      <c r="L1068" s="301"/>
      <c r="M1068" s="297" t="s">
        <v>6582</v>
      </c>
      <c r="N1068" s="297"/>
      <c r="O1068" s="297"/>
      <c r="P1068" s="297"/>
      <c r="Q1068" s="297"/>
      <c r="R1068" s="297"/>
      <c r="S1068" s="302"/>
      <c r="T1068" s="302"/>
      <c r="U1068" s="303"/>
    </row>
    <row r="1069" spans="1:25" ht="25.5" x14ac:dyDescent="0.2">
      <c r="A1069" s="212" t="str">
        <f>HYPERLINK(V1069,B1069)</f>
        <v>WtaCode</v>
      </c>
      <c r="B1069" s="283" t="s">
        <v>11168</v>
      </c>
      <c r="C1069" s="284" t="s">
        <v>15676</v>
      </c>
      <c r="D1069" s="285"/>
      <c r="E1069" s="286"/>
      <c r="F1069" s="287" t="s">
        <v>15677</v>
      </c>
      <c r="G1069" s="286"/>
      <c r="H1069" s="286"/>
      <c r="I1069" s="288"/>
      <c r="J1069" s="289"/>
      <c r="K1069" s="290"/>
      <c r="L1069" s="371" t="str">
        <f>HYPERLINK("[#]DatatypeListedValues!B6523:H6523","«enumeration»")</f>
        <v>«enumeration»</v>
      </c>
      <c r="M1069" s="287" t="s">
        <v>6582</v>
      </c>
      <c r="N1069" s="291" t="b">
        <v>0</v>
      </c>
      <c r="O1069" s="286"/>
      <c r="P1069" s="292"/>
      <c r="Q1069" s="286"/>
      <c r="R1069" s="286"/>
      <c r="S1069" s="293"/>
      <c r="T1069" s="294"/>
      <c r="U1069" s="37">
        <v>3885</v>
      </c>
      <c r="V1069" s="36" t="str">
        <f>CONCATENATE(Cover!$D$6,"fdd/view?i=",U1069)</f>
        <v>https://www.dgiwg.org/FAD/fdd/view?i=3885</v>
      </c>
      <c r="W1069" s="172"/>
      <c r="X1069" s="172"/>
      <c r="Y1069" s="172"/>
    </row>
    <row r="1070" spans="1:25" ht="2.1" customHeight="1" x14ac:dyDescent="0.2">
      <c r="A1070" s="295"/>
      <c r="B1070" s="283"/>
      <c r="C1070" s="296"/>
      <c r="D1070" s="283"/>
      <c r="E1070" s="296"/>
      <c r="F1070" s="297"/>
      <c r="G1070" s="297"/>
      <c r="H1070" s="297"/>
      <c r="I1070" s="298"/>
      <c r="J1070" s="304"/>
      <c r="K1070" s="300"/>
      <c r="L1070" s="301"/>
      <c r="M1070" s="297" t="s">
        <v>6582</v>
      </c>
      <c r="N1070" s="297"/>
      <c r="O1070" s="297"/>
      <c r="P1070" s="297"/>
      <c r="Q1070" s="297"/>
      <c r="R1070" s="297"/>
      <c r="S1070" s="302"/>
      <c r="T1070" s="302"/>
      <c r="U1070" s="303"/>
    </row>
    <row r="1071" spans="1:25" ht="25.5" x14ac:dyDescent="0.2">
      <c r="A1071" s="212" t="str">
        <f>HYPERLINK(V1071,B1071)</f>
        <v>SotCode</v>
      </c>
      <c r="B1071" s="283" t="s">
        <v>11173</v>
      </c>
      <c r="C1071" s="284" t="s">
        <v>15678</v>
      </c>
      <c r="D1071" s="285"/>
      <c r="E1071" s="286"/>
      <c r="F1071" s="287" t="s">
        <v>15679</v>
      </c>
      <c r="G1071" s="286"/>
      <c r="H1071" s="286"/>
      <c r="I1071" s="288"/>
      <c r="J1071" s="289"/>
      <c r="K1071" s="290"/>
      <c r="L1071" s="371" t="str">
        <f>HYPERLINK("[#]DatatypeListedValues!B6525:H6525","«enumeration»")</f>
        <v>«enumeration»</v>
      </c>
      <c r="M1071" s="287" t="s">
        <v>6582</v>
      </c>
      <c r="N1071" s="291" t="b">
        <v>0</v>
      </c>
      <c r="O1071" s="286"/>
      <c r="P1071" s="292"/>
      <c r="Q1071" s="286"/>
      <c r="R1071" s="286"/>
      <c r="S1071" s="293"/>
      <c r="T1071" s="294"/>
      <c r="U1071" s="37">
        <v>1917</v>
      </c>
      <c r="V1071" s="36" t="str">
        <f>CONCATENATE(Cover!$D$6,"fdd/view?i=",U1071)</f>
        <v>https://www.dgiwg.org/FAD/fdd/view?i=1917</v>
      </c>
      <c r="W1071" s="172"/>
      <c r="X1071" s="172"/>
      <c r="Y1071" s="172"/>
    </row>
    <row r="1072" spans="1:25" ht="2.1" customHeight="1" x14ac:dyDescent="0.2">
      <c r="A1072" s="295"/>
      <c r="B1072" s="283"/>
      <c r="C1072" s="296"/>
      <c r="D1072" s="283"/>
      <c r="E1072" s="296"/>
      <c r="F1072" s="297"/>
      <c r="G1072" s="297"/>
      <c r="H1072" s="297"/>
      <c r="I1072" s="298"/>
      <c r="J1072" s="304"/>
      <c r="K1072" s="300"/>
      <c r="L1072" s="301"/>
      <c r="M1072" s="297" t="s">
        <v>6582</v>
      </c>
      <c r="N1072" s="297"/>
      <c r="O1072" s="297"/>
      <c r="P1072" s="297"/>
      <c r="Q1072" s="297"/>
      <c r="R1072" s="297"/>
      <c r="S1072" s="302"/>
      <c r="T1072" s="302"/>
      <c r="U1072" s="303"/>
    </row>
    <row r="1073" spans="1:25" ht="25.5" x14ac:dyDescent="0.2">
      <c r="A1073" s="212" t="str">
        <f>HYPERLINK(V1073,B1073)</f>
        <v>OfiCode</v>
      </c>
      <c r="B1073" s="283" t="s">
        <v>11178</v>
      </c>
      <c r="C1073" s="284" t="s">
        <v>15680</v>
      </c>
      <c r="D1073" s="285"/>
      <c r="E1073" s="286"/>
      <c r="F1073" s="287" t="s">
        <v>15681</v>
      </c>
      <c r="G1073" s="286"/>
      <c r="H1073" s="286"/>
      <c r="I1073" s="288"/>
      <c r="J1073" s="289"/>
      <c r="K1073" s="290"/>
      <c r="L1073" s="371" t="str">
        <f>HYPERLINK("[#]DatatypeListedValues!B6528:H6528","«enumeration»")</f>
        <v>«enumeration»</v>
      </c>
      <c r="M1073" s="287" t="s">
        <v>6582</v>
      </c>
      <c r="N1073" s="291" t="b">
        <v>0</v>
      </c>
      <c r="O1073" s="286"/>
      <c r="P1073" s="292"/>
      <c r="Q1073" s="286"/>
      <c r="R1073" s="286"/>
      <c r="S1073" s="293"/>
      <c r="T1073" s="294"/>
      <c r="U1073" s="37">
        <v>119231</v>
      </c>
      <c r="V1073" s="36" t="str">
        <f>CONCATENATE(Cover!$D$6,"fdd/view?i=",U1073)</f>
        <v>https://www.dgiwg.org/FAD/fdd/view?i=119231</v>
      </c>
      <c r="W1073" s="172"/>
      <c r="X1073" s="172"/>
      <c r="Y1073" s="172"/>
    </row>
    <row r="1074" spans="1:25" ht="2.1" customHeight="1" x14ac:dyDescent="0.2">
      <c r="A1074" s="295"/>
      <c r="B1074" s="283"/>
      <c r="C1074" s="296"/>
      <c r="D1074" s="283"/>
      <c r="E1074" s="296"/>
      <c r="F1074" s="297"/>
      <c r="G1074" s="297"/>
      <c r="H1074" s="297"/>
      <c r="I1074" s="298"/>
      <c r="J1074" s="304"/>
      <c r="K1074" s="300"/>
      <c r="L1074" s="301"/>
      <c r="M1074" s="297" t="s">
        <v>6582</v>
      </c>
      <c r="N1074" s="297"/>
      <c r="O1074" s="297"/>
      <c r="P1074" s="297"/>
      <c r="Q1074" s="297"/>
      <c r="R1074" s="297"/>
      <c r="S1074" s="302"/>
      <c r="T1074" s="302"/>
      <c r="U1074" s="303"/>
    </row>
    <row r="1075" spans="1:25" ht="25.5" x14ac:dyDescent="0.2">
      <c r="A1075" s="212" t="str">
        <f>HYPERLINK(V1075,B1075)</f>
        <v>OcfCode</v>
      </c>
      <c r="B1075" s="283" t="s">
        <v>11183</v>
      </c>
      <c r="C1075" s="284" t="s">
        <v>15682</v>
      </c>
      <c r="D1075" s="285"/>
      <c r="E1075" s="286"/>
      <c r="F1075" s="287" t="s">
        <v>15683</v>
      </c>
      <c r="G1075" s="286"/>
      <c r="H1075" s="286"/>
      <c r="I1075" s="288"/>
      <c r="J1075" s="289"/>
      <c r="K1075" s="290"/>
      <c r="L1075" s="371" t="str">
        <f>HYPERLINK("[#]DatatypeListedValues!B6533:H6533","«enumeration»")</f>
        <v>«enumeration»</v>
      </c>
      <c r="M1075" s="287" t="s">
        <v>6582</v>
      </c>
      <c r="N1075" s="291" t="b">
        <v>0</v>
      </c>
      <c r="O1075" s="286"/>
      <c r="P1075" s="292"/>
      <c r="Q1075" s="286"/>
      <c r="R1075" s="286"/>
      <c r="S1075" s="293"/>
      <c r="T1075" s="294"/>
      <c r="U1075" s="37">
        <v>119230</v>
      </c>
      <c r="V1075" s="36" t="str">
        <f>CONCATENATE(Cover!$D$6,"fdd/view?i=",U1075)</f>
        <v>https://www.dgiwg.org/FAD/fdd/view?i=119230</v>
      </c>
      <c r="W1075" s="172"/>
      <c r="X1075" s="172"/>
      <c r="Y1075" s="172"/>
    </row>
    <row r="1076" spans="1:25" ht="2.1" customHeight="1" x14ac:dyDescent="0.2">
      <c r="A1076" s="295"/>
      <c r="B1076" s="283"/>
      <c r="C1076" s="296"/>
      <c r="D1076" s="283"/>
      <c r="E1076" s="296"/>
      <c r="F1076" s="297"/>
      <c r="G1076" s="297"/>
      <c r="H1076" s="297"/>
      <c r="I1076" s="298"/>
      <c r="J1076" s="304"/>
      <c r="K1076" s="300"/>
      <c r="L1076" s="301"/>
      <c r="M1076" s="297" t="s">
        <v>6582</v>
      </c>
      <c r="N1076" s="297"/>
      <c r="O1076" s="297"/>
      <c r="P1076" s="297"/>
      <c r="Q1076" s="297"/>
      <c r="R1076" s="297"/>
      <c r="S1076" s="302"/>
      <c r="T1076" s="302"/>
      <c r="U1076" s="303"/>
    </row>
    <row r="1077" spans="1:25" ht="89.25" x14ac:dyDescent="0.2">
      <c r="A1077" s="212" t="str">
        <f>HYPERLINK(V1077,B1077)</f>
        <v>CucStrucText</v>
      </c>
      <c r="B1077" s="283" t="s">
        <v>11192</v>
      </c>
      <c r="C1077" s="284" t="s">
        <v>15684</v>
      </c>
      <c r="D1077" s="285"/>
      <c r="E1077" s="286"/>
      <c r="F1077" s="287" t="s">
        <v>15685</v>
      </c>
      <c r="G1077" s="286"/>
      <c r="H1077" s="287" t="s">
        <v>14552</v>
      </c>
      <c r="I1077" s="288"/>
      <c r="J1077" s="289"/>
      <c r="K1077" s="290"/>
      <c r="L1077" s="287" t="s">
        <v>14551</v>
      </c>
      <c r="M1077" s="287" t="s">
        <v>6582</v>
      </c>
      <c r="N1077" s="286"/>
      <c r="O1077" s="287">
        <v>3</v>
      </c>
      <c r="P1077" s="305" t="b">
        <v>0</v>
      </c>
      <c r="Q1077" s="287" t="s">
        <v>15686</v>
      </c>
      <c r="R1077" s="286"/>
      <c r="S1077" s="293"/>
      <c r="T1077" s="294"/>
      <c r="U1077" s="37">
        <v>1804</v>
      </c>
      <c r="V1077" s="36" t="str">
        <f>CONCATENATE(Cover!$D$6,"fdd/view?i=",U1077)</f>
        <v>https://www.dgiwg.org/FAD/fdd/view?i=1804</v>
      </c>
      <c r="W1077" s="172"/>
      <c r="X1077" s="172"/>
      <c r="Y1077" s="172"/>
    </row>
    <row r="1078" spans="1:25" ht="2.1" customHeight="1" x14ac:dyDescent="0.2">
      <c r="A1078" s="295"/>
      <c r="B1078" s="283"/>
      <c r="C1078" s="296"/>
      <c r="D1078" s="283"/>
      <c r="E1078" s="296"/>
      <c r="F1078" s="297"/>
      <c r="G1078" s="297"/>
      <c r="H1078" s="297"/>
      <c r="I1078" s="298"/>
      <c r="J1078" s="304"/>
      <c r="K1078" s="300"/>
      <c r="L1078" s="301"/>
      <c r="M1078" s="297" t="s">
        <v>6582</v>
      </c>
      <c r="N1078" s="297"/>
      <c r="O1078" s="297"/>
      <c r="P1078" s="297"/>
      <c r="Q1078" s="297"/>
      <c r="R1078" s="297"/>
      <c r="S1078" s="302"/>
      <c r="T1078" s="302"/>
      <c r="U1078" s="303"/>
    </row>
    <row r="1079" spans="1:25" ht="38.25" x14ac:dyDescent="0.2">
      <c r="A1079" s="212" t="str">
        <f>HYPERLINK(V1079,B1079)</f>
        <v>OcsCode</v>
      </c>
      <c r="B1079" s="283" t="s">
        <v>11247</v>
      </c>
      <c r="C1079" s="284" t="s">
        <v>15687</v>
      </c>
      <c r="D1079" s="285"/>
      <c r="E1079" s="286"/>
      <c r="F1079" s="287" t="s">
        <v>15688</v>
      </c>
      <c r="G1079" s="286"/>
      <c r="H1079" s="286"/>
      <c r="I1079" s="288"/>
      <c r="J1079" s="289"/>
      <c r="K1079" s="290"/>
      <c r="L1079" s="371" t="str">
        <f>HYPERLINK("[#]DatatypeListedValues!B6536:H6536","«enumeration»")</f>
        <v>«enumeration»</v>
      </c>
      <c r="M1079" s="287" t="s">
        <v>6582</v>
      </c>
      <c r="N1079" s="291" t="b">
        <v>0</v>
      </c>
      <c r="O1079" s="286"/>
      <c r="P1079" s="292"/>
      <c r="Q1079" s="286"/>
      <c r="R1079" s="286"/>
      <c r="S1079" s="293"/>
      <c r="T1079" s="294"/>
      <c r="U1079" s="37">
        <v>1882</v>
      </c>
      <c r="V1079" s="36" t="str">
        <f>CONCATENATE(Cover!$D$6,"fdd/view?i=",U1079)</f>
        <v>https://www.dgiwg.org/FAD/fdd/view?i=1882</v>
      </c>
      <c r="W1079" s="172"/>
      <c r="X1079" s="172"/>
      <c r="Y1079" s="172"/>
    </row>
    <row r="1080" spans="1:25" ht="2.1" customHeight="1" x14ac:dyDescent="0.2">
      <c r="A1080" s="295"/>
      <c r="B1080" s="283"/>
      <c r="C1080" s="296"/>
      <c r="D1080" s="283"/>
      <c r="E1080" s="296"/>
      <c r="F1080" s="297"/>
      <c r="G1080" s="297"/>
      <c r="H1080" s="297"/>
      <c r="I1080" s="298"/>
      <c r="J1080" s="304"/>
      <c r="K1080" s="300"/>
      <c r="L1080" s="301"/>
      <c r="M1080" s="297" t="s">
        <v>6582</v>
      </c>
      <c r="N1080" s="297"/>
      <c r="O1080" s="297"/>
      <c r="P1080" s="297"/>
      <c r="Q1080" s="297"/>
      <c r="R1080" s="297"/>
      <c r="S1080" s="302"/>
      <c r="T1080" s="302"/>
      <c r="U1080" s="303"/>
    </row>
    <row r="1081" spans="1:25" ht="38.25" x14ac:dyDescent="0.2">
      <c r="A1081" s="212" t="str">
        <f>HYPERLINK(V1081,B1081)</f>
        <v>OssCode</v>
      </c>
      <c r="B1081" s="283" t="s">
        <v>11252</v>
      </c>
      <c r="C1081" s="284" t="s">
        <v>15689</v>
      </c>
      <c r="D1081" s="285"/>
      <c r="E1081" s="286"/>
      <c r="F1081" s="287" t="s">
        <v>15690</v>
      </c>
      <c r="G1081" s="286"/>
      <c r="H1081" s="286"/>
      <c r="I1081" s="288"/>
      <c r="J1081" s="289"/>
      <c r="K1081" s="290"/>
      <c r="L1081" s="371" t="str">
        <f>HYPERLINK("[#]DatatypeListedValues!B6542:H6542","«enumeration»")</f>
        <v>«enumeration»</v>
      </c>
      <c r="M1081" s="287" t="s">
        <v>6582</v>
      </c>
      <c r="N1081" s="291" t="b">
        <v>0</v>
      </c>
      <c r="O1081" s="286"/>
      <c r="P1081" s="292"/>
      <c r="Q1081" s="286"/>
      <c r="R1081" s="286"/>
      <c r="S1081" s="293"/>
      <c r="T1081" s="294"/>
      <c r="U1081" s="37">
        <v>1884</v>
      </c>
      <c r="V1081" s="36" t="str">
        <f>CONCATENATE(Cover!$D$6,"fdd/view?i=",U1081)</f>
        <v>https://www.dgiwg.org/FAD/fdd/view?i=1884</v>
      </c>
      <c r="W1081" s="172"/>
      <c r="X1081" s="172"/>
      <c r="Y1081" s="172"/>
    </row>
    <row r="1082" spans="1:25" ht="2.1" customHeight="1" x14ac:dyDescent="0.2">
      <c r="A1082" s="295"/>
      <c r="B1082" s="283"/>
      <c r="C1082" s="296"/>
      <c r="D1082" s="283"/>
      <c r="E1082" s="296"/>
      <c r="F1082" s="297"/>
      <c r="G1082" s="297"/>
      <c r="H1082" s="297"/>
      <c r="I1082" s="298"/>
      <c r="J1082" s="304"/>
      <c r="K1082" s="300"/>
      <c r="L1082" s="301"/>
      <c r="M1082" s="297" t="s">
        <v>6582</v>
      </c>
      <c r="N1082" s="297"/>
      <c r="O1082" s="297"/>
      <c r="P1082" s="297"/>
      <c r="Q1082" s="297"/>
      <c r="R1082" s="297"/>
      <c r="S1082" s="302"/>
      <c r="T1082" s="302"/>
      <c r="U1082" s="303"/>
    </row>
    <row r="1083" spans="1:25" ht="25.5" x14ac:dyDescent="0.2">
      <c r="A1083" s="212" t="str">
        <f>HYPERLINK(V1083,B1083)</f>
        <v>OpcCode</v>
      </c>
      <c r="B1083" s="283" t="s">
        <v>11257</v>
      </c>
      <c r="C1083" s="284" t="s">
        <v>15691</v>
      </c>
      <c r="D1083" s="285"/>
      <c r="E1083" s="286"/>
      <c r="F1083" s="287" t="s">
        <v>15692</v>
      </c>
      <c r="G1083" s="286"/>
      <c r="H1083" s="286"/>
      <c r="I1083" s="288"/>
      <c r="J1083" s="289"/>
      <c r="K1083" s="290"/>
      <c r="L1083" s="371" t="str">
        <f>HYPERLINK("[#]DatatypeListedValues!B6546:H6546","«enumeration»")</f>
        <v>«enumeration»</v>
      </c>
      <c r="M1083" s="287" t="s">
        <v>6582</v>
      </c>
      <c r="N1083" s="291" t="b">
        <v>0</v>
      </c>
      <c r="O1083" s="286"/>
      <c r="P1083" s="292"/>
      <c r="Q1083" s="286"/>
      <c r="R1083" s="286"/>
      <c r="S1083" s="293"/>
      <c r="T1083" s="294"/>
      <c r="U1083" s="37">
        <v>1350</v>
      </c>
      <c r="V1083" s="36" t="str">
        <f>CONCATENATE(Cover!$D$6,"fdd/view?i=",U1083)</f>
        <v>https://www.dgiwg.org/FAD/fdd/view?i=1350</v>
      </c>
      <c r="W1083" s="172"/>
      <c r="X1083" s="172"/>
      <c r="Y1083" s="172"/>
    </row>
    <row r="1084" spans="1:25" ht="2.1" customHeight="1" x14ac:dyDescent="0.2">
      <c r="A1084" s="295"/>
      <c r="B1084" s="283"/>
      <c r="C1084" s="296"/>
      <c r="D1084" s="283"/>
      <c r="E1084" s="296"/>
      <c r="F1084" s="297"/>
      <c r="G1084" s="297"/>
      <c r="H1084" s="297"/>
      <c r="I1084" s="298"/>
      <c r="J1084" s="304"/>
      <c r="K1084" s="300"/>
      <c r="L1084" s="301"/>
      <c r="M1084" s="297" t="s">
        <v>6582</v>
      </c>
      <c r="N1084" s="297"/>
      <c r="O1084" s="297"/>
      <c r="P1084" s="297"/>
      <c r="Q1084" s="297"/>
      <c r="R1084" s="297"/>
      <c r="S1084" s="302"/>
      <c r="T1084" s="302"/>
      <c r="U1084" s="303"/>
    </row>
    <row r="1085" spans="1:25" ht="25.5" x14ac:dyDescent="0.2">
      <c r="A1085" s="212" t="str">
        <f>HYPERLINK(V1085,B1085)</f>
        <v>OpmCode</v>
      </c>
      <c r="B1085" s="283" t="s">
        <v>11262</v>
      </c>
      <c r="C1085" s="284" t="s">
        <v>15693</v>
      </c>
      <c r="D1085" s="285"/>
      <c r="E1085" s="286"/>
      <c r="F1085" s="287" t="s">
        <v>15694</v>
      </c>
      <c r="G1085" s="286"/>
      <c r="H1085" s="286"/>
      <c r="I1085" s="288"/>
      <c r="J1085" s="289"/>
      <c r="K1085" s="290"/>
      <c r="L1085" s="371" t="str">
        <f>HYPERLINK("[#]DatatypeListedValues!B6559:H6559","«enumeration»")</f>
        <v>«enumeration»</v>
      </c>
      <c r="M1085" s="287" t="s">
        <v>6582</v>
      </c>
      <c r="N1085" s="291" t="b">
        <v>0</v>
      </c>
      <c r="O1085" s="286"/>
      <c r="P1085" s="292"/>
      <c r="Q1085" s="286"/>
      <c r="R1085" s="286"/>
      <c r="S1085" s="293"/>
      <c r="T1085" s="294"/>
      <c r="U1085" s="37">
        <v>1883</v>
      </c>
      <c r="V1085" s="36" t="str">
        <f>CONCATENATE(Cover!$D$6,"fdd/view?i=",U1085)</f>
        <v>https://www.dgiwg.org/FAD/fdd/view?i=1883</v>
      </c>
      <c r="W1085" s="172"/>
      <c r="X1085" s="172"/>
      <c r="Y1085" s="172"/>
    </row>
    <row r="1086" spans="1:25" ht="2.1" customHeight="1" x14ac:dyDescent="0.2">
      <c r="A1086" s="295"/>
      <c r="B1086" s="283"/>
      <c r="C1086" s="296"/>
      <c r="D1086" s="283"/>
      <c r="E1086" s="296"/>
      <c r="F1086" s="297"/>
      <c r="G1086" s="297"/>
      <c r="H1086" s="297"/>
      <c r="I1086" s="298"/>
      <c r="J1086" s="304"/>
      <c r="K1086" s="300"/>
      <c r="L1086" s="301"/>
      <c r="M1086" s="297" t="s">
        <v>6582</v>
      </c>
      <c r="N1086" s="297"/>
      <c r="O1086" s="297"/>
      <c r="P1086" s="297"/>
      <c r="Q1086" s="297"/>
      <c r="R1086" s="297"/>
      <c r="S1086" s="302"/>
      <c r="T1086" s="302"/>
      <c r="U1086" s="303"/>
    </row>
    <row r="1087" spans="1:25" ht="25.5" x14ac:dyDescent="0.2">
      <c r="A1087" s="212" t="str">
        <f>HYPERLINK(V1087,B1087)</f>
        <v>ObcCode</v>
      </c>
      <c r="B1087" s="283" t="s">
        <v>11267</v>
      </c>
      <c r="C1087" s="284" t="s">
        <v>15695</v>
      </c>
      <c r="D1087" s="285"/>
      <c r="E1087" s="286"/>
      <c r="F1087" s="287" t="s">
        <v>15696</v>
      </c>
      <c r="G1087" s="286"/>
      <c r="H1087" s="286"/>
      <c r="I1087" s="288"/>
      <c r="J1087" s="289"/>
      <c r="K1087" s="290"/>
      <c r="L1087" s="371" t="str">
        <f>HYPERLINK("[#]DatatypeListedValues!B6563:H6563","«enumeration»")</f>
        <v>«enumeration»</v>
      </c>
      <c r="M1087" s="287" t="s">
        <v>6582</v>
      </c>
      <c r="N1087" s="291" t="b">
        <v>0</v>
      </c>
      <c r="O1087" s="286"/>
      <c r="P1087" s="292"/>
      <c r="Q1087" s="286"/>
      <c r="R1087" s="286"/>
      <c r="S1087" s="293"/>
      <c r="T1087" s="294"/>
      <c r="U1087" s="37">
        <v>1343</v>
      </c>
      <c r="V1087" s="36" t="str">
        <f>CONCATENATE(Cover!$D$6,"fdd/view?i=",U1087)</f>
        <v>https://www.dgiwg.org/FAD/fdd/view?i=1343</v>
      </c>
      <c r="W1087" s="172"/>
      <c r="X1087" s="172"/>
      <c r="Y1087" s="172"/>
    </row>
    <row r="1088" spans="1:25" ht="2.1" customHeight="1" x14ac:dyDescent="0.2">
      <c r="A1088" s="295"/>
      <c r="B1088" s="283"/>
      <c r="C1088" s="296"/>
      <c r="D1088" s="283"/>
      <c r="E1088" s="296"/>
      <c r="F1088" s="297"/>
      <c r="G1088" s="297"/>
      <c r="H1088" s="297"/>
      <c r="I1088" s="298"/>
      <c r="J1088" s="304"/>
      <c r="K1088" s="300"/>
      <c r="L1088" s="301"/>
      <c r="M1088" s="297" t="s">
        <v>6582</v>
      </c>
      <c r="N1088" s="297"/>
      <c r="O1088" s="297"/>
      <c r="P1088" s="297"/>
      <c r="Q1088" s="297"/>
      <c r="R1088" s="297"/>
      <c r="S1088" s="302"/>
      <c r="T1088" s="302"/>
      <c r="U1088" s="303"/>
    </row>
    <row r="1089" spans="1:25" ht="25.5" x14ac:dyDescent="0.2">
      <c r="A1089" s="212" t="str">
        <f>HYPERLINK(V1089,B1089)</f>
        <v>OptCode</v>
      </c>
      <c r="B1089" s="283" t="s">
        <v>11287</v>
      </c>
      <c r="C1089" s="284" t="s">
        <v>15697</v>
      </c>
      <c r="D1089" s="285"/>
      <c r="E1089" s="286"/>
      <c r="F1089" s="287" t="s">
        <v>15698</v>
      </c>
      <c r="G1089" s="286"/>
      <c r="H1089" s="286"/>
      <c r="I1089" s="288"/>
      <c r="J1089" s="289"/>
      <c r="K1089" s="290"/>
      <c r="L1089" s="371" t="str">
        <f>HYPERLINK("[#]DatatypeListedValues!B6565:H6565","«enumeration»")</f>
        <v>«enumeration»</v>
      </c>
      <c r="M1089" s="287" t="s">
        <v>6582</v>
      </c>
      <c r="N1089" s="291" t="b">
        <v>0</v>
      </c>
      <c r="O1089" s="286"/>
      <c r="P1089" s="292"/>
      <c r="Q1089" s="286"/>
      <c r="R1089" s="286"/>
      <c r="S1089" s="293"/>
      <c r="T1089" s="294"/>
      <c r="U1089" s="37">
        <v>1352</v>
      </c>
      <c r="V1089" s="36" t="str">
        <f>CONCATENATE(Cover!$D$6,"fdd/view?i=",U1089)</f>
        <v>https://www.dgiwg.org/FAD/fdd/view?i=1352</v>
      </c>
      <c r="W1089" s="172"/>
      <c r="X1089" s="172"/>
      <c r="Y1089" s="172"/>
    </row>
    <row r="1090" spans="1:25" ht="2.1" customHeight="1" x14ac:dyDescent="0.2">
      <c r="A1090" s="295"/>
      <c r="B1090" s="283"/>
      <c r="C1090" s="296"/>
      <c r="D1090" s="283"/>
      <c r="E1090" s="296"/>
      <c r="F1090" s="297"/>
      <c r="G1090" s="297"/>
      <c r="H1090" s="297"/>
      <c r="I1090" s="298"/>
      <c r="J1090" s="304"/>
      <c r="K1090" s="300"/>
      <c r="L1090" s="301"/>
      <c r="M1090" s="297" t="s">
        <v>6582</v>
      </c>
      <c r="N1090" s="297"/>
      <c r="O1090" s="297"/>
      <c r="P1090" s="297"/>
      <c r="Q1090" s="297"/>
      <c r="R1090" s="297"/>
      <c r="S1090" s="302"/>
      <c r="T1090" s="302"/>
      <c r="U1090" s="303"/>
    </row>
    <row r="1091" spans="1:25" ht="25.5" x14ac:dyDescent="0.2">
      <c r="A1091" s="212" t="str">
        <f>HYPERLINK(V1091,B1091)</f>
        <v>OrsCode</v>
      </c>
      <c r="B1091" s="283" t="s">
        <v>11292</v>
      </c>
      <c r="C1091" s="284" t="s">
        <v>15699</v>
      </c>
      <c r="D1091" s="285"/>
      <c r="E1091" s="286"/>
      <c r="F1091" s="287" t="s">
        <v>15700</v>
      </c>
      <c r="G1091" s="286"/>
      <c r="H1091" s="286"/>
      <c r="I1091" s="288"/>
      <c r="J1091" s="289"/>
      <c r="K1091" s="290"/>
      <c r="L1091" s="371" t="str">
        <f>HYPERLINK("[#]DatatypeListedValues!B6574:H6574","«enumeration»")</f>
        <v>«enumeration»</v>
      </c>
      <c r="M1091" s="287" t="s">
        <v>6582</v>
      </c>
      <c r="N1091" s="291" t="b">
        <v>0</v>
      </c>
      <c r="O1091" s="286"/>
      <c r="P1091" s="292"/>
      <c r="Q1091" s="286"/>
      <c r="R1091" s="286"/>
      <c r="S1091" s="293"/>
      <c r="T1091" s="294"/>
      <c r="U1091" s="37">
        <v>1354</v>
      </c>
      <c r="V1091" s="36" t="str">
        <f>CONCATENATE(Cover!$D$6,"fdd/view?i=",U1091)</f>
        <v>https://www.dgiwg.org/FAD/fdd/view?i=1354</v>
      </c>
      <c r="W1091" s="172"/>
      <c r="X1091" s="172"/>
      <c r="Y1091" s="172"/>
    </row>
    <row r="1092" spans="1:25" ht="2.1" customHeight="1" x14ac:dyDescent="0.2">
      <c r="A1092" s="295"/>
      <c r="B1092" s="283"/>
      <c r="C1092" s="296"/>
      <c r="D1092" s="283"/>
      <c r="E1092" s="296"/>
      <c r="F1092" s="297"/>
      <c r="G1092" s="297"/>
      <c r="H1092" s="297"/>
      <c r="I1092" s="298"/>
      <c r="J1092" s="304"/>
      <c r="K1092" s="300"/>
      <c r="L1092" s="301"/>
      <c r="M1092" s="297" t="s">
        <v>6582</v>
      </c>
      <c r="N1092" s="297"/>
      <c r="O1092" s="297"/>
      <c r="P1092" s="297"/>
      <c r="Q1092" s="297"/>
      <c r="R1092" s="297"/>
      <c r="S1092" s="302"/>
      <c r="T1092" s="302"/>
      <c r="U1092" s="303"/>
    </row>
    <row r="1093" spans="1:25" ht="178.5" x14ac:dyDescent="0.2">
      <c r="A1093" s="212" t="str">
        <f>HYPERLINK(V1093,B1093)</f>
        <v>OevStrucText</v>
      </c>
      <c r="B1093" s="283" t="s">
        <v>11301</v>
      </c>
      <c r="C1093" s="284" t="s">
        <v>15701</v>
      </c>
      <c r="D1093" s="285"/>
      <c r="E1093" s="286"/>
      <c r="F1093" s="287" t="s">
        <v>15702</v>
      </c>
      <c r="G1093" s="286"/>
      <c r="H1093" s="287" t="s">
        <v>14552</v>
      </c>
      <c r="I1093" s="288"/>
      <c r="J1093" s="289"/>
      <c r="K1093" s="290"/>
      <c r="L1093" s="287" t="s">
        <v>14551</v>
      </c>
      <c r="M1093" s="287" t="s">
        <v>6582</v>
      </c>
      <c r="N1093" s="286"/>
      <c r="O1093" s="287">
        <v>20</v>
      </c>
      <c r="P1093" s="305" t="b">
        <v>0</v>
      </c>
      <c r="Q1093" s="287" t="s">
        <v>14553</v>
      </c>
      <c r="R1093" s="286"/>
      <c r="S1093" s="293"/>
      <c r="T1093" s="294"/>
      <c r="U1093" s="37">
        <v>3774</v>
      </c>
      <c r="V1093" s="36" t="str">
        <f>CONCATENATE(Cover!$D$6,"fdd/view?i=",U1093)</f>
        <v>https://www.dgiwg.org/FAD/fdd/view?i=3774</v>
      </c>
      <c r="W1093" s="172"/>
      <c r="X1093" s="172"/>
      <c r="Y1093" s="172"/>
    </row>
    <row r="1094" spans="1:25" ht="2.1" customHeight="1" x14ac:dyDescent="0.2">
      <c r="A1094" s="295"/>
      <c r="B1094" s="283"/>
      <c r="C1094" s="296"/>
      <c r="D1094" s="283"/>
      <c r="E1094" s="296"/>
      <c r="F1094" s="297"/>
      <c r="G1094" s="297"/>
      <c r="H1094" s="297"/>
      <c r="I1094" s="298"/>
      <c r="J1094" s="304"/>
      <c r="K1094" s="300"/>
      <c r="L1094" s="301"/>
      <c r="M1094" s="297" t="s">
        <v>6582</v>
      </c>
      <c r="N1094" s="297"/>
      <c r="O1094" s="297"/>
      <c r="P1094" s="297"/>
      <c r="Q1094" s="297"/>
      <c r="R1094" s="297"/>
      <c r="S1094" s="302"/>
      <c r="T1094" s="302"/>
      <c r="U1094" s="303"/>
    </row>
    <row r="1095" spans="1:25" ht="165.75" x14ac:dyDescent="0.2">
      <c r="A1095" s="212" t="str">
        <f>HYPERLINK(V1095,B1095)</f>
        <v>OezStrucText</v>
      </c>
      <c r="B1095" s="283" t="s">
        <v>11306</v>
      </c>
      <c r="C1095" s="284" t="s">
        <v>15703</v>
      </c>
      <c r="D1095" s="285"/>
      <c r="E1095" s="286"/>
      <c r="F1095" s="287" t="s">
        <v>15704</v>
      </c>
      <c r="G1095" s="286"/>
      <c r="H1095" s="287" t="s">
        <v>14552</v>
      </c>
      <c r="I1095" s="288"/>
      <c r="J1095" s="289"/>
      <c r="K1095" s="290"/>
      <c r="L1095" s="287" t="s">
        <v>14551</v>
      </c>
      <c r="M1095" s="287" t="s">
        <v>6582</v>
      </c>
      <c r="N1095" s="286"/>
      <c r="O1095" s="287">
        <v>41</v>
      </c>
      <c r="P1095" s="305" t="b">
        <v>0</v>
      </c>
      <c r="Q1095" s="287" t="s">
        <v>14556</v>
      </c>
      <c r="R1095" s="286"/>
      <c r="S1095" s="293"/>
      <c r="T1095" s="294"/>
      <c r="U1095" s="37">
        <v>3775</v>
      </c>
      <c r="V1095" s="36" t="str">
        <f>CONCATENATE(Cover!$D$6,"fdd/view?i=",U1095)</f>
        <v>https://www.dgiwg.org/FAD/fdd/view?i=3775</v>
      </c>
      <c r="W1095" s="172"/>
      <c r="X1095" s="172"/>
      <c r="Y1095" s="172"/>
    </row>
    <row r="1096" spans="1:25" ht="2.1" customHeight="1" x14ac:dyDescent="0.2">
      <c r="A1096" s="295"/>
      <c r="B1096" s="283"/>
      <c r="C1096" s="296"/>
      <c r="D1096" s="283"/>
      <c r="E1096" s="296"/>
      <c r="F1096" s="297"/>
      <c r="G1096" s="297"/>
      <c r="H1096" s="297"/>
      <c r="I1096" s="298"/>
      <c r="J1096" s="304"/>
      <c r="K1096" s="300"/>
      <c r="L1096" s="301"/>
      <c r="M1096" s="297" t="s">
        <v>6582</v>
      </c>
      <c r="N1096" s="297"/>
      <c r="O1096" s="297"/>
      <c r="P1096" s="297"/>
      <c r="Q1096" s="297"/>
      <c r="R1096" s="297"/>
      <c r="S1096" s="302"/>
      <c r="T1096" s="302"/>
      <c r="U1096" s="303"/>
    </row>
    <row r="1097" spans="1:25" ht="178.5" x14ac:dyDescent="0.2">
      <c r="A1097" s="212" t="str">
        <f>HYPERLINK(V1097,B1097)</f>
        <v>OsvStrucText</v>
      </c>
      <c r="B1097" s="283" t="s">
        <v>11311</v>
      </c>
      <c r="C1097" s="284" t="s">
        <v>15705</v>
      </c>
      <c r="D1097" s="285"/>
      <c r="E1097" s="286"/>
      <c r="F1097" s="287" t="s">
        <v>15706</v>
      </c>
      <c r="G1097" s="286"/>
      <c r="H1097" s="287" t="s">
        <v>14552</v>
      </c>
      <c r="I1097" s="288"/>
      <c r="J1097" s="289"/>
      <c r="K1097" s="290"/>
      <c r="L1097" s="287" t="s">
        <v>14551</v>
      </c>
      <c r="M1097" s="287" t="s">
        <v>6582</v>
      </c>
      <c r="N1097" s="286"/>
      <c r="O1097" s="287">
        <v>20</v>
      </c>
      <c r="P1097" s="305" t="b">
        <v>0</v>
      </c>
      <c r="Q1097" s="287" t="s">
        <v>14553</v>
      </c>
      <c r="R1097" s="286"/>
      <c r="S1097" s="293"/>
      <c r="T1097" s="294"/>
      <c r="U1097" s="37">
        <v>3776</v>
      </c>
      <c r="V1097" s="36" t="str">
        <f>CONCATENATE(Cover!$D$6,"fdd/view?i=",U1097)</f>
        <v>https://www.dgiwg.org/FAD/fdd/view?i=3776</v>
      </c>
      <c r="W1097" s="172"/>
      <c r="X1097" s="172"/>
      <c r="Y1097" s="172"/>
    </row>
    <row r="1098" spans="1:25" ht="2.1" customHeight="1" x14ac:dyDescent="0.2">
      <c r="A1098" s="295"/>
      <c r="B1098" s="283"/>
      <c r="C1098" s="296"/>
      <c r="D1098" s="283"/>
      <c r="E1098" s="296"/>
      <c r="F1098" s="297"/>
      <c r="G1098" s="297"/>
      <c r="H1098" s="297"/>
      <c r="I1098" s="298"/>
      <c r="J1098" s="304"/>
      <c r="K1098" s="300"/>
      <c r="L1098" s="301"/>
      <c r="M1098" s="297" t="s">
        <v>6582</v>
      </c>
      <c r="N1098" s="297"/>
      <c r="O1098" s="297"/>
      <c r="P1098" s="297"/>
      <c r="Q1098" s="297"/>
      <c r="R1098" s="297"/>
      <c r="S1098" s="302"/>
      <c r="T1098" s="302"/>
      <c r="U1098" s="303"/>
    </row>
    <row r="1099" spans="1:25" ht="25.5" x14ac:dyDescent="0.2">
      <c r="A1099" s="212" t="str">
        <f>HYPERLINK(V1099,B1099)</f>
        <v>OftCode</v>
      </c>
      <c r="B1099" s="283" t="s">
        <v>11324</v>
      </c>
      <c r="C1099" s="284" t="s">
        <v>15707</v>
      </c>
      <c r="D1099" s="285"/>
      <c r="E1099" s="286"/>
      <c r="F1099" s="287" t="s">
        <v>15708</v>
      </c>
      <c r="G1099" s="286"/>
      <c r="H1099" s="286"/>
      <c r="I1099" s="288"/>
      <c r="J1099" s="289"/>
      <c r="K1099" s="290"/>
      <c r="L1099" s="371" t="str">
        <f>HYPERLINK("[#]DatatypeListedValues!B6586:H6586","«enumeration»")</f>
        <v>«enumeration»</v>
      </c>
      <c r="M1099" s="287" t="s">
        <v>6582</v>
      </c>
      <c r="N1099" s="291" t="b">
        <v>0</v>
      </c>
      <c r="O1099" s="286"/>
      <c r="P1099" s="292"/>
      <c r="Q1099" s="286"/>
      <c r="R1099" s="286"/>
      <c r="S1099" s="293"/>
      <c r="T1099" s="294"/>
      <c r="U1099" s="37">
        <v>1346</v>
      </c>
      <c r="V1099" s="36" t="str">
        <f>CONCATENATE(Cover!$D$6,"fdd/view?i=",U1099)</f>
        <v>https://www.dgiwg.org/FAD/fdd/view?i=1346</v>
      </c>
      <c r="W1099" s="172"/>
      <c r="X1099" s="172"/>
      <c r="Y1099" s="172"/>
    </row>
    <row r="1100" spans="1:25" ht="2.1" customHeight="1" x14ac:dyDescent="0.2">
      <c r="A1100" s="295"/>
      <c r="B1100" s="283"/>
      <c r="C1100" s="296"/>
      <c r="D1100" s="283"/>
      <c r="E1100" s="296"/>
      <c r="F1100" s="297"/>
      <c r="G1100" s="297"/>
      <c r="H1100" s="297"/>
      <c r="I1100" s="298"/>
      <c r="J1100" s="304"/>
      <c r="K1100" s="300"/>
      <c r="L1100" s="301"/>
      <c r="M1100" s="297" t="s">
        <v>6582</v>
      </c>
      <c r="N1100" s="297"/>
      <c r="O1100" s="297"/>
      <c r="P1100" s="297"/>
      <c r="Q1100" s="297"/>
      <c r="R1100" s="297"/>
      <c r="S1100" s="302"/>
      <c r="T1100" s="302"/>
      <c r="U1100" s="303"/>
    </row>
    <row r="1101" spans="1:25" ht="25.5" x14ac:dyDescent="0.2">
      <c r="A1101" s="212" t="str">
        <f>HYPERLINK(V1101,B1101)</f>
        <v>OrfCode</v>
      </c>
      <c r="B1101" s="283" t="s">
        <v>11329</v>
      </c>
      <c r="C1101" s="284" t="s">
        <v>15709</v>
      </c>
      <c r="D1101" s="285"/>
      <c r="E1101" s="286"/>
      <c r="F1101" s="287" t="s">
        <v>15710</v>
      </c>
      <c r="G1101" s="286"/>
      <c r="H1101" s="286"/>
      <c r="I1101" s="288"/>
      <c r="J1101" s="289"/>
      <c r="K1101" s="290"/>
      <c r="L1101" s="371" t="str">
        <f>HYPERLINK("[#]DatatypeListedValues!B6588:H6588","«enumeration»")</f>
        <v>«enumeration»</v>
      </c>
      <c r="M1101" s="287" t="s">
        <v>6582</v>
      </c>
      <c r="N1101" s="291" t="b">
        <v>0</v>
      </c>
      <c r="O1101" s="286"/>
      <c r="P1101" s="292"/>
      <c r="Q1101" s="286"/>
      <c r="R1101" s="286"/>
      <c r="S1101" s="293"/>
      <c r="T1101" s="294"/>
      <c r="U1101" s="37">
        <v>118648</v>
      </c>
      <c r="V1101" s="36" t="str">
        <f>CONCATENATE(Cover!$D$6,"fdd/view?i=",U1101)</f>
        <v>https://www.dgiwg.org/FAD/fdd/view?i=118648</v>
      </c>
      <c r="W1101" s="172"/>
      <c r="X1101" s="172"/>
      <c r="Y1101" s="172"/>
    </row>
    <row r="1102" spans="1:25" ht="2.1" customHeight="1" x14ac:dyDescent="0.2">
      <c r="A1102" s="295"/>
      <c r="B1102" s="283"/>
      <c r="C1102" s="296"/>
      <c r="D1102" s="283"/>
      <c r="E1102" s="296"/>
      <c r="F1102" s="297"/>
      <c r="G1102" s="297"/>
      <c r="H1102" s="297"/>
      <c r="I1102" s="298"/>
      <c r="J1102" s="304"/>
      <c r="K1102" s="300"/>
      <c r="L1102" s="301"/>
      <c r="M1102" s="297" t="s">
        <v>6582</v>
      </c>
      <c r="N1102" s="297"/>
      <c r="O1102" s="297"/>
      <c r="P1102" s="297"/>
      <c r="Q1102" s="297"/>
      <c r="R1102" s="297"/>
      <c r="S1102" s="302"/>
      <c r="T1102" s="302"/>
      <c r="U1102" s="303"/>
    </row>
    <row r="1103" spans="1:25" ht="25.5" x14ac:dyDescent="0.2">
      <c r="A1103" s="212" t="str">
        <f>HYPERLINK(V1103,B1103)</f>
        <v>OocCode</v>
      </c>
      <c r="B1103" s="283" t="s">
        <v>11359</v>
      </c>
      <c r="C1103" s="284" t="s">
        <v>15711</v>
      </c>
      <c r="D1103" s="285"/>
      <c r="E1103" s="286"/>
      <c r="F1103" s="287" t="s">
        <v>15712</v>
      </c>
      <c r="G1103" s="286"/>
      <c r="H1103" s="286"/>
      <c r="I1103" s="288"/>
      <c r="J1103" s="289"/>
      <c r="K1103" s="290"/>
      <c r="L1103" s="371" t="str">
        <f>HYPERLINK("[#]DatatypeListedValues!B6590:H6590","«enumeration»")</f>
        <v>«enumeration»</v>
      </c>
      <c r="M1103" s="287" t="s">
        <v>6582</v>
      </c>
      <c r="N1103" s="291" t="b">
        <v>0</v>
      </c>
      <c r="O1103" s="286"/>
      <c r="P1103" s="292"/>
      <c r="Q1103" s="286"/>
      <c r="R1103" s="286"/>
      <c r="S1103" s="293"/>
      <c r="T1103" s="294"/>
      <c r="U1103" s="37">
        <v>1349</v>
      </c>
      <c r="V1103" s="36" t="str">
        <f>CONCATENATE(Cover!$D$6,"fdd/view?i=",U1103)</f>
        <v>https://www.dgiwg.org/FAD/fdd/view?i=1349</v>
      </c>
      <c r="W1103" s="172"/>
      <c r="X1103" s="172"/>
      <c r="Y1103" s="172"/>
    </row>
    <row r="1104" spans="1:25" ht="2.1" customHeight="1" x14ac:dyDescent="0.2">
      <c r="A1104" s="295"/>
      <c r="B1104" s="283"/>
      <c r="C1104" s="296"/>
      <c r="D1104" s="283"/>
      <c r="E1104" s="296"/>
      <c r="F1104" s="297"/>
      <c r="G1104" s="297"/>
      <c r="H1104" s="297"/>
      <c r="I1104" s="298"/>
      <c r="J1104" s="304"/>
      <c r="K1104" s="300"/>
      <c r="L1104" s="301"/>
      <c r="M1104" s="297" t="s">
        <v>6582</v>
      </c>
      <c r="N1104" s="297"/>
      <c r="O1104" s="297"/>
      <c r="P1104" s="297"/>
      <c r="Q1104" s="297"/>
      <c r="R1104" s="297"/>
      <c r="S1104" s="302"/>
      <c r="T1104" s="302"/>
      <c r="U1104" s="303"/>
    </row>
    <row r="1105" spans="1:25" ht="38.25" x14ac:dyDescent="0.2">
      <c r="A1105" s="212" t="str">
        <f>HYPERLINK(V1105,B1105)</f>
        <v>OnaStrucText</v>
      </c>
      <c r="B1105" s="283" t="s">
        <v>11866</v>
      </c>
      <c r="C1105" s="284" t="s">
        <v>15713</v>
      </c>
      <c r="D1105" s="285"/>
      <c r="E1105" s="286"/>
      <c r="F1105" s="287" t="s">
        <v>15714</v>
      </c>
      <c r="G1105" s="286"/>
      <c r="H1105" s="287" t="s">
        <v>14552</v>
      </c>
      <c r="I1105" s="288"/>
      <c r="J1105" s="289"/>
      <c r="K1105" s="290"/>
      <c r="L1105" s="287" t="s">
        <v>14551</v>
      </c>
      <c r="M1105" s="287" t="s">
        <v>6582</v>
      </c>
      <c r="N1105" s="286"/>
      <c r="O1105" s="287">
        <v>2</v>
      </c>
      <c r="P1105" s="305" t="b">
        <v>0</v>
      </c>
      <c r="Q1105" s="286"/>
      <c r="R1105" s="286"/>
      <c r="S1105" s="293"/>
      <c r="T1105" s="294"/>
      <c r="U1105" s="37">
        <v>119232</v>
      </c>
      <c r="V1105" s="36" t="str">
        <f>CONCATENATE(Cover!$D$6,"fdd/view?i=",U1105)</f>
        <v>https://www.dgiwg.org/FAD/fdd/view?i=119232</v>
      </c>
      <c r="W1105" s="172"/>
      <c r="X1105" s="172"/>
      <c r="Y1105" s="172"/>
    </row>
    <row r="1106" spans="1:25" ht="2.1" customHeight="1" x14ac:dyDescent="0.2">
      <c r="A1106" s="295"/>
      <c r="B1106" s="283"/>
      <c r="C1106" s="296"/>
      <c r="D1106" s="283"/>
      <c r="E1106" s="296"/>
      <c r="F1106" s="297"/>
      <c r="G1106" s="297"/>
      <c r="H1106" s="297"/>
      <c r="I1106" s="298"/>
      <c r="J1106" s="304"/>
      <c r="K1106" s="300"/>
      <c r="L1106" s="301"/>
      <c r="M1106" s="297" t="s">
        <v>6582</v>
      </c>
      <c r="N1106" s="297"/>
      <c r="O1106" s="297"/>
      <c r="P1106" s="297"/>
      <c r="Q1106" s="297"/>
      <c r="R1106" s="297"/>
      <c r="S1106" s="302"/>
      <c r="T1106" s="302"/>
      <c r="U1106" s="303"/>
    </row>
    <row r="1107" spans="1:25" ht="25.5" x14ac:dyDescent="0.2">
      <c r="A1107" s="212" t="str">
        <f>HYPERLINK(V1107,B1107)</f>
        <v>PsyCode</v>
      </c>
      <c r="B1107" s="283" t="s">
        <v>11386</v>
      </c>
      <c r="C1107" s="284" t="s">
        <v>15715</v>
      </c>
      <c r="D1107" s="285"/>
      <c r="E1107" s="286"/>
      <c r="F1107" s="287" t="s">
        <v>15716</v>
      </c>
      <c r="G1107" s="286"/>
      <c r="H1107" s="286"/>
      <c r="I1107" s="288"/>
      <c r="J1107" s="289"/>
      <c r="K1107" s="290"/>
      <c r="L1107" s="371" t="str">
        <f>HYPERLINK("[#]DatatypeListedValues!B6617:H6617","«enumeration»")</f>
        <v>«enumeration»</v>
      </c>
      <c r="M1107" s="287" t="s">
        <v>6582</v>
      </c>
      <c r="N1107" s="291" t="b">
        <v>0</v>
      </c>
      <c r="O1107" s="286"/>
      <c r="P1107" s="292"/>
      <c r="Q1107" s="286"/>
      <c r="R1107" s="286"/>
      <c r="S1107" s="293"/>
      <c r="T1107" s="294"/>
      <c r="U1107" s="37">
        <v>117401</v>
      </c>
      <c r="V1107" s="36" t="str">
        <f>CONCATENATE(Cover!$D$6,"fdd/view?i=",U1107)</f>
        <v>https://www.dgiwg.org/FAD/fdd/view?i=117401</v>
      </c>
      <c r="W1107" s="172"/>
      <c r="X1107" s="172"/>
      <c r="Y1107" s="172"/>
    </row>
    <row r="1108" spans="1:25" ht="2.1" customHeight="1" x14ac:dyDescent="0.2">
      <c r="A1108" s="295"/>
      <c r="B1108" s="283"/>
      <c r="C1108" s="296"/>
      <c r="D1108" s="283"/>
      <c r="E1108" s="296"/>
      <c r="F1108" s="297"/>
      <c r="G1108" s="297"/>
      <c r="H1108" s="297"/>
      <c r="I1108" s="298"/>
      <c r="J1108" s="304"/>
      <c r="K1108" s="300"/>
      <c r="L1108" s="301"/>
      <c r="M1108" s="297" t="s">
        <v>6582</v>
      </c>
      <c r="N1108" s="297"/>
      <c r="O1108" s="297"/>
      <c r="P1108" s="297"/>
      <c r="Q1108" s="297"/>
      <c r="R1108" s="297"/>
      <c r="S1108" s="302"/>
      <c r="T1108" s="302"/>
      <c r="U1108" s="303"/>
    </row>
    <row r="1109" spans="1:25" ht="25.5" x14ac:dyDescent="0.2">
      <c r="A1109" s="212" t="str">
        <f>HYPERLINK(V1109,B1109)</f>
        <v>Pc1Code</v>
      </c>
      <c r="B1109" s="283" t="s">
        <v>11397</v>
      </c>
      <c r="C1109" s="284" t="s">
        <v>15717</v>
      </c>
      <c r="D1109" s="285"/>
      <c r="E1109" s="286"/>
      <c r="F1109" s="287" t="s">
        <v>15718</v>
      </c>
      <c r="G1109" s="286"/>
      <c r="H1109" s="286"/>
      <c r="I1109" s="288"/>
      <c r="J1109" s="289"/>
      <c r="K1109" s="290"/>
      <c r="L1109" s="371" t="str">
        <f>HYPERLINK("[#]DatatypeListedValues!B6630:H6630","«enumeration»")</f>
        <v>«enumeration»</v>
      </c>
      <c r="M1109" s="287" t="s">
        <v>6582</v>
      </c>
      <c r="N1109" s="291" t="b">
        <v>0</v>
      </c>
      <c r="O1109" s="286"/>
      <c r="P1109" s="292"/>
      <c r="Q1109" s="286"/>
      <c r="R1109" s="286"/>
      <c r="S1109" s="293"/>
      <c r="T1109" s="294"/>
      <c r="U1109" s="37">
        <v>117396</v>
      </c>
      <c r="V1109" s="36" t="str">
        <f>CONCATENATE(Cover!$D$6,"fdd/view?i=",U1109)</f>
        <v>https://www.dgiwg.org/FAD/fdd/view?i=117396</v>
      </c>
      <c r="W1109" s="172"/>
      <c r="X1109" s="172"/>
      <c r="Y1109" s="172"/>
    </row>
    <row r="1110" spans="1:25" ht="2.1" customHeight="1" x14ac:dyDescent="0.2">
      <c r="A1110" s="295"/>
      <c r="B1110" s="283"/>
      <c r="C1110" s="296"/>
      <c r="D1110" s="283"/>
      <c r="E1110" s="296"/>
      <c r="F1110" s="297"/>
      <c r="G1110" s="297"/>
      <c r="H1110" s="297"/>
      <c r="I1110" s="298"/>
      <c r="J1110" s="304"/>
      <c r="K1110" s="300"/>
      <c r="L1110" s="301"/>
      <c r="M1110" s="297" t="s">
        <v>6582</v>
      </c>
      <c r="N1110" s="297"/>
      <c r="O1110" s="297"/>
      <c r="P1110" s="297"/>
      <c r="Q1110" s="297"/>
      <c r="R1110" s="297"/>
      <c r="S1110" s="302"/>
      <c r="T1110" s="302"/>
      <c r="U1110" s="303"/>
    </row>
    <row r="1111" spans="1:25" ht="25.5" x14ac:dyDescent="0.2">
      <c r="A1111" s="212" t="str">
        <f>HYPERLINK(V1111,B1111)</f>
        <v>Pc4Code</v>
      </c>
      <c r="B1111" s="283" t="s">
        <v>11402</v>
      </c>
      <c r="C1111" s="284" t="s">
        <v>15719</v>
      </c>
      <c r="D1111" s="285"/>
      <c r="E1111" s="286"/>
      <c r="F1111" s="287" t="s">
        <v>15720</v>
      </c>
      <c r="G1111" s="286"/>
      <c r="H1111" s="286"/>
      <c r="I1111" s="288"/>
      <c r="J1111" s="289"/>
      <c r="K1111" s="290"/>
      <c r="L1111" s="371" t="str">
        <f>HYPERLINK("[#]DatatypeListedValues!B6632:H6632","«enumeration»")</f>
        <v>«enumeration»</v>
      </c>
      <c r="M1111" s="287" t="s">
        <v>6582</v>
      </c>
      <c r="N1111" s="291" t="b">
        <v>0</v>
      </c>
      <c r="O1111" s="286"/>
      <c r="P1111" s="292"/>
      <c r="Q1111" s="286"/>
      <c r="R1111" s="286"/>
      <c r="S1111" s="293"/>
      <c r="T1111" s="294"/>
      <c r="U1111" s="37">
        <v>117399</v>
      </c>
      <c r="V1111" s="36" t="str">
        <f>CONCATENATE(Cover!$D$6,"fdd/view?i=",U1111)</f>
        <v>https://www.dgiwg.org/FAD/fdd/view?i=117399</v>
      </c>
      <c r="W1111" s="172"/>
      <c r="X1111" s="172"/>
      <c r="Y1111" s="172"/>
    </row>
    <row r="1112" spans="1:25" ht="2.1" customHeight="1" x14ac:dyDescent="0.2">
      <c r="A1112" s="295"/>
      <c r="B1112" s="283"/>
      <c r="C1112" s="296"/>
      <c r="D1112" s="283"/>
      <c r="E1112" s="296"/>
      <c r="F1112" s="297"/>
      <c r="G1112" s="297"/>
      <c r="H1112" s="297"/>
      <c r="I1112" s="298"/>
      <c r="J1112" s="304"/>
      <c r="K1112" s="300"/>
      <c r="L1112" s="301"/>
      <c r="M1112" s="297" t="s">
        <v>6582</v>
      </c>
      <c r="N1112" s="297"/>
      <c r="O1112" s="297"/>
      <c r="P1112" s="297"/>
      <c r="Q1112" s="297"/>
      <c r="R1112" s="297"/>
      <c r="S1112" s="302"/>
      <c r="T1112" s="302"/>
      <c r="U1112" s="303"/>
    </row>
    <row r="1113" spans="1:25" ht="38.25" x14ac:dyDescent="0.2">
      <c r="A1113" s="212" t="str">
        <f>HYPERLINK(V1113,B1113)</f>
        <v>Pc3Code</v>
      </c>
      <c r="B1113" s="283" t="s">
        <v>11407</v>
      </c>
      <c r="C1113" s="284" t="s">
        <v>15721</v>
      </c>
      <c r="D1113" s="285"/>
      <c r="E1113" s="286"/>
      <c r="F1113" s="287" t="s">
        <v>15722</v>
      </c>
      <c r="G1113" s="286"/>
      <c r="H1113" s="286"/>
      <c r="I1113" s="288"/>
      <c r="J1113" s="289"/>
      <c r="K1113" s="290"/>
      <c r="L1113" s="371" t="str">
        <f>HYPERLINK("[#]DatatypeListedValues!B6634:H6634","«enumeration»")</f>
        <v>«enumeration»</v>
      </c>
      <c r="M1113" s="287" t="s">
        <v>6582</v>
      </c>
      <c r="N1113" s="291" t="b">
        <v>0</v>
      </c>
      <c r="O1113" s="286"/>
      <c r="P1113" s="292"/>
      <c r="Q1113" s="286"/>
      <c r="R1113" s="286"/>
      <c r="S1113" s="293"/>
      <c r="T1113" s="294"/>
      <c r="U1113" s="37">
        <v>117398</v>
      </c>
      <c r="V1113" s="36" t="str">
        <f>CONCATENATE(Cover!$D$6,"fdd/view?i=",U1113)</f>
        <v>https://www.dgiwg.org/FAD/fdd/view?i=117398</v>
      </c>
      <c r="W1113" s="172"/>
      <c r="X1113" s="172"/>
      <c r="Y1113" s="172"/>
    </row>
    <row r="1114" spans="1:25" ht="2.1" customHeight="1" x14ac:dyDescent="0.2">
      <c r="A1114" s="295"/>
      <c r="B1114" s="283"/>
      <c r="C1114" s="296"/>
      <c r="D1114" s="283"/>
      <c r="E1114" s="296"/>
      <c r="F1114" s="297"/>
      <c r="G1114" s="297"/>
      <c r="H1114" s="297"/>
      <c r="I1114" s="298"/>
      <c r="J1114" s="304"/>
      <c r="K1114" s="300"/>
      <c r="L1114" s="301"/>
      <c r="M1114" s="297" t="s">
        <v>6582</v>
      </c>
      <c r="N1114" s="297"/>
      <c r="O1114" s="297"/>
      <c r="P1114" s="297"/>
      <c r="Q1114" s="297"/>
      <c r="R1114" s="297"/>
      <c r="S1114" s="302"/>
      <c r="T1114" s="302"/>
      <c r="U1114" s="303"/>
    </row>
    <row r="1115" spans="1:25" ht="38.25" x14ac:dyDescent="0.2">
      <c r="A1115" s="212" t="str">
        <f>HYPERLINK(V1115,B1115)</f>
        <v>Pc2Code</v>
      </c>
      <c r="B1115" s="283" t="s">
        <v>11418</v>
      </c>
      <c r="C1115" s="284" t="s">
        <v>15723</v>
      </c>
      <c r="D1115" s="285"/>
      <c r="E1115" s="286"/>
      <c r="F1115" s="287" t="s">
        <v>15724</v>
      </c>
      <c r="G1115" s="286"/>
      <c r="H1115" s="286"/>
      <c r="I1115" s="288"/>
      <c r="J1115" s="289"/>
      <c r="K1115" s="290"/>
      <c r="L1115" s="371" t="str">
        <f>HYPERLINK("[#]DatatypeListedValues!B6638:H6638","«enumeration»")</f>
        <v>«enumeration»</v>
      </c>
      <c r="M1115" s="287" t="s">
        <v>6582</v>
      </c>
      <c r="N1115" s="291" t="b">
        <v>0</v>
      </c>
      <c r="O1115" s="286"/>
      <c r="P1115" s="292"/>
      <c r="Q1115" s="286"/>
      <c r="R1115" s="286"/>
      <c r="S1115" s="293"/>
      <c r="T1115" s="294"/>
      <c r="U1115" s="37">
        <v>117397</v>
      </c>
      <c r="V1115" s="36" t="str">
        <f>CONCATENATE(Cover!$D$6,"fdd/view?i=",U1115)</f>
        <v>https://www.dgiwg.org/FAD/fdd/view?i=117397</v>
      </c>
      <c r="W1115" s="172"/>
      <c r="X1115" s="172"/>
      <c r="Y1115" s="172"/>
    </row>
    <row r="1116" spans="1:25" ht="2.1" customHeight="1" x14ac:dyDescent="0.2">
      <c r="A1116" s="295"/>
      <c r="B1116" s="283"/>
      <c r="C1116" s="296"/>
      <c r="D1116" s="283"/>
      <c r="E1116" s="296"/>
      <c r="F1116" s="297"/>
      <c r="G1116" s="297"/>
      <c r="H1116" s="297"/>
      <c r="I1116" s="298"/>
      <c r="J1116" s="304"/>
      <c r="K1116" s="300"/>
      <c r="L1116" s="301"/>
      <c r="M1116" s="297" t="s">
        <v>6582</v>
      </c>
      <c r="N1116" s="297"/>
      <c r="O1116" s="297"/>
      <c r="P1116" s="297"/>
      <c r="Q1116" s="297"/>
      <c r="R1116" s="297"/>
      <c r="S1116" s="302"/>
      <c r="T1116" s="302"/>
      <c r="U1116" s="303"/>
    </row>
    <row r="1117" spans="1:25" ht="89.25" x14ac:dyDescent="0.2">
      <c r="A1117" s="212" t="str">
        <f>HYPERLINK(V1117,B1117)</f>
        <v>HseStrucText</v>
      </c>
      <c r="B1117" s="283" t="s">
        <v>11444</v>
      </c>
      <c r="C1117" s="284" t="s">
        <v>15725</v>
      </c>
      <c r="D1117" s="285"/>
      <c r="E1117" s="286"/>
      <c r="F1117" s="287" t="s">
        <v>15726</v>
      </c>
      <c r="G1117" s="286"/>
      <c r="H1117" s="287" t="s">
        <v>14552</v>
      </c>
      <c r="I1117" s="288"/>
      <c r="J1117" s="289"/>
      <c r="K1117" s="290"/>
      <c r="L1117" s="287" t="s">
        <v>14551</v>
      </c>
      <c r="M1117" s="287" t="s">
        <v>6582</v>
      </c>
      <c r="N1117" s="286"/>
      <c r="O1117" s="287">
        <v>4</v>
      </c>
      <c r="P1117" s="305" t="b">
        <v>0</v>
      </c>
      <c r="Q1117" s="287" t="s">
        <v>15727</v>
      </c>
      <c r="R1117" s="286"/>
      <c r="S1117" s="293"/>
      <c r="T1117" s="294"/>
      <c r="U1117" s="37">
        <v>3773</v>
      </c>
      <c r="V1117" s="36" t="str">
        <f>CONCATENATE(Cover!$D$6,"fdd/view?i=",U1117)</f>
        <v>https://www.dgiwg.org/FAD/fdd/view?i=3773</v>
      </c>
      <c r="W1117" s="172"/>
      <c r="X1117" s="172"/>
      <c r="Y1117" s="172"/>
    </row>
    <row r="1118" spans="1:25" ht="2.1" customHeight="1" x14ac:dyDescent="0.2">
      <c r="A1118" s="295"/>
      <c r="B1118" s="283"/>
      <c r="C1118" s="296"/>
      <c r="D1118" s="283"/>
      <c r="E1118" s="296"/>
      <c r="F1118" s="297"/>
      <c r="G1118" s="297"/>
      <c r="H1118" s="297"/>
      <c r="I1118" s="298"/>
      <c r="J1118" s="304"/>
      <c r="K1118" s="300"/>
      <c r="L1118" s="301"/>
      <c r="M1118" s="297" t="s">
        <v>6582</v>
      </c>
      <c r="N1118" s="297"/>
      <c r="O1118" s="297"/>
      <c r="P1118" s="297"/>
      <c r="Q1118" s="297"/>
      <c r="R1118" s="297"/>
      <c r="S1118" s="302"/>
      <c r="T1118" s="302"/>
      <c r="U1118" s="303"/>
    </row>
    <row r="1119" spans="1:25" ht="89.25" x14ac:dyDescent="0.2">
      <c r="A1119" s="212" t="str">
        <f>HYPERLINK(V1119,B1119)</f>
        <v>PseStrucText</v>
      </c>
      <c r="B1119" s="283" t="s">
        <v>11450</v>
      </c>
      <c r="C1119" s="284" t="s">
        <v>15728</v>
      </c>
      <c r="D1119" s="285"/>
      <c r="E1119" s="286"/>
      <c r="F1119" s="287" t="s">
        <v>15729</v>
      </c>
      <c r="G1119" s="286"/>
      <c r="H1119" s="287" t="s">
        <v>14552</v>
      </c>
      <c r="I1119" s="288"/>
      <c r="J1119" s="289"/>
      <c r="K1119" s="290"/>
      <c r="L1119" s="287" t="s">
        <v>14551</v>
      </c>
      <c r="M1119" s="287" t="s">
        <v>6582</v>
      </c>
      <c r="N1119" s="286"/>
      <c r="O1119" s="287">
        <v>4</v>
      </c>
      <c r="P1119" s="305" t="b">
        <v>0</v>
      </c>
      <c r="Q1119" s="287" t="s">
        <v>15727</v>
      </c>
      <c r="R1119" s="286"/>
      <c r="S1119" s="293"/>
      <c r="T1119" s="294"/>
      <c r="U1119" s="37">
        <v>3778</v>
      </c>
      <c r="V1119" s="36" t="str">
        <f>CONCATENATE(Cover!$D$6,"fdd/view?i=",U1119)</f>
        <v>https://www.dgiwg.org/FAD/fdd/view?i=3778</v>
      </c>
      <c r="W1119" s="172"/>
      <c r="X1119" s="172"/>
      <c r="Y1119" s="172"/>
    </row>
    <row r="1120" spans="1:25" ht="2.1" customHeight="1" x14ac:dyDescent="0.2">
      <c r="A1120" s="295"/>
      <c r="B1120" s="283"/>
      <c r="C1120" s="296"/>
      <c r="D1120" s="283"/>
      <c r="E1120" s="296"/>
      <c r="F1120" s="297"/>
      <c r="G1120" s="297"/>
      <c r="H1120" s="297"/>
      <c r="I1120" s="298"/>
      <c r="J1120" s="304"/>
      <c r="K1120" s="300"/>
      <c r="L1120" s="301"/>
      <c r="M1120" s="297" t="s">
        <v>6582</v>
      </c>
      <c r="N1120" s="297"/>
      <c r="O1120" s="297"/>
      <c r="P1120" s="297"/>
      <c r="Q1120" s="297"/>
      <c r="R1120" s="297"/>
      <c r="S1120" s="302"/>
      <c r="T1120" s="302"/>
      <c r="U1120" s="303"/>
    </row>
    <row r="1121" spans="1:25" ht="25.5" x14ac:dyDescent="0.2">
      <c r="A1121" s="212" t="str">
        <f>HYPERLINK(V1121,B1121)</f>
        <v>PcfCode</v>
      </c>
      <c r="B1121" s="283" t="s">
        <v>11469</v>
      </c>
      <c r="C1121" s="284" t="s">
        <v>15730</v>
      </c>
      <c r="D1121" s="285"/>
      <c r="E1121" s="286"/>
      <c r="F1121" s="287" t="s">
        <v>15731</v>
      </c>
      <c r="G1121" s="286"/>
      <c r="H1121" s="286"/>
      <c r="I1121" s="288"/>
      <c r="J1121" s="289"/>
      <c r="K1121" s="290"/>
      <c r="L1121" s="371" t="str">
        <f>HYPERLINK("[#]DatatypeListedValues!B6642:H6642","«enumeration»")</f>
        <v>«enumeration»</v>
      </c>
      <c r="M1121" s="287" t="s">
        <v>6582</v>
      </c>
      <c r="N1121" s="291" t="b">
        <v>0</v>
      </c>
      <c r="O1121" s="286"/>
      <c r="P1121" s="292"/>
      <c r="Q1121" s="286"/>
      <c r="R1121" s="286"/>
      <c r="S1121" s="293"/>
      <c r="T1121" s="294"/>
      <c r="U1121" s="37">
        <v>119233</v>
      </c>
      <c r="V1121" s="36" t="str">
        <f>CONCATENATE(Cover!$D$6,"fdd/view?i=",U1121)</f>
        <v>https://www.dgiwg.org/FAD/fdd/view?i=119233</v>
      </c>
      <c r="W1121" s="172"/>
      <c r="X1121" s="172"/>
      <c r="Y1121" s="172"/>
    </row>
    <row r="1122" spans="1:25" ht="2.1" customHeight="1" x14ac:dyDescent="0.2">
      <c r="A1122" s="295"/>
      <c r="B1122" s="283"/>
      <c r="C1122" s="296"/>
      <c r="D1122" s="283"/>
      <c r="E1122" s="296"/>
      <c r="F1122" s="297"/>
      <c r="G1122" s="297"/>
      <c r="H1122" s="297"/>
      <c r="I1122" s="298"/>
      <c r="J1122" s="304"/>
      <c r="K1122" s="300"/>
      <c r="L1122" s="301"/>
      <c r="M1122" s="297" t="s">
        <v>6582</v>
      </c>
      <c r="N1122" s="297"/>
      <c r="O1122" s="297"/>
      <c r="P1122" s="297"/>
      <c r="Q1122" s="297"/>
      <c r="R1122" s="297"/>
      <c r="S1122" s="302"/>
      <c r="T1122" s="302"/>
      <c r="U1122" s="303"/>
    </row>
    <row r="1123" spans="1:25" ht="25.5" x14ac:dyDescent="0.2">
      <c r="A1123" s="212" t="str">
        <f>HYPERLINK(V1123,B1123)</f>
        <v>PstCode</v>
      </c>
      <c r="B1123" s="283" t="s">
        <v>11474</v>
      </c>
      <c r="C1123" s="284" t="s">
        <v>15732</v>
      </c>
      <c r="D1123" s="285"/>
      <c r="E1123" s="286"/>
      <c r="F1123" s="287" t="s">
        <v>15733</v>
      </c>
      <c r="G1123" s="286"/>
      <c r="H1123" s="286"/>
      <c r="I1123" s="288"/>
      <c r="J1123" s="289"/>
      <c r="K1123" s="290"/>
      <c r="L1123" s="371" t="str">
        <f>HYPERLINK("[#]DatatypeListedValues!B6648:H6648","«enumeration»")</f>
        <v>«enumeration»</v>
      </c>
      <c r="M1123" s="287" t="s">
        <v>6582</v>
      </c>
      <c r="N1123" s="291" t="b">
        <v>0</v>
      </c>
      <c r="O1123" s="286"/>
      <c r="P1123" s="292"/>
      <c r="Q1123" s="286"/>
      <c r="R1123" s="286"/>
      <c r="S1123" s="293"/>
      <c r="T1123" s="294"/>
      <c r="U1123" s="37">
        <v>1384</v>
      </c>
      <c r="V1123" s="36" t="str">
        <f>CONCATENATE(Cover!$D$6,"fdd/view?i=",U1123)</f>
        <v>https://www.dgiwg.org/FAD/fdd/view?i=1384</v>
      </c>
      <c r="W1123" s="172"/>
      <c r="X1123" s="172"/>
      <c r="Y1123" s="172"/>
    </row>
    <row r="1124" spans="1:25" ht="2.1" customHeight="1" x14ac:dyDescent="0.2">
      <c r="A1124" s="295"/>
      <c r="B1124" s="283"/>
      <c r="C1124" s="296"/>
      <c r="D1124" s="283"/>
      <c r="E1124" s="296"/>
      <c r="F1124" s="297"/>
      <c r="G1124" s="297"/>
      <c r="H1124" s="297"/>
      <c r="I1124" s="298"/>
      <c r="J1124" s="304"/>
      <c r="K1124" s="300"/>
      <c r="L1124" s="301"/>
      <c r="M1124" s="297" t="s">
        <v>6582</v>
      </c>
      <c r="N1124" s="297"/>
      <c r="O1124" s="297"/>
      <c r="P1124" s="297"/>
      <c r="Q1124" s="297"/>
      <c r="R1124" s="297"/>
      <c r="S1124" s="302"/>
      <c r="T1124" s="302"/>
      <c r="U1124" s="303"/>
    </row>
    <row r="1125" spans="1:25" ht="25.5" x14ac:dyDescent="0.2">
      <c r="A1125" s="212" t="str">
        <f>HYPERLINK(V1125,B1125)</f>
        <v>PlcCode</v>
      </c>
      <c r="B1125" s="283" t="s">
        <v>11484</v>
      </c>
      <c r="C1125" s="284" t="s">
        <v>15734</v>
      </c>
      <c r="D1125" s="285"/>
      <c r="E1125" s="286"/>
      <c r="F1125" s="287" t="s">
        <v>15735</v>
      </c>
      <c r="G1125" s="286"/>
      <c r="H1125" s="286"/>
      <c r="I1125" s="288"/>
      <c r="J1125" s="289"/>
      <c r="K1125" s="290"/>
      <c r="L1125" s="371" t="str">
        <f>HYPERLINK("[#]DatatypeListedValues!B6651:H6651","«enumeration»")</f>
        <v>«enumeration»</v>
      </c>
      <c r="M1125" s="287" t="s">
        <v>6582</v>
      </c>
      <c r="N1125" s="291" t="b">
        <v>0</v>
      </c>
      <c r="O1125" s="286"/>
      <c r="P1125" s="292"/>
      <c r="Q1125" s="286"/>
      <c r="R1125" s="286"/>
      <c r="S1125" s="293"/>
      <c r="T1125" s="294"/>
      <c r="U1125" s="37">
        <v>1367</v>
      </c>
      <c r="V1125" s="36" t="str">
        <f>CONCATENATE(Cover!$D$6,"fdd/view?i=",U1125)</f>
        <v>https://www.dgiwg.org/FAD/fdd/view?i=1367</v>
      </c>
      <c r="W1125" s="172"/>
      <c r="X1125" s="172"/>
      <c r="Y1125" s="172"/>
    </row>
    <row r="1126" spans="1:25" ht="2.1" customHeight="1" x14ac:dyDescent="0.2">
      <c r="A1126" s="295"/>
      <c r="B1126" s="283"/>
      <c r="C1126" s="296"/>
      <c r="D1126" s="283"/>
      <c r="E1126" s="296"/>
      <c r="F1126" s="297"/>
      <c r="G1126" s="297"/>
      <c r="H1126" s="297"/>
      <c r="I1126" s="298"/>
      <c r="J1126" s="304"/>
      <c r="K1126" s="300"/>
      <c r="L1126" s="301"/>
      <c r="M1126" s="297" t="s">
        <v>6582</v>
      </c>
      <c r="N1126" s="297"/>
      <c r="O1126" s="297"/>
      <c r="P1126" s="297"/>
      <c r="Q1126" s="297"/>
      <c r="R1126" s="297"/>
      <c r="S1126" s="302"/>
      <c r="T1126" s="302"/>
      <c r="U1126" s="303"/>
    </row>
    <row r="1127" spans="1:25" ht="25.5" x14ac:dyDescent="0.2">
      <c r="A1127" s="212" t="str">
        <f>HYPERLINK(V1127,B1127)</f>
        <v>PbpCode</v>
      </c>
      <c r="B1127" s="283" t="s">
        <v>11489</v>
      </c>
      <c r="C1127" s="284" t="s">
        <v>15736</v>
      </c>
      <c r="D1127" s="285"/>
      <c r="E1127" s="286"/>
      <c r="F1127" s="287" t="s">
        <v>15737</v>
      </c>
      <c r="G1127" s="286"/>
      <c r="H1127" s="286"/>
      <c r="I1127" s="288"/>
      <c r="J1127" s="289"/>
      <c r="K1127" s="290"/>
      <c r="L1127" s="371" t="str">
        <f>HYPERLINK("[#]DatatypeListedValues!B6655:H6655","«enumeration»")</f>
        <v>«enumeration»</v>
      </c>
      <c r="M1127" s="287" t="s">
        <v>6582</v>
      </c>
      <c r="N1127" s="291" t="b">
        <v>0</v>
      </c>
      <c r="O1127" s="286"/>
      <c r="P1127" s="292"/>
      <c r="Q1127" s="286"/>
      <c r="R1127" s="286"/>
      <c r="S1127" s="293"/>
      <c r="T1127" s="294"/>
      <c r="U1127" s="37">
        <v>1359</v>
      </c>
      <c r="V1127" s="36" t="str">
        <f>CONCATENATE(Cover!$D$6,"fdd/view?i=",U1127)</f>
        <v>https://www.dgiwg.org/FAD/fdd/view?i=1359</v>
      </c>
      <c r="W1127" s="172"/>
      <c r="X1127" s="172"/>
      <c r="Y1127" s="172"/>
    </row>
    <row r="1128" spans="1:25" ht="2.1" customHeight="1" x14ac:dyDescent="0.2">
      <c r="A1128" s="295"/>
      <c r="B1128" s="283"/>
      <c r="C1128" s="296"/>
      <c r="D1128" s="283"/>
      <c r="E1128" s="296"/>
      <c r="F1128" s="297"/>
      <c r="G1128" s="297"/>
      <c r="H1128" s="297"/>
      <c r="I1128" s="298"/>
      <c r="J1128" s="304"/>
      <c r="K1128" s="300"/>
      <c r="L1128" s="301"/>
      <c r="M1128" s="297" t="s">
        <v>6582</v>
      </c>
      <c r="N1128" s="297"/>
      <c r="O1128" s="297"/>
      <c r="P1128" s="297"/>
      <c r="Q1128" s="297"/>
      <c r="R1128" s="297"/>
      <c r="S1128" s="302"/>
      <c r="T1128" s="302"/>
      <c r="U1128" s="303"/>
    </row>
    <row r="1129" spans="1:25" ht="25.5" x14ac:dyDescent="0.2">
      <c r="A1129" s="212" t="str">
        <f>HYPERLINK(V1129,B1129)</f>
        <v>PltCode</v>
      </c>
      <c r="B1129" s="283" t="s">
        <v>11508</v>
      </c>
      <c r="C1129" s="284" t="s">
        <v>15738</v>
      </c>
      <c r="D1129" s="285"/>
      <c r="E1129" s="286"/>
      <c r="F1129" s="287" t="s">
        <v>15739</v>
      </c>
      <c r="G1129" s="286"/>
      <c r="H1129" s="286"/>
      <c r="I1129" s="288"/>
      <c r="J1129" s="289"/>
      <c r="K1129" s="290"/>
      <c r="L1129" s="371" t="str">
        <f>HYPERLINK("[#]DatatypeListedValues!B6658:H6658","«enumeration»")</f>
        <v>«enumeration»</v>
      </c>
      <c r="M1129" s="287" t="s">
        <v>6582</v>
      </c>
      <c r="N1129" s="291" t="b">
        <v>0</v>
      </c>
      <c r="O1129" s="286"/>
      <c r="P1129" s="292"/>
      <c r="Q1129" s="286"/>
      <c r="R1129" s="286"/>
      <c r="S1129" s="293"/>
      <c r="T1129" s="294"/>
      <c r="U1129" s="37">
        <v>1368</v>
      </c>
      <c r="V1129" s="36" t="str">
        <f>CONCATENATE(Cover!$D$6,"fdd/view?i=",U1129)</f>
        <v>https://www.dgiwg.org/FAD/fdd/view?i=1368</v>
      </c>
      <c r="W1129" s="172"/>
      <c r="X1129" s="172"/>
      <c r="Y1129" s="172"/>
    </row>
    <row r="1130" spans="1:25" ht="2.1" customHeight="1" x14ac:dyDescent="0.2">
      <c r="A1130" s="295"/>
      <c r="B1130" s="283"/>
      <c r="C1130" s="296"/>
      <c r="D1130" s="283"/>
      <c r="E1130" s="296"/>
      <c r="F1130" s="297"/>
      <c r="G1130" s="297"/>
      <c r="H1130" s="297"/>
      <c r="I1130" s="298"/>
      <c r="J1130" s="304"/>
      <c r="K1130" s="300"/>
      <c r="L1130" s="301"/>
      <c r="M1130" s="297" t="s">
        <v>6582</v>
      </c>
      <c r="N1130" s="297"/>
      <c r="O1130" s="297"/>
      <c r="P1130" s="297"/>
      <c r="Q1130" s="297"/>
      <c r="R1130" s="297"/>
      <c r="S1130" s="302"/>
      <c r="T1130" s="302"/>
      <c r="U1130" s="303"/>
    </row>
    <row r="1131" spans="1:25" ht="25.5" x14ac:dyDescent="0.2">
      <c r="A1131" s="212" t="str">
        <f>HYPERLINK(V1131,B1131)</f>
        <v>PabCode</v>
      </c>
      <c r="B1131" s="283" t="s">
        <v>11517</v>
      </c>
      <c r="C1131" s="284" t="s">
        <v>15740</v>
      </c>
      <c r="D1131" s="285"/>
      <c r="E1131" s="286"/>
      <c r="F1131" s="287" t="s">
        <v>15741</v>
      </c>
      <c r="G1131" s="286"/>
      <c r="H1131" s="286"/>
      <c r="I1131" s="288"/>
      <c r="J1131" s="289"/>
      <c r="K1131" s="290"/>
      <c r="L1131" s="371" t="str">
        <f>HYPERLINK("[#]DatatypeListedValues!B6664:H6664","«enumeration»")</f>
        <v>«enumeration»</v>
      </c>
      <c r="M1131" s="287" t="s">
        <v>6582</v>
      </c>
      <c r="N1131" s="291" t="b">
        <v>0</v>
      </c>
      <c r="O1131" s="286"/>
      <c r="P1131" s="292"/>
      <c r="Q1131" s="286"/>
      <c r="R1131" s="286"/>
      <c r="S1131" s="293"/>
      <c r="T1131" s="294"/>
      <c r="U1131" s="37">
        <v>1356</v>
      </c>
      <c r="V1131" s="36" t="str">
        <f>CONCATENATE(Cover!$D$6,"fdd/view?i=",U1131)</f>
        <v>https://www.dgiwg.org/FAD/fdd/view?i=1356</v>
      </c>
      <c r="W1131" s="172"/>
      <c r="X1131" s="172"/>
      <c r="Y1131" s="172"/>
    </row>
    <row r="1132" spans="1:25" ht="2.1" customHeight="1" x14ac:dyDescent="0.2">
      <c r="A1132" s="295"/>
      <c r="B1132" s="283"/>
      <c r="C1132" s="296"/>
      <c r="D1132" s="283"/>
      <c r="E1132" s="296"/>
      <c r="F1132" s="297"/>
      <c r="G1132" s="297"/>
      <c r="H1132" s="297"/>
      <c r="I1132" s="298"/>
      <c r="J1132" s="304"/>
      <c r="K1132" s="300"/>
      <c r="L1132" s="301"/>
      <c r="M1132" s="297" t="s">
        <v>6582</v>
      </c>
      <c r="N1132" s="297"/>
      <c r="O1132" s="297"/>
      <c r="P1132" s="297"/>
      <c r="Q1132" s="297"/>
      <c r="R1132" s="297"/>
      <c r="S1132" s="302"/>
      <c r="T1132" s="302"/>
      <c r="U1132" s="303"/>
    </row>
    <row r="1133" spans="1:25" ht="25.5" x14ac:dyDescent="0.2">
      <c r="A1133" s="212" t="str">
        <f>HYPERLINK(V1133,B1133)</f>
        <v>PopCode</v>
      </c>
      <c r="B1133" s="283" t="s">
        <v>11522</v>
      </c>
      <c r="C1133" s="284" t="s">
        <v>15742</v>
      </c>
      <c r="D1133" s="285"/>
      <c r="E1133" s="286"/>
      <c r="F1133" s="287" t="s">
        <v>15743</v>
      </c>
      <c r="G1133" s="286"/>
      <c r="H1133" s="286"/>
      <c r="I1133" s="288"/>
      <c r="J1133" s="289"/>
      <c r="K1133" s="290"/>
      <c r="L1133" s="371" t="str">
        <f>HYPERLINK("[#]DatatypeListedValues!B6672:H6672","«enumeration»")</f>
        <v>«enumeration»</v>
      </c>
      <c r="M1133" s="287" t="s">
        <v>6582</v>
      </c>
      <c r="N1133" s="291" t="b">
        <v>0</v>
      </c>
      <c r="O1133" s="286"/>
      <c r="P1133" s="292"/>
      <c r="Q1133" s="286"/>
      <c r="R1133" s="286"/>
      <c r="S1133" s="293"/>
      <c r="T1133" s="294"/>
      <c r="U1133" s="37">
        <v>1370</v>
      </c>
      <c r="V1133" s="36" t="str">
        <f>CONCATENATE(Cover!$D$6,"fdd/view?i=",U1133)</f>
        <v>https://www.dgiwg.org/FAD/fdd/view?i=1370</v>
      </c>
      <c r="W1133" s="172"/>
      <c r="X1133" s="172"/>
      <c r="Y1133" s="172"/>
    </row>
    <row r="1134" spans="1:25" ht="2.1" customHeight="1" x14ac:dyDescent="0.2">
      <c r="A1134" s="295"/>
      <c r="B1134" s="283"/>
      <c r="C1134" s="296"/>
      <c r="D1134" s="283"/>
      <c r="E1134" s="296"/>
      <c r="F1134" s="297"/>
      <c r="G1134" s="297"/>
      <c r="H1134" s="297"/>
      <c r="I1134" s="298"/>
      <c r="J1134" s="304"/>
      <c r="K1134" s="300"/>
      <c r="L1134" s="301"/>
      <c r="M1134" s="297" t="s">
        <v>6582</v>
      </c>
      <c r="N1134" s="297"/>
      <c r="O1134" s="297"/>
      <c r="P1134" s="297"/>
      <c r="Q1134" s="297"/>
      <c r="R1134" s="297"/>
      <c r="S1134" s="302"/>
      <c r="T1134" s="302"/>
      <c r="U1134" s="303"/>
    </row>
    <row r="1135" spans="1:25" ht="25.5" x14ac:dyDescent="0.2">
      <c r="A1135" s="212" t="str">
        <f>HYPERLINK(V1135,B1135)</f>
        <v>PpsCode</v>
      </c>
      <c r="B1135" s="283" t="s">
        <v>11528</v>
      </c>
      <c r="C1135" s="284" t="s">
        <v>15744</v>
      </c>
      <c r="D1135" s="285"/>
      <c r="E1135" s="286"/>
      <c r="F1135" s="287" t="s">
        <v>15745</v>
      </c>
      <c r="G1135" s="286"/>
      <c r="H1135" s="286"/>
      <c r="I1135" s="288"/>
      <c r="J1135" s="289"/>
      <c r="K1135" s="290"/>
      <c r="L1135" s="371" t="str">
        <f>HYPERLINK("[#]DatatypeListedValues!B6676:H6676","«enumeration»")</f>
        <v>«enumeration»</v>
      </c>
      <c r="M1135" s="287" t="s">
        <v>6582</v>
      </c>
      <c r="N1135" s="291" t="b">
        <v>0</v>
      </c>
      <c r="O1135" s="286"/>
      <c r="P1135" s="292"/>
      <c r="Q1135" s="286"/>
      <c r="R1135" s="286"/>
      <c r="S1135" s="293"/>
      <c r="T1135" s="294"/>
      <c r="U1135" s="37">
        <v>1889</v>
      </c>
      <c r="V1135" s="36" t="str">
        <f>CONCATENATE(Cover!$D$6,"fdd/view?i=",U1135)</f>
        <v>https://www.dgiwg.org/FAD/fdd/view?i=1889</v>
      </c>
      <c r="W1135" s="172"/>
      <c r="X1135" s="172"/>
      <c r="Y1135" s="172"/>
    </row>
    <row r="1136" spans="1:25" ht="2.1" customHeight="1" x14ac:dyDescent="0.2">
      <c r="A1136" s="295"/>
      <c r="B1136" s="283"/>
      <c r="C1136" s="296"/>
      <c r="D1136" s="283"/>
      <c r="E1136" s="296"/>
      <c r="F1136" s="297"/>
      <c r="G1136" s="297"/>
      <c r="H1136" s="297"/>
      <c r="I1136" s="298"/>
      <c r="J1136" s="304"/>
      <c r="K1136" s="300"/>
      <c r="L1136" s="301"/>
      <c r="M1136" s="297" t="s">
        <v>6582</v>
      </c>
      <c r="N1136" s="297"/>
      <c r="O1136" s="297"/>
      <c r="P1136" s="297"/>
      <c r="Q1136" s="297"/>
      <c r="R1136" s="297"/>
      <c r="S1136" s="302"/>
      <c r="T1136" s="302"/>
      <c r="U1136" s="303"/>
    </row>
    <row r="1137" spans="1:25" ht="25.5" x14ac:dyDescent="0.2">
      <c r="A1137" s="212" t="str">
        <f>HYPERLINK(V1137,B1137)</f>
        <v>ClfCode</v>
      </c>
      <c r="B1137" s="283" t="s">
        <v>11533</v>
      </c>
      <c r="C1137" s="284" t="s">
        <v>15746</v>
      </c>
      <c r="D1137" s="285"/>
      <c r="E1137" s="286"/>
      <c r="F1137" s="287" t="s">
        <v>15747</v>
      </c>
      <c r="G1137" s="286"/>
      <c r="H1137" s="286"/>
      <c r="I1137" s="288"/>
      <c r="J1137" s="289"/>
      <c r="K1137" s="290"/>
      <c r="L1137" s="371" t="str">
        <f>HYPERLINK("[#]DatatypeListedValues!B6680:H6680","«enumeration»")</f>
        <v>«enumeration»</v>
      </c>
      <c r="M1137" s="287" t="s">
        <v>6582</v>
      </c>
      <c r="N1137" s="291" t="b">
        <v>0</v>
      </c>
      <c r="O1137" s="286"/>
      <c r="P1137" s="292"/>
      <c r="Q1137" s="286"/>
      <c r="R1137" s="286"/>
      <c r="S1137" s="293"/>
      <c r="T1137" s="294"/>
      <c r="U1137" s="37">
        <v>1799</v>
      </c>
      <c r="V1137" s="36" t="str">
        <f>CONCATENATE(Cover!$D$6,"fdd/view?i=",U1137)</f>
        <v>https://www.dgiwg.org/FAD/fdd/view?i=1799</v>
      </c>
      <c r="W1137" s="172"/>
      <c r="X1137" s="172"/>
      <c r="Y1137" s="172"/>
    </row>
    <row r="1138" spans="1:25" ht="2.1" customHeight="1" x14ac:dyDescent="0.2">
      <c r="A1138" s="295"/>
      <c r="B1138" s="283"/>
      <c r="C1138" s="296"/>
      <c r="D1138" s="283"/>
      <c r="E1138" s="296"/>
      <c r="F1138" s="297"/>
      <c r="G1138" s="297"/>
      <c r="H1138" s="297"/>
      <c r="I1138" s="298"/>
      <c r="J1138" s="304"/>
      <c r="K1138" s="300"/>
      <c r="L1138" s="301"/>
      <c r="M1138" s="297" t="s">
        <v>6582</v>
      </c>
      <c r="N1138" s="297"/>
      <c r="O1138" s="297"/>
      <c r="P1138" s="297"/>
      <c r="Q1138" s="297"/>
      <c r="R1138" s="297"/>
      <c r="S1138" s="302"/>
      <c r="T1138" s="302"/>
      <c r="U1138" s="303"/>
    </row>
    <row r="1139" spans="1:25" ht="25.5" x14ac:dyDescent="0.2">
      <c r="A1139" s="212" t="str">
        <f>HYPERLINK(V1139,B1139)</f>
        <v>RusCode</v>
      </c>
      <c r="B1139" s="283" t="s">
        <v>11538</v>
      </c>
      <c r="C1139" s="284" t="s">
        <v>15748</v>
      </c>
      <c r="D1139" s="285"/>
      <c r="E1139" s="286"/>
      <c r="F1139" s="287" t="s">
        <v>15749</v>
      </c>
      <c r="G1139" s="286"/>
      <c r="H1139" s="286"/>
      <c r="I1139" s="288"/>
      <c r="J1139" s="289"/>
      <c r="K1139" s="290"/>
      <c r="L1139" s="371" t="str">
        <f>HYPERLINK("[#]DatatypeListedValues!B6683:H6683","«enumeration»")</f>
        <v>«enumeration»</v>
      </c>
      <c r="M1139" s="287" t="s">
        <v>6582</v>
      </c>
      <c r="N1139" s="291" t="b">
        <v>0</v>
      </c>
      <c r="O1139" s="286"/>
      <c r="P1139" s="292"/>
      <c r="Q1139" s="286"/>
      <c r="R1139" s="286"/>
      <c r="S1139" s="293"/>
      <c r="T1139" s="294"/>
      <c r="U1139" s="37">
        <v>1909</v>
      </c>
      <c r="V1139" s="36" t="str">
        <f>CONCATENATE(Cover!$D$6,"fdd/view?i=",U1139)</f>
        <v>https://www.dgiwg.org/FAD/fdd/view?i=1909</v>
      </c>
      <c r="W1139" s="172"/>
      <c r="X1139" s="172"/>
      <c r="Y1139" s="172"/>
    </row>
    <row r="1140" spans="1:25" ht="2.1" customHeight="1" x14ac:dyDescent="0.2">
      <c r="A1140" s="295"/>
      <c r="B1140" s="283"/>
      <c r="C1140" s="296"/>
      <c r="D1140" s="283"/>
      <c r="E1140" s="296"/>
      <c r="F1140" s="297"/>
      <c r="G1140" s="297"/>
      <c r="H1140" s="297"/>
      <c r="I1140" s="298"/>
      <c r="J1140" s="304"/>
      <c r="K1140" s="300"/>
      <c r="L1140" s="301"/>
      <c r="M1140" s="297" t="s">
        <v>6582</v>
      </c>
      <c r="N1140" s="297"/>
      <c r="O1140" s="297"/>
      <c r="P1140" s="297"/>
      <c r="Q1140" s="297"/>
      <c r="R1140" s="297"/>
      <c r="S1140" s="302"/>
      <c r="T1140" s="302"/>
      <c r="U1140" s="303"/>
    </row>
    <row r="1141" spans="1:25" ht="25.5" x14ac:dyDescent="0.2">
      <c r="A1141" s="212" t="str">
        <f>HYPERLINK(V1141,B1141)</f>
        <v>SliCode</v>
      </c>
      <c r="B1141" s="283" t="s">
        <v>11543</v>
      </c>
      <c r="C1141" s="284" t="s">
        <v>15750</v>
      </c>
      <c r="D1141" s="285"/>
      <c r="E1141" s="286"/>
      <c r="F1141" s="287" t="s">
        <v>15751</v>
      </c>
      <c r="G1141" s="286"/>
      <c r="H1141" s="286"/>
      <c r="I1141" s="288"/>
      <c r="J1141" s="289"/>
      <c r="K1141" s="290"/>
      <c r="L1141" s="371" t="str">
        <f>HYPERLINK("[#]DatatypeListedValues!B6692:H6692","«enumeration»")</f>
        <v>«enumeration»</v>
      </c>
      <c r="M1141" s="287" t="s">
        <v>6582</v>
      </c>
      <c r="N1141" s="291" t="b">
        <v>0</v>
      </c>
      <c r="O1141" s="286"/>
      <c r="P1141" s="292"/>
      <c r="Q1141" s="286"/>
      <c r="R1141" s="286"/>
      <c r="S1141" s="293"/>
      <c r="T1141" s="294"/>
      <c r="U1141" s="37">
        <v>1915</v>
      </c>
      <c r="V1141" s="36" t="str">
        <f>CONCATENATE(Cover!$D$6,"fdd/view?i=",U1141)</f>
        <v>https://www.dgiwg.org/FAD/fdd/view?i=1915</v>
      </c>
      <c r="W1141" s="172"/>
      <c r="X1141" s="172"/>
      <c r="Y1141" s="172"/>
    </row>
    <row r="1142" spans="1:25" ht="2.1" customHeight="1" x14ac:dyDescent="0.2">
      <c r="A1142" s="295"/>
      <c r="B1142" s="283"/>
      <c r="C1142" s="296"/>
      <c r="D1142" s="283"/>
      <c r="E1142" s="296"/>
      <c r="F1142" s="297"/>
      <c r="G1142" s="297"/>
      <c r="H1142" s="297"/>
      <c r="I1142" s="298"/>
      <c r="J1142" s="304"/>
      <c r="K1142" s="300"/>
      <c r="L1142" s="301"/>
      <c r="M1142" s="297" t="s">
        <v>6582</v>
      </c>
      <c r="N1142" s="297"/>
      <c r="O1142" s="297"/>
      <c r="P1142" s="297"/>
      <c r="Q1142" s="297"/>
      <c r="R1142" s="297"/>
      <c r="S1142" s="302"/>
      <c r="T1142" s="302"/>
      <c r="U1142" s="303"/>
    </row>
    <row r="1143" spans="1:25" ht="25.5" x14ac:dyDescent="0.2">
      <c r="A1143" s="212" t="str">
        <f>HYPERLINK(V1143,B1143)</f>
        <v>PptCode</v>
      </c>
      <c r="B1143" s="283" t="s">
        <v>11548</v>
      </c>
      <c r="C1143" s="284" t="s">
        <v>15752</v>
      </c>
      <c r="D1143" s="285"/>
      <c r="E1143" s="286"/>
      <c r="F1143" s="287" t="s">
        <v>15753</v>
      </c>
      <c r="G1143" s="286"/>
      <c r="H1143" s="286"/>
      <c r="I1143" s="288"/>
      <c r="J1143" s="289"/>
      <c r="K1143" s="290"/>
      <c r="L1143" s="371" t="str">
        <f>HYPERLINK("[#]DatatypeListedValues!B6699:H6699","«enumeration»")</f>
        <v>«enumeration»</v>
      </c>
      <c r="M1143" s="287" t="s">
        <v>6582</v>
      </c>
      <c r="N1143" s="291" t="b">
        <v>0</v>
      </c>
      <c r="O1143" s="286"/>
      <c r="P1143" s="292"/>
      <c r="Q1143" s="286"/>
      <c r="R1143" s="286"/>
      <c r="S1143" s="293"/>
      <c r="T1143" s="294"/>
      <c r="U1143" s="37">
        <v>1373</v>
      </c>
      <c r="V1143" s="36" t="str">
        <f>CONCATENATE(Cover!$D$6,"fdd/view?i=",U1143)</f>
        <v>https://www.dgiwg.org/FAD/fdd/view?i=1373</v>
      </c>
      <c r="W1143" s="172"/>
      <c r="X1143" s="172"/>
      <c r="Y1143" s="172"/>
    </row>
    <row r="1144" spans="1:25" ht="2.1" customHeight="1" x14ac:dyDescent="0.2">
      <c r="A1144" s="295"/>
      <c r="B1144" s="283"/>
      <c r="C1144" s="296"/>
      <c r="D1144" s="283"/>
      <c r="E1144" s="296"/>
      <c r="F1144" s="297"/>
      <c r="G1144" s="297"/>
      <c r="H1144" s="297"/>
      <c r="I1144" s="298"/>
      <c r="J1144" s="304"/>
      <c r="K1144" s="300"/>
      <c r="L1144" s="301"/>
      <c r="M1144" s="297" t="s">
        <v>6582</v>
      </c>
      <c r="N1144" s="297"/>
      <c r="O1144" s="297"/>
      <c r="P1144" s="297"/>
      <c r="Q1144" s="297"/>
      <c r="R1144" s="297"/>
      <c r="S1144" s="302"/>
      <c r="T1144" s="302"/>
      <c r="U1144" s="303"/>
    </row>
    <row r="1145" spans="1:25" ht="25.5" x14ac:dyDescent="0.2">
      <c r="A1145" s="212" t="str">
        <f>HYPERLINK(V1145,B1145)</f>
        <v>PpdCode</v>
      </c>
      <c r="B1145" s="283" t="s">
        <v>11561</v>
      </c>
      <c r="C1145" s="284" t="s">
        <v>15754</v>
      </c>
      <c r="D1145" s="285"/>
      <c r="E1145" s="286"/>
      <c r="F1145" s="287" t="s">
        <v>15755</v>
      </c>
      <c r="G1145" s="286"/>
      <c r="H1145" s="286"/>
      <c r="I1145" s="288"/>
      <c r="J1145" s="289"/>
      <c r="K1145" s="290"/>
      <c r="L1145" s="371" t="str">
        <f>HYPERLINK("[#]DatatypeListedValues!B6737:H6737","«enumeration»")</f>
        <v>«enumeration»</v>
      </c>
      <c r="M1145" s="287" t="s">
        <v>6582</v>
      </c>
      <c r="N1145" s="291" t="b">
        <v>0</v>
      </c>
      <c r="O1145" s="286"/>
      <c r="P1145" s="292"/>
      <c r="Q1145" s="286"/>
      <c r="R1145" s="286"/>
      <c r="S1145" s="293"/>
      <c r="T1145" s="294"/>
      <c r="U1145" s="37">
        <v>1888</v>
      </c>
      <c r="V1145" s="36" t="str">
        <f>CONCATENATE(Cover!$D$6,"fdd/view?i=",U1145)</f>
        <v>https://www.dgiwg.org/FAD/fdd/view?i=1888</v>
      </c>
      <c r="W1145" s="172"/>
      <c r="X1145" s="172"/>
      <c r="Y1145" s="172"/>
    </row>
    <row r="1146" spans="1:25" ht="2.1" customHeight="1" x14ac:dyDescent="0.2">
      <c r="A1146" s="295"/>
      <c r="B1146" s="283"/>
      <c r="C1146" s="296"/>
      <c r="D1146" s="283"/>
      <c r="E1146" s="296"/>
      <c r="F1146" s="297"/>
      <c r="G1146" s="297"/>
      <c r="H1146" s="297"/>
      <c r="I1146" s="298"/>
      <c r="J1146" s="304"/>
      <c r="K1146" s="300"/>
      <c r="L1146" s="301"/>
      <c r="M1146" s="297" t="s">
        <v>6582</v>
      </c>
      <c r="N1146" s="297"/>
      <c r="O1146" s="297"/>
      <c r="P1146" s="297"/>
      <c r="Q1146" s="297"/>
      <c r="R1146" s="297"/>
      <c r="S1146" s="302"/>
      <c r="T1146" s="302"/>
      <c r="U1146" s="303"/>
    </row>
    <row r="1147" spans="1:25" ht="25.5" x14ac:dyDescent="0.2">
      <c r="A1147" s="212" t="str">
        <f>HYPERLINK(V1147,B1147)</f>
        <v>AgwCode</v>
      </c>
      <c r="B1147" s="283" t="s">
        <v>11582</v>
      </c>
      <c r="C1147" s="284" t="s">
        <v>15756</v>
      </c>
      <c r="D1147" s="285"/>
      <c r="E1147" s="286"/>
      <c r="F1147" s="287" t="s">
        <v>15757</v>
      </c>
      <c r="G1147" s="286"/>
      <c r="H1147" s="286"/>
      <c r="I1147" s="288"/>
      <c r="J1147" s="289"/>
      <c r="K1147" s="290"/>
      <c r="L1147" s="371" t="str">
        <f>HYPERLINK("[#]DatatypeListedValues!B6746:H6746","«enumeration»")</f>
        <v>«enumeration»</v>
      </c>
      <c r="M1147" s="287" t="s">
        <v>6582</v>
      </c>
      <c r="N1147" s="291" t="b">
        <v>0</v>
      </c>
      <c r="O1147" s="286"/>
      <c r="P1147" s="292"/>
      <c r="Q1147" s="286"/>
      <c r="R1147" s="286"/>
      <c r="S1147" s="293"/>
      <c r="T1147" s="294"/>
      <c r="U1147" s="37">
        <v>1032</v>
      </c>
      <c r="V1147" s="36" t="str">
        <f>CONCATENATE(Cover!$D$6,"fdd/view?i=",U1147)</f>
        <v>https://www.dgiwg.org/FAD/fdd/view?i=1032</v>
      </c>
      <c r="W1147" s="172"/>
      <c r="X1147" s="172"/>
      <c r="Y1147" s="172"/>
    </row>
    <row r="1148" spans="1:25" ht="2.1" customHeight="1" x14ac:dyDescent="0.2">
      <c r="A1148" s="295"/>
      <c r="B1148" s="283"/>
      <c r="C1148" s="296"/>
      <c r="D1148" s="283"/>
      <c r="E1148" s="296"/>
      <c r="F1148" s="297"/>
      <c r="G1148" s="297"/>
      <c r="H1148" s="297"/>
      <c r="I1148" s="298"/>
      <c r="J1148" s="304"/>
      <c r="K1148" s="300"/>
      <c r="L1148" s="301"/>
      <c r="M1148" s="297" t="s">
        <v>6582</v>
      </c>
      <c r="N1148" s="297"/>
      <c r="O1148" s="297"/>
      <c r="P1148" s="297"/>
      <c r="Q1148" s="297"/>
      <c r="R1148" s="297"/>
      <c r="S1148" s="302"/>
      <c r="T1148" s="302"/>
      <c r="U1148" s="303"/>
    </row>
    <row r="1149" spans="1:25" ht="25.5" x14ac:dyDescent="0.2">
      <c r="A1149" s="212" t="str">
        <f>HYPERLINK(V1149,B1149)</f>
        <v>QuaCode</v>
      </c>
      <c r="B1149" s="283" t="s">
        <v>11587</v>
      </c>
      <c r="C1149" s="284" t="s">
        <v>15758</v>
      </c>
      <c r="D1149" s="285"/>
      <c r="E1149" s="286"/>
      <c r="F1149" s="287" t="s">
        <v>15759</v>
      </c>
      <c r="G1149" s="286"/>
      <c r="H1149" s="286"/>
      <c r="I1149" s="288"/>
      <c r="J1149" s="289"/>
      <c r="K1149" s="290"/>
      <c r="L1149" s="371" t="str">
        <f>HYPERLINK("[#]DatatypeListedValues!B6755:H6755","«enumeration»")</f>
        <v>«enumeration»</v>
      </c>
      <c r="M1149" s="287" t="s">
        <v>6582</v>
      </c>
      <c r="N1149" s="291" t="b">
        <v>0</v>
      </c>
      <c r="O1149" s="286"/>
      <c r="P1149" s="292"/>
      <c r="Q1149" s="286"/>
      <c r="R1149" s="286"/>
      <c r="S1149" s="293"/>
      <c r="T1149" s="294"/>
      <c r="U1149" s="37">
        <v>1387</v>
      </c>
      <c r="V1149" s="36" t="str">
        <f>CONCATENATE(Cover!$D$6,"fdd/view?i=",U1149)</f>
        <v>https://www.dgiwg.org/FAD/fdd/view?i=1387</v>
      </c>
      <c r="W1149" s="172"/>
      <c r="X1149" s="172"/>
      <c r="Y1149" s="172"/>
    </row>
    <row r="1150" spans="1:25" ht="2.1" customHeight="1" x14ac:dyDescent="0.2">
      <c r="A1150" s="295"/>
      <c r="B1150" s="283"/>
      <c r="C1150" s="296"/>
      <c r="D1150" s="283"/>
      <c r="E1150" s="296"/>
      <c r="F1150" s="297"/>
      <c r="G1150" s="297"/>
      <c r="H1150" s="297"/>
      <c r="I1150" s="298"/>
      <c r="J1150" s="304"/>
      <c r="K1150" s="300"/>
      <c r="L1150" s="301"/>
      <c r="M1150" s="297" t="s">
        <v>6582</v>
      </c>
      <c r="N1150" s="297"/>
      <c r="O1150" s="297"/>
      <c r="P1150" s="297"/>
      <c r="Q1150" s="297"/>
      <c r="R1150" s="297"/>
      <c r="S1150" s="302"/>
      <c r="T1150" s="302"/>
      <c r="U1150" s="303"/>
    </row>
    <row r="1151" spans="1:25" ht="25.5" x14ac:dyDescent="0.2">
      <c r="A1151" s="212" t="str">
        <f>HYPERLINK(V1151,B1151)</f>
        <v>PosCode</v>
      </c>
      <c r="B1151" s="283" t="s">
        <v>11607</v>
      </c>
      <c r="C1151" s="284" t="s">
        <v>15760</v>
      </c>
      <c r="D1151" s="285"/>
      <c r="E1151" s="286"/>
      <c r="F1151" s="287" t="s">
        <v>15761</v>
      </c>
      <c r="G1151" s="286"/>
      <c r="H1151" s="286"/>
      <c r="I1151" s="288"/>
      <c r="J1151" s="289"/>
      <c r="K1151" s="290"/>
      <c r="L1151" s="371" t="str">
        <f>HYPERLINK("[#]DatatypeListedValues!B6763:H6763","«enumeration»")</f>
        <v>«enumeration»</v>
      </c>
      <c r="M1151" s="287" t="s">
        <v>6582</v>
      </c>
      <c r="N1151" s="291" t="b">
        <v>0</v>
      </c>
      <c r="O1151" s="286"/>
      <c r="P1151" s="292"/>
      <c r="Q1151" s="286"/>
      <c r="R1151" s="286"/>
      <c r="S1151" s="293"/>
      <c r="T1151" s="294"/>
      <c r="U1151" s="37">
        <v>119659</v>
      </c>
      <c r="V1151" s="36" t="str">
        <f>CONCATENATE(Cover!$D$6,"fdd/view?i=",U1151)</f>
        <v>https://www.dgiwg.org/FAD/fdd/view?i=119659</v>
      </c>
      <c r="W1151" s="172"/>
      <c r="X1151" s="172"/>
      <c r="Y1151" s="172"/>
    </row>
    <row r="1152" spans="1:25" ht="2.1" customHeight="1" x14ac:dyDescent="0.2">
      <c r="A1152" s="295"/>
      <c r="B1152" s="283"/>
      <c r="C1152" s="296"/>
      <c r="D1152" s="283"/>
      <c r="E1152" s="296"/>
      <c r="F1152" s="297"/>
      <c r="G1152" s="297"/>
      <c r="H1152" s="297"/>
      <c r="I1152" s="298"/>
      <c r="J1152" s="304"/>
      <c r="K1152" s="300"/>
      <c r="L1152" s="301"/>
      <c r="M1152" s="297" t="s">
        <v>6582</v>
      </c>
      <c r="N1152" s="297"/>
      <c r="O1152" s="297"/>
      <c r="P1152" s="297"/>
      <c r="Q1152" s="297"/>
      <c r="R1152" s="297"/>
      <c r="S1152" s="302"/>
      <c r="T1152" s="302"/>
      <c r="U1152" s="303"/>
    </row>
    <row r="1153" spans="1:25" ht="25.5" x14ac:dyDescent="0.2">
      <c r="A1153" s="212" t="str">
        <f>HYPERLINK(V1153,B1153)</f>
        <v>PpcCode</v>
      </c>
      <c r="B1153" s="283" t="s">
        <v>11612</v>
      </c>
      <c r="C1153" s="284" t="s">
        <v>15762</v>
      </c>
      <c r="D1153" s="285"/>
      <c r="E1153" s="286"/>
      <c r="F1153" s="287" t="s">
        <v>15763</v>
      </c>
      <c r="G1153" s="286"/>
      <c r="H1153" s="286"/>
      <c r="I1153" s="288"/>
      <c r="J1153" s="289"/>
      <c r="K1153" s="290"/>
      <c r="L1153" s="371" t="str">
        <f>HYPERLINK("[#]DatatypeListedValues!B6768:H6768","«enumeration»")</f>
        <v>«enumeration»</v>
      </c>
      <c r="M1153" s="287" t="s">
        <v>6582</v>
      </c>
      <c r="N1153" s="291" t="b">
        <v>0</v>
      </c>
      <c r="O1153" s="286"/>
      <c r="P1153" s="292"/>
      <c r="Q1153" s="286"/>
      <c r="R1153" s="286"/>
      <c r="S1153" s="293"/>
      <c r="T1153" s="294"/>
      <c r="U1153" s="37">
        <v>1371</v>
      </c>
      <c r="V1153" s="36" t="str">
        <f>CONCATENATE(Cover!$D$6,"fdd/view?i=",U1153)</f>
        <v>https://www.dgiwg.org/FAD/fdd/view?i=1371</v>
      </c>
      <c r="W1153" s="172"/>
      <c r="X1153" s="172"/>
      <c r="Y1153" s="172"/>
    </row>
    <row r="1154" spans="1:25" ht="2.1" customHeight="1" x14ac:dyDescent="0.2">
      <c r="A1154" s="295"/>
      <c r="B1154" s="283"/>
      <c r="C1154" s="296"/>
      <c r="D1154" s="283"/>
      <c r="E1154" s="296"/>
      <c r="F1154" s="297"/>
      <c r="G1154" s="297"/>
      <c r="H1154" s="297"/>
      <c r="I1154" s="298"/>
      <c r="J1154" s="304"/>
      <c r="K1154" s="300"/>
      <c r="L1154" s="301"/>
      <c r="M1154" s="297" t="s">
        <v>6582</v>
      </c>
      <c r="N1154" s="297"/>
      <c r="O1154" s="297"/>
      <c r="P1154" s="297"/>
      <c r="Q1154" s="297"/>
      <c r="R1154" s="297"/>
      <c r="S1154" s="302"/>
      <c r="T1154" s="302"/>
      <c r="U1154" s="303"/>
    </row>
    <row r="1155" spans="1:25" ht="25.5" x14ac:dyDescent="0.2">
      <c r="A1155" s="212" t="str">
        <f>HYPERLINK(V1155,B1155)</f>
        <v>NomCode</v>
      </c>
      <c r="B1155" s="283" t="s">
        <v>11622</v>
      </c>
      <c r="C1155" s="284" t="s">
        <v>15764</v>
      </c>
      <c r="D1155" s="285"/>
      <c r="E1155" s="286"/>
      <c r="F1155" s="287" t="s">
        <v>15765</v>
      </c>
      <c r="G1155" s="286"/>
      <c r="H1155" s="286"/>
      <c r="I1155" s="288"/>
      <c r="J1155" s="289"/>
      <c r="K1155" s="290"/>
      <c r="L1155" s="371" t="str">
        <f>HYPERLINK("[#]DatatypeListedValues!B6775:H6775","«enumeration»")</f>
        <v>«enumeration»</v>
      </c>
      <c r="M1155" s="287" t="s">
        <v>6582</v>
      </c>
      <c r="N1155" s="291" t="b">
        <v>0</v>
      </c>
      <c r="O1155" s="286"/>
      <c r="P1155" s="292"/>
      <c r="Q1155" s="286"/>
      <c r="R1155" s="286"/>
      <c r="S1155" s="293"/>
      <c r="T1155" s="294"/>
      <c r="U1155" s="37">
        <v>1880</v>
      </c>
      <c r="V1155" s="36" t="str">
        <f>CONCATENATE(Cover!$D$6,"fdd/view?i=",U1155)</f>
        <v>https://www.dgiwg.org/FAD/fdd/view?i=1880</v>
      </c>
      <c r="W1155" s="172"/>
      <c r="X1155" s="172"/>
      <c r="Y1155" s="172"/>
    </row>
    <row r="1156" spans="1:25" ht="2.1" customHeight="1" x14ac:dyDescent="0.2">
      <c r="A1156" s="295"/>
      <c r="B1156" s="283"/>
      <c r="C1156" s="296"/>
      <c r="D1156" s="283"/>
      <c r="E1156" s="296"/>
      <c r="F1156" s="297"/>
      <c r="G1156" s="297"/>
      <c r="H1156" s="297"/>
      <c r="I1156" s="298"/>
      <c r="J1156" s="304"/>
      <c r="K1156" s="300"/>
      <c r="L1156" s="301"/>
      <c r="M1156" s="297" t="s">
        <v>6582</v>
      </c>
      <c r="N1156" s="297"/>
      <c r="O1156" s="297"/>
      <c r="P1156" s="297"/>
      <c r="Q1156" s="297"/>
      <c r="R1156" s="297"/>
      <c r="S1156" s="302"/>
      <c r="T1156" s="302"/>
      <c r="U1156" s="303"/>
    </row>
    <row r="1157" spans="1:25" ht="25.5" x14ac:dyDescent="0.2">
      <c r="A1157" s="212" t="str">
        <f>HYPERLINK(V1157,B1157)</f>
        <v>SarCode</v>
      </c>
      <c r="B1157" s="283" t="s">
        <v>11627</v>
      </c>
      <c r="C1157" s="284" t="s">
        <v>15766</v>
      </c>
      <c r="D1157" s="285"/>
      <c r="E1157" s="286"/>
      <c r="F1157" s="287" t="s">
        <v>15767</v>
      </c>
      <c r="G1157" s="286"/>
      <c r="H1157" s="286"/>
      <c r="I1157" s="288"/>
      <c r="J1157" s="289"/>
      <c r="K1157" s="290"/>
      <c r="L1157" s="371" t="str">
        <f>HYPERLINK("[#]DatatypeListedValues!B6778:H6778","«enumeration»")</f>
        <v>«enumeration»</v>
      </c>
      <c r="M1157" s="287" t="s">
        <v>6582</v>
      </c>
      <c r="N1157" s="291" t="b">
        <v>0</v>
      </c>
      <c r="O1157" s="286"/>
      <c r="P1157" s="292"/>
      <c r="Q1157" s="286"/>
      <c r="R1157" s="286"/>
      <c r="S1157" s="293"/>
      <c r="T1157" s="294"/>
      <c r="U1157" s="37">
        <v>1910</v>
      </c>
      <c r="V1157" s="36" t="str">
        <f>CONCATENATE(Cover!$D$6,"fdd/view?i=",U1157)</f>
        <v>https://www.dgiwg.org/FAD/fdd/view?i=1910</v>
      </c>
      <c r="W1157" s="172"/>
      <c r="X1157" s="172"/>
      <c r="Y1157" s="172"/>
    </row>
    <row r="1158" spans="1:25" ht="2.1" customHeight="1" x14ac:dyDescent="0.2">
      <c r="A1158" s="295"/>
      <c r="B1158" s="283"/>
      <c r="C1158" s="296"/>
      <c r="D1158" s="283"/>
      <c r="E1158" s="296"/>
      <c r="F1158" s="297"/>
      <c r="G1158" s="297"/>
      <c r="H1158" s="297"/>
      <c r="I1158" s="298"/>
      <c r="J1158" s="304"/>
      <c r="K1158" s="300"/>
      <c r="L1158" s="301"/>
      <c r="M1158" s="297" t="s">
        <v>6582</v>
      </c>
      <c r="N1158" s="297"/>
      <c r="O1158" s="297"/>
      <c r="P1158" s="297"/>
      <c r="Q1158" s="297"/>
      <c r="R1158" s="297"/>
      <c r="S1158" s="302"/>
      <c r="T1158" s="302"/>
      <c r="U1158" s="303"/>
    </row>
    <row r="1159" spans="1:25" ht="25.5" x14ac:dyDescent="0.2">
      <c r="A1159" s="212" t="str">
        <f>HYPERLINK(V1159,B1159)</f>
        <v>VgzCode</v>
      </c>
      <c r="B1159" s="283" t="s">
        <v>11693</v>
      </c>
      <c r="C1159" s="284" t="s">
        <v>15768</v>
      </c>
      <c r="D1159" s="285"/>
      <c r="E1159" s="286"/>
      <c r="F1159" s="287" t="s">
        <v>15769</v>
      </c>
      <c r="G1159" s="286"/>
      <c r="H1159" s="286"/>
      <c r="I1159" s="288"/>
      <c r="J1159" s="289"/>
      <c r="K1159" s="290"/>
      <c r="L1159" s="371" t="str">
        <f>HYPERLINK("[#]DatatypeListedValues!B6783:H6783","«enumeration»")</f>
        <v>«enumeration»</v>
      </c>
      <c r="M1159" s="287" t="s">
        <v>6582</v>
      </c>
      <c r="N1159" s="291" t="b">
        <v>0</v>
      </c>
      <c r="O1159" s="286"/>
      <c r="P1159" s="292"/>
      <c r="Q1159" s="286"/>
      <c r="R1159" s="286"/>
      <c r="S1159" s="293"/>
      <c r="T1159" s="294"/>
      <c r="U1159" s="37">
        <v>3875</v>
      </c>
      <c r="V1159" s="36" t="str">
        <f>CONCATENATE(Cover!$D$6,"fdd/view?i=",U1159)</f>
        <v>https://www.dgiwg.org/FAD/fdd/view?i=3875</v>
      </c>
      <c r="W1159" s="172"/>
      <c r="X1159" s="172"/>
      <c r="Y1159" s="172"/>
    </row>
    <row r="1160" spans="1:25" ht="2.1" customHeight="1" x14ac:dyDescent="0.2">
      <c r="A1160" s="295"/>
      <c r="B1160" s="283"/>
      <c r="C1160" s="296"/>
      <c r="D1160" s="283"/>
      <c r="E1160" s="296"/>
      <c r="F1160" s="297"/>
      <c r="G1160" s="297"/>
      <c r="H1160" s="297"/>
      <c r="I1160" s="298"/>
      <c r="J1160" s="304"/>
      <c r="K1160" s="300"/>
      <c r="L1160" s="301"/>
      <c r="M1160" s="297" t="s">
        <v>6582</v>
      </c>
      <c r="N1160" s="297"/>
      <c r="O1160" s="297"/>
      <c r="P1160" s="297"/>
      <c r="Q1160" s="297"/>
      <c r="R1160" s="297"/>
      <c r="S1160" s="302"/>
      <c r="T1160" s="302"/>
      <c r="U1160" s="303"/>
    </row>
    <row r="1161" spans="1:25" ht="153" x14ac:dyDescent="0.2">
      <c r="A1161" s="212" t="str">
        <f>HYPERLINK(V1161,B1161)</f>
        <v>DtvStrucText</v>
      </c>
      <c r="B1161" s="283" t="s">
        <v>11711</v>
      </c>
      <c r="C1161" s="284" t="s">
        <v>15770</v>
      </c>
      <c r="D1161" s="285"/>
      <c r="E1161" s="286"/>
      <c r="F1161" s="287" t="s">
        <v>15771</v>
      </c>
      <c r="G1161" s="286"/>
      <c r="H1161" s="287" t="s">
        <v>14552</v>
      </c>
      <c r="I1161" s="288"/>
      <c r="J1161" s="289"/>
      <c r="K1161" s="290"/>
      <c r="L1161" s="287" t="s">
        <v>14551</v>
      </c>
      <c r="M1161" s="287" t="s">
        <v>6582</v>
      </c>
      <c r="N1161" s="286"/>
      <c r="O1161" s="287">
        <v>17</v>
      </c>
      <c r="P1161" s="305" t="b">
        <v>0</v>
      </c>
      <c r="Q1161" s="287" t="s">
        <v>15772</v>
      </c>
      <c r="R1161" s="286"/>
      <c r="S1161" s="293"/>
      <c r="T1161" s="294"/>
      <c r="U1161" s="37">
        <v>3772</v>
      </c>
      <c r="V1161" s="36" t="str">
        <f>CONCATENATE(Cover!$D$6,"fdd/view?i=",U1161)</f>
        <v>https://www.dgiwg.org/FAD/fdd/view?i=3772</v>
      </c>
      <c r="W1161" s="172"/>
      <c r="X1161" s="172"/>
      <c r="Y1161" s="172"/>
    </row>
    <row r="1162" spans="1:25" ht="2.1" customHeight="1" x14ac:dyDescent="0.2">
      <c r="A1162" s="295"/>
      <c r="B1162" s="283"/>
      <c r="C1162" s="296"/>
      <c r="D1162" s="283"/>
      <c r="E1162" s="296"/>
      <c r="F1162" s="297"/>
      <c r="G1162" s="297"/>
      <c r="H1162" s="297"/>
      <c r="I1162" s="298"/>
      <c r="J1162" s="304"/>
      <c r="K1162" s="300"/>
      <c r="L1162" s="301"/>
      <c r="M1162" s="297" t="s">
        <v>6582</v>
      </c>
      <c r="N1162" s="297"/>
      <c r="O1162" s="297"/>
      <c r="P1162" s="297"/>
      <c r="Q1162" s="297"/>
      <c r="R1162" s="297"/>
      <c r="S1162" s="302"/>
      <c r="T1162" s="302"/>
      <c r="U1162" s="303"/>
    </row>
    <row r="1163" spans="1:25" ht="25.5" x14ac:dyDescent="0.2">
      <c r="A1163" s="212" t="str">
        <f>HYPERLINK(V1163,B1163)</f>
        <v>Rd1Code</v>
      </c>
      <c r="B1163" s="283" t="s">
        <v>11720</v>
      </c>
      <c r="C1163" s="284" t="s">
        <v>15773</v>
      </c>
      <c r="D1163" s="285"/>
      <c r="E1163" s="286"/>
      <c r="F1163" s="287" t="s">
        <v>15774</v>
      </c>
      <c r="G1163" s="286"/>
      <c r="H1163" s="286"/>
      <c r="I1163" s="288"/>
      <c r="J1163" s="289"/>
      <c r="K1163" s="290"/>
      <c r="L1163" s="371" t="str">
        <f>HYPERLINK("[#]DatatypeListedValues!B6801:H6801","«enumeration»")</f>
        <v>«enumeration»</v>
      </c>
      <c r="M1163" s="287" t="s">
        <v>6582</v>
      </c>
      <c r="N1163" s="291" t="b">
        <v>0</v>
      </c>
      <c r="O1163" s="286"/>
      <c r="P1163" s="292"/>
      <c r="Q1163" s="286"/>
      <c r="R1163" s="286"/>
      <c r="S1163" s="293"/>
      <c r="T1163" s="294"/>
      <c r="U1163" s="37">
        <v>1899</v>
      </c>
      <c r="V1163" s="36" t="str">
        <f>CONCATENATE(Cover!$D$6,"fdd/view?i=",U1163)</f>
        <v>https://www.dgiwg.org/FAD/fdd/view?i=1899</v>
      </c>
      <c r="W1163" s="172"/>
      <c r="X1163" s="172"/>
      <c r="Y1163" s="172"/>
    </row>
    <row r="1164" spans="1:25" ht="2.1" customHeight="1" x14ac:dyDescent="0.2">
      <c r="A1164" s="295"/>
      <c r="B1164" s="283"/>
      <c r="C1164" s="296"/>
      <c r="D1164" s="283"/>
      <c r="E1164" s="296"/>
      <c r="F1164" s="297"/>
      <c r="G1164" s="297"/>
      <c r="H1164" s="297"/>
      <c r="I1164" s="298"/>
      <c r="J1164" s="304"/>
      <c r="K1164" s="300"/>
      <c r="L1164" s="301"/>
      <c r="M1164" s="297" t="s">
        <v>6582</v>
      </c>
      <c r="N1164" s="297"/>
      <c r="O1164" s="297"/>
      <c r="P1164" s="297"/>
      <c r="Q1164" s="297"/>
      <c r="R1164" s="297"/>
      <c r="S1164" s="302"/>
      <c r="T1164" s="302"/>
      <c r="U1164" s="303"/>
    </row>
    <row r="1165" spans="1:25" ht="38.25" x14ac:dyDescent="0.2">
      <c r="A1165" s="212" t="str">
        <f>HYPERLINK(V1165,B1165)</f>
        <v>PscCode</v>
      </c>
      <c r="B1165" s="283" t="s">
        <v>11734</v>
      </c>
      <c r="C1165" s="284" t="s">
        <v>15775</v>
      </c>
      <c r="D1165" s="285"/>
      <c r="E1165" s="286"/>
      <c r="F1165" s="287" t="s">
        <v>15776</v>
      </c>
      <c r="G1165" s="286"/>
      <c r="H1165" s="286"/>
      <c r="I1165" s="288"/>
      <c r="J1165" s="289"/>
      <c r="K1165" s="290"/>
      <c r="L1165" s="371" t="str">
        <f>HYPERLINK("[#]DatatypeListedValues!B6805:H6805","«enumeration»")</f>
        <v>«enumeration»</v>
      </c>
      <c r="M1165" s="287" t="s">
        <v>6582</v>
      </c>
      <c r="N1165" s="291" t="b">
        <v>0</v>
      </c>
      <c r="O1165" s="286"/>
      <c r="P1165" s="292"/>
      <c r="Q1165" s="286"/>
      <c r="R1165" s="286"/>
      <c r="S1165" s="293"/>
      <c r="T1165" s="294"/>
      <c r="U1165" s="37">
        <v>1382</v>
      </c>
      <c r="V1165" s="36" t="str">
        <f>CONCATENATE(Cover!$D$6,"fdd/view?i=",U1165)</f>
        <v>https://www.dgiwg.org/FAD/fdd/view?i=1382</v>
      </c>
      <c r="W1165" s="172"/>
      <c r="X1165" s="172"/>
      <c r="Y1165" s="172"/>
    </row>
    <row r="1166" spans="1:25" ht="2.1" customHeight="1" x14ac:dyDescent="0.2">
      <c r="A1166" s="295"/>
      <c r="B1166" s="283"/>
      <c r="C1166" s="296"/>
      <c r="D1166" s="283"/>
      <c r="E1166" s="296"/>
      <c r="F1166" s="297"/>
      <c r="G1166" s="297"/>
      <c r="H1166" s="297"/>
      <c r="I1166" s="298"/>
      <c r="J1166" s="304"/>
      <c r="K1166" s="300"/>
      <c r="L1166" s="301"/>
      <c r="M1166" s="297" t="s">
        <v>6582</v>
      </c>
      <c r="N1166" s="297"/>
      <c r="O1166" s="297"/>
      <c r="P1166" s="297"/>
      <c r="Q1166" s="297"/>
      <c r="R1166" s="297"/>
      <c r="S1166" s="302"/>
      <c r="T1166" s="302"/>
      <c r="U1166" s="303"/>
    </row>
    <row r="1167" spans="1:25" ht="25.5" x14ac:dyDescent="0.2">
      <c r="A1167" s="212" t="str">
        <f>HYPERLINK(V1167,B1167)</f>
        <v>PdcCode</v>
      </c>
      <c r="B1167" s="283" t="s">
        <v>11754</v>
      </c>
      <c r="C1167" s="284" t="s">
        <v>15777</v>
      </c>
      <c r="D1167" s="285"/>
      <c r="E1167" s="286"/>
      <c r="F1167" s="287" t="s">
        <v>15778</v>
      </c>
      <c r="G1167" s="286"/>
      <c r="H1167" s="286"/>
      <c r="I1167" s="288"/>
      <c r="J1167" s="289"/>
      <c r="K1167" s="290"/>
      <c r="L1167" s="371" t="str">
        <f>HYPERLINK("[#]DatatypeListedValues!B6831:H6831","«enumeration»")</f>
        <v>«enumeration»</v>
      </c>
      <c r="M1167" s="287" t="s">
        <v>6582</v>
      </c>
      <c r="N1167" s="291" t="b">
        <v>0</v>
      </c>
      <c r="O1167" s="286"/>
      <c r="P1167" s="292"/>
      <c r="Q1167" s="286"/>
      <c r="R1167" s="286"/>
      <c r="S1167" s="293"/>
      <c r="T1167" s="294"/>
      <c r="U1167" s="37">
        <v>117400</v>
      </c>
      <c r="V1167" s="36" t="str">
        <f>CONCATENATE(Cover!$D$6,"fdd/view?i=",U1167)</f>
        <v>https://www.dgiwg.org/FAD/fdd/view?i=117400</v>
      </c>
      <c r="W1167" s="172"/>
      <c r="X1167" s="172"/>
      <c r="Y1167" s="172"/>
    </row>
    <row r="1168" spans="1:25" ht="2.1" customHeight="1" x14ac:dyDescent="0.2">
      <c r="A1168" s="295"/>
      <c r="B1168" s="283"/>
      <c r="C1168" s="296"/>
      <c r="D1168" s="283"/>
      <c r="E1168" s="296"/>
      <c r="F1168" s="297"/>
      <c r="G1168" s="297"/>
      <c r="H1168" s="297"/>
      <c r="I1168" s="298"/>
      <c r="J1168" s="304"/>
      <c r="K1168" s="300"/>
      <c r="L1168" s="301"/>
      <c r="M1168" s="297" t="s">
        <v>6582</v>
      </c>
      <c r="N1168" s="297"/>
      <c r="O1168" s="297"/>
      <c r="P1168" s="297"/>
      <c r="Q1168" s="297"/>
      <c r="R1168" s="297"/>
      <c r="S1168" s="302"/>
      <c r="T1168" s="302"/>
      <c r="U1168" s="303"/>
    </row>
    <row r="1169" spans="1:25" ht="38.25" x14ac:dyDescent="0.2">
      <c r="A1169" s="212" t="str">
        <f>HYPERLINK(V1169,B1169)</f>
        <v>Pd1StrucText</v>
      </c>
      <c r="B1169" s="283" t="s">
        <v>11761</v>
      </c>
      <c r="C1169" s="284" t="s">
        <v>15779</v>
      </c>
      <c r="D1169" s="285"/>
      <c r="E1169" s="286"/>
      <c r="F1169" s="287" t="s">
        <v>15780</v>
      </c>
      <c r="G1169" s="286"/>
      <c r="H1169" s="287" t="s">
        <v>14552</v>
      </c>
      <c r="I1169" s="288"/>
      <c r="J1169" s="289"/>
      <c r="K1169" s="290"/>
      <c r="L1169" s="287" t="s">
        <v>14551</v>
      </c>
      <c r="M1169" s="287" t="s">
        <v>6582</v>
      </c>
      <c r="N1169" s="286"/>
      <c r="O1169" s="305" t="s">
        <v>14571</v>
      </c>
      <c r="P1169" s="305" t="b">
        <v>0</v>
      </c>
      <c r="Q1169" s="286"/>
      <c r="R1169" s="286"/>
      <c r="S1169" s="293"/>
      <c r="T1169" s="294"/>
      <c r="U1169" s="37">
        <v>117449</v>
      </c>
      <c r="V1169" s="36" t="str">
        <f>CONCATENATE(Cover!$D$6,"fdd/view?i=",U1169)</f>
        <v>https://www.dgiwg.org/FAD/fdd/view?i=117449</v>
      </c>
      <c r="W1169" s="172"/>
      <c r="X1169" s="172"/>
      <c r="Y1169" s="172"/>
    </row>
    <row r="1170" spans="1:25" ht="2.1" customHeight="1" x14ac:dyDescent="0.2">
      <c r="A1170" s="295"/>
      <c r="B1170" s="283"/>
      <c r="C1170" s="296"/>
      <c r="D1170" s="283"/>
      <c r="E1170" s="296"/>
      <c r="F1170" s="297"/>
      <c r="G1170" s="297"/>
      <c r="H1170" s="297"/>
      <c r="I1170" s="298"/>
      <c r="J1170" s="304"/>
      <c r="K1170" s="300"/>
      <c r="L1170" s="301"/>
      <c r="M1170" s="297" t="s">
        <v>6582</v>
      </c>
      <c r="N1170" s="297"/>
      <c r="O1170" s="297"/>
      <c r="P1170" s="297"/>
      <c r="Q1170" s="297"/>
      <c r="R1170" s="297"/>
      <c r="S1170" s="302"/>
      <c r="T1170" s="302"/>
      <c r="U1170" s="303"/>
    </row>
    <row r="1171" spans="1:25" ht="38.25" x14ac:dyDescent="0.2">
      <c r="A1171" s="212" t="str">
        <f>HYPERLINK(V1171,B1171)</f>
        <v>PidStrucText</v>
      </c>
      <c r="B1171" s="283" t="s">
        <v>11768</v>
      </c>
      <c r="C1171" s="284" t="s">
        <v>15781</v>
      </c>
      <c r="D1171" s="285"/>
      <c r="E1171" s="286"/>
      <c r="F1171" s="287" t="s">
        <v>15782</v>
      </c>
      <c r="G1171" s="286"/>
      <c r="H1171" s="287" t="s">
        <v>14552</v>
      </c>
      <c r="I1171" s="288"/>
      <c r="J1171" s="289"/>
      <c r="K1171" s="290"/>
      <c r="L1171" s="287" t="s">
        <v>14551</v>
      </c>
      <c r="M1171" s="287" t="s">
        <v>6582</v>
      </c>
      <c r="N1171" s="286"/>
      <c r="O1171" s="305" t="s">
        <v>14571</v>
      </c>
      <c r="P1171" s="305" t="b">
        <v>0</v>
      </c>
      <c r="Q1171" s="286"/>
      <c r="R1171" s="286"/>
      <c r="S1171" s="293"/>
      <c r="T1171" s="294"/>
      <c r="U1171" s="37">
        <v>117451</v>
      </c>
      <c r="V1171" s="36" t="str">
        <f>CONCATENATE(Cover!$D$6,"fdd/view?i=",U1171)</f>
        <v>https://www.dgiwg.org/FAD/fdd/view?i=117451</v>
      </c>
      <c r="W1171" s="172"/>
      <c r="X1171" s="172"/>
      <c r="Y1171" s="172"/>
    </row>
    <row r="1172" spans="1:25" ht="2.1" customHeight="1" x14ac:dyDescent="0.2">
      <c r="A1172" s="295"/>
      <c r="B1172" s="283"/>
      <c r="C1172" s="296"/>
      <c r="D1172" s="283"/>
      <c r="E1172" s="296"/>
      <c r="F1172" s="297"/>
      <c r="G1172" s="297"/>
      <c r="H1172" s="297"/>
      <c r="I1172" s="298"/>
      <c r="J1172" s="304"/>
      <c r="K1172" s="300"/>
      <c r="L1172" s="301"/>
      <c r="M1172" s="297" t="s">
        <v>6582</v>
      </c>
      <c r="N1172" s="297"/>
      <c r="O1172" s="297"/>
      <c r="P1172" s="297"/>
      <c r="Q1172" s="297"/>
      <c r="R1172" s="297"/>
      <c r="S1172" s="302"/>
      <c r="T1172" s="302"/>
      <c r="U1172" s="303"/>
    </row>
    <row r="1173" spans="1:25" ht="25.5" x14ac:dyDescent="0.2">
      <c r="A1173" s="212" t="str">
        <f>HYPERLINK(V1173,B1173)</f>
        <v>PmtCode</v>
      </c>
      <c r="B1173" s="283" t="s">
        <v>11777</v>
      </c>
      <c r="C1173" s="284" t="s">
        <v>15783</v>
      </c>
      <c r="D1173" s="285"/>
      <c r="E1173" s="286"/>
      <c r="F1173" s="287" t="s">
        <v>15784</v>
      </c>
      <c r="G1173" s="286"/>
      <c r="H1173" s="286"/>
      <c r="I1173" s="288"/>
      <c r="J1173" s="289"/>
      <c r="K1173" s="290"/>
      <c r="L1173" s="371" t="str">
        <f>HYPERLINK("[#]DatatypeListedValues!B6835:H6835","«enumeration»")</f>
        <v>«enumeration»</v>
      </c>
      <c r="M1173" s="287" t="s">
        <v>6582</v>
      </c>
      <c r="N1173" s="291" t="b">
        <v>0</v>
      </c>
      <c r="O1173" s="286"/>
      <c r="P1173" s="292"/>
      <c r="Q1173" s="286"/>
      <c r="R1173" s="286"/>
      <c r="S1173" s="293"/>
      <c r="T1173" s="294"/>
      <c r="U1173" s="37">
        <v>119661</v>
      </c>
      <c r="V1173" s="36" t="str">
        <f>CONCATENATE(Cover!$D$6,"fdd/view?i=",U1173)</f>
        <v>https://www.dgiwg.org/FAD/fdd/view?i=119661</v>
      </c>
      <c r="W1173" s="172"/>
      <c r="X1173" s="172"/>
      <c r="Y1173" s="172"/>
    </row>
    <row r="1174" spans="1:25" ht="2.1" customHeight="1" x14ac:dyDescent="0.2">
      <c r="A1174" s="295"/>
      <c r="B1174" s="283"/>
      <c r="C1174" s="296"/>
      <c r="D1174" s="283"/>
      <c r="E1174" s="296"/>
      <c r="F1174" s="297"/>
      <c r="G1174" s="297"/>
      <c r="H1174" s="297"/>
      <c r="I1174" s="298"/>
      <c r="J1174" s="304"/>
      <c r="K1174" s="300"/>
      <c r="L1174" s="301"/>
      <c r="M1174" s="297" t="s">
        <v>6582</v>
      </c>
      <c r="N1174" s="297"/>
      <c r="O1174" s="297"/>
      <c r="P1174" s="297"/>
      <c r="Q1174" s="297"/>
      <c r="R1174" s="297"/>
      <c r="S1174" s="302"/>
      <c r="T1174" s="302"/>
      <c r="U1174" s="303"/>
    </row>
    <row r="1175" spans="1:25" ht="38.25" x14ac:dyDescent="0.2">
      <c r="A1175" s="212" t="str">
        <f>HYPERLINK(V1175,B1175)</f>
        <v>PtsStrucText</v>
      </c>
      <c r="B1175" s="283" t="s">
        <v>11803</v>
      </c>
      <c r="C1175" s="284" t="s">
        <v>15785</v>
      </c>
      <c r="D1175" s="285"/>
      <c r="E1175" s="286"/>
      <c r="F1175" s="287" t="s">
        <v>15786</v>
      </c>
      <c r="G1175" s="286"/>
      <c r="H1175" s="287" t="s">
        <v>14552</v>
      </c>
      <c r="I1175" s="288"/>
      <c r="J1175" s="289"/>
      <c r="K1175" s="290"/>
      <c r="L1175" s="287" t="s">
        <v>14551</v>
      </c>
      <c r="M1175" s="287" t="s">
        <v>6582</v>
      </c>
      <c r="N1175" s="286"/>
      <c r="O1175" s="287">
        <v>5</v>
      </c>
      <c r="P1175" s="305" t="b">
        <v>0</v>
      </c>
      <c r="Q1175" s="287" t="s">
        <v>15787</v>
      </c>
      <c r="R1175" s="286"/>
      <c r="S1175" s="293"/>
      <c r="T1175" s="294"/>
      <c r="U1175" s="37">
        <v>117452</v>
      </c>
      <c r="V1175" s="36" t="str">
        <f>CONCATENATE(Cover!$D$6,"fdd/view?i=",U1175)</f>
        <v>https://www.dgiwg.org/FAD/fdd/view?i=117452</v>
      </c>
      <c r="W1175" s="172"/>
      <c r="X1175" s="172"/>
      <c r="Y1175" s="172"/>
    </row>
    <row r="1176" spans="1:25" ht="2.1" customHeight="1" x14ac:dyDescent="0.2">
      <c r="A1176" s="295"/>
      <c r="B1176" s="283"/>
      <c r="C1176" s="296"/>
      <c r="D1176" s="283"/>
      <c r="E1176" s="296"/>
      <c r="F1176" s="297"/>
      <c r="G1176" s="297"/>
      <c r="H1176" s="297"/>
      <c r="I1176" s="298"/>
      <c r="J1176" s="304"/>
      <c r="K1176" s="300"/>
      <c r="L1176" s="301"/>
      <c r="M1176" s="297" t="s">
        <v>6582</v>
      </c>
      <c r="N1176" s="297"/>
      <c r="O1176" s="297"/>
      <c r="P1176" s="297"/>
      <c r="Q1176" s="297"/>
      <c r="R1176" s="297"/>
      <c r="S1176" s="302"/>
      <c r="T1176" s="302"/>
      <c r="U1176" s="303"/>
    </row>
    <row r="1177" spans="1:25" ht="344.25" x14ac:dyDescent="0.2">
      <c r="A1177" s="212" t="str">
        <f>HYPERLINK(V1177,B1177)</f>
        <v>PrdStrucText</v>
      </c>
      <c r="B1177" s="283" t="s">
        <v>11822</v>
      </c>
      <c r="C1177" s="284" t="s">
        <v>15788</v>
      </c>
      <c r="D1177" s="285"/>
      <c r="E1177" s="286"/>
      <c r="F1177" s="287" t="s">
        <v>15789</v>
      </c>
      <c r="G1177" s="286"/>
      <c r="H1177" s="287" t="s">
        <v>14552</v>
      </c>
      <c r="I1177" s="288"/>
      <c r="J1177" s="289"/>
      <c r="K1177" s="290"/>
      <c r="L1177" s="287" t="s">
        <v>14551</v>
      </c>
      <c r="M1177" s="287" t="s">
        <v>6582</v>
      </c>
      <c r="N1177" s="286"/>
      <c r="O1177" s="287">
        <v>41</v>
      </c>
      <c r="P1177" s="305" t="b">
        <v>0</v>
      </c>
      <c r="Q1177" s="287" t="s">
        <v>15790</v>
      </c>
      <c r="R1177" s="286"/>
      <c r="S1177" s="293"/>
      <c r="T1177" s="294"/>
      <c r="U1177" s="37">
        <v>1890</v>
      </c>
      <c r="V1177" s="36" t="str">
        <f>CONCATENATE(Cover!$D$6,"fdd/view?i=",U1177)</f>
        <v>https://www.dgiwg.org/FAD/fdd/view?i=1890</v>
      </c>
      <c r="W1177" s="172"/>
      <c r="X1177" s="172"/>
      <c r="Y1177" s="172"/>
    </row>
    <row r="1178" spans="1:25" ht="2.1" customHeight="1" x14ac:dyDescent="0.2">
      <c r="A1178" s="295"/>
      <c r="B1178" s="283"/>
      <c r="C1178" s="296"/>
      <c r="D1178" s="283"/>
      <c r="E1178" s="296"/>
      <c r="F1178" s="297"/>
      <c r="G1178" s="297"/>
      <c r="H1178" s="297"/>
      <c r="I1178" s="298"/>
      <c r="J1178" s="304"/>
      <c r="K1178" s="300"/>
      <c r="L1178" s="301"/>
      <c r="M1178" s="297" t="s">
        <v>6582</v>
      </c>
      <c r="N1178" s="297"/>
      <c r="O1178" s="297"/>
      <c r="P1178" s="297"/>
      <c r="Q1178" s="297"/>
      <c r="R1178" s="297"/>
      <c r="S1178" s="302"/>
      <c r="T1178" s="302"/>
      <c r="U1178" s="303"/>
    </row>
    <row r="1179" spans="1:25" ht="38.25" x14ac:dyDescent="0.2">
      <c r="A1179" s="212" t="str">
        <f>HYPERLINK(V1179,B1179)</f>
        <v>PreStrucText</v>
      </c>
      <c r="B1179" s="283" t="s">
        <v>11828</v>
      </c>
      <c r="C1179" s="284" t="s">
        <v>15791</v>
      </c>
      <c r="D1179" s="285"/>
      <c r="E1179" s="286"/>
      <c r="F1179" s="287" t="s">
        <v>15792</v>
      </c>
      <c r="G1179" s="286"/>
      <c r="H1179" s="287" t="s">
        <v>14552</v>
      </c>
      <c r="I1179" s="288"/>
      <c r="J1179" s="289"/>
      <c r="K1179" s="290"/>
      <c r="L1179" s="287" t="s">
        <v>14551</v>
      </c>
      <c r="M1179" s="287" t="s">
        <v>6582</v>
      </c>
      <c r="N1179" s="286"/>
      <c r="O1179" s="305" t="s">
        <v>14571</v>
      </c>
      <c r="P1179" s="287" t="b">
        <v>1</v>
      </c>
      <c r="Q1179" s="287" t="s">
        <v>15793</v>
      </c>
      <c r="R1179" s="286"/>
      <c r="S1179" s="293"/>
      <c r="T1179" s="294"/>
      <c r="U1179" s="37">
        <v>1891</v>
      </c>
      <c r="V1179" s="36" t="str">
        <f>CONCATENATE(Cover!$D$6,"fdd/view?i=",U1179)</f>
        <v>https://www.dgiwg.org/FAD/fdd/view?i=1891</v>
      </c>
      <c r="W1179" s="172"/>
      <c r="X1179" s="172"/>
      <c r="Y1179" s="172"/>
    </row>
    <row r="1180" spans="1:25" ht="2.1" customHeight="1" x14ac:dyDescent="0.2">
      <c r="A1180" s="295"/>
      <c r="B1180" s="283"/>
      <c r="C1180" s="296"/>
      <c r="D1180" s="283"/>
      <c r="E1180" s="296"/>
      <c r="F1180" s="297"/>
      <c r="G1180" s="297"/>
      <c r="H1180" s="297"/>
      <c r="I1180" s="298"/>
      <c r="J1180" s="304"/>
      <c r="K1180" s="300"/>
      <c r="L1180" s="301"/>
      <c r="M1180" s="297" t="s">
        <v>6582</v>
      </c>
      <c r="N1180" s="297"/>
      <c r="O1180" s="297"/>
      <c r="P1180" s="297"/>
      <c r="Q1180" s="297"/>
      <c r="R1180" s="297"/>
      <c r="S1180" s="302"/>
      <c r="T1180" s="302"/>
      <c r="U1180" s="303"/>
    </row>
    <row r="1181" spans="1:25" ht="38.25" x14ac:dyDescent="0.2">
      <c r="A1181" s="212" t="str">
        <f>HYPERLINK(V1181,B1181)</f>
        <v>PspStrucText</v>
      </c>
      <c r="B1181" s="283" t="s">
        <v>11833</v>
      </c>
      <c r="C1181" s="284" t="s">
        <v>15794</v>
      </c>
      <c r="D1181" s="285"/>
      <c r="E1181" s="286"/>
      <c r="F1181" s="287" t="s">
        <v>15795</v>
      </c>
      <c r="G1181" s="286"/>
      <c r="H1181" s="287" t="s">
        <v>14552</v>
      </c>
      <c r="I1181" s="288"/>
      <c r="J1181" s="289"/>
      <c r="K1181" s="290"/>
      <c r="L1181" s="287" t="s">
        <v>14551</v>
      </c>
      <c r="M1181" s="287" t="s">
        <v>6582</v>
      </c>
      <c r="N1181" s="286"/>
      <c r="O1181" s="305" t="s">
        <v>14571</v>
      </c>
      <c r="P1181" s="287" t="b">
        <v>1</v>
      </c>
      <c r="Q1181" s="287" t="s">
        <v>15796</v>
      </c>
      <c r="R1181" s="286"/>
      <c r="S1181" s="293"/>
      <c r="T1181" s="294"/>
      <c r="U1181" s="37">
        <v>1895</v>
      </c>
      <c r="V1181" s="36" t="str">
        <f>CONCATENATE(Cover!$D$6,"fdd/view?i=",U1181)</f>
        <v>https://www.dgiwg.org/FAD/fdd/view?i=1895</v>
      </c>
      <c r="W1181" s="172"/>
      <c r="X1181" s="172"/>
      <c r="Y1181" s="172"/>
    </row>
    <row r="1182" spans="1:25" ht="2.1" customHeight="1" x14ac:dyDescent="0.2">
      <c r="A1182" s="295"/>
      <c r="B1182" s="283"/>
      <c r="C1182" s="296"/>
      <c r="D1182" s="283"/>
      <c r="E1182" s="296"/>
      <c r="F1182" s="297"/>
      <c r="G1182" s="297"/>
      <c r="H1182" s="297"/>
      <c r="I1182" s="298"/>
      <c r="J1182" s="304"/>
      <c r="K1182" s="300"/>
      <c r="L1182" s="301"/>
      <c r="M1182" s="297" t="s">
        <v>6582</v>
      </c>
      <c r="N1182" s="297"/>
      <c r="O1182" s="297"/>
      <c r="P1182" s="297"/>
      <c r="Q1182" s="297"/>
      <c r="R1182" s="297"/>
      <c r="S1182" s="302"/>
      <c r="T1182" s="302"/>
      <c r="U1182" s="303"/>
    </row>
    <row r="1183" spans="1:25" ht="38.25" x14ac:dyDescent="0.2">
      <c r="A1183" s="212" t="str">
        <f>HYPERLINK(V1183,B1183)</f>
        <v>PrrStrucText</v>
      </c>
      <c r="B1183" s="283" t="s">
        <v>11839</v>
      </c>
      <c r="C1183" s="284" t="s">
        <v>15797</v>
      </c>
      <c r="D1183" s="285"/>
      <c r="E1183" s="286"/>
      <c r="F1183" s="287" t="s">
        <v>15798</v>
      </c>
      <c r="G1183" s="286"/>
      <c r="H1183" s="287" t="s">
        <v>14552</v>
      </c>
      <c r="I1183" s="288"/>
      <c r="J1183" s="289"/>
      <c r="K1183" s="290"/>
      <c r="L1183" s="287" t="s">
        <v>14551</v>
      </c>
      <c r="M1183" s="287" t="s">
        <v>6582</v>
      </c>
      <c r="N1183" s="286"/>
      <c r="O1183" s="305" t="s">
        <v>14571</v>
      </c>
      <c r="P1183" s="287" t="b">
        <v>1</v>
      </c>
      <c r="Q1183" s="287" t="s">
        <v>15799</v>
      </c>
      <c r="R1183" s="286"/>
      <c r="S1183" s="293"/>
      <c r="T1183" s="294"/>
      <c r="U1183" s="37">
        <v>1893</v>
      </c>
      <c r="V1183" s="36" t="str">
        <f>CONCATENATE(Cover!$D$6,"fdd/view?i=",U1183)</f>
        <v>https://www.dgiwg.org/FAD/fdd/view?i=1893</v>
      </c>
      <c r="W1183" s="172"/>
      <c r="X1183" s="172"/>
      <c r="Y1183" s="172"/>
    </row>
    <row r="1184" spans="1:25" ht="2.1" customHeight="1" x14ac:dyDescent="0.2">
      <c r="A1184" s="295"/>
      <c r="B1184" s="283"/>
      <c r="C1184" s="296"/>
      <c r="D1184" s="283"/>
      <c r="E1184" s="296"/>
      <c r="F1184" s="297"/>
      <c r="G1184" s="297"/>
      <c r="H1184" s="297"/>
      <c r="I1184" s="298"/>
      <c r="J1184" s="304"/>
      <c r="K1184" s="300"/>
      <c r="L1184" s="301"/>
      <c r="M1184" s="297" t="s">
        <v>6582</v>
      </c>
      <c r="N1184" s="297"/>
      <c r="O1184" s="297"/>
      <c r="P1184" s="297"/>
      <c r="Q1184" s="297"/>
      <c r="R1184" s="297"/>
      <c r="S1184" s="302"/>
      <c r="T1184" s="302"/>
      <c r="U1184" s="303"/>
    </row>
    <row r="1185" spans="1:25" ht="25.5" x14ac:dyDescent="0.2">
      <c r="A1185" s="212" t="str">
        <f>HYPERLINK(V1185,B1185)</f>
        <v>PpoCode</v>
      </c>
      <c r="B1185" s="283" t="s">
        <v>11845</v>
      </c>
      <c r="C1185" s="284" t="s">
        <v>15800</v>
      </c>
      <c r="D1185" s="285"/>
      <c r="E1185" s="286"/>
      <c r="F1185" s="287" t="s">
        <v>15801</v>
      </c>
      <c r="G1185" s="286"/>
      <c r="H1185" s="286"/>
      <c r="I1185" s="288"/>
      <c r="J1185" s="289"/>
      <c r="K1185" s="290"/>
      <c r="L1185" s="371" t="str">
        <f>HYPERLINK("[#]DatatypeListedValues!B6837:H6837","«enumeration»")</f>
        <v>«enumeration»</v>
      </c>
      <c r="M1185" s="287" t="s">
        <v>6582</v>
      </c>
      <c r="N1185" s="291" t="b">
        <v>0</v>
      </c>
      <c r="O1185" s="286"/>
      <c r="P1185" s="292"/>
      <c r="Q1185" s="286"/>
      <c r="R1185" s="286"/>
      <c r="S1185" s="293"/>
      <c r="T1185" s="294"/>
      <c r="U1185" s="37">
        <v>1372</v>
      </c>
      <c r="V1185" s="36" t="str">
        <f>CONCATENATE(Cover!$D$6,"fdd/view?i=",U1185)</f>
        <v>https://www.dgiwg.org/FAD/fdd/view?i=1372</v>
      </c>
      <c r="W1185" s="172"/>
      <c r="X1185" s="172"/>
      <c r="Y1185" s="172"/>
    </row>
    <row r="1186" spans="1:25" ht="2.1" customHeight="1" x14ac:dyDescent="0.2">
      <c r="A1186" s="295"/>
      <c r="B1186" s="283"/>
      <c r="C1186" s="296"/>
      <c r="D1186" s="283"/>
      <c r="E1186" s="296"/>
      <c r="F1186" s="297"/>
      <c r="G1186" s="297"/>
      <c r="H1186" s="297"/>
      <c r="I1186" s="298"/>
      <c r="J1186" s="304"/>
      <c r="K1186" s="300"/>
      <c r="L1186" s="301"/>
      <c r="M1186" s="297" t="s">
        <v>6582</v>
      </c>
      <c r="N1186" s="297"/>
      <c r="O1186" s="297"/>
      <c r="P1186" s="297"/>
      <c r="Q1186" s="297"/>
      <c r="R1186" s="297"/>
      <c r="S1186" s="302"/>
      <c r="T1186" s="302"/>
      <c r="U1186" s="303"/>
    </row>
    <row r="1187" spans="1:25" ht="25.5" x14ac:dyDescent="0.2">
      <c r="A1187" s="212" t="str">
        <f>HYPERLINK(V1187,B1187)</f>
        <v>PneCode</v>
      </c>
      <c r="B1187" s="283" t="s">
        <v>11854</v>
      </c>
      <c r="C1187" s="284" t="s">
        <v>15802</v>
      </c>
      <c r="D1187" s="285"/>
      <c r="E1187" s="286"/>
      <c r="F1187" s="287" t="s">
        <v>15803</v>
      </c>
      <c r="G1187" s="286"/>
      <c r="H1187" s="286"/>
      <c r="I1187" s="288"/>
      <c r="J1187" s="289"/>
      <c r="K1187" s="290"/>
      <c r="L1187" s="371" t="str">
        <f>HYPERLINK("[#]DatatypeListedValues!B6994:H6994","«enumeration»")</f>
        <v>«enumeration»</v>
      </c>
      <c r="M1187" s="287" t="s">
        <v>6582</v>
      </c>
      <c r="N1187" s="291" t="b">
        <v>0</v>
      </c>
      <c r="O1187" s="286"/>
      <c r="P1187" s="292"/>
      <c r="Q1187" s="286"/>
      <c r="R1187" s="286"/>
      <c r="S1187" s="293"/>
      <c r="T1187" s="294"/>
      <c r="U1187" s="37">
        <v>1887</v>
      </c>
      <c r="V1187" s="36" t="str">
        <f>CONCATENATE(Cover!$D$6,"fdd/view?i=",U1187)</f>
        <v>https://www.dgiwg.org/FAD/fdd/view?i=1887</v>
      </c>
      <c r="W1187" s="172"/>
      <c r="X1187" s="172"/>
      <c r="Y1187" s="172"/>
    </row>
    <row r="1188" spans="1:25" ht="2.1" customHeight="1" x14ac:dyDescent="0.2">
      <c r="A1188" s="295"/>
      <c r="B1188" s="283"/>
      <c r="C1188" s="296"/>
      <c r="D1188" s="283"/>
      <c r="E1188" s="296"/>
      <c r="F1188" s="297"/>
      <c r="G1188" s="297"/>
      <c r="H1188" s="297"/>
      <c r="I1188" s="298"/>
      <c r="J1188" s="304"/>
      <c r="K1188" s="300"/>
      <c r="L1188" s="301"/>
      <c r="M1188" s="297" t="s">
        <v>6582</v>
      </c>
      <c r="N1188" s="297"/>
      <c r="O1188" s="297"/>
      <c r="P1188" s="297"/>
      <c r="Q1188" s="297"/>
      <c r="R1188" s="297"/>
      <c r="S1188" s="302"/>
      <c r="T1188" s="302"/>
      <c r="U1188" s="303"/>
    </row>
    <row r="1189" spans="1:25" ht="25.5" x14ac:dyDescent="0.2">
      <c r="A1189" s="212" t="str">
        <f>HYPERLINK(V1189,B1189)</f>
        <v>PitCode</v>
      </c>
      <c r="B1189" s="283" t="s">
        <v>11860</v>
      </c>
      <c r="C1189" s="284" t="s">
        <v>15804</v>
      </c>
      <c r="D1189" s="285"/>
      <c r="E1189" s="286"/>
      <c r="F1189" s="287" t="s">
        <v>15805</v>
      </c>
      <c r="G1189" s="286"/>
      <c r="H1189" s="286"/>
      <c r="I1189" s="288"/>
      <c r="J1189" s="289"/>
      <c r="K1189" s="290"/>
      <c r="L1189" s="371" t="str">
        <f>HYPERLINK("[#]DatatypeListedValues!B6998:H6998","«enumeration»")</f>
        <v>«enumeration»</v>
      </c>
      <c r="M1189" s="287" t="s">
        <v>6582</v>
      </c>
      <c r="N1189" s="291" t="b">
        <v>0</v>
      </c>
      <c r="O1189" s="286"/>
      <c r="P1189" s="292"/>
      <c r="Q1189" s="286"/>
      <c r="R1189" s="286"/>
      <c r="S1189" s="293"/>
      <c r="T1189" s="294"/>
      <c r="U1189" s="37">
        <v>1886</v>
      </c>
      <c r="V1189" s="36" t="str">
        <f>CONCATENATE(Cover!$D$6,"fdd/view?i=",U1189)</f>
        <v>https://www.dgiwg.org/FAD/fdd/view?i=1886</v>
      </c>
      <c r="W1189" s="172"/>
      <c r="X1189" s="172"/>
      <c r="Y1189" s="172"/>
    </row>
    <row r="1190" spans="1:25" ht="2.1" customHeight="1" x14ac:dyDescent="0.2">
      <c r="A1190" s="295"/>
      <c r="B1190" s="283"/>
      <c r="C1190" s="296"/>
      <c r="D1190" s="283"/>
      <c r="E1190" s="296"/>
      <c r="F1190" s="297"/>
      <c r="G1190" s="297"/>
      <c r="H1190" s="297"/>
      <c r="I1190" s="298"/>
      <c r="J1190" s="304"/>
      <c r="K1190" s="300"/>
      <c r="L1190" s="301"/>
      <c r="M1190" s="297" t="s">
        <v>6582</v>
      </c>
      <c r="N1190" s="297"/>
      <c r="O1190" s="297"/>
      <c r="P1190" s="297"/>
      <c r="Q1190" s="297"/>
      <c r="R1190" s="297"/>
      <c r="S1190" s="302"/>
      <c r="T1190" s="302"/>
      <c r="U1190" s="303"/>
    </row>
    <row r="1191" spans="1:25" ht="25.5" x14ac:dyDescent="0.2">
      <c r="A1191" s="212" t="str">
        <f>HYPERLINK(V1191,B1191)</f>
        <v>PafCode</v>
      </c>
      <c r="B1191" s="283" t="s">
        <v>11871</v>
      </c>
      <c r="C1191" s="284" t="s">
        <v>15806</v>
      </c>
      <c r="D1191" s="285"/>
      <c r="E1191" s="286"/>
      <c r="F1191" s="287" t="s">
        <v>15807</v>
      </c>
      <c r="G1191" s="286"/>
      <c r="H1191" s="286"/>
      <c r="I1191" s="288"/>
      <c r="J1191" s="289"/>
      <c r="K1191" s="290"/>
      <c r="L1191" s="371" t="str">
        <f>HYPERLINK("[#]DatatypeListedValues!B7004:H7004","«enumeration»")</f>
        <v>«enumeration»</v>
      </c>
      <c r="M1191" s="287" t="s">
        <v>6582</v>
      </c>
      <c r="N1191" s="291" t="b">
        <v>0</v>
      </c>
      <c r="O1191" s="286"/>
      <c r="P1191" s="292"/>
      <c r="Q1191" s="286"/>
      <c r="R1191" s="286"/>
      <c r="S1191" s="293"/>
      <c r="T1191" s="294"/>
      <c r="U1191" s="37">
        <v>1357</v>
      </c>
      <c r="V1191" s="36" t="str">
        <f>CONCATENATE(Cover!$D$6,"fdd/view?i=",U1191)</f>
        <v>https://www.dgiwg.org/FAD/fdd/view?i=1357</v>
      </c>
      <c r="W1191" s="172"/>
      <c r="X1191" s="172"/>
      <c r="Y1191" s="172"/>
    </row>
    <row r="1192" spans="1:25" ht="2.1" customHeight="1" x14ac:dyDescent="0.2">
      <c r="A1192" s="295"/>
      <c r="B1192" s="283"/>
      <c r="C1192" s="296"/>
      <c r="D1192" s="283"/>
      <c r="E1192" s="296"/>
      <c r="F1192" s="297"/>
      <c r="G1192" s="297"/>
      <c r="H1192" s="297"/>
      <c r="I1192" s="298"/>
      <c r="J1192" s="304"/>
      <c r="K1192" s="300"/>
      <c r="L1192" s="301"/>
      <c r="M1192" s="297" t="s">
        <v>6582</v>
      </c>
      <c r="N1192" s="297"/>
      <c r="O1192" s="297"/>
      <c r="P1192" s="297"/>
      <c r="Q1192" s="297"/>
      <c r="R1192" s="297"/>
      <c r="S1192" s="302"/>
      <c r="T1192" s="302"/>
      <c r="U1192" s="303"/>
    </row>
    <row r="1193" spans="1:25" ht="25.5" x14ac:dyDescent="0.2">
      <c r="A1193" s="212" t="str">
        <f>HYPERLINK(V1193,B1193)</f>
        <v>PsfCode</v>
      </c>
      <c r="B1193" s="283" t="s">
        <v>11877</v>
      </c>
      <c r="C1193" s="284" t="s">
        <v>15808</v>
      </c>
      <c r="D1193" s="285"/>
      <c r="E1193" s="286"/>
      <c r="F1193" s="287" t="s">
        <v>15809</v>
      </c>
      <c r="G1193" s="286"/>
      <c r="H1193" s="286"/>
      <c r="I1193" s="288"/>
      <c r="J1193" s="289"/>
      <c r="K1193" s="290"/>
      <c r="L1193" s="371" t="str">
        <f>HYPERLINK("[#]DatatypeListedValues!B7012:H7012","«enumeration»")</f>
        <v>«enumeration»</v>
      </c>
      <c r="M1193" s="287" t="s">
        <v>6582</v>
      </c>
      <c r="N1193" s="291" t="b">
        <v>0</v>
      </c>
      <c r="O1193" s="286"/>
      <c r="P1193" s="292"/>
      <c r="Q1193" s="286"/>
      <c r="R1193" s="286"/>
      <c r="S1193" s="293"/>
      <c r="T1193" s="294"/>
      <c r="U1193" s="37">
        <v>1383</v>
      </c>
      <c r="V1193" s="36" t="str">
        <f>CONCATENATE(Cover!$D$6,"fdd/view?i=",U1193)</f>
        <v>https://www.dgiwg.org/FAD/fdd/view?i=1383</v>
      </c>
      <c r="W1193" s="172"/>
      <c r="X1193" s="172"/>
      <c r="Y1193" s="172"/>
    </row>
    <row r="1194" spans="1:25" ht="2.1" customHeight="1" x14ac:dyDescent="0.2">
      <c r="A1194" s="295"/>
      <c r="B1194" s="283"/>
      <c r="C1194" s="296"/>
      <c r="D1194" s="283"/>
      <c r="E1194" s="296"/>
      <c r="F1194" s="297"/>
      <c r="G1194" s="297"/>
      <c r="H1194" s="297"/>
      <c r="I1194" s="298"/>
      <c r="J1194" s="304"/>
      <c r="K1194" s="300"/>
      <c r="L1194" s="301"/>
      <c r="M1194" s="297" t="s">
        <v>6582</v>
      </c>
      <c r="N1194" s="297"/>
      <c r="O1194" s="297"/>
      <c r="P1194" s="297"/>
      <c r="Q1194" s="297"/>
      <c r="R1194" s="297"/>
      <c r="S1194" s="302"/>
      <c r="T1194" s="302"/>
      <c r="U1194" s="303"/>
    </row>
    <row r="1195" spans="1:25" ht="25.5" x14ac:dyDescent="0.2">
      <c r="A1195" s="212" t="str">
        <f>HYPERLINK(V1195,B1195)</f>
        <v>PycCode</v>
      </c>
      <c r="B1195" s="283" t="s">
        <v>11886</v>
      </c>
      <c r="C1195" s="284" t="s">
        <v>15810</v>
      </c>
      <c r="D1195" s="285"/>
      <c r="E1195" s="286"/>
      <c r="F1195" s="287" t="s">
        <v>15811</v>
      </c>
      <c r="G1195" s="286"/>
      <c r="H1195" s="286"/>
      <c r="I1195" s="288"/>
      <c r="J1195" s="289"/>
      <c r="K1195" s="290"/>
      <c r="L1195" s="371" t="str">
        <f>HYPERLINK("[#]DatatypeListedValues!B7029:H7029","«enumeration»")</f>
        <v>«enumeration»</v>
      </c>
      <c r="M1195" s="287" t="s">
        <v>6582</v>
      </c>
      <c r="N1195" s="291" t="b">
        <v>0</v>
      </c>
      <c r="O1195" s="286"/>
      <c r="P1195" s="292"/>
      <c r="Q1195" s="286"/>
      <c r="R1195" s="286"/>
      <c r="S1195" s="293"/>
      <c r="T1195" s="294"/>
      <c r="U1195" s="37">
        <v>1898</v>
      </c>
      <c r="V1195" s="36" t="str">
        <f>CONCATENATE(Cover!$D$6,"fdd/view?i=",U1195)</f>
        <v>https://www.dgiwg.org/FAD/fdd/view?i=1898</v>
      </c>
      <c r="W1195" s="172"/>
      <c r="X1195" s="172"/>
      <c r="Y1195" s="172"/>
    </row>
    <row r="1196" spans="1:25" ht="2.1" customHeight="1" x14ac:dyDescent="0.2">
      <c r="A1196" s="295"/>
      <c r="B1196" s="283"/>
      <c r="C1196" s="296"/>
      <c r="D1196" s="283"/>
      <c r="E1196" s="296"/>
      <c r="F1196" s="297"/>
      <c r="G1196" s="297"/>
      <c r="H1196" s="297"/>
      <c r="I1196" s="298"/>
      <c r="J1196" s="304"/>
      <c r="K1196" s="300"/>
      <c r="L1196" s="301"/>
      <c r="M1196" s="297" t="s">
        <v>6582</v>
      </c>
      <c r="N1196" s="297"/>
      <c r="O1196" s="297"/>
      <c r="P1196" s="297"/>
      <c r="Q1196" s="297"/>
      <c r="R1196" s="297"/>
      <c r="S1196" s="302"/>
      <c r="T1196" s="302"/>
      <c r="U1196" s="303"/>
    </row>
    <row r="1197" spans="1:25" ht="25.5" x14ac:dyDescent="0.2">
      <c r="A1197" s="212" t="str">
        <f>HYPERLINK(V1197,B1197)</f>
        <v>PymCode</v>
      </c>
      <c r="B1197" s="283" t="s">
        <v>11891</v>
      </c>
      <c r="C1197" s="284" t="s">
        <v>15812</v>
      </c>
      <c r="D1197" s="285"/>
      <c r="E1197" s="286"/>
      <c r="F1197" s="287" t="s">
        <v>15813</v>
      </c>
      <c r="G1197" s="286"/>
      <c r="H1197" s="286"/>
      <c r="I1197" s="288"/>
      <c r="J1197" s="289"/>
      <c r="K1197" s="290"/>
      <c r="L1197" s="371" t="str">
        <f>HYPERLINK("[#]DatatypeListedValues!B7034:H7034","«enumeration»")</f>
        <v>«enumeration»</v>
      </c>
      <c r="M1197" s="287" t="s">
        <v>6582</v>
      </c>
      <c r="N1197" s="291" t="b">
        <v>0</v>
      </c>
      <c r="O1197" s="286"/>
      <c r="P1197" s="292"/>
      <c r="Q1197" s="286"/>
      <c r="R1197" s="286"/>
      <c r="S1197" s="293"/>
      <c r="T1197" s="294"/>
      <c r="U1197" s="37">
        <v>1588</v>
      </c>
      <c r="V1197" s="36" t="str">
        <f>CONCATENATE(Cover!$D$6,"fdd/view?i=",U1197)</f>
        <v>https://www.dgiwg.org/FAD/fdd/view?i=1588</v>
      </c>
      <c r="W1197" s="172"/>
      <c r="X1197" s="172"/>
      <c r="Y1197" s="172"/>
    </row>
    <row r="1198" spans="1:25" ht="2.1" customHeight="1" x14ac:dyDescent="0.2">
      <c r="A1198" s="295"/>
      <c r="B1198" s="283"/>
      <c r="C1198" s="296"/>
      <c r="D1198" s="283"/>
      <c r="E1198" s="296"/>
      <c r="F1198" s="297"/>
      <c r="G1198" s="297"/>
      <c r="H1198" s="297"/>
      <c r="I1198" s="298"/>
      <c r="J1198" s="304"/>
      <c r="K1198" s="300"/>
      <c r="L1198" s="301"/>
      <c r="M1198" s="297" t="s">
        <v>6582</v>
      </c>
      <c r="N1198" s="297"/>
      <c r="O1198" s="297"/>
      <c r="P1198" s="297"/>
      <c r="Q1198" s="297"/>
      <c r="R1198" s="297"/>
      <c r="S1198" s="302"/>
      <c r="T1198" s="302"/>
      <c r="U1198" s="303"/>
    </row>
    <row r="1199" spans="1:25" ht="25.5" x14ac:dyDescent="0.2">
      <c r="A1199" s="212" t="str">
        <f>HYPERLINK(V1199,B1199)</f>
        <v>RayCode</v>
      </c>
      <c r="B1199" s="283" t="s">
        <v>11896</v>
      </c>
      <c r="C1199" s="284" t="s">
        <v>15814</v>
      </c>
      <c r="D1199" s="285"/>
      <c r="E1199" s="286"/>
      <c r="F1199" s="287" t="s">
        <v>15815</v>
      </c>
      <c r="G1199" s="286"/>
      <c r="H1199" s="286"/>
      <c r="I1199" s="288"/>
      <c r="J1199" s="289"/>
      <c r="K1199" s="290"/>
      <c r="L1199" s="371" t="str">
        <f>HYPERLINK("[#]DatatypeListedValues!B7044:H7044","«enumeration»")</f>
        <v>«enumeration»</v>
      </c>
      <c r="M1199" s="287" t="s">
        <v>6582</v>
      </c>
      <c r="N1199" s="291" t="b">
        <v>0</v>
      </c>
      <c r="O1199" s="286"/>
      <c r="P1199" s="292"/>
      <c r="Q1199" s="286"/>
      <c r="R1199" s="286"/>
      <c r="S1199" s="293"/>
      <c r="T1199" s="294"/>
      <c r="U1199" s="37">
        <v>118655</v>
      </c>
      <c r="V1199" s="36" t="str">
        <f>CONCATENATE(Cover!$D$6,"fdd/view?i=",U1199)</f>
        <v>https://www.dgiwg.org/FAD/fdd/view?i=118655</v>
      </c>
      <c r="W1199" s="172"/>
      <c r="X1199" s="172"/>
      <c r="Y1199" s="172"/>
    </row>
    <row r="1200" spans="1:25" ht="2.1" customHeight="1" x14ac:dyDescent="0.2">
      <c r="A1200" s="295"/>
      <c r="B1200" s="283"/>
      <c r="C1200" s="296"/>
      <c r="D1200" s="283"/>
      <c r="E1200" s="296"/>
      <c r="F1200" s="297"/>
      <c r="G1200" s="297"/>
      <c r="H1200" s="297"/>
      <c r="I1200" s="298"/>
      <c r="J1200" s="304"/>
      <c r="K1200" s="300"/>
      <c r="L1200" s="301"/>
      <c r="M1200" s="297" t="s">
        <v>6582</v>
      </c>
      <c r="N1200" s="297"/>
      <c r="O1200" s="297"/>
      <c r="P1200" s="297"/>
      <c r="Q1200" s="297"/>
      <c r="R1200" s="297"/>
      <c r="S1200" s="302"/>
      <c r="T1200" s="302"/>
      <c r="U1200" s="303"/>
    </row>
    <row r="1201" spans="1:25" ht="25.5" x14ac:dyDescent="0.2">
      <c r="A1201" s="212" t="str">
        <f>HYPERLINK(V1201,B1201)</f>
        <v>RavCode</v>
      </c>
      <c r="B1201" s="283" t="s">
        <v>11901</v>
      </c>
      <c r="C1201" s="284" t="s">
        <v>15816</v>
      </c>
      <c r="D1201" s="285"/>
      <c r="E1201" s="286"/>
      <c r="F1201" s="287" t="s">
        <v>15817</v>
      </c>
      <c r="G1201" s="286"/>
      <c r="H1201" s="286"/>
      <c r="I1201" s="288"/>
      <c r="J1201" s="289"/>
      <c r="K1201" s="290"/>
      <c r="L1201" s="371" t="str">
        <f>HYPERLINK("[#]DatatypeListedValues!B7053:H7053","«enumeration»")</f>
        <v>«enumeration»</v>
      </c>
      <c r="M1201" s="287" t="s">
        <v>6582</v>
      </c>
      <c r="N1201" s="291" t="b">
        <v>0</v>
      </c>
      <c r="O1201" s="286"/>
      <c r="P1201" s="292"/>
      <c r="Q1201" s="286"/>
      <c r="R1201" s="286"/>
      <c r="S1201" s="293"/>
      <c r="T1201" s="294"/>
      <c r="U1201" s="37">
        <v>118654</v>
      </c>
      <c r="V1201" s="36" t="str">
        <f>CONCATENATE(Cover!$D$6,"fdd/view?i=",U1201)</f>
        <v>https://www.dgiwg.org/FAD/fdd/view?i=118654</v>
      </c>
      <c r="W1201" s="172"/>
      <c r="X1201" s="172"/>
      <c r="Y1201" s="172"/>
    </row>
    <row r="1202" spans="1:25" ht="2.1" customHeight="1" x14ac:dyDescent="0.2">
      <c r="A1202" s="295"/>
      <c r="B1202" s="283"/>
      <c r="C1202" s="296"/>
      <c r="D1202" s="283"/>
      <c r="E1202" s="296"/>
      <c r="F1202" s="297"/>
      <c r="G1202" s="297"/>
      <c r="H1202" s="297"/>
      <c r="I1202" s="298"/>
      <c r="J1202" s="304"/>
      <c r="K1202" s="300"/>
      <c r="L1202" s="301"/>
      <c r="M1202" s="297" t="s">
        <v>6582</v>
      </c>
      <c r="N1202" s="297"/>
      <c r="O1202" s="297"/>
      <c r="P1202" s="297"/>
      <c r="Q1202" s="297"/>
      <c r="R1202" s="297"/>
      <c r="S1202" s="302"/>
      <c r="T1202" s="302"/>
      <c r="U1202" s="303"/>
    </row>
    <row r="1203" spans="1:25" ht="25.5" x14ac:dyDescent="0.2">
      <c r="A1203" s="212" t="str">
        <f>HYPERLINK(V1203,B1203)</f>
        <v>RacCode</v>
      </c>
      <c r="B1203" s="283" t="s">
        <v>11906</v>
      </c>
      <c r="C1203" s="284" t="s">
        <v>15818</v>
      </c>
      <c r="D1203" s="285"/>
      <c r="E1203" s="286"/>
      <c r="F1203" s="287" t="s">
        <v>15819</v>
      </c>
      <c r="G1203" s="286"/>
      <c r="H1203" s="286"/>
      <c r="I1203" s="288"/>
      <c r="J1203" s="289"/>
      <c r="K1203" s="290"/>
      <c r="L1203" s="371" t="str">
        <f>HYPERLINK("[#]DatatypeListedValues!B7058:H7058","«enumeration»")</f>
        <v>«enumeration»</v>
      </c>
      <c r="M1203" s="287" t="s">
        <v>6582</v>
      </c>
      <c r="N1203" s="291" t="b">
        <v>0</v>
      </c>
      <c r="O1203" s="286"/>
      <c r="P1203" s="292"/>
      <c r="Q1203" s="286"/>
      <c r="R1203" s="286"/>
      <c r="S1203" s="293"/>
      <c r="T1203" s="294"/>
      <c r="U1203" s="37">
        <v>1568</v>
      </c>
      <c r="V1203" s="36" t="str">
        <f>CONCATENATE(Cover!$D$6,"fdd/view?i=",U1203)</f>
        <v>https://www.dgiwg.org/FAD/fdd/view?i=1568</v>
      </c>
      <c r="W1203" s="172"/>
      <c r="X1203" s="172"/>
      <c r="Y1203" s="172"/>
    </row>
    <row r="1204" spans="1:25" ht="2.1" customHeight="1" x14ac:dyDescent="0.2">
      <c r="A1204" s="295"/>
      <c r="B1204" s="283"/>
      <c r="C1204" s="296"/>
      <c r="D1204" s="283"/>
      <c r="E1204" s="296"/>
      <c r="F1204" s="297"/>
      <c r="G1204" s="297"/>
      <c r="H1204" s="297"/>
      <c r="I1204" s="298"/>
      <c r="J1204" s="304"/>
      <c r="K1204" s="300"/>
      <c r="L1204" s="301"/>
      <c r="M1204" s="297" t="s">
        <v>6582</v>
      </c>
      <c r="N1204" s="297"/>
      <c r="O1204" s="297"/>
      <c r="P1204" s="297"/>
      <c r="Q1204" s="297"/>
      <c r="R1204" s="297"/>
      <c r="S1204" s="302"/>
      <c r="T1204" s="302"/>
      <c r="U1204" s="303"/>
    </row>
    <row r="1205" spans="1:25" ht="25.5" x14ac:dyDescent="0.2">
      <c r="A1205" s="212" t="str">
        <f>HYPERLINK(V1205,B1205)</f>
        <v>RasCode</v>
      </c>
      <c r="B1205" s="283" t="s">
        <v>11919</v>
      </c>
      <c r="C1205" s="284" t="s">
        <v>15820</v>
      </c>
      <c r="D1205" s="285"/>
      <c r="E1205" s="286"/>
      <c r="F1205" s="287" t="s">
        <v>15821</v>
      </c>
      <c r="G1205" s="286"/>
      <c r="H1205" s="286"/>
      <c r="I1205" s="288"/>
      <c r="J1205" s="289"/>
      <c r="K1205" s="290"/>
      <c r="L1205" s="371" t="str">
        <f>HYPERLINK("[#]DatatypeListedValues!B7064:H7064","«enumeration»")</f>
        <v>«enumeration»</v>
      </c>
      <c r="M1205" s="287" t="s">
        <v>6582</v>
      </c>
      <c r="N1205" s="291" t="b">
        <v>0</v>
      </c>
      <c r="O1205" s="286"/>
      <c r="P1205" s="292"/>
      <c r="Q1205" s="286"/>
      <c r="R1205" s="286"/>
      <c r="S1205" s="293"/>
      <c r="T1205" s="294"/>
      <c r="U1205" s="37">
        <v>1391</v>
      </c>
      <c r="V1205" s="36" t="str">
        <f>CONCATENATE(Cover!$D$6,"fdd/view?i=",U1205)</f>
        <v>https://www.dgiwg.org/FAD/fdd/view?i=1391</v>
      </c>
      <c r="W1205" s="172"/>
      <c r="X1205" s="172"/>
      <c r="Y1205" s="172"/>
    </row>
    <row r="1206" spans="1:25" ht="2.1" customHeight="1" x14ac:dyDescent="0.2">
      <c r="A1206" s="295"/>
      <c r="B1206" s="283"/>
      <c r="C1206" s="296"/>
      <c r="D1206" s="283"/>
      <c r="E1206" s="296"/>
      <c r="F1206" s="297"/>
      <c r="G1206" s="297"/>
      <c r="H1206" s="297"/>
      <c r="I1206" s="298"/>
      <c r="J1206" s="304"/>
      <c r="K1206" s="300"/>
      <c r="L1206" s="301"/>
      <c r="M1206" s="297" t="s">
        <v>6582</v>
      </c>
      <c r="N1206" s="297"/>
      <c r="O1206" s="297"/>
      <c r="P1206" s="297"/>
      <c r="Q1206" s="297"/>
      <c r="R1206" s="297"/>
      <c r="S1206" s="302"/>
      <c r="T1206" s="302"/>
      <c r="U1206" s="303"/>
    </row>
    <row r="1207" spans="1:25" ht="25.5" x14ac:dyDescent="0.2">
      <c r="A1207" s="212" t="str">
        <f>HYPERLINK(V1207,B1207)</f>
        <v>RcoCode</v>
      </c>
      <c r="B1207" s="283" t="s">
        <v>11938</v>
      </c>
      <c r="C1207" s="284" t="s">
        <v>15822</v>
      </c>
      <c r="D1207" s="285"/>
      <c r="E1207" s="286"/>
      <c r="F1207" s="287" t="s">
        <v>15823</v>
      </c>
      <c r="G1207" s="286"/>
      <c r="H1207" s="286"/>
      <c r="I1207" s="288"/>
      <c r="J1207" s="289"/>
      <c r="K1207" s="290"/>
      <c r="L1207" s="371" t="str">
        <f>HYPERLINK("[#]DatatypeListedValues!B7076:H7076","«enumeration»")</f>
        <v>«enumeration»</v>
      </c>
      <c r="M1207" s="287" t="s">
        <v>6582</v>
      </c>
      <c r="N1207" s="291" t="b">
        <v>0</v>
      </c>
      <c r="O1207" s="286"/>
      <c r="P1207" s="292"/>
      <c r="Q1207" s="286"/>
      <c r="R1207" s="286"/>
      <c r="S1207" s="293"/>
      <c r="T1207" s="294"/>
      <c r="U1207" s="37">
        <v>117402</v>
      </c>
      <c r="V1207" s="36" t="str">
        <f>CONCATENATE(Cover!$D$6,"fdd/view?i=",U1207)</f>
        <v>https://www.dgiwg.org/FAD/fdd/view?i=117402</v>
      </c>
      <c r="W1207" s="172"/>
      <c r="X1207" s="172"/>
      <c r="Y1207" s="172"/>
    </row>
    <row r="1208" spans="1:25" ht="2.1" customHeight="1" x14ac:dyDescent="0.2">
      <c r="A1208" s="295"/>
      <c r="B1208" s="283"/>
      <c r="C1208" s="296"/>
      <c r="D1208" s="283"/>
      <c r="E1208" s="296"/>
      <c r="F1208" s="297"/>
      <c r="G1208" s="297"/>
      <c r="H1208" s="297"/>
      <c r="I1208" s="298"/>
      <c r="J1208" s="304"/>
      <c r="K1208" s="300"/>
      <c r="L1208" s="301"/>
      <c r="M1208" s="297" t="s">
        <v>6582</v>
      </c>
      <c r="N1208" s="297"/>
      <c r="O1208" s="297"/>
      <c r="P1208" s="297"/>
      <c r="Q1208" s="297"/>
      <c r="R1208" s="297"/>
      <c r="S1208" s="302"/>
      <c r="T1208" s="302"/>
      <c r="U1208" s="303"/>
    </row>
    <row r="1209" spans="1:25" ht="25.5" x14ac:dyDescent="0.2">
      <c r="A1209" s="212" t="str">
        <f>HYPERLINK(V1209,B1209)</f>
        <v>RncCode</v>
      </c>
      <c r="B1209" s="283" t="s">
        <v>11943</v>
      </c>
      <c r="C1209" s="284" t="s">
        <v>15824</v>
      </c>
      <c r="D1209" s="285"/>
      <c r="E1209" s="286"/>
      <c r="F1209" s="287" t="s">
        <v>15825</v>
      </c>
      <c r="G1209" s="286"/>
      <c r="H1209" s="286"/>
      <c r="I1209" s="288"/>
      <c r="J1209" s="289"/>
      <c r="K1209" s="290"/>
      <c r="L1209" s="371" t="str">
        <f>HYPERLINK("[#]DatatypeListedValues!B7081:H7081","«enumeration»")</f>
        <v>«enumeration»</v>
      </c>
      <c r="M1209" s="287" t="s">
        <v>6582</v>
      </c>
      <c r="N1209" s="291" t="b">
        <v>0</v>
      </c>
      <c r="O1209" s="286"/>
      <c r="P1209" s="292"/>
      <c r="Q1209" s="286"/>
      <c r="R1209" s="286"/>
      <c r="S1209" s="293"/>
      <c r="T1209" s="294"/>
      <c r="U1209" s="37">
        <v>117405</v>
      </c>
      <c r="V1209" s="36" t="str">
        <f>CONCATENATE(Cover!$D$6,"fdd/view?i=",U1209)</f>
        <v>https://www.dgiwg.org/FAD/fdd/view?i=117405</v>
      </c>
      <c r="W1209" s="172"/>
      <c r="X1209" s="172"/>
      <c r="Y1209" s="172"/>
    </row>
    <row r="1210" spans="1:25" ht="2.1" customHeight="1" x14ac:dyDescent="0.2">
      <c r="A1210" s="295"/>
      <c r="B1210" s="283"/>
      <c r="C1210" s="296"/>
      <c r="D1210" s="283"/>
      <c r="E1210" s="296"/>
      <c r="F1210" s="297"/>
      <c r="G1210" s="297"/>
      <c r="H1210" s="297"/>
      <c r="I1210" s="298"/>
      <c r="J1210" s="304"/>
      <c r="K1210" s="300"/>
      <c r="L1210" s="301"/>
      <c r="M1210" s="297" t="s">
        <v>6582</v>
      </c>
      <c r="N1210" s="297"/>
      <c r="O1210" s="297"/>
      <c r="P1210" s="297"/>
      <c r="Q1210" s="297"/>
      <c r="R1210" s="297"/>
      <c r="S1210" s="302"/>
      <c r="T1210" s="302"/>
      <c r="U1210" s="303"/>
    </row>
    <row r="1211" spans="1:25" ht="38.25" x14ac:dyDescent="0.2">
      <c r="A1211" s="212" t="str">
        <f>HYPERLINK(V1211,B1211)</f>
        <v>RnlCode</v>
      </c>
      <c r="B1211" s="283" t="s">
        <v>11949</v>
      </c>
      <c r="C1211" s="284" t="s">
        <v>15826</v>
      </c>
      <c r="D1211" s="285"/>
      <c r="E1211" s="286"/>
      <c r="F1211" s="287" t="s">
        <v>15827</v>
      </c>
      <c r="G1211" s="286"/>
      <c r="H1211" s="286"/>
      <c r="I1211" s="288"/>
      <c r="J1211" s="289"/>
      <c r="K1211" s="290"/>
      <c r="L1211" s="371" t="str">
        <f>HYPERLINK("[#]DatatypeListedValues!B7084:H7084","«enumeration»")</f>
        <v>«enumeration»</v>
      </c>
      <c r="M1211" s="287" t="s">
        <v>6582</v>
      </c>
      <c r="N1211" s="291" t="b">
        <v>0</v>
      </c>
      <c r="O1211" s="286"/>
      <c r="P1211" s="292"/>
      <c r="Q1211" s="286"/>
      <c r="R1211" s="286"/>
      <c r="S1211" s="293"/>
      <c r="T1211" s="294"/>
      <c r="U1211" s="37">
        <v>117406</v>
      </c>
      <c r="V1211" s="36" t="str">
        <f>CONCATENATE(Cover!$D$6,"fdd/view?i=",U1211)</f>
        <v>https://www.dgiwg.org/FAD/fdd/view?i=117406</v>
      </c>
      <c r="W1211" s="172"/>
      <c r="X1211" s="172"/>
      <c r="Y1211" s="172"/>
    </row>
    <row r="1212" spans="1:25" ht="2.1" customHeight="1" x14ac:dyDescent="0.2">
      <c r="A1212" s="295"/>
      <c r="B1212" s="283"/>
      <c r="C1212" s="296"/>
      <c r="D1212" s="283"/>
      <c r="E1212" s="296"/>
      <c r="F1212" s="297"/>
      <c r="G1212" s="297"/>
      <c r="H1212" s="297"/>
      <c r="I1212" s="298"/>
      <c r="J1212" s="304"/>
      <c r="K1212" s="300"/>
      <c r="L1212" s="301"/>
      <c r="M1212" s="297" t="s">
        <v>6582</v>
      </c>
      <c r="N1212" s="297"/>
      <c r="O1212" s="297"/>
      <c r="P1212" s="297"/>
      <c r="Q1212" s="297"/>
      <c r="R1212" s="297"/>
      <c r="S1212" s="302"/>
      <c r="T1212" s="302"/>
      <c r="U1212" s="303"/>
    </row>
    <row r="1213" spans="1:25" ht="25.5" x14ac:dyDescent="0.2">
      <c r="A1213" s="212" t="str">
        <f>HYPERLINK(V1213,B1213)</f>
        <v>RosCode</v>
      </c>
      <c r="B1213" s="283" t="s">
        <v>11954</v>
      </c>
      <c r="C1213" s="284" t="s">
        <v>15828</v>
      </c>
      <c r="D1213" s="285"/>
      <c r="E1213" s="286"/>
      <c r="F1213" s="287" t="s">
        <v>15829</v>
      </c>
      <c r="G1213" s="286"/>
      <c r="H1213" s="286"/>
      <c r="I1213" s="288"/>
      <c r="J1213" s="289"/>
      <c r="K1213" s="290"/>
      <c r="L1213" s="371" t="str">
        <f>HYPERLINK("[#]DatatypeListedValues!B7089:H7089","«enumeration»")</f>
        <v>«enumeration»</v>
      </c>
      <c r="M1213" s="287" t="s">
        <v>6582</v>
      </c>
      <c r="N1213" s="291" t="b">
        <v>0</v>
      </c>
      <c r="O1213" s="286"/>
      <c r="P1213" s="292"/>
      <c r="Q1213" s="286"/>
      <c r="R1213" s="286"/>
      <c r="S1213" s="293"/>
      <c r="T1213" s="294"/>
      <c r="U1213" s="37">
        <v>1407</v>
      </c>
      <c r="V1213" s="36" t="str">
        <f>CONCATENATE(Cover!$D$6,"fdd/view?i=",U1213)</f>
        <v>https://www.dgiwg.org/FAD/fdd/view?i=1407</v>
      </c>
      <c r="W1213" s="172"/>
      <c r="X1213" s="172"/>
      <c r="Y1213" s="172"/>
    </row>
    <row r="1214" spans="1:25" ht="2.1" customHeight="1" x14ac:dyDescent="0.2">
      <c r="A1214" s="295"/>
      <c r="B1214" s="283"/>
      <c r="C1214" s="296"/>
      <c r="D1214" s="283"/>
      <c r="E1214" s="296"/>
      <c r="F1214" s="297"/>
      <c r="G1214" s="297"/>
      <c r="H1214" s="297"/>
      <c r="I1214" s="298"/>
      <c r="J1214" s="304"/>
      <c r="K1214" s="300"/>
      <c r="L1214" s="301"/>
      <c r="M1214" s="297" t="s">
        <v>6582</v>
      </c>
      <c r="N1214" s="297"/>
      <c r="O1214" s="297"/>
      <c r="P1214" s="297"/>
      <c r="Q1214" s="297"/>
      <c r="R1214" s="297"/>
      <c r="S1214" s="302"/>
      <c r="T1214" s="302"/>
      <c r="U1214" s="303"/>
    </row>
    <row r="1215" spans="1:25" ht="25.5" x14ac:dyDescent="0.2">
      <c r="A1215" s="212" t="str">
        <f>HYPERLINK(V1215,B1215)</f>
        <v>RfbCode</v>
      </c>
      <c r="B1215" s="283" t="s">
        <v>11959</v>
      </c>
      <c r="C1215" s="284" t="s">
        <v>15830</v>
      </c>
      <c r="D1215" s="285"/>
      <c r="E1215" s="286"/>
      <c r="F1215" s="287" t="s">
        <v>15831</v>
      </c>
      <c r="G1215" s="286"/>
      <c r="H1215" s="286"/>
      <c r="I1215" s="288"/>
      <c r="J1215" s="289"/>
      <c r="K1215" s="290"/>
      <c r="L1215" s="371" t="str">
        <f>HYPERLINK("[#]DatatypeListedValues!B7096:H7096","«enumeration»")</f>
        <v>«enumeration»</v>
      </c>
      <c r="M1215" s="287" t="s">
        <v>6582</v>
      </c>
      <c r="N1215" s="291" t="b">
        <v>0</v>
      </c>
      <c r="O1215" s="286"/>
      <c r="P1215" s="292"/>
      <c r="Q1215" s="286"/>
      <c r="R1215" s="286"/>
      <c r="S1215" s="293"/>
      <c r="T1215" s="294"/>
      <c r="U1215" s="37">
        <v>119427</v>
      </c>
      <c r="V1215" s="36" t="str">
        <f>CONCATENATE(Cover!$D$6,"fdd/view?i=",U1215)</f>
        <v>https://www.dgiwg.org/FAD/fdd/view?i=119427</v>
      </c>
      <c r="W1215" s="172"/>
      <c r="X1215" s="172"/>
      <c r="Y1215" s="172"/>
    </row>
    <row r="1216" spans="1:25" ht="2.1" customHeight="1" x14ac:dyDescent="0.2">
      <c r="A1216" s="295"/>
      <c r="B1216" s="283"/>
      <c r="C1216" s="296"/>
      <c r="D1216" s="283"/>
      <c r="E1216" s="296"/>
      <c r="F1216" s="297"/>
      <c r="G1216" s="297"/>
      <c r="H1216" s="297"/>
      <c r="I1216" s="298"/>
      <c r="J1216" s="304"/>
      <c r="K1216" s="300"/>
      <c r="L1216" s="301"/>
      <c r="M1216" s="297" t="s">
        <v>6582</v>
      </c>
      <c r="N1216" s="297"/>
      <c r="O1216" s="297"/>
      <c r="P1216" s="297"/>
      <c r="Q1216" s="297"/>
      <c r="R1216" s="297"/>
      <c r="S1216" s="302"/>
      <c r="T1216" s="302"/>
      <c r="U1216" s="303"/>
    </row>
    <row r="1217" spans="1:25" ht="25.5" x14ac:dyDescent="0.2">
      <c r="A1217" s="212" t="str">
        <f>HYPERLINK(V1217,B1217)</f>
        <v>RwcCode</v>
      </c>
      <c r="B1217" s="283" t="s">
        <v>11964</v>
      </c>
      <c r="C1217" s="284" t="s">
        <v>15832</v>
      </c>
      <c r="D1217" s="285"/>
      <c r="E1217" s="286"/>
      <c r="F1217" s="287" t="s">
        <v>15833</v>
      </c>
      <c r="G1217" s="286"/>
      <c r="H1217" s="286"/>
      <c r="I1217" s="288"/>
      <c r="J1217" s="289"/>
      <c r="K1217" s="290"/>
      <c r="L1217" s="371" t="str">
        <f>HYPERLINK("[#]DatatypeListedValues!B7111:H7111","«enumeration»")</f>
        <v>«enumeration»</v>
      </c>
      <c r="M1217" s="287" t="s">
        <v>6582</v>
      </c>
      <c r="N1217" s="291" t="b">
        <v>0</v>
      </c>
      <c r="O1217" s="286"/>
      <c r="P1217" s="292"/>
      <c r="Q1217" s="286"/>
      <c r="R1217" s="286"/>
      <c r="S1217" s="293"/>
      <c r="T1217" s="294"/>
      <c r="U1217" s="37">
        <v>1593</v>
      </c>
      <c r="V1217" s="36" t="str">
        <f>CONCATENATE(Cover!$D$6,"fdd/view?i=",U1217)</f>
        <v>https://www.dgiwg.org/FAD/fdd/view?i=1593</v>
      </c>
      <c r="W1217" s="172"/>
      <c r="X1217" s="172"/>
      <c r="Y1217" s="172"/>
    </row>
    <row r="1218" spans="1:25" ht="2.1" customHeight="1" x14ac:dyDescent="0.2">
      <c r="A1218" s="295"/>
      <c r="B1218" s="283"/>
      <c r="C1218" s="296"/>
      <c r="D1218" s="283"/>
      <c r="E1218" s="296"/>
      <c r="F1218" s="297"/>
      <c r="G1218" s="297"/>
      <c r="H1218" s="297"/>
      <c r="I1218" s="298"/>
      <c r="J1218" s="304"/>
      <c r="K1218" s="300"/>
      <c r="L1218" s="301"/>
      <c r="M1218" s="297" t="s">
        <v>6582</v>
      </c>
      <c r="N1218" s="297"/>
      <c r="O1218" s="297"/>
      <c r="P1218" s="297"/>
      <c r="Q1218" s="297"/>
      <c r="R1218" s="297"/>
      <c r="S1218" s="302"/>
      <c r="T1218" s="302"/>
      <c r="U1218" s="303"/>
    </row>
    <row r="1219" spans="1:25" ht="25.5" x14ac:dyDescent="0.2">
      <c r="A1219" s="212" t="str">
        <f>HYPERLINK(V1219,B1219)</f>
        <v>RgcCode</v>
      </c>
      <c r="B1219" s="283" t="s">
        <v>11977</v>
      </c>
      <c r="C1219" s="284" t="s">
        <v>15834</v>
      </c>
      <c r="D1219" s="285"/>
      <c r="E1219" s="286"/>
      <c r="F1219" s="287" t="s">
        <v>15835</v>
      </c>
      <c r="G1219" s="286"/>
      <c r="H1219" s="286"/>
      <c r="I1219" s="288"/>
      <c r="J1219" s="289"/>
      <c r="K1219" s="290"/>
      <c r="L1219" s="371" t="str">
        <f>HYPERLINK("[#]DatatypeListedValues!B7114:H7114","«enumeration»")</f>
        <v>«enumeration»</v>
      </c>
      <c r="M1219" s="287" t="s">
        <v>6582</v>
      </c>
      <c r="N1219" s="291" t="b">
        <v>0</v>
      </c>
      <c r="O1219" s="286"/>
      <c r="P1219" s="292"/>
      <c r="Q1219" s="286"/>
      <c r="R1219" s="286"/>
      <c r="S1219" s="293"/>
      <c r="T1219" s="294"/>
      <c r="U1219" s="37">
        <v>1400</v>
      </c>
      <c r="V1219" s="36" t="str">
        <f>CONCATENATE(Cover!$D$6,"fdd/view?i=",U1219)</f>
        <v>https://www.dgiwg.org/FAD/fdd/view?i=1400</v>
      </c>
      <c r="W1219" s="172"/>
      <c r="X1219" s="172"/>
      <c r="Y1219" s="172"/>
    </row>
    <row r="1220" spans="1:25" ht="2.1" customHeight="1" x14ac:dyDescent="0.2">
      <c r="A1220" s="295"/>
      <c r="B1220" s="283"/>
      <c r="C1220" s="296"/>
      <c r="D1220" s="283"/>
      <c r="E1220" s="296"/>
      <c r="F1220" s="297"/>
      <c r="G1220" s="297"/>
      <c r="H1220" s="297"/>
      <c r="I1220" s="298"/>
      <c r="J1220" s="304"/>
      <c r="K1220" s="300"/>
      <c r="L1220" s="301"/>
      <c r="M1220" s="297" t="s">
        <v>6582</v>
      </c>
      <c r="N1220" s="297"/>
      <c r="O1220" s="297"/>
      <c r="P1220" s="297"/>
      <c r="Q1220" s="297"/>
      <c r="R1220" s="297"/>
      <c r="S1220" s="302"/>
      <c r="T1220" s="302"/>
      <c r="U1220" s="303"/>
    </row>
    <row r="1221" spans="1:25" ht="25.5" x14ac:dyDescent="0.2">
      <c r="A1221" s="212" t="str">
        <f>HYPERLINK(V1221,B1221)</f>
        <v>RraCode</v>
      </c>
      <c r="B1221" s="283" t="s">
        <v>11987</v>
      </c>
      <c r="C1221" s="284" t="s">
        <v>15836</v>
      </c>
      <c r="D1221" s="285"/>
      <c r="E1221" s="286"/>
      <c r="F1221" s="287" t="s">
        <v>15837</v>
      </c>
      <c r="G1221" s="286"/>
      <c r="H1221" s="286"/>
      <c r="I1221" s="288"/>
      <c r="J1221" s="289"/>
      <c r="K1221" s="290"/>
      <c r="L1221" s="371" t="str">
        <f>HYPERLINK("[#]DatatypeListedValues!B7118:H7118","«enumeration»")</f>
        <v>«enumeration»</v>
      </c>
      <c r="M1221" s="287" t="s">
        <v>6582</v>
      </c>
      <c r="N1221" s="291" t="b">
        <v>0</v>
      </c>
      <c r="O1221" s="286"/>
      <c r="P1221" s="292"/>
      <c r="Q1221" s="286"/>
      <c r="R1221" s="286"/>
      <c r="S1221" s="293"/>
      <c r="T1221" s="294"/>
      <c r="U1221" s="37">
        <v>1411</v>
      </c>
      <c r="V1221" s="36" t="str">
        <f>CONCATENATE(Cover!$D$6,"fdd/view?i=",U1221)</f>
        <v>https://www.dgiwg.org/FAD/fdd/view?i=1411</v>
      </c>
      <c r="W1221" s="172"/>
      <c r="X1221" s="172"/>
      <c r="Y1221" s="172"/>
    </row>
    <row r="1222" spans="1:25" ht="2.1" customHeight="1" x14ac:dyDescent="0.2">
      <c r="A1222" s="295"/>
      <c r="B1222" s="283"/>
      <c r="C1222" s="296"/>
      <c r="D1222" s="283"/>
      <c r="E1222" s="296"/>
      <c r="F1222" s="297"/>
      <c r="G1222" s="297"/>
      <c r="H1222" s="297"/>
      <c r="I1222" s="298"/>
      <c r="J1222" s="304"/>
      <c r="K1222" s="300"/>
      <c r="L1222" s="301"/>
      <c r="M1222" s="297" t="s">
        <v>6582</v>
      </c>
      <c r="N1222" s="297"/>
      <c r="O1222" s="297"/>
      <c r="P1222" s="297"/>
      <c r="Q1222" s="297"/>
      <c r="R1222" s="297"/>
      <c r="S1222" s="302"/>
      <c r="T1222" s="302"/>
      <c r="U1222" s="303"/>
    </row>
    <row r="1223" spans="1:25" ht="25.5" x14ac:dyDescent="0.2">
      <c r="A1223" s="212" t="str">
        <f>HYPERLINK(V1223,B1223)</f>
        <v>RrcCode</v>
      </c>
      <c r="B1223" s="283" t="s">
        <v>11997</v>
      </c>
      <c r="C1223" s="284" t="s">
        <v>15838</v>
      </c>
      <c r="D1223" s="285"/>
      <c r="E1223" s="286"/>
      <c r="F1223" s="287" t="s">
        <v>15839</v>
      </c>
      <c r="G1223" s="286"/>
      <c r="H1223" s="286"/>
      <c r="I1223" s="288"/>
      <c r="J1223" s="289"/>
      <c r="K1223" s="290"/>
      <c r="L1223" s="371" t="str">
        <f>HYPERLINK("[#]DatatypeListedValues!B7121:H7121","«enumeration»")</f>
        <v>«enumeration»</v>
      </c>
      <c r="M1223" s="287" t="s">
        <v>6582</v>
      </c>
      <c r="N1223" s="291" t="b">
        <v>0</v>
      </c>
      <c r="O1223" s="286"/>
      <c r="P1223" s="292"/>
      <c r="Q1223" s="286"/>
      <c r="R1223" s="286"/>
      <c r="S1223" s="293"/>
      <c r="T1223" s="294"/>
      <c r="U1223" s="37">
        <v>1412</v>
      </c>
      <c r="V1223" s="36" t="str">
        <f>CONCATENATE(Cover!$D$6,"fdd/view?i=",U1223)</f>
        <v>https://www.dgiwg.org/FAD/fdd/view?i=1412</v>
      </c>
      <c r="W1223" s="172"/>
      <c r="X1223" s="172"/>
      <c r="Y1223" s="172"/>
    </row>
    <row r="1224" spans="1:25" ht="2.1" customHeight="1" x14ac:dyDescent="0.2">
      <c r="A1224" s="295"/>
      <c r="B1224" s="283"/>
      <c r="C1224" s="296"/>
      <c r="D1224" s="283"/>
      <c r="E1224" s="296"/>
      <c r="F1224" s="297"/>
      <c r="G1224" s="297"/>
      <c r="H1224" s="297"/>
      <c r="I1224" s="298"/>
      <c r="J1224" s="304"/>
      <c r="K1224" s="300"/>
      <c r="L1224" s="301"/>
      <c r="M1224" s="297" t="s">
        <v>6582</v>
      </c>
      <c r="N1224" s="297"/>
      <c r="O1224" s="297"/>
      <c r="P1224" s="297"/>
      <c r="Q1224" s="297"/>
      <c r="R1224" s="297"/>
      <c r="S1224" s="302"/>
      <c r="T1224" s="302"/>
      <c r="U1224" s="303"/>
    </row>
    <row r="1225" spans="1:25" ht="25.5" x14ac:dyDescent="0.2">
      <c r="A1225" s="212" t="str">
        <f>HYPERLINK(V1225,B1225)</f>
        <v>ClrCode</v>
      </c>
      <c r="B1225" s="283" t="s">
        <v>12011</v>
      </c>
      <c r="C1225" s="284" t="s">
        <v>15840</v>
      </c>
      <c r="D1225" s="285"/>
      <c r="E1225" s="286"/>
      <c r="F1225" s="287" t="s">
        <v>15841</v>
      </c>
      <c r="G1225" s="286"/>
      <c r="H1225" s="286"/>
      <c r="I1225" s="288"/>
      <c r="J1225" s="289"/>
      <c r="K1225" s="290"/>
      <c r="L1225" s="371" t="str">
        <f>HYPERLINK("[#]DatatypeListedValues!B7132:H7132","«enumeration»")</f>
        <v>«enumeration»</v>
      </c>
      <c r="M1225" s="287" t="s">
        <v>6582</v>
      </c>
      <c r="N1225" s="291" t="b">
        <v>0</v>
      </c>
      <c r="O1225" s="286"/>
      <c r="P1225" s="292"/>
      <c r="Q1225" s="286"/>
      <c r="R1225" s="286"/>
      <c r="S1225" s="293"/>
      <c r="T1225" s="294"/>
      <c r="U1225" s="37">
        <v>1167</v>
      </c>
      <c r="V1225" s="36" t="str">
        <f>CONCATENATE(Cover!$D$6,"fdd/view?i=",U1225)</f>
        <v>https://www.dgiwg.org/FAD/fdd/view?i=1167</v>
      </c>
      <c r="W1225" s="172"/>
      <c r="X1225" s="172"/>
      <c r="Y1225" s="172"/>
    </row>
    <row r="1226" spans="1:25" ht="2.1" customHeight="1" x14ac:dyDescent="0.2">
      <c r="A1226" s="295"/>
      <c r="B1226" s="283"/>
      <c r="C1226" s="296"/>
      <c r="D1226" s="283"/>
      <c r="E1226" s="296"/>
      <c r="F1226" s="297"/>
      <c r="G1226" s="297"/>
      <c r="H1226" s="297"/>
      <c r="I1226" s="298"/>
      <c r="J1226" s="304"/>
      <c r="K1226" s="300"/>
      <c r="L1226" s="301"/>
      <c r="M1226" s="297" t="s">
        <v>6582</v>
      </c>
      <c r="N1226" s="297"/>
      <c r="O1226" s="297"/>
      <c r="P1226" s="297"/>
      <c r="Q1226" s="297"/>
      <c r="R1226" s="297"/>
      <c r="S1226" s="302"/>
      <c r="T1226" s="302"/>
      <c r="U1226" s="303"/>
    </row>
    <row r="1227" spans="1:25" ht="25.5" x14ac:dyDescent="0.2">
      <c r="A1227" s="212" t="str">
        <f>HYPERLINK(V1227,B1227)</f>
        <v>RmnCode</v>
      </c>
      <c r="B1227" s="283" t="s">
        <v>12027</v>
      </c>
      <c r="C1227" s="284" t="s">
        <v>15842</v>
      </c>
      <c r="D1227" s="285"/>
      <c r="E1227" s="286"/>
      <c r="F1227" s="287" t="s">
        <v>15843</v>
      </c>
      <c r="G1227" s="286"/>
      <c r="H1227" s="286"/>
      <c r="I1227" s="288"/>
      <c r="J1227" s="289"/>
      <c r="K1227" s="290"/>
      <c r="L1227" s="371" t="str">
        <f>HYPERLINK("[#]DatatypeListedValues!B7138:H7138","«enumeration»")</f>
        <v>«enumeration»</v>
      </c>
      <c r="M1227" s="287" t="s">
        <v>6582</v>
      </c>
      <c r="N1227" s="291" t="b">
        <v>0</v>
      </c>
      <c r="O1227" s="286"/>
      <c r="P1227" s="292"/>
      <c r="Q1227" s="286"/>
      <c r="R1227" s="286"/>
      <c r="S1227" s="293"/>
      <c r="T1227" s="294"/>
      <c r="U1227" s="37">
        <v>1907</v>
      </c>
      <c r="V1227" s="36" t="str">
        <f>CONCATENATE(Cover!$D$6,"fdd/view?i=",U1227)</f>
        <v>https://www.dgiwg.org/FAD/fdd/view?i=1907</v>
      </c>
      <c r="W1227" s="172"/>
      <c r="X1227" s="172"/>
      <c r="Y1227" s="172"/>
    </row>
    <row r="1228" spans="1:25" ht="2.1" customHeight="1" x14ac:dyDescent="0.2">
      <c r="A1228" s="295"/>
      <c r="B1228" s="283"/>
      <c r="C1228" s="296"/>
      <c r="D1228" s="283"/>
      <c r="E1228" s="296"/>
      <c r="F1228" s="297"/>
      <c r="G1228" s="297"/>
      <c r="H1228" s="297"/>
      <c r="I1228" s="298"/>
      <c r="J1228" s="304"/>
      <c r="K1228" s="300"/>
      <c r="L1228" s="301"/>
      <c r="M1228" s="297" t="s">
        <v>6582</v>
      </c>
      <c r="N1228" s="297"/>
      <c r="O1228" s="297"/>
      <c r="P1228" s="297"/>
      <c r="Q1228" s="297"/>
      <c r="R1228" s="297"/>
      <c r="S1228" s="302"/>
      <c r="T1228" s="302"/>
      <c r="U1228" s="303"/>
    </row>
    <row r="1229" spans="1:25" ht="25.5" x14ac:dyDescent="0.2">
      <c r="A1229" s="212" t="str">
        <f>HYPERLINK(V1229,B1229)</f>
        <v>PrwCode</v>
      </c>
      <c r="B1229" s="283" t="s">
        <v>12021</v>
      </c>
      <c r="C1229" s="284" t="s">
        <v>15844</v>
      </c>
      <c r="D1229" s="285"/>
      <c r="E1229" s="286"/>
      <c r="F1229" s="287" t="s">
        <v>15845</v>
      </c>
      <c r="G1229" s="286"/>
      <c r="H1229" s="286"/>
      <c r="I1229" s="288"/>
      <c r="J1229" s="289"/>
      <c r="K1229" s="290"/>
      <c r="L1229" s="371" t="str">
        <f>HYPERLINK("[#]DatatypeListedValues!B7145:H7145","«enumeration»")</f>
        <v>«enumeration»</v>
      </c>
      <c r="M1229" s="287" t="s">
        <v>6582</v>
      </c>
      <c r="N1229" s="291" t="b">
        <v>0</v>
      </c>
      <c r="O1229" s="286"/>
      <c r="P1229" s="292"/>
      <c r="Q1229" s="286"/>
      <c r="R1229" s="286"/>
      <c r="S1229" s="293"/>
      <c r="T1229" s="294"/>
      <c r="U1229" s="37">
        <v>1381</v>
      </c>
      <c r="V1229" s="36" t="str">
        <f>CONCATENATE(Cover!$D$6,"fdd/view?i=",U1229)</f>
        <v>https://www.dgiwg.org/FAD/fdd/view?i=1381</v>
      </c>
      <c r="W1229" s="172"/>
      <c r="X1229" s="172"/>
      <c r="Y1229" s="172"/>
    </row>
    <row r="1230" spans="1:25" ht="2.1" customHeight="1" x14ac:dyDescent="0.2">
      <c r="A1230" s="295"/>
      <c r="B1230" s="283"/>
      <c r="C1230" s="296"/>
      <c r="D1230" s="283"/>
      <c r="E1230" s="296"/>
      <c r="F1230" s="297"/>
      <c r="G1230" s="297"/>
      <c r="H1230" s="297"/>
      <c r="I1230" s="298"/>
      <c r="J1230" s="304"/>
      <c r="K1230" s="300"/>
      <c r="L1230" s="301"/>
      <c r="M1230" s="297" t="s">
        <v>6582</v>
      </c>
      <c r="N1230" s="297"/>
      <c r="O1230" s="297"/>
      <c r="P1230" s="297"/>
      <c r="Q1230" s="297"/>
      <c r="R1230" s="297"/>
      <c r="S1230" s="302"/>
      <c r="T1230" s="302"/>
      <c r="U1230" s="303"/>
    </row>
    <row r="1231" spans="1:25" ht="51" x14ac:dyDescent="0.2">
      <c r="A1231" s="212" t="str">
        <f>HYPERLINK(V1231,B1231)</f>
        <v>Real</v>
      </c>
      <c r="B1231" s="283" t="s">
        <v>5938</v>
      </c>
      <c r="C1231" s="284" t="s">
        <v>5938</v>
      </c>
      <c r="D1231" s="285"/>
      <c r="E1231" s="286"/>
      <c r="F1231" s="287" t="s">
        <v>15846</v>
      </c>
      <c r="G1231" s="287" t="s">
        <v>15847</v>
      </c>
      <c r="H1231" s="287" t="s">
        <v>15645</v>
      </c>
      <c r="I1231" s="288"/>
      <c r="J1231" s="289"/>
      <c r="K1231" s="290"/>
      <c r="L1231" s="287" t="s">
        <v>15644</v>
      </c>
      <c r="M1231" s="287" t="s">
        <v>6582</v>
      </c>
      <c r="N1231" s="286"/>
      <c r="O1231" s="286"/>
      <c r="P1231" s="292"/>
      <c r="Q1231" s="286"/>
      <c r="R1231" s="286"/>
      <c r="S1231" s="293"/>
      <c r="T1231" s="294"/>
      <c r="U1231" s="37">
        <v>1017</v>
      </c>
      <c r="V1231" s="36" t="str">
        <f>CONCATENATE(Cover!$D$6,"fdd/view?i=",U1231)</f>
        <v>https://www.dgiwg.org/FAD/fdd/view?i=1017</v>
      </c>
      <c r="W1231" s="172"/>
      <c r="X1231" s="172"/>
      <c r="Y1231" s="172"/>
    </row>
    <row r="1232" spans="1:25" ht="2.1" customHeight="1" x14ac:dyDescent="0.2">
      <c r="A1232" s="295"/>
      <c r="B1232" s="283"/>
      <c r="C1232" s="296"/>
      <c r="D1232" s="283"/>
      <c r="E1232" s="296"/>
      <c r="F1232" s="297"/>
      <c r="G1232" s="297"/>
      <c r="H1232" s="297"/>
      <c r="I1232" s="298"/>
      <c r="J1232" s="304"/>
      <c r="K1232" s="300"/>
      <c r="L1232" s="301"/>
      <c r="M1232" s="297" t="s">
        <v>6582</v>
      </c>
      <c r="N1232" s="297"/>
      <c r="O1232" s="297"/>
      <c r="P1232" s="297"/>
      <c r="Q1232" s="297"/>
      <c r="R1232" s="297"/>
      <c r="S1232" s="302"/>
      <c r="T1232" s="302"/>
      <c r="U1232" s="303"/>
    </row>
    <row r="1233" spans="1:25" ht="38.25" x14ac:dyDescent="0.2">
      <c r="A1233" s="190" t="str">
        <f>HYPERLINK(V1233,B1233)</f>
        <v>RealInterval</v>
      </c>
      <c r="B1233" s="408" t="s">
        <v>5933</v>
      </c>
      <c r="C1233" s="411" t="s">
        <v>15848</v>
      </c>
      <c r="D1233" s="308"/>
      <c r="E1233" s="309"/>
      <c r="F1233" s="310" t="s">
        <v>15849</v>
      </c>
      <c r="G1233" s="310" t="s">
        <v>15850</v>
      </c>
      <c r="H1233" s="310" t="s">
        <v>15649</v>
      </c>
      <c r="I1233" s="311"/>
      <c r="J1233" s="312"/>
      <c r="K1233" s="313"/>
      <c r="L1233" s="314" t="s">
        <v>15648</v>
      </c>
      <c r="M1233" s="310" t="s">
        <v>6582</v>
      </c>
      <c r="N1233" s="309"/>
      <c r="O1233" s="309"/>
      <c r="P1233" s="315"/>
      <c r="Q1233" s="309"/>
      <c r="R1233" s="309"/>
      <c r="S1233" s="342"/>
      <c r="T1233" s="317"/>
      <c r="U1233" s="37">
        <v>1019</v>
      </c>
      <c r="V1233" s="36" t="str">
        <f>CONCATENATE(Cover!$D$6,"fdd/view?i=",U1233)</f>
        <v>https://www.dgiwg.org/FAD/fdd/view?i=1019</v>
      </c>
      <c r="W1233" s="172"/>
      <c r="X1233" s="172"/>
      <c r="Y1233" s="172"/>
    </row>
    <row r="1234" spans="1:25" ht="76.5" x14ac:dyDescent="0.2">
      <c r="A1234" s="197" t="str">
        <f>HYPERLINK(V1234,"   " &amp; D1234)</f>
        <v xml:space="preserve">   lowerValue</v>
      </c>
      <c r="B1234" s="409"/>
      <c r="C1234" s="412"/>
      <c r="D1234" s="332" t="s">
        <v>15650</v>
      </c>
      <c r="E1234" s="339" t="s">
        <v>15651</v>
      </c>
      <c r="F1234" s="233" t="s">
        <v>15652</v>
      </c>
      <c r="G1234" s="233" t="s">
        <v>15653</v>
      </c>
      <c r="H1234" s="227"/>
      <c r="I1234" s="334" t="s">
        <v>5932</v>
      </c>
      <c r="J1234" s="335"/>
      <c r="K1234" s="336" t="s">
        <v>5938</v>
      </c>
      <c r="L1234" s="372" t="str">
        <f>HYPERLINK("[#]Datatypes!B1231:L1231","Real")</f>
        <v>Real</v>
      </c>
      <c r="M1234" s="13" t="s">
        <v>15654</v>
      </c>
      <c r="N1234" s="322"/>
      <c r="O1234" s="322"/>
      <c r="P1234" s="322"/>
      <c r="Q1234" s="322"/>
      <c r="R1234" s="322"/>
      <c r="S1234" s="323"/>
      <c r="T1234" s="324"/>
      <c r="U1234" s="37">
        <v>2035</v>
      </c>
      <c r="V1234" s="36" t="str">
        <f>CONCATENATE(Cover!$D$6,"fdd/view?i=",U1234)</f>
        <v>https://www.dgiwg.org/FAD/fdd/view?i=2035</v>
      </c>
      <c r="W1234" s="172"/>
      <c r="X1234" s="172"/>
      <c r="Y1234" s="172"/>
    </row>
    <row r="1235" spans="1:25" ht="89.25" x14ac:dyDescent="0.2">
      <c r="A1235" s="197" t="str">
        <f>HYPERLINK(V1235,"   " &amp; D1235)</f>
        <v xml:space="preserve">   upperValue</v>
      </c>
      <c r="B1235" s="409"/>
      <c r="C1235" s="412"/>
      <c r="D1235" s="337" t="s">
        <v>15655</v>
      </c>
      <c r="E1235" s="340" t="s">
        <v>15656</v>
      </c>
      <c r="F1235" s="13" t="s">
        <v>15851</v>
      </c>
      <c r="G1235" s="13" t="s">
        <v>15657</v>
      </c>
      <c r="H1235" s="172"/>
      <c r="I1235" s="319" t="s">
        <v>5932</v>
      </c>
      <c r="J1235" s="320"/>
      <c r="K1235" s="321" t="s">
        <v>5938</v>
      </c>
      <c r="L1235" s="373" t="str">
        <f>HYPERLINK("[#]Datatypes!B1231:L1231","Real")</f>
        <v>Real</v>
      </c>
      <c r="M1235" s="13" t="s">
        <v>15654</v>
      </c>
      <c r="N1235" s="322"/>
      <c r="O1235" s="322"/>
      <c r="P1235" s="322"/>
      <c r="Q1235" s="322"/>
      <c r="R1235" s="322"/>
      <c r="S1235" s="323"/>
      <c r="T1235" s="324"/>
      <c r="U1235" s="37">
        <v>2036</v>
      </c>
      <c r="V1235" s="36" t="str">
        <f>CONCATENATE(Cover!$D$6,"fdd/view?i=",U1235)</f>
        <v>https://www.dgiwg.org/FAD/fdd/view?i=2036</v>
      </c>
      <c r="W1235" s="172"/>
      <c r="X1235" s="172"/>
      <c r="Y1235" s="172"/>
    </row>
    <row r="1236" spans="1:25" ht="38.25" x14ac:dyDescent="0.2">
      <c r="A1236" s="203" t="str">
        <f>HYPERLINK(V1236,"   " &amp; D1236)</f>
        <v xml:space="preserve">   closure</v>
      </c>
      <c r="B1236" s="410"/>
      <c r="C1236" s="413"/>
      <c r="D1236" s="338" t="s">
        <v>15658</v>
      </c>
      <c r="E1236" s="341" t="s">
        <v>15659</v>
      </c>
      <c r="F1236" s="210" t="s">
        <v>15660</v>
      </c>
      <c r="G1236" s="210" t="s">
        <v>15661</v>
      </c>
      <c r="H1236" s="232"/>
      <c r="I1236" s="326" t="s">
        <v>5932</v>
      </c>
      <c r="J1236" s="327"/>
      <c r="K1236" s="328" t="s">
        <v>15346</v>
      </c>
      <c r="L1236" s="374" t="str">
        <f>HYPERLINK("[#]Datatypes!B760:L760","Interval Closure Type Code")</f>
        <v>Interval Closure Type Code</v>
      </c>
      <c r="M1236" s="210" t="s">
        <v>15654</v>
      </c>
      <c r="N1236" s="329"/>
      <c r="O1236" s="329"/>
      <c r="P1236" s="329"/>
      <c r="Q1236" s="329"/>
      <c r="R1236" s="329"/>
      <c r="S1236" s="330"/>
      <c r="T1236" s="331"/>
      <c r="U1236" s="37">
        <v>2037</v>
      </c>
      <c r="V1236" s="36" t="str">
        <f>CONCATENATE(Cover!$D$6,"fdd/view?i=",U1236)</f>
        <v>https://www.dgiwg.org/FAD/fdd/view?i=2037</v>
      </c>
      <c r="W1236" s="172"/>
      <c r="X1236" s="172"/>
      <c r="Y1236" s="172"/>
    </row>
    <row r="1237" spans="1:25" ht="2.1" customHeight="1" x14ac:dyDescent="0.2">
      <c r="A1237" s="295"/>
      <c r="B1237" s="283"/>
      <c r="C1237" s="296"/>
      <c r="D1237" s="283"/>
      <c r="E1237" s="296"/>
      <c r="F1237" s="297"/>
      <c r="G1237" s="297"/>
      <c r="H1237" s="297"/>
      <c r="I1237" s="298"/>
      <c r="J1237" s="304"/>
      <c r="K1237" s="300"/>
      <c r="L1237" s="301"/>
      <c r="M1237" s="297" t="s">
        <v>6582</v>
      </c>
      <c r="N1237" s="297"/>
      <c r="O1237" s="297"/>
      <c r="P1237" s="297"/>
      <c r="Q1237" s="297"/>
      <c r="R1237" s="297"/>
      <c r="S1237" s="302"/>
      <c r="T1237" s="302"/>
      <c r="U1237" s="303"/>
    </row>
    <row r="1238" spans="1:25" ht="38.25" x14ac:dyDescent="0.2">
      <c r="A1238" s="190" t="str">
        <f>HYPERLINK(V1238,B1238)</f>
        <v>RealNonNegInterval100</v>
      </c>
      <c r="B1238" s="408" t="s">
        <v>6749</v>
      </c>
      <c r="C1238" s="411" t="s">
        <v>15852</v>
      </c>
      <c r="D1238" s="308"/>
      <c r="E1238" s="309"/>
      <c r="F1238" s="310" t="s">
        <v>15853</v>
      </c>
      <c r="G1238" s="309"/>
      <c r="H1238" s="310" t="s">
        <v>15649</v>
      </c>
      <c r="I1238" s="311"/>
      <c r="J1238" s="312"/>
      <c r="K1238" s="313"/>
      <c r="L1238" s="314" t="s">
        <v>15648</v>
      </c>
      <c r="M1238" s="310" t="s">
        <v>6582</v>
      </c>
      <c r="N1238" s="309"/>
      <c r="O1238" s="309"/>
      <c r="P1238" s="315"/>
      <c r="Q1238" s="309"/>
      <c r="R1238" s="309"/>
      <c r="S1238" s="316" t="s">
        <v>15327</v>
      </c>
      <c r="T1238" s="343" t="s">
        <v>15328</v>
      </c>
      <c r="U1238" s="37">
        <v>3641</v>
      </c>
      <c r="V1238" s="36" t="str">
        <f>CONCATENATE(Cover!$D$6,"fdd/view?i=",U1238)</f>
        <v>https://www.dgiwg.org/FAD/fdd/view?i=3641</v>
      </c>
      <c r="W1238" s="172"/>
      <c r="X1238" s="172"/>
      <c r="Y1238" s="172"/>
    </row>
    <row r="1239" spans="1:25" ht="76.5" x14ac:dyDescent="0.2">
      <c r="A1239" s="197" t="str">
        <f>HYPERLINK(V1239,"   " &amp; D1239)</f>
        <v xml:space="preserve">   lowerValue</v>
      </c>
      <c r="B1239" s="409"/>
      <c r="C1239" s="412"/>
      <c r="D1239" s="332" t="s">
        <v>15650</v>
      </c>
      <c r="E1239" s="339" t="s">
        <v>15651</v>
      </c>
      <c r="F1239" s="233" t="s">
        <v>15652</v>
      </c>
      <c r="G1239" s="233" t="s">
        <v>15653</v>
      </c>
      <c r="H1239" s="227"/>
      <c r="I1239" s="334" t="s">
        <v>5932</v>
      </c>
      <c r="J1239" s="335"/>
      <c r="K1239" s="336" t="s">
        <v>5938</v>
      </c>
      <c r="L1239" s="372" t="str">
        <f>HYPERLINK("[#]Datatypes!B1231:L1231","Real")</f>
        <v>Real</v>
      </c>
      <c r="M1239" s="13" t="s">
        <v>15654</v>
      </c>
      <c r="N1239" s="322"/>
      <c r="O1239" s="322"/>
      <c r="P1239" s="322"/>
      <c r="Q1239" s="322"/>
      <c r="R1239" s="322"/>
      <c r="S1239" s="323"/>
      <c r="T1239" s="324"/>
      <c r="U1239" s="37">
        <v>4860</v>
      </c>
      <c r="V1239" s="36" t="str">
        <f>CONCATENATE(Cover!$D$6,"fdd/view?i=",U1239)</f>
        <v>https://www.dgiwg.org/FAD/fdd/view?i=4860</v>
      </c>
      <c r="W1239" s="172"/>
      <c r="X1239" s="172"/>
      <c r="Y1239" s="172"/>
    </row>
    <row r="1240" spans="1:25" ht="76.5" x14ac:dyDescent="0.2">
      <c r="A1240" s="197" t="str">
        <f>HYPERLINK(V1240,"   " &amp; D1240)</f>
        <v xml:space="preserve">   upperValue</v>
      </c>
      <c r="B1240" s="409"/>
      <c r="C1240" s="412"/>
      <c r="D1240" s="337" t="s">
        <v>15655</v>
      </c>
      <c r="E1240" s="340" t="s">
        <v>15656</v>
      </c>
      <c r="F1240" s="13" t="s">
        <v>15652</v>
      </c>
      <c r="G1240" s="13" t="s">
        <v>15657</v>
      </c>
      <c r="H1240" s="172"/>
      <c r="I1240" s="319" t="s">
        <v>5932</v>
      </c>
      <c r="J1240" s="320"/>
      <c r="K1240" s="321" t="s">
        <v>5938</v>
      </c>
      <c r="L1240" s="373" t="str">
        <f>HYPERLINK("[#]Datatypes!B1231:L1231","Real")</f>
        <v>Real</v>
      </c>
      <c r="M1240" s="13" t="s">
        <v>15654</v>
      </c>
      <c r="N1240" s="322"/>
      <c r="O1240" s="322"/>
      <c r="P1240" s="322"/>
      <c r="Q1240" s="322"/>
      <c r="R1240" s="322"/>
      <c r="S1240" s="323"/>
      <c r="T1240" s="324"/>
      <c r="U1240" s="37">
        <v>4861</v>
      </c>
      <c r="V1240" s="36" t="str">
        <f>CONCATENATE(Cover!$D$6,"fdd/view?i=",U1240)</f>
        <v>https://www.dgiwg.org/FAD/fdd/view?i=4861</v>
      </c>
      <c r="W1240" s="172"/>
      <c r="X1240" s="172"/>
      <c r="Y1240" s="172"/>
    </row>
    <row r="1241" spans="1:25" ht="38.25" x14ac:dyDescent="0.2">
      <c r="A1241" s="203" t="str">
        <f>HYPERLINK(V1241,"   " &amp; D1241)</f>
        <v xml:space="preserve">   closure</v>
      </c>
      <c r="B1241" s="410"/>
      <c r="C1241" s="413"/>
      <c r="D1241" s="338" t="s">
        <v>15658</v>
      </c>
      <c r="E1241" s="341" t="s">
        <v>15659</v>
      </c>
      <c r="F1241" s="210" t="s">
        <v>15660</v>
      </c>
      <c r="G1241" s="210" t="s">
        <v>15661</v>
      </c>
      <c r="H1241" s="232"/>
      <c r="I1241" s="326" t="s">
        <v>5932</v>
      </c>
      <c r="J1241" s="327"/>
      <c r="K1241" s="328" t="s">
        <v>15346</v>
      </c>
      <c r="L1241" s="374" t="str">
        <f>HYPERLINK("[#]Datatypes!B760:L760","Interval Closure Type Code")</f>
        <v>Interval Closure Type Code</v>
      </c>
      <c r="M1241" s="210" t="s">
        <v>15654</v>
      </c>
      <c r="N1241" s="329"/>
      <c r="O1241" s="329"/>
      <c r="P1241" s="329"/>
      <c r="Q1241" s="329"/>
      <c r="R1241" s="329"/>
      <c r="S1241" s="330"/>
      <c r="T1241" s="331"/>
      <c r="U1241" s="37">
        <v>4862</v>
      </c>
      <c r="V1241" s="36" t="str">
        <f>CONCATENATE(Cover!$D$6,"fdd/view?i=",U1241)</f>
        <v>https://www.dgiwg.org/FAD/fdd/view?i=4862</v>
      </c>
      <c r="W1241" s="172"/>
      <c r="X1241" s="172"/>
      <c r="Y1241" s="172"/>
    </row>
    <row r="1242" spans="1:25" ht="2.1" customHeight="1" x14ac:dyDescent="0.2">
      <c r="A1242" s="295"/>
      <c r="B1242" s="283"/>
      <c r="C1242" s="296"/>
      <c r="D1242" s="283"/>
      <c r="E1242" s="296"/>
      <c r="F1242" s="297"/>
      <c r="G1242" s="297"/>
      <c r="H1242" s="297"/>
      <c r="I1242" s="298"/>
      <c r="J1242" s="304"/>
      <c r="K1242" s="300"/>
      <c r="L1242" s="301"/>
      <c r="M1242" s="297" t="s">
        <v>6582</v>
      </c>
      <c r="N1242" s="297"/>
      <c r="O1242" s="297"/>
      <c r="P1242" s="297"/>
      <c r="Q1242" s="297"/>
      <c r="R1242" s="297"/>
      <c r="S1242" s="302"/>
      <c r="T1242" s="302"/>
      <c r="U1242" s="303"/>
    </row>
    <row r="1243" spans="1:25" ht="38.25" x14ac:dyDescent="0.2">
      <c r="A1243" s="190" t="str">
        <f>HYPERLINK(V1243,B1243)</f>
        <v>RealNonNegInterval360</v>
      </c>
      <c r="B1243" s="408" t="s">
        <v>8113</v>
      </c>
      <c r="C1243" s="411" t="s">
        <v>15854</v>
      </c>
      <c r="D1243" s="308"/>
      <c r="E1243" s="309"/>
      <c r="F1243" s="310" t="s">
        <v>15855</v>
      </c>
      <c r="G1243" s="309"/>
      <c r="H1243" s="310" t="s">
        <v>15649</v>
      </c>
      <c r="I1243" s="311"/>
      <c r="J1243" s="312"/>
      <c r="K1243" s="313"/>
      <c r="L1243" s="314" t="s">
        <v>15648</v>
      </c>
      <c r="M1243" s="310" t="s">
        <v>6582</v>
      </c>
      <c r="N1243" s="309"/>
      <c r="O1243" s="309"/>
      <c r="P1243" s="315"/>
      <c r="Q1243" s="309"/>
      <c r="R1243" s="309"/>
      <c r="S1243" s="316" t="s">
        <v>15327</v>
      </c>
      <c r="T1243" s="343" t="s">
        <v>15856</v>
      </c>
      <c r="U1243" s="37">
        <v>3647</v>
      </c>
      <c r="V1243" s="36" t="str">
        <f>CONCATENATE(Cover!$D$6,"fdd/view?i=",U1243)</f>
        <v>https://www.dgiwg.org/FAD/fdd/view?i=3647</v>
      </c>
      <c r="W1243" s="172"/>
      <c r="X1243" s="172"/>
      <c r="Y1243" s="172"/>
    </row>
    <row r="1244" spans="1:25" ht="76.5" x14ac:dyDescent="0.2">
      <c r="A1244" s="197" t="str">
        <f>HYPERLINK(V1244,"   " &amp; D1244)</f>
        <v xml:space="preserve">   lowerValue</v>
      </c>
      <c r="B1244" s="409"/>
      <c r="C1244" s="412"/>
      <c r="D1244" s="332" t="s">
        <v>15650</v>
      </c>
      <c r="E1244" s="339" t="s">
        <v>15651</v>
      </c>
      <c r="F1244" s="233" t="s">
        <v>15652</v>
      </c>
      <c r="G1244" s="233" t="s">
        <v>15653</v>
      </c>
      <c r="H1244" s="227"/>
      <c r="I1244" s="334" t="s">
        <v>5932</v>
      </c>
      <c r="J1244" s="335"/>
      <c r="K1244" s="336" t="s">
        <v>5938</v>
      </c>
      <c r="L1244" s="372" t="str">
        <f>HYPERLINK("[#]Datatypes!B1231:L1231","Real")</f>
        <v>Real</v>
      </c>
      <c r="M1244" s="13" t="s">
        <v>15654</v>
      </c>
      <c r="N1244" s="322"/>
      <c r="O1244" s="322"/>
      <c r="P1244" s="322"/>
      <c r="Q1244" s="322"/>
      <c r="R1244" s="322"/>
      <c r="S1244" s="323"/>
      <c r="T1244" s="324"/>
      <c r="U1244" s="37">
        <v>4863</v>
      </c>
      <c r="V1244" s="36" t="str">
        <f>CONCATENATE(Cover!$D$6,"fdd/view?i=",U1244)</f>
        <v>https://www.dgiwg.org/FAD/fdd/view?i=4863</v>
      </c>
      <c r="W1244" s="172"/>
      <c r="X1244" s="172"/>
      <c r="Y1244" s="172"/>
    </row>
    <row r="1245" spans="1:25" ht="76.5" x14ac:dyDescent="0.2">
      <c r="A1245" s="197" t="str">
        <f>HYPERLINK(V1245,"   " &amp; D1245)</f>
        <v xml:space="preserve">   upperValue</v>
      </c>
      <c r="B1245" s="409"/>
      <c r="C1245" s="412"/>
      <c r="D1245" s="337" t="s">
        <v>15655</v>
      </c>
      <c r="E1245" s="340" t="s">
        <v>15656</v>
      </c>
      <c r="F1245" s="13" t="s">
        <v>15652</v>
      </c>
      <c r="G1245" s="13" t="s">
        <v>15657</v>
      </c>
      <c r="H1245" s="172"/>
      <c r="I1245" s="319" t="s">
        <v>5932</v>
      </c>
      <c r="J1245" s="320"/>
      <c r="K1245" s="321" t="s">
        <v>5938</v>
      </c>
      <c r="L1245" s="373" t="str">
        <f>HYPERLINK("[#]Datatypes!B1231:L1231","Real")</f>
        <v>Real</v>
      </c>
      <c r="M1245" s="13" t="s">
        <v>15654</v>
      </c>
      <c r="N1245" s="322"/>
      <c r="O1245" s="322"/>
      <c r="P1245" s="322"/>
      <c r="Q1245" s="322"/>
      <c r="R1245" s="322"/>
      <c r="S1245" s="323"/>
      <c r="T1245" s="324"/>
      <c r="U1245" s="37">
        <v>4864</v>
      </c>
      <c r="V1245" s="36" t="str">
        <f>CONCATENATE(Cover!$D$6,"fdd/view?i=",U1245)</f>
        <v>https://www.dgiwg.org/FAD/fdd/view?i=4864</v>
      </c>
      <c r="W1245" s="172"/>
      <c r="X1245" s="172"/>
      <c r="Y1245" s="172"/>
    </row>
    <row r="1246" spans="1:25" ht="38.25" x14ac:dyDescent="0.2">
      <c r="A1246" s="203" t="str">
        <f>HYPERLINK(V1246,"   " &amp; D1246)</f>
        <v xml:space="preserve">   closure</v>
      </c>
      <c r="B1246" s="410"/>
      <c r="C1246" s="413"/>
      <c r="D1246" s="338" t="s">
        <v>15658</v>
      </c>
      <c r="E1246" s="341" t="s">
        <v>15659</v>
      </c>
      <c r="F1246" s="210" t="s">
        <v>15660</v>
      </c>
      <c r="G1246" s="210" t="s">
        <v>15661</v>
      </c>
      <c r="H1246" s="232"/>
      <c r="I1246" s="326" t="s">
        <v>5932</v>
      </c>
      <c r="J1246" s="327"/>
      <c r="K1246" s="328" t="s">
        <v>15346</v>
      </c>
      <c r="L1246" s="374" t="str">
        <f>HYPERLINK("[#]Datatypes!B760:L760","Interval Closure Type Code")</f>
        <v>Interval Closure Type Code</v>
      </c>
      <c r="M1246" s="210" t="s">
        <v>15654</v>
      </c>
      <c r="N1246" s="329"/>
      <c r="O1246" s="329"/>
      <c r="P1246" s="329"/>
      <c r="Q1246" s="329"/>
      <c r="R1246" s="329"/>
      <c r="S1246" s="330"/>
      <c r="T1246" s="331"/>
      <c r="U1246" s="37">
        <v>4865</v>
      </c>
      <c r="V1246" s="36" t="str">
        <f>CONCATENATE(Cover!$D$6,"fdd/view?i=",U1246)</f>
        <v>https://www.dgiwg.org/FAD/fdd/view?i=4865</v>
      </c>
      <c r="W1246" s="172"/>
      <c r="X1246" s="172"/>
      <c r="Y1246" s="172"/>
    </row>
    <row r="1247" spans="1:25" ht="2.1" customHeight="1" x14ac:dyDescent="0.2">
      <c r="A1247" s="295"/>
      <c r="B1247" s="283"/>
      <c r="C1247" s="296"/>
      <c r="D1247" s="283"/>
      <c r="E1247" s="296"/>
      <c r="F1247" s="297"/>
      <c r="G1247" s="297"/>
      <c r="H1247" s="297"/>
      <c r="I1247" s="298"/>
      <c r="J1247" s="304"/>
      <c r="K1247" s="300"/>
      <c r="L1247" s="301"/>
      <c r="M1247" s="297" t="s">
        <v>6582</v>
      </c>
      <c r="N1247" s="297"/>
      <c r="O1247" s="297"/>
      <c r="P1247" s="297"/>
      <c r="Q1247" s="297"/>
      <c r="R1247" s="297"/>
      <c r="S1247" s="302"/>
      <c r="T1247" s="302"/>
      <c r="U1247" s="303"/>
    </row>
    <row r="1248" spans="1:25" ht="38.25" x14ac:dyDescent="0.2">
      <c r="A1248" s="212" t="str">
        <f>HYPERLINK(V1248,B1248)</f>
        <v>RealNonNeg359</v>
      </c>
      <c r="B1248" s="283" t="s">
        <v>13433</v>
      </c>
      <c r="C1248" s="284" t="s">
        <v>15857</v>
      </c>
      <c r="D1248" s="285"/>
      <c r="E1248" s="286"/>
      <c r="F1248" s="287" t="s">
        <v>15858</v>
      </c>
      <c r="G1248" s="286"/>
      <c r="H1248" s="287" t="s">
        <v>15645</v>
      </c>
      <c r="I1248" s="288"/>
      <c r="J1248" s="289"/>
      <c r="K1248" s="290"/>
      <c r="L1248" s="287" t="s">
        <v>15644</v>
      </c>
      <c r="M1248" s="287" t="s">
        <v>6582</v>
      </c>
      <c r="N1248" s="286"/>
      <c r="O1248" s="286"/>
      <c r="P1248" s="292"/>
      <c r="Q1248" s="286"/>
      <c r="R1248" s="286"/>
      <c r="S1248" s="306" t="s">
        <v>15327</v>
      </c>
      <c r="T1248" s="307" t="s">
        <v>15334</v>
      </c>
      <c r="U1248" s="37">
        <v>3682</v>
      </c>
      <c r="V1248" s="36" t="str">
        <f>CONCATENATE(Cover!$D$6,"fdd/view?i=",U1248)</f>
        <v>https://www.dgiwg.org/FAD/fdd/view?i=3682</v>
      </c>
      <c r="W1248" s="172"/>
      <c r="X1248" s="172"/>
      <c r="Y1248" s="172"/>
    </row>
    <row r="1249" spans="1:25" ht="2.1" customHeight="1" x14ac:dyDescent="0.2">
      <c r="A1249" s="295"/>
      <c r="B1249" s="283"/>
      <c r="C1249" s="296"/>
      <c r="D1249" s="283"/>
      <c r="E1249" s="296"/>
      <c r="F1249" s="297"/>
      <c r="G1249" s="297"/>
      <c r="H1249" s="297"/>
      <c r="I1249" s="298"/>
      <c r="J1249" s="304"/>
      <c r="K1249" s="300"/>
      <c r="L1249" s="301"/>
      <c r="M1249" s="297" t="s">
        <v>6582</v>
      </c>
      <c r="N1249" s="297"/>
      <c r="O1249" s="297"/>
      <c r="P1249" s="297"/>
      <c r="Q1249" s="297"/>
      <c r="R1249" s="297"/>
      <c r="S1249" s="302"/>
      <c r="T1249" s="302"/>
      <c r="U1249" s="303"/>
    </row>
    <row r="1250" spans="1:25" ht="38.25" x14ac:dyDescent="0.2">
      <c r="A1250" s="212" t="str">
        <f>HYPERLINK(V1250,B1250)</f>
        <v>RealNonNeg359r9</v>
      </c>
      <c r="B1250" s="283" t="s">
        <v>6667</v>
      </c>
      <c r="C1250" s="284" t="s">
        <v>15859</v>
      </c>
      <c r="D1250" s="285"/>
      <c r="E1250" s="286"/>
      <c r="F1250" s="287" t="s">
        <v>15860</v>
      </c>
      <c r="G1250" s="286"/>
      <c r="H1250" s="287" t="s">
        <v>15645</v>
      </c>
      <c r="I1250" s="288"/>
      <c r="J1250" s="289"/>
      <c r="K1250" s="290"/>
      <c r="L1250" s="287" t="s">
        <v>15644</v>
      </c>
      <c r="M1250" s="287" t="s">
        <v>6582</v>
      </c>
      <c r="N1250" s="286"/>
      <c r="O1250" s="286"/>
      <c r="P1250" s="292"/>
      <c r="Q1250" s="286"/>
      <c r="R1250" s="286"/>
      <c r="S1250" s="306" t="s">
        <v>15327</v>
      </c>
      <c r="T1250" s="307" t="s">
        <v>15861</v>
      </c>
      <c r="U1250" s="37">
        <v>3683</v>
      </c>
      <c r="V1250" s="36" t="str">
        <f>CONCATENATE(Cover!$D$6,"fdd/view?i=",U1250)</f>
        <v>https://www.dgiwg.org/FAD/fdd/view?i=3683</v>
      </c>
      <c r="W1250" s="172"/>
      <c r="X1250" s="172"/>
      <c r="Y1250" s="172"/>
    </row>
    <row r="1251" spans="1:25" ht="2.1" customHeight="1" x14ac:dyDescent="0.2">
      <c r="A1251" s="295"/>
      <c r="B1251" s="283"/>
      <c r="C1251" s="296"/>
      <c r="D1251" s="283"/>
      <c r="E1251" s="296"/>
      <c r="F1251" s="297"/>
      <c r="G1251" s="297"/>
      <c r="H1251" s="297"/>
      <c r="I1251" s="298"/>
      <c r="J1251" s="304"/>
      <c r="K1251" s="300"/>
      <c r="L1251" s="301"/>
      <c r="M1251" s="297" t="s">
        <v>6582</v>
      </c>
      <c r="N1251" s="297"/>
      <c r="O1251" s="297"/>
      <c r="P1251" s="297"/>
      <c r="Q1251" s="297"/>
      <c r="R1251" s="297"/>
      <c r="S1251" s="302"/>
      <c r="T1251" s="302"/>
      <c r="U1251" s="303"/>
    </row>
    <row r="1252" spans="1:25" ht="38.25" x14ac:dyDescent="0.2">
      <c r="A1252" s="212" t="str">
        <f>HYPERLINK(V1252,B1252)</f>
        <v>RealNonNeg360</v>
      </c>
      <c r="B1252" s="283" t="s">
        <v>7050</v>
      </c>
      <c r="C1252" s="284" t="s">
        <v>15862</v>
      </c>
      <c r="D1252" s="285"/>
      <c r="E1252" s="286"/>
      <c r="F1252" s="287" t="s">
        <v>15863</v>
      </c>
      <c r="G1252" s="286"/>
      <c r="H1252" s="287" t="s">
        <v>15645</v>
      </c>
      <c r="I1252" s="288"/>
      <c r="J1252" s="289"/>
      <c r="K1252" s="290"/>
      <c r="L1252" s="287" t="s">
        <v>15644</v>
      </c>
      <c r="M1252" s="287" t="s">
        <v>6582</v>
      </c>
      <c r="N1252" s="286"/>
      <c r="O1252" s="286"/>
      <c r="P1252" s="292"/>
      <c r="Q1252" s="286"/>
      <c r="R1252" s="286"/>
      <c r="S1252" s="306" t="s">
        <v>15327</v>
      </c>
      <c r="T1252" s="307" t="s">
        <v>15856</v>
      </c>
      <c r="U1252" s="37">
        <v>3685</v>
      </c>
      <c r="V1252" s="36" t="str">
        <f>CONCATENATE(Cover!$D$6,"fdd/view?i=",U1252)</f>
        <v>https://www.dgiwg.org/FAD/fdd/view?i=3685</v>
      </c>
      <c r="W1252" s="172"/>
      <c r="X1252" s="172"/>
      <c r="Y1252" s="172"/>
    </row>
    <row r="1253" spans="1:25" ht="2.1" customHeight="1" x14ac:dyDescent="0.2">
      <c r="A1253" s="295"/>
      <c r="B1253" s="283"/>
      <c r="C1253" s="296"/>
      <c r="D1253" s="283"/>
      <c r="E1253" s="296"/>
      <c r="F1253" s="297"/>
      <c r="G1253" s="297"/>
      <c r="H1253" s="297"/>
      <c r="I1253" s="298"/>
      <c r="J1253" s="304"/>
      <c r="K1253" s="300"/>
      <c r="L1253" s="301"/>
      <c r="M1253" s="297" t="s">
        <v>6582</v>
      </c>
      <c r="N1253" s="297"/>
      <c r="O1253" s="297"/>
      <c r="P1253" s="297"/>
      <c r="Q1253" s="297"/>
      <c r="R1253" s="297"/>
      <c r="S1253" s="302"/>
      <c r="T1253" s="302"/>
      <c r="U1253" s="303"/>
    </row>
    <row r="1254" spans="1:25" ht="38.25" x14ac:dyDescent="0.2">
      <c r="A1254" s="212" t="str">
        <f>HYPERLINK(V1254,B1254)</f>
        <v>RealNonNeg0r0to9r9</v>
      </c>
      <c r="B1254" s="283" t="s">
        <v>12660</v>
      </c>
      <c r="C1254" s="284" t="s">
        <v>15864</v>
      </c>
      <c r="D1254" s="285"/>
      <c r="E1254" s="286"/>
      <c r="F1254" s="287" t="s">
        <v>15865</v>
      </c>
      <c r="G1254" s="286"/>
      <c r="H1254" s="287" t="s">
        <v>15645</v>
      </c>
      <c r="I1254" s="288"/>
      <c r="J1254" s="289"/>
      <c r="K1254" s="290"/>
      <c r="L1254" s="287" t="s">
        <v>15644</v>
      </c>
      <c r="M1254" s="287" t="s">
        <v>6582</v>
      </c>
      <c r="N1254" s="286"/>
      <c r="O1254" s="286"/>
      <c r="P1254" s="292"/>
      <c r="Q1254" s="286"/>
      <c r="R1254" s="286"/>
      <c r="S1254" s="306" t="s">
        <v>15866</v>
      </c>
      <c r="T1254" s="307" t="s">
        <v>15867</v>
      </c>
      <c r="U1254" s="37">
        <v>3660</v>
      </c>
      <c r="V1254" s="36" t="str">
        <f>CONCATENATE(Cover!$D$6,"fdd/view?i=",U1254)</f>
        <v>https://www.dgiwg.org/FAD/fdd/view?i=3660</v>
      </c>
      <c r="W1254" s="172"/>
      <c r="X1254" s="172"/>
      <c r="Y1254" s="172"/>
    </row>
    <row r="1255" spans="1:25" ht="2.1" customHeight="1" x14ac:dyDescent="0.2">
      <c r="A1255" s="295"/>
      <c r="B1255" s="283"/>
      <c r="C1255" s="296"/>
      <c r="D1255" s="283"/>
      <c r="E1255" s="296"/>
      <c r="F1255" s="297"/>
      <c r="G1255" s="297"/>
      <c r="H1255" s="297"/>
      <c r="I1255" s="298"/>
      <c r="J1255" s="304"/>
      <c r="K1255" s="300"/>
      <c r="L1255" s="301"/>
      <c r="M1255" s="297" t="s">
        <v>6582</v>
      </c>
      <c r="N1255" s="297"/>
      <c r="O1255" s="297"/>
      <c r="P1255" s="297"/>
      <c r="Q1255" s="297"/>
      <c r="R1255" s="297"/>
      <c r="S1255" s="302"/>
      <c r="T1255" s="302"/>
      <c r="U1255" s="303"/>
    </row>
    <row r="1256" spans="1:25" ht="38.25" x14ac:dyDescent="0.2">
      <c r="A1256" s="212" t="str">
        <f>HYPERLINK(V1256,B1256)</f>
        <v>RealNonNeg0r00to4r99</v>
      </c>
      <c r="B1256" s="283" t="s">
        <v>9128</v>
      </c>
      <c r="C1256" s="284" t="s">
        <v>15868</v>
      </c>
      <c r="D1256" s="285"/>
      <c r="E1256" s="286"/>
      <c r="F1256" s="287" t="s">
        <v>15869</v>
      </c>
      <c r="G1256" s="286"/>
      <c r="H1256" s="287" t="s">
        <v>15645</v>
      </c>
      <c r="I1256" s="288"/>
      <c r="J1256" s="289"/>
      <c r="K1256" s="290"/>
      <c r="L1256" s="287" t="s">
        <v>15644</v>
      </c>
      <c r="M1256" s="287" t="s">
        <v>6582</v>
      </c>
      <c r="N1256" s="286"/>
      <c r="O1256" s="286"/>
      <c r="P1256" s="292"/>
      <c r="Q1256" s="286"/>
      <c r="R1256" s="286"/>
      <c r="S1256" s="306" t="s">
        <v>15870</v>
      </c>
      <c r="T1256" s="307" t="s">
        <v>15871</v>
      </c>
      <c r="U1256" s="37">
        <v>3659</v>
      </c>
      <c r="V1256" s="36" t="str">
        <f>CONCATENATE(Cover!$D$6,"fdd/view?i=",U1256)</f>
        <v>https://www.dgiwg.org/FAD/fdd/view?i=3659</v>
      </c>
      <c r="W1256" s="172"/>
      <c r="X1256" s="172"/>
      <c r="Y1256" s="172"/>
    </row>
    <row r="1257" spans="1:25" ht="2.1" customHeight="1" x14ac:dyDescent="0.2">
      <c r="A1257" s="295"/>
      <c r="B1257" s="283"/>
      <c r="C1257" s="296"/>
      <c r="D1257" s="283"/>
      <c r="E1257" s="296"/>
      <c r="F1257" s="297"/>
      <c r="G1257" s="297"/>
      <c r="H1257" s="297"/>
      <c r="I1257" s="298"/>
      <c r="J1257" s="304"/>
      <c r="K1257" s="300"/>
      <c r="L1257" s="301"/>
      <c r="M1257" s="297" t="s">
        <v>6582</v>
      </c>
      <c r="N1257" s="297"/>
      <c r="O1257" s="297"/>
      <c r="P1257" s="297"/>
      <c r="Q1257" s="297"/>
      <c r="R1257" s="297"/>
      <c r="S1257" s="302"/>
      <c r="T1257" s="302"/>
      <c r="U1257" s="303"/>
    </row>
    <row r="1258" spans="1:25" ht="38.25" x14ac:dyDescent="0.2">
      <c r="A1258" s="212" t="str">
        <f>HYPERLINK(V1258,B1258)</f>
        <v>Realm180to180</v>
      </c>
      <c r="B1258" s="283" t="s">
        <v>8273</v>
      </c>
      <c r="C1258" s="284" t="s">
        <v>15872</v>
      </c>
      <c r="D1258" s="285"/>
      <c r="E1258" s="286"/>
      <c r="F1258" s="287" t="s">
        <v>15873</v>
      </c>
      <c r="G1258" s="286"/>
      <c r="H1258" s="287" t="s">
        <v>15645</v>
      </c>
      <c r="I1258" s="288"/>
      <c r="J1258" s="289"/>
      <c r="K1258" s="290"/>
      <c r="L1258" s="287" t="s">
        <v>15644</v>
      </c>
      <c r="M1258" s="287" t="s">
        <v>6582</v>
      </c>
      <c r="N1258" s="286"/>
      <c r="O1258" s="286"/>
      <c r="P1258" s="292"/>
      <c r="Q1258" s="286"/>
      <c r="R1258" s="286"/>
      <c r="S1258" s="306" t="s">
        <v>15874</v>
      </c>
      <c r="T1258" s="307" t="s">
        <v>15875</v>
      </c>
      <c r="U1258" s="37">
        <v>3654</v>
      </c>
      <c r="V1258" s="36" t="str">
        <f>CONCATENATE(Cover!$D$6,"fdd/view?i=",U1258)</f>
        <v>https://www.dgiwg.org/FAD/fdd/view?i=3654</v>
      </c>
      <c r="W1258" s="172"/>
      <c r="X1258" s="172"/>
      <c r="Y1258" s="172"/>
    </row>
    <row r="1259" spans="1:25" ht="2.1" customHeight="1" x14ac:dyDescent="0.2">
      <c r="A1259" s="295"/>
      <c r="B1259" s="283"/>
      <c r="C1259" s="296"/>
      <c r="D1259" s="283"/>
      <c r="E1259" s="296"/>
      <c r="F1259" s="297"/>
      <c r="G1259" s="297"/>
      <c r="H1259" s="297"/>
      <c r="I1259" s="298"/>
      <c r="J1259" s="304"/>
      <c r="K1259" s="300"/>
      <c r="L1259" s="301"/>
      <c r="M1259" s="297" t="s">
        <v>6582</v>
      </c>
      <c r="N1259" s="297"/>
      <c r="O1259" s="297"/>
      <c r="P1259" s="297"/>
      <c r="Q1259" s="297"/>
      <c r="R1259" s="297"/>
      <c r="S1259" s="302"/>
      <c r="T1259" s="302"/>
      <c r="U1259" s="303"/>
    </row>
    <row r="1260" spans="1:25" ht="63.75" x14ac:dyDescent="0.2">
      <c r="A1260" s="212" t="str">
        <f>HYPERLINK(V1260,B1260)</f>
        <v>RcdStrucText</v>
      </c>
      <c r="B1260" s="283" t="s">
        <v>15876</v>
      </c>
      <c r="C1260" s="284" t="s">
        <v>15877</v>
      </c>
      <c r="D1260" s="285"/>
      <c r="E1260" s="286"/>
      <c r="F1260" s="287" t="s">
        <v>15878</v>
      </c>
      <c r="G1260" s="286"/>
      <c r="H1260" s="287" t="s">
        <v>14552</v>
      </c>
      <c r="I1260" s="288"/>
      <c r="J1260" s="289"/>
      <c r="K1260" s="290"/>
      <c r="L1260" s="287" t="s">
        <v>14551</v>
      </c>
      <c r="M1260" s="287" t="s">
        <v>6582</v>
      </c>
      <c r="N1260" s="286"/>
      <c r="O1260" s="287">
        <v>8</v>
      </c>
      <c r="P1260" s="305" t="b">
        <v>0</v>
      </c>
      <c r="Q1260" s="287" t="s">
        <v>14806</v>
      </c>
      <c r="R1260" s="286"/>
      <c r="S1260" s="293"/>
      <c r="T1260" s="294"/>
      <c r="U1260" s="37">
        <v>3752</v>
      </c>
      <c r="V1260" s="36" t="str">
        <f>CONCATENATE(Cover!$D$6,"fdd/view?i=",U1260)</f>
        <v>https://www.dgiwg.org/FAD/fdd/view?i=3752</v>
      </c>
      <c r="W1260" s="172"/>
      <c r="X1260" s="172"/>
      <c r="Y1260" s="172"/>
    </row>
    <row r="1261" spans="1:25" ht="2.1" customHeight="1" x14ac:dyDescent="0.2">
      <c r="A1261" s="295"/>
      <c r="B1261" s="283"/>
      <c r="C1261" s="296"/>
      <c r="D1261" s="283"/>
      <c r="E1261" s="296"/>
      <c r="F1261" s="297"/>
      <c r="G1261" s="297"/>
      <c r="H1261" s="297"/>
      <c r="I1261" s="298"/>
      <c r="J1261" s="304"/>
      <c r="K1261" s="300"/>
      <c r="L1261" s="301"/>
      <c r="M1261" s="297" t="s">
        <v>6582</v>
      </c>
      <c r="N1261" s="297"/>
      <c r="O1261" s="297"/>
      <c r="P1261" s="297"/>
      <c r="Q1261" s="297"/>
      <c r="R1261" s="297"/>
      <c r="S1261" s="302"/>
      <c r="T1261" s="302"/>
      <c r="U1261" s="303"/>
    </row>
    <row r="1262" spans="1:25" ht="38.25" x14ac:dyDescent="0.2">
      <c r="A1262" s="212" t="str">
        <f>HYPERLINK(V1262,B1262)</f>
        <v>RvsCode</v>
      </c>
      <c r="B1262" s="283" t="s">
        <v>12045</v>
      </c>
      <c r="C1262" s="284" t="s">
        <v>15879</v>
      </c>
      <c r="D1262" s="285"/>
      <c r="E1262" s="286"/>
      <c r="F1262" s="287" t="s">
        <v>15880</v>
      </c>
      <c r="G1262" s="286"/>
      <c r="H1262" s="286"/>
      <c r="I1262" s="288"/>
      <c r="J1262" s="289"/>
      <c r="K1262" s="290"/>
      <c r="L1262" s="371" t="str">
        <f>HYPERLINK("[#]DatatypeListedValues!B7258:H7258","«enumeration»")</f>
        <v>«enumeration»</v>
      </c>
      <c r="M1262" s="287" t="s">
        <v>6582</v>
      </c>
      <c r="N1262" s="291" t="b">
        <v>0</v>
      </c>
      <c r="O1262" s="286"/>
      <c r="P1262" s="292"/>
      <c r="Q1262" s="286"/>
      <c r="R1262" s="286"/>
      <c r="S1262" s="293"/>
      <c r="T1262" s="294"/>
      <c r="U1262" s="37">
        <v>117413</v>
      </c>
      <c r="V1262" s="36" t="str">
        <f>CONCATENATE(Cover!$D$6,"fdd/view?i=",U1262)</f>
        <v>https://www.dgiwg.org/FAD/fdd/view?i=117413</v>
      </c>
      <c r="W1262" s="172"/>
      <c r="X1262" s="172"/>
      <c r="Y1262" s="172"/>
    </row>
    <row r="1263" spans="1:25" ht="2.1" customHeight="1" x14ac:dyDescent="0.2">
      <c r="A1263" s="295"/>
      <c r="B1263" s="283"/>
      <c r="C1263" s="296"/>
      <c r="D1263" s="283"/>
      <c r="E1263" s="296"/>
      <c r="F1263" s="297"/>
      <c r="G1263" s="297"/>
      <c r="H1263" s="297"/>
      <c r="I1263" s="298"/>
      <c r="J1263" s="304"/>
      <c r="K1263" s="300"/>
      <c r="L1263" s="301"/>
      <c r="M1263" s="297" t="s">
        <v>6582</v>
      </c>
      <c r="N1263" s="297"/>
      <c r="O1263" s="297"/>
      <c r="P1263" s="297"/>
      <c r="Q1263" s="297"/>
      <c r="R1263" s="297"/>
      <c r="S1263" s="302"/>
      <c r="T1263" s="302"/>
      <c r="U1263" s="303"/>
    </row>
    <row r="1264" spans="1:25" ht="153" x14ac:dyDescent="0.2">
      <c r="A1264" s="212" t="str">
        <f>HYPERLINK(V1264,B1264)</f>
        <v>RfpStrucText</v>
      </c>
      <c r="B1264" s="283" t="s">
        <v>12054</v>
      </c>
      <c r="C1264" s="284" t="s">
        <v>15881</v>
      </c>
      <c r="D1264" s="285"/>
      <c r="E1264" s="286"/>
      <c r="F1264" s="287" t="s">
        <v>15882</v>
      </c>
      <c r="G1264" s="286"/>
      <c r="H1264" s="287" t="s">
        <v>14552</v>
      </c>
      <c r="I1264" s="288"/>
      <c r="J1264" s="289"/>
      <c r="K1264" s="290"/>
      <c r="L1264" s="287" t="s">
        <v>14551</v>
      </c>
      <c r="M1264" s="287" t="s">
        <v>6582</v>
      </c>
      <c r="N1264" s="286"/>
      <c r="O1264" s="287">
        <v>4</v>
      </c>
      <c r="P1264" s="305" t="b">
        <v>0</v>
      </c>
      <c r="Q1264" s="287" t="s">
        <v>15883</v>
      </c>
      <c r="R1264" s="286"/>
      <c r="S1264" s="293"/>
      <c r="T1264" s="294"/>
      <c r="U1264" s="37">
        <v>119870</v>
      </c>
      <c r="V1264" s="36" t="str">
        <f>CONCATENATE(Cover!$D$6,"fdd/view?i=",U1264)</f>
        <v>https://www.dgiwg.org/FAD/fdd/view?i=119870</v>
      </c>
      <c r="W1264" s="172"/>
      <c r="X1264" s="172"/>
      <c r="Y1264" s="172"/>
    </row>
    <row r="1265" spans="1:25" ht="2.1" customHeight="1" x14ac:dyDescent="0.2">
      <c r="A1265" s="295"/>
      <c r="B1265" s="283"/>
      <c r="C1265" s="296"/>
      <c r="D1265" s="283"/>
      <c r="E1265" s="296"/>
      <c r="F1265" s="297"/>
      <c r="G1265" s="297"/>
      <c r="H1265" s="297"/>
      <c r="I1265" s="298"/>
      <c r="J1265" s="304"/>
      <c r="K1265" s="300"/>
      <c r="L1265" s="301"/>
      <c r="M1265" s="297" t="s">
        <v>6582</v>
      </c>
      <c r="N1265" s="297"/>
      <c r="O1265" s="297"/>
      <c r="P1265" s="297"/>
      <c r="Q1265" s="297"/>
      <c r="R1265" s="297"/>
      <c r="S1265" s="302"/>
      <c r="T1265" s="302"/>
      <c r="U1265" s="303"/>
    </row>
    <row r="1266" spans="1:25" ht="25.5" x14ac:dyDescent="0.2">
      <c r="A1266" s="212" t="str">
        <f>HYPERLINK(V1266,B1266)</f>
        <v>RpdCode</v>
      </c>
      <c r="B1266" s="283" t="s">
        <v>12059</v>
      </c>
      <c r="C1266" s="284" t="s">
        <v>15884</v>
      </c>
      <c r="D1266" s="285"/>
      <c r="E1266" s="286"/>
      <c r="F1266" s="287" t="s">
        <v>15885</v>
      </c>
      <c r="G1266" s="286"/>
      <c r="H1266" s="286"/>
      <c r="I1266" s="288"/>
      <c r="J1266" s="289"/>
      <c r="K1266" s="290"/>
      <c r="L1266" s="371" t="str">
        <f>HYPERLINK("[#]DatatypeListedValues!B7261:H7261","«enumeration»")</f>
        <v>«enumeration»</v>
      </c>
      <c r="M1266" s="287" t="s">
        <v>6582</v>
      </c>
      <c r="N1266" s="291" t="b">
        <v>0</v>
      </c>
      <c r="O1266" s="286"/>
      <c r="P1266" s="292"/>
      <c r="Q1266" s="286"/>
      <c r="R1266" s="286"/>
      <c r="S1266" s="293"/>
      <c r="T1266" s="294"/>
      <c r="U1266" s="37">
        <v>1410</v>
      </c>
      <c r="V1266" s="36" t="str">
        <f>CONCATENATE(Cover!$D$6,"fdd/view?i=",U1266)</f>
        <v>https://www.dgiwg.org/FAD/fdd/view?i=1410</v>
      </c>
      <c r="W1266" s="172"/>
      <c r="X1266" s="172"/>
      <c r="Y1266" s="172"/>
    </row>
    <row r="1267" spans="1:25" ht="2.1" customHeight="1" x14ac:dyDescent="0.2">
      <c r="A1267" s="295"/>
      <c r="B1267" s="283"/>
      <c r="C1267" s="296"/>
      <c r="D1267" s="283"/>
      <c r="E1267" s="296"/>
      <c r="F1267" s="297"/>
      <c r="G1267" s="297"/>
      <c r="H1267" s="297"/>
      <c r="I1267" s="298"/>
      <c r="J1267" s="304"/>
      <c r="K1267" s="300"/>
      <c r="L1267" s="301"/>
      <c r="M1267" s="297" t="s">
        <v>6582</v>
      </c>
      <c r="N1267" s="297"/>
      <c r="O1267" s="297"/>
      <c r="P1267" s="297"/>
      <c r="Q1267" s="297"/>
      <c r="R1267" s="297"/>
      <c r="S1267" s="302"/>
      <c r="T1267" s="302"/>
      <c r="U1267" s="303"/>
    </row>
    <row r="1268" spans="1:25" ht="38.25" x14ac:dyDescent="0.2">
      <c r="A1268" s="212" t="str">
        <f>HYPERLINK(V1268,B1268)</f>
        <v>RsdStrucText</v>
      </c>
      <c r="B1268" s="283" t="s">
        <v>12064</v>
      </c>
      <c r="C1268" s="284" t="s">
        <v>15886</v>
      </c>
      <c r="D1268" s="285"/>
      <c r="E1268" s="286"/>
      <c r="F1268" s="287" t="s">
        <v>15887</v>
      </c>
      <c r="G1268" s="286"/>
      <c r="H1268" s="287" t="s">
        <v>14552</v>
      </c>
      <c r="I1268" s="288"/>
      <c r="J1268" s="289"/>
      <c r="K1268" s="290"/>
      <c r="L1268" s="287" t="s">
        <v>14551</v>
      </c>
      <c r="M1268" s="287" t="s">
        <v>6582</v>
      </c>
      <c r="N1268" s="286"/>
      <c r="O1268" s="287">
        <v>2</v>
      </c>
      <c r="P1268" s="305" t="b">
        <v>0</v>
      </c>
      <c r="Q1268" s="287" t="s">
        <v>15888</v>
      </c>
      <c r="R1268" s="286"/>
      <c r="S1268" s="293"/>
      <c r="T1268" s="294"/>
      <c r="U1268" s="37">
        <v>119867</v>
      </c>
      <c r="V1268" s="36" t="str">
        <f>CONCATENATE(Cover!$D$6,"fdd/view?i=",U1268)</f>
        <v>https://www.dgiwg.org/FAD/fdd/view?i=119867</v>
      </c>
      <c r="W1268" s="172"/>
      <c r="X1268" s="172"/>
      <c r="Y1268" s="172"/>
    </row>
    <row r="1269" spans="1:25" ht="2.1" customHeight="1" x14ac:dyDescent="0.2">
      <c r="A1269" s="295"/>
      <c r="B1269" s="283"/>
      <c r="C1269" s="296"/>
      <c r="D1269" s="283"/>
      <c r="E1269" s="296"/>
      <c r="F1269" s="297"/>
      <c r="G1269" s="297"/>
      <c r="H1269" s="297"/>
      <c r="I1269" s="298"/>
      <c r="J1269" s="304"/>
      <c r="K1269" s="300"/>
      <c r="L1269" s="301"/>
      <c r="M1269" s="297" t="s">
        <v>6582</v>
      </c>
      <c r="N1269" s="297"/>
      <c r="O1269" s="297"/>
      <c r="P1269" s="297"/>
      <c r="Q1269" s="297"/>
      <c r="R1269" s="297"/>
      <c r="S1269" s="302"/>
      <c r="T1269" s="302"/>
      <c r="U1269" s="303"/>
    </row>
    <row r="1270" spans="1:25" ht="25.5" x14ac:dyDescent="0.2">
      <c r="A1270" s="212" t="str">
        <f>HYPERLINK(V1270,B1270)</f>
        <v>RewCode</v>
      </c>
      <c r="B1270" s="283" t="s">
        <v>12069</v>
      </c>
      <c r="C1270" s="284" t="s">
        <v>15889</v>
      </c>
      <c r="D1270" s="285"/>
      <c r="E1270" s="286"/>
      <c r="F1270" s="287" t="s">
        <v>15890</v>
      </c>
      <c r="G1270" s="286"/>
      <c r="H1270" s="286"/>
      <c r="I1270" s="288"/>
      <c r="J1270" s="289"/>
      <c r="K1270" s="290"/>
      <c r="L1270" s="371" t="str">
        <f>HYPERLINK("[#]DatatypeListedValues!B7270:H7270","«enumeration»")</f>
        <v>«enumeration»</v>
      </c>
      <c r="M1270" s="287" t="s">
        <v>6582</v>
      </c>
      <c r="N1270" s="291" t="b">
        <v>0</v>
      </c>
      <c r="O1270" s="286"/>
      <c r="P1270" s="292"/>
      <c r="Q1270" s="286"/>
      <c r="R1270" s="286"/>
      <c r="S1270" s="293"/>
      <c r="T1270" s="294"/>
      <c r="U1270" s="37">
        <v>1603</v>
      </c>
      <c r="V1270" s="36" t="str">
        <f>CONCATENATE(Cover!$D$6,"fdd/view?i=",U1270)</f>
        <v>https://www.dgiwg.org/FAD/fdd/view?i=1603</v>
      </c>
      <c r="W1270" s="172"/>
      <c r="X1270" s="172"/>
      <c r="Y1270" s="172"/>
    </row>
    <row r="1271" spans="1:25" ht="2.1" customHeight="1" x14ac:dyDescent="0.2">
      <c r="A1271" s="295"/>
      <c r="B1271" s="283"/>
      <c r="C1271" s="296"/>
      <c r="D1271" s="283"/>
      <c r="E1271" s="296"/>
      <c r="F1271" s="297"/>
      <c r="G1271" s="297"/>
      <c r="H1271" s="297"/>
      <c r="I1271" s="298"/>
      <c r="J1271" s="304"/>
      <c r="K1271" s="300"/>
      <c r="L1271" s="301"/>
      <c r="M1271" s="297" t="s">
        <v>6582</v>
      </c>
      <c r="N1271" s="297"/>
      <c r="O1271" s="297"/>
      <c r="P1271" s="297"/>
      <c r="Q1271" s="297"/>
      <c r="R1271" s="297"/>
      <c r="S1271" s="302"/>
      <c r="T1271" s="302"/>
      <c r="U1271" s="303"/>
    </row>
    <row r="1272" spans="1:25" ht="63.75" x14ac:dyDescent="0.2">
      <c r="A1272" s="212" t="str">
        <f>HYPERLINK(V1272,B1272)</f>
        <v>RfeStrucText</v>
      </c>
      <c r="B1272" s="283" t="s">
        <v>12078</v>
      </c>
      <c r="C1272" s="284" t="s">
        <v>15891</v>
      </c>
      <c r="D1272" s="285"/>
      <c r="E1272" s="286"/>
      <c r="F1272" s="287" t="s">
        <v>15892</v>
      </c>
      <c r="G1272" s="286"/>
      <c r="H1272" s="287" t="s">
        <v>14552</v>
      </c>
      <c r="I1272" s="288"/>
      <c r="J1272" s="289"/>
      <c r="K1272" s="290"/>
      <c r="L1272" s="287" t="s">
        <v>14551</v>
      </c>
      <c r="M1272" s="287" t="s">
        <v>6582</v>
      </c>
      <c r="N1272" s="286"/>
      <c r="O1272" s="287">
        <v>8</v>
      </c>
      <c r="P1272" s="305" t="b">
        <v>0</v>
      </c>
      <c r="Q1272" s="287" t="s">
        <v>14806</v>
      </c>
      <c r="R1272" s="286"/>
      <c r="S1272" s="293"/>
      <c r="T1272" s="294"/>
      <c r="U1272" s="37">
        <v>1903</v>
      </c>
      <c r="V1272" s="36" t="str">
        <f>CONCATENATE(Cover!$D$6,"fdd/view?i=",U1272)</f>
        <v>https://www.dgiwg.org/FAD/fdd/view?i=1903</v>
      </c>
      <c r="W1272" s="172"/>
      <c r="X1272" s="172"/>
      <c r="Y1272" s="172"/>
    </row>
    <row r="1273" spans="1:25" ht="2.1" customHeight="1" x14ac:dyDescent="0.2">
      <c r="A1273" s="295"/>
      <c r="B1273" s="283"/>
      <c r="C1273" s="296"/>
      <c r="D1273" s="283"/>
      <c r="E1273" s="296"/>
      <c r="F1273" s="297"/>
      <c r="G1273" s="297"/>
      <c r="H1273" s="297"/>
      <c r="I1273" s="298"/>
      <c r="J1273" s="304"/>
      <c r="K1273" s="300"/>
      <c r="L1273" s="301"/>
      <c r="M1273" s="297" t="s">
        <v>6582</v>
      </c>
      <c r="N1273" s="297"/>
      <c r="O1273" s="297"/>
      <c r="P1273" s="297"/>
      <c r="Q1273" s="297"/>
      <c r="R1273" s="297"/>
      <c r="S1273" s="302"/>
      <c r="T1273" s="302"/>
      <c r="U1273" s="303"/>
    </row>
    <row r="1274" spans="1:25" ht="63.75" x14ac:dyDescent="0.2">
      <c r="A1274" s="212" t="str">
        <f>HYPERLINK(V1274,B1274)</f>
        <v>RfsStrucText</v>
      </c>
      <c r="B1274" s="283" t="s">
        <v>12087</v>
      </c>
      <c r="C1274" s="284" t="s">
        <v>15893</v>
      </c>
      <c r="D1274" s="285"/>
      <c r="E1274" s="286"/>
      <c r="F1274" s="287" t="s">
        <v>15892</v>
      </c>
      <c r="G1274" s="286"/>
      <c r="H1274" s="287" t="s">
        <v>14552</v>
      </c>
      <c r="I1274" s="288"/>
      <c r="J1274" s="289"/>
      <c r="K1274" s="290"/>
      <c r="L1274" s="287" t="s">
        <v>14551</v>
      </c>
      <c r="M1274" s="287" t="s">
        <v>6582</v>
      </c>
      <c r="N1274" s="286"/>
      <c r="O1274" s="287">
        <v>8</v>
      </c>
      <c r="P1274" s="305" t="b">
        <v>0</v>
      </c>
      <c r="Q1274" s="287" t="s">
        <v>14806</v>
      </c>
      <c r="R1274" s="286"/>
      <c r="S1274" s="293"/>
      <c r="T1274" s="294"/>
      <c r="U1274" s="37">
        <v>1906</v>
      </c>
      <c r="V1274" s="36" t="str">
        <f>CONCATENATE(Cover!$D$6,"fdd/view?i=",U1274)</f>
        <v>https://www.dgiwg.org/FAD/fdd/view?i=1906</v>
      </c>
      <c r="W1274" s="172"/>
      <c r="X1274" s="172"/>
      <c r="Y1274" s="172"/>
    </row>
    <row r="1275" spans="1:25" ht="2.1" customHeight="1" x14ac:dyDescent="0.2">
      <c r="A1275" s="295"/>
      <c r="B1275" s="283"/>
      <c r="C1275" s="296"/>
      <c r="D1275" s="283"/>
      <c r="E1275" s="296"/>
      <c r="F1275" s="297"/>
      <c r="G1275" s="297"/>
      <c r="H1275" s="297"/>
      <c r="I1275" s="298"/>
      <c r="J1275" s="304"/>
      <c r="K1275" s="300"/>
      <c r="L1275" s="301"/>
      <c r="M1275" s="297" t="s">
        <v>6582</v>
      </c>
      <c r="N1275" s="297"/>
      <c r="O1275" s="297"/>
      <c r="P1275" s="297"/>
      <c r="Q1275" s="297"/>
      <c r="R1275" s="297"/>
      <c r="S1275" s="302"/>
      <c r="T1275" s="302"/>
      <c r="U1275" s="303"/>
    </row>
    <row r="1276" spans="1:25" ht="25.5" x14ac:dyDescent="0.2">
      <c r="A1276" s="212" t="str">
        <f>HYPERLINK(V1276,B1276)</f>
        <v>OrdCode</v>
      </c>
      <c r="B1276" s="283" t="s">
        <v>12106</v>
      </c>
      <c r="C1276" s="284" t="s">
        <v>15894</v>
      </c>
      <c r="D1276" s="285"/>
      <c r="E1276" s="286"/>
      <c r="F1276" s="287" t="s">
        <v>15895</v>
      </c>
      <c r="G1276" s="286"/>
      <c r="H1276" s="286"/>
      <c r="I1276" s="288"/>
      <c r="J1276" s="289"/>
      <c r="K1276" s="290"/>
      <c r="L1276" s="371" t="str">
        <f>HYPERLINK("[#]DatatypeListedValues!B7272:H7272","«enumeration»")</f>
        <v>«enumeration»</v>
      </c>
      <c r="M1276" s="287" t="s">
        <v>6582</v>
      </c>
      <c r="N1276" s="291" t="b">
        <v>0</v>
      </c>
      <c r="O1276" s="286"/>
      <c r="P1276" s="292"/>
      <c r="Q1276" s="286"/>
      <c r="R1276" s="286"/>
      <c r="S1276" s="293"/>
      <c r="T1276" s="294"/>
      <c r="U1276" s="37">
        <v>1353</v>
      </c>
      <c r="V1276" s="36" t="str">
        <f>CONCATENATE(Cover!$D$6,"fdd/view?i=",U1276)</f>
        <v>https://www.dgiwg.org/FAD/fdd/view?i=1353</v>
      </c>
      <c r="W1276" s="172"/>
      <c r="X1276" s="172"/>
      <c r="Y1276" s="172"/>
    </row>
    <row r="1277" spans="1:25" ht="2.1" customHeight="1" x14ac:dyDescent="0.2">
      <c r="A1277" s="295"/>
      <c r="B1277" s="283"/>
      <c r="C1277" s="296"/>
      <c r="D1277" s="283"/>
      <c r="E1277" s="296"/>
      <c r="F1277" s="297"/>
      <c r="G1277" s="297"/>
      <c r="H1277" s="297"/>
      <c r="I1277" s="298"/>
      <c r="J1277" s="304"/>
      <c r="K1277" s="300"/>
      <c r="L1277" s="301"/>
      <c r="M1277" s="297" t="s">
        <v>6582</v>
      </c>
      <c r="N1277" s="297"/>
      <c r="O1277" s="297"/>
      <c r="P1277" s="297"/>
      <c r="Q1277" s="297"/>
      <c r="R1277" s="297"/>
      <c r="S1277" s="302"/>
      <c r="T1277" s="302"/>
      <c r="U1277" s="303"/>
    </row>
    <row r="1278" spans="1:25" ht="25.5" x14ac:dyDescent="0.2">
      <c r="A1278" s="212" t="str">
        <f>HYPERLINK(V1278,B1278)</f>
        <v>RleCode</v>
      </c>
      <c r="B1278" s="283" t="s">
        <v>12112</v>
      </c>
      <c r="C1278" s="284" t="s">
        <v>15896</v>
      </c>
      <c r="D1278" s="285"/>
      <c r="E1278" s="286"/>
      <c r="F1278" s="287" t="s">
        <v>15897</v>
      </c>
      <c r="G1278" s="286"/>
      <c r="H1278" s="286"/>
      <c r="I1278" s="288"/>
      <c r="J1278" s="289"/>
      <c r="K1278" s="290"/>
      <c r="L1278" s="371" t="str">
        <f>HYPERLINK("[#]DatatypeListedValues!B7277:H7277","«enumeration»")</f>
        <v>«enumeration»</v>
      </c>
      <c r="M1278" s="287" t="s">
        <v>6582</v>
      </c>
      <c r="N1278" s="291" t="b">
        <v>0</v>
      </c>
      <c r="O1278" s="286"/>
      <c r="P1278" s="292"/>
      <c r="Q1278" s="286"/>
      <c r="R1278" s="286"/>
      <c r="S1278" s="293"/>
      <c r="T1278" s="294"/>
      <c r="U1278" s="37">
        <v>1591</v>
      </c>
      <c r="V1278" s="36" t="str">
        <f>CONCATENATE(Cover!$D$6,"fdd/view?i=",U1278)</f>
        <v>https://www.dgiwg.org/FAD/fdd/view?i=1591</v>
      </c>
      <c r="W1278" s="172"/>
      <c r="X1278" s="172"/>
      <c r="Y1278" s="172"/>
    </row>
    <row r="1279" spans="1:25" ht="2.1" customHeight="1" x14ac:dyDescent="0.2">
      <c r="A1279" s="295"/>
      <c r="B1279" s="283"/>
      <c r="C1279" s="296"/>
      <c r="D1279" s="283"/>
      <c r="E1279" s="296"/>
      <c r="F1279" s="297"/>
      <c r="G1279" s="297"/>
      <c r="H1279" s="297"/>
      <c r="I1279" s="298"/>
      <c r="J1279" s="304"/>
      <c r="K1279" s="300"/>
      <c r="L1279" s="301"/>
      <c r="M1279" s="297" t="s">
        <v>6582</v>
      </c>
      <c r="N1279" s="297"/>
      <c r="O1279" s="297"/>
      <c r="P1279" s="297"/>
      <c r="Q1279" s="297"/>
      <c r="R1279" s="297"/>
      <c r="S1279" s="302"/>
      <c r="T1279" s="302"/>
      <c r="U1279" s="303"/>
    </row>
    <row r="1280" spans="1:25" ht="89.25" x14ac:dyDescent="0.2">
      <c r="A1280" s="212" t="str">
        <f>HYPERLINK(V1280,B1280)</f>
        <v>RexStrucText</v>
      </c>
      <c r="B1280" s="283" t="s">
        <v>12117</v>
      </c>
      <c r="C1280" s="284" t="s">
        <v>15898</v>
      </c>
      <c r="D1280" s="285"/>
      <c r="E1280" s="286"/>
      <c r="F1280" s="287" t="s">
        <v>15899</v>
      </c>
      <c r="G1280" s="286"/>
      <c r="H1280" s="287" t="s">
        <v>14552</v>
      </c>
      <c r="I1280" s="288"/>
      <c r="J1280" s="289"/>
      <c r="K1280" s="290"/>
      <c r="L1280" s="287" t="s">
        <v>14551</v>
      </c>
      <c r="M1280" s="287" t="s">
        <v>6582</v>
      </c>
      <c r="N1280" s="286"/>
      <c r="O1280" s="305" t="s">
        <v>14571</v>
      </c>
      <c r="P1280" s="305" t="b">
        <v>0</v>
      </c>
      <c r="Q1280" s="287" t="s">
        <v>15900</v>
      </c>
      <c r="R1280" s="286"/>
      <c r="S1280" s="293"/>
      <c r="T1280" s="294"/>
      <c r="U1280" s="37">
        <v>114260</v>
      </c>
      <c r="V1280" s="36" t="str">
        <f>CONCATENATE(Cover!$D$6,"fdd/view?i=",U1280)</f>
        <v>https://www.dgiwg.org/FAD/fdd/view?i=114260</v>
      </c>
      <c r="W1280" s="172"/>
      <c r="X1280" s="172"/>
      <c r="Y1280" s="172"/>
    </row>
    <row r="1281" spans="1:25" ht="2.1" customHeight="1" x14ac:dyDescent="0.2">
      <c r="A1281" s="295"/>
      <c r="B1281" s="283"/>
      <c r="C1281" s="296"/>
      <c r="D1281" s="283"/>
      <c r="E1281" s="296"/>
      <c r="F1281" s="297"/>
      <c r="G1281" s="297"/>
      <c r="H1281" s="297"/>
      <c r="I1281" s="298"/>
      <c r="J1281" s="304"/>
      <c r="K1281" s="300"/>
      <c r="L1281" s="301"/>
      <c r="M1281" s="297" t="s">
        <v>6582</v>
      </c>
      <c r="N1281" s="297"/>
      <c r="O1281" s="297"/>
      <c r="P1281" s="297"/>
      <c r="Q1281" s="297"/>
      <c r="R1281" s="297"/>
      <c r="S1281" s="302"/>
      <c r="T1281" s="302"/>
      <c r="U1281" s="303"/>
    </row>
    <row r="1282" spans="1:25" ht="25.5" x14ac:dyDescent="0.2">
      <c r="A1282" s="212" t="str">
        <f>HYPERLINK(V1282,B1282)</f>
        <v>RebCode</v>
      </c>
      <c r="B1282" s="283" t="s">
        <v>12127</v>
      </c>
      <c r="C1282" s="284" t="s">
        <v>15901</v>
      </c>
      <c r="D1282" s="285"/>
      <c r="E1282" s="286"/>
      <c r="F1282" s="287" t="s">
        <v>15902</v>
      </c>
      <c r="G1282" s="286"/>
      <c r="H1282" s="286"/>
      <c r="I1282" s="288"/>
      <c r="J1282" s="289"/>
      <c r="K1282" s="290"/>
      <c r="L1282" s="371" t="str">
        <f>HYPERLINK("[#]DatatypeListedValues!B7280:H7280","«enumeration»")</f>
        <v>«enumeration»</v>
      </c>
      <c r="M1282" s="287" t="s">
        <v>6582</v>
      </c>
      <c r="N1282" s="291" t="b">
        <v>0</v>
      </c>
      <c r="O1282" s="286"/>
      <c r="P1282" s="292"/>
      <c r="Q1282" s="286"/>
      <c r="R1282" s="286"/>
      <c r="S1282" s="293"/>
      <c r="T1282" s="294"/>
      <c r="U1282" s="37">
        <v>1901</v>
      </c>
      <c r="V1282" s="36" t="str">
        <f>CONCATENATE(Cover!$D$6,"fdd/view?i=",U1282)</f>
        <v>https://www.dgiwg.org/FAD/fdd/view?i=1901</v>
      </c>
      <c r="W1282" s="172"/>
      <c r="X1282" s="172"/>
      <c r="Y1282" s="172"/>
    </row>
    <row r="1283" spans="1:25" ht="2.1" customHeight="1" x14ac:dyDescent="0.2">
      <c r="A1283" s="295"/>
      <c r="B1283" s="283"/>
      <c r="C1283" s="296"/>
      <c r="D1283" s="283"/>
      <c r="E1283" s="296"/>
      <c r="F1283" s="297"/>
      <c r="G1283" s="297"/>
      <c r="H1283" s="297"/>
      <c r="I1283" s="298"/>
      <c r="J1283" s="304"/>
      <c r="K1283" s="300"/>
      <c r="L1283" s="301"/>
      <c r="M1283" s="297" t="s">
        <v>6582</v>
      </c>
      <c r="N1283" s="297"/>
      <c r="O1283" s="297"/>
      <c r="P1283" s="297"/>
      <c r="Q1283" s="297"/>
      <c r="R1283" s="297"/>
      <c r="S1283" s="302"/>
      <c r="T1283" s="302"/>
      <c r="U1283" s="303"/>
    </row>
    <row r="1284" spans="1:25" ht="25.5" x14ac:dyDescent="0.2">
      <c r="A1284" s="212" t="str">
        <f>HYPERLINK(V1284,B1284)</f>
        <v>ReaCode</v>
      </c>
      <c r="B1284" s="283" t="s">
        <v>12133</v>
      </c>
      <c r="C1284" s="284" t="s">
        <v>15903</v>
      </c>
      <c r="D1284" s="285"/>
      <c r="E1284" s="286"/>
      <c r="F1284" s="287" t="s">
        <v>15904</v>
      </c>
      <c r="G1284" s="286"/>
      <c r="H1284" s="286"/>
      <c r="I1284" s="288"/>
      <c r="J1284" s="289"/>
      <c r="K1284" s="290"/>
      <c r="L1284" s="371" t="str">
        <f>HYPERLINK("[#]DatatypeListedValues!B7334:H7334","«enumeration»")</f>
        <v>«enumeration»</v>
      </c>
      <c r="M1284" s="287" t="s">
        <v>6582</v>
      </c>
      <c r="N1284" s="291" t="b">
        <v>0</v>
      </c>
      <c r="O1284" s="286"/>
      <c r="P1284" s="292"/>
      <c r="Q1284" s="286"/>
      <c r="R1284" s="286"/>
      <c r="S1284" s="293"/>
      <c r="T1284" s="294"/>
      <c r="U1284" s="37">
        <v>1900</v>
      </c>
      <c r="V1284" s="36" t="str">
        <f>CONCATENATE(Cover!$D$6,"fdd/view?i=",U1284)</f>
        <v>https://www.dgiwg.org/FAD/fdd/view?i=1900</v>
      </c>
      <c r="W1284" s="172"/>
      <c r="X1284" s="172"/>
      <c r="Y1284" s="172"/>
    </row>
    <row r="1285" spans="1:25" ht="2.1" customHeight="1" x14ac:dyDescent="0.2">
      <c r="A1285" s="295"/>
      <c r="B1285" s="283"/>
      <c r="C1285" s="296"/>
      <c r="D1285" s="283"/>
      <c r="E1285" s="296"/>
      <c r="F1285" s="297"/>
      <c r="G1285" s="297"/>
      <c r="H1285" s="297"/>
      <c r="I1285" s="298"/>
      <c r="J1285" s="304"/>
      <c r="K1285" s="300"/>
      <c r="L1285" s="301"/>
      <c r="M1285" s="297" t="s">
        <v>6582</v>
      </c>
      <c r="N1285" s="297"/>
      <c r="O1285" s="297"/>
      <c r="P1285" s="297"/>
      <c r="Q1285" s="297"/>
      <c r="R1285" s="297"/>
      <c r="S1285" s="302"/>
      <c r="T1285" s="302"/>
      <c r="U1285" s="303"/>
    </row>
    <row r="1286" spans="1:25" ht="25.5" x14ac:dyDescent="0.2">
      <c r="A1286" s="212" t="str">
        <f>HYPERLINK(V1286,B1286)</f>
        <v>RelCode</v>
      </c>
      <c r="B1286" s="283" t="s">
        <v>12164</v>
      </c>
      <c r="C1286" s="284" t="s">
        <v>15905</v>
      </c>
      <c r="D1286" s="285"/>
      <c r="E1286" s="286"/>
      <c r="F1286" s="287" t="s">
        <v>15906</v>
      </c>
      <c r="G1286" s="286"/>
      <c r="H1286" s="286"/>
      <c r="I1286" s="288"/>
      <c r="J1286" s="289"/>
      <c r="K1286" s="290"/>
      <c r="L1286" s="371" t="str">
        <f>HYPERLINK("[#]DatatypeListedValues!B7349:H7349","«enumeration»")</f>
        <v>«enumeration»</v>
      </c>
      <c r="M1286" s="287" t="s">
        <v>6582</v>
      </c>
      <c r="N1286" s="291" t="b">
        <v>0</v>
      </c>
      <c r="O1286" s="286"/>
      <c r="P1286" s="292"/>
      <c r="Q1286" s="286"/>
      <c r="R1286" s="286"/>
      <c r="S1286" s="293"/>
      <c r="T1286" s="294"/>
      <c r="U1286" s="37">
        <v>1396</v>
      </c>
      <c r="V1286" s="36" t="str">
        <f>CONCATENATE(Cover!$D$6,"fdd/view?i=",U1286)</f>
        <v>https://www.dgiwg.org/FAD/fdd/view?i=1396</v>
      </c>
      <c r="W1286" s="172"/>
      <c r="X1286" s="172"/>
      <c r="Y1286" s="172"/>
    </row>
    <row r="1287" spans="1:25" ht="2.1" customHeight="1" x14ac:dyDescent="0.2">
      <c r="A1287" s="295"/>
      <c r="B1287" s="283"/>
      <c r="C1287" s="296"/>
      <c r="D1287" s="283"/>
      <c r="E1287" s="296"/>
      <c r="F1287" s="297"/>
      <c r="G1287" s="297"/>
      <c r="H1287" s="297"/>
      <c r="I1287" s="298"/>
      <c r="J1287" s="304"/>
      <c r="K1287" s="300"/>
      <c r="L1287" s="301"/>
      <c r="M1287" s="297" t="s">
        <v>6582</v>
      </c>
      <c r="N1287" s="297"/>
      <c r="O1287" s="297"/>
      <c r="P1287" s="297"/>
      <c r="Q1287" s="297"/>
      <c r="R1287" s="297"/>
      <c r="S1287" s="302"/>
      <c r="T1287" s="302"/>
      <c r="U1287" s="303"/>
    </row>
    <row r="1288" spans="1:25" ht="25.5" x14ac:dyDescent="0.2">
      <c r="A1288" s="212" t="str">
        <f>HYPERLINK(V1288,B1288)</f>
        <v>RfaCode</v>
      </c>
      <c r="B1288" s="283" t="s">
        <v>12169</v>
      </c>
      <c r="C1288" s="284" t="s">
        <v>15907</v>
      </c>
      <c r="D1288" s="285"/>
      <c r="E1288" s="286"/>
      <c r="F1288" s="287" t="s">
        <v>15908</v>
      </c>
      <c r="G1288" s="286"/>
      <c r="H1288" s="286"/>
      <c r="I1288" s="288"/>
      <c r="J1288" s="289"/>
      <c r="K1288" s="290"/>
      <c r="L1288" s="371" t="str">
        <f>HYPERLINK("[#]DatatypeListedValues!B7364:H7364","«enumeration»")</f>
        <v>«enumeration»</v>
      </c>
      <c r="M1288" s="287" t="s">
        <v>6582</v>
      </c>
      <c r="N1288" s="291" t="b">
        <v>0</v>
      </c>
      <c r="O1288" s="286"/>
      <c r="P1288" s="292"/>
      <c r="Q1288" s="286"/>
      <c r="R1288" s="286"/>
      <c r="S1288" s="293"/>
      <c r="T1288" s="294"/>
      <c r="U1288" s="37">
        <v>1902</v>
      </c>
      <c r="V1288" s="36" t="str">
        <f>CONCATENATE(Cover!$D$6,"fdd/view?i=",U1288)</f>
        <v>https://www.dgiwg.org/FAD/fdd/view?i=1902</v>
      </c>
      <c r="W1288" s="172"/>
      <c r="X1288" s="172"/>
      <c r="Y1288" s="172"/>
    </row>
    <row r="1289" spans="1:25" ht="2.1" customHeight="1" x14ac:dyDescent="0.2">
      <c r="A1289" s="295"/>
      <c r="B1289" s="283"/>
      <c r="C1289" s="296"/>
      <c r="D1289" s="283"/>
      <c r="E1289" s="296"/>
      <c r="F1289" s="297"/>
      <c r="G1289" s="297"/>
      <c r="H1289" s="297"/>
      <c r="I1289" s="298"/>
      <c r="J1289" s="304"/>
      <c r="K1289" s="300"/>
      <c r="L1289" s="301"/>
      <c r="M1289" s="297" t="s">
        <v>6582</v>
      </c>
      <c r="N1289" s="297"/>
      <c r="O1289" s="297"/>
      <c r="P1289" s="297"/>
      <c r="Q1289" s="297"/>
      <c r="R1289" s="297"/>
      <c r="S1289" s="302"/>
      <c r="T1289" s="302"/>
      <c r="U1289" s="303"/>
    </row>
    <row r="1290" spans="1:25" ht="38.25" x14ac:dyDescent="0.2">
      <c r="A1290" s="212" t="str">
        <f>HYPERLINK(V1290,B1290)</f>
        <v>MioCode</v>
      </c>
      <c r="B1290" s="283" t="s">
        <v>12174</v>
      </c>
      <c r="C1290" s="284" t="s">
        <v>15909</v>
      </c>
      <c r="D1290" s="285"/>
      <c r="E1290" s="286"/>
      <c r="F1290" s="287" t="s">
        <v>15910</v>
      </c>
      <c r="G1290" s="286"/>
      <c r="H1290" s="286"/>
      <c r="I1290" s="288"/>
      <c r="J1290" s="289"/>
      <c r="K1290" s="290"/>
      <c r="L1290" s="371" t="str">
        <f>HYPERLINK("[#]DatatypeListedValues!B7386:H7386","«enumeration»")</f>
        <v>«enumeration»</v>
      </c>
      <c r="M1290" s="287" t="s">
        <v>6582</v>
      </c>
      <c r="N1290" s="291" t="b">
        <v>0</v>
      </c>
      <c r="O1290" s="286"/>
      <c r="P1290" s="292"/>
      <c r="Q1290" s="286"/>
      <c r="R1290" s="286"/>
      <c r="S1290" s="293"/>
      <c r="T1290" s="294"/>
      <c r="U1290" s="37">
        <v>1309</v>
      </c>
      <c r="V1290" s="36" t="str">
        <f>CONCATENATE(Cover!$D$6,"fdd/view?i=",U1290)</f>
        <v>https://www.dgiwg.org/FAD/fdd/view?i=1309</v>
      </c>
      <c r="W1290" s="172"/>
      <c r="X1290" s="172"/>
      <c r="Y1290" s="172"/>
    </row>
    <row r="1291" spans="1:25" ht="2.1" customHeight="1" x14ac:dyDescent="0.2">
      <c r="A1291" s="295"/>
      <c r="B1291" s="283"/>
      <c r="C1291" s="296"/>
      <c r="D1291" s="283"/>
      <c r="E1291" s="296"/>
      <c r="F1291" s="297"/>
      <c r="G1291" s="297"/>
      <c r="H1291" s="297"/>
      <c r="I1291" s="298"/>
      <c r="J1291" s="304"/>
      <c r="K1291" s="300"/>
      <c r="L1291" s="301"/>
      <c r="M1291" s="297" t="s">
        <v>6582</v>
      </c>
      <c r="N1291" s="297"/>
      <c r="O1291" s="297"/>
      <c r="P1291" s="297"/>
      <c r="Q1291" s="297"/>
      <c r="R1291" s="297"/>
      <c r="S1291" s="302"/>
      <c r="T1291" s="302"/>
      <c r="U1291" s="303"/>
    </row>
    <row r="1292" spans="1:25" ht="25.5" x14ac:dyDescent="0.2">
      <c r="A1292" s="212" t="str">
        <f>HYPERLINK(V1292,B1292)</f>
        <v>ResCode</v>
      </c>
      <c r="B1292" s="283" t="s">
        <v>12189</v>
      </c>
      <c r="C1292" s="284" t="s">
        <v>15911</v>
      </c>
      <c r="D1292" s="285"/>
      <c r="E1292" s="286"/>
      <c r="F1292" s="287" t="s">
        <v>15912</v>
      </c>
      <c r="G1292" s="286"/>
      <c r="H1292" s="286"/>
      <c r="I1292" s="288"/>
      <c r="J1292" s="289"/>
      <c r="K1292" s="290"/>
      <c r="L1292" s="371" t="str">
        <f>HYPERLINK("[#]DatatypeListedValues!B7391:H7391","«enumeration»")</f>
        <v>«enumeration»</v>
      </c>
      <c r="M1292" s="287" t="s">
        <v>6582</v>
      </c>
      <c r="N1292" s="291" t="b">
        <v>0</v>
      </c>
      <c r="O1292" s="286"/>
      <c r="P1292" s="292"/>
      <c r="Q1292" s="286"/>
      <c r="R1292" s="286"/>
      <c r="S1292" s="293"/>
      <c r="T1292" s="294"/>
      <c r="U1292" s="37">
        <v>1590</v>
      </c>
      <c r="V1292" s="36" t="str">
        <f>CONCATENATE(Cover!$D$6,"fdd/view?i=",U1292)</f>
        <v>https://www.dgiwg.org/FAD/fdd/view?i=1590</v>
      </c>
      <c r="W1292" s="172"/>
      <c r="X1292" s="172"/>
      <c r="Y1292" s="172"/>
    </row>
    <row r="1293" spans="1:25" ht="2.1" customHeight="1" x14ac:dyDescent="0.2">
      <c r="A1293" s="295"/>
      <c r="B1293" s="283"/>
      <c r="C1293" s="296"/>
      <c r="D1293" s="283"/>
      <c r="E1293" s="296"/>
      <c r="F1293" s="297"/>
      <c r="G1293" s="297"/>
      <c r="H1293" s="297"/>
      <c r="I1293" s="298"/>
      <c r="J1293" s="304"/>
      <c r="K1293" s="300"/>
      <c r="L1293" s="301"/>
      <c r="M1293" s="297" t="s">
        <v>6582</v>
      </c>
      <c r="N1293" s="297"/>
      <c r="O1293" s="297"/>
      <c r="P1293" s="297"/>
      <c r="Q1293" s="297"/>
      <c r="R1293" s="297"/>
      <c r="S1293" s="302"/>
      <c r="T1293" s="302"/>
      <c r="U1293" s="303"/>
    </row>
    <row r="1294" spans="1:25" ht="25.5" x14ac:dyDescent="0.2">
      <c r="A1294" s="212" t="str">
        <f>HYPERLINK(V1294,B1294)</f>
        <v>RdeCode</v>
      </c>
      <c r="B1294" s="283" t="s">
        <v>12211</v>
      </c>
      <c r="C1294" s="284" t="s">
        <v>15913</v>
      </c>
      <c r="D1294" s="285"/>
      <c r="E1294" s="286"/>
      <c r="F1294" s="287" t="s">
        <v>15914</v>
      </c>
      <c r="G1294" s="286"/>
      <c r="H1294" s="286"/>
      <c r="I1294" s="288"/>
      <c r="J1294" s="289"/>
      <c r="K1294" s="290"/>
      <c r="L1294" s="371" t="str">
        <f>HYPERLINK("[#]DatatypeListedValues!B7397:H7397","«enumeration»")</f>
        <v>«enumeration»</v>
      </c>
      <c r="M1294" s="287" t="s">
        <v>6582</v>
      </c>
      <c r="N1294" s="291" t="b">
        <v>0</v>
      </c>
      <c r="O1294" s="286"/>
      <c r="P1294" s="292"/>
      <c r="Q1294" s="286"/>
      <c r="R1294" s="286"/>
      <c r="S1294" s="293"/>
      <c r="T1294" s="294"/>
      <c r="U1294" s="37">
        <v>1589</v>
      </c>
      <c r="V1294" s="36" t="str">
        <f>CONCATENATE(Cover!$D$6,"fdd/view?i=",U1294)</f>
        <v>https://www.dgiwg.org/FAD/fdd/view?i=1589</v>
      </c>
      <c r="W1294" s="172"/>
      <c r="X1294" s="172"/>
      <c r="Y1294" s="172"/>
    </row>
    <row r="1295" spans="1:25" ht="2.1" customHeight="1" x14ac:dyDescent="0.2">
      <c r="A1295" s="295"/>
      <c r="B1295" s="283"/>
      <c r="C1295" s="296"/>
      <c r="D1295" s="283"/>
      <c r="E1295" s="296"/>
      <c r="F1295" s="297"/>
      <c r="G1295" s="297"/>
      <c r="H1295" s="297"/>
      <c r="I1295" s="298"/>
      <c r="J1295" s="304"/>
      <c r="K1295" s="300"/>
      <c r="L1295" s="301"/>
      <c r="M1295" s="297" t="s">
        <v>6582</v>
      </c>
      <c r="N1295" s="297"/>
      <c r="O1295" s="297"/>
      <c r="P1295" s="297"/>
      <c r="Q1295" s="297"/>
      <c r="R1295" s="297"/>
      <c r="S1295" s="302"/>
      <c r="T1295" s="302"/>
      <c r="U1295" s="303"/>
    </row>
    <row r="1296" spans="1:25" ht="178.5" x14ac:dyDescent="0.2">
      <c r="A1296" s="212" t="str">
        <f>HYPERLINK(V1296,B1296)</f>
        <v>RdvStrucText</v>
      </c>
      <c r="B1296" s="283" t="s">
        <v>12235</v>
      </c>
      <c r="C1296" s="284" t="s">
        <v>15915</v>
      </c>
      <c r="D1296" s="285"/>
      <c r="E1296" s="286"/>
      <c r="F1296" s="287" t="s">
        <v>15916</v>
      </c>
      <c r="G1296" s="286"/>
      <c r="H1296" s="287" t="s">
        <v>14552</v>
      </c>
      <c r="I1296" s="288"/>
      <c r="J1296" s="289"/>
      <c r="K1296" s="290"/>
      <c r="L1296" s="287" t="s">
        <v>14551</v>
      </c>
      <c r="M1296" s="287" t="s">
        <v>6582</v>
      </c>
      <c r="N1296" s="286"/>
      <c r="O1296" s="287">
        <v>20</v>
      </c>
      <c r="P1296" s="305" t="b">
        <v>0</v>
      </c>
      <c r="Q1296" s="287" t="s">
        <v>14553</v>
      </c>
      <c r="R1296" s="286"/>
      <c r="S1296" s="293"/>
      <c r="T1296" s="294"/>
      <c r="U1296" s="37">
        <v>3779</v>
      </c>
      <c r="V1296" s="36" t="str">
        <f>CONCATENATE(Cover!$D$6,"fdd/view?i=",U1296)</f>
        <v>https://www.dgiwg.org/FAD/fdd/view?i=3779</v>
      </c>
      <c r="W1296" s="172"/>
      <c r="X1296" s="172"/>
      <c r="Y1296" s="172"/>
    </row>
    <row r="1297" spans="1:25" ht="2.1" customHeight="1" x14ac:dyDescent="0.2">
      <c r="A1297" s="295"/>
      <c r="B1297" s="283"/>
      <c r="C1297" s="296"/>
      <c r="D1297" s="283"/>
      <c r="E1297" s="296"/>
      <c r="F1297" s="297"/>
      <c r="G1297" s="297"/>
      <c r="H1297" s="297"/>
      <c r="I1297" s="298"/>
      <c r="J1297" s="304"/>
      <c r="K1297" s="300"/>
      <c r="L1297" s="301"/>
      <c r="M1297" s="297" t="s">
        <v>6582</v>
      </c>
      <c r="N1297" s="297"/>
      <c r="O1297" s="297"/>
      <c r="P1297" s="297"/>
      <c r="Q1297" s="297"/>
      <c r="R1297" s="297"/>
      <c r="S1297" s="302"/>
      <c r="T1297" s="302"/>
      <c r="U1297" s="303"/>
    </row>
    <row r="1298" spans="1:25" ht="25.5" x14ac:dyDescent="0.2">
      <c r="A1298" s="212" t="str">
        <f>HYPERLINK(V1298,B1298)</f>
        <v>RvtCode</v>
      </c>
      <c r="B1298" s="283" t="s">
        <v>12248</v>
      </c>
      <c r="C1298" s="284" t="s">
        <v>15917</v>
      </c>
      <c r="D1298" s="285"/>
      <c r="E1298" s="286"/>
      <c r="F1298" s="287" t="s">
        <v>15918</v>
      </c>
      <c r="G1298" s="286"/>
      <c r="H1298" s="286"/>
      <c r="I1298" s="288"/>
      <c r="J1298" s="289"/>
      <c r="K1298" s="290"/>
      <c r="L1298" s="371" t="str">
        <f>HYPERLINK("[#]DatatypeListedValues!B7415:H7415","«enumeration»")</f>
        <v>«enumeration»</v>
      </c>
      <c r="M1298" s="287" t="s">
        <v>6582</v>
      </c>
      <c r="N1298" s="291" t="b">
        <v>0</v>
      </c>
      <c r="O1298" s="286"/>
      <c r="P1298" s="292"/>
      <c r="Q1298" s="286"/>
      <c r="R1298" s="286"/>
      <c r="S1298" s="293"/>
      <c r="T1298" s="294"/>
      <c r="U1298" s="37">
        <v>1592</v>
      </c>
      <c r="V1298" s="36" t="str">
        <f>CONCATENATE(Cover!$D$6,"fdd/view?i=",U1298)</f>
        <v>https://www.dgiwg.org/FAD/fdd/view?i=1592</v>
      </c>
      <c r="W1298" s="172"/>
      <c r="X1298" s="172"/>
      <c r="Y1298" s="172"/>
    </row>
    <row r="1299" spans="1:25" ht="2.1" customHeight="1" x14ac:dyDescent="0.2">
      <c r="A1299" s="295"/>
      <c r="B1299" s="283"/>
      <c r="C1299" s="296"/>
      <c r="D1299" s="283"/>
      <c r="E1299" s="296"/>
      <c r="F1299" s="297"/>
      <c r="G1299" s="297"/>
      <c r="H1299" s="297"/>
      <c r="I1299" s="298"/>
      <c r="J1299" s="304"/>
      <c r="K1299" s="300"/>
      <c r="L1299" s="301"/>
      <c r="M1299" s="297" t="s">
        <v>6582</v>
      </c>
      <c r="N1299" s="297"/>
      <c r="O1299" s="297"/>
      <c r="P1299" s="297"/>
      <c r="Q1299" s="297"/>
      <c r="R1299" s="297"/>
      <c r="S1299" s="302"/>
      <c r="T1299" s="302"/>
      <c r="U1299" s="303"/>
    </row>
    <row r="1300" spans="1:25" ht="25.5" x14ac:dyDescent="0.2">
      <c r="A1300" s="212" t="str">
        <f>HYPERLINK(V1300,B1300)</f>
        <v>AcrCode</v>
      </c>
      <c r="B1300" s="283" t="s">
        <v>12258</v>
      </c>
      <c r="C1300" s="284" t="s">
        <v>15919</v>
      </c>
      <c r="D1300" s="285"/>
      <c r="E1300" s="286"/>
      <c r="F1300" s="287" t="s">
        <v>15920</v>
      </c>
      <c r="G1300" s="286"/>
      <c r="H1300" s="286"/>
      <c r="I1300" s="288"/>
      <c r="J1300" s="289"/>
      <c r="K1300" s="290"/>
      <c r="L1300" s="371" t="str">
        <f>HYPERLINK("[#]DatatypeListedValues!B7564:H7564","«enumeration»")</f>
        <v>«enumeration»</v>
      </c>
      <c r="M1300" s="287" t="s">
        <v>6582</v>
      </c>
      <c r="N1300" s="291" t="b">
        <v>0</v>
      </c>
      <c r="O1300" s="286"/>
      <c r="P1300" s="292"/>
      <c r="Q1300" s="286"/>
      <c r="R1300" s="286"/>
      <c r="S1300" s="293"/>
      <c r="T1300" s="294"/>
      <c r="U1300" s="37">
        <v>1097</v>
      </c>
      <c r="V1300" s="36" t="str">
        <f>CONCATENATE(Cover!$D$6,"fdd/view?i=",U1300)</f>
        <v>https://www.dgiwg.org/FAD/fdd/view?i=1097</v>
      </c>
      <c r="W1300" s="172"/>
      <c r="X1300" s="172"/>
      <c r="Y1300" s="172"/>
    </row>
    <row r="1301" spans="1:25" ht="2.1" customHeight="1" x14ac:dyDescent="0.2">
      <c r="A1301" s="295"/>
      <c r="B1301" s="283"/>
      <c r="C1301" s="296"/>
      <c r="D1301" s="283"/>
      <c r="E1301" s="296"/>
      <c r="F1301" s="297"/>
      <c r="G1301" s="297"/>
      <c r="H1301" s="297"/>
      <c r="I1301" s="298"/>
      <c r="J1301" s="304"/>
      <c r="K1301" s="300"/>
      <c r="L1301" s="301"/>
      <c r="M1301" s="297" t="s">
        <v>6582</v>
      </c>
      <c r="N1301" s="297"/>
      <c r="O1301" s="297"/>
      <c r="P1301" s="297"/>
      <c r="Q1301" s="297"/>
      <c r="R1301" s="297"/>
      <c r="S1301" s="302"/>
      <c r="T1301" s="302"/>
      <c r="U1301" s="303"/>
    </row>
    <row r="1302" spans="1:25" ht="25.5" x14ac:dyDescent="0.2">
      <c r="A1302" s="212" t="str">
        <f>HYPERLINK(V1302,B1302)</f>
        <v>ShrCode</v>
      </c>
      <c r="B1302" s="283" t="s">
        <v>12267</v>
      </c>
      <c r="C1302" s="284" t="s">
        <v>15921</v>
      </c>
      <c r="D1302" s="285"/>
      <c r="E1302" s="286"/>
      <c r="F1302" s="287" t="s">
        <v>15922</v>
      </c>
      <c r="G1302" s="286"/>
      <c r="H1302" s="286"/>
      <c r="I1302" s="288"/>
      <c r="J1302" s="289"/>
      <c r="K1302" s="290"/>
      <c r="L1302" s="371" t="str">
        <f>HYPERLINK("[#]DatatypeListedValues!B7566:H7566","«enumeration»")</f>
        <v>«enumeration»</v>
      </c>
      <c r="M1302" s="287" t="s">
        <v>6582</v>
      </c>
      <c r="N1302" s="291" t="b">
        <v>0</v>
      </c>
      <c r="O1302" s="286"/>
      <c r="P1302" s="292"/>
      <c r="Q1302" s="286"/>
      <c r="R1302" s="286"/>
      <c r="S1302" s="293"/>
      <c r="T1302" s="294"/>
      <c r="U1302" s="37">
        <v>1445</v>
      </c>
      <c r="V1302" s="36" t="str">
        <f>CONCATENATE(Cover!$D$6,"fdd/view?i=",U1302)</f>
        <v>https://www.dgiwg.org/FAD/fdd/view?i=1445</v>
      </c>
      <c r="W1302" s="172"/>
      <c r="X1302" s="172"/>
      <c r="Y1302" s="172"/>
    </row>
    <row r="1303" spans="1:25" ht="2.1" customHeight="1" x14ac:dyDescent="0.2">
      <c r="A1303" s="295"/>
      <c r="B1303" s="283"/>
      <c r="C1303" s="296"/>
      <c r="D1303" s="283"/>
      <c r="E1303" s="296"/>
      <c r="F1303" s="297"/>
      <c r="G1303" s="297"/>
      <c r="H1303" s="297"/>
      <c r="I1303" s="298"/>
      <c r="J1303" s="304"/>
      <c r="K1303" s="300"/>
      <c r="L1303" s="301"/>
      <c r="M1303" s="297" t="s">
        <v>6582</v>
      </c>
      <c r="N1303" s="297"/>
      <c r="O1303" s="297"/>
      <c r="P1303" s="297"/>
      <c r="Q1303" s="297"/>
      <c r="R1303" s="297"/>
      <c r="S1303" s="302"/>
      <c r="T1303" s="302"/>
      <c r="U1303" s="303"/>
    </row>
    <row r="1304" spans="1:25" ht="25.5" x14ac:dyDescent="0.2">
      <c r="A1304" s="212" t="str">
        <f>HYPERLINK(V1304,B1304)</f>
        <v>RitCode</v>
      </c>
      <c r="B1304" s="283" t="s">
        <v>12295</v>
      </c>
      <c r="C1304" s="284" t="s">
        <v>15923</v>
      </c>
      <c r="D1304" s="285"/>
      <c r="E1304" s="286"/>
      <c r="F1304" s="287" t="s">
        <v>15924</v>
      </c>
      <c r="G1304" s="286"/>
      <c r="H1304" s="286"/>
      <c r="I1304" s="288"/>
      <c r="J1304" s="289"/>
      <c r="K1304" s="290"/>
      <c r="L1304" s="371" t="str">
        <f>HYPERLINK("[#]DatatypeListedValues!B7573:H7573","«enumeration»")</f>
        <v>«enumeration»</v>
      </c>
      <c r="M1304" s="287" t="s">
        <v>6582</v>
      </c>
      <c r="N1304" s="291" t="b">
        <v>0</v>
      </c>
      <c r="O1304" s="286"/>
      <c r="P1304" s="292"/>
      <c r="Q1304" s="286"/>
      <c r="R1304" s="286"/>
      <c r="S1304" s="293"/>
      <c r="T1304" s="294"/>
      <c r="U1304" s="37">
        <v>1403</v>
      </c>
      <c r="V1304" s="36" t="str">
        <f>CONCATENATE(Cover!$D$6,"fdd/view?i=",U1304)</f>
        <v>https://www.dgiwg.org/FAD/fdd/view?i=1403</v>
      </c>
      <c r="W1304" s="172"/>
      <c r="X1304" s="172"/>
      <c r="Y1304" s="172"/>
    </row>
    <row r="1305" spans="1:25" ht="2.1" customHeight="1" x14ac:dyDescent="0.2">
      <c r="A1305" s="295"/>
      <c r="B1305" s="283"/>
      <c r="C1305" s="296"/>
      <c r="D1305" s="283"/>
      <c r="E1305" s="296"/>
      <c r="F1305" s="297"/>
      <c r="G1305" s="297"/>
      <c r="H1305" s="297"/>
      <c r="I1305" s="298"/>
      <c r="J1305" s="304"/>
      <c r="K1305" s="300"/>
      <c r="L1305" s="301"/>
      <c r="M1305" s="297" t="s">
        <v>6582</v>
      </c>
      <c r="N1305" s="297"/>
      <c r="O1305" s="297"/>
      <c r="P1305" s="297"/>
      <c r="Q1305" s="297"/>
      <c r="R1305" s="297"/>
      <c r="S1305" s="302"/>
      <c r="T1305" s="302"/>
      <c r="U1305" s="303"/>
    </row>
    <row r="1306" spans="1:25" ht="25.5" x14ac:dyDescent="0.2">
      <c r="A1306" s="212" t="str">
        <f>HYPERLINK(V1306,B1306)</f>
        <v>WtcCode</v>
      </c>
      <c r="B1306" s="283" t="s">
        <v>12300</v>
      </c>
      <c r="C1306" s="284" t="s">
        <v>15925</v>
      </c>
      <c r="D1306" s="285"/>
      <c r="E1306" s="286"/>
      <c r="F1306" s="287" t="s">
        <v>15926</v>
      </c>
      <c r="G1306" s="286"/>
      <c r="H1306" s="286"/>
      <c r="I1306" s="288"/>
      <c r="J1306" s="289"/>
      <c r="K1306" s="290"/>
      <c r="L1306" s="371" t="str">
        <f>HYPERLINK("[#]DatatypeListedValues!B7584:H7584","«enumeration»")</f>
        <v>«enumeration»</v>
      </c>
      <c r="M1306" s="287" t="s">
        <v>6582</v>
      </c>
      <c r="N1306" s="291" t="b">
        <v>0</v>
      </c>
      <c r="O1306" s="286"/>
      <c r="P1306" s="292"/>
      <c r="Q1306" s="286"/>
      <c r="R1306" s="286"/>
      <c r="S1306" s="293"/>
      <c r="T1306" s="294"/>
      <c r="U1306" s="37">
        <v>1547</v>
      </c>
      <c r="V1306" s="36" t="str">
        <f>CONCATENATE(Cover!$D$6,"fdd/view?i=",U1306)</f>
        <v>https://www.dgiwg.org/FAD/fdd/view?i=1547</v>
      </c>
      <c r="W1306" s="172"/>
      <c r="X1306" s="172"/>
      <c r="Y1306" s="172"/>
    </row>
    <row r="1307" spans="1:25" ht="2.1" customHeight="1" x14ac:dyDescent="0.2">
      <c r="A1307" s="295"/>
      <c r="B1307" s="283"/>
      <c r="C1307" s="296"/>
      <c r="D1307" s="283"/>
      <c r="E1307" s="296"/>
      <c r="F1307" s="297"/>
      <c r="G1307" s="297"/>
      <c r="H1307" s="297"/>
      <c r="I1307" s="298"/>
      <c r="J1307" s="304"/>
      <c r="K1307" s="300"/>
      <c r="L1307" s="301"/>
      <c r="M1307" s="297" t="s">
        <v>6582</v>
      </c>
      <c r="N1307" s="297"/>
      <c r="O1307" s="297"/>
      <c r="P1307" s="297"/>
      <c r="Q1307" s="297"/>
      <c r="R1307" s="297"/>
      <c r="S1307" s="302"/>
      <c r="T1307" s="302"/>
      <c r="U1307" s="303"/>
    </row>
    <row r="1308" spans="1:25" ht="25.5" x14ac:dyDescent="0.2">
      <c r="A1308" s="212" t="str">
        <f>HYPERLINK(V1308,B1308)</f>
        <v>RkfCode</v>
      </c>
      <c r="B1308" s="283" t="s">
        <v>12305</v>
      </c>
      <c r="C1308" s="284" t="s">
        <v>15927</v>
      </c>
      <c r="D1308" s="285"/>
      <c r="E1308" s="286"/>
      <c r="F1308" s="287" t="s">
        <v>15928</v>
      </c>
      <c r="G1308" s="286"/>
      <c r="H1308" s="286"/>
      <c r="I1308" s="288"/>
      <c r="J1308" s="289"/>
      <c r="K1308" s="290"/>
      <c r="L1308" s="371" t="str">
        <f>HYPERLINK("[#]DatatypeListedValues!B7589:H7589","«enumeration»")</f>
        <v>«enumeration»</v>
      </c>
      <c r="M1308" s="287" t="s">
        <v>6582</v>
      </c>
      <c r="N1308" s="291" t="b">
        <v>0</v>
      </c>
      <c r="O1308" s="286"/>
      <c r="P1308" s="292"/>
      <c r="Q1308" s="286"/>
      <c r="R1308" s="286"/>
      <c r="S1308" s="293"/>
      <c r="T1308" s="294"/>
      <c r="U1308" s="37">
        <v>1404</v>
      </c>
      <c r="V1308" s="36" t="str">
        <f>CONCATENATE(Cover!$D$6,"fdd/view?i=",U1308)</f>
        <v>https://www.dgiwg.org/FAD/fdd/view?i=1404</v>
      </c>
      <c r="W1308" s="172"/>
      <c r="X1308" s="172"/>
      <c r="Y1308" s="172"/>
    </row>
    <row r="1309" spans="1:25" ht="2.1" customHeight="1" x14ac:dyDescent="0.2">
      <c r="A1309" s="295"/>
      <c r="B1309" s="283"/>
      <c r="C1309" s="296"/>
      <c r="D1309" s="283"/>
      <c r="E1309" s="296"/>
      <c r="F1309" s="297"/>
      <c r="G1309" s="297"/>
      <c r="H1309" s="297"/>
      <c r="I1309" s="298"/>
      <c r="J1309" s="304"/>
      <c r="K1309" s="300"/>
      <c r="L1309" s="301"/>
      <c r="M1309" s="297" t="s">
        <v>6582</v>
      </c>
      <c r="N1309" s="297"/>
      <c r="O1309" s="297"/>
      <c r="P1309" s="297"/>
      <c r="Q1309" s="297"/>
      <c r="R1309" s="297"/>
      <c r="S1309" s="302"/>
      <c r="T1309" s="302"/>
      <c r="U1309" s="303"/>
    </row>
    <row r="1310" spans="1:25" ht="25.5" x14ac:dyDescent="0.2">
      <c r="A1310" s="212" t="str">
        <f>HYPERLINK(V1310,B1310)</f>
        <v>StoCode</v>
      </c>
      <c r="B1310" s="283" t="s">
        <v>12318</v>
      </c>
      <c r="C1310" s="284" t="s">
        <v>15929</v>
      </c>
      <c r="D1310" s="285"/>
      <c r="E1310" s="286"/>
      <c r="F1310" s="287" t="s">
        <v>15930</v>
      </c>
      <c r="G1310" s="286"/>
      <c r="H1310" s="286"/>
      <c r="I1310" s="288"/>
      <c r="J1310" s="289"/>
      <c r="K1310" s="290"/>
      <c r="L1310" s="371" t="str">
        <f>HYPERLINK("[#]DatatypeListedValues!B7593:H7593","«enumeration»")</f>
        <v>«enumeration»</v>
      </c>
      <c r="M1310" s="287" t="s">
        <v>6582</v>
      </c>
      <c r="N1310" s="291" t="b">
        <v>0</v>
      </c>
      <c r="O1310" s="286"/>
      <c r="P1310" s="292"/>
      <c r="Q1310" s="286"/>
      <c r="R1310" s="286"/>
      <c r="S1310" s="293"/>
      <c r="T1310" s="294"/>
      <c r="U1310" s="37">
        <v>1920</v>
      </c>
      <c r="V1310" s="36" t="str">
        <f>CONCATENATE(Cover!$D$6,"fdd/view?i=",U1310)</f>
        <v>https://www.dgiwg.org/FAD/fdd/view?i=1920</v>
      </c>
      <c r="W1310" s="172"/>
      <c r="X1310" s="172"/>
      <c r="Y1310" s="172"/>
    </row>
    <row r="1311" spans="1:25" ht="2.1" customHeight="1" x14ac:dyDescent="0.2">
      <c r="A1311" s="295"/>
      <c r="B1311" s="283"/>
      <c r="C1311" s="296"/>
      <c r="D1311" s="283"/>
      <c r="E1311" s="296"/>
      <c r="F1311" s="297"/>
      <c r="G1311" s="297"/>
      <c r="H1311" s="297"/>
      <c r="I1311" s="298"/>
      <c r="J1311" s="304"/>
      <c r="K1311" s="300"/>
      <c r="L1311" s="301"/>
      <c r="M1311" s="297" t="s">
        <v>6582</v>
      </c>
      <c r="N1311" s="297"/>
      <c r="O1311" s="297"/>
      <c r="P1311" s="297"/>
      <c r="Q1311" s="297"/>
      <c r="R1311" s="297"/>
      <c r="S1311" s="302"/>
      <c r="T1311" s="302"/>
      <c r="U1311" s="303"/>
    </row>
    <row r="1312" spans="1:25" ht="25.5" x14ac:dyDescent="0.2">
      <c r="A1312" s="212" t="str">
        <f>HYPERLINK(V1312,B1312)</f>
        <v>SsrCode</v>
      </c>
      <c r="B1312" s="283" t="s">
        <v>12327</v>
      </c>
      <c r="C1312" s="284" t="s">
        <v>15931</v>
      </c>
      <c r="D1312" s="285"/>
      <c r="E1312" s="286"/>
      <c r="F1312" s="287" t="s">
        <v>15932</v>
      </c>
      <c r="G1312" s="286"/>
      <c r="H1312" s="286"/>
      <c r="I1312" s="288"/>
      <c r="J1312" s="289"/>
      <c r="K1312" s="290"/>
      <c r="L1312" s="371" t="str">
        <f>HYPERLINK("[#]DatatypeListedValues!B7665:H7665","«enumeration»")</f>
        <v>«enumeration»</v>
      </c>
      <c r="M1312" s="287" t="s">
        <v>6582</v>
      </c>
      <c r="N1312" s="291" t="b">
        <v>0</v>
      </c>
      <c r="O1312" s="286"/>
      <c r="P1312" s="292"/>
      <c r="Q1312" s="286"/>
      <c r="R1312" s="286"/>
      <c r="S1312" s="293"/>
      <c r="T1312" s="294"/>
      <c r="U1312" s="37">
        <v>1466</v>
      </c>
      <c r="V1312" s="36" t="str">
        <f>CONCATENATE(Cover!$D$6,"fdd/view?i=",U1312)</f>
        <v>https://www.dgiwg.org/FAD/fdd/view?i=1466</v>
      </c>
      <c r="W1312" s="172"/>
      <c r="X1312" s="172"/>
      <c r="Y1312" s="172"/>
    </row>
    <row r="1313" spans="1:25" ht="2.1" customHeight="1" x14ac:dyDescent="0.2">
      <c r="A1313" s="295"/>
      <c r="B1313" s="283"/>
      <c r="C1313" s="296"/>
      <c r="D1313" s="283"/>
      <c r="E1313" s="296"/>
      <c r="F1313" s="297"/>
      <c r="G1313" s="297"/>
      <c r="H1313" s="297"/>
      <c r="I1313" s="298"/>
      <c r="J1313" s="304"/>
      <c r="K1313" s="300"/>
      <c r="L1313" s="301"/>
      <c r="M1313" s="297" t="s">
        <v>6582</v>
      </c>
      <c r="N1313" s="297"/>
      <c r="O1313" s="297"/>
      <c r="P1313" s="297"/>
      <c r="Q1313" s="297"/>
      <c r="R1313" s="297"/>
      <c r="S1313" s="302"/>
      <c r="T1313" s="302"/>
      <c r="U1313" s="303"/>
    </row>
    <row r="1314" spans="1:25" ht="25.5" x14ac:dyDescent="0.2">
      <c r="A1314" s="212" t="str">
        <f>HYPERLINK(V1314,B1314)</f>
        <v>RclCode</v>
      </c>
      <c r="B1314" s="283" t="s">
        <v>12342</v>
      </c>
      <c r="C1314" s="284" t="s">
        <v>15933</v>
      </c>
      <c r="D1314" s="285"/>
      <c r="E1314" s="286"/>
      <c r="F1314" s="287" t="s">
        <v>15934</v>
      </c>
      <c r="G1314" s="286"/>
      <c r="H1314" s="286"/>
      <c r="I1314" s="288"/>
      <c r="J1314" s="289"/>
      <c r="K1314" s="290"/>
      <c r="L1314" s="371" t="str">
        <f>HYPERLINK("[#]DatatypeListedValues!B7675:H7675","«enumeration»")</f>
        <v>«enumeration»</v>
      </c>
      <c r="M1314" s="287" t="s">
        <v>6582</v>
      </c>
      <c r="N1314" s="291" t="b">
        <v>0</v>
      </c>
      <c r="O1314" s="286"/>
      <c r="P1314" s="292"/>
      <c r="Q1314" s="286"/>
      <c r="R1314" s="286"/>
      <c r="S1314" s="293"/>
      <c r="T1314" s="294"/>
      <c r="U1314" s="37">
        <v>118649</v>
      </c>
      <c r="V1314" s="36" t="str">
        <f>CONCATENATE(Cover!$D$6,"fdd/view?i=",U1314)</f>
        <v>https://www.dgiwg.org/FAD/fdd/view?i=118649</v>
      </c>
      <c r="W1314" s="172"/>
      <c r="X1314" s="172"/>
      <c r="Y1314" s="172"/>
    </row>
    <row r="1315" spans="1:25" ht="2.1" customHeight="1" x14ac:dyDescent="0.2">
      <c r="A1315" s="295"/>
      <c r="B1315" s="283"/>
      <c r="C1315" s="296"/>
      <c r="D1315" s="283"/>
      <c r="E1315" s="296"/>
      <c r="F1315" s="297"/>
      <c r="G1315" s="297"/>
      <c r="H1315" s="297"/>
      <c r="I1315" s="298"/>
      <c r="J1315" s="304"/>
      <c r="K1315" s="300"/>
      <c r="L1315" s="301"/>
      <c r="M1315" s="297" t="s">
        <v>6582</v>
      </c>
      <c r="N1315" s="297"/>
      <c r="O1315" s="297"/>
      <c r="P1315" s="297"/>
      <c r="Q1315" s="297"/>
      <c r="R1315" s="297"/>
      <c r="S1315" s="302"/>
      <c r="T1315" s="302"/>
      <c r="U1315" s="303"/>
    </row>
    <row r="1316" spans="1:25" ht="25.5" x14ac:dyDescent="0.2">
      <c r="A1316" s="212" t="str">
        <f>HYPERLINK(V1316,B1316)</f>
        <v>ConCode</v>
      </c>
      <c r="B1316" s="283" t="s">
        <v>12411</v>
      </c>
      <c r="C1316" s="284" t="s">
        <v>15935</v>
      </c>
      <c r="D1316" s="285"/>
      <c r="E1316" s="286"/>
      <c r="F1316" s="287" t="s">
        <v>15936</v>
      </c>
      <c r="G1316" s="286"/>
      <c r="H1316" s="286"/>
      <c r="I1316" s="288"/>
      <c r="J1316" s="289"/>
      <c r="K1316" s="290"/>
      <c r="L1316" s="371" t="str">
        <f>HYPERLINK("[#]DatatypeListedValues!B7686:H7686","«enumeration»")</f>
        <v>«enumeration»</v>
      </c>
      <c r="M1316" s="287" t="s">
        <v>6582</v>
      </c>
      <c r="N1316" s="291" t="b">
        <v>0</v>
      </c>
      <c r="O1316" s="286"/>
      <c r="P1316" s="292"/>
      <c r="Q1316" s="286"/>
      <c r="R1316" s="286"/>
      <c r="S1316" s="293"/>
      <c r="T1316" s="294"/>
      <c r="U1316" s="37">
        <v>1174</v>
      </c>
      <c r="V1316" s="36" t="str">
        <f>CONCATENATE(Cover!$D$6,"fdd/view?i=",U1316)</f>
        <v>https://www.dgiwg.org/FAD/fdd/view?i=1174</v>
      </c>
      <c r="W1316" s="172"/>
      <c r="X1316" s="172"/>
      <c r="Y1316" s="172"/>
    </row>
    <row r="1317" spans="1:25" ht="2.1" customHeight="1" x14ac:dyDescent="0.2">
      <c r="A1317" s="295"/>
      <c r="B1317" s="283"/>
      <c r="C1317" s="296"/>
      <c r="D1317" s="283"/>
      <c r="E1317" s="296"/>
      <c r="F1317" s="297"/>
      <c r="G1317" s="297"/>
      <c r="H1317" s="297"/>
      <c r="I1317" s="298"/>
      <c r="J1317" s="304"/>
      <c r="K1317" s="300"/>
      <c r="L1317" s="301"/>
      <c r="M1317" s="297" t="s">
        <v>6582</v>
      </c>
      <c r="N1317" s="297"/>
      <c r="O1317" s="297"/>
      <c r="P1317" s="297"/>
      <c r="Q1317" s="297"/>
      <c r="R1317" s="297"/>
      <c r="S1317" s="302"/>
      <c r="T1317" s="302"/>
      <c r="U1317" s="303"/>
    </row>
    <row r="1318" spans="1:25" ht="25.5" x14ac:dyDescent="0.2">
      <c r="A1318" s="212" t="str">
        <f>HYPERLINK(V1318,B1318)</f>
        <v>RoiCode</v>
      </c>
      <c r="B1318" s="283" t="s">
        <v>12353</v>
      </c>
      <c r="C1318" s="284" t="s">
        <v>15937</v>
      </c>
      <c r="D1318" s="285"/>
      <c r="E1318" s="286"/>
      <c r="F1318" s="287" t="s">
        <v>15938</v>
      </c>
      <c r="G1318" s="286"/>
      <c r="H1318" s="286"/>
      <c r="I1318" s="288"/>
      <c r="J1318" s="289"/>
      <c r="K1318" s="290"/>
      <c r="L1318" s="371" t="str">
        <f>HYPERLINK("[#]DatatypeListedValues!B7729:H7729","«enumeration»")</f>
        <v>«enumeration»</v>
      </c>
      <c r="M1318" s="287" t="s">
        <v>6582</v>
      </c>
      <c r="N1318" s="291" t="b">
        <v>0</v>
      </c>
      <c r="O1318" s="286"/>
      <c r="P1318" s="292"/>
      <c r="Q1318" s="286"/>
      <c r="R1318" s="286"/>
      <c r="S1318" s="293"/>
      <c r="T1318" s="294"/>
      <c r="U1318" s="37">
        <v>119234</v>
      </c>
      <c r="V1318" s="36" t="str">
        <f>CONCATENATE(Cover!$D$6,"fdd/view?i=",U1318)</f>
        <v>https://www.dgiwg.org/FAD/fdd/view?i=119234</v>
      </c>
      <c r="W1318" s="172"/>
      <c r="X1318" s="172"/>
      <c r="Y1318" s="172"/>
    </row>
    <row r="1319" spans="1:25" ht="2.1" customHeight="1" x14ac:dyDescent="0.2">
      <c r="A1319" s="295"/>
      <c r="B1319" s="283"/>
      <c r="C1319" s="296"/>
      <c r="D1319" s="283"/>
      <c r="E1319" s="296"/>
      <c r="F1319" s="297"/>
      <c r="G1319" s="297"/>
      <c r="H1319" s="297"/>
      <c r="I1319" s="298"/>
      <c r="J1319" s="304"/>
      <c r="K1319" s="300"/>
      <c r="L1319" s="301"/>
      <c r="M1319" s="297" t="s">
        <v>6582</v>
      </c>
      <c r="N1319" s="297"/>
      <c r="O1319" s="297"/>
      <c r="P1319" s="297"/>
      <c r="Q1319" s="297"/>
      <c r="R1319" s="297"/>
      <c r="S1319" s="302"/>
      <c r="T1319" s="302"/>
      <c r="U1319" s="303"/>
    </row>
    <row r="1320" spans="1:25" ht="25.5" x14ac:dyDescent="0.2">
      <c r="A1320" s="212" t="str">
        <f>HYPERLINK(V1320,B1320)</f>
        <v>ExpCode</v>
      </c>
      <c r="B1320" s="283" t="s">
        <v>12416</v>
      </c>
      <c r="C1320" s="284" t="s">
        <v>15939</v>
      </c>
      <c r="D1320" s="285"/>
      <c r="E1320" s="286"/>
      <c r="F1320" s="287" t="s">
        <v>15940</v>
      </c>
      <c r="G1320" s="286"/>
      <c r="H1320" s="286"/>
      <c r="I1320" s="288"/>
      <c r="J1320" s="289"/>
      <c r="K1320" s="290"/>
      <c r="L1320" s="371" t="str">
        <f>HYPERLINK("[#]DatatypeListedValues!B7734:H7734","«enumeration»")</f>
        <v>«enumeration»</v>
      </c>
      <c r="M1320" s="287" t="s">
        <v>6582</v>
      </c>
      <c r="N1320" s="291" t="b">
        <v>0</v>
      </c>
      <c r="O1320" s="286"/>
      <c r="P1320" s="292"/>
      <c r="Q1320" s="286"/>
      <c r="R1320" s="286"/>
      <c r="S1320" s="293"/>
      <c r="T1320" s="294"/>
      <c r="U1320" s="37">
        <v>1205</v>
      </c>
      <c r="V1320" s="36" t="str">
        <f>CONCATENATE(Cover!$D$6,"fdd/view?i=",U1320)</f>
        <v>https://www.dgiwg.org/FAD/fdd/view?i=1205</v>
      </c>
      <c r="W1320" s="172"/>
      <c r="X1320" s="172"/>
      <c r="Y1320" s="172"/>
    </row>
    <row r="1321" spans="1:25" ht="2.1" customHeight="1" x14ac:dyDescent="0.2">
      <c r="A1321" s="295"/>
      <c r="B1321" s="283"/>
      <c r="C1321" s="296"/>
      <c r="D1321" s="283"/>
      <c r="E1321" s="296"/>
      <c r="F1321" s="297"/>
      <c r="G1321" s="297"/>
      <c r="H1321" s="297"/>
      <c r="I1321" s="298"/>
      <c r="J1321" s="304"/>
      <c r="K1321" s="300"/>
      <c r="L1321" s="301"/>
      <c r="M1321" s="297" t="s">
        <v>6582</v>
      </c>
      <c r="N1321" s="297"/>
      <c r="O1321" s="297"/>
      <c r="P1321" s="297"/>
      <c r="Q1321" s="297"/>
      <c r="R1321" s="297"/>
      <c r="S1321" s="302"/>
      <c r="T1321" s="302"/>
      <c r="U1321" s="303"/>
    </row>
    <row r="1322" spans="1:25" ht="25.5" x14ac:dyDescent="0.2">
      <c r="A1322" s="212" t="str">
        <f>HYPERLINK(V1322,B1322)</f>
        <v>RttCode</v>
      </c>
      <c r="B1322" s="283" t="s">
        <v>12359</v>
      </c>
      <c r="C1322" s="284" t="s">
        <v>15941</v>
      </c>
      <c r="D1322" s="285"/>
      <c r="E1322" s="286"/>
      <c r="F1322" s="287" t="s">
        <v>15942</v>
      </c>
      <c r="G1322" s="286"/>
      <c r="H1322" s="286"/>
      <c r="I1322" s="288"/>
      <c r="J1322" s="289"/>
      <c r="K1322" s="290"/>
      <c r="L1322" s="371" t="str">
        <f>HYPERLINK("[#]DatatypeListedValues!B7739:H7739","«enumeration»")</f>
        <v>«enumeration»</v>
      </c>
      <c r="M1322" s="287" t="s">
        <v>6582</v>
      </c>
      <c r="N1322" s="291" t="b">
        <v>0</v>
      </c>
      <c r="O1322" s="286"/>
      <c r="P1322" s="292"/>
      <c r="Q1322" s="286"/>
      <c r="R1322" s="286"/>
      <c r="S1322" s="293"/>
      <c r="T1322" s="294"/>
      <c r="U1322" s="37">
        <v>1422</v>
      </c>
      <c r="V1322" s="36" t="str">
        <f>CONCATENATE(Cover!$D$6,"fdd/view?i=",U1322)</f>
        <v>https://www.dgiwg.org/FAD/fdd/view?i=1422</v>
      </c>
      <c r="W1322" s="172"/>
      <c r="X1322" s="172"/>
      <c r="Y1322" s="172"/>
    </row>
    <row r="1323" spans="1:25" ht="2.1" customHeight="1" x14ac:dyDescent="0.2">
      <c r="A1323" s="295"/>
      <c r="B1323" s="283"/>
      <c r="C1323" s="296"/>
      <c r="D1323" s="283"/>
      <c r="E1323" s="296"/>
      <c r="F1323" s="297"/>
      <c r="G1323" s="297"/>
      <c r="H1323" s="297"/>
      <c r="I1323" s="298"/>
      <c r="J1323" s="304"/>
      <c r="K1323" s="300"/>
      <c r="L1323" s="301"/>
      <c r="M1323" s="297" t="s">
        <v>6582</v>
      </c>
      <c r="N1323" s="297"/>
      <c r="O1323" s="297"/>
      <c r="P1323" s="297"/>
      <c r="Q1323" s="297"/>
      <c r="R1323" s="297"/>
      <c r="S1323" s="302"/>
      <c r="T1323" s="302"/>
      <c r="U1323" s="303"/>
    </row>
    <row r="1324" spans="1:25" ht="25.5" x14ac:dyDescent="0.2">
      <c r="A1324" s="212" t="str">
        <f>HYPERLINK(V1324,B1324)</f>
        <v>JcrCode</v>
      </c>
      <c r="B1324" s="283" t="s">
        <v>12369</v>
      </c>
      <c r="C1324" s="284" t="s">
        <v>15943</v>
      </c>
      <c r="D1324" s="285"/>
      <c r="E1324" s="286"/>
      <c r="F1324" s="287" t="s">
        <v>15944</v>
      </c>
      <c r="G1324" s="286"/>
      <c r="H1324" s="286"/>
      <c r="I1324" s="288"/>
      <c r="J1324" s="289"/>
      <c r="K1324" s="290"/>
      <c r="L1324" s="371" t="str">
        <f>HYPERLINK("[#]DatatypeListedValues!B7755:H7755","«enumeration»")</f>
        <v>«enumeration»</v>
      </c>
      <c r="M1324" s="287" t="s">
        <v>6582</v>
      </c>
      <c r="N1324" s="291" t="b">
        <v>0</v>
      </c>
      <c r="O1324" s="286"/>
      <c r="P1324" s="292"/>
      <c r="Q1324" s="286"/>
      <c r="R1324" s="286"/>
      <c r="S1324" s="293"/>
      <c r="T1324" s="294"/>
      <c r="U1324" s="37">
        <v>1276</v>
      </c>
      <c r="V1324" s="36" t="str">
        <f>CONCATENATE(Cover!$D$6,"fdd/view?i=",U1324)</f>
        <v>https://www.dgiwg.org/FAD/fdd/view?i=1276</v>
      </c>
      <c r="W1324" s="172"/>
      <c r="X1324" s="172"/>
      <c r="Y1324" s="172"/>
    </row>
    <row r="1325" spans="1:25" ht="2.1" customHeight="1" x14ac:dyDescent="0.2">
      <c r="A1325" s="295"/>
      <c r="B1325" s="283"/>
      <c r="C1325" s="296"/>
      <c r="D1325" s="283"/>
      <c r="E1325" s="296"/>
      <c r="F1325" s="297"/>
      <c r="G1325" s="297"/>
      <c r="H1325" s="297"/>
      <c r="I1325" s="298"/>
      <c r="J1325" s="304"/>
      <c r="K1325" s="300"/>
      <c r="L1325" s="301"/>
      <c r="M1325" s="297" t="s">
        <v>6582</v>
      </c>
      <c r="N1325" s="297"/>
      <c r="O1325" s="297"/>
      <c r="P1325" s="297"/>
      <c r="Q1325" s="297"/>
      <c r="R1325" s="297"/>
      <c r="S1325" s="302"/>
      <c r="T1325" s="302"/>
      <c r="U1325" s="303"/>
    </row>
    <row r="1326" spans="1:25" ht="25.5" x14ac:dyDescent="0.2">
      <c r="A1326" s="212" t="str">
        <f>HYPERLINK(V1326,B1326)</f>
        <v>CrcCode</v>
      </c>
      <c r="B1326" s="283" t="s">
        <v>12373</v>
      </c>
      <c r="C1326" s="284" t="s">
        <v>15945</v>
      </c>
      <c r="D1326" s="285"/>
      <c r="E1326" s="286"/>
      <c r="F1326" s="287" t="s">
        <v>15946</v>
      </c>
      <c r="G1326" s="286"/>
      <c r="H1326" s="286"/>
      <c r="I1326" s="288"/>
      <c r="J1326" s="289"/>
      <c r="K1326" s="290"/>
      <c r="L1326" s="371" t="str">
        <f>HYPERLINK("[#]DatatypeListedValues!B7757:H7757","«enumeration»")</f>
        <v>«enumeration»</v>
      </c>
      <c r="M1326" s="287" t="s">
        <v>6582</v>
      </c>
      <c r="N1326" s="291" t="b">
        <v>0</v>
      </c>
      <c r="O1326" s="286"/>
      <c r="P1326" s="292"/>
      <c r="Q1326" s="286"/>
      <c r="R1326" s="286"/>
      <c r="S1326" s="293"/>
      <c r="T1326" s="294"/>
      <c r="U1326" s="37">
        <v>1179</v>
      </c>
      <c r="V1326" s="36" t="str">
        <f>CONCATENATE(Cover!$D$6,"fdd/view?i=",U1326)</f>
        <v>https://www.dgiwg.org/FAD/fdd/view?i=1179</v>
      </c>
      <c r="W1326" s="172"/>
      <c r="X1326" s="172"/>
      <c r="Y1326" s="172"/>
    </row>
    <row r="1327" spans="1:25" ht="2.1" customHeight="1" x14ac:dyDescent="0.2">
      <c r="A1327" s="295"/>
      <c r="B1327" s="283"/>
      <c r="C1327" s="296"/>
      <c r="D1327" s="283"/>
      <c r="E1327" s="296"/>
      <c r="F1327" s="297"/>
      <c r="G1327" s="297"/>
      <c r="H1327" s="297"/>
      <c r="I1327" s="298"/>
      <c r="J1327" s="304"/>
      <c r="K1327" s="300"/>
      <c r="L1327" s="301"/>
      <c r="M1327" s="297" t="s">
        <v>6582</v>
      </c>
      <c r="N1327" s="297"/>
      <c r="O1327" s="297"/>
      <c r="P1327" s="297"/>
      <c r="Q1327" s="297"/>
      <c r="R1327" s="297"/>
      <c r="S1327" s="302"/>
      <c r="T1327" s="302"/>
      <c r="U1327" s="303"/>
    </row>
    <row r="1328" spans="1:25" ht="25.5" x14ac:dyDescent="0.2">
      <c r="A1328" s="212" t="str">
        <f>HYPERLINK(V1328,B1328)</f>
        <v>RsfCode</v>
      </c>
      <c r="B1328" s="283" t="s">
        <v>12394</v>
      </c>
      <c r="C1328" s="284" t="s">
        <v>15947</v>
      </c>
      <c r="D1328" s="285"/>
      <c r="E1328" s="286"/>
      <c r="F1328" s="287" t="s">
        <v>15948</v>
      </c>
      <c r="G1328" s="286"/>
      <c r="H1328" s="286"/>
      <c r="I1328" s="288"/>
      <c r="J1328" s="289"/>
      <c r="K1328" s="290"/>
      <c r="L1328" s="371" t="str">
        <f>HYPERLINK("[#]DatatypeListedValues!B7760:H7760","«enumeration»")</f>
        <v>«enumeration»</v>
      </c>
      <c r="M1328" s="287" t="s">
        <v>6582</v>
      </c>
      <c r="N1328" s="291" t="b">
        <v>0</v>
      </c>
      <c r="O1328" s="286"/>
      <c r="P1328" s="292"/>
      <c r="Q1328" s="286"/>
      <c r="R1328" s="286"/>
      <c r="S1328" s="293"/>
      <c r="T1328" s="294"/>
      <c r="U1328" s="37">
        <v>118185</v>
      </c>
      <c r="V1328" s="36" t="str">
        <f>CONCATENATE(Cover!$D$6,"fdd/view?i=",U1328)</f>
        <v>https://www.dgiwg.org/FAD/fdd/view?i=118185</v>
      </c>
      <c r="W1328" s="172"/>
      <c r="X1328" s="172"/>
      <c r="Y1328" s="172"/>
    </row>
    <row r="1329" spans="1:25" ht="2.1" customHeight="1" x14ac:dyDescent="0.2">
      <c r="A1329" s="295"/>
      <c r="B1329" s="283"/>
      <c r="C1329" s="296"/>
      <c r="D1329" s="283"/>
      <c r="E1329" s="296"/>
      <c r="F1329" s="297"/>
      <c r="G1329" s="297"/>
      <c r="H1329" s="297"/>
      <c r="I1329" s="298"/>
      <c r="J1329" s="304"/>
      <c r="K1329" s="300"/>
      <c r="L1329" s="301"/>
      <c r="M1329" s="297" t="s">
        <v>6582</v>
      </c>
      <c r="N1329" s="297"/>
      <c r="O1329" s="297"/>
      <c r="P1329" s="297"/>
      <c r="Q1329" s="297"/>
      <c r="R1329" s="297"/>
      <c r="S1329" s="302"/>
      <c r="T1329" s="302"/>
      <c r="U1329" s="303"/>
    </row>
    <row r="1330" spans="1:25" ht="25.5" x14ac:dyDescent="0.2">
      <c r="A1330" s="212" t="str">
        <f>HYPERLINK(V1330,B1330)</f>
        <v>RocCode</v>
      </c>
      <c r="B1330" s="283" t="s">
        <v>12400</v>
      </c>
      <c r="C1330" s="284" t="s">
        <v>15949</v>
      </c>
      <c r="D1330" s="285"/>
      <c r="E1330" s="286"/>
      <c r="F1330" s="287" t="s">
        <v>15950</v>
      </c>
      <c r="G1330" s="286"/>
      <c r="H1330" s="286"/>
      <c r="I1330" s="288"/>
      <c r="J1330" s="289"/>
      <c r="K1330" s="290"/>
      <c r="L1330" s="371" t="str">
        <f>HYPERLINK("[#]DatatypeListedValues!B7765:H7765","«enumeration»")</f>
        <v>«enumeration»</v>
      </c>
      <c r="M1330" s="287" t="s">
        <v>6582</v>
      </c>
      <c r="N1330" s="291" t="b">
        <v>0</v>
      </c>
      <c r="O1330" s="286"/>
      <c r="P1330" s="292"/>
      <c r="Q1330" s="286"/>
      <c r="R1330" s="286"/>
      <c r="S1330" s="293"/>
      <c r="T1330" s="294"/>
      <c r="U1330" s="37">
        <v>1908</v>
      </c>
      <c r="V1330" s="36" t="str">
        <f>CONCATENATE(Cover!$D$6,"fdd/view?i=",U1330)</f>
        <v>https://www.dgiwg.org/FAD/fdd/view?i=1908</v>
      </c>
      <c r="W1330" s="172"/>
      <c r="X1330" s="172"/>
      <c r="Y1330" s="172"/>
    </row>
    <row r="1331" spans="1:25" ht="2.1" customHeight="1" x14ac:dyDescent="0.2">
      <c r="A1331" s="295"/>
      <c r="B1331" s="283"/>
      <c r="C1331" s="296"/>
      <c r="D1331" s="283"/>
      <c r="E1331" s="296"/>
      <c r="F1331" s="297"/>
      <c r="G1331" s="297"/>
      <c r="H1331" s="297"/>
      <c r="I1331" s="298"/>
      <c r="J1331" s="304"/>
      <c r="K1331" s="300"/>
      <c r="L1331" s="301"/>
      <c r="M1331" s="297" t="s">
        <v>6582</v>
      </c>
      <c r="N1331" s="297"/>
      <c r="O1331" s="297"/>
      <c r="P1331" s="297"/>
      <c r="Q1331" s="297"/>
      <c r="R1331" s="297"/>
      <c r="S1331" s="302"/>
      <c r="T1331" s="302"/>
      <c r="U1331" s="303"/>
    </row>
    <row r="1332" spans="1:25" ht="25.5" x14ac:dyDescent="0.2">
      <c r="A1332" s="212" t="str">
        <f>HYPERLINK(V1332,B1332)</f>
        <v>RcpCode</v>
      </c>
      <c r="B1332" s="283" t="s">
        <v>12425</v>
      </c>
      <c r="C1332" s="284" t="s">
        <v>15951</v>
      </c>
      <c r="D1332" s="285"/>
      <c r="E1332" s="286"/>
      <c r="F1332" s="287" t="s">
        <v>15952</v>
      </c>
      <c r="G1332" s="286"/>
      <c r="H1332" s="286"/>
      <c r="I1332" s="288"/>
      <c r="J1332" s="289"/>
      <c r="K1332" s="290"/>
      <c r="L1332" s="371" t="str">
        <f>HYPERLINK("[#]DatatypeListedValues!B7784:H7784","«enumeration»")</f>
        <v>«enumeration»</v>
      </c>
      <c r="M1332" s="287" t="s">
        <v>6582</v>
      </c>
      <c r="N1332" s="291" t="b">
        <v>0</v>
      </c>
      <c r="O1332" s="286"/>
      <c r="P1332" s="292"/>
      <c r="Q1332" s="286"/>
      <c r="R1332" s="286"/>
      <c r="S1332" s="293"/>
      <c r="T1332" s="294"/>
      <c r="U1332" s="37">
        <v>119872</v>
      </c>
      <c r="V1332" s="36" t="str">
        <f>CONCATENATE(Cover!$D$6,"fdd/view?i=",U1332)</f>
        <v>https://www.dgiwg.org/FAD/fdd/view?i=119872</v>
      </c>
      <c r="W1332" s="172"/>
      <c r="X1332" s="172"/>
      <c r="Y1332" s="172"/>
    </row>
    <row r="1333" spans="1:25" ht="2.1" customHeight="1" x14ac:dyDescent="0.2">
      <c r="A1333" s="295"/>
      <c r="B1333" s="283"/>
      <c r="C1333" s="296"/>
      <c r="D1333" s="283"/>
      <c r="E1333" s="296"/>
      <c r="F1333" s="297"/>
      <c r="G1333" s="297"/>
      <c r="H1333" s="297"/>
      <c r="I1333" s="298"/>
      <c r="J1333" s="304"/>
      <c r="K1333" s="300"/>
      <c r="L1333" s="301"/>
      <c r="M1333" s="297" t="s">
        <v>6582</v>
      </c>
      <c r="N1333" s="297"/>
      <c r="O1333" s="297"/>
      <c r="P1333" s="297"/>
      <c r="Q1333" s="297"/>
      <c r="R1333" s="297"/>
      <c r="S1333" s="302"/>
      <c r="T1333" s="302"/>
      <c r="U1333" s="303"/>
    </row>
    <row r="1334" spans="1:25" ht="38.25" x14ac:dyDescent="0.2">
      <c r="A1334" s="212" t="str">
        <f>HYPERLINK(V1334,B1334)</f>
        <v>RidStrucText</v>
      </c>
      <c r="B1334" s="283" t="s">
        <v>12435</v>
      </c>
      <c r="C1334" s="284" t="s">
        <v>15953</v>
      </c>
      <c r="D1334" s="285"/>
      <c r="E1334" s="286"/>
      <c r="F1334" s="287" t="s">
        <v>15954</v>
      </c>
      <c r="G1334" s="286"/>
      <c r="H1334" s="287" t="s">
        <v>14552</v>
      </c>
      <c r="I1334" s="288"/>
      <c r="J1334" s="289"/>
      <c r="K1334" s="290"/>
      <c r="L1334" s="287" t="s">
        <v>14551</v>
      </c>
      <c r="M1334" s="287" t="s">
        <v>6582</v>
      </c>
      <c r="N1334" s="286"/>
      <c r="O1334" s="287">
        <v>7</v>
      </c>
      <c r="P1334" s="305" t="b">
        <v>0</v>
      </c>
      <c r="Q1334" s="287" t="s">
        <v>15955</v>
      </c>
      <c r="R1334" s="286"/>
      <c r="S1334" s="293"/>
      <c r="T1334" s="294"/>
      <c r="U1334" s="37">
        <v>117453</v>
      </c>
      <c r="V1334" s="36" t="str">
        <f>CONCATENATE(Cover!$D$6,"fdd/view?i=",U1334)</f>
        <v>https://www.dgiwg.org/FAD/fdd/view?i=117453</v>
      </c>
      <c r="W1334" s="172"/>
      <c r="X1334" s="172"/>
      <c r="Y1334" s="172"/>
    </row>
    <row r="1335" spans="1:25" ht="2.1" customHeight="1" x14ac:dyDescent="0.2">
      <c r="A1335" s="295"/>
      <c r="B1335" s="283"/>
      <c r="C1335" s="296"/>
      <c r="D1335" s="283"/>
      <c r="E1335" s="296"/>
      <c r="F1335" s="297"/>
      <c r="G1335" s="297"/>
      <c r="H1335" s="297"/>
      <c r="I1335" s="298"/>
      <c r="J1335" s="304"/>
      <c r="K1335" s="300"/>
      <c r="L1335" s="301"/>
      <c r="M1335" s="297" t="s">
        <v>6582</v>
      </c>
      <c r="N1335" s="297"/>
      <c r="O1335" s="297"/>
      <c r="P1335" s="297"/>
      <c r="Q1335" s="297"/>
      <c r="R1335" s="297"/>
      <c r="S1335" s="302"/>
      <c r="T1335" s="302"/>
      <c r="U1335" s="303"/>
    </row>
    <row r="1336" spans="1:25" ht="25.5" x14ac:dyDescent="0.2">
      <c r="A1336" s="212" t="str">
        <f>HYPERLINK(V1336,B1336)</f>
        <v>RwtCode</v>
      </c>
      <c r="B1336" s="283" t="s">
        <v>12445</v>
      </c>
      <c r="C1336" s="284" t="s">
        <v>15956</v>
      </c>
      <c r="D1336" s="285"/>
      <c r="E1336" s="286"/>
      <c r="F1336" s="287" t="s">
        <v>15957</v>
      </c>
      <c r="G1336" s="286"/>
      <c r="H1336" s="286"/>
      <c r="I1336" s="288"/>
      <c r="J1336" s="289"/>
      <c r="K1336" s="290"/>
      <c r="L1336" s="371" t="str">
        <f>HYPERLINK("[#]DatatypeListedValues!B7793:H7793","«enumeration»")</f>
        <v>«enumeration»</v>
      </c>
      <c r="M1336" s="287" t="s">
        <v>6582</v>
      </c>
      <c r="N1336" s="291" t="b">
        <v>0</v>
      </c>
      <c r="O1336" s="286"/>
      <c r="P1336" s="292"/>
      <c r="Q1336" s="286"/>
      <c r="R1336" s="286"/>
      <c r="S1336" s="293"/>
      <c r="T1336" s="294"/>
      <c r="U1336" s="37">
        <v>1423</v>
      </c>
      <c r="V1336" s="36" t="str">
        <f>CONCATENATE(Cover!$D$6,"fdd/view?i=",U1336)</f>
        <v>https://www.dgiwg.org/FAD/fdd/view?i=1423</v>
      </c>
      <c r="W1336" s="172"/>
      <c r="X1336" s="172"/>
      <c r="Y1336" s="172"/>
    </row>
    <row r="1337" spans="1:25" ht="2.1" customHeight="1" x14ac:dyDescent="0.2">
      <c r="A1337" s="295"/>
      <c r="B1337" s="283"/>
      <c r="C1337" s="296"/>
      <c r="D1337" s="283"/>
      <c r="E1337" s="296"/>
      <c r="F1337" s="297"/>
      <c r="G1337" s="297"/>
      <c r="H1337" s="297"/>
      <c r="I1337" s="298"/>
      <c r="J1337" s="304"/>
      <c r="K1337" s="300"/>
      <c r="L1337" s="301"/>
      <c r="M1337" s="297" t="s">
        <v>6582</v>
      </c>
      <c r="N1337" s="297"/>
      <c r="O1337" s="297"/>
      <c r="P1337" s="297"/>
      <c r="Q1337" s="297"/>
      <c r="R1337" s="297"/>
      <c r="S1337" s="302"/>
      <c r="T1337" s="302"/>
      <c r="U1337" s="303"/>
    </row>
    <row r="1338" spans="1:25" ht="51" x14ac:dyDescent="0.2">
      <c r="A1338" s="212" t="str">
        <f>HYPERLINK(V1338,B1338)</f>
        <v>RihStrucText</v>
      </c>
      <c r="B1338" s="283" t="s">
        <v>12454</v>
      </c>
      <c r="C1338" s="284" t="s">
        <v>15958</v>
      </c>
      <c r="D1338" s="285"/>
      <c r="E1338" s="286"/>
      <c r="F1338" s="287" t="s">
        <v>15959</v>
      </c>
      <c r="G1338" s="286"/>
      <c r="H1338" s="287" t="s">
        <v>14552</v>
      </c>
      <c r="I1338" s="288"/>
      <c r="J1338" s="289"/>
      <c r="K1338" s="290"/>
      <c r="L1338" s="287" t="s">
        <v>14551</v>
      </c>
      <c r="M1338" s="287" t="s">
        <v>6582</v>
      </c>
      <c r="N1338" s="286"/>
      <c r="O1338" s="287">
        <v>3</v>
      </c>
      <c r="P1338" s="305" t="b">
        <v>0</v>
      </c>
      <c r="Q1338" s="287" t="s">
        <v>15960</v>
      </c>
      <c r="R1338" s="286"/>
      <c r="S1338" s="293"/>
      <c r="T1338" s="294"/>
      <c r="U1338" s="37">
        <v>3754</v>
      </c>
      <c r="V1338" s="36" t="str">
        <f>CONCATENATE(Cover!$D$6,"fdd/view?i=",U1338)</f>
        <v>https://www.dgiwg.org/FAD/fdd/view?i=3754</v>
      </c>
      <c r="W1338" s="172"/>
      <c r="X1338" s="172"/>
      <c r="Y1338" s="172"/>
    </row>
    <row r="1339" spans="1:25" ht="2.1" customHeight="1" x14ac:dyDescent="0.2">
      <c r="A1339" s="295"/>
      <c r="B1339" s="283"/>
      <c r="C1339" s="296"/>
      <c r="D1339" s="283"/>
      <c r="E1339" s="296"/>
      <c r="F1339" s="297"/>
      <c r="G1339" s="297"/>
      <c r="H1339" s="297"/>
      <c r="I1339" s="298"/>
      <c r="J1339" s="304"/>
      <c r="K1339" s="300"/>
      <c r="L1339" s="301"/>
      <c r="M1339" s="297" t="s">
        <v>6582</v>
      </c>
      <c r="N1339" s="297"/>
      <c r="O1339" s="297"/>
      <c r="P1339" s="297"/>
      <c r="Q1339" s="297"/>
      <c r="R1339" s="297"/>
      <c r="S1339" s="302"/>
      <c r="T1339" s="302"/>
      <c r="U1339" s="303"/>
    </row>
    <row r="1340" spans="1:25" ht="51" x14ac:dyDescent="0.2">
      <c r="A1340" s="212" t="str">
        <f>HYPERLINK(V1340,B1340)</f>
        <v>RilStrucText</v>
      </c>
      <c r="B1340" s="283" t="s">
        <v>12459</v>
      </c>
      <c r="C1340" s="284" t="s">
        <v>15961</v>
      </c>
      <c r="D1340" s="285"/>
      <c r="E1340" s="286"/>
      <c r="F1340" s="287" t="s">
        <v>15962</v>
      </c>
      <c r="G1340" s="286"/>
      <c r="H1340" s="287" t="s">
        <v>14552</v>
      </c>
      <c r="I1340" s="288"/>
      <c r="J1340" s="289"/>
      <c r="K1340" s="290"/>
      <c r="L1340" s="287" t="s">
        <v>14551</v>
      </c>
      <c r="M1340" s="287" t="s">
        <v>6582</v>
      </c>
      <c r="N1340" s="286"/>
      <c r="O1340" s="287">
        <v>3</v>
      </c>
      <c r="P1340" s="305" t="b">
        <v>0</v>
      </c>
      <c r="Q1340" s="287" t="s">
        <v>15960</v>
      </c>
      <c r="R1340" s="286"/>
      <c r="S1340" s="293"/>
      <c r="T1340" s="294"/>
      <c r="U1340" s="37">
        <v>3755</v>
      </c>
      <c r="V1340" s="36" t="str">
        <f>CONCATENATE(Cover!$D$6,"fdd/view?i=",U1340)</f>
        <v>https://www.dgiwg.org/FAD/fdd/view?i=3755</v>
      </c>
      <c r="W1340" s="172"/>
      <c r="X1340" s="172"/>
      <c r="Y1340" s="172"/>
    </row>
    <row r="1341" spans="1:25" ht="2.1" customHeight="1" x14ac:dyDescent="0.2">
      <c r="A1341" s="295"/>
      <c r="B1341" s="283"/>
      <c r="C1341" s="296"/>
      <c r="D1341" s="283"/>
      <c r="E1341" s="296"/>
      <c r="F1341" s="297"/>
      <c r="G1341" s="297"/>
      <c r="H1341" s="297"/>
      <c r="I1341" s="298"/>
      <c r="J1341" s="304"/>
      <c r="K1341" s="300"/>
      <c r="L1341" s="301"/>
      <c r="M1341" s="297" t="s">
        <v>6582</v>
      </c>
      <c r="N1341" s="297"/>
      <c r="O1341" s="297"/>
      <c r="P1341" s="297"/>
      <c r="Q1341" s="297"/>
      <c r="R1341" s="297"/>
      <c r="S1341" s="302"/>
      <c r="T1341" s="302"/>
      <c r="U1341" s="303"/>
    </row>
    <row r="1342" spans="1:25" ht="25.5" x14ac:dyDescent="0.2">
      <c r="A1342" s="212" t="str">
        <f>HYPERLINK(V1342,B1342)</f>
        <v>RvoCode</v>
      </c>
      <c r="B1342" s="283" t="s">
        <v>12499</v>
      </c>
      <c r="C1342" s="284" t="s">
        <v>15963</v>
      </c>
      <c r="D1342" s="285"/>
      <c r="E1342" s="286"/>
      <c r="F1342" s="287" t="s">
        <v>15964</v>
      </c>
      <c r="G1342" s="286"/>
      <c r="H1342" s="286"/>
      <c r="I1342" s="288"/>
      <c r="J1342" s="289"/>
      <c r="K1342" s="290"/>
      <c r="L1342" s="371" t="str">
        <f>HYPERLINK("[#]DatatypeListedValues!B7795:H7795","«enumeration»")</f>
        <v>«enumeration»</v>
      </c>
      <c r="M1342" s="287" t="s">
        <v>6582</v>
      </c>
      <c r="N1342" s="291" t="b">
        <v>0</v>
      </c>
      <c r="O1342" s="286"/>
      <c r="P1342" s="292"/>
      <c r="Q1342" s="286"/>
      <c r="R1342" s="286"/>
      <c r="S1342" s="293"/>
      <c r="T1342" s="294"/>
      <c r="U1342" s="37">
        <v>117412</v>
      </c>
      <c r="V1342" s="36" t="str">
        <f>CONCATENATE(Cover!$D$6,"fdd/view?i=",U1342)</f>
        <v>https://www.dgiwg.org/FAD/fdd/view?i=117412</v>
      </c>
      <c r="W1342" s="172"/>
      <c r="X1342" s="172"/>
      <c r="Y1342" s="172"/>
    </row>
    <row r="1343" spans="1:25" ht="2.1" customHeight="1" x14ac:dyDescent="0.2">
      <c r="A1343" s="295"/>
      <c r="B1343" s="283"/>
      <c r="C1343" s="296"/>
      <c r="D1343" s="283"/>
      <c r="E1343" s="296"/>
      <c r="F1343" s="297"/>
      <c r="G1343" s="297"/>
      <c r="H1343" s="297"/>
      <c r="I1343" s="298"/>
      <c r="J1343" s="304"/>
      <c r="K1343" s="300"/>
      <c r="L1343" s="301"/>
      <c r="M1343" s="297" t="s">
        <v>6582</v>
      </c>
      <c r="N1343" s="297"/>
      <c r="O1343" s="297"/>
      <c r="P1343" s="297"/>
      <c r="Q1343" s="297"/>
      <c r="R1343" s="297"/>
      <c r="S1343" s="302"/>
      <c r="T1343" s="302"/>
      <c r="U1343" s="303"/>
    </row>
    <row r="1344" spans="1:25" ht="25.5" x14ac:dyDescent="0.2">
      <c r="A1344" s="212" t="str">
        <f>HYPERLINK(V1344,B1344)</f>
        <v>SdtCode</v>
      </c>
      <c r="B1344" s="283" t="s">
        <v>12518</v>
      </c>
      <c r="C1344" s="284" t="s">
        <v>15965</v>
      </c>
      <c r="D1344" s="285"/>
      <c r="E1344" s="286"/>
      <c r="F1344" s="287" t="s">
        <v>15966</v>
      </c>
      <c r="G1344" s="286"/>
      <c r="H1344" s="286"/>
      <c r="I1344" s="288"/>
      <c r="J1344" s="289"/>
      <c r="K1344" s="290"/>
      <c r="L1344" s="371" t="str">
        <f>HYPERLINK("[#]DatatypeListedValues!B7798:H7798","«enumeration»")</f>
        <v>«enumeration»</v>
      </c>
      <c r="M1344" s="287" t="s">
        <v>6582</v>
      </c>
      <c r="N1344" s="291" t="b">
        <v>0</v>
      </c>
      <c r="O1344" s="286"/>
      <c r="P1344" s="292"/>
      <c r="Q1344" s="286"/>
      <c r="R1344" s="286"/>
      <c r="S1344" s="293"/>
      <c r="T1344" s="294"/>
      <c r="U1344" s="37">
        <v>1566</v>
      </c>
      <c r="V1344" s="36" t="str">
        <f>CONCATENATE(Cover!$D$6,"fdd/view?i=",U1344)</f>
        <v>https://www.dgiwg.org/FAD/fdd/view?i=1566</v>
      </c>
      <c r="W1344" s="172"/>
      <c r="X1344" s="172"/>
      <c r="Y1344" s="172"/>
    </row>
    <row r="1345" spans="1:25" ht="2.1" customHeight="1" x14ac:dyDescent="0.2">
      <c r="A1345" s="295"/>
      <c r="B1345" s="283"/>
      <c r="C1345" s="296"/>
      <c r="D1345" s="283"/>
      <c r="E1345" s="296"/>
      <c r="F1345" s="297"/>
      <c r="G1345" s="297"/>
      <c r="H1345" s="297"/>
      <c r="I1345" s="298"/>
      <c r="J1345" s="304"/>
      <c r="K1345" s="300"/>
      <c r="L1345" s="301"/>
      <c r="M1345" s="297" t="s">
        <v>6582</v>
      </c>
      <c r="N1345" s="297"/>
      <c r="O1345" s="297"/>
      <c r="P1345" s="297"/>
      <c r="Q1345" s="297"/>
      <c r="R1345" s="297"/>
      <c r="S1345" s="302"/>
      <c r="T1345" s="302"/>
      <c r="U1345" s="303"/>
    </row>
    <row r="1346" spans="1:25" ht="51" x14ac:dyDescent="0.2">
      <c r="A1346" s="212" t="str">
        <f>HYPERLINK(V1346,B1346)</f>
        <v>SvpStrucText</v>
      </c>
      <c r="B1346" s="283" t="s">
        <v>12527</v>
      </c>
      <c r="C1346" s="284" t="s">
        <v>15967</v>
      </c>
      <c r="D1346" s="285"/>
      <c r="E1346" s="286"/>
      <c r="F1346" s="287" t="s">
        <v>15968</v>
      </c>
      <c r="G1346" s="286"/>
      <c r="H1346" s="287" t="s">
        <v>14552</v>
      </c>
      <c r="I1346" s="288"/>
      <c r="J1346" s="289"/>
      <c r="K1346" s="290"/>
      <c r="L1346" s="287" t="s">
        <v>14551</v>
      </c>
      <c r="M1346" s="287" t="s">
        <v>6582</v>
      </c>
      <c r="N1346" s="286"/>
      <c r="O1346" s="287">
        <v>2</v>
      </c>
      <c r="P1346" s="305" t="b">
        <v>0</v>
      </c>
      <c r="Q1346" s="287" t="s">
        <v>15969</v>
      </c>
      <c r="R1346" s="286"/>
      <c r="S1346" s="293"/>
      <c r="T1346" s="294"/>
      <c r="U1346" s="37">
        <v>119626</v>
      </c>
      <c r="V1346" s="36" t="str">
        <f>CONCATENATE(Cover!$D$6,"fdd/view?i=",U1346)</f>
        <v>https://www.dgiwg.org/FAD/fdd/view?i=119626</v>
      </c>
      <c r="W1346" s="172"/>
      <c r="X1346" s="172"/>
      <c r="Y1346" s="172"/>
    </row>
    <row r="1347" spans="1:25" ht="2.1" customHeight="1" x14ac:dyDescent="0.2">
      <c r="A1347" s="295"/>
      <c r="B1347" s="283"/>
      <c r="C1347" s="296"/>
      <c r="D1347" s="283"/>
      <c r="E1347" s="296"/>
      <c r="F1347" s="297"/>
      <c r="G1347" s="297"/>
      <c r="H1347" s="297"/>
      <c r="I1347" s="298"/>
      <c r="J1347" s="304"/>
      <c r="K1347" s="300"/>
      <c r="L1347" s="301"/>
      <c r="M1347" s="297" t="s">
        <v>6582</v>
      </c>
      <c r="N1347" s="297"/>
      <c r="O1347" s="297"/>
      <c r="P1347" s="297"/>
      <c r="Q1347" s="297"/>
      <c r="R1347" s="297"/>
      <c r="S1347" s="302"/>
      <c r="T1347" s="302"/>
      <c r="U1347" s="303"/>
    </row>
    <row r="1348" spans="1:25" ht="25.5" x14ac:dyDescent="0.2">
      <c r="A1348" s="212" t="str">
        <f>HYPERLINK(V1348,B1348)</f>
        <v>SbaCode</v>
      </c>
      <c r="B1348" s="283" t="s">
        <v>12522</v>
      </c>
      <c r="C1348" s="284" t="s">
        <v>15970</v>
      </c>
      <c r="D1348" s="285"/>
      <c r="E1348" s="286"/>
      <c r="F1348" s="287" t="s">
        <v>15971</v>
      </c>
      <c r="G1348" s="286"/>
      <c r="H1348" s="286"/>
      <c r="I1348" s="288"/>
      <c r="J1348" s="289"/>
      <c r="K1348" s="290"/>
      <c r="L1348" s="371" t="str">
        <f>HYPERLINK("[#]DatatypeListedValues!B7806:H7806","«enumeration»")</f>
        <v>«enumeration»</v>
      </c>
      <c r="M1348" s="287" t="s">
        <v>6582</v>
      </c>
      <c r="N1348" s="291" t="b">
        <v>0</v>
      </c>
      <c r="O1348" s="286"/>
      <c r="P1348" s="292"/>
      <c r="Q1348" s="286"/>
      <c r="R1348" s="286"/>
      <c r="S1348" s="293"/>
      <c r="T1348" s="294"/>
      <c r="U1348" s="37">
        <v>117415</v>
      </c>
      <c r="V1348" s="36" t="str">
        <f>CONCATENATE(Cover!$D$6,"fdd/view?i=",U1348)</f>
        <v>https://www.dgiwg.org/FAD/fdd/view?i=117415</v>
      </c>
      <c r="W1348" s="172"/>
      <c r="X1348" s="172"/>
      <c r="Y1348" s="172"/>
    </row>
    <row r="1349" spans="1:25" ht="2.1" customHeight="1" x14ac:dyDescent="0.2">
      <c r="A1349" s="295"/>
      <c r="B1349" s="283"/>
      <c r="C1349" s="296"/>
      <c r="D1349" s="283"/>
      <c r="E1349" s="296"/>
      <c r="F1349" s="297"/>
      <c r="G1349" s="297"/>
      <c r="H1349" s="297"/>
      <c r="I1349" s="298"/>
      <c r="J1349" s="304"/>
      <c r="K1349" s="300"/>
      <c r="L1349" s="301"/>
      <c r="M1349" s="297" t="s">
        <v>6582</v>
      </c>
      <c r="N1349" s="297"/>
      <c r="O1349" s="297"/>
      <c r="P1349" s="297"/>
      <c r="Q1349" s="297"/>
      <c r="R1349" s="297"/>
      <c r="S1349" s="302"/>
      <c r="T1349" s="302"/>
      <c r="U1349" s="303"/>
    </row>
    <row r="1350" spans="1:25" ht="25.5" x14ac:dyDescent="0.2">
      <c r="A1350" s="212" t="str">
        <f>HYPERLINK(V1350,B1350)</f>
        <v>PheCode</v>
      </c>
      <c r="B1350" s="283" t="s">
        <v>12538</v>
      </c>
      <c r="C1350" s="284" t="s">
        <v>15972</v>
      </c>
      <c r="D1350" s="285"/>
      <c r="E1350" s="286"/>
      <c r="F1350" s="287" t="s">
        <v>15973</v>
      </c>
      <c r="G1350" s="286"/>
      <c r="H1350" s="286"/>
      <c r="I1350" s="288"/>
      <c r="J1350" s="289"/>
      <c r="K1350" s="290"/>
      <c r="L1350" s="371" t="str">
        <f>HYPERLINK("[#]DatatypeListedValues!B7810:H7810","«enumeration»")</f>
        <v>«enumeration»</v>
      </c>
      <c r="M1350" s="287" t="s">
        <v>6582</v>
      </c>
      <c r="N1350" s="291" t="b">
        <v>0</v>
      </c>
      <c r="O1350" s="286"/>
      <c r="P1350" s="292"/>
      <c r="Q1350" s="286"/>
      <c r="R1350" s="286"/>
      <c r="S1350" s="293"/>
      <c r="T1350" s="294"/>
      <c r="U1350" s="37">
        <v>118184</v>
      </c>
      <c r="V1350" s="36" t="str">
        <f>CONCATENATE(Cover!$D$6,"fdd/view?i=",U1350)</f>
        <v>https://www.dgiwg.org/FAD/fdd/view?i=118184</v>
      </c>
      <c r="W1350" s="172"/>
      <c r="X1350" s="172"/>
      <c r="Y1350" s="172"/>
    </row>
    <row r="1351" spans="1:25" ht="2.1" customHeight="1" x14ac:dyDescent="0.2">
      <c r="A1351" s="295"/>
      <c r="B1351" s="283"/>
      <c r="C1351" s="296"/>
      <c r="D1351" s="283"/>
      <c r="E1351" s="296"/>
      <c r="F1351" s="297"/>
      <c r="G1351" s="297"/>
      <c r="H1351" s="297"/>
      <c r="I1351" s="298"/>
      <c r="J1351" s="304"/>
      <c r="K1351" s="300"/>
      <c r="L1351" s="301"/>
      <c r="M1351" s="297" t="s">
        <v>6582</v>
      </c>
      <c r="N1351" s="297"/>
      <c r="O1351" s="297"/>
      <c r="P1351" s="297"/>
      <c r="Q1351" s="297"/>
      <c r="R1351" s="297"/>
      <c r="S1351" s="302"/>
      <c r="T1351" s="302"/>
      <c r="U1351" s="303"/>
    </row>
    <row r="1352" spans="1:25" ht="25.5" x14ac:dyDescent="0.2">
      <c r="A1352" s="212" t="str">
        <f>HYPERLINK(V1352,B1352)</f>
        <v>WscCode</v>
      </c>
      <c r="B1352" s="283" t="s">
        <v>12543</v>
      </c>
      <c r="C1352" s="284" t="s">
        <v>15974</v>
      </c>
      <c r="D1352" s="285"/>
      <c r="E1352" s="286"/>
      <c r="F1352" s="287" t="s">
        <v>15975</v>
      </c>
      <c r="G1352" s="286"/>
      <c r="H1352" s="286"/>
      <c r="I1352" s="288"/>
      <c r="J1352" s="289"/>
      <c r="K1352" s="290"/>
      <c r="L1352" s="371" t="str">
        <f>HYPERLINK("[#]DatatypeListedValues!B7827:H7827","«enumeration»")</f>
        <v>«enumeration»</v>
      </c>
      <c r="M1352" s="287" t="s">
        <v>6582</v>
      </c>
      <c r="N1352" s="291" t="b">
        <v>0</v>
      </c>
      <c r="O1352" s="286"/>
      <c r="P1352" s="292"/>
      <c r="Q1352" s="286"/>
      <c r="R1352" s="286"/>
      <c r="S1352" s="293"/>
      <c r="T1352" s="294"/>
      <c r="U1352" s="37">
        <v>1544</v>
      </c>
      <c r="V1352" s="36" t="str">
        <f>CONCATENATE(Cover!$D$6,"fdd/view?i=",U1352)</f>
        <v>https://www.dgiwg.org/FAD/fdd/view?i=1544</v>
      </c>
      <c r="W1352" s="172"/>
      <c r="X1352" s="172"/>
      <c r="Y1352" s="172"/>
    </row>
    <row r="1353" spans="1:25" ht="2.1" customHeight="1" x14ac:dyDescent="0.2">
      <c r="A1353" s="295"/>
      <c r="B1353" s="283"/>
      <c r="C1353" s="296"/>
      <c r="D1353" s="283"/>
      <c r="E1353" s="296"/>
      <c r="F1353" s="297"/>
      <c r="G1353" s="297"/>
      <c r="H1353" s="297"/>
      <c r="I1353" s="298"/>
      <c r="J1353" s="304"/>
      <c r="K1353" s="300"/>
      <c r="L1353" s="301"/>
      <c r="M1353" s="297" t="s">
        <v>6582</v>
      </c>
      <c r="N1353" s="297"/>
      <c r="O1353" s="297"/>
      <c r="P1353" s="297"/>
      <c r="Q1353" s="297"/>
      <c r="R1353" s="297"/>
      <c r="S1353" s="302"/>
      <c r="T1353" s="302"/>
      <c r="U1353" s="303"/>
    </row>
    <row r="1354" spans="1:25" ht="25.5" x14ac:dyDescent="0.2">
      <c r="A1354" s="212" t="str">
        <f>HYPERLINK(V1354,B1354)</f>
        <v>IccCode</v>
      </c>
      <c r="B1354" s="283" t="s">
        <v>12557</v>
      </c>
      <c r="C1354" s="284" t="s">
        <v>15976</v>
      </c>
      <c r="D1354" s="285"/>
      <c r="E1354" s="286"/>
      <c r="F1354" s="287" t="s">
        <v>15977</v>
      </c>
      <c r="G1354" s="286"/>
      <c r="H1354" s="286"/>
      <c r="I1354" s="288"/>
      <c r="J1354" s="289"/>
      <c r="K1354" s="290"/>
      <c r="L1354" s="371" t="str">
        <f>HYPERLINK("[#]DatatypeListedValues!B7832:H7832","«enumeration»")</f>
        <v>«enumeration»</v>
      </c>
      <c r="M1354" s="287" t="s">
        <v>6582</v>
      </c>
      <c r="N1354" s="291" t="b">
        <v>0</v>
      </c>
      <c r="O1354" s="286"/>
      <c r="P1354" s="292"/>
      <c r="Q1354" s="286"/>
      <c r="R1354" s="286"/>
      <c r="S1354" s="293"/>
      <c r="T1354" s="294"/>
      <c r="U1354" s="37">
        <v>1270</v>
      </c>
      <c r="V1354" s="36" t="str">
        <f>CONCATENATE(Cover!$D$6,"fdd/view?i=",U1354)</f>
        <v>https://www.dgiwg.org/FAD/fdd/view?i=1270</v>
      </c>
      <c r="W1354" s="172"/>
      <c r="X1354" s="172"/>
      <c r="Y1354" s="172"/>
    </row>
    <row r="1355" spans="1:25" ht="2.1" customHeight="1" x14ac:dyDescent="0.2">
      <c r="A1355" s="295"/>
      <c r="B1355" s="283"/>
      <c r="C1355" s="296"/>
      <c r="D1355" s="283"/>
      <c r="E1355" s="296"/>
      <c r="F1355" s="297"/>
      <c r="G1355" s="297"/>
      <c r="H1355" s="297"/>
      <c r="I1355" s="298"/>
      <c r="J1355" s="304"/>
      <c r="K1355" s="300"/>
      <c r="L1355" s="301"/>
      <c r="M1355" s="297" t="s">
        <v>6582</v>
      </c>
      <c r="N1355" s="297"/>
      <c r="O1355" s="297"/>
      <c r="P1355" s="297"/>
      <c r="Q1355" s="297"/>
      <c r="R1355" s="297"/>
      <c r="S1355" s="302"/>
      <c r="T1355" s="302"/>
      <c r="U1355" s="303"/>
    </row>
    <row r="1356" spans="1:25" ht="38.25" x14ac:dyDescent="0.2">
      <c r="A1356" s="212" t="str">
        <f>HYPERLINK(V1356,B1356)</f>
        <v>SseStrucText</v>
      </c>
      <c r="B1356" s="283" t="s">
        <v>12563</v>
      </c>
      <c r="C1356" s="284" t="s">
        <v>15978</v>
      </c>
      <c r="D1356" s="285"/>
      <c r="E1356" s="286"/>
      <c r="F1356" s="287" t="s">
        <v>15979</v>
      </c>
      <c r="G1356" s="286"/>
      <c r="H1356" s="287" t="s">
        <v>14552</v>
      </c>
      <c r="I1356" s="288"/>
      <c r="J1356" s="289"/>
      <c r="K1356" s="290"/>
      <c r="L1356" s="287" t="s">
        <v>14551</v>
      </c>
      <c r="M1356" s="287" t="s">
        <v>6582</v>
      </c>
      <c r="N1356" s="286"/>
      <c r="O1356" s="287">
        <v>4</v>
      </c>
      <c r="P1356" s="305" t="b">
        <v>0</v>
      </c>
      <c r="Q1356" s="287" t="s">
        <v>15980</v>
      </c>
      <c r="R1356" s="286"/>
      <c r="S1356" s="293"/>
      <c r="T1356" s="294"/>
      <c r="U1356" s="37">
        <v>3780</v>
      </c>
      <c r="V1356" s="36" t="str">
        <f>CONCATENATE(Cover!$D$6,"fdd/view?i=",U1356)</f>
        <v>https://www.dgiwg.org/FAD/fdd/view?i=3780</v>
      </c>
      <c r="W1356" s="172"/>
      <c r="X1356" s="172"/>
      <c r="Y1356" s="172"/>
    </row>
    <row r="1357" spans="1:25" ht="2.1" customHeight="1" x14ac:dyDescent="0.2">
      <c r="A1357" s="295"/>
      <c r="B1357" s="283"/>
      <c r="C1357" s="296"/>
      <c r="D1357" s="283"/>
      <c r="E1357" s="296"/>
      <c r="F1357" s="297"/>
      <c r="G1357" s="297"/>
      <c r="H1357" s="297"/>
      <c r="I1357" s="298"/>
      <c r="J1357" s="304"/>
      <c r="K1357" s="300"/>
      <c r="L1357" s="301"/>
      <c r="M1357" s="297" t="s">
        <v>6582</v>
      </c>
      <c r="N1357" s="297"/>
      <c r="O1357" s="297"/>
      <c r="P1357" s="297"/>
      <c r="Q1357" s="297"/>
      <c r="R1357" s="297"/>
      <c r="S1357" s="302"/>
      <c r="T1357" s="302"/>
      <c r="U1357" s="303"/>
    </row>
    <row r="1358" spans="1:25" ht="25.5" x14ac:dyDescent="0.2">
      <c r="A1358" s="212" t="str">
        <f>HYPERLINK(V1358,B1358)</f>
        <v>McsCode</v>
      </c>
      <c r="B1358" s="283" t="s">
        <v>12601</v>
      </c>
      <c r="C1358" s="284" t="s">
        <v>15981</v>
      </c>
      <c r="D1358" s="285"/>
      <c r="E1358" s="286"/>
      <c r="F1358" s="287" t="s">
        <v>15982</v>
      </c>
      <c r="G1358" s="286"/>
      <c r="H1358" s="286"/>
      <c r="I1358" s="288"/>
      <c r="J1358" s="289"/>
      <c r="K1358" s="290"/>
      <c r="L1358" s="371" t="str">
        <f>HYPERLINK("[#]DatatypeListedValues!B7843:H7843","«enumeration»")</f>
        <v>«enumeration»</v>
      </c>
      <c r="M1358" s="287" t="s">
        <v>6582</v>
      </c>
      <c r="N1358" s="291" t="b">
        <v>0</v>
      </c>
      <c r="O1358" s="286"/>
      <c r="P1358" s="292"/>
      <c r="Q1358" s="286"/>
      <c r="R1358" s="286"/>
      <c r="S1358" s="293"/>
      <c r="T1358" s="294"/>
      <c r="U1358" s="37">
        <v>1294</v>
      </c>
      <c r="V1358" s="36" t="str">
        <f>CONCATENATE(Cover!$D$6,"fdd/view?i=",U1358)</f>
        <v>https://www.dgiwg.org/FAD/fdd/view?i=1294</v>
      </c>
      <c r="W1358" s="172"/>
      <c r="X1358" s="172"/>
      <c r="Y1358" s="172"/>
    </row>
    <row r="1359" spans="1:25" ht="2.1" customHeight="1" x14ac:dyDescent="0.2">
      <c r="A1359" s="295"/>
      <c r="B1359" s="283"/>
      <c r="C1359" s="296"/>
      <c r="D1359" s="283"/>
      <c r="E1359" s="296"/>
      <c r="F1359" s="297"/>
      <c r="G1359" s="297"/>
      <c r="H1359" s="297"/>
      <c r="I1359" s="298"/>
      <c r="J1359" s="304"/>
      <c r="K1359" s="300"/>
      <c r="L1359" s="301"/>
      <c r="M1359" s="297" t="s">
        <v>6582</v>
      </c>
      <c r="N1359" s="297"/>
      <c r="O1359" s="297"/>
      <c r="P1359" s="297"/>
      <c r="Q1359" s="297"/>
      <c r="R1359" s="297"/>
      <c r="S1359" s="302"/>
      <c r="T1359" s="302"/>
      <c r="U1359" s="303"/>
    </row>
    <row r="1360" spans="1:25" ht="25.5" x14ac:dyDescent="0.2">
      <c r="A1360" s="212" t="str">
        <f>HYPERLINK(V1360,B1360)</f>
        <v>SthCode</v>
      </c>
      <c r="B1360" s="283" t="s">
        <v>12618</v>
      </c>
      <c r="C1360" s="284" t="s">
        <v>15983</v>
      </c>
      <c r="D1360" s="285"/>
      <c r="E1360" s="286"/>
      <c r="F1360" s="287" t="s">
        <v>15984</v>
      </c>
      <c r="G1360" s="286"/>
      <c r="H1360" s="286"/>
      <c r="I1360" s="288"/>
      <c r="J1360" s="289"/>
      <c r="K1360" s="290"/>
      <c r="L1360" s="371" t="str">
        <f>HYPERLINK("[#]DatatypeListedValues!B7930:H7930","«enumeration»")</f>
        <v>«enumeration»</v>
      </c>
      <c r="M1360" s="287" t="s">
        <v>6582</v>
      </c>
      <c r="N1360" s="291" t="b">
        <v>0</v>
      </c>
      <c r="O1360" s="286"/>
      <c r="P1360" s="292"/>
      <c r="Q1360" s="286"/>
      <c r="R1360" s="286"/>
      <c r="S1360" s="293"/>
      <c r="T1360" s="294"/>
      <c r="U1360" s="37">
        <v>1597</v>
      </c>
      <c r="V1360" s="36" t="str">
        <f>CONCATENATE(Cover!$D$6,"fdd/view?i=",U1360)</f>
        <v>https://www.dgiwg.org/FAD/fdd/view?i=1597</v>
      </c>
      <c r="W1360" s="172"/>
      <c r="X1360" s="172"/>
      <c r="Y1360" s="172"/>
    </row>
    <row r="1361" spans="1:25" ht="2.1" customHeight="1" x14ac:dyDescent="0.2">
      <c r="A1361" s="295"/>
      <c r="B1361" s="283"/>
      <c r="C1361" s="296"/>
      <c r="D1361" s="283"/>
      <c r="E1361" s="296"/>
      <c r="F1361" s="297"/>
      <c r="G1361" s="297"/>
      <c r="H1361" s="297"/>
      <c r="I1361" s="298"/>
      <c r="J1361" s="304"/>
      <c r="K1361" s="300"/>
      <c r="L1361" s="301"/>
      <c r="M1361" s="297" t="s">
        <v>6582</v>
      </c>
      <c r="N1361" s="297"/>
      <c r="O1361" s="297"/>
      <c r="P1361" s="297"/>
      <c r="Q1361" s="297"/>
      <c r="R1361" s="297"/>
      <c r="S1361" s="302"/>
      <c r="T1361" s="302"/>
      <c r="U1361" s="303"/>
    </row>
    <row r="1362" spans="1:25" ht="25.5" x14ac:dyDescent="0.2">
      <c r="A1362" s="212" t="str">
        <f>HYPERLINK(V1362,B1362)</f>
        <v>SecCode</v>
      </c>
      <c r="B1362" s="283" t="s">
        <v>12612</v>
      </c>
      <c r="C1362" s="284" t="s">
        <v>15985</v>
      </c>
      <c r="D1362" s="285"/>
      <c r="E1362" s="286"/>
      <c r="F1362" s="287" t="s">
        <v>15986</v>
      </c>
      <c r="G1362" s="286"/>
      <c r="H1362" s="286"/>
      <c r="I1362" s="288"/>
      <c r="J1362" s="289"/>
      <c r="K1362" s="290"/>
      <c r="L1362" s="371" t="str">
        <f>HYPERLINK("[#]DatatypeListedValues!B7937:H7937","«enumeration»")</f>
        <v>«enumeration»</v>
      </c>
      <c r="M1362" s="287" t="s">
        <v>6582</v>
      </c>
      <c r="N1362" s="291" t="b">
        <v>0</v>
      </c>
      <c r="O1362" s="286"/>
      <c r="P1362" s="292"/>
      <c r="Q1362" s="286"/>
      <c r="R1362" s="286"/>
      <c r="S1362" s="293"/>
      <c r="T1362" s="294"/>
      <c r="U1362" s="37">
        <v>1435</v>
      </c>
      <c r="V1362" s="36" t="str">
        <f>CONCATENATE(Cover!$D$6,"fdd/view?i=",U1362)</f>
        <v>https://www.dgiwg.org/FAD/fdd/view?i=1435</v>
      </c>
      <c r="W1362" s="172"/>
      <c r="X1362" s="172"/>
      <c r="Y1362" s="172"/>
    </row>
    <row r="1363" spans="1:25" ht="2.1" customHeight="1" x14ac:dyDescent="0.2">
      <c r="A1363" s="295"/>
      <c r="B1363" s="283"/>
      <c r="C1363" s="296"/>
      <c r="D1363" s="283"/>
      <c r="E1363" s="296"/>
      <c r="F1363" s="297"/>
      <c r="G1363" s="297"/>
      <c r="H1363" s="297"/>
      <c r="I1363" s="298"/>
      <c r="J1363" s="304"/>
      <c r="K1363" s="300"/>
      <c r="L1363" s="301"/>
      <c r="M1363" s="297" t="s">
        <v>6582</v>
      </c>
      <c r="N1363" s="297"/>
      <c r="O1363" s="297"/>
      <c r="P1363" s="297"/>
      <c r="Q1363" s="297"/>
      <c r="R1363" s="297"/>
      <c r="S1363" s="302"/>
      <c r="T1363" s="302"/>
      <c r="U1363" s="303"/>
    </row>
    <row r="1364" spans="1:25" ht="25.5" x14ac:dyDescent="0.2">
      <c r="A1364" s="212" t="str">
        <f>HYPERLINK(V1364,B1364)</f>
        <v>SfyCode</v>
      </c>
      <c r="B1364" s="283" t="s">
        <v>12635</v>
      </c>
      <c r="C1364" s="284" t="s">
        <v>15987</v>
      </c>
      <c r="D1364" s="285"/>
      <c r="E1364" s="286"/>
      <c r="F1364" s="287" t="s">
        <v>15988</v>
      </c>
      <c r="G1364" s="286"/>
      <c r="H1364" s="286"/>
      <c r="I1364" s="288"/>
      <c r="J1364" s="289"/>
      <c r="K1364" s="290"/>
      <c r="L1364" s="371" t="str">
        <f>HYPERLINK("[#]DatatypeListedValues!B7960:H7960","«enumeration»")</f>
        <v>«enumeration»</v>
      </c>
      <c r="M1364" s="287" t="s">
        <v>6582</v>
      </c>
      <c r="N1364" s="291" t="b">
        <v>0</v>
      </c>
      <c r="O1364" s="286"/>
      <c r="P1364" s="292"/>
      <c r="Q1364" s="286"/>
      <c r="R1364" s="286"/>
      <c r="S1364" s="293"/>
      <c r="T1364" s="294"/>
      <c r="U1364" s="37">
        <v>1439</v>
      </c>
      <c r="V1364" s="36" t="str">
        <f>CONCATENATE(Cover!$D$6,"fdd/view?i=",U1364)</f>
        <v>https://www.dgiwg.org/FAD/fdd/view?i=1439</v>
      </c>
      <c r="W1364" s="172"/>
      <c r="X1364" s="172"/>
      <c r="Y1364" s="172"/>
    </row>
    <row r="1365" spans="1:25" ht="2.1" customHeight="1" x14ac:dyDescent="0.2">
      <c r="A1365" s="295"/>
      <c r="B1365" s="283"/>
      <c r="C1365" s="296"/>
      <c r="D1365" s="283"/>
      <c r="E1365" s="296"/>
      <c r="F1365" s="297"/>
      <c r="G1365" s="297"/>
      <c r="H1365" s="297"/>
      <c r="I1365" s="298"/>
      <c r="J1365" s="304"/>
      <c r="K1365" s="300"/>
      <c r="L1365" s="301"/>
      <c r="M1365" s="297" t="s">
        <v>6582</v>
      </c>
      <c r="N1365" s="297"/>
      <c r="O1365" s="297"/>
      <c r="P1365" s="297"/>
      <c r="Q1365" s="297"/>
      <c r="R1365" s="297"/>
      <c r="S1365" s="302"/>
      <c r="T1365" s="302"/>
      <c r="U1365" s="303"/>
    </row>
    <row r="1366" spans="1:25" ht="25.5" x14ac:dyDescent="0.2">
      <c r="A1366" s="212" t="str">
        <f>HYPERLINK(V1366,B1366)</f>
        <v>ScoCode</v>
      </c>
      <c r="B1366" s="283" t="s">
        <v>12641</v>
      </c>
      <c r="C1366" s="284" t="s">
        <v>15989</v>
      </c>
      <c r="D1366" s="285"/>
      <c r="E1366" s="286"/>
      <c r="F1366" s="287" t="s">
        <v>15990</v>
      </c>
      <c r="G1366" s="286"/>
      <c r="H1366" s="286"/>
      <c r="I1366" s="288"/>
      <c r="J1366" s="289"/>
      <c r="K1366" s="290"/>
      <c r="L1366" s="371" t="str">
        <f>HYPERLINK("[#]DatatypeListedValues!B7962:H7962","«enumeration»")</f>
        <v>«enumeration»</v>
      </c>
      <c r="M1366" s="287" t="s">
        <v>6582</v>
      </c>
      <c r="N1366" s="291" t="b">
        <v>0</v>
      </c>
      <c r="O1366" s="286"/>
      <c r="P1366" s="292"/>
      <c r="Q1366" s="286"/>
      <c r="R1366" s="286"/>
      <c r="S1366" s="293"/>
      <c r="T1366" s="294"/>
      <c r="U1366" s="37">
        <v>1595</v>
      </c>
      <c r="V1366" s="36" t="str">
        <f>CONCATENATE(Cover!$D$6,"fdd/view?i=",U1366)</f>
        <v>https://www.dgiwg.org/FAD/fdd/view?i=1595</v>
      </c>
      <c r="W1366" s="172"/>
      <c r="X1366" s="172"/>
      <c r="Y1366" s="172"/>
    </row>
    <row r="1367" spans="1:25" ht="2.1" customHeight="1" x14ac:dyDescent="0.2">
      <c r="A1367" s="295"/>
      <c r="B1367" s="283"/>
      <c r="C1367" s="296"/>
      <c r="D1367" s="283"/>
      <c r="E1367" s="296"/>
      <c r="F1367" s="297"/>
      <c r="G1367" s="297"/>
      <c r="H1367" s="297"/>
      <c r="I1367" s="298"/>
      <c r="J1367" s="304"/>
      <c r="K1367" s="300"/>
      <c r="L1367" s="301"/>
      <c r="M1367" s="297" t="s">
        <v>6582</v>
      </c>
      <c r="N1367" s="297"/>
      <c r="O1367" s="297"/>
      <c r="P1367" s="297"/>
      <c r="Q1367" s="297"/>
      <c r="R1367" s="297"/>
      <c r="S1367" s="302"/>
      <c r="T1367" s="302"/>
      <c r="U1367" s="303"/>
    </row>
    <row r="1368" spans="1:25" ht="25.5" x14ac:dyDescent="0.2">
      <c r="A1368" s="212" t="str">
        <f>HYPERLINK(V1368,B1368)</f>
        <v>EqkCode</v>
      </c>
      <c r="B1368" s="283" t="s">
        <v>12666</v>
      </c>
      <c r="C1368" s="284" t="s">
        <v>15991</v>
      </c>
      <c r="D1368" s="285"/>
      <c r="E1368" s="286"/>
      <c r="F1368" s="287" t="s">
        <v>15992</v>
      </c>
      <c r="G1368" s="286"/>
      <c r="H1368" s="286"/>
      <c r="I1368" s="288"/>
      <c r="J1368" s="289"/>
      <c r="K1368" s="290"/>
      <c r="L1368" s="371" t="str">
        <f>HYPERLINK("[#]DatatypeListedValues!B8011:H8011","«enumeration»")</f>
        <v>«enumeration»</v>
      </c>
      <c r="M1368" s="287" t="s">
        <v>6582</v>
      </c>
      <c r="N1368" s="291" t="b">
        <v>0</v>
      </c>
      <c r="O1368" s="286"/>
      <c r="P1368" s="292"/>
      <c r="Q1368" s="286"/>
      <c r="R1368" s="286"/>
      <c r="S1368" s="293"/>
      <c r="T1368" s="294"/>
      <c r="U1368" s="37">
        <v>1821</v>
      </c>
      <c r="V1368" s="36" t="str">
        <f>CONCATENATE(Cover!$D$6,"fdd/view?i=",U1368)</f>
        <v>https://www.dgiwg.org/FAD/fdd/view?i=1821</v>
      </c>
      <c r="W1368" s="172"/>
      <c r="X1368" s="172"/>
      <c r="Y1368" s="172"/>
    </row>
    <row r="1369" spans="1:25" ht="2.1" customHeight="1" x14ac:dyDescent="0.2">
      <c r="A1369" s="295"/>
      <c r="B1369" s="283"/>
      <c r="C1369" s="296"/>
      <c r="D1369" s="283"/>
      <c r="E1369" s="296"/>
      <c r="F1369" s="297"/>
      <c r="G1369" s="297"/>
      <c r="H1369" s="297"/>
      <c r="I1369" s="298"/>
      <c r="J1369" s="304"/>
      <c r="K1369" s="300"/>
      <c r="L1369" s="301"/>
      <c r="M1369" s="297" t="s">
        <v>6582</v>
      </c>
      <c r="N1369" s="297"/>
      <c r="O1369" s="297"/>
      <c r="P1369" s="297"/>
      <c r="Q1369" s="297"/>
      <c r="R1369" s="297"/>
      <c r="S1369" s="302"/>
      <c r="T1369" s="302"/>
      <c r="U1369" s="303"/>
    </row>
    <row r="1370" spans="1:25" ht="25.5" x14ac:dyDescent="0.2">
      <c r="A1370" s="212" t="str">
        <f>HYPERLINK(V1370,B1370)</f>
        <v>NcuCode</v>
      </c>
      <c r="B1370" s="283" t="s">
        <v>12671</v>
      </c>
      <c r="C1370" s="284" t="s">
        <v>15993</v>
      </c>
      <c r="D1370" s="285"/>
      <c r="E1370" s="286"/>
      <c r="F1370" s="287" t="s">
        <v>15994</v>
      </c>
      <c r="G1370" s="286"/>
      <c r="H1370" s="286"/>
      <c r="I1370" s="288"/>
      <c r="J1370" s="289"/>
      <c r="K1370" s="290"/>
      <c r="L1370" s="371" t="str">
        <f>HYPERLINK("[#]DatatypeListedValues!B8016:H8016","«enumeration»")</f>
        <v>«enumeration»</v>
      </c>
      <c r="M1370" s="287" t="s">
        <v>6582</v>
      </c>
      <c r="N1370" s="291" t="b">
        <v>0</v>
      </c>
      <c r="O1370" s="286"/>
      <c r="P1370" s="292"/>
      <c r="Q1370" s="286"/>
      <c r="R1370" s="286"/>
      <c r="S1370" s="293"/>
      <c r="T1370" s="294"/>
      <c r="U1370" s="37">
        <v>119796</v>
      </c>
      <c r="V1370" s="36" t="str">
        <f>CONCATENATE(Cover!$D$6,"fdd/view?i=",U1370)</f>
        <v>https://www.dgiwg.org/FAD/fdd/view?i=119796</v>
      </c>
      <c r="W1370" s="172"/>
      <c r="X1370" s="172"/>
      <c r="Y1370" s="172"/>
    </row>
    <row r="1371" spans="1:25" ht="2.1" customHeight="1" x14ac:dyDescent="0.2">
      <c r="A1371" s="295"/>
      <c r="B1371" s="283"/>
      <c r="C1371" s="296"/>
      <c r="D1371" s="283"/>
      <c r="E1371" s="296"/>
      <c r="F1371" s="297"/>
      <c r="G1371" s="297"/>
      <c r="H1371" s="297"/>
      <c r="I1371" s="298"/>
      <c r="J1371" s="304"/>
      <c r="K1371" s="300"/>
      <c r="L1371" s="301"/>
      <c r="M1371" s="297" t="s">
        <v>6582</v>
      </c>
      <c r="N1371" s="297"/>
      <c r="O1371" s="297"/>
      <c r="P1371" s="297"/>
      <c r="Q1371" s="297"/>
      <c r="R1371" s="297"/>
      <c r="S1371" s="302"/>
      <c r="T1371" s="302"/>
      <c r="U1371" s="303"/>
    </row>
    <row r="1372" spans="1:25" ht="38.25" x14ac:dyDescent="0.2">
      <c r="A1372" s="212" t="str">
        <f>HYPERLINK(V1372,B1372)</f>
        <v>SeqStrucText</v>
      </c>
      <c r="B1372" s="283" t="s">
        <v>12676</v>
      </c>
      <c r="C1372" s="284" t="s">
        <v>15995</v>
      </c>
      <c r="D1372" s="285"/>
      <c r="E1372" s="286"/>
      <c r="F1372" s="287" t="s">
        <v>15996</v>
      </c>
      <c r="G1372" s="286"/>
      <c r="H1372" s="287" t="s">
        <v>14552</v>
      </c>
      <c r="I1372" s="288"/>
      <c r="J1372" s="289"/>
      <c r="K1372" s="290"/>
      <c r="L1372" s="287" t="s">
        <v>14551</v>
      </c>
      <c r="M1372" s="287" t="s">
        <v>6582</v>
      </c>
      <c r="N1372" s="286"/>
      <c r="O1372" s="287">
        <v>80</v>
      </c>
      <c r="P1372" s="305" t="b">
        <v>0</v>
      </c>
      <c r="Q1372" s="286"/>
      <c r="R1372" s="286"/>
      <c r="S1372" s="293"/>
      <c r="T1372" s="294"/>
      <c r="U1372" s="37">
        <v>3757</v>
      </c>
      <c r="V1372" s="36" t="str">
        <f>CONCATENATE(Cover!$D$6,"fdd/view?i=",U1372)</f>
        <v>https://www.dgiwg.org/FAD/fdd/view?i=3757</v>
      </c>
      <c r="W1372" s="172"/>
      <c r="X1372" s="172"/>
      <c r="Y1372" s="172"/>
    </row>
    <row r="1373" spans="1:25" ht="2.1" customHeight="1" x14ac:dyDescent="0.2">
      <c r="A1373" s="295"/>
      <c r="B1373" s="283"/>
      <c r="C1373" s="296"/>
      <c r="D1373" s="283"/>
      <c r="E1373" s="296"/>
      <c r="F1373" s="297"/>
      <c r="G1373" s="297"/>
      <c r="H1373" s="297"/>
      <c r="I1373" s="298"/>
      <c r="J1373" s="304"/>
      <c r="K1373" s="300"/>
      <c r="L1373" s="301"/>
      <c r="M1373" s="297" t="s">
        <v>6582</v>
      </c>
      <c r="N1373" s="297"/>
      <c r="O1373" s="297"/>
      <c r="P1373" s="297"/>
      <c r="Q1373" s="297"/>
      <c r="R1373" s="297"/>
      <c r="S1373" s="302"/>
      <c r="T1373" s="302"/>
      <c r="U1373" s="303"/>
    </row>
    <row r="1374" spans="1:25" ht="25.5" x14ac:dyDescent="0.2">
      <c r="A1374" s="212" t="str">
        <f>HYPERLINK(V1374,B1374)</f>
        <v>UspCode</v>
      </c>
      <c r="B1374" s="283" t="s">
        <v>12681</v>
      </c>
      <c r="C1374" s="284" t="s">
        <v>15997</v>
      </c>
      <c r="D1374" s="285"/>
      <c r="E1374" s="286"/>
      <c r="F1374" s="287" t="s">
        <v>15998</v>
      </c>
      <c r="G1374" s="286"/>
      <c r="H1374" s="286"/>
      <c r="I1374" s="288"/>
      <c r="J1374" s="289"/>
      <c r="K1374" s="290"/>
      <c r="L1374" s="371" t="str">
        <f>HYPERLINK("[#]DatatypeListedValues!B8021:H8021","«enumeration»")</f>
        <v>«enumeration»</v>
      </c>
      <c r="M1374" s="287" t="s">
        <v>6582</v>
      </c>
      <c r="N1374" s="291" t="b">
        <v>0</v>
      </c>
      <c r="O1374" s="286"/>
      <c r="P1374" s="292"/>
      <c r="Q1374" s="286"/>
      <c r="R1374" s="286"/>
      <c r="S1374" s="293"/>
      <c r="T1374" s="294"/>
      <c r="U1374" s="37">
        <v>1512</v>
      </c>
      <c r="V1374" s="36" t="str">
        <f>CONCATENATE(Cover!$D$6,"fdd/view?i=",U1374)</f>
        <v>https://www.dgiwg.org/FAD/fdd/view?i=1512</v>
      </c>
      <c r="W1374" s="172"/>
      <c r="X1374" s="172"/>
      <c r="Y1374" s="172"/>
    </row>
    <row r="1375" spans="1:25" ht="2.1" customHeight="1" x14ac:dyDescent="0.2">
      <c r="A1375" s="295"/>
      <c r="B1375" s="283"/>
      <c r="C1375" s="296"/>
      <c r="D1375" s="283"/>
      <c r="E1375" s="296"/>
      <c r="F1375" s="297"/>
      <c r="G1375" s="297"/>
      <c r="H1375" s="297"/>
      <c r="I1375" s="298"/>
      <c r="J1375" s="304"/>
      <c r="K1375" s="300"/>
      <c r="L1375" s="301"/>
      <c r="M1375" s="297" t="s">
        <v>6582</v>
      </c>
      <c r="N1375" s="297"/>
      <c r="O1375" s="297"/>
      <c r="P1375" s="297"/>
      <c r="Q1375" s="297"/>
      <c r="R1375" s="297"/>
      <c r="S1375" s="302"/>
      <c r="T1375" s="302"/>
      <c r="U1375" s="303"/>
    </row>
    <row r="1376" spans="1:25" ht="25.5" x14ac:dyDescent="0.2">
      <c r="A1376" s="212" t="str">
        <f>HYPERLINK(V1376,B1376)</f>
        <v>SldCode</v>
      </c>
      <c r="B1376" s="283" t="s">
        <v>12686</v>
      </c>
      <c r="C1376" s="284" t="s">
        <v>15999</v>
      </c>
      <c r="D1376" s="285"/>
      <c r="E1376" s="286"/>
      <c r="F1376" s="287" t="s">
        <v>16000</v>
      </c>
      <c r="G1376" s="286"/>
      <c r="H1376" s="286"/>
      <c r="I1376" s="288"/>
      <c r="J1376" s="289"/>
      <c r="K1376" s="290"/>
      <c r="L1376" s="371" t="str">
        <f>HYPERLINK("[#]DatatypeListedValues!B8036:H8036","«enumeration»")</f>
        <v>«enumeration»</v>
      </c>
      <c r="M1376" s="287" t="s">
        <v>6582</v>
      </c>
      <c r="N1376" s="291" t="b">
        <v>0</v>
      </c>
      <c r="O1376" s="286"/>
      <c r="P1376" s="292"/>
      <c r="Q1376" s="286"/>
      <c r="R1376" s="286"/>
      <c r="S1376" s="293"/>
      <c r="T1376" s="294"/>
      <c r="U1376" s="37">
        <v>1913</v>
      </c>
      <c r="V1376" s="36" t="str">
        <f>CONCATENATE(Cover!$D$6,"fdd/view?i=",U1376)</f>
        <v>https://www.dgiwg.org/FAD/fdd/view?i=1913</v>
      </c>
      <c r="W1376" s="172"/>
      <c r="X1376" s="172"/>
      <c r="Y1376" s="172"/>
    </row>
    <row r="1377" spans="1:25" ht="2.1" customHeight="1" x14ac:dyDescent="0.2">
      <c r="A1377" s="295"/>
      <c r="B1377" s="283"/>
      <c r="C1377" s="296"/>
      <c r="D1377" s="283"/>
      <c r="E1377" s="296"/>
      <c r="F1377" s="297"/>
      <c r="G1377" s="297"/>
      <c r="H1377" s="297"/>
      <c r="I1377" s="298"/>
      <c r="J1377" s="304"/>
      <c r="K1377" s="300"/>
      <c r="L1377" s="301"/>
      <c r="M1377" s="297" t="s">
        <v>6582</v>
      </c>
      <c r="N1377" s="297"/>
      <c r="O1377" s="297"/>
      <c r="P1377" s="297"/>
      <c r="Q1377" s="297"/>
      <c r="R1377" s="297"/>
      <c r="S1377" s="302"/>
      <c r="T1377" s="302"/>
      <c r="U1377" s="303"/>
    </row>
    <row r="1378" spans="1:25" ht="25.5" x14ac:dyDescent="0.2">
      <c r="A1378" s="212" t="str">
        <f>HYPERLINK(V1378,B1378)</f>
        <v>SohCode</v>
      </c>
      <c r="B1378" s="283" t="s">
        <v>12691</v>
      </c>
      <c r="C1378" s="284" t="s">
        <v>16001</v>
      </c>
      <c r="D1378" s="285"/>
      <c r="E1378" s="286"/>
      <c r="F1378" s="287" t="s">
        <v>16002</v>
      </c>
      <c r="G1378" s="286"/>
      <c r="H1378" s="286"/>
      <c r="I1378" s="288"/>
      <c r="J1378" s="289"/>
      <c r="K1378" s="290"/>
      <c r="L1378" s="371" t="str">
        <f>HYPERLINK("[#]DatatypeListedValues!B8044:H8044","«enumeration»")</f>
        <v>«enumeration»</v>
      </c>
      <c r="M1378" s="287" t="s">
        <v>6582</v>
      </c>
      <c r="N1378" s="291" t="b">
        <v>0</v>
      </c>
      <c r="O1378" s="286"/>
      <c r="P1378" s="292"/>
      <c r="Q1378" s="286"/>
      <c r="R1378" s="286"/>
      <c r="S1378" s="293"/>
      <c r="T1378" s="294"/>
      <c r="U1378" s="37">
        <v>1455</v>
      </c>
      <c r="V1378" s="36" t="str">
        <f>CONCATENATE(Cover!$D$6,"fdd/view?i=",U1378)</f>
        <v>https://www.dgiwg.org/FAD/fdd/view?i=1455</v>
      </c>
      <c r="W1378" s="172"/>
      <c r="X1378" s="172"/>
      <c r="Y1378" s="172"/>
    </row>
    <row r="1379" spans="1:25" ht="2.1" customHeight="1" x14ac:dyDescent="0.2">
      <c r="A1379" s="295"/>
      <c r="B1379" s="283"/>
      <c r="C1379" s="296"/>
      <c r="D1379" s="283"/>
      <c r="E1379" s="296"/>
      <c r="F1379" s="297"/>
      <c r="G1379" s="297"/>
      <c r="H1379" s="297"/>
      <c r="I1379" s="298"/>
      <c r="J1379" s="304"/>
      <c r="K1379" s="300"/>
      <c r="L1379" s="301"/>
      <c r="M1379" s="297" t="s">
        <v>6582</v>
      </c>
      <c r="N1379" s="297"/>
      <c r="O1379" s="297"/>
      <c r="P1379" s="297"/>
      <c r="Q1379" s="297"/>
      <c r="R1379" s="297"/>
      <c r="S1379" s="302"/>
      <c r="T1379" s="302"/>
      <c r="U1379" s="303"/>
    </row>
    <row r="1380" spans="1:25" ht="25.5" x14ac:dyDescent="0.2">
      <c r="A1380" s="212" t="str">
        <f>HYPERLINK(V1380,B1380)</f>
        <v>SsoCode</v>
      </c>
      <c r="B1380" s="283" t="s">
        <v>12700</v>
      </c>
      <c r="C1380" s="284" t="s">
        <v>16003</v>
      </c>
      <c r="D1380" s="285"/>
      <c r="E1380" s="286"/>
      <c r="F1380" s="287" t="s">
        <v>16004</v>
      </c>
      <c r="G1380" s="286"/>
      <c r="H1380" s="286"/>
      <c r="I1380" s="288"/>
      <c r="J1380" s="289"/>
      <c r="K1380" s="290"/>
      <c r="L1380" s="371" t="str">
        <f>HYPERLINK("[#]DatatypeListedValues!B8048:H8048","«enumeration»")</f>
        <v>«enumeration»</v>
      </c>
      <c r="M1380" s="287" t="s">
        <v>6582</v>
      </c>
      <c r="N1380" s="291" t="b">
        <v>0</v>
      </c>
      <c r="O1380" s="286"/>
      <c r="P1380" s="292"/>
      <c r="Q1380" s="286"/>
      <c r="R1380" s="286"/>
      <c r="S1380" s="293"/>
      <c r="T1380" s="294"/>
      <c r="U1380" s="37">
        <v>1465</v>
      </c>
      <c r="V1380" s="36" t="str">
        <f>CONCATENATE(Cover!$D$6,"fdd/view?i=",U1380)</f>
        <v>https://www.dgiwg.org/FAD/fdd/view?i=1465</v>
      </c>
      <c r="W1380" s="172"/>
      <c r="X1380" s="172"/>
      <c r="Y1380" s="172"/>
    </row>
    <row r="1381" spans="1:25" ht="2.1" customHeight="1" x14ac:dyDescent="0.2">
      <c r="A1381" s="295"/>
      <c r="B1381" s="283"/>
      <c r="C1381" s="296"/>
      <c r="D1381" s="283"/>
      <c r="E1381" s="296"/>
      <c r="F1381" s="297"/>
      <c r="G1381" s="297"/>
      <c r="H1381" s="297"/>
      <c r="I1381" s="298"/>
      <c r="J1381" s="304"/>
      <c r="K1381" s="300"/>
      <c r="L1381" s="301"/>
      <c r="M1381" s="297" t="s">
        <v>6582</v>
      </c>
      <c r="N1381" s="297"/>
      <c r="O1381" s="297"/>
      <c r="P1381" s="297"/>
      <c r="Q1381" s="297"/>
      <c r="R1381" s="297"/>
      <c r="S1381" s="302"/>
      <c r="T1381" s="302"/>
      <c r="U1381" s="303"/>
    </row>
    <row r="1382" spans="1:25" ht="25.5" x14ac:dyDescent="0.2">
      <c r="A1382" s="212" t="str">
        <f>HYPERLINK(V1382,B1382)</f>
        <v>SucCode</v>
      </c>
      <c r="B1382" s="283" t="s">
        <v>12705</v>
      </c>
      <c r="C1382" s="284" t="s">
        <v>16005</v>
      </c>
      <c r="D1382" s="285"/>
      <c r="E1382" s="286"/>
      <c r="F1382" s="287" t="s">
        <v>16006</v>
      </c>
      <c r="G1382" s="286"/>
      <c r="H1382" s="286"/>
      <c r="I1382" s="288"/>
      <c r="J1382" s="289"/>
      <c r="K1382" s="290"/>
      <c r="L1382" s="371" t="str">
        <f>HYPERLINK("[#]DatatypeListedValues!B8052:H8052","«enumeration»")</f>
        <v>«enumeration»</v>
      </c>
      <c r="M1382" s="287" t="s">
        <v>6582</v>
      </c>
      <c r="N1382" s="291" t="b">
        <v>0</v>
      </c>
      <c r="O1382" s="286"/>
      <c r="P1382" s="292"/>
      <c r="Q1382" s="286"/>
      <c r="R1382" s="286"/>
      <c r="S1382" s="293"/>
      <c r="T1382" s="294"/>
      <c r="U1382" s="37">
        <v>1474</v>
      </c>
      <c r="V1382" s="36" t="str">
        <f>CONCATENATE(Cover!$D$6,"fdd/view?i=",U1382)</f>
        <v>https://www.dgiwg.org/FAD/fdd/view?i=1474</v>
      </c>
      <c r="W1382" s="172"/>
      <c r="X1382" s="172"/>
      <c r="Y1382" s="172"/>
    </row>
    <row r="1383" spans="1:25" ht="2.1" customHeight="1" x14ac:dyDescent="0.2">
      <c r="A1383" s="295"/>
      <c r="B1383" s="283"/>
      <c r="C1383" s="296"/>
      <c r="D1383" s="283"/>
      <c r="E1383" s="296"/>
      <c r="F1383" s="297"/>
      <c r="G1383" s="297"/>
      <c r="H1383" s="297"/>
      <c r="I1383" s="298"/>
      <c r="J1383" s="304"/>
      <c r="K1383" s="300"/>
      <c r="L1383" s="301"/>
      <c r="M1383" s="297" t="s">
        <v>6582</v>
      </c>
      <c r="N1383" s="297"/>
      <c r="O1383" s="297"/>
      <c r="P1383" s="297"/>
      <c r="Q1383" s="297"/>
      <c r="R1383" s="297"/>
      <c r="S1383" s="302"/>
      <c r="T1383" s="302"/>
      <c r="U1383" s="303"/>
    </row>
    <row r="1384" spans="1:25" ht="25.5" x14ac:dyDescent="0.2">
      <c r="A1384" s="212" t="str">
        <f>HYPERLINK(V1384,B1384)</f>
        <v>ShtCode</v>
      </c>
      <c r="B1384" s="283" t="s">
        <v>12714</v>
      </c>
      <c r="C1384" s="284" t="s">
        <v>16007</v>
      </c>
      <c r="D1384" s="285"/>
      <c r="E1384" s="286"/>
      <c r="F1384" s="287" t="s">
        <v>16008</v>
      </c>
      <c r="G1384" s="286"/>
      <c r="H1384" s="286"/>
      <c r="I1384" s="288"/>
      <c r="J1384" s="289"/>
      <c r="K1384" s="290"/>
      <c r="L1384" s="371" t="str">
        <f>HYPERLINK("[#]DatatypeListedValues!B8056:H8056","«enumeration»")</f>
        <v>«enumeration»</v>
      </c>
      <c r="M1384" s="287" t="s">
        <v>6582</v>
      </c>
      <c r="N1384" s="291" t="b">
        <v>0</v>
      </c>
      <c r="O1384" s="286"/>
      <c r="P1384" s="292"/>
      <c r="Q1384" s="286"/>
      <c r="R1384" s="286"/>
      <c r="S1384" s="293"/>
      <c r="T1384" s="294"/>
      <c r="U1384" s="37">
        <v>118116</v>
      </c>
      <c r="V1384" s="36" t="str">
        <f>CONCATENATE(Cover!$D$6,"fdd/view?i=",U1384)</f>
        <v>https://www.dgiwg.org/FAD/fdd/view?i=118116</v>
      </c>
      <c r="W1384" s="172"/>
      <c r="X1384" s="172"/>
      <c r="Y1384" s="172"/>
    </row>
    <row r="1385" spans="1:25" ht="2.1" customHeight="1" x14ac:dyDescent="0.2">
      <c r="A1385" s="295"/>
      <c r="B1385" s="283"/>
      <c r="C1385" s="296"/>
      <c r="D1385" s="283"/>
      <c r="E1385" s="296"/>
      <c r="F1385" s="297"/>
      <c r="G1385" s="297"/>
      <c r="H1385" s="297"/>
      <c r="I1385" s="298"/>
      <c r="J1385" s="304"/>
      <c r="K1385" s="300"/>
      <c r="L1385" s="301"/>
      <c r="M1385" s="297" t="s">
        <v>6582</v>
      </c>
      <c r="N1385" s="297"/>
      <c r="O1385" s="297"/>
      <c r="P1385" s="297"/>
      <c r="Q1385" s="297"/>
      <c r="R1385" s="297"/>
      <c r="S1385" s="302"/>
      <c r="T1385" s="302"/>
      <c r="U1385" s="303"/>
    </row>
    <row r="1386" spans="1:25" ht="25.5" x14ac:dyDescent="0.2">
      <c r="A1386" s="212" t="str">
        <f>HYPERLINK(V1386,B1386)</f>
        <v>PwcCode</v>
      </c>
      <c r="B1386" s="283" t="s">
        <v>12729</v>
      </c>
      <c r="C1386" s="284" t="s">
        <v>16009</v>
      </c>
      <c r="D1386" s="285"/>
      <c r="E1386" s="286"/>
      <c r="F1386" s="287" t="s">
        <v>16010</v>
      </c>
      <c r="G1386" s="286"/>
      <c r="H1386" s="286"/>
      <c r="I1386" s="288"/>
      <c r="J1386" s="289"/>
      <c r="K1386" s="290"/>
      <c r="L1386" s="371" t="str">
        <f>HYPERLINK("[#]DatatypeListedValues!B8061:H8061","«enumeration»")</f>
        <v>«enumeration»</v>
      </c>
      <c r="M1386" s="287" t="s">
        <v>6582</v>
      </c>
      <c r="N1386" s="291" t="b">
        <v>0</v>
      </c>
      <c r="O1386" s="286"/>
      <c r="P1386" s="292"/>
      <c r="Q1386" s="286"/>
      <c r="R1386" s="286"/>
      <c r="S1386" s="293"/>
      <c r="T1386" s="294"/>
      <c r="U1386" s="37">
        <v>1575</v>
      </c>
      <c r="V1386" s="36" t="str">
        <f>CONCATENATE(Cover!$D$6,"fdd/view?i=",U1386)</f>
        <v>https://www.dgiwg.org/FAD/fdd/view?i=1575</v>
      </c>
      <c r="W1386" s="172"/>
      <c r="X1386" s="172"/>
      <c r="Y1386" s="172"/>
    </row>
    <row r="1387" spans="1:25" ht="2.1" customHeight="1" x14ac:dyDescent="0.2">
      <c r="A1387" s="295"/>
      <c r="B1387" s="283"/>
      <c r="C1387" s="296"/>
      <c r="D1387" s="283"/>
      <c r="E1387" s="296"/>
      <c r="F1387" s="297"/>
      <c r="G1387" s="297"/>
      <c r="H1387" s="297"/>
      <c r="I1387" s="298"/>
      <c r="J1387" s="304"/>
      <c r="K1387" s="300"/>
      <c r="L1387" s="301"/>
      <c r="M1387" s="297" t="s">
        <v>6582</v>
      </c>
      <c r="N1387" s="297"/>
      <c r="O1387" s="297"/>
      <c r="P1387" s="297"/>
      <c r="Q1387" s="297"/>
      <c r="R1387" s="297"/>
      <c r="S1387" s="302"/>
      <c r="T1387" s="302"/>
      <c r="U1387" s="303"/>
    </row>
    <row r="1388" spans="1:25" ht="25.5" x14ac:dyDescent="0.2">
      <c r="A1388" s="212" t="str">
        <f>HYPERLINK(V1388,B1388)</f>
        <v>SlrCode</v>
      </c>
      <c r="B1388" s="283" t="s">
        <v>12740</v>
      </c>
      <c r="C1388" s="284" t="s">
        <v>16011</v>
      </c>
      <c r="D1388" s="285"/>
      <c r="E1388" s="286"/>
      <c r="F1388" s="287" t="s">
        <v>16012</v>
      </c>
      <c r="G1388" s="286"/>
      <c r="H1388" s="286"/>
      <c r="I1388" s="288"/>
      <c r="J1388" s="289"/>
      <c r="K1388" s="290"/>
      <c r="L1388" s="371" t="str">
        <f>HYPERLINK("[#]DatatypeListedValues!B8079:H8079","«enumeration»")</f>
        <v>«enumeration»</v>
      </c>
      <c r="M1388" s="287" t="s">
        <v>6582</v>
      </c>
      <c r="N1388" s="291" t="b">
        <v>0</v>
      </c>
      <c r="O1388" s="286"/>
      <c r="P1388" s="292"/>
      <c r="Q1388" s="286"/>
      <c r="R1388" s="286"/>
      <c r="S1388" s="293"/>
      <c r="T1388" s="294"/>
      <c r="U1388" s="37">
        <v>1916</v>
      </c>
      <c r="V1388" s="36" t="str">
        <f>CONCATENATE(Cover!$D$6,"fdd/view?i=",U1388)</f>
        <v>https://www.dgiwg.org/FAD/fdd/view?i=1916</v>
      </c>
      <c r="W1388" s="172"/>
      <c r="X1388" s="172"/>
      <c r="Y1388" s="172"/>
    </row>
    <row r="1389" spans="1:25" ht="2.1" customHeight="1" x14ac:dyDescent="0.2">
      <c r="A1389" s="295"/>
      <c r="B1389" s="283"/>
      <c r="C1389" s="296"/>
      <c r="D1389" s="283"/>
      <c r="E1389" s="296"/>
      <c r="F1389" s="297"/>
      <c r="G1389" s="297"/>
      <c r="H1389" s="297"/>
      <c r="I1389" s="298"/>
      <c r="J1389" s="304"/>
      <c r="K1389" s="300"/>
      <c r="L1389" s="301"/>
      <c r="M1389" s="297" t="s">
        <v>6582</v>
      </c>
      <c r="N1389" s="297"/>
      <c r="O1389" s="297"/>
      <c r="P1389" s="297"/>
      <c r="Q1389" s="297"/>
      <c r="R1389" s="297"/>
      <c r="S1389" s="302"/>
      <c r="T1389" s="302"/>
      <c r="U1389" s="303"/>
    </row>
    <row r="1390" spans="1:25" ht="25.5" x14ac:dyDescent="0.2">
      <c r="A1390" s="212" t="str">
        <f>HYPERLINK(V1390,B1390)</f>
        <v>SltCode</v>
      </c>
      <c r="B1390" s="283" t="s">
        <v>12745</v>
      </c>
      <c r="C1390" s="284" t="s">
        <v>16013</v>
      </c>
      <c r="D1390" s="285"/>
      <c r="E1390" s="286"/>
      <c r="F1390" s="287" t="s">
        <v>16014</v>
      </c>
      <c r="G1390" s="286"/>
      <c r="H1390" s="286"/>
      <c r="I1390" s="288"/>
      <c r="J1390" s="289"/>
      <c r="K1390" s="290"/>
      <c r="L1390" s="371" t="str">
        <f>HYPERLINK("[#]DatatypeListedValues!B8082:H8082","«enumeration»")</f>
        <v>«enumeration»</v>
      </c>
      <c r="M1390" s="287" t="s">
        <v>6582</v>
      </c>
      <c r="N1390" s="291" t="b">
        <v>0</v>
      </c>
      <c r="O1390" s="286"/>
      <c r="P1390" s="292"/>
      <c r="Q1390" s="286"/>
      <c r="R1390" s="286"/>
      <c r="S1390" s="293"/>
      <c r="T1390" s="294"/>
      <c r="U1390" s="37">
        <v>1451</v>
      </c>
      <c r="V1390" s="36" t="str">
        <f>CONCATENATE(Cover!$D$6,"fdd/view?i=",U1390)</f>
        <v>https://www.dgiwg.org/FAD/fdd/view?i=1451</v>
      </c>
      <c r="W1390" s="172"/>
      <c r="X1390" s="172"/>
      <c r="Y1390" s="172"/>
    </row>
    <row r="1391" spans="1:25" ht="2.1" customHeight="1" x14ac:dyDescent="0.2">
      <c r="A1391" s="295"/>
      <c r="B1391" s="283"/>
      <c r="C1391" s="296"/>
      <c r="D1391" s="283"/>
      <c r="E1391" s="296"/>
      <c r="F1391" s="297"/>
      <c r="G1391" s="297"/>
      <c r="H1391" s="297"/>
      <c r="I1391" s="298"/>
      <c r="J1391" s="304"/>
      <c r="K1391" s="300"/>
      <c r="L1391" s="301"/>
      <c r="M1391" s="297" t="s">
        <v>6582</v>
      </c>
      <c r="N1391" s="297"/>
      <c r="O1391" s="297"/>
      <c r="P1391" s="297"/>
      <c r="Q1391" s="297"/>
      <c r="R1391" s="297"/>
      <c r="S1391" s="302"/>
      <c r="T1391" s="302"/>
      <c r="U1391" s="303"/>
    </row>
    <row r="1392" spans="1:25" ht="25.5" x14ac:dyDescent="0.2">
      <c r="A1392" s="212" t="str">
        <f>HYPERLINK(V1392,B1392)</f>
        <v>RshCode</v>
      </c>
      <c r="B1392" s="283" t="s">
        <v>12759</v>
      </c>
      <c r="C1392" s="284" t="s">
        <v>16015</v>
      </c>
      <c r="D1392" s="285"/>
      <c r="E1392" s="286"/>
      <c r="F1392" s="287" t="s">
        <v>16016</v>
      </c>
      <c r="G1392" s="286"/>
      <c r="H1392" s="286"/>
      <c r="I1392" s="288"/>
      <c r="J1392" s="289"/>
      <c r="K1392" s="290"/>
      <c r="L1392" s="371" t="str">
        <f>HYPERLINK("[#]DatatypeListedValues!B8092:H8092","«enumeration»")</f>
        <v>«enumeration»</v>
      </c>
      <c r="M1392" s="287" t="s">
        <v>6582</v>
      </c>
      <c r="N1392" s="291" t="b">
        <v>0</v>
      </c>
      <c r="O1392" s="286"/>
      <c r="P1392" s="292"/>
      <c r="Q1392" s="286"/>
      <c r="R1392" s="286"/>
      <c r="S1392" s="293"/>
      <c r="T1392" s="294"/>
      <c r="U1392" s="37">
        <v>118186</v>
      </c>
      <c r="V1392" s="36" t="str">
        <f>CONCATENATE(Cover!$D$6,"fdd/view?i=",U1392)</f>
        <v>https://www.dgiwg.org/FAD/fdd/view?i=118186</v>
      </c>
      <c r="W1392" s="172"/>
      <c r="X1392" s="172"/>
      <c r="Y1392" s="172"/>
    </row>
    <row r="1393" spans="1:25" ht="2.1" customHeight="1" x14ac:dyDescent="0.2">
      <c r="A1393" s="295"/>
      <c r="B1393" s="283"/>
      <c r="C1393" s="296"/>
      <c r="D1393" s="283"/>
      <c r="E1393" s="296"/>
      <c r="F1393" s="297"/>
      <c r="G1393" s="297"/>
      <c r="H1393" s="297"/>
      <c r="I1393" s="298"/>
      <c r="J1393" s="304"/>
      <c r="K1393" s="300"/>
      <c r="L1393" s="301"/>
      <c r="M1393" s="297" t="s">
        <v>6582</v>
      </c>
      <c r="N1393" s="297"/>
      <c r="O1393" s="297"/>
      <c r="P1393" s="297"/>
      <c r="Q1393" s="297"/>
      <c r="R1393" s="297"/>
      <c r="S1393" s="302"/>
      <c r="T1393" s="302"/>
      <c r="U1393" s="303"/>
    </row>
    <row r="1394" spans="1:25" ht="25.5" x14ac:dyDescent="0.2">
      <c r="A1394" s="212" t="str">
        <f>HYPERLINK(V1394,B1394)</f>
        <v>SiaCode</v>
      </c>
      <c r="B1394" s="283" t="s">
        <v>12764</v>
      </c>
      <c r="C1394" s="284" t="s">
        <v>16017</v>
      </c>
      <c r="D1394" s="285"/>
      <c r="E1394" s="286"/>
      <c r="F1394" s="287" t="s">
        <v>16018</v>
      </c>
      <c r="G1394" s="286"/>
      <c r="H1394" s="286"/>
      <c r="I1394" s="288"/>
      <c r="J1394" s="289"/>
      <c r="K1394" s="290"/>
      <c r="L1394" s="371" t="str">
        <f>HYPERLINK("[#]DatatypeListedValues!B8094:H8094","«enumeration»")</f>
        <v>«enumeration»</v>
      </c>
      <c r="M1394" s="287" t="s">
        <v>6582</v>
      </c>
      <c r="N1394" s="291" t="b">
        <v>0</v>
      </c>
      <c r="O1394" s="286"/>
      <c r="P1394" s="292"/>
      <c r="Q1394" s="286"/>
      <c r="R1394" s="286"/>
      <c r="S1394" s="293"/>
      <c r="T1394" s="294"/>
      <c r="U1394" s="37">
        <v>1446</v>
      </c>
      <c r="V1394" s="36" t="str">
        <f>CONCATENATE(Cover!$D$6,"fdd/view?i=",U1394)</f>
        <v>https://www.dgiwg.org/FAD/fdd/view?i=1446</v>
      </c>
      <c r="W1394" s="172"/>
      <c r="X1394" s="172"/>
      <c r="Y1394" s="172"/>
    </row>
    <row r="1395" spans="1:25" ht="2.1" customHeight="1" x14ac:dyDescent="0.2">
      <c r="A1395" s="295"/>
      <c r="B1395" s="283"/>
      <c r="C1395" s="296"/>
      <c r="D1395" s="283"/>
      <c r="E1395" s="296"/>
      <c r="F1395" s="297"/>
      <c r="G1395" s="297"/>
      <c r="H1395" s="297"/>
      <c r="I1395" s="298"/>
      <c r="J1395" s="304"/>
      <c r="K1395" s="300"/>
      <c r="L1395" s="301"/>
      <c r="M1395" s="297" t="s">
        <v>6582</v>
      </c>
      <c r="N1395" s="297"/>
      <c r="O1395" s="297"/>
      <c r="P1395" s="297"/>
      <c r="Q1395" s="297"/>
      <c r="R1395" s="297"/>
      <c r="S1395" s="302"/>
      <c r="T1395" s="302"/>
      <c r="U1395" s="303"/>
    </row>
    <row r="1396" spans="1:25" ht="89.25" x14ac:dyDescent="0.2">
      <c r="A1396" s="212" t="str">
        <f>HYPERLINK(V1396,B1396)</f>
        <v>GrpStrucText</v>
      </c>
      <c r="B1396" s="283" t="s">
        <v>12769</v>
      </c>
      <c r="C1396" s="284" t="s">
        <v>16019</v>
      </c>
      <c r="D1396" s="285"/>
      <c r="E1396" s="286"/>
      <c r="F1396" s="287" t="s">
        <v>16020</v>
      </c>
      <c r="G1396" s="286"/>
      <c r="H1396" s="287" t="s">
        <v>14552</v>
      </c>
      <c r="I1396" s="288"/>
      <c r="J1396" s="289"/>
      <c r="K1396" s="290"/>
      <c r="L1396" s="287" t="s">
        <v>14551</v>
      </c>
      <c r="M1396" s="287" t="s">
        <v>6582</v>
      </c>
      <c r="N1396" s="286"/>
      <c r="O1396" s="287">
        <v>255</v>
      </c>
      <c r="P1396" s="305" t="b">
        <v>0</v>
      </c>
      <c r="Q1396" s="287" t="s">
        <v>16021</v>
      </c>
      <c r="R1396" s="286"/>
      <c r="S1396" s="293"/>
      <c r="T1396" s="294"/>
      <c r="U1396" s="37">
        <v>3743</v>
      </c>
      <c r="V1396" s="36" t="str">
        <f>CONCATENATE(Cover!$D$6,"fdd/view?i=",U1396)</f>
        <v>https://www.dgiwg.org/FAD/fdd/view?i=3743</v>
      </c>
      <c r="W1396" s="172"/>
      <c r="X1396" s="172"/>
      <c r="Y1396" s="172"/>
    </row>
    <row r="1397" spans="1:25" ht="2.1" customHeight="1" x14ac:dyDescent="0.2">
      <c r="A1397" s="295"/>
      <c r="B1397" s="283"/>
      <c r="C1397" s="296"/>
      <c r="D1397" s="283"/>
      <c r="E1397" s="296"/>
      <c r="F1397" s="297"/>
      <c r="G1397" s="297"/>
      <c r="H1397" s="297"/>
      <c r="I1397" s="298"/>
      <c r="J1397" s="304"/>
      <c r="K1397" s="300"/>
      <c r="L1397" s="301"/>
      <c r="M1397" s="297" t="s">
        <v>6582</v>
      </c>
      <c r="N1397" s="297"/>
      <c r="O1397" s="297"/>
      <c r="P1397" s="297"/>
      <c r="Q1397" s="297"/>
      <c r="R1397" s="297"/>
      <c r="S1397" s="302"/>
      <c r="T1397" s="302"/>
      <c r="U1397" s="303"/>
    </row>
    <row r="1398" spans="1:25" ht="38.25" x14ac:dyDescent="0.2">
      <c r="A1398" s="212" t="str">
        <f>HYPERLINK(V1398,B1398)</f>
        <v>SpuCode</v>
      </c>
      <c r="B1398" s="283" t="s">
        <v>12788</v>
      </c>
      <c r="C1398" s="284" t="s">
        <v>16022</v>
      </c>
      <c r="D1398" s="285"/>
      <c r="E1398" s="286"/>
      <c r="F1398" s="287" t="s">
        <v>16023</v>
      </c>
      <c r="G1398" s="286"/>
      <c r="H1398" s="286"/>
      <c r="I1398" s="288"/>
      <c r="J1398" s="289"/>
      <c r="K1398" s="290"/>
      <c r="L1398" s="371" t="str">
        <f>HYPERLINK("[#]DatatypeListedValues!B8099:H8099","«enumeration»")</f>
        <v>«enumeration»</v>
      </c>
      <c r="M1398" s="287" t="s">
        <v>6582</v>
      </c>
      <c r="N1398" s="291" t="b">
        <v>0</v>
      </c>
      <c r="O1398" s="286"/>
      <c r="P1398" s="292"/>
      <c r="Q1398" s="286"/>
      <c r="R1398" s="286"/>
      <c r="S1398" s="293"/>
      <c r="T1398" s="294"/>
      <c r="U1398" s="37">
        <v>117418</v>
      </c>
      <c r="V1398" s="36" t="str">
        <f>CONCATENATE(Cover!$D$6,"fdd/view?i=",U1398)</f>
        <v>https://www.dgiwg.org/FAD/fdd/view?i=117418</v>
      </c>
      <c r="W1398" s="172"/>
      <c r="X1398" s="172"/>
      <c r="Y1398" s="172"/>
    </row>
    <row r="1399" spans="1:25" ht="2.1" customHeight="1" x14ac:dyDescent="0.2">
      <c r="A1399" s="295"/>
      <c r="B1399" s="283"/>
      <c r="C1399" s="296"/>
      <c r="D1399" s="283"/>
      <c r="E1399" s="296"/>
      <c r="F1399" s="297"/>
      <c r="G1399" s="297"/>
      <c r="H1399" s="297"/>
      <c r="I1399" s="298"/>
      <c r="J1399" s="304"/>
      <c r="K1399" s="300"/>
      <c r="L1399" s="301"/>
      <c r="M1399" s="297" t="s">
        <v>6582</v>
      </c>
      <c r="N1399" s="297"/>
      <c r="O1399" s="297"/>
      <c r="P1399" s="297"/>
      <c r="Q1399" s="297"/>
      <c r="R1399" s="297"/>
      <c r="S1399" s="302"/>
      <c r="T1399" s="302"/>
      <c r="U1399" s="303"/>
    </row>
    <row r="1400" spans="1:25" ht="38.25" x14ac:dyDescent="0.2">
      <c r="A1400" s="212" t="str">
        <f>HYPERLINK(V1400,B1400)</f>
        <v>SprCode</v>
      </c>
      <c r="B1400" s="283" t="s">
        <v>12794</v>
      </c>
      <c r="C1400" s="284" t="s">
        <v>16024</v>
      </c>
      <c r="D1400" s="285"/>
      <c r="E1400" s="286"/>
      <c r="F1400" s="287" t="s">
        <v>16025</v>
      </c>
      <c r="G1400" s="286"/>
      <c r="H1400" s="286"/>
      <c r="I1400" s="288"/>
      <c r="J1400" s="289"/>
      <c r="K1400" s="290"/>
      <c r="L1400" s="371" t="str">
        <f>HYPERLINK("[#]DatatypeListedValues!B8102:H8102","«enumeration»")</f>
        <v>«enumeration»</v>
      </c>
      <c r="M1400" s="287" t="s">
        <v>6582</v>
      </c>
      <c r="N1400" s="291" t="b">
        <v>0</v>
      </c>
      <c r="O1400" s="286"/>
      <c r="P1400" s="292"/>
      <c r="Q1400" s="286"/>
      <c r="R1400" s="286"/>
      <c r="S1400" s="293"/>
      <c r="T1400" s="294"/>
      <c r="U1400" s="37">
        <v>117417</v>
      </c>
      <c r="V1400" s="36" t="str">
        <f>CONCATENATE(Cover!$D$6,"fdd/view?i=",U1400)</f>
        <v>https://www.dgiwg.org/FAD/fdd/view?i=117417</v>
      </c>
      <c r="W1400" s="172"/>
      <c r="X1400" s="172"/>
      <c r="Y1400" s="172"/>
    </row>
    <row r="1401" spans="1:25" ht="2.1" customHeight="1" x14ac:dyDescent="0.2">
      <c r="A1401" s="295"/>
      <c r="B1401" s="283"/>
      <c r="C1401" s="296"/>
      <c r="D1401" s="283"/>
      <c r="E1401" s="296"/>
      <c r="F1401" s="297"/>
      <c r="G1401" s="297"/>
      <c r="H1401" s="297"/>
      <c r="I1401" s="298"/>
      <c r="J1401" s="304"/>
      <c r="K1401" s="300"/>
      <c r="L1401" s="301"/>
      <c r="M1401" s="297" t="s">
        <v>6582</v>
      </c>
      <c r="N1401" s="297"/>
      <c r="O1401" s="297"/>
      <c r="P1401" s="297"/>
      <c r="Q1401" s="297"/>
      <c r="R1401" s="297"/>
      <c r="S1401" s="302"/>
      <c r="T1401" s="302"/>
      <c r="U1401" s="303"/>
    </row>
    <row r="1402" spans="1:25" ht="25.5" x14ac:dyDescent="0.2">
      <c r="A1402" s="212" t="str">
        <f>HYPERLINK(V1402,B1402)</f>
        <v>SkmCode</v>
      </c>
      <c r="B1402" s="283" t="s">
        <v>12816</v>
      </c>
      <c r="C1402" s="284" t="s">
        <v>16026</v>
      </c>
      <c r="D1402" s="285"/>
      <c r="E1402" s="286"/>
      <c r="F1402" s="287" t="s">
        <v>16027</v>
      </c>
      <c r="G1402" s="286"/>
      <c r="H1402" s="286"/>
      <c r="I1402" s="288"/>
      <c r="J1402" s="289"/>
      <c r="K1402" s="290"/>
      <c r="L1402" s="371" t="str">
        <f>HYPERLINK("[#]DatatypeListedValues!B8105:H8105","«enumeration»")</f>
        <v>«enumeration»</v>
      </c>
      <c r="M1402" s="287" t="s">
        <v>6582</v>
      </c>
      <c r="N1402" s="291" t="b">
        <v>0</v>
      </c>
      <c r="O1402" s="286"/>
      <c r="P1402" s="292"/>
      <c r="Q1402" s="286"/>
      <c r="R1402" s="286"/>
      <c r="S1402" s="293"/>
      <c r="T1402" s="294"/>
      <c r="U1402" s="37">
        <v>118187</v>
      </c>
      <c r="V1402" s="36" t="str">
        <f>CONCATENATE(Cover!$D$6,"fdd/view?i=",U1402)</f>
        <v>https://www.dgiwg.org/FAD/fdd/view?i=118187</v>
      </c>
      <c r="W1402" s="172"/>
      <c r="X1402" s="172"/>
      <c r="Y1402" s="172"/>
    </row>
    <row r="1403" spans="1:25" ht="2.1" customHeight="1" x14ac:dyDescent="0.2">
      <c r="A1403" s="295"/>
      <c r="B1403" s="283"/>
      <c r="C1403" s="296"/>
      <c r="D1403" s="283"/>
      <c r="E1403" s="296"/>
      <c r="F1403" s="297"/>
      <c r="G1403" s="297"/>
      <c r="H1403" s="297"/>
      <c r="I1403" s="298"/>
      <c r="J1403" s="304"/>
      <c r="K1403" s="300"/>
      <c r="L1403" s="301"/>
      <c r="M1403" s="297" t="s">
        <v>6582</v>
      </c>
      <c r="N1403" s="297"/>
      <c r="O1403" s="297"/>
      <c r="P1403" s="297"/>
      <c r="Q1403" s="297"/>
      <c r="R1403" s="297"/>
      <c r="S1403" s="302"/>
      <c r="T1403" s="302"/>
      <c r="U1403" s="303"/>
    </row>
    <row r="1404" spans="1:25" ht="178.5" x14ac:dyDescent="0.2">
      <c r="A1404" s="212" t="str">
        <f>HYPERLINK(V1404,B1404)</f>
        <v>SvdStrucText</v>
      </c>
      <c r="B1404" s="283" t="s">
        <v>12827</v>
      </c>
      <c r="C1404" s="284" t="s">
        <v>16028</v>
      </c>
      <c r="D1404" s="285"/>
      <c r="E1404" s="286"/>
      <c r="F1404" s="287" t="s">
        <v>16029</v>
      </c>
      <c r="G1404" s="286"/>
      <c r="H1404" s="287" t="s">
        <v>14552</v>
      </c>
      <c r="I1404" s="288"/>
      <c r="J1404" s="289"/>
      <c r="K1404" s="290"/>
      <c r="L1404" s="287" t="s">
        <v>14551</v>
      </c>
      <c r="M1404" s="287" t="s">
        <v>6582</v>
      </c>
      <c r="N1404" s="286"/>
      <c r="O1404" s="287">
        <v>20</v>
      </c>
      <c r="P1404" s="305" t="b">
        <v>0</v>
      </c>
      <c r="Q1404" s="287" t="s">
        <v>14553</v>
      </c>
      <c r="R1404" s="286"/>
      <c r="S1404" s="293"/>
      <c r="T1404" s="294"/>
      <c r="U1404" s="37">
        <v>119869</v>
      </c>
      <c r="V1404" s="36" t="str">
        <f>CONCATENATE(Cover!$D$6,"fdd/view?i=",U1404)</f>
        <v>https://www.dgiwg.org/FAD/fdd/view?i=119869</v>
      </c>
      <c r="W1404" s="172"/>
      <c r="X1404" s="172"/>
      <c r="Y1404" s="172"/>
    </row>
    <row r="1405" spans="1:25" ht="2.1" customHeight="1" x14ac:dyDescent="0.2">
      <c r="A1405" s="295"/>
      <c r="B1405" s="283"/>
      <c r="C1405" s="296"/>
      <c r="D1405" s="283"/>
      <c r="E1405" s="296"/>
      <c r="F1405" s="297"/>
      <c r="G1405" s="297"/>
      <c r="H1405" s="297"/>
      <c r="I1405" s="298"/>
      <c r="J1405" s="304"/>
      <c r="K1405" s="300"/>
      <c r="L1405" s="301"/>
      <c r="M1405" s="297" t="s">
        <v>6582</v>
      </c>
      <c r="N1405" s="297"/>
      <c r="O1405" s="297"/>
      <c r="P1405" s="297"/>
      <c r="Q1405" s="297"/>
      <c r="R1405" s="297"/>
      <c r="S1405" s="302"/>
      <c r="T1405" s="302"/>
      <c r="U1405" s="303"/>
    </row>
    <row r="1406" spans="1:25" ht="25.5" x14ac:dyDescent="0.2">
      <c r="A1406" s="212" t="str">
        <f>HYPERLINK(V1406,B1406)</f>
        <v>MokCode</v>
      </c>
      <c r="B1406" s="283" t="s">
        <v>12842</v>
      </c>
      <c r="C1406" s="284" t="s">
        <v>16030</v>
      </c>
      <c r="D1406" s="285"/>
      <c r="E1406" s="286"/>
      <c r="F1406" s="287" t="s">
        <v>16031</v>
      </c>
      <c r="G1406" s="286"/>
      <c r="H1406" s="286"/>
      <c r="I1406" s="288"/>
      <c r="J1406" s="289"/>
      <c r="K1406" s="290"/>
      <c r="L1406" s="371" t="str">
        <f>HYPERLINK("[#]DatatypeListedValues!B8114:H8114","«enumeration»")</f>
        <v>«enumeration»</v>
      </c>
      <c r="M1406" s="287" t="s">
        <v>6582</v>
      </c>
      <c r="N1406" s="291" t="b">
        <v>0</v>
      </c>
      <c r="O1406" s="286"/>
      <c r="P1406" s="292"/>
      <c r="Q1406" s="286"/>
      <c r="R1406" s="286"/>
      <c r="S1406" s="293"/>
      <c r="T1406" s="294"/>
      <c r="U1406" s="37">
        <v>1872</v>
      </c>
      <c r="V1406" s="36" t="str">
        <f>CONCATENATE(Cover!$D$6,"fdd/view?i=",U1406)</f>
        <v>https://www.dgiwg.org/FAD/fdd/view?i=1872</v>
      </c>
      <c r="W1406" s="172"/>
      <c r="X1406" s="172"/>
      <c r="Y1406" s="172"/>
    </row>
    <row r="1407" spans="1:25" ht="2.1" customHeight="1" x14ac:dyDescent="0.2">
      <c r="A1407" s="295"/>
      <c r="B1407" s="283"/>
      <c r="C1407" s="296"/>
      <c r="D1407" s="283"/>
      <c r="E1407" s="296"/>
      <c r="F1407" s="297"/>
      <c r="G1407" s="297"/>
      <c r="H1407" s="297"/>
      <c r="I1407" s="298"/>
      <c r="J1407" s="304"/>
      <c r="K1407" s="300"/>
      <c r="L1407" s="301"/>
      <c r="M1407" s="297" t="s">
        <v>6582</v>
      </c>
      <c r="N1407" s="297"/>
      <c r="O1407" s="297"/>
      <c r="P1407" s="297"/>
      <c r="Q1407" s="297"/>
      <c r="R1407" s="297"/>
      <c r="S1407" s="302"/>
      <c r="T1407" s="302"/>
      <c r="U1407" s="303"/>
    </row>
    <row r="1408" spans="1:25" ht="25.5" x14ac:dyDescent="0.2">
      <c r="A1408" s="212" t="str">
        <f>HYPERLINK(V1408,B1408)</f>
        <v>SoaCode</v>
      </c>
      <c r="B1408" s="283" t="s">
        <v>12852</v>
      </c>
      <c r="C1408" s="284" t="s">
        <v>16032</v>
      </c>
      <c r="D1408" s="285"/>
      <c r="E1408" s="286"/>
      <c r="F1408" s="287" t="s">
        <v>16033</v>
      </c>
      <c r="G1408" s="286"/>
      <c r="H1408" s="286"/>
      <c r="I1408" s="288"/>
      <c r="J1408" s="289"/>
      <c r="K1408" s="290"/>
      <c r="L1408" s="371" t="str">
        <f>HYPERLINK("[#]DatatypeListedValues!B8146:H8146","«enumeration»")</f>
        <v>«enumeration»</v>
      </c>
      <c r="M1408" s="287" t="s">
        <v>6582</v>
      </c>
      <c r="N1408" s="291" t="b">
        <v>0</v>
      </c>
      <c r="O1408" s="286"/>
      <c r="P1408" s="292"/>
      <c r="Q1408" s="286"/>
      <c r="R1408" s="286"/>
      <c r="S1408" s="293"/>
      <c r="T1408" s="294"/>
      <c r="U1408" s="37">
        <v>118640</v>
      </c>
      <c r="V1408" s="36" t="str">
        <f>CONCATENATE(Cover!$D$6,"fdd/view?i=",U1408)</f>
        <v>https://www.dgiwg.org/FAD/fdd/view?i=118640</v>
      </c>
      <c r="W1408" s="172"/>
      <c r="X1408" s="172"/>
      <c r="Y1408" s="172"/>
    </row>
    <row r="1409" spans="1:25" ht="2.1" customHeight="1" x14ac:dyDescent="0.2">
      <c r="A1409" s="295"/>
      <c r="B1409" s="283"/>
      <c r="C1409" s="296"/>
      <c r="D1409" s="283"/>
      <c r="E1409" s="296"/>
      <c r="F1409" s="297"/>
      <c r="G1409" s="297"/>
      <c r="H1409" s="297"/>
      <c r="I1409" s="298"/>
      <c r="J1409" s="304"/>
      <c r="K1409" s="300"/>
      <c r="L1409" s="301"/>
      <c r="M1409" s="297" t="s">
        <v>6582</v>
      </c>
      <c r="N1409" s="297"/>
      <c r="O1409" s="297"/>
      <c r="P1409" s="297"/>
      <c r="Q1409" s="297"/>
      <c r="R1409" s="297"/>
      <c r="S1409" s="302"/>
      <c r="T1409" s="302"/>
      <c r="U1409" s="303"/>
    </row>
    <row r="1410" spans="1:25" ht="25.5" x14ac:dyDescent="0.2">
      <c r="A1410" s="212" t="str">
        <f>HYPERLINK(V1410,B1410)</f>
        <v>SorCode</v>
      </c>
      <c r="B1410" s="283" t="s">
        <v>12857</v>
      </c>
      <c r="C1410" s="284" t="s">
        <v>16034</v>
      </c>
      <c r="D1410" s="285"/>
      <c r="E1410" s="286"/>
      <c r="F1410" s="287" t="s">
        <v>16035</v>
      </c>
      <c r="G1410" s="286"/>
      <c r="H1410" s="286"/>
      <c r="I1410" s="288"/>
      <c r="J1410" s="289"/>
      <c r="K1410" s="290"/>
      <c r="L1410" s="371" t="str">
        <f>HYPERLINK("[#]DatatypeListedValues!B8178:H8178","«enumeration»")</f>
        <v>«enumeration»</v>
      </c>
      <c r="M1410" s="287" t="s">
        <v>6582</v>
      </c>
      <c r="N1410" s="291" t="b">
        <v>0</v>
      </c>
      <c r="O1410" s="286"/>
      <c r="P1410" s="292"/>
      <c r="Q1410" s="286"/>
      <c r="R1410" s="286"/>
      <c r="S1410" s="293"/>
      <c r="T1410" s="294"/>
      <c r="U1410" s="37">
        <v>118641</v>
      </c>
      <c r="V1410" s="36" t="str">
        <f>CONCATENATE(Cover!$D$6,"fdd/view?i=",U1410)</f>
        <v>https://www.dgiwg.org/FAD/fdd/view?i=118641</v>
      </c>
      <c r="W1410" s="172"/>
      <c r="X1410" s="172"/>
      <c r="Y1410" s="172"/>
    </row>
    <row r="1411" spans="1:25" ht="2.1" customHeight="1" x14ac:dyDescent="0.2">
      <c r="A1411" s="295"/>
      <c r="B1411" s="283"/>
      <c r="C1411" s="296"/>
      <c r="D1411" s="283"/>
      <c r="E1411" s="296"/>
      <c r="F1411" s="297"/>
      <c r="G1411" s="297"/>
      <c r="H1411" s="297"/>
      <c r="I1411" s="298"/>
      <c r="J1411" s="304"/>
      <c r="K1411" s="300"/>
      <c r="L1411" s="301"/>
      <c r="M1411" s="297" t="s">
        <v>6582</v>
      </c>
      <c r="N1411" s="297"/>
      <c r="O1411" s="297"/>
      <c r="P1411" s="297"/>
      <c r="Q1411" s="297"/>
      <c r="R1411" s="297"/>
      <c r="S1411" s="302"/>
      <c r="T1411" s="302"/>
      <c r="U1411" s="303"/>
    </row>
    <row r="1412" spans="1:25" ht="25.5" x14ac:dyDescent="0.2">
      <c r="A1412" s="212" t="str">
        <f>HYPERLINK(V1412,B1412)</f>
        <v>KgeCode</v>
      </c>
      <c r="B1412" s="283" t="s">
        <v>12863</v>
      </c>
      <c r="C1412" s="284" t="s">
        <v>16036</v>
      </c>
      <c r="D1412" s="285"/>
      <c r="E1412" s="286"/>
      <c r="F1412" s="287" t="s">
        <v>16037</v>
      </c>
      <c r="G1412" s="286"/>
      <c r="H1412" s="286"/>
      <c r="I1412" s="288"/>
      <c r="J1412" s="289"/>
      <c r="K1412" s="290"/>
      <c r="L1412" s="371" t="str">
        <f>HYPERLINK("[#]DatatypeListedValues!B8199:H8199","«enumeration»")</f>
        <v>«enumeration»</v>
      </c>
      <c r="M1412" s="287" t="s">
        <v>6582</v>
      </c>
      <c r="N1412" s="291" t="b">
        <v>0</v>
      </c>
      <c r="O1412" s="286"/>
      <c r="P1412" s="292"/>
      <c r="Q1412" s="286"/>
      <c r="R1412" s="286"/>
      <c r="S1412" s="293"/>
      <c r="T1412" s="294"/>
      <c r="U1412" s="37">
        <v>1863</v>
      </c>
      <c r="V1412" s="36" t="str">
        <f>CONCATENATE(Cover!$D$6,"fdd/view?i=",U1412)</f>
        <v>https://www.dgiwg.org/FAD/fdd/view?i=1863</v>
      </c>
      <c r="W1412" s="172"/>
      <c r="X1412" s="172"/>
      <c r="Y1412" s="172"/>
    </row>
    <row r="1413" spans="1:25" ht="2.1" customHeight="1" x14ac:dyDescent="0.2">
      <c r="A1413" s="295"/>
      <c r="B1413" s="283"/>
      <c r="C1413" s="296"/>
      <c r="D1413" s="283"/>
      <c r="E1413" s="296"/>
      <c r="F1413" s="297"/>
      <c r="G1413" s="297"/>
      <c r="H1413" s="297"/>
      <c r="I1413" s="298"/>
      <c r="J1413" s="304"/>
      <c r="K1413" s="300"/>
      <c r="L1413" s="301"/>
      <c r="M1413" s="297" t="s">
        <v>6582</v>
      </c>
      <c r="N1413" s="297"/>
      <c r="O1413" s="297"/>
      <c r="P1413" s="297"/>
      <c r="Q1413" s="297"/>
      <c r="R1413" s="297"/>
      <c r="S1413" s="302"/>
      <c r="T1413" s="302"/>
      <c r="U1413" s="303"/>
    </row>
    <row r="1414" spans="1:25" ht="25.5" x14ac:dyDescent="0.2">
      <c r="A1414" s="212" t="str">
        <f>HYPERLINK(V1414,B1414)</f>
        <v>StpCode</v>
      </c>
      <c r="B1414" s="283" t="s">
        <v>12868</v>
      </c>
      <c r="C1414" s="284" t="s">
        <v>16038</v>
      </c>
      <c r="D1414" s="285"/>
      <c r="E1414" s="286"/>
      <c r="F1414" s="287" t="s">
        <v>16039</v>
      </c>
      <c r="G1414" s="286"/>
      <c r="H1414" s="286"/>
      <c r="I1414" s="288"/>
      <c r="J1414" s="289"/>
      <c r="K1414" s="290"/>
      <c r="L1414" s="371" t="str">
        <f>HYPERLINK("[#]DatatypeListedValues!B8209:H8209","«enumeration»")</f>
        <v>«enumeration»</v>
      </c>
      <c r="M1414" s="287" t="s">
        <v>6582</v>
      </c>
      <c r="N1414" s="291" t="b">
        <v>0</v>
      </c>
      <c r="O1414" s="286"/>
      <c r="P1414" s="292"/>
      <c r="Q1414" s="286"/>
      <c r="R1414" s="286"/>
      <c r="S1414" s="293"/>
      <c r="T1414" s="294"/>
      <c r="U1414" s="37">
        <v>1472</v>
      </c>
      <c r="V1414" s="36" t="str">
        <f>CONCATENATE(Cover!$D$6,"fdd/view?i=",U1414)</f>
        <v>https://www.dgiwg.org/FAD/fdd/view?i=1472</v>
      </c>
      <c r="W1414" s="172"/>
      <c r="X1414" s="172"/>
      <c r="Y1414" s="172"/>
    </row>
    <row r="1415" spans="1:25" ht="2.1" customHeight="1" x14ac:dyDescent="0.2">
      <c r="A1415" s="295"/>
      <c r="B1415" s="283"/>
      <c r="C1415" s="296"/>
      <c r="D1415" s="283"/>
      <c r="E1415" s="296"/>
      <c r="F1415" s="297"/>
      <c r="G1415" s="297"/>
      <c r="H1415" s="297"/>
      <c r="I1415" s="298"/>
      <c r="J1415" s="304"/>
      <c r="K1415" s="300"/>
      <c r="L1415" s="301"/>
      <c r="M1415" s="297" t="s">
        <v>6582</v>
      </c>
      <c r="N1415" s="297"/>
      <c r="O1415" s="297"/>
      <c r="P1415" s="297"/>
      <c r="Q1415" s="297"/>
      <c r="R1415" s="297"/>
      <c r="S1415" s="302"/>
      <c r="T1415" s="302"/>
      <c r="U1415" s="303"/>
    </row>
    <row r="1416" spans="1:25" ht="25.5" x14ac:dyDescent="0.2">
      <c r="A1416" s="212" t="str">
        <f>HYPERLINK(V1416,B1416)</f>
        <v>SuqCode</v>
      </c>
      <c r="B1416" s="283" t="s">
        <v>12873</v>
      </c>
      <c r="C1416" s="284" t="s">
        <v>16040</v>
      </c>
      <c r="D1416" s="285"/>
      <c r="E1416" s="286"/>
      <c r="F1416" s="287" t="s">
        <v>16041</v>
      </c>
      <c r="G1416" s="286"/>
      <c r="H1416" s="286"/>
      <c r="I1416" s="288"/>
      <c r="J1416" s="289"/>
      <c r="K1416" s="290"/>
      <c r="L1416" s="371" t="str">
        <f>HYPERLINK("[#]DatatypeListedValues!B8227:H8227","«enumeration»")</f>
        <v>«enumeration»</v>
      </c>
      <c r="M1416" s="287" t="s">
        <v>6582</v>
      </c>
      <c r="N1416" s="291" t="b">
        <v>0</v>
      </c>
      <c r="O1416" s="286"/>
      <c r="P1416" s="292"/>
      <c r="Q1416" s="286"/>
      <c r="R1416" s="286"/>
      <c r="S1416" s="293"/>
      <c r="T1416" s="294"/>
      <c r="U1416" s="37">
        <v>1921</v>
      </c>
      <c r="V1416" s="36" t="str">
        <f>CONCATENATE(Cover!$D$6,"fdd/view?i=",U1416)</f>
        <v>https://www.dgiwg.org/FAD/fdd/view?i=1921</v>
      </c>
      <c r="W1416" s="172"/>
      <c r="X1416" s="172"/>
      <c r="Y1416" s="172"/>
    </row>
    <row r="1417" spans="1:25" ht="2.1" customHeight="1" x14ac:dyDescent="0.2">
      <c r="A1417" s="295"/>
      <c r="B1417" s="283"/>
      <c r="C1417" s="296"/>
      <c r="D1417" s="283"/>
      <c r="E1417" s="296"/>
      <c r="F1417" s="297"/>
      <c r="G1417" s="297"/>
      <c r="H1417" s="297"/>
      <c r="I1417" s="298"/>
      <c r="J1417" s="304"/>
      <c r="K1417" s="300"/>
      <c r="L1417" s="301"/>
      <c r="M1417" s="297" t="s">
        <v>6582</v>
      </c>
      <c r="N1417" s="297"/>
      <c r="O1417" s="297"/>
      <c r="P1417" s="297"/>
      <c r="Q1417" s="297"/>
      <c r="R1417" s="297"/>
      <c r="S1417" s="302"/>
      <c r="T1417" s="302"/>
      <c r="U1417" s="303"/>
    </row>
    <row r="1418" spans="1:25" ht="25.5" x14ac:dyDescent="0.2">
      <c r="A1418" s="212" t="str">
        <f>HYPERLINK(V1418,B1418)</f>
        <v>StgCode</v>
      </c>
      <c r="B1418" s="283" t="s">
        <v>12879</v>
      </c>
      <c r="C1418" s="284" t="s">
        <v>16042</v>
      </c>
      <c r="D1418" s="285"/>
      <c r="E1418" s="286"/>
      <c r="F1418" s="287" t="s">
        <v>16043</v>
      </c>
      <c r="G1418" s="286"/>
      <c r="H1418" s="286"/>
      <c r="I1418" s="288"/>
      <c r="J1418" s="289"/>
      <c r="K1418" s="290"/>
      <c r="L1418" s="371" t="str">
        <f>HYPERLINK("[#]DatatypeListedValues!B8406:H8406","«enumeration»")</f>
        <v>«enumeration»</v>
      </c>
      <c r="M1418" s="287" t="s">
        <v>6582</v>
      </c>
      <c r="N1418" s="291" t="b">
        <v>0</v>
      </c>
      <c r="O1418" s="286"/>
      <c r="P1418" s="292"/>
      <c r="Q1418" s="286"/>
      <c r="R1418" s="286"/>
      <c r="S1418" s="293"/>
      <c r="T1418" s="294"/>
      <c r="U1418" s="37">
        <v>1470</v>
      </c>
      <c r="V1418" s="36" t="str">
        <f>CONCATENATE(Cover!$D$6,"fdd/view?i=",U1418)</f>
        <v>https://www.dgiwg.org/FAD/fdd/view?i=1470</v>
      </c>
      <c r="W1418" s="172"/>
      <c r="X1418" s="172"/>
      <c r="Y1418" s="172"/>
    </row>
    <row r="1419" spans="1:25" ht="2.1" customHeight="1" x14ac:dyDescent="0.2">
      <c r="A1419" s="295"/>
      <c r="B1419" s="283"/>
      <c r="C1419" s="296"/>
      <c r="D1419" s="283"/>
      <c r="E1419" s="296"/>
      <c r="F1419" s="297"/>
      <c r="G1419" s="297"/>
      <c r="H1419" s="297"/>
      <c r="I1419" s="298"/>
      <c r="J1419" s="304"/>
      <c r="K1419" s="300"/>
      <c r="L1419" s="301"/>
      <c r="M1419" s="297" t="s">
        <v>6582</v>
      </c>
      <c r="N1419" s="297"/>
      <c r="O1419" s="297"/>
      <c r="P1419" s="297"/>
      <c r="Q1419" s="297"/>
      <c r="R1419" s="297"/>
      <c r="S1419" s="302"/>
      <c r="T1419" s="302"/>
      <c r="U1419" s="303"/>
    </row>
    <row r="1420" spans="1:25" ht="25.5" x14ac:dyDescent="0.2">
      <c r="A1420" s="212" t="str">
        <f>HYPERLINK(V1420,B1420)</f>
        <v>SwcCode</v>
      </c>
      <c r="B1420" s="283" t="s">
        <v>12884</v>
      </c>
      <c r="C1420" s="284" t="s">
        <v>16044</v>
      </c>
      <c r="D1420" s="285"/>
      <c r="E1420" s="286"/>
      <c r="F1420" s="287" t="s">
        <v>16045</v>
      </c>
      <c r="G1420" s="286"/>
      <c r="H1420" s="286"/>
      <c r="I1420" s="288"/>
      <c r="J1420" s="289"/>
      <c r="K1420" s="290"/>
      <c r="L1420" s="371" t="str">
        <f>HYPERLINK("[#]DatatypeListedValues!B8412:H8412","«enumeration»")</f>
        <v>«enumeration»</v>
      </c>
      <c r="M1420" s="287" t="s">
        <v>6582</v>
      </c>
      <c r="N1420" s="291" t="b">
        <v>0</v>
      </c>
      <c r="O1420" s="286"/>
      <c r="P1420" s="292"/>
      <c r="Q1420" s="286"/>
      <c r="R1420" s="286"/>
      <c r="S1420" s="293"/>
      <c r="T1420" s="294"/>
      <c r="U1420" s="37">
        <v>1479</v>
      </c>
      <c r="V1420" s="36" t="str">
        <f>CONCATENATE(Cover!$D$6,"fdd/view?i=",U1420)</f>
        <v>https://www.dgiwg.org/FAD/fdd/view?i=1479</v>
      </c>
      <c r="W1420" s="172"/>
      <c r="X1420" s="172"/>
      <c r="Y1420" s="172"/>
    </row>
    <row r="1421" spans="1:25" ht="2.1" customHeight="1" x14ac:dyDescent="0.2">
      <c r="A1421" s="295"/>
      <c r="B1421" s="283"/>
      <c r="C1421" s="296"/>
      <c r="D1421" s="283"/>
      <c r="E1421" s="296"/>
      <c r="F1421" s="297"/>
      <c r="G1421" s="297"/>
      <c r="H1421" s="297"/>
      <c r="I1421" s="298"/>
      <c r="J1421" s="304"/>
      <c r="K1421" s="300"/>
      <c r="L1421" s="301"/>
      <c r="M1421" s="297" t="s">
        <v>6582</v>
      </c>
      <c r="N1421" s="297"/>
      <c r="O1421" s="297"/>
      <c r="P1421" s="297"/>
      <c r="Q1421" s="297"/>
      <c r="R1421" s="297"/>
      <c r="S1421" s="302"/>
      <c r="T1421" s="302"/>
      <c r="U1421" s="303"/>
    </row>
    <row r="1422" spans="1:25" ht="25.5" x14ac:dyDescent="0.2">
      <c r="A1422" s="212" t="str">
        <f>HYPERLINK(V1422,B1422)</f>
        <v>ScrCode</v>
      </c>
      <c r="B1422" s="283" t="s">
        <v>12894</v>
      </c>
      <c r="C1422" s="284" t="s">
        <v>16046</v>
      </c>
      <c r="D1422" s="285"/>
      <c r="E1422" s="286"/>
      <c r="F1422" s="287" t="s">
        <v>16047</v>
      </c>
      <c r="G1422" s="286"/>
      <c r="H1422" s="286"/>
      <c r="I1422" s="288"/>
      <c r="J1422" s="289"/>
      <c r="K1422" s="290"/>
      <c r="L1422" s="371" t="str">
        <f>HYPERLINK("[#]DatatypeListedValues!B8416:H8416","«enumeration»")</f>
        <v>«enumeration»</v>
      </c>
      <c r="M1422" s="287" t="s">
        <v>6582</v>
      </c>
      <c r="N1422" s="291" t="b">
        <v>0</v>
      </c>
      <c r="O1422" s="286"/>
      <c r="P1422" s="292"/>
      <c r="Q1422" s="286"/>
      <c r="R1422" s="286"/>
      <c r="S1422" s="293"/>
      <c r="T1422" s="294"/>
      <c r="U1422" s="37">
        <v>114407</v>
      </c>
      <c r="V1422" s="36" t="str">
        <f>CONCATENATE(Cover!$D$6,"fdd/view?i=",U1422)</f>
        <v>https://www.dgiwg.org/FAD/fdd/view?i=114407</v>
      </c>
      <c r="W1422" s="172"/>
      <c r="X1422" s="172"/>
      <c r="Y1422" s="172"/>
    </row>
    <row r="1423" spans="1:25" ht="2.1" customHeight="1" x14ac:dyDescent="0.2">
      <c r="A1423" s="295"/>
      <c r="B1423" s="283"/>
      <c r="C1423" s="296"/>
      <c r="D1423" s="283"/>
      <c r="E1423" s="296"/>
      <c r="F1423" s="297"/>
      <c r="G1423" s="297"/>
      <c r="H1423" s="297"/>
      <c r="I1423" s="298"/>
      <c r="J1423" s="304"/>
      <c r="K1423" s="300"/>
      <c r="L1423" s="301"/>
      <c r="M1423" s="297" t="s">
        <v>6582</v>
      </c>
      <c r="N1423" s="297"/>
      <c r="O1423" s="297"/>
      <c r="P1423" s="297"/>
      <c r="Q1423" s="297"/>
      <c r="R1423" s="297"/>
      <c r="S1423" s="302"/>
      <c r="T1423" s="302"/>
      <c r="U1423" s="303"/>
    </row>
    <row r="1424" spans="1:25" ht="25.5" x14ac:dyDescent="0.2">
      <c r="A1424" s="212" t="str">
        <f>HYPERLINK(V1424,B1424)</f>
        <v>VdcCode</v>
      </c>
      <c r="B1424" s="283" t="s">
        <v>12910</v>
      </c>
      <c r="C1424" s="284" t="s">
        <v>16048</v>
      </c>
      <c r="D1424" s="285"/>
      <c r="E1424" s="286"/>
      <c r="F1424" s="287" t="s">
        <v>16049</v>
      </c>
      <c r="G1424" s="286"/>
      <c r="H1424" s="286"/>
      <c r="I1424" s="288"/>
      <c r="J1424" s="289"/>
      <c r="K1424" s="290"/>
      <c r="L1424" s="371" t="str">
        <f>HYPERLINK("[#]DatatypeListedValues!B8419:H8419","«enumeration»")</f>
        <v>«enumeration»</v>
      </c>
      <c r="M1424" s="287" t="s">
        <v>6582</v>
      </c>
      <c r="N1424" s="291" t="b">
        <v>0</v>
      </c>
      <c r="O1424" s="286"/>
      <c r="P1424" s="292"/>
      <c r="Q1424" s="286"/>
      <c r="R1424" s="286"/>
      <c r="S1424" s="293"/>
      <c r="T1424" s="294"/>
      <c r="U1424" s="37">
        <v>1518</v>
      </c>
      <c r="V1424" s="36" t="str">
        <f>CONCATENATE(Cover!$D$6,"fdd/view?i=",U1424)</f>
        <v>https://www.dgiwg.org/FAD/fdd/view?i=1518</v>
      </c>
      <c r="W1424" s="172"/>
      <c r="X1424" s="172"/>
      <c r="Y1424" s="172"/>
    </row>
    <row r="1425" spans="1:25" ht="2.1" customHeight="1" x14ac:dyDescent="0.2">
      <c r="A1425" s="295"/>
      <c r="B1425" s="283"/>
      <c r="C1425" s="296"/>
      <c r="D1425" s="283"/>
      <c r="E1425" s="296"/>
      <c r="F1425" s="297"/>
      <c r="G1425" s="297"/>
      <c r="H1425" s="297"/>
      <c r="I1425" s="298"/>
      <c r="J1425" s="304"/>
      <c r="K1425" s="300"/>
      <c r="L1425" s="301"/>
      <c r="M1425" s="297" t="s">
        <v>6582</v>
      </c>
      <c r="N1425" s="297"/>
      <c r="O1425" s="297"/>
      <c r="P1425" s="297"/>
      <c r="Q1425" s="297"/>
      <c r="R1425" s="297"/>
      <c r="S1425" s="302"/>
      <c r="T1425" s="302"/>
      <c r="U1425" s="303"/>
    </row>
    <row r="1426" spans="1:25" ht="25.5" x14ac:dyDescent="0.2">
      <c r="A1426" s="212" t="str">
        <f>HYPERLINK(V1426,B1426)</f>
        <v>SouCode</v>
      </c>
      <c r="B1426" s="283" t="s">
        <v>12920</v>
      </c>
      <c r="C1426" s="284" t="s">
        <v>16050</v>
      </c>
      <c r="D1426" s="285"/>
      <c r="E1426" s="286"/>
      <c r="F1426" s="287" t="s">
        <v>16051</v>
      </c>
      <c r="G1426" s="286"/>
      <c r="H1426" s="286"/>
      <c r="I1426" s="288"/>
      <c r="J1426" s="289"/>
      <c r="K1426" s="290"/>
      <c r="L1426" s="371" t="str">
        <f>HYPERLINK("[#]DatatypeListedValues!B8465:H8465","«enumeration»")</f>
        <v>«enumeration»</v>
      </c>
      <c r="M1426" s="287" t="s">
        <v>6582</v>
      </c>
      <c r="N1426" s="291" t="b">
        <v>0</v>
      </c>
      <c r="O1426" s="286"/>
      <c r="P1426" s="292"/>
      <c r="Q1426" s="286"/>
      <c r="R1426" s="286"/>
      <c r="S1426" s="293"/>
      <c r="T1426" s="294"/>
      <c r="U1426" s="37">
        <v>1456</v>
      </c>
      <c r="V1426" s="36" t="str">
        <f>CONCATENATE(Cover!$D$6,"fdd/view?i=",U1426)</f>
        <v>https://www.dgiwg.org/FAD/fdd/view?i=1456</v>
      </c>
      <c r="W1426" s="172"/>
      <c r="X1426" s="172"/>
      <c r="Y1426" s="172"/>
    </row>
    <row r="1427" spans="1:25" ht="2.1" customHeight="1" x14ac:dyDescent="0.2">
      <c r="A1427" s="295"/>
      <c r="B1427" s="283"/>
      <c r="C1427" s="296"/>
      <c r="D1427" s="283"/>
      <c r="E1427" s="296"/>
      <c r="F1427" s="297"/>
      <c r="G1427" s="297"/>
      <c r="H1427" s="297"/>
      <c r="I1427" s="298"/>
      <c r="J1427" s="304"/>
      <c r="K1427" s="300"/>
      <c r="L1427" s="301"/>
      <c r="M1427" s="297" t="s">
        <v>6582</v>
      </c>
      <c r="N1427" s="297"/>
      <c r="O1427" s="297"/>
      <c r="P1427" s="297"/>
      <c r="Q1427" s="297"/>
      <c r="R1427" s="297"/>
      <c r="S1427" s="302"/>
      <c r="T1427" s="302"/>
      <c r="U1427" s="303"/>
    </row>
    <row r="1428" spans="1:25" ht="25.5" x14ac:dyDescent="0.2">
      <c r="A1428" s="212" t="str">
        <f>HYPERLINK(V1428,B1428)</f>
        <v>SvcCode</v>
      </c>
      <c r="B1428" s="283" t="s">
        <v>12929</v>
      </c>
      <c r="C1428" s="284" t="s">
        <v>16052</v>
      </c>
      <c r="D1428" s="285"/>
      <c r="E1428" s="286"/>
      <c r="F1428" s="287" t="s">
        <v>16053</v>
      </c>
      <c r="G1428" s="286"/>
      <c r="H1428" s="286"/>
      <c r="I1428" s="288"/>
      <c r="J1428" s="289"/>
      <c r="K1428" s="290"/>
      <c r="L1428" s="371" t="str">
        <f>HYPERLINK("[#]DatatypeListedValues!B8468:H8468","«enumeration»")</f>
        <v>«enumeration»</v>
      </c>
      <c r="M1428" s="287" t="s">
        <v>6582</v>
      </c>
      <c r="N1428" s="291" t="b">
        <v>0</v>
      </c>
      <c r="O1428" s="286"/>
      <c r="P1428" s="292"/>
      <c r="Q1428" s="286"/>
      <c r="R1428" s="286"/>
      <c r="S1428" s="293"/>
      <c r="T1428" s="294"/>
      <c r="U1428" s="37">
        <v>1478</v>
      </c>
      <c r="V1428" s="36" t="str">
        <f>CONCATENATE(Cover!$D$6,"fdd/view?i=",U1428)</f>
        <v>https://www.dgiwg.org/FAD/fdd/view?i=1478</v>
      </c>
      <c r="W1428" s="172"/>
      <c r="X1428" s="172"/>
      <c r="Y1428" s="172"/>
    </row>
    <row r="1429" spans="1:25" ht="2.1" customHeight="1" x14ac:dyDescent="0.2">
      <c r="A1429" s="295"/>
      <c r="B1429" s="283"/>
      <c r="C1429" s="296"/>
      <c r="D1429" s="283"/>
      <c r="E1429" s="296"/>
      <c r="F1429" s="297"/>
      <c r="G1429" s="297"/>
      <c r="H1429" s="297"/>
      <c r="I1429" s="298"/>
      <c r="J1429" s="304"/>
      <c r="K1429" s="300"/>
      <c r="L1429" s="301"/>
      <c r="M1429" s="297" t="s">
        <v>6582</v>
      </c>
      <c r="N1429" s="297"/>
      <c r="O1429" s="297"/>
      <c r="P1429" s="297"/>
      <c r="Q1429" s="297"/>
      <c r="R1429" s="297"/>
      <c r="S1429" s="302"/>
      <c r="T1429" s="302"/>
      <c r="U1429" s="303"/>
    </row>
    <row r="1430" spans="1:25" ht="38.25" x14ac:dyDescent="0.2">
      <c r="A1430" s="212" t="str">
        <f>HYPERLINK(V1430,B1430)</f>
        <v>SagStrucText</v>
      </c>
      <c r="B1430" s="283" t="s">
        <v>12934</v>
      </c>
      <c r="C1430" s="284" t="s">
        <v>16054</v>
      </c>
      <c r="D1430" s="285"/>
      <c r="E1430" s="286"/>
      <c r="F1430" s="287" t="s">
        <v>16055</v>
      </c>
      <c r="G1430" s="286"/>
      <c r="H1430" s="287" t="s">
        <v>14552</v>
      </c>
      <c r="I1430" s="288"/>
      <c r="J1430" s="289"/>
      <c r="K1430" s="290"/>
      <c r="L1430" s="287" t="s">
        <v>14551</v>
      </c>
      <c r="M1430" s="287" t="s">
        <v>6582</v>
      </c>
      <c r="N1430" s="286"/>
      <c r="O1430" s="287">
        <v>2</v>
      </c>
      <c r="P1430" s="305" t="b">
        <v>0</v>
      </c>
      <c r="Q1430" s="287" t="s">
        <v>16056</v>
      </c>
      <c r="R1430" s="286"/>
      <c r="S1430" s="293"/>
      <c r="T1430" s="294"/>
      <c r="U1430" s="37">
        <v>119235</v>
      </c>
      <c r="V1430" s="36" t="str">
        <f>CONCATENATE(Cover!$D$6,"fdd/view?i=",U1430)</f>
        <v>https://www.dgiwg.org/FAD/fdd/view?i=119235</v>
      </c>
      <c r="W1430" s="172"/>
      <c r="X1430" s="172"/>
      <c r="Y1430" s="172"/>
    </row>
    <row r="1431" spans="1:25" ht="2.1" customHeight="1" x14ac:dyDescent="0.2">
      <c r="A1431" s="295"/>
      <c r="B1431" s="283"/>
      <c r="C1431" s="296"/>
      <c r="D1431" s="283"/>
      <c r="E1431" s="296"/>
      <c r="F1431" s="297"/>
      <c r="G1431" s="297"/>
      <c r="H1431" s="297"/>
      <c r="I1431" s="298"/>
      <c r="J1431" s="304"/>
      <c r="K1431" s="300"/>
      <c r="L1431" s="301"/>
      <c r="M1431" s="297" t="s">
        <v>6582</v>
      </c>
      <c r="N1431" s="297"/>
      <c r="O1431" s="297"/>
      <c r="P1431" s="297"/>
      <c r="Q1431" s="297"/>
      <c r="R1431" s="297"/>
      <c r="S1431" s="302"/>
      <c r="T1431" s="302"/>
      <c r="U1431" s="303"/>
    </row>
    <row r="1432" spans="1:25" ht="25.5" x14ac:dyDescent="0.2">
      <c r="A1432" s="212" t="str">
        <f>HYPERLINK(V1432,B1432)</f>
        <v>StcCode</v>
      </c>
      <c r="B1432" s="283" t="s">
        <v>12939</v>
      </c>
      <c r="C1432" s="284" t="s">
        <v>16057</v>
      </c>
      <c r="D1432" s="285"/>
      <c r="E1432" s="286"/>
      <c r="F1432" s="287" t="s">
        <v>16058</v>
      </c>
      <c r="G1432" s="286"/>
      <c r="H1432" s="286"/>
      <c r="I1432" s="288"/>
      <c r="J1432" s="289"/>
      <c r="K1432" s="290"/>
      <c r="L1432" s="371" t="str">
        <f>HYPERLINK("[#]DatatypeListedValues!B8473:H8473","«enumeration»")</f>
        <v>«enumeration»</v>
      </c>
      <c r="M1432" s="287" t="s">
        <v>6582</v>
      </c>
      <c r="N1432" s="291" t="b">
        <v>0</v>
      </c>
      <c r="O1432" s="286"/>
      <c r="P1432" s="292"/>
      <c r="Q1432" s="286"/>
      <c r="R1432" s="286"/>
      <c r="S1432" s="293"/>
      <c r="T1432" s="294"/>
      <c r="U1432" s="37">
        <v>1469</v>
      </c>
      <c r="V1432" s="36" t="str">
        <f>CONCATENATE(Cover!$D$6,"fdd/view?i=",U1432)</f>
        <v>https://www.dgiwg.org/FAD/fdd/view?i=1469</v>
      </c>
      <c r="W1432" s="172"/>
      <c r="X1432" s="172"/>
      <c r="Y1432" s="172"/>
    </row>
    <row r="1433" spans="1:25" ht="2.1" customHeight="1" x14ac:dyDescent="0.2">
      <c r="A1433" s="295"/>
      <c r="B1433" s="283"/>
      <c r="C1433" s="296"/>
      <c r="D1433" s="283"/>
      <c r="E1433" s="296"/>
      <c r="F1433" s="297"/>
      <c r="G1433" s="297"/>
      <c r="H1433" s="297"/>
      <c r="I1433" s="298"/>
      <c r="J1433" s="304"/>
      <c r="K1433" s="300"/>
      <c r="L1433" s="301"/>
      <c r="M1433" s="297" t="s">
        <v>6582</v>
      </c>
      <c r="N1433" s="297"/>
      <c r="O1433" s="297"/>
      <c r="P1433" s="297"/>
      <c r="Q1433" s="297"/>
      <c r="R1433" s="297"/>
      <c r="S1433" s="302"/>
      <c r="T1433" s="302"/>
      <c r="U1433" s="303"/>
    </row>
    <row r="1434" spans="1:25" ht="178.5" x14ac:dyDescent="0.2">
      <c r="A1434" s="212" t="str">
        <f>HYPERLINK(V1434,B1434)</f>
        <v>SdvStrucText</v>
      </c>
      <c r="B1434" s="283" t="s">
        <v>12945</v>
      </c>
      <c r="C1434" s="284" t="s">
        <v>16059</v>
      </c>
      <c r="D1434" s="285"/>
      <c r="E1434" s="286"/>
      <c r="F1434" s="287" t="s">
        <v>16060</v>
      </c>
      <c r="G1434" s="286"/>
      <c r="H1434" s="287" t="s">
        <v>14552</v>
      </c>
      <c r="I1434" s="288"/>
      <c r="J1434" s="289"/>
      <c r="K1434" s="290"/>
      <c r="L1434" s="287" t="s">
        <v>14551</v>
      </c>
      <c r="M1434" s="287" t="s">
        <v>6582</v>
      </c>
      <c r="N1434" s="286"/>
      <c r="O1434" s="287">
        <v>20</v>
      </c>
      <c r="P1434" s="305" t="b">
        <v>0</v>
      </c>
      <c r="Q1434" s="287" t="s">
        <v>14553</v>
      </c>
      <c r="R1434" s="286"/>
      <c r="S1434" s="293"/>
      <c r="T1434" s="294"/>
      <c r="U1434" s="37">
        <v>3756</v>
      </c>
      <c r="V1434" s="36" t="str">
        <f>CONCATENATE(Cover!$D$6,"fdd/view?i=",U1434)</f>
        <v>https://www.dgiwg.org/FAD/fdd/view?i=3756</v>
      </c>
      <c r="W1434" s="172"/>
      <c r="X1434" s="172"/>
      <c r="Y1434" s="172"/>
    </row>
    <row r="1435" spans="1:25" ht="2.1" customHeight="1" x14ac:dyDescent="0.2">
      <c r="A1435" s="295"/>
      <c r="B1435" s="283"/>
      <c r="C1435" s="296"/>
      <c r="D1435" s="283"/>
      <c r="E1435" s="296"/>
      <c r="F1435" s="297"/>
      <c r="G1435" s="297"/>
      <c r="H1435" s="297"/>
      <c r="I1435" s="298"/>
      <c r="J1435" s="304"/>
      <c r="K1435" s="300"/>
      <c r="L1435" s="301"/>
      <c r="M1435" s="297" t="s">
        <v>6582</v>
      </c>
      <c r="N1435" s="297"/>
      <c r="O1435" s="297"/>
      <c r="P1435" s="297"/>
      <c r="Q1435" s="297"/>
      <c r="R1435" s="297"/>
      <c r="S1435" s="302"/>
      <c r="T1435" s="302"/>
      <c r="U1435" s="303"/>
    </row>
    <row r="1436" spans="1:25" ht="25.5" x14ac:dyDescent="0.2">
      <c r="A1436" s="212" t="str">
        <f>HYPERLINK(V1436,B1436)</f>
        <v>WsrCode</v>
      </c>
      <c r="B1436" s="283" t="s">
        <v>12963</v>
      </c>
      <c r="C1436" s="284" t="s">
        <v>16061</v>
      </c>
      <c r="D1436" s="285"/>
      <c r="E1436" s="286"/>
      <c r="F1436" s="287" t="s">
        <v>16062</v>
      </c>
      <c r="G1436" s="286"/>
      <c r="H1436" s="286"/>
      <c r="I1436" s="288"/>
      <c r="J1436" s="289"/>
      <c r="K1436" s="290"/>
      <c r="L1436" s="371" t="str">
        <f>HYPERLINK("[#]DatatypeListedValues!B8483:H8483","«enumeration»")</f>
        <v>«enumeration»</v>
      </c>
      <c r="M1436" s="287" t="s">
        <v>6582</v>
      </c>
      <c r="N1436" s="291" t="b">
        <v>0</v>
      </c>
      <c r="O1436" s="286"/>
      <c r="P1436" s="292"/>
      <c r="Q1436" s="286"/>
      <c r="R1436" s="286"/>
      <c r="S1436" s="293"/>
      <c r="T1436" s="294"/>
      <c r="U1436" s="37">
        <v>1545</v>
      </c>
      <c r="V1436" s="36" t="str">
        <f>CONCATENATE(Cover!$D$6,"fdd/view?i=",U1436)</f>
        <v>https://www.dgiwg.org/FAD/fdd/view?i=1545</v>
      </c>
      <c r="W1436" s="172"/>
      <c r="X1436" s="172"/>
      <c r="Y1436" s="172"/>
    </row>
    <row r="1437" spans="1:25" ht="2.1" customHeight="1" x14ac:dyDescent="0.2">
      <c r="A1437" s="295"/>
      <c r="B1437" s="283"/>
      <c r="C1437" s="296"/>
      <c r="D1437" s="283"/>
      <c r="E1437" s="296"/>
      <c r="F1437" s="297"/>
      <c r="G1437" s="297"/>
      <c r="H1437" s="297"/>
      <c r="I1437" s="298"/>
      <c r="J1437" s="304"/>
      <c r="K1437" s="300"/>
      <c r="L1437" s="301"/>
      <c r="M1437" s="297" t="s">
        <v>6582</v>
      </c>
      <c r="N1437" s="297"/>
      <c r="O1437" s="297"/>
      <c r="P1437" s="297"/>
      <c r="Q1437" s="297"/>
      <c r="R1437" s="297"/>
      <c r="S1437" s="302"/>
      <c r="T1437" s="302"/>
      <c r="U1437" s="303"/>
    </row>
    <row r="1438" spans="1:25" ht="25.5" x14ac:dyDescent="0.2">
      <c r="A1438" s="212" t="str">
        <f>HYPERLINK(V1438,B1438)</f>
        <v>SrtCode</v>
      </c>
      <c r="B1438" s="283" t="s">
        <v>12969</v>
      </c>
      <c r="C1438" s="284" t="s">
        <v>16063</v>
      </c>
      <c r="D1438" s="285"/>
      <c r="E1438" s="286"/>
      <c r="F1438" s="287" t="s">
        <v>16064</v>
      </c>
      <c r="G1438" s="286"/>
      <c r="H1438" s="286"/>
      <c r="I1438" s="288"/>
      <c r="J1438" s="289"/>
      <c r="K1438" s="290"/>
      <c r="L1438" s="371" t="str">
        <f>HYPERLINK("[#]DatatypeListedValues!B8538:H8538","«enumeration»")</f>
        <v>«enumeration»</v>
      </c>
      <c r="M1438" s="287" t="s">
        <v>6582</v>
      </c>
      <c r="N1438" s="291" t="b">
        <v>0</v>
      </c>
      <c r="O1438" s="286"/>
      <c r="P1438" s="292"/>
      <c r="Q1438" s="286"/>
      <c r="R1438" s="286"/>
      <c r="S1438" s="293"/>
      <c r="T1438" s="294"/>
      <c r="U1438" s="37">
        <v>1596</v>
      </c>
      <c r="V1438" s="36" t="str">
        <f>CONCATENATE(Cover!$D$6,"fdd/view?i=",U1438)</f>
        <v>https://www.dgiwg.org/FAD/fdd/view?i=1596</v>
      </c>
      <c r="W1438" s="172"/>
      <c r="X1438" s="172"/>
      <c r="Y1438" s="172"/>
    </row>
    <row r="1439" spans="1:25" ht="2.1" customHeight="1" x14ac:dyDescent="0.2">
      <c r="A1439" s="295"/>
      <c r="B1439" s="283"/>
      <c r="C1439" s="296"/>
      <c r="D1439" s="283"/>
      <c r="E1439" s="296"/>
      <c r="F1439" s="297"/>
      <c r="G1439" s="297"/>
      <c r="H1439" s="297"/>
      <c r="I1439" s="298"/>
      <c r="J1439" s="304"/>
      <c r="K1439" s="300"/>
      <c r="L1439" s="301"/>
      <c r="M1439" s="297" t="s">
        <v>6582</v>
      </c>
      <c r="N1439" s="297"/>
      <c r="O1439" s="297"/>
      <c r="P1439" s="297"/>
      <c r="Q1439" s="297"/>
      <c r="R1439" s="297"/>
      <c r="S1439" s="302"/>
      <c r="T1439" s="302"/>
      <c r="U1439" s="303"/>
    </row>
    <row r="1440" spans="1:25" ht="25.5" x14ac:dyDescent="0.2">
      <c r="A1440" s="212" t="str">
        <f>HYPERLINK(V1440,B1440)</f>
        <v>AmbCode</v>
      </c>
      <c r="B1440" s="283" t="s">
        <v>12979</v>
      </c>
      <c r="C1440" s="284" t="s">
        <v>16065</v>
      </c>
      <c r="D1440" s="285"/>
      <c r="E1440" s="286"/>
      <c r="F1440" s="287" t="s">
        <v>16066</v>
      </c>
      <c r="G1440" s="286"/>
      <c r="H1440" s="286"/>
      <c r="I1440" s="288"/>
      <c r="J1440" s="289"/>
      <c r="K1440" s="290"/>
      <c r="L1440" s="371" t="str">
        <f>HYPERLINK("[#]DatatypeListedValues!B8695:H8695","«enumeration»")</f>
        <v>«enumeration»</v>
      </c>
      <c r="M1440" s="287" t="s">
        <v>6582</v>
      </c>
      <c r="N1440" s="291" t="b">
        <v>0</v>
      </c>
      <c r="O1440" s="286"/>
      <c r="P1440" s="292"/>
      <c r="Q1440" s="286"/>
      <c r="R1440" s="286"/>
      <c r="S1440" s="293"/>
      <c r="T1440" s="294"/>
      <c r="U1440" s="37">
        <v>1033</v>
      </c>
      <c r="V1440" s="36" t="str">
        <f>CONCATENATE(Cover!$D$6,"fdd/view?i=",U1440)</f>
        <v>https://www.dgiwg.org/FAD/fdd/view?i=1033</v>
      </c>
      <c r="W1440" s="172"/>
      <c r="X1440" s="172"/>
      <c r="Y1440" s="172"/>
    </row>
    <row r="1441" spans="1:25" ht="2.1" customHeight="1" x14ac:dyDescent="0.2">
      <c r="A1441" s="295"/>
      <c r="B1441" s="283"/>
      <c r="C1441" s="296"/>
      <c r="D1441" s="283"/>
      <c r="E1441" s="296"/>
      <c r="F1441" s="297"/>
      <c r="G1441" s="297"/>
      <c r="H1441" s="297"/>
      <c r="I1441" s="298"/>
      <c r="J1441" s="304"/>
      <c r="K1441" s="300"/>
      <c r="L1441" s="301"/>
      <c r="M1441" s="297" t="s">
        <v>6582</v>
      </c>
      <c r="N1441" s="297"/>
      <c r="O1441" s="297"/>
      <c r="P1441" s="297"/>
      <c r="Q1441" s="297"/>
      <c r="R1441" s="297"/>
      <c r="S1441" s="302"/>
      <c r="T1441" s="302"/>
      <c r="U1441" s="303"/>
    </row>
    <row r="1442" spans="1:25" ht="25.5" x14ac:dyDescent="0.2">
      <c r="A1442" s="212" t="str">
        <f>HYPERLINK(V1442,B1442)</f>
        <v>Ss2Code</v>
      </c>
      <c r="B1442" s="283" t="s">
        <v>12994</v>
      </c>
      <c r="C1442" s="284" t="s">
        <v>16067</v>
      </c>
      <c r="D1442" s="285"/>
      <c r="E1442" s="286"/>
      <c r="F1442" s="287" t="s">
        <v>16068</v>
      </c>
      <c r="G1442" s="286"/>
      <c r="H1442" s="286"/>
      <c r="I1442" s="288"/>
      <c r="J1442" s="289"/>
      <c r="K1442" s="290"/>
      <c r="L1442" s="371" t="str">
        <f>HYPERLINK("[#]DatatypeListedValues!B8703:H8703","«enumeration»")</f>
        <v>«enumeration»</v>
      </c>
      <c r="M1442" s="287" t="s">
        <v>6582</v>
      </c>
      <c r="N1442" s="291" t="b">
        <v>0</v>
      </c>
      <c r="O1442" s="286"/>
      <c r="P1442" s="292"/>
      <c r="Q1442" s="286"/>
      <c r="R1442" s="286"/>
      <c r="S1442" s="293"/>
      <c r="T1442" s="294"/>
      <c r="U1442" s="37">
        <v>117420</v>
      </c>
      <c r="V1442" s="36" t="str">
        <f>CONCATENATE(Cover!$D$6,"fdd/view?i=",U1442)</f>
        <v>https://www.dgiwg.org/FAD/fdd/view?i=117420</v>
      </c>
      <c r="W1442" s="172"/>
      <c r="X1442" s="172"/>
      <c r="Y1442" s="172"/>
    </row>
    <row r="1443" spans="1:25" ht="2.1" customHeight="1" x14ac:dyDescent="0.2">
      <c r="A1443" s="295"/>
      <c r="B1443" s="283"/>
      <c r="C1443" s="296"/>
      <c r="D1443" s="283"/>
      <c r="E1443" s="296"/>
      <c r="F1443" s="297"/>
      <c r="G1443" s="297"/>
      <c r="H1443" s="297"/>
      <c r="I1443" s="298"/>
      <c r="J1443" s="304"/>
      <c r="K1443" s="300"/>
      <c r="L1443" s="301"/>
      <c r="M1443" s="297" t="s">
        <v>6582</v>
      </c>
      <c r="N1443" s="297"/>
      <c r="O1443" s="297"/>
      <c r="P1443" s="297"/>
      <c r="Q1443" s="297"/>
      <c r="R1443" s="297"/>
      <c r="S1443" s="302"/>
      <c r="T1443" s="302"/>
      <c r="U1443" s="303"/>
    </row>
    <row r="1444" spans="1:25" ht="38.25" x14ac:dyDescent="0.2">
      <c r="A1444" s="212" t="str">
        <f>HYPERLINK(V1444,B1444)</f>
        <v>SciStrucText</v>
      </c>
      <c r="B1444" s="283" t="s">
        <v>12999</v>
      </c>
      <c r="C1444" s="284" t="s">
        <v>16069</v>
      </c>
      <c r="D1444" s="285"/>
      <c r="E1444" s="286"/>
      <c r="F1444" s="287" t="s">
        <v>16070</v>
      </c>
      <c r="G1444" s="286"/>
      <c r="H1444" s="287" t="s">
        <v>14552</v>
      </c>
      <c r="I1444" s="288"/>
      <c r="J1444" s="289"/>
      <c r="K1444" s="290"/>
      <c r="L1444" s="287" t="s">
        <v>14551</v>
      </c>
      <c r="M1444" s="287" t="s">
        <v>6582</v>
      </c>
      <c r="N1444" s="286"/>
      <c r="O1444" s="305" t="s">
        <v>14571</v>
      </c>
      <c r="P1444" s="305" t="b">
        <v>0</v>
      </c>
      <c r="Q1444" s="286"/>
      <c r="R1444" s="286"/>
      <c r="S1444" s="293"/>
      <c r="T1444" s="294"/>
      <c r="U1444" s="37">
        <v>117454</v>
      </c>
      <c r="V1444" s="36" t="str">
        <f>CONCATENATE(Cover!$D$6,"fdd/view?i=",U1444)</f>
        <v>https://www.dgiwg.org/FAD/fdd/view?i=117454</v>
      </c>
      <c r="W1444" s="172"/>
      <c r="X1444" s="172"/>
      <c r="Y1444" s="172"/>
    </row>
    <row r="1445" spans="1:25" ht="2.1" customHeight="1" x14ac:dyDescent="0.2">
      <c r="A1445" s="295"/>
      <c r="B1445" s="283"/>
      <c r="C1445" s="296"/>
      <c r="D1445" s="283"/>
      <c r="E1445" s="296"/>
      <c r="F1445" s="297"/>
      <c r="G1445" s="297"/>
      <c r="H1445" s="297"/>
      <c r="I1445" s="298"/>
      <c r="J1445" s="304"/>
      <c r="K1445" s="300"/>
      <c r="L1445" s="301"/>
      <c r="M1445" s="297" t="s">
        <v>6582</v>
      </c>
      <c r="N1445" s="297"/>
      <c r="O1445" s="297"/>
      <c r="P1445" s="297"/>
      <c r="Q1445" s="297"/>
      <c r="R1445" s="297"/>
      <c r="S1445" s="302"/>
      <c r="T1445" s="302"/>
      <c r="U1445" s="303"/>
    </row>
    <row r="1446" spans="1:25" ht="25.5" x14ac:dyDescent="0.2">
      <c r="A1446" s="212" t="str">
        <f>HYPERLINK(V1446,B1446)</f>
        <v>Ss1Code</v>
      </c>
      <c r="B1446" s="283" t="s">
        <v>13004</v>
      </c>
      <c r="C1446" s="284" t="s">
        <v>16071</v>
      </c>
      <c r="D1446" s="285"/>
      <c r="E1446" s="286"/>
      <c r="F1446" s="287" t="s">
        <v>16072</v>
      </c>
      <c r="G1446" s="286"/>
      <c r="H1446" s="286"/>
      <c r="I1446" s="288"/>
      <c r="J1446" s="289"/>
      <c r="K1446" s="290"/>
      <c r="L1446" s="371" t="str">
        <f>HYPERLINK("[#]DatatypeListedValues!B8708:H8708","«enumeration»")</f>
        <v>«enumeration»</v>
      </c>
      <c r="M1446" s="287" t="s">
        <v>6582</v>
      </c>
      <c r="N1446" s="291" t="b">
        <v>0</v>
      </c>
      <c r="O1446" s="286"/>
      <c r="P1446" s="292"/>
      <c r="Q1446" s="286"/>
      <c r="R1446" s="286"/>
      <c r="S1446" s="293"/>
      <c r="T1446" s="294"/>
      <c r="U1446" s="37">
        <v>117419</v>
      </c>
      <c r="V1446" s="36" t="str">
        <f>CONCATENATE(Cover!$D$6,"fdd/view?i=",U1446)</f>
        <v>https://www.dgiwg.org/FAD/fdd/view?i=117419</v>
      </c>
      <c r="W1446" s="172"/>
      <c r="X1446" s="172"/>
      <c r="Y1446" s="172"/>
    </row>
    <row r="1447" spans="1:25" ht="2.1" customHeight="1" x14ac:dyDescent="0.2">
      <c r="A1447" s="295"/>
      <c r="B1447" s="283"/>
      <c r="C1447" s="296"/>
      <c r="D1447" s="283"/>
      <c r="E1447" s="296"/>
      <c r="F1447" s="297"/>
      <c r="G1447" s="297"/>
      <c r="H1447" s="297"/>
      <c r="I1447" s="298"/>
      <c r="J1447" s="304"/>
      <c r="K1447" s="300"/>
      <c r="L1447" s="301"/>
      <c r="M1447" s="297" t="s">
        <v>6582</v>
      </c>
      <c r="N1447" s="297"/>
      <c r="O1447" s="297"/>
      <c r="P1447" s="297"/>
      <c r="Q1447" s="297"/>
      <c r="R1447" s="297"/>
      <c r="S1447" s="302"/>
      <c r="T1447" s="302"/>
      <c r="U1447" s="303"/>
    </row>
    <row r="1448" spans="1:25" ht="25.5" x14ac:dyDescent="0.2">
      <c r="A1448" s="212" t="str">
        <f>HYPERLINK(V1448,B1448)</f>
        <v>SpvCode</v>
      </c>
      <c r="B1448" s="283" t="s">
        <v>13009</v>
      </c>
      <c r="C1448" s="284" t="s">
        <v>16073</v>
      </c>
      <c r="D1448" s="285"/>
      <c r="E1448" s="286"/>
      <c r="F1448" s="287" t="s">
        <v>16074</v>
      </c>
      <c r="G1448" s="286"/>
      <c r="H1448" s="286"/>
      <c r="I1448" s="288"/>
      <c r="J1448" s="289"/>
      <c r="K1448" s="290"/>
      <c r="L1448" s="371" t="str">
        <f>HYPERLINK("[#]DatatypeListedValues!B8712:H8712","«enumeration»")</f>
        <v>«enumeration»</v>
      </c>
      <c r="M1448" s="287" t="s">
        <v>6582</v>
      </c>
      <c r="N1448" s="291" t="b">
        <v>0</v>
      </c>
      <c r="O1448" s="286"/>
      <c r="P1448" s="292"/>
      <c r="Q1448" s="286"/>
      <c r="R1448" s="286"/>
      <c r="S1448" s="293"/>
      <c r="T1448" s="294"/>
      <c r="U1448" s="37">
        <v>1459</v>
      </c>
      <c r="V1448" s="36" t="str">
        <f>CONCATENATE(Cover!$D$6,"fdd/view?i=",U1448)</f>
        <v>https://www.dgiwg.org/FAD/fdd/view?i=1459</v>
      </c>
      <c r="W1448" s="172"/>
      <c r="X1448" s="172"/>
      <c r="Y1448" s="172"/>
    </row>
    <row r="1449" spans="1:25" ht="2.1" customHeight="1" x14ac:dyDescent="0.2">
      <c r="A1449" s="295"/>
      <c r="B1449" s="283"/>
      <c r="C1449" s="296"/>
      <c r="D1449" s="283"/>
      <c r="E1449" s="296"/>
      <c r="F1449" s="297"/>
      <c r="G1449" s="297"/>
      <c r="H1449" s="297"/>
      <c r="I1449" s="298"/>
      <c r="J1449" s="304"/>
      <c r="K1449" s="300"/>
      <c r="L1449" s="301"/>
      <c r="M1449" s="297" t="s">
        <v>6582</v>
      </c>
      <c r="N1449" s="297"/>
      <c r="O1449" s="297"/>
      <c r="P1449" s="297"/>
      <c r="Q1449" s="297"/>
      <c r="R1449" s="297"/>
      <c r="S1449" s="302"/>
      <c r="T1449" s="302"/>
      <c r="U1449" s="303"/>
    </row>
    <row r="1450" spans="1:25" ht="25.5" x14ac:dyDescent="0.2">
      <c r="A1450" s="212" t="str">
        <f>HYPERLINK(V1450,B1450)</f>
        <v>CmpCode</v>
      </c>
      <c r="B1450" s="283" t="s">
        <v>13015</v>
      </c>
      <c r="C1450" s="284" t="s">
        <v>16075</v>
      </c>
      <c r="D1450" s="285"/>
      <c r="E1450" s="286"/>
      <c r="F1450" s="287" t="s">
        <v>16076</v>
      </c>
      <c r="G1450" s="286"/>
      <c r="H1450" s="286"/>
      <c r="I1450" s="288"/>
      <c r="J1450" s="289"/>
      <c r="K1450" s="290"/>
      <c r="L1450" s="371" t="str">
        <f>HYPERLINK("[#]DatatypeListedValues!B8718:H8718","«enumeration»")</f>
        <v>«enumeration»</v>
      </c>
      <c r="M1450" s="287" t="s">
        <v>6582</v>
      </c>
      <c r="N1450" s="291" t="b">
        <v>0</v>
      </c>
      <c r="O1450" s="286"/>
      <c r="P1450" s="292"/>
      <c r="Q1450" s="286"/>
      <c r="R1450" s="286"/>
      <c r="S1450" s="293"/>
      <c r="T1450" s="294"/>
      <c r="U1450" s="37">
        <v>119875</v>
      </c>
      <c r="V1450" s="36" t="str">
        <f>CONCATENATE(Cover!$D$6,"fdd/view?i=",U1450)</f>
        <v>https://www.dgiwg.org/FAD/fdd/view?i=119875</v>
      </c>
      <c r="W1450" s="172"/>
      <c r="X1450" s="172"/>
      <c r="Y1450" s="172"/>
    </row>
    <row r="1451" spans="1:25" ht="2.1" customHeight="1" x14ac:dyDescent="0.2">
      <c r="A1451" s="295"/>
      <c r="B1451" s="283"/>
      <c r="C1451" s="296"/>
      <c r="D1451" s="283"/>
      <c r="E1451" s="296"/>
      <c r="F1451" s="297"/>
      <c r="G1451" s="297"/>
      <c r="H1451" s="297"/>
      <c r="I1451" s="298"/>
      <c r="J1451" s="304"/>
      <c r="K1451" s="300"/>
      <c r="L1451" s="301"/>
      <c r="M1451" s="297" t="s">
        <v>6582</v>
      </c>
      <c r="N1451" s="297"/>
      <c r="O1451" s="297"/>
      <c r="P1451" s="297"/>
      <c r="Q1451" s="297"/>
      <c r="R1451" s="297"/>
      <c r="S1451" s="302"/>
      <c r="T1451" s="302"/>
      <c r="U1451" s="303"/>
    </row>
    <row r="1452" spans="1:25" ht="127.5" x14ac:dyDescent="0.2">
      <c r="A1452" s="212" t="str">
        <f>HYPERLINK(V1452,B1452)</f>
        <v>OthStrucText</v>
      </c>
      <c r="B1452" s="283" t="s">
        <v>13021</v>
      </c>
      <c r="C1452" s="284" t="s">
        <v>16077</v>
      </c>
      <c r="D1452" s="285"/>
      <c r="E1452" s="286"/>
      <c r="F1452" s="287" t="s">
        <v>16078</v>
      </c>
      <c r="G1452" s="286"/>
      <c r="H1452" s="287" t="s">
        <v>14552</v>
      </c>
      <c r="I1452" s="288"/>
      <c r="J1452" s="289"/>
      <c r="K1452" s="290"/>
      <c r="L1452" s="287" t="s">
        <v>14551</v>
      </c>
      <c r="M1452" s="287" t="s">
        <v>6582</v>
      </c>
      <c r="N1452" s="286"/>
      <c r="O1452" s="305" t="s">
        <v>14571</v>
      </c>
      <c r="P1452" s="287" t="b">
        <v>1</v>
      </c>
      <c r="Q1452" s="287" t="s">
        <v>16079</v>
      </c>
      <c r="R1452" s="286"/>
      <c r="S1452" s="293"/>
      <c r="T1452" s="294"/>
      <c r="U1452" s="37">
        <v>118132</v>
      </c>
      <c r="V1452" s="36" t="str">
        <f>CONCATENATE(Cover!$D$6,"fdd/view?i=",U1452)</f>
        <v>https://www.dgiwg.org/FAD/fdd/view?i=118132</v>
      </c>
      <c r="W1452" s="172"/>
      <c r="X1452" s="172"/>
      <c r="Y1452" s="172"/>
    </row>
    <row r="1453" spans="1:25" ht="2.1" customHeight="1" x14ac:dyDescent="0.2">
      <c r="A1453" s="295"/>
      <c r="B1453" s="283"/>
      <c r="C1453" s="296"/>
      <c r="D1453" s="283"/>
      <c r="E1453" s="296"/>
      <c r="F1453" s="297"/>
      <c r="G1453" s="297"/>
      <c r="H1453" s="297"/>
      <c r="I1453" s="298"/>
      <c r="J1453" s="304"/>
      <c r="K1453" s="300"/>
      <c r="L1453" s="301"/>
      <c r="M1453" s="297" t="s">
        <v>6582</v>
      </c>
      <c r="N1453" s="297"/>
      <c r="O1453" s="297"/>
      <c r="P1453" s="297"/>
      <c r="Q1453" s="297"/>
      <c r="R1453" s="297"/>
      <c r="S1453" s="302"/>
      <c r="T1453" s="302"/>
      <c r="U1453" s="303"/>
    </row>
    <row r="1454" spans="1:25" ht="25.5" x14ac:dyDescent="0.2">
      <c r="A1454" s="212" t="str">
        <f>HYPERLINK(V1454,B1454)</f>
        <v>KosCode</v>
      </c>
      <c r="B1454" s="283" t="s">
        <v>13047</v>
      </c>
      <c r="C1454" s="284" t="s">
        <v>16080</v>
      </c>
      <c r="D1454" s="285"/>
      <c r="E1454" s="286"/>
      <c r="F1454" s="287" t="s">
        <v>16081</v>
      </c>
      <c r="G1454" s="286"/>
      <c r="H1454" s="286"/>
      <c r="I1454" s="288"/>
      <c r="J1454" s="289"/>
      <c r="K1454" s="290"/>
      <c r="L1454" s="371" t="str">
        <f>HYPERLINK("[#]DatatypeListedValues!B8723:H8723","«enumeration»")</f>
        <v>«enumeration»</v>
      </c>
      <c r="M1454" s="287" t="s">
        <v>6582</v>
      </c>
      <c r="N1454" s="291" t="b">
        <v>0</v>
      </c>
      <c r="O1454" s="286"/>
      <c r="P1454" s="292"/>
      <c r="Q1454" s="286"/>
      <c r="R1454" s="286"/>
      <c r="S1454" s="293"/>
      <c r="T1454" s="294"/>
      <c r="U1454" s="37">
        <v>118647</v>
      </c>
      <c r="V1454" s="36" t="str">
        <f>CONCATENATE(Cover!$D$6,"fdd/view?i=",U1454)</f>
        <v>https://www.dgiwg.org/FAD/fdd/view?i=118647</v>
      </c>
      <c r="W1454" s="172"/>
      <c r="X1454" s="172"/>
      <c r="Y1454" s="172"/>
    </row>
    <row r="1455" spans="1:25" ht="2.1" customHeight="1" x14ac:dyDescent="0.2">
      <c r="A1455" s="295"/>
      <c r="B1455" s="283"/>
      <c r="C1455" s="296"/>
      <c r="D1455" s="283"/>
      <c r="E1455" s="296"/>
      <c r="F1455" s="297"/>
      <c r="G1455" s="297"/>
      <c r="H1455" s="297"/>
      <c r="I1455" s="298"/>
      <c r="J1455" s="304"/>
      <c r="K1455" s="300"/>
      <c r="L1455" s="301"/>
      <c r="M1455" s="297" t="s">
        <v>6582</v>
      </c>
      <c r="N1455" s="297"/>
      <c r="O1455" s="297"/>
      <c r="P1455" s="297"/>
      <c r="Q1455" s="297"/>
      <c r="R1455" s="297"/>
      <c r="S1455" s="302"/>
      <c r="T1455" s="302"/>
      <c r="U1455" s="303"/>
    </row>
    <row r="1456" spans="1:25" ht="25.5" x14ac:dyDescent="0.2">
      <c r="A1456" s="212" t="str">
        <f>HYPERLINK(V1456,B1456)</f>
        <v>SopCode</v>
      </c>
      <c r="B1456" s="283" t="s">
        <v>13052</v>
      </c>
      <c r="C1456" s="284" t="s">
        <v>16082</v>
      </c>
      <c r="D1456" s="285"/>
      <c r="E1456" s="286"/>
      <c r="F1456" s="287" t="s">
        <v>16083</v>
      </c>
      <c r="G1456" s="286"/>
      <c r="H1456" s="286"/>
      <c r="I1456" s="288"/>
      <c r="J1456" s="289"/>
      <c r="K1456" s="290"/>
      <c r="L1456" s="371" t="str">
        <f>HYPERLINK("[#]DatatypeListedValues!B8737:H8737","«enumeration»")</f>
        <v>«enumeration»</v>
      </c>
      <c r="M1456" s="287" t="s">
        <v>6582</v>
      </c>
      <c r="N1456" s="291" t="b">
        <v>0</v>
      </c>
      <c r="O1456" s="286"/>
      <c r="P1456" s="292"/>
      <c r="Q1456" s="286"/>
      <c r="R1456" s="286"/>
      <c r="S1456" s="293"/>
      <c r="T1456" s="294"/>
      <c r="U1456" s="37">
        <v>119498</v>
      </c>
      <c r="V1456" s="36" t="str">
        <f>CONCATENATE(Cover!$D$6,"fdd/view?i=",U1456)</f>
        <v>https://www.dgiwg.org/FAD/fdd/view?i=119498</v>
      </c>
      <c r="W1456" s="172"/>
      <c r="X1456" s="172"/>
      <c r="Y1456" s="172"/>
    </row>
    <row r="1457" spans="1:25" ht="2.1" customHeight="1" x14ac:dyDescent="0.2">
      <c r="A1457" s="295"/>
      <c r="B1457" s="283"/>
      <c r="C1457" s="296"/>
      <c r="D1457" s="283"/>
      <c r="E1457" s="296"/>
      <c r="F1457" s="297"/>
      <c r="G1457" s="297"/>
      <c r="H1457" s="297"/>
      <c r="I1457" s="298"/>
      <c r="J1457" s="304"/>
      <c r="K1457" s="300"/>
      <c r="L1457" s="301"/>
      <c r="M1457" s="297" t="s">
        <v>6582</v>
      </c>
      <c r="N1457" s="297"/>
      <c r="O1457" s="297"/>
      <c r="P1457" s="297"/>
      <c r="Q1457" s="297"/>
      <c r="R1457" s="297"/>
      <c r="S1457" s="302"/>
      <c r="T1457" s="302"/>
      <c r="U1457" s="303"/>
    </row>
    <row r="1458" spans="1:25" ht="25.5" x14ac:dyDescent="0.2">
      <c r="A1458" s="212" t="str">
        <f>HYPERLINK(V1458,B1458)</f>
        <v>Ps2Code</v>
      </c>
      <c r="B1458" s="283" t="s">
        <v>13057</v>
      </c>
      <c r="C1458" s="284" t="s">
        <v>16084</v>
      </c>
      <c r="D1458" s="285"/>
      <c r="E1458" s="286"/>
      <c r="F1458" s="287" t="s">
        <v>16085</v>
      </c>
      <c r="G1458" s="286"/>
      <c r="H1458" s="286"/>
      <c r="I1458" s="288"/>
      <c r="J1458" s="289"/>
      <c r="K1458" s="290"/>
      <c r="L1458" s="371" t="str">
        <f>HYPERLINK("[#]DatatypeListedValues!B8747:H8747","«enumeration»")</f>
        <v>«enumeration»</v>
      </c>
      <c r="M1458" s="287" t="s">
        <v>6582</v>
      </c>
      <c r="N1458" s="291" t="b">
        <v>0</v>
      </c>
      <c r="O1458" s="286"/>
      <c r="P1458" s="292"/>
      <c r="Q1458" s="286"/>
      <c r="R1458" s="286"/>
      <c r="S1458" s="293"/>
      <c r="T1458" s="294"/>
      <c r="U1458" s="37">
        <v>1894</v>
      </c>
      <c r="V1458" s="36" t="str">
        <f>CONCATENATE(Cover!$D$6,"fdd/view?i=",U1458)</f>
        <v>https://www.dgiwg.org/FAD/fdd/view?i=1894</v>
      </c>
      <c r="W1458" s="172"/>
      <c r="X1458" s="172"/>
      <c r="Y1458" s="172"/>
    </row>
    <row r="1459" spans="1:25" ht="2.1" customHeight="1" x14ac:dyDescent="0.2">
      <c r="A1459" s="295"/>
      <c r="B1459" s="283"/>
      <c r="C1459" s="296"/>
      <c r="D1459" s="283"/>
      <c r="E1459" s="296"/>
      <c r="F1459" s="297"/>
      <c r="G1459" s="297"/>
      <c r="H1459" s="297"/>
      <c r="I1459" s="298"/>
      <c r="J1459" s="304"/>
      <c r="K1459" s="300"/>
      <c r="L1459" s="301"/>
      <c r="M1459" s="297" t="s">
        <v>6582</v>
      </c>
      <c r="N1459" s="297"/>
      <c r="O1459" s="297"/>
      <c r="P1459" s="297"/>
      <c r="Q1459" s="297"/>
      <c r="R1459" s="297"/>
      <c r="S1459" s="302"/>
      <c r="T1459" s="302"/>
      <c r="U1459" s="303"/>
    </row>
    <row r="1460" spans="1:25" ht="178.5" x14ac:dyDescent="0.2">
      <c r="A1460" s="212" t="str">
        <f>HYPERLINK(V1460,B1460)</f>
        <v>SddStrucText</v>
      </c>
      <c r="B1460" s="283" t="s">
        <v>13072</v>
      </c>
      <c r="C1460" s="284" t="s">
        <v>16086</v>
      </c>
      <c r="D1460" s="285"/>
      <c r="E1460" s="286"/>
      <c r="F1460" s="287" t="s">
        <v>16087</v>
      </c>
      <c r="G1460" s="286"/>
      <c r="H1460" s="287" t="s">
        <v>14552</v>
      </c>
      <c r="I1460" s="288"/>
      <c r="J1460" s="289"/>
      <c r="K1460" s="290"/>
      <c r="L1460" s="287" t="s">
        <v>14551</v>
      </c>
      <c r="M1460" s="287" t="s">
        <v>6582</v>
      </c>
      <c r="N1460" s="286"/>
      <c r="O1460" s="287">
        <v>20</v>
      </c>
      <c r="P1460" s="305" t="b">
        <v>0</v>
      </c>
      <c r="Q1460" s="287" t="s">
        <v>14553</v>
      </c>
      <c r="R1460" s="286"/>
      <c r="S1460" s="293"/>
      <c r="T1460" s="294"/>
      <c r="U1460" s="37">
        <v>119868</v>
      </c>
      <c r="V1460" s="36" t="str">
        <f>CONCATENATE(Cover!$D$6,"fdd/view?i=",U1460)</f>
        <v>https://www.dgiwg.org/FAD/fdd/view?i=119868</v>
      </c>
      <c r="W1460" s="172"/>
      <c r="X1460" s="172"/>
      <c r="Y1460" s="172"/>
    </row>
    <row r="1461" spans="1:25" ht="2.1" customHeight="1" x14ac:dyDescent="0.2">
      <c r="A1461" s="295"/>
      <c r="B1461" s="283"/>
      <c r="C1461" s="296"/>
      <c r="D1461" s="283"/>
      <c r="E1461" s="296"/>
      <c r="F1461" s="297"/>
      <c r="G1461" s="297"/>
      <c r="H1461" s="297"/>
      <c r="I1461" s="298"/>
      <c r="J1461" s="304"/>
      <c r="K1461" s="300"/>
      <c r="L1461" s="301"/>
      <c r="M1461" s="297" t="s">
        <v>6582</v>
      </c>
      <c r="N1461" s="297"/>
      <c r="O1461" s="297"/>
      <c r="P1461" s="297"/>
      <c r="Q1461" s="297"/>
      <c r="R1461" s="297"/>
      <c r="S1461" s="302"/>
      <c r="T1461" s="302"/>
      <c r="U1461" s="303"/>
    </row>
    <row r="1462" spans="1:25" ht="25.5" x14ac:dyDescent="0.2">
      <c r="A1462" s="212" t="str">
        <f>HYPERLINK(V1462,B1462)</f>
        <v>SgaCode</v>
      </c>
      <c r="B1462" s="283" t="s">
        <v>13081</v>
      </c>
      <c r="C1462" s="284" t="s">
        <v>16088</v>
      </c>
      <c r="D1462" s="285"/>
      <c r="E1462" s="286"/>
      <c r="F1462" s="287" t="s">
        <v>16089</v>
      </c>
      <c r="G1462" s="286"/>
      <c r="H1462" s="286"/>
      <c r="I1462" s="288"/>
      <c r="J1462" s="289"/>
      <c r="K1462" s="290"/>
      <c r="L1462" s="371" t="str">
        <f>HYPERLINK("[#]DatatypeListedValues!B8752:H8752","«enumeration»")</f>
        <v>«enumeration»</v>
      </c>
      <c r="M1462" s="287" t="s">
        <v>6582</v>
      </c>
      <c r="N1462" s="291" t="b">
        <v>0</v>
      </c>
      <c r="O1462" s="286"/>
      <c r="P1462" s="292"/>
      <c r="Q1462" s="286"/>
      <c r="R1462" s="286"/>
      <c r="S1462" s="293"/>
      <c r="T1462" s="294"/>
      <c r="U1462" s="37">
        <v>119236</v>
      </c>
      <c r="V1462" s="36" t="str">
        <f>CONCATENATE(Cover!$D$6,"fdd/view?i=",U1462)</f>
        <v>https://www.dgiwg.org/FAD/fdd/view?i=119236</v>
      </c>
      <c r="W1462" s="172"/>
      <c r="X1462" s="172"/>
      <c r="Y1462" s="172"/>
    </row>
    <row r="1463" spans="1:25" ht="2.1" customHeight="1" x14ac:dyDescent="0.2">
      <c r="A1463" s="295"/>
      <c r="B1463" s="283"/>
      <c r="C1463" s="296"/>
      <c r="D1463" s="283"/>
      <c r="E1463" s="296"/>
      <c r="F1463" s="297"/>
      <c r="G1463" s="297"/>
      <c r="H1463" s="297"/>
      <c r="I1463" s="298"/>
      <c r="J1463" s="304"/>
      <c r="K1463" s="300"/>
      <c r="L1463" s="301"/>
      <c r="M1463" s="297" t="s">
        <v>6582</v>
      </c>
      <c r="N1463" s="297"/>
      <c r="O1463" s="297"/>
      <c r="P1463" s="297"/>
      <c r="Q1463" s="297"/>
      <c r="R1463" s="297"/>
      <c r="S1463" s="302"/>
      <c r="T1463" s="302"/>
      <c r="U1463" s="303"/>
    </row>
    <row r="1464" spans="1:25" ht="25.5" x14ac:dyDescent="0.2">
      <c r="A1464" s="212" t="str">
        <f>HYPERLINK(V1464,B1464)</f>
        <v>SfaCode</v>
      </c>
      <c r="B1464" s="283" t="s">
        <v>13091</v>
      </c>
      <c r="C1464" s="284" t="s">
        <v>16090</v>
      </c>
      <c r="D1464" s="285"/>
      <c r="E1464" s="286"/>
      <c r="F1464" s="287" t="s">
        <v>16091</v>
      </c>
      <c r="G1464" s="286"/>
      <c r="H1464" s="286"/>
      <c r="I1464" s="288"/>
      <c r="J1464" s="289"/>
      <c r="K1464" s="290"/>
      <c r="L1464" s="371" t="str">
        <f>HYPERLINK("[#]DatatypeListedValues!B8754:H8754","«enumeration»")</f>
        <v>«enumeration»</v>
      </c>
      <c r="M1464" s="287" t="s">
        <v>6582</v>
      </c>
      <c r="N1464" s="291" t="b">
        <v>0</v>
      </c>
      <c r="O1464" s="286"/>
      <c r="P1464" s="292"/>
      <c r="Q1464" s="286"/>
      <c r="R1464" s="286"/>
      <c r="S1464" s="293"/>
      <c r="T1464" s="294"/>
      <c r="U1464" s="37">
        <v>1437</v>
      </c>
      <c r="V1464" s="36" t="str">
        <f>CONCATENATE(Cover!$D$6,"fdd/view?i=",U1464)</f>
        <v>https://www.dgiwg.org/FAD/fdd/view?i=1437</v>
      </c>
      <c r="W1464" s="172"/>
      <c r="X1464" s="172"/>
      <c r="Y1464" s="172"/>
    </row>
    <row r="1465" spans="1:25" ht="2.1" customHeight="1" x14ac:dyDescent="0.2">
      <c r="A1465" s="295"/>
      <c r="B1465" s="283"/>
      <c r="C1465" s="296"/>
      <c r="D1465" s="283"/>
      <c r="E1465" s="296"/>
      <c r="F1465" s="297"/>
      <c r="G1465" s="297"/>
      <c r="H1465" s="297"/>
      <c r="I1465" s="298"/>
      <c r="J1465" s="304"/>
      <c r="K1465" s="300"/>
      <c r="L1465" s="301"/>
      <c r="M1465" s="297" t="s">
        <v>6582</v>
      </c>
      <c r="N1465" s="297"/>
      <c r="O1465" s="297"/>
      <c r="P1465" s="297"/>
      <c r="Q1465" s="297"/>
      <c r="R1465" s="297"/>
      <c r="S1465" s="302"/>
      <c r="T1465" s="302"/>
      <c r="U1465" s="303"/>
    </row>
    <row r="1466" spans="1:25" ht="25.5" x14ac:dyDescent="0.2">
      <c r="A1466" s="212" t="str">
        <f>HYPERLINK(V1466,B1466)</f>
        <v>SsgCode</v>
      </c>
      <c r="B1466" s="283" t="s">
        <v>13111</v>
      </c>
      <c r="C1466" s="284" t="s">
        <v>16092</v>
      </c>
      <c r="D1466" s="285"/>
      <c r="E1466" s="286"/>
      <c r="F1466" s="287" t="s">
        <v>16093</v>
      </c>
      <c r="G1466" s="286"/>
      <c r="H1466" s="286"/>
      <c r="I1466" s="288"/>
      <c r="J1466" s="289"/>
      <c r="K1466" s="290"/>
      <c r="L1466" s="371" t="str">
        <f>HYPERLINK("[#]DatatypeListedValues!B8769:H8769","«enumeration»")</f>
        <v>«enumeration»</v>
      </c>
      <c r="M1466" s="287" t="s">
        <v>6582</v>
      </c>
      <c r="N1466" s="291" t="b">
        <v>0</v>
      </c>
      <c r="O1466" s="286"/>
      <c r="P1466" s="292"/>
      <c r="Q1466" s="286"/>
      <c r="R1466" s="286"/>
      <c r="S1466" s="293"/>
      <c r="T1466" s="294"/>
      <c r="U1466" s="37">
        <v>118117</v>
      </c>
      <c r="V1466" s="36" t="str">
        <f>CONCATENATE(Cover!$D$6,"fdd/view?i=",U1466)</f>
        <v>https://www.dgiwg.org/FAD/fdd/view?i=118117</v>
      </c>
      <c r="W1466" s="172"/>
      <c r="X1466" s="172"/>
      <c r="Y1466" s="172"/>
    </row>
    <row r="1467" spans="1:25" ht="2.1" customHeight="1" x14ac:dyDescent="0.2">
      <c r="A1467" s="295"/>
      <c r="B1467" s="283"/>
      <c r="C1467" s="296"/>
      <c r="D1467" s="283"/>
      <c r="E1467" s="296"/>
      <c r="F1467" s="297"/>
      <c r="G1467" s="297"/>
      <c r="H1467" s="297"/>
      <c r="I1467" s="298"/>
      <c r="J1467" s="304"/>
      <c r="K1467" s="300"/>
      <c r="L1467" s="301"/>
      <c r="M1467" s="297" t="s">
        <v>6582</v>
      </c>
      <c r="N1467" s="297"/>
      <c r="O1467" s="297"/>
      <c r="P1467" s="297"/>
      <c r="Q1467" s="297"/>
      <c r="R1467" s="297"/>
      <c r="S1467" s="302"/>
      <c r="T1467" s="302"/>
      <c r="U1467" s="303"/>
    </row>
    <row r="1468" spans="1:25" ht="25.5" x14ac:dyDescent="0.2">
      <c r="A1468" s="212" t="str">
        <f>HYPERLINK(V1468,B1468)</f>
        <v>MccCode</v>
      </c>
      <c r="B1468" s="283" t="s">
        <v>13116</v>
      </c>
      <c r="C1468" s="284" t="s">
        <v>16094</v>
      </c>
      <c r="D1468" s="285"/>
      <c r="E1468" s="286"/>
      <c r="F1468" s="287" t="s">
        <v>16095</v>
      </c>
      <c r="G1468" s="286"/>
      <c r="H1468" s="286"/>
      <c r="I1468" s="288"/>
      <c r="J1468" s="289"/>
      <c r="K1468" s="290"/>
      <c r="L1468" s="371" t="str">
        <f>HYPERLINK("[#]DatatypeListedValues!B8779:H8779","«enumeration»")</f>
        <v>«enumeration»</v>
      </c>
      <c r="M1468" s="287" t="s">
        <v>6582</v>
      </c>
      <c r="N1468" s="291" t="b">
        <v>0</v>
      </c>
      <c r="O1468" s="286"/>
      <c r="P1468" s="292"/>
      <c r="Q1468" s="286"/>
      <c r="R1468" s="286"/>
      <c r="S1468" s="293"/>
      <c r="T1468" s="294"/>
      <c r="U1468" s="37">
        <v>1293</v>
      </c>
      <c r="V1468" s="36" t="str">
        <f>CONCATENATE(Cover!$D$6,"fdd/view?i=",U1468)</f>
        <v>https://www.dgiwg.org/FAD/fdd/view?i=1293</v>
      </c>
      <c r="W1468" s="172"/>
      <c r="X1468" s="172"/>
      <c r="Y1468" s="172"/>
    </row>
    <row r="1469" spans="1:25" ht="2.1" customHeight="1" x14ac:dyDescent="0.2">
      <c r="A1469" s="295"/>
      <c r="B1469" s="283"/>
      <c r="C1469" s="296"/>
      <c r="D1469" s="283"/>
      <c r="E1469" s="296"/>
      <c r="F1469" s="297"/>
      <c r="G1469" s="297"/>
      <c r="H1469" s="297"/>
      <c r="I1469" s="298"/>
      <c r="J1469" s="304"/>
      <c r="K1469" s="300"/>
      <c r="L1469" s="301"/>
      <c r="M1469" s="297" t="s">
        <v>6582</v>
      </c>
      <c r="N1469" s="297"/>
      <c r="O1469" s="297"/>
      <c r="P1469" s="297"/>
      <c r="Q1469" s="297"/>
      <c r="R1469" s="297"/>
      <c r="S1469" s="302"/>
      <c r="T1469" s="302"/>
      <c r="U1469" s="303"/>
    </row>
    <row r="1470" spans="1:25" ht="25.5" x14ac:dyDescent="0.2">
      <c r="A1470" s="212" t="str">
        <f>HYPERLINK(V1470,B1470)</f>
        <v>SscCode</v>
      </c>
      <c r="B1470" s="283" t="s">
        <v>13131</v>
      </c>
      <c r="C1470" s="284" t="s">
        <v>16096</v>
      </c>
      <c r="D1470" s="285"/>
      <c r="E1470" s="286"/>
      <c r="F1470" s="287" t="s">
        <v>16097</v>
      </c>
      <c r="G1470" s="286"/>
      <c r="H1470" s="286"/>
      <c r="I1470" s="288"/>
      <c r="J1470" s="289"/>
      <c r="K1470" s="290"/>
      <c r="L1470" s="371" t="str">
        <f>HYPERLINK("[#]DatatypeListedValues!B8912:H8912","«enumeration»")</f>
        <v>«enumeration»</v>
      </c>
      <c r="M1470" s="287" t="s">
        <v>6582</v>
      </c>
      <c r="N1470" s="291" t="b">
        <v>0</v>
      </c>
      <c r="O1470" s="286"/>
      <c r="P1470" s="292"/>
      <c r="Q1470" s="286"/>
      <c r="R1470" s="286"/>
      <c r="S1470" s="293"/>
      <c r="T1470" s="294"/>
      <c r="U1470" s="37">
        <v>1464</v>
      </c>
      <c r="V1470" s="36" t="str">
        <f>CONCATENATE(Cover!$D$6,"fdd/view?i=",U1470)</f>
        <v>https://www.dgiwg.org/FAD/fdd/view?i=1464</v>
      </c>
      <c r="W1470" s="172"/>
      <c r="X1470" s="172"/>
      <c r="Y1470" s="172"/>
    </row>
    <row r="1471" spans="1:25" ht="2.1" customHeight="1" x14ac:dyDescent="0.2">
      <c r="A1471" s="295"/>
      <c r="B1471" s="283"/>
      <c r="C1471" s="296"/>
      <c r="D1471" s="283"/>
      <c r="E1471" s="296"/>
      <c r="F1471" s="297"/>
      <c r="G1471" s="297"/>
      <c r="H1471" s="297"/>
      <c r="I1471" s="298"/>
      <c r="J1471" s="304"/>
      <c r="K1471" s="300"/>
      <c r="L1471" s="301"/>
      <c r="M1471" s="297" t="s">
        <v>6582</v>
      </c>
      <c r="N1471" s="297"/>
      <c r="O1471" s="297"/>
      <c r="P1471" s="297"/>
      <c r="Q1471" s="297"/>
      <c r="R1471" s="297"/>
      <c r="S1471" s="302"/>
      <c r="T1471" s="302"/>
      <c r="U1471" s="303"/>
    </row>
    <row r="1472" spans="1:25" ht="25.5" x14ac:dyDescent="0.2">
      <c r="A1472" s="212" t="str">
        <f>HYPERLINK(V1472,B1472)</f>
        <v>SasCode</v>
      </c>
      <c r="B1472" s="283" t="s">
        <v>13136</v>
      </c>
      <c r="C1472" s="284" t="s">
        <v>16098</v>
      </c>
      <c r="D1472" s="285"/>
      <c r="E1472" s="286"/>
      <c r="F1472" s="287" t="s">
        <v>16099</v>
      </c>
      <c r="G1472" s="286"/>
      <c r="H1472" s="286"/>
      <c r="I1472" s="288"/>
      <c r="J1472" s="289"/>
      <c r="K1472" s="290"/>
      <c r="L1472" s="371" t="str">
        <f>HYPERLINK("[#]DatatypeListedValues!B8944:H8944","«enumeration»")</f>
        <v>«enumeration»</v>
      </c>
      <c r="M1472" s="287" t="s">
        <v>6582</v>
      </c>
      <c r="N1472" s="291" t="b">
        <v>0</v>
      </c>
      <c r="O1472" s="286"/>
      <c r="P1472" s="292"/>
      <c r="Q1472" s="286"/>
      <c r="R1472" s="286"/>
      <c r="S1472" s="293"/>
      <c r="T1472" s="294"/>
      <c r="U1472" s="37">
        <v>1594</v>
      </c>
      <c r="V1472" s="36" t="str">
        <f>CONCATENATE(Cover!$D$6,"fdd/view?i=",U1472)</f>
        <v>https://www.dgiwg.org/FAD/fdd/view?i=1594</v>
      </c>
      <c r="W1472" s="172"/>
      <c r="X1472" s="172"/>
      <c r="Y1472" s="172"/>
    </row>
    <row r="1473" spans="1:25" ht="2.1" customHeight="1" x14ac:dyDescent="0.2">
      <c r="A1473" s="295"/>
      <c r="B1473" s="283"/>
      <c r="C1473" s="296"/>
      <c r="D1473" s="283"/>
      <c r="E1473" s="296"/>
      <c r="F1473" s="297"/>
      <c r="G1473" s="297"/>
      <c r="H1473" s="297"/>
      <c r="I1473" s="298"/>
      <c r="J1473" s="304"/>
      <c r="K1473" s="300"/>
      <c r="L1473" s="301"/>
      <c r="M1473" s="297" t="s">
        <v>6582</v>
      </c>
      <c r="N1473" s="297"/>
      <c r="O1473" s="297"/>
      <c r="P1473" s="297"/>
      <c r="Q1473" s="297"/>
      <c r="R1473" s="297"/>
      <c r="S1473" s="302"/>
      <c r="T1473" s="302"/>
      <c r="U1473" s="303"/>
    </row>
    <row r="1474" spans="1:25" ht="25.5" x14ac:dyDescent="0.2">
      <c r="A1474" s="212" t="str">
        <f>HYPERLINK(V1474,B1474)</f>
        <v>SbtCode</v>
      </c>
      <c r="B1474" s="283" t="s">
        <v>13145</v>
      </c>
      <c r="C1474" s="284" t="s">
        <v>16100</v>
      </c>
      <c r="D1474" s="285"/>
      <c r="E1474" s="286"/>
      <c r="F1474" s="287" t="s">
        <v>16101</v>
      </c>
      <c r="G1474" s="286"/>
      <c r="H1474" s="286"/>
      <c r="I1474" s="288"/>
      <c r="J1474" s="289"/>
      <c r="K1474" s="290"/>
      <c r="L1474" s="371" t="str">
        <f>HYPERLINK("[#]DatatypeListedValues!B8947:H8947","«enumeration»")</f>
        <v>«enumeration»</v>
      </c>
      <c r="M1474" s="287" t="s">
        <v>6582</v>
      </c>
      <c r="N1474" s="291" t="b">
        <v>0</v>
      </c>
      <c r="O1474" s="286"/>
      <c r="P1474" s="292"/>
      <c r="Q1474" s="286"/>
      <c r="R1474" s="286"/>
      <c r="S1474" s="293"/>
      <c r="T1474" s="294"/>
      <c r="U1474" s="37">
        <v>1427</v>
      </c>
      <c r="V1474" s="36" t="str">
        <f>CONCATENATE(Cover!$D$6,"fdd/view?i=",U1474)</f>
        <v>https://www.dgiwg.org/FAD/fdd/view?i=1427</v>
      </c>
      <c r="W1474" s="172"/>
      <c r="X1474" s="172"/>
      <c r="Y1474" s="172"/>
    </row>
    <row r="1475" spans="1:25" ht="2.1" customHeight="1" x14ac:dyDescent="0.2">
      <c r="A1475" s="295"/>
      <c r="B1475" s="283"/>
      <c r="C1475" s="296"/>
      <c r="D1475" s="283"/>
      <c r="E1475" s="296"/>
      <c r="F1475" s="297"/>
      <c r="G1475" s="297"/>
      <c r="H1475" s="297"/>
      <c r="I1475" s="298"/>
      <c r="J1475" s="304"/>
      <c r="K1475" s="300"/>
      <c r="L1475" s="301"/>
      <c r="M1475" s="297" t="s">
        <v>6582</v>
      </c>
      <c r="N1475" s="297"/>
      <c r="O1475" s="297"/>
      <c r="P1475" s="297"/>
      <c r="Q1475" s="297"/>
      <c r="R1475" s="297"/>
      <c r="S1475" s="302"/>
      <c r="T1475" s="302"/>
      <c r="U1475" s="303"/>
    </row>
    <row r="1476" spans="1:25" ht="25.5" x14ac:dyDescent="0.2">
      <c r="A1476" s="212" t="str">
        <f>HYPERLINK(V1476,B1476)</f>
        <v>SubCode</v>
      </c>
      <c r="B1476" s="283" t="s">
        <v>13150</v>
      </c>
      <c r="C1476" s="284" t="s">
        <v>16102</v>
      </c>
      <c r="D1476" s="285"/>
      <c r="E1476" s="286"/>
      <c r="F1476" s="287" t="s">
        <v>16103</v>
      </c>
      <c r="G1476" s="286"/>
      <c r="H1476" s="286"/>
      <c r="I1476" s="288"/>
      <c r="J1476" s="289"/>
      <c r="K1476" s="290"/>
      <c r="L1476" s="371" t="str">
        <f>HYPERLINK("[#]DatatypeListedValues!B8950:H8950","«enumeration»")</f>
        <v>«enumeration»</v>
      </c>
      <c r="M1476" s="287" t="s">
        <v>6582</v>
      </c>
      <c r="N1476" s="291" t="b">
        <v>0</v>
      </c>
      <c r="O1476" s="286"/>
      <c r="P1476" s="292"/>
      <c r="Q1476" s="286"/>
      <c r="R1476" s="286"/>
      <c r="S1476" s="293"/>
      <c r="T1476" s="294"/>
      <c r="U1476" s="37">
        <v>114495</v>
      </c>
      <c r="V1476" s="36" t="str">
        <f>CONCATENATE(Cover!$D$6,"fdd/view?i=",U1476)</f>
        <v>https://www.dgiwg.org/FAD/fdd/view?i=114495</v>
      </c>
      <c r="W1476" s="172"/>
      <c r="X1476" s="172"/>
      <c r="Y1476" s="172"/>
    </row>
    <row r="1477" spans="1:25" ht="2.1" customHeight="1" x14ac:dyDescent="0.2">
      <c r="A1477" s="295"/>
      <c r="B1477" s="283"/>
      <c r="C1477" s="296"/>
      <c r="D1477" s="283"/>
      <c r="E1477" s="296"/>
      <c r="F1477" s="297"/>
      <c r="G1477" s="297"/>
      <c r="H1477" s="297"/>
      <c r="I1477" s="298"/>
      <c r="J1477" s="304"/>
      <c r="K1477" s="300"/>
      <c r="L1477" s="301"/>
      <c r="M1477" s="297" t="s">
        <v>6582</v>
      </c>
      <c r="N1477" s="297"/>
      <c r="O1477" s="297"/>
      <c r="P1477" s="297"/>
      <c r="Q1477" s="297"/>
      <c r="R1477" s="297"/>
      <c r="S1477" s="302"/>
      <c r="T1477" s="302"/>
      <c r="U1477" s="303"/>
    </row>
    <row r="1478" spans="1:25" ht="25.5" x14ac:dyDescent="0.2">
      <c r="A1478" s="212" t="str">
        <f>HYPERLINK(V1478,B1478)</f>
        <v>SdyCode</v>
      </c>
      <c r="B1478" s="283" t="s">
        <v>13173</v>
      </c>
      <c r="C1478" s="284" t="s">
        <v>16104</v>
      </c>
      <c r="D1478" s="285"/>
      <c r="E1478" s="286"/>
      <c r="F1478" s="287" t="s">
        <v>16105</v>
      </c>
      <c r="G1478" s="286"/>
      <c r="H1478" s="286"/>
      <c r="I1478" s="288"/>
      <c r="J1478" s="289"/>
      <c r="K1478" s="290"/>
      <c r="L1478" s="371" t="str">
        <f>HYPERLINK("[#]DatatypeListedValues!B8955:H8955","«enumeration»")</f>
        <v>«enumeration»</v>
      </c>
      <c r="M1478" s="287" t="s">
        <v>6582</v>
      </c>
      <c r="N1478" s="291" t="b">
        <v>0</v>
      </c>
      <c r="O1478" s="286"/>
      <c r="P1478" s="292"/>
      <c r="Q1478" s="286"/>
      <c r="R1478" s="286"/>
      <c r="S1478" s="293"/>
      <c r="T1478" s="294"/>
      <c r="U1478" s="37">
        <v>119797</v>
      </c>
      <c r="V1478" s="36" t="str">
        <f>CONCATENATE(Cover!$D$6,"fdd/view?i=",U1478)</f>
        <v>https://www.dgiwg.org/FAD/fdd/view?i=119797</v>
      </c>
      <c r="W1478" s="172"/>
      <c r="X1478" s="172"/>
      <c r="Y1478" s="172"/>
    </row>
    <row r="1479" spans="1:25" ht="2.1" customHeight="1" x14ac:dyDescent="0.2">
      <c r="A1479" s="295"/>
      <c r="B1479" s="283"/>
      <c r="C1479" s="296"/>
      <c r="D1479" s="283"/>
      <c r="E1479" s="296"/>
      <c r="F1479" s="297"/>
      <c r="G1479" s="297"/>
      <c r="H1479" s="297"/>
      <c r="I1479" s="298"/>
      <c r="J1479" s="304"/>
      <c r="K1479" s="300"/>
      <c r="L1479" s="301"/>
      <c r="M1479" s="297" t="s">
        <v>6582</v>
      </c>
      <c r="N1479" s="297"/>
      <c r="O1479" s="297"/>
      <c r="P1479" s="297"/>
      <c r="Q1479" s="297"/>
      <c r="R1479" s="297"/>
      <c r="S1479" s="302"/>
      <c r="T1479" s="302"/>
      <c r="U1479" s="303"/>
    </row>
    <row r="1480" spans="1:25" ht="25.5" x14ac:dyDescent="0.2">
      <c r="A1480" s="212" t="str">
        <f>HYPERLINK(V1480,B1480)</f>
        <v>SmcCode</v>
      </c>
      <c r="B1480" s="283" t="s">
        <v>13179</v>
      </c>
      <c r="C1480" s="284" t="s">
        <v>16106</v>
      </c>
      <c r="D1480" s="285"/>
      <c r="E1480" s="286"/>
      <c r="F1480" s="287" t="s">
        <v>16107</v>
      </c>
      <c r="G1480" s="286"/>
      <c r="H1480" s="286"/>
      <c r="I1480" s="288"/>
      <c r="J1480" s="289"/>
      <c r="K1480" s="290"/>
      <c r="L1480" s="371" t="str">
        <f>HYPERLINK("[#]DatatypeListedValues!B8957:H8957","«enumeration»")</f>
        <v>«enumeration»</v>
      </c>
      <c r="M1480" s="287" t="s">
        <v>6582</v>
      </c>
      <c r="N1480" s="291" t="b">
        <v>0</v>
      </c>
      <c r="O1480" s="286"/>
      <c r="P1480" s="292"/>
      <c r="Q1480" s="286"/>
      <c r="R1480" s="286"/>
      <c r="S1480" s="293"/>
      <c r="T1480" s="294"/>
      <c r="U1480" s="37">
        <v>1453</v>
      </c>
      <c r="V1480" s="36" t="str">
        <f>CONCATENATE(Cover!$D$6,"fdd/view?i=",U1480)</f>
        <v>https://www.dgiwg.org/FAD/fdd/view?i=1453</v>
      </c>
      <c r="W1480" s="172"/>
      <c r="X1480" s="172"/>
      <c r="Y1480" s="172"/>
    </row>
    <row r="1481" spans="1:25" ht="2.1" customHeight="1" x14ac:dyDescent="0.2">
      <c r="A1481" s="295"/>
      <c r="B1481" s="283"/>
      <c r="C1481" s="296"/>
      <c r="D1481" s="283"/>
      <c r="E1481" s="296"/>
      <c r="F1481" s="297"/>
      <c r="G1481" s="297"/>
      <c r="H1481" s="297"/>
      <c r="I1481" s="298"/>
      <c r="J1481" s="304"/>
      <c r="K1481" s="300"/>
      <c r="L1481" s="301"/>
      <c r="M1481" s="297" t="s">
        <v>6582</v>
      </c>
      <c r="N1481" s="297"/>
      <c r="O1481" s="297"/>
      <c r="P1481" s="297"/>
      <c r="Q1481" s="297"/>
      <c r="R1481" s="297"/>
      <c r="S1481" s="302"/>
      <c r="T1481" s="302"/>
      <c r="U1481" s="303"/>
    </row>
    <row r="1482" spans="1:25" ht="25.5" x14ac:dyDescent="0.2">
      <c r="A1482" s="212" t="str">
        <f>HYPERLINK(V1482,B1482)</f>
        <v>CpaCode</v>
      </c>
      <c r="B1482" s="283" t="s">
        <v>13194</v>
      </c>
      <c r="C1482" s="284" t="s">
        <v>16108</v>
      </c>
      <c r="D1482" s="285"/>
      <c r="E1482" s="286"/>
      <c r="F1482" s="287" t="s">
        <v>16109</v>
      </c>
      <c r="G1482" s="286"/>
      <c r="H1482" s="286"/>
      <c r="I1482" s="288"/>
      <c r="J1482" s="289"/>
      <c r="K1482" s="290"/>
      <c r="L1482" s="371" t="str">
        <f>HYPERLINK("[#]DatatypeListedValues!B9078:H9078","«enumeration»")</f>
        <v>«enumeration»</v>
      </c>
      <c r="M1482" s="287" t="s">
        <v>6582</v>
      </c>
      <c r="N1482" s="291" t="b">
        <v>0</v>
      </c>
      <c r="O1482" s="286"/>
      <c r="P1482" s="292"/>
      <c r="Q1482" s="286"/>
      <c r="R1482" s="286"/>
      <c r="S1482" s="293"/>
      <c r="T1482" s="294"/>
      <c r="U1482" s="37">
        <v>1177</v>
      </c>
      <c r="V1482" s="36" t="str">
        <f>CONCATENATE(Cover!$D$6,"fdd/view?i=",U1482)</f>
        <v>https://www.dgiwg.org/FAD/fdd/view?i=1177</v>
      </c>
      <c r="W1482" s="172"/>
      <c r="X1482" s="172"/>
      <c r="Y1482" s="172"/>
    </row>
    <row r="1483" spans="1:25" ht="2.1" customHeight="1" x14ac:dyDescent="0.2">
      <c r="A1483" s="295"/>
      <c r="B1483" s="283"/>
      <c r="C1483" s="296"/>
      <c r="D1483" s="283"/>
      <c r="E1483" s="296"/>
      <c r="F1483" s="297"/>
      <c r="G1483" s="297"/>
      <c r="H1483" s="297"/>
      <c r="I1483" s="298"/>
      <c r="J1483" s="304"/>
      <c r="K1483" s="300"/>
      <c r="L1483" s="301"/>
      <c r="M1483" s="297" t="s">
        <v>6582</v>
      </c>
      <c r="N1483" s="297"/>
      <c r="O1483" s="297"/>
      <c r="P1483" s="297"/>
      <c r="Q1483" s="297"/>
      <c r="R1483" s="297"/>
      <c r="S1483" s="302"/>
      <c r="T1483" s="302"/>
      <c r="U1483" s="303"/>
    </row>
    <row r="1484" spans="1:25" ht="25.5" x14ac:dyDescent="0.2">
      <c r="A1484" s="212" t="str">
        <f>HYPERLINK(V1484,B1484)</f>
        <v>SurCode</v>
      </c>
      <c r="B1484" s="283" t="s">
        <v>13200</v>
      </c>
      <c r="C1484" s="284" t="s">
        <v>16110</v>
      </c>
      <c r="D1484" s="285"/>
      <c r="E1484" s="286"/>
      <c r="F1484" s="287" t="s">
        <v>16111</v>
      </c>
      <c r="G1484" s="286"/>
      <c r="H1484" s="286"/>
      <c r="I1484" s="288"/>
      <c r="J1484" s="289"/>
      <c r="K1484" s="290"/>
      <c r="L1484" s="371" t="str">
        <f>HYPERLINK("[#]DatatypeListedValues!B9091:H9091","«enumeration»")</f>
        <v>«enumeration»</v>
      </c>
      <c r="M1484" s="287" t="s">
        <v>6582</v>
      </c>
      <c r="N1484" s="291" t="b">
        <v>0</v>
      </c>
      <c r="O1484" s="286"/>
      <c r="P1484" s="292"/>
      <c r="Q1484" s="286"/>
      <c r="R1484" s="286"/>
      <c r="S1484" s="293"/>
      <c r="T1484" s="294"/>
      <c r="U1484" s="37">
        <v>1476</v>
      </c>
      <c r="V1484" s="36" t="str">
        <f>CONCATENATE(Cover!$D$6,"fdd/view?i=",U1484)</f>
        <v>https://www.dgiwg.org/FAD/fdd/view?i=1476</v>
      </c>
      <c r="W1484" s="172"/>
      <c r="X1484" s="172"/>
      <c r="Y1484" s="172"/>
    </row>
    <row r="1485" spans="1:25" ht="2.1" customHeight="1" x14ac:dyDescent="0.2">
      <c r="A1485" s="295"/>
      <c r="B1485" s="283"/>
      <c r="C1485" s="296"/>
      <c r="D1485" s="283"/>
      <c r="E1485" s="296"/>
      <c r="F1485" s="297"/>
      <c r="G1485" s="297"/>
      <c r="H1485" s="297"/>
      <c r="I1485" s="298"/>
      <c r="J1485" s="304"/>
      <c r="K1485" s="300"/>
      <c r="L1485" s="301"/>
      <c r="M1485" s="297" t="s">
        <v>6582</v>
      </c>
      <c r="N1485" s="297"/>
      <c r="O1485" s="297"/>
      <c r="P1485" s="297"/>
      <c r="Q1485" s="297"/>
      <c r="R1485" s="297"/>
      <c r="S1485" s="302"/>
      <c r="T1485" s="302"/>
      <c r="U1485" s="303"/>
    </row>
    <row r="1486" spans="1:25" ht="153" x14ac:dyDescent="0.2">
      <c r="A1486" s="212" t="str">
        <f>HYPERLINK(V1486,B1486)</f>
        <v>SuvStrucText</v>
      </c>
      <c r="B1486" s="283" t="s">
        <v>13205</v>
      </c>
      <c r="C1486" s="284" t="s">
        <v>16112</v>
      </c>
      <c r="D1486" s="285"/>
      <c r="E1486" s="286"/>
      <c r="F1486" s="287" t="s">
        <v>16113</v>
      </c>
      <c r="G1486" s="286"/>
      <c r="H1486" s="287" t="s">
        <v>14552</v>
      </c>
      <c r="I1486" s="288"/>
      <c r="J1486" s="289"/>
      <c r="K1486" s="290"/>
      <c r="L1486" s="287" t="s">
        <v>14551</v>
      </c>
      <c r="M1486" s="287" t="s">
        <v>6582</v>
      </c>
      <c r="N1486" s="286"/>
      <c r="O1486" s="287">
        <v>17</v>
      </c>
      <c r="P1486" s="305" t="b">
        <v>0</v>
      </c>
      <c r="Q1486" s="287" t="s">
        <v>15772</v>
      </c>
      <c r="R1486" s="286"/>
      <c r="S1486" s="293"/>
      <c r="T1486" s="294"/>
      <c r="U1486" s="37">
        <v>3781</v>
      </c>
      <c r="V1486" s="36" t="str">
        <f>CONCATENATE(Cover!$D$6,"fdd/view?i=",U1486)</f>
        <v>https://www.dgiwg.org/FAD/fdd/view?i=3781</v>
      </c>
      <c r="W1486" s="172"/>
      <c r="X1486" s="172"/>
      <c r="Y1486" s="172"/>
    </row>
    <row r="1487" spans="1:25" ht="2.1" customHeight="1" x14ac:dyDescent="0.2">
      <c r="A1487" s="295"/>
      <c r="B1487" s="283"/>
      <c r="C1487" s="296"/>
      <c r="D1487" s="283"/>
      <c r="E1487" s="296"/>
      <c r="F1487" s="297"/>
      <c r="G1487" s="297"/>
      <c r="H1487" s="297"/>
      <c r="I1487" s="298"/>
      <c r="J1487" s="304"/>
      <c r="K1487" s="300"/>
      <c r="L1487" s="301"/>
      <c r="M1487" s="297" t="s">
        <v>6582</v>
      </c>
      <c r="N1487" s="297"/>
      <c r="O1487" s="297"/>
      <c r="P1487" s="297"/>
      <c r="Q1487" s="297"/>
      <c r="R1487" s="297"/>
      <c r="S1487" s="302"/>
      <c r="T1487" s="302"/>
      <c r="U1487" s="303"/>
    </row>
    <row r="1488" spans="1:25" ht="25.5" x14ac:dyDescent="0.2">
      <c r="A1488" s="212" t="str">
        <f>HYPERLINK(V1488,B1488)</f>
        <v>SumCode</v>
      </c>
      <c r="B1488" s="283" t="s">
        <v>13210</v>
      </c>
      <c r="C1488" s="284" t="s">
        <v>16114</v>
      </c>
      <c r="D1488" s="285"/>
      <c r="E1488" s="286"/>
      <c r="F1488" s="287" t="s">
        <v>16115</v>
      </c>
      <c r="G1488" s="286"/>
      <c r="H1488" s="286"/>
      <c r="I1488" s="288"/>
      <c r="J1488" s="289"/>
      <c r="K1488" s="290"/>
      <c r="L1488" s="371" t="str">
        <f>HYPERLINK("[#]DatatypeListedValues!B9094:H9094","«enumeration»")</f>
        <v>«enumeration»</v>
      </c>
      <c r="M1488" s="287" t="s">
        <v>6582</v>
      </c>
      <c r="N1488" s="291" t="b">
        <v>0</v>
      </c>
      <c r="O1488" s="286"/>
      <c r="P1488" s="292"/>
      <c r="Q1488" s="286"/>
      <c r="R1488" s="286"/>
      <c r="S1488" s="293"/>
      <c r="T1488" s="294"/>
      <c r="U1488" s="37">
        <v>119798</v>
      </c>
      <c r="V1488" s="36" t="str">
        <f>CONCATENATE(Cover!$D$6,"fdd/view?i=",U1488)</f>
        <v>https://www.dgiwg.org/FAD/fdd/view?i=119798</v>
      </c>
      <c r="W1488" s="172"/>
      <c r="X1488" s="172"/>
      <c r="Y1488" s="172"/>
    </row>
    <row r="1489" spans="1:25" ht="2.1" customHeight="1" x14ac:dyDescent="0.2">
      <c r="A1489" s="295"/>
      <c r="B1489" s="283"/>
      <c r="C1489" s="296"/>
      <c r="D1489" s="283"/>
      <c r="E1489" s="296"/>
      <c r="F1489" s="297"/>
      <c r="G1489" s="297"/>
      <c r="H1489" s="297"/>
      <c r="I1489" s="298"/>
      <c r="J1489" s="304"/>
      <c r="K1489" s="300"/>
      <c r="L1489" s="301"/>
      <c r="M1489" s="297" t="s">
        <v>6582</v>
      </c>
      <c r="N1489" s="297"/>
      <c r="O1489" s="297"/>
      <c r="P1489" s="297"/>
      <c r="Q1489" s="297"/>
      <c r="R1489" s="297"/>
      <c r="S1489" s="302"/>
      <c r="T1489" s="302"/>
      <c r="U1489" s="303"/>
    </row>
    <row r="1490" spans="1:25" ht="25.5" x14ac:dyDescent="0.2">
      <c r="A1490" s="212" t="str">
        <f>HYPERLINK(V1490,B1490)</f>
        <v>SuyCode</v>
      </c>
      <c r="B1490" s="283" t="s">
        <v>13215</v>
      </c>
      <c r="C1490" s="284" t="s">
        <v>16116</v>
      </c>
      <c r="D1490" s="285"/>
      <c r="E1490" s="286"/>
      <c r="F1490" s="287" t="s">
        <v>16117</v>
      </c>
      <c r="G1490" s="286"/>
      <c r="H1490" s="286"/>
      <c r="I1490" s="288"/>
      <c r="J1490" s="289"/>
      <c r="K1490" s="290"/>
      <c r="L1490" s="371" t="str">
        <f>HYPERLINK("[#]DatatypeListedValues!B9097:H9097","«enumeration»")</f>
        <v>«enumeration»</v>
      </c>
      <c r="M1490" s="287" t="s">
        <v>6582</v>
      </c>
      <c r="N1490" s="291" t="b">
        <v>0</v>
      </c>
      <c r="O1490" s="286"/>
      <c r="P1490" s="292"/>
      <c r="Q1490" s="286"/>
      <c r="R1490" s="286"/>
      <c r="S1490" s="293"/>
      <c r="T1490" s="294"/>
      <c r="U1490" s="37">
        <v>119799</v>
      </c>
      <c r="V1490" s="36" t="str">
        <f>CONCATENATE(Cover!$D$6,"fdd/view?i=",U1490)</f>
        <v>https://www.dgiwg.org/FAD/fdd/view?i=119799</v>
      </c>
      <c r="W1490" s="172"/>
      <c r="X1490" s="172"/>
      <c r="Y1490" s="172"/>
    </row>
    <row r="1491" spans="1:25" ht="2.1" customHeight="1" x14ac:dyDescent="0.2">
      <c r="A1491" s="295"/>
      <c r="B1491" s="283"/>
      <c r="C1491" s="296"/>
      <c r="D1491" s="283"/>
      <c r="E1491" s="296"/>
      <c r="F1491" s="297"/>
      <c r="G1491" s="297"/>
      <c r="H1491" s="297"/>
      <c r="I1491" s="298"/>
      <c r="J1491" s="304"/>
      <c r="K1491" s="300"/>
      <c r="L1491" s="301"/>
      <c r="M1491" s="297" t="s">
        <v>6582</v>
      </c>
      <c r="N1491" s="297"/>
      <c r="O1491" s="297"/>
      <c r="P1491" s="297"/>
      <c r="Q1491" s="297"/>
      <c r="R1491" s="297"/>
      <c r="S1491" s="302"/>
      <c r="T1491" s="302"/>
      <c r="U1491" s="303"/>
    </row>
    <row r="1492" spans="1:25" ht="25.5" x14ac:dyDescent="0.2">
      <c r="A1492" s="212" t="str">
        <f>HYPERLINK(V1492,B1492)</f>
        <v>SuhCode</v>
      </c>
      <c r="B1492" s="283" t="s">
        <v>13220</v>
      </c>
      <c r="C1492" s="284" t="s">
        <v>16118</v>
      </c>
      <c r="D1492" s="285"/>
      <c r="E1492" s="286"/>
      <c r="F1492" s="287" t="s">
        <v>16119</v>
      </c>
      <c r="G1492" s="286"/>
      <c r="H1492" s="286"/>
      <c r="I1492" s="288"/>
      <c r="J1492" s="289"/>
      <c r="K1492" s="290"/>
      <c r="L1492" s="371" t="str">
        <f>HYPERLINK("[#]DatatypeListedValues!B9107:H9107","«enumeration»")</f>
        <v>«enumeration»</v>
      </c>
      <c r="M1492" s="287" t="s">
        <v>6582</v>
      </c>
      <c r="N1492" s="291" t="b">
        <v>0</v>
      </c>
      <c r="O1492" s="286"/>
      <c r="P1492" s="292"/>
      <c r="Q1492" s="286"/>
      <c r="R1492" s="286"/>
      <c r="S1492" s="293"/>
      <c r="T1492" s="294"/>
      <c r="U1492" s="37">
        <v>119873</v>
      </c>
      <c r="V1492" s="36" t="str">
        <f>CONCATENATE(Cover!$D$6,"fdd/view?i=",U1492)</f>
        <v>https://www.dgiwg.org/FAD/fdd/view?i=119873</v>
      </c>
      <c r="W1492" s="172"/>
      <c r="X1492" s="172"/>
      <c r="Y1492" s="172"/>
    </row>
    <row r="1493" spans="1:25" ht="2.1" customHeight="1" x14ac:dyDescent="0.2">
      <c r="A1493" s="295"/>
      <c r="B1493" s="283"/>
      <c r="C1493" s="296"/>
      <c r="D1493" s="283"/>
      <c r="E1493" s="296"/>
      <c r="F1493" s="297"/>
      <c r="G1493" s="297"/>
      <c r="H1493" s="297"/>
      <c r="I1493" s="298"/>
      <c r="J1493" s="304"/>
      <c r="K1493" s="300"/>
      <c r="L1493" s="301"/>
      <c r="M1493" s="297" t="s">
        <v>6582</v>
      </c>
      <c r="N1493" s="297"/>
      <c r="O1493" s="297"/>
      <c r="P1493" s="297"/>
      <c r="Q1493" s="297"/>
      <c r="R1493" s="297"/>
      <c r="S1493" s="302"/>
      <c r="T1493" s="302"/>
      <c r="U1493" s="303"/>
    </row>
    <row r="1494" spans="1:25" ht="25.5" x14ac:dyDescent="0.2">
      <c r="A1494" s="212" t="str">
        <f>HYPERLINK(V1494,B1494)</f>
        <v>SwaCode</v>
      </c>
      <c r="B1494" s="283" t="s">
        <v>13229</v>
      </c>
      <c r="C1494" s="284" t="s">
        <v>16120</v>
      </c>
      <c r="D1494" s="285"/>
      <c r="E1494" s="286"/>
      <c r="F1494" s="287" t="s">
        <v>16121</v>
      </c>
      <c r="G1494" s="286"/>
      <c r="H1494" s="286"/>
      <c r="I1494" s="288"/>
      <c r="J1494" s="289"/>
      <c r="K1494" s="290"/>
      <c r="L1494" s="371" t="str">
        <f>HYPERLINK("[#]DatatypeListedValues!B9129:H9129","«enumeration»")</f>
        <v>«enumeration»</v>
      </c>
      <c r="M1494" s="287" t="s">
        <v>6582</v>
      </c>
      <c r="N1494" s="291" t="b">
        <v>0</v>
      </c>
      <c r="O1494" s="286"/>
      <c r="P1494" s="292"/>
      <c r="Q1494" s="286"/>
      <c r="R1494" s="286"/>
      <c r="S1494" s="293"/>
      <c r="T1494" s="294"/>
      <c r="U1494" s="37">
        <v>1598</v>
      </c>
      <c r="V1494" s="36" t="str">
        <f>CONCATENATE(Cover!$D$6,"fdd/view?i=",U1494)</f>
        <v>https://www.dgiwg.org/FAD/fdd/view?i=1598</v>
      </c>
      <c r="W1494" s="172"/>
      <c r="X1494" s="172"/>
      <c r="Y1494" s="172"/>
    </row>
    <row r="1495" spans="1:25" ht="2.1" customHeight="1" x14ac:dyDescent="0.2">
      <c r="A1495" s="295"/>
      <c r="B1495" s="283"/>
      <c r="C1495" s="296"/>
      <c r="D1495" s="283"/>
      <c r="E1495" s="296"/>
      <c r="F1495" s="297"/>
      <c r="G1495" s="297"/>
      <c r="H1495" s="297"/>
      <c r="I1495" s="298"/>
      <c r="J1495" s="304"/>
      <c r="K1495" s="300"/>
      <c r="L1495" s="301"/>
      <c r="M1495" s="297" t="s">
        <v>6582</v>
      </c>
      <c r="N1495" s="297"/>
      <c r="O1495" s="297"/>
      <c r="P1495" s="297"/>
      <c r="Q1495" s="297"/>
      <c r="R1495" s="297"/>
      <c r="S1495" s="302"/>
      <c r="T1495" s="302"/>
      <c r="U1495" s="303"/>
    </row>
    <row r="1496" spans="1:25" ht="25.5" x14ac:dyDescent="0.2">
      <c r="A1496" s="212" t="str">
        <f>HYPERLINK(V1496,B1496)</f>
        <v>MscCode</v>
      </c>
      <c r="B1496" s="283" t="s">
        <v>13234</v>
      </c>
      <c r="C1496" s="284" t="s">
        <v>16122</v>
      </c>
      <c r="D1496" s="285"/>
      <c r="E1496" s="286"/>
      <c r="F1496" s="287" t="s">
        <v>16123</v>
      </c>
      <c r="G1496" s="286"/>
      <c r="H1496" s="286"/>
      <c r="I1496" s="288"/>
      <c r="J1496" s="289"/>
      <c r="K1496" s="290"/>
      <c r="L1496" s="371" t="str">
        <f>HYPERLINK("[#]DatatypeListedValues!B9132:H9132","«enumeration»")</f>
        <v>«enumeration»</v>
      </c>
      <c r="M1496" s="287" t="s">
        <v>6582</v>
      </c>
      <c r="N1496" s="291" t="b">
        <v>0</v>
      </c>
      <c r="O1496" s="286"/>
      <c r="P1496" s="292"/>
      <c r="Q1496" s="286"/>
      <c r="R1496" s="286"/>
      <c r="S1496" s="293"/>
      <c r="T1496" s="294"/>
      <c r="U1496" s="37">
        <v>1322</v>
      </c>
      <c r="V1496" s="36" t="str">
        <f>CONCATENATE(Cover!$D$6,"fdd/view?i=",U1496)</f>
        <v>https://www.dgiwg.org/FAD/fdd/view?i=1322</v>
      </c>
      <c r="W1496" s="172"/>
      <c r="X1496" s="172"/>
      <c r="Y1496" s="172"/>
    </row>
    <row r="1497" spans="1:25" ht="2.1" customHeight="1" x14ac:dyDescent="0.2">
      <c r="A1497" s="295"/>
      <c r="B1497" s="283"/>
      <c r="C1497" s="296"/>
      <c r="D1497" s="283"/>
      <c r="E1497" s="296"/>
      <c r="F1497" s="297"/>
      <c r="G1497" s="297"/>
      <c r="H1497" s="297"/>
      <c r="I1497" s="298"/>
      <c r="J1497" s="304"/>
      <c r="K1497" s="300"/>
      <c r="L1497" s="301"/>
      <c r="M1497" s="297" t="s">
        <v>6582</v>
      </c>
      <c r="N1497" s="297"/>
      <c r="O1497" s="297"/>
      <c r="P1497" s="297"/>
      <c r="Q1497" s="297"/>
      <c r="R1497" s="297"/>
      <c r="S1497" s="302"/>
      <c r="T1497" s="302"/>
      <c r="U1497" s="303"/>
    </row>
    <row r="1498" spans="1:25" ht="25.5" x14ac:dyDescent="0.2">
      <c r="A1498" s="212" t="str">
        <f>HYPERLINK(V1498,B1498)</f>
        <v>TacCode</v>
      </c>
      <c r="B1498" s="283" t="s">
        <v>13245</v>
      </c>
      <c r="C1498" s="284" t="s">
        <v>16124</v>
      </c>
      <c r="D1498" s="285"/>
      <c r="E1498" s="286"/>
      <c r="F1498" s="287" t="s">
        <v>16125</v>
      </c>
      <c r="G1498" s="286"/>
      <c r="H1498" s="286"/>
      <c r="I1498" s="288"/>
      <c r="J1498" s="289"/>
      <c r="K1498" s="290"/>
      <c r="L1498" s="371" t="str">
        <f>HYPERLINK("[#]DatatypeListedValues!B9143:H9143","«enumeration»")</f>
        <v>«enumeration»</v>
      </c>
      <c r="M1498" s="287" t="s">
        <v>6582</v>
      </c>
      <c r="N1498" s="287" t="b">
        <v>1</v>
      </c>
      <c r="O1498" s="286"/>
      <c r="P1498" s="292"/>
      <c r="Q1498" s="286"/>
      <c r="R1498" s="286"/>
      <c r="S1498" s="293"/>
      <c r="T1498" s="294"/>
      <c r="U1498" s="37">
        <v>117423</v>
      </c>
      <c r="V1498" s="36" t="str">
        <f>CONCATENATE(Cover!$D$6,"fdd/view?i=",U1498)</f>
        <v>https://www.dgiwg.org/FAD/fdd/view?i=117423</v>
      </c>
      <c r="W1498" s="172"/>
      <c r="X1498" s="172"/>
      <c r="Y1498" s="172"/>
    </row>
    <row r="1499" spans="1:25" ht="2.1" customHeight="1" x14ac:dyDescent="0.2">
      <c r="A1499" s="295"/>
      <c r="B1499" s="283"/>
      <c r="C1499" s="296"/>
      <c r="D1499" s="283"/>
      <c r="E1499" s="296"/>
      <c r="F1499" s="297"/>
      <c r="G1499" s="297"/>
      <c r="H1499" s="297"/>
      <c r="I1499" s="298"/>
      <c r="J1499" s="304"/>
      <c r="K1499" s="300"/>
      <c r="L1499" s="301"/>
      <c r="M1499" s="297" t="s">
        <v>6582</v>
      </c>
      <c r="N1499" s="297"/>
      <c r="O1499" s="297"/>
      <c r="P1499" s="297"/>
      <c r="Q1499" s="297"/>
      <c r="R1499" s="297"/>
      <c r="S1499" s="302"/>
      <c r="T1499" s="302"/>
      <c r="U1499" s="303"/>
    </row>
    <row r="1500" spans="1:25" ht="25.5" x14ac:dyDescent="0.2">
      <c r="A1500" s="212" t="str">
        <f>HYPERLINK(V1500,B1500)</f>
        <v>TcaCode</v>
      </c>
      <c r="B1500" s="283" t="s">
        <v>13251</v>
      </c>
      <c r="C1500" s="284" t="s">
        <v>16126</v>
      </c>
      <c r="D1500" s="285"/>
      <c r="E1500" s="286"/>
      <c r="F1500" s="287" t="s">
        <v>16127</v>
      </c>
      <c r="G1500" s="286"/>
      <c r="H1500" s="286"/>
      <c r="I1500" s="288"/>
      <c r="J1500" s="289"/>
      <c r="K1500" s="290"/>
      <c r="L1500" s="371" t="str">
        <f>HYPERLINK("[#]DatatypeListedValues!B9495:H9495","«enumeration»")</f>
        <v>«enumeration»</v>
      </c>
      <c r="M1500" s="287" t="s">
        <v>6582</v>
      </c>
      <c r="N1500" s="291" t="b">
        <v>0</v>
      </c>
      <c r="O1500" s="286"/>
      <c r="P1500" s="292"/>
      <c r="Q1500" s="286"/>
      <c r="R1500" s="286"/>
      <c r="S1500" s="293"/>
      <c r="T1500" s="294"/>
      <c r="U1500" s="37">
        <v>117425</v>
      </c>
      <c r="V1500" s="36" t="str">
        <f>CONCATENATE(Cover!$D$6,"fdd/view?i=",U1500)</f>
        <v>https://www.dgiwg.org/FAD/fdd/view?i=117425</v>
      </c>
      <c r="W1500" s="172"/>
      <c r="X1500" s="172"/>
      <c r="Y1500" s="172"/>
    </row>
    <row r="1501" spans="1:25" ht="2.1" customHeight="1" x14ac:dyDescent="0.2">
      <c r="A1501" s="295"/>
      <c r="B1501" s="283"/>
      <c r="C1501" s="296"/>
      <c r="D1501" s="283"/>
      <c r="E1501" s="296"/>
      <c r="F1501" s="297"/>
      <c r="G1501" s="297"/>
      <c r="H1501" s="297"/>
      <c r="I1501" s="298"/>
      <c r="J1501" s="304"/>
      <c r="K1501" s="300"/>
      <c r="L1501" s="301"/>
      <c r="M1501" s="297" t="s">
        <v>6582</v>
      </c>
      <c r="N1501" s="297"/>
      <c r="O1501" s="297"/>
      <c r="P1501" s="297"/>
      <c r="Q1501" s="297"/>
      <c r="R1501" s="297"/>
      <c r="S1501" s="302"/>
      <c r="T1501" s="302"/>
      <c r="U1501" s="303"/>
    </row>
    <row r="1502" spans="1:25" ht="38.25" x14ac:dyDescent="0.2">
      <c r="A1502" s="212" t="str">
        <f>HYPERLINK(V1502,B1502)</f>
        <v>TlcCode</v>
      </c>
      <c r="B1502" s="283" t="s">
        <v>13256</v>
      </c>
      <c r="C1502" s="284" t="s">
        <v>16128</v>
      </c>
      <c r="D1502" s="285"/>
      <c r="E1502" s="286"/>
      <c r="F1502" s="287" t="s">
        <v>16129</v>
      </c>
      <c r="G1502" s="286"/>
      <c r="H1502" s="286"/>
      <c r="I1502" s="288"/>
      <c r="J1502" s="289"/>
      <c r="K1502" s="290"/>
      <c r="L1502" s="371" t="str">
        <f>HYPERLINK("[#]DatatypeListedValues!B9497:H9497","«enumeration»")</f>
        <v>«enumeration»</v>
      </c>
      <c r="M1502" s="287" t="s">
        <v>6582</v>
      </c>
      <c r="N1502" s="291" t="b">
        <v>0</v>
      </c>
      <c r="O1502" s="286"/>
      <c r="P1502" s="292"/>
      <c r="Q1502" s="286"/>
      <c r="R1502" s="286"/>
      <c r="S1502" s="293"/>
      <c r="T1502" s="294"/>
      <c r="U1502" s="37">
        <v>117426</v>
      </c>
      <c r="V1502" s="36" t="str">
        <f>CONCATENATE(Cover!$D$6,"fdd/view?i=",U1502)</f>
        <v>https://www.dgiwg.org/FAD/fdd/view?i=117426</v>
      </c>
      <c r="W1502" s="172"/>
      <c r="X1502" s="172"/>
      <c r="Y1502" s="172"/>
    </row>
    <row r="1503" spans="1:25" ht="2.1" customHeight="1" x14ac:dyDescent="0.2">
      <c r="A1503" s="295"/>
      <c r="B1503" s="283"/>
      <c r="C1503" s="296"/>
      <c r="D1503" s="283"/>
      <c r="E1503" s="296"/>
      <c r="F1503" s="297"/>
      <c r="G1503" s="297"/>
      <c r="H1503" s="297"/>
      <c r="I1503" s="298"/>
      <c r="J1503" s="304"/>
      <c r="K1503" s="300"/>
      <c r="L1503" s="301"/>
      <c r="M1503" s="297" t="s">
        <v>6582</v>
      </c>
      <c r="N1503" s="297"/>
      <c r="O1503" s="297"/>
      <c r="P1503" s="297"/>
      <c r="Q1503" s="297"/>
      <c r="R1503" s="297"/>
      <c r="S1503" s="302"/>
      <c r="T1503" s="302"/>
      <c r="U1503" s="303"/>
    </row>
    <row r="1504" spans="1:25" ht="25.5" x14ac:dyDescent="0.2">
      <c r="A1504" s="212" t="str">
        <f>HYPERLINK(V1504,B1504)</f>
        <v>XmuCode</v>
      </c>
      <c r="B1504" s="283" t="s">
        <v>13261</v>
      </c>
      <c r="C1504" s="284" t="s">
        <v>16130</v>
      </c>
      <c r="D1504" s="285"/>
      <c r="E1504" s="286"/>
      <c r="F1504" s="287" t="s">
        <v>16131</v>
      </c>
      <c r="G1504" s="286"/>
      <c r="H1504" s="286"/>
      <c r="I1504" s="288"/>
      <c r="J1504" s="289"/>
      <c r="K1504" s="290"/>
      <c r="L1504" s="371" t="str">
        <f>HYPERLINK("[#]DatatypeListedValues!B9499:H9499","«enumeration»")</f>
        <v>«enumeration»</v>
      </c>
      <c r="M1504" s="287" t="s">
        <v>6582</v>
      </c>
      <c r="N1504" s="291" t="b">
        <v>0</v>
      </c>
      <c r="O1504" s="286"/>
      <c r="P1504" s="292"/>
      <c r="Q1504" s="286"/>
      <c r="R1504" s="286"/>
      <c r="S1504" s="293"/>
      <c r="T1504" s="294"/>
      <c r="U1504" s="37">
        <v>119779</v>
      </c>
      <c r="V1504" s="36" t="str">
        <f>CONCATENATE(Cover!$D$6,"fdd/view?i=",U1504)</f>
        <v>https://www.dgiwg.org/FAD/fdd/view?i=119779</v>
      </c>
      <c r="W1504" s="172"/>
      <c r="X1504" s="172"/>
      <c r="Y1504" s="172"/>
    </row>
    <row r="1505" spans="1:25" ht="2.1" customHeight="1" x14ac:dyDescent="0.2">
      <c r="A1505" s="295"/>
      <c r="B1505" s="283"/>
      <c r="C1505" s="296"/>
      <c r="D1505" s="283"/>
      <c r="E1505" s="296"/>
      <c r="F1505" s="297"/>
      <c r="G1505" s="297"/>
      <c r="H1505" s="297"/>
      <c r="I1505" s="298"/>
      <c r="J1505" s="304"/>
      <c r="K1505" s="300"/>
      <c r="L1505" s="301"/>
      <c r="M1505" s="297" t="s">
        <v>6582</v>
      </c>
      <c r="N1505" s="297"/>
      <c r="O1505" s="297"/>
      <c r="P1505" s="297"/>
      <c r="Q1505" s="297"/>
      <c r="R1505" s="297"/>
      <c r="S1505" s="302"/>
      <c r="T1505" s="302"/>
      <c r="U1505" s="303"/>
    </row>
    <row r="1506" spans="1:25" ht="25.5" x14ac:dyDescent="0.2">
      <c r="A1506" s="212" t="str">
        <f>HYPERLINK(V1506,B1506)</f>
        <v>TxpCode</v>
      </c>
      <c r="B1506" s="283" t="s">
        <v>13299</v>
      </c>
      <c r="C1506" s="284" t="s">
        <v>16132</v>
      </c>
      <c r="D1506" s="285"/>
      <c r="E1506" s="286"/>
      <c r="F1506" s="287" t="s">
        <v>16133</v>
      </c>
      <c r="G1506" s="286"/>
      <c r="H1506" s="286"/>
      <c r="I1506" s="288"/>
      <c r="J1506" s="289"/>
      <c r="K1506" s="290"/>
      <c r="L1506" s="371" t="str">
        <f>HYPERLINK("[#]DatatypeListedValues!B9501:H9501","«enumeration»")</f>
        <v>«enumeration»</v>
      </c>
      <c r="M1506" s="287" t="s">
        <v>6582</v>
      </c>
      <c r="N1506" s="291" t="b">
        <v>0</v>
      </c>
      <c r="O1506" s="286"/>
      <c r="P1506" s="292"/>
      <c r="Q1506" s="286"/>
      <c r="R1506" s="286"/>
      <c r="S1506" s="293"/>
      <c r="T1506" s="294"/>
      <c r="U1506" s="37">
        <v>117428</v>
      </c>
      <c r="V1506" s="36" t="str">
        <f>CONCATENATE(Cover!$D$6,"fdd/view?i=",U1506)</f>
        <v>https://www.dgiwg.org/FAD/fdd/view?i=117428</v>
      </c>
      <c r="W1506" s="172"/>
      <c r="X1506" s="172"/>
      <c r="Y1506" s="172"/>
    </row>
    <row r="1507" spans="1:25" ht="2.1" customHeight="1" x14ac:dyDescent="0.2">
      <c r="A1507" s="295"/>
      <c r="B1507" s="283"/>
      <c r="C1507" s="296"/>
      <c r="D1507" s="283"/>
      <c r="E1507" s="296"/>
      <c r="F1507" s="297"/>
      <c r="G1507" s="297"/>
      <c r="H1507" s="297"/>
      <c r="I1507" s="298"/>
      <c r="J1507" s="304"/>
      <c r="K1507" s="300"/>
      <c r="L1507" s="301"/>
      <c r="M1507" s="297" t="s">
        <v>6582</v>
      </c>
      <c r="N1507" s="297"/>
      <c r="O1507" s="297"/>
      <c r="P1507" s="297"/>
      <c r="Q1507" s="297"/>
      <c r="R1507" s="297"/>
      <c r="S1507" s="302"/>
      <c r="T1507" s="302"/>
      <c r="U1507" s="303"/>
    </row>
    <row r="1508" spans="1:25" ht="25.5" x14ac:dyDescent="0.2">
      <c r="A1508" s="212" t="str">
        <f>HYPERLINK(V1508,B1508)</f>
        <v>SteCode</v>
      </c>
      <c r="B1508" s="283" t="s">
        <v>13304</v>
      </c>
      <c r="C1508" s="284" t="s">
        <v>16134</v>
      </c>
      <c r="D1508" s="285"/>
      <c r="E1508" s="286"/>
      <c r="F1508" s="287" t="s">
        <v>16135</v>
      </c>
      <c r="G1508" s="286"/>
      <c r="H1508" s="286"/>
      <c r="I1508" s="288"/>
      <c r="J1508" s="289"/>
      <c r="K1508" s="290"/>
      <c r="L1508" s="371" t="str">
        <f>HYPERLINK("[#]DatatypeListedValues!B9514:H9514","«enumeration»")</f>
        <v>«enumeration»</v>
      </c>
      <c r="M1508" s="287" t="s">
        <v>6582</v>
      </c>
      <c r="N1508" s="291" t="b">
        <v>0</v>
      </c>
      <c r="O1508" s="286"/>
      <c r="P1508" s="292"/>
      <c r="Q1508" s="286"/>
      <c r="R1508" s="286"/>
      <c r="S1508" s="293"/>
      <c r="T1508" s="294"/>
      <c r="U1508" s="37">
        <v>118642</v>
      </c>
      <c r="V1508" s="36" t="str">
        <f>CONCATENATE(Cover!$D$6,"fdd/view?i=",U1508)</f>
        <v>https://www.dgiwg.org/FAD/fdd/view?i=118642</v>
      </c>
      <c r="W1508" s="172"/>
      <c r="X1508" s="172"/>
      <c r="Y1508" s="172"/>
    </row>
    <row r="1509" spans="1:25" ht="2.1" customHeight="1" x14ac:dyDescent="0.2">
      <c r="A1509" s="295"/>
      <c r="B1509" s="283"/>
      <c r="C1509" s="296"/>
      <c r="D1509" s="283"/>
      <c r="E1509" s="296"/>
      <c r="F1509" s="297"/>
      <c r="G1509" s="297"/>
      <c r="H1509" s="297"/>
      <c r="I1509" s="298"/>
      <c r="J1509" s="304"/>
      <c r="K1509" s="300"/>
      <c r="L1509" s="301"/>
      <c r="M1509" s="297" t="s">
        <v>6582</v>
      </c>
      <c r="N1509" s="297"/>
      <c r="O1509" s="297"/>
      <c r="P1509" s="297"/>
      <c r="Q1509" s="297"/>
      <c r="R1509" s="297"/>
      <c r="S1509" s="302"/>
      <c r="T1509" s="302"/>
      <c r="U1509" s="303"/>
    </row>
    <row r="1510" spans="1:25" ht="25.5" x14ac:dyDescent="0.2">
      <c r="A1510" s="212" t="str">
        <f>HYPERLINK(V1510,B1510)</f>
        <v>TelCode</v>
      </c>
      <c r="B1510" s="283" t="s">
        <v>13309</v>
      </c>
      <c r="C1510" s="284" t="s">
        <v>16136</v>
      </c>
      <c r="D1510" s="285"/>
      <c r="E1510" s="286"/>
      <c r="F1510" s="287" t="s">
        <v>16137</v>
      </c>
      <c r="G1510" s="286"/>
      <c r="H1510" s="286"/>
      <c r="I1510" s="288"/>
      <c r="J1510" s="289"/>
      <c r="K1510" s="290"/>
      <c r="L1510" s="371" t="str">
        <f>HYPERLINK("[#]DatatypeListedValues!B9526:H9526","«enumeration»")</f>
        <v>«enumeration»</v>
      </c>
      <c r="M1510" s="287" t="s">
        <v>6582</v>
      </c>
      <c r="N1510" s="291" t="b">
        <v>0</v>
      </c>
      <c r="O1510" s="286"/>
      <c r="P1510" s="292"/>
      <c r="Q1510" s="286"/>
      <c r="R1510" s="286"/>
      <c r="S1510" s="293"/>
      <c r="T1510" s="294"/>
      <c r="U1510" s="37">
        <v>1485</v>
      </c>
      <c r="V1510" s="36" t="str">
        <f>CONCATENATE(Cover!$D$6,"fdd/view?i=",U1510)</f>
        <v>https://www.dgiwg.org/FAD/fdd/view?i=1485</v>
      </c>
      <c r="W1510" s="172"/>
      <c r="X1510" s="172"/>
      <c r="Y1510" s="172"/>
    </row>
    <row r="1511" spans="1:25" ht="2.1" customHeight="1" x14ac:dyDescent="0.2">
      <c r="A1511" s="295"/>
      <c r="B1511" s="283"/>
      <c r="C1511" s="296"/>
      <c r="D1511" s="283"/>
      <c r="E1511" s="296"/>
      <c r="F1511" s="297"/>
      <c r="G1511" s="297"/>
      <c r="H1511" s="297"/>
      <c r="I1511" s="298"/>
      <c r="J1511" s="304"/>
      <c r="K1511" s="300"/>
      <c r="L1511" s="301"/>
      <c r="M1511" s="297" t="s">
        <v>6582</v>
      </c>
      <c r="N1511" s="297"/>
      <c r="O1511" s="297"/>
      <c r="P1511" s="297"/>
      <c r="Q1511" s="297"/>
      <c r="R1511" s="297"/>
      <c r="S1511" s="302"/>
      <c r="T1511" s="302"/>
      <c r="U1511" s="303"/>
    </row>
    <row r="1512" spans="1:25" ht="25.5" x14ac:dyDescent="0.2">
      <c r="A1512" s="212" t="str">
        <f>HYPERLINK(V1512,B1512)</f>
        <v>TaaCode</v>
      </c>
      <c r="B1512" s="283" t="s">
        <v>13319</v>
      </c>
      <c r="C1512" s="284" t="s">
        <v>16138</v>
      </c>
      <c r="D1512" s="285"/>
      <c r="E1512" s="286"/>
      <c r="F1512" s="287" t="s">
        <v>16139</v>
      </c>
      <c r="G1512" s="286"/>
      <c r="H1512" s="286"/>
      <c r="I1512" s="288"/>
      <c r="J1512" s="289"/>
      <c r="K1512" s="290"/>
      <c r="L1512" s="371" t="str">
        <f>HYPERLINK("[#]DatatypeListedValues!B9529:H9529","«enumeration»")</f>
        <v>«enumeration»</v>
      </c>
      <c r="M1512" s="287" t="s">
        <v>6582</v>
      </c>
      <c r="N1512" s="291" t="b">
        <v>0</v>
      </c>
      <c r="O1512" s="286"/>
      <c r="P1512" s="292"/>
      <c r="Q1512" s="286"/>
      <c r="R1512" s="286"/>
      <c r="S1512" s="293"/>
      <c r="T1512" s="294"/>
      <c r="U1512" s="37">
        <v>117422</v>
      </c>
      <c r="V1512" s="36" t="str">
        <f>CONCATENATE(Cover!$D$6,"fdd/view?i=",U1512)</f>
        <v>https://www.dgiwg.org/FAD/fdd/view?i=117422</v>
      </c>
      <c r="W1512" s="172"/>
      <c r="X1512" s="172"/>
      <c r="Y1512" s="172"/>
    </row>
    <row r="1513" spans="1:25" ht="2.1" customHeight="1" x14ac:dyDescent="0.2">
      <c r="A1513" s="295"/>
      <c r="B1513" s="283"/>
      <c r="C1513" s="296"/>
      <c r="D1513" s="283"/>
      <c r="E1513" s="296"/>
      <c r="F1513" s="297"/>
      <c r="G1513" s="297"/>
      <c r="H1513" s="297"/>
      <c r="I1513" s="298"/>
      <c r="J1513" s="304"/>
      <c r="K1513" s="300"/>
      <c r="L1513" s="301"/>
      <c r="M1513" s="297" t="s">
        <v>6582</v>
      </c>
      <c r="N1513" s="297"/>
      <c r="O1513" s="297"/>
      <c r="P1513" s="297"/>
      <c r="Q1513" s="297"/>
      <c r="R1513" s="297"/>
      <c r="S1513" s="302"/>
      <c r="T1513" s="302"/>
      <c r="U1513" s="303"/>
    </row>
    <row r="1514" spans="1:25" ht="280.5" x14ac:dyDescent="0.2">
      <c r="A1514" s="212" t="str">
        <f>HYPERLINK(V1514,B1514)</f>
        <v>TpdStrucText</v>
      </c>
      <c r="B1514" s="283" t="s">
        <v>13325</v>
      </c>
      <c r="C1514" s="284" t="s">
        <v>16140</v>
      </c>
      <c r="D1514" s="285"/>
      <c r="E1514" s="286"/>
      <c r="F1514" s="287" t="s">
        <v>16141</v>
      </c>
      <c r="G1514" s="286"/>
      <c r="H1514" s="287" t="s">
        <v>14552</v>
      </c>
      <c r="I1514" s="288"/>
      <c r="J1514" s="289"/>
      <c r="K1514" s="290"/>
      <c r="L1514" s="287" t="s">
        <v>14551</v>
      </c>
      <c r="M1514" s="287" t="s">
        <v>6582</v>
      </c>
      <c r="N1514" s="286"/>
      <c r="O1514" s="287">
        <v>6</v>
      </c>
      <c r="P1514" s="305" t="b">
        <v>0</v>
      </c>
      <c r="Q1514" s="287" t="s">
        <v>16142</v>
      </c>
      <c r="R1514" s="286"/>
      <c r="S1514" s="293"/>
      <c r="T1514" s="294"/>
      <c r="U1514" s="37">
        <v>119627</v>
      </c>
      <c r="V1514" s="36" t="str">
        <f>CONCATENATE(Cover!$D$6,"fdd/view?i=",U1514)</f>
        <v>https://www.dgiwg.org/FAD/fdd/view?i=119627</v>
      </c>
      <c r="W1514" s="172"/>
      <c r="X1514" s="172"/>
      <c r="Y1514" s="172"/>
    </row>
    <row r="1515" spans="1:25" ht="2.1" customHeight="1" x14ac:dyDescent="0.2">
      <c r="A1515" s="295"/>
      <c r="B1515" s="283"/>
      <c r="C1515" s="296"/>
      <c r="D1515" s="283"/>
      <c r="E1515" s="296"/>
      <c r="F1515" s="297"/>
      <c r="G1515" s="297"/>
      <c r="H1515" s="297"/>
      <c r="I1515" s="298"/>
      <c r="J1515" s="304"/>
      <c r="K1515" s="300"/>
      <c r="L1515" s="301"/>
      <c r="M1515" s="297" t="s">
        <v>6582</v>
      </c>
      <c r="N1515" s="297"/>
      <c r="O1515" s="297"/>
      <c r="P1515" s="297"/>
      <c r="Q1515" s="297"/>
      <c r="R1515" s="297"/>
      <c r="S1515" s="302"/>
      <c r="T1515" s="302"/>
      <c r="U1515" s="303"/>
    </row>
    <row r="1516" spans="1:25" ht="63.75" x14ac:dyDescent="0.2">
      <c r="A1516" s="212" t="str">
        <f>HYPERLINK(V1516,B1516)</f>
        <v>TpiStrucText</v>
      </c>
      <c r="B1516" s="283" t="s">
        <v>13331</v>
      </c>
      <c r="C1516" s="284" t="s">
        <v>16143</v>
      </c>
      <c r="D1516" s="285"/>
      <c r="E1516" s="286"/>
      <c r="F1516" s="287" t="s">
        <v>16144</v>
      </c>
      <c r="G1516" s="286"/>
      <c r="H1516" s="287" t="s">
        <v>14552</v>
      </c>
      <c r="I1516" s="288"/>
      <c r="J1516" s="289"/>
      <c r="K1516" s="290"/>
      <c r="L1516" s="287" t="s">
        <v>14551</v>
      </c>
      <c r="M1516" s="287" t="s">
        <v>6582</v>
      </c>
      <c r="N1516" s="286"/>
      <c r="O1516" s="287">
        <v>21</v>
      </c>
      <c r="P1516" s="305" t="b">
        <v>0</v>
      </c>
      <c r="Q1516" s="287" t="s">
        <v>16145</v>
      </c>
      <c r="R1516" s="286"/>
      <c r="S1516" s="293"/>
      <c r="T1516" s="294"/>
      <c r="U1516" s="37">
        <v>119628</v>
      </c>
      <c r="V1516" s="36" t="str">
        <f>CONCATENATE(Cover!$D$6,"fdd/view?i=",U1516)</f>
        <v>https://www.dgiwg.org/FAD/fdd/view?i=119628</v>
      </c>
      <c r="W1516" s="172"/>
      <c r="X1516" s="172"/>
      <c r="Y1516" s="172"/>
    </row>
    <row r="1517" spans="1:25" ht="2.1" customHeight="1" x14ac:dyDescent="0.2">
      <c r="A1517" s="295"/>
      <c r="B1517" s="283"/>
      <c r="C1517" s="296"/>
      <c r="D1517" s="283"/>
      <c r="E1517" s="296"/>
      <c r="F1517" s="297"/>
      <c r="G1517" s="297"/>
      <c r="H1517" s="297"/>
      <c r="I1517" s="298"/>
      <c r="J1517" s="304"/>
      <c r="K1517" s="300"/>
      <c r="L1517" s="301"/>
      <c r="M1517" s="297" t="s">
        <v>6582</v>
      </c>
      <c r="N1517" s="297"/>
      <c r="O1517" s="297"/>
      <c r="P1517" s="297"/>
      <c r="Q1517" s="297"/>
      <c r="R1517" s="297"/>
      <c r="S1517" s="302"/>
      <c r="T1517" s="302"/>
      <c r="U1517" s="303"/>
    </row>
    <row r="1518" spans="1:25" ht="63.75" x14ac:dyDescent="0.2">
      <c r="A1518" s="212" t="str">
        <f>HYPERLINK(V1518,B1518)</f>
        <v>TptStrucText</v>
      </c>
      <c r="B1518" s="283" t="s">
        <v>13336</v>
      </c>
      <c r="C1518" s="284" t="s">
        <v>16146</v>
      </c>
      <c r="D1518" s="285"/>
      <c r="E1518" s="286"/>
      <c r="F1518" s="287" t="s">
        <v>16147</v>
      </c>
      <c r="G1518" s="286"/>
      <c r="H1518" s="287" t="s">
        <v>14552</v>
      </c>
      <c r="I1518" s="288"/>
      <c r="J1518" s="289"/>
      <c r="K1518" s="290"/>
      <c r="L1518" s="287" t="s">
        <v>14551</v>
      </c>
      <c r="M1518" s="287" t="s">
        <v>6582</v>
      </c>
      <c r="N1518" s="286"/>
      <c r="O1518" s="287">
        <v>5</v>
      </c>
      <c r="P1518" s="305" t="b">
        <v>0</v>
      </c>
      <c r="Q1518" s="287" t="s">
        <v>16148</v>
      </c>
      <c r="R1518" s="286"/>
      <c r="S1518" s="293"/>
      <c r="T1518" s="294"/>
      <c r="U1518" s="37">
        <v>119629</v>
      </c>
      <c r="V1518" s="36" t="str">
        <f>CONCATENATE(Cover!$D$6,"fdd/view?i=",U1518)</f>
        <v>https://www.dgiwg.org/FAD/fdd/view?i=119629</v>
      </c>
      <c r="W1518" s="172"/>
      <c r="X1518" s="172"/>
      <c r="Y1518" s="172"/>
    </row>
    <row r="1519" spans="1:25" ht="2.1" customHeight="1" x14ac:dyDescent="0.2">
      <c r="A1519" s="295"/>
      <c r="B1519" s="283"/>
      <c r="C1519" s="296"/>
      <c r="D1519" s="283"/>
      <c r="E1519" s="296"/>
      <c r="F1519" s="297"/>
      <c r="G1519" s="297"/>
      <c r="H1519" s="297"/>
      <c r="I1519" s="298"/>
      <c r="J1519" s="304"/>
      <c r="K1519" s="300"/>
      <c r="L1519" s="301"/>
      <c r="M1519" s="297" t="s">
        <v>6582</v>
      </c>
      <c r="N1519" s="297"/>
      <c r="O1519" s="297"/>
      <c r="P1519" s="297"/>
      <c r="Q1519" s="297"/>
      <c r="R1519" s="297"/>
      <c r="S1519" s="302"/>
      <c r="T1519" s="302"/>
      <c r="U1519" s="303"/>
    </row>
    <row r="1520" spans="1:25" ht="25.5" x14ac:dyDescent="0.2">
      <c r="A1520" s="212" t="str">
        <f>HYPERLINK(V1520,B1520)</f>
        <v>TftCode</v>
      </c>
      <c r="B1520" s="283" t="s">
        <v>13341</v>
      </c>
      <c r="C1520" s="284" t="s">
        <v>16149</v>
      </c>
      <c r="D1520" s="285"/>
      <c r="E1520" s="286"/>
      <c r="F1520" s="287" t="s">
        <v>16150</v>
      </c>
      <c r="G1520" s="286"/>
      <c r="H1520" s="286"/>
      <c r="I1520" s="288"/>
      <c r="J1520" s="289"/>
      <c r="K1520" s="290"/>
      <c r="L1520" s="371" t="str">
        <f>HYPERLINK("[#]DatatypeListedValues!B9532:H9532","«enumeration»")</f>
        <v>«enumeration»</v>
      </c>
      <c r="M1520" s="287" t="s">
        <v>6582</v>
      </c>
      <c r="N1520" s="291" t="b">
        <v>0</v>
      </c>
      <c r="O1520" s="286"/>
      <c r="P1520" s="292"/>
      <c r="Q1520" s="286"/>
      <c r="R1520" s="286"/>
      <c r="S1520" s="293"/>
      <c r="T1520" s="294"/>
      <c r="U1520" s="37">
        <v>114251</v>
      </c>
      <c r="V1520" s="36" t="str">
        <f>CONCATENATE(Cover!$D$6,"fdd/view?i=",U1520)</f>
        <v>https://www.dgiwg.org/FAD/fdd/view?i=114251</v>
      </c>
      <c r="W1520" s="172"/>
      <c r="X1520" s="172"/>
      <c r="Y1520" s="172"/>
    </row>
    <row r="1521" spans="1:25" ht="2.1" customHeight="1" x14ac:dyDescent="0.2">
      <c r="A1521" s="295"/>
      <c r="B1521" s="283"/>
      <c r="C1521" s="296"/>
      <c r="D1521" s="283"/>
      <c r="E1521" s="296"/>
      <c r="F1521" s="297"/>
      <c r="G1521" s="297"/>
      <c r="H1521" s="297"/>
      <c r="I1521" s="298"/>
      <c r="J1521" s="304"/>
      <c r="K1521" s="300"/>
      <c r="L1521" s="301"/>
      <c r="M1521" s="297" t="s">
        <v>6582</v>
      </c>
      <c r="N1521" s="297"/>
      <c r="O1521" s="297"/>
      <c r="P1521" s="297"/>
      <c r="Q1521" s="297"/>
      <c r="R1521" s="297"/>
      <c r="S1521" s="302"/>
      <c r="T1521" s="302"/>
      <c r="U1521" s="303"/>
    </row>
    <row r="1522" spans="1:25" ht="25.5" x14ac:dyDescent="0.2">
      <c r="A1522" s="212" t="str">
        <f>HYPERLINK(V1522,B1522)</f>
        <v>SrdCode</v>
      </c>
      <c r="B1522" s="283" t="s">
        <v>13353</v>
      </c>
      <c r="C1522" s="284" t="s">
        <v>16151</v>
      </c>
      <c r="D1522" s="285"/>
      <c r="E1522" s="286"/>
      <c r="F1522" s="287" t="s">
        <v>16152</v>
      </c>
      <c r="G1522" s="286"/>
      <c r="H1522" s="286"/>
      <c r="I1522" s="288"/>
      <c r="J1522" s="289"/>
      <c r="K1522" s="290"/>
      <c r="L1522" s="371" t="str">
        <f>HYPERLINK("[#]DatatypeListedValues!B9534:H9534","«enumeration»")</f>
        <v>«enumeration»</v>
      </c>
      <c r="M1522" s="287" t="s">
        <v>6582</v>
      </c>
      <c r="N1522" s="291" t="b">
        <v>0</v>
      </c>
      <c r="O1522" s="286"/>
      <c r="P1522" s="292"/>
      <c r="Q1522" s="286"/>
      <c r="R1522" s="286"/>
      <c r="S1522" s="293"/>
      <c r="T1522" s="294"/>
      <c r="U1522" s="37">
        <v>1462</v>
      </c>
      <c r="V1522" s="36" t="str">
        <f>CONCATENATE(Cover!$D$6,"fdd/view?i=",U1522)</f>
        <v>https://www.dgiwg.org/FAD/fdd/view?i=1462</v>
      </c>
      <c r="W1522" s="172"/>
      <c r="X1522" s="172"/>
      <c r="Y1522" s="172"/>
    </row>
    <row r="1523" spans="1:25" ht="2.1" customHeight="1" x14ac:dyDescent="0.2">
      <c r="A1523" s="295"/>
      <c r="B1523" s="283"/>
      <c r="C1523" s="296"/>
      <c r="D1523" s="283"/>
      <c r="E1523" s="296"/>
      <c r="F1523" s="297"/>
      <c r="G1523" s="297"/>
      <c r="H1523" s="297"/>
      <c r="I1523" s="298"/>
      <c r="J1523" s="304"/>
      <c r="K1523" s="300"/>
      <c r="L1523" s="301"/>
      <c r="M1523" s="297" t="s">
        <v>6582</v>
      </c>
      <c r="N1523" s="297"/>
      <c r="O1523" s="297"/>
      <c r="P1523" s="297"/>
      <c r="Q1523" s="297"/>
      <c r="R1523" s="297"/>
      <c r="S1523" s="302"/>
      <c r="T1523" s="302"/>
      <c r="U1523" s="303"/>
    </row>
    <row r="1524" spans="1:25" ht="25.5" x14ac:dyDescent="0.2">
      <c r="A1524" s="212" t="str">
        <f>HYPERLINK(V1524,B1524)</f>
        <v>AdsCode</v>
      </c>
      <c r="B1524" s="283" t="s">
        <v>13363</v>
      </c>
      <c r="C1524" s="284" t="s">
        <v>16153</v>
      </c>
      <c r="D1524" s="285"/>
      <c r="E1524" s="286"/>
      <c r="F1524" s="287" t="s">
        <v>16154</v>
      </c>
      <c r="G1524" s="286"/>
      <c r="H1524" s="286"/>
      <c r="I1524" s="288"/>
      <c r="J1524" s="289"/>
      <c r="K1524" s="290"/>
      <c r="L1524" s="371" t="str">
        <f>HYPERLINK("[#]DatatypeListedValues!B9613:H9613","«enumeration»")</f>
        <v>«enumeration»</v>
      </c>
      <c r="M1524" s="287" t="s">
        <v>6582</v>
      </c>
      <c r="N1524" s="291" t="b">
        <v>0</v>
      </c>
      <c r="O1524" s="286"/>
      <c r="P1524" s="292"/>
      <c r="Q1524" s="286"/>
      <c r="R1524" s="286"/>
      <c r="S1524" s="293"/>
      <c r="T1524" s="294"/>
      <c r="U1524" s="37">
        <v>114490</v>
      </c>
      <c r="V1524" s="36" t="str">
        <f>CONCATENATE(Cover!$D$6,"fdd/view?i=",U1524)</f>
        <v>https://www.dgiwg.org/FAD/fdd/view?i=114490</v>
      </c>
      <c r="W1524" s="172"/>
      <c r="X1524" s="172"/>
      <c r="Y1524" s="172"/>
    </row>
    <row r="1525" spans="1:25" ht="2.1" customHeight="1" x14ac:dyDescent="0.2">
      <c r="A1525" s="295"/>
      <c r="B1525" s="283"/>
      <c r="C1525" s="296"/>
      <c r="D1525" s="283"/>
      <c r="E1525" s="296"/>
      <c r="F1525" s="297"/>
      <c r="G1525" s="297"/>
      <c r="H1525" s="297"/>
      <c r="I1525" s="298"/>
      <c r="J1525" s="304"/>
      <c r="K1525" s="300"/>
      <c r="L1525" s="301"/>
      <c r="M1525" s="297" t="s">
        <v>6582</v>
      </c>
      <c r="N1525" s="297"/>
      <c r="O1525" s="297"/>
      <c r="P1525" s="297"/>
      <c r="Q1525" s="297"/>
      <c r="R1525" s="297"/>
      <c r="S1525" s="302"/>
      <c r="T1525" s="302"/>
      <c r="U1525" s="303"/>
    </row>
    <row r="1526" spans="1:25" ht="25.5" x14ac:dyDescent="0.2">
      <c r="A1526" s="212" t="str">
        <f>HYPERLINK(V1526,B1526)</f>
        <v>McuCode</v>
      </c>
      <c r="B1526" s="283" t="s">
        <v>13369</v>
      </c>
      <c r="C1526" s="284" t="s">
        <v>16155</v>
      </c>
      <c r="D1526" s="285"/>
      <c r="E1526" s="286"/>
      <c r="F1526" s="287" t="s">
        <v>16156</v>
      </c>
      <c r="G1526" s="286"/>
      <c r="H1526" s="286"/>
      <c r="I1526" s="288"/>
      <c r="J1526" s="289"/>
      <c r="K1526" s="290"/>
      <c r="L1526" s="371" t="str">
        <f>HYPERLINK("[#]DatatypeListedValues!B9625:H9625","«enumeration»")</f>
        <v>«enumeration»</v>
      </c>
      <c r="M1526" s="287" t="s">
        <v>6582</v>
      </c>
      <c r="N1526" s="291" t="b">
        <v>0</v>
      </c>
      <c r="O1526" s="286"/>
      <c r="P1526" s="292"/>
      <c r="Q1526" s="286"/>
      <c r="R1526" s="286"/>
      <c r="S1526" s="293"/>
      <c r="T1526" s="294"/>
      <c r="U1526" s="37">
        <v>1296</v>
      </c>
      <c r="V1526" s="36" t="str">
        <f>CONCATENATE(Cover!$D$6,"fdd/view?i=",U1526)</f>
        <v>https://www.dgiwg.org/FAD/fdd/view?i=1296</v>
      </c>
      <c r="W1526" s="172"/>
      <c r="X1526" s="172"/>
      <c r="Y1526" s="172"/>
    </row>
    <row r="1527" spans="1:25" ht="2.1" customHeight="1" x14ac:dyDescent="0.2">
      <c r="A1527" s="295"/>
      <c r="B1527" s="283"/>
      <c r="C1527" s="296"/>
      <c r="D1527" s="283"/>
      <c r="E1527" s="296"/>
      <c r="F1527" s="297"/>
      <c r="G1527" s="297"/>
      <c r="H1527" s="297"/>
      <c r="I1527" s="298"/>
      <c r="J1527" s="304"/>
      <c r="K1527" s="300"/>
      <c r="L1527" s="301"/>
      <c r="M1527" s="297" t="s">
        <v>6582</v>
      </c>
      <c r="N1527" s="297"/>
      <c r="O1527" s="297"/>
      <c r="P1527" s="297"/>
      <c r="Q1527" s="297"/>
      <c r="R1527" s="297"/>
      <c r="S1527" s="302"/>
      <c r="T1527" s="302"/>
      <c r="U1527" s="303"/>
    </row>
    <row r="1528" spans="1:25" ht="38.25" x14ac:dyDescent="0.2">
      <c r="A1528" s="212" t="str">
        <f>HYPERLINK(V1528,B1528)</f>
        <v>Text</v>
      </c>
      <c r="B1528" s="283" t="s">
        <v>6019</v>
      </c>
      <c r="C1528" s="284" t="s">
        <v>6019</v>
      </c>
      <c r="D1528" s="285"/>
      <c r="E1528" s="286"/>
      <c r="F1528" s="287" t="s">
        <v>16157</v>
      </c>
      <c r="G1528" s="287" t="s">
        <v>16158</v>
      </c>
      <c r="H1528" s="287" t="s">
        <v>16160</v>
      </c>
      <c r="I1528" s="288"/>
      <c r="J1528" s="289"/>
      <c r="K1528" s="290"/>
      <c r="L1528" s="287" t="s">
        <v>16159</v>
      </c>
      <c r="M1528" s="287" t="s">
        <v>6582</v>
      </c>
      <c r="N1528" s="286"/>
      <c r="O1528" s="305" t="s">
        <v>14571</v>
      </c>
      <c r="P1528" s="287" t="b">
        <v>1</v>
      </c>
      <c r="Q1528" s="286"/>
      <c r="R1528" s="286"/>
      <c r="S1528" s="293"/>
      <c r="T1528" s="294"/>
      <c r="U1528" s="37">
        <v>1023</v>
      </c>
      <c r="V1528" s="36" t="str">
        <f>CONCATENATE(Cover!$D$6,"fdd/view?i=",U1528)</f>
        <v>https://www.dgiwg.org/FAD/fdd/view?i=1023</v>
      </c>
      <c r="W1528" s="172"/>
      <c r="X1528" s="172"/>
      <c r="Y1528" s="172"/>
    </row>
    <row r="1529" spans="1:25" ht="2.1" customHeight="1" x14ac:dyDescent="0.2">
      <c r="A1529" s="295"/>
      <c r="B1529" s="283"/>
      <c r="C1529" s="296"/>
      <c r="D1529" s="283"/>
      <c r="E1529" s="296"/>
      <c r="F1529" s="297"/>
      <c r="G1529" s="297"/>
      <c r="H1529" s="297"/>
      <c r="I1529" s="298"/>
      <c r="J1529" s="304"/>
      <c r="K1529" s="300"/>
      <c r="L1529" s="301"/>
      <c r="M1529" s="297" t="s">
        <v>6582</v>
      </c>
      <c r="N1529" s="297"/>
      <c r="O1529" s="297"/>
      <c r="P1529" s="297"/>
      <c r="Q1529" s="297"/>
      <c r="R1529" s="297"/>
      <c r="S1529" s="302"/>
      <c r="T1529" s="302"/>
      <c r="U1529" s="303"/>
    </row>
    <row r="1530" spans="1:25" ht="38.25" x14ac:dyDescent="0.2">
      <c r="A1530" s="212" t="str">
        <f>HYPERLINK(V1530,B1530)</f>
        <v>TextLex128</v>
      </c>
      <c r="B1530" s="283" t="s">
        <v>8990</v>
      </c>
      <c r="C1530" s="284" t="s">
        <v>16161</v>
      </c>
      <c r="D1530" s="285"/>
      <c r="E1530" s="286"/>
      <c r="F1530" s="287" t="s">
        <v>16162</v>
      </c>
      <c r="G1530" s="286"/>
      <c r="H1530" s="287" t="s">
        <v>16160</v>
      </c>
      <c r="I1530" s="288"/>
      <c r="J1530" s="289"/>
      <c r="K1530" s="290"/>
      <c r="L1530" s="287" t="s">
        <v>16159</v>
      </c>
      <c r="M1530" s="287" t="s">
        <v>6582</v>
      </c>
      <c r="N1530" s="286"/>
      <c r="O1530" s="287">
        <v>128</v>
      </c>
      <c r="P1530" s="287" t="b">
        <v>1</v>
      </c>
      <c r="Q1530" s="286"/>
      <c r="R1530" s="286"/>
      <c r="S1530" s="293"/>
      <c r="T1530" s="294"/>
      <c r="U1530" s="37">
        <v>3661</v>
      </c>
      <c r="V1530" s="36" t="str">
        <f>CONCATENATE(Cover!$D$6,"fdd/view?i=",U1530)</f>
        <v>https://www.dgiwg.org/FAD/fdd/view?i=3661</v>
      </c>
      <c r="W1530" s="172"/>
      <c r="X1530" s="172"/>
      <c r="Y1530" s="172"/>
    </row>
    <row r="1531" spans="1:25" ht="2.1" customHeight="1" x14ac:dyDescent="0.2">
      <c r="A1531" s="295"/>
      <c r="B1531" s="283"/>
      <c r="C1531" s="296"/>
      <c r="D1531" s="283"/>
      <c r="E1531" s="296"/>
      <c r="F1531" s="297"/>
      <c r="G1531" s="297"/>
      <c r="H1531" s="297"/>
      <c r="I1531" s="298"/>
      <c r="J1531" s="304"/>
      <c r="K1531" s="300"/>
      <c r="L1531" s="301"/>
      <c r="M1531" s="297" t="s">
        <v>6582</v>
      </c>
      <c r="N1531" s="297"/>
      <c r="O1531" s="297"/>
      <c r="P1531" s="297"/>
      <c r="Q1531" s="297"/>
      <c r="R1531" s="297"/>
      <c r="S1531" s="302"/>
      <c r="T1531" s="302"/>
      <c r="U1531" s="303"/>
    </row>
    <row r="1532" spans="1:25" ht="38.25" x14ac:dyDescent="0.2">
      <c r="A1532" s="212" t="str">
        <f>HYPERLINK(V1532,B1532)</f>
        <v>TextLex132</v>
      </c>
      <c r="B1532" s="283" t="s">
        <v>14024</v>
      </c>
      <c r="C1532" s="284" t="s">
        <v>16163</v>
      </c>
      <c r="D1532" s="285"/>
      <c r="E1532" s="286"/>
      <c r="F1532" s="287" t="s">
        <v>16164</v>
      </c>
      <c r="G1532" s="286"/>
      <c r="H1532" s="287" t="s">
        <v>16160</v>
      </c>
      <c r="I1532" s="288"/>
      <c r="J1532" s="289"/>
      <c r="K1532" s="290"/>
      <c r="L1532" s="287" t="s">
        <v>16159</v>
      </c>
      <c r="M1532" s="287" t="s">
        <v>6582</v>
      </c>
      <c r="N1532" s="286"/>
      <c r="O1532" s="287">
        <v>132</v>
      </c>
      <c r="P1532" s="287" t="b">
        <v>1</v>
      </c>
      <c r="Q1532" s="286"/>
      <c r="R1532" s="286"/>
      <c r="S1532" s="293"/>
      <c r="T1532" s="294"/>
      <c r="U1532" s="37">
        <v>3675</v>
      </c>
      <c r="V1532" s="36" t="str">
        <f>CONCATENATE(Cover!$D$6,"fdd/view?i=",U1532)</f>
        <v>https://www.dgiwg.org/FAD/fdd/view?i=3675</v>
      </c>
      <c r="W1532" s="172"/>
      <c r="X1532" s="172"/>
      <c r="Y1532" s="172"/>
    </row>
    <row r="1533" spans="1:25" ht="2.1" customHeight="1" x14ac:dyDescent="0.2">
      <c r="A1533" s="295"/>
      <c r="B1533" s="283"/>
      <c r="C1533" s="296"/>
      <c r="D1533" s="283"/>
      <c r="E1533" s="296"/>
      <c r="F1533" s="297"/>
      <c r="G1533" s="297"/>
      <c r="H1533" s="297"/>
      <c r="I1533" s="298"/>
      <c r="J1533" s="304"/>
      <c r="K1533" s="300"/>
      <c r="L1533" s="301"/>
      <c r="M1533" s="297" t="s">
        <v>6582</v>
      </c>
      <c r="N1533" s="297"/>
      <c r="O1533" s="297"/>
      <c r="P1533" s="297"/>
      <c r="Q1533" s="297"/>
      <c r="R1533" s="297"/>
      <c r="S1533" s="302"/>
      <c r="T1533" s="302"/>
      <c r="U1533" s="303"/>
    </row>
    <row r="1534" spans="1:25" ht="38.25" x14ac:dyDescent="0.2">
      <c r="A1534" s="212" t="str">
        <f>HYPERLINK(V1534,B1534)</f>
        <v>TextLex200</v>
      </c>
      <c r="B1534" s="283" t="s">
        <v>6114</v>
      </c>
      <c r="C1534" s="284" t="s">
        <v>16165</v>
      </c>
      <c r="D1534" s="285"/>
      <c r="E1534" s="286"/>
      <c r="F1534" s="287" t="s">
        <v>16166</v>
      </c>
      <c r="G1534" s="286"/>
      <c r="H1534" s="287" t="s">
        <v>16160</v>
      </c>
      <c r="I1534" s="288"/>
      <c r="J1534" s="289"/>
      <c r="K1534" s="290"/>
      <c r="L1534" s="287" t="s">
        <v>16159</v>
      </c>
      <c r="M1534" s="287" t="s">
        <v>6582</v>
      </c>
      <c r="N1534" s="286"/>
      <c r="O1534" s="287">
        <v>200</v>
      </c>
      <c r="P1534" s="287" t="b">
        <v>1</v>
      </c>
      <c r="Q1534" s="286"/>
      <c r="R1534" s="286"/>
      <c r="S1534" s="293"/>
      <c r="T1534" s="294"/>
      <c r="U1534" s="37">
        <v>3688</v>
      </c>
      <c r="V1534" s="36" t="str">
        <f>CONCATENATE(Cover!$D$6,"fdd/view?i=",U1534)</f>
        <v>https://www.dgiwg.org/FAD/fdd/view?i=3688</v>
      </c>
      <c r="W1534" s="172"/>
      <c r="X1534" s="172"/>
      <c r="Y1534" s="172"/>
    </row>
    <row r="1535" spans="1:25" ht="2.1" customHeight="1" x14ac:dyDescent="0.2">
      <c r="A1535" s="295"/>
      <c r="B1535" s="283"/>
      <c r="C1535" s="296"/>
      <c r="D1535" s="283"/>
      <c r="E1535" s="296"/>
      <c r="F1535" s="297"/>
      <c r="G1535" s="297"/>
      <c r="H1535" s="297"/>
      <c r="I1535" s="298"/>
      <c r="J1535" s="304"/>
      <c r="K1535" s="300"/>
      <c r="L1535" s="301"/>
      <c r="M1535" s="297" t="s">
        <v>6582</v>
      </c>
      <c r="N1535" s="297"/>
      <c r="O1535" s="297"/>
      <c r="P1535" s="297"/>
      <c r="Q1535" s="297"/>
      <c r="R1535" s="297"/>
      <c r="S1535" s="302"/>
      <c r="T1535" s="302"/>
      <c r="U1535" s="303"/>
    </row>
    <row r="1536" spans="1:25" ht="38.25" x14ac:dyDescent="0.2">
      <c r="A1536" s="212" t="str">
        <f>HYPERLINK(V1536,B1536)</f>
        <v>TextLex24</v>
      </c>
      <c r="B1536" s="283" t="s">
        <v>8572</v>
      </c>
      <c r="C1536" s="284" t="s">
        <v>16167</v>
      </c>
      <c r="D1536" s="285"/>
      <c r="E1536" s="286"/>
      <c r="F1536" s="287" t="s">
        <v>16168</v>
      </c>
      <c r="G1536" s="286"/>
      <c r="H1536" s="287" t="s">
        <v>16160</v>
      </c>
      <c r="I1536" s="288"/>
      <c r="J1536" s="289"/>
      <c r="K1536" s="290"/>
      <c r="L1536" s="287" t="s">
        <v>16159</v>
      </c>
      <c r="M1536" s="287" t="s">
        <v>6582</v>
      </c>
      <c r="N1536" s="286"/>
      <c r="O1536" s="287">
        <v>24</v>
      </c>
      <c r="P1536" s="287" t="b">
        <v>1</v>
      </c>
      <c r="Q1536" s="286"/>
      <c r="R1536" s="286"/>
      <c r="S1536" s="293"/>
      <c r="T1536" s="294"/>
      <c r="U1536" s="37">
        <v>3652</v>
      </c>
      <c r="V1536" s="36" t="str">
        <f>CONCATENATE(Cover!$D$6,"fdd/view?i=",U1536)</f>
        <v>https://www.dgiwg.org/FAD/fdd/view?i=3652</v>
      </c>
      <c r="W1536" s="172"/>
      <c r="X1536" s="172"/>
      <c r="Y1536" s="172"/>
    </row>
    <row r="1537" spans="1:25" ht="2.1" customHeight="1" x14ac:dyDescent="0.2">
      <c r="A1537" s="295"/>
      <c r="B1537" s="283"/>
      <c r="C1537" s="296"/>
      <c r="D1537" s="283"/>
      <c r="E1537" s="296"/>
      <c r="F1537" s="297"/>
      <c r="G1537" s="297"/>
      <c r="H1537" s="297"/>
      <c r="I1537" s="298"/>
      <c r="J1537" s="304"/>
      <c r="K1537" s="300"/>
      <c r="L1537" s="301"/>
      <c r="M1537" s="297" t="s">
        <v>6582</v>
      </c>
      <c r="N1537" s="297"/>
      <c r="O1537" s="297"/>
      <c r="P1537" s="297"/>
      <c r="Q1537" s="297"/>
      <c r="R1537" s="297"/>
      <c r="S1537" s="302"/>
      <c r="T1537" s="302"/>
      <c r="U1537" s="303"/>
    </row>
    <row r="1538" spans="1:25" ht="38.25" x14ac:dyDescent="0.2">
      <c r="A1538" s="212" t="str">
        <f>HYPERLINK(V1538,B1538)</f>
        <v>TextLex255</v>
      </c>
      <c r="B1538" s="283" t="s">
        <v>6867</v>
      </c>
      <c r="C1538" s="284" t="s">
        <v>16169</v>
      </c>
      <c r="D1538" s="285"/>
      <c r="E1538" s="286"/>
      <c r="F1538" s="287" t="s">
        <v>16170</v>
      </c>
      <c r="G1538" s="286"/>
      <c r="H1538" s="287" t="s">
        <v>16160</v>
      </c>
      <c r="I1538" s="288"/>
      <c r="J1538" s="289"/>
      <c r="K1538" s="290"/>
      <c r="L1538" s="287" t="s">
        <v>16159</v>
      </c>
      <c r="M1538" s="287" t="s">
        <v>6582</v>
      </c>
      <c r="N1538" s="286"/>
      <c r="O1538" s="287">
        <v>255</v>
      </c>
      <c r="P1538" s="287" t="b">
        <v>1</v>
      </c>
      <c r="Q1538" s="286"/>
      <c r="R1538" s="286"/>
      <c r="S1538" s="293"/>
      <c r="T1538" s="294"/>
      <c r="U1538" s="37">
        <v>3690</v>
      </c>
      <c r="V1538" s="36" t="str">
        <f>CONCATENATE(Cover!$D$6,"fdd/view?i=",U1538)</f>
        <v>https://www.dgiwg.org/FAD/fdd/view?i=3690</v>
      </c>
      <c r="W1538" s="172"/>
      <c r="X1538" s="172"/>
      <c r="Y1538" s="172"/>
    </row>
    <row r="1539" spans="1:25" ht="2.1" customHeight="1" x14ac:dyDescent="0.2">
      <c r="A1539" s="295"/>
      <c r="B1539" s="283"/>
      <c r="C1539" s="296"/>
      <c r="D1539" s="283"/>
      <c r="E1539" s="296"/>
      <c r="F1539" s="297"/>
      <c r="G1539" s="297"/>
      <c r="H1539" s="297"/>
      <c r="I1539" s="298"/>
      <c r="J1539" s="304"/>
      <c r="K1539" s="300"/>
      <c r="L1539" s="301"/>
      <c r="M1539" s="297" t="s">
        <v>6582</v>
      </c>
      <c r="N1539" s="297"/>
      <c r="O1539" s="297"/>
      <c r="P1539" s="297"/>
      <c r="Q1539" s="297"/>
      <c r="R1539" s="297"/>
      <c r="S1539" s="302"/>
      <c r="T1539" s="302"/>
      <c r="U1539" s="303"/>
    </row>
    <row r="1540" spans="1:25" ht="38.25" x14ac:dyDescent="0.2">
      <c r="A1540" s="212" t="str">
        <f>HYPERLINK(V1540,B1540)</f>
        <v>TextLex4095</v>
      </c>
      <c r="B1540" s="283" t="s">
        <v>6063</v>
      </c>
      <c r="C1540" s="284" t="s">
        <v>16171</v>
      </c>
      <c r="D1540" s="285"/>
      <c r="E1540" s="286"/>
      <c r="F1540" s="287" t="s">
        <v>16172</v>
      </c>
      <c r="G1540" s="286"/>
      <c r="H1540" s="287" t="s">
        <v>16160</v>
      </c>
      <c r="I1540" s="288"/>
      <c r="J1540" s="289"/>
      <c r="K1540" s="290"/>
      <c r="L1540" s="287" t="s">
        <v>16159</v>
      </c>
      <c r="M1540" s="287" t="s">
        <v>6582</v>
      </c>
      <c r="N1540" s="286"/>
      <c r="O1540" s="287">
        <v>4095</v>
      </c>
      <c r="P1540" s="287" t="b">
        <v>1</v>
      </c>
      <c r="Q1540" s="286"/>
      <c r="R1540" s="286"/>
      <c r="S1540" s="293"/>
      <c r="T1540" s="294"/>
      <c r="U1540" s="37">
        <v>3693</v>
      </c>
      <c r="V1540" s="36" t="str">
        <f>CONCATENATE(Cover!$D$6,"fdd/view?i=",U1540)</f>
        <v>https://www.dgiwg.org/FAD/fdd/view?i=3693</v>
      </c>
      <c r="W1540" s="172"/>
      <c r="X1540" s="172"/>
      <c r="Y1540" s="172"/>
    </row>
    <row r="1541" spans="1:25" ht="2.1" customHeight="1" x14ac:dyDescent="0.2">
      <c r="A1541" s="295"/>
      <c r="B1541" s="283"/>
      <c r="C1541" s="296"/>
      <c r="D1541" s="283"/>
      <c r="E1541" s="296"/>
      <c r="F1541" s="297"/>
      <c r="G1541" s="297"/>
      <c r="H1541" s="297"/>
      <c r="I1541" s="298"/>
      <c r="J1541" s="304"/>
      <c r="K1541" s="300"/>
      <c r="L1541" s="301"/>
      <c r="M1541" s="297" t="s">
        <v>6582</v>
      </c>
      <c r="N1541" s="297"/>
      <c r="O1541" s="297"/>
      <c r="P1541" s="297"/>
      <c r="Q1541" s="297"/>
      <c r="R1541" s="297"/>
      <c r="S1541" s="302"/>
      <c r="T1541" s="302"/>
      <c r="U1541" s="303"/>
    </row>
    <row r="1542" spans="1:25" ht="38.25" x14ac:dyDescent="0.2">
      <c r="A1542" s="212" t="str">
        <f>HYPERLINK(V1542,B1542)</f>
        <v>TextLex80</v>
      </c>
      <c r="B1542" s="283" t="s">
        <v>6974</v>
      </c>
      <c r="C1542" s="284" t="s">
        <v>16173</v>
      </c>
      <c r="D1542" s="285"/>
      <c r="E1542" s="286"/>
      <c r="F1542" s="287" t="s">
        <v>16174</v>
      </c>
      <c r="G1542" s="286"/>
      <c r="H1542" s="287" t="s">
        <v>16160</v>
      </c>
      <c r="I1542" s="288"/>
      <c r="J1542" s="289"/>
      <c r="K1542" s="290"/>
      <c r="L1542" s="287" t="s">
        <v>16159</v>
      </c>
      <c r="M1542" s="287" t="s">
        <v>6582</v>
      </c>
      <c r="N1542" s="286"/>
      <c r="O1542" s="287">
        <v>80</v>
      </c>
      <c r="P1542" s="287" t="b">
        <v>1</v>
      </c>
      <c r="Q1542" s="286"/>
      <c r="R1542" s="286"/>
      <c r="S1542" s="293"/>
      <c r="T1542" s="294"/>
      <c r="U1542" s="37">
        <v>3655</v>
      </c>
      <c r="V1542" s="36" t="str">
        <f>CONCATENATE(Cover!$D$6,"fdd/view?i=",U1542)</f>
        <v>https://www.dgiwg.org/FAD/fdd/view?i=3655</v>
      </c>
      <c r="W1542" s="172"/>
      <c r="X1542" s="172"/>
      <c r="Y1542" s="172"/>
    </row>
    <row r="1543" spans="1:25" ht="2.1" customHeight="1" x14ac:dyDescent="0.2">
      <c r="A1543" s="295"/>
      <c r="B1543" s="283"/>
      <c r="C1543" s="296"/>
      <c r="D1543" s="283"/>
      <c r="E1543" s="296"/>
      <c r="F1543" s="297"/>
      <c r="G1543" s="297"/>
      <c r="H1543" s="297"/>
      <c r="I1543" s="298"/>
      <c r="J1543" s="304"/>
      <c r="K1543" s="300"/>
      <c r="L1543" s="301"/>
      <c r="M1543" s="297" t="s">
        <v>6582</v>
      </c>
      <c r="N1543" s="297"/>
      <c r="O1543" s="297"/>
      <c r="P1543" s="297"/>
      <c r="Q1543" s="297"/>
      <c r="R1543" s="297"/>
      <c r="S1543" s="302"/>
      <c r="T1543" s="302"/>
      <c r="U1543" s="303"/>
    </row>
    <row r="1544" spans="1:25" ht="38.25" x14ac:dyDescent="0.2">
      <c r="A1544" s="212" t="str">
        <f>HYPERLINK(V1544,B1544)</f>
        <v>TextLexUnconstrained</v>
      </c>
      <c r="B1544" s="283" t="s">
        <v>6161</v>
      </c>
      <c r="C1544" s="284" t="s">
        <v>16175</v>
      </c>
      <c r="D1544" s="285"/>
      <c r="E1544" s="286"/>
      <c r="F1544" s="287" t="s">
        <v>16176</v>
      </c>
      <c r="G1544" s="286"/>
      <c r="H1544" s="287" t="s">
        <v>16160</v>
      </c>
      <c r="I1544" s="288"/>
      <c r="J1544" s="289"/>
      <c r="K1544" s="290"/>
      <c r="L1544" s="287" t="s">
        <v>16159</v>
      </c>
      <c r="M1544" s="287" t="s">
        <v>6582</v>
      </c>
      <c r="N1544" s="286"/>
      <c r="O1544" s="305" t="s">
        <v>14571</v>
      </c>
      <c r="P1544" s="287" t="b">
        <v>1</v>
      </c>
      <c r="Q1544" s="286"/>
      <c r="R1544" s="286"/>
      <c r="S1544" s="293"/>
      <c r="T1544" s="294"/>
      <c r="U1544" s="37">
        <v>3648</v>
      </c>
      <c r="V1544" s="36" t="str">
        <f>CONCATENATE(Cover!$D$6,"fdd/view?i=",U1544)</f>
        <v>https://www.dgiwg.org/FAD/fdd/view?i=3648</v>
      </c>
      <c r="W1544" s="172"/>
      <c r="X1544" s="172"/>
      <c r="Y1544" s="172"/>
    </row>
    <row r="1545" spans="1:25" ht="2.1" customHeight="1" x14ac:dyDescent="0.2">
      <c r="A1545" s="295"/>
      <c r="B1545" s="283"/>
      <c r="C1545" s="296"/>
      <c r="D1545" s="283"/>
      <c r="E1545" s="296"/>
      <c r="F1545" s="297"/>
      <c r="G1545" s="297"/>
      <c r="H1545" s="297"/>
      <c r="I1545" s="298"/>
      <c r="J1545" s="304"/>
      <c r="K1545" s="300"/>
      <c r="L1545" s="301"/>
      <c r="M1545" s="297" t="s">
        <v>6582</v>
      </c>
      <c r="N1545" s="297"/>
      <c r="O1545" s="297"/>
      <c r="P1545" s="297"/>
      <c r="Q1545" s="297"/>
      <c r="R1545" s="297"/>
      <c r="S1545" s="302"/>
      <c r="T1545" s="302"/>
      <c r="U1545" s="303"/>
    </row>
    <row r="1546" spans="1:25" ht="38.25" x14ac:dyDescent="0.2">
      <c r="A1546" s="212" t="str">
        <f>HYPERLINK(V1546,B1546)</f>
        <v>TextNonLex10</v>
      </c>
      <c r="B1546" s="283" t="s">
        <v>6561</v>
      </c>
      <c r="C1546" s="284" t="s">
        <v>16177</v>
      </c>
      <c r="D1546" s="285"/>
      <c r="E1546" s="286"/>
      <c r="F1546" s="287" t="s">
        <v>16178</v>
      </c>
      <c r="G1546" s="286"/>
      <c r="H1546" s="287" t="s">
        <v>16160</v>
      </c>
      <c r="I1546" s="288"/>
      <c r="J1546" s="289"/>
      <c r="K1546" s="290"/>
      <c r="L1546" s="287" t="s">
        <v>16159</v>
      </c>
      <c r="M1546" s="287" t="s">
        <v>6582</v>
      </c>
      <c r="N1546" s="286"/>
      <c r="O1546" s="287">
        <v>10</v>
      </c>
      <c r="P1546" s="305" t="b">
        <v>0</v>
      </c>
      <c r="Q1546" s="286"/>
      <c r="R1546" s="286"/>
      <c r="S1546" s="293"/>
      <c r="T1546" s="294"/>
      <c r="U1546" s="37">
        <v>3704</v>
      </c>
      <c r="V1546" s="36" t="str">
        <f>CONCATENATE(Cover!$D$6,"fdd/view?i=",U1546)</f>
        <v>https://www.dgiwg.org/FAD/fdd/view?i=3704</v>
      </c>
      <c r="W1546" s="172"/>
      <c r="X1546" s="172"/>
      <c r="Y1546" s="172"/>
    </row>
    <row r="1547" spans="1:25" ht="2.1" customHeight="1" x14ac:dyDescent="0.2">
      <c r="A1547" s="295"/>
      <c r="B1547" s="283"/>
      <c r="C1547" s="296"/>
      <c r="D1547" s="283"/>
      <c r="E1547" s="296"/>
      <c r="F1547" s="297"/>
      <c r="G1547" s="297"/>
      <c r="H1547" s="297"/>
      <c r="I1547" s="298"/>
      <c r="J1547" s="304"/>
      <c r="K1547" s="300"/>
      <c r="L1547" s="301"/>
      <c r="M1547" s="297" t="s">
        <v>6582</v>
      </c>
      <c r="N1547" s="297"/>
      <c r="O1547" s="297"/>
      <c r="P1547" s="297"/>
      <c r="Q1547" s="297"/>
      <c r="R1547" s="297"/>
      <c r="S1547" s="302"/>
      <c r="T1547" s="302"/>
      <c r="U1547" s="303"/>
    </row>
    <row r="1548" spans="1:25" ht="38.25" x14ac:dyDescent="0.2">
      <c r="A1548" s="212" t="str">
        <f>HYPERLINK(V1548,B1548)</f>
        <v>TextNonLex128</v>
      </c>
      <c r="B1548" s="283" t="s">
        <v>8995</v>
      </c>
      <c r="C1548" s="284" t="s">
        <v>16179</v>
      </c>
      <c r="D1548" s="285"/>
      <c r="E1548" s="286"/>
      <c r="F1548" s="287" t="s">
        <v>16180</v>
      </c>
      <c r="G1548" s="286"/>
      <c r="H1548" s="287" t="s">
        <v>16160</v>
      </c>
      <c r="I1548" s="288"/>
      <c r="J1548" s="289"/>
      <c r="K1548" s="290"/>
      <c r="L1548" s="287" t="s">
        <v>16159</v>
      </c>
      <c r="M1548" s="287" t="s">
        <v>6582</v>
      </c>
      <c r="N1548" s="286"/>
      <c r="O1548" s="287">
        <v>128</v>
      </c>
      <c r="P1548" s="305" t="b">
        <v>0</v>
      </c>
      <c r="Q1548" s="286"/>
      <c r="R1548" s="286"/>
      <c r="S1548" s="293"/>
      <c r="T1548" s="294"/>
      <c r="U1548" s="37">
        <v>3724</v>
      </c>
      <c r="V1548" s="36" t="str">
        <f>CONCATENATE(Cover!$D$6,"fdd/view?i=",U1548)</f>
        <v>https://www.dgiwg.org/FAD/fdd/view?i=3724</v>
      </c>
      <c r="W1548" s="172"/>
      <c r="X1548" s="172"/>
      <c r="Y1548" s="172"/>
    </row>
    <row r="1549" spans="1:25" ht="2.1" customHeight="1" x14ac:dyDescent="0.2">
      <c r="A1549" s="295"/>
      <c r="B1549" s="283"/>
      <c r="C1549" s="296"/>
      <c r="D1549" s="283"/>
      <c r="E1549" s="296"/>
      <c r="F1549" s="297"/>
      <c r="G1549" s="297"/>
      <c r="H1549" s="297"/>
      <c r="I1549" s="298"/>
      <c r="J1549" s="304"/>
      <c r="K1549" s="300"/>
      <c r="L1549" s="301"/>
      <c r="M1549" s="297" t="s">
        <v>6582</v>
      </c>
      <c r="N1549" s="297"/>
      <c r="O1549" s="297"/>
      <c r="P1549" s="297"/>
      <c r="Q1549" s="297"/>
      <c r="R1549" s="297"/>
      <c r="S1549" s="302"/>
      <c r="T1549" s="302"/>
      <c r="U1549" s="303"/>
    </row>
    <row r="1550" spans="1:25" ht="38.25" x14ac:dyDescent="0.2">
      <c r="A1550" s="212" t="str">
        <f>HYPERLINK(V1550,B1550)</f>
        <v>TextNonLex200</v>
      </c>
      <c r="B1550" s="283" t="s">
        <v>8937</v>
      </c>
      <c r="C1550" s="284" t="s">
        <v>16181</v>
      </c>
      <c r="D1550" s="285"/>
      <c r="E1550" s="286"/>
      <c r="F1550" s="287" t="s">
        <v>16182</v>
      </c>
      <c r="G1550" s="286"/>
      <c r="H1550" s="287" t="s">
        <v>16160</v>
      </c>
      <c r="I1550" s="288"/>
      <c r="J1550" s="289"/>
      <c r="K1550" s="290"/>
      <c r="L1550" s="287" t="s">
        <v>16159</v>
      </c>
      <c r="M1550" s="287" t="s">
        <v>6582</v>
      </c>
      <c r="N1550" s="286"/>
      <c r="O1550" s="287">
        <v>200</v>
      </c>
      <c r="P1550" s="305" t="b">
        <v>0</v>
      </c>
      <c r="Q1550" s="286"/>
      <c r="R1550" s="286"/>
      <c r="S1550" s="293"/>
      <c r="T1550" s="294"/>
      <c r="U1550" s="37">
        <v>3726</v>
      </c>
      <c r="V1550" s="36" t="str">
        <f>CONCATENATE(Cover!$D$6,"fdd/view?i=",U1550)</f>
        <v>https://www.dgiwg.org/FAD/fdd/view?i=3726</v>
      </c>
      <c r="W1550" s="172"/>
      <c r="X1550" s="172"/>
      <c r="Y1550" s="172"/>
    </row>
    <row r="1551" spans="1:25" ht="2.1" customHeight="1" x14ac:dyDescent="0.2">
      <c r="A1551" s="295"/>
      <c r="B1551" s="283"/>
      <c r="C1551" s="296"/>
      <c r="D1551" s="283"/>
      <c r="E1551" s="296"/>
      <c r="F1551" s="297"/>
      <c r="G1551" s="297"/>
      <c r="H1551" s="297"/>
      <c r="I1551" s="298"/>
      <c r="J1551" s="304"/>
      <c r="K1551" s="300"/>
      <c r="L1551" s="301"/>
      <c r="M1551" s="297" t="s">
        <v>6582</v>
      </c>
      <c r="N1551" s="297"/>
      <c r="O1551" s="297"/>
      <c r="P1551" s="297"/>
      <c r="Q1551" s="297"/>
      <c r="R1551" s="297"/>
      <c r="S1551" s="302"/>
      <c r="T1551" s="302"/>
      <c r="U1551" s="303"/>
    </row>
    <row r="1552" spans="1:25" ht="38.25" x14ac:dyDescent="0.2">
      <c r="A1552" s="212" t="str">
        <f>HYPERLINK(V1552,B1552)</f>
        <v>TextNonLex22</v>
      </c>
      <c r="B1552" s="283" t="s">
        <v>7350</v>
      </c>
      <c r="C1552" s="284" t="s">
        <v>16183</v>
      </c>
      <c r="D1552" s="285"/>
      <c r="E1552" s="286"/>
      <c r="F1552" s="287" t="s">
        <v>16184</v>
      </c>
      <c r="G1552" s="286"/>
      <c r="H1552" s="287" t="s">
        <v>16160</v>
      </c>
      <c r="I1552" s="288"/>
      <c r="J1552" s="289"/>
      <c r="K1552" s="290"/>
      <c r="L1552" s="287" t="s">
        <v>16159</v>
      </c>
      <c r="M1552" s="287" t="s">
        <v>6582</v>
      </c>
      <c r="N1552" s="286"/>
      <c r="O1552" s="287">
        <v>22</v>
      </c>
      <c r="P1552" s="305" t="b">
        <v>0</v>
      </c>
      <c r="Q1552" s="286"/>
      <c r="R1552" s="286"/>
      <c r="S1552" s="293"/>
      <c r="T1552" s="294"/>
      <c r="U1552" s="37">
        <v>1025</v>
      </c>
      <c r="V1552" s="36" t="str">
        <f>CONCATENATE(Cover!$D$6,"fdd/view?i=",U1552)</f>
        <v>https://www.dgiwg.org/FAD/fdd/view?i=1025</v>
      </c>
      <c r="W1552" s="172"/>
      <c r="X1552" s="172"/>
      <c r="Y1552" s="172"/>
    </row>
    <row r="1553" spans="1:25" ht="2.1" customHeight="1" x14ac:dyDescent="0.2">
      <c r="A1553" s="295"/>
      <c r="B1553" s="283"/>
      <c r="C1553" s="296"/>
      <c r="D1553" s="283"/>
      <c r="E1553" s="296"/>
      <c r="F1553" s="297"/>
      <c r="G1553" s="297"/>
      <c r="H1553" s="297"/>
      <c r="I1553" s="298"/>
      <c r="J1553" s="304"/>
      <c r="K1553" s="300"/>
      <c r="L1553" s="301"/>
      <c r="M1553" s="297" t="s">
        <v>6582</v>
      </c>
      <c r="N1553" s="297"/>
      <c r="O1553" s="297"/>
      <c r="P1553" s="297"/>
      <c r="Q1553" s="297"/>
      <c r="R1553" s="297"/>
      <c r="S1553" s="302"/>
      <c r="T1553" s="302"/>
      <c r="U1553" s="303"/>
    </row>
    <row r="1554" spans="1:25" ht="38.25" x14ac:dyDescent="0.2">
      <c r="A1554" s="212" t="str">
        <f>HYPERLINK(V1554,B1554)</f>
        <v>TextNonLex38</v>
      </c>
      <c r="B1554" s="283" t="s">
        <v>7677</v>
      </c>
      <c r="C1554" s="284" t="s">
        <v>16185</v>
      </c>
      <c r="D1554" s="285"/>
      <c r="E1554" s="286"/>
      <c r="F1554" s="287" t="s">
        <v>16186</v>
      </c>
      <c r="G1554" s="286"/>
      <c r="H1554" s="287" t="s">
        <v>16160</v>
      </c>
      <c r="I1554" s="288"/>
      <c r="J1554" s="289"/>
      <c r="K1554" s="290"/>
      <c r="L1554" s="287" t="s">
        <v>16159</v>
      </c>
      <c r="M1554" s="287" t="s">
        <v>6582</v>
      </c>
      <c r="N1554" s="286"/>
      <c r="O1554" s="287">
        <v>38</v>
      </c>
      <c r="P1554" s="305" t="b">
        <v>0</v>
      </c>
      <c r="Q1554" s="286"/>
      <c r="R1554" s="286"/>
      <c r="S1554" s="293"/>
      <c r="T1554" s="294"/>
      <c r="U1554" s="37">
        <v>3714</v>
      </c>
      <c r="V1554" s="36" t="str">
        <f>CONCATENATE(Cover!$D$6,"fdd/view?i=",U1554)</f>
        <v>https://www.dgiwg.org/FAD/fdd/view?i=3714</v>
      </c>
      <c r="W1554" s="172"/>
      <c r="X1554" s="172"/>
      <c r="Y1554" s="172"/>
    </row>
    <row r="1555" spans="1:25" ht="2.1" customHeight="1" x14ac:dyDescent="0.2">
      <c r="A1555" s="295"/>
      <c r="B1555" s="283"/>
      <c r="C1555" s="296"/>
      <c r="D1555" s="283"/>
      <c r="E1555" s="296"/>
      <c r="F1555" s="297"/>
      <c r="G1555" s="297"/>
      <c r="H1555" s="297"/>
      <c r="I1555" s="298"/>
      <c r="J1555" s="304"/>
      <c r="K1555" s="300"/>
      <c r="L1555" s="301"/>
      <c r="M1555" s="297" t="s">
        <v>6582</v>
      </c>
      <c r="N1555" s="297"/>
      <c r="O1555" s="297"/>
      <c r="P1555" s="297"/>
      <c r="Q1555" s="297"/>
      <c r="R1555" s="297"/>
      <c r="S1555" s="302"/>
      <c r="T1555" s="302"/>
      <c r="U1555" s="303"/>
    </row>
    <row r="1556" spans="1:25" ht="38.25" x14ac:dyDescent="0.2">
      <c r="A1556" s="212" t="str">
        <f>HYPERLINK(V1556,B1556)</f>
        <v>TextNonLex50</v>
      </c>
      <c r="B1556" s="283" t="s">
        <v>8734</v>
      </c>
      <c r="C1556" s="284" t="s">
        <v>16187</v>
      </c>
      <c r="D1556" s="285"/>
      <c r="E1556" s="286"/>
      <c r="F1556" s="287" t="s">
        <v>16188</v>
      </c>
      <c r="G1556" s="286"/>
      <c r="H1556" s="287" t="s">
        <v>16160</v>
      </c>
      <c r="I1556" s="288"/>
      <c r="J1556" s="289"/>
      <c r="K1556" s="290"/>
      <c r="L1556" s="287" t="s">
        <v>16159</v>
      </c>
      <c r="M1556" s="287" t="s">
        <v>6582</v>
      </c>
      <c r="N1556" s="286"/>
      <c r="O1556" s="287">
        <v>50</v>
      </c>
      <c r="P1556" s="305" t="b">
        <v>0</v>
      </c>
      <c r="Q1556" s="286"/>
      <c r="R1556" s="286"/>
      <c r="S1556" s="293"/>
      <c r="T1556" s="294"/>
      <c r="U1556" s="37">
        <v>3716</v>
      </c>
      <c r="V1556" s="36" t="str">
        <f>CONCATENATE(Cover!$D$6,"fdd/view?i=",U1556)</f>
        <v>https://www.dgiwg.org/FAD/fdd/view?i=3716</v>
      </c>
      <c r="W1556" s="172"/>
      <c r="X1556" s="172"/>
      <c r="Y1556" s="172"/>
    </row>
    <row r="1557" spans="1:25" ht="2.1" customHeight="1" x14ac:dyDescent="0.2">
      <c r="A1557" s="295"/>
      <c r="B1557" s="283"/>
      <c r="C1557" s="296"/>
      <c r="D1557" s="283"/>
      <c r="E1557" s="296"/>
      <c r="F1557" s="297"/>
      <c r="G1557" s="297"/>
      <c r="H1557" s="297"/>
      <c r="I1557" s="298"/>
      <c r="J1557" s="304"/>
      <c r="K1557" s="300"/>
      <c r="L1557" s="301"/>
      <c r="M1557" s="297" t="s">
        <v>6582</v>
      </c>
      <c r="N1557" s="297"/>
      <c r="O1557" s="297"/>
      <c r="P1557" s="297"/>
      <c r="Q1557" s="297"/>
      <c r="R1557" s="297"/>
      <c r="S1557" s="302"/>
      <c r="T1557" s="302"/>
      <c r="U1557" s="303"/>
    </row>
    <row r="1558" spans="1:25" ht="38.25" x14ac:dyDescent="0.2">
      <c r="A1558" s="212" t="str">
        <f>HYPERLINK(V1558,B1558)</f>
        <v>TextNonLex60</v>
      </c>
      <c r="B1558" s="283" t="s">
        <v>8752</v>
      </c>
      <c r="C1558" s="284" t="s">
        <v>16189</v>
      </c>
      <c r="D1558" s="285"/>
      <c r="E1558" s="286"/>
      <c r="F1558" s="287" t="s">
        <v>16190</v>
      </c>
      <c r="G1558" s="286"/>
      <c r="H1558" s="287" t="s">
        <v>16160</v>
      </c>
      <c r="I1558" s="288"/>
      <c r="J1558" s="289"/>
      <c r="K1558" s="290"/>
      <c r="L1558" s="287" t="s">
        <v>16159</v>
      </c>
      <c r="M1558" s="287" t="s">
        <v>6582</v>
      </c>
      <c r="N1558" s="286"/>
      <c r="O1558" s="287">
        <v>60</v>
      </c>
      <c r="P1558" s="305" t="b">
        <v>0</v>
      </c>
      <c r="Q1558" s="286"/>
      <c r="R1558" s="286"/>
      <c r="S1558" s="293"/>
      <c r="T1558" s="294"/>
      <c r="U1558" s="37">
        <v>3717</v>
      </c>
      <c r="V1558" s="36" t="str">
        <f>CONCATENATE(Cover!$D$6,"fdd/view?i=",U1558)</f>
        <v>https://www.dgiwg.org/FAD/fdd/view?i=3717</v>
      </c>
      <c r="W1558" s="172"/>
      <c r="X1558" s="172"/>
      <c r="Y1558" s="172"/>
    </row>
    <row r="1559" spans="1:25" ht="2.1" customHeight="1" x14ac:dyDescent="0.2">
      <c r="A1559" s="295"/>
      <c r="B1559" s="283"/>
      <c r="C1559" s="296"/>
      <c r="D1559" s="283"/>
      <c r="E1559" s="296"/>
      <c r="F1559" s="297"/>
      <c r="G1559" s="297"/>
      <c r="H1559" s="297"/>
      <c r="I1559" s="298"/>
      <c r="J1559" s="304"/>
      <c r="K1559" s="300"/>
      <c r="L1559" s="301"/>
      <c r="M1559" s="297" t="s">
        <v>6582</v>
      </c>
      <c r="N1559" s="297"/>
      <c r="O1559" s="297"/>
      <c r="P1559" s="297"/>
      <c r="Q1559" s="297"/>
      <c r="R1559" s="297"/>
      <c r="S1559" s="302"/>
      <c r="T1559" s="302"/>
      <c r="U1559" s="303"/>
    </row>
    <row r="1560" spans="1:25" ht="38.25" x14ac:dyDescent="0.2">
      <c r="A1560" s="212" t="str">
        <f>HYPERLINK(V1560,B1560)</f>
        <v>TextNonLex80</v>
      </c>
      <c r="B1560" s="283" t="s">
        <v>7387</v>
      </c>
      <c r="C1560" s="284" t="s">
        <v>16191</v>
      </c>
      <c r="D1560" s="285"/>
      <c r="E1560" s="286"/>
      <c r="F1560" s="287" t="s">
        <v>16192</v>
      </c>
      <c r="G1560" s="286"/>
      <c r="H1560" s="287" t="s">
        <v>16160</v>
      </c>
      <c r="I1560" s="288"/>
      <c r="J1560" s="289"/>
      <c r="K1560" s="290"/>
      <c r="L1560" s="287" t="s">
        <v>16159</v>
      </c>
      <c r="M1560" s="287" t="s">
        <v>6582</v>
      </c>
      <c r="N1560" s="286"/>
      <c r="O1560" s="287">
        <v>80</v>
      </c>
      <c r="P1560" s="305" t="b">
        <v>0</v>
      </c>
      <c r="Q1560" s="286"/>
      <c r="R1560" s="286"/>
      <c r="S1560" s="293"/>
      <c r="T1560" s="294"/>
      <c r="U1560" s="37">
        <v>3721</v>
      </c>
      <c r="V1560" s="36" t="str">
        <f>CONCATENATE(Cover!$D$6,"fdd/view?i=",U1560)</f>
        <v>https://www.dgiwg.org/FAD/fdd/view?i=3721</v>
      </c>
      <c r="W1560" s="172"/>
      <c r="X1560" s="172"/>
      <c r="Y1560" s="172"/>
    </row>
    <row r="1561" spans="1:25" ht="2.1" customHeight="1" x14ac:dyDescent="0.2">
      <c r="A1561" s="295"/>
      <c r="B1561" s="283"/>
      <c r="C1561" s="296"/>
      <c r="D1561" s="283"/>
      <c r="E1561" s="296"/>
      <c r="F1561" s="297"/>
      <c r="G1561" s="297"/>
      <c r="H1561" s="297"/>
      <c r="I1561" s="298"/>
      <c r="J1561" s="304"/>
      <c r="K1561" s="300"/>
      <c r="L1561" s="301"/>
      <c r="M1561" s="297" t="s">
        <v>6582</v>
      </c>
      <c r="N1561" s="297"/>
      <c r="O1561" s="297"/>
      <c r="P1561" s="297"/>
      <c r="Q1561" s="297"/>
      <c r="R1561" s="297"/>
      <c r="S1561" s="302"/>
      <c r="T1561" s="302"/>
      <c r="U1561" s="303"/>
    </row>
    <row r="1562" spans="1:25" ht="38.25" x14ac:dyDescent="0.2">
      <c r="A1562" s="212" t="str">
        <f>HYPERLINK(V1562,B1562)</f>
        <v>TextNonLexUnconstrained</v>
      </c>
      <c r="B1562" s="283" t="s">
        <v>6268</v>
      </c>
      <c r="C1562" s="284" t="s">
        <v>16193</v>
      </c>
      <c r="D1562" s="285"/>
      <c r="E1562" s="286"/>
      <c r="F1562" s="287" t="s">
        <v>16194</v>
      </c>
      <c r="G1562" s="286"/>
      <c r="H1562" s="287" t="s">
        <v>16160</v>
      </c>
      <c r="I1562" s="288"/>
      <c r="J1562" s="289"/>
      <c r="K1562" s="290"/>
      <c r="L1562" s="287" t="s">
        <v>16159</v>
      </c>
      <c r="M1562" s="287" t="s">
        <v>6582</v>
      </c>
      <c r="N1562" s="286"/>
      <c r="O1562" s="305" t="s">
        <v>14571</v>
      </c>
      <c r="P1562" s="305" t="b">
        <v>0</v>
      </c>
      <c r="Q1562" s="286"/>
      <c r="R1562" s="286"/>
      <c r="S1562" s="293"/>
      <c r="T1562" s="294"/>
      <c r="U1562" s="37">
        <v>3696</v>
      </c>
      <c r="V1562" s="36" t="str">
        <f>CONCATENATE(Cover!$D$6,"fdd/view?i=",U1562)</f>
        <v>https://www.dgiwg.org/FAD/fdd/view?i=3696</v>
      </c>
      <c r="W1562" s="172"/>
      <c r="X1562" s="172"/>
      <c r="Y1562" s="172"/>
    </row>
    <row r="1563" spans="1:25" ht="2.1" customHeight="1" x14ac:dyDescent="0.2">
      <c r="A1563" s="295"/>
      <c r="B1563" s="283"/>
      <c r="C1563" s="296"/>
      <c r="D1563" s="283"/>
      <c r="E1563" s="296"/>
      <c r="F1563" s="297"/>
      <c r="G1563" s="297"/>
      <c r="H1563" s="297"/>
      <c r="I1563" s="298"/>
      <c r="J1563" s="304"/>
      <c r="K1563" s="300"/>
      <c r="L1563" s="301"/>
      <c r="M1563" s="297" t="s">
        <v>6582</v>
      </c>
      <c r="N1563" s="297"/>
      <c r="O1563" s="297"/>
      <c r="P1563" s="297"/>
      <c r="Q1563" s="297"/>
      <c r="R1563" s="297"/>
      <c r="S1563" s="302"/>
      <c r="T1563" s="302"/>
      <c r="U1563" s="303"/>
    </row>
    <row r="1564" spans="1:25" ht="25.5" x14ac:dyDescent="0.2">
      <c r="A1564" s="212" t="str">
        <f>HYPERLINK(V1564,B1564)</f>
        <v>ThlCode</v>
      </c>
      <c r="B1564" s="283" t="s">
        <v>13374</v>
      </c>
      <c r="C1564" s="284" t="s">
        <v>16195</v>
      </c>
      <c r="D1564" s="285"/>
      <c r="E1564" s="286"/>
      <c r="F1564" s="287" t="s">
        <v>16196</v>
      </c>
      <c r="G1564" s="286"/>
      <c r="H1564" s="286"/>
      <c r="I1564" s="288"/>
      <c r="J1564" s="289"/>
      <c r="K1564" s="290"/>
      <c r="L1564" s="371" t="str">
        <f>HYPERLINK("[#]DatatypeListedValues!B9711:H9711","«enumeration»")</f>
        <v>«enumeration»</v>
      </c>
      <c r="M1564" s="287" t="s">
        <v>6582</v>
      </c>
      <c r="N1564" s="291" t="b">
        <v>0</v>
      </c>
      <c r="O1564" s="286"/>
      <c r="P1564" s="292"/>
      <c r="Q1564" s="286"/>
      <c r="R1564" s="286"/>
      <c r="S1564" s="293"/>
      <c r="T1564" s="294"/>
      <c r="U1564" s="37">
        <v>119792</v>
      </c>
      <c r="V1564" s="36" t="str">
        <f>CONCATENATE(Cover!$D$6,"fdd/view?i=",U1564)</f>
        <v>https://www.dgiwg.org/FAD/fdd/view?i=119792</v>
      </c>
      <c r="W1564" s="172"/>
      <c r="X1564" s="172"/>
      <c r="Y1564" s="172"/>
    </row>
    <row r="1565" spans="1:25" ht="2.1" customHeight="1" x14ac:dyDescent="0.2">
      <c r="A1565" s="295"/>
      <c r="B1565" s="283"/>
      <c r="C1565" s="296"/>
      <c r="D1565" s="283"/>
      <c r="E1565" s="296"/>
      <c r="F1565" s="297"/>
      <c r="G1565" s="297"/>
      <c r="H1565" s="297"/>
      <c r="I1565" s="298"/>
      <c r="J1565" s="304"/>
      <c r="K1565" s="300"/>
      <c r="L1565" s="301"/>
      <c r="M1565" s="297" t="s">
        <v>6582</v>
      </c>
      <c r="N1565" s="297"/>
      <c r="O1565" s="297"/>
      <c r="P1565" s="297"/>
      <c r="Q1565" s="297"/>
      <c r="R1565" s="297"/>
      <c r="S1565" s="302"/>
      <c r="T1565" s="302"/>
      <c r="U1565" s="303"/>
    </row>
    <row r="1566" spans="1:25" ht="25.5" x14ac:dyDescent="0.2">
      <c r="A1566" s="212" t="str">
        <f>HYPERLINK(V1566,B1566)</f>
        <v>HctCode</v>
      </c>
      <c r="B1566" s="283" t="s">
        <v>13384</v>
      </c>
      <c r="C1566" s="284" t="s">
        <v>16197</v>
      </c>
      <c r="D1566" s="285"/>
      <c r="E1566" s="286"/>
      <c r="F1566" s="287" t="s">
        <v>16198</v>
      </c>
      <c r="G1566" s="286"/>
      <c r="H1566" s="286"/>
      <c r="I1566" s="288"/>
      <c r="J1566" s="289"/>
      <c r="K1566" s="290"/>
      <c r="L1566" s="371" t="str">
        <f>HYPERLINK("[#]DatatypeListedValues!B9722:H9722","«enumeration»")</f>
        <v>«enumeration»</v>
      </c>
      <c r="M1566" s="287" t="s">
        <v>6582</v>
      </c>
      <c r="N1566" s="291" t="b">
        <v>0</v>
      </c>
      <c r="O1566" s="286"/>
      <c r="P1566" s="292"/>
      <c r="Q1566" s="286"/>
      <c r="R1566" s="286"/>
      <c r="S1566" s="293"/>
      <c r="T1566" s="294"/>
      <c r="U1566" s="37">
        <v>1572</v>
      </c>
      <c r="V1566" s="36" t="str">
        <f>CONCATENATE(Cover!$D$6,"fdd/view?i=",U1566)</f>
        <v>https://www.dgiwg.org/FAD/fdd/view?i=1572</v>
      </c>
      <c r="W1566" s="172"/>
      <c r="X1566" s="172"/>
      <c r="Y1566" s="172"/>
    </row>
    <row r="1567" spans="1:25" ht="2.1" customHeight="1" x14ac:dyDescent="0.2">
      <c r="A1567" s="295"/>
      <c r="B1567" s="283"/>
      <c r="C1567" s="296"/>
      <c r="D1567" s="283"/>
      <c r="E1567" s="296"/>
      <c r="F1567" s="297"/>
      <c r="G1567" s="297"/>
      <c r="H1567" s="297"/>
      <c r="I1567" s="298"/>
      <c r="J1567" s="304"/>
      <c r="K1567" s="300"/>
      <c r="L1567" s="301"/>
      <c r="M1567" s="297" t="s">
        <v>6582</v>
      </c>
      <c r="N1567" s="297"/>
      <c r="O1567" s="297"/>
      <c r="P1567" s="297"/>
      <c r="Q1567" s="297"/>
      <c r="R1567" s="297"/>
      <c r="S1567" s="302"/>
      <c r="T1567" s="302"/>
      <c r="U1567" s="303"/>
    </row>
    <row r="1568" spans="1:25" ht="25.5" x14ac:dyDescent="0.2">
      <c r="A1568" s="212" t="str">
        <f>HYPERLINK(V1568,B1568)</f>
        <v>TypCode</v>
      </c>
      <c r="B1568" s="283" t="s">
        <v>13395</v>
      </c>
      <c r="C1568" s="284" t="s">
        <v>16199</v>
      </c>
      <c r="D1568" s="285"/>
      <c r="E1568" s="286"/>
      <c r="F1568" s="287" t="s">
        <v>16200</v>
      </c>
      <c r="G1568" s="286"/>
      <c r="H1568" s="286"/>
      <c r="I1568" s="288"/>
      <c r="J1568" s="289"/>
      <c r="K1568" s="290"/>
      <c r="L1568" s="371" t="str">
        <f>HYPERLINK("[#]DatatypeListedValues!B9726:H9726","«enumeration»")</f>
        <v>«enumeration»</v>
      </c>
      <c r="M1568" s="287" t="s">
        <v>6582</v>
      </c>
      <c r="N1568" s="291" t="b">
        <v>0</v>
      </c>
      <c r="O1568" s="286"/>
      <c r="P1568" s="292"/>
      <c r="Q1568" s="286"/>
      <c r="R1568" s="286"/>
      <c r="S1568" s="293"/>
      <c r="T1568" s="294"/>
      <c r="U1568" s="37">
        <v>1507</v>
      </c>
      <c r="V1568" s="36" t="str">
        <f>CONCATENATE(Cover!$D$6,"fdd/view?i=",U1568)</f>
        <v>https://www.dgiwg.org/FAD/fdd/view?i=1507</v>
      </c>
      <c r="W1568" s="172"/>
      <c r="X1568" s="172"/>
      <c r="Y1568" s="172"/>
    </row>
    <row r="1569" spans="1:25" ht="2.1" customHeight="1" x14ac:dyDescent="0.2">
      <c r="A1569" s="295"/>
      <c r="B1569" s="283"/>
      <c r="C1569" s="296"/>
      <c r="D1569" s="283"/>
      <c r="E1569" s="296"/>
      <c r="F1569" s="297"/>
      <c r="G1569" s="297"/>
      <c r="H1569" s="297"/>
      <c r="I1569" s="298"/>
      <c r="J1569" s="304"/>
      <c r="K1569" s="300"/>
      <c r="L1569" s="301"/>
      <c r="M1569" s="297" t="s">
        <v>6582</v>
      </c>
      <c r="N1569" s="297"/>
      <c r="O1569" s="297"/>
      <c r="P1569" s="297"/>
      <c r="Q1569" s="297"/>
      <c r="R1569" s="297"/>
      <c r="S1569" s="302"/>
      <c r="T1569" s="302"/>
      <c r="U1569" s="303"/>
    </row>
    <row r="1570" spans="1:25" ht="25.5" x14ac:dyDescent="0.2">
      <c r="A1570" s="212" t="str">
        <f>HYPERLINK(V1570,B1570)</f>
        <v>RdtCode</v>
      </c>
      <c r="B1570" s="283" t="s">
        <v>13401</v>
      </c>
      <c r="C1570" s="284" t="s">
        <v>16201</v>
      </c>
      <c r="D1570" s="285"/>
      <c r="E1570" s="286"/>
      <c r="F1570" s="287" t="s">
        <v>16202</v>
      </c>
      <c r="G1570" s="286"/>
      <c r="H1570" s="286"/>
      <c r="I1570" s="288"/>
      <c r="J1570" s="289"/>
      <c r="K1570" s="290"/>
      <c r="L1570" s="371" t="str">
        <f>HYPERLINK("[#]DatatypeListedValues!B9743:H9743","«enumeration»")</f>
        <v>«enumeration»</v>
      </c>
      <c r="M1570" s="287" t="s">
        <v>6582</v>
      </c>
      <c r="N1570" s="291" t="b">
        <v>0</v>
      </c>
      <c r="O1570" s="286"/>
      <c r="P1570" s="292"/>
      <c r="Q1570" s="286"/>
      <c r="R1570" s="286"/>
      <c r="S1570" s="293"/>
      <c r="T1570" s="294"/>
      <c r="U1570" s="37">
        <v>1394</v>
      </c>
      <c r="V1570" s="36" t="str">
        <f>CONCATENATE(Cover!$D$6,"fdd/view?i=",U1570)</f>
        <v>https://www.dgiwg.org/FAD/fdd/view?i=1394</v>
      </c>
      <c r="W1570" s="172"/>
      <c r="X1570" s="172"/>
      <c r="Y1570" s="172"/>
    </row>
    <row r="1571" spans="1:25" ht="2.1" customHeight="1" x14ac:dyDescent="0.2">
      <c r="A1571" s="295"/>
      <c r="B1571" s="283"/>
      <c r="C1571" s="296"/>
      <c r="D1571" s="283"/>
      <c r="E1571" s="296"/>
      <c r="F1571" s="297"/>
      <c r="G1571" s="297"/>
      <c r="H1571" s="297"/>
      <c r="I1571" s="298"/>
      <c r="J1571" s="304"/>
      <c r="K1571" s="300"/>
      <c r="L1571" s="301"/>
      <c r="M1571" s="297" t="s">
        <v>6582</v>
      </c>
      <c r="N1571" s="297"/>
      <c r="O1571" s="297"/>
      <c r="P1571" s="297"/>
      <c r="Q1571" s="297"/>
      <c r="R1571" s="297"/>
      <c r="S1571" s="302"/>
      <c r="T1571" s="302"/>
      <c r="U1571" s="303"/>
    </row>
    <row r="1572" spans="1:25" ht="25.5" x14ac:dyDescent="0.2">
      <c r="A1572" s="212" t="str">
        <f>HYPERLINK(V1572,B1572)</f>
        <v>TafCode</v>
      </c>
      <c r="B1572" s="283" t="s">
        <v>13422</v>
      </c>
      <c r="C1572" s="284" t="s">
        <v>16203</v>
      </c>
      <c r="D1572" s="285"/>
      <c r="E1572" s="286"/>
      <c r="F1572" s="287" t="s">
        <v>16204</v>
      </c>
      <c r="G1572" s="286"/>
      <c r="H1572" s="286"/>
      <c r="I1572" s="288"/>
      <c r="J1572" s="289"/>
      <c r="K1572" s="290"/>
      <c r="L1572" s="371" t="str">
        <f>HYPERLINK("[#]DatatypeListedValues!B9752:H9752","«enumeration»")</f>
        <v>«enumeration»</v>
      </c>
      <c r="M1572" s="287" t="s">
        <v>6582</v>
      </c>
      <c r="N1572" s="291" t="b">
        <v>0</v>
      </c>
      <c r="O1572" s="286"/>
      <c r="P1572" s="292"/>
      <c r="Q1572" s="286"/>
      <c r="R1572" s="286"/>
      <c r="S1572" s="293"/>
      <c r="T1572" s="294"/>
      <c r="U1572" s="37">
        <v>117424</v>
      </c>
      <c r="V1572" s="36" t="str">
        <f>CONCATENATE(Cover!$D$6,"fdd/view?i=",U1572)</f>
        <v>https://www.dgiwg.org/FAD/fdd/view?i=117424</v>
      </c>
      <c r="W1572" s="172"/>
      <c r="X1572" s="172"/>
      <c r="Y1572" s="172"/>
    </row>
    <row r="1573" spans="1:25" ht="2.1" customHeight="1" x14ac:dyDescent="0.2">
      <c r="A1573" s="295"/>
      <c r="B1573" s="283"/>
      <c r="C1573" s="296"/>
      <c r="D1573" s="283"/>
      <c r="E1573" s="296"/>
      <c r="F1573" s="297"/>
      <c r="G1573" s="297"/>
      <c r="H1573" s="297"/>
      <c r="I1573" s="298"/>
      <c r="J1573" s="304"/>
      <c r="K1573" s="300"/>
      <c r="L1573" s="301"/>
      <c r="M1573" s="297" t="s">
        <v>6582</v>
      </c>
      <c r="N1573" s="297"/>
      <c r="O1573" s="297"/>
      <c r="P1573" s="297"/>
      <c r="Q1573" s="297"/>
      <c r="R1573" s="297"/>
      <c r="S1573" s="302"/>
      <c r="T1573" s="302"/>
      <c r="U1573" s="303"/>
    </row>
    <row r="1574" spans="1:25" ht="25.5" x14ac:dyDescent="0.2">
      <c r="A1574" s="212" t="str">
        <f>HYPERLINK(V1574,B1574)</f>
        <v>TctCode</v>
      </c>
      <c r="B1574" s="283" t="s">
        <v>13427</v>
      </c>
      <c r="C1574" s="284" t="s">
        <v>16205</v>
      </c>
      <c r="D1574" s="285"/>
      <c r="E1574" s="286"/>
      <c r="F1574" s="287" t="s">
        <v>16206</v>
      </c>
      <c r="G1574" s="286"/>
      <c r="H1574" s="286"/>
      <c r="I1574" s="288"/>
      <c r="J1574" s="289"/>
      <c r="K1574" s="290"/>
      <c r="L1574" s="371" t="str">
        <f>HYPERLINK("[#]DatatypeListedValues!B9758:H9758","«enumeration»")</f>
        <v>«enumeration»</v>
      </c>
      <c r="M1574" s="287" t="s">
        <v>6582</v>
      </c>
      <c r="N1574" s="291" t="b">
        <v>0</v>
      </c>
      <c r="O1574" s="286"/>
      <c r="P1574" s="292"/>
      <c r="Q1574" s="286"/>
      <c r="R1574" s="286"/>
      <c r="S1574" s="293"/>
      <c r="T1574" s="294"/>
      <c r="U1574" s="37">
        <v>1922</v>
      </c>
      <c r="V1574" s="36" t="str">
        <f>CONCATENATE(Cover!$D$6,"fdd/view?i=",U1574)</f>
        <v>https://www.dgiwg.org/FAD/fdd/view?i=1922</v>
      </c>
      <c r="W1574" s="172"/>
      <c r="X1574" s="172"/>
      <c r="Y1574" s="172"/>
    </row>
    <row r="1575" spans="1:25" ht="2.1" customHeight="1" x14ac:dyDescent="0.2">
      <c r="A1575" s="295"/>
      <c r="B1575" s="283"/>
      <c r="C1575" s="296"/>
      <c r="D1575" s="283"/>
      <c r="E1575" s="296"/>
      <c r="F1575" s="297"/>
      <c r="G1575" s="297"/>
      <c r="H1575" s="297"/>
      <c r="I1575" s="298"/>
      <c r="J1575" s="304"/>
      <c r="K1575" s="300"/>
      <c r="L1575" s="301"/>
      <c r="M1575" s="297" t="s">
        <v>6582</v>
      </c>
      <c r="N1575" s="297"/>
      <c r="O1575" s="297"/>
      <c r="P1575" s="297"/>
      <c r="Q1575" s="297"/>
      <c r="R1575" s="297"/>
      <c r="S1575" s="302"/>
      <c r="T1575" s="302"/>
      <c r="U1575" s="303"/>
    </row>
    <row r="1576" spans="1:25" ht="25.5" x14ac:dyDescent="0.2">
      <c r="A1576" s="212" t="str">
        <f>HYPERLINK(V1576,B1576)</f>
        <v>TdcCode</v>
      </c>
      <c r="B1576" s="283" t="s">
        <v>13632</v>
      </c>
      <c r="C1576" s="284" t="s">
        <v>16207</v>
      </c>
      <c r="D1576" s="285"/>
      <c r="E1576" s="286"/>
      <c r="F1576" s="287" t="s">
        <v>16208</v>
      </c>
      <c r="G1576" s="286"/>
      <c r="H1576" s="286"/>
      <c r="I1576" s="288"/>
      <c r="J1576" s="289"/>
      <c r="K1576" s="290"/>
      <c r="L1576" s="371" t="str">
        <f>HYPERLINK("[#]DatatypeListedValues!B9760:H9760","«enumeration»")</f>
        <v>«enumeration»</v>
      </c>
      <c r="M1576" s="287" t="s">
        <v>6582</v>
      </c>
      <c r="N1576" s="291" t="b">
        <v>0</v>
      </c>
      <c r="O1576" s="286"/>
      <c r="P1576" s="292"/>
      <c r="Q1576" s="286"/>
      <c r="R1576" s="286"/>
      <c r="S1576" s="293"/>
      <c r="T1576" s="294"/>
      <c r="U1576" s="37">
        <v>114408</v>
      </c>
      <c r="V1576" s="36" t="str">
        <f>CONCATENATE(Cover!$D$6,"fdd/view?i=",U1576)</f>
        <v>https://www.dgiwg.org/FAD/fdd/view?i=114408</v>
      </c>
      <c r="W1576" s="172"/>
      <c r="X1576" s="172"/>
      <c r="Y1576" s="172"/>
    </row>
    <row r="1577" spans="1:25" ht="2.1" customHeight="1" x14ac:dyDescent="0.2">
      <c r="A1577" s="295"/>
      <c r="B1577" s="283"/>
      <c r="C1577" s="296"/>
      <c r="D1577" s="283"/>
      <c r="E1577" s="296"/>
      <c r="F1577" s="297"/>
      <c r="G1577" s="297"/>
      <c r="H1577" s="297"/>
      <c r="I1577" s="298"/>
      <c r="J1577" s="304"/>
      <c r="K1577" s="300"/>
      <c r="L1577" s="301"/>
      <c r="M1577" s="297" t="s">
        <v>6582</v>
      </c>
      <c r="N1577" s="297"/>
      <c r="O1577" s="297"/>
      <c r="P1577" s="297"/>
      <c r="Q1577" s="297"/>
      <c r="R1577" s="297"/>
      <c r="S1577" s="302"/>
      <c r="T1577" s="302"/>
      <c r="U1577" s="303"/>
    </row>
    <row r="1578" spans="1:25" ht="25.5" x14ac:dyDescent="0.2">
      <c r="A1578" s="212" t="str">
        <f>HYPERLINK(V1578,B1578)</f>
        <v>TtyCode</v>
      </c>
      <c r="B1578" s="283" t="s">
        <v>13645</v>
      </c>
      <c r="C1578" s="284" t="s">
        <v>16209</v>
      </c>
      <c r="D1578" s="285"/>
      <c r="E1578" s="286"/>
      <c r="F1578" s="287" t="s">
        <v>16210</v>
      </c>
      <c r="G1578" s="286"/>
      <c r="H1578" s="286"/>
      <c r="I1578" s="288"/>
      <c r="J1578" s="289"/>
      <c r="K1578" s="290"/>
      <c r="L1578" s="371" t="str">
        <f>HYPERLINK("[#]DatatypeListedValues!B9767:H9767","«enumeration»")</f>
        <v>«enumeration»</v>
      </c>
      <c r="M1578" s="287" t="s">
        <v>6582</v>
      </c>
      <c r="N1578" s="291" t="b">
        <v>0</v>
      </c>
      <c r="O1578" s="286"/>
      <c r="P1578" s="292"/>
      <c r="Q1578" s="286"/>
      <c r="R1578" s="286"/>
      <c r="S1578" s="293"/>
      <c r="T1578" s="294"/>
      <c r="U1578" s="37">
        <v>3343</v>
      </c>
      <c r="V1578" s="36" t="str">
        <f>CONCATENATE(Cover!$D$6,"fdd/view?i=",U1578)</f>
        <v>https://www.dgiwg.org/FAD/fdd/view?i=3343</v>
      </c>
      <c r="W1578" s="172"/>
      <c r="X1578" s="172"/>
      <c r="Y1578" s="172"/>
    </row>
    <row r="1579" spans="1:25" ht="2.1" customHeight="1" x14ac:dyDescent="0.2">
      <c r="A1579" s="295"/>
      <c r="B1579" s="283"/>
      <c r="C1579" s="296"/>
      <c r="D1579" s="283"/>
      <c r="E1579" s="296"/>
      <c r="F1579" s="297"/>
      <c r="G1579" s="297"/>
      <c r="H1579" s="297"/>
      <c r="I1579" s="298"/>
      <c r="J1579" s="304"/>
      <c r="K1579" s="300"/>
      <c r="L1579" s="301"/>
      <c r="M1579" s="297" t="s">
        <v>6582</v>
      </c>
      <c r="N1579" s="297"/>
      <c r="O1579" s="297"/>
      <c r="P1579" s="297"/>
      <c r="Q1579" s="297"/>
      <c r="R1579" s="297"/>
      <c r="S1579" s="302"/>
      <c r="T1579" s="302"/>
      <c r="U1579" s="303"/>
    </row>
    <row r="1580" spans="1:25" ht="25.5" x14ac:dyDescent="0.2">
      <c r="A1580" s="212" t="str">
        <f>HYPERLINK(V1580,B1580)</f>
        <v>TzpCode</v>
      </c>
      <c r="B1580" s="283" t="s">
        <v>13655</v>
      </c>
      <c r="C1580" s="284" t="s">
        <v>16211</v>
      </c>
      <c r="D1580" s="285"/>
      <c r="E1580" s="286"/>
      <c r="F1580" s="287" t="s">
        <v>16212</v>
      </c>
      <c r="G1580" s="286"/>
      <c r="H1580" s="286"/>
      <c r="I1580" s="288"/>
      <c r="J1580" s="289"/>
      <c r="K1580" s="290"/>
      <c r="L1580" s="371" t="str">
        <f>HYPERLINK("[#]DatatypeListedValues!B9774:H9774","«enumeration»")</f>
        <v>«enumeration»</v>
      </c>
      <c r="M1580" s="287" t="s">
        <v>6582</v>
      </c>
      <c r="N1580" s="291" t="b">
        <v>0</v>
      </c>
      <c r="O1580" s="286"/>
      <c r="P1580" s="292"/>
      <c r="Q1580" s="286"/>
      <c r="R1580" s="286"/>
      <c r="S1580" s="293"/>
      <c r="T1580" s="294"/>
      <c r="U1580" s="37">
        <v>118926</v>
      </c>
      <c r="V1580" s="36" t="str">
        <f>CONCATENATE(Cover!$D$6,"fdd/view?i=",U1580)</f>
        <v>https://www.dgiwg.org/FAD/fdd/view?i=118926</v>
      </c>
      <c r="W1580" s="172"/>
      <c r="X1580" s="172"/>
      <c r="Y1580" s="172"/>
    </row>
    <row r="1581" spans="1:25" ht="2.1" customHeight="1" x14ac:dyDescent="0.2">
      <c r="A1581" s="295"/>
      <c r="B1581" s="283"/>
      <c r="C1581" s="296"/>
      <c r="D1581" s="283"/>
      <c r="E1581" s="296"/>
      <c r="F1581" s="297"/>
      <c r="G1581" s="297"/>
      <c r="H1581" s="297"/>
      <c r="I1581" s="298"/>
      <c r="J1581" s="304"/>
      <c r="K1581" s="300"/>
      <c r="L1581" s="301"/>
      <c r="M1581" s="297" t="s">
        <v>6582</v>
      </c>
      <c r="N1581" s="297"/>
      <c r="O1581" s="297"/>
      <c r="P1581" s="297"/>
      <c r="Q1581" s="297"/>
      <c r="R1581" s="297"/>
      <c r="S1581" s="302"/>
      <c r="T1581" s="302"/>
      <c r="U1581" s="303"/>
    </row>
    <row r="1582" spans="1:25" ht="25.5" x14ac:dyDescent="0.2">
      <c r="A1582" s="212" t="str">
        <f>HYPERLINK(V1582,B1582)</f>
        <v>TppCode</v>
      </c>
      <c r="B1582" s="283" t="s">
        <v>13660</v>
      </c>
      <c r="C1582" s="284" t="s">
        <v>16213</v>
      </c>
      <c r="D1582" s="285"/>
      <c r="E1582" s="286"/>
      <c r="F1582" s="287" t="s">
        <v>16214</v>
      </c>
      <c r="G1582" s="286"/>
      <c r="H1582" s="286"/>
      <c r="I1582" s="288"/>
      <c r="J1582" s="289"/>
      <c r="K1582" s="290"/>
      <c r="L1582" s="371" t="str">
        <f>HYPERLINK("[#]DatatypeListedValues!B9811:H9811","«enumeration»")</f>
        <v>«enumeration»</v>
      </c>
      <c r="M1582" s="287" t="s">
        <v>6582</v>
      </c>
      <c r="N1582" s="291" t="b">
        <v>0</v>
      </c>
      <c r="O1582" s="286"/>
      <c r="P1582" s="292"/>
      <c r="Q1582" s="286"/>
      <c r="R1582" s="286"/>
      <c r="S1582" s="293"/>
      <c r="T1582" s="294"/>
      <c r="U1582" s="37">
        <v>1924</v>
      </c>
      <c r="V1582" s="36" t="str">
        <f>CONCATENATE(Cover!$D$6,"fdd/view?i=",U1582)</f>
        <v>https://www.dgiwg.org/FAD/fdd/view?i=1924</v>
      </c>
      <c r="W1582" s="172"/>
      <c r="X1582" s="172"/>
      <c r="Y1582" s="172"/>
    </row>
    <row r="1583" spans="1:25" ht="2.1" customHeight="1" x14ac:dyDescent="0.2">
      <c r="A1583" s="295"/>
      <c r="B1583" s="283"/>
      <c r="C1583" s="296"/>
      <c r="D1583" s="283"/>
      <c r="E1583" s="296"/>
      <c r="F1583" s="297"/>
      <c r="G1583" s="297"/>
      <c r="H1583" s="297"/>
      <c r="I1583" s="298"/>
      <c r="J1583" s="304"/>
      <c r="K1583" s="300"/>
      <c r="L1583" s="301"/>
      <c r="M1583" s="297" t="s">
        <v>6582</v>
      </c>
      <c r="N1583" s="297"/>
      <c r="O1583" s="297"/>
      <c r="P1583" s="297"/>
      <c r="Q1583" s="297"/>
      <c r="R1583" s="297"/>
      <c r="S1583" s="302"/>
      <c r="T1583" s="302"/>
      <c r="U1583" s="303"/>
    </row>
    <row r="1584" spans="1:25" ht="38.25" x14ac:dyDescent="0.2">
      <c r="A1584" s="212" t="str">
        <f>HYPERLINK(V1584,B1584)</f>
        <v>TldStrucText</v>
      </c>
      <c r="B1584" s="283" t="s">
        <v>13694</v>
      </c>
      <c r="C1584" s="284" t="s">
        <v>16215</v>
      </c>
      <c r="D1584" s="285"/>
      <c r="E1584" s="286"/>
      <c r="F1584" s="287" t="s">
        <v>16216</v>
      </c>
      <c r="G1584" s="286"/>
      <c r="H1584" s="287" t="s">
        <v>14552</v>
      </c>
      <c r="I1584" s="288"/>
      <c r="J1584" s="289"/>
      <c r="K1584" s="290"/>
      <c r="L1584" s="287" t="s">
        <v>14551</v>
      </c>
      <c r="M1584" s="287" t="s">
        <v>6582</v>
      </c>
      <c r="N1584" s="286"/>
      <c r="O1584" s="305" t="s">
        <v>14571</v>
      </c>
      <c r="P1584" s="305" t="b">
        <v>0</v>
      </c>
      <c r="Q1584" s="286"/>
      <c r="R1584" s="286"/>
      <c r="S1584" s="293"/>
      <c r="T1584" s="294"/>
      <c r="U1584" s="37">
        <v>117455</v>
      </c>
      <c r="V1584" s="36" t="str">
        <f>CONCATENATE(Cover!$D$6,"fdd/view?i=",U1584)</f>
        <v>https://www.dgiwg.org/FAD/fdd/view?i=117455</v>
      </c>
      <c r="W1584" s="172"/>
      <c r="X1584" s="172"/>
      <c r="Y1584" s="172"/>
    </row>
    <row r="1585" spans="1:25" ht="2.1" customHeight="1" x14ac:dyDescent="0.2">
      <c r="A1585" s="295"/>
      <c r="B1585" s="283"/>
      <c r="C1585" s="296"/>
      <c r="D1585" s="283"/>
      <c r="E1585" s="296"/>
      <c r="F1585" s="297"/>
      <c r="G1585" s="297"/>
      <c r="H1585" s="297"/>
      <c r="I1585" s="298"/>
      <c r="J1585" s="304"/>
      <c r="K1585" s="300"/>
      <c r="L1585" s="301"/>
      <c r="M1585" s="297" t="s">
        <v>6582</v>
      </c>
      <c r="N1585" s="297"/>
      <c r="O1585" s="297"/>
      <c r="P1585" s="297"/>
      <c r="Q1585" s="297"/>
      <c r="R1585" s="297"/>
      <c r="S1585" s="302"/>
      <c r="T1585" s="302"/>
      <c r="U1585" s="303"/>
    </row>
    <row r="1586" spans="1:25" ht="25.5" x14ac:dyDescent="0.2">
      <c r="A1586" s="212" t="str">
        <f>HYPERLINK(V1586,B1586)</f>
        <v>TosCode</v>
      </c>
      <c r="B1586" s="283" t="s">
        <v>13722</v>
      </c>
      <c r="C1586" s="284" t="s">
        <v>16217</v>
      </c>
      <c r="D1586" s="285"/>
      <c r="E1586" s="286"/>
      <c r="F1586" s="287" t="s">
        <v>16218</v>
      </c>
      <c r="G1586" s="286"/>
      <c r="H1586" s="286"/>
      <c r="I1586" s="288"/>
      <c r="J1586" s="289"/>
      <c r="K1586" s="290"/>
      <c r="L1586" s="371" t="str">
        <f>HYPERLINK("[#]DatatypeListedValues!B9830:H9830","«enumeration»")</f>
        <v>«enumeration»</v>
      </c>
      <c r="M1586" s="287" t="s">
        <v>6582</v>
      </c>
      <c r="N1586" s="291" t="b">
        <v>0</v>
      </c>
      <c r="O1586" s="286"/>
      <c r="P1586" s="292"/>
      <c r="Q1586" s="286"/>
      <c r="R1586" s="286"/>
      <c r="S1586" s="293"/>
      <c r="T1586" s="294"/>
      <c r="U1586" s="37">
        <v>1563</v>
      </c>
      <c r="V1586" s="36" t="str">
        <f>CONCATENATE(Cover!$D$6,"fdd/view?i=",U1586)</f>
        <v>https://www.dgiwg.org/FAD/fdd/view?i=1563</v>
      </c>
      <c r="W1586" s="172"/>
      <c r="X1586" s="172"/>
      <c r="Y1586" s="172"/>
    </row>
    <row r="1587" spans="1:25" ht="2.1" customHeight="1" x14ac:dyDescent="0.2">
      <c r="A1587" s="295"/>
      <c r="B1587" s="283"/>
      <c r="C1587" s="296"/>
      <c r="D1587" s="283"/>
      <c r="E1587" s="296"/>
      <c r="F1587" s="297"/>
      <c r="G1587" s="297"/>
      <c r="H1587" s="297"/>
      <c r="I1587" s="298"/>
      <c r="J1587" s="304"/>
      <c r="K1587" s="300"/>
      <c r="L1587" s="301"/>
      <c r="M1587" s="297" t="s">
        <v>6582</v>
      </c>
      <c r="N1587" s="297"/>
      <c r="O1587" s="297"/>
      <c r="P1587" s="297"/>
      <c r="Q1587" s="297"/>
      <c r="R1587" s="297"/>
      <c r="S1587" s="302"/>
      <c r="T1587" s="302"/>
      <c r="U1587" s="303"/>
    </row>
    <row r="1588" spans="1:25" ht="25.5" x14ac:dyDescent="0.2">
      <c r="A1588" s="212" t="str">
        <f>HYPERLINK(V1588,B1588)</f>
        <v>TtcCode</v>
      </c>
      <c r="B1588" s="283" t="s">
        <v>13727</v>
      </c>
      <c r="C1588" s="284" t="s">
        <v>16219</v>
      </c>
      <c r="D1588" s="285"/>
      <c r="E1588" s="286"/>
      <c r="F1588" s="287" t="s">
        <v>16220</v>
      </c>
      <c r="G1588" s="286"/>
      <c r="H1588" s="286"/>
      <c r="I1588" s="288"/>
      <c r="J1588" s="289"/>
      <c r="K1588" s="290"/>
      <c r="L1588" s="371" t="str">
        <f>HYPERLINK("[#]DatatypeListedValues!B9844:H9844","«enumeration»")</f>
        <v>«enumeration»</v>
      </c>
      <c r="M1588" s="287" t="s">
        <v>6582</v>
      </c>
      <c r="N1588" s="291" t="b">
        <v>0</v>
      </c>
      <c r="O1588" s="286"/>
      <c r="P1588" s="292"/>
      <c r="Q1588" s="286"/>
      <c r="R1588" s="286"/>
      <c r="S1588" s="293"/>
      <c r="T1588" s="294"/>
      <c r="U1588" s="37">
        <v>1503</v>
      </c>
      <c r="V1588" s="36" t="str">
        <f>CONCATENATE(Cover!$D$6,"fdd/view?i=",U1588)</f>
        <v>https://www.dgiwg.org/FAD/fdd/view?i=1503</v>
      </c>
      <c r="W1588" s="172"/>
      <c r="X1588" s="172"/>
      <c r="Y1588" s="172"/>
    </row>
    <row r="1589" spans="1:25" ht="2.1" customHeight="1" x14ac:dyDescent="0.2">
      <c r="A1589" s="295"/>
      <c r="B1589" s="283"/>
      <c r="C1589" s="296"/>
      <c r="D1589" s="283"/>
      <c r="E1589" s="296"/>
      <c r="F1589" s="297"/>
      <c r="G1589" s="297"/>
      <c r="H1589" s="297"/>
      <c r="I1589" s="298"/>
      <c r="J1589" s="304"/>
      <c r="K1589" s="300"/>
      <c r="L1589" s="301"/>
      <c r="M1589" s="297" t="s">
        <v>6582</v>
      </c>
      <c r="N1589" s="297"/>
      <c r="O1589" s="297"/>
      <c r="P1589" s="297"/>
      <c r="Q1589" s="297"/>
      <c r="R1589" s="297"/>
      <c r="S1589" s="302"/>
      <c r="T1589" s="302"/>
      <c r="U1589" s="303"/>
    </row>
    <row r="1590" spans="1:25" ht="25.5" x14ac:dyDescent="0.2">
      <c r="A1590" s="212" t="str">
        <f>HYPERLINK(V1590,B1590)</f>
        <v>TrtCode</v>
      </c>
      <c r="B1590" s="283" t="s">
        <v>13736</v>
      </c>
      <c r="C1590" s="284" t="s">
        <v>16221</v>
      </c>
      <c r="D1590" s="285"/>
      <c r="E1590" s="286"/>
      <c r="F1590" s="287" t="s">
        <v>16222</v>
      </c>
      <c r="G1590" s="286"/>
      <c r="H1590" s="286"/>
      <c r="I1590" s="288"/>
      <c r="J1590" s="289"/>
      <c r="K1590" s="290"/>
      <c r="L1590" s="371" t="str">
        <f>HYPERLINK("[#]DatatypeListedValues!B9866:H9866","«enumeration»")</f>
        <v>«enumeration»</v>
      </c>
      <c r="M1590" s="287" t="s">
        <v>6582</v>
      </c>
      <c r="N1590" s="291" t="b">
        <v>0</v>
      </c>
      <c r="O1590" s="286"/>
      <c r="P1590" s="292"/>
      <c r="Q1590" s="286"/>
      <c r="R1590" s="286"/>
      <c r="S1590" s="293"/>
      <c r="T1590" s="294"/>
      <c r="U1590" s="37">
        <v>1565</v>
      </c>
      <c r="V1590" s="36" t="str">
        <f>CONCATENATE(Cover!$D$6,"fdd/view?i=",U1590)</f>
        <v>https://www.dgiwg.org/FAD/fdd/view?i=1565</v>
      </c>
      <c r="W1590" s="172"/>
      <c r="X1590" s="172"/>
      <c r="Y1590" s="172"/>
    </row>
    <row r="1591" spans="1:25" ht="2.1" customHeight="1" x14ac:dyDescent="0.2">
      <c r="A1591" s="295"/>
      <c r="B1591" s="283"/>
      <c r="C1591" s="296"/>
      <c r="D1591" s="283"/>
      <c r="E1591" s="296"/>
      <c r="F1591" s="297"/>
      <c r="G1591" s="297"/>
      <c r="H1591" s="297"/>
      <c r="I1591" s="298"/>
      <c r="J1591" s="304"/>
      <c r="K1591" s="300"/>
      <c r="L1591" s="301"/>
      <c r="M1591" s="297" t="s">
        <v>6582</v>
      </c>
      <c r="N1591" s="297"/>
      <c r="O1591" s="297"/>
      <c r="P1591" s="297"/>
      <c r="Q1591" s="297"/>
      <c r="R1591" s="297"/>
      <c r="S1591" s="302"/>
      <c r="T1591" s="302"/>
      <c r="U1591" s="303"/>
    </row>
    <row r="1592" spans="1:25" ht="25.5" x14ac:dyDescent="0.2">
      <c r="A1592" s="212" t="str">
        <f>HYPERLINK(V1592,B1592)</f>
        <v>TrfCode</v>
      </c>
      <c r="B1592" s="283" t="s">
        <v>13745</v>
      </c>
      <c r="C1592" s="284" t="s">
        <v>16223</v>
      </c>
      <c r="D1592" s="285"/>
      <c r="E1592" s="286"/>
      <c r="F1592" s="287" t="s">
        <v>16224</v>
      </c>
      <c r="G1592" s="286"/>
      <c r="H1592" s="286"/>
      <c r="I1592" s="288"/>
      <c r="J1592" s="289"/>
      <c r="K1592" s="290"/>
      <c r="L1592" s="371" t="str">
        <f>HYPERLINK("[#]DatatypeListedValues!B9879:H9879","«enumeration»")</f>
        <v>«enumeration»</v>
      </c>
      <c r="M1592" s="287" t="s">
        <v>6582</v>
      </c>
      <c r="N1592" s="291" t="b">
        <v>0</v>
      </c>
      <c r="O1592" s="286"/>
      <c r="P1592" s="292"/>
      <c r="Q1592" s="286"/>
      <c r="R1592" s="286"/>
      <c r="S1592" s="293"/>
      <c r="T1592" s="294"/>
      <c r="U1592" s="37">
        <v>1493</v>
      </c>
      <c r="V1592" s="36" t="str">
        <f>CONCATENATE(Cover!$D$6,"fdd/view?i=",U1592)</f>
        <v>https://www.dgiwg.org/FAD/fdd/view?i=1493</v>
      </c>
      <c r="W1592" s="172"/>
      <c r="X1592" s="172"/>
      <c r="Y1592" s="172"/>
    </row>
    <row r="1593" spans="1:25" ht="2.1" customHeight="1" x14ac:dyDescent="0.2">
      <c r="A1593" s="295"/>
      <c r="B1593" s="283"/>
      <c r="C1593" s="296"/>
      <c r="D1593" s="283"/>
      <c r="E1593" s="296"/>
      <c r="F1593" s="297"/>
      <c r="G1593" s="297"/>
      <c r="H1593" s="297"/>
      <c r="I1593" s="298"/>
      <c r="J1593" s="304"/>
      <c r="K1593" s="300"/>
      <c r="L1593" s="301"/>
      <c r="M1593" s="297" t="s">
        <v>6582</v>
      </c>
      <c r="N1593" s="297"/>
      <c r="O1593" s="297"/>
      <c r="P1593" s="297"/>
      <c r="Q1593" s="297"/>
      <c r="R1593" s="297"/>
      <c r="S1593" s="302"/>
      <c r="T1593" s="302"/>
      <c r="U1593" s="303"/>
    </row>
    <row r="1594" spans="1:25" ht="25.5" x14ac:dyDescent="0.2">
      <c r="A1594" s="212" t="str">
        <f>HYPERLINK(V1594,B1594)</f>
        <v>TmyCode</v>
      </c>
      <c r="B1594" s="283" t="s">
        <v>13751</v>
      </c>
      <c r="C1594" s="284" t="s">
        <v>16225</v>
      </c>
      <c r="D1594" s="285"/>
      <c r="E1594" s="286"/>
      <c r="F1594" s="287" t="s">
        <v>16226</v>
      </c>
      <c r="G1594" s="286"/>
      <c r="H1594" s="286"/>
      <c r="I1594" s="288"/>
      <c r="J1594" s="289"/>
      <c r="K1594" s="290"/>
      <c r="L1594" s="371" t="str">
        <f>HYPERLINK("[#]DatatypeListedValues!B9883:H9883","«enumeration»")</f>
        <v>«enumeration»</v>
      </c>
      <c r="M1594" s="287" t="s">
        <v>6582</v>
      </c>
      <c r="N1594" s="291" t="b">
        <v>0</v>
      </c>
      <c r="O1594" s="286"/>
      <c r="P1594" s="292"/>
      <c r="Q1594" s="286"/>
      <c r="R1594" s="286"/>
      <c r="S1594" s="293"/>
      <c r="T1594" s="294"/>
      <c r="U1594" s="37">
        <v>119074</v>
      </c>
      <c r="V1594" s="36" t="str">
        <f>CONCATENATE(Cover!$D$6,"fdd/view?i=",U1594)</f>
        <v>https://www.dgiwg.org/FAD/fdd/view?i=119074</v>
      </c>
      <c r="W1594" s="172"/>
      <c r="X1594" s="172"/>
      <c r="Y1594" s="172"/>
    </row>
    <row r="1595" spans="1:25" ht="2.1" customHeight="1" x14ac:dyDescent="0.2">
      <c r="A1595" s="295"/>
      <c r="B1595" s="283"/>
      <c r="C1595" s="296"/>
      <c r="D1595" s="283"/>
      <c r="E1595" s="296"/>
      <c r="F1595" s="297"/>
      <c r="G1595" s="297"/>
      <c r="H1595" s="297"/>
      <c r="I1595" s="298"/>
      <c r="J1595" s="304"/>
      <c r="K1595" s="300"/>
      <c r="L1595" s="301"/>
      <c r="M1595" s="297" t="s">
        <v>6582</v>
      </c>
      <c r="N1595" s="297"/>
      <c r="O1595" s="297"/>
      <c r="P1595" s="297"/>
      <c r="Q1595" s="297"/>
      <c r="R1595" s="297"/>
      <c r="S1595" s="302"/>
      <c r="T1595" s="302"/>
      <c r="U1595" s="303"/>
    </row>
    <row r="1596" spans="1:25" ht="25.5" x14ac:dyDescent="0.2">
      <c r="A1596" s="212" t="str">
        <f>HYPERLINK(V1596,B1596)</f>
        <v>SreCode</v>
      </c>
      <c r="B1596" s="283" t="s">
        <v>13756</v>
      </c>
      <c r="C1596" s="284" t="s">
        <v>16227</v>
      </c>
      <c r="D1596" s="285"/>
      <c r="E1596" s="286"/>
      <c r="F1596" s="287" t="s">
        <v>16228</v>
      </c>
      <c r="G1596" s="286"/>
      <c r="H1596" s="286"/>
      <c r="I1596" s="288"/>
      <c r="J1596" s="289"/>
      <c r="K1596" s="290"/>
      <c r="L1596" s="371" t="str">
        <f>HYPERLINK("[#]DatatypeListedValues!B9886:H9886","«enumeration»")</f>
        <v>«enumeration»</v>
      </c>
      <c r="M1596" s="287" t="s">
        <v>6582</v>
      </c>
      <c r="N1596" s="291" t="b">
        <v>0</v>
      </c>
      <c r="O1596" s="286"/>
      <c r="P1596" s="292"/>
      <c r="Q1596" s="286"/>
      <c r="R1596" s="286"/>
      <c r="S1596" s="293"/>
      <c r="T1596" s="294"/>
      <c r="U1596" s="37">
        <v>117817</v>
      </c>
      <c r="V1596" s="36" t="str">
        <f>CONCATENATE(Cover!$D$6,"fdd/view?i=",U1596)</f>
        <v>https://www.dgiwg.org/FAD/fdd/view?i=117817</v>
      </c>
      <c r="W1596" s="172"/>
      <c r="X1596" s="172"/>
      <c r="Y1596" s="172"/>
    </row>
    <row r="1597" spans="1:25" ht="2.1" customHeight="1" x14ac:dyDescent="0.2">
      <c r="A1597" s="295"/>
      <c r="B1597" s="283"/>
      <c r="C1597" s="296"/>
      <c r="D1597" s="283"/>
      <c r="E1597" s="296"/>
      <c r="F1597" s="297"/>
      <c r="G1597" s="297"/>
      <c r="H1597" s="297"/>
      <c r="I1597" s="298"/>
      <c r="J1597" s="304"/>
      <c r="K1597" s="300"/>
      <c r="L1597" s="301"/>
      <c r="M1597" s="297" t="s">
        <v>6582</v>
      </c>
      <c r="N1597" s="297"/>
      <c r="O1597" s="297"/>
      <c r="P1597" s="297"/>
      <c r="Q1597" s="297"/>
      <c r="R1597" s="297"/>
      <c r="S1597" s="302"/>
      <c r="T1597" s="302"/>
      <c r="U1597" s="303"/>
    </row>
    <row r="1598" spans="1:25" ht="25.5" x14ac:dyDescent="0.2">
      <c r="A1598" s="212" t="str">
        <f>HYPERLINK(V1598,B1598)</f>
        <v>SitCode</v>
      </c>
      <c r="B1598" s="283" t="s">
        <v>13761</v>
      </c>
      <c r="C1598" s="284" t="s">
        <v>16229</v>
      </c>
      <c r="D1598" s="285"/>
      <c r="E1598" s="286"/>
      <c r="F1598" s="287" t="s">
        <v>16230</v>
      </c>
      <c r="G1598" s="286"/>
      <c r="H1598" s="286"/>
      <c r="I1598" s="288"/>
      <c r="J1598" s="289"/>
      <c r="K1598" s="290"/>
      <c r="L1598" s="371" t="str">
        <f>HYPERLINK("[#]DatatypeListedValues!B9893:H9893","«enumeration»")</f>
        <v>«enumeration»</v>
      </c>
      <c r="M1598" s="287" t="s">
        <v>6582</v>
      </c>
      <c r="N1598" s="291" t="b">
        <v>0</v>
      </c>
      <c r="O1598" s="286"/>
      <c r="P1598" s="292"/>
      <c r="Q1598" s="286"/>
      <c r="R1598" s="286"/>
      <c r="S1598" s="293"/>
      <c r="T1598" s="294"/>
      <c r="U1598" s="37">
        <v>1448</v>
      </c>
      <c r="V1598" s="36" t="str">
        <f>CONCATENATE(Cover!$D$6,"fdd/view?i=",U1598)</f>
        <v>https://www.dgiwg.org/FAD/fdd/view?i=1448</v>
      </c>
      <c r="W1598" s="172"/>
      <c r="X1598" s="172"/>
      <c r="Y1598" s="172"/>
    </row>
    <row r="1599" spans="1:25" ht="2.1" customHeight="1" x14ac:dyDescent="0.2">
      <c r="A1599" s="295"/>
      <c r="B1599" s="283"/>
      <c r="C1599" s="296"/>
      <c r="D1599" s="283"/>
      <c r="E1599" s="296"/>
      <c r="F1599" s="297"/>
      <c r="G1599" s="297"/>
      <c r="H1599" s="297"/>
      <c r="I1599" s="298"/>
      <c r="J1599" s="304"/>
      <c r="K1599" s="300"/>
      <c r="L1599" s="301"/>
      <c r="M1599" s="297" t="s">
        <v>6582</v>
      </c>
      <c r="N1599" s="297"/>
      <c r="O1599" s="297"/>
      <c r="P1599" s="297"/>
      <c r="Q1599" s="297"/>
      <c r="R1599" s="297"/>
      <c r="S1599" s="302"/>
      <c r="T1599" s="302"/>
      <c r="U1599" s="303"/>
    </row>
    <row r="1600" spans="1:25" ht="25.5" x14ac:dyDescent="0.2">
      <c r="A1600" s="212" t="str">
        <f>HYPERLINK(V1600,B1600)</f>
        <v>DgcCode</v>
      </c>
      <c r="B1600" s="283" t="s">
        <v>13784</v>
      </c>
      <c r="C1600" s="284" t="s">
        <v>16231</v>
      </c>
      <c r="D1600" s="285"/>
      <c r="E1600" s="286"/>
      <c r="F1600" s="287" t="s">
        <v>16232</v>
      </c>
      <c r="G1600" s="286"/>
      <c r="H1600" s="286"/>
      <c r="I1600" s="288"/>
      <c r="J1600" s="289"/>
      <c r="K1600" s="290"/>
      <c r="L1600" s="371" t="str">
        <f>HYPERLINK("[#]DatatypeListedValues!B9903:H9903","«enumeration»")</f>
        <v>«enumeration»</v>
      </c>
      <c r="M1600" s="287" t="s">
        <v>6582</v>
      </c>
      <c r="N1600" s="291" t="b">
        <v>0</v>
      </c>
      <c r="O1600" s="286"/>
      <c r="P1600" s="292"/>
      <c r="Q1600" s="286"/>
      <c r="R1600" s="286"/>
      <c r="S1600" s="293"/>
      <c r="T1600" s="294"/>
      <c r="U1600" s="37">
        <v>1189</v>
      </c>
      <c r="V1600" s="36" t="str">
        <f>CONCATENATE(Cover!$D$6,"fdd/view?i=",U1600)</f>
        <v>https://www.dgiwg.org/FAD/fdd/view?i=1189</v>
      </c>
      <c r="W1600" s="172"/>
      <c r="X1600" s="172"/>
      <c r="Y1600" s="172"/>
    </row>
    <row r="1601" spans="1:25" ht="2.1" customHeight="1" x14ac:dyDescent="0.2">
      <c r="A1601" s="295"/>
      <c r="B1601" s="283"/>
      <c r="C1601" s="296"/>
      <c r="D1601" s="283"/>
      <c r="E1601" s="296"/>
      <c r="F1601" s="297"/>
      <c r="G1601" s="297"/>
      <c r="H1601" s="297"/>
      <c r="I1601" s="298"/>
      <c r="J1601" s="304"/>
      <c r="K1601" s="300"/>
      <c r="L1601" s="301"/>
      <c r="M1601" s="297" t="s">
        <v>6582</v>
      </c>
      <c r="N1601" s="297"/>
      <c r="O1601" s="297"/>
      <c r="P1601" s="297"/>
      <c r="Q1601" s="297"/>
      <c r="R1601" s="297"/>
      <c r="S1601" s="302"/>
      <c r="T1601" s="302"/>
      <c r="U1601" s="303"/>
    </row>
    <row r="1602" spans="1:25" ht="25.5" x14ac:dyDescent="0.2">
      <c r="A1602" s="212" t="str">
        <f>HYPERLINK(V1602,B1602)</f>
        <v>TfcCode</v>
      </c>
      <c r="B1602" s="283" t="s">
        <v>13789</v>
      </c>
      <c r="C1602" s="284" t="s">
        <v>16233</v>
      </c>
      <c r="D1602" s="285"/>
      <c r="E1602" s="286"/>
      <c r="F1602" s="287" t="s">
        <v>16234</v>
      </c>
      <c r="G1602" s="286"/>
      <c r="H1602" s="286"/>
      <c r="I1602" s="288"/>
      <c r="J1602" s="289"/>
      <c r="K1602" s="290"/>
      <c r="L1602" s="371" t="str">
        <f>HYPERLINK("[#]DatatypeListedValues!B9905:H9905","«enumeration»")</f>
        <v>«enumeration»</v>
      </c>
      <c r="M1602" s="287" t="s">
        <v>6582</v>
      </c>
      <c r="N1602" s="291" t="b">
        <v>0</v>
      </c>
      <c r="O1602" s="286"/>
      <c r="P1602" s="292"/>
      <c r="Q1602" s="286"/>
      <c r="R1602" s="286"/>
      <c r="S1602" s="293"/>
      <c r="T1602" s="294"/>
      <c r="U1602" s="37">
        <v>1486</v>
      </c>
      <c r="V1602" s="36" t="str">
        <f>CONCATENATE(Cover!$D$6,"fdd/view?i=",U1602)</f>
        <v>https://www.dgiwg.org/FAD/fdd/view?i=1486</v>
      </c>
      <c r="W1602" s="172"/>
      <c r="X1602" s="172"/>
      <c r="Y1602" s="172"/>
    </row>
    <row r="1603" spans="1:25" ht="2.1" customHeight="1" x14ac:dyDescent="0.2">
      <c r="A1603" s="295"/>
      <c r="B1603" s="283"/>
      <c r="C1603" s="296"/>
      <c r="D1603" s="283"/>
      <c r="E1603" s="296"/>
      <c r="F1603" s="297"/>
      <c r="G1603" s="297"/>
      <c r="H1603" s="297"/>
      <c r="I1603" s="298"/>
      <c r="J1603" s="304"/>
      <c r="K1603" s="300"/>
      <c r="L1603" s="301"/>
      <c r="M1603" s="297" t="s">
        <v>6582</v>
      </c>
      <c r="N1603" s="297"/>
      <c r="O1603" s="297"/>
      <c r="P1603" s="297"/>
      <c r="Q1603" s="297"/>
      <c r="R1603" s="297"/>
      <c r="S1603" s="302"/>
      <c r="T1603" s="302"/>
      <c r="U1603" s="303"/>
    </row>
    <row r="1604" spans="1:25" ht="38.25" x14ac:dyDescent="0.2">
      <c r="A1604" s="212" t="str">
        <f>HYPERLINK(V1604,B1604)</f>
        <v>CneCode</v>
      </c>
      <c r="B1604" s="283" t="s">
        <v>13794</v>
      </c>
      <c r="C1604" s="284" t="s">
        <v>16235</v>
      </c>
      <c r="D1604" s="285"/>
      <c r="E1604" s="286"/>
      <c r="F1604" s="287" t="s">
        <v>16236</v>
      </c>
      <c r="G1604" s="286"/>
      <c r="H1604" s="286"/>
      <c r="I1604" s="288"/>
      <c r="J1604" s="289"/>
      <c r="K1604" s="290"/>
      <c r="L1604" s="371" t="str">
        <f>HYPERLINK("[#]DatatypeListedValues!B9932:H9932","«enumeration»")</f>
        <v>«enumeration»</v>
      </c>
      <c r="M1604" s="287" t="s">
        <v>6582</v>
      </c>
      <c r="N1604" s="291" t="b">
        <v>0</v>
      </c>
      <c r="O1604" s="286"/>
      <c r="P1604" s="292"/>
      <c r="Q1604" s="286"/>
      <c r="R1604" s="286"/>
      <c r="S1604" s="293"/>
      <c r="T1604" s="294"/>
      <c r="U1604" s="37">
        <v>119525</v>
      </c>
      <c r="V1604" s="36" t="str">
        <f>CONCATENATE(Cover!$D$6,"fdd/view?i=",U1604)</f>
        <v>https://www.dgiwg.org/FAD/fdd/view?i=119525</v>
      </c>
      <c r="W1604" s="172"/>
      <c r="X1604" s="172"/>
      <c r="Y1604" s="172"/>
    </row>
    <row r="1605" spans="1:25" ht="2.1" customHeight="1" x14ac:dyDescent="0.2">
      <c r="A1605" s="295"/>
      <c r="B1605" s="283"/>
      <c r="C1605" s="296"/>
      <c r="D1605" s="283"/>
      <c r="E1605" s="296"/>
      <c r="F1605" s="297"/>
      <c r="G1605" s="297"/>
      <c r="H1605" s="297"/>
      <c r="I1605" s="298"/>
      <c r="J1605" s="304"/>
      <c r="K1605" s="300"/>
      <c r="L1605" s="301"/>
      <c r="M1605" s="297" t="s">
        <v>6582</v>
      </c>
      <c r="N1605" s="297"/>
      <c r="O1605" s="297"/>
      <c r="P1605" s="297"/>
      <c r="Q1605" s="297"/>
      <c r="R1605" s="297"/>
      <c r="S1605" s="302"/>
      <c r="T1605" s="302"/>
      <c r="U1605" s="303"/>
    </row>
    <row r="1606" spans="1:25" ht="38.25" x14ac:dyDescent="0.2">
      <c r="A1606" s="212" t="str">
        <f>HYPERLINK(V1606,B1606)</f>
        <v>TrpCode</v>
      </c>
      <c r="B1606" s="283" t="s">
        <v>13803</v>
      </c>
      <c r="C1606" s="284" t="s">
        <v>16237</v>
      </c>
      <c r="D1606" s="285"/>
      <c r="E1606" s="286"/>
      <c r="F1606" s="287" t="s">
        <v>16238</v>
      </c>
      <c r="G1606" s="286"/>
      <c r="H1606" s="286"/>
      <c r="I1606" s="288"/>
      <c r="J1606" s="289"/>
      <c r="K1606" s="290"/>
      <c r="L1606" s="371" t="str">
        <f>HYPERLINK("[#]DatatypeListedValues!B9942:H9942","«enumeration»")</f>
        <v>«enumeration»</v>
      </c>
      <c r="M1606" s="287" t="s">
        <v>6582</v>
      </c>
      <c r="N1606" s="291" t="b">
        <v>0</v>
      </c>
      <c r="O1606" s="286"/>
      <c r="P1606" s="292"/>
      <c r="Q1606" s="286"/>
      <c r="R1606" s="286"/>
      <c r="S1606" s="293"/>
      <c r="T1606" s="294"/>
      <c r="U1606" s="37">
        <v>117818</v>
      </c>
      <c r="V1606" s="36" t="str">
        <f>CONCATENATE(Cover!$D$6,"fdd/view?i=",U1606)</f>
        <v>https://www.dgiwg.org/FAD/fdd/view?i=117818</v>
      </c>
      <c r="W1606" s="172"/>
      <c r="X1606" s="172"/>
      <c r="Y1606" s="172"/>
    </row>
    <row r="1607" spans="1:25" ht="2.1" customHeight="1" x14ac:dyDescent="0.2">
      <c r="A1607" s="295"/>
      <c r="B1607" s="283"/>
      <c r="C1607" s="296"/>
      <c r="D1607" s="283"/>
      <c r="E1607" s="296"/>
      <c r="F1607" s="297"/>
      <c r="G1607" s="297"/>
      <c r="H1607" s="297"/>
      <c r="I1607" s="298"/>
      <c r="J1607" s="304"/>
      <c r="K1607" s="300"/>
      <c r="L1607" s="301"/>
      <c r="M1607" s="297" t="s">
        <v>6582</v>
      </c>
      <c r="N1607" s="297"/>
      <c r="O1607" s="297"/>
      <c r="P1607" s="297"/>
      <c r="Q1607" s="297"/>
      <c r="R1607" s="297"/>
      <c r="S1607" s="302"/>
      <c r="T1607" s="302"/>
      <c r="U1607" s="303"/>
    </row>
    <row r="1608" spans="1:25" ht="25.5" x14ac:dyDescent="0.2">
      <c r="A1608" s="212" t="str">
        <f>HYPERLINK(V1608,B1608)</f>
        <v>TrsCode</v>
      </c>
      <c r="B1608" s="283" t="s">
        <v>13808</v>
      </c>
      <c r="C1608" s="284" t="s">
        <v>16239</v>
      </c>
      <c r="D1608" s="285"/>
      <c r="E1608" s="286"/>
      <c r="F1608" s="287" t="s">
        <v>16240</v>
      </c>
      <c r="G1608" s="286"/>
      <c r="H1608" s="286"/>
      <c r="I1608" s="288"/>
      <c r="J1608" s="289"/>
      <c r="K1608" s="290"/>
      <c r="L1608" s="371" t="str">
        <f>HYPERLINK("[#]DatatypeListedValues!B9946:H9946","«enumeration»")</f>
        <v>«enumeration»</v>
      </c>
      <c r="M1608" s="287" t="s">
        <v>6582</v>
      </c>
      <c r="N1608" s="291" t="b">
        <v>0</v>
      </c>
      <c r="O1608" s="286"/>
      <c r="P1608" s="292"/>
      <c r="Q1608" s="286"/>
      <c r="R1608" s="286"/>
      <c r="S1608" s="293"/>
      <c r="T1608" s="294"/>
      <c r="U1608" s="37">
        <v>1599</v>
      </c>
      <c r="V1608" s="36" t="str">
        <f>CONCATENATE(Cover!$D$6,"fdd/view?i=",U1608)</f>
        <v>https://www.dgiwg.org/FAD/fdd/view?i=1599</v>
      </c>
      <c r="W1608" s="172"/>
      <c r="X1608" s="172"/>
      <c r="Y1608" s="172"/>
    </row>
    <row r="1609" spans="1:25" ht="2.1" customHeight="1" x14ac:dyDescent="0.2">
      <c r="A1609" s="295"/>
      <c r="B1609" s="283"/>
      <c r="C1609" s="296"/>
      <c r="D1609" s="283"/>
      <c r="E1609" s="296"/>
      <c r="F1609" s="297"/>
      <c r="G1609" s="297"/>
      <c r="H1609" s="297"/>
      <c r="I1609" s="298"/>
      <c r="J1609" s="304"/>
      <c r="K1609" s="300"/>
      <c r="L1609" s="301"/>
      <c r="M1609" s="297" t="s">
        <v>6582</v>
      </c>
      <c r="N1609" s="297"/>
      <c r="O1609" s="297"/>
      <c r="P1609" s="297"/>
      <c r="Q1609" s="297"/>
      <c r="R1609" s="297"/>
      <c r="S1609" s="302"/>
      <c r="T1609" s="302"/>
      <c r="U1609" s="303"/>
    </row>
    <row r="1610" spans="1:25" ht="25.5" x14ac:dyDescent="0.2">
      <c r="A1610" s="212" t="str">
        <f>HYPERLINK(V1610,B1610)</f>
        <v>TucCode</v>
      </c>
      <c r="B1610" s="283" t="s">
        <v>13813</v>
      </c>
      <c r="C1610" s="284" t="s">
        <v>16241</v>
      </c>
      <c r="D1610" s="285"/>
      <c r="E1610" s="286"/>
      <c r="F1610" s="287" t="s">
        <v>16242</v>
      </c>
      <c r="G1610" s="286"/>
      <c r="H1610" s="286"/>
      <c r="I1610" s="288"/>
      <c r="J1610" s="289"/>
      <c r="K1610" s="290"/>
      <c r="L1610" s="371" t="str">
        <f>HYPERLINK("[#]DatatypeListedValues!B9971:H9971","«enumeration»")</f>
        <v>«enumeration»</v>
      </c>
      <c r="M1610" s="287" t="s">
        <v>6582</v>
      </c>
      <c r="N1610" s="291" t="b">
        <v>0</v>
      </c>
      <c r="O1610" s="286"/>
      <c r="P1610" s="292"/>
      <c r="Q1610" s="286"/>
      <c r="R1610" s="286"/>
      <c r="S1610" s="293"/>
      <c r="T1610" s="294"/>
      <c r="U1610" s="37">
        <v>1504</v>
      </c>
      <c r="V1610" s="36" t="str">
        <f>CONCATENATE(Cover!$D$6,"fdd/view?i=",U1610)</f>
        <v>https://www.dgiwg.org/FAD/fdd/view?i=1504</v>
      </c>
      <c r="W1610" s="172"/>
      <c r="X1610" s="172"/>
      <c r="Y1610" s="172"/>
    </row>
    <row r="1611" spans="1:25" ht="2.1" customHeight="1" x14ac:dyDescent="0.2">
      <c r="A1611" s="295"/>
      <c r="B1611" s="283"/>
      <c r="C1611" s="296"/>
      <c r="D1611" s="283"/>
      <c r="E1611" s="296"/>
      <c r="F1611" s="297"/>
      <c r="G1611" s="297"/>
      <c r="H1611" s="297"/>
      <c r="I1611" s="298"/>
      <c r="J1611" s="304"/>
      <c r="K1611" s="300"/>
      <c r="L1611" s="301"/>
      <c r="M1611" s="297" t="s">
        <v>6582</v>
      </c>
      <c r="N1611" s="297"/>
      <c r="O1611" s="297"/>
      <c r="P1611" s="297"/>
      <c r="Q1611" s="297"/>
      <c r="R1611" s="297"/>
      <c r="S1611" s="302"/>
      <c r="T1611" s="302"/>
      <c r="U1611" s="303"/>
    </row>
    <row r="1612" spans="1:25" ht="25.5" x14ac:dyDescent="0.2">
      <c r="A1612" s="212" t="str">
        <f>HYPERLINK(V1612,B1612)</f>
        <v>TndCode</v>
      </c>
      <c r="B1612" s="283" t="s">
        <v>13860</v>
      </c>
      <c r="C1612" s="284" t="s">
        <v>16243</v>
      </c>
      <c r="D1612" s="285"/>
      <c r="E1612" s="286"/>
      <c r="F1612" s="287" t="s">
        <v>16244</v>
      </c>
      <c r="G1612" s="286"/>
      <c r="H1612" s="286"/>
      <c r="I1612" s="288"/>
      <c r="J1612" s="289"/>
      <c r="K1612" s="290"/>
      <c r="L1612" s="371" t="str">
        <f>HYPERLINK("[#]DatatypeListedValues!B9977:H9977","«enumeration»")</f>
        <v>«enumeration»</v>
      </c>
      <c r="M1612" s="287" t="s">
        <v>6582</v>
      </c>
      <c r="N1612" s="291" t="b">
        <v>0</v>
      </c>
      <c r="O1612" s="286"/>
      <c r="P1612" s="292"/>
      <c r="Q1612" s="286"/>
      <c r="R1612" s="286"/>
      <c r="S1612" s="293"/>
      <c r="T1612" s="294"/>
      <c r="U1612" s="37">
        <v>117427</v>
      </c>
      <c r="V1612" s="36" t="str">
        <f>CONCATENATE(Cover!$D$6,"fdd/view?i=",U1612)</f>
        <v>https://www.dgiwg.org/FAD/fdd/view?i=117427</v>
      </c>
      <c r="W1612" s="172"/>
      <c r="X1612" s="172"/>
      <c r="Y1612" s="172"/>
    </row>
    <row r="1613" spans="1:25" ht="2.1" customHeight="1" x14ac:dyDescent="0.2">
      <c r="A1613" s="295"/>
      <c r="B1613" s="283"/>
      <c r="C1613" s="296"/>
      <c r="D1613" s="283"/>
      <c r="E1613" s="296"/>
      <c r="F1613" s="297"/>
      <c r="G1613" s="297"/>
      <c r="H1613" s="297"/>
      <c r="I1613" s="298"/>
      <c r="J1613" s="304"/>
      <c r="K1613" s="300"/>
      <c r="L1613" s="301"/>
      <c r="M1613" s="297" t="s">
        <v>6582</v>
      </c>
      <c r="N1613" s="297"/>
      <c r="O1613" s="297"/>
      <c r="P1613" s="297"/>
      <c r="Q1613" s="297"/>
      <c r="R1613" s="297"/>
      <c r="S1613" s="302"/>
      <c r="T1613" s="302"/>
      <c r="U1613" s="303"/>
    </row>
    <row r="1614" spans="1:25" ht="25.5" x14ac:dyDescent="0.2">
      <c r="A1614" s="212" t="str">
        <f>HYPERLINK(V1614,B1614)</f>
        <v>Ty3Code</v>
      </c>
      <c r="B1614" s="283" t="s">
        <v>13865</v>
      </c>
      <c r="C1614" s="284" t="s">
        <v>16245</v>
      </c>
      <c r="D1614" s="285"/>
      <c r="E1614" s="286"/>
      <c r="F1614" s="287" t="s">
        <v>16246</v>
      </c>
      <c r="G1614" s="286"/>
      <c r="H1614" s="286"/>
      <c r="I1614" s="288"/>
      <c r="J1614" s="289"/>
      <c r="K1614" s="290"/>
      <c r="L1614" s="371" t="str">
        <f>HYPERLINK("[#]DatatypeListedValues!B9980:H9980","«enumeration»")</f>
        <v>«enumeration»</v>
      </c>
      <c r="M1614" s="287" t="s">
        <v>6582</v>
      </c>
      <c r="N1614" s="291" t="b">
        <v>0</v>
      </c>
      <c r="O1614" s="286"/>
      <c r="P1614" s="292"/>
      <c r="Q1614" s="286"/>
      <c r="R1614" s="286"/>
      <c r="S1614" s="293"/>
      <c r="T1614" s="294"/>
      <c r="U1614" s="37">
        <v>1506</v>
      </c>
      <c r="V1614" s="36" t="str">
        <f>CONCATENATE(Cover!$D$6,"fdd/view?i=",U1614)</f>
        <v>https://www.dgiwg.org/FAD/fdd/view?i=1506</v>
      </c>
      <c r="W1614" s="172"/>
      <c r="X1614" s="172"/>
      <c r="Y1614" s="172"/>
    </row>
    <row r="1615" spans="1:25" ht="2.1" customHeight="1" x14ac:dyDescent="0.2">
      <c r="A1615" s="295"/>
      <c r="B1615" s="283"/>
      <c r="C1615" s="296"/>
      <c r="D1615" s="283"/>
      <c r="E1615" s="296"/>
      <c r="F1615" s="297"/>
      <c r="G1615" s="297"/>
      <c r="H1615" s="297"/>
      <c r="I1615" s="298"/>
      <c r="J1615" s="304"/>
      <c r="K1615" s="300"/>
      <c r="L1615" s="301"/>
      <c r="M1615" s="297" t="s">
        <v>6582</v>
      </c>
      <c r="N1615" s="297"/>
      <c r="O1615" s="297"/>
      <c r="P1615" s="297"/>
      <c r="Q1615" s="297"/>
      <c r="R1615" s="297"/>
      <c r="S1615" s="302"/>
      <c r="T1615" s="302"/>
      <c r="U1615" s="303"/>
    </row>
    <row r="1616" spans="1:25" ht="25.5" x14ac:dyDescent="0.2">
      <c r="A1616" s="212" t="str">
        <f>HYPERLINK(V1616,B1616)</f>
        <v>UaoCode</v>
      </c>
      <c r="B1616" s="283" t="s">
        <v>13878</v>
      </c>
      <c r="C1616" s="284" t="s">
        <v>16247</v>
      </c>
      <c r="D1616" s="285"/>
      <c r="E1616" s="286"/>
      <c r="F1616" s="287" t="s">
        <v>16248</v>
      </c>
      <c r="G1616" s="286"/>
      <c r="H1616" s="286"/>
      <c r="I1616" s="288"/>
      <c r="J1616" s="289"/>
      <c r="K1616" s="290"/>
      <c r="L1616" s="371" t="str">
        <f>HYPERLINK("[#]DatatypeListedValues!B9982:H9982","«enumeration»")</f>
        <v>«enumeration»</v>
      </c>
      <c r="M1616" s="287" t="s">
        <v>6582</v>
      </c>
      <c r="N1616" s="291" t="b">
        <v>0</v>
      </c>
      <c r="O1616" s="286"/>
      <c r="P1616" s="292"/>
      <c r="Q1616" s="286"/>
      <c r="R1616" s="286"/>
      <c r="S1616" s="293"/>
      <c r="T1616" s="294"/>
      <c r="U1616" s="37">
        <v>119237</v>
      </c>
      <c r="V1616" s="36" t="str">
        <f>CONCATENATE(Cover!$D$6,"fdd/view?i=",U1616)</f>
        <v>https://www.dgiwg.org/FAD/fdd/view?i=119237</v>
      </c>
      <c r="W1616" s="172"/>
      <c r="X1616" s="172"/>
      <c r="Y1616" s="172"/>
    </row>
    <row r="1617" spans="1:25" ht="2.1" customHeight="1" x14ac:dyDescent="0.2">
      <c r="A1617" s="295"/>
      <c r="B1617" s="283"/>
      <c r="C1617" s="296"/>
      <c r="D1617" s="283"/>
      <c r="E1617" s="296"/>
      <c r="F1617" s="297"/>
      <c r="G1617" s="297"/>
      <c r="H1617" s="297"/>
      <c r="I1617" s="298"/>
      <c r="J1617" s="304"/>
      <c r="K1617" s="300"/>
      <c r="L1617" s="301"/>
      <c r="M1617" s="297" t="s">
        <v>6582</v>
      </c>
      <c r="N1617" s="297"/>
      <c r="O1617" s="297"/>
      <c r="P1617" s="297"/>
      <c r="Q1617" s="297"/>
      <c r="R1617" s="297"/>
      <c r="S1617" s="302"/>
      <c r="T1617" s="302"/>
      <c r="U1617" s="303"/>
    </row>
    <row r="1618" spans="1:25" ht="25.5" x14ac:dyDescent="0.2">
      <c r="A1618" s="212" t="str">
        <f>HYPERLINK(V1618,B1618)</f>
        <v>UmaCode</v>
      </c>
      <c r="B1618" s="283" t="s">
        <v>13884</v>
      </c>
      <c r="C1618" s="284" t="s">
        <v>16249</v>
      </c>
      <c r="D1618" s="285"/>
      <c r="E1618" s="286"/>
      <c r="F1618" s="287" t="s">
        <v>16250</v>
      </c>
      <c r="G1618" s="286"/>
      <c r="H1618" s="286"/>
      <c r="I1618" s="288"/>
      <c r="J1618" s="289"/>
      <c r="K1618" s="290"/>
      <c r="L1618" s="371" t="str">
        <f>HYPERLINK("[#]DatatypeListedValues!B9987:H9987","«enumeration»")</f>
        <v>«enumeration»</v>
      </c>
      <c r="M1618" s="287" t="s">
        <v>6582</v>
      </c>
      <c r="N1618" s="291" t="b">
        <v>0</v>
      </c>
      <c r="O1618" s="286"/>
      <c r="P1618" s="292"/>
      <c r="Q1618" s="286"/>
      <c r="R1618" s="286"/>
      <c r="S1618" s="293"/>
      <c r="T1618" s="294"/>
      <c r="U1618" s="37">
        <v>3871</v>
      </c>
      <c r="V1618" s="36" t="str">
        <f>CONCATENATE(Cover!$D$6,"fdd/view?i=",U1618)</f>
        <v>https://www.dgiwg.org/FAD/fdd/view?i=3871</v>
      </c>
      <c r="W1618" s="172"/>
      <c r="X1618" s="172"/>
      <c r="Y1618" s="172"/>
    </row>
    <row r="1619" spans="1:25" ht="2.1" customHeight="1" x14ac:dyDescent="0.2">
      <c r="A1619" s="295"/>
      <c r="B1619" s="283"/>
      <c r="C1619" s="296"/>
      <c r="D1619" s="283"/>
      <c r="E1619" s="296"/>
      <c r="F1619" s="297"/>
      <c r="G1619" s="297"/>
      <c r="H1619" s="297"/>
      <c r="I1619" s="298"/>
      <c r="J1619" s="304"/>
      <c r="K1619" s="300"/>
      <c r="L1619" s="301"/>
      <c r="M1619" s="297" t="s">
        <v>6582</v>
      </c>
      <c r="N1619" s="297"/>
      <c r="O1619" s="297"/>
      <c r="P1619" s="297"/>
      <c r="Q1619" s="297"/>
      <c r="R1619" s="297"/>
      <c r="S1619" s="302"/>
      <c r="T1619" s="302"/>
      <c r="U1619" s="303"/>
    </row>
    <row r="1620" spans="1:25" ht="25.5" x14ac:dyDescent="0.2">
      <c r="A1620" s="212" t="str">
        <f>HYPERLINK(V1620,B1620)</f>
        <v>UsfCode</v>
      </c>
      <c r="B1620" s="283" t="s">
        <v>13889</v>
      </c>
      <c r="C1620" s="284" t="s">
        <v>16251</v>
      </c>
      <c r="D1620" s="285"/>
      <c r="E1620" s="286"/>
      <c r="F1620" s="287" t="s">
        <v>16252</v>
      </c>
      <c r="G1620" s="286"/>
      <c r="H1620" s="286"/>
      <c r="I1620" s="288"/>
      <c r="J1620" s="289"/>
      <c r="K1620" s="290"/>
      <c r="L1620" s="371" t="str">
        <f>HYPERLINK("[#]DatatypeListedValues!B9990:H9990","«enumeration»")</f>
        <v>«enumeration»</v>
      </c>
      <c r="M1620" s="287" t="s">
        <v>6582</v>
      </c>
      <c r="N1620" s="291" t="b">
        <v>0</v>
      </c>
      <c r="O1620" s="286"/>
      <c r="P1620" s="292"/>
      <c r="Q1620" s="286"/>
      <c r="R1620" s="286"/>
      <c r="S1620" s="293"/>
      <c r="T1620" s="294"/>
      <c r="U1620" s="37">
        <v>119238</v>
      </c>
      <c r="V1620" s="36" t="str">
        <f>CONCATENATE(Cover!$D$6,"fdd/view?i=",U1620)</f>
        <v>https://www.dgiwg.org/FAD/fdd/view?i=119238</v>
      </c>
      <c r="W1620" s="172"/>
      <c r="X1620" s="172"/>
      <c r="Y1620" s="172"/>
    </row>
    <row r="1621" spans="1:25" ht="2.1" customHeight="1" x14ac:dyDescent="0.2">
      <c r="A1621" s="295"/>
      <c r="B1621" s="283"/>
      <c r="C1621" s="296"/>
      <c r="D1621" s="283"/>
      <c r="E1621" s="296"/>
      <c r="F1621" s="297"/>
      <c r="G1621" s="297"/>
      <c r="H1621" s="297"/>
      <c r="I1621" s="298"/>
      <c r="J1621" s="304"/>
      <c r="K1621" s="300"/>
      <c r="L1621" s="301"/>
      <c r="M1621" s="297" t="s">
        <v>6582</v>
      </c>
      <c r="N1621" s="297"/>
      <c r="O1621" s="297"/>
      <c r="P1621" s="297"/>
      <c r="Q1621" s="297"/>
      <c r="R1621" s="297"/>
      <c r="S1621" s="302"/>
      <c r="T1621" s="302"/>
      <c r="U1621" s="303"/>
    </row>
    <row r="1622" spans="1:25" ht="38.25" x14ac:dyDescent="0.2">
      <c r="A1622" s="212" t="str">
        <f>HYPERLINK(V1622,B1622)</f>
        <v>UfiStrucText</v>
      </c>
      <c r="B1622" s="283" t="s">
        <v>13908</v>
      </c>
      <c r="C1622" s="284" t="s">
        <v>16253</v>
      </c>
      <c r="D1622" s="285"/>
      <c r="E1622" s="286"/>
      <c r="F1622" s="287" t="s">
        <v>16254</v>
      </c>
      <c r="G1622" s="286"/>
      <c r="H1622" s="287" t="s">
        <v>14552</v>
      </c>
      <c r="I1622" s="288"/>
      <c r="J1622" s="289"/>
      <c r="K1622" s="290"/>
      <c r="L1622" s="287" t="s">
        <v>14551</v>
      </c>
      <c r="M1622" s="287" t="s">
        <v>6582</v>
      </c>
      <c r="N1622" s="286"/>
      <c r="O1622" s="287">
        <v>254</v>
      </c>
      <c r="P1622" s="305" t="b">
        <v>0</v>
      </c>
      <c r="Q1622" s="287" t="s">
        <v>16255</v>
      </c>
      <c r="R1622" s="286"/>
      <c r="S1622" s="293"/>
      <c r="T1622" s="294"/>
      <c r="U1622" s="37">
        <v>114258</v>
      </c>
      <c r="V1622" s="36" t="str">
        <f>CONCATENATE(Cover!$D$6,"fdd/view?i=",U1622)</f>
        <v>https://www.dgiwg.org/FAD/fdd/view?i=114258</v>
      </c>
      <c r="W1622" s="172"/>
      <c r="X1622" s="172"/>
      <c r="Y1622" s="172"/>
    </row>
    <row r="1623" spans="1:25" ht="2.1" customHeight="1" x14ac:dyDescent="0.2">
      <c r="A1623" s="295"/>
      <c r="B1623" s="283"/>
      <c r="C1623" s="296"/>
      <c r="D1623" s="283"/>
      <c r="E1623" s="296"/>
      <c r="F1623" s="297"/>
      <c r="G1623" s="297"/>
      <c r="H1623" s="297"/>
      <c r="I1623" s="298"/>
      <c r="J1623" s="304"/>
      <c r="K1623" s="300"/>
      <c r="L1623" s="301"/>
      <c r="M1623" s="297" t="s">
        <v>6582</v>
      </c>
      <c r="N1623" s="297"/>
      <c r="O1623" s="297"/>
      <c r="P1623" s="297"/>
      <c r="Q1623" s="297"/>
      <c r="R1623" s="297"/>
      <c r="S1623" s="302"/>
      <c r="T1623" s="302"/>
      <c r="U1623" s="303"/>
    </row>
    <row r="1624" spans="1:25" ht="25.5" x14ac:dyDescent="0.2">
      <c r="A1624" s="212" t="str">
        <f>HYPERLINK(V1624,B1624)</f>
        <v>KopCode</v>
      </c>
      <c r="B1624" s="283" t="s">
        <v>13913</v>
      </c>
      <c r="C1624" s="284" t="s">
        <v>16256</v>
      </c>
      <c r="D1624" s="285"/>
      <c r="E1624" s="286"/>
      <c r="F1624" s="287" t="s">
        <v>16257</v>
      </c>
      <c r="G1624" s="286"/>
      <c r="H1624" s="286"/>
      <c r="I1624" s="288"/>
      <c r="J1624" s="289"/>
      <c r="K1624" s="290"/>
      <c r="L1624" s="371" t="str">
        <f>HYPERLINK("[#]DatatypeListedValues!B9995:H9995","«enumeration»")</f>
        <v>«enumeration»</v>
      </c>
      <c r="M1624" s="287" t="s">
        <v>6582</v>
      </c>
      <c r="N1624" s="291" t="b">
        <v>0</v>
      </c>
      <c r="O1624" s="286"/>
      <c r="P1624" s="292"/>
      <c r="Q1624" s="286"/>
      <c r="R1624" s="286"/>
      <c r="S1624" s="293"/>
      <c r="T1624" s="294"/>
      <c r="U1624" s="37">
        <v>1864</v>
      </c>
      <c r="V1624" s="36" t="str">
        <f>CONCATENATE(Cover!$D$6,"fdd/view?i=",U1624)</f>
        <v>https://www.dgiwg.org/FAD/fdd/view?i=1864</v>
      </c>
      <c r="W1624" s="172"/>
      <c r="X1624" s="172"/>
      <c r="Y1624" s="172"/>
    </row>
    <row r="1625" spans="1:25" ht="2.1" customHeight="1" x14ac:dyDescent="0.2">
      <c r="A1625" s="295"/>
      <c r="B1625" s="283"/>
      <c r="C1625" s="296"/>
      <c r="D1625" s="283"/>
      <c r="E1625" s="296"/>
      <c r="F1625" s="297"/>
      <c r="G1625" s="297"/>
      <c r="H1625" s="297"/>
      <c r="I1625" s="298"/>
      <c r="J1625" s="304"/>
      <c r="K1625" s="300"/>
      <c r="L1625" s="301"/>
      <c r="M1625" s="297" t="s">
        <v>6582</v>
      </c>
      <c r="N1625" s="297"/>
      <c r="O1625" s="297"/>
      <c r="P1625" s="297"/>
      <c r="Q1625" s="297"/>
      <c r="R1625" s="297"/>
      <c r="S1625" s="302"/>
      <c r="T1625" s="302"/>
      <c r="U1625" s="303"/>
    </row>
    <row r="1626" spans="1:25" ht="25.5" x14ac:dyDescent="0.2">
      <c r="A1626" s="212" t="str">
        <f>HYPERLINK(V1626,B1626)</f>
        <v>UneCode</v>
      </c>
      <c r="B1626" s="283" t="s">
        <v>13918</v>
      </c>
      <c r="C1626" s="284" t="s">
        <v>16258</v>
      </c>
      <c r="D1626" s="285"/>
      <c r="E1626" s="286"/>
      <c r="F1626" s="287" t="s">
        <v>16259</v>
      </c>
      <c r="G1626" s="286"/>
      <c r="H1626" s="286"/>
      <c r="I1626" s="288"/>
      <c r="J1626" s="289"/>
      <c r="K1626" s="290"/>
      <c r="L1626" s="371" t="str">
        <f>HYPERLINK("[#]DatatypeListedValues!B9998:H9998","«enumeration»")</f>
        <v>«enumeration»</v>
      </c>
      <c r="M1626" s="287" t="s">
        <v>6582</v>
      </c>
      <c r="N1626" s="291" t="b">
        <v>0</v>
      </c>
      <c r="O1626" s="286"/>
      <c r="P1626" s="292"/>
      <c r="Q1626" s="286"/>
      <c r="R1626" s="286"/>
      <c r="S1626" s="293"/>
      <c r="T1626" s="294"/>
      <c r="U1626" s="37">
        <v>3872</v>
      </c>
      <c r="V1626" s="36" t="str">
        <f>CONCATENATE(Cover!$D$6,"fdd/view?i=",U1626)</f>
        <v>https://www.dgiwg.org/FAD/fdd/view?i=3872</v>
      </c>
      <c r="W1626" s="172"/>
      <c r="X1626" s="172"/>
      <c r="Y1626" s="172"/>
    </row>
    <row r="1627" spans="1:25" ht="2.1" customHeight="1" x14ac:dyDescent="0.2">
      <c r="A1627" s="295"/>
      <c r="B1627" s="283"/>
      <c r="C1627" s="296"/>
      <c r="D1627" s="283"/>
      <c r="E1627" s="296"/>
      <c r="F1627" s="297"/>
      <c r="G1627" s="297"/>
      <c r="H1627" s="297"/>
      <c r="I1627" s="298"/>
      <c r="J1627" s="304"/>
      <c r="K1627" s="300"/>
      <c r="L1627" s="301"/>
      <c r="M1627" s="297" t="s">
        <v>6582</v>
      </c>
      <c r="N1627" s="297"/>
      <c r="O1627" s="297"/>
      <c r="P1627" s="297"/>
      <c r="Q1627" s="297"/>
      <c r="R1627" s="297"/>
      <c r="S1627" s="302"/>
      <c r="T1627" s="302"/>
      <c r="U1627" s="303"/>
    </row>
    <row r="1628" spans="1:25" ht="38.25" x14ac:dyDescent="0.2">
      <c r="A1628" s="212" t="str">
        <f>HYPERLINK(V1628,B1628)</f>
        <v>UuiStrucText</v>
      </c>
      <c r="B1628" s="283" t="s">
        <v>13924</v>
      </c>
      <c r="C1628" s="284" t="s">
        <v>16260</v>
      </c>
      <c r="D1628" s="285"/>
      <c r="E1628" s="286"/>
      <c r="F1628" s="287" t="s">
        <v>16261</v>
      </c>
      <c r="G1628" s="286"/>
      <c r="H1628" s="287" t="s">
        <v>14552</v>
      </c>
      <c r="I1628" s="288"/>
      <c r="J1628" s="289"/>
      <c r="K1628" s="290"/>
      <c r="L1628" s="287" t="s">
        <v>14551</v>
      </c>
      <c r="M1628" s="287" t="s">
        <v>6582</v>
      </c>
      <c r="N1628" s="286"/>
      <c r="O1628" s="287">
        <v>36</v>
      </c>
      <c r="P1628" s="305" t="b">
        <v>0</v>
      </c>
      <c r="Q1628" s="287" t="s">
        <v>16262</v>
      </c>
      <c r="R1628" s="286"/>
      <c r="S1628" s="293"/>
      <c r="T1628" s="294"/>
      <c r="U1628" s="37">
        <v>119428</v>
      </c>
      <c r="V1628" s="36" t="str">
        <f>CONCATENATE(Cover!$D$6,"fdd/view?i=",U1628)</f>
        <v>https://www.dgiwg.org/FAD/fdd/view?i=119428</v>
      </c>
      <c r="W1628" s="172"/>
      <c r="X1628" s="172"/>
      <c r="Y1628" s="172"/>
    </row>
    <row r="1629" spans="1:25" ht="2.1" customHeight="1" x14ac:dyDescent="0.2">
      <c r="A1629" s="295"/>
      <c r="B1629" s="283"/>
      <c r="C1629" s="296"/>
      <c r="D1629" s="283"/>
      <c r="E1629" s="296"/>
      <c r="F1629" s="297"/>
      <c r="G1629" s="297"/>
      <c r="H1629" s="297"/>
      <c r="I1629" s="298"/>
      <c r="J1629" s="304"/>
      <c r="K1629" s="300"/>
      <c r="L1629" s="301"/>
      <c r="M1629" s="297" t="s">
        <v>6582</v>
      </c>
      <c r="N1629" s="297"/>
      <c r="O1629" s="297"/>
      <c r="P1629" s="297"/>
      <c r="Q1629" s="297"/>
      <c r="R1629" s="297"/>
      <c r="S1629" s="302"/>
      <c r="T1629" s="302"/>
      <c r="U1629" s="303"/>
    </row>
    <row r="1630" spans="1:25" ht="25.5" x14ac:dyDescent="0.2">
      <c r="A1630" s="212" t="str">
        <f>HYPERLINK(V1630,B1630)</f>
        <v>GauCode</v>
      </c>
      <c r="B1630" s="283" t="s">
        <v>13942</v>
      </c>
      <c r="C1630" s="284" t="s">
        <v>16263</v>
      </c>
      <c r="D1630" s="285"/>
      <c r="E1630" s="286"/>
      <c r="F1630" s="287" t="s">
        <v>16264</v>
      </c>
      <c r="G1630" s="286"/>
      <c r="H1630" s="286"/>
      <c r="I1630" s="288"/>
      <c r="J1630" s="289"/>
      <c r="K1630" s="290"/>
      <c r="L1630" s="371" t="str">
        <f>HYPERLINK("[#]DatatypeListedValues!B10002:H10002","«enumeration»")</f>
        <v>«enumeration»</v>
      </c>
      <c r="M1630" s="287" t="s">
        <v>6582</v>
      </c>
      <c r="N1630" s="291" t="b">
        <v>0</v>
      </c>
      <c r="O1630" s="286"/>
      <c r="P1630" s="292"/>
      <c r="Q1630" s="286"/>
      <c r="R1630" s="286"/>
      <c r="S1630" s="293"/>
      <c r="T1630" s="294"/>
      <c r="U1630" s="37">
        <v>1840</v>
      </c>
      <c r="V1630" s="36" t="str">
        <f>CONCATENATE(Cover!$D$6,"fdd/view?i=",U1630)</f>
        <v>https://www.dgiwg.org/FAD/fdd/view?i=1840</v>
      </c>
      <c r="W1630" s="172"/>
      <c r="X1630" s="172"/>
      <c r="Y1630" s="172"/>
    </row>
    <row r="1631" spans="1:25" ht="2.1" customHeight="1" x14ac:dyDescent="0.2">
      <c r="A1631" s="295"/>
      <c r="B1631" s="283"/>
      <c r="C1631" s="296"/>
      <c r="D1631" s="283"/>
      <c r="E1631" s="296"/>
      <c r="F1631" s="297"/>
      <c r="G1631" s="297"/>
      <c r="H1631" s="297"/>
      <c r="I1631" s="298"/>
      <c r="J1631" s="304"/>
      <c r="K1631" s="300"/>
      <c r="L1631" s="301"/>
      <c r="M1631" s="297" t="s">
        <v>6582</v>
      </c>
      <c r="N1631" s="297"/>
      <c r="O1631" s="297"/>
      <c r="P1631" s="297"/>
      <c r="Q1631" s="297"/>
      <c r="R1631" s="297"/>
      <c r="S1631" s="302"/>
      <c r="T1631" s="302"/>
      <c r="U1631" s="303"/>
    </row>
    <row r="1632" spans="1:25" ht="25.5" x14ac:dyDescent="0.2">
      <c r="A1632" s="212" t="str">
        <f>HYPERLINK(V1632,B1632)</f>
        <v>UucCode</v>
      </c>
      <c r="B1632" s="283" t="s">
        <v>13971</v>
      </c>
      <c r="C1632" s="284" t="s">
        <v>16265</v>
      </c>
      <c r="D1632" s="285"/>
      <c r="E1632" s="286"/>
      <c r="F1632" s="287" t="s">
        <v>16266</v>
      </c>
      <c r="G1632" s="286"/>
      <c r="H1632" s="286"/>
      <c r="I1632" s="288"/>
      <c r="J1632" s="289"/>
      <c r="K1632" s="290"/>
      <c r="L1632" s="371" t="str">
        <f>HYPERLINK("[#]DatatypeListedValues!B10025:H10025","«enumeration»")</f>
        <v>«enumeration»</v>
      </c>
      <c r="M1632" s="287" t="s">
        <v>6582</v>
      </c>
      <c r="N1632" s="291" t="b">
        <v>0</v>
      </c>
      <c r="O1632" s="286"/>
      <c r="P1632" s="292"/>
      <c r="Q1632" s="286"/>
      <c r="R1632" s="286"/>
      <c r="S1632" s="293"/>
      <c r="T1632" s="294"/>
      <c r="U1632" s="37">
        <v>1513</v>
      </c>
      <c r="V1632" s="36" t="str">
        <f>CONCATENATE(Cover!$D$6,"fdd/view?i=",U1632)</f>
        <v>https://www.dgiwg.org/FAD/fdd/view?i=1513</v>
      </c>
      <c r="W1632" s="172"/>
      <c r="X1632" s="172"/>
      <c r="Y1632" s="172"/>
    </row>
    <row r="1633" spans="1:25" ht="2.1" customHeight="1" x14ac:dyDescent="0.2">
      <c r="A1633" s="295"/>
      <c r="B1633" s="283"/>
      <c r="C1633" s="296"/>
      <c r="D1633" s="283"/>
      <c r="E1633" s="296"/>
      <c r="F1633" s="297"/>
      <c r="G1633" s="297"/>
      <c r="H1633" s="297"/>
      <c r="I1633" s="298"/>
      <c r="J1633" s="304"/>
      <c r="K1633" s="300"/>
      <c r="L1633" s="301"/>
      <c r="M1633" s="297" t="s">
        <v>6582</v>
      </c>
      <c r="N1633" s="297"/>
      <c r="O1633" s="297"/>
      <c r="P1633" s="297"/>
      <c r="Q1633" s="297"/>
      <c r="R1633" s="297"/>
      <c r="S1633" s="302"/>
      <c r="T1633" s="302"/>
      <c r="U1633" s="303"/>
    </row>
    <row r="1634" spans="1:25" ht="25.5" x14ac:dyDescent="0.2">
      <c r="A1634" s="212" t="str">
        <f>HYPERLINK(V1634,B1634)</f>
        <v>VegCode</v>
      </c>
      <c r="B1634" s="283" t="s">
        <v>13976</v>
      </c>
      <c r="C1634" s="284" t="s">
        <v>16267</v>
      </c>
      <c r="D1634" s="285"/>
      <c r="E1634" s="286"/>
      <c r="F1634" s="287" t="s">
        <v>16268</v>
      </c>
      <c r="G1634" s="286"/>
      <c r="H1634" s="286"/>
      <c r="I1634" s="288"/>
      <c r="J1634" s="289"/>
      <c r="K1634" s="290"/>
      <c r="L1634" s="371" t="str">
        <f>HYPERLINK("[#]DatatypeListedValues!B10034:H10034","«enumeration»")</f>
        <v>«enumeration»</v>
      </c>
      <c r="M1634" s="287" t="s">
        <v>6582</v>
      </c>
      <c r="N1634" s="291" t="b">
        <v>0</v>
      </c>
      <c r="O1634" s="286"/>
      <c r="P1634" s="292"/>
      <c r="Q1634" s="286"/>
      <c r="R1634" s="286"/>
      <c r="S1634" s="293"/>
      <c r="T1634" s="294"/>
      <c r="U1634" s="37">
        <v>1519</v>
      </c>
      <c r="V1634" s="36" t="str">
        <f>CONCATENATE(Cover!$D$6,"fdd/view?i=",U1634)</f>
        <v>https://www.dgiwg.org/FAD/fdd/view?i=1519</v>
      </c>
      <c r="W1634" s="172"/>
      <c r="X1634" s="172"/>
      <c r="Y1634" s="172"/>
    </row>
    <row r="1635" spans="1:25" ht="2.1" customHeight="1" x14ac:dyDescent="0.2">
      <c r="A1635" s="295"/>
      <c r="B1635" s="283"/>
      <c r="C1635" s="296"/>
      <c r="D1635" s="283"/>
      <c r="E1635" s="296"/>
      <c r="F1635" s="297"/>
      <c r="G1635" s="297"/>
      <c r="H1635" s="297"/>
      <c r="I1635" s="298"/>
      <c r="J1635" s="304"/>
      <c r="K1635" s="300"/>
      <c r="L1635" s="301"/>
      <c r="M1635" s="297" t="s">
        <v>6582</v>
      </c>
      <c r="N1635" s="297"/>
      <c r="O1635" s="297"/>
      <c r="P1635" s="297"/>
      <c r="Q1635" s="297"/>
      <c r="R1635" s="297"/>
      <c r="S1635" s="302"/>
      <c r="T1635" s="302"/>
      <c r="U1635" s="303"/>
    </row>
    <row r="1636" spans="1:25" ht="25.5" x14ac:dyDescent="0.2">
      <c r="A1636" s="212" t="str">
        <f>HYPERLINK(V1636,B1636)</f>
        <v>VspCode</v>
      </c>
      <c r="B1636" s="283" t="s">
        <v>13990</v>
      </c>
      <c r="C1636" s="284" t="s">
        <v>16269</v>
      </c>
      <c r="D1636" s="285"/>
      <c r="E1636" s="286"/>
      <c r="F1636" s="287" t="s">
        <v>16270</v>
      </c>
      <c r="G1636" s="286"/>
      <c r="H1636" s="286"/>
      <c r="I1636" s="288"/>
      <c r="J1636" s="289"/>
      <c r="K1636" s="290"/>
      <c r="L1636" s="371" t="str">
        <f>HYPERLINK("[#]DatatypeListedValues!B10063:H10063","«enumeration»")</f>
        <v>«enumeration»</v>
      </c>
      <c r="M1636" s="287" t="s">
        <v>6582</v>
      </c>
      <c r="N1636" s="291" t="b">
        <v>0</v>
      </c>
      <c r="O1636" s="286"/>
      <c r="P1636" s="292"/>
      <c r="Q1636" s="286"/>
      <c r="R1636" s="286"/>
      <c r="S1636" s="293"/>
      <c r="T1636" s="294"/>
      <c r="U1636" s="37">
        <v>1601</v>
      </c>
      <c r="V1636" s="36" t="str">
        <f>CONCATENATE(Cover!$D$6,"fdd/view?i=",U1636)</f>
        <v>https://www.dgiwg.org/FAD/fdd/view?i=1601</v>
      </c>
      <c r="W1636" s="172"/>
      <c r="X1636" s="172"/>
      <c r="Y1636" s="172"/>
    </row>
    <row r="1637" spans="1:25" ht="2.1" customHeight="1" x14ac:dyDescent="0.2">
      <c r="A1637" s="295"/>
      <c r="B1637" s="283"/>
      <c r="C1637" s="296"/>
      <c r="D1637" s="283"/>
      <c r="E1637" s="296"/>
      <c r="F1637" s="297"/>
      <c r="G1637" s="297"/>
      <c r="H1637" s="297"/>
      <c r="I1637" s="298"/>
      <c r="J1637" s="304"/>
      <c r="K1637" s="300"/>
      <c r="L1637" s="301"/>
      <c r="M1637" s="297" t="s">
        <v>6582</v>
      </c>
      <c r="N1637" s="297"/>
      <c r="O1637" s="297"/>
      <c r="P1637" s="297"/>
      <c r="Q1637" s="297"/>
      <c r="R1637" s="297"/>
      <c r="S1637" s="302"/>
      <c r="T1637" s="302"/>
      <c r="U1637" s="303"/>
    </row>
    <row r="1638" spans="1:25" ht="25.5" x14ac:dyDescent="0.2">
      <c r="A1638" s="212" t="str">
        <f>HYPERLINK(V1638,B1638)</f>
        <v>VetCode</v>
      </c>
      <c r="B1638" s="283" t="s">
        <v>14009</v>
      </c>
      <c r="C1638" s="284" t="s">
        <v>16271</v>
      </c>
      <c r="D1638" s="285"/>
      <c r="E1638" s="286"/>
      <c r="F1638" s="287" t="s">
        <v>16272</v>
      </c>
      <c r="G1638" s="286"/>
      <c r="H1638" s="286"/>
      <c r="I1638" s="288"/>
      <c r="J1638" s="289"/>
      <c r="K1638" s="290"/>
      <c r="L1638" s="371" t="str">
        <f>HYPERLINK("[#]DatatypeListedValues!B10124:H10124","«enumeration»")</f>
        <v>«enumeration»</v>
      </c>
      <c r="M1638" s="287" t="s">
        <v>6582</v>
      </c>
      <c r="N1638" s="291" t="b">
        <v>0</v>
      </c>
      <c r="O1638" s="286"/>
      <c r="P1638" s="292"/>
      <c r="Q1638" s="286"/>
      <c r="R1638" s="286"/>
      <c r="S1638" s="293"/>
      <c r="T1638" s="294"/>
      <c r="U1638" s="37">
        <v>1564</v>
      </c>
      <c r="V1638" s="36" t="str">
        <f>CONCATENATE(Cover!$D$6,"fdd/view?i=",U1638)</f>
        <v>https://www.dgiwg.org/FAD/fdd/view?i=1564</v>
      </c>
      <c r="W1638" s="172"/>
      <c r="X1638" s="172"/>
      <c r="Y1638" s="172"/>
    </row>
    <row r="1639" spans="1:25" ht="2.1" customHeight="1" x14ac:dyDescent="0.2">
      <c r="A1639" s="295"/>
      <c r="B1639" s="283"/>
      <c r="C1639" s="296"/>
      <c r="D1639" s="283"/>
      <c r="E1639" s="296"/>
      <c r="F1639" s="297"/>
      <c r="G1639" s="297"/>
      <c r="H1639" s="297"/>
      <c r="I1639" s="298"/>
      <c r="J1639" s="304"/>
      <c r="K1639" s="300"/>
      <c r="L1639" s="301"/>
      <c r="M1639" s="297" t="s">
        <v>6582</v>
      </c>
      <c r="N1639" s="297"/>
      <c r="O1639" s="297"/>
      <c r="P1639" s="297"/>
      <c r="Q1639" s="297"/>
      <c r="R1639" s="297"/>
      <c r="S1639" s="302"/>
      <c r="T1639" s="302"/>
      <c r="U1639" s="303"/>
    </row>
    <row r="1640" spans="1:25" ht="25.5" x14ac:dyDescent="0.2">
      <c r="A1640" s="212" t="str">
        <f>HYPERLINK(V1640,B1640)</f>
        <v>VcdCode</v>
      </c>
      <c r="B1640" s="283" t="s">
        <v>14018</v>
      </c>
      <c r="C1640" s="284" t="s">
        <v>16273</v>
      </c>
      <c r="D1640" s="285"/>
      <c r="E1640" s="286"/>
      <c r="F1640" s="287" t="s">
        <v>16274</v>
      </c>
      <c r="G1640" s="286"/>
      <c r="H1640" s="286"/>
      <c r="I1640" s="288"/>
      <c r="J1640" s="289"/>
      <c r="K1640" s="290"/>
      <c r="L1640" s="371" t="str">
        <f>HYPERLINK("[#]DatatypeListedValues!B10134:H10134","«enumeration»")</f>
        <v>«enumeration»</v>
      </c>
      <c r="M1640" s="287" t="s">
        <v>6582</v>
      </c>
      <c r="N1640" s="291" t="b">
        <v>0</v>
      </c>
      <c r="O1640" s="286"/>
      <c r="P1640" s="292"/>
      <c r="Q1640" s="286"/>
      <c r="R1640" s="286"/>
      <c r="S1640" s="293"/>
      <c r="T1640" s="294"/>
      <c r="U1640" s="37">
        <v>1516</v>
      </c>
      <c r="V1640" s="36" t="str">
        <f>CONCATENATE(Cover!$D$6,"fdd/view?i=",U1640)</f>
        <v>https://www.dgiwg.org/FAD/fdd/view?i=1516</v>
      </c>
      <c r="W1640" s="172"/>
      <c r="X1640" s="172"/>
      <c r="Y1640" s="172"/>
    </row>
    <row r="1641" spans="1:25" ht="2.1" customHeight="1" x14ac:dyDescent="0.2">
      <c r="A1641" s="295"/>
      <c r="B1641" s="283"/>
      <c r="C1641" s="296"/>
      <c r="D1641" s="283"/>
      <c r="E1641" s="296"/>
      <c r="F1641" s="297"/>
      <c r="G1641" s="297"/>
      <c r="H1641" s="297"/>
      <c r="I1641" s="298"/>
      <c r="J1641" s="304"/>
      <c r="K1641" s="300"/>
      <c r="L1641" s="301"/>
      <c r="M1641" s="297" t="s">
        <v>6582</v>
      </c>
      <c r="N1641" s="297"/>
      <c r="O1641" s="297"/>
      <c r="P1641" s="297"/>
      <c r="Q1641" s="297"/>
      <c r="R1641" s="297"/>
      <c r="S1641" s="302"/>
      <c r="T1641" s="302"/>
      <c r="U1641" s="303"/>
    </row>
    <row r="1642" spans="1:25" ht="25.5" x14ac:dyDescent="0.2">
      <c r="A1642" s="212" t="str">
        <f>HYPERLINK(V1642,B1642)</f>
        <v>VdtCode</v>
      </c>
      <c r="B1642" s="283" t="s">
        <v>14042</v>
      </c>
      <c r="C1642" s="284" t="s">
        <v>16275</v>
      </c>
      <c r="D1642" s="285"/>
      <c r="E1642" s="286"/>
      <c r="F1642" s="287" t="s">
        <v>16276</v>
      </c>
      <c r="G1642" s="286"/>
      <c r="H1642" s="286"/>
      <c r="I1642" s="288"/>
      <c r="J1642" s="289"/>
      <c r="K1642" s="290"/>
      <c r="L1642" s="371" t="str">
        <f>HYPERLINK("[#]DatatypeListedValues!B10141:H10141","«enumeration»")</f>
        <v>«enumeration»</v>
      </c>
      <c r="M1642" s="287" t="s">
        <v>6582</v>
      </c>
      <c r="N1642" s="291" t="b">
        <v>0</v>
      </c>
      <c r="O1642" s="286"/>
      <c r="P1642" s="292"/>
      <c r="Q1642" s="286"/>
      <c r="R1642" s="286"/>
      <c r="S1642" s="293"/>
      <c r="T1642" s="294"/>
      <c r="U1642" s="37">
        <v>3874</v>
      </c>
      <c r="V1642" s="36" t="str">
        <f>CONCATENATE(Cover!$D$6,"fdd/view?i=",U1642)</f>
        <v>https://www.dgiwg.org/FAD/fdd/view?i=3874</v>
      </c>
      <c r="W1642" s="172"/>
      <c r="X1642" s="172"/>
      <c r="Y1642" s="172"/>
    </row>
    <row r="1643" spans="1:25" ht="2.1" customHeight="1" x14ac:dyDescent="0.2">
      <c r="A1643" s="295"/>
      <c r="B1643" s="283"/>
      <c r="C1643" s="296"/>
      <c r="D1643" s="283"/>
      <c r="E1643" s="296"/>
      <c r="F1643" s="297"/>
      <c r="G1643" s="297"/>
      <c r="H1643" s="297"/>
      <c r="I1643" s="298"/>
      <c r="J1643" s="304"/>
      <c r="K1643" s="300"/>
      <c r="L1643" s="301"/>
      <c r="M1643" s="297" t="s">
        <v>6582</v>
      </c>
      <c r="N1643" s="297"/>
      <c r="O1643" s="297"/>
      <c r="P1643" s="297"/>
      <c r="Q1643" s="297"/>
      <c r="R1643" s="297"/>
      <c r="S1643" s="302"/>
      <c r="T1643" s="302"/>
      <c r="U1643" s="303"/>
    </row>
    <row r="1644" spans="1:25" ht="25.5" x14ac:dyDescent="0.2">
      <c r="A1644" s="212" t="str">
        <f>HYPERLINK(V1644,B1644)</f>
        <v>DrvCode</v>
      </c>
      <c r="B1644" s="283" t="s">
        <v>14053</v>
      </c>
      <c r="C1644" s="284" t="s">
        <v>16277</v>
      </c>
      <c r="D1644" s="285"/>
      <c r="E1644" s="286"/>
      <c r="F1644" s="287" t="s">
        <v>16278</v>
      </c>
      <c r="G1644" s="286"/>
      <c r="H1644" s="286"/>
      <c r="I1644" s="288"/>
      <c r="J1644" s="289"/>
      <c r="K1644" s="290"/>
      <c r="L1644" s="371" t="str">
        <f>HYPERLINK("[#]DatatypeListedValues!B10148:H10148","«enumeration»")</f>
        <v>«enumeration»</v>
      </c>
      <c r="M1644" s="287" t="s">
        <v>6582</v>
      </c>
      <c r="N1644" s="291" t="b">
        <v>0</v>
      </c>
      <c r="O1644" s="286"/>
      <c r="P1644" s="292"/>
      <c r="Q1644" s="286"/>
      <c r="R1644" s="286"/>
      <c r="S1644" s="293"/>
      <c r="T1644" s="294"/>
      <c r="U1644" s="37">
        <v>117373</v>
      </c>
      <c r="V1644" s="36" t="str">
        <f>CONCATENATE(Cover!$D$6,"fdd/view?i=",U1644)</f>
        <v>https://www.dgiwg.org/FAD/fdd/view?i=117373</v>
      </c>
      <c r="W1644" s="172"/>
      <c r="X1644" s="172"/>
      <c r="Y1644" s="172"/>
    </row>
    <row r="1645" spans="1:25" ht="2.1" customHeight="1" x14ac:dyDescent="0.2">
      <c r="A1645" s="295"/>
      <c r="B1645" s="283"/>
      <c r="C1645" s="296"/>
      <c r="D1645" s="283"/>
      <c r="E1645" s="296"/>
      <c r="F1645" s="297"/>
      <c r="G1645" s="297"/>
      <c r="H1645" s="297"/>
      <c r="I1645" s="298"/>
      <c r="J1645" s="304"/>
      <c r="K1645" s="300"/>
      <c r="L1645" s="301"/>
      <c r="M1645" s="297" t="s">
        <v>6582</v>
      </c>
      <c r="N1645" s="297"/>
      <c r="O1645" s="297"/>
      <c r="P1645" s="297"/>
      <c r="Q1645" s="297"/>
      <c r="R1645" s="297"/>
      <c r="S1645" s="302"/>
      <c r="T1645" s="302"/>
      <c r="U1645" s="303"/>
    </row>
    <row r="1646" spans="1:25" ht="51" x14ac:dyDescent="0.2">
      <c r="A1646" s="212" t="str">
        <f>HYPERLINK(V1646,B1646)</f>
        <v>VoiStrucText</v>
      </c>
      <c r="B1646" s="283" t="s">
        <v>14063</v>
      </c>
      <c r="C1646" s="284" t="s">
        <v>16279</v>
      </c>
      <c r="D1646" s="285"/>
      <c r="E1646" s="286"/>
      <c r="F1646" s="287" t="s">
        <v>16280</v>
      </c>
      <c r="G1646" s="286"/>
      <c r="H1646" s="287" t="s">
        <v>14552</v>
      </c>
      <c r="I1646" s="288"/>
      <c r="J1646" s="289"/>
      <c r="K1646" s="290"/>
      <c r="L1646" s="287" t="s">
        <v>14551</v>
      </c>
      <c r="M1646" s="287" t="s">
        <v>6582</v>
      </c>
      <c r="N1646" s="286"/>
      <c r="O1646" s="287">
        <v>11</v>
      </c>
      <c r="P1646" s="305" t="b">
        <v>0</v>
      </c>
      <c r="Q1646" s="287" t="s">
        <v>16281</v>
      </c>
      <c r="R1646" s="286"/>
      <c r="S1646" s="293"/>
      <c r="T1646" s="294"/>
      <c r="U1646" s="37">
        <v>3768</v>
      </c>
      <c r="V1646" s="36" t="str">
        <f>CONCATENATE(Cover!$D$6,"fdd/view?i=",U1646)</f>
        <v>https://www.dgiwg.org/FAD/fdd/view?i=3768</v>
      </c>
      <c r="W1646" s="172"/>
      <c r="X1646" s="172"/>
      <c r="Y1646" s="172"/>
    </row>
    <row r="1647" spans="1:25" ht="2.1" customHeight="1" x14ac:dyDescent="0.2">
      <c r="A1647" s="295"/>
      <c r="B1647" s="283"/>
      <c r="C1647" s="296"/>
      <c r="D1647" s="283"/>
      <c r="E1647" s="296"/>
      <c r="F1647" s="297"/>
      <c r="G1647" s="297"/>
      <c r="H1647" s="297"/>
      <c r="I1647" s="298"/>
      <c r="J1647" s="304"/>
      <c r="K1647" s="300"/>
      <c r="L1647" s="301"/>
      <c r="M1647" s="297" t="s">
        <v>6582</v>
      </c>
      <c r="N1647" s="297"/>
      <c r="O1647" s="297"/>
      <c r="P1647" s="297"/>
      <c r="Q1647" s="297"/>
      <c r="R1647" s="297"/>
      <c r="S1647" s="302"/>
      <c r="T1647" s="302"/>
      <c r="U1647" s="303"/>
    </row>
    <row r="1648" spans="1:25" ht="25.5" x14ac:dyDescent="0.2">
      <c r="A1648" s="212" t="str">
        <f>HYPERLINK(V1648,B1648)</f>
        <v>LocCode</v>
      </c>
      <c r="B1648" s="283" t="s">
        <v>14072</v>
      </c>
      <c r="C1648" s="284" t="s">
        <v>16282</v>
      </c>
      <c r="D1648" s="285"/>
      <c r="E1648" s="286"/>
      <c r="F1648" s="287" t="s">
        <v>16283</v>
      </c>
      <c r="G1648" s="286"/>
      <c r="H1648" s="286"/>
      <c r="I1648" s="288"/>
      <c r="J1648" s="289"/>
      <c r="K1648" s="290"/>
      <c r="L1648" s="371" t="str">
        <f>HYPERLINK("[#]DatatypeListedValues!B10152:H10152","«enumeration»")</f>
        <v>«enumeration»</v>
      </c>
      <c r="M1648" s="287" t="s">
        <v>6582</v>
      </c>
      <c r="N1648" s="291" t="b">
        <v>0</v>
      </c>
      <c r="O1648" s="286"/>
      <c r="P1648" s="292"/>
      <c r="Q1648" s="286"/>
      <c r="R1648" s="286"/>
      <c r="S1648" s="293"/>
      <c r="T1648" s="294"/>
      <c r="U1648" s="37">
        <v>1284</v>
      </c>
      <c r="V1648" s="36" t="str">
        <f>CONCATENATE(Cover!$D$6,"fdd/view?i=",U1648)</f>
        <v>https://www.dgiwg.org/FAD/fdd/view?i=1284</v>
      </c>
      <c r="W1648" s="172"/>
      <c r="X1648" s="172"/>
      <c r="Y1648" s="172"/>
    </row>
    <row r="1649" spans="1:25" ht="2.1" customHeight="1" x14ac:dyDescent="0.2">
      <c r="A1649" s="295"/>
      <c r="B1649" s="283"/>
      <c r="C1649" s="296"/>
      <c r="D1649" s="283"/>
      <c r="E1649" s="296"/>
      <c r="F1649" s="297"/>
      <c r="G1649" s="297"/>
      <c r="H1649" s="297"/>
      <c r="I1649" s="298"/>
      <c r="J1649" s="304"/>
      <c r="K1649" s="300"/>
      <c r="L1649" s="301"/>
      <c r="M1649" s="297" t="s">
        <v>6582</v>
      </c>
      <c r="N1649" s="297"/>
      <c r="O1649" s="297"/>
      <c r="P1649" s="297"/>
      <c r="Q1649" s="297"/>
      <c r="R1649" s="297"/>
      <c r="S1649" s="302"/>
      <c r="T1649" s="302"/>
      <c r="U1649" s="303"/>
    </row>
    <row r="1650" spans="1:25" ht="25.5" x14ac:dyDescent="0.2">
      <c r="A1650" s="212" t="str">
        <f>HYPERLINK(V1650,B1650)</f>
        <v>VscCode</v>
      </c>
      <c r="B1650" s="283" t="s">
        <v>14078</v>
      </c>
      <c r="C1650" s="284" t="s">
        <v>16284</v>
      </c>
      <c r="D1650" s="285"/>
      <c r="E1650" s="286"/>
      <c r="F1650" s="287" t="s">
        <v>16285</v>
      </c>
      <c r="G1650" s="286"/>
      <c r="H1650" s="286"/>
      <c r="I1650" s="288"/>
      <c r="J1650" s="289"/>
      <c r="K1650" s="290"/>
      <c r="L1650" s="371" t="str">
        <f>HYPERLINK("[#]DatatypeListedValues!B10159:H10159","«enumeration»")</f>
        <v>«enumeration»</v>
      </c>
      <c r="M1650" s="287" t="s">
        <v>6582</v>
      </c>
      <c r="N1650" s="291" t="b">
        <v>0</v>
      </c>
      <c r="O1650" s="286"/>
      <c r="P1650" s="292"/>
      <c r="Q1650" s="286"/>
      <c r="R1650" s="286"/>
      <c r="S1650" s="293"/>
      <c r="T1650" s="294"/>
      <c r="U1650" s="37">
        <v>1600</v>
      </c>
      <c r="V1650" s="36" t="str">
        <f>CONCATENATE(Cover!$D$6,"fdd/view?i=",U1650)</f>
        <v>https://www.dgiwg.org/FAD/fdd/view?i=1600</v>
      </c>
      <c r="W1650" s="172"/>
      <c r="X1650" s="172"/>
      <c r="Y1650" s="172"/>
    </row>
    <row r="1651" spans="1:25" ht="2.1" customHeight="1" x14ac:dyDescent="0.2">
      <c r="A1651" s="295"/>
      <c r="B1651" s="283"/>
      <c r="C1651" s="296"/>
      <c r="D1651" s="283"/>
      <c r="E1651" s="296"/>
      <c r="F1651" s="297"/>
      <c r="G1651" s="297"/>
      <c r="H1651" s="297"/>
      <c r="I1651" s="298"/>
      <c r="J1651" s="304"/>
      <c r="K1651" s="300"/>
      <c r="L1651" s="301"/>
      <c r="M1651" s="297" t="s">
        <v>6582</v>
      </c>
      <c r="N1651" s="297"/>
      <c r="O1651" s="297"/>
      <c r="P1651" s="297"/>
      <c r="Q1651" s="297"/>
      <c r="R1651" s="297"/>
      <c r="S1651" s="302"/>
      <c r="T1651" s="302"/>
      <c r="U1651" s="303"/>
    </row>
    <row r="1652" spans="1:25" ht="25.5" x14ac:dyDescent="0.2">
      <c r="A1652" s="212" t="str">
        <f>HYPERLINK(V1652,B1652)</f>
        <v>VbmCode</v>
      </c>
      <c r="B1652" s="283" t="s">
        <v>14087</v>
      </c>
      <c r="C1652" s="284" t="s">
        <v>16286</v>
      </c>
      <c r="D1652" s="285"/>
      <c r="E1652" s="286"/>
      <c r="F1652" s="287" t="s">
        <v>16287</v>
      </c>
      <c r="G1652" s="286"/>
      <c r="H1652" s="286"/>
      <c r="I1652" s="288"/>
      <c r="J1652" s="289"/>
      <c r="K1652" s="290"/>
      <c r="L1652" s="371" t="str">
        <f>HYPERLINK("[#]DatatypeListedValues!B10167:H10167","«enumeration»")</f>
        <v>«enumeration»</v>
      </c>
      <c r="M1652" s="287" t="s">
        <v>6582</v>
      </c>
      <c r="N1652" s="291" t="b">
        <v>0</v>
      </c>
      <c r="O1652" s="286"/>
      <c r="P1652" s="292"/>
      <c r="Q1652" s="286"/>
      <c r="R1652" s="286"/>
      <c r="S1652" s="293"/>
      <c r="T1652" s="294"/>
      <c r="U1652" s="37">
        <v>114246</v>
      </c>
      <c r="V1652" s="36" t="str">
        <f>CONCATENATE(Cover!$D$6,"fdd/view?i=",U1652)</f>
        <v>https://www.dgiwg.org/FAD/fdd/view?i=114246</v>
      </c>
      <c r="W1652" s="172"/>
      <c r="X1652" s="172"/>
      <c r="Y1652" s="172"/>
    </row>
    <row r="1653" spans="1:25" ht="2.1" customHeight="1" x14ac:dyDescent="0.2">
      <c r="A1653" s="295"/>
      <c r="B1653" s="283"/>
      <c r="C1653" s="296"/>
      <c r="D1653" s="283"/>
      <c r="E1653" s="296"/>
      <c r="F1653" s="297"/>
      <c r="G1653" s="297"/>
      <c r="H1653" s="297"/>
      <c r="I1653" s="298"/>
      <c r="J1653" s="304"/>
      <c r="K1653" s="300"/>
      <c r="L1653" s="301"/>
      <c r="M1653" s="297" t="s">
        <v>6582</v>
      </c>
      <c r="N1653" s="297"/>
      <c r="O1653" s="297"/>
      <c r="P1653" s="297"/>
      <c r="Q1653" s="297"/>
      <c r="R1653" s="297"/>
      <c r="S1653" s="302"/>
      <c r="T1653" s="302"/>
      <c r="U1653" s="303"/>
    </row>
    <row r="1654" spans="1:25" ht="25.5" x14ac:dyDescent="0.2">
      <c r="A1654" s="212" t="str">
        <f>HYPERLINK(V1654,B1654)</f>
        <v>VepCode</v>
      </c>
      <c r="B1654" s="283" t="s">
        <v>14092</v>
      </c>
      <c r="C1654" s="284" t="s">
        <v>16288</v>
      </c>
      <c r="D1654" s="285"/>
      <c r="E1654" s="286"/>
      <c r="F1654" s="287" t="s">
        <v>16289</v>
      </c>
      <c r="G1654" s="286"/>
      <c r="H1654" s="286"/>
      <c r="I1654" s="288"/>
      <c r="J1654" s="289"/>
      <c r="K1654" s="290"/>
      <c r="L1654" s="371" t="str">
        <f>HYPERLINK("[#]DatatypeListedValues!B10171:H10171","«enumeration»")</f>
        <v>«enumeration»</v>
      </c>
      <c r="M1654" s="287" t="s">
        <v>6582</v>
      </c>
      <c r="N1654" s="291" t="b">
        <v>0</v>
      </c>
      <c r="O1654" s="286"/>
      <c r="P1654" s="292"/>
      <c r="Q1654" s="286"/>
      <c r="R1654" s="286"/>
      <c r="S1654" s="293"/>
      <c r="T1654" s="294"/>
      <c r="U1654" s="37">
        <v>114255</v>
      </c>
      <c r="V1654" s="36" t="str">
        <f>CONCATENATE(Cover!$D$6,"fdd/view?i=",U1654)</f>
        <v>https://www.dgiwg.org/FAD/fdd/view?i=114255</v>
      </c>
      <c r="W1654" s="172"/>
      <c r="X1654" s="172"/>
      <c r="Y1654" s="172"/>
    </row>
    <row r="1655" spans="1:25" ht="2.1" customHeight="1" x14ac:dyDescent="0.2">
      <c r="A1655" s="295"/>
      <c r="B1655" s="283"/>
      <c r="C1655" s="296"/>
      <c r="D1655" s="283"/>
      <c r="E1655" s="296"/>
      <c r="F1655" s="297"/>
      <c r="G1655" s="297"/>
      <c r="H1655" s="297"/>
      <c r="I1655" s="298"/>
      <c r="J1655" s="304"/>
      <c r="K1655" s="300"/>
      <c r="L1655" s="301"/>
      <c r="M1655" s="297" t="s">
        <v>6582</v>
      </c>
      <c r="N1655" s="297"/>
      <c r="O1655" s="297"/>
      <c r="P1655" s="297"/>
      <c r="Q1655" s="297"/>
      <c r="R1655" s="297"/>
      <c r="S1655" s="302"/>
      <c r="T1655" s="302"/>
      <c r="U1655" s="303"/>
    </row>
    <row r="1656" spans="1:25" ht="25.5" x14ac:dyDescent="0.2">
      <c r="A1656" s="212" t="str">
        <f>HYPERLINK(V1656,B1656)</f>
        <v>WktCode</v>
      </c>
      <c r="B1656" s="283" t="s">
        <v>14102</v>
      </c>
      <c r="C1656" s="284" t="s">
        <v>16290</v>
      </c>
      <c r="D1656" s="285"/>
      <c r="E1656" s="286"/>
      <c r="F1656" s="287" t="s">
        <v>16291</v>
      </c>
      <c r="G1656" s="286"/>
      <c r="H1656" s="286"/>
      <c r="I1656" s="288"/>
      <c r="J1656" s="289"/>
      <c r="K1656" s="290"/>
      <c r="L1656" s="371" t="str">
        <f>HYPERLINK("[#]DatatypeListedValues!B10176:H10176","«enumeration»")</f>
        <v>«enumeration»</v>
      </c>
      <c r="M1656" s="287" t="s">
        <v>6582</v>
      </c>
      <c r="N1656" s="291" t="b">
        <v>0</v>
      </c>
      <c r="O1656" s="286"/>
      <c r="P1656" s="292"/>
      <c r="Q1656" s="286"/>
      <c r="R1656" s="286"/>
      <c r="S1656" s="293"/>
      <c r="T1656" s="294"/>
      <c r="U1656" s="37">
        <v>1538</v>
      </c>
      <c r="V1656" s="36" t="str">
        <f>CONCATENATE(Cover!$D$6,"fdd/view?i=",U1656)</f>
        <v>https://www.dgiwg.org/FAD/fdd/view?i=1538</v>
      </c>
      <c r="W1656" s="172"/>
      <c r="X1656" s="172"/>
      <c r="Y1656" s="172"/>
    </row>
    <row r="1657" spans="1:25" ht="2.1" customHeight="1" x14ac:dyDescent="0.2">
      <c r="A1657" s="295"/>
      <c r="B1657" s="283"/>
      <c r="C1657" s="296"/>
      <c r="D1657" s="283"/>
      <c r="E1657" s="296"/>
      <c r="F1657" s="297"/>
      <c r="G1657" s="297"/>
      <c r="H1657" s="297"/>
      <c r="I1657" s="298"/>
      <c r="J1657" s="304"/>
      <c r="K1657" s="300"/>
      <c r="L1657" s="301"/>
      <c r="M1657" s="297" t="s">
        <v>6582</v>
      </c>
      <c r="N1657" s="297"/>
      <c r="O1657" s="297"/>
      <c r="P1657" s="297"/>
      <c r="Q1657" s="297"/>
      <c r="R1657" s="297"/>
      <c r="S1657" s="302"/>
      <c r="T1657" s="302"/>
      <c r="U1657" s="303"/>
    </row>
    <row r="1658" spans="1:25" ht="25.5" x14ac:dyDescent="0.2">
      <c r="A1658" s="212" t="str">
        <f>HYPERLINK(V1658,B1658)</f>
        <v>VtyCode</v>
      </c>
      <c r="B1658" s="283" t="s">
        <v>14108</v>
      </c>
      <c r="C1658" s="284" t="s">
        <v>16292</v>
      </c>
      <c r="D1658" s="285"/>
      <c r="E1658" s="286"/>
      <c r="F1658" s="287" t="s">
        <v>16293</v>
      </c>
      <c r="G1658" s="286"/>
      <c r="H1658" s="286"/>
      <c r="I1658" s="288"/>
      <c r="J1658" s="289"/>
      <c r="K1658" s="290"/>
      <c r="L1658" s="371" t="str">
        <f>HYPERLINK("[#]DatatypeListedValues!B10311:H10311","«enumeration»")</f>
        <v>«enumeration»</v>
      </c>
      <c r="M1658" s="287" t="s">
        <v>6582</v>
      </c>
      <c r="N1658" s="291" t="b">
        <v>0</v>
      </c>
      <c r="O1658" s="286"/>
      <c r="P1658" s="292"/>
      <c r="Q1658" s="286"/>
      <c r="R1658" s="286"/>
      <c r="S1658" s="293"/>
      <c r="T1658" s="294"/>
      <c r="U1658" s="37">
        <v>117430</v>
      </c>
      <c r="V1658" s="36" t="str">
        <f>CONCATENATE(Cover!$D$6,"fdd/view?i=",U1658)</f>
        <v>https://www.dgiwg.org/FAD/fdd/view?i=117430</v>
      </c>
      <c r="W1658" s="172"/>
      <c r="X1658" s="172"/>
      <c r="Y1658" s="172"/>
    </row>
    <row r="1659" spans="1:25" ht="2.1" customHeight="1" x14ac:dyDescent="0.2">
      <c r="A1659" s="295"/>
      <c r="B1659" s="283"/>
      <c r="C1659" s="296"/>
      <c r="D1659" s="283"/>
      <c r="E1659" s="296"/>
      <c r="F1659" s="297"/>
      <c r="G1659" s="297"/>
      <c r="H1659" s="297"/>
      <c r="I1659" s="298"/>
      <c r="J1659" s="304"/>
      <c r="K1659" s="300"/>
      <c r="L1659" s="301"/>
      <c r="M1659" s="297" t="s">
        <v>6582</v>
      </c>
      <c r="N1659" s="297"/>
      <c r="O1659" s="297"/>
      <c r="P1659" s="297"/>
      <c r="Q1659" s="297"/>
      <c r="R1659" s="297"/>
      <c r="S1659" s="302"/>
      <c r="T1659" s="302"/>
      <c r="U1659" s="303"/>
    </row>
    <row r="1660" spans="1:25" ht="25.5" x14ac:dyDescent="0.2">
      <c r="A1660" s="212" t="str">
        <f>HYPERLINK(V1660,B1660)</f>
        <v>VvoCode</v>
      </c>
      <c r="B1660" s="283" t="s">
        <v>14125</v>
      </c>
      <c r="C1660" s="284" t="s">
        <v>16294</v>
      </c>
      <c r="D1660" s="285"/>
      <c r="E1660" s="286"/>
      <c r="F1660" s="287" t="s">
        <v>16295</v>
      </c>
      <c r="G1660" s="286"/>
      <c r="H1660" s="286"/>
      <c r="I1660" s="288"/>
      <c r="J1660" s="289"/>
      <c r="K1660" s="290"/>
      <c r="L1660" s="371" t="str">
        <f>HYPERLINK("[#]DatatypeListedValues!B10314:H10314","«enumeration»")</f>
        <v>«enumeration»</v>
      </c>
      <c r="M1660" s="287" t="s">
        <v>6582</v>
      </c>
      <c r="N1660" s="291" t="b">
        <v>0</v>
      </c>
      <c r="O1660" s="286"/>
      <c r="P1660" s="292"/>
      <c r="Q1660" s="286"/>
      <c r="R1660" s="286"/>
      <c r="S1660" s="293"/>
      <c r="T1660" s="294"/>
      <c r="U1660" s="37">
        <v>3878</v>
      </c>
      <c r="V1660" s="36" t="str">
        <f>CONCATENATE(Cover!$D$6,"fdd/view?i=",U1660)</f>
        <v>https://www.dgiwg.org/FAD/fdd/view?i=3878</v>
      </c>
      <c r="W1660" s="172"/>
      <c r="X1660" s="172"/>
      <c r="Y1660" s="172"/>
    </row>
    <row r="1661" spans="1:25" ht="2.1" customHeight="1" x14ac:dyDescent="0.2">
      <c r="A1661" s="295"/>
      <c r="B1661" s="283"/>
      <c r="C1661" s="296"/>
      <c r="D1661" s="283"/>
      <c r="E1661" s="296"/>
      <c r="F1661" s="297"/>
      <c r="G1661" s="297"/>
      <c r="H1661" s="297"/>
      <c r="I1661" s="298"/>
      <c r="J1661" s="304"/>
      <c r="K1661" s="300"/>
      <c r="L1661" s="301"/>
      <c r="M1661" s="297" t="s">
        <v>6582</v>
      </c>
      <c r="N1661" s="297"/>
      <c r="O1661" s="297"/>
      <c r="P1661" s="297"/>
      <c r="Q1661" s="297"/>
      <c r="R1661" s="297"/>
      <c r="S1661" s="302"/>
      <c r="T1661" s="302"/>
      <c r="U1661" s="303"/>
    </row>
    <row r="1662" spans="1:25" ht="25.5" x14ac:dyDescent="0.2">
      <c r="A1662" s="212" t="str">
        <f>HYPERLINK(V1662,B1662)</f>
        <v>VvsCode</v>
      </c>
      <c r="B1662" s="283" t="s">
        <v>14130</v>
      </c>
      <c r="C1662" s="284" t="s">
        <v>16296</v>
      </c>
      <c r="D1662" s="285"/>
      <c r="E1662" s="286"/>
      <c r="F1662" s="287" t="s">
        <v>16297</v>
      </c>
      <c r="G1662" s="286"/>
      <c r="H1662" s="286"/>
      <c r="I1662" s="288"/>
      <c r="J1662" s="289"/>
      <c r="K1662" s="290"/>
      <c r="L1662" s="371" t="str">
        <f>HYPERLINK("[#]DatatypeListedValues!B10321:H10321","«enumeration»")</f>
        <v>«enumeration»</v>
      </c>
      <c r="M1662" s="287" t="s">
        <v>6582</v>
      </c>
      <c r="N1662" s="291" t="b">
        <v>0</v>
      </c>
      <c r="O1662" s="286"/>
      <c r="P1662" s="292"/>
      <c r="Q1662" s="286"/>
      <c r="R1662" s="286"/>
      <c r="S1662" s="293"/>
      <c r="T1662" s="294"/>
      <c r="U1662" s="37">
        <v>3879</v>
      </c>
      <c r="V1662" s="36" t="str">
        <f>CONCATENATE(Cover!$D$6,"fdd/view?i=",U1662)</f>
        <v>https://www.dgiwg.org/FAD/fdd/view?i=3879</v>
      </c>
      <c r="W1662" s="172"/>
      <c r="X1662" s="172"/>
      <c r="Y1662" s="172"/>
    </row>
    <row r="1663" spans="1:25" ht="2.1" customHeight="1" x14ac:dyDescent="0.2">
      <c r="A1663" s="295"/>
      <c r="B1663" s="283"/>
      <c r="C1663" s="296"/>
      <c r="D1663" s="283"/>
      <c r="E1663" s="296"/>
      <c r="F1663" s="297"/>
      <c r="G1663" s="297"/>
      <c r="H1663" s="297"/>
      <c r="I1663" s="298"/>
      <c r="J1663" s="304"/>
      <c r="K1663" s="300"/>
      <c r="L1663" s="301"/>
      <c r="M1663" s="297" t="s">
        <v>6582</v>
      </c>
      <c r="N1663" s="297"/>
      <c r="O1663" s="297"/>
      <c r="P1663" s="297"/>
      <c r="Q1663" s="297"/>
      <c r="R1663" s="297"/>
      <c r="S1663" s="302"/>
      <c r="T1663" s="302"/>
      <c r="U1663" s="303"/>
    </row>
    <row r="1664" spans="1:25" ht="25.5" x14ac:dyDescent="0.2">
      <c r="A1664" s="212" t="str">
        <f>HYPERLINK(V1664,B1664)</f>
        <v>VvtCode</v>
      </c>
      <c r="B1664" s="283" t="s">
        <v>14135</v>
      </c>
      <c r="C1664" s="284" t="s">
        <v>16298</v>
      </c>
      <c r="D1664" s="285"/>
      <c r="E1664" s="286"/>
      <c r="F1664" s="287" t="s">
        <v>16299</v>
      </c>
      <c r="G1664" s="286"/>
      <c r="H1664" s="286"/>
      <c r="I1664" s="288"/>
      <c r="J1664" s="289"/>
      <c r="K1664" s="290"/>
      <c r="L1664" s="371" t="str">
        <f>HYPERLINK("[#]DatatypeListedValues!B10324:H10324","«enumeration»")</f>
        <v>«enumeration»</v>
      </c>
      <c r="M1664" s="287" t="s">
        <v>6582</v>
      </c>
      <c r="N1664" s="291" t="b">
        <v>0</v>
      </c>
      <c r="O1664" s="286"/>
      <c r="P1664" s="292"/>
      <c r="Q1664" s="286"/>
      <c r="R1664" s="286"/>
      <c r="S1664" s="293"/>
      <c r="T1664" s="294"/>
      <c r="U1664" s="37">
        <v>119240</v>
      </c>
      <c r="V1664" s="36" t="str">
        <f>CONCATENATE(Cover!$D$6,"fdd/view?i=",U1664)</f>
        <v>https://www.dgiwg.org/FAD/fdd/view?i=119240</v>
      </c>
      <c r="W1664" s="172"/>
      <c r="X1664" s="172"/>
      <c r="Y1664" s="172"/>
    </row>
    <row r="1665" spans="1:25" ht="2.1" customHeight="1" x14ac:dyDescent="0.2">
      <c r="A1665" s="295"/>
      <c r="B1665" s="283"/>
      <c r="C1665" s="296"/>
      <c r="D1665" s="283"/>
      <c r="E1665" s="296"/>
      <c r="F1665" s="297"/>
      <c r="G1665" s="297"/>
      <c r="H1665" s="297"/>
      <c r="I1665" s="298"/>
      <c r="J1665" s="304"/>
      <c r="K1665" s="300"/>
      <c r="L1665" s="301"/>
      <c r="M1665" s="297" t="s">
        <v>6582</v>
      </c>
      <c r="N1665" s="297"/>
      <c r="O1665" s="297"/>
      <c r="P1665" s="297"/>
      <c r="Q1665" s="297"/>
      <c r="R1665" s="297"/>
      <c r="S1665" s="302"/>
      <c r="T1665" s="302"/>
      <c r="U1665" s="303"/>
    </row>
    <row r="1666" spans="1:25" ht="25.5" x14ac:dyDescent="0.2">
      <c r="A1666" s="212" t="str">
        <f>HYPERLINK(V1666,B1666)</f>
        <v>VacCode</v>
      </c>
      <c r="B1666" s="283" t="s">
        <v>14144</v>
      </c>
      <c r="C1666" s="284" t="s">
        <v>16300</v>
      </c>
      <c r="D1666" s="285"/>
      <c r="E1666" s="286"/>
      <c r="F1666" s="287" t="s">
        <v>16301</v>
      </c>
      <c r="G1666" s="286"/>
      <c r="H1666" s="286"/>
      <c r="I1666" s="288"/>
      <c r="J1666" s="289"/>
      <c r="K1666" s="290"/>
      <c r="L1666" s="371" t="str">
        <f>HYPERLINK("[#]DatatypeListedValues!B10335:H10335","«enumeration»")</f>
        <v>«enumeration»</v>
      </c>
      <c r="M1666" s="287" t="s">
        <v>6582</v>
      </c>
      <c r="N1666" s="291" t="b">
        <v>0</v>
      </c>
      <c r="O1666" s="286"/>
      <c r="P1666" s="292"/>
      <c r="Q1666" s="286"/>
      <c r="R1666" s="286"/>
      <c r="S1666" s="293"/>
      <c r="T1666" s="294"/>
      <c r="U1666" s="37">
        <v>1514</v>
      </c>
      <c r="V1666" s="36" t="str">
        <f>CONCATENATE(Cover!$D$6,"fdd/view?i=",U1666)</f>
        <v>https://www.dgiwg.org/FAD/fdd/view?i=1514</v>
      </c>
      <c r="W1666" s="172"/>
      <c r="X1666" s="172"/>
      <c r="Y1666" s="172"/>
    </row>
    <row r="1667" spans="1:25" ht="2.1" customHeight="1" x14ac:dyDescent="0.2">
      <c r="A1667" s="295"/>
      <c r="B1667" s="283"/>
      <c r="C1667" s="296"/>
      <c r="D1667" s="283"/>
      <c r="E1667" s="296"/>
      <c r="F1667" s="297"/>
      <c r="G1667" s="297"/>
      <c r="H1667" s="297"/>
      <c r="I1667" s="298"/>
      <c r="J1667" s="304"/>
      <c r="K1667" s="300"/>
      <c r="L1667" s="301"/>
      <c r="M1667" s="297" t="s">
        <v>6582</v>
      </c>
      <c r="N1667" s="297"/>
      <c r="O1667" s="297"/>
      <c r="P1667" s="297"/>
      <c r="Q1667" s="297"/>
      <c r="R1667" s="297"/>
      <c r="S1667" s="302"/>
      <c r="T1667" s="302"/>
      <c r="U1667" s="303"/>
    </row>
    <row r="1668" spans="1:25" ht="38.25" x14ac:dyDescent="0.2">
      <c r="A1668" s="212" t="str">
        <f>HYPERLINK(V1668,B1668)</f>
        <v>Vs1Code</v>
      </c>
      <c r="B1668" s="283" t="s">
        <v>14157</v>
      </c>
      <c r="C1668" s="284" t="s">
        <v>16302</v>
      </c>
      <c r="D1668" s="285"/>
      <c r="E1668" s="286"/>
      <c r="F1668" s="287" t="s">
        <v>16303</v>
      </c>
      <c r="G1668" s="286"/>
      <c r="H1668" s="286"/>
      <c r="I1668" s="288"/>
      <c r="J1668" s="289"/>
      <c r="K1668" s="290"/>
      <c r="L1668" s="371" t="str">
        <f>HYPERLINK("[#]DatatypeListedValues!B10337:H10337","«enumeration»")</f>
        <v>«enumeration»</v>
      </c>
      <c r="M1668" s="287" t="s">
        <v>6582</v>
      </c>
      <c r="N1668" s="291" t="b">
        <v>0</v>
      </c>
      <c r="O1668" s="286"/>
      <c r="P1668" s="292"/>
      <c r="Q1668" s="286"/>
      <c r="R1668" s="286"/>
      <c r="S1668" s="293"/>
      <c r="T1668" s="294"/>
      <c r="U1668" s="37">
        <v>117429</v>
      </c>
      <c r="V1668" s="36" t="str">
        <f>CONCATENATE(Cover!$D$6,"fdd/view?i=",U1668)</f>
        <v>https://www.dgiwg.org/FAD/fdd/view?i=117429</v>
      </c>
      <c r="W1668" s="172"/>
      <c r="X1668" s="172"/>
      <c r="Y1668" s="172"/>
    </row>
    <row r="1669" spans="1:25" ht="2.1" customHeight="1" x14ac:dyDescent="0.2">
      <c r="A1669" s="295"/>
      <c r="B1669" s="283"/>
      <c r="C1669" s="296"/>
      <c r="D1669" s="283"/>
      <c r="E1669" s="296"/>
      <c r="F1669" s="297"/>
      <c r="G1669" s="297"/>
      <c r="H1669" s="297"/>
      <c r="I1669" s="298"/>
      <c r="J1669" s="304"/>
      <c r="K1669" s="300"/>
      <c r="L1669" s="301"/>
      <c r="M1669" s="297" t="s">
        <v>6582</v>
      </c>
      <c r="N1669" s="297"/>
      <c r="O1669" s="297"/>
      <c r="P1669" s="297"/>
      <c r="Q1669" s="297"/>
      <c r="R1669" s="297"/>
      <c r="S1669" s="302"/>
      <c r="T1669" s="302"/>
      <c r="U1669" s="303"/>
    </row>
    <row r="1670" spans="1:25" ht="25.5" x14ac:dyDescent="0.2">
      <c r="A1670" s="212" t="str">
        <f>HYPERLINK(V1670,B1670)</f>
        <v>AtdCode</v>
      </c>
      <c r="B1670" s="283" t="s">
        <v>14164</v>
      </c>
      <c r="C1670" s="284" t="s">
        <v>16304</v>
      </c>
      <c r="D1670" s="285"/>
      <c r="E1670" s="286"/>
      <c r="F1670" s="287" t="s">
        <v>16305</v>
      </c>
      <c r="G1670" s="286"/>
      <c r="H1670" s="286"/>
      <c r="I1670" s="288"/>
      <c r="J1670" s="289"/>
      <c r="K1670" s="290"/>
      <c r="L1670" s="371" t="str">
        <f>HYPERLINK("[#]DatatypeListedValues!B10352:H10352","«enumeration»")</f>
        <v>«enumeration»</v>
      </c>
      <c r="M1670" s="287" t="s">
        <v>6582</v>
      </c>
      <c r="N1670" s="291" t="b">
        <v>0</v>
      </c>
      <c r="O1670" s="286"/>
      <c r="P1670" s="292"/>
      <c r="Q1670" s="286"/>
      <c r="R1670" s="286"/>
      <c r="S1670" s="293"/>
      <c r="T1670" s="294"/>
      <c r="U1670" s="37">
        <v>117362</v>
      </c>
      <c r="V1670" s="36" t="str">
        <f>CONCATENATE(Cover!$D$6,"fdd/view?i=",U1670)</f>
        <v>https://www.dgiwg.org/FAD/fdd/view?i=117362</v>
      </c>
      <c r="W1670" s="172"/>
      <c r="X1670" s="172"/>
      <c r="Y1670" s="172"/>
    </row>
    <row r="1671" spans="1:25" ht="2.1" customHeight="1" x14ac:dyDescent="0.2">
      <c r="A1671" s="295"/>
      <c r="B1671" s="283"/>
      <c r="C1671" s="296"/>
      <c r="D1671" s="283"/>
      <c r="E1671" s="296"/>
      <c r="F1671" s="297"/>
      <c r="G1671" s="297"/>
      <c r="H1671" s="297"/>
      <c r="I1671" s="298"/>
      <c r="J1671" s="304"/>
      <c r="K1671" s="300"/>
      <c r="L1671" s="301"/>
      <c r="M1671" s="297" t="s">
        <v>6582</v>
      </c>
      <c r="N1671" s="297"/>
      <c r="O1671" s="297"/>
      <c r="P1671" s="297"/>
      <c r="Q1671" s="297"/>
      <c r="R1671" s="297"/>
      <c r="S1671" s="302"/>
      <c r="T1671" s="302"/>
      <c r="U1671" s="303"/>
    </row>
    <row r="1672" spans="1:25" ht="25.5" x14ac:dyDescent="0.2">
      <c r="A1672" s="212" t="str">
        <f>HYPERLINK(V1672,B1672)</f>
        <v>VcaCode</v>
      </c>
      <c r="B1672" s="283" t="s">
        <v>14173</v>
      </c>
      <c r="C1672" s="284" t="s">
        <v>16306</v>
      </c>
      <c r="D1672" s="285"/>
      <c r="E1672" s="286"/>
      <c r="F1672" s="287" t="s">
        <v>16307</v>
      </c>
      <c r="G1672" s="286"/>
      <c r="H1672" s="286"/>
      <c r="I1672" s="288"/>
      <c r="J1672" s="289"/>
      <c r="K1672" s="290"/>
      <c r="L1672" s="371" t="str">
        <f>HYPERLINK("[#]DatatypeListedValues!B10355:H10355","«enumeration»")</f>
        <v>«enumeration»</v>
      </c>
      <c r="M1672" s="287" t="s">
        <v>6582</v>
      </c>
      <c r="N1672" s="291" t="b">
        <v>0</v>
      </c>
      <c r="O1672" s="286"/>
      <c r="P1672" s="292"/>
      <c r="Q1672" s="286"/>
      <c r="R1672" s="286"/>
      <c r="S1672" s="293"/>
      <c r="T1672" s="294"/>
      <c r="U1672" s="37">
        <v>1515</v>
      </c>
      <c r="V1672" s="36" t="str">
        <f>CONCATENATE(Cover!$D$6,"fdd/view?i=",U1672)</f>
        <v>https://www.dgiwg.org/FAD/fdd/view?i=1515</v>
      </c>
      <c r="W1672" s="172"/>
      <c r="X1672" s="172"/>
      <c r="Y1672" s="172"/>
    </row>
    <row r="1673" spans="1:25" ht="2.1" customHeight="1" x14ac:dyDescent="0.2">
      <c r="A1673" s="295"/>
      <c r="B1673" s="283"/>
      <c r="C1673" s="296"/>
      <c r="D1673" s="283"/>
      <c r="E1673" s="296"/>
      <c r="F1673" s="297"/>
      <c r="G1673" s="297"/>
      <c r="H1673" s="297"/>
      <c r="I1673" s="298"/>
      <c r="J1673" s="304"/>
      <c r="K1673" s="300"/>
      <c r="L1673" s="301"/>
      <c r="M1673" s="297" t="s">
        <v>6582</v>
      </c>
      <c r="N1673" s="297"/>
      <c r="O1673" s="297"/>
      <c r="P1673" s="297"/>
      <c r="Q1673" s="297"/>
      <c r="R1673" s="297"/>
      <c r="S1673" s="302"/>
      <c r="T1673" s="302"/>
      <c r="U1673" s="303"/>
    </row>
    <row r="1674" spans="1:25" ht="25.5" x14ac:dyDescent="0.2">
      <c r="A1674" s="212" t="str">
        <f>HYPERLINK(V1674,B1674)</f>
        <v>VctCode</v>
      </c>
      <c r="B1674" s="283" t="s">
        <v>14178</v>
      </c>
      <c r="C1674" s="284" t="s">
        <v>16308</v>
      </c>
      <c r="D1674" s="285"/>
      <c r="E1674" s="286"/>
      <c r="F1674" s="287" t="s">
        <v>16309</v>
      </c>
      <c r="G1674" s="286"/>
      <c r="H1674" s="286"/>
      <c r="I1674" s="288"/>
      <c r="J1674" s="289"/>
      <c r="K1674" s="290"/>
      <c r="L1674" s="371" t="str">
        <f>HYPERLINK("[#]DatatypeListedValues!B10371:H10371","«enumeration»")</f>
        <v>«enumeration»</v>
      </c>
      <c r="M1674" s="287" t="s">
        <v>6582</v>
      </c>
      <c r="N1674" s="291" t="b">
        <v>0</v>
      </c>
      <c r="O1674" s="286"/>
      <c r="P1674" s="292"/>
      <c r="Q1674" s="286"/>
      <c r="R1674" s="286"/>
      <c r="S1674" s="293"/>
      <c r="T1674" s="294"/>
      <c r="U1674" s="37">
        <v>1517</v>
      </c>
      <c r="V1674" s="36" t="str">
        <f>CONCATENATE(Cover!$D$6,"fdd/view?i=",U1674)</f>
        <v>https://www.dgiwg.org/FAD/fdd/view?i=1517</v>
      </c>
      <c r="W1674" s="172"/>
      <c r="X1674" s="172"/>
      <c r="Y1674" s="172"/>
    </row>
    <row r="1675" spans="1:25" ht="2.1" customHeight="1" x14ac:dyDescent="0.2">
      <c r="A1675" s="295"/>
      <c r="B1675" s="283"/>
      <c r="C1675" s="296"/>
      <c r="D1675" s="283"/>
      <c r="E1675" s="296"/>
      <c r="F1675" s="297"/>
      <c r="G1675" s="297"/>
      <c r="H1675" s="297"/>
      <c r="I1675" s="298"/>
      <c r="J1675" s="304"/>
      <c r="K1675" s="300"/>
      <c r="L1675" s="301"/>
      <c r="M1675" s="297" t="s">
        <v>6582</v>
      </c>
      <c r="N1675" s="297"/>
      <c r="O1675" s="297"/>
      <c r="P1675" s="297"/>
      <c r="Q1675" s="297"/>
      <c r="R1675" s="297"/>
      <c r="S1675" s="302"/>
      <c r="T1675" s="302"/>
      <c r="U1675" s="303"/>
    </row>
    <row r="1676" spans="1:25" ht="25.5" x14ac:dyDescent="0.2">
      <c r="A1676" s="212" t="str">
        <f>HYPERLINK(V1676,B1676)</f>
        <v>VoaCode</v>
      </c>
      <c r="B1676" s="283" t="s">
        <v>14183</v>
      </c>
      <c r="C1676" s="284" t="s">
        <v>16310</v>
      </c>
      <c r="D1676" s="285"/>
      <c r="E1676" s="286"/>
      <c r="F1676" s="287" t="s">
        <v>16311</v>
      </c>
      <c r="G1676" s="286"/>
      <c r="H1676" s="286"/>
      <c r="I1676" s="288"/>
      <c r="J1676" s="289"/>
      <c r="K1676" s="290"/>
      <c r="L1676" s="371" t="str">
        <f>HYPERLINK("[#]DatatypeListedValues!B10374:H10374","«enumeration»")</f>
        <v>«enumeration»</v>
      </c>
      <c r="M1676" s="287" t="s">
        <v>6582</v>
      </c>
      <c r="N1676" s="291" t="b">
        <v>0</v>
      </c>
      <c r="O1676" s="286"/>
      <c r="P1676" s="292"/>
      <c r="Q1676" s="286"/>
      <c r="R1676" s="286"/>
      <c r="S1676" s="293"/>
      <c r="T1676" s="294"/>
      <c r="U1676" s="37">
        <v>3876</v>
      </c>
      <c r="V1676" s="36" t="str">
        <f>CONCATENATE(Cover!$D$6,"fdd/view?i=",U1676)</f>
        <v>https://www.dgiwg.org/FAD/fdd/view?i=3876</v>
      </c>
      <c r="W1676" s="172"/>
      <c r="X1676" s="172"/>
      <c r="Y1676" s="172"/>
    </row>
    <row r="1677" spans="1:25" ht="2.1" customHeight="1" x14ac:dyDescent="0.2">
      <c r="A1677" s="295"/>
      <c r="B1677" s="283"/>
      <c r="C1677" s="296"/>
      <c r="D1677" s="283"/>
      <c r="E1677" s="296"/>
      <c r="F1677" s="297"/>
      <c r="G1677" s="297"/>
      <c r="H1677" s="297"/>
      <c r="I1677" s="298"/>
      <c r="J1677" s="304"/>
      <c r="K1677" s="300"/>
      <c r="L1677" s="301"/>
      <c r="M1677" s="297" t="s">
        <v>6582</v>
      </c>
      <c r="N1677" s="297"/>
      <c r="O1677" s="297"/>
      <c r="P1677" s="297"/>
      <c r="Q1677" s="297"/>
      <c r="R1677" s="297"/>
      <c r="S1677" s="302"/>
      <c r="T1677" s="302"/>
      <c r="U1677" s="303"/>
    </row>
    <row r="1678" spans="1:25" ht="25.5" x14ac:dyDescent="0.2">
      <c r="A1678" s="212" t="str">
        <f>HYPERLINK(V1678,B1678)</f>
        <v>VeiCode</v>
      </c>
      <c r="B1678" s="283" t="s">
        <v>14193</v>
      </c>
      <c r="C1678" s="284" t="s">
        <v>16312</v>
      </c>
      <c r="D1678" s="285"/>
      <c r="E1678" s="286"/>
      <c r="F1678" s="287" t="s">
        <v>16313</v>
      </c>
      <c r="G1678" s="286"/>
      <c r="H1678" s="286"/>
      <c r="I1678" s="288"/>
      <c r="J1678" s="289"/>
      <c r="K1678" s="290"/>
      <c r="L1678" s="371" t="str">
        <f>HYPERLINK("[#]DatatypeListedValues!B10377:H10377","«enumeration»")</f>
        <v>«enumeration»</v>
      </c>
      <c r="M1678" s="287" t="s">
        <v>6582</v>
      </c>
      <c r="N1678" s="291" t="b">
        <v>0</v>
      </c>
      <c r="O1678" s="286"/>
      <c r="P1678" s="292"/>
      <c r="Q1678" s="286"/>
      <c r="R1678" s="286"/>
      <c r="S1678" s="293"/>
      <c r="T1678" s="294"/>
      <c r="U1678" s="37">
        <v>119239</v>
      </c>
      <c r="V1678" s="36" t="str">
        <f>CONCATENATE(Cover!$D$6,"fdd/view?i=",U1678)</f>
        <v>https://www.dgiwg.org/FAD/fdd/view?i=119239</v>
      </c>
      <c r="W1678" s="172"/>
      <c r="X1678" s="172"/>
      <c r="Y1678" s="172"/>
    </row>
    <row r="1679" spans="1:25" ht="2.1" customHeight="1" x14ac:dyDescent="0.2">
      <c r="A1679" s="295"/>
      <c r="B1679" s="283"/>
      <c r="C1679" s="296"/>
      <c r="D1679" s="283"/>
      <c r="E1679" s="296"/>
      <c r="F1679" s="297"/>
      <c r="G1679" s="297"/>
      <c r="H1679" s="297"/>
      <c r="I1679" s="298"/>
      <c r="J1679" s="304"/>
      <c r="K1679" s="300"/>
      <c r="L1679" s="301"/>
      <c r="M1679" s="297" t="s">
        <v>6582</v>
      </c>
      <c r="N1679" s="297"/>
      <c r="O1679" s="297"/>
      <c r="P1679" s="297"/>
      <c r="Q1679" s="297"/>
      <c r="R1679" s="297"/>
      <c r="S1679" s="302"/>
      <c r="T1679" s="302"/>
      <c r="U1679" s="303"/>
    </row>
    <row r="1680" spans="1:25" ht="25.5" x14ac:dyDescent="0.2">
      <c r="A1680" s="212" t="str">
        <f>HYPERLINK(V1680,B1680)</f>
        <v>VlcCode</v>
      </c>
      <c r="B1680" s="283" t="s">
        <v>14198</v>
      </c>
      <c r="C1680" s="284" t="s">
        <v>16314</v>
      </c>
      <c r="D1680" s="285"/>
      <c r="E1680" s="286"/>
      <c r="F1680" s="287" t="s">
        <v>16315</v>
      </c>
      <c r="G1680" s="286"/>
      <c r="H1680" s="286"/>
      <c r="I1680" s="288"/>
      <c r="J1680" s="289"/>
      <c r="K1680" s="290"/>
      <c r="L1680" s="371" t="str">
        <f>HYPERLINK("[#]DatatypeListedValues!B10386:H10386","«enumeration»")</f>
        <v>«enumeration»</v>
      </c>
      <c r="M1680" s="287" t="s">
        <v>6582</v>
      </c>
      <c r="N1680" s="291" t="b">
        <v>0</v>
      </c>
      <c r="O1680" s="286"/>
      <c r="P1680" s="292"/>
      <c r="Q1680" s="286"/>
      <c r="R1680" s="286"/>
      <c r="S1680" s="293"/>
      <c r="T1680" s="294"/>
      <c r="U1680" s="37">
        <v>118643</v>
      </c>
      <c r="V1680" s="36" t="str">
        <f>CONCATENATE(Cover!$D$6,"fdd/view?i=",U1680)</f>
        <v>https://www.dgiwg.org/FAD/fdd/view?i=118643</v>
      </c>
      <c r="W1680" s="172"/>
      <c r="X1680" s="172"/>
      <c r="Y1680" s="172"/>
    </row>
    <row r="1681" spans="1:25" ht="2.1" customHeight="1" x14ac:dyDescent="0.2">
      <c r="A1681" s="295"/>
      <c r="B1681" s="283"/>
      <c r="C1681" s="296"/>
      <c r="D1681" s="283"/>
      <c r="E1681" s="296"/>
      <c r="F1681" s="297"/>
      <c r="G1681" s="297"/>
      <c r="H1681" s="297"/>
      <c r="I1681" s="298"/>
      <c r="J1681" s="304"/>
      <c r="K1681" s="300"/>
      <c r="L1681" s="301"/>
      <c r="M1681" s="297" t="s">
        <v>6582</v>
      </c>
      <c r="N1681" s="297"/>
      <c r="O1681" s="297"/>
      <c r="P1681" s="297"/>
      <c r="Q1681" s="297"/>
      <c r="R1681" s="297"/>
      <c r="S1681" s="302"/>
      <c r="T1681" s="302"/>
      <c r="U1681" s="303"/>
    </row>
    <row r="1682" spans="1:25" ht="25.5" x14ac:dyDescent="0.2">
      <c r="A1682" s="212" t="str">
        <f>HYPERLINK(V1682,B1682)</f>
        <v>VptCode</v>
      </c>
      <c r="B1682" s="283" t="s">
        <v>14203</v>
      </c>
      <c r="C1682" s="284" t="s">
        <v>16316</v>
      </c>
      <c r="D1682" s="285"/>
      <c r="E1682" s="286"/>
      <c r="F1682" s="287" t="s">
        <v>16317</v>
      </c>
      <c r="G1682" s="286"/>
      <c r="H1682" s="286"/>
      <c r="I1682" s="288"/>
      <c r="J1682" s="289"/>
      <c r="K1682" s="290"/>
      <c r="L1682" s="371" t="str">
        <f>HYPERLINK("[#]DatatypeListedValues!B10390:H10390","«enumeration»")</f>
        <v>«enumeration»</v>
      </c>
      <c r="M1682" s="287" t="s">
        <v>6582</v>
      </c>
      <c r="N1682" s="291" t="b">
        <v>0</v>
      </c>
      <c r="O1682" s="286"/>
      <c r="P1682" s="292"/>
      <c r="Q1682" s="286"/>
      <c r="R1682" s="286"/>
      <c r="S1682" s="293"/>
      <c r="T1682" s="294"/>
      <c r="U1682" s="37">
        <v>3877</v>
      </c>
      <c r="V1682" s="36" t="str">
        <f>CONCATENATE(Cover!$D$6,"fdd/view?i=",U1682)</f>
        <v>https://www.dgiwg.org/FAD/fdd/view?i=3877</v>
      </c>
      <c r="W1682" s="172"/>
      <c r="X1682" s="172"/>
      <c r="Y1682" s="172"/>
    </row>
    <row r="1683" spans="1:25" ht="2.1" customHeight="1" x14ac:dyDescent="0.2">
      <c r="A1683" s="295"/>
      <c r="B1683" s="283"/>
      <c r="C1683" s="296"/>
      <c r="D1683" s="283"/>
      <c r="E1683" s="296"/>
      <c r="F1683" s="297"/>
      <c r="G1683" s="297"/>
      <c r="H1683" s="297"/>
      <c r="I1683" s="298"/>
      <c r="J1683" s="304"/>
      <c r="K1683" s="300"/>
      <c r="L1683" s="301"/>
      <c r="M1683" s="297" t="s">
        <v>6582</v>
      </c>
      <c r="N1683" s="297"/>
      <c r="O1683" s="297"/>
      <c r="P1683" s="297"/>
      <c r="Q1683" s="297"/>
      <c r="R1683" s="297"/>
      <c r="S1683" s="302"/>
      <c r="T1683" s="302"/>
      <c r="U1683" s="303"/>
    </row>
    <row r="1684" spans="1:25" ht="25.5" x14ac:dyDescent="0.2">
      <c r="A1684" s="212" t="str">
        <f>HYPERLINK(V1684,B1684)</f>
        <v>VgtCode</v>
      </c>
      <c r="B1684" s="283" t="s">
        <v>14208</v>
      </c>
      <c r="C1684" s="284" t="s">
        <v>16318</v>
      </c>
      <c r="D1684" s="285"/>
      <c r="E1684" s="286"/>
      <c r="F1684" s="287" t="s">
        <v>16319</v>
      </c>
      <c r="G1684" s="286"/>
      <c r="H1684" s="286"/>
      <c r="I1684" s="288"/>
      <c r="J1684" s="289"/>
      <c r="K1684" s="290"/>
      <c r="L1684" s="371" t="str">
        <f>HYPERLINK("[#]DatatypeListedValues!B10404:H10404","«enumeration»")</f>
        <v>«enumeration»</v>
      </c>
      <c r="M1684" s="287" t="s">
        <v>6582</v>
      </c>
      <c r="N1684" s="291" t="b">
        <v>0</v>
      </c>
      <c r="O1684" s="286"/>
      <c r="P1684" s="292"/>
      <c r="Q1684" s="286"/>
      <c r="R1684" s="286"/>
      <c r="S1684" s="293"/>
      <c r="T1684" s="294"/>
      <c r="U1684" s="37">
        <v>1521</v>
      </c>
      <c r="V1684" s="36" t="str">
        <f>CONCATENATE(Cover!$D$6,"fdd/view?i=",U1684)</f>
        <v>https://www.dgiwg.org/FAD/fdd/view?i=1521</v>
      </c>
      <c r="W1684" s="172"/>
      <c r="X1684" s="172"/>
      <c r="Y1684" s="172"/>
    </row>
    <row r="1685" spans="1:25" ht="2.1" customHeight="1" x14ac:dyDescent="0.2">
      <c r="A1685" s="295"/>
      <c r="B1685" s="283"/>
      <c r="C1685" s="296"/>
      <c r="D1685" s="283"/>
      <c r="E1685" s="296"/>
      <c r="F1685" s="297"/>
      <c r="G1685" s="297"/>
      <c r="H1685" s="297"/>
      <c r="I1685" s="298"/>
      <c r="J1685" s="304"/>
      <c r="K1685" s="300"/>
      <c r="L1685" s="301"/>
      <c r="M1685" s="297" t="s">
        <v>6582</v>
      </c>
      <c r="N1685" s="297"/>
      <c r="O1685" s="297"/>
      <c r="P1685" s="297"/>
      <c r="Q1685" s="297"/>
      <c r="R1685" s="297"/>
      <c r="S1685" s="302"/>
      <c r="T1685" s="302"/>
      <c r="U1685" s="303"/>
    </row>
    <row r="1686" spans="1:25" ht="25.5" x14ac:dyDescent="0.2">
      <c r="A1686" s="212" t="str">
        <f>HYPERLINK(V1686,B1686)</f>
        <v>WtiCode</v>
      </c>
      <c r="B1686" s="283" t="s">
        <v>14216</v>
      </c>
      <c r="C1686" s="284" t="s">
        <v>16320</v>
      </c>
      <c r="D1686" s="285"/>
      <c r="E1686" s="286"/>
      <c r="F1686" s="287" t="s">
        <v>16321</v>
      </c>
      <c r="G1686" s="286"/>
      <c r="H1686" s="286"/>
      <c r="I1686" s="288"/>
      <c r="J1686" s="289"/>
      <c r="K1686" s="290"/>
      <c r="L1686" s="371" t="str">
        <f>HYPERLINK("[#]DatatypeListedValues!B10409:H10409","«enumeration»")</f>
        <v>«enumeration»</v>
      </c>
      <c r="M1686" s="287" t="s">
        <v>6582</v>
      </c>
      <c r="N1686" s="291" t="b">
        <v>0</v>
      </c>
      <c r="O1686" s="286"/>
      <c r="P1686" s="292"/>
      <c r="Q1686" s="286"/>
      <c r="R1686" s="286"/>
      <c r="S1686" s="293"/>
      <c r="T1686" s="294"/>
      <c r="U1686" s="37">
        <v>1548</v>
      </c>
      <c r="V1686" s="36" t="str">
        <f>CONCATENATE(Cover!$D$6,"fdd/view?i=",U1686)</f>
        <v>https://www.dgiwg.org/FAD/fdd/view?i=1548</v>
      </c>
      <c r="W1686" s="172"/>
      <c r="X1686" s="172"/>
      <c r="Y1686" s="172"/>
    </row>
    <row r="1687" spans="1:25" ht="2.1" customHeight="1" x14ac:dyDescent="0.2">
      <c r="A1687" s="295"/>
      <c r="B1687" s="283"/>
      <c r="C1687" s="296"/>
      <c r="D1687" s="283"/>
      <c r="E1687" s="296"/>
      <c r="F1687" s="297"/>
      <c r="G1687" s="297"/>
      <c r="H1687" s="297"/>
      <c r="I1687" s="298"/>
      <c r="J1687" s="304"/>
      <c r="K1687" s="300"/>
      <c r="L1687" s="301"/>
      <c r="M1687" s="297" t="s">
        <v>6582</v>
      </c>
      <c r="N1687" s="297"/>
      <c r="O1687" s="297"/>
      <c r="P1687" s="297"/>
      <c r="Q1687" s="297"/>
      <c r="R1687" s="297"/>
      <c r="S1687" s="302"/>
      <c r="T1687" s="302"/>
      <c r="U1687" s="303"/>
    </row>
    <row r="1688" spans="1:25" ht="25.5" x14ac:dyDescent="0.2">
      <c r="A1688" s="212" t="str">
        <f>HYPERLINK(V1688,B1688)</f>
        <v>WcfCode</v>
      </c>
      <c r="B1688" s="283" t="s">
        <v>14230</v>
      </c>
      <c r="C1688" s="284" t="s">
        <v>14227</v>
      </c>
      <c r="D1688" s="285"/>
      <c r="E1688" s="286"/>
      <c r="F1688" s="287" t="s">
        <v>16322</v>
      </c>
      <c r="G1688" s="286"/>
      <c r="H1688" s="286"/>
      <c r="I1688" s="288"/>
      <c r="J1688" s="289"/>
      <c r="K1688" s="290"/>
      <c r="L1688" s="371" t="str">
        <f>HYPERLINK("[#]DatatypeListedValues!B10413:H10413","«enumeration»")</f>
        <v>«enumeration»</v>
      </c>
      <c r="M1688" s="287" t="s">
        <v>6582</v>
      </c>
      <c r="N1688" s="291" t="b">
        <v>0</v>
      </c>
      <c r="O1688" s="286"/>
      <c r="P1688" s="292"/>
      <c r="Q1688" s="286"/>
      <c r="R1688" s="286"/>
      <c r="S1688" s="293"/>
      <c r="T1688" s="294"/>
      <c r="U1688" s="37">
        <v>1535</v>
      </c>
      <c r="V1688" s="36" t="str">
        <f>CONCATENATE(Cover!$D$6,"fdd/view?i=",U1688)</f>
        <v>https://www.dgiwg.org/FAD/fdd/view?i=1535</v>
      </c>
      <c r="W1688" s="172"/>
      <c r="X1688" s="172"/>
      <c r="Y1688" s="172"/>
    </row>
    <row r="1689" spans="1:25" ht="2.1" customHeight="1" x14ac:dyDescent="0.2">
      <c r="A1689" s="295"/>
      <c r="B1689" s="283"/>
      <c r="C1689" s="296"/>
      <c r="D1689" s="283"/>
      <c r="E1689" s="296"/>
      <c r="F1689" s="297"/>
      <c r="G1689" s="297"/>
      <c r="H1689" s="297"/>
      <c r="I1689" s="298"/>
      <c r="J1689" s="304"/>
      <c r="K1689" s="300"/>
      <c r="L1689" s="301"/>
      <c r="M1689" s="297" t="s">
        <v>6582</v>
      </c>
      <c r="N1689" s="297"/>
      <c r="O1689" s="297"/>
      <c r="P1689" s="297"/>
      <c r="Q1689" s="297"/>
      <c r="R1689" s="297"/>
      <c r="S1689" s="302"/>
      <c r="T1689" s="302"/>
      <c r="U1689" s="303"/>
    </row>
    <row r="1690" spans="1:25" ht="25.5" x14ac:dyDescent="0.2">
      <c r="A1690" s="212" t="str">
        <f>HYPERLINK(V1690,B1690)</f>
        <v>GncCode</v>
      </c>
      <c r="B1690" s="283" t="s">
        <v>14260</v>
      </c>
      <c r="C1690" s="284" t="s">
        <v>16323</v>
      </c>
      <c r="D1690" s="285"/>
      <c r="E1690" s="286"/>
      <c r="F1690" s="287" t="s">
        <v>16324</v>
      </c>
      <c r="G1690" s="286"/>
      <c r="H1690" s="286"/>
      <c r="I1690" s="288"/>
      <c r="J1690" s="289"/>
      <c r="K1690" s="290"/>
      <c r="L1690" s="371" t="str">
        <f>HYPERLINK("[#]DatatypeListedValues!B10435:H10435","«enumeration»")</f>
        <v>«enumeration»</v>
      </c>
      <c r="M1690" s="287" t="s">
        <v>6582</v>
      </c>
      <c r="N1690" s="291" t="b">
        <v>0</v>
      </c>
      <c r="O1690" s="286"/>
      <c r="P1690" s="292"/>
      <c r="Q1690" s="286"/>
      <c r="R1690" s="286"/>
      <c r="S1690" s="293"/>
      <c r="T1690" s="294"/>
      <c r="U1690" s="37">
        <v>1235</v>
      </c>
      <c r="V1690" s="36" t="str">
        <f>CONCATENATE(Cover!$D$6,"fdd/view?i=",U1690)</f>
        <v>https://www.dgiwg.org/FAD/fdd/view?i=1235</v>
      </c>
      <c r="W1690" s="172"/>
      <c r="X1690" s="172"/>
      <c r="Y1690" s="172"/>
    </row>
    <row r="1691" spans="1:25" ht="2.1" customHeight="1" x14ac:dyDescent="0.2">
      <c r="A1691" s="295"/>
      <c r="B1691" s="283"/>
      <c r="C1691" s="296"/>
      <c r="D1691" s="283"/>
      <c r="E1691" s="296"/>
      <c r="F1691" s="297"/>
      <c r="G1691" s="297"/>
      <c r="H1691" s="297"/>
      <c r="I1691" s="298"/>
      <c r="J1691" s="304"/>
      <c r="K1691" s="300"/>
      <c r="L1691" s="301"/>
      <c r="M1691" s="297" t="s">
        <v>6582</v>
      </c>
      <c r="N1691" s="297"/>
      <c r="O1691" s="297"/>
      <c r="P1691" s="297"/>
      <c r="Q1691" s="297"/>
      <c r="R1691" s="297"/>
      <c r="S1691" s="302"/>
      <c r="T1691" s="302"/>
      <c r="U1691" s="303"/>
    </row>
    <row r="1692" spans="1:25" ht="25.5" x14ac:dyDescent="0.2">
      <c r="A1692" s="212" t="str">
        <f>HYPERLINK(V1692,B1692)</f>
        <v>WleCode</v>
      </c>
      <c r="B1692" s="283" t="s">
        <v>14270</v>
      </c>
      <c r="C1692" s="284" t="s">
        <v>16325</v>
      </c>
      <c r="D1692" s="285"/>
      <c r="E1692" s="286"/>
      <c r="F1692" s="287" t="s">
        <v>16326</v>
      </c>
      <c r="G1692" s="286"/>
      <c r="H1692" s="286"/>
      <c r="I1692" s="288"/>
      <c r="J1692" s="289"/>
      <c r="K1692" s="290"/>
      <c r="L1692" s="371" t="str">
        <f>HYPERLINK("[#]DatatypeListedValues!B10441:H10441","«enumeration»")</f>
        <v>«enumeration»</v>
      </c>
      <c r="M1692" s="287" t="s">
        <v>6582</v>
      </c>
      <c r="N1692" s="291" t="b">
        <v>0</v>
      </c>
      <c r="O1692" s="286"/>
      <c r="P1692" s="292"/>
      <c r="Q1692" s="286"/>
      <c r="R1692" s="286"/>
      <c r="S1692" s="293"/>
      <c r="T1692" s="294"/>
      <c r="U1692" s="37">
        <v>1539</v>
      </c>
      <c r="V1692" s="36" t="str">
        <f>CONCATENATE(Cover!$D$6,"fdd/view?i=",U1692)</f>
        <v>https://www.dgiwg.org/FAD/fdd/view?i=1539</v>
      </c>
      <c r="W1692" s="172"/>
      <c r="X1692" s="172"/>
      <c r="Y1692" s="172"/>
    </row>
    <row r="1693" spans="1:25" ht="2.1" customHeight="1" x14ac:dyDescent="0.2">
      <c r="A1693" s="295"/>
      <c r="B1693" s="283"/>
      <c r="C1693" s="296"/>
      <c r="D1693" s="283"/>
      <c r="E1693" s="296"/>
      <c r="F1693" s="297"/>
      <c r="G1693" s="297"/>
      <c r="H1693" s="297"/>
      <c r="I1693" s="298"/>
      <c r="J1693" s="304"/>
      <c r="K1693" s="300"/>
      <c r="L1693" s="301"/>
      <c r="M1693" s="297" t="s">
        <v>6582</v>
      </c>
      <c r="N1693" s="297"/>
      <c r="O1693" s="297"/>
      <c r="P1693" s="297"/>
      <c r="Q1693" s="297"/>
      <c r="R1693" s="297"/>
      <c r="S1693" s="302"/>
      <c r="T1693" s="302"/>
      <c r="U1693" s="303"/>
    </row>
    <row r="1694" spans="1:25" ht="25.5" x14ac:dyDescent="0.2">
      <c r="A1694" s="212" t="str">
        <f>HYPERLINK(V1694,B1694)</f>
        <v>YwqCode</v>
      </c>
      <c r="B1694" s="283" t="s">
        <v>14275</v>
      </c>
      <c r="C1694" s="284" t="s">
        <v>16327</v>
      </c>
      <c r="D1694" s="285"/>
      <c r="E1694" s="286"/>
      <c r="F1694" s="287" t="s">
        <v>16328</v>
      </c>
      <c r="G1694" s="286"/>
      <c r="H1694" s="286"/>
      <c r="I1694" s="288"/>
      <c r="J1694" s="289"/>
      <c r="K1694" s="290"/>
      <c r="L1694" s="371" t="str">
        <f>HYPERLINK("[#]DatatypeListedValues!B10449:H10449","«enumeration»")</f>
        <v>«enumeration»</v>
      </c>
      <c r="M1694" s="287" t="s">
        <v>6582</v>
      </c>
      <c r="N1694" s="291" t="b">
        <v>0</v>
      </c>
      <c r="O1694" s="286"/>
      <c r="P1694" s="292"/>
      <c r="Q1694" s="286"/>
      <c r="R1694" s="286"/>
      <c r="S1694" s="293"/>
      <c r="T1694" s="294"/>
      <c r="U1694" s="37">
        <v>1558</v>
      </c>
      <c r="V1694" s="36" t="str">
        <f>CONCATENATE(Cover!$D$6,"fdd/view?i=",U1694)</f>
        <v>https://www.dgiwg.org/FAD/fdd/view?i=1558</v>
      </c>
      <c r="W1694" s="172"/>
      <c r="X1694" s="172"/>
      <c r="Y1694" s="172"/>
    </row>
    <row r="1695" spans="1:25" ht="2.1" customHeight="1" x14ac:dyDescent="0.2">
      <c r="A1695" s="295"/>
      <c r="B1695" s="283"/>
      <c r="C1695" s="296"/>
      <c r="D1695" s="283"/>
      <c r="E1695" s="296"/>
      <c r="F1695" s="297"/>
      <c r="G1695" s="297"/>
      <c r="H1695" s="297"/>
      <c r="I1695" s="298"/>
      <c r="J1695" s="304"/>
      <c r="K1695" s="300"/>
      <c r="L1695" s="301"/>
      <c r="M1695" s="297" t="s">
        <v>6582</v>
      </c>
      <c r="N1695" s="297"/>
      <c r="O1695" s="297"/>
      <c r="P1695" s="297"/>
      <c r="Q1695" s="297"/>
      <c r="R1695" s="297"/>
      <c r="S1695" s="302"/>
      <c r="T1695" s="302"/>
      <c r="U1695" s="303"/>
    </row>
    <row r="1696" spans="1:25" ht="25.5" x14ac:dyDescent="0.2">
      <c r="A1696" s="212" t="str">
        <f>HYPERLINK(V1696,B1696)</f>
        <v>WpaCode</v>
      </c>
      <c r="B1696" s="283" t="s">
        <v>14281</v>
      </c>
      <c r="C1696" s="284" t="s">
        <v>16329</v>
      </c>
      <c r="D1696" s="285"/>
      <c r="E1696" s="286"/>
      <c r="F1696" s="287" t="s">
        <v>16330</v>
      </c>
      <c r="G1696" s="286"/>
      <c r="H1696" s="286"/>
      <c r="I1696" s="288"/>
      <c r="J1696" s="289"/>
      <c r="K1696" s="290"/>
      <c r="L1696" s="371" t="str">
        <f>HYPERLINK("[#]DatatypeListedValues!B10453:H10453","«enumeration»")</f>
        <v>«enumeration»</v>
      </c>
      <c r="M1696" s="287" t="s">
        <v>6582</v>
      </c>
      <c r="N1696" s="291" t="b">
        <v>0</v>
      </c>
      <c r="O1696" s="286"/>
      <c r="P1696" s="292"/>
      <c r="Q1696" s="286"/>
      <c r="R1696" s="286"/>
      <c r="S1696" s="293"/>
      <c r="T1696" s="294"/>
      <c r="U1696" s="37">
        <v>3883</v>
      </c>
      <c r="V1696" s="36" t="str">
        <f>CONCATENATE(Cover!$D$6,"fdd/view?i=",U1696)</f>
        <v>https://www.dgiwg.org/FAD/fdd/view?i=3883</v>
      </c>
      <c r="W1696" s="172"/>
      <c r="X1696" s="172"/>
      <c r="Y1696" s="172"/>
    </row>
    <row r="1697" spans="1:25" ht="2.1" customHeight="1" x14ac:dyDescent="0.2">
      <c r="A1697" s="295"/>
      <c r="B1697" s="283"/>
      <c r="C1697" s="296"/>
      <c r="D1697" s="283"/>
      <c r="E1697" s="296"/>
      <c r="F1697" s="297"/>
      <c r="G1697" s="297"/>
      <c r="H1697" s="297"/>
      <c r="I1697" s="298"/>
      <c r="J1697" s="304"/>
      <c r="K1697" s="300"/>
      <c r="L1697" s="301"/>
      <c r="M1697" s="297" t="s">
        <v>6582</v>
      </c>
      <c r="N1697" s="297"/>
      <c r="O1697" s="297"/>
      <c r="P1697" s="297"/>
      <c r="Q1697" s="297"/>
      <c r="R1697" s="297"/>
      <c r="S1697" s="302"/>
      <c r="T1697" s="302"/>
      <c r="U1697" s="303"/>
    </row>
    <row r="1698" spans="1:25" ht="25.5" x14ac:dyDescent="0.2">
      <c r="A1698" s="212" t="str">
        <f>HYPERLINK(V1698,B1698)</f>
        <v>WrtCode</v>
      </c>
      <c r="B1698" s="283" t="s">
        <v>14286</v>
      </c>
      <c r="C1698" s="284" t="s">
        <v>16331</v>
      </c>
      <c r="D1698" s="285"/>
      <c r="E1698" s="286"/>
      <c r="F1698" s="287" t="s">
        <v>16332</v>
      </c>
      <c r="G1698" s="286"/>
      <c r="H1698" s="286"/>
      <c r="I1698" s="288"/>
      <c r="J1698" s="289"/>
      <c r="K1698" s="290"/>
      <c r="L1698" s="371" t="str">
        <f>HYPERLINK("[#]DatatypeListedValues!B10458:H10458","«enumeration»")</f>
        <v>«enumeration»</v>
      </c>
      <c r="M1698" s="287" t="s">
        <v>6582</v>
      </c>
      <c r="N1698" s="291" t="b">
        <v>0</v>
      </c>
      <c r="O1698" s="286"/>
      <c r="P1698" s="292"/>
      <c r="Q1698" s="286"/>
      <c r="R1698" s="286"/>
      <c r="S1698" s="293"/>
      <c r="T1698" s="294"/>
      <c r="U1698" s="37">
        <v>117819</v>
      </c>
      <c r="V1698" s="36" t="str">
        <f>CONCATENATE(Cover!$D$6,"fdd/view?i=",U1698)</f>
        <v>https://www.dgiwg.org/FAD/fdd/view?i=117819</v>
      </c>
      <c r="W1698" s="172"/>
      <c r="X1698" s="172"/>
      <c r="Y1698" s="172"/>
    </row>
    <row r="1699" spans="1:25" ht="2.1" customHeight="1" x14ac:dyDescent="0.2">
      <c r="A1699" s="295"/>
      <c r="B1699" s="283"/>
      <c r="C1699" s="296"/>
      <c r="D1699" s="283"/>
      <c r="E1699" s="296"/>
      <c r="F1699" s="297"/>
      <c r="G1699" s="297"/>
      <c r="H1699" s="297"/>
      <c r="I1699" s="298"/>
      <c r="J1699" s="304"/>
      <c r="K1699" s="300"/>
      <c r="L1699" s="301"/>
      <c r="M1699" s="297" t="s">
        <v>6582</v>
      </c>
      <c r="N1699" s="297"/>
      <c r="O1699" s="297"/>
      <c r="P1699" s="297"/>
      <c r="Q1699" s="297"/>
      <c r="R1699" s="297"/>
      <c r="S1699" s="302"/>
      <c r="T1699" s="302"/>
      <c r="U1699" s="303"/>
    </row>
    <row r="1700" spans="1:25" ht="25.5" x14ac:dyDescent="0.2">
      <c r="A1700" s="212" t="str">
        <f>HYPERLINK(V1700,B1700)</f>
        <v>WusCode</v>
      </c>
      <c r="B1700" s="283" t="s">
        <v>14291</v>
      </c>
      <c r="C1700" s="284" t="s">
        <v>16333</v>
      </c>
      <c r="D1700" s="285"/>
      <c r="E1700" s="286"/>
      <c r="F1700" s="287" t="s">
        <v>16334</v>
      </c>
      <c r="G1700" s="286"/>
      <c r="H1700" s="286"/>
      <c r="I1700" s="288"/>
      <c r="J1700" s="289"/>
      <c r="K1700" s="290"/>
      <c r="L1700" s="371" t="str">
        <f>HYPERLINK("[#]DatatypeListedValues!B10462:H10462","«enumeration»")</f>
        <v>«enumeration»</v>
      </c>
      <c r="M1700" s="287" t="s">
        <v>6582</v>
      </c>
      <c r="N1700" s="291" t="b">
        <v>0</v>
      </c>
      <c r="O1700" s="286"/>
      <c r="P1700" s="292"/>
      <c r="Q1700" s="286"/>
      <c r="R1700" s="286"/>
      <c r="S1700" s="293"/>
      <c r="T1700" s="294"/>
      <c r="U1700" s="37">
        <v>3886</v>
      </c>
      <c r="V1700" s="36" t="str">
        <f>CONCATENATE(Cover!$D$6,"fdd/view?i=",U1700)</f>
        <v>https://www.dgiwg.org/FAD/fdd/view?i=3886</v>
      </c>
      <c r="W1700" s="172"/>
      <c r="X1700" s="172"/>
      <c r="Y1700" s="172"/>
    </row>
    <row r="1701" spans="1:25" ht="2.1" customHeight="1" x14ac:dyDescent="0.2">
      <c r="A1701" s="295"/>
      <c r="B1701" s="283"/>
      <c r="C1701" s="296"/>
      <c r="D1701" s="283"/>
      <c r="E1701" s="296"/>
      <c r="F1701" s="297"/>
      <c r="G1701" s="297"/>
      <c r="H1701" s="297"/>
      <c r="I1701" s="298"/>
      <c r="J1701" s="304"/>
      <c r="K1701" s="300"/>
      <c r="L1701" s="301"/>
      <c r="M1701" s="297" t="s">
        <v>6582</v>
      </c>
      <c r="N1701" s="297"/>
      <c r="O1701" s="297"/>
      <c r="P1701" s="297"/>
      <c r="Q1701" s="297"/>
      <c r="R1701" s="297"/>
      <c r="S1701" s="302"/>
      <c r="T1701" s="302"/>
      <c r="U1701" s="303"/>
    </row>
    <row r="1702" spans="1:25" ht="25.5" x14ac:dyDescent="0.2">
      <c r="A1702" s="212" t="str">
        <f>HYPERLINK(V1702,B1702)</f>
        <v>WttCode</v>
      </c>
      <c r="B1702" s="283" t="s">
        <v>14301</v>
      </c>
      <c r="C1702" s="284" t="s">
        <v>16335</v>
      </c>
      <c r="D1702" s="285"/>
      <c r="E1702" s="286"/>
      <c r="F1702" s="287" t="s">
        <v>16336</v>
      </c>
      <c r="G1702" s="286"/>
      <c r="H1702" s="286"/>
      <c r="I1702" s="288"/>
      <c r="J1702" s="289"/>
      <c r="K1702" s="290"/>
      <c r="L1702" s="371" t="str">
        <f>HYPERLINK("[#]DatatypeListedValues!B10467:H10467","«enumeration»")</f>
        <v>«enumeration»</v>
      </c>
      <c r="M1702" s="287" t="s">
        <v>6582</v>
      </c>
      <c r="N1702" s="291" t="b">
        <v>0</v>
      </c>
      <c r="O1702" s="286"/>
      <c r="P1702" s="292"/>
      <c r="Q1702" s="286"/>
      <c r="R1702" s="286"/>
      <c r="S1702" s="293"/>
      <c r="T1702" s="294"/>
      <c r="U1702" s="37">
        <v>1561</v>
      </c>
      <c r="V1702" s="36" t="str">
        <f>CONCATENATE(Cover!$D$6,"fdd/view?i=",U1702)</f>
        <v>https://www.dgiwg.org/FAD/fdd/view?i=1561</v>
      </c>
      <c r="W1702" s="172"/>
      <c r="X1702" s="172"/>
      <c r="Y1702" s="172"/>
    </row>
    <row r="1703" spans="1:25" ht="2.1" customHeight="1" x14ac:dyDescent="0.2">
      <c r="A1703" s="295"/>
      <c r="B1703" s="283"/>
      <c r="C1703" s="296"/>
      <c r="D1703" s="283"/>
      <c r="E1703" s="296"/>
      <c r="F1703" s="297"/>
      <c r="G1703" s="297"/>
      <c r="H1703" s="297"/>
      <c r="I1703" s="298"/>
      <c r="J1703" s="304"/>
      <c r="K1703" s="300"/>
      <c r="L1703" s="301"/>
      <c r="M1703" s="297" t="s">
        <v>6582</v>
      </c>
      <c r="N1703" s="297"/>
      <c r="O1703" s="297"/>
      <c r="P1703" s="297"/>
      <c r="Q1703" s="297"/>
      <c r="R1703" s="297"/>
      <c r="S1703" s="302"/>
      <c r="T1703" s="302"/>
      <c r="U1703" s="303"/>
    </row>
    <row r="1704" spans="1:25" ht="25.5" x14ac:dyDescent="0.2">
      <c r="A1704" s="212" t="str">
        <f>HYPERLINK(V1704,B1704)</f>
        <v>SccCode</v>
      </c>
      <c r="B1704" s="283" t="s">
        <v>14306</v>
      </c>
      <c r="C1704" s="284" t="s">
        <v>16337</v>
      </c>
      <c r="D1704" s="285"/>
      <c r="E1704" s="286"/>
      <c r="F1704" s="287" t="s">
        <v>16338</v>
      </c>
      <c r="G1704" s="286"/>
      <c r="H1704" s="286"/>
      <c r="I1704" s="288"/>
      <c r="J1704" s="289"/>
      <c r="K1704" s="290"/>
      <c r="L1704" s="371" t="str">
        <f>HYPERLINK("[#]DatatypeListedValues!B10476:H10476","«enumeration»")</f>
        <v>«enumeration»</v>
      </c>
      <c r="M1704" s="287" t="s">
        <v>6582</v>
      </c>
      <c r="N1704" s="291" t="b">
        <v>0</v>
      </c>
      <c r="O1704" s="286"/>
      <c r="P1704" s="292"/>
      <c r="Q1704" s="286"/>
      <c r="R1704" s="286"/>
      <c r="S1704" s="293"/>
      <c r="T1704" s="294"/>
      <c r="U1704" s="37">
        <v>1429</v>
      </c>
      <c r="V1704" s="36" t="str">
        <f>CONCATENATE(Cover!$D$6,"fdd/view?i=",U1704)</f>
        <v>https://www.dgiwg.org/FAD/fdd/view?i=1429</v>
      </c>
      <c r="W1704" s="172"/>
      <c r="X1704" s="172"/>
      <c r="Y1704" s="172"/>
    </row>
    <row r="1705" spans="1:25" ht="2.1" customHeight="1" x14ac:dyDescent="0.2">
      <c r="A1705" s="295"/>
      <c r="B1705" s="283"/>
      <c r="C1705" s="296"/>
      <c r="D1705" s="283"/>
      <c r="E1705" s="296"/>
      <c r="F1705" s="297"/>
      <c r="G1705" s="297"/>
      <c r="H1705" s="297"/>
      <c r="I1705" s="298"/>
      <c r="J1705" s="304"/>
      <c r="K1705" s="300"/>
      <c r="L1705" s="301"/>
      <c r="M1705" s="297" t="s">
        <v>6582</v>
      </c>
      <c r="N1705" s="297"/>
      <c r="O1705" s="297"/>
      <c r="P1705" s="297"/>
      <c r="Q1705" s="297"/>
      <c r="R1705" s="297"/>
      <c r="S1705" s="302"/>
      <c r="T1705" s="302"/>
      <c r="U1705" s="303"/>
    </row>
    <row r="1706" spans="1:25" ht="25.5" x14ac:dyDescent="0.2">
      <c r="A1706" s="212" t="str">
        <f>HYPERLINK(V1706,B1706)</f>
        <v>WurCode</v>
      </c>
      <c r="B1706" s="283" t="s">
        <v>14312</v>
      </c>
      <c r="C1706" s="284" t="s">
        <v>16339</v>
      </c>
      <c r="D1706" s="285"/>
      <c r="E1706" s="286"/>
      <c r="F1706" s="287" t="s">
        <v>16340</v>
      </c>
      <c r="G1706" s="286"/>
      <c r="H1706" s="286"/>
      <c r="I1706" s="288"/>
      <c r="J1706" s="289"/>
      <c r="K1706" s="290"/>
      <c r="L1706" s="371" t="str">
        <f>HYPERLINK("[#]DatatypeListedValues!B10483:H10483","«enumeration»")</f>
        <v>«enumeration»</v>
      </c>
      <c r="M1706" s="287" t="s">
        <v>6582</v>
      </c>
      <c r="N1706" s="291" t="b">
        <v>0</v>
      </c>
      <c r="O1706" s="286"/>
      <c r="P1706" s="292"/>
      <c r="Q1706" s="286"/>
      <c r="R1706" s="286"/>
      <c r="S1706" s="293"/>
      <c r="T1706" s="294"/>
      <c r="U1706" s="37">
        <v>119413</v>
      </c>
      <c r="V1706" s="36" t="str">
        <f>CONCATENATE(Cover!$D$6,"fdd/view?i=",U1706)</f>
        <v>https://www.dgiwg.org/FAD/fdd/view?i=119413</v>
      </c>
      <c r="W1706" s="172"/>
      <c r="X1706" s="172"/>
      <c r="Y1706" s="172"/>
    </row>
    <row r="1707" spans="1:25" ht="2.1" customHeight="1" x14ac:dyDescent="0.2">
      <c r="A1707" s="295"/>
      <c r="B1707" s="283"/>
      <c r="C1707" s="296"/>
      <c r="D1707" s="283"/>
      <c r="E1707" s="296"/>
      <c r="F1707" s="297"/>
      <c r="G1707" s="297"/>
      <c r="H1707" s="297"/>
      <c r="I1707" s="298"/>
      <c r="J1707" s="304"/>
      <c r="K1707" s="300"/>
      <c r="L1707" s="301"/>
      <c r="M1707" s="297" t="s">
        <v>6582</v>
      </c>
      <c r="N1707" s="297"/>
      <c r="O1707" s="297"/>
      <c r="P1707" s="297"/>
      <c r="Q1707" s="297"/>
      <c r="R1707" s="297"/>
      <c r="S1707" s="302"/>
      <c r="T1707" s="302"/>
      <c r="U1707" s="303"/>
    </row>
    <row r="1708" spans="1:25" ht="25.5" x14ac:dyDescent="0.2">
      <c r="A1708" s="212" t="str">
        <f>HYPERLINK(V1708,B1708)</f>
        <v>SshCode</v>
      </c>
      <c r="B1708" s="283" t="s">
        <v>14330</v>
      </c>
      <c r="C1708" s="284" t="s">
        <v>16341</v>
      </c>
      <c r="D1708" s="285"/>
      <c r="E1708" s="286"/>
      <c r="F1708" s="287" t="s">
        <v>16342</v>
      </c>
      <c r="G1708" s="286"/>
      <c r="H1708" s="286"/>
      <c r="I1708" s="288"/>
      <c r="J1708" s="289"/>
      <c r="K1708" s="290"/>
      <c r="L1708" s="371" t="str">
        <f>HYPERLINK("[#]DatatypeListedValues!B10493:H10493","«enumeration»")</f>
        <v>«enumeration»</v>
      </c>
      <c r="M1708" s="287" t="s">
        <v>6582</v>
      </c>
      <c r="N1708" s="291" t="b">
        <v>0</v>
      </c>
      <c r="O1708" s="286"/>
      <c r="P1708" s="292"/>
      <c r="Q1708" s="286"/>
      <c r="R1708" s="286"/>
      <c r="S1708" s="293"/>
      <c r="T1708" s="294"/>
      <c r="U1708" s="37">
        <v>1918</v>
      </c>
      <c r="V1708" s="36" t="str">
        <f>CONCATENATE(Cover!$D$6,"fdd/view?i=",U1708)</f>
        <v>https://www.dgiwg.org/FAD/fdd/view?i=1918</v>
      </c>
      <c r="W1708" s="172"/>
      <c r="X1708" s="172"/>
      <c r="Y1708" s="172"/>
    </row>
    <row r="1709" spans="1:25" ht="2.1" customHeight="1" x14ac:dyDescent="0.2">
      <c r="A1709" s="295"/>
      <c r="B1709" s="283"/>
      <c r="C1709" s="296"/>
      <c r="D1709" s="283"/>
      <c r="E1709" s="296"/>
      <c r="F1709" s="297"/>
      <c r="G1709" s="297"/>
      <c r="H1709" s="297"/>
      <c r="I1709" s="298"/>
      <c r="J1709" s="304"/>
      <c r="K1709" s="300"/>
      <c r="L1709" s="301"/>
      <c r="M1709" s="297" t="s">
        <v>6582</v>
      </c>
      <c r="N1709" s="297"/>
      <c r="O1709" s="297"/>
      <c r="P1709" s="297"/>
      <c r="Q1709" s="297"/>
      <c r="R1709" s="297"/>
      <c r="S1709" s="302"/>
      <c r="T1709" s="302"/>
      <c r="U1709" s="303"/>
    </row>
    <row r="1710" spans="1:25" ht="25.5" x14ac:dyDescent="0.2">
      <c r="A1710" s="212" t="str">
        <f>HYPERLINK(V1710,B1710)</f>
        <v>SeaCode</v>
      </c>
      <c r="B1710" s="283" t="s">
        <v>14340</v>
      </c>
      <c r="C1710" s="284" t="s">
        <v>16343</v>
      </c>
      <c r="D1710" s="285"/>
      <c r="E1710" s="286"/>
      <c r="F1710" s="287" t="s">
        <v>16344</v>
      </c>
      <c r="G1710" s="286"/>
      <c r="H1710" s="286"/>
      <c r="I1710" s="288"/>
      <c r="J1710" s="289"/>
      <c r="K1710" s="290"/>
      <c r="L1710" s="371" t="str">
        <f>HYPERLINK("[#]DatatypeListedValues!B10502:H10502","«enumeration»")</f>
        <v>«enumeration»</v>
      </c>
      <c r="M1710" s="287" t="s">
        <v>6582</v>
      </c>
      <c r="N1710" s="291" t="b">
        <v>0</v>
      </c>
      <c r="O1710" s="286"/>
      <c r="P1710" s="292"/>
      <c r="Q1710" s="286"/>
      <c r="R1710" s="286"/>
      <c r="S1710" s="293"/>
      <c r="T1710" s="294"/>
      <c r="U1710" s="37">
        <v>1434</v>
      </c>
      <c r="V1710" s="36" t="str">
        <f>CONCATENATE(Cover!$D$6,"fdd/view?i=",U1710)</f>
        <v>https://www.dgiwg.org/FAD/fdd/view?i=1434</v>
      </c>
      <c r="W1710" s="172"/>
      <c r="X1710" s="172"/>
      <c r="Y1710" s="172"/>
    </row>
    <row r="1711" spans="1:25" ht="2.1" customHeight="1" x14ac:dyDescent="0.2">
      <c r="A1711" s="295"/>
      <c r="B1711" s="283"/>
      <c r="C1711" s="296"/>
      <c r="D1711" s="283"/>
      <c r="E1711" s="296"/>
      <c r="F1711" s="297"/>
      <c r="G1711" s="297"/>
      <c r="H1711" s="297"/>
      <c r="I1711" s="298"/>
      <c r="J1711" s="304"/>
      <c r="K1711" s="300"/>
      <c r="L1711" s="301"/>
      <c r="M1711" s="297" t="s">
        <v>6582</v>
      </c>
      <c r="N1711" s="297"/>
      <c r="O1711" s="297"/>
      <c r="P1711" s="297"/>
      <c r="Q1711" s="297"/>
      <c r="R1711" s="297"/>
      <c r="S1711" s="302"/>
      <c r="T1711" s="302"/>
      <c r="U1711" s="303"/>
    </row>
    <row r="1712" spans="1:25" ht="25.5" x14ac:dyDescent="0.2">
      <c r="A1712" s="212" t="str">
        <f>HYPERLINK(V1712,B1712)</f>
        <v>WccCode</v>
      </c>
      <c r="B1712" s="283" t="s">
        <v>14349</v>
      </c>
      <c r="C1712" s="284" t="s">
        <v>16345</v>
      </c>
      <c r="D1712" s="285"/>
      <c r="E1712" s="286"/>
      <c r="F1712" s="287" t="s">
        <v>16346</v>
      </c>
      <c r="G1712" s="286"/>
      <c r="H1712" s="286"/>
      <c r="I1712" s="288"/>
      <c r="J1712" s="289"/>
      <c r="K1712" s="290"/>
      <c r="L1712" s="371" t="str">
        <f>HYPERLINK("[#]DatatypeListedValues!B10621:H10621","«enumeration»")</f>
        <v>«enumeration»</v>
      </c>
      <c r="M1712" s="287" t="s">
        <v>6582</v>
      </c>
      <c r="N1712" s="291" t="b">
        <v>0</v>
      </c>
      <c r="O1712" s="286"/>
      <c r="P1712" s="292"/>
      <c r="Q1712" s="286"/>
      <c r="R1712" s="286"/>
      <c r="S1712" s="293"/>
      <c r="T1712" s="294"/>
      <c r="U1712" s="37">
        <v>1534</v>
      </c>
      <c r="V1712" s="36" t="str">
        <f>CONCATENATE(Cover!$D$6,"fdd/view?i=",U1712)</f>
        <v>https://www.dgiwg.org/FAD/fdd/view?i=1534</v>
      </c>
      <c r="W1712" s="172"/>
      <c r="X1712" s="172"/>
      <c r="Y1712" s="172"/>
    </row>
    <row r="1713" spans="1:25" ht="2.1" customHeight="1" x14ac:dyDescent="0.2">
      <c r="A1713" s="295"/>
      <c r="B1713" s="283"/>
      <c r="C1713" s="296"/>
      <c r="D1713" s="283"/>
      <c r="E1713" s="296"/>
      <c r="F1713" s="297"/>
      <c r="G1713" s="297"/>
      <c r="H1713" s="297"/>
      <c r="I1713" s="298"/>
      <c r="J1713" s="304"/>
      <c r="K1713" s="300"/>
      <c r="L1713" s="301"/>
      <c r="M1713" s="297" t="s">
        <v>6582</v>
      </c>
      <c r="N1713" s="297"/>
      <c r="O1713" s="297"/>
      <c r="P1713" s="297"/>
      <c r="Q1713" s="297"/>
      <c r="R1713" s="297"/>
      <c r="S1713" s="302"/>
      <c r="T1713" s="302"/>
      <c r="U1713" s="303"/>
    </row>
    <row r="1714" spans="1:25" ht="25.5" x14ac:dyDescent="0.2">
      <c r="A1714" s="212" t="str">
        <f>HYPERLINK(V1714,B1714)</f>
        <v>WmtCode</v>
      </c>
      <c r="B1714" s="283" t="s">
        <v>14354</v>
      </c>
      <c r="C1714" s="284" t="s">
        <v>16347</v>
      </c>
      <c r="D1714" s="285"/>
      <c r="E1714" s="286"/>
      <c r="F1714" s="287" t="s">
        <v>16348</v>
      </c>
      <c r="G1714" s="286"/>
      <c r="H1714" s="286"/>
      <c r="I1714" s="288"/>
      <c r="J1714" s="289"/>
      <c r="K1714" s="290"/>
      <c r="L1714" s="371" t="str">
        <f>HYPERLINK("[#]DatatypeListedValues!B10629:H10629","«enumeration»")</f>
        <v>«enumeration»</v>
      </c>
      <c r="M1714" s="287" t="s">
        <v>6582</v>
      </c>
      <c r="N1714" s="291" t="b">
        <v>0</v>
      </c>
      <c r="O1714" s="286"/>
      <c r="P1714" s="292"/>
      <c r="Q1714" s="286"/>
      <c r="R1714" s="286"/>
      <c r="S1714" s="293"/>
      <c r="T1714" s="294"/>
      <c r="U1714" s="37">
        <v>3882</v>
      </c>
      <c r="V1714" s="36" t="str">
        <f>CONCATENATE(Cover!$D$6,"fdd/view?i=",U1714)</f>
        <v>https://www.dgiwg.org/FAD/fdd/view?i=3882</v>
      </c>
      <c r="W1714" s="172"/>
      <c r="X1714" s="172"/>
      <c r="Y1714" s="172"/>
    </row>
    <row r="1715" spans="1:25" ht="2.1" customHeight="1" x14ac:dyDescent="0.2">
      <c r="A1715" s="295"/>
      <c r="B1715" s="283"/>
      <c r="C1715" s="296"/>
      <c r="D1715" s="283"/>
      <c r="E1715" s="296"/>
      <c r="F1715" s="297"/>
      <c r="G1715" s="297"/>
      <c r="H1715" s="297"/>
      <c r="I1715" s="298"/>
      <c r="J1715" s="304"/>
      <c r="K1715" s="300"/>
      <c r="L1715" s="301"/>
      <c r="M1715" s="297" t="s">
        <v>6582</v>
      </c>
      <c r="N1715" s="297"/>
      <c r="O1715" s="297"/>
      <c r="P1715" s="297"/>
      <c r="Q1715" s="297"/>
      <c r="R1715" s="297"/>
      <c r="S1715" s="302"/>
      <c r="T1715" s="302"/>
      <c r="U1715" s="303"/>
    </row>
    <row r="1716" spans="1:25" ht="25.5" x14ac:dyDescent="0.2">
      <c r="A1716" s="212" t="str">
        <f>HYPERLINK(V1716,B1716)</f>
        <v>WstCode</v>
      </c>
      <c r="B1716" s="283" t="s">
        <v>14359</v>
      </c>
      <c r="C1716" s="284" t="s">
        <v>16349</v>
      </c>
      <c r="D1716" s="285"/>
      <c r="E1716" s="286"/>
      <c r="F1716" s="287" t="s">
        <v>16350</v>
      </c>
      <c r="G1716" s="286"/>
      <c r="H1716" s="286"/>
      <c r="I1716" s="288"/>
      <c r="J1716" s="289"/>
      <c r="K1716" s="290"/>
      <c r="L1716" s="371" t="str">
        <f>HYPERLINK("[#]DatatypeListedValues!B10643:H10643","«enumeration»")</f>
        <v>«enumeration»</v>
      </c>
      <c r="M1716" s="287" t="s">
        <v>6582</v>
      </c>
      <c r="N1716" s="291" t="b">
        <v>0</v>
      </c>
      <c r="O1716" s="286"/>
      <c r="P1716" s="292"/>
      <c r="Q1716" s="286"/>
      <c r="R1716" s="286"/>
      <c r="S1716" s="293"/>
      <c r="T1716" s="294"/>
      <c r="U1716" s="37">
        <v>1546</v>
      </c>
      <c r="V1716" s="36" t="str">
        <f>CONCATENATE(Cover!$D$6,"fdd/view?i=",U1716)</f>
        <v>https://www.dgiwg.org/FAD/fdd/view?i=1546</v>
      </c>
      <c r="W1716" s="172"/>
      <c r="X1716" s="172"/>
      <c r="Y1716" s="172"/>
    </row>
    <row r="1717" spans="1:25" ht="2.1" customHeight="1" x14ac:dyDescent="0.2">
      <c r="A1717" s="295"/>
      <c r="B1717" s="283"/>
      <c r="C1717" s="296"/>
      <c r="D1717" s="283"/>
      <c r="E1717" s="296"/>
      <c r="F1717" s="297"/>
      <c r="G1717" s="297"/>
      <c r="H1717" s="297"/>
      <c r="I1717" s="298"/>
      <c r="J1717" s="304"/>
      <c r="K1717" s="300"/>
      <c r="L1717" s="301"/>
      <c r="M1717" s="297" t="s">
        <v>6582</v>
      </c>
      <c r="N1717" s="297"/>
      <c r="O1717" s="297"/>
      <c r="P1717" s="297"/>
      <c r="Q1717" s="297"/>
      <c r="R1717" s="297"/>
      <c r="S1717" s="302"/>
      <c r="T1717" s="302"/>
      <c r="U1717" s="303"/>
    </row>
    <row r="1718" spans="1:25" ht="25.5" x14ac:dyDescent="0.2">
      <c r="A1718" s="212" t="str">
        <f>HYPERLINK(V1718,B1718)</f>
        <v>WwcCode</v>
      </c>
      <c r="B1718" s="283" t="s">
        <v>14364</v>
      </c>
      <c r="C1718" s="284" t="s">
        <v>16351</v>
      </c>
      <c r="D1718" s="285"/>
      <c r="E1718" s="286"/>
      <c r="F1718" s="287" t="s">
        <v>16352</v>
      </c>
      <c r="G1718" s="286"/>
      <c r="H1718" s="286"/>
      <c r="I1718" s="288"/>
      <c r="J1718" s="289"/>
      <c r="K1718" s="290"/>
      <c r="L1718" s="371" t="str">
        <f>HYPERLINK("[#]DatatypeListedValues!B10647:H10647","«enumeration»")</f>
        <v>«enumeration»</v>
      </c>
      <c r="M1718" s="287" t="s">
        <v>6582</v>
      </c>
      <c r="N1718" s="291" t="b">
        <v>0</v>
      </c>
      <c r="O1718" s="286"/>
      <c r="P1718" s="292"/>
      <c r="Q1718" s="286"/>
      <c r="R1718" s="286"/>
      <c r="S1718" s="293"/>
      <c r="T1718" s="294"/>
      <c r="U1718" s="37">
        <v>3887</v>
      </c>
      <c r="V1718" s="36" t="str">
        <f>CONCATENATE(Cover!$D$6,"fdd/view?i=",U1718)</f>
        <v>https://www.dgiwg.org/FAD/fdd/view?i=3887</v>
      </c>
      <c r="W1718" s="172"/>
      <c r="X1718" s="172"/>
      <c r="Y1718" s="172"/>
    </row>
    <row r="1719" spans="1:25" ht="2.1" customHeight="1" x14ac:dyDescent="0.2">
      <c r="A1719" s="295"/>
      <c r="B1719" s="283"/>
      <c r="C1719" s="296"/>
      <c r="D1719" s="283"/>
      <c r="E1719" s="296"/>
      <c r="F1719" s="297"/>
      <c r="G1719" s="297"/>
      <c r="H1719" s="297"/>
      <c r="I1719" s="298"/>
      <c r="J1719" s="304"/>
      <c r="K1719" s="300"/>
      <c r="L1719" s="301"/>
      <c r="M1719" s="297" t="s">
        <v>6582</v>
      </c>
      <c r="N1719" s="297"/>
      <c r="O1719" s="297"/>
      <c r="P1719" s="297"/>
      <c r="Q1719" s="297"/>
      <c r="R1719" s="297"/>
      <c r="S1719" s="302"/>
      <c r="T1719" s="302"/>
      <c r="U1719" s="303"/>
    </row>
    <row r="1720" spans="1:25" ht="25.5" x14ac:dyDescent="0.2">
      <c r="A1720" s="212" t="str">
        <f>HYPERLINK(V1720,B1720)</f>
        <v>WmaCode</v>
      </c>
      <c r="B1720" s="283" t="s">
        <v>14370</v>
      </c>
      <c r="C1720" s="284" t="s">
        <v>16353</v>
      </c>
      <c r="D1720" s="285"/>
      <c r="E1720" s="286"/>
      <c r="F1720" s="287" t="s">
        <v>16354</v>
      </c>
      <c r="G1720" s="286"/>
      <c r="H1720" s="286"/>
      <c r="I1720" s="288"/>
      <c r="J1720" s="289"/>
      <c r="K1720" s="290"/>
      <c r="L1720" s="371" t="str">
        <f>HYPERLINK("[#]DatatypeListedValues!B10660:H10660","«enumeration»")</f>
        <v>«enumeration»</v>
      </c>
      <c r="M1720" s="287" t="s">
        <v>6582</v>
      </c>
      <c r="N1720" s="291" t="b">
        <v>0</v>
      </c>
      <c r="O1720" s="286"/>
      <c r="P1720" s="292"/>
      <c r="Q1720" s="286"/>
      <c r="R1720" s="286"/>
      <c r="S1720" s="293"/>
      <c r="T1720" s="294"/>
      <c r="U1720" s="37">
        <v>1602</v>
      </c>
      <c r="V1720" s="36" t="str">
        <f>CONCATENATE(Cover!$D$6,"fdd/view?i=",U1720)</f>
        <v>https://www.dgiwg.org/FAD/fdd/view?i=1602</v>
      </c>
      <c r="W1720" s="172"/>
      <c r="X1720" s="172"/>
      <c r="Y1720" s="172"/>
    </row>
    <row r="1721" spans="1:25" ht="2.1" customHeight="1" x14ac:dyDescent="0.2">
      <c r="A1721" s="295"/>
      <c r="B1721" s="283"/>
      <c r="C1721" s="296"/>
      <c r="D1721" s="283"/>
      <c r="E1721" s="296"/>
      <c r="F1721" s="297"/>
      <c r="G1721" s="297"/>
      <c r="H1721" s="297"/>
      <c r="I1721" s="298"/>
      <c r="J1721" s="304"/>
      <c r="K1721" s="300"/>
      <c r="L1721" s="301"/>
      <c r="M1721" s="297" t="s">
        <v>6582</v>
      </c>
      <c r="N1721" s="297"/>
      <c r="O1721" s="297"/>
      <c r="P1721" s="297"/>
      <c r="Q1721" s="297"/>
      <c r="R1721" s="297"/>
      <c r="S1721" s="302"/>
      <c r="T1721" s="302"/>
      <c r="U1721" s="303"/>
    </row>
    <row r="1722" spans="1:25" ht="25.5" x14ac:dyDescent="0.2">
      <c r="A1722" s="212" t="str">
        <f>HYPERLINK(V1722,B1722)</f>
        <v>WplCode</v>
      </c>
      <c r="B1722" s="283" t="s">
        <v>14376</v>
      </c>
      <c r="C1722" s="284" t="s">
        <v>16355</v>
      </c>
      <c r="D1722" s="285"/>
      <c r="E1722" s="286"/>
      <c r="F1722" s="287" t="s">
        <v>16356</v>
      </c>
      <c r="G1722" s="286"/>
      <c r="H1722" s="286"/>
      <c r="I1722" s="288"/>
      <c r="J1722" s="289"/>
      <c r="K1722" s="290"/>
      <c r="L1722" s="371" t="str">
        <f>HYPERLINK("[#]DatatypeListedValues!B10663:H10663","«enumeration»")</f>
        <v>«enumeration»</v>
      </c>
      <c r="M1722" s="287" t="s">
        <v>6582</v>
      </c>
      <c r="N1722" s="291" t="b">
        <v>0</v>
      </c>
      <c r="O1722" s="286"/>
      <c r="P1722" s="292"/>
      <c r="Q1722" s="286"/>
      <c r="R1722" s="286"/>
      <c r="S1722" s="293"/>
      <c r="T1722" s="294"/>
      <c r="U1722" s="37">
        <v>119662</v>
      </c>
      <c r="V1722" s="36" t="str">
        <f>CONCATENATE(Cover!$D$6,"fdd/view?i=",U1722)</f>
        <v>https://www.dgiwg.org/FAD/fdd/view?i=119662</v>
      </c>
      <c r="W1722" s="172"/>
      <c r="X1722" s="172"/>
      <c r="Y1722" s="172"/>
    </row>
    <row r="1723" spans="1:25" ht="2.1" customHeight="1" x14ac:dyDescent="0.2">
      <c r="A1723" s="295"/>
      <c r="B1723" s="283"/>
      <c r="C1723" s="296"/>
      <c r="D1723" s="283"/>
      <c r="E1723" s="296"/>
      <c r="F1723" s="297"/>
      <c r="G1723" s="297"/>
      <c r="H1723" s="297"/>
      <c r="I1723" s="298"/>
      <c r="J1723" s="304"/>
      <c r="K1723" s="300"/>
      <c r="L1723" s="301"/>
      <c r="M1723" s="297" t="s">
        <v>6582</v>
      </c>
      <c r="N1723" s="297"/>
      <c r="O1723" s="297"/>
      <c r="P1723" s="297"/>
      <c r="Q1723" s="297"/>
      <c r="R1723" s="297"/>
      <c r="S1723" s="302"/>
      <c r="T1723" s="302"/>
      <c r="U1723" s="303"/>
    </row>
    <row r="1724" spans="1:25" ht="25.5" x14ac:dyDescent="0.2">
      <c r="A1724" s="212" t="str">
        <f>HYPERLINK(V1724,B1724)</f>
        <v>WptCode</v>
      </c>
      <c r="B1724" s="283" t="s">
        <v>14380</v>
      </c>
      <c r="C1724" s="284" t="s">
        <v>16357</v>
      </c>
      <c r="D1724" s="285"/>
      <c r="E1724" s="286"/>
      <c r="F1724" s="287" t="s">
        <v>16358</v>
      </c>
      <c r="G1724" s="286"/>
      <c r="H1724" s="286"/>
      <c r="I1724" s="288"/>
      <c r="J1724" s="289"/>
      <c r="K1724" s="290"/>
      <c r="L1724" s="371" t="str">
        <f>HYPERLINK("[#]DatatypeListedValues!B10665:H10665","«enumeration»")</f>
        <v>«enumeration»</v>
      </c>
      <c r="M1724" s="287" t="s">
        <v>6582</v>
      </c>
      <c r="N1724" s="291" t="b">
        <v>0</v>
      </c>
      <c r="O1724" s="286"/>
      <c r="P1724" s="292"/>
      <c r="Q1724" s="286"/>
      <c r="R1724" s="286"/>
      <c r="S1724" s="293"/>
      <c r="T1724" s="294"/>
      <c r="U1724" s="37">
        <v>117432</v>
      </c>
      <c r="V1724" s="36" t="str">
        <f>CONCATENATE(Cover!$D$6,"fdd/view?i=",U1724)</f>
        <v>https://www.dgiwg.org/FAD/fdd/view?i=117432</v>
      </c>
      <c r="W1724" s="172"/>
      <c r="X1724" s="172"/>
      <c r="Y1724" s="172"/>
    </row>
    <row r="1725" spans="1:25" ht="2.1" customHeight="1" x14ac:dyDescent="0.2">
      <c r="A1725" s="295"/>
      <c r="B1725" s="283"/>
      <c r="C1725" s="296"/>
      <c r="D1725" s="283"/>
      <c r="E1725" s="296"/>
      <c r="F1725" s="297"/>
      <c r="G1725" s="297"/>
      <c r="H1725" s="297"/>
      <c r="I1725" s="298"/>
      <c r="J1725" s="304"/>
      <c r="K1725" s="300"/>
      <c r="L1725" s="301"/>
      <c r="M1725" s="297" t="s">
        <v>6582</v>
      </c>
      <c r="N1725" s="297"/>
      <c r="O1725" s="297"/>
      <c r="P1725" s="297"/>
      <c r="Q1725" s="297"/>
      <c r="R1725" s="297"/>
      <c r="S1725" s="302"/>
      <c r="T1725" s="302"/>
      <c r="U1725" s="303"/>
    </row>
    <row r="1726" spans="1:25" ht="25.5" x14ac:dyDescent="0.2">
      <c r="A1726" s="212" t="str">
        <f>HYPERLINK(V1726,B1726)</f>
        <v>WpuCode</v>
      </c>
      <c r="B1726" s="283" t="s">
        <v>14386</v>
      </c>
      <c r="C1726" s="284" t="s">
        <v>16359</v>
      </c>
      <c r="D1726" s="285"/>
      <c r="E1726" s="286"/>
      <c r="F1726" s="287" t="s">
        <v>16360</v>
      </c>
      <c r="G1726" s="286"/>
      <c r="H1726" s="286"/>
      <c r="I1726" s="288"/>
      <c r="J1726" s="289"/>
      <c r="K1726" s="290"/>
      <c r="L1726" s="371" t="str">
        <f>HYPERLINK("[#]DatatypeListedValues!B10667:H10667","«enumeration»")</f>
        <v>«enumeration»</v>
      </c>
      <c r="M1726" s="287" t="s">
        <v>6582</v>
      </c>
      <c r="N1726" s="291" t="b">
        <v>0</v>
      </c>
      <c r="O1726" s="286"/>
      <c r="P1726" s="292"/>
      <c r="Q1726" s="286"/>
      <c r="R1726" s="286"/>
      <c r="S1726" s="293"/>
      <c r="T1726" s="294"/>
      <c r="U1726" s="37">
        <v>119663</v>
      </c>
      <c r="V1726" s="36" t="str">
        <f>CONCATENATE(Cover!$D$6,"fdd/view?i=",U1726)</f>
        <v>https://www.dgiwg.org/FAD/fdd/view?i=119663</v>
      </c>
      <c r="W1726" s="172"/>
      <c r="X1726" s="172"/>
      <c r="Y1726" s="172"/>
    </row>
    <row r="1727" spans="1:25" ht="2.1" customHeight="1" x14ac:dyDescent="0.2">
      <c r="A1727" s="295"/>
      <c r="B1727" s="283"/>
      <c r="C1727" s="296"/>
      <c r="D1727" s="283"/>
      <c r="E1727" s="296"/>
      <c r="F1727" s="297"/>
      <c r="G1727" s="297"/>
      <c r="H1727" s="297"/>
      <c r="I1727" s="298"/>
      <c r="J1727" s="304"/>
      <c r="K1727" s="300"/>
      <c r="L1727" s="301"/>
      <c r="M1727" s="297" t="s">
        <v>6582</v>
      </c>
      <c r="N1727" s="297"/>
      <c r="O1727" s="297"/>
      <c r="P1727" s="297"/>
      <c r="Q1727" s="297"/>
      <c r="R1727" s="297"/>
      <c r="S1727" s="302"/>
      <c r="T1727" s="302"/>
      <c r="U1727" s="303"/>
    </row>
    <row r="1728" spans="1:25" ht="25.5" x14ac:dyDescent="0.2">
      <c r="A1728" s="212" t="str">
        <f>HYPERLINK(V1728,B1728)</f>
        <v>XmtCode</v>
      </c>
      <c r="B1728" s="283" t="s">
        <v>14391</v>
      </c>
      <c r="C1728" s="284" t="s">
        <v>16361</v>
      </c>
      <c r="D1728" s="285"/>
      <c r="E1728" s="286"/>
      <c r="F1728" s="287" t="s">
        <v>16362</v>
      </c>
      <c r="G1728" s="286"/>
      <c r="H1728" s="286"/>
      <c r="I1728" s="288"/>
      <c r="J1728" s="289"/>
      <c r="K1728" s="290"/>
      <c r="L1728" s="371" t="str">
        <f>HYPERLINK("[#]DatatypeListedValues!B10671:H10671","«enumeration»")</f>
        <v>«enumeration»</v>
      </c>
      <c r="M1728" s="287" t="s">
        <v>6582</v>
      </c>
      <c r="N1728" s="291" t="b">
        <v>0</v>
      </c>
      <c r="O1728" s="286"/>
      <c r="P1728" s="292"/>
      <c r="Q1728" s="286"/>
      <c r="R1728" s="286"/>
      <c r="S1728" s="293"/>
      <c r="T1728" s="294"/>
      <c r="U1728" s="37">
        <v>119778</v>
      </c>
      <c r="V1728" s="36" t="str">
        <f>CONCATENATE(Cover!$D$6,"fdd/view?i=",U1728)</f>
        <v>https://www.dgiwg.org/FAD/fdd/view?i=119778</v>
      </c>
      <c r="W1728" s="172"/>
      <c r="X1728" s="172"/>
      <c r="Y1728" s="172"/>
    </row>
    <row r="1729" spans="1:25" ht="2.1" customHeight="1" x14ac:dyDescent="0.2">
      <c r="A1729" s="295"/>
      <c r="B1729" s="283"/>
      <c r="C1729" s="296"/>
      <c r="D1729" s="283"/>
      <c r="E1729" s="296"/>
      <c r="F1729" s="297"/>
      <c r="G1729" s="297"/>
      <c r="H1729" s="297"/>
      <c r="I1729" s="298"/>
      <c r="J1729" s="304"/>
      <c r="K1729" s="300"/>
      <c r="L1729" s="301"/>
      <c r="M1729" s="297" t="s">
        <v>6582</v>
      </c>
      <c r="N1729" s="297"/>
      <c r="O1729" s="297"/>
      <c r="P1729" s="297"/>
      <c r="Q1729" s="297"/>
      <c r="R1729" s="297"/>
      <c r="S1729" s="302"/>
      <c r="T1729" s="302"/>
      <c r="U1729" s="303"/>
    </row>
    <row r="1730" spans="1:25" ht="25.5" x14ac:dyDescent="0.2">
      <c r="A1730" s="212" t="str">
        <f>HYPERLINK(V1730,B1730)</f>
        <v>XfmCode</v>
      </c>
      <c r="B1730" s="283" t="s">
        <v>14396</v>
      </c>
      <c r="C1730" s="284" t="s">
        <v>16363</v>
      </c>
      <c r="D1730" s="285"/>
      <c r="E1730" s="286"/>
      <c r="F1730" s="287" t="s">
        <v>16364</v>
      </c>
      <c r="G1730" s="286"/>
      <c r="H1730" s="286"/>
      <c r="I1730" s="288"/>
      <c r="J1730" s="289"/>
      <c r="K1730" s="290"/>
      <c r="L1730" s="371" t="str">
        <f>HYPERLINK("[#]DatatypeListedValues!B10674:H10674","«enumeration»")</f>
        <v>«enumeration»</v>
      </c>
      <c r="M1730" s="287" t="s">
        <v>6582</v>
      </c>
      <c r="N1730" s="291" t="b">
        <v>0</v>
      </c>
      <c r="O1730" s="286"/>
      <c r="P1730" s="292"/>
      <c r="Q1730" s="286"/>
      <c r="R1730" s="286"/>
      <c r="S1730" s="293"/>
      <c r="T1730" s="294"/>
      <c r="U1730" s="37">
        <v>119775</v>
      </c>
      <c r="V1730" s="36" t="str">
        <f>CONCATENATE(Cover!$D$6,"fdd/view?i=",U1730)</f>
        <v>https://www.dgiwg.org/FAD/fdd/view?i=119775</v>
      </c>
      <c r="W1730" s="172"/>
      <c r="X1730" s="172"/>
      <c r="Y1730" s="172"/>
    </row>
    <row r="1731" spans="1:25" ht="2.1" customHeight="1" x14ac:dyDescent="0.2">
      <c r="A1731" s="295"/>
      <c r="B1731" s="283"/>
      <c r="C1731" s="296"/>
      <c r="D1731" s="283"/>
      <c r="E1731" s="296"/>
      <c r="F1731" s="297"/>
      <c r="G1731" s="297"/>
      <c r="H1731" s="297"/>
      <c r="I1731" s="298"/>
      <c r="J1731" s="304"/>
      <c r="K1731" s="300"/>
      <c r="L1731" s="301"/>
      <c r="M1731" s="297" t="s">
        <v>6582</v>
      </c>
      <c r="N1731" s="297"/>
      <c r="O1731" s="297"/>
      <c r="P1731" s="297"/>
      <c r="Q1731" s="297"/>
      <c r="R1731" s="297"/>
      <c r="S1731" s="302"/>
      <c r="T1731" s="302"/>
      <c r="U1731" s="303"/>
    </row>
    <row r="1732" spans="1:25" ht="25.5" x14ac:dyDescent="0.2">
      <c r="A1732" s="212" t="str">
        <f>HYPERLINK(V1732,B1732)</f>
        <v>FrtCode</v>
      </c>
      <c r="B1732" s="283" t="s">
        <v>14401</v>
      </c>
      <c r="C1732" s="284" t="s">
        <v>16365</v>
      </c>
      <c r="D1732" s="285"/>
      <c r="E1732" s="286"/>
      <c r="F1732" s="287" t="s">
        <v>16366</v>
      </c>
      <c r="G1732" s="286"/>
      <c r="H1732" s="286"/>
      <c r="I1732" s="288"/>
      <c r="J1732" s="289"/>
      <c r="K1732" s="290"/>
      <c r="L1732" s="371" t="str">
        <f>HYPERLINK("[#]DatatypeListedValues!B10680:H10680","«enumeration»")</f>
        <v>«enumeration»</v>
      </c>
      <c r="M1732" s="287" t="s">
        <v>6582</v>
      </c>
      <c r="N1732" s="291" t="b">
        <v>0</v>
      </c>
      <c r="O1732" s="286"/>
      <c r="P1732" s="292"/>
      <c r="Q1732" s="286"/>
      <c r="R1732" s="286"/>
      <c r="S1732" s="293"/>
      <c r="T1732" s="294"/>
      <c r="U1732" s="37">
        <v>1223</v>
      </c>
      <c r="V1732" s="36" t="str">
        <f>CONCATENATE(Cover!$D$6,"fdd/view?i=",U1732)</f>
        <v>https://www.dgiwg.org/FAD/fdd/view?i=1223</v>
      </c>
      <c r="W1732" s="172"/>
      <c r="X1732" s="172"/>
      <c r="Y1732" s="172"/>
    </row>
    <row r="1733" spans="1:25" ht="2.1" customHeight="1" x14ac:dyDescent="0.2">
      <c r="A1733" s="295"/>
      <c r="B1733" s="283"/>
      <c r="C1733" s="296"/>
      <c r="D1733" s="283"/>
      <c r="E1733" s="296"/>
      <c r="F1733" s="297"/>
      <c r="G1733" s="297"/>
      <c r="H1733" s="297"/>
      <c r="I1733" s="298"/>
      <c r="J1733" s="304"/>
      <c r="K1733" s="300"/>
      <c r="L1733" s="301"/>
      <c r="M1733" s="297" t="s">
        <v>6582</v>
      </c>
      <c r="N1733" s="297"/>
      <c r="O1733" s="297"/>
      <c r="P1733" s="297"/>
      <c r="Q1733" s="297"/>
      <c r="R1733" s="297"/>
      <c r="S1733" s="302"/>
      <c r="T1733" s="302"/>
      <c r="U1733" s="303"/>
    </row>
    <row r="1734" spans="1:25" ht="25.5" x14ac:dyDescent="0.2">
      <c r="A1734" s="212" t="str">
        <f>HYPERLINK(V1734,B1734)</f>
        <v>WrxCode</v>
      </c>
      <c r="B1734" s="283" t="s">
        <v>14406</v>
      </c>
      <c r="C1734" s="284" t="s">
        <v>16367</v>
      </c>
      <c r="D1734" s="285"/>
      <c r="E1734" s="286"/>
      <c r="F1734" s="287" t="s">
        <v>16368</v>
      </c>
      <c r="G1734" s="286"/>
      <c r="H1734" s="286"/>
      <c r="I1734" s="288"/>
      <c r="J1734" s="289"/>
      <c r="K1734" s="290"/>
      <c r="L1734" s="371" t="str">
        <f>HYPERLINK("[#]DatatypeListedValues!B10686:H10686","«enumeration»")</f>
        <v>«enumeration»</v>
      </c>
      <c r="M1734" s="287" t="s">
        <v>6582</v>
      </c>
      <c r="N1734" s="291" t="b">
        <v>0</v>
      </c>
      <c r="O1734" s="286"/>
      <c r="P1734" s="292"/>
      <c r="Q1734" s="286"/>
      <c r="R1734" s="286"/>
      <c r="S1734" s="293"/>
      <c r="T1734" s="294"/>
      <c r="U1734" s="37">
        <v>118188</v>
      </c>
      <c r="V1734" s="36" t="str">
        <f>CONCATENATE(Cover!$D$6,"fdd/view?i=",U1734)</f>
        <v>https://www.dgiwg.org/FAD/fdd/view?i=118188</v>
      </c>
      <c r="W1734" s="172"/>
      <c r="X1734" s="172"/>
      <c r="Y1734" s="172"/>
    </row>
    <row r="1735" spans="1:25" ht="2.1" customHeight="1" x14ac:dyDescent="0.2">
      <c r="A1735" s="295"/>
      <c r="B1735" s="283"/>
      <c r="C1735" s="296"/>
      <c r="D1735" s="283"/>
      <c r="E1735" s="296"/>
      <c r="F1735" s="297"/>
      <c r="G1735" s="297"/>
      <c r="H1735" s="297"/>
      <c r="I1735" s="298"/>
      <c r="J1735" s="304"/>
      <c r="K1735" s="300"/>
      <c r="L1735" s="301"/>
      <c r="M1735" s="297" t="s">
        <v>6582</v>
      </c>
      <c r="N1735" s="297"/>
      <c r="O1735" s="297"/>
      <c r="P1735" s="297"/>
      <c r="Q1735" s="297"/>
      <c r="R1735" s="297"/>
      <c r="S1735" s="302"/>
      <c r="T1735" s="302"/>
      <c r="U1735" s="303"/>
    </row>
    <row r="1736" spans="1:25" ht="25.5" x14ac:dyDescent="0.2">
      <c r="A1736" s="212" t="str">
        <f>HYPERLINK(V1736,B1736)</f>
        <v>WerCode</v>
      </c>
      <c r="B1736" s="283" t="s">
        <v>14415</v>
      </c>
      <c r="C1736" s="284" t="s">
        <v>16369</v>
      </c>
      <c r="D1736" s="285"/>
      <c r="E1736" s="286"/>
      <c r="F1736" s="287" t="s">
        <v>16370</v>
      </c>
      <c r="G1736" s="286"/>
      <c r="H1736" s="286"/>
      <c r="I1736" s="288"/>
      <c r="J1736" s="289"/>
      <c r="K1736" s="290"/>
      <c r="L1736" s="371" t="str">
        <f>HYPERLINK("[#]DatatypeListedValues!B10691:H10691","«enumeration»")</f>
        <v>«enumeration»</v>
      </c>
      <c r="M1736" s="287" t="s">
        <v>6582</v>
      </c>
      <c r="N1736" s="291" t="b">
        <v>0</v>
      </c>
      <c r="O1736" s="286"/>
      <c r="P1736" s="292"/>
      <c r="Q1736" s="286"/>
      <c r="R1736" s="286"/>
      <c r="S1736" s="293"/>
      <c r="T1736" s="294"/>
      <c r="U1736" s="37">
        <v>118650</v>
      </c>
      <c r="V1736" s="36" t="str">
        <f>CONCATENATE(Cover!$D$6,"fdd/view?i=",U1736)</f>
        <v>https://www.dgiwg.org/FAD/fdd/view?i=118650</v>
      </c>
      <c r="W1736" s="172"/>
      <c r="X1736" s="172"/>
      <c r="Y1736" s="172"/>
    </row>
    <row r="1737" spans="1:25" ht="2.1" customHeight="1" x14ac:dyDescent="0.2">
      <c r="A1737" s="295"/>
      <c r="B1737" s="283"/>
      <c r="C1737" s="296"/>
      <c r="D1737" s="283"/>
      <c r="E1737" s="296"/>
      <c r="F1737" s="297"/>
      <c r="G1737" s="297"/>
      <c r="H1737" s="297"/>
      <c r="I1737" s="298"/>
      <c r="J1737" s="304"/>
      <c r="K1737" s="300"/>
      <c r="L1737" s="301"/>
      <c r="M1737" s="297" t="s">
        <v>6582</v>
      </c>
      <c r="N1737" s="297"/>
      <c r="O1737" s="297"/>
      <c r="P1737" s="297"/>
      <c r="Q1737" s="297"/>
      <c r="R1737" s="297"/>
      <c r="S1737" s="302"/>
      <c r="T1737" s="302"/>
      <c r="U1737" s="303"/>
    </row>
    <row r="1738" spans="1:25" ht="25.5" x14ac:dyDescent="0.2">
      <c r="A1738" s="212" t="str">
        <f>HYPERLINK(V1738,B1738)</f>
        <v>WeqCode</v>
      </c>
      <c r="B1738" s="283" t="s">
        <v>14421</v>
      </c>
      <c r="C1738" s="284" t="s">
        <v>16371</v>
      </c>
      <c r="D1738" s="285"/>
      <c r="E1738" s="286"/>
      <c r="F1738" s="287" t="s">
        <v>16372</v>
      </c>
      <c r="G1738" s="286"/>
      <c r="H1738" s="286"/>
      <c r="I1738" s="288"/>
      <c r="J1738" s="289"/>
      <c r="K1738" s="290"/>
      <c r="L1738" s="371" t="str">
        <f>HYPERLINK("[#]DatatypeListedValues!B10695:H10695","«enumeration»")</f>
        <v>«enumeration»</v>
      </c>
      <c r="M1738" s="287" t="s">
        <v>6582</v>
      </c>
      <c r="N1738" s="291" t="b">
        <v>0</v>
      </c>
      <c r="O1738" s="286"/>
      <c r="P1738" s="292"/>
      <c r="Q1738" s="286"/>
      <c r="R1738" s="286"/>
      <c r="S1738" s="293"/>
      <c r="T1738" s="294"/>
      <c r="U1738" s="37">
        <v>3880</v>
      </c>
      <c r="V1738" s="36" t="str">
        <f>CONCATENATE(Cover!$D$6,"fdd/view?i=",U1738)</f>
        <v>https://www.dgiwg.org/FAD/fdd/view?i=3880</v>
      </c>
      <c r="W1738" s="172"/>
      <c r="X1738" s="172"/>
      <c r="Y1738" s="172"/>
    </row>
    <row r="1739" spans="1:25" ht="2.1" customHeight="1" x14ac:dyDescent="0.2">
      <c r="A1739" s="295"/>
      <c r="B1739" s="283"/>
      <c r="C1739" s="296"/>
      <c r="D1739" s="283"/>
      <c r="E1739" s="296"/>
      <c r="F1739" s="297"/>
      <c r="G1739" s="297"/>
      <c r="H1739" s="297"/>
      <c r="I1739" s="298"/>
      <c r="J1739" s="304"/>
      <c r="K1739" s="300"/>
      <c r="L1739" s="301"/>
      <c r="M1739" s="297" t="s">
        <v>6582</v>
      </c>
      <c r="N1739" s="297"/>
      <c r="O1739" s="297"/>
      <c r="P1739" s="297"/>
      <c r="Q1739" s="297"/>
      <c r="R1739" s="297"/>
      <c r="S1739" s="302"/>
      <c r="T1739" s="302"/>
      <c r="U1739" s="303"/>
    </row>
    <row r="1740" spans="1:25" ht="25.5" x14ac:dyDescent="0.2">
      <c r="A1740" s="212" t="str">
        <f>HYPERLINK(V1740,B1740)</f>
        <v>WftCode</v>
      </c>
      <c r="B1740" s="283" t="s">
        <v>14426</v>
      </c>
      <c r="C1740" s="284" t="s">
        <v>16373</v>
      </c>
      <c r="D1740" s="285"/>
      <c r="E1740" s="286"/>
      <c r="F1740" s="287" t="s">
        <v>16374</v>
      </c>
      <c r="G1740" s="286"/>
      <c r="H1740" s="286"/>
      <c r="I1740" s="288"/>
      <c r="J1740" s="289"/>
      <c r="K1740" s="290"/>
      <c r="L1740" s="371" t="str">
        <f>HYPERLINK("[#]DatatypeListedValues!B10705:H10705","«enumeration»")</f>
        <v>«enumeration»</v>
      </c>
      <c r="M1740" s="287" t="s">
        <v>6582</v>
      </c>
      <c r="N1740" s="291" t="b">
        <v>0</v>
      </c>
      <c r="O1740" s="286"/>
      <c r="P1740" s="292"/>
      <c r="Q1740" s="286"/>
      <c r="R1740" s="286"/>
      <c r="S1740" s="293"/>
      <c r="T1740" s="294"/>
      <c r="U1740" s="37">
        <v>1537</v>
      </c>
      <c r="V1740" s="36" t="str">
        <f>CONCATENATE(Cover!$D$6,"fdd/view?i=",U1740)</f>
        <v>https://www.dgiwg.org/FAD/fdd/view?i=1537</v>
      </c>
      <c r="W1740" s="172"/>
      <c r="X1740" s="172"/>
      <c r="Y1740" s="172"/>
    </row>
    <row r="1741" spans="1:25" ht="2.1" customHeight="1" x14ac:dyDescent="0.2">
      <c r="A1741" s="295"/>
      <c r="B1741" s="283"/>
      <c r="C1741" s="296"/>
      <c r="D1741" s="283"/>
      <c r="E1741" s="296"/>
      <c r="F1741" s="297"/>
      <c r="G1741" s="297"/>
      <c r="H1741" s="297"/>
      <c r="I1741" s="298"/>
      <c r="J1741" s="304"/>
      <c r="K1741" s="300"/>
      <c r="L1741" s="301"/>
      <c r="M1741" s="297" t="s">
        <v>6582</v>
      </c>
      <c r="N1741" s="297"/>
      <c r="O1741" s="297"/>
      <c r="P1741" s="297"/>
      <c r="Q1741" s="297"/>
      <c r="R1741" s="297"/>
      <c r="S1741" s="302"/>
      <c r="T1741" s="302"/>
      <c r="U1741" s="303"/>
    </row>
    <row r="1742" spans="1:25" ht="25.5" x14ac:dyDescent="0.2">
      <c r="A1742" s="212" t="str">
        <f>HYPERLINK(V1742,B1742)</f>
        <v>WimCode</v>
      </c>
      <c r="B1742" s="283" t="s">
        <v>14432</v>
      </c>
      <c r="C1742" s="284" t="s">
        <v>16375</v>
      </c>
      <c r="D1742" s="285"/>
      <c r="E1742" s="286"/>
      <c r="F1742" s="287" t="s">
        <v>16376</v>
      </c>
      <c r="G1742" s="286"/>
      <c r="H1742" s="286"/>
      <c r="I1742" s="288"/>
      <c r="J1742" s="289"/>
      <c r="K1742" s="290"/>
      <c r="L1742" s="371" t="str">
        <f>HYPERLINK("[#]DatatypeListedValues!B10710:H10710","«enumeration»")</f>
        <v>«enumeration»</v>
      </c>
      <c r="M1742" s="287" t="s">
        <v>6582</v>
      </c>
      <c r="N1742" s="291" t="b">
        <v>0</v>
      </c>
      <c r="O1742" s="286"/>
      <c r="P1742" s="292"/>
      <c r="Q1742" s="286"/>
      <c r="R1742" s="286"/>
      <c r="S1742" s="293"/>
      <c r="T1742" s="294"/>
      <c r="U1742" s="37">
        <v>119243</v>
      </c>
      <c r="V1742" s="36" t="str">
        <f>CONCATENATE(Cover!$D$6,"fdd/view?i=",U1742)</f>
        <v>https://www.dgiwg.org/FAD/fdd/view?i=119243</v>
      </c>
      <c r="W1742" s="172"/>
      <c r="X1742" s="172"/>
      <c r="Y1742" s="172"/>
    </row>
    <row r="1743" spans="1:25" ht="2.1" customHeight="1" x14ac:dyDescent="0.2">
      <c r="A1743" s="295"/>
      <c r="B1743" s="283"/>
      <c r="C1743" s="296"/>
      <c r="D1743" s="283"/>
      <c r="E1743" s="296"/>
      <c r="F1743" s="297"/>
      <c r="G1743" s="297"/>
      <c r="H1743" s="297"/>
      <c r="I1743" s="298"/>
      <c r="J1743" s="304"/>
      <c r="K1743" s="300"/>
      <c r="L1743" s="301"/>
      <c r="M1743" s="297" t="s">
        <v>6582</v>
      </c>
      <c r="N1743" s="297"/>
      <c r="O1743" s="297"/>
      <c r="P1743" s="297"/>
      <c r="Q1743" s="297"/>
      <c r="R1743" s="297"/>
      <c r="S1743" s="302"/>
      <c r="T1743" s="302"/>
      <c r="U1743" s="303"/>
    </row>
    <row r="1744" spans="1:25" ht="25.5" x14ac:dyDescent="0.2">
      <c r="A1744" s="212" t="str">
        <f>HYPERLINK(V1744,B1744)</f>
        <v>WbsCode</v>
      </c>
      <c r="B1744" s="283" t="s">
        <v>14438</v>
      </c>
      <c r="C1744" s="284" t="s">
        <v>16377</v>
      </c>
      <c r="D1744" s="285"/>
      <c r="E1744" s="286"/>
      <c r="F1744" s="287" t="s">
        <v>16378</v>
      </c>
      <c r="G1744" s="286"/>
      <c r="H1744" s="286"/>
      <c r="I1744" s="288"/>
      <c r="J1744" s="289"/>
      <c r="K1744" s="290"/>
      <c r="L1744" s="371" t="str">
        <f>HYPERLINK("[#]DatatypeListedValues!B10724:H10724","«enumeration»")</f>
        <v>«enumeration»</v>
      </c>
      <c r="M1744" s="287" t="s">
        <v>6582</v>
      </c>
      <c r="N1744" s="291" t="b">
        <v>0</v>
      </c>
      <c r="O1744" s="286"/>
      <c r="P1744" s="292"/>
      <c r="Q1744" s="286"/>
      <c r="R1744" s="286"/>
      <c r="S1744" s="293"/>
      <c r="T1744" s="294"/>
      <c r="U1744" s="37">
        <v>119242</v>
      </c>
      <c r="V1744" s="36" t="str">
        <f>CONCATENATE(Cover!$D$6,"fdd/view?i=",U1744)</f>
        <v>https://www.dgiwg.org/FAD/fdd/view?i=119242</v>
      </c>
      <c r="W1744" s="172"/>
      <c r="X1744" s="172"/>
      <c r="Y1744" s="172"/>
    </row>
    <row r="1745" spans="1:25" ht="2.1" customHeight="1" x14ac:dyDescent="0.2">
      <c r="A1745" s="295"/>
      <c r="B1745" s="283"/>
      <c r="C1745" s="296"/>
      <c r="D1745" s="283"/>
      <c r="E1745" s="296"/>
      <c r="F1745" s="297"/>
      <c r="G1745" s="297"/>
      <c r="H1745" s="297"/>
      <c r="I1745" s="298"/>
      <c r="J1745" s="304"/>
      <c r="K1745" s="300"/>
      <c r="L1745" s="301"/>
      <c r="M1745" s="297" t="s">
        <v>6582</v>
      </c>
      <c r="N1745" s="297"/>
      <c r="O1745" s="297"/>
      <c r="P1745" s="297"/>
      <c r="Q1745" s="297"/>
      <c r="R1745" s="297"/>
      <c r="S1745" s="302"/>
      <c r="T1745" s="302"/>
      <c r="U1745" s="303"/>
    </row>
    <row r="1746" spans="1:25" ht="25.5" x14ac:dyDescent="0.2">
      <c r="A1746" s="212" t="str">
        <f>HYPERLINK(V1746,B1746)</f>
        <v>WsfCode</v>
      </c>
      <c r="B1746" s="283" t="s">
        <v>14443</v>
      </c>
      <c r="C1746" s="284" t="s">
        <v>16379</v>
      </c>
      <c r="D1746" s="285"/>
      <c r="E1746" s="286"/>
      <c r="F1746" s="287" t="s">
        <v>16380</v>
      </c>
      <c r="G1746" s="286"/>
      <c r="H1746" s="286"/>
      <c r="I1746" s="288"/>
      <c r="J1746" s="289"/>
      <c r="K1746" s="290"/>
      <c r="L1746" s="371" t="str">
        <f>HYPERLINK("[#]DatatypeListedValues!B10738:H10738","«enumeration»")</f>
        <v>«enumeration»</v>
      </c>
      <c r="M1746" s="287" t="s">
        <v>6582</v>
      </c>
      <c r="N1746" s="291" t="b">
        <v>0</v>
      </c>
      <c r="O1746" s="286"/>
      <c r="P1746" s="292"/>
      <c r="Q1746" s="286"/>
      <c r="R1746" s="286"/>
      <c r="S1746" s="293"/>
      <c r="T1746" s="294"/>
      <c r="U1746" s="37">
        <v>3884</v>
      </c>
      <c r="V1746" s="36" t="str">
        <f>CONCATENATE(Cover!$D$6,"fdd/view?i=",U1746)</f>
        <v>https://www.dgiwg.org/FAD/fdd/view?i=3884</v>
      </c>
      <c r="W1746" s="172"/>
      <c r="X1746" s="172"/>
      <c r="Y1746" s="172"/>
    </row>
    <row r="1747" spans="1:25" ht="2.1" customHeight="1" x14ac:dyDescent="0.2">
      <c r="A1747" s="295"/>
      <c r="B1747" s="283"/>
      <c r="C1747" s="296"/>
      <c r="D1747" s="283"/>
      <c r="E1747" s="296"/>
      <c r="F1747" s="297"/>
      <c r="G1747" s="297"/>
      <c r="H1747" s="297"/>
      <c r="I1747" s="298"/>
      <c r="J1747" s="304"/>
      <c r="K1747" s="300"/>
      <c r="L1747" s="301"/>
      <c r="M1747" s="297" t="s">
        <v>6582</v>
      </c>
      <c r="N1747" s="297"/>
      <c r="O1747" s="297"/>
      <c r="P1747" s="297"/>
      <c r="Q1747" s="297"/>
      <c r="R1747" s="297"/>
      <c r="S1747" s="302"/>
      <c r="T1747" s="302"/>
      <c r="U1747" s="303"/>
    </row>
    <row r="1748" spans="1:25" ht="25.5" x14ac:dyDescent="0.2">
      <c r="A1748" s="212" t="str">
        <f>HYPERLINK(V1748,B1748)</f>
        <v>WntCode</v>
      </c>
      <c r="B1748" s="283" t="s">
        <v>14486</v>
      </c>
      <c r="C1748" s="284" t="s">
        <v>16381</v>
      </c>
      <c r="D1748" s="285"/>
      <c r="E1748" s="286"/>
      <c r="F1748" s="287" t="s">
        <v>16382</v>
      </c>
      <c r="G1748" s="286"/>
      <c r="H1748" s="286"/>
      <c r="I1748" s="288"/>
      <c r="J1748" s="289"/>
      <c r="K1748" s="290"/>
      <c r="L1748" s="371" t="str">
        <f>HYPERLINK("[#]DatatypeListedValues!B10751:H10751","«enumeration»")</f>
        <v>«enumeration»</v>
      </c>
      <c r="M1748" s="287" t="s">
        <v>6582</v>
      </c>
      <c r="N1748" s="291" t="b">
        <v>0</v>
      </c>
      <c r="O1748" s="286"/>
      <c r="P1748" s="292"/>
      <c r="Q1748" s="286"/>
      <c r="R1748" s="286"/>
      <c r="S1748" s="293"/>
      <c r="T1748" s="294"/>
      <c r="U1748" s="37">
        <v>117431</v>
      </c>
      <c r="V1748" s="36" t="str">
        <f>CONCATENATE(Cover!$D$6,"fdd/view?i=",U1748)</f>
        <v>https://www.dgiwg.org/FAD/fdd/view?i=117431</v>
      </c>
      <c r="W1748" s="172"/>
      <c r="X1748" s="172"/>
      <c r="Y1748" s="172"/>
    </row>
    <row r="1749" spans="1:25" ht="2.1" customHeight="1" x14ac:dyDescent="0.2">
      <c r="A1749" s="295"/>
      <c r="B1749" s="283"/>
      <c r="C1749" s="296"/>
      <c r="D1749" s="283"/>
      <c r="E1749" s="296"/>
      <c r="F1749" s="297"/>
      <c r="G1749" s="297"/>
      <c r="H1749" s="297"/>
      <c r="I1749" s="298"/>
      <c r="J1749" s="304"/>
      <c r="K1749" s="300"/>
      <c r="L1749" s="301"/>
      <c r="M1749" s="297" t="s">
        <v>6582</v>
      </c>
      <c r="N1749" s="297"/>
      <c r="O1749" s="297"/>
      <c r="P1749" s="297"/>
      <c r="Q1749" s="297"/>
      <c r="R1749" s="297"/>
      <c r="S1749" s="302"/>
      <c r="T1749" s="302"/>
      <c r="U1749" s="303"/>
    </row>
    <row r="1750" spans="1:25" ht="25.5" x14ac:dyDescent="0.2">
      <c r="A1750" s="212" t="str">
        <f>HYPERLINK(V1750,B1750)</f>
        <v>WitCode</v>
      </c>
      <c r="B1750" s="283" t="s">
        <v>14501</v>
      </c>
      <c r="C1750" s="284" t="s">
        <v>16383</v>
      </c>
      <c r="D1750" s="285"/>
      <c r="E1750" s="286"/>
      <c r="F1750" s="287" t="s">
        <v>16384</v>
      </c>
      <c r="G1750" s="286"/>
      <c r="H1750" s="286"/>
      <c r="I1750" s="288"/>
      <c r="J1750" s="289"/>
      <c r="K1750" s="290"/>
      <c r="L1750" s="371" t="str">
        <f>HYPERLINK("[#]DatatypeListedValues!B10754:H10754","«enumeration»")</f>
        <v>«enumeration»</v>
      </c>
      <c r="M1750" s="287" t="s">
        <v>6582</v>
      </c>
      <c r="N1750" s="291" t="b">
        <v>0</v>
      </c>
      <c r="O1750" s="286"/>
      <c r="P1750" s="292"/>
      <c r="Q1750" s="286"/>
      <c r="R1750" s="286"/>
      <c r="S1750" s="293"/>
      <c r="T1750" s="294"/>
      <c r="U1750" s="37">
        <v>114252</v>
      </c>
      <c r="V1750" s="36" t="str">
        <f>CONCATENATE(Cover!$D$6,"fdd/view?i=",U1750)</f>
        <v>https://www.dgiwg.org/FAD/fdd/view?i=114252</v>
      </c>
      <c r="W1750" s="172"/>
      <c r="X1750" s="172"/>
      <c r="Y1750" s="172"/>
    </row>
    <row r="1751" spans="1:25" ht="2.1" customHeight="1" x14ac:dyDescent="0.2">
      <c r="A1751" s="295"/>
      <c r="B1751" s="283"/>
      <c r="C1751" s="296"/>
      <c r="D1751" s="283"/>
      <c r="E1751" s="296"/>
      <c r="F1751" s="297"/>
      <c r="G1751" s="297"/>
      <c r="H1751" s="297"/>
      <c r="I1751" s="298"/>
      <c r="J1751" s="304"/>
      <c r="K1751" s="300"/>
      <c r="L1751" s="301"/>
      <c r="M1751" s="297" t="s">
        <v>6582</v>
      </c>
      <c r="N1751" s="297"/>
      <c r="O1751" s="297"/>
      <c r="P1751" s="297"/>
      <c r="Q1751" s="297"/>
      <c r="R1751" s="297"/>
      <c r="S1751" s="302"/>
      <c r="T1751" s="302"/>
      <c r="U1751" s="303"/>
    </row>
    <row r="1752" spans="1:25" ht="38.25" x14ac:dyDescent="0.2">
      <c r="A1752" s="212" t="str">
        <f>HYPERLINK(V1752,B1752)</f>
        <v>Wa1StrucText</v>
      </c>
      <c r="B1752" s="283" t="s">
        <v>14510</v>
      </c>
      <c r="C1752" s="284" t="s">
        <v>16385</v>
      </c>
      <c r="D1752" s="285"/>
      <c r="E1752" s="286"/>
      <c r="F1752" s="287" t="s">
        <v>16386</v>
      </c>
      <c r="G1752" s="286"/>
      <c r="H1752" s="287" t="s">
        <v>14552</v>
      </c>
      <c r="I1752" s="288"/>
      <c r="J1752" s="289"/>
      <c r="K1752" s="290"/>
      <c r="L1752" s="287" t="s">
        <v>14551</v>
      </c>
      <c r="M1752" s="287" t="s">
        <v>6582</v>
      </c>
      <c r="N1752" s="286"/>
      <c r="O1752" s="287">
        <v>4</v>
      </c>
      <c r="P1752" s="305" t="b">
        <v>0</v>
      </c>
      <c r="Q1752" s="287" t="s">
        <v>16387</v>
      </c>
      <c r="R1752" s="286"/>
      <c r="S1752" s="293"/>
      <c r="T1752" s="294"/>
      <c r="U1752" s="37">
        <v>119241</v>
      </c>
      <c r="V1752" s="36" t="str">
        <f>CONCATENATE(Cover!$D$6,"fdd/view?i=",U1752)</f>
        <v>https://www.dgiwg.org/FAD/fdd/view?i=119241</v>
      </c>
      <c r="W1752" s="172"/>
      <c r="X1752" s="172"/>
      <c r="Y1752" s="172"/>
    </row>
    <row r="1753" spans="1:25" ht="2.1" customHeight="1" x14ac:dyDescent="0.2">
      <c r="A1753" s="295"/>
      <c r="B1753" s="283"/>
      <c r="C1753" s="296"/>
      <c r="D1753" s="283"/>
      <c r="E1753" s="296"/>
      <c r="F1753" s="297"/>
      <c r="G1753" s="297"/>
      <c r="H1753" s="297"/>
      <c r="I1753" s="298"/>
      <c r="J1753" s="304"/>
      <c r="K1753" s="300"/>
      <c r="L1753" s="301"/>
      <c r="M1753" s="297" t="s">
        <v>6582</v>
      </c>
      <c r="N1753" s="297"/>
      <c r="O1753" s="297"/>
      <c r="P1753" s="297"/>
      <c r="Q1753" s="297"/>
      <c r="R1753" s="297"/>
      <c r="S1753" s="302"/>
      <c r="T1753" s="302"/>
      <c r="U1753" s="303"/>
    </row>
    <row r="1754" spans="1:25" ht="25.5" x14ac:dyDescent="0.2">
      <c r="A1754" s="212" t="str">
        <f>HYPERLINK(V1754,B1754)</f>
        <v>WloCode</v>
      </c>
      <c r="B1754" s="283" t="s">
        <v>14533</v>
      </c>
      <c r="C1754" s="284" t="s">
        <v>16388</v>
      </c>
      <c r="D1754" s="285"/>
      <c r="E1754" s="286"/>
      <c r="F1754" s="287" t="s">
        <v>16389</v>
      </c>
      <c r="G1754" s="286"/>
      <c r="H1754" s="286"/>
      <c r="I1754" s="288"/>
      <c r="J1754" s="289"/>
      <c r="K1754" s="290"/>
      <c r="L1754" s="371" t="str">
        <f>HYPERLINK("[#]DatatypeListedValues!B10761:H10761","«enumeration»")</f>
        <v>«enumeration»</v>
      </c>
      <c r="M1754" s="287" t="s">
        <v>6582</v>
      </c>
      <c r="N1754" s="291" t="b">
        <v>0</v>
      </c>
      <c r="O1754" s="286"/>
      <c r="P1754" s="292"/>
      <c r="Q1754" s="286"/>
      <c r="R1754" s="286"/>
      <c r="S1754" s="293"/>
      <c r="T1754" s="294"/>
      <c r="U1754" s="37">
        <v>1540</v>
      </c>
      <c r="V1754" s="36" t="str">
        <f>CONCATENATE(Cover!$D$6,"fdd/view?i=",U1754)</f>
        <v>https://www.dgiwg.org/FAD/fdd/view?i=1540</v>
      </c>
      <c r="W1754" s="172"/>
      <c r="X1754" s="172"/>
      <c r="Y1754" s="172"/>
    </row>
    <row r="1755" spans="1:25" ht="2.1" customHeight="1" x14ac:dyDescent="0.2">
      <c r="A1755" s="295"/>
      <c r="B1755" s="283"/>
      <c r="C1755" s="296"/>
      <c r="D1755" s="283"/>
      <c r="E1755" s="296"/>
      <c r="F1755" s="297"/>
      <c r="G1755" s="297"/>
      <c r="H1755" s="297"/>
      <c r="I1755" s="298"/>
      <c r="J1755" s="304"/>
      <c r="K1755" s="300"/>
      <c r="L1755" s="301"/>
      <c r="M1755" s="297" t="s">
        <v>6582</v>
      </c>
      <c r="N1755" s="297"/>
      <c r="O1755" s="297"/>
      <c r="P1755" s="297"/>
      <c r="Q1755" s="297"/>
      <c r="R1755" s="297"/>
      <c r="S1755" s="302"/>
      <c r="T1755" s="302"/>
      <c r="U1755" s="303"/>
    </row>
    <row r="1756" spans="1:25" ht="25.5" x14ac:dyDescent="0.2">
      <c r="A1756" s="212" t="str">
        <f>HYPERLINK(V1756,B1756)</f>
        <v>WrkCode</v>
      </c>
      <c r="B1756" s="283" t="s">
        <v>14538</v>
      </c>
      <c r="C1756" s="284" t="s">
        <v>16390</v>
      </c>
      <c r="D1756" s="285"/>
      <c r="E1756" s="286"/>
      <c r="F1756" s="287" t="s">
        <v>16391</v>
      </c>
      <c r="G1756" s="286"/>
      <c r="H1756" s="286"/>
      <c r="I1756" s="288"/>
      <c r="J1756" s="289"/>
      <c r="K1756" s="290"/>
      <c r="L1756" s="371" t="str">
        <f>HYPERLINK("[#]DatatypeListedValues!B10766:H10766","«enumeration»")</f>
        <v>«enumeration»</v>
      </c>
      <c r="M1756" s="287" t="s">
        <v>6582</v>
      </c>
      <c r="N1756" s="291" t="b">
        <v>0</v>
      </c>
      <c r="O1756" s="286"/>
      <c r="P1756" s="292"/>
      <c r="Q1756" s="286"/>
      <c r="R1756" s="286"/>
      <c r="S1756" s="293"/>
      <c r="T1756" s="294"/>
      <c r="U1756" s="37">
        <v>1543</v>
      </c>
      <c r="V1756" s="36" t="str">
        <f>CONCATENATE(Cover!$D$6,"fdd/view?i=",U1756)</f>
        <v>https://www.dgiwg.org/FAD/fdd/view?i=1543</v>
      </c>
      <c r="W1756" s="172"/>
      <c r="X1756" s="172"/>
      <c r="Y1756" s="172"/>
    </row>
    <row r="1757" spans="1:25" ht="2.1" customHeight="1" x14ac:dyDescent="0.2">
      <c r="A1757" s="295"/>
      <c r="B1757" s="283"/>
      <c r="C1757" s="296"/>
      <c r="D1757" s="283"/>
      <c r="E1757" s="296"/>
      <c r="F1757" s="297"/>
      <c r="G1757" s="297"/>
      <c r="H1757" s="297"/>
      <c r="I1757" s="298"/>
      <c r="J1757" s="304"/>
      <c r="K1757" s="300"/>
      <c r="L1757" s="301"/>
      <c r="M1757" s="297" t="s">
        <v>6582</v>
      </c>
      <c r="N1757" s="297"/>
      <c r="O1757" s="297"/>
      <c r="P1757" s="297"/>
      <c r="Q1757" s="297"/>
      <c r="R1757" s="297"/>
      <c r="S1757" s="302"/>
      <c r="T1757" s="302"/>
      <c r="U1757" s="303"/>
    </row>
  </sheetData>
  <autoFilter ref="J1:T1"/>
  <mergeCells count="8">
    <mergeCell ref="B1243:B1246"/>
    <mergeCell ref="C1243:C1246"/>
    <mergeCell ref="B1050:B1053"/>
    <mergeCell ref="C1050:C1053"/>
    <mergeCell ref="B1233:B1236"/>
    <mergeCell ref="C1233:C1236"/>
    <mergeCell ref="B1238:B1241"/>
    <mergeCell ref="C1238:C1241"/>
  </mergeCells>
  <phoneticPr fontId="8" type="noConversion"/>
  <pageMargins left="0.75" right="0.75" top="0.56999999999999995" bottom="0.5" header="0.42" footer="0.33"/>
  <pageSetup scale="65" orientation="landscape" r:id="rId1"/>
  <headerFooter alignWithMargins="0">
    <oddHeader>&amp;A</oddHead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A1:P10770"/>
  <sheetViews>
    <sheetView tabSelected="1" zoomScale="80" workbookViewId="0">
      <pane xSplit="5" ySplit="1" topLeftCell="F2" activePane="bottomRight" state="frozen"/>
      <selection pane="topRight" activeCell="F1" sqref="F1"/>
      <selection pane="bottomLeft" activeCell="A2" sqref="A2"/>
      <selection pane="bottomRight"/>
    </sheetView>
  </sheetViews>
  <sheetFormatPr baseColWidth="10" defaultColWidth="9.140625" defaultRowHeight="12.75" x14ac:dyDescent="0.2"/>
  <cols>
    <col min="1" max="1" width="20.7109375" style="26" customWidth="1"/>
    <col min="2" max="2" width="14.7109375" style="23" customWidth="1"/>
    <col min="3" max="3" width="28.28515625" style="22" customWidth="1"/>
    <col min="4" max="4" width="28.7109375" style="11" customWidth="1"/>
    <col min="5" max="5" width="6.42578125" style="11" customWidth="1"/>
    <col min="6" max="6" width="21.7109375" style="5" customWidth="1"/>
    <col min="7" max="7" width="57.42578125" style="2" customWidth="1"/>
    <col min="8" max="8" width="45.28515625" style="2" customWidth="1"/>
    <col min="9" max="9" width="15.42578125" style="2" customWidth="1"/>
    <col min="10" max="10" width="10.140625" style="39" hidden="1" customWidth="1"/>
    <col min="11" max="12" width="3.140625" style="36" hidden="1" customWidth="1"/>
    <col min="13" max="13" width="18" style="112" hidden="1" customWidth="1"/>
    <col min="14" max="14" width="45.85546875" style="112" hidden="1" customWidth="1"/>
    <col min="15" max="15" width="35.7109375" style="13" customWidth="1"/>
    <col min="16" max="16" width="8.140625" style="105" hidden="1" customWidth="1"/>
    <col min="17" max="16384" width="9.140625" style="2"/>
  </cols>
  <sheetData>
    <row r="1" spans="1:16" s="52" customFormat="1" ht="25.5" x14ac:dyDescent="0.2">
      <c r="A1" s="69" t="s">
        <v>165</v>
      </c>
      <c r="B1" s="47" t="s">
        <v>1784</v>
      </c>
      <c r="C1" s="48" t="s">
        <v>49</v>
      </c>
      <c r="D1" s="93" t="s">
        <v>158</v>
      </c>
      <c r="E1" s="93" t="s">
        <v>1785</v>
      </c>
      <c r="F1" s="53" t="s">
        <v>32</v>
      </c>
      <c r="G1" s="53" t="s">
        <v>33</v>
      </c>
      <c r="H1" s="53" t="s">
        <v>31</v>
      </c>
      <c r="I1" s="100" t="s">
        <v>29</v>
      </c>
      <c r="J1" s="101" t="s">
        <v>46</v>
      </c>
      <c r="K1" s="106"/>
      <c r="L1" s="106"/>
      <c r="M1" s="114" t="s">
        <v>42</v>
      </c>
      <c r="N1" s="114" t="s">
        <v>41</v>
      </c>
      <c r="O1" s="98" t="s">
        <v>136</v>
      </c>
      <c r="P1" s="104" t="s">
        <v>134</v>
      </c>
    </row>
    <row r="2" spans="1:16" ht="25.5" x14ac:dyDescent="0.2">
      <c r="A2" s="190" t="str">
        <f t="shared" ref="A2:A65" si="0">HYPERLINK(K2,L2)</f>
        <v>AhmCode_analystEstimate</v>
      </c>
      <c r="B2" s="414" t="str">
        <f>HYPERLINK("[#]Datatypes!A2:L2","AhmCode")</f>
        <v>AhmCode</v>
      </c>
      <c r="C2" s="415" t="s">
        <v>14539</v>
      </c>
      <c r="D2" s="221" t="s">
        <v>16394</v>
      </c>
      <c r="E2" s="221">
        <v>17</v>
      </c>
      <c r="F2" s="222" t="s">
        <v>16395</v>
      </c>
      <c r="G2" s="223" t="s">
        <v>16396</v>
      </c>
      <c r="H2" s="224"/>
      <c r="I2" s="345"/>
      <c r="J2" s="39">
        <v>110017</v>
      </c>
      <c r="K2" s="36" t="str">
        <f>CONCATENATE(Cover!$D$6,"fdd/view?i=",J2)</f>
        <v>https://www.dgiwg.org/FAD/fdd/view?i=110017</v>
      </c>
      <c r="L2" s="36" t="s">
        <v>16397</v>
      </c>
      <c r="M2" s="186"/>
      <c r="N2" s="186"/>
      <c r="O2" s="172"/>
    </row>
    <row r="3" spans="1:16" ht="25.5" x14ac:dyDescent="0.2">
      <c r="A3" s="197" t="str">
        <f t="shared" si="0"/>
        <v>AhmCode_digitalProductWithoutMeth</v>
      </c>
      <c r="B3" s="409"/>
      <c r="C3" s="416"/>
      <c r="D3" s="198" t="s">
        <v>16398</v>
      </c>
      <c r="E3" s="198">
        <v>20</v>
      </c>
      <c r="F3" s="199" t="s">
        <v>16399</v>
      </c>
      <c r="G3" s="1" t="s">
        <v>16400</v>
      </c>
      <c r="H3" s="200"/>
      <c r="I3" s="346"/>
      <c r="J3" s="39">
        <v>110021</v>
      </c>
      <c r="K3" s="36" t="str">
        <f>CONCATENATE(Cover!$D$6,"fdd/view?i=",J3)</f>
        <v>https://www.dgiwg.org/FAD/fdd/view?i=110021</v>
      </c>
      <c r="L3" s="36" t="s">
        <v>16401</v>
      </c>
      <c r="M3" s="186"/>
      <c r="N3" s="186"/>
      <c r="O3" s="172"/>
    </row>
    <row r="4" spans="1:16" ht="25.5" x14ac:dyDescent="0.2">
      <c r="A4" s="197" t="str">
        <f t="shared" si="0"/>
        <v>AhmCode_errorBudgetEvaluation</v>
      </c>
      <c r="B4" s="409"/>
      <c r="C4" s="416"/>
      <c r="D4" s="198" t="s">
        <v>16402</v>
      </c>
      <c r="E4" s="198">
        <v>12</v>
      </c>
      <c r="F4" s="199" t="s">
        <v>16403</v>
      </c>
      <c r="G4" s="1" t="s">
        <v>16404</v>
      </c>
      <c r="H4" s="200"/>
      <c r="I4" s="346"/>
      <c r="J4" s="39">
        <v>110012</v>
      </c>
      <c r="K4" s="36" t="str">
        <f>CONCATENATE(Cover!$D$6,"fdd/view?i=",J4)</f>
        <v>https://www.dgiwg.org/FAD/fdd/view?i=110012</v>
      </c>
      <c r="L4" s="36" t="s">
        <v>16405</v>
      </c>
      <c r="M4" s="186"/>
      <c r="N4" s="186"/>
      <c r="O4" s="172"/>
    </row>
    <row r="5" spans="1:16" ht="25.5" x14ac:dyDescent="0.2">
      <c r="A5" s="197" t="str">
        <f t="shared" si="0"/>
        <v>AhmCode_evaluationDeferred</v>
      </c>
      <c r="B5" s="409"/>
      <c r="C5" s="416"/>
      <c r="D5" s="198" t="s">
        <v>16406</v>
      </c>
      <c r="E5" s="198">
        <v>21</v>
      </c>
      <c r="F5" s="199" t="s">
        <v>16407</v>
      </c>
      <c r="G5" s="1" t="s">
        <v>16408</v>
      </c>
      <c r="H5" s="200"/>
      <c r="I5" s="346"/>
      <c r="J5" s="39">
        <v>110022</v>
      </c>
      <c r="K5" s="36" t="str">
        <f>CONCATENATE(Cover!$D$6,"fdd/view?i=",J5)</f>
        <v>https://www.dgiwg.org/FAD/fdd/view?i=110022</v>
      </c>
      <c r="L5" s="36" t="s">
        <v>16409</v>
      </c>
      <c r="M5" s="186"/>
      <c r="N5" s="186"/>
      <c r="O5" s="172"/>
    </row>
    <row r="6" spans="1:16" ht="25.5" x14ac:dyDescent="0.2">
      <c r="A6" s="197" t="str">
        <f t="shared" si="0"/>
        <v>AhmCode_extrapolation</v>
      </c>
      <c r="B6" s="409"/>
      <c r="C6" s="416"/>
      <c r="D6" s="198" t="s">
        <v>16410</v>
      </c>
      <c r="E6" s="198">
        <v>8</v>
      </c>
      <c r="F6" s="199" t="s">
        <v>16411</v>
      </c>
      <c r="G6" s="1" t="s">
        <v>16412</v>
      </c>
      <c r="H6" s="200"/>
      <c r="I6" s="346"/>
      <c r="J6" s="39">
        <v>110028</v>
      </c>
      <c r="K6" s="36" t="str">
        <f>CONCATENATE(Cover!$D$6,"fdd/view?i=",J6)</f>
        <v>https://www.dgiwg.org/FAD/fdd/view?i=110028</v>
      </c>
      <c r="L6" s="36" t="s">
        <v>16413</v>
      </c>
      <c r="M6" s="186"/>
      <c r="N6" s="186"/>
      <c r="O6" s="172"/>
    </row>
    <row r="7" spans="1:16" ht="25.5" x14ac:dyDescent="0.2">
      <c r="A7" s="197" t="str">
        <f t="shared" si="0"/>
        <v>AhmCode_geodeticSurveyAdequate</v>
      </c>
      <c r="B7" s="409"/>
      <c r="C7" s="416"/>
      <c r="D7" s="198" t="s">
        <v>16414</v>
      </c>
      <c r="E7" s="198">
        <v>1</v>
      </c>
      <c r="F7" s="199" t="s">
        <v>16415</v>
      </c>
      <c r="G7" s="1" t="s">
        <v>16416</v>
      </c>
      <c r="H7" s="200"/>
      <c r="I7" s="346"/>
      <c r="J7" s="39">
        <v>110009</v>
      </c>
      <c r="K7" s="36" t="str">
        <f>CONCATENATE(Cover!$D$6,"fdd/view?i=",J7)</f>
        <v>https://www.dgiwg.org/FAD/fdd/view?i=110009</v>
      </c>
      <c r="L7" s="36" t="s">
        <v>16417</v>
      </c>
      <c r="M7" s="186"/>
      <c r="N7" s="186"/>
      <c r="O7" s="172"/>
    </row>
    <row r="8" spans="1:16" ht="25.5" x14ac:dyDescent="0.2">
      <c r="A8" s="197" t="str">
        <f t="shared" si="0"/>
        <v>AhmCode_geodeticSurveySmall</v>
      </c>
      <c r="B8" s="409"/>
      <c r="C8" s="416"/>
      <c r="D8" s="198" t="s">
        <v>16418</v>
      </c>
      <c r="E8" s="198">
        <v>2</v>
      </c>
      <c r="F8" s="199" t="s">
        <v>16419</v>
      </c>
      <c r="G8" s="1" t="s">
        <v>16420</v>
      </c>
      <c r="H8" s="200"/>
      <c r="I8" s="346"/>
      <c r="J8" s="39">
        <v>110020</v>
      </c>
      <c r="K8" s="36" t="str">
        <f>CONCATENATE(Cover!$D$6,"fdd/view?i=",J8)</f>
        <v>https://www.dgiwg.org/FAD/fdd/view?i=110020</v>
      </c>
      <c r="L8" s="36" t="s">
        <v>16421</v>
      </c>
      <c r="M8" s="186"/>
      <c r="N8" s="186"/>
      <c r="O8" s="172"/>
    </row>
    <row r="9" spans="1:16" ht="25.5" x14ac:dyDescent="0.2">
      <c r="A9" s="197" t="str">
        <f t="shared" si="0"/>
        <v>AhmCode_insufficientControl</v>
      </c>
      <c r="B9" s="409"/>
      <c r="C9" s="416"/>
      <c r="D9" s="198" t="s">
        <v>16422</v>
      </c>
      <c r="E9" s="198">
        <v>10</v>
      </c>
      <c r="F9" s="199" t="s">
        <v>16423</v>
      </c>
      <c r="G9" s="1" t="s">
        <v>16424</v>
      </c>
      <c r="H9" s="200"/>
      <c r="I9" s="346"/>
      <c r="J9" s="39">
        <v>110010</v>
      </c>
      <c r="K9" s="36" t="str">
        <f>CONCATENATE(Cover!$D$6,"fdd/view?i=",J9)</f>
        <v>https://www.dgiwg.org/FAD/fdd/view?i=110010</v>
      </c>
      <c r="L9" s="36" t="s">
        <v>16425</v>
      </c>
      <c r="M9" s="186"/>
      <c r="N9" s="186"/>
      <c r="O9" s="172"/>
    </row>
    <row r="10" spans="1:16" ht="25.5" x14ac:dyDescent="0.2">
      <c r="A10" s="197" t="str">
        <f t="shared" si="0"/>
        <v>AhmCode_insufficientGraticule</v>
      </c>
      <c r="B10" s="409"/>
      <c r="C10" s="416"/>
      <c r="D10" s="198" t="s">
        <v>16426</v>
      </c>
      <c r="E10" s="198">
        <v>18</v>
      </c>
      <c r="F10" s="199" t="s">
        <v>16427</v>
      </c>
      <c r="G10" s="1" t="s">
        <v>16428</v>
      </c>
      <c r="H10" s="200"/>
      <c r="I10" s="346"/>
      <c r="J10" s="39">
        <v>110018</v>
      </c>
      <c r="K10" s="36" t="str">
        <f>CONCATENATE(Cover!$D$6,"fdd/view?i=",J10)</f>
        <v>https://www.dgiwg.org/FAD/fdd/view?i=110018</v>
      </c>
      <c r="L10" s="36" t="s">
        <v>16429</v>
      </c>
      <c r="M10" s="186"/>
      <c r="N10" s="186"/>
      <c r="O10" s="172"/>
    </row>
    <row r="11" spans="1:16" ht="25.5" x14ac:dyDescent="0.2">
      <c r="A11" s="197" t="str">
        <f t="shared" si="0"/>
        <v>AhmCode_insufficientIdentFeatures</v>
      </c>
      <c r="B11" s="409"/>
      <c r="C11" s="416"/>
      <c r="D11" s="198" t="s">
        <v>16430</v>
      </c>
      <c r="E11" s="198">
        <v>11</v>
      </c>
      <c r="F11" s="199" t="s">
        <v>16431</v>
      </c>
      <c r="G11" s="1" t="s">
        <v>16432</v>
      </c>
      <c r="H11" s="200"/>
      <c r="I11" s="346"/>
      <c r="J11" s="39">
        <v>110011</v>
      </c>
      <c r="K11" s="36" t="str">
        <f>CONCATENATE(Cover!$D$6,"fdd/view?i=",J11)</f>
        <v>https://www.dgiwg.org/FAD/fdd/view?i=110011</v>
      </c>
      <c r="L11" s="36" t="s">
        <v>16433</v>
      </c>
      <c r="M11" s="186"/>
      <c r="N11" s="186"/>
      <c r="O11" s="172"/>
    </row>
    <row r="12" spans="1:16" ht="25.5" x14ac:dyDescent="0.2">
      <c r="A12" s="197" t="str">
        <f t="shared" si="0"/>
        <v>AhmCode_oldEvaluation</v>
      </c>
      <c r="B12" s="409"/>
      <c r="C12" s="416"/>
      <c r="D12" s="198" t="s">
        <v>16434</v>
      </c>
      <c r="E12" s="198">
        <v>16</v>
      </c>
      <c r="F12" s="199" t="s">
        <v>16435</v>
      </c>
      <c r="G12" s="1" t="s">
        <v>16436</v>
      </c>
      <c r="H12" s="200"/>
      <c r="I12" s="346"/>
      <c r="J12" s="39">
        <v>110016</v>
      </c>
      <c r="K12" s="36" t="str">
        <f>CONCATENATE(Cover!$D$6,"fdd/view?i=",J12)</f>
        <v>https://www.dgiwg.org/FAD/fdd/view?i=110016</v>
      </c>
      <c r="L12" s="36" t="s">
        <v>16437</v>
      </c>
      <c r="M12" s="186"/>
      <c r="N12" s="186"/>
      <c r="O12" s="172"/>
    </row>
    <row r="13" spans="1:16" ht="25.5" x14ac:dyDescent="0.2">
      <c r="A13" s="197" t="str">
        <f t="shared" si="0"/>
        <v>AhmCode_photogrammAdequate</v>
      </c>
      <c r="B13" s="409"/>
      <c r="C13" s="416"/>
      <c r="D13" s="198" t="s">
        <v>16438</v>
      </c>
      <c r="E13" s="198">
        <v>22</v>
      </c>
      <c r="F13" s="199" t="s">
        <v>16439</v>
      </c>
      <c r="G13" s="1" t="s">
        <v>16440</v>
      </c>
      <c r="H13" s="200"/>
      <c r="I13" s="346"/>
      <c r="J13" s="39">
        <v>117823</v>
      </c>
      <c r="K13" s="36" t="str">
        <f>CONCATENATE(Cover!$D$6,"fdd/view?i=",J13)</f>
        <v>https://www.dgiwg.org/FAD/fdd/view?i=117823</v>
      </c>
      <c r="L13" s="36" t="s">
        <v>16441</v>
      </c>
      <c r="M13" s="186"/>
      <c r="N13" s="186"/>
      <c r="O13" s="172"/>
    </row>
    <row r="14" spans="1:16" ht="38.25" x14ac:dyDescent="0.2">
      <c r="A14" s="197" t="str">
        <f t="shared" si="0"/>
        <v>AhmCode_photogrammGdasAdequate</v>
      </c>
      <c r="B14" s="409"/>
      <c r="C14" s="416"/>
      <c r="D14" s="198" t="s">
        <v>16442</v>
      </c>
      <c r="E14" s="198">
        <v>4</v>
      </c>
      <c r="F14" s="199" t="s">
        <v>16443</v>
      </c>
      <c r="G14" s="1" t="s">
        <v>16444</v>
      </c>
      <c r="H14" s="1" t="s">
        <v>16445</v>
      </c>
      <c r="I14" s="346"/>
      <c r="J14" s="39">
        <v>110024</v>
      </c>
      <c r="K14" s="36" t="str">
        <f>CONCATENATE(Cover!$D$6,"fdd/view?i=",J14)</f>
        <v>https://www.dgiwg.org/FAD/fdd/view?i=110024</v>
      </c>
      <c r="L14" s="36" t="s">
        <v>16446</v>
      </c>
      <c r="M14" s="186"/>
      <c r="N14" s="186"/>
      <c r="O14" s="172"/>
    </row>
    <row r="15" spans="1:16" ht="38.25" x14ac:dyDescent="0.2">
      <c r="A15" s="197" t="str">
        <f t="shared" si="0"/>
        <v>AhmCode_photogrammGdasSmall</v>
      </c>
      <c r="B15" s="409"/>
      <c r="C15" s="416"/>
      <c r="D15" s="198" t="s">
        <v>16447</v>
      </c>
      <c r="E15" s="198">
        <v>5</v>
      </c>
      <c r="F15" s="199" t="s">
        <v>16448</v>
      </c>
      <c r="G15" s="1" t="s">
        <v>16449</v>
      </c>
      <c r="H15" s="1" t="s">
        <v>16445</v>
      </c>
      <c r="I15" s="346"/>
      <c r="J15" s="39">
        <v>110025</v>
      </c>
      <c r="K15" s="36" t="str">
        <f>CONCATENATE(Cover!$D$6,"fdd/view?i=",J15)</f>
        <v>https://www.dgiwg.org/FAD/fdd/view?i=110025</v>
      </c>
      <c r="L15" s="36" t="s">
        <v>16450</v>
      </c>
      <c r="M15" s="186"/>
      <c r="N15" s="186"/>
      <c r="O15" s="172"/>
    </row>
    <row r="16" spans="1:16" ht="38.25" x14ac:dyDescent="0.2">
      <c r="A16" s="197" t="str">
        <f t="shared" si="0"/>
        <v>AhmCode_photogrammNonGdasAdequate</v>
      </c>
      <c r="B16" s="409"/>
      <c r="C16" s="416"/>
      <c r="D16" s="198" t="s">
        <v>16451</v>
      </c>
      <c r="E16" s="198">
        <v>6</v>
      </c>
      <c r="F16" s="199" t="s">
        <v>16452</v>
      </c>
      <c r="G16" s="1" t="s">
        <v>16453</v>
      </c>
      <c r="H16" s="1" t="s">
        <v>16445</v>
      </c>
      <c r="I16" s="346"/>
      <c r="J16" s="39">
        <v>110026</v>
      </c>
      <c r="K16" s="36" t="str">
        <f>CONCATENATE(Cover!$D$6,"fdd/view?i=",J16)</f>
        <v>https://www.dgiwg.org/FAD/fdd/view?i=110026</v>
      </c>
      <c r="L16" s="36" t="s">
        <v>16454</v>
      </c>
      <c r="M16" s="186"/>
      <c r="N16" s="186"/>
      <c r="O16" s="172"/>
    </row>
    <row r="17" spans="1:15" ht="38.25" x14ac:dyDescent="0.2">
      <c r="A17" s="197" t="str">
        <f t="shared" si="0"/>
        <v>AhmCode_photogrammNonGdasSmall</v>
      </c>
      <c r="B17" s="409"/>
      <c r="C17" s="416"/>
      <c r="D17" s="198" t="s">
        <v>16455</v>
      </c>
      <c r="E17" s="198">
        <v>7</v>
      </c>
      <c r="F17" s="199" t="s">
        <v>16456</v>
      </c>
      <c r="G17" s="1" t="s">
        <v>16457</v>
      </c>
      <c r="H17" s="1" t="s">
        <v>16445</v>
      </c>
      <c r="I17" s="346"/>
      <c r="J17" s="39">
        <v>110027</v>
      </c>
      <c r="K17" s="36" t="str">
        <f>CONCATENATE(Cover!$D$6,"fdd/view?i=",J17)</f>
        <v>https://www.dgiwg.org/FAD/fdd/view?i=110027</v>
      </c>
      <c r="L17" s="36" t="s">
        <v>16458</v>
      </c>
      <c r="M17" s="186"/>
      <c r="N17" s="186"/>
      <c r="O17" s="172"/>
    </row>
    <row r="18" spans="1:15" ht="25.5" x14ac:dyDescent="0.2">
      <c r="A18" s="197" t="str">
        <f t="shared" si="0"/>
        <v>AhmCode_photogrammSmall</v>
      </c>
      <c r="B18" s="409"/>
      <c r="C18" s="416"/>
      <c r="D18" s="198" t="s">
        <v>16459</v>
      </c>
      <c r="E18" s="198">
        <v>23</v>
      </c>
      <c r="F18" s="199" t="s">
        <v>16460</v>
      </c>
      <c r="G18" s="1" t="s">
        <v>16461</v>
      </c>
      <c r="H18" s="200"/>
      <c r="I18" s="346"/>
      <c r="J18" s="39">
        <v>117824</v>
      </c>
      <c r="K18" s="36" t="str">
        <f>CONCATENATE(Cover!$D$6,"fdd/view?i=",J18)</f>
        <v>https://www.dgiwg.org/FAD/fdd/view?i=117824</v>
      </c>
      <c r="L18" s="36" t="s">
        <v>16462</v>
      </c>
      <c r="M18" s="186"/>
      <c r="N18" s="186"/>
      <c r="O18" s="172"/>
    </row>
    <row r="19" spans="1:15" ht="38.25" x14ac:dyDescent="0.2">
      <c r="A19" s="197" t="str">
        <f t="shared" si="0"/>
        <v>AhmCode_photogrammWithBias</v>
      </c>
      <c r="B19" s="409"/>
      <c r="C19" s="416"/>
      <c r="D19" s="198" t="s">
        <v>16463</v>
      </c>
      <c r="E19" s="198">
        <v>3</v>
      </c>
      <c r="F19" s="199" t="s">
        <v>16464</v>
      </c>
      <c r="G19" s="1" t="s">
        <v>16465</v>
      </c>
      <c r="H19" s="200"/>
      <c r="I19" s="346"/>
      <c r="J19" s="39">
        <v>110023</v>
      </c>
      <c r="K19" s="36" t="str">
        <f>CONCATENATE(Cover!$D$6,"fdd/view?i=",J19)</f>
        <v>https://www.dgiwg.org/FAD/fdd/view?i=110023</v>
      </c>
      <c r="L19" s="36" t="s">
        <v>16466</v>
      </c>
      <c r="M19" s="186"/>
      <c r="N19" s="186"/>
      <c r="O19" s="172"/>
    </row>
    <row r="20" spans="1:15" ht="25.5" x14ac:dyDescent="0.2">
      <c r="A20" s="197" t="str">
        <f t="shared" si="0"/>
        <v>AhmCode_postProductionSampling</v>
      </c>
      <c r="B20" s="409"/>
      <c r="C20" s="416"/>
      <c r="D20" s="198" t="s">
        <v>16467</v>
      </c>
      <c r="E20" s="198">
        <v>14</v>
      </c>
      <c r="F20" s="199" t="s">
        <v>16468</v>
      </c>
      <c r="G20" s="1" t="s">
        <v>16469</v>
      </c>
      <c r="H20" s="200"/>
      <c r="I20" s="346"/>
      <c r="J20" s="39">
        <v>110014</v>
      </c>
      <c r="K20" s="36" t="str">
        <f>CONCATENATE(Cover!$D$6,"fdd/view?i=",J20)</f>
        <v>https://www.dgiwg.org/FAD/fdd/view?i=110014</v>
      </c>
      <c r="L20" s="36" t="s">
        <v>16470</v>
      </c>
      <c r="M20" s="186"/>
      <c r="N20" s="186"/>
      <c r="O20" s="172"/>
    </row>
    <row r="21" spans="1:15" ht="25.5" x14ac:dyDescent="0.2">
      <c r="A21" s="197" t="str">
        <f t="shared" si="0"/>
        <v>AhmCode_productSpecification</v>
      </c>
      <c r="B21" s="409"/>
      <c r="C21" s="416"/>
      <c r="D21" s="198" t="s">
        <v>16471</v>
      </c>
      <c r="E21" s="198">
        <v>15</v>
      </c>
      <c r="F21" s="199" t="s">
        <v>16472</v>
      </c>
      <c r="G21" s="1" t="s">
        <v>16473</v>
      </c>
      <c r="H21" s="200"/>
      <c r="I21" s="346"/>
      <c r="J21" s="39">
        <v>110015</v>
      </c>
      <c r="K21" s="36" t="str">
        <f>CONCATENATE(Cover!$D$6,"fdd/view?i=",J21)</f>
        <v>https://www.dgiwg.org/FAD/fdd/view?i=110015</v>
      </c>
      <c r="L21" s="36" t="s">
        <v>16474</v>
      </c>
      <c r="M21" s="186"/>
      <c r="N21" s="186"/>
      <c r="O21" s="172"/>
    </row>
    <row r="22" spans="1:15" ht="25.5" x14ac:dyDescent="0.2">
      <c r="A22" s="197" t="str">
        <f t="shared" si="0"/>
        <v>AhmCode_scaleTooSmall</v>
      </c>
      <c r="B22" s="409"/>
      <c r="C22" s="416"/>
      <c r="D22" s="198" t="s">
        <v>16475</v>
      </c>
      <c r="E22" s="198">
        <v>19</v>
      </c>
      <c r="F22" s="199" t="s">
        <v>16476</v>
      </c>
      <c r="G22" s="1" t="s">
        <v>16477</v>
      </c>
      <c r="H22" s="200"/>
      <c r="I22" s="346"/>
      <c r="J22" s="39">
        <v>110019</v>
      </c>
      <c r="K22" s="36" t="str">
        <f>CONCATENATE(Cover!$D$6,"fdd/view?i=",J22)</f>
        <v>https://www.dgiwg.org/FAD/fdd/view?i=110019</v>
      </c>
      <c r="L22" s="36" t="s">
        <v>16478</v>
      </c>
      <c r="M22" s="186"/>
      <c r="N22" s="186"/>
      <c r="O22" s="172"/>
    </row>
    <row r="23" spans="1:15" ht="25.5" x14ac:dyDescent="0.2">
      <c r="A23" s="197" t="str">
        <f t="shared" si="0"/>
        <v>AhmCode_sourceAccuracy</v>
      </c>
      <c r="B23" s="409"/>
      <c r="C23" s="416"/>
      <c r="D23" s="198" t="s">
        <v>16479</v>
      </c>
      <c r="E23" s="198">
        <v>13</v>
      </c>
      <c r="F23" s="199" t="s">
        <v>16480</v>
      </c>
      <c r="G23" s="1" t="s">
        <v>16481</v>
      </c>
      <c r="H23" s="200"/>
      <c r="I23" s="346"/>
      <c r="J23" s="39">
        <v>110013</v>
      </c>
      <c r="K23" s="36" t="str">
        <f>CONCATENATE(Cover!$D$6,"fdd/view?i=",J23)</f>
        <v>https://www.dgiwg.org/FAD/fdd/view?i=110013</v>
      </c>
      <c r="L23" s="36" t="s">
        <v>16482</v>
      </c>
      <c r="M23" s="186"/>
      <c r="N23" s="186"/>
      <c r="O23" s="172"/>
    </row>
    <row r="24" spans="1:15" ht="51" x14ac:dyDescent="0.2">
      <c r="A24" s="203" t="str">
        <f t="shared" si="0"/>
        <v>AhmCode_unableToPerformEvaluation</v>
      </c>
      <c r="B24" s="410"/>
      <c r="C24" s="417"/>
      <c r="D24" s="204" t="s">
        <v>16483</v>
      </c>
      <c r="E24" s="204">
        <v>9</v>
      </c>
      <c r="F24" s="205" t="s">
        <v>16484</v>
      </c>
      <c r="G24" s="206" t="s">
        <v>16485</v>
      </c>
      <c r="H24" s="207"/>
      <c r="I24" s="347"/>
      <c r="J24" s="39">
        <v>110029</v>
      </c>
      <c r="K24" s="36" t="str">
        <f>CONCATENATE(Cover!$D$6,"fdd/view?i=",J24)</f>
        <v>https://www.dgiwg.org/FAD/fdd/view?i=110029</v>
      </c>
      <c r="L24" s="36" t="s">
        <v>16486</v>
      </c>
      <c r="M24" s="186"/>
      <c r="N24" s="186"/>
      <c r="O24" s="172"/>
    </row>
    <row r="25" spans="1:15" ht="25.5" x14ac:dyDescent="0.2">
      <c r="A25" s="190" t="str">
        <f t="shared" si="0"/>
        <v>AvmCode_analystEstimate</v>
      </c>
      <c r="B25" s="414" t="str">
        <f>HYPERLINK("[#]Datatypes!A4:L4","AvmCode")</f>
        <v>AvmCode</v>
      </c>
      <c r="C25" s="415" t="s">
        <v>14541</v>
      </c>
      <c r="D25" s="221" t="s">
        <v>16394</v>
      </c>
      <c r="E25" s="221">
        <v>17</v>
      </c>
      <c r="F25" s="222" t="s">
        <v>16395</v>
      </c>
      <c r="G25" s="223" t="s">
        <v>16396</v>
      </c>
      <c r="H25" s="224"/>
      <c r="I25" s="345"/>
      <c r="J25" s="39">
        <v>110045</v>
      </c>
      <c r="K25" s="36" t="str">
        <f>CONCATENATE(Cover!$D$6,"fdd/view?i=",J25)</f>
        <v>https://www.dgiwg.org/FAD/fdd/view?i=110045</v>
      </c>
      <c r="L25" s="36" t="s">
        <v>16487</v>
      </c>
      <c r="M25" s="186"/>
      <c r="N25" s="186"/>
      <c r="O25" s="172"/>
    </row>
    <row r="26" spans="1:15" ht="25.5" x14ac:dyDescent="0.2">
      <c r="A26" s="197" t="str">
        <f t="shared" si="0"/>
        <v>AvmCode_digitalProductWithoutMeth</v>
      </c>
      <c r="B26" s="409"/>
      <c r="C26" s="416"/>
      <c r="D26" s="198" t="s">
        <v>16398</v>
      </c>
      <c r="E26" s="198">
        <v>20</v>
      </c>
      <c r="F26" s="199" t="s">
        <v>16399</v>
      </c>
      <c r="G26" s="1" t="s">
        <v>16400</v>
      </c>
      <c r="H26" s="200"/>
      <c r="I26" s="346"/>
      <c r="J26" s="39">
        <v>110049</v>
      </c>
      <c r="K26" s="36" t="str">
        <f>CONCATENATE(Cover!$D$6,"fdd/view?i=",J26)</f>
        <v>https://www.dgiwg.org/FAD/fdd/view?i=110049</v>
      </c>
      <c r="L26" s="36" t="s">
        <v>16488</v>
      </c>
      <c r="M26" s="186"/>
      <c r="N26" s="186"/>
      <c r="O26" s="172"/>
    </row>
    <row r="27" spans="1:15" ht="25.5" x14ac:dyDescent="0.2">
      <c r="A27" s="197" t="str">
        <f t="shared" si="0"/>
        <v>AvmCode_errorBudgetEvaluation</v>
      </c>
      <c r="B27" s="409"/>
      <c r="C27" s="416"/>
      <c r="D27" s="198" t="s">
        <v>16402</v>
      </c>
      <c r="E27" s="198">
        <v>12</v>
      </c>
      <c r="F27" s="199" t="s">
        <v>16403</v>
      </c>
      <c r="G27" s="1" t="s">
        <v>16404</v>
      </c>
      <c r="H27" s="200"/>
      <c r="I27" s="346"/>
      <c r="J27" s="39">
        <v>110040</v>
      </c>
      <c r="K27" s="36" t="str">
        <f>CONCATENATE(Cover!$D$6,"fdd/view?i=",J27)</f>
        <v>https://www.dgiwg.org/FAD/fdd/view?i=110040</v>
      </c>
      <c r="L27" s="36" t="s">
        <v>16489</v>
      </c>
      <c r="M27" s="186"/>
      <c r="N27" s="186"/>
      <c r="O27" s="172"/>
    </row>
    <row r="28" spans="1:15" ht="25.5" x14ac:dyDescent="0.2">
      <c r="A28" s="197" t="str">
        <f t="shared" si="0"/>
        <v>AvmCode_evaluationDeferred</v>
      </c>
      <c r="B28" s="409"/>
      <c r="C28" s="416"/>
      <c r="D28" s="198" t="s">
        <v>16406</v>
      </c>
      <c r="E28" s="198">
        <v>21</v>
      </c>
      <c r="F28" s="199" t="s">
        <v>16407</v>
      </c>
      <c r="G28" s="1" t="s">
        <v>16408</v>
      </c>
      <c r="H28" s="200"/>
      <c r="I28" s="346"/>
      <c r="J28" s="39">
        <v>110050</v>
      </c>
      <c r="K28" s="36" t="str">
        <f>CONCATENATE(Cover!$D$6,"fdd/view?i=",J28)</f>
        <v>https://www.dgiwg.org/FAD/fdd/view?i=110050</v>
      </c>
      <c r="L28" s="36" t="s">
        <v>16490</v>
      </c>
      <c r="M28" s="186"/>
      <c r="N28" s="186"/>
      <c r="O28" s="172"/>
    </row>
    <row r="29" spans="1:15" x14ac:dyDescent="0.2">
      <c r="A29" s="197" t="str">
        <f t="shared" si="0"/>
        <v>AvmCode_extrapolation</v>
      </c>
      <c r="B29" s="409"/>
      <c r="C29" s="416"/>
      <c r="D29" s="198" t="s">
        <v>16410</v>
      </c>
      <c r="E29" s="198">
        <v>8</v>
      </c>
      <c r="F29" s="199" t="s">
        <v>16411</v>
      </c>
      <c r="G29" s="1" t="s">
        <v>16412</v>
      </c>
      <c r="H29" s="200"/>
      <c r="I29" s="346"/>
      <c r="J29" s="39">
        <v>110056</v>
      </c>
      <c r="K29" s="36" t="str">
        <f>CONCATENATE(Cover!$D$6,"fdd/view?i=",J29)</f>
        <v>https://www.dgiwg.org/FAD/fdd/view?i=110056</v>
      </c>
      <c r="L29" s="36" t="s">
        <v>16491</v>
      </c>
      <c r="M29" s="186"/>
      <c r="N29" s="186"/>
      <c r="O29" s="172"/>
    </row>
    <row r="30" spans="1:15" ht="25.5" x14ac:dyDescent="0.2">
      <c r="A30" s="197" t="str">
        <f t="shared" si="0"/>
        <v>AvmCode_geodeticSurveyAdequate</v>
      </c>
      <c r="B30" s="409"/>
      <c r="C30" s="416"/>
      <c r="D30" s="198" t="s">
        <v>16414</v>
      </c>
      <c r="E30" s="198">
        <v>1</v>
      </c>
      <c r="F30" s="199" t="s">
        <v>16415</v>
      </c>
      <c r="G30" s="1" t="s">
        <v>16416</v>
      </c>
      <c r="H30" s="200"/>
      <c r="I30" s="346"/>
      <c r="J30" s="39">
        <v>110037</v>
      </c>
      <c r="K30" s="36" t="str">
        <f>CONCATENATE(Cover!$D$6,"fdd/view?i=",J30)</f>
        <v>https://www.dgiwg.org/FAD/fdd/view?i=110037</v>
      </c>
      <c r="L30" s="36" t="s">
        <v>16492</v>
      </c>
      <c r="M30" s="186"/>
      <c r="N30" s="186"/>
      <c r="O30" s="172"/>
    </row>
    <row r="31" spans="1:15" ht="25.5" x14ac:dyDescent="0.2">
      <c r="A31" s="197" t="str">
        <f t="shared" si="0"/>
        <v>AvmCode_geodeticSurveySmall</v>
      </c>
      <c r="B31" s="409"/>
      <c r="C31" s="416"/>
      <c r="D31" s="198" t="s">
        <v>16418</v>
      </c>
      <c r="E31" s="198">
        <v>2</v>
      </c>
      <c r="F31" s="199" t="s">
        <v>16419</v>
      </c>
      <c r="G31" s="1" t="s">
        <v>16420</v>
      </c>
      <c r="H31" s="200"/>
      <c r="I31" s="346"/>
      <c r="J31" s="39">
        <v>110048</v>
      </c>
      <c r="K31" s="36" t="str">
        <f>CONCATENATE(Cover!$D$6,"fdd/view?i=",J31)</f>
        <v>https://www.dgiwg.org/FAD/fdd/view?i=110048</v>
      </c>
      <c r="L31" s="36" t="s">
        <v>16493</v>
      </c>
      <c r="M31" s="186"/>
      <c r="N31" s="186"/>
      <c r="O31" s="172"/>
    </row>
    <row r="32" spans="1:15" ht="25.5" x14ac:dyDescent="0.2">
      <c r="A32" s="197" t="str">
        <f t="shared" si="0"/>
        <v>AvmCode_insufficientControl</v>
      </c>
      <c r="B32" s="409"/>
      <c r="C32" s="416"/>
      <c r="D32" s="198" t="s">
        <v>16422</v>
      </c>
      <c r="E32" s="198">
        <v>10</v>
      </c>
      <c r="F32" s="199" t="s">
        <v>16423</v>
      </c>
      <c r="G32" s="1" t="s">
        <v>16424</v>
      </c>
      <c r="H32" s="200"/>
      <c r="I32" s="346"/>
      <c r="J32" s="39">
        <v>110038</v>
      </c>
      <c r="K32" s="36" t="str">
        <f>CONCATENATE(Cover!$D$6,"fdd/view?i=",J32)</f>
        <v>https://www.dgiwg.org/FAD/fdd/view?i=110038</v>
      </c>
      <c r="L32" s="36" t="s">
        <v>16494</v>
      </c>
      <c r="M32" s="186"/>
      <c r="N32" s="186"/>
      <c r="O32" s="172"/>
    </row>
    <row r="33" spans="1:15" ht="25.5" x14ac:dyDescent="0.2">
      <c r="A33" s="197" t="str">
        <f t="shared" si="0"/>
        <v>AvmCode_insufficientGraticule</v>
      </c>
      <c r="B33" s="409"/>
      <c r="C33" s="416"/>
      <c r="D33" s="198" t="s">
        <v>16426</v>
      </c>
      <c r="E33" s="198">
        <v>18</v>
      </c>
      <c r="F33" s="199" t="s">
        <v>16427</v>
      </c>
      <c r="G33" s="1" t="s">
        <v>16428</v>
      </c>
      <c r="H33" s="200"/>
      <c r="I33" s="346"/>
      <c r="J33" s="39">
        <v>110046</v>
      </c>
      <c r="K33" s="36" t="str">
        <f>CONCATENATE(Cover!$D$6,"fdd/view?i=",J33)</f>
        <v>https://www.dgiwg.org/FAD/fdd/view?i=110046</v>
      </c>
      <c r="L33" s="36" t="s">
        <v>16495</v>
      </c>
      <c r="M33" s="186"/>
      <c r="N33" s="186"/>
      <c r="O33" s="172"/>
    </row>
    <row r="34" spans="1:15" ht="25.5" x14ac:dyDescent="0.2">
      <c r="A34" s="197" t="str">
        <f t="shared" si="0"/>
        <v>AvmCode_insufficientIdentFeatures</v>
      </c>
      <c r="B34" s="409"/>
      <c r="C34" s="416"/>
      <c r="D34" s="198" t="s">
        <v>16430</v>
      </c>
      <c r="E34" s="198">
        <v>11</v>
      </c>
      <c r="F34" s="199" t="s">
        <v>16431</v>
      </c>
      <c r="G34" s="1" t="s">
        <v>16432</v>
      </c>
      <c r="H34" s="200"/>
      <c r="I34" s="346"/>
      <c r="J34" s="39">
        <v>110039</v>
      </c>
      <c r="K34" s="36" t="str">
        <f>CONCATENATE(Cover!$D$6,"fdd/view?i=",J34)</f>
        <v>https://www.dgiwg.org/FAD/fdd/view?i=110039</v>
      </c>
      <c r="L34" s="36" t="s">
        <v>16496</v>
      </c>
      <c r="M34" s="186"/>
      <c r="N34" s="186"/>
      <c r="O34" s="172"/>
    </row>
    <row r="35" spans="1:15" ht="25.5" x14ac:dyDescent="0.2">
      <c r="A35" s="197" t="str">
        <f t="shared" si="0"/>
        <v>AvmCode_oldEvaluation</v>
      </c>
      <c r="B35" s="409"/>
      <c r="C35" s="416"/>
      <c r="D35" s="198" t="s">
        <v>16434</v>
      </c>
      <c r="E35" s="198">
        <v>16</v>
      </c>
      <c r="F35" s="199" t="s">
        <v>16435</v>
      </c>
      <c r="G35" s="1" t="s">
        <v>16436</v>
      </c>
      <c r="H35" s="200"/>
      <c r="I35" s="346"/>
      <c r="J35" s="39">
        <v>110044</v>
      </c>
      <c r="K35" s="36" t="str">
        <f>CONCATENATE(Cover!$D$6,"fdd/view?i=",J35)</f>
        <v>https://www.dgiwg.org/FAD/fdd/view?i=110044</v>
      </c>
      <c r="L35" s="36" t="s">
        <v>16497</v>
      </c>
      <c r="M35" s="186"/>
      <c r="N35" s="186"/>
      <c r="O35" s="172"/>
    </row>
    <row r="36" spans="1:15" ht="25.5" x14ac:dyDescent="0.2">
      <c r="A36" s="197" t="str">
        <f t="shared" si="0"/>
        <v>AvmCode_photogrammAdequate</v>
      </c>
      <c r="B36" s="409"/>
      <c r="C36" s="416"/>
      <c r="D36" s="198" t="s">
        <v>16438</v>
      </c>
      <c r="E36" s="198">
        <v>22</v>
      </c>
      <c r="F36" s="199" t="s">
        <v>16439</v>
      </c>
      <c r="G36" s="1" t="s">
        <v>16440</v>
      </c>
      <c r="H36" s="200"/>
      <c r="I36" s="346"/>
      <c r="J36" s="39">
        <v>117826</v>
      </c>
      <c r="K36" s="36" t="str">
        <f>CONCATENATE(Cover!$D$6,"fdd/view?i=",J36)</f>
        <v>https://www.dgiwg.org/FAD/fdd/view?i=117826</v>
      </c>
      <c r="L36" s="36" t="s">
        <v>16498</v>
      </c>
      <c r="M36" s="186"/>
      <c r="N36" s="186"/>
      <c r="O36" s="172"/>
    </row>
    <row r="37" spans="1:15" ht="38.25" x14ac:dyDescent="0.2">
      <c r="A37" s="197" t="str">
        <f t="shared" si="0"/>
        <v>AvmCode_photogrammGdasAdequate</v>
      </c>
      <c r="B37" s="409"/>
      <c r="C37" s="416"/>
      <c r="D37" s="198" t="s">
        <v>16442</v>
      </c>
      <c r="E37" s="198">
        <v>4</v>
      </c>
      <c r="F37" s="199" t="s">
        <v>16443</v>
      </c>
      <c r="G37" s="1" t="s">
        <v>16444</v>
      </c>
      <c r="H37" s="1" t="s">
        <v>16445</v>
      </c>
      <c r="I37" s="346"/>
      <c r="J37" s="39">
        <v>110052</v>
      </c>
      <c r="K37" s="36" t="str">
        <f>CONCATENATE(Cover!$D$6,"fdd/view?i=",J37)</f>
        <v>https://www.dgiwg.org/FAD/fdd/view?i=110052</v>
      </c>
      <c r="L37" s="36" t="s">
        <v>16499</v>
      </c>
      <c r="M37" s="186"/>
      <c r="N37" s="186"/>
      <c r="O37" s="172"/>
    </row>
    <row r="38" spans="1:15" ht="38.25" x14ac:dyDescent="0.2">
      <c r="A38" s="197" t="str">
        <f t="shared" si="0"/>
        <v>AvmCode_photogrammGdasSmall</v>
      </c>
      <c r="B38" s="409"/>
      <c r="C38" s="416"/>
      <c r="D38" s="198" t="s">
        <v>16447</v>
      </c>
      <c r="E38" s="198">
        <v>5</v>
      </c>
      <c r="F38" s="199" t="s">
        <v>16448</v>
      </c>
      <c r="G38" s="1" t="s">
        <v>16449</v>
      </c>
      <c r="H38" s="1" t="s">
        <v>16445</v>
      </c>
      <c r="I38" s="346"/>
      <c r="J38" s="39">
        <v>110053</v>
      </c>
      <c r="K38" s="36" t="str">
        <f>CONCATENATE(Cover!$D$6,"fdd/view?i=",J38)</f>
        <v>https://www.dgiwg.org/FAD/fdd/view?i=110053</v>
      </c>
      <c r="L38" s="36" t="s">
        <v>16500</v>
      </c>
      <c r="M38" s="186"/>
      <c r="N38" s="186"/>
      <c r="O38" s="172"/>
    </row>
    <row r="39" spans="1:15" ht="38.25" x14ac:dyDescent="0.2">
      <c r="A39" s="197" t="str">
        <f t="shared" si="0"/>
        <v>AvmCode_photogrammNonGdasAdequate</v>
      </c>
      <c r="B39" s="409"/>
      <c r="C39" s="416"/>
      <c r="D39" s="198" t="s">
        <v>16451</v>
      </c>
      <c r="E39" s="198">
        <v>6</v>
      </c>
      <c r="F39" s="199" t="s">
        <v>16452</v>
      </c>
      <c r="G39" s="1" t="s">
        <v>16453</v>
      </c>
      <c r="H39" s="1" t="s">
        <v>16445</v>
      </c>
      <c r="I39" s="346"/>
      <c r="J39" s="39">
        <v>110054</v>
      </c>
      <c r="K39" s="36" t="str">
        <f>CONCATENATE(Cover!$D$6,"fdd/view?i=",J39)</f>
        <v>https://www.dgiwg.org/FAD/fdd/view?i=110054</v>
      </c>
      <c r="L39" s="36" t="s">
        <v>16501</v>
      </c>
      <c r="M39" s="186"/>
      <c r="N39" s="186"/>
      <c r="O39" s="172"/>
    </row>
    <row r="40" spans="1:15" ht="38.25" x14ac:dyDescent="0.2">
      <c r="A40" s="197" t="str">
        <f t="shared" si="0"/>
        <v>AvmCode_photogrammNonGdasSmall</v>
      </c>
      <c r="B40" s="409"/>
      <c r="C40" s="416"/>
      <c r="D40" s="198" t="s">
        <v>16455</v>
      </c>
      <c r="E40" s="198">
        <v>7</v>
      </c>
      <c r="F40" s="199" t="s">
        <v>16456</v>
      </c>
      <c r="G40" s="1" t="s">
        <v>16457</v>
      </c>
      <c r="H40" s="1" t="s">
        <v>16445</v>
      </c>
      <c r="I40" s="346"/>
      <c r="J40" s="39">
        <v>110055</v>
      </c>
      <c r="K40" s="36" t="str">
        <f>CONCATENATE(Cover!$D$6,"fdd/view?i=",J40)</f>
        <v>https://www.dgiwg.org/FAD/fdd/view?i=110055</v>
      </c>
      <c r="L40" s="36" t="s">
        <v>16502</v>
      </c>
      <c r="M40" s="186"/>
      <c r="N40" s="186"/>
      <c r="O40" s="172"/>
    </row>
    <row r="41" spans="1:15" ht="25.5" x14ac:dyDescent="0.2">
      <c r="A41" s="197" t="str">
        <f t="shared" si="0"/>
        <v>AvmCode_photogrammSmall</v>
      </c>
      <c r="B41" s="409"/>
      <c r="C41" s="416"/>
      <c r="D41" s="198" t="s">
        <v>16459</v>
      </c>
      <c r="E41" s="198">
        <v>23</v>
      </c>
      <c r="F41" s="199" t="s">
        <v>16460</v>
      </c>
      <c r="G41" s="1" t="s">
        <v>16461</v>
      </c>
      <c r="H41" s="200"/>
      <c r="I41" s="346"/>
      <c r="J41" s="39">
        <v>117827</v>
      </c>
      <c r="K41" s="36" t="str">
        <f>CONCATENATE(Cover!$D$6,"fdd/view?i=",J41)</f>
        <v>https://www.dgiwg.org/FAD/fdd/view?i=117827</v>
      </c>
      <c r="L41" s="36" t="s">
        <v>16503</v>
      </c>
      <c r="M41" s="186"/>
      <c r="N41" s="186"/>
      <c r="O41" s="172"/>
    </row>
    <row r="42" spans="1:15" ht="38.25" x14ac:dyDescent="0.2">
      <c r="A42" s="197" t="str">
        <f t="shared" si="0"/>
        <v>AvmCode_photogrammWithBias</v>
      </c>
      <c r="B42" s="409"/>
      <c r="C42" s="416"/>
      <c r="D42" s="198" t="s">
        <v>16463</v>
      </c>
      <c r="E42" s="198">
        <v>3</v>
      </c>
      <c r="F42" s="199" t="s">
        <v>16464</v>
      </c>
      <c r="G42" s="1" t="s">
        <v>16465</v>
      </c>
      <c r="H42" s="200"/>
      <c r="I42" s="346"/>
      <c r="J42" s="39">
        <v>110051</v>
      </c>
      <c r="K42" s="36" t="str">
        <f>CONCATENATE(Cover!$D$6,"fdd/view?i=",J42)</f>
        <v>https://www.dgiwg.org/FAD/fdd/view?i=110051</v>
      </c>
      <c r="L42" s="36" t="s">
        <v>16504</v>
      </c>
      <c r="M42" s="186"/>
      <c r="N42" s="186"/>
      <c r="O42" s="172"/>
    </row>
    <row r="43" spans="1:15" ht="25.5" x14ac:dyDescent="0.2">
      <c r="A43" s="197" t="str">
        <f t="shared" si="0"/>
        <v>AvmCode_postProductionSampling</v>
      </c>
      <c r="B43" s="409"/>
      <c r="C43" s="416"/>
      <c r="D43" s="198" t="s">
        <v>16467</v>
      </c>
      <c r="E43" s="198">
        <v>14</v>
      </c>
      <c r="F43" s="199" t="s">
        <v>16468</v>
      </c>
      <c r="G43" s="1" t="s">
        <v>16469</v>
      </c>
      <c r="H43" s="200"/>
      <c r="I43" s="346"/>
      <c r="J43" s="39">
        <v>110042</v>
      </c>
      <c r="K43" s="36" t="str">
        <f>CONCATENATE(Cover!$D$6,"fdd/view?i=",J43)</f>
        <v>https://www.dgiwg.org/FAD/fdd/view?i=110042</v>
      </c>
      <c r="L43" s="36" t="s">
        <v>16505</v>
      </c>
      <c r="M43" s="186"/>
      <c r="N43" s="186"/>
      <c r="O43" s="172"/>
    </row>
    <row r="44" spans="1:15" ht="25.5" x14ac:dyDescent="0.2">
      <c r="A44" s="197" t="str">
        <f t="shared" si="0"/>
        <v>AvmCode_productSpecification</v>
      </c>
      <c r="B44" s="409"/>
      <c r="C44" s="416"/>
      <c r="D44" s="198" t="s">
        <v>16471</v>
      </c>
      <c r="E44" s="198">
        <v>15</v>
      </c>
      <c r="F44" s="199" t="s">
        <v>16472</v>
      </c>
      <c r="G44" s="1" t="s">
        <v>16473</v>
      </c>
      <c r="H44" s="200"/>
      <c r="I44" s="346"/>
      <c r="J44" s="39">
        <v>110043</v>
      </c>
      <c r="K44" s="36" t="str">
        <f>CONCATENATE(Cover!$D$6,"fdd/view?i=",J44)</f>
        <v>https://www.dgiwg.org/FAD/fdd/view?i=110043</v>
      </c>
      <c r="L44" s="36" t="s">
        <v>16506</v>
      </c>
      <c r="M44" s="186"/>
      <c r="N44" s="186"/>
      <c r="O44" s="172"/>
    </row>
    <row r="45" spans="1:15" ht="25.5" x14ac:dyDescent="0.2">
      <c r="A45" s="197" t="str">
        <f t="shared" si="0"/>
        <v>AvmCode_scaleTooSmall</v>
      </c>
      <c r="B45" s="409"/>
      <c r="C45" s="416"/>
      <c r="D45" s="198" t="s">
        <v>16475</v>
      </c>
      <c r="E45" s="198">
        <v>19</v>
      </c>
      <c r="F45" s="199" t="s">
        <v>16476</v>
      </c>
      <c r="G45" s="1" t="s">
        <v>16477</v>
      </c>
      <c r="H45" s="200"/>
      <c r="I45" s="346"/>
      <c r="J45" s="39">
        <v>110047</v>
      </c>
      <c r="K45" s="36" t="str">
        <f>CONCATENATE(Cover!$D$6,"fdd/view?i=",J45)</f>
        <v>https://www.dgiwg.org/FAD/fdd/view?i=110047</v>
      </c>
      <c r="L45" s="36" t="s">
        <v>16507</v>
      </c>
      <c r="M45" s="186"/>
      <c r="N45" s="186"/>
      <c r="O45" s="172"/>
    </row>
    <row r="46" spans="1:15" ht="25.5" x14ac:dyDescent="0.2">
      <c r="A46" s="197" t="str">
        <f t="shared" si="0"/>
        <v>AvmCode_sourceAccuracy</v>
      </c>
      <c r="B46" s="409"/>
      <c r="C46" s="416"/>
      <c r="D46" s="198" t="s">
        <v>16479</v>
      </c>
      <c r="E46" s="198">
        <v>13</v>
      </c>
      <c r="F46" s="199" t="s">
        <v>16480</v>
      </c>
      <c r="G46" s="1" t="s">
        <v>16481</v>
      </c>
      <c r="H46" s="200"/>
      <c r="I46" s="346"/>
      <c r="J46" s="39">
        <v>110041</v>
      </c>
      <c r="K46" s="36" t="str">
        <f>CONCATENATE(Cover!$D$6,"fdd/view?i=",J46)</f>
        <v>https://www.dgiwg.org/FAD/fdd/view?i=110041</v>
      </c>
      <c r="L46" s="36" t="s">
        <v>16508</v>
      </c>
      <c r="M46" s="186"/>
      <c r="N46" s="186"/>
      <c r="O46" s="172"/>
    </row>
    <row r="47" spans="1:15" ht="51" x14ac:dyDescent="0.2">
      <c r="A47" s="203" t="str">
        <f t="shared" si="0"/>
        <v>AvmCode_unableToPerformEvaluation</v>
      </c>
      <c r="B47" s="410"/>
      <c r="C47" s="417"/>
      <c r="D47" s="204" t="s">
        <v>16483</v>
      </c>
      <c r="E47" s="204">
        <v>9</v>
      </c>
      <c r="F47" s="205" t="s">
        <v>16484</v>
      </c>
      <c r="G47" s="206" t="s">
        <v>16485</v>
      </c>
      <c r="H47" s="207"/>
      <c r="I47" s="347"/>
      <c r="J47" s="39">
        <v>110057</v>
      </c>
      <c r="K47" s="36" t="str">
        <f>CONCATENATE(Cover!$D$6,"fdd/view?i=",J47)</f>
        <v>https://www.dgiwg.org/FAD/fdd/view?i=110057</v>
      </c>
      <c r="L47" s="36" t="s">
        <v>16509</v>
      </c>
      <c r="M47" s="186"/>
      <c r="N47" s="186"/>
      <c r="O47" s="172"/>
    </row>
    <row r="48" spans="1:15" ht="25.5" x14ac:dyDescent="0.2">
      <c r="A48" s="190" t="str">
        <f t="shared" si="0"/>
        <v>AcsCode_closed</v>
      </c>
      <c r="B48" s="414" t="str">
        <f>HYPERLINK("[#]Datatypes!A6:L6","AcsCode")</f>
        <v>AcsCode</v>
      </c>
      <c r="C48" s="415" t="s">
        <v>14543</v>
      </c>
      <c r="D48" s="221" t="s">
        <v>16510</v>
      </c>
      <c r="E48" s="221">
        <v>7</v>
      </c>
      <c r="F48" s="222" t="s">
        <v>16511</v>
      </c>
      <c r="G48" s="223" t="s">
        <v>16512</v>
      </c>
      <c r="H48" s="223" t="s">
        <v>16513</v>
      </c>
      <c r="I48" s="345"/>
      <c r="J48" s="39">
        <v>101605</v>
      </c>
      <c r="K48" s="36" t="str">
        <f>CONCATENATE(Cover!$D$6,"fdd/view?i=",J48)</f>
        <v>https://www.dgiwg.org/FAD/fdd/view?i=101605</v>
      </c>
      <c r="L48" s="36" t="s">
        <v>16514</v>
      </c>
      <c r="M48" s="186"/>
      <c r="N48" s="186"/>
      <c r="O48" s="172"/>
    </row>
    <row r="49" spans="1:15" x14ac:dyDescent="0.2">
      <c r="A49" s="197" t="str">
        <f t="shared" si="0"/>
        <v>AcsCode_limited</v>
      </c>
      <c r="B49" s="409"/>
      <c r="C49" s="416"/>
      <c r="D49" s="198" t="s">
        <v>16515</v>
      </c>
      <c r="E49" s="198">
        <v>6</v>
      </c>
      <c r="F49" s="199" t="s">
        <v>16516</v>
      </c>
      <c r="G49" s="1" t="s">
        <v>16517</v>
      </c>
      <c r="H49" s="1" t="s">
        <v>16518</v>
      </c>
      <c r="I49" s="346"/>
      <c r="J49" s="39">
        <v>101604</v>
      </c>
      <c r="K49" s="36" t="str">
        <f>CONCATENATE(Cover!$D$6,"fdd/view?i=",J49)</f>
        <v>https://www.dgiwg.org/FAD/fdd/view?i=101604</v>
      </c>
      <c r="L49" s="36" t="s">
        <v>16519</v>
      </c>
      <c r="M49" s="186"/>
      <c r="N49" s="186"/>
      <c r="O49" s="172"/>
    </row>
    <row r="50" spans="1:15" ht="25.5" x14ac:dyDescent="0.2">
      <c r="A50" s="197" t="str">
        <f t="shared" si="0"/>
        <v>AcsCode_locked</v>
      </c>
      <c r="B50" s="409"/>
      <c r="C50" s="416"/>
      <c r="D50" s="198" t="s">
        <v>16520</v>
      </c>
      <c r="E50" s="198">
        <v>1</v>
      </c>
      <c r="F50" s="199" t="s">
        <v>16521</v>
      </c>
      <c r="G50" s="1" t="s">
        <v>16522</v>
      </c>
      <c r="H50" s="200"/>
      <c r="I50" s="346"/>
      <c r="J50" s="39">
        <v>101599</v>
      </c>
      <c r="K50" s="36" t="str">
        <f>CONCATENATE(Cover!$D$6,"fdd/view?i=",J50)</f>
        <v>https://www.dgiwg.org/FAD/fdd/view?i=101599</v>
      </c>
      <c r="L50" s="36" t="s">
        <v>16523</v>
      </c>
      <c r="M50" s="186"/>
      <c r="N50" s="186"/>
      <c r="O50" s="172"/>
    </row>
    <row r="51" spans="1:15" ht="25.5" x14ac:dyDescent="0.2">
      <c r="A51" s="197" t="str">
        <f t="shared" si="0"/>
        <v>AcsCode_lockedClosed</v>
      </c>
      <c r="B51" s="409"/>
      <c r="C51" s="416"/>
      <c r="D51" s="198" t="s">
        <v>16524</v>
      </c>
      <c r="E51" s="198">
        <v>3</v>
      </c>
      <c r="F51" s="199" t="s">
        <v>16525</v>
      </c>
      <c r="G51" s="1" t="s">
        <v>16526</v>
      </c>
      <c r="H51" s="200"/>
      <c r="I51" s="346"/>
      <c r="J51" s="39">
        <v>101601</v>
      </c>
      <c r="K51" s="36" t="str">
        <f>CONCATENATE(Cover!$D$6,"fdd/view?i=",J51)</f>
        <v>https://www.dgiwg.org/FAD/fdd/view?i=101601</v>
      </c>
      <c r="L51" s="36" t="s">
        <v>16527</v>
      </c>
      <c r="M51" s="186"/>
      <c r="N51" s="186"/>
      <c r="O51" s="172"/>
    </row>
    <row r="52" spans="1:15" ht="38.25" x14ac:dyDescent="0.2">
      <c r="A52" s="197" t="str">
        <f t="shared" si="0"/>
        <v>AcsCode_lockedOpen</v>
      </c>
      <c r="B52" s="409"/>
      <c r="C52" s="416"/>
      <c r="D52" s="198" t="s">
        <v>16528</v>
      </c>
      <c r="E52" s="198">
        <v>4</v>
      </c>
      <c r="F52" s="199" t="s">
        <v>16529</v>
      </c>
      <c r="G52" s="1" t="s">
        <v>16530</v>
      </c>
      <c r="H52" s="200"/>
      <c r="I52" s="346"/>
      <c r="J52" s="39">
        <v>101602</v>
      </c>
      <c r="K52" s="36" t="str">
        <f>CONCATENATE(Cover!$D$6,"fdd/view?i=",J52)</f>
        <v>https://www.dgiwg.org/FAD/fdd/view?i=101602</v>
      </c>
      <c r="L52" s="36" t="s">
        <v>16531</v>
      </c>
      <c r="M52" s="186"/>
      <c r="N52" s="186"/>
      <c r="O52" s="172"/>
    </row>
    <row r="53" spans="1:15" ht="25.5" x14ac:dyDescent="0.2">
      <c r="A53" s="197" t="str">
        <f t="shared" si="0"/>
        <v>AcsCode_open</v>
      </c>
      <c r="B53" s="409"/>
      <c r="C53" s="416"/>
      <c r="D53" s="198" t="s">
        <v>16532</v>
      </c>
      <c r="E53" s="198">
        <v>2</v>
      </c>
      <c r="F53" s="199" t="s">
        <v>16533</v>
      </c>
      <c r="G53" s="1" t="s">
        <v>16534</v>
      </c>
      <c r="H53" s="1" t="s">
        <v>16535</v>
      </c>
      <c r="I53" s="346"/>
      <c r="J53" s="39">
        <v>101600</v>
      </c>
      <c r="K53" s="36" t="str">
        <f>CONCATENATE(Cover!$D$6,"fdd/view?i=",J53)</f>
        <v>https://www.dgiwg.org/FAD/fdd/view?i=101600</v>
      </c>
      <c r="L53" s="36" t="s">
        <v>16536</v>
      </c>
      <c r="M53" s="186"/>
      <c r="N53" s="186"/>
      <c r="O53" s="172"/>
    </row>
    <row r="54" spans="1:15" ht="25.5" x14ac:dyDescent="0.2">
      <c r="A54" s="203" t="str">
        <f t="shared" si="0"/>
        <v>AcsCode_restricted</v>
      </c>
      <c r="B54" s="410"/>
      <c r="C54" s="417"/>
      <c r="D54" s="204" t="s">
        <v>16537</v>
      </c>
      <c r="E54" s="204">
        <v>5</v>
      </c>
      <c r="F54" s="205" t="s">
        <v>16538</v>
      </c>
      <c r="G54" s="206" t="s">
        <v>16539</v>
      </c>
      <c r="H54" s="206" t="s">
        <v>16518</v>
      </c>
      <c r="I54" s="347"/>
      <c r="J54" s="39">
        <v>101603</v>
      </c>
      <c r="K54" s="36" t="str">
        <f>CONCATENATE(Cover!$D$6,"fdd/view?i=",J54)</f>
        <v>https://www.dgiwg.org/FAD/fdd/view?i=101603</v>
      </c>
      <c r="L54" s="36" t="s">
        <v>16540</v>
      </c>
      <c r="M54" s="186"/>
      <c r="N54" s="186"/>
      <c r="O54" s="172"/>
    </row>
    <row r="55" spans="1:15" ht="25.5" x14ac:dyDescent="0.2">
      <c r="A55" s="190" t="str">
        <f t="shared" si="0"/>
        <v>UtyCode_cableTelevision</v>
      </c>
      <c r="B55" s="414" t="str">
        <f>HYPERLINK("[#]Datatypes!A8:L8","UtyCode")</f>
        <v>UtyCode</v>
      </c>
      <c r="C55" s="415" t="s">
        <v>14545</v>
      </c>
      <c r="D55" s="221" t="s">
        <v>16541</v>
      </c>
      <c r="E55" s="221">
        <v>1</v>
      </c>
      <c r="F55" s="222" t="s">
        <v>16542</v>
      </c>
      <c r="G55" s="223" t="s">
        <v>16543</v>
      </c>
      <c r="H55" s="224"/>
      <c r="I55" s="345"/>
      <c r="J55" s="39">
        <v>118052</v>
      </c>
      <c r="K55" s="36" t="str">
        <f>CONCATENATE(Cover!$D$6,"fdd/view?i=",J55)</f>
        <v>https://www.dgiwg.org/FAD/fdd/view?i=118052</v>
      </c>
      <c r="L55" s="36" t="s">
        <v>16544</v>
      </c>
      <c r="M55" s="186"/>
      <c r="N55" s="186"/>
      <c r="O55" s="172"/>
    </row>
    <row r="56" spans="1:15" ht="25.5" x14ac:dyDescent="0.2">
      <c r="A56" s="197" t="str">
        <f t="shared" si="0"/>
        <v>UtyCode_coolingFluidCirculation</v>
      </c>
      <c r="B56" s="409"/>
      <c r="C56" s="416"/>
      <c r="D56" s="198" t="s">
        <v>16545</v>
      </c>
      <c r="E56" s="198">
        <v>2</v>
      </c>
      <c r="F56" s="199" t="s">
        <v>16546</v>
      </c>
      <c r="G56" s="1" t="s">
        <v>16547</v>
      </c>
      <c r="H56" s="200"/>
      <c r="I56" s="346"/>
      <c r="J56" s="39">
        <v>118053</v>
      </c>
      <c r="K56" s="36" t="str">
        <f>CONCATENATE(Cover!$D$6,"fdd/view?i=",J56)</f>
        <v>https://www.dgiwg.org/FAD/fdd/view?i=118053</v>
      </c>
      <c r="L56" s="36" t="s">
        <v>16548</v>
      </c>
      <c r="M56" s="186"/>
      <c r="N56" s="186"/>
      <c r="O56" s="172"/>
    </row>
    <row r="57" spans="1:15" ht="25.5" x14ac:dyDescent="0.2">
      <c r="A57" s="197" t="str">
        <f t="shared" si="0"/>
        <v>UtyCode_digitalFibreOpticSystem</v>
      </c>
      <c r="B57" s="409"/>
      <c r="C57" s="416"/>
      <c r="D57" s="198" t="s">
        <v>16549</v>
      </c>
      <c r="E57" s="198">
        <v>3</v>
      </c>
      <c r="F57" s="199" t="s">
        <v>16550</v>
      </c>
      <c r="G57" s="1" t="s">
        <v>16551</v>
      </c>
      <c r="H57" s="200"/>
      <c r="I57" s="346"/>
      <c r="J57" s="39">
        <v>118054</v>
      </c>
      <c r="K57" s="36" t="str">
        <f>CONCATENATE(Cover!$D$6,"fdd/view?i=",J57)</f>
        <v>https://www.dgiwg.org/FAD/fdd/view?i=118054</v>
      </c>
      <c r="L57" s="36" t="s">
        <v>16552</v>
      </c>
      <c r="M57" s="186"/>
      <c r="N57" s="186"/>
      <c r="O57" s="172"/>
    </row>
    <row r="58" spans="1:15" ht="25.5" x14ac:dyDescent="0.2">
      <c r="A58" s="197" t="str">
        <f t="shared" si="0"/>
        <v>UtyCode_electricPowerDistribution</v>
      </c>
      <c r="B58" s="409"/>
      <c r="C58" s="416"/>
      <c r="D58" s="198" t="s">
        <v>16553</v>
      </c>
      <c r="E58" s="198">
        <v>4</v>
      </c>
      <c r="F58" s="199" t="s">
        <v>16554</v>
      </c>
      <c r="G58" s="1" t="s">
        <v>16555</v>
      </c>
      <c r="H58" s="200"/>
      <c r="I58" s="346"/>
      <c r="J58" s="39">
        <v>118055</v>
      </c>
      <c r="K58" s="36" t="str">
        <f>CONCATENATE(Cover!$D$6,"fdd/view?i=",J58)</f>
        <v>https://www.dgiwg.org/FAD/fdd/view?i=118055</v>
      </c>
      <c r="L58" s="36" t="s">
        <v>16556</v>
      </c>
      <c r="M58" s="186"/>
      <c r="N58" s="186"/>
      <c r="O58" s="172"/>
    </row>
    <row r="59" spans="1:15" ht="25.5" x14ac:dyDescent="0.2">
      <c r="A59" s="197" t="str">
        <f t="shared" si="0"/>
        <v>UtyCode_heatingFluidCirculation</v>
      </c>
      <c r="B59" s="409"/>
      <c r="C59" s="416"/>
      <c r="D59" s="198" t="s">
        <v>16557</v>
      </c>
      <c r="E59" s="198">
        <v>5</v>
      </c>
      <c r="F59" s="199" t="s">
        <v>16558</v>
      </c>
      <c r="G59" s="1" t="s">
        <v>16559</v>
      </c>
      <c r="H59" s="200"/>
      <c r="I59" s="346"/>
      <c r="J59" s="39">
        <v>118056</v>
      </c>
      <c r="K59" s="36" t="str">
        <f>CONCATENATE(Cover!$D$6,"fdd/view?i=",J59)</f>
        <v>https://www.dgiwg.org/FAD/fdd/view?i=118056</v>
      </c>
      <c r="L59" s="36" t="s">
        <v>16560</v>
      </c>
      <c r="M59" s="186"/>
      <c r="N59" s="186"/>
      <c r="O59" s="172"/>
    </row>
    <row r="60" spans="1:15" ht="38.25" x14ac:dyDescent="0.2">
      <c r="A60" s="197" t="str">
        <f t="shared" si="0"/>
        <v>UtyCode_naturalGasDistribution</v>
      </c>
      <c r="B60" s="409"/>
      <c r="C60" s="416"/>
      <c r="D60" s="198" t="s">
        <v>16561</v>
      </c>
      <c r="E60" s="198">
        <v>6</v>
      </c>
      <c r="F60" s="199" t="s">
        <v>16562</v>
      </c>
      <c r="G60" s="1" t="s">
        <v>16563</v>
      </c>
      <c r="H60" s="1" t="s">
        <v>16564</v>
      </c>
      <c r="I60" s="346"/>
      <c r="J60" s="39">
        <v>118057</v>
      </c>
      <c r="K60" s="36" t="str">
        <f>CONCATENATE(Cover!$D$6,"fdd/view?i=",J60)</f>
        <v>https://www.dgiwg.org/FAD/fdd/view?i=118057</v>
      </c>
      <c r="L60" s="36" t="s">
        <v>16565</v>
      </c>
      <c r="M60" s="186"/>
      <c r="N60" s="186"/>
      <c r="O60" s="172"/>
    </row>
    <row r="61" spans="1:15" ht="25.5" x14ac:dyDescent="0.2">
      <c r="A61" s="197" t="str">
        <f t="shared" si="0"/>
        <v>UtyCode_sewage</v>
      </c>
      <c r="B61" s="409"/>
      <c r="C61" s="416"/>
      <c r="D61" s="198" t="s">
        <v>16566</v>
      </c>
      <c r="E61" s="198">
        <v>7</v>
      </c>
      <c r="F61" s="199" t="s">
        <v>16567</v>
      </c>
      <c r="G61" s="1" t="s">
        <v>16568</v>
      </c>
      <c r="H61" s="200"/>
      <c r="I61" s="346"/>
      <c r="J61" s="39">
        <v>118058</v>
      </c>
      <c r="K61" s="36" t="str">
        <f>CONCATENATE(Cover!$D$6,"fdd/view?i=",J61)</f>
        <v>https://www.dgiwg.org/FAD/fdd/view?i=118058</v>
      </c>
      <c r="L61" s="36" t="s">
        <v>16569</v>
      </c>
      <c r="M61" s="186"/>
      <c r="N61" s="186"/>
      <c r="O61" s="172"/>
    </row>
    <row r="62" spans="1:15" ht="25.5" x14ac:dyDescent="0.2">
      <c r="A62" s="197" t="str">
        <f t="shared" si="0"/>
        <v>UtyCode_stormSewer</v>
      </c>
      <c r="B62" s="409"/>
      <c r="C62" s="416"/>
      <c r="D62" s="198" t="s">
        <v>16570</v>
      </c>
      <c r="E62" s="198">
        <v>8</v>
      </c>
      <c r="F62" s="199" t="s">
        <v>16571</v>
      </c>
      <c r="G62" s="1" t="s">
        <v>16572</v>
      </c>
      <c r="H62" s="200"/>
      <c r="I62" s="346"/>
      <c r="J62" s="39">
        <v>118059</v>
      </c>
      <c r="K62" s="36" t="str">
        <f>CONCATENATE(Cover!$D$6,"fdd/view?i=",J62)</f>
        <v>https://www.dgiwg.org/FAD/fdd/view?i=118059</v>
      </c>
      <c r="L62" s="36" t="s">
        <v>16573</v>
      </c>
      <c r="M62" s="186"/>
      <c r="N62" s="186"/>
      <c r="O62" s="172"/>
    </row>
    <row r="63" spans="1:15" ht="25.5" x14ac:dyDescent="0.2">
      <c r="A63" s="197" t="str">
        <f t="shared" si="0"/>
        <v>UtyCode_streetLight</v>
      </c>
      <c r="B63" s="409"/>
      <c r="C63" s="416"/>
      <c r="D63" s="198" t="s">
        <v>16574</v>
      </c>
      <c r="E63" s="198">
        <v>9</v>
      </c>
      <c r="F63" s="199" t="s">
        <v>5300</v>
      </c>
      <c r="G63" s="1" t="s">
        <v>16575</v>
      </c>
      <c r="H63" s="200"/>
      <c r="I63" s="346"/>
      <c r="J63" s="39">
        <v>118060</v>
      </c>
      <c r="K63" s="36" t="str">
        <f>CONCATENATE(Cover!$D$6,"fdd/view?i=",J63)</f>
        <v>https://www.dgiwg.org/FAD/fdd/view?i=118060</v>
      </c>
      <c r="L63" s="36" t="s">
        <v>16576</v>
      </c>
      <c r="M63" s="186"/>
      <c r="N63" s="186"/>
      <c r="O63" s="172"/>
    </row>
    <row r="64" spans="1:15" x14ac:dyDescent="0.2">
      <c r="A64" s="197" t="str">
        <f t="shared" si="0"/>
        <v>UtyCode_telegraph</v>
      </c>
      <c r="B64" s="409"/>
      <c r="C64" s="416"/>
      <c r="D64" s="198" t="s">
        <v>16577</v>
      </c>
      <c r="E64" s="198">
        <v>10</v>
      </c>
      <c r="F64" s="199" t="s">
        <v>16578</v>
      </c>
      <c r="G64" s="1" t="s">
        <v>16579</v>
      </c>
      <c r="H64" s="200"/>
      <c r="I64" s="346"/>
      <c r="J64" s="39">
        <v>118061</v>
      </c>
      <c r="K64" s="36" t="str">
        <f>CONCATENATE(Cover!$D$6,"fdd/view?i=",J64)</f>
        <v>https://www.dgiwg.org/FAD/fdd/view?i=118061</v>
      </c>
      <c r="L64" s="36" t="s">
        <v>16580</v>
      </c>
      <c r="M64" s="186"/>
      <c r="N64" s="186"/>
      <c r="O64" s="172"/>
    </row>
    <row r="65" spans="1:15" ht="38.25" x14ac:dyDescent="0.2">
      <c r="A65" s="197" t="str">
        <f t="shared" si="0"/>
        <v>UtyCode_telephone</v>
      </c>
      <c r="B65" s="409"/>
      <c r="C65" s="416"/>
      <c r="D65" s="198" t="s">
        <v>16581</v>
      </c>
      <c r="E65" s="198">
        <v>11</v>
      </c>
      <c r="F65" s="199" t="s">
        <v>16582</v>
      </c>
      <c r="G65" s="1" t="s">
        <v>16583</v>
      </c>
      <c r="H65" s="1" t="s">
        <v>16584</v>
      </c>
      <c r="I65" s="346"/>
      <c r="J65" s="39">
        <v>118062</v>
      </c>
      <c r="K65" s="36" t="str">
        <f>CONCATENATE(Cover!$D$6,"fdd/view?i=",J65)</f>
        <v>https://www.dgiwg.org/FAD/fdd/view?i=118062</v>
      </c>
      <c r="L65" s="36" t="s">
        <v>16585</v>
      </c>
      <c r="M65" s="186"/>
      <c r="N65" s="186"/>
      <c r="O65" s="172"/>
    </row>
    <row r="66" spans="1:15" ht="25.5" x14ac:dyDescent="0.2">
      <c r="A66" s="197" t="str">
        <f t="shared" ref="A66:A129" si="1">HYPERLINK(K66,L66)</f>
        <v>UtyCode_trafficLight</v>
      </c>
      <c r="B66" s="409"/>
      <c r="C66" s="416"/>
      <c r="D66" s="198" t="s">
        <v>16586</v>
      </c>
      <c r="E66" s="198">
        <v>12</v>
      </c>
      <c r="F66" s="199" t="s">
        <v>5532</v>
      </c>
      <c r="G66" s="1" t="s">
        <v>16587</v>
      </c>
      <c r="H66" s="200"/>
      <c r="I66" s="346"/>
      <c r="J66" s="39">
        <v>118063</v>
      </c>
      <c r="K66" s="36" t="str">
        <f>CONCATENATE(Cover!$D$6,"fdd/view?i=",J66)</f>
        <v>https://www.dgiwg.org/FAD/fdd/view?i=118063</v>
      </c>
      <c r="L66" s="36" t="s">
        <v>16588</v>
      </c>
      <c r="M66" s="186"/>
      <c r="N66" s="186"/>
      <c r="O66" s="172"/>
    </row>
    <row r="67" spans="1:15" ht="38.25" x14ac:dyDescent="0.2">
      <c r="A67" s="203" t="str">
        <f t="shared" si="1"/>
        <v>UtyCode_waterDistribution</v>
      </c>
      <c r="B67" s="410"/>
      <c r="C67" s="417"/>
      <c r="D67" s="204" t="s">
        <v>16589</v>
      </c>
      <c r="E67" s="204">
        <v>13</v>
      </c>
      <c r="F67" s="205" t="s">
        <v>16590</v>
      </c>
      <c r="G67" s="206" t="s">
        <v>16591</v>
      </c>
      <c r="H67" s="207"/>
      <c r="I67" s="347"/>
      <c r="J67" s="39">
        <v>118064</v>
      </c>
      <c r="K67" s="36" t="str">
        <f>CONCATENATE(Cover!$D$6,"fdd/view?i=",J67)</f>
        <v>https://www.dgiwg.org/FAD/fdd/view?i=118064</v>
      </c>
      <c r="L67" s="36" t="s">
        <v>16592</v>
      </c>
      <c r="M67" s="186"/>
      <c r="N67" s="186"/>
      <c r="O67" s="172"/>
    </row>
    <row r="68" spans="1:15" ht="25.5" x14ac:dyDescent="0.2">
      <c r="A68" s="190" t="str">
        <f t="shared" si="1"/>
        <v>BruCode_resident</v>
      </c>
      <c r="B68" s="414" t="str">
        <f>HYPERLINK("[#]Datatypes!A10:L10","BruCode")</f>
        <v>BruCode</v>
      </c>
      <c r="C68" s="415" t="s">
        <v>14547</v>
      </c>
      <c r="D68" s="221" t="s">
        <v>16593</v>
      </c>
      <c r="E68" s="221">
        <v>1</v>
      </c>
      <c r="F68" s="222" t="s">
        <v>16594</v>
      </c>
      <c r="G68" s="223" t="s">
        <v>16595</v>
      </c>
      <c r="H68" s="223" t="s">
        <v>16596</v>
      </c>
      <c r="I68" s="345"/>
      <c r="J68" s="39">
        <v>119935</v>
      </c>
      <c r="K68" s="36" t="str">
        <f>CONCATENATE(Cover!$D$6,"fdd/view?i=",J68)</f>
        <v>https://www.dgiwg.org/FAD/fdd/view?i=119935</v>
      </c>
      <c r="L68" s="36" t="s">
        <v>16597</v>
      </c>
      <c r="M68" s="186"/>
      <c r="N68" s="186"/>
      <c r="O68" s="172"/>
    </row>
    <row r="69" spans="1:15" ht="38.25" x14ac:dyDescent="0.2">
      <c r="A69" s="203" t="str">
        <f t="shared" si="1"/>
        <v>BruCode_transient</v>
      </c>
      <c r="B69" s="410"/>
      <c r="C69" s="417"/>
      <c r="D69" s="204" t="s">
        <v>16598</v>
      </c>
      <c r="E69" s="204">
        <v>2</v>
      </c>
      <c r="F69" s="205" t="s">
        <v>16599</v>
      </c>
      <c r="G69" s="206" t="s">
        <v>16600</v>
      </c>
      <c r="H69" s="206" t="s">
        <v>16601</v>
      </c>
      <c r="I69" s="347"/>
      <c r="J69" s="39">
        <v>119936</v>
      </c>
      <c r="K69" s="36" t="str">
        <f>CONCATENATE(Cover!$D$6,"fdd/view?i=",J69)</f>
        <v>https://www.dgiwg.org/FAD/fdd/view?i=119936</v>
      </c>
      <c r="L69" s="36" t="s">
        <v>16602</v>
      </c>
      <c r="M69" s="186"/>
      <c r="N69" s="186"/>
      <c r="O69" s="172"/>
    </row>
    <row r="70" spans="1:15" x14ac:dyDescent="0.2">
      <c r="A70" s="190" t="str">
        <f t="shared" si="1"/>
        <v>DipCode_east</v>
      </c>
      <c r="B70" s="414" t="str">
        <f>HYPERLINK("[#]Datatypes!A20:L20","DipCode")</f>
        <v>DipCode</v>
      </c>
      <c r="C70" s="415" t="s">
        <v>14562</v>
      </c>
      <c r="D70" s="221" t="s">
        <v>16603</v>
      </c>
      <c r="E70" s="221">
        <v>3</v>
      </c>
      <c r="F70" s="222" t="s">
        <v>16604</v>
      </c>
      <c r="G70" s="348" t="s">
        <v>16605</v>
      </c>
      <c r="H70" s="224"/>
      <c r="I70" s="345"/>
      <c r="J70" s="39">
        <v>103360</v>
      </c>
      <c r="K70" s="36" t="str">
        <f>CONCATENATE(Cover!$D$6,"fdd/view?i=",J70)</f>
        <v>https://www.dgiwg.org/FAD/fdd/view?i=103360</v>
      </c>
      <c r="L70" s="36" t="s">
        <v>16606</v>
      </c>
      <c r="M70" s="186"/>
      <c r="N70" s="186"/>
      <c r="O70" s="172"/>
    </row>
    <row r="71" spans="1:15" x14ac:dyDescent="0.2">
      <c r="A71" s="197" t="str">
        <f t="shared" si="1"/>
        <v>DipCode_noPrefix</v>
      </c>
      <c r="B71" s="409"/>
      <c r="C71" s="416"/>
      <c r="D71" s="198" t="s">
        <v>16607</v>
      </c>
      <c r="E71" s="198">
        <v>9</v>
      </c>
      <c r="F71" s="199" t="s">
        <v>16608</v>
      </c>
      <c r="G71" s="1" t="s">
        <v>16609</v>
      </c>
      <c r="H71" s="200"/>
      <c r="I71" s="346"/>
      <c r="J71" s="39">
        <v>110158</v>
      </c>
      <c r="K71" s="36" t="str">
        <f>CONCATENATE(Cover!$D$6,"fdd/view?i=",J71)</f>
        <v>https://www.dgiwg.org/FAD/fdd/view?i=110158</v>
      </c>
      <c r="L71" s="36" t="s">
        <v>16610</v>
      </c>
      <c r="M71" s="186"/>
      <c r="N71" s="186"/>
      <c r="O71" s="172"/>
    </row>
    <row r="72" spans="1:15" x14ac:dyDescent="0.2">
      <c r="A72" s="197" t="str">
        <f t="shared" si="1"/>
        <v>DipCode_north</v>
      </c>
      <c r="B72" s="409"/>
      <c r="C72" s="416"/>
      <c r="D72" s="198" t="s">
        <v>16611</v>
      </c>
      <c r="E72" s="198">
        <v>1</v>
      </c>
      <c r="F72" s="199" t="s">
        <v>16612</v>
      </c>
      <c r="G72" s="349" t="s">
        <v>16613</v>
      </c>
      <c r="H72" s="200"/>
      <c r="I72" s="346"/>
      <c r="J72" s="39">
        <v>103358</v>
      </c>
      <c r="K72" s="36" t="str">
        <f>CONCATENATE(Cover!$D$6,"fdd/view?i=",J72)</f>
        <v>https://www.dgiwg.org/FAD/fdd/view?i=103358</v>
      </c>
      <c r="L72" s="36" t="s">
        <v>16614</v>
      </c>
      <c r="M72" s="186"/>
      <c r="N72" s="186"/>
      <c r="O72" s="172"/>
    </row>
    <row r="73" spans="1:15" x14ac:dyDescent="0.2">
      <c r="A73" s="197" t="str">
        <f t="shared" si="1"/>
        <v>DipCode_northeast</v>
      </c>
      <c r="B73" s="409"/>
      <c r="C73" s="416"/>
      <c r="D73" s="198" t="s">
        <v>16615</v>
      </c>
      <c r="E73" s="198">
        <v>5</v>
      </c>
      <c r="F73" s="199" t="s">
        <v>16616</v>
      </c>
      <c r="G73" s="349" t="s">
        <v>16617</v>
      </c>
      <c r="H73" s="200"/>
      <c r="I73" s="346"/>
      <c r="J73" s="39">
        <v>103362</v>
      </c>
      <c r="K73" s="36" t="str">
        <f>CONCATENATE(Cover!$D$6,"fdd/view?i=",J73)</f>
        <v>https://www.dgiwg.org/FAD/fdd/view?i=103362</v>
      </c>
      <c r="L73" s="36" t="s">
        <v>16618</v>
      </c>
      <c r="M73" s="186"/>
      <c r="N73" s="186"/>
      <c r="O73" s="172"/>
    </row>
    <row r="74" spans="1:15" x14ac:dyDescent="0.2">
      <c r="A74" s="197" t="str">
        <f t="shared" si="1"/>
        <v>DipCode_northwest</v>
      </c>
      <c r="B74" s="409"/>
      <c r="C74" s="416"/>
      <c r="D74" s="198" t="s">
        <v>16619</v>
      </c>
      <c r="E74" s="198">
        <v>6</v>
      </c>
      <c r="F74" s="199" t="s">
        <v>16620</v>
      </c>
      <c r="G74" s="349" t="s">
        <v>16621</v>
      </c>
      <c r="H74" s="200"/>
      <c r="I74" s="346"/>
      <c r="J74" s="39">
        <v>103363</v>
      </c>
      <c r="K74" s="36" t="str">
        <f>CONCATENATE(Cover!$D$6,"fdd/view?i=",J74)</f>
        <v>https://www.dgiwg.org/FAD/fdd/view?i=103363</v>
      </c>
      <c r="L74" s="36" t="s">
        <v>16622</v>
      </c>
      <c r="M74" s="186"/>
      <c r="N74" s="186"/>
      <c r="O74" s="172"/>
    </row>
    <row r="75" spans="1:15" x14ac:dyDescent="0.2">
      <c r="A75" s="197" t="str">
        <f t="shared" si="1"/>
        <v>DipCode_south</v>
      </c>
      <c r="B75" s="409"/>
      <c r="C75" s="416"/>
      <c r="D75" s="198" t="s">
        <v>16623</v>
      </c>
      <c r="E75" s="198">
        <v>2</v>
      </c>
      <c r="F75" s="199" t="s">
        <v>16624</v>
      </c>
      <c r="G75" s="349" t="s">
        <v>16625</v>
      </c>
      <c r="H75" s="200"/>
      <c r="I75" s="346"/>
      <c r="J75" s="39">
        <v>103359</v>
      </c>
      <c r="K75" s="36" t="str">
        <f>CONCATENATE(Cover!$D$6,"fdd/view?i=",J75)</f>
        <v>https://www.dgiwg.org/FAD/fdd/view?i=103359</v>
      </c>
      <c r="L75" s="36" t="s">
        <v>16626</v>
      </c>
      <c r="M75" s="186"/>
      <c r="N75" s="186"/>
      <c r="O75" s="172"/>
    </row>
    <row r="76" spans="1:15" x14ac:dyDescent="0.2">
      <c r="A76" s="197" t="str">
        <f t="shared" si="1"/>
        <v>DipCode_southeast</v>
      </c>
      <c r="B76" s="409"/>
      <c r="C76" s="416"/>
      <c r="D76" s="198" t="s">
        <v>16627</v>
      </c>
      <c r="E76" s="198">
        <v>7</v>
      </c>
      <c r="F76" s="199" t="s">
        <v>16628</v>
      </c>
      <c r="G76" s="349" t="s">
        <v>16629</v>
      </c>
      <c r="H76" s="200"/>
      <c r="I76" s="346"/>
      <c r="J76" s="39">
        <v>103364</v>
      </c>
      <c r="K76" s="36" t="str">
        <f>CONCATENATE(Cover!$D$6,"fdd/view?i=",J76)</f>
        <v>https://www.dgiwg.org/FAD/fdd/view?i=103364</v>
      </c>
      <c r="L76" s="36" t="s">
        <v>16630</v>
      </c>
      <c r="M76" s="186"/>
      <c r="N76" s="186"/>
      <c r="O76" s="172"/>
    </row>
    <row r="77" spans="1:15" x14ac:dyDescent="0.2">
      <c r="A77" s="197" t="str">
        <f t="shared" si="1"/>
        <v>DipCode_southwest</v>
      </c>
      <c r="B77" s="409"/>
      <c r="C77" s="416"/>
      <c r="D77" s="198" t="s">
        <v>16631</v>
      </c>
      <c r="E77" s="198">
        <v>8</v>
      </c>
      <c r="F77" s="199" t="s">
        <v>16632</v>
      </c>
      <c r="G77" s="349" t="s">
        <v>16633</v>
      </c>
      <c r="H77" s="200"/>
      <c r="I77" s="346"/>
      <c r="J77" s="39">
        <v>103365</v>
      </c>
      <c r="K77" s="36" t="str">
        <f>CONCATENATE(Cover!$D$6,"fdd/view?i=",J77)</f>
        <v>https://www.dgiwg.org/FAD/fdd/view?i=103365</v>
      </c>
      <c r="L77" s="36" t="s">
        <v>16634</v>
      </c>
      <c r="M77" s="186"/>
      <c r="N77" s="186"/>
      <c r="O77" s="172"/>
    </row>
    <row r="78" spans="1:15" x14ac:dyDescent="0.2">
      <c r="A78" s="203" t="str">
        <f t="shared" si="1"/>
        <v>DipCode_west</v>
      </c>
      <c r="B78" s="410"/>
      <c r="C78" s="417"/>
      <c r="D78" s="204" t="s">
        <v>16635</v>
      </c>
      <c r="E78" s="204">
        <v>4</v>
      </c>
      <c r="F78" s="205" t="s">
        <v>16636</v>
      </c>
      <c r="G78" s="350" t="s">
        <v>16637</v>
      </c>
      <c r="H78" s="207"/>
      <c r="I78" s="347"/>
      <c r="J78" s="39">
        <v>103361</v>
      </c>
      <c r="K78" s="36" t="str">
        <f>CONCATENATE(Cover!$D$6,"fdd/view?i=",J78)</f>
        <v>https://www.dgiwg.org/FAD/fdd/view?i=103361</v>
      </c>
      <c r="L78" s="36" t="s">
        <v>16638</v>
      </c>
      <c r="M78" s="186"/>
      <c r="N78" s="186"/>
      <c r="O78" s="172"/>
    </row>
    <row r="79" spans="1:15" x14ac:dyDescent="0.2">
      <c r="A79" s="190" t="str">
        <f t="shared" si="1"/>
        <v>DrsCode_east</v>
      </c>
      <c r="B79" s="414" t="str">
        <f>HYPERLINK("[#]Datatypes!A22:L22","DrsCode")</f>
        <v>DrsCode</v>
      </c>
      <c r="C79" s="415" t="s">
        <v>14564</v>
      </c>
      <c r="D79" s="221" t="s">
        <v>16603</v>
      </c>
      <c r="E79" s="221">
        <v>3</v>
      </c>
      <c r="F79" s="222" t="s">
        <v>16604</v>
      </c>
      <c r="G79" s="348" t="s">
        <v>16605</v>
      </c>
      <c r="H79" s="224"/>
      <c r="I79" s="345"/>
      <c r="J79" s="39">
        <v>103394</v>
      </c>
      <c r="K79" s="36" t="str">
        <f>CONCATENATE(Cover!$D$6,"fdd/view?i=",J79)</f>
        <v>https://www.dgiwg.org/FAD/fdd/view?i=103394</v>
      </c>
      <c r="L79" s="36" t="s">
        <v>16639</v>
      </c>
      <c r="M79" s="186"/>
      <c r="N79" s="186"/>
      <c r="O79" s="172"/>
    </row>
    <row r="80" spans="1:15" x14ac:dyDescent="0.2">
      <c r="A80" s="197" t="str">
        <f t="shared" si="1"/>
        <v>DrsCode_north</v>
      </c>
      <c r="B80" s="409"/>
      <c r="C80" s="416"/>
      <c r="D80" s="198" t="s">
        <v>16611</v>
      </c>
      <c r="E80" s="198">
        <v>1</v>
      </c>
      <c r="F80" s="199" t="s">
        <v>16612</v>
      </c>
      <c r="G80" s="349" t="s">
        <v>16613</v>
      </c>
      <c r="H80" s="200"/>
      <c r="I80" s="346"/>
      <c r="J80" s="39">
        <v>103392</v>
      </c>
      <c r="K80" s="36" t="str">
        <f>CONCATENATE(Cover!$D$6,"fdd/view?i=",J80)</f>
        <v>https://www.dgiwg.org/FAD/fdd/view?i=103392</v>
      </c>
      <c r="L80" s="36" t="s">
        <v>16644</v>
      </c>
      <c r="M80" s="186"/>
      <c r="N80" s="186"/>
      <c r="O80" s="172"/>
    </row>
    <row r="81" spans="1:15" x14ac:dyDescent="0.2">
      <c r="A81" s="197" t="str">
        <f t="shared" si="1"/>
        <v>DrsCode_northeast</v>
      </c>
      <c r="B81" s="409"/>
      <c r="C81" s="416"/>
      <c r="D81" s="198" t="s">
        <v>16615</v>
      </c>
      <c r="E81" s="198">
        <v>5</v>
      </c>
      <c r="F81" s="199" t="s">
        <v>16616</v>
      </c>
      <c r="G81" s="349" t="s">
        <v>16617</v>
      </c>
      <c r="H81" s="200"/>
      <c r="I81" s="346"/>
      <c r="J81" s="39">
        <v>103396</v>
      </c>
      <c r="K81" s="36" t="str">
        <f>CONCATENATE(Cover!$D$6,"fdd/view?i=",J81)</f>
        <v>https://www.dgiwg.org/FAD/fdd/view?i=103396</v>
      </c>
      <c r="L81" s="36" t="s">
        <v>16645</v>
      </c>
      <c r="M81" s="186"/>
      <c r="N81" s="186"/>
      <c r="O81" s="172"/>
    </row>
    <row r="82" spans="1:15" x14ac:dyDescent="0.2">
      <c r="A82" s="197" t="str">
        <f t="shared" si="1"/>
        <v>DrsCode_northwest</v>
      </c>
      <c r="B82" s="409"/>
      <c r="C82" s="416"/>
      <c r="D82" s="198" t="s">
        <v>16619</v>
      </c>
      <c r="E82" s="198">
        <v>6</v>
      </c>
      <c r="F82" s="199" t="s">
        <v>16620</v>
      </c>
      <c r="G82" s="349" t="s">
        <v>16621</v>
      </c>
      <c r="H82" s="200"/>
      <c r="I82" s="346"/>
      <c r="J82" s="39">
        <v>103397</v>
      </c>
      <c r="K82" s="36" t="str">
        <f>CONCATENATE(Cover!$D$6,"fdd/view?i=",J82)</f>
        <v>https://www.dgiwg.org/FAD/fdd/view?i=103397</v>
      </c>
      <c r="L82" s="36" t="s">
        <v>16646</v>
      </c>
      <c r="M82" s="186"/>
      <c r="N82" s="186"/>
      <c r="O82" s="172"/>
    </row>
    <row r="83" spans="1:15" x14ac:dyDescent="0.2">
      <c r="A83" s="197" t="str">
        <f t="shared" si="1"/>
        <v>DrsCode_noSuffix</v>
      </c>
      <c r="B83" s="409"/>
      <c r="C83" s="416"/>
      <c r="D83" s="198" t="s">
        <v>16640</v>
      </c>
      <c r="E83" s="198">
        <v>9</v>
      </c>
      <c r="F83" s="199" t="s">
        <v>16641</v>
      </c>
      <c r="G83" s="1" t="s">
        <v>16642</v>
      </c>
      <c r="H83" s="200"/>
      <c r="I83" s="346"/>
      <c r="J83" s="39">
        <v>110168</v>
      </c>
      <c r="K83" s="36" t="str">
        <f>CONCATENATE(Cover!$D$6,"fdd/view?i=",J83)</f>
        <v>https://www.dgiwg.org/FAD/fdd/view?i=110168</v>
      </c>
      <c r="L83" s="36" t="s">
        <v>16643</v>
      </c>
      <c r="M83" s="186"/>
      <c r="N83" s="186"/>
      <c r="O83" s="172"/>
    </row>
    <row r="84" spans="1:15" x14ac:dyDescent="0.2">
      <c r="A84" s="197" t="str">
        <f t="shared" si="1"/>
        <v>DrsCode_south</v>
      </c>
      <c r="B84" s="409"/>
      <c r="C84" s="416"/>
      <c r="D84" s="198" t="s">
        <v>16623</v>
      </c>
      <c r="E84" s="198">
        <v>2</v>
      </c>
      <c r="F84" s="199" t="s">
        <v>16624</v>
      </c>
      <c r="G84" s="349" t="s">
        <v>16625</v>
      </c>
      <c r="H84" s="200"/>
      <c r="I84" s="346"/>
      <c r="J84" s="39">
        <v>103393</v>
      </c>
      <c r="K84" s="36" t="str">
        <f>CONCATENATE(Cover!$D$6,"fdd/view?i=",J84)</f>
        <v>https://www.dgiwg.org/FAD/fdd/view?i=103393</v>
      </c>
      <c r="L84" s="36" t="s">
        <v>16647</v>
      </c>
      <c r="M84" s="186"/>
      <c r="N84" s="186"/>
      <c r="O84" s="172"/>
    </row>
    <row r="85" spans="1:15" x14ac:dyDescent="0.2">
      <c r="A85" s="197" t="str">
        <f t="shared" si="1"/>
        <v>DrsCode_southeast</v>
      </c>
      <c r="B85" s="409"/>
      <c r="C85" s="416"/>
      <c r="D85" s="198" t="s">
        <v>16627</v>
      </c>
      <c r="E85" s="198">
        <v>7</v>
      </c>
      <c r="F85" s="199" t="s">
        <v>16628</v>
      </c>
      <c r="G85" s="349" t="s">
        <v>16629</v>
      </c>
      <c r="H85" s="200"/>
      <c r="I85" s="346"/>
      <c r="J85" s="39">
        <v>103398</v>
      </c>
      <c r="K85" s="36" t="str">
        <f>CONCATENATE(Cover!$D$6,"fdd/view?i=",J85)</f>
        <v>https://www.dgiwg.org/FAD/fdd/view?i=103398</v>
      </c>
      <c r="L85" s="36" t="s">
        <v>16648</v>
      </c>
      <c r="M85" s="186"/>
      <c r="N85" s="186"/>
      <c r="O85" s="172"/>
    </row>
    <row r="86" spans="1:15" x14ac:dyDescent="0.2">
      <c r="A86" s="197" t="str">
        <f t="shared" si="1"/>
        <v>DrsCode_southwest</v>
      </c>
      <c r="B86" s="409"/>
      <c r="C86" s="416"/>
      <c r="D86" s="198" t="s">
        <v>16631</v>
      </c>
      <c r="E86" s="198">
        <v>8</v>
      </c>
      <c r="F86" s="199" t="s">
        <v>16632</v>
      </c>
      <c r="G86" s="349" t="s">
        <v>16633</v>
      </c>
      <c r="H86" s="200"/>
      <c r="I86" s="346"/>
      <c r="J86" s="39">
        <v>103399</v>
      </c>
      <c r="K86" s="36" t="str">
        <f>CONCATENATE(Cover!$D$6,"fdd/view?i=",J86)</f>
        <v>https://www.dgiwg.org/FAD/fdd/view?i=103399</v>
      </c>
      <c r="L86" s="36" t="s">
        <v>16649</v>
      </c>
      <c r="M86" s="186"/>
      <c r="N86" s="186"/>
      <c r="O86" s="172"/>
    </row>
    <row r="87" spans="1:15" x14ac:dyDescent="0.2">
      <c r="A87" s="203" t="str">
        <f t="shared" si="1"/>
        <v>DrsCode_west</v>
      </c>
      <c r="B87" s="410"/>
      <c r="C87" s="417"/>
      <c r="D87" s="204" t="s">
        <v>16635</v>
      </c>
      <c r="E87" s="204">
        <v>4</v>
      </c>
      <c r="F87" s="205" t="s">
        <v>16636</v>
      </c>
      <c r="G87" s="350" t="s">
        <v>16637</v>
      </c>
      <c r="H87" s="207"/>
      <c r="I87" s="347"/>
      <c r="J87" s="39">
        <v>103395</v>
      </c>
      <c r="K87" s="36" t="str">
        <f>CONCATENATE(Cover!$D$6,"fdd/view?i=",J87)</f>
        <v>https://www.dgiwg.org/FAD/fdd/view?i=103395</v>
      </c>
      <c r="L87" s="36" t="s">
        <v>16650</v>
      </c>
      <c r="M87" s="186"/>
      <c r="N87" s="186"/>
      <c r="O87" s="172"/>
    </row>
    <row r="88" spans="1:15" ht="25.5" x14ac:dyDescent="0.2">
      <c r="A88" s="190" t="str">
        <f t="shared" si="1"/>
        <v>AduCode_eighthLevel</v>
      </c>
      <c r="B88" s="414" t="str">
        <f>HYPERLINK("[#]Datatypes!A28:L28","AduCode")</f>
        <v>AduCode</v>
      </c>
      <c r="C88" s="415" t="s">
        <v>14573</v>
      </c>
      <c r="D88" s="221" t="s">
        <v>16651</v>
      </c>
      <c r="E88" s="221">
        <v>8</v>
      </c>
      <c r="F88" s="222" t="s">
        <v>16652</v>
      </c>
      <c r="G88" s="223" t="s">
        <v>16653</v>
      </c>
      <c r="H88" s="224"/>
      <c r="I88" s="345"/>
      <c r="J88" s="39">
        <v>114543</v>
      </c>
      <c r="K88" s="36" t="str">
        <f>CONCATENATE(Cover!$D$6,"fdd/view?i=",J88)</f>
        <v>https://www.dgiwg.org/FAD/fdd/view?i=114543</v>
      </c>
      <c r="L88" s="36" t="s">
        <v>16654</v>
      </c>
      <c r="M88" s="186"/>
      <c r="N88" s="186"/>
      <c r="O88" s="172"/>
    </row>
    <row r="89" spans="1:15" x14ac:dyDescent="0.2">
      <c r="A89" s="197" t="str">
        <f t="shared" si="1"/>
        <v>AduCode_fifthLevel</v>
      </c>
      <c r="B89" s="409"/>
      <c r="C89" s="416"/>
      <c r="D89" s="198" t="s">
        <v>16655</v>
      </c>
      <c r="E89" s="198">
        <v>5</v>
      </c>
      <c r="F89" s="199" t="s">
        <v>16656</v>
      </c>
      <c r="G89" s="1" t="s">
        <v>16657</v>
      </c>
      <c r="H89" s="200"/>
      <c r="I89" s="346"/>
      <c r="J89" s="39">
        <v>114540</v>
      </c>
      <c r="K89" s="36" t="str">
        <f>CONCATENATE(Cover!$D$6,"fdd/view?i=",J89)</f>
        <v>https://www.dgiwg.org/FAD/fdd/view?i=114540</v>
      </c>
      <c r="L89" s="36" t="s">
        <v>16658</v>
      </c>
      <c r="M89" s="186"/>
      <c r="N89" s="186"/>
      <c r="O89" s="172"/>
    </row>
    <row r="90" spans="1:15" x14ac:dyDescent="0.2">
      <c r="A90" s="197" t="str">
        <f t="shared" si="1"/>
        <v>AduCode_firstLevel</v>
      </c>
      <c r="B90" s="409"/>
      <c r="C90" s="416"/>
      <c r="D90" s="198" t="s">
        <v>16659</v>
      </c>
      <c r="E90" s="198">
        <v>1</v>
      </c>
      <c r="F90" s="199" t="s">
        <v>16660</v>
      </c>
      <c r="G90" s="1" t="s">
        <v>16661</v>
      </c>
      <c r="H90" s="1" t="s">
        <v>16662</v>
      </c>
      <c r="I90" s="346"/>
      <c r="J90" s="39">
        <v>114536</v>
      </c>
      <c r="K90" s="36" t="str">
        <f>CONCATENATE(Cover!$D$6,"fdd/view?i=",J90)</f>
        <v>https://www.dgiwg.org/FAD/fdd/view?i=114536</v>
      </c>
      <c r="L90" s="36" t="s">
        <v>16663</v>
      </c>
      <c r="M90" s="186"/>
      <c r="N90" s="186"/>
      <c r="O90" s="172"/>
    </row>
    <row r="91" spans="1:15" x14ac:dyDescent="0.2">
      <c r="A91" s="197" t="str">
        <f t="shared" si="1"/>
        <v>AduCode_fourthLevel</v>
      </c>
      <c r="B91" s="409"/>
      <c r="C91" s="416"/>
      <c r="D91" s="198" t="s">
        <v>16664</v>
      </c>
      <c r="E91" s="198">
        <v>4</v>
      </c>
      <c r="F91" s="199" t="s">
        <v>16665</v>
      </c>
      <c r="G91" s="1" t="s">
        <v>16666</v>
      </c>
      <c r="H91" s="200"/>
      <c r="I91" s="346"/>
      <c r="J91" s="39">
        <v>114539</v>
      </c>
      <c r="K91" s="36" t="str">
        <f>CONCATENATE(Cover!$D$6,"fdd/view?i=",J91)</f>
        <v>https://www.dgiwg.org/FAD/fdd/view?i=114539</v>
      </c>
      <c r="L91" s="36" t="s">
        <v>16667</v>
      </c>
      <c r="M91" s="186"/>
      <c r="N91" s="186"/>
      <c r="O91" s="172"/>
    </row>
    <row r="92" spans="1:15" ht="25.5" x14ac:dyDescent="0.2">
      <c r="A92" s="197" t="str">
        <f t="shared" si="1"/>
        <v>AduCode_secondLevel</v>
      </c>
      <c r="B92" s="409"/>
      <c r="C92" s="416"/>
      <c r="D92" s="198" t="s">
        <v>16668</v>
      </c>
      <c r="E92" s="198">
        <v>2</v>
      </c>
      <c r="F92" s="199" t="s">
        <v>16669</v>
      </c>
      <c r="G92" s="1" t="s">
        <v>16670</v>
      </c>
      <c r="H92" s="200"/>
      <c r="I92" s="346"/>
      <c r="J92" s="39">
        <v>114537</v>
      </c>
      <c r="K92" s="36" t="str">
        <f>CONCATENATE(Cover!$D$6,"fdd/view?i=",J92)</f>
        <v>https://www.dgiwg.org/FAD/fdd/view?i=114537</v>
      </c>
      <c r="L92" s="36" t="s">
        <v>16671</v>
      </c>
      <c r="M92" s="186"/>
      <c r="N92" s="186"/>
      <c r="O92" s="172"/>
    </row>
    <row r="93" spans="1:15" ht="25.5" x14ac:dyDescent="0.2">
      <c r="A93" s="197" t="str">
        <f t="shared" si="1"/>
        <v>AduCode_seventhLevel</v>
      </c>
      <c r="B93" s="409"/>
      <c r="C93" s="416"/>
      <c r="D93" s="198" t="s">
        <v>16672</v>
      </c>
      <c r="E93" s="198">
        <v>7</v>
      </c>
      <c r="F93" s="199" t="s">
        <v>16673</v>
      </c>
      <c r="G93" s="1" t="s">
        <v>16674</v>
      </c>
      <c r="H93" s="200"/>
      <c r="I93" s="346"/>
      <c r="J93" s="39">
        <v>114542</v>
      </c>
      <c r="K93" s="36" t="str">
        <f>CONCATENATE(Cover!$D$6,"fdd/view?i=",J93)</f>
        <v>https://www.dgiwg.org/FAD/fdd/view?i=114542</v>
      </c>
      <c r="L93" s="36" t="s">
        <v>16675</v>
      </c>
      <c r="M93" s="186"/>
      <c r="N93" s="186"/>
      <c r="O93" s="172"/>
    </row>
    <row r="94" spans="1:15" x14ac:dyDescent="0.2">
      <c r="A94" s="197" t="str">
        <f t="shared" si="1"/>
        <v>AduCode_sixthLevel</v>
      </c>
      <c r="B94" s="409"/>
      <c r="C94" s="416"/>
      <c r="D94" s="198" t="s">
        <v>16676</v>
      </c>
      <c r="E94" s="198">
        <v>6</v>
      </c>
      <c r="F94" s="199" t="s">
        <v>16677</v>
      </c>
      <c r="G94" s="1" t="s">
        <v>16678</v>
      </c>
      <c r="H94" s="200"/>
      <c r="I94" s="346"/>
      <c r="J94" s="39">
        <v>114541</v>
      </c>
      <c r="K94" s="36" t="str">
        <f>CONCATENATE(Cover!$D$6,"fdd/view?i=",J94)</f>
        <v>https://www.dgiwg.org/FAD/fdd/view?i=114541</v>
      </c>
      <c r="L94" s="36" t="s">
        <v>16679</v>
      </c>
      <c r="M94" s="186"/>
      <c r="N94" s="186"/>
      <c r="O94" s="172"/>
    </row>
    <row r="95" spans="1:15" x14ac:dyDescent="0.2">
      <c r="A95" s="203" t="str">
        <f t="shared" si="1"/>
        <v>AduCode_thirdLevel</v>
      </c>
      <c r="B95" s="410"/>
      <c r="C95" s="417"/>
      <c r="D95" s="204" t="s">
        <v>16680</v>
      </c>
      <c r="E95" s="204">
        <v>3</v>
      </c>
      <c r="F95" s="205" t="s">
        <v>16681</v>
      </c>
      <c r="G95" s="206" t="s">
        <v>16682</v>
      </c>
      <c r="H95" s="207"/>
      <c r="I95" s="347"/>
      <c r="J95" s="39">
        <v>114538</v>
      </c>
      <c r="K95" s="36" t="str">
        <f>CONCATENATE(Cover!$D$6,"fdd/view?i=",J95)</f>
        <v>https://www.dgiwg.org/FAD/fdd/view?i=114538</v>
      </c>
      <c r="L95" s="36" t="s">
        <v>16683</v>
      </c>
      <c r="M95" s="186"/>
      <c r="N95" s="186"/>
      <c r="O95" s="172"/>
    </row>
    <row r="96" spans="1:15" x14ac:dyDescent="0.2">
      <c r="A96" s="190" t="str">
        <f t="shared" si="1"/>
        <v>AslCode_international</v>
      </c>
      <c r="B96" s="414" t="str">
        <f>HYPERLINK("[#]Datatypes!A30:L30","AslCode")</f>
        <v>AslCode</v>
      </c>
      <c r="C96" s="415" t="s">
        <v>14575</v>
      </c>
      <c r="D96" s="221" t="s">
        <v>16684</v>
      </c>
      <c r="E96" s="221">
        <v>1</v>
      </c>
      <c r="F96" s="222" t="s">
        <v>16685</v>
      </c>
      <c r="G96" s="223" t="s">
        <v>16686</v>
      </c>
      <c r="H96" s="224"/>
      <c r="I96" s="345"/>
      <c r="J96" s="39">
        <v>110030</v>
      </c>
      <c r="K96" s="36" t="str">
        <f>CONCATENATE(Cover!$D$6,"fdd/view?i=",J96)</f>
        <v>https://www.dgiwg.org/FAD/fdd/view?i=110030</v>
      </c>
      <c r="L96" s="36" t="s">
        <v>16687</v>
      </c>
      <c r="M96" s="186"/>
      <c r="N96" s="186"/>
      <c r="O96" s="172"/>
    </row>
    <row r="97" spans="1:15" ht="25.5" x14ac:dyDescent="0.2">
      <c r="A97" s="197" t="str">
        <f t="shared" si="1"/>
        <v>AslCode_local</v>
      </c>
      <c r="B97" s="409"/>
      <c r="C97" s="416"/>
      <c r="D97" s="198" t="s">
        <v>16688</v>
      </c>
      <c r="E97" s="198">
        <v>4</v>
      </c>
      <c r="F97" s="199" t="s">
        <v>16689</v>
      </c>
      <c r="G97" s="1" t="s">
        <v>16690</v>
      </c>
      <c r="H97" s="1" t="s">
        <v>16691</v>
      </c>
      <c r="I97" s="346"/>
      <c r="J97" s="39">
        <v>110033</v>
      </c>
      <c r="K97" s="36" t="str">
        <f>CONCATENATE(Cover!$D$6,"fdd/view?i=",J97)</f>
        <v>https://www.dgiwg.org/FAD/fdd/view?i=110033</v>
      </c>
      <c r="L97" s="36" t="s">
        <v>16692</v>
      </c>
      <c r="M97" s="186"/>
      <c r="N97" s="186"/>
      <c r="O97" s="172"/>
    </row>
    <row r="98" spans="1:15" x14ac:dyDescent="0.2">
      <c r="A98" s="197" t="str">
        <f t="shared" si="1"/>
        <v>AslCode_municipal</v>
      </c>
      <c r="B98" s="409"/>
      <c r="C98" s="416"/>
      <c r="D98" s="198" t="s">
        <v>16693</v>
      </c>
      <c r="E98" s="198">
        <v>6</v>
      </c>
      <c r="F98" s="199" t="s">
        <v>16694</v>
      </c>
      <c r="G98" s="1" t="s">
        <v>16695</v>
      </c>
      <c r="H98" s="1" t="s">
        <v>16696</v>
      </c>
      <c r="I98" s="346"/>
      <c r="J98" s="39">
        <v>110035</v>
      </c>
      <c r="K98" s="36" t="str">
        <f>CONCATENATE(Cover!$D$6,"fdd/view?i=",J98)</f>
        <v>https://www.dgiwg.org/FAD/fdd/view?i=110035</v>
      </c>
      <c r="L98" s="36" t="s">
        <v>16697</v>
      </c>
      <c r="M98" s="186"/>
      <c r="N98" s="186"/>
      <c r="O98" s="172"/>
    </row>
    <row r="99" spans="1:15" ht="38.25" x14ac:dyDescent="0.2">
      <c r="A99" s="197" t="str">
        <f t="shared" si="1"/>
        <v>AslCode_national</v>
      </c>
      <c r="B99" s="409"/>
      <c r="C99" s="416"/>
      <c r="D99" s="198" t="s">
        <v>16698</v>
      </c>
      <c r="E99" s="198">
        <v>2</v>
      </c>
      <c r="F99" s="199" t="s">
        <v>16699</v>
      </c>
      <c r="G99" s="1" t="s">
        <v>16700</v>
      </c>
      <c r="H99" s="1" t="s">
        <v>16701</v>
      </c>
      <c r="I99" s="346"/>
      <c r="J99" s="39">
        <v>110031</v>
      </c>
      <c r="K99" s="36" t="str">
        <f>CONCATENATE(Cover!$D$6,"fdd/view?i=",J99)</f>
        <v>https://www.dgiwg.org/FAD/fdd/view?i=110031</v>
      </c>
      <c r="L99" s="36" t="s">
        <v>16702</v>
      </c>
      <c r="M99" s="186"/>
      <c r="N99" s="186"/>
      <c r="O99" s="172"/>
    </row>
    <row r="100" spans="1:15" ht="25.5" x14ac:dyDescent="0.2">
      <c r="A100" s="197" t="str">
        <f t="shared" si="1"/>
        <v>AslCode_sublocal</v>
      </c>
      <c r="B100" s="409"/>
      <c r="C100" s="416"/>
      <c r="D100" s="198" t="s">
        <v>16703</v>
      </c>
      <c r="E100" s="198">
        <v>5</v>
      </c>
      <c r="F100" s="199" t="s">
        <v>16704</v>
      </c>
      <c r="G100" s="1" t="s">
        <v>16705</v>
      </c>
      <c r="H100" s="200"/>
      <c r="I100" s="346"/>
      <c r="J100" s="39">
        <v>110034</v>
      </c>
      <c r="K100" s="36" t="str">
        <f>CONCATENATE(Cover!$D$6,"fdd/view?i=",J100)</f>
        <v>https://www.dgiwg.org/FAD/fdd/view?i=110034</v>
      </c>
      <c r="L100" s="36" t="s">
        <v>16706</v>
      </c>
      <c r="M100" s="186"/>
      <c r="N100" s="186"/>
      <c r="O100" s="172"/>
    </row>
    <row r="101" spans="1:15" ht="25.5" x14ac:dyDescent="0.2">
      <c r="A101" s="203" t="str">
        <f t="shared" si="1"/>
        <v>AslCode_subnational</v>
      </c>
      <c r="B101" s="410"/>
      <c r="C101" s="417"/>
      <c r="D101" s="204" t="s">
        <v>16707</v>
      </c>
      <c r="E101" s="204">
        <v>3</v>
      </c>
      <c r="F101" s="205" t="s">
        <v>16708</v>
      </c>
      <c r="G101" s="206" t="s">
        <v>16709</v>
      </c>
      <c r="H101" s="206" t="s">
        <v>16710</v>
      </c>
      <c r="I101" s="347"/>
      <c r="J101" s="39">
        <v>110032</v>
      </c>
      <c r="K101" s="36" t="str">
        <f>CONCATENATE(Cover!$D$6,"fdd/view?i=",J101)</f>
        <v>https://www.dgiwg.org/FAD/fdd/view?i=110032</v>
      </c>
      <c r="L101" s="36" t="s">
        <v>16711</v>
      </c>
      <c r="M101" s="186"/>
      <c r="N101" s="186"/>
      <c r="O101" s="172"/>
    </row>
    <row r="102" spans="1:15" ht="38.25" x14ac:dyDescent="0.2">
      <c r="A102" s="190" t="str">
        <f t="shared" si="1"/>
        <v>ChxCode_chan001X</v>
      </c>
      <c r="B102" s="414" t="str">
        <f>HYPERLINK("[#]Datatypes!A32:L32","ChxCode")</f>
        <v>ChxCode</v>
      </c>
      <c r="C102" s="415" t="s">
        <v>14577</v>
      </c>
      <c r="D102" s="221" t="s">
        <v>17204</v>
      </c>
      <c r="E102" s="221">
        <v>1</v>
      </c>
      <c r="F102" s="222" t="s">
        <v>17205</v>
      </c>
      <c r="G102" s="223" t="s">
        <v>17206</v>
      </c>
      <c r="H102" s="223" t="s">
        <v>16716</v>
      </c>
      <c r="I102" s="345"/>
      <c r="J102" s="39">
        <v>116976</v>
      </c>
      <c r="K102" s="36" t="str">
        <f>CONCATENATE(Cover!$D$6,"fdd/view?i=",J102)</f>
        <v>https://www.dgiwg.org/FAD/fdd/view?i=116976</v>
      </c>
      <c r="L102" s="36" t="s">
        <v>17207</v>
      </c>
      <c r="M102" s="186"/>
      <c r="N102" s="186"/>
      <c r="O102" s="13" t="s">
        <v>17203</v>
      </c>
    </row>
    <row r="103" spans="1:15" ht="38.25" x14ac:dyDescent="0.2">
      <c r="A103" s="197" t="str">
        <f t="shared" si="1"/>
        <v>ChxCode_chan001Y</v>
      </c>
      <c r="B103" s="409"/>
      <c r="C103" s="416"/>
      <c r="D103" s="198" t="s">
        <v>17209</v>
      </c>
      <c r="E103" s="198">
        <v>2</v>
      </c>
      <c r="F103" s="199" t="s">
        <v>17210</v>
      </c>
      <c r="G103" s="1" t="s">
        <v>17211</v>
      </c>
      <c r="H103" s="1" t="s">
        <v>16716</v>
      </c>
      <c r="I103" s="346"/>
      <c r="J103" s="39">
        <v>116977</v>
      </c>
      <c r="K103" s="36" t="str">
        <f>CONCATENATE(Cover!$D$6,"fdd/view?i=",J103)</f>
        <v>https://www.dgiwg.org/FAD/fdd/view?i=116977</v>
      </c>
      <c r="L103" s="36" t="s">
        <v>17212</v>
      </c>
      <c r="M103" s="186"/>
      <c r="N103" s="186"/>
      <c r="O103" s="13" t="s">
        <v>17208</v>
      </c>
    </row>
    <row r="104" spans="1:15" ht="38.25" x14ac:dyDescent="0.2">
      <c r="A104" s="197" t="str">
        <f t="shared" si="1"/>
        <v>ChxCode_chan002X</v>
      </c>
      <c r="B104" s="409"/>
      <c r="C104" s="416"/>
      <c r="D104" s="198" t="s">
        <v>17389</v>
      </c>
      <c r="E104" s="198">
        <v>3</v>
      </c>
      <c r="F104" s="199" t="s">
        <v>17390</v>
      </c>
      <c r="G104" s="1" t="s">
        <v>17391</v>
      </c>
      <c r="H104" s="1" t="s">
        <v>16716</v>
      </c>
      <c r="I104" s="346"/>
      <c r="J104" s="39">
        <v>116978</v>
      </c>
      <c r="K104" s="36" t="str">
        <f>CONCATENATE(Cover!$D$6,"fdd/view?i=",J104)</f>
        <v>https://www.dgiwg.org/FAD/fdd/view?i=116978</v>
      </c>
      <c r="L104" s="36" t="s">
        <v>17392</v>
      </c>
      <c r="M104" s="186"/>
      <c r="N104" s="186"/>
      <c r="O104" s="13" t="s">
        <v>17388</v>
      </c>
    </row>
    <row r="105" spans="1:15" ht="38.25" x14ac:dyDescent="0.2">
      <c r="A105" s="197" t="str">
        <f t="shared" si="1"/>
        <v>ChxCode_chan002Y</v>
      </c>
      <c r="B105" s="409"/>
      <c r="C105" s="416"/>
      <c r="D105" s="198" t="s">
        <v>17394</v>
      </c>
      <c r="E105" s="198">
        <v>4</v>
      </c>
      <c r="F105" s="199" t="s">
        <v>17395</v>
      </c>
      <c r="G105" s="1" t="s">
        <v>17396</v>
      </c>
      <c r="H105" s="1" t="s">
        <v>16716</v>
      </c>
      <c r="I105" s="346"/>
      <c r="J105" s="39">
        <v>116979</v>
      </c>
      <c r="K105" s="36" t="str">
        <f>CONCATENATE(Cover!$D$6,"fdd/view?i=",J105)</f>
        <v>https://www.dgiwg.org/FAD/fdd/view?i=116979</v>
      </c>
      <c r="L105" s="36" t="s">
        <v>17397</v>
      </c>
      <c r="M105" s="186"/>
      <c r="N105" s="186"/>
      <c r="O105" s="13" t="s">
        <v>17393</v>
      </c>
    </row>
    <row r="106" spans="1:15" ht="38.25" x14ac:dyDescent="0.2">
      <c r="A106" s="197" t="str">
        <f t="shared" si="1"/>
        <v>ChxCode_chan003X</v>
      </c>
      <c r="B106" s="409"/>
      <c r="C106" s="416"/>
      <c r="D106" s="198" t="s">
        <v>17574</v>
      </c>
      <c r="E106" s="198">
        <v>5</v>
      </c>
      <c r="F106" s="199" t="s">
        <v>17575</v>
      </c>
      <c r="G106" s="1" t="s">
        <v>17576</v>
      </c>
      <c r="H106" s="1" t="s">
        <v>16716</v>
      </c>
      <c r="I106" s="346"/>
      <c r="J106" s="39">
        <v>116980</v>
      </c>
      <c r="K106" s="36" t="str">
        <f>CONCATENATE(Cover!$D$6,"fdd/view?i=",J106)</f>
        <v>https://www.dgiwg.org/FAD/fdd/view?i=116980</v>
      </c>
      <c r="L106" s="36" t="s">
        <v>17577</v>
      </c>
      <c r="M106" s="186"/>
      <c r="N106" s="186"/>
      <c r="O106" s="13" t="s">
        <v>17573</v>
      </c>
    </row>
    <row r="107" spans="1:15" ht="38.25" x14ac:dyDescent="0.2">
      <c r="A107" s="197" t="str">
        <f t="shared" si="1"/>
        <v>ChxCode_chan003Y</v>
      </c>
      <c r="B107" s="409"/>
      <c r="C107" s="416"/>
      <c r="D107" s="198" t="s">
        <v>17579</v>
      </c>
      <c r="E107" s="198">
        <v>6</v>
      </c>
      <c r="F107" s="199" t="s">
        <v>17580</v>
      </c>
      <c r="G107" s="1" t="s">
        <v>17581</v>
      </c>
      <c r="H107" s="1" t="s">
        <v>16716</v>
      </c>
      <c r="I107" s="346"/>
      <c r="J107" s="39">
        <v>116981</v>
      </c>
      <c r="K107" s="36" t="str">
        <f>CONCATENATE(Cover!$D$6,"fdd/view?i=",J107)</f>
        <v>https://www.dgiwg.org/FAD/fdd/view?i=116981</v>
      </c>
      <c r="L107" s="36" t="s">
        <v>17582</v>
      </c>
      <c r="M107" s="186"/>
      <c r="N107" s="186"/>
      <c r="O107" s="13" t="s">
        <v>17578</v>
      </c>
    </row>
    <row r="108" spans="1:15" ht="38.25" x14ac:dyDescent="0.2">
      <c r="A108" s="197" t="str">
        <f t="shared" si="1"/>
        <v>ChxCode_chan004X</v>
      </c>
      <c r="B108" s="409"/>
      <c r="C108" s="416"/>
      <c r="D108" s="198" t="s">
        <v>17759</v>
      </c>
      <c r="E108" s="198">
        <v>7</v>
      </c>
      <c r="F108" s="199" t="s">
        <v>17760</v>
      </c>
      <c r="G108" s="1" t="s">
        <v>17761</v>
      </c>
      <c r="H108" s="1" t="s">
        <v>16716</v>
      </c>
      <c r="I108" s="346"/>
      <c r="J108" s="39">
        <v>116982</v>
      </c>
      <c r="K108" s="36" t="str">
        <f>CONCATENATE(Cover!$D$6,"fdd/view?i=",J108)</f>
        <v>https://www.dgiwg.org/FAD/fdd/view?i=116982</v>
      </c>
      <c r="L108" s="36" t="s">
        <v>17762</v>
      </c>
      <c r="M108" s="186"/>
      <c r="N108" s="186"/>
      <c r="O108" s="13" t="s">
        <v>17758</v>
      </c>
    </row>
    <row r="109" spans="1:15" ht="38.25" x14ac:dyDescent="0.2">
      <c r="A109" s="197" t="str">
        <f t="shared" si="1"/>
        <v>ChxCode_chan004Y</v>
      </c>
      <c r="B109" s="409"/>
      <c r="C109" s="416"/>
      <c r="D109" s="198" t="s">
        <v>17764</v>
      </c>
      <c r="E109" s="198">
        <v>8</v>
      </c>
      <c r="F109" s="199" t="s">
        <v>17765</v>
      </c>
      <c r="G109" s="1" t="s">
        <v>17766</v>
      </c>
      <c r="H109" s="1" t="s">
        <v>16716</v>
      </c>
      <c r="I109" s="346"/>
      <c r="J109" s="39">
        <v>116983</v>
      </c>
      <c r="K109" s="36" t="str">
        <f>CONCATENATE(Cover!$D$6,"fdd/view?i=",J109)</f>
        <v>https://www.dgiwg.org/FAD/fdd/view?i=116983</v>
      </c>
      <c r="L109" s="36" t="s">
        <v>17767</v>
      </c>
      <c r="M109" s="186"/>
      <c r="N109" s="186"/>
      <c r="O109" s="13" t="s">
        <v>17763</v>
      </c>
    </row>
    <row r="110" spans="1:15" ht="38.25" x14ac:dyDescent="0.2">
      <c r="A110" s="197" t="str">
        <f t="shared" si="1"/>
        <v>ChxCode_chan005X</v>
      </c>
      <c r="B110" s="409"/>
      <c r="C110" s="416"/>
      <c r="D110" s="198" t="s">
        <v>17924</v>
      </c>
      <c r="E110" s="198">
        <v>9</v>
      </c>
      <c r="F110" s="199" t="s">
        <v>17925</v>
      </c>
      <c r="G110" s="1" t="s">
        <v>17926</v>
      </c>
      <c r="H110" s="1" t="s">
        <v>16716</v>
      </c>
      <c r="I110" s="346"/>
      <c r="J110" s="39">
        <v>116984</v>
      </c>
      <c r="K110" s="36" t="str">
        <f>CONCATENATE(Cover!$D$6,"fdd/view?i=",J110)</f>
        <v>https://www.dgiwg.org/FAD/fdd/view?i=116984</v>
      </c>
      <c r="L110" s="36" t="s">
        <v>17927</v>
      </c>
      <c r="M110" s="186"/>
      <c r="N110" s="186"/>
      <c r="O110" s="13" t="s">
        <v>17923</v>
      </c>
    </row>
    <row r="111" spans="1:15" ht="38.25" x14ac:dyDescent="0.2">
      <c r="A111" s="197" t="str">
        <f t="shared" si="1"/>
        <v>ChxCode_chan005Y</v>
      </c>
      <c r="B111" s="409"/>
      <c r="C111" s="416"/>
      <c r="D111" s="198" t="s">
        <v>17929</v>
      </c>
      <c r="E111" s="198">
        <v>10</v>
      </c>
      <c r="F111" s="199" t="s">
        <v>17930</v>
      </c>
      <c r="G111" s="1" t="s">
        <v>17931</v>
      </c>
      <c r="H111" s="1" t="s">
        <v>16716</v>
      </c>
      <c r="I111" s="346"/>
      <c r="J111" s="39">
        <v>116985</v>
      </c>
      <c r="K111" s="36" t="str">
        <f>CONCATENATE(Cover!$D$6,"fdd/view?i=",J111)</f>
        <v>https://www.dgiwg.org/FAD/fdd/view?i=116985</v>
      </c>
      <c r="L111" s="36" t="s">
        <v>17932</v>
      </c>
      <c r="M111" s="186"/>
      <c r="N111" s="186"/>
      <c r="O111" s="13" t="s">
        <v>17928</v>
      </c>
    </row>
    <row r="112" spans="1:15" ht="38.25" x14ac:dyDescent="0.2">
      <c r="A112" s="197" t="str">
        <f t="shared" si="1"/>
        <v>ChxCode_chan006X</v>
      </c>
      <c r="B112" s="409"/>
      <c r="C112" s="416"/>
      <c r="D112" s="198" t="s">
        <v>18034</v>
      </c>
      <c r="E112" s="198">
        <v>11</v>
      </c>
      <c r="F112" s="199" t="s">
        <v>18035</v>
      </c>
      <c r="G112" s="1" t="s">
        <v>18036</v>
      </c>
      <c r="H112" s="1" t="s">
        <v>16716</v>
      </c>
      <c r="I112" s="346"/>
      <c r="J112" s="39">
        <v>116986</v>
      </c>
      <c r="K112" s="36" t="str">
        <f>CONCATENATE(Cover!$D$6,"fdd/view?i=",J112)</f>
        <v>https://www.dgiwg.org/FAD/fdd/view?i=116986</v>
      </c>
      <c r="L112" s="36" t="s">
        <v>18037</v>
      </c>
      <c r="M112" s="186"/>
      <c r="N112" s="186"/>
      <c r="O112" s="13" t="s">
        <v>18033</v>
      </c>
    </row>
    <row r="113" spans="1:15" ht="38.25" x14ac:dyDescent="0.2">
      <c r="A113" s="197" t="str">
        <f t="shared" si="1"/>
        <v>ChxCode_chan006Y</v>
      </c>
      <c r="B113" s="409"/>
      <c r="C113" s="416"/>
      <c r="D113" s="198" t="s">
        <v>18039</v>
      </c>
      <c r="E113" s="198">
        <v>12</v>
      </c>
      <c r="F113" s="199" t="s">
        <v>18040</v>
      </c>
      <c r="G113" s="1" t="s">
        <v>18041</v>
      </c>
      <c r="H113" s="1" t="s">
        <v>16716</v>
      </c>
      <c r="I113" s="346"/>
      <c r="J113" s="39">
        <v>116987</v>
      </c>
      <c r="K113" s="36" t="str">
        <f>CONCATENATE(Cover!$D$6,"fdd/view?i=",J113)</f>
        <v>https://www.dgiwg.org/FAD/fdd/view?i=116987</v>
      </c>
      <c r="L113" s="36" t="s">
        <v>18042</v>
      </c>
      <c r="M113" s="186"/>
      <c r="N113" s="186"/>
      <c r="O113" s="13" t="s">
        <v>18038</v>
      </c>
    </row>
    <row r="114" spans="1:15" ht="38.25" x14ac:dyDescent="0.2">
      <c r="A114" s="197" t="str">
        <f t="shared" si="1"/>
        <v>ChxCode_chan007X</v>
      </c>
      <c r="B114" s="409"/>
      <c r="C114" s="416"/>
      <c r="D114" s="198" t="s">
        <v>18144</v>
      </c>
      <c r="E114" s="198">
        <v>13</v>
      </c>
      <c r="F114" s="199" t="s">
        <v>18145</v>
      </c>
      <c r="G114" s="1" t="s">
        <v>18146</v>
      </c>
      <c r="H114" s="1" t="s">
        <v>16716</v>
      </c>
      <c r="I114" s="346"/>
      <c r="J114" s="39">
        <v>116988</v>
      </c>
      <c r="K114" s="36" t="str">
        <f>CONCATENATE(Cover!$D$6,"fdd/view?i=",J114)</f>
        <v>https://www.dgiwg.org/FAD/fdd/view?i=116988</v>
      </c>
      <c r="L114" s="36" t="s">
        <v>18147</v>
      </c>
      <c r="M114" s="186"/>
      <c r="N114" s="186"/>
      <c r="O114" s="13" t="s">
        <v>18143</v>
      </c>
    </row>
    <row r="115" spans="1:15" ht="38.25" x14ac:dyDescent="0.2">
      <c r="A115" s="197" t="str">
        <f t="shared" si="1"/>
        <v>ChxCode_chan007Y</v>
      </c>
      <c r="B115" s="409"/>
      <c r="C115" s="416"/>
      <c r="D115" s="198" t="s">
        <v>18149</v>
      </c>
      <c r="E115" s="198">
        <v>14</v>
      </c>
      <c r="F115" s="199" t="s">
        <v>18150</v>
      </c>
      <c r="G115" s="1" t="s">
        <v>18151</v>
      </c>
      <c r="H115" s="1" t="s">
        <v>16716</v>
      </c>
      <c r="I115" s="346"/>
      <c r="J115" s="39">
        <v>116989</v>
      </c>
      <c r="K115" s="36" t="str">
        <f>CONCATENATE(Cover!$D$6,"fdd/view?i=",J115)</f>
        <v>https://www.dgiwg.org/FAD/fdd/view?i=116989</v>
      </c>
      <c r="L115" s="36" t="s">
        <v>18152</v>
      </c>
      <c r="M115" s="186"/>
      <c r="N115" s="186"/>
      <c r="O115" s="13" t="s">
        <v>18148</v>
      </c>
    </row>
    <row r="116" spans="1:15" ht="38.25" x14ac:dyDescent="0.2">
      <c r="A116" s="197" t="str">
        <f t="shared" si="1"/>
        <v>ChxCode_chan008X</v>
      </c>
      <c r="B116" s="409"/>
      <c r="C116" s="416"/>
      <c r="D116" s="198" t="s">
        <v>18304</v>
      </c>
      <c r="E116" s="198">
        <v>15</v>
      </c>
      <c r="F116" s="199" t="s">
        <v>18305</v>
      </c>
      <c r="G116" s="1" t="s">
        <v>18306</v>
      </c>
      <c r="H116" s="1" t="s">
        <v>16716</v>
      </c>
      <c r="I116" s="346"/>
      <c r="J116" s="39">
        <v>116990</v>
      </c>
      <c r="K116" s="36" t="str">
        <f>CONCATENATE(Cover!$D$6,"fdd/view?i=",J116)</f>
        <v>https://www.dgiwg.org/FAD/fdd/view?i=116990</v>
      </c>
      <c r="L116" s="36" t="s">
        <v>18307</v>
      </c>
      <c r="M116" s="186"/>
      <c r="N116" s="186"/>
      <c r="O116" s="13" t="s">
        <v>18303</v>
      </c>
    </row>
    <row r="117" spans="1:15" ht="38.25" x14ac:dyDescent="0.2">
      <c r="A117" s="197" t="str">
        <f t="shared" si="1"/>
        <v>ChxCode_chan008Y</v>
      </c>
      <c r="B117" s="409"/>
      <c r="C117" s="416"/>
      <c r="D117" s="198" t="s">
        <v>18309</v>
      </c>
      <c r="E117" s="198">
        <v>16</v>
      </c>
      <c r="F117" s="199" t="s">
        <v>18310</v>
      </c>
      <c r="G117" s="1" t="s">
        <v>18311</v>
      </c>
      <c r="H117" s="1" t="s">
        <v>16716</v>
      </c>
      <c r="I117" s="346"/>
      <c r="J117" s="39">
        <v>116991</v>
      </c>
      <c r="K117" s="36" t="str">
        <f>CONCATENATE(Cover!$D$6,"fdd/view?i=",J117)</f>
        <v>https://www.dgiwg.org/FAD/fdd/view?i=116991</v>
      </c>
      <c r="L117" s="36" t="s">
        <v>18312</v>
      </c>
      <c r="M117" s="186"/>
      <c r="N117" s="186"/>
      <c r="O117" s="13" t="s">
        <v>18308</v>
      </c>
    </row>
    <row r="118" spans="1:15" ht="38.25" x14ac:dyDescent="0.2">
      <c r="A118" s="197" t="str">
        <f t="shared" si="1"/>
        <v>ChxCode_chan009X</v>
      </c>
      <c r="B118" s="409"/>
      <c r="C118" s="416"/>
      <c r="D118" s="198" t="s">
        <v>18464</v>
      </c>
      <c r="E118" s="198">
        <v>17</v>
      </c>
      <c r="F118" s="199" t="s">
        <v>18465</v>
      </c>
      <c r="G118" s="1" t="s">
        <v>18466</v>
      </c>
      <c r="H118" s="1" t="s">
        <v>16716</v>
      </c>
      <c r="I118" s="346"/>
      <c r="J118" s="39">
        <v>116992</v>
      </c>
      <c r="K118" s="36" t="str">
        <f>CONCATENATE(Cover!$D$6,"fdd/view?i=",J118)</f>
        <v>https://www.dgiwg.org/FAD/fdd/view?i=116992</v>
      </c>
      <c r="L118" s="36" t="s">
        <v>18467</v>
      </c>
      <c r="M118" s="186"/>
      <c r="N118" s="186"/>
      <c r="O118" s="13" t="s">
        <v>18463</v>
      </c>
    </row>
    <row r="119" spans="1:15" ht="38.25" x14ac:dyDescent="0.2">
      <c r="A119" s="197" t="str">
        <f t="shared" si="1"/>
        <v>ChxCode_chan009Y</v>
      </c>
      <c r="B119" s="409"/>
      <c r="C119" s="416"/>
      <c r="D119" s="198" t="s">
        <v>18469</v>
      </c>
      <c r="E119" s="198">
        <v>18</v>
      </c>
      <c r="F119" s="199" t="s">
        <v>18470</v>
      </c>
      <c r="G119" s="1" t="s">
        <v>18471</v>
      </c>
      <c r="H119" s="1" t="s">
        <v>16716</v>
      </c>
      <c r="I119" s="346"/>
      <c r="J119" s="39">
        <v>116993</v>
      </c>
      <c r="K119" s="36" t="str">
        <f>CONCATENATE(Cover!$D$6,"fdd/view?i=",J119)</f>
        <v>https://www.dgiwg.org/FAD/fdd/view?i=116993</v>
      </c>
      <c r="L119" s="36" t="s">
        <v>18472</v>
      </c>
      <c r="M119" s="186"/>
      <c r="N119" s="186"/>
      <c r="O119" s="13" t="s">
        <v>18468</v>
      </c>
    </row>
    <row r="120" spans="1:15" ht="38.25" x14ac:dyDescent="0.2">
      <c r="A120" s="197" t="str">
        <f t="shared" si="1"/>
        <v>ChxCode_chan010X</v>
      </c>
      <c r="B120" s="409"/>
      <c r="C120" s="416"/>
      <c r="D120" s="198" t="s">
        <v>16864</v>
      </c>
      <c r="E120" s="198">
        <v>19</v>
      </c>
      <c r="F120" s="199" t="s">
        <v>16865</v>
      </c>
      <c r="G120" s="1" t="s">
        <v>16866</v>
      </c>
      <c r="H120" s="1" t="s">
        <v>16716</v>
      </c>
      <c r="I120" s="346"/>
      <c r="J120" s="39">
        <v>116994</v>
      </c>
      <c r="K120" s="36" t="str">
        <f>CONCATENATE(Cover!$D$6,"fdd/view?i=",J120)</f>
        <v>https://www.dgiwg.org/FAD/fdd/view?i=116994</v>
      </c>
      <c r="L120" s="36" t="s">
        <v>16867</v>
      </c>
      <c r="M120" s="186"/>
      <c r="N120" s="186"/>
      <c r="O120" s="13" t="s">
        <v>16863</v>
      </c>
    </row>
    <row r="121" spans="1:15" ht="38.25" x14ac:dyDescent="0.2">
      <c r="A121" s="197" t="str">
        <f t="shared" si="1"/>
        <v>ChxCode_chan010Y</v>
      </c>
      <c r="B121" s="409"/>
      <c r="C121" s="416"/>
      <c r="D121" s="198" t="s">
        <v>16869</v>
      </c>
      <c r="E121" s="198">
        <v>20</v>
      </c>
      <c r="F121" s="199" t="s">
        <v>16870</v>
      </c>
      <c r="G121" s="1" t="s">
        <v>16871</v>
      </c>
      <c r="H121" s="1" t="s">
        <v>16716</v>
      </c>
      <c r="I121" s="346"/>
      <c r="J121" s="39">
        <v>116995</v>
      </c>
      <c r="K121" s="36" t="str">
        <f>CONCATENATE(Cover!$D$6,"fdd/view?i=",J121)</f>
        <v>https://www.dgiwg.org/FAD/fdd/view?i=116995</v>
      </c>
      <c r="L121" s="36" t="s">
        <v>16872</v>
      </c>
      <c r="M121" s="186"/>
      <c r="N121" s="186"/>
      <c r="O121" s="13" t="s">
        <v>16868</v>
      </c>
    </row>
    <row r="122" spans="1:15" ht="38.25" x14ac:dyDescent="0.2">
      <c r="A122" s="197" t="str">
        <f t="shared" si="1"/>
        <v>ChxCode_chan011X</v>
      </c>
      <c r="B122" s="409"/>
      <c r="C122" s="416"/>
      <c r="D122" s="198" t="s">
        <v>17024</v>
      </c>
      <c r="E122" s="198">
        <v>21</v>
      </c>
      <c r="F122" s="199" t="s">
        <v>17025</v>
      </c>
      <c r="G122" s="1" t="s">
        <v>17026</v>
      </c>
      <c r="H122" s="1" t="s">
        <v>16716</v>
      </c>
      <c r="I122" s="346"/>
      <c r="J122" s="39">
        <v>116996</v>
      </c>
      <c r="K122" s="36" t="str">
        <f>CONCATENATE(Cover!$D$6,"fdd/view?i=",J122)</f>
        <v>https://www.dgiwg.org/FAD/fdd/view?i=116996</v>
      </c>
      <c r="L122" s="36" t="s">
        <v>17027</v>
      </c>
      <c r="M122" s="186"/>
      <c r="N122" s="186"/>
      <c r="O122" s="13" t="s">
        <v>17023</v>
      </c>
    </row>
    <row r="123" spans="1:15" ht="38.25" x14ac:dyDescent="0.2">
      <c r="A123" s="197" t="str">
        <f t="shared" si="1"/>
        <v>ChxCode_chan011Y</v>
      </c>
      <c r="B123" s="409"/>
      <c r="C123" s="416"/>
      <c r="D123" s="198" t="s">
        <v>17029</v>
      </c>
      <c r="E123" s="198">
        <v>22</v>
      </c>
      <c r="F123" s="199" t="s">
        <v>17030</v>
      </c>
      <c r="G123" s="1" t="s">
        <v>17031</v>
      </c>
      <c r="H123" s="1" t="s">
        <v>16716</v>
      </c>
      <c r="I123" s="346"/>
      <c r="J123" s="39">
        <v>116997</v>
      </c>
      <c r="K123" s="36" t="str">
        <f>CONCATENATE(Cover!$D$6,"fdd/view?i=",J123)</f>
        <v>https://www.dgiwg.org/FAD/fdd/view?i=116997</v>
      </c>
      <c r="L123" s="36" t="s">
        <v>17032</v>
      </c>
      <c r="M123" s="186"/>
      <c r="N123" s="186"/>
      <c r="O123" s="13" t="s">
        <v>17028</v>
      </c>
    </row>
    <row r="124" spans="1:15" ht="38.25" x14ac:dyDescent="0.2">
      <c r="A124" s="197" t="str">
        <f t="shared" si="1"/>
        <v>ChxCode_chan012X</v>
      </c>
      <c r="B124" s="409"/>
      <c r="C124" s="416"/>
      <c r="D124" s="198" t="s">
        <v>17104</v>
      </c>
      <c r="E124" s="198">
        <v>23</v>
      </c>
      <c r="F124" s="199" t="s">
        <v>17105</v>
      </c>
      <c r="G124" s="1" t="s">
        <v>17106</v>
      </c>
      <c r="H124" s="1" t="s">
        <v>16716</v>
      </c>
      <c r="I124" s="346"/>
      <c r="J124" s="39">
        <v>116998</v>
      </c>
      <c r="K124" s="36" t="str">
        <f>CONCATENATE(Cover!$D$6,"fdd/view?i=",J124)</f>
        <v>https://www.dgiwg.org/FAD/fdd/view?i=116998</v>
      </c>
      <c r="L124" s="36" t="s">
        <v>17107</v>
      </c>
      <c r="M124" s="186"/>
      <c r="N124" s="186"/>
      <c r="O124" s="13" t="s">
        <v>17103</v>
      </c>
    </row>
    <row r="125" spans="1:15" ht="38.25" x14ac:dyDescent="0.2">
      <c r="A125" s="197" t="str">
        <f t="shared" si="1"/>
        <v>ChxCode_chan012Y</v>
      </c>
      <c r="B125" s="409"/>
      <c r="C125" s="416"/>
      <c r="D125" s="198" t="s">
        <v>17109</v>
      </c>
      <c r="E125" s="198">
        <v>24</v>
      </c>
      <c r="F125" s="199" t="s">
        <v>17110</v>
      </c>
      <c r="G125" s="1" t="s">
        <v>17111</v>
      </c>
      <c r="H125" s="1" t="s">
        <v>16716</v>
      </c>
      <c r="I125" s="346"/>
      <c r="J125" s="39">
        <v>116999</v>
      </c>
      <c r="K125" s="36" t="str">
        <f>CONCATENATE(Cover!$D$6,"fdd/view?i=",J125)</f>
        <v>https://www.dgiwg.org/FAD/fdd/view?i=116999</v>
      </c>
      <c r="L125" s="36" t="s">
        <v>17112</v>
      </c>
      <c r="M125" s="186"/>
      <c r="N125" s="186"/>
      <c r="O125" s="13" t="s">
        <v>17108</v>
      </c>
    </row>
    <row r="126" spans="1:15" ht="38.25" x14ac:dyDescent="0.2">
      <c r="A126" s="197" t="str">
        <f t="shared" si="1"/>
        <v>ChxCode_chan013X</v>
      </c>
      <c r="B126" s="409"/>
      <c r="C126" s="416"/>
      <c r="D126" s="198" t="s">
        <v>17114</v>
      </c>
      <c r="E126" s="198">
        <v>25</v>
      </c>
      <c r="F126" s="199" t="s">
        <v>17115</v>
      </c>
      <c r="G126" s="1" t="s">
        <v>17116</v>
      </c>
      <c r="H126" s="1" t="s">
        <v>16716</v>
      </c>
      <c r="I126" s="346"/>
      <c r="J126" s="39">
        <v>117000</v>
      </c>
      <c r="K126" s="36" t="str">
        <f>CONCATENATE(Cover!$D$6,"fdd/view?i=",J126)</f>
        <v>https://www.dgiwg.org/FAD/fdd/view?i=117000</v>
      </c>
      <c r="L126" s="36" t="s">
        <v>17117</v>
      </c>
      <c r="M126" s="186"/>
      <c r="N126" s="186"/>
      <c r="O126" s="13" t="s">
        <v>17113</v>
      </c>
    </row>
    <row r="127" spans="1:15" ht="38.25" x14ac:dyDescent="0.2">
      <c r="A127" s="197" t="str">
        <f t="shared" si="1"/>
        <v>ChxCode_chan013Y</v>
      </c>
      <c r="B127" s="409"/>
      <c r="C127" s="416"/>
      <c r="D127" s="198" t="s">
        <v>17119</v>
      </c>
      <c r="E127" s="198">
        <v>26</v>
      </c>
      <c r="F127" s="199" t="s">
        <v>17120</v>
      </c>
      <c r="G127" s="1" t="s">
        <v>17121</v>
      </c>
      <c r="H127" s="1" t="s">
        <v>16716</v>
      </c>
      <c r="I127" s="346"/>
      <c r="J127" s="39">
        <v>117001</v>
      </c>
      <c r="K127" s="36" t="str">
        <f>CONCATENATE(Cover!$D$6,"fdd/view?i=",J127)</f>
        <v>https://www.dgiwg.org/FAD/fdd/view?i=117001</v>
      </c>
      <c r="L127" s="36" t="s">
        <v>17122</v>
      </c>
      <c r="M127" s="186"/>
      <c r="N127" s="186"/>
      <c r="O127" s="13" t="s">
        <v>17118</v>
      </c>
    </row>
    <row r="128" spans="1:15" ht="38.25" x14ac:dyDescent="0.2">
      <c r="A128" s="197" t="str">
        <f t="shared" si="1"/>
        <v>ChxCode_chan014X</v>
      </c>
      <c r="B128" s="409"/>
      <c r="C128" s="416"/>
      <c r="D128" s="198" t="s">
        <v>17124</v>
      </c>
      <c r="E128" s="198">
        <v>27</v>
      </c>
      <c r="F128" s="199" t="s">
        <v>17125</v>
      </c>
      <c r="G128" s="1" t="s">
        <v>17126</v>
      </c>
      <c r="H128" s="1" t="s">
        <v>16716</v>
      </c>
      <c r="I128" s="346"/>
      <c r="J128" s="39">
        <v>117002</v>
      </c>
      <c r="K128" s="36" t="str">
        <f>CONCATENATE(Cover!$D$6,"fdd/view?i=",J128)</f>
        <v>https://www.dgiwg.org/FAD/fdd/view?i=117002</v>
      </c>
      <c r="L128" s="36" t="s">
        <v>17127</v>
      </c>
      <c r="M128" s="186"/>
      <c r="N128" s="186"/>
      <c r="O128" s="13" t="s">
        <v>17123</v>
      </c>
    </row>
    <row r="129" spans="1:15" ht="38.25" x14ac:dyDescent="0.2">
      <c r="A129" s="197" t="str">
        <f t="shared" si="1"/>
        <v>ChxCode_chan014Y</v>
      </c>
      <c r="B129" s="409"/>
      <c r="C129" s="416"/>
      <c r="D129" s="198" t="s">
        <v>17129</v>
      </c>
      <c r="E129" s="198">
        <v>28</v>
      </c>
      <c r="F129" s="199" t="s">
        <v>17130</v>
      </c>
      <c r="G129" s="1" t="s">
        <v>17131</v>
      </c>
      <c r="H129" s="1" t="s">
        <v>16716</v>
      </c>
      <c r="I129" s="346"/>
      <c r="J129" s="39">
        <v>117003</v>
      </c>
      <c r="K129" s="36" t="str">
        <f>CONCATENATE(Cover!$D$6,"fdd/view?i=",J129)</f>
        <v>https://www.dgiwg.org/FAD/fdd/view?i=117003</v>
      </c>
      <c r="L129" s="36" t="s">
        <v>17132</v>
      </c>
      <c r="M129" s="186"/>
      <c r="N129" s="186"/>
      <c r="O129" s="13" t="s">
        <v>17128</v>
      </c>
    </row>
    <row r="130" spans="1:15" ht="38.25" x14ac:dyDescent="0.2">
      <c r="A130" s="197" t="str">
        <f t="shared" ref="A130:A193" si="2">HYPERLINK(K130,L130)</f>
        <v>ChxCode_chan015X</v>
      </c>
      <c r="B130" s="409"/>
      <c r="C130" s="416"/>
      <c r="D130" s="198" t="s">
        <v>17134</v>
      </c>
      <c r="E130" s="198">
        <v>29</v>
      </c>
      <c r="F130" s="199" t="s">
        <v>17135</v>
      </c>
      <c r="G130" s="1" t="s">
        <v>17136</v>
      </c>
      <c r="H130" s="1" t="s">
        <v>16716</v>
      </c>
      <c r="I130" s="346"/>
      <c r="J130" s="39">
        <v>117004</v>
      </c>
      <c r="K130" s="36" t="str">
        <f>CONCATENATE(Cover!$D$6,"fdd/view?i=",J130)</f>
        <v>https://www.dgiwg.org/FAD/fdd/view?i=117004</v>
      </c>
      <c r="L130" s="36" t="s">
        <v>17137</v>
      </c>
      <c r="M130" s="186"/>
      <c r="N130" s="186"/>
      <c r="O130" s="13" t="s">
        <v>17133</v>
      </c>
    </row>
    <row r="131" spans="1:15" ht="38.25" x14ac:dyDescent="0.2">
      <c r="A131" s="197" t="str">
        <f t="shared" si="2"/>
        <v>ChxCode_chan015Y</v>
      </c>
      <c r="B131" s="409"/>
      <c r="C131" s="416"/>
      <c r="D131" s="198" t="s">
        <v>17139</v>
      </c>
      <c r="E131" s="198">
        <v>30</v>
      </c>
      <c r="F131" s="199" t="s">
        <v>17140</v>
      </c>
      <c r="G131" s="1" t="s">
        <v>17141</v>
      </c>
      <c r="H131" s="1" t="s">
        <v>16716</v>
      </c>
      <c r="I131" s="346"/>
      <c r="J131" s="39">
        <v>117005</v>
      </c>
      <c r="K131" s="36" t="str">
        <f>CONCATENATE(Cover!$D$6,"fdd/view?i=",J131)</f>
        <v>https://www.dgiwg.org/FAD/fdd/view?i=117005</v>
      </c>
      <c r="L131" s="36" t="s">
        <v>17142</v>
      </c>
      <c r="M131" s="186"/>
      <c r="N131" s="186"/>
      <c r="O131" s="13" t="s">
        <v>17138</v>
      </c>
    </row>
    <row r="132" spans="1:15" ht="38.25" x14ac:dyDescent="0.2">
      <c r="A132" s="197" t="str">
        <f t="shared" si="2"/>
        <v>ChxCode_chan016X</v>
      </c>
      <c r="B132" s="409"/>
      <c r="C132" s="416"/>
      <c r="D132" s="198" t="s">
        <v>17144</v>
      </c>
      <c r="E132" s="198">
        <v>31</v>
      </c>
      <c r="F132" s="199" t="s">
        <v>17145</v>
      </c>
      <c r="G132" s="1" t="s">
        <v>17146</v>
      </c>
      <c r="H132" s="1" t="s">
        <v>16716</v>
      </c>
      <c r="I132" s="346"/>
      <c r="J132" s="39">
        <v>117006</v>
      </c>
      <c r="K132" s="36" t="str">
        <f>CONCATENATE(Cover!$D$6,"fdd/view?i=",J132)</f>
        <v>https://www.dgiwg.org/FAD/fdd/view?i=117006</v>
      </c>
      <c r="L132" s="36" t="s">
        <v>17147</v>
      </c>
      <c r="M132" s="186"/>
      <c r="N132" s="186"/>
      <c r="O132" s="13" t="s">
        <v>17143</v>
      </c>
    </row>
    <row r="133" spans="1:15" ht="38.25" x14ac:dyDescent="0.2">
      <c r="A133" s="197" t="str">
        <f t="shared" si="2"/>
        <v>ChxCode_chan016Y</v>
      </c>
      <c r="B133" s="409"/>
      <c r="C133" s="416"/>
      <c r="D133" s="198" t="s">
        <v>17149</v>
      </c>
      <c r="E133" s="198">
        <v>32</v>
      </c>
      <c r="F133" s="199" t="s">
        <v>17150</v>
      </c>
      <c r="G133" s="1" t="s">
        <v>17151</v>
      </c>
      <c r="H133" s="1" t="s">
        <v>16716</v>
      </c>
      <c r="I133" s="346"/>
      <c r="J133" s="39">
        <v>117007</v>
      </c>
      <c r="K133" s="36" t="str">
        <f>CONCATENATE(Cover!$D$6,"fdd/view?i=",J133)</f>
        <v>https://www.dgiwg.org/FAD/fdd/view?i=117007</v>
      </c>
      <c r="L133" s="36" t="s">
        <v>17152</v>
      </c>
      <c r="M133" s="186"/>
      <c r="N133" s="186"/>
      <c r="O133" s="13" t="s">
        <v>17148</v>
      </c>
    </row>
    <row r="134" spans="1:15" ht="38.25" x14ac:dyDescent="0.2">
      <c r="A134" s="197" t="str">
        <f t="shared" si="2"/>
        <v>ChxCode_chan017X</v>
      </c>
      <c r="B134" s="409"/>
      <c r="C134" s="416"/>
      <c r="D134" s="198" t="s">
        <v>17154</v>
      </c>
      <c r="E134" s="198">
        <v>33</v>
      </c>
      <c r="F134" s="199" t="s">
        <v>17155</v>
      </c>
      <c r="G134" s="1" t="s">
        <v>17156</v>
      </c>
      <c r="H134" s="1" t="s">
        <v>16716</v>
      </c>
      <c r="I134" s="346"/>
      <c r="J134" s="39">
        <v>117008</v>
      </c>
      <c r="K134" s="36" t="str">
        <f>CONCATENATE(Cover!$D$6,"fdd/view?i=",J134)</f>
        <v>https://www.dgiwg.org/FAD/fdd/view?i=117008</v>
      </c>
      <c r="L134" s="36" t="s">
        <v>17157</v>
      </c>
      <c r="M134" s="186"/>
      <c r="N134" s="186"/>
      <c r="O134" s="13" t="s">
        <v>17153</v>
      </c>
    </row>
    <row r="135" spans="1:15" ht="38.25" x14ac:dyDescent="0.2">
      <c r="A135" s="197" t="str">
        <f t="shared" si="2"/>
        <v>ChxCode_chan017Y</v>
      </c>
      <c r="B135" s="409"/>
      <c r="C135" s="416"/>
      <c r="D135" s="198" t="s">
        <v>17159</v>
      </c>
      <c r="E135" s="198">
        <v>34</v>
      </c>
      <c r="F135" s="199" t="s">
        <v>17160</v>
      </c>
      <c r="G135" s="1" t="s">
        <v>17161</v>
      </c>
      <c r="H135" s="1" t="s">
        <v>16716</v>
      </c>
      <c r="I135" s="346"/>
      <c r="J135" s="39">
        <v>117009</v>
      </c>
      <c r="K135" s="36" t="str">
        <f>CONCATENATE(Cover!$D$6,"fdd/view?i=",J135)</f>
        <v>https://www.dgiwg.org/FAD/fdd/view?i=117009</v>
      </c>
      <c r="L135" s="36" t="s">
        <v>17162</v>
      </c>
      <c r="M135" s="186"/>
      <c r="N135" s="186"/>
      <c r="O135" s="13" t="s">
        <v>17158</v>
      </c>
    </row>
    <row r="136" spans="1:15" ht="38.25" x14ac:dyDescent="0.2">
      <c r="A136" s="197" t="str">
        <f t="shared" si="2"/>
        <v>ChxCode_chan017Z</v>
      </c>
      <c r="B136" s="409"/>
      <c r="C136" s="416"/>
      <c r="D136" s="198" t="s">
        <v>17164</v>
      </c>
      <c r="E136" s="198">
        <v>35</v>
      </c>
      <c r="F136" s="199" t="s">
        <v>17165</v>
      </c>
      <c r="G136" s="1" t="s">
        <v>17166</v>
      </c>
      <c r="H136" s="1" t="s">
        <v>16716</v>
      </c>
      <c r="I136" s="346"/>
      <c r="J136" s="39">
        <v>117010</v>
      </c>
      <c r="K136" s="36" t="str">
        <f>CONCATENATE(Cover!$D$6,"fdd/view?i=",J136)</f>
        <v>https://www.dgiwg.org/FAD/fdd/view?i=117010</v>
      </c>
      <c r="L136" s="36" t="s">
        <v>17167</v>
      </c>
      <c r="M136" s="186"/>
      <c r="N136" s="186"/>
      <c r="O136" s="13" t="s">
        <v>17163</v>
      </c>
    </row>
    <row r="137" spans="1:15" ht="38.25" x14ac:dyDescent="0.2">
      <c r="A137" s="197" t="str">
        <f t="shared" si="2"/>
        <v>ChxCode_chan018W</v>
      </c>
      <c r="B137" s="409"/>
      <c r="C137" s="416"/>
      <c r="D137" s="198" t="s">
        <v>17169</v>
      </c>
      <c r="E137" s="198">
        <v>36</v>
      </c>
      <c r="F137" s="199" t="s">
        <v>17170</v>
      </c>
      <c r="G137" s="1" t="s">
        <v>17171</v>
      </c>
      <c r="H137" s="1" t="s">
        <v>16716</v>
      </c>
      <c r="I137" s="346"/>
      <c r="J137" s="39">
        <v>117011</v>
      </c>
      <c r="K137" s="36" t="str">
        <f>CONCATENATE(Cover!$D$6,"fdd/view?i=",J137)</f>
        <v>https://www.dgiwg.org/FAD/fdd/view?i=117011</v>
      </c>
      <c r="L137" s="36" t="s">
        <v>17172</v>
      </c>
      <c r="M137" s="186"/>
      <c r="N137" s="186"/>
      <c r="O137" s="13" t="s">
        <v>17168</v>
      </c>
    </row>
    <row r="138" spans="1:15" ht="38.25" x14ac:dyDescent="0.2">
      <c r="A138" s="197" t="str">
        <f t="shared" si="2"/>
        <v>ChxCode_chan018X</v>
      </c>
      <c r="B138" s="409"/>
      <c r="C138" s="416"/>
      <c r="D138" s="198" t="s">
        <v>17174</v>
      </c>
      <c r="E138" s="198">
        <v>37</v>
      </c>
      <c r="F138" s="199" t="s">
        <v>17175</v>
      </c>
      <c r="G138" s="1" t="s">
        <v>17176</v>
      </c>
      <c r="H138" s="1" t="s">
        <v>16716</v>
      </c>
      <c r="I138" s="346"/>
      <c r="J138" s="39">
        <v>117012</v>
      </c>
      <c r="K138" s="36" t="str">
        <f>CONCATENATE(Cover!$D$6,"fdd/view?i=",J138)</f>
        <v>https://www.dgiwg.org/FAD/fdd/view?i=117012</v>
      </c>
      <c r="L138" s="36" t="s">
        <v>17177</v>
      </c>
      <c r="M138" s="186"/>
      <c r="N138" s="186"/>
      <c r="O138" s="13" t="s">
        <v>17173</v>
      </c>
    </row>
    <row r="139" spans="1:15" ht="38.25" x14ac:dyDescent="0.2">
      <c r="A139" s="197" t="str">
        <f t="shared" si="2"/>
        <v>ChxCode_chan018Y</v>
      </c>
      <c r="B139" s="409"/>
      <c r="C139" s="416"/>
      <c r="D139" s="198" t="s">
        <v>17179</v>
      </c>
      <c r="E139" s="198">
        <v>38</v>
      </c>
      <c r="F139" s="199" t="s">
        <v>17180</v>
      </c>
      <c r="G139" s="1" t="s">
        <v>17181</v>
      </c>
      <c r="H139" s="1" t="s">
        <v>16716</v>
      </c>
      <c r="I139" s="346"/>
      <c r="J139" s="39">
        <v>117013</v>
      </c>
      <c r="K139" s="36" t="str">
        <f>CONCATENATE(Cover!$D$6,"fdd/view?i=",J139)</f>
        <v>https://www.dgiwg.org/FAD/fdd/view?i=117013</v>
      </c>
      <c r="L139" s="36" t="s">
        <v>17182</v>
      </c>
      <c r="M139" s="186"/>
      <c r="N139" s="186"/>
      <c r="O139" s="13" t="s">
        <v>17178</v>
      </c>
    </row>
    <row r="140" spans="1:15" ht="38.25" x14ac:dyDescent="0.2">
      <c r="A140" s="197" t="str">
        <f t="shared" si="2"/>
        <v>ChxCode_chan018Z</v>
      </c>
      <c r="B140" s="409"/>
      <c r="C140" s="416"/>
      <c r="D140" s="198" t="s">
        <v>17184</v>
      </c>
      <c r="E140" s="198">
        <v>39</v>
      </c>
      <c r="F140" s="199" t="s">
        <v>17185</v>
      </c>
      <c r="G140" s="1" t="s">
        <v>17186</v>
      </c>
      <c r="H140" s="1" t="s">
        <v>16716</v>
      </c>
      <c r="I140" s="346"/>
      <c r="J140" s="39">
        <v>117014</v>
      </c>
      <c r="K140" s="36" t="str">
        <f>CONCATENATE(Cover!$D$6,"fdd/view?i=",J140)</f>
        <v>https://www.dgiwg.org/FAD/fdd/view?i=117014</v>
      </c>
      <c r="L140" s="36" t="s">
        <v>17187</v>
      </c>
      <c r="M140" s="186"/>
      <c r="N140" s="186"/>
      <c r="O140" s="13" t="s">
        <v>17183</v>
      </c>
    </row>
    <row r="141" spans="1:15" ht="38.25" x14ac:dyDescent="0.2">
      <c r="A141" s="197" t="str">
        <f t="shared" si="2"/>
        <v>ChxCode_chan019X</v>
      </c>
      <c r="B141" s="409"/>
      <c r="C141" s="416"/>
      <c r="D141" s="198" t="s">
        <v>17189</v>
      </c>
      <c r="E141" s="198">
        <v>40</v>
      </c>
      <c r="F141" s="199" t="s">
        <v>17190</v>
      </c>
      <c r="G141" s="1" t="s">
        <v>17191</v>
      </c>
      <c r="H141" s="1" t="s">
        <v>16716</v>
      </c>
      <c r="I141" s="346"/>
      <c r="J141" s="39">
        <v>117015</v>
      </c>
      <c r="K141" s="36" t="str">
        <f>CONCATENATE(Cover!$D$6,"fdd/view?i=",J141)</f>
        <v>https://www.dgiwg.org/FAD/fdd/view?i=117015</v>
      </c>
      <c r="L141" s="36" t="s">
        <v>17192</v>
      </c>
      <c r="M141" s="186"/>
      <c r="N141" s="186"/>
      <c r="O141" s="13" t="s">
        <v>17188</v>
      </c>
    </row>
    <row r="142" spans="1:15" ht="38.25" x14ac:dyDescent="0.2">
      <c r="A142" s="197" t="str">
        <f t="shared" si="2"/>
        <v>ChxCode_chan019Y</v>
      </c>
      <c r="B142" s="409"/>
      <c r="C142" s="416"/>
      <c r="D142" s="198" t="s">
        <v>17194</v>
      </c>
      <c r="E142" s="198">
        <v>41</v>
      </c>
      <c r="F142" s="199" t="s">
        <v>17195</v>
      </c>
      <c r="G142" s="1" t="s">
        <v>17196</v>
      </c>
      <c r="H142" s="1" t="s">
        <v>16716</v>
      </c>
      <c r="I142" s="346"/>
      <c r="J142" s="39">
        <v>117016</v>
      </c>
      <c r="K142" s="36" t="str">
        <f>CONCATENATE(Cover!$D$6,"fdd/view?i=",J142)</f>
        <v>https://www.dgiwg.org/FAD/fdd/view?i=117016</v>
      </c>
      <c r="L142" s="36" t="s">
        <v>17197</v>
      </c>
      <c r="M142" s="186"/>
      <c r="N142" s="186"/>
      <c r="O142" s="13" t="s">
        <v>17193</v>
      </c>
    </row>
    <row r="143" spans="1:15" ht="38.25" x14ac:dyDescent="0.2">
      <c r="A143" s="197" t="str">
        <f t="shared" si="2"/>
        <v>ChxCode_chan019Z</v>
      </c>
      <c r="B143" s="409"/>
      <c r="C143" s="416"/>
      <c r="D143" s="198" t="s">
        <v>17199</v>
      </c>
      <c r="E143" s="198">
        <v>42</v>
      </c>
      <c r="F143" s="199" t="s">
        <v>17200</v>
      </c>
      <c r="G143" s="1" t="s">
        <v>17201</v>
      </c>
      <c r="H143" s="1" t="s">
        <v>16716</v>
      </c>
      <c r="I143" s="346"/>
      <c r="J143" s="39">
        <v>117017</v>
      </c>
      <c r="K143" s="36" t="str">
        <f>CONCATENATE(Cover!$D$6,"fdd/view?i=",J143)</f>
        <v>https://www.dgiwg.org/FAD/fdd/view?i=117017</v>
      </c>
      <c r="L143" s="36" t="s">
        <v>17202</v>
      </c>
      <c r="M143" s="186"/>
      <c r="N143" s="186"/>
      <c r="O143" s="13" t="s">
        <v>17198</v>
      </c>
    </row>
    <row r="144" spans="1:15" ht="38.25" x14ac:dyDescent="0.2">
      <c r="A144" s="197" t="str">
        <f t="shared" si="2"/>
        <v>ChxCode_chan020W</v>
      </c>
      <c r="B144" s="409"/>
      <c r="C144" s="416"/>
      <c r="D144" s="198" t="s">
        <v>17214</v>
      </c>
      <c r="E144" s="198">
        <v>43</v>
      </c>
      <c r="F144" s="199" t="s">
        <v>17215</v>
      </c>
      <c r="G144" s="1" t="s">
        <v>17216</v>
      </c>
      <c r="H144" s="1" t="s">
        <v>16716</v>
      </c>
      <c r="I144" s="346"/>
      <c r="J144" s="39">
        <v>117018</v>
      </c>
      <c r="K144" s="36" t="str">
        <f>CONCATENATE(Cover!$D$6,"fdd/view?i=",J144)</f>
        <v>https://www.dgiwg.org/FAD/fdd/view?i=117018</v>
      </c>
      <c r="L144" s="36" t="s">
        <v>17217</v>
      </c>
      <c r="M144" s="186"/>
      <c r="N144" s="186"/>
      <c r="O144" s="13" t="s">
        <v>17213</v>
      </c>
    </row>
    <row r="145" spans="1:15" ht="38.25" x14ac:dyDescent="0.2">
      <c r="A145" s="197" t="str">
        <f t="shared" si="2"/>
        <v>ChxCode_chan020X</v>
      </c>
      <c r="B145" s="409"/>
      <c r="C145" s="416"/>
      <c r="D145" s="198" t="s">
        <v>17219</v>
      </c>
      <c r="E145" s="198">
        <v>44</v>
      </c>
      <c r="F145" s="199" t="s">
        <v>17220</v>
      </c>
      <c r="G145" s="1" t="s">
        <v>17221</v>
      </c>
      <c r="H145" s="1" t="s">
        <v>16716</v>
      </c>
      <c r="I145" s="346"/>
      <c r="J145" s="39">
        <v>117019</v>
      </c>
      <c r="K145" s="36" t="str">
        <f>CONCATENATE(Cover!$D$6,"fdd/view?i=",J145)</f>
        <v>https://www.dgiwg.org/FAD/fdd/view?i=117019</v>
      </c>
      <c r="L145" s="36" t="s">
        <v>17222</v>
      </c>
      <c r="M145" s="186"/>
      <c r="N145" s="186"/>
      <c r="O145" s="13" t="s">
        <v>17218</v>
      </c>
    </row>
    <row r="146" spans="1:15" ht="38.25" x14ac:dyDescent="0.2">
      <c r="A146" s="197" t="str">
        <f t="shared" si="2"/>
        <v>ChxCode_chan020Y</v>
      </c>
      <c r="B146" s="409"/>
      <c r="C146" s="416"/>
      <c r="D146" s="198" t="s">
        <v>17224</v>
      </c>
      <c r="E146" s="198">
        <v>45</v>
      </c>
      <c r="F146" s="199" t="s">
        <v>17225</v>
      </c>
      <c r="G146" s="1" t="s">
        <v>17226</v>
      </c>
      <c r="H146" s="1" t="s">
        <v>16716</v>
      </c>
      <c r="I146" s="346"/>
      <c r="J146" s="39">
        <v>117020</v>
      </c>
      <c r="K146" s="36" t="str">
        <f>CONCATENATE(Cover!$D$6,"fdd/view?i=",J146)</f>
        <v>https://www.dgiwg.org/FAD/fdd/view?i=117020</v>
      </c>
      <c r="L146" s="36" t="s">
        <v>17227</v>
      </c>
      <c r="M146" s="186"/>
      <c r="N146" s="186"/>
      <c r="O146" s="13" t="s">
        <v>17223</v>
      </c>
    </row>
    <row r="147" spans="1:15" ht="38.25" x14ac:dyDescent="0.2">
      <c r="A147" s="197" t="str">
        <f t="shared" si="2"/>
        <v>ChxCode_chan020Z</v>
      </c>
      <c r="B147" s="409"/>
      <c r="C147" s="416"/>
      <c r="D147" s="198" t="s">
        <v>17229</v>
      </c>
      <c r="E147" s="198">
        <v>46</v>
      </c>
      <c r="F147" s="199" t="s">
        <v>17230</v>
      </c>
      <c r="G147" s="1" t="s">
        <v>17231</v>
      </c>
      <c r="H147" s="1" t="s">
        <v>16716</v>
      </c>
      <c r="I147" s="346"/>
      <c r="J147" s="39">
        <v>117021</v>
      </c>
      <c r="K147" s="36" t="str">
        <f>CONCATENATE(Cover!$D$6,"fdd/view?i=",J147)</f>
        <v>https://www.dgiwg.org/FAD/fdd/view?i=117021</v>
      </c>
      <c r="L147" s="36" t="s">
        <v>17232</v>
      </c>
      <c r="M147" s="186"/>
      <c r="N147" s="186"/>
      <c r="O147" s="13" t="s">
        <v>17228</v>
      </c>
    </row>
    <row r="148" spans="1:15" ht="38.25" x14ac:dyDescent="0.2">
      <c r="A148" s="197" t="str">
        <f t="shared" si="2"/>
        <v>ChxCode_chan021X</v>
      </c>
      <c r="B148" s="409"/>
      <c r="C148" s="416"/>
      <c r="D148" s="198" t="s">
        <v>17234</v>
      </c>
      <c r="E148" s="198">
        <v>47</v>
      </c>
      <c r="F148" s="199" t="s">
        <v>17235</v>
      </c>
      <c r="G148" s="1" t="s">
        <v>17236</v>
      </c>
      <c r="H148" s="1" t="s">
        <v>16716</v>
      </c>
      <c r="I148" s="346"/>
      <c r="J148" s="39">
        <v>117022</v>
      </c>
      <c r="K148" s="36" t="str">
        <f>CONCATENATE(Cover!$D$6,"fdd/view?i=",J148)</f>
        <v>https://www.dgiwg.org/FAD/fdd/view?i=117022</v>
      </c>
      <c r="L148" s="36" t="s">
        <v>17237</v>
      </c>
      <c r="M148" s="186"/>
      <c r="N148" s="186"/>
      <c r="O148" s="13" t="s">
        <v>17233</v>
      </c>
    </row>
    <row r="149" spans="1:15" ht="38.25" x14ac:dyDescent="0.2">
      <c r="A149" s="197" t="str">
        <f t="shared" si="2"/>
        <v>ChxCode_chan021Y</v>
      </c>
      <c r="B149" s="409"/>
      <c r="C149" s="416"/>
      <c r="D149" s="198" t="s">
        <v>17239</v>
      </c>
      <c r="E149" s="198">
        <v>48</v>
      </c>
      <c r="F149" s="199" t="s">
        <v>17240</v>
      </c>
      <c r="G149" s="1" t="s">
        <v>17241</v>
      </c>
      <c r="H149" s="1" t="s">
        <v>16716</v>
      </c>
      <c r="I149" s="346"/>
      <c r="J149" s="39">
        <v>117023</v>
      </c>
      <c r="K149" s="36" t="str">
        <f>CONCATENATE(Cover!$D$6,"fdd/view?i=",J149)</f>
        <v>https://www.dgiwg.org/FAD/fdd/view?i=117023</v>
      </c>
      <c r="L149" s="36" t="s">
        <v>17242</v>
      </c>
      <c r="M149" s="186"/>
      <c r="N149" s="186"/>
      <c r="O149" s="13" t="s">
        <v>17238</v>
      </c>
    </row>
    <row r="150" spans="1:15" ht="38.25" x14ac:dyDescent="0.2">
      <c r="A150" s="197" t="str">
        <f t="shared" si="2"/>
        <v>ChxCode_chan021Z</v>
      </c>
      <c r="B150" s="409"/>
      <c r="C150" s="416"/>
      <c r="D150" s="198" t="s">
        <v>17244</v>
      </c>
      <c r="E150" s="198">
        <v>49</v>
      </c>
      <c r="F150" s="199" t="s">
        <v>17245</v>
      </c>
      <c r="G150" s="1" t="s">
        <v>17246</v>
      </c>
      <c r="H150" s="1" t="s">
        <v>16716</v>
      </c>
      <c r="I150" s="346"/>
      <c r="J150" s="39">
        <v>117024</v>
      </c>
      <c r="K150" s="36" t="str">
        <f>CONCATENATE(Cover!$D$6,"fdd/view?i=",J150)</f>
        <v>https://www.dgiwg.org/FAD/fdd/view?i=117024</v>
      </c>
      <c r="L150" s="36" t="s">
        <v>17247</v>
      </c>
      <c r="M150" s="186"/>
      <c r="N150" s="186"/>
      <c r="O150" s="13" t="s">
        <v>17243</v>
      </c>
    </row>
    <row r="151" spans="1:15" ht="38.25" x14ac:dyDescent="0.2">
      <c r="A151" s="197" t="str">
        <f t="shared" si="2"/>
        <v>ChxCode_chan022W</v>
      </c>
      <c r="B151" s="409"/>
      <c r="C151" s="416"/>
      <c r="D151" s="198" t="s">
        <v>17249</v>
      </c>
      <c r="E151" s="198">
        <v>50</v>
      </c>
      <c r="F151" s="199" t="s">
        <v>17250</v>
      </c>
      <c r="G151" s="1" t="s">
        <v>17251</v>
      </c>
      <c r="H151" s="1" t="s">
        <v>16716</v>
      </c>
      <c r="I151" s="346"/>
      <c r="J151" s="39">
        <v>117025</v>
      </c>
      <c r="K151" s="36" t="str">
        <f>CONCATENATE(Cover!$D$6,"fdd/view?i=",J151)</f>
        <v>https://www.dgiwg.org/FAD/fdd/view?i=117025</v>
      </c>
      <c r="L151" s="36" t="s">
        <v>17252</v>
      </c>
      <c r="M151" s="186"/>
      <c r="N151" s="186"/>
      <c r="O151" s="13" t="s">
        <v>17248</v>
      </c>
    </row>
    <row r="152" spans="1:15" ht="38.25" x14ac:dyDescent="0.2">
      <c r="A152" s="197" t="str">
        <f t="shared" si="2"/>
        <v>ChxCode_chan022X</v>
      </c>
      <c r="B152" s="409"/>
      <c r="C152" s="416"/>
      <c r="D152" s="198" t="s">
        <v>17254</v>
      </c>
      <c r="E152" s="198">
        <v>51</v>
      </c>
      <c r="F152" s="199" t="s">
        <v>17255</v>
      </c>
      <c r="G152" s="1" t="s">
        <v>17256</v>
      </c>
      <c r="H152" s="1" t="s">
        <v>16716</v>
      </c>
      <c r="I152" s="346"/>
      <c r="J152" s="39">
        <v>117026</v>
      </c>
      <c r="K152" s="36" t="str">
        <f>CONCATENATE(Cover!$D$6,"fdd/view?i=",J152)</f>
        <v>https://www.dgiwg.org/FAD/fdd/view?i=117026</v>
      </c>
      <c r="L152" s="36" t="s">
        <v>17257</v>
      </c>
      <c r="M152" s="186"/>
      <c r="N152" s="186"/>
      <c r="O152" s="13" t="s">
        <v>17253</v>
      </c>
    </row>
    <row r="153" spans="1:15" ht="38.25" x14ac:dyDescent="0.2">
      <c r="A153" s="197" t="str">
        <f t="shared" si="2"/>
        <v>ChxCode_chan022Y</v>
      </c>
      <c r="B153" s="409"/>
      <c r="C153" s="416"/>
      <c r="D153" s="198" t="s">
        <v>17259</v>
      </c>
      <c r="E153" s="198">
        <v>52</v>
      </c>
      <c r="F153" s="199" t="s">
        <v>17260</v>
      </c>
      <c r="G153" s="1" t="s">
        <v>17261</v>
      </c>
      <c r="H153" s="1" t="s">
        <v>16716</v>
      </c>
      <c r="I153" s="346"/>
      <c r="J153" s="39">
        <v>117027</v>
      </c>
      <c r="K153" s="36" t="str">
        <f>CONCATENATE(Cover!$D$6,"fdd/view?i=",J153)</f>
        <v>https://www.dgiwg.org/FAD/fdd/view?i=117027</v>
      </c>
      <c r="L153" s="36" t="s">
        <v>17262</v>
      </c>
      <c r="M153" s="186"/>
      <c r="N153" s="186"/>
      <c r="O153" s="13" t="s">
        <v>17258</v>
      </c>
    </row>
    <row r="154" spans="1:15" ht="38.25" x14ac:dyDescent="0.2">
      <c r="A154" s="197" t="str">
        <f t="shared" si="2"/>
        <v>ChxCode_chan022Z</v>
      </c>
      <c r="B154" s="409"/>
      <c r="C154" s="416"/>
      <c r="D154" s="198" t="s">
        <v>17264</v>
      </c>
      <c r="E154" s="198">
        <v>53</v>
      </c>
      <c r="F154" s="199" t="s">
        <v>17265</v>
      </c>
      <c r="G154" s="1" t="s">
        <v>17266</v>
      </c>
      <c r="H154" s="1" t="s">
        <v>16716</v>
      </c>
      <c r="I154" s="346"/>
      <c r="J154" s="39">
        <v>117028</v>
      </c>
      <c r="K154" s="36" t="str">
        <f>CONCATENATE(Cover!$D$6,"fdd/view?i=",J154)</f>
        <v>https://www.dgiwg.org/FAD/fdd/view?i=117028</v>
      </c>
      <c r="L154" s="36" t="s">
        <v>17267</v>
      </c>
      <c r="M154" s="186"/>
      <c r="N154" s="186"/>
      <c r="O154" s="13" t="s">
        <v>17263</v>
      </c>
    </row>
    <row r="155" spans="1:15" ht="38.25" x14ac:dyDescent="0.2">
      <c r="A155" s="197" t="str">
        <f t="shared" si="2"/>
        <v>ChxCode_chan023X</v>
      </c>
      <c r="B155" s="409"/>
      <c r="C155" s="416"/>
      <c r="D155" s="198" t="s">
        <v>17269</v>
      </c>
      <c r="E155" s="198">
        <v>54</v>
      </c>
      <c r="F155" s="199" t="s">
        <v>17270</v>
      </c>
      <c r="G155" s="1" t="s">
        <v>17271</v>
      </c>
      <c r="H155" s="1" t="s">
        <v>16716</v>
      </c>
      <c r="I155" s="346"/>
      <c r="J155" s="39">
        <v>117029</v>
      </c>
      <c r="K155" s="36" t="str">
        <f>CONCATENATE(Cover!$D$6,"fdd/view?i=",J155)</f>
        <v>https://www.dgiwg.org/FAD/fdd/view?i=117029</v>
      </c>
      <c r="L155" s="36" t="s">
        <v>17272</v>
      </c>
      <c r="M155" s="186"/>
      <c r="N155" s="186"/>
      <c r="O155" s="13" t="s">
        <v>17268</v>
      </c>
    </row>
    <row r="156" spans="1:15" ht="38.25" x14ac:dyDescent="0.2">
      <c r="A156" s="197" t="str">
        <f t="shared" si="2"/>
        <v>ChxCode_chan023Y</v>
      </c>
      <c r="B156" s="409"/>
      <c r="C156" s="416"/>
      <c r="D156" s="198" t="s">
        <v>17274</v>
      </c>
      <c r="E156" s="198">
        <v>55</v>
      </c>
      <c r="F156" s="199" t="s">
        <v>17275</v>
      </c>
      <c r="G156" s="1" t="s">
        <v>17276</v>
      </c>
      <c r="H156" s="1" t="s">
        <v>16716</v>
      </c>
      <c r="I156" s="346"/>
      <c r="J156" s="39">
        <v>117030</v>
      </c>
      <c r="K156" s="36" t="str">
        <f>CONCATENATE(Cover!$D$6,"fdd/view?i=",J156)</f>
        <v>https://www.dgiwg.org/FAD/fdd/view?i=117030</v>
      </c>
      <c r="L156" s="36" t="s">
        <v>17277</v>
      </c>
      <c r="M156" s="186"/>
      <c r="N156" s="186"/>
      <c r="O156" s="13" t="s">
        <v>17273</v>
      </c>
    </row>
    <row r="157" spans="1:15" ht="38.25" x14ac:dyDescent="0.2">
      <c r="A157" s="197" t="str">
        <f t="shared" si="2"/>
        <v>ChxCode_chan023Z</v>
      </c>
      <c r="B157" s="409"/>
      <c r="C157" s="416"/>
      <c r="D157" s="198" t="s">
        <v>17279</v>
      </c>
      <c r="E157" s="198">
        <v>56</v>
      </c>
      <c r="F157" s="199" t="s">
        <v>17280</v>
      </c>
      <c r="G157" s="1" t="s">
        <v>17281</v>
      </c>
      <c r="H157" s="1" t="s">
        <v>16716</v>
      </c>
      <c r="I157" s="346"/>
      <c r="J157" s="39">
        <v>117031</v>
      </c>
      <c r="K157" s="36" t="str">
        <f>CONCATENATE(Cover!$D$6,"fdd/view?i=",J157)</f>
        <v>https://www.dgiwg.org/FAD/fdd/view?i=117031</v>
      </c>
      <c r="L157" s="36" t="s">
        <v>17282</v>
      </c>
      <c r="M157" s="186"/>
      <c r="N157" s="186"/>
      <c r="O157" s="13" t="s">
        <v>17278</v>
      </c>
    </row>
    <row r="158" spans="1:15" ht="38.25" x14ac:dyDescent="0.2">
      <c r="A158" s="197" t="str">
        <f t="shared" si="2"/>
        <v>ChxCode_chan024W</v>
      </c>
      <c r="B158" s="409"/>
      <c r="C158" s="416"/>
      <c r="D158" s="198" t="s">
        <v>17284</v>
      </c>
      <c r="E158" s="198">
        <v>57</v>
      </c>
      <c r="F158" s="199" t="s">
        <v>17285</v>
      </c>
      <c r="G158" s="1" t="s">
        <v>17286</v>
      </c>
      <c r="H158" s="1" t="s">
        <v>16716</v>
      </c>
      <c r="I158" s="346"/>
      <c r="J158" s="39">
        <v>117032</v>
      </c>
      <c r="K158" s="36" t="str">
        <f>CONCATENATE(Cover!$D$6,"fdd/view?i=",J158)</f>
        <v>https://www.dgiwg.org/FAD/fdd/view?i=117032</v>
      </c>
      <c r="L158" s="36" t="s">
        <v>17287</v>
      </c>
      <c r="M158" s="186"/>
      <c r="N158" s="186"/>
      <c r="O158" s="13" t="s">
        <v>17283</v>
      </c>
    </row>
    <row r="159" spans="1:15" ht="38.25" x14ac:dyDescent="0.2">
      <c r="A159" s="197" t="str">
        <f t="shared" si="2"/>
        <v>ChxCode_chan024X</v>
      </c>
      <c r="B159" s="409"/>
      <c r="C159" s="416"/>
      <c r="D159" s="198" t="s">
        <v>17289</v>
      </c>
      <c r="E159" s="198">
        <v>58</v>
      </c>
      <c r="F159" s="199" t="s">
        <v>17290</v>
      </c>
      <c r="G159" s="1" t="s">
        <v>17291</v>
      </c>
      <c r="H159" s="1" t="s">
        <v>16716</v>
      </c>
      <c r="I159" s="346"/>
      <c r="J159" s="39">
        <v>117033</v>
      </c>
      <c r="K159" s="36" t="str">
        <f>CONCATENATE(Cover!$D$6,"fdd/view?i=",J159)</f>
        <v>https://www.dgiwg.org/FAD/fdd/view?i=117033</v>
      </c>
      <c r="L159" s="36" t="s">
        <v>17292</v>
      </c>
      <c r="M159" s="186"/>
      <c r="N159" s="186"/>
      <c r="O159" s="13" t="s">
        <v>17288</v>
      </c>
    </row>
    <row r="160" spans="1:15" ht="38.25" x14ac:dyDescent="0.2">
      <c r="A160" s="197" t="str">
        <f t="shared" si="2"/>
        <v>ChxCode_chan024Y</v>
      </c>
      <c r="B160" s="409"/>
      <c r="C160" s="416"/>
      <c r="D160" s="198" t="s">
        <v>17294</v>
      </c>
      <c r="E160" s="198">
        <v>59</v>
      </c>
      <c r="F160" s="199" t="s">
        <v>17295</v>
      </c>
      <c r="G160" s="1" t="s">
        <v>17296</v>
      </c>
      <c r="H160" s="1" t="s">
        <v>16716</v>
      </c>
      <c r="I160" s="346"/>
      <c r="J160" s="39">
        <v>117034</v>
      </c>
      <c r="K160" s="36" t="str">
        <f>CONCATENATE(Cover!$D$6,"fdd/view?i=",J160)</f>
        <v>https://www.dgiwg.org/FAD/fdd/view?i=117034</v>
      </c>
      <c r="L160" s="36" t="s">
        <v>17297</v>
      </c>
      <c r="M160" s="186"/>
      <c r="N160" s="186"/>
      <c r="O160" s="13" t="s">
        <v>17293</v>
      </c>
    </row>
    <row r="161" spans="1:15" ht="38.25" x14ac:dyDescent="0.2">
      <c r="A161" s="197" t="str">
        <f t="shared" si="2"/>
        <v>ChxCode_chan024Z</v>
      </c>
      <c r="B161" s="409"/>
      <c r="C161" s="416"/>
      <c r="D161" s="198" t="s">
        <v>17299</v>
      </c>
      <c r="E161" s="198">
        <v>60</v>
      </c>
      <c r="F161" s="199" t="s">
        <v>17300</v>
      </c>
      <c r="G161" s="1" t="s">
        <v>17301</v>
      </c>
      <c r="H161" s="1" t="s">
        <v>16716</v>
      </c>
      <c r="I161" s="346"/>
      <c r="J161" s="39">
        <v>117035</v>
      </c>
      <c r="K161" s="36" t="str">
        <f>CONCATENATE(Cover!$D$6,"fdd/view?i=",J161)</f>
        <v>https://www.dgiwg.org/FAD/fdd/view?i=117035</v>
      </c>
      <c r="L161" s="36" t="s">
        <v>17302</v>
      </c>
      <c r="M161" s="186"/>
      <c r="N161" s="186"/>
      <c r="O161" s="13" t="s">
        <v>17298</v>
      </c>
    </row>
    <row r="162" spans="1:15" ht="38.25" x14ac:dyDescent="0.2">
      <c r="A162" s="197" t="str">
        <f t="shared" si="2"/>
        <v>ChxCode_chan025X</v>
      </c>
      <c r="B162" s="409"/>
      <c r="C162" s="416"/>
      <c r="D162" s="198" t="s">
        <v>17304</v>
      </c>
      <c r="E162" s="198">
        <v>61</v>
      </c>
      <c r="F162" s="199" t="s">
        <v>17305</v>
      </c>
      <c r="G162" s="1" t="s">
        <v>17306</v>
      </c>
      <c r="H162" s="1" t="s">
        <v>16716</v>
      </c>
      <c r="I162" s="346"/>
      <c r="J162" s="39">
        <v>117036</v>
      </c>
      <c r="K162" s="36" t="str">
        <f>CONCATENATE(Cover!$D$6,"fdd/view?i=",J162)</f>
        <v>https://www.dgiwg.org/FAD/fdd/view?i=117036</v>
      </c>
      <c r="L162" s="36" t="s">
        <v>17307</v>
      </c>
      <c r="M162" s="186"/>
      <c r="N162" s="186"/>
      <c r="O162" s="13" t="s">
        <v>17303</v>
      </c>
    </row>
    <row r="163" spans="1:15" ht="38.25" x14ac:dyDescent="0.2">
      <c r="A163" s="197" t="str">
        <f t="shared" si="2"/>
        <v>ChxCode_chan025Y</v>
      </c>
      <c r="B163" s="409"/>
      <c r="C163" s="416"/>
      <c r="D163" s="198" t="s">
        <v>17309</v>
      </c>
      <c r="E163" s="198">
        <v>62</v>
      </c>
      <c r="F163" s="199" t="s">
        <v>17310</v>
      </c>
      <c r="G163" s="1" t="s">
        <v>17311</v>
      </c>
      <c r="H163" s="1" t="s">
        <v>16716</v>
      </c>
      <c r="I163" s="346"/>
      <c r="J163" s="39">
        <v>117037</v>
      </c>
      <c r="K163" s="36" t="str">
        <f>CONCATENATE(Cover!$D$6,"fdd/view?i=",J163)</f>
        <v>https://www.dgiwg.org/FAD/fdd/view?i=117037</v>
      </c>
      <c r="L163" s="36" t="s">
        <v>17312</v>
      </c>
      <c r="M163" s="186"/>
      <c r="N163" s="186"/>
      <c r="O163" s="13" t="s">
        <v>17308</v>
      </c>
    </row>
    <row r="164" spans="1:15" ht="38.25" x14ac:dyDescent="0.2">
      <c r="A164" s="197" t="str">
        <f t="shared" si="2"/>
        <v>ChxCode_chan025Z</v>
      </c>
      <c r="B164" s="409"/>
      <c r="C164" s="416"/>
      <c r="D164" s="198" t="s">
        <v>17314</v>
      </c>
      <c r="E164" s="198">
        <v>63</v>
      </c>
      <c r="F164" s="199" t="s">
        <v>17315</v>
      </c>
      <c r="G164" s="1" t="s">
        <v>17316</v>
      </c>
      <c r="H164" s="1" t="s">
        <v>16716</v>
      </c>
      <c r="I164" s="346"/>
      <c r="J164" s="39">
        <v>117038</v>
      </c>
      <c r="K164" s="36" t="str">
        <f>CONCATENATE(Cover!$D$6,"fdd/view?i=",J164)</f>
        <v>https://www.dgiwg.org/FAD/fdd/view?i=117038</v>
      </c>
      <c r="L164" s="36" t="s">
        <v>17317</v>
      </c>
      <c r="M164" s="186"/>
      <c r="N164" s="186"/>
      <c r="O164" s="13" t="s">
        <v>17313</v>
      </c>
    </row>
    <row r="165" spans="1:15" ht="38.25" x14ac:dyDescent="0.2">
      <c r="A165" s="197" t="str">
        <f t="shared" si="2"/>
        <v>ChxCode_chan026W</v>
      </c>
      <c r="B165" s="409"/>
      <c r="C165" s="416"/>
      <c r="D165" s="198" t="s">
        <v>17319</v>
      </c>
      <c r="E165" s="198">
        <v>64</v>
      </c>
      <c r="F165" s="199" t="s">
        <v>17320</v>
      </c>
      <c r="G165" s="1" t="s">
        <v>17321</v>
      </c>
      <c r="H165" s="1" t="s">
        <v>16716</v>
      </c>
      <c r="I165" s="346"/>
      <c r="J165" s="39">
        <v>117039</v>
      </c>
      <c r="K165" s="36" t="str">
        <f>CONCATENATE(Cover!$D$6,"fdd/view?i=",J165)</f>
        <v>https://www.dgiwg.org/FAD/fdd/view?i=117039</v>
      </c>
      <c r="L165" s="36" t="s">
        <v>17322</v>
      </c>
      <c r="M165" s="186"/>
      <c r="N165" s="186"/>
      <c r="O165" s="13" t="s">
        <v>17318</v>
      </c>
    </row>
    <row r="166" spans="1:15" ht="38.25" x14ac:dyDescent="0.2">
      <c r="A166" s="197" t="str">
        <f t="shared" si="2"/>
        <v>ChxCode_chan026X</v>
      </c>
      <c r="B166" s="409"/>
      <c r="C166" s="416"/>
      <c r="D166" s="198" t="s">
        <v>17324</v>
      </c>
      <c r="E166" s="198">
        <v>65</v>
      </c>
      <c r="F166" s="199" t="s">
        <v>17325</v>
      </c>
      <c r="G166" s="1" t="s">
        <v>17326</v>
      </c>
      <c r="H166" s="1" t="s">
        <v>16716</v>
      </c>
      <c r="I166" s="346"/>
      <c r="J166" s="39">
        <v>117040</v>
      </c>
      <c r="K166" s="36" t="str">
        <f>CONCATENATE(Cover!$D$6,"fdd/view?i=",J166)</f>
        <v>https://www.dgiwg.org/FAD/fdd/view?i=117040</v>
      </c>
      <c r="L166" s="36" t="s">
        <v>17327</v>
      </c>
      <c r="M166" s="186"/>
      <c r="N166" s="186"/>
      <c r="O166" s="13" t="s">
        <v>17323</v>
      </c>
    </row>
    <row r="167" spans="1:15" ht="38.25" x14ac:dyDescent="0.2">
      <c r="A167" s="197" t="str">
        <f t="shared" si="2"/>
        <v>ChxCode_chan026Y</v>
      </c>
      <c r="B167" s="409"/>
      <c r="C167" s="416"/>
      <c r="D167" s="198" t="s">
        <v>17329</v>
      </c>
      <c r="E167" s="198">
        <v>66</v>
      </c>
      <c r="F167" s="199" t="s">
        <v>17330</v>
      </c>
      <c r="G167" s="1" t="s">
        <v>17331</v>
      </c>
      <c r="H167" s="1" t="s">
        <v>16716</v>
      </c>
      <c r="I167" s="346"/>
      <c r="J167" s="39">
        <v>117041</v>
      </c>
      <c r="K167" s="36" t="str">
        <f>CONCATENATE(Cover!$D$6,"fdd/view?i=",J167)</f>
        <v>https://www.dgiwg.org/FAD/fdd/view?i=117041</v>
      </c>
      <c r="L167" s="36" t="s">
        <v>17332</v>
      </c>
      <c r="M167" s="186"/>
      <c r="N167" s="186"/>
      <c r="O167" s="13" t="s">
        <v>17328</v>
      </c>
    </row>
    <row r="168" spans="1:15" ht="38.25" x14ac:dyDescent="0.2">
      <c r="A168" s="197" t="str">
        <f t="shared" si="2"/>
        <v>ChxCode_chan026Z</v>
      </c>
      <c r="B168" s="409"/>
      <c r="C168" s="416"/>
      <c r="D168" s="198" t="s">
        <v>17334</v>
      </c>
      <c r="E168" s="198">
        <v>67</v>
      </c>
      <c r="F168" s="199" t="s">
        <v>17335</v>
      </c>
      <c r="G168" s="1" t="s">
        <v>17336</v>
      </c>
      <c r="H168" s="1" t="s">
        <v>16716</v>
      </c>
      <c r="I168" s="346"/>
      <c r="J168" s="39">
        <v>117042</v>
      </c>
      <c r="K168" s="36" t="str">
        <f>CONCATENATE(Cover!$D$6,"fdd/view?i=",J168)</f>
        <v>https://www.dgiwg.org/FAD/fdd/view?i=117042</v>
      </c>
      <c r="L168" s="36" t="s">
        <v>17337</v>
      </c>
      <c r="M168" s="186"/>
      <c r="N168" s="186"/>
      <c r="O168" s="13" t="s">
        <v>17333</v>
      </c>
    </row>
    <row r="169" spans="1:15" ht="38.25" x14ac:dyDescent="0.2">
      <c r="A169" s="197" t="str">
        <f t="shared" si="2"/>
        <v>ChxCode_chan027X</v>
      </c>
      <c r="B169" s="409"/>
      <c r="C169" s="416"/>
      <c r="D169" s="198" t="s">
        <v>17339</v>
      </c>
      <c r="E169" s="198">
        <v>68</v>
      </c>
      <c r="F169" s="199" t="s">
        <v>17340</v>
      </c>
      <c r="G169" s="1" t="s">
        <v>17341</v>
      </c>
      <c r="H169" s="1" t="s">
        <v>16716</v>
      </c>
      <c r="I169" s="346"/>
      <c r="J169" s="39">
        <v>117043</v>
      </c>
      <c r="K169" s="36" t="str">
        <f>CONCATENATE(Cover!$D$6,"fdd/view?i=",J169)</f>
        <v>https://www.dgiwg.org/FAD/fdd/view?i=117043</v>
      </c>
      <c r="L169" s="36" t="s">
        <v>17342</v>
      </c>
      <c r="M169" s="186"/>
      <c r="N169" s="186"/>
      <c r="O169" s="13" t="s">
        <v>17338</v>
      </c>
    </row>
    <row r="170" spans="1:15" ht="38.25" x14ac:dyDescent="0.2">
      <c r="A170" s="197" t="str">
        <f t="shared" si="2"/>
        <v>ChxCode_chan027Y</v>
      </c>
      <c r="B170" s="409"/>
      <c r="C170" s="416"/>
      <c r="D170" s="198" t="s">
        <v>17344</v>
      </c>
      <c r="E170" s="198">
        <v>69</v>
      </c>
      <c r="F170" s="199" t="s">
        <v>17345</v>
      </c>
      <c r="G170" s="1" t="s">
        <v>17346</v>
      </c>
      <c r="H170" s="1" t="s">
        <v>16716</v>
      </c>
      <c r="I170" s="346"/>
      <c r="J170" s="39">
        <v>117044</v>
      </c>
      <c r="K170" s="36" t="str">
        <f>CONCATENATE(Cover!$D$6,"fdd/view?i=",J170)</f>
        <v>https://www.dgiwg.org/FAD/fdd/view?i=117044</v>
      </c>
      <c r="L170" s="36" t="s">
        <v>17347</v>
      </c>
      <c r="M170" s="186"/>
      <c r="N170" s="186"/>
      <c r="O170" s="13" t="s">
        <v>17343</v>
      </c>
    </row>
    <row r="171" spans="1:15" ht="38.25" x14ac:dyDescent="0.2">
      <c r="A171" s="197" t="str">
        <f t="shared" si="2"/>
        <v>ChxCode_chan027Z</v>
      </c>
      <c r="B171" s="409"/>
      <c r="C171" s="416"/>
      <c r="D171" s="198" t="s">
        <v>17349</v>
      </c>
      <c r="E171" s="198">
        <v>70</v>
      </c>
      <c r="F171" s="199" t="s">
        <v>17350</v>
      </c>
      <c r="G171" s="1" t="s">
        <v>17351</v>
      </c>
      <c r="H171" s="1" t="s">
        <v>16716</v>
      </c>
      <c r="I171" s="346"/>
      <c r="J171" s="39">
        <v>117045</v>
      </c>
      <c r="K171" s="36" t="str">
        <f>CONCATENATE(Cover!$D$6,"fdd/view?i=",J171)</f>
        <v>https://www.dgiwg.org/FAD/fdd/view?i=117045</v>
      </c>
      <c r="L171" s="36" t="s">
        <v>17352</v>
      </c>
      <c r="M171" s="186"/>
      <c r="N171" s="186"/>
      <c r="O171" s="13" t="s">
        <v>17348</v>
      </c>
    </row>
    <row r="172" spans="1:15" ht="38.25" x14ac:dyDescent="0.2">
      <c r="A172" s="197" t="str">
        <f t="shared" si="2"/>
        <v>ChxCode_chan028W</v>
      </c>
      <c r="B172" s="409"/>
      <c r="C172" s="416"/>
      <c r="D172" s="198" t="s">
        <v>17354</v>
      </c>
      <c r="E172" s="198">
        <v>71</v>
      </c>
      <c r="F172" s="199" t="s">
        <v>17355</v>
      </c>
      <c r="G172" s="1" t="s">
        <v>17356</v>
      </c>
      <c r="H172" s="1" t="s">
        <v>16716</v>
      </c>
      <c r="I172" s="346"/>
      <c r="J172" s="39">
        <v>117046</v>
      </c>
      <c r="K172" s="36" t="str">
        <f>CONCATENATE(Cover!$D$6,"fdd/view?i=",J172)</f>
        <v>https://www.dgiwg.org/FAD/fdd/view?i=117046</v>
      </c>
      <c r="L172" s="36" t="s">
        <v>17357</v>
      </c>
      <c r="M172" s="186"/>
      <c r="N172" s="186"/>
      <c r="O172" s="13" t="s">
        <v>17353</v>
      </c>
    </row>
    <row r="173" spans="1:15" ht="38.25" x14ac:dyDescent="0.2">
      <c r="A173" s="197" t="str">
        <f t="shared" si="2"/>
        <v>ChxCode_chan028X</v>
      </c>
      <c r="B173" s="409"/>
      <c r="C173" s="416"/>
      <c r="D173" s="198" t="s">
        <v>17359</v>
      </c>
      <c r="E173" s="198">
        <v>72</v>
      </c>
      <c r="F173" s="199" t="s">
        <v>17360</v>
      </c>
      <c r="G173" s="1" t="s">
        <v>17361</v>
      </c>
      <c r="H173" s="1" t="s">
        <v>16716</v>
      </c>
      <c r="I173" s="346"/>
      <c r="J173" s="39">
        <v>117047</v>
      </c>
      <c r="K173" s="36" t="str">
        <f>CONCATENATE(Cover!$D$6,"fdd/view?i=",J173)</f>
        <v>https://www.dgiwg.org/FAD/fdd/view?i=117047</v>
      </c>
      <c r="L173" s="36" t="s">
        <v>17362</v>
      </c>
      <c r="M173" s="186"/>
      <c r="N173" s="186"/>
      <c r="O173" s="13" t="s">
        <v>17358</v>
      </c>
    </row>
    <row r="174" spans="1:15" ht="38.25" x14ac:dyDescent="0.2">
      <c r="A174" s="197" t="str">
        <f t="shared" si="2"/>
        <v>ChxCode_chan028Y</v>
      </c>
      <c r="B174" s="409"/>
      <c r="C174" s="416"/>
      <c r="D174" s="198" t="s">
        <v>17364</v>
      </c>
      <c r="E174" s="198">
        <v>73</v>
      </c>
      <c r="F174" s="199" t="s">
        <v>17365</v>
      </c>
      <c r="G174" s="1" t="s">
        <v>17366</v>
      </c>
      <c r="H174" s="1" t="s">
        <v>16716</v>
      </c>
      <c r="I174" s="346"/>
      <c r="J174" s="39">
        <v>117048</v>
      </c>
      <c r="K174" s="36" t="str">
        <f>CONCATENATE(Cover!$D$6,"fdd/view?i=",J174)</f>
        <v>https://www.dgiwg.org/FAD/fdd/view?i=117048</v>
      </c>
      <c r="L174" s="36" t="s">
        <v>17367</v>
      </c>
      <c r="M174" s="186"/>
      <c r="N174" s="186"/>
      <c r="O174" s="13" t="s">
        <v>17363</v>
      </c>
    </row>
    <row r="175" spans="1:15" ht="38.25" x14ac:dyDescent="0.2">
      <c r="A175" s="197" t="str">
        <f t="shared" si="2"/>
        <v>ChxCode_chan028Z</v>
      </c>
      <c r="B175" s="409"/>
      <c r="C175" s="416"/>
      <c r="D175" s="198" t="s">
        <v>17369</v>
      </c>
      <c r="E175" s="198">
        <v>74</v>
      </c>
      <c r="F175" s="199" t="s">
        <v>17370</v>
      </c>
      <c r="G175" s="1" t="s">
        <v>17371</v>
      </c>
      <c r="H175" s="1" t="s">
        <v>16716</v>
      </c>
      <c r="I175" s="346"/>
      <c r="J175" s="39">
        <v>117049</v>
      </c>
      <c r="K175" s="36" t="str">
        <f>CONCATENATE(Cover!$D$6,"fdd/view?i=",J175)</f>
        <v>https://www.dgiwg.org/FAD/fdd/view?i=117049</v>
      </c>
      <c r="L175" s="36" t="s">
        <v>17372</v>
      </c>
      <c r="M175" s="186"/>
      <c r="N175" s="186"/>
      <c r="O175" s="13" t="s">
        <v>17368</v>
      </c>
    </row>
    <row r="176" spans="1:15" ht="38.25" x14ac:dyDescent="0.2">
      <c r="A176" s="197" t="str">
        <f t="shared" si="2"/>
        <v>ChxCode_chan029X</v>
      </c>
      <c r="B176" s="409"/>
      <c r="C176" s="416"/>
      <c r="D176" s="198" t="s">
        <v>17374</v>
      </c>
      <c r="E176" s="198">
        <v>75</v>
      </c>
      <c r="F176" s="199" t="s">
        <v>17375</v>
      </c>
      <c r="G176" s="1" t="s">
        <v>17376</v>
      </c>
      <c r="H176" s="1" t="s">
        <v>16716</v>
      </c>
      <c r="I176" s="346"/>
      <c r="J176" s="39">
        <v>117050</v>
      </c>
      <c r="K176" s="36" t="str">
        <f>CONCATENATE(Cover!$D$6,"fdd/view?i=",J176)</f>
        <v>https://www.dgiwg.org/FAD/fdd/view?i=117050</v>
      </c>
      <c r="L176" s="36" t="s">
        <v>17377</v>
      </c>
      <c r="M176" s="186"/>
      <c r="N176" s="186"/>
      <c r="O176" s="13" t="s">
        <v>17373</v>
      </c>
    </row>
    <row r="177" spans="1:15" ht="38.25" x14ac:dyDescent="0.2">
      <c r="A177" s="197" t="str">
        <f t="shared" si="2"/>
        <v>ChxCode_chan029Y</v>
      </c>
      <c r="B177" s="409"/>
      <c r="C177" s="416"/>
      <c r="D177" s="198" t="s">
        <v>17379</v>
      </c>
      <c r="E177" s="198">
        <v>76</v>
      </c>
      <c r="F177" s="199" t="s">
        <v>17380</v>
      </c>
      <c r="G177" s="1" t="s">
        <v>17381</v>
      </c>
      <c r="H177" s="1" t="s">
        <v>16716</v>
      </c>
      <c r="I177" s="346"/>
      <c r="J177" s="39">
        <v>117051</v>
      </c>
      <c r="K177" s="36" t="str">
        <f>CONCATENATE(Cover!$D$6,"fdd/view?i=",J177)</f>
        <v>https://www.dgiwg.org/FAD/fdd/view?i=117051</v>
      </c>
      <c r="L177" s="36" t="s">
        <v>17382</v>
      </c>
      <c r="M177" s="186"/>
      <c r="N177" s="186"/>
      <c r="O177" s="13" t="s">
        <v>17378</v>
      </c>
    </row>
    <row r="178" spans="1:15" ht="38.25" x14ac:dyDescent="0.2">
      <c r="A178" s="197" t="str">
        <f t="shared" si="2"/>
        <v>ChxCode_chan029Z</v>
      </c>
      <c r="B178" s="409"/>
      <c r="C178" s="416"/>
      <c r="D178" s="198" t="s">
        <v>17384</v>
      </c>
      <c r="E178" s="198">
        <v>77</v>
      </c>
      <c r="F178" s="199" t="s">
        <v>17385</v>
      </c>
      <c r="G178" s="1" t="s">
        <v>17386</v>
      </c>
      <c r="H178" s="1" t="s">
        <v>16716</v>
      </c>
      <c r="I178" s="346"/>
      <c r="J178" s="39">
        <v>117052</v>
      </c>
      <c r="K178" s="36" t="str">
        <f>CONCATENATE(Cover!$D$6,"fdd/view?i=",J178)</f>
        <v>https://www.dgiwg.org/FAD/fdd/view?i=117052</v>
      </c>
      <c r="L178" s="36" t="s">
        <v>17387</v>
      </c>
      <c r="M178" s="186"/>
      <c r="N178" s="186"/>
      <c r="O178" s="13" t="s">
        <v>17383</v>
      </c>
    </row>
    <row r="179" spans="1:15" ht="38.25" x14ac:dyDescent="0.2">
      <c r="A179" s="197" t="str">
        <f t="shared" si="2"/>
        <v>ChxCode_chan030W</v>
      </c>
      <c r="B179" s="409"/>
      <c r="C179" s="416"/>
      <c r="D179" s="198" t="s">
        <v>17399</v>
      </c>
      <c r="E179" s="198">
        <v>78</v>
      </c>
      <c r="F179" s="199" t="s">
        <v>17400</v>
      </c>
      <c r="G179" s="1" t="s">
        <v>17401</v>
      </c>
      <c r="H179" s="1" t="s">
        <v>16716</v>
      </c>
      <c r="I179" s="346"/>
      <c r="J179" s="39">
        <v>117053</v>
      </c>
      <c r="K179" s="36" t="str">
        <f>CONCATENATE(Cover!$D$6,"fdd/view?i=",J179)</f>
        <v>https://www.dgiwg.org/FAD/fdd/view?i=117053</v>
      </c>
      <c r="L179" s="36" t="s">
        <v>17402</v>
      </c>
      <c r="M179" s="186"/>
      <c r="N179" s="186"/>
      <c r="O179" s="13" t="s">
        <v>17398</v>
      </c>
    </row>
    <row r="180" spans="1:15" ht="38.25" x14ac:dyDescent="0.2">
      <c r="A180" s="197" t="str">
        <f t="shared" si="2"/>
        <v>ChxCode_chan030X</v>
      </c>
      <c r="B180" s="409"/>
      <c r="C180" s="416"/>
      <c r="D180" s="198" t="s">
        <v>17404</v>
      </c>
      <c r="E180" s="198">
        <v>79</v>
      </c>
      <c r="F180" s="199" t="s">
        <v>17405</v>
      </c>
      <c r="G180" s="1" t="s">
        <v>17406</v>
      </c>
      <c r="H180" s="1" t="s">
        <v>16716</v>
      </c>
      <c r="I180" s="346"/>
      <c r="J180" s="39">
        <v>117054</v>
      </c>
      <c r="K180" s="36" t="str">
        <f>CONCATENATE(Cover!$D$6,"fdd/view?i=",J180)</f>
        <v>https://www.dgiwg.org/FAD/fdd/view?i=117054</v>
      </c>
      <c r="L180" s="36" t="s">
        <v>17407</v>
      </c>
      <c r="M180" s="186"/>
      <c r="N180" s="186"/>
      <c r="O180" s="13" t="s">
        <v>17403</v>
      </c>
    </row>
    <row r="181" spans="1:15" ht="38.25" x14ac:dyDescent="0.2">
      <c r="A181" s="197" t="str">
        <f t="shared" si="2"/>
        <v>ChxCode_chan030Y</v>
      </c>
      <c r="B181" s="409"/>
      <c r="C181" s="416"/>
      <c r="D181" s="198" t="s">
        <v>17409</v>
      </c>
      <c r="E181" s="198">
        <v>80</v>
      </c>
      <c r="F181" s="199" t="s">
        <v>17410</v>
      </c>
      <c r="G181" s="1" t="s">
        <v>17411</v>
      </c>
      <c r="H181" s="1" t="s">
        <v>16716</v>
      </c>
      <c r="I181" s="346"/>
      <c r="J181" s="39">
        <v>117055</v>
      </c>
      <c r="K181" s="36" t="str">
        <f>CONCATENATE(Cover!$D$6,"fdd/view?i=",J181)</f>
        <v>https://www.dgiwg.org/FAD/fdd/view?i=117055</v>
      </c>
      <c r="L181" s="36" t="s">
        <v>17412</v>
      </c>
      <c r="M181" s="186"/>
      <c r="N181" s="186"/>
      <c r="O181" s="13" t="s">
        <v>17408</v>
      </c>
    </row>
    <row r="182" spans="1:15" ht="38.25" x14ac:dyDescent="0.2">
      <c r="A182" s="197" t="str">
        <f t="shared" si="2"/>
        <v>ChxCode_chan030Z</v>
      </c>
      <c r="B182" s="409"/>
      <c r="C182" s="416"/>
      <c r="D182" s="198" t="s">
        <v>17414</v>
      </c>
      <c r="E182" s="198">
        <v>81</v>
      </c>
      <c r="F182" s="199" t="s">
        <v>17415</v>
      </c>
      <c r="G182" s="1" t="s">
        <v>17416</v>
      </c>
      <c r="H182" s="1" t="s">
        <v>16716</v>
      </c>
      <c r="I182" s="346"/>
      <c r="J182" s="39">
        <v>117056</v>
      </c>
      <c r="K182" s="36" t="str">
        <f>CONCATENATE(Cover!$D$6,"fdd/view?i=",J182)</f>
        <v>https://www.dgiwg.org/FAD/fdd/view?i=117056</v>
      </c>
      <c r="L182" s="36" t="s">
        <v>17417</v>
      </c>
      <c r="M182" s="186"/>
      <c r="N182" s="186"/>
      <c r="O182" s="13" t="s">
        <v>17413</v>
      </c>
    </row>
    <row r="183" spans="1:15" ht="38.25" x14ac:dyDescent="0.2">
      <c r="A183" s="197" t="str">
        <f t="shared" si="2"/>
        <v>ChxCode_chan031X</v>
      </c>
      <c r="B183" s="409"/>
      <c r="C183" s="416"/>
      <c r="D183" s="198" t="s">
        <v>17419</v>
      </c>
      <c r="E183" s="198">
        <v>82</v>
      </c>
      <c r="F183" s="199" t="s">
        <v>17420</v>
      </c>
      <c r="G183" s="1" t="s">
        <v>17421</v>
      </c>
      <c r="H183" s="1" t="s">
        <v>16716</v>
      </c>
      <c r="I183" s="346"/>
      <c r="J183" s="39">
        <v>117057</v>
      </c>
      <c r="K183" s="36" t="str">
        <f>CONCATENATE(Cover!$D$6,"fdd/view?i=",J183)</f>
        <v>https://www.dgiwg.org/FAD/fdd/view?i=117057</v>
      </c>
      <c r="L183" s="36" t="s">
        <v>17422</v>
      </c>
      <c r="M183" s="186"/>
      <c r="N183" s="186"/>
      <c r="O183" s="13" t="s">
        <v>17418</v>
      </c>
    </row>
    <row r="184" spans="1:15" ht="38.25" x14ac:dyDescent="0.2">
      <c r="A184" s="197" t="str">
        <f t="shared" si="2"/>
        <v>ChxCode_chan031Y</v>
      </c>
      <c r="B184" s="409"/>
      <c r="C184" s="416"/>
      <c r="D184" s="198" t="s">
        <v>17424</v>
      </c>
      <c r="E184" s="198">
        <v>83</v>
      </c>
      <c r="F184" s="199" t="s">
        <v>17425</v>
      </c>
      <c r="G184" s="1" t="s">
        <v>17426</v>
      </c>
      <c r="H184" s="1" t="s">
        <v>16716</v>
      </c>
      <c r="I184" s="346"/>
      <c r="J184" s="39">
        <v>117058</v>
      </c>
      <c r="K184" s="36" t="str">
        <f>CONCATENATE(Cover!$D$6,"fdd/view?i=",J184)</f>
        <v>https://www.dgiwg.org/FAD/fdd/view?i=117058</v>
      </c>
      <c r="L184" s="36" t="s">
        <v>17427</v>
      </c>
      <c r="M184" s="186"/>
      <c r="N184" s="186"/>
      <c r="O184" s="13" t="s">
        <v>17423</v>
      </c>
    </row>
    <row r="185" spans="1:15" ht="38.25" x14ac:dyDescent="0.2">
      <c r="A185" s="197" t="str">
        <f t="shared" si="2"/>
        <v>ChxCode_chan031Z</v>
      </c>
      <c r="B185" s="409"/>
      <c r="C185" s="416"/>
      <c r="D185" s="198" t="s">
        <v>17429</v>
      </c>
      <c r="E185" s="198">
        <v>84</v>
      </c>
      <c r="F185" s="199" t="s">
        <v>17430</v>
      </c>
      <c r="G185" s="1" t="s">
        <v>17431</v>
      </c>
      <c r="H185" s="1" t="s">
        <v>16716</v>
      </c>
      <c r="I185" s="346"/>
      <c r="J185" s="39">
        <v>117059</v>
      </c>
      <c r="K185" s="36" t="str">
        <f>CONCATENATE(Cover!$D$6,"fdd/view?i=",J185)</f>
        <v>https://www.dgiwg.org/FAD/fdd/view?i=117059</v>
      </c>
      <c r="L185" s="36" t="s">
        <v>17432</v>
      </c>
      <c r="M185" s="186"/>
      <c r="N185" s="186"/>
      <c r="O185" s="13" t="s">
        <v>17428</v>
      </c>
    </row>
    <row r="186" spans="1:15" ht="38.25" x14ac:dyDescent="0.2">
      <c r="A186" s="197" t="str">
        <f t="shared" si="2"/>
        <v>ChxCode_chan032W</v>
      </c>
      <c r="B186" s="409"/>
      <c r="C186" s="416"/>
      <c r="D186" s="198" t="s">
        <v>17434</v>
      </c>
      <c r="E186" s="198">
        <v>85</v>
      </c>
      <c r="F186" s="199" t="s">
        <v>17435</v>
      </c>
      <c r="G186" s="1" t="s">
        <v>17436</v>
      </c>
      <c r="H186" s="1" t="s">
        <v>16716</v>
      </c>
      <c r="I186" s="346"/>
      <c r="J186" s="39">
        <v>117060</v>
      </c>
      <c r="K186" s="36" t="str">
        <f>CONCATENATE(Cover!$D$6,"fdd/view?i=",J186)</f>
        <v>https://www.dgiwg.org/FAD/fdd/view?i=117060</v>
      </c>
      <c r="L186" s="36" t="s">
        <v>17437</v>
      </c>
      <c r="M186" s="186"/>
      <c r="N186" s="186"/>
      <c r="O186" s="13" t="s">
        <v>17433</v>
      </c>
    </row>
    <row r="187" spans="1:15" ht="38.25" x14ac:dyDescent="0.2">
      <c r="A187" s="197" t="str">
        <f t="shared" si="2"/>
        <v>ChxCode_chan032X</v>
      </c>
      <c r="B187" s="409"/>
      <c r="C187" s="416"/>
      <c r="D187" s="198" t="s">
        <v>17439</v>
      </c>
      <c r="E187" s="198">
        <v>86</v>
      </c>
      <c r="F187" s="199" t="s">
        <v>17440</v>
      </c>
      <c r="G187" s="1" t="s">
        <v>17441</v>
      </c>
      <c r="H187" s="1" t="s">
        <v>16716</v>
      </c>
      <c r="I187" s="346"/>
      <c r="J187" s="39">
        <v>117061</v>
      </c>
      <c r="K187" s="36" t="str">
        <f>CONCATENATE(Cover!$D$6,"fdd/view?i=",J187)</f>
        <v>https://www.dgiwg.org/FAD/fdd/view?i=117061</v>
      </c>
      <c r="L187" s="36" t="s">
        <v>17442</v>
      </c>
      <c r="M187" s="186"/>
      <c r="N187" s="186"/>
      <c r="O187" s="13" t="s">
        <v>17438</v>
      </c>
    </row>
    <row r="188" spans="1:15" ht="38.25" x14ac:dyDescent="0.2">
      <c r="A188" s="197" t="str">
        <f t="shared" si="2"/>
        <v>ChxCode_chan032Y</v>
      </c>
      <c r="B188" s="409"/>
      <c r="C188" s="416"/>
      <c r="D188" s="198" t="s">
        <v>17444</v>
      </c>
      <c r="E188" s="198">
        <v>87</v>
      </c>
      <c r="F188" s="199" t="s">
        <v>17445</v>
      </c>
      <c r="G188" s="1" t="s">
        <v>17446</v>
      </c>
      <c r="H188" s="1" t="s">
        <v>16716</v>
      </c>
      <c r="I188" s="346"/>
      <c r="J188" s="39">
        <v>117062</v>
      </c>
      <c r="K188" s="36" t="str">
        <f>CONCATENATE(Cover!$D$6,"fdd/view?i=",J188)</f>
        <v>https://www.dgiwg.org/FAD/fdd/view?i=117062</v>
      </c>
      <c r="L188" s="36" t="s">
        <v>17447</v>
      </c>
      <c r="M188" s="186"/>
      <c r="N188" s="186"/>
      <c r="O188" s="13" t="s">
        <v>17443</v>
      </c>
    </row>
    <row r="189" spans="1:15" ht="38.25" x14ac:dyDescent="0.2">
      <c r="A189" s="197" t="str">
        <f t="shared" si="2"/>
        <v>ChxCode_chan032Z</v>
      </c>
      <c r="B189" s="409"/>
      <c r="C189" s="416"/>
      <c r="D189" s="198" t="s">
        <v>17449</v>
      </c>
      <c r="E189" s="198">
        <v>88</v>
      </c>
      <c r="F189" s="199" t="s">
        <v>17450</v>
      </c>
      <c r="G189" s="1" t="s">
        <v>17451</v>
      </c>
      <c r="H189" s="1" t="s">
        <v>16716</v>
      </c>
      <c r="I189" s="346"/>
      <c r="J189" s="39">
        <v>117063</v>
      </c>
      <c r="K189" s="36" t="str">
        <f>CONCATENATE(Cover!$D$6,"fdd/view?i=",J189)</f>
        <v>https://www.dgiwg.org/FAD/fdd/view?i=117063</v>
      </c>
      <c r="L189" s="36" t="s">
        <v>17452</v>
      </c>
      <c r="M189" s="186"/>
      <c r="N189" s="186"/>
      <c r="O189" s="13" t="s">
        <v>17448</v>
      </c>
    </row>
    <row r="190" spans="1:15" ht="38.25" x14ac:dyDescent="0.2">
      <c r="A190" s="197" t="str">
        <f t="shared" si="2"/>
        <v>ChxCode_chan033X</v>
      </c>
      <c r="B190" s="409"/>
      <c r="C190" s="416"/>
      <c r="D190" s="198" t="s">
        <v>17454</v>
      </c>
      <c r="E190" s="198">
        <v>89</v>
      </c>
      <c r="F190" s="199" t="s">
        <v>17455</v>
      </c>
      <c r="G190" s="1" t="s">
        <v>17456</v>
      </c>
      <c r="H190" s="1" t="s">
        <v>16716</v>
      </c>
      <c r="I190" s="346"/>
      <c r="J190" s="39">
        <v>117064</v>
      </c>
      <c r="K190" s="36" t="str">
        <f>CONCATENATE(Cover!$D$6,"fdd/view?i=",J190)</f>
        <v>https://www.dgiwg.org/FAD/fdd/view?i=117064</v>
      </c>
      <c r="L190" s="36" t="s">
        <v>17457</v>
      </c>
      <c r="M190" s="186"/>
      <c r="N190" s="186"/>
      <c r="O190" s="13" t="s">
        <v>17453</v>
      </c>
    </row>
    <row r="191" spans="1:15" ht="38.25" x14ac:dyDescent="0.2">
      <c r="A191" s="197" t="str">
        <f t="shared" si="2"/>
        <v>ChxCode_chan033Y</v>
      </c>
      <c r="B191" s="409"/>
      <c r="C191" s="416"/>
      <c r="D191" s="198" t="s">
        <v>17459</v>
      </c>
      <c r="E191" s="198">
        <v>90</v>
      </c>
      <c r="F191" s="199" t="s">
        <v>17460</v>
      </c>
      <c r="G191" s="1" t="s">
        <v>17461</v>
      </c>
      <c r="H191" s="1" t="s">
        <v>16716</v>
      </c>
      <c r="I191" s="346"/>
      <c r="J191" s="39">
        <v>117065</v>
      </c>
      <c r="K191" s="36" t="str">
        <f>CONCATENATE(Cover!$D$6,"fdd/view?i=",J191)</f>
        <v>https://www.dgiwg.org/FAD/fdd/view?i=117065</v>
      </c>
      <c r="L191" s="36" t="s">
        <v>17462</v>
      </c>
      <c r="M191" s="186"/>
      <c r="N191" s="186"/>
      <c r="O191" s="13" t="s">
        <v>17458</v>
      </c>
    </row>
    <row r="192" spans="1:15" ht="38.25" x14ac:dyDescent="0.2">
      <c r="A192" s="197" t="str">
        <f t="shared" si="2"/>
        <v>ChxCode_chan033Z</v>
      </c>
      <c r="B192" s="409"/>
      <c r="C192" s="416"/>
      <c r="D192" s="198" t="s">
        <v>17464</v>
      </c>
      <c r="E192" s="198">
        <v>91</v>
      </c>
      <c r="F192" s="199" t="s">
        <v>17465</v>
      </c>
      <c r="G192" s="1" t="s">
        <v>17466</v>
      </c>
      <c r="H192" s="1" t="s">
        <v>16716</v>
      </c>
      <c r="I192" s="346"/>
      <c r="J192" s="39">
        <v>117066</v>
      </c>
      <c r="K192" s="36" t="str">
        <f>CONCATENATE(Cover!$D$6,"fdd/view?i=",J192)</f>
        <v>https://www.dgiwg.org/FAD/fdd/view?i=117066</v>
      </c>
      <c r="L192" s="36" t="s">
        <v>17467</v>
      </c>
      <c r="M192" s="186"/>
      <c r="N192" s="186"/>
      <c r="O192" s="13" t="s">
        <v>17463</v>
      </c>
    </row>
    <row r="193" spans="1:15" ht="38.25" x14ac:dyDescent="0.2">
      <c r="A193" s="197" t="str">
        <f t="shared" si="2"/>
        <v>ChxCode_chan034W</v>
      </c>
      <c r="B193" s="409"/>
      <c r="C193" s="416"/>
      <c r="D193" s="198" t="s">
        <v>17469</v>
      </c>
      <c r="E193" s="198">
        <v>92</v>
      </c>
      <c r="F193" s="199" t="s">
        <v>17470</v>
      </c>
      <c r="G193" s="1" t="s">
        <v>17471</v>
      </c>
      <c r="H193" s="1" t="s">
        <v>16716</v>
      </c>
      <c r="I193" s="346"/>
      <c r="J193" s="39">
        <v>117067</v>
      </c>
      <c r="K193" s="36" t="str">
        <f>CONCATENATE(Cover!$D$6,"fdd/view?i=",J193)</f>
        <v>https://www.dgiwg.org/FAD/fdd/view?i=117067</v>
      </c>
      <c r="L193" s="36" t="s">
        <v>17472</v>
      </c>
      <c r="M193" s="186"/>
      <c r="N193" s="186"/>
      <c r="O193" s="13" t="s">
        <v>17468</v>
      </c>
    </row>
    <row r="194" spans="1:15" ht="38.25" x14ac:dyDescent="0.2">
      <c r="A194" s="197" t="str">
        <f t="shared" ref="A194:A257" si="3">HYPERLINK(K194,L194)</f>
        <v>ChxCode_chan034X</v>
      </c>
      <c r="B194" s="409"/>
      <c r="C194" s="416"/>
      <c r="D194" s="198" t="s">
        <v>17474</v>
      </c>
      <c r="E194" s="198">
        <v>93</v>
      </c>
      <c r="F194" s="199" t="s">
        <v>17475</v>
      </c>
      <c r="G194" s="1" t="s">
        <v>17476</v>
      </c>
      <c r="H194" s="1" t="s">
        <v>16716</v>
      </c>
      <c r="I194" s="346"/>
      <c r="J194" s="39">
        <v>117068</v>
      </c>
      <c r="K194" s="36" t="str">
        <f>CONCATENATE(Cover!$D$6,"fdd/view?i=",J194)</f>
        <v>https://www.dgiwg.org/FAD/fdd/view?i=117068</v>
      </c>
      <c r="L194" s="36" t="s">
        <v>17477</v>
      </c>
      <c r="M194" s="186"/>
      <c r="N194" s="186"/>
      <c r="O194" s="13" t="s">
        <v>17473</v>
      </c>
    </row>
    <row r="195" spans="1:15" ht="38.25" x14ac:dyDescent="0.2">
      <c r="A195" s="197" t="str">
        <f t="shared" si="3"/>
        <v>ChxCode_chan034Y</v>
      </c>
      <c r="B195" s="409"/>
      <c r="C195" s="416"/>
      <c r="D195" s="198" t="s">
        <v>17479</v>
      </c>
      <c r="E195" s="198">
        <v>94</v>
      </c>
      <c r="F195" s="199" t="s">
        <v>17480</v>
      </c>
      <c r="G195" s="1" t="s">
        <v>17481</v>
      </c>
      <c r="H195" s="1" t="s">
        <v>16716</v>
      </c>
      <c r="I195" s="346"/>
      <c r="J195" s="39">
        <v>117069</v>
      </c>
      <c r="K195" s="36" t="str">
        <f>CONCATENATE(Cover!$D$6,"fdd/view?i=",J195)</f>
        <v>https://www.dgiwg.org/FAD/fdd/view?i=117069</v>
      </c>
      <c r="L195" s="36" t="s">
        <v>17482</v>
      </c>
      <c r="M195" s="186"/>
      <c r="N195" s="186"/>
      <c r="O195" s="13" t="s">
        <v>17478</v>
      </c>
    </row>
    <row r="196" spans="1:15" ht="38.25" x14ac:dyDescent="0.2">
      <c r="A196" s="197" t="str">
        <f t="shared" si="3"/>
        <v>ChxCode_chan034Z</v>
      </c>
      <c r="B196" s="409"/>
      <c r="C196" s="416"/>
      <c r="D196" s="198" t="s">
        <v>17484</v>
      </c>
      <c r="E196" s="198">
        <v>95</v>
      </c>
      <c r="F196" s="199" t="s">
        <v>17485</v>
      </c>
      <c r="G196" s="1" t="s">
        <v>17486</v>
      </c>
      <c r="H196" s="1" t="s">
        <v>16716</v>
      </c>
      <c r="I196" s="346"/>
      <c r="J196" s="39">
        <v>117070</v>
      </c>
      <c r="K196" s="36" t="str">
        <f>CONCATENATE(Cover!$D$6,"fdd/view?i=",J196)</f>
        <v>https://www.dgiwg.org/FAD/fdd/view?i=117070</v>
      </c>
      <c r="L196" s="36" t="s">
        <v>17487</v>
      </c>
      <c r="M196" s="186"/>
      <c r="N196" s="186"/>
      <c r="O196" s="13" t="s">
        <v>17483</v>
      </c>
    </row>
    <row r="197" spans="1:15" ht="38.25" x14ac:dyDescent="0.2">
      <c r="A197" s="197" t="str">
        <f t="shared" si="3"/>
        <v>ChxCode_chan035X</v>
      </c>
      <c r="B197" s="409"/>
      <c r="C197" s="416"/>
      <c r="D197" s="198" t="s">
        <v>17489</v>
      </c>
      <c r="E197" s="198">
        <v>96</v>
      </c>
      <c r="F197" s="199" t="s">
        <v>17490</v>
      </c>
      <c r="G197" s="1" t="s">
        <v>17491</v>
      </c>
      <c r="H197" s="1" t="s">
        <v>16716</v>
      </c>
      <c r="I197" s="346"/>
      <c r="J197" s="39">
        <v>117071</v>
      </c>
      <c r="K197" s="36" t="str">
        <f>CONCATENATE(Cover!$D$6,"fdd/view?i=",J197)</f>
        <v>https://www.dgiwg.org/FAD/fdd/view?i=117071</v>
      </c>
      <c r="L197" s="36" t="s">
        <v>17492</v>
      </c>
      <c r="M197" s="186"/>
      <c r="N197" s="186"/>
      <c r="O197" s="13" t="s">
        <v>17488</v>
      </c>
    </row>
    <row r="198" spans="1:15" ht="38.25" x14ac:dyDescent="0.2">
      <c r="A198" s="197" t="str">
        <f t="shared" si="3"/>
        <v>ChxCode_chan035Y</v>
      </c>
      <c r="B198" s="409"/>
      <c r="C198" s="416"/>
      <c r="D198" s="198" t="s">
        <v>17494</v>
      </c>
      <c r="E198" s="198">
        <v>97</v>
      </c>
      <c r="F198" s="199" t="s">
        <v>17495</v>
      </c>
      <c r="G198" s="1" t="s">
        <v>17496</v>
      </c>
      <c r="H198" s="1" t="s">
        <v>16716</v>
      </c>
      <c r="I198" s="346"/>
      <c r="J198" s="39">
        <v>117072</v>
      </c>
      <c r="K198" s="36" t="str">
        <f>CONCATENATE(Cover!$D$6,"fdd/view?i=",J198)</f>
        <v>https://www.dgiwg.org/FAD/fdd/view?i=117072</v>
      </c>
      <c r="L198" s="36" t="s">
        <v>17497</v>
      </c>
      <c r="M198" s="186"/>
      <c r="N198" s="186"/>
      <c r="O198" s="13" t="s">
        <v>17493</v>
      </c>
    </row>
    <row r="199" spans="1:15" ht="38.25" x14ac:dyDescent="0.2">
      <c r="A199" s="197" t="str">
        <f t="shared" si="3"/>
        <v>ChxCode_chan035Z</v>
      </c>
      <c r="B199" s="409"/>
      <c r="C199" s="416"/>
      <c r="D199" s="198" t="s">
        <v>17499</v>
      </c>
      <c r="E199" s="198">
        <v>98</v>
      </c>
      <c r="F199" s="199" t="s">
        <v>17500</v>
      </c>
      <c r="G199" s="1" t="s">
        <v>17501</v>
      </c>
      <c r="H199" s="1" t="s">
        <v>16716</v>
      </c>
      <c r="I199" s="346"/>
      <c r="J199" s="39">
        <v>117073</v>
      </c>
      <c r="K199" s="36" t="str">
        <f>CONCATENATE(Cover!$D$6,"fdd/view?i=",J199)</f>
        <v>https://www.dgiwg.org/FAD/fdd/view?i=117073</v>
      </c>
      <c r="L199" s="36" t="s">
        <v>17502</v>
      </c>
      <c r="M199" s="186"/>
      <c r="N199" s="186"/>
      <c r="O199" s="13" t="s">
        <v>17498</v>
      </c>
    </row>
    <row r="200" spans="1:15" ht="38.25" x14ac:dyDescent="0.2">
      <c r="A200" s="197" t="str">
        <f t="shared" si="3"/>
        <v>ChxCode_chan036W</v>
      </c>
      <c r="B200" s="409"/>
      <c r="C200" s="416"/>
      <c r="D200" s="198" t="s">
        <v>17504</v>
      </c>
      <c r="E200" s="198">
        <v>99</v>
      </c>
      <c r="F200" s="199" t="s">
        <v>17505</v>
      </c>
      <c r="G200" s="1" t="s">
        <v>17506</v>
      </c>
      <c r="H200" s="1" t="s">
        <v>16716</v>
      </c>
      <c r="I200" s="346"/>
      <c r="J200" s="39">
        <v>117074</v>
      </c>
      <c r="K200" s="36" t="str">
        <f>CONCATENATE(Cover!$D$6,"fdd/view?i=",J200)</f>
        <v>https://www.dgiwg.org/FAD/fdd/view?i=117074</v>
      </c>
      <c r="L200" s="36" t="s">
        <v>17507</v>
      </c>
      <c r="M200" s="186"/>
      <c r="N200" s="186"/>
      <c r="O200" s="13" t="s">
        <v>17503</v>
      </c>
    </row>
    <row r="201" spans="1:15" ht="38.25" x14ac:dyDescent="0.2">
      <c r="A201" s="197" t="str">
        <f t="shared" si="3"/>
        <v>ChxCode_chan036X</v>
      </c>
      <c r="B201" s="409"/>
      <c r="C201" s="416"/>
      <c r="D201" s="198" t="s">
        <v>17509</v>
      </c>
      <c r="E201" s="198">
        <v>100</v>
      </c>
      <c r="F201" s="199" t="s">
        <v>17510</v>
      </c>
      <c r="G201" s="1" t="s">
        <v>17511</v>
      </c>
      <c r="H201" s="1" t="s">
        <v>16716</v>
      </c>
      <c r="I201" s="346"/>
      <c r="J201" s="39">
        <v>117075</v>
      </c>
      <c r="K201" s="36" t="str">
        <f>CONCATENATE(Cover!$D$6,"fdd/view?i=",J201)</f>
        <v>https://www.dgiwg.org/FAD/fdd/view?i=117075</v>
      </c>
      <c r="L201" s="36" t="s">
        <v>17512</v>
      </c>
      <c r="M201" s="186"/>
      <c r="N201" s="186"/>
      <c r="O201" s="13" t="s">
        <v>17508</v>
      </c>
    </row>
    <row r="202" spans="1:15" ht="38.25" x14ac:dyDescent="0.2">
      <c r="A202" s="197" t="str">
        <f t="shared" si="3"/>
        <v>ChxCode_chan036Y</v>
      </c>
      <c r="B202" s="409"/>
      <c r="C202" s="416"/>
      <c r="D202" s="198" t="s">
        <v>17514</v>
      </c>
      <c r="E202" s="198">
        <v>101</v>
      </c>
      <c r="F202" s="199" t="s">
        <v>17515</v>
      </c>
      <c r="G202" s="1" t="s">
        <v>17516</v>
      </c>
      <c r="H202" s="1" t="s">
        <v>16716</v>
      </c>
      <c r="I202" s="346"/>
      <c r="J202" s="39">
        <v>117076</v>
      </c>
      <c r="K202" s="36" t="str">
        <f>CONCATENATE(Cover!$D$6,"fdd/view?i=",J202)</f>
        <v>https://www.dgiwg.org/FAD/fdd/view?i=117076</v>
      </c>
      <c r="L202" s="36" t="s">
        <v>17517</v>
      </c>
      <c r="M202" s="186"/>
      <c r="N202" s="186"/>
      <c r="O202" s="13" t="s">
        <v>17513</v>
      </c>
    </row>
    <row r="203" spans="1:15" ht="38.25" x14ac:dyDescent="0.2">
      <c r="A203" s="197" t="str">
        <f t="shared" si="3"/>
        <v>ChxCode_chan036Z</v>
      </c>
      <c r="B203" s="409"/>
      <c r="C203" s="416"/>
      <c r="D203" s="198" t="s">
        <v>17519</v>
      </c>
      <c r="E203" s="198">
        <v>102</v>
      </c>
      <c r="F203" s="199" t="s">
        <v>17520</v>
      </c>
      <c r="G203" s="1" t="s">
        <v>17521</v>
      </c>
      <c r="H203" s="1" t="s">
        <v>16716</v>
      </c>
      <c r="I203" s="346"/>
      <c r="J203" s="39">
        <v>117077</v>
      </c>
      <c r="K203" s="36" t="str">
        <f>CONCATENATE(Cover!$D$6,"fdd/view?i=",J203)</f>
        <v>https://www.dgiwg.org/FAD/fdd/view?i=117077</v>
      </c>
      <c r="L203" s="36" t="s">
        <v>17522</v>
      </c>
      <c r="M203" s="186"/>
      <c r="N203" s="186"/>
      <c r="O203" s="13" t="s">
        <v>17518</v>
      </c>
    </row>
    <row r="204" spans="1:15" ht="38.25" x14ac:dyDescent="0.2">
      <c r="A204" s="197" t="str">
        <f t="shared" si="3"/>
        <v>ChxCode_chan037X</v>
      </c>
      <c r="B204" s="409"/>
      <c r="C204" s="416"/>
      <c r="D204" s="198" t="s">
        <v>17524</v>
      </c>
      <c r="E204" s="198">
        <v>103</v>
      </c>
      <c r="F204" s="199" t="s">
        <v>17525</v>
      </c>
      <c r="G204" s="1" t="s">
        <v>17526</v>
      </c>
      <c r="H204" s="1" t="s">
        <v>16716</v>
      </c>
      <c r="I204" s="346"/>
      <c r="J204" s="39">
        <v>117078</v>
      </c>
      <c r="K204" s="36" t="str">
        <f>CONCATENATE(Cover!$D$6,"fdd/view?i=",J204)</f>
        <v>https://www.dgiwg.org/FAD/fdd/view?i=117078</v>
      </c>
      <c r="L204" s="36" t="s">
        <v>17527</v>
      </c>
      <c r="M204" s="186"/>
      <c r="N204" s="186"/>
      <c r="O204" s="13" t="s">
        <v>17523</v>
      </c>
    </row>
    <row r="205" spans="1:15" ht="38.25" x14ac:dyDescent="0.2">
      <c r="A205" s="197" t="str">
        <f t="shared" si="3"/>
        <v>ChxCode_chan037Y</v>
      </c>
      <c r="B205" s="409"/>
      <c r="C205" s="416"/>
      <c r="D205" s="198" t="s">
        <v>17529</v>
      </c>
      <c r="E205" s="198">
        <v>104</v>
      </c>
      <c r="F205" s="199" t="s">
        <v>17530</v>
      </c>
      <c r="G205" s="1" t="s">
        <v>17531</v>
      </c>
      <c r="H205" s="1" t="s">
        <v>16716</v>
      </c>
      <c r="I205" s="346"/>
      <c r="J205" s="39">
        <v>117079</v>
      </c>
      <c r="K205" s="36" t="str">
        <f>CONCATENATE(Cover!$D$6,"fdd/view?i=",J205)</f>
        <v>https://www.dgiwg.org/FAD/fdd/view?i=117079</v>
      </c>
      <c r="L205" s="36" t="s">
        <v>17532</v>
      </c>
      <c r="M205" s="186"/>
      <c r="N205" s="186"/>
      <c r="O205" s="13" t="s">
        <v>17528</v>
      </c>
    </row>
    <row r="206" spans="1:15" ht="38.25" x14ac:dyDescent="0.2">
      <c r="A206" s="197" t="str">
        <f t="shared" si="3"/>
        <v>ChxCode_chan037Z</v>
      </c>
      <c r="B206" s="409"/>
      <c r="C206" s="416"/>
      <c r="D206" s="198" t="s">
        <v>17534</v>
      </c>
      <c r="E206" s="198">
        <v>105</v>
      </c>
      <c r="F206" s="199" t="s">
        <v>17535</v>
      </c>
      <c r="G206" s="1" t="s">
        <v>17536</v>
      </c>
      <c r="H206" s="1" t="s">
        <v>16716</v>
      </c>
      <c r="I206" s="346"/>
      <c r="J206" s="39">
        <v>117080</v>
      </c>
      <c r="K206" s="36" t="str">
        <f>CONCATENATE(Cover!$D$6,"fdd/view?i=",J206)</f>
        <v>https://www.dgiwg.org/FAD/fdd/view?i=117080</v>
      </c>
      <c r="L206" s="36" t="s">
        <v>17537</v>
      </c>
      <c r="M206" s="186"/>
      <c r="N206" s="186"/>
      <c r="O206" s="13" t="s">
        <v>17533</v>
      </c>
    </row>
    <row r="207" spans="1:15" ht="38.25" x14ac:dyDescent="0.2">
      <c r="A207" s="197" t="str">
        <f t="shared" si="3"/>
        <v>ChxCode_chan038W</v>
      </c>
      <c r="B207" s="409"/>
      <c r="C207" s="416"/>
      <c r="D207" s="198" t="s">
        <v>17539</v>
      </c>
      <c r="E207" s="198">
        <v>106</v>
      </c>
      <c r="F207" s="199" t="s">
        <v>17540</v>
      </c>
      <c r="G207" s="1" t="s">
        <v>17541</v>
      </c>
      <c r="H207" s="1" t="s">
        <v>16716</v>
      </c>
      <c r="I207" s="346"/>
      <c r="J207" s="39">
        <v>117081</v>
      </c>
      <c r="K207" s="36" t="str">
        <f>CONCATENATE(Cover!$D$6,"fdd/view?i=",J207)</f>
        <v>https://www.dgiwg.org/FAD/fdd/view?i=117081</v>
      </c>
      <c r="L207" s="36" t="s">
        <v>17542</v>
      </c>
      <c r="M207" s="186"/>
      <c r="N207" s="186"/>
      <c r="O207" s="13" t="s">
        <v>17538</v>
      </c>
    </row>
    <row r="208" spans="1:15" ht="38.25" x14ac:dyDescent="0.2">
      <c r="A208" s="197" t="str">
        <f t="shared" si="3"/>
        <v>ChxCode_chan038X</v>
      </c>
      <c r="B208" s="409"/>
      <c r="C208" s="416"/>
      <c r="D208" s="198" t="s">
        <v>17544</v>
      </c>
      <c r="E208" s="198">
        <v>107</v>
      </c>
      <c r="F208" s="199" t="s">
        <v>17545</v>
      </c>
      <c r="G208" s="1" t="s">
        <v>17546</v>
      </c>
      <c r="H208" s="1" t="s">
        <v>16716</v>
      </c>
      <c r="I208" s="346"/>
      <c r="J208" s="39">
        <v>117082</v>
      </c>
      <c r="K208" s="36" t="str">
        <f>CONCATENATE(Cover!$D$6,"fdd/view?i=",J208)</f>
        <v>https://www.dgiwg.org/FAD/fdd/view?i=117082</v>
      </c>
      <c r="L208" s="36" t="s">
        <v>17547</v>
      </c>
      <c r="M208" s="186"/>
      <c r="N208" s="186"/>
      <c r="O208" s="13" t="s">
        <v>17543</v>
      </c>
    </row>
    <row r="209" spans="1:15" ht="38.25" x14ac:dyDescent="0.2">
      <c r="A209" s="197" t="str">
        <f t="shared" si="3"/>
        <v>ChxCode_chan038Y</v>
      </c>
      <c r="B209" s="409"/>
      <c r="C209" s="416"/>
      <c r="D209" s="198" t="s">
        <v>17549</v>
      </c>
      <c r="E209" s="198">
        <v>108</v>
      </c>
      <c r="F209" s="199" t="s">
        <v>17550</v>
      </c>
      <c r="G209" s="1" t="s">
        <v>17551</v>
      </c>
      <c r="H209" s="1" t="s">
        <v>16716</v>
      </c>
      <c r="I209" s="346"/>
      <c r="J209" s="39">
        <v>117083</v>
      </c>
      <c r="K209" s="36" t="str">
        <f>CONCATENATE(Cover!$D$6,"fdd/view?i=",J209)</f>
        <v>https://www.dgiwg.org/FAD/fdd/view?i=117083</v>
      </c>
      <c r="L209" s="36" t="s">
        <v>17552</v>
      </c>
      <c r="M209" s="186"/>
      <c r="N209" s="186"/>
      <c r="O209" s="13" t="s">
        <v>17548</v>
      </c>
    </row>
    <row r="210" spans="1:15" ht="38.25" x14ac:dyDescent="0.2">
      <c r="A210" s="197" t="str">
        <f t="shared" si="3"/>
        <v>ChxCode_chan038Z</v>
      </c>
      <c r="B210" s="409"/>
      <c r="C210" s="416"/>
      <c r="D210" s="198" t="s">
        <v>17554</v>
      </c>
      <c r="E210" s="198">
        <v>109</v>
      </c>
      <c r="F210" s="199" t="s">
        <v>17555</v>
      </c>
      <c r="G210" s="1" t="s">
        <v>17556</v>
      </c>
      <c r="H210" s="1" t="s">
        <v>16716</v>
      </c>
      <c r="I210" s="346"/>
      <c r="J210" s="39">
        <v>117084</v>
      </c>
      <c r="K210" s="36" t="str">
        <f>CONCATENATE(Cover!$D$6,"fdd/view?i=",J210)</f>
        <v>https://www.dgiwg.org/FAD/fdd/view?i=117084</v>
      </c>
      <c r="L210" s="36" t="s">
        <v>17557</v>
      </c>
      <c r="M210" s="186"/>
      <c r="N210" s="186"/>
      <c r="O210" s="13" t="s">
        <v>17553</v>
      </c>
    </row>
    <row r="211" spans="1:15" ht="38.25" x14ac:dyDescent="0.2">
      <c r="A211" s="197" t="str">
        <f t="shared" si="3"/>
        <v>ChxCode_chan039X</v>
      </c>
      <c r="B211" s="409"/>
      <c r="C211" s="416"/>
      <c r="D211" s="198" t="s">
        <v>17559</v>
      </c>
      <c r="E211" s="198">
        <v>110</v>
      </c>
      <c r="F211" s="199" t="s">
        <v>17560</v>
      </c>
      <c r="G211" s="1" t="s">
        <v>17561</v>
      </c>
      <c r="H211" s="1" t="s">
        <v>16716</v>
      </c>
      <c r="I211" s="346"/>
      <c r="J211" s="39">
        <v>117085</v>
      </c>
      <c r="K211" s="36" t="str">
        <f>CONCATENATE(Cover!$D$6,"fdd/view?i=",J211)</f>
        <v>https://www.dgiwg.org/FAD/fdd/view?i=117085</v>
      </c>
      <c r="L211" s="36" t="s">
        <v>17562</v>
      </c>
      <c r="M211" s="186"/>
      <c r="N211" s="186"/>
      <c r="O211" s="13" t="s">
        <v>17558</v>
      </c>
    </row>
    <row r="212" spans="1:15" ht="38.25" x14ac:dyDescent="0.2">
      <c r="A212" s="197" t="str">
        <f t="shared" si="3"/>
        <v>ChxCode_chan039Y</v>
      </c>
      <c r="B212" s="409"/>
      <c r="C212" s="416"/>
      <c r="D212" s="198" t="s">
        <v>17564</v>
      </c>
      <c r="E212" s="198">
        <v>111</v>
      </c>
      <c r="F212" s="199" t="s">
        <v>17565</v>
      </c>
      <c r="G212" s="1" t="s">
        <v>17566</v>
      </c>
      <c r="H212" s="1" t="s">
        <v>16716</v>
      </c>
      <c r="I212" s="346"/>
      <c r="J212" s="39">
        <v>117086</v>
      </c>
      <c r="K212" s="36" t="str">
        <f>CONCATENATE(Cover!$D$6,"fdd/view?i=",J212)</f>
        <v>https://www.dgiwg.org/FAD/fdd/view?i=117086</v>
      </c>
      <c r="L212" s="36" t="s">
        <v>17567</v>
      </c>
      <c r="M212" s="186"/>
      <c r="N212" s="186"/>
      <c r="O212" s="13" t="s">
        <v>17563</v>
      </c>
    </row>
    <row r="213" spans="1:15" ht="38.25" x14ac:dyDescent="0.2">
      <c r="A213" s="197" t="str">
        <f t="shared" si="3"/>
        <v>ChxCode_chan039Z</v>
      </c>
      <c r="B213" s="409"/>
      <c r="C213" s="416"/>
      <c r="D213" s="198" t="s">
        <v>17569</v>
      </c>
      <c r="E213" s="198">
        <v>112</v>
      </c>
      <c r="F213" s="199" t="s">
        <v>17570</v>
      </c>
      <c r="G213" s="1" t="s">
        <v>17571</v>
      </c>
      <c r="H213" s="1" t="s">
        <v>16716</v>
      </c>
      <c r="I213" s="346"/>
      <c r="J213" s="39">
        <v>117087</v>
      </c>
      <c r="K213" s="36" t="str">
        <f>CONCATENATE(Cover!$D$6,"fdd/view?i=",J213)</f>
        <v>https://www.dgiwg.org/FAD/fdd/view?i=117087</v>
      </c>
      <c r="L213" s="36" t="s">
        <v>17572</v>
      </c>
      <c r="M213" s="186"/>
      <c r="N213" s="186"/>
      <c r="O213" s="13" t="s">
        <v>17568</v>
      </c>
    </row>
    <row r="214" spans="1:15" ht="38.25" x14ac:dyDescent="0.2">
      <c r="A214" s="197" t="str">
        <f t="shared" si="3"/>
        <v>ChxCode_chan040W</v>
      </c>
      <c r="B214" s="409"/>
      <c r="C214" s="416"/>
      <c r="D214" s="198" t="s">
        <v>17584</v>
      </c>
      <c r="E214" s="198">
        <v>113</v>
      </c>
      <c r="F214" s="199" t="s">
        <v>17585</v>
      </c>
      <c r="G214" s="1" t="s">
        <v>17586</v>
      </c>
      <c r="H214" s="1" t="s">
        <v>16716</v>
      </c>
      <c r="I214" s="346"/>
      <c r="J214" s="39">
        <v>117088</v>
      </c>
      <c r="K214" s="36" t="str">
        <f>CONCATENATE(Cover!$D$6,"fdd/view?i=",J214)</f>
        <v>https://www.dgiwg.org/FAD/fdd/view?i=117088</v>
      </c>
      <c r="L214" s="36" t="s">
        <v>17587</v>
      </c>
      <c r="M214" s="186"/>
      <c r="N214" s="186"/>
      <c r="O214" s="13" t="s">
        <v>17583</v>
      </c>
    </row>
    <row r="215" spans="1:15" ht="38.25" x14ac:dyDescent="0.2">
      <c r="A215" s="197" t="str">
        <f t="shared" si="3"/>
        <v>ChxCode_chan040X</v>
      </c>
      <c r="B215" s="409"/>
      <c r="C215" s="416"/>
      <c r="D215" s="198" t="s">
        <v>17589</v>
      </c>
      <c r="E215" s="198">
        <v>114</v>
      </c>
      <c r="F215" s="199" t="s">
        <v>17590</v>
      </c>
      <c r="G215" s="1" t="s">
        <v>17591</v>
      </c>
      <c r="H215" s="1" t="s">
        <v>16716</v>
      </c>
      <c r="I215" s="346"/>
      <c r="J215" s="39">
        <v>117089</v>
      </c>
      <c r="K215" s="36" t="str">
        <f>CONCATENATE(Cover!$D$6,"fdd/view?i=",J215)</f>
        <v>https://www.dgiwg.org/FAD/fdd/view?i=117089</v>
      </c>
      <c r="L215" s="36" t="s">
        <v>17592</v>
      </c>
      <c r="M215" s="186"/>
      <c r="N215" s="186"/>
      <c r="O215" s="13" t="s">
        <v>17588</v>
      </c>
    </row>
    <row r="216" spans="1:15" ht="38.25" x14ac:dyDescent="0.2">
      <c r="A216" s="197" t="str">
        <f t="shared" si="3"/>
        <v>ChxCode_chan040Y</v>
      </c>
      <c r="B216" s="409"/>
      <c r="C216" s="416"/>
      <c r="D216" s="198" t="s">
        <v>17594</v>
      </c>
      <c r="E216" s="198">
        <v>115</v>
      </c>
      <c r="F216" s="199" t="s">
        <v>17595</v>
      </c>
      <c r="G216" s="1" t="s">
        <v>17596</v>
      </c>
      <c r="H216" s="1" t="s">
        <v>16716</v>
      </c>
      <c r="I216" s="346"/>
      <c r="J216" s="39">
        <v>117090</v>
      </c>
      <c r="K216" s="36" t="str">
        <f>CONCATENATE(Cover!$D$6,"fdd/view?i=",J216)</f>
        <v>https://www.dgiwg.org/FAD/fdd/view?i=117090</v>
      </c>
      <c r="L216" s="36" t="s">
        <v>17597</v>
      </c>
      <c r="M216" s="186"/>
      <c r="N216" s="186"/>
      <c r="O216" s="13" t="s">
        <v>17593</v>
      </c>
    </row>
    <row r="217" spans="1:15" ht="38.25" x14ac:dyDescent="0.2">
      <c r="A217" s="197" t="str">
        <f t="shared" si="3"/>
        <v>ChxCode_chan040Z</v>
      </c>
      <c r="B217" s="409"/>
      <c r="C217" s="416"/>
      <c r="D217" s="198" t="s">
        <v>17599</v>
      </c>
      <c r="E217" s="198">
        <v>116</v>
      </c>
      <c r="F217" s="199" t="s">
        <v>17600</v>
      </c>
      <c r="G217" s="1" t="s">
        <v>17601</v>
      </c>
      <c r="H217" s="1" t="s">
        <v>16716</v>
      </c>
      <c r="I217" s="346"/>
      <c r="J217" s="39">
        <v>117091</v>
      </c>
      <c r="K217" s="36" t="str">
        <f>CONCATENATE(Cover!$D$6,"fdd/view?i=",J217)</f>
        <v>https://www.dgiwg.org/FAD/fdd/view?i=117091</v>
      </c>
      <c r="L217" s="36" t="s">
        <v>17602</v>
      </c>
      <c r="M217" s="186"/>
      <c r="N217" s="186"/>
      <c r="O217" s="13" t="s">
        <v>17598</v>
      </c>
    </row>
    <row r="218" spans="1:15" ht="38.25" x14ac:dyDescent="0.2">
      <c r="A218" s="197" t="str">
        <f t="shared" si="3"/>
        <v>ChxCode_chan041X</v>
      </c>
      <c r="B218" s="409"/>
      <c r="C218" s="416"/>
      <c r="D218" s="198" t="s">
        <v>17604</v>
      </c>
      <c r="E218" s="198">
        <v>117</v>
      </c>
      <c r="F218" s="199" t="s">
        <v>17605</v>
      </c>
      <c r="G218" s="1" t="s">
        <v>17606</v>
      </c>
      <c r="H218" s="1" t="s">
        <v>16716</v>
      </c>
      <c r="I218" s="346"/>
      <c r="J218" s="39">
        <v>117092</v>
      </c>
      <c r="K218" s="36" t="str">
        <f>CONCATENATE(Cover!$D$6,"fdd/view?i=",J218)</f>
        <v>https://www.dgiwg.org/FAD/fdd/view?i=117092</v>
      </c>
      <c r="L218" s="36" t="s">
        <v>17607</v>
      </c>
      <c r="M218" s="186"/>
      <c r="N218" s="186"/>
      <c r="O218" s="13" t="s">
        <v>17603</v>
      </c>
    </row>
    <row r="219" spans="1:15" ht="38.25" x14ac:dyDescent="0.2">
      <c r="A219" s="197" t="str">
        <f t="shared" si="3"/>
        <v>ChxCode_chan041Y</v>
      </c>
      <c r="B219" s="409"/>
      <c r="C219" s="416"/>
      <c r="D219" s="198" t="s">
        <v>17609</v>
      </c>
      <c r="E219" s="198">
        <v>118</v>
      </c>
      <c r="F219" s="199" t="s">
        <v>17610</v>
      </c>
      <c r="G219" s="1" t="s">
        <v>17611</v>
      </c>
      <c r="H219" s="1" t="s">
        <v>16716</v>
      </c>
      <c r="I219" s="346"/>
      <c r="J219" s="39">
        <v>117093</v>
      </c>
      <c r="K219" s="36" t="str">
        <f>CONCATENATE(Cover!$D$6,"fdd/view?i=",J219)</f>
        <v>https://www.dgiwg.org/FAD/fdd/view?i=117093</v>
      </c>
      <c r="L219" s="36" t="s">
        <v>17612</v>
      </c>
      <c r="M219" s="186"/>
      <c r="N219" s="186"/>
      <c r="O219" s="13" t="s">
        <v>17608</v>
      </c>
    </row>
    <row r="220" spans="1:15" ht="38.25" x14ac:dyDescent="0.2">
      <c r="A220" s="197" t="str">
        <f t="shared" si="3"/>
        <v>ChxCode_chan041Z</v>
      </c>
      <c r="B220" s="409"/>
      <c r="C220" s="416"/>
      <c r="D220" s="198" t="s">
        <v>17614</v>
      </c>
      <c r="E220" s="198">
        <v>119</v>
      </c>
      <c r="F220" s="199" t="s">
        <v>17615</v>
      </c>
      <c r="G220" s="1" t="s">
        <v>17616</v>
      </c>
      <c r="H220" s="1" t="s">
        <v>16716</v>
      </c>
      <c r="I220" s="346"/>
      <c r="J220" s="39">
        <v>117094</v>
      </c>
      <c r="K220" s="36" t="str">
        <f>CONCATENATE(Cover!$D$6,"fdd/view?i=",J220)</f>
        <v>https://www.dgiwg.org/FAD/fdd/view?i=117094</v>
      </c>
      <c r="L220" s="36" t="s">
        <v>17617</v>
      </c>
      <c r="M220" s="186"/>
      <c r="N220" s="186"/>
      <c r="O220" s="13" t="s">
        <v>17613</v>
      </c>
    </row>
    <row r="221" spans="1:15" ht="38.25" x14ac:dyDescent="0.2">
      <c r="A221" s="197" t="str">
        <f t="shared" si="3"/>
        <v>ChxCode_chan042W</v>
      </c>
      <c r="B221" s="409"/>
      <c r="C221" s="416"/>
      <c r="D221" s="198" t="s">
        <v>17619</v>
      </c>
      <c r="E221" s="198">
        <v>120</v>
      </c>
      <c r="F221" s="199" t="s">
        <v>17620</v>
      </c>
      <c r="G221" s="1" t="s">
        <v>17621</v>
      </c>
      <c r="H221" s="1" t="s">
        <v>16716</v>
      </c>
      <c r="I221" s="346"/>
      <c r="J221" s="39">
        <v>117095</v>
      </c>
      <c r="K221" s="36" t="str">
        <f>CONCATENATE(Cover!$D$6,"fdd/view?i=",J221)</f>
        <v>https://www.dgiwg.org/FAD/fdd/view?i=117095</v>
      </c>
      <c r="L221" s="36" t="s">
        <v>17622</v>
      </c>
      <c r="M221" s="186"/>
      <c r="N221" s="186"/>
      <c r="O221" s="13" t="s">
        <v>17618</v>
      </c>
    </row>
    <row r="222" spans="1:15" ht="38.25" x14ac:dyDescent="0.2">
      <c r="A222" s="197" t="str">
        <f t="shared" si="3"/>
        <v>ChxCode_chan042X</v>
      </c>
      <c r="B222" s="409"/>
      <c r="C222" s="416"/>
      <c r="D222" s="198" t="s">
        <v>17624</v>
      </c>
      <c r="E222" s="198">
        <v>121</v>
      </c>
      <c r="F222" s="199" t="s">
        <v>17625</v>
      </c>
      <c r="G222" s="1" t="s">
        <v>17626</v>
      </c>
      <c r="H222" s="1" t="s">
        <v>16716</v>
      </c>
      <c r="I222" s="346"/>
      <c r="J222" s="39">
        <v>117096</v>
      </c>
      <c r="K222" s="36" t="str">
        <f>CONCATENATE(Cover!$D$6,"fdd/view?i=",J222)</f>
        <v>https://www.dgiwg.org/FAD/fdd/view?i=117096</v>
      </c>
      <c r="L222" s="36" t="s">
        <v>17627</v>
      </c>
      <c r="M222" s="186"/>
      <c r="N222" s="186"/>
      <c r="O222" s="13" t="s">
        <v>17623</v>
      </c>
    </row>
    <row r="223" spans="1:15" ht="38.25" x14ac:dyDescent="0.2">
      <c r="A223" s="197" t="str">
        <f t="shared" si="3"/>
        <v>ChxCode_chan042Y</v>
      </c>
      <c r="B223" s="409"/>
      <c r="C223" s="416"/>
      <c r="D223" s="198" t="s">
        <v>17629</v>
      </c>
      <c r="E223" s="198">
        <v>122</v>
      </c>
      <c r="F223" s="199" t="s">
        <v>17630</v>
      </c>
      <c r="G223" s="1" t="s">
        <v>17631</v>
      </c>
      <c r="H223" s="1" t="s">
        <v>16716</v>
      </c>
      <c r="I223" s="346"/>
      <c r="J223" s="39">
        <v>117097</v>
      </c>
      <c r="K223" s="36" t="str">
        <f>CONCATENATE(Cover!$D$6,"fdd/view?i=",J223)</f>
        <v>https://www.dgiwg.org/FAD/fdd/view?i=117097</v>
      </c>
      <c r="L223" s="36" t="s">
        <v>17632</v>
      </c>
      <c r="M223" s="186"/>
      <c r="N223" s="186"/>
      <c r="O223" s="13" t="s">
        <v>17628</v>
      </c>
    </row>
    <row r="224" spans="1:15" ht="38.25" x14ac:dyDescent="0.2">
      <c r="A224" s="197" t="str">
        <f t="shared" si="3"/>
        <v>ChxCode_chan042Z</v>
      </c>
      <c r="B224" s="409"/>
      <c r="C224" s="416"/>
      <c r="D224" s="198" t="s">
        <v>17634</v>
      </c>
      <c r="E224" s="198">
        <v>123</v>
      </c>
      <c r="F224" s="199" t="s">
        <v>17635</v>
      </c>
      <c r="G224" s="1" t="s">
        <v>17636</v>
      </c>
      <c r="H224" s="1" t="s">
        <v>16716</v>
      </c>
      <c r="I224" s="346"/>
      <c r="J224" s="39">
        <v>117098</v>
      </c>
      <c r="K224" s="36" t="str">
        <f>CONCATENATE(Cover!$D$6,"fdd/view?i=",J224)</f>
        <v>https://www.dgiwg.org/FAD/fdd/view?i=117098</v>
      </c>
      <c r="L224" s="36" t="s">
        <v>17637</v>
      </c>
      <c r="M224" s="186"/>
      <c r="N224" s="186"/>
      <c r="O224" s="13" t="s">
        <v>17633</v>
      </c>
    </row>
    <row r="225" spans="1:15" ht="38.25" x14ac:dyDescent="0.2">
      <c r="A225" s="197" t="str">
        <f t="shared" si="3"/>
        <v>ChxCode_chan043X</v>
      </c>
      <c r="B225" s="409"/>
      <c r="C225" s="416"/>
      <c r="D225" s="198" t="s">
        <v>17639</v>
      </c>
      <c r="E225" s="198">
        <v>124</v>
      </c>
      <c r="F225" s="199" t="s">
        <v>17640</v>
      </c>
      <c r="G225" s="1" t="s">
        <v>17641</v>
      </c>
      <c r="H225" s="1" t="s">
        <v>16716</v>
      </c>
      <c r="I225" s="346"/>
      <c r="J225" s="39">
        <v>117099</v>
      </c>
      <c r="K225" s="36" t="str">
        <f>CONCATENATE(Cover!$D$6,"fdd/view?i=",J225)</f>
        <v>https://www.dgiwg.org/FAD/fdd/view?i=117099</v>
      </c>
      <c r="L225" s="36" t="s">
        <v>17642</v>
      </c>
      <c r="M225" s="186"/>
      <c r="N225" s="186"/>
      <c r="O225" s="13" t="s">
        <v>17638</v>
      </c>
    </row>
    <row r="226" spans="1:15" ht="38.25" x14ac:dyDescent="0.2">
      <c r="A226" s="197" t="str">
        <f t="shared" si="3"/>
        <v>ChxCode_chan043Y</v>
      </c>
      <c r="B226" s="409"/>
      <c r="C226" s="416"/>
      <c r="D226" s="198" t="s">
        <v>17644</v>
      </c>
      <c r="E226" s="198">
        <v>125</v>
      </c>
      <c r="F226" s="199" t="s">
        <v>17645</v>
      </c>
      <c r="G226" s="1" t="s">
        <v>17646</v>
      </c>
      <c r="H226" s="1" t="s">
        <v>16716</v>
      </c>
      <c r="I226" s="346"/>
      <c r="J226" s="39">
        <v>117100</v>
      </c>
      <c r="K226" s="36" t="str">
        <f>CONCATENATE(Cover!$D$6,"fdd/view?i=",J226)</f>
        <v>https://www.dgiwg.org/FAD/fdd/view?i=117100</v>
      </c>
      <c r="L226" s="36" t="s">
        <v>17647</v>
      </c>
      <c r="M226" s="186"/>
      <c r="N226" s="186"/>
      <c r="O226" s="13" t="s">
        <v>17643</v>
      </c>
    </row>
    <row r="227" spans="1:15" ht="38.25" x14ac:dyDescent="0.2">
      <c r="A227" s="197" t="str">
        <f t="shared" si="3"/>
        <v>ChxCode_chan043Z</v>
      </c>
      <c r="B227" s="409"/>
      <c r="C227" s="416"/>
      <c r="D227" s="198" t="s">
        <v>17649</v>
      </c>
      <c r="E227" s="198">
        <v>126</v>
      </c>
      <c r="F227" s="199" t="s">
        <v>17650</v>
      </c>
      <c r="G227" s="1" t="s">
        <v>17651</v>
      </c>
      <c r="H227" s="1" t="s">
        <v>16716</v>
      </c>
      <c r="I227" s="346"/>
      <c r="J227" s="39">
        <v>117101</v>
      </c>
      <c r="K227" s="36" t="str">
        <f>CONCATENATE(Cover!$D$6,"fdd/view?i=",J227)</f>
        <v>https://www.dgiwg.org/FAD/fdd/view?i=117101</v>
      </c>
      <c r="L227" s="36" t="s">
        <v>17652</v>
      </c>
      <c r="M227" s="186"/>
      <c r="N227" s="186"/>
      <c r="O227" s="13" t="s">
        <v>17648</v>
      </c>
    </row>
    <row r="228" spans="1:15" ht="38.25" x14ac:dyDescent="0.2">
      <c r="A228" s="197" t="str">
        <f t="shared" si="3"/>
        <v>ChxCode_chan044W</v>
      </c>
      <c r="B228" s="409"/>
      <c r="C228" s="416"/>
      <c r="D228" s="198" t="s">
        <v>17654</v>
      </c>
      <c r="E228" s="198">
        <v>127</v>
      </c>
      <c r="F228" s="199" t="s">
        <v>17655</v>
      </c>
      <c r="G228" s="1" t="s">
        <v>17656</v>
      </c>
      <c r="H228" s="1" t="s">
        <v>16716</v>
      </c>
      <c r="I228" s="346"/>
      <c r="J228" s="39">
        <v>117102</v>
      </c>
      <c r="K228" s="36" t="str">
        <f>CONCATENATE(Cover!$D$6,"fdd/view?i=",J228)</f>
        <v>https://www.dgiwg.org/FAD/fdd/view?i=117102</v>
      </c>
      <c r="L228" s="36" t="s">
        <v>17657</v>
      </c>
      <c r="M228" s="186"/>
      <c r="N228" s="186"/>
      <c r="O228" s="13" t="s">
        <v>17653</v>
      </c>
    </row>
    <row r="229" spans="1:15" ht="38.25" x14ac:dyDescent="0.2">
      <c r="A229" s="197" t="str">
        <f t="shared" si="3"/>
        <v>ChxCode_chan044X</v>
      </c>
      <c r="B229" s="409"/>
      <c r="C229" s="416"/>
      <c r="D229" s="198" t="s">
        <v>17659</v>
      </c>
      <c r="E229" s="198">
        <v>128</v>
      </c>
      <c r="F229" s="199" t="s">
        <v>17660</v>
      </c>
      <c r="G229" s="1" t="s">
        <v>17661</v>
      </c>
      <c r="H229" s="1" t="s">
        <v>16716</v>
      </c>
      <c r="I229" s="346"/>
      <c r="J229" s="39">
        <v>117103</v>
      </c>
      <c r="K229" s="36" t="str">
        <f>CONCATENATE(Cover!$D$6,"fdd/view?i=",J229)</f>
        <v>https://www.dgiwg.org/FAD/fdd/view?i=117103</v>
      </c>
      <c r="L229" s="36" t="s">
        <v>17662</v>
      </c>
      <c r="M229" s="186"/>
      <c r="N229" s="186"/>
      <c r="O229" s="13" t="s">
        <v>17658</v>
      </c>
    </row>
    <row r="230" spans="1:15" ht="38.25" x14ac:dyDescent="0.2">
      <c r="A230" s="197" t="str">
        <f t="shared" si="3"/>
        <v>ChxCode_chan044Y</v>
      </c>
      <c r="B230" s="409"/>
      <c r="C230" s="416"/>
      <c r="D230" s="198" t="s">
        <v>17664</v>
      </c>
      <c r="E230" s="198">
        <v>129</v>
      </c>
      <c r="F230" s="199" t="s">
        <v>17665</v>
      </c>
      <c r="G230" s="1" t="s">
        <v>17666</v>
      </c>
      <c r="H230" s="1" t="s">
        <v>16716</v>
      </c>
      <c r="I230" s="346"/>
      <c r="J230" s="39">
        <v>117104</v>
      </c>
      <c r="K230" s="36" t="str">
        <f>CONCATENATE(Cover!$D$6,"fdd/view?i=",J230)</f>
        <v>https://www.dgiwg.org/FAD/fdd/view?i=117104</v>
      </c>
      <c r="L230" s="36" t="s">
        <v>17667</v>
      </c>
      <c r="M230" s="186"/>
      <c r="N230" s="186"/>
      <c r="O230" s="13" t="s">
        <v>17663</v>
      </c>
    </row>
    <row r="231" spans="1:15" ht="38.25" x14ac:dyDescent="0.2">
      <c r="A231" s="197" t="str">
        <f t="shared" si="3"/>
        <v>ChxCode_chan044Z</v>
      </c>
      <c r="B231" s="409"/>
      <c r="C231" s="416"/>
      <c r="D231" s="198" t="s">
        <v>17669</v>
      </c>
      <c r="E231" s="198">
        <v>130</v>
      </c>
      <c r="F231" s="199" t="s">
        <v>17670</v>
      </c>
      <c r="G231" s="1" t="s">
        <v>17671</v>
      </c>
      <c r="H231" s="1" t="s">
        <v>16716</v>
      </c>
      <c r="I231" s="346"/>
      <c r="J231" s="39">
        <v>117105</v>
      </c>
      <c r="K231" s="36" t="str">
        <f>CONCATENATE(Cover!$D$6,"fdd/view?i=",J231)</f>
        <v>https://www.dgiwg.org/FAD/fdd/view?i=117105</v>
      </c>
      <c r="L231" s="36" t="s">
        <v>17672</v>
      </c>
      <c r="M231" s="186"/>
      <c r="N231" s="186"/>
      <c r="O231" s="13" t="s">
        <v>17668</v>
      </c>
    </row>
    <row r="232" spans="1:15" ht="38.25" x14ac:dyDescent="0.2">
      <c r="A232" s="197" t="str">
        <f t="shared" si="3"/>
        <v>ChxCode_chan045X</v>
      </c>
      <c r="B232" s="409"/>
      <c r="C232" s="416"/>
      <c r="D232" s="198" t="s">
        <v>17674</v>
      </c>
      <c r="E232" s="198">
        <v>131</v>
      </c>
      <c r="F232" s="199" t="s">
        <v>17675</v>
      </c>
      <c r="G232" s="1" t="s">
        <v>17676</v>
      </c>
      <c r="H232" s="1" t="s">
        <v>16716</v>
      </c>
      <c r="I232" s="346"/>
      <c r="J232" s="39">
        <v>117106</v>
      </c>
      <c r="K232" s="36" t="str">
        <f>CONCATENATE(Cover!$D$6,"fdd/view?i=",J232)</f>
        <v>https://www.dgiwg.org/FAD/fdd/view?i=117106</v>
      </c>
      <c r="L232" s="36" t="s">
        <v>17677</v>
      </c>
      <c r="M232" s="186"/>
      <c r="N232" s="186"/>
      <c r="O232" s="13" t="s">
        <v>17673</v>
      </c>
    </row>
    <row r="233" spans="1:15" ht="38.25" x14ac:dyDescent="0.2">
      <c r="A233" s="197" t="str">
        <f t="shared" si="3"/>
        <v>ChxCode_chan045Y</v>
      </c>
      <c r="B233" s="409"/>
      <c r="C233" s="416"/>
      <c r="D233" s="198" t="s">
        <v>17679</v>
      </c>
      <c r="E233" s="198">
        <v>132</v>
      </c>
      <c r="F233" s="199" t="s">
        <v>17680</v>
      </c>
      <c r="G233" s="1" t="s">
        <v>17681</v>
      </c>
      <c r="H233" s="1" t="s">
        <v>16716</v>
      </c>
      <c r="I233" s="346"/>
      <c r="J233" s="39">
        <v>117107</v>
      </c>
      <c r="K233" s="36" t="str">
        <f>CONCATENATE(Cover!$D$6,"fdd/view?i=",J233)</f>
        <v>https://www.dgiwg.org/FAD/fdd/view?i=117107</v>
      </c>
      <c r="L233" s="36" t="s">
        <v>17682</v>
      </c>
      <c r="M233" s="186"/>
      <c r="N233" s="186"/>
      <c r="O233" s="13" t="s">
        <v>17678</v>
      </c>
    </row>
    <row r="234" spans="1:15" ht="38.25" x14ac:dyDescent="0.2">
      <c r="A234" s="197" t="str">
        <f t="shared" si="3"/>
        <v>ChxCode_chan045Z</v>
      </c>
      <c r="B234" s="409"/>
      <c r="C234" s="416"/>
      <c r="D234" s="198" t="s">
        <v>17684</v>
      </c>
      <c r="E234" s="198">
        <v>133</v>
      </c>
      <c r="F234" s="199" t="s">
        <v>17685</v>
      </c>
      <c r="G234" s="1" t="s">
        <v>17686</v>
      </c>
      <c r="H234" s="1" t="s">
        <v>16716</v>
      </c>
      <c r="I234" s="346"/>
      <c r="J234" s="39">
        <v>117108</v>
      </c>
      <c r="K234" s="36" t="str">
        <f>CONCATENATE(Cover!$D$6,"fdd/view?i=",J234)</f>
        <v>https://www.dgiwg.org/FAD/fdd/view?i=117108</v>
      </c>
      <c r="L234" s="36" t="s">
        <v>17687</v>
      </c>
      <c r="M234" s="186"/>
      <c r="N234" s="186"/>
      <c r="O234" s="13" t="s">
        <v>17683</v>
      </c>
    </row>
    <row r="235" spans="1:15" ht="38.25" x14ac:dyDescent="0.2">
      <c r="A235" s="197" t="str">
        <f t="shared" si="3"/>
        <v>ChxCode_chan046W</v>
      </c>
      <c r="B235" s="409"/>
      <c r="C235" s="416"/>
      <c r="D235" s="198" t="s">
        <v>17689</v>
      </c>
      <c r="E235" s="198">
        <v>134</v>
      </c>
      <c r="F235" s="199" t="s">
        <v>17690</v>
      </c>
      <c r="G235" s="1" t="s">
        <v>17691</v>
      </c>
      <c r="H235" s="1" t="s">
        <v>16716</v>
      </c>
      <c r="I235" s="346"/>
      <c r="J235" s="39">
        <v>117109</v>
      </c>
      <c r="K235" s="36" t="str">
        <f>CONCATENATE(Cover!$D$6,"fdd/view?i=",J235)</f>
        <v>https://www.dgiwg.org/FAD/fdd/view?i=117109</v>
      </c>
      <c r="L235" s="36" t="s">
        <v>17692</v>
      </c>
      <c r="M235" s="186"/>
      <c r="N235" s="186"/>
      <c r="O235" s="13" t="s">
        <v>17688</v>
      </c>
    </row>
    <row r="236" spans="1:15" ht="38.25" x14ac:dyDescent="0.2">
      <c r="A236" s="197" t="str">
        <f t="shared" si="3"/>
        <v>ChxCode_chan046X</v>
      </c>
      <c r="B236" s="409"/>
      <c r="C236" s="416"/>
      <c r="D236" s="198" t="s">
        <v>17694</v>
      </c>
      <c r="E236" s="198">
        <v>135</v>
      </c>
      <c r="F236" s="199" t="s">
        <v>17695</v>
      </c>
      <c r="G236" s="1" t="s">
        <v>17696</v>
      </c>
      <c r="H236" s="1" t="s">
        <v>16716</v>
      </c>
      <c r="I236" s="346"/>
      <c r="J236" s="39">
        <v>117110</v>
      </c>
      <c r="K236" s="36" t="str">
        <f>CONCATENATE(Cover!$D$6,"fdd/view?i=",J236)</f>
        <v>https://www.dgiwg.org/FAD/fdd/view?i=117110</v>
      </c>
      <c r="L236" s="36" t="s">
        <v>17697</v>
      </c>
      <c r="M236" s="186"/>
      <c r="N236" s="186"/>
      <c r="O236" s="13" t="s">
        <v>17693</v>
      </c>
    </row>
    <row r="237" spans="1:15" ht="38.25" x14ac:dyDescent="0.2">
      <c r="A237" s="197" t="str">
        <f t="shared" si="3"/>
        <v>ChxCode_chan046Y</v>
      </c>
      <c r="B237" s="409"/>
      <c r="C237" s="416"/>
      <c r="D237" s="198" t="s">
        <v>17699</v>
      </c>
      <c r="E237" s="198">
        <v>136</v>
      </c>
      <c r="F237" s="199" t="s">
        <v>17700</v>
      </c>
      <c r="G237" s="1" t="s">
        <v>17701</v>
      </c>
      <c r="H237" s="1" t="s">
        <v>16716</v>
      </c>
      <c r="I237" s="346"/>
      <c r="J237" s="39">
        <v>117111</v>
      </c>
      <c r="K237" s="36" t="str">
        <f>CONCATENATE(Cover!$D$6,"fdd/view?i=",J237)</f>
        <v>https://www.dgiwg.org/FAD/fdd/view?i=117111</v>
      </c>
      <c r="L237" s="36" t="s">
        <v>17702</v>
      </c>
      <c r="M237" s="186"/>
      <c r="N237" s="186"/>
      <c r="O237" s="13" t="s">
        <v>17698</v>
      </c>
    </row>
    <row r="238" spans="1:15" ht="38.25" x14ac:dyDescent="0.2">
      <c r="A238" s="197" t="str">
        <f t="shared" si="3"/>
        <v>ChxCode_chan046Z</v>
      </c>
      <c r="B238" s="409"/>
      <c r="C238" s="416"/>
      <c r="D238" s="198" t="s">
        <v>17704</v>
      </c>
      <c r="E238" s="198">
        <v>137</v>
      </c>
      <c r="F238" s="199" t="s">
        <v>17705</v>
      </c>
      <c r="G238" s="1" t="s">
        <v>17706</v>
      </c>
      <c r="H238" s="1" t="s">
        <v>16716</v>
      </c>
      <c r="I238" s="346"/>
      <c r="J238" s="39">
        <v>117112</v>
      </c>
      <c r="K238" s="36" t="str">
        <f>CONCATENATE(Cover!$D$6,"fdd/view?i=",J238)</f>
        <v>https://www.dgiwg.org/FAD/fdd/view?i=117112</v>
      </c>
      <c r="L238" s="36" t="s">
        <v>17707</v>
      </c>
      <c r="M238" s="186"/>
      <c r="N238" s="186"/>
      <c r="O238" s="13" t="s">
        <v>17703</v>
      </c>
    </row>
    <row r="239" spans="1:15" ht="38.25" x14ac:dyDescent="0.2">
      <c r="A239" s="197" t="str">
        <f t="shared" si="3"/>
        <v>ChxCode_chan047X</v>
      </c>
      <c r="B239" s="409"/>
      <c r="C239" s="416"/>
      <c r="D239" s="198" t="s">
        <v>17709</v>
      </c>
      <c r="E239" s="198">
        <v>138</v>
      </c>
      <c r="F239" s="199" t="s">
        <v>17710</v>
      </c>
      <c r="G239" s="1" t="s">
        <v>17711</v>
      </c>
      <c r="H239" s="1" t="s">
        <v>16716</v>
      </c>
      <c r="I239" s="346"/>
      <c r="J239" s="39">
        <v>117113</v>
      </c>
      <c r="K239" s="36" t="str">
        <f>CONCATENATE(Cover!$D$6,"fdd/view?i=",J239)</f>
        <v>https://www.dgiwg.org/FAD/fdd/view?i=117113</v>
      </c>
      <c r="L239" s="36" t="s">
        <v>17712</v>
      </c>
      <c r="M239" s="186"/>
      <c r="N239" s="186"/>
      <c r="O239" s="13" t="s">
        <v>17708</v>
      </c>
    </row>
    <row r="240" spans="1:15" ht="38.25" x14ac:dyDescent="0.2">
      <c r="A240" s="197" t="str">
        <f t="shared" si="3"/>
        <v>ChxCode_chan047Y</v>
      </c>
      <c r="B240" s="409"/>
      <c r="C240" s="416"/>
      <c r="D240" s="198" t="s">
        <v>17714</v>
      </c>
      <c r="E240" s="198">
        <v>139</v>
      </c>
      <c r="F240" s="199" t="s">
        <v>17715</v>
      </c>
      <c r="G240" s="1" t="s">
        <v>17716</v>
      </c>
      <c r="H240" s="1" t="s">
        <v>16716</v>
      </c>
      <c r="I240" s="346"/>
      <c r="J240" s="39">
        <v>117114</v>
      </c>
      <c r="K240" s="36" t="str">
        <f>CONCATENATE(Cover!$D$6,"fdd/view?i=",J240)</f>
        <v>https://www.dgiwg.org/FAD/fdd/view?i=117114</v>
      </c>
      <c r="L240" s="36" t="s">
        <v>17717</v>
      </c>
      <c r="M240" s="186"/>
      <c r="N240" s="186"/>
      <c r="O240" s="13" t="s">
        <v>17713</v>
      </c>
    </row>
    <row r="241" spans="1:15" ht="38.25" x14ac:dyDescent="0.2">
      <c r="A241" s="197" t="str">
        <f t="shared" si="3"/>
        <v>ChxCode_chan047Z</v>
      </c>
      <c r="B241" s="409"/>
      <c r="C241" s="416"/>
      <c r="D241" s="198" t="s">
        <v>17719</v>
      </c>
      <c r="E241" s="198">
        <v>140</v>
      </c>
      <c r="F241" s="199" t="s">
        <v>17720</v>
      </c>
      <c r="G241" s="1" t="s">
        <v>17721</v>
      </c>
      <c r="H241" s="1" t="s">
        <v>16716</v>
      </c>
      <c r="I241" s="346"/>
      <c r="J241" s="39">
        <v>117115</v>
      </c>
      <c r="K241" s="36" t="str">
        <f>CONCATENATE(Cover!$D$6,"fdd/view?i=",J241)</f>
        <v>https://www.dgiwg.org/FAD/fdd/view?i=117115</v>
      </c>
      <c r="L241" s="36" t="s">
        <v>17722</v>
      </c>
      <c r="M241" s="186"/>
      <c r="N241" s="186"/>
      <c r="O241" s="13" t="s">
        <v>17718</v>
      </c>
    </row>
    <row r="242" spans="1:15" ht="38.25" x14ac:dyDescent="0.2">
      <c r="A242" s="197" t="str">
        <f t="shared" si="3"/>
        <v>ChxCode_chan048W</v>
      </c>
      <c r="B242" s="409"/>
      <c r="C242" s="416"/>
      <c r="D242" s="198" t="s">
        <v>17724</v>
      </c>
      <c r="E242" s="198">
        <v>141</v>
      </c>
      <c r="F242" s="199" t="s">
        <v>17725</v>
      </c>
      <c r="G242" s="1" t="s">
        <v>17726</v>
      </c>
      <c r="H242" s="1" t="s">
        <v>16716</v>
      </c>
      <c r="I242" s="346"/>
      <c r="J242" s="39">
        <v>117116</v>
      </c>
      <c r="K242" s="36" t="str">
        <f>CONCATENATE(Cover!$D$6,"fdd/view?i=",J242)</f>
        <v>https://www.dgiwg.org/FAD/fdd/view?i=117116</v>
      </c>
      <c r="L242" s="36" t="s">
        <v>17727</v>
      </c>
      <c r="M242" s="186"/>
      <c r="N242" s="186"/>
      <c r="O242" s="13" t="s">
        <v>17723</v>
      </c>
    </row>
    <row r="243" spans="1:15" ht="38.25" x14ac:dyDescent="0.2">
      <c r="A243" s="197" t="str">
        <f t="shared" si="3"/>
        <v>ChxCode_chan048X</v>
      </c>
      <c r="B243" s="409"/>
      <c r="C243" s="416"/>
      <c r="D243" s="198" t="s">
        <v>17729</v>
      </c>
      <c r="E243" s="198">
        <v>142</v>
      </c>
      <c r="F243" s="199" t="s">
        <v>17730</v>
      </c>
      <c r="G243" s="1" t="s">
        <v>17731</v>
      </c>
      <c r="H243" s="1" t="s">
        <v>16716</v>
      </c>
      <c r="I243" s="346"/>
      <c r="J243" s="39">
        <v>117117</v>
      </c>
      <c r="K243" s="36" t="str">
        <f>CONCATENATE(Cover!$D$6,"fdd/view?i=",J243)</f>
        <v>https://www.dgiwg.org/FAD/fdd/view?i=117117</v>
      </c>
      <c r="L243" s="36" t="s">
        <v>17732</v>
      </c>
      <c r="M243" s="186"/>
      <c r="N243" s="186"/>
      <c r="O243" s="13" t="s">
        <v>17728</v>
      </c>
    </row>
    <row r="244" spans="1:15" ht="38.25" x14ac:dyDescent="0.2">
      <c r="A244" s="197" t="str">
        <f t="shared" si="3"/>
        <v>ChxCode_chan048Y</v>
      </c>
      <c r="B244" s="409"/>
      <c r="C244" s="416"/>
      <c r="D244" s="198" t="s">
        <v>17734</v>
      </c>
      <c r="E244" s="198">
        <v>143</v>
      </c>
      <c r="F244" s="199" t="s">
        <v>17735</v>
      </c>
      <c r="G244" s="1" t="s">
        <v>17736</v>
      </c>
      <c r="H244" s="1" t="s">
        <v>16716</v>
      </c>
      <c r="I244" s="346"/>
      <c r="J244" s="39">
        <v>117118</v>
      </c>
      <c r="K244" s="36" t="str">
        <f>CONCATENATE(Cover!$D$6,"fdd/view?i=",J244)</f>
        <v>https://www.dgiwg.org/FAD/fdd/view?i=117118</v>
      </c>
      <c r="L244" s="36" t="s">
        <v>17737</v>
      </c>
      <c r="M244" s="186"/>
      <c r="N244" s="186"/>
      <c r="O244" s="13" t="s">
        <v>17733</v>
      </c>
    </row>
    <row r="245" spans="1:15" ht="38.25" x14ac:dyDescent="0.2">
      <c r="A245" s="197" t="str">
        <f t="shared" si="3"/>
        <v>ChxCode_chan048Z</v>
      </c>
      <c r="B245" s="409"/>
      <c r="C245" s="416"/>
      <c r="D245" s="198" t="s">
        <v>17739</v>
      </c>
      <c r="E245" s="198">
        <v>144</v>
      </c>
      <c r="F245" s="199" t="s">
        <v>17740</v>
      </c>
      <c r="G245" s="1" t="s">
        <v>17741</v>
      </c>
      <c r="H245" s="1" t="s">
        <v>16716</v>
      </c>
      <c r="I245" s="346"/>
      <c r="J245" s="39">
        <v>117119</v>
      </c>
      <c r="K245" s="36" t="str">
        <f>CONCATENATE(Cover!$D$6,"fdd/view?i=",J245)</f>
        <v>https://www.dgiwg.org/FAD/fdd/view?i=117119</v>
      </c>
      <c r="L245" s="36" t="s">
        <v>17742</v>
      </c>
      <c r="M245" s="186"/>
      <c r="N245" s="186"/>
      <c r="O245" s="13" t="s">
        <v>17738</v>
      </c>
    </row>
    <row r="246" spans="1:15" ht="38.25" x14ac:dyDescent="0.2">
      <c r="A246" s="197" t="str">
        <f t="shared" si="3"/>
        <v>ChxCode_chan049X</v>
      </c>
      <c r="B246" s="409"/>
      <c r="C246" s="416"/>
      <c r="D246" s="198" t="s">
        <v>17744</v>
      </c>
      <c r="E246" s="198">
        <v>145</v>
      </c>
      <c r="F246" s="199" t="s">
        <v>17745</v>
      </c>
      <c r="G246" s="1" t="s">
        <v>17746</v>
      </c>
      <c r="H246" s="1" t="s">
        <v>16716</v>
      </c>
      <c r="I246" s="346"/>
      <c r="J246" s="39">
        <v>117120</v>
      </c>
      <c r="K246" s="36" t="str">
        <f>CONCATENATE(Cover!$D$6,"fdd/view?i=",J246)</f>
        <v>https://www.dgiwg.org/FAD/fdd/view?i=117120</v>
      </c>
      <c r="L246" s="36" t="s">
        <v>17747</v>
      </c>
      <c r="M246" s="186"/>
      <c r="N246" s="186"/>
      <c r="O246" s="13" t="s">
        <v>17743</v>
      </c>
    </row>
    <row r="247" spans="1:15" ht="38.25" x14ac:dyDescent="0.2">
      <c r="A247" s="197" t="str">
        <f t="shared" si="3"/>
        <v>ChxCode_chan049Y</v>
      </c>
      <c r="B247" s="409"/>
      <c r="C247" s="416"/>
      <c r="D247" s="198" t="s">
        <v>17749</v>
      </c>
      <c r="E247" s="198">
        <v>146</v>
      </c>
      <c r="F247" s="199" t="s">
        <v>17750</v>
      </c>
      <c r="G247" s="1" t="s">
        <v>17751</v>
      </c>
      <c r="H247" s="1" t="s">
        <v>16716</v>
      </c>
      <c r="I247" s="346"/>
      <c r="J247" s="39">
        <v>117121</v>
      </c>
      <c r="K247" s="36" t="str">
        <f>CONCATENATE(Cover!$D$6,"fdd/view?i=",J247)</f>
        <v>https://www.dgiwg.org/FAD/fdd/view?i=117121</v>
      </c>
      <c r="L247" s="36" t="s">
        <v>17752</v>
      </c>
      <c r="M247" s="186"/>
      <c r="N247" s="186"/>
      <c r="O247" s="13" t="s">
        <v>17748</v>
      </c>
    </row>
    <row r="248" spans="1:15" ht="38.25" x14ac:dyDescent="0.2">
      <c r="A248" s="197" t="str">
        <f t="shared" si="3"/>
        <v>ChxCode_chan049Z</v>
      </c>
      <c r="B248" s="409"/>
      <c r="C248" s="416"/>
      <c r="D248" s="198" t="s">
        <v>17754</v>
      </c>
      <c r="E248" s="198">
        <v>147</v>
      </c>
      <c r="F248" s="199" t="s">
        <v>17755</v>
      </c>
      <c r="G248" s="1" t="s">
        <v>17756</v>
      </c>
      <c r="H248" s="1" t="s">
        <v>16716</v>
      </c>
      <c r="I248" s="346"/>
      <c r="J248" s="39">
        <v>117122</v>
      </c>
      <c r="K248" s="36" t="str">
        <f>CONCATENATE(Cover!$D$6,"fdd/view?i=",J248)</f>
        <v>https://www.dgiwg.org/FAD/fdd/view?i=117122</v>
      </c>
      <c r="L248" s="36" t="s">
        <v>17757</v>
      </c>
      <c r="M248" s="186"/>
      <c r="N248" s="186"/>
      <c r="O248" s="13" t="s">
        <v>17753</v>
      </c>
    </row>
    <row r="249" spans="1:15" ht="38.25" x14ac:dyDescent="0.2">
      <c r="A249" s="197" t="str">
        <f t="shared" si="3"/>
        <v>ChxCode_chan050W</v>
      </c>
      <c r="B249" s="409"/>
      <c r="C249" s="416"/>
      <c r="D249" s="198" t="s">
        <v>17769</v>
      </c>
      <c r="E249" s="198">
        <v>148</v>
      </c>
      <c r="F249" s="199" t="s">
        <v>17770</v>
      </c>
      <c r="G249" s="1" t="s">
        <v>17771</v>
      </c>
      <c r="H249" s="1" t="s">
        <v>16716</v>
      </c>
      <c r="I249" s="346"/>
      <c r="J249" s="39">
        <v>117123</v>
      </c>
      <c r="K249" s="36" t="str">
        <f>CONCATENATE(Cover!$D$6,"fdd/view?i=",J249)</f>
        <v>https://www.dgiwg.org/FAD/fdd/view?i=117123</v>
      </c>
      <c r="L249" s="36" t="s">
        <v>17772</v>
      </c>
      <c r="M249" s="186"/>
      <c r="N249" s="186"/>
      <c r="O249" s="13" t="s">
        <v>17768</v>
      </c>
    </row>
    <row r="250" spans="1:15" ht="38.25" x14ac:dyDescent="0.2">
      <c r="A250" s="197" t="str">
        <f t="shared" si="3"/>
        <v>ChxCode_chan050X</v>
      </c>
      <c r="B250" s="409"/>
      <c r="C250" s="416"/>
      <c r="D250" s="198" t="s">
        <v>17774</v>
      </c>
      <c r="E250" s="198">
        <v>149</v>
      </c>
      <c r="F250" s="199" t="s">
        <v>17775</v>
      </c>
      <c r="G250" s="1" t="s">
        <v>17776</v>
      </c>
      <c r="H250" s="1" t="s">
        <v>16716</v>
      </c>
      <c r="I250" s="346"/>
      <c r="J250" s="39">
        <v>117124</v>
      </c>
      <c r="K250" s="36" t="str">
        <f>CONCATENATE(Cover!$D$6,"fdd/view?i=",J250)</f>
        <v>https://www.dgiwg.org/FAD/fdd/view?i=117124</v>
      </c>
      <c r="L250" s="36" t="s">
        <v>17777</v>
      </c>
      <c r="M250" s="186"/>
      <c r="N250" s="186"/>
      <c r="O250" s="13" t="s">
        <v>17773</v>
      </c>
    </row>
    <row r="251" spans="1:15" ht="38.25" x14ac:dyDescent="0.2">
      <c r="A251" s="197" t="str">
        <f t="shared" si="3"/>
        <v>ChxCode_chan050Y</v>
      </c>
      <c r="B251" s="409"/>
      <c r="C251" s="416"/>
      <c r="D251" s="198" t="s">
        <v>17779</v>
      </c>
      <c r="E251" s="198">
        <v>150</v>
      </c>
      <c r="F251" s="199" t="s">
        <v>17780</v>
      </c>
      <c r="G251" s="1" t="s">
        <v>17781</v>
      </c>
      <c r="H251" s="1" t="s">
        <v>16716</v>
      </c>
      <c r="I251" s="346"/>
      <c r="J251" s="39">
        <v>117125</v>
      </c>
      <c r="K251" s="36" t="str">
        <f>CONCATENATE(Cover!$D$6,"fdd/view?i=",J251)</f>
        <v>https://www.dgiwg.org/FAD/fdd/view?i=117125</v>
      </c>
      <c r="L251" s="36" t="s">
        <v>17782</v>
      </c>
      <c r="M251" s="186"/>
      <c r="N251" s="186"/>
      <c r="O251" s="13" t="s">
        <v>17778</v>
      </c>
    </row>
    <row r="252" spans="1:15" ht="38.25" x14ac:dyDescent="0.2">
      <c r="A252" s="197" t="str">
        <f t="shared" si="3"/>
        <v>ChxCode_chan050Z</v>
      </c>
      <c r="B252" s="409"/>
      <c r="C252" s="416"/>
      <c r="D252" s="198" t="s">
        <v>17784</v>
      </c>
      <c r="E252" s="198">
        <v>151</v>
      </c>
      <c r="F252" s="199" t="s">
        <v>17785</v>
      </c>
      <c r="G252" s="1" t="s">
        <v>17786</v>
      </c>
      <c r="H252" s="1" t="s">
        <v>16716</v>
      </c>
      <c r="I252" s="346"/>
      <c r="J252" s="39">
        <v>117126</v>
      </c>
      <c r="K252" s="36" t="str">
        <f>CONCATENATE(Cover!$D$6,"fdd/view?i=",J252)</f>
        <v>https://www.dgiwg.org/FAD/fdd/view?i=117126</v>
      </c>
      <c r="L252" s="36" t="s">
        <v>17787</v>
      </c>
      <c r="M252" s="186"/>
      <c r="N252" s="186"/>
      <c r="O252" s="13" t="s">
        <v>17783</v>
      </c>
    </row>
    <row r="253" spans="1:15" ht="38.25" x14ac:dyDescent="0.2">
      <c r="A253" s="197" t="str">
        <f t="shared" si="3"/>
        <v>ChxCode_chan051X</v>
      </c>
      <c r="B253" s="409"/>
      <c r="C253" s="416"/>
      <c r="D253" s="198" t="s">
        <v>17789</v>
      </c>
      <c r="E253" s="198">
        <v>152</v>
      </c>
      <c r="F253" s="199" t="s">
        <v>17790</v>
      </c>
      <c r="G253" s="1" t="s">
        <v>17791</v>
      </c>
      <c r="H253" s="1" t="s">
        <v>16716</v>
      </c>
      <c r="I253" s="346"/>
      <c r="J253" s="39">
        <v>117127</v>
      </c>
      <c r="K253" s="36" t="str">
        <f>CONCATENATE(Cover!$D$6,"fdd/view?i=",J253)</f>
        <v>https://www.dgiwg.org/FAD/fdd/view?i=117127</v>
      </c>
      <c r="L253" s="36" t="s">
        <v>17792</v>
      </c>
      <c r="M253" s="186"/>
      <c r="N253" s="186"/>
      <c r="O253" s="13" t="s">
        <v>17788</v>
      </c>
    </row>
    <row r="254" spans="1:15" ht="38.25" x14ac:dyDescent="0.2">
      <c r="A254" s="197" t="str">
        <f t="shared" si="3"/>
        <v>ChxCode_chan051Y</v>
      </c>
      <c r="B254" s="409"/>
      <c r="C254" s="416"/>
      <c r="D254" s="198" t="s">
        <v>17794</v>
      </c>
      <c r="E254" s="198">
        <v>153</v>
      </c>
      <c r="F254" s="199" t="s">
        <v>17795</v>
      </c>
      <c r="G254" s="1" t="s">
        <v>17796</v>
      </c>
      <c r="H254" s="1" t="s">
        <v>16716</v>
      </c>
      <c r="I254" s="346"/>
      <c r="J254" s="39">
        <v>117128</v>
      </c>
      <c r="K254" s="36" t="str">
        <f>CONCATENATE(Cover!$D$6,"fdd/view?i=",J254)</f>
        <v>https://www.dgiwg.org/FAD/fdd/view?i=117128</v>
      </c>
      <c r="L254" s="36" t="s">
        <v>17797</v>
      </c>
      <c r="M254" s="186"/>
      <c r="N254" s="186"/>
      <c r="O254" s="13" t="s">
        <v>17793</v>
      </c>
    </row>
    <row r="255" spans="1:15" ht="38.25" x14ac:dyDescent="0.2">
      <c r="A255" s="197" t="str">
        <f t="shared" si="3"/>
        <v>ChxCode_chan051Z</v>
      </c>
      <c r="B255" s="409"/>
      <c r="C255" s="416"/>
      <c r="D255" s="198" t="s">
        <v>17799</v>
      </c>
      <c r="E255" s="198">
        <v>154</v>
      </c>
      <c r="F255" s="199" t="s">
        <v>17800</v>
      </c>
      <c r="G255" s="1" t="s">
        <v>17801</v>
      </c>
      <c r="H255" s="1" t="s">
        <v>16716</v>
      </c>
      <c r="I255" s="346"/>
      <c r="J255" s="39">
        <v>117129</v>
      </c>
      <c r="K255" s="36" t="str">
        <f>CONCATENATE(Cover!$D$6,"fdd/view?i=",J255)</f>
        <v>https://www.dgiwg.org/FAD/fdd/view?i=117129</v>
      </c>
      <c r="L255" s="36" t="s">
        <v>17802</v>
      </c>
      <c r="M255" s="186"/>
      <c r="N255" s="186"/>
      <c r="O255" s="13" t="s">
        <v>17798</v>
      </c>
    </row>
    <row r="256" spans="1:15" ht="38.25" x14ac:dyDescent="0.2">
      <c r="A256" s="197" t="str">
        <f t="shared" si="3"/>
        <v>ChxCode_chan052W</v>
      </c>
      <c r="B256" s="409"/>
      <c r="C256" s="416"/>
      <c r="D256" s="198" t="s">
        <v>17804</v>
      </c>
      <c r="E256" s="198">
        <v>155</v>
      </c>
      <c r="F256" s="199" t="s">
        <v>17805</v>
      </c>
      <c r="G256" s="1" t="s">
        <v>17806</v>
      </c>
      <c r="H256" s="1" t="s">
        <v>16716</v>
      </c>
      <c r="I256" s="346"/>
      <c r="J256" s="39">
        <v>117130</v>
      </c>
      <c r="K256" s="36" t="str">
        <f>CONCATENATE(Cover!$D$6,"fdd/view?i=",J256)</f>
        <v>https://www.dgiwg.org/FAD/fdd/view?i=117130</v>
      </c>
      <c r="L256" s="36" t="s">
        <v>17807</v>
      </c>
      <c r="M256" s="186"/>
      <c r="N256" s="186"/>
      <c r="O256" s="13" t="s">
        <v>17803</v>
      </c>
    </row>
    <row r="257" spans="1:15" ht="38.25" x14ac:dyDescent="0.2">
      <c r="A257" s="197" t="str">
        <f t="shared" si="3"/>
        <v>ChxCode_chan052X</v>
      </c>
      <c r="B257" s="409"/>
      <c r="C257" s="416"/>
      <c r="D257" s="198" t="s">
        <v>17809</v>
      </c>
      <c r="E257" s="198">
        <v>156</v>
      </c>
      <c r="F257" s="199" t="s">
        <v>17810</v>
      </c>
      <c r="G257" s="1" t="s">
        <v>17811</v>
      </c>
      <c r="H257" s="1" t="s">
        <v>16716</v>
      </c>
      <c r="I257" s="346"/>
      <c r="J257" s="39">
        <v>117131</v>
      </c>
      <c r="K257" s="36" t="str">
        <f>CONCATENATE(Cover!$D$6,"fdd/view?i=",J257)</f>
        <v>https://www.dgiwg.org/FAD/fdd/view?i=117131</v>
      </c>
      <c r="L257" s="36" t="s">
        <v>17812</v>
      </c>
      <c r="M257" s="186"/>
      <c r="N257" s="186"/>
      <c r="O257" s="13" t="s">
        <v>17808</v>
      </c>
    </row>
    <row r="258" spans="1:15" ht="38.25" x14ac:dyDescent="0.2">
      <c r="A258" s="197" t="str">
        <f t="shared" ref="A258:A321" si="4">HYPERLINK(K258,L258)</f>
        <v>ChxCode_chan052Y</v>
      </c>
      <c r="B258" s="409"/>
      <c r="C258" s="416"/>
      <c r="D258" s="198" t="s">
        <v>17814</v>
      </c>
      <c r="E258" s="198">
        <v>157</v>
      </c>
      <c r="F258" s="199" t="s">
        <v>17815</v>
      </c>
      <c r="G258" s="1" t="s">
        <v>17816</v>
      </c>
      <c r="H258" s="1" t="s">
        <v>16716</v>
      </c>
      <c r="I258" s="346"/>
      <c r="J258" s="39">
        <v>117132</v>
      </c>
      <c r="K258" s="36" t="str">
        <f>CONCATENATE(Cover!$D$6,"fdd/view?i=",J258)</f>
        <v>https://www.dgiwg.org/FAD/fdd/view?i=117132</v>
      </c>
      <c r="L258" s="36" t="s">
        <v>17817</v>
      </c>
      <c r="M258" s="186"/>
      <c r="N258" s="186"/>
      <c r="O258" s="13" t="s">
        <v>17813</v>
      </c>
    </row>
    <row r="259" spans="1:15" ht="38.25" x14ac:dyDescent="0.2">
      <c r="A259" s="197" t="str">
        <f t="shared" si="4"/>
        <v>ChxCode_chan052Z</v>
      </c>
      <c r="B259" s="409"/>
      <c r="C259" s="416"/>
      <c r="D259" s="198" t="s">
        <v>17819</v>
      </c>
      <c r="E259" s="198">
        <v>158</v>
      </c>
      <c r="F259" s="199" t="s">
        <v>17820</v>
      </c>
      <c r="G259" s="1" t="s">
        <v>17821</v>
      </c>
      <c r="H259" s="1" t="s">
        <v>16716</v>
      </c>
      <c r="I259" s="346"/>
      <c r="J259" s="39">
        <v>117133</v>
      </c>
      <c r="K259" s="36" t="str">
        <f>CONCATENATE(Cover!$D$6,"fdd/view?i=",J259)</f>
        <v>https://www.dgiwg.org/FAD/fdd/view?i=117133</v>
      </c>
      <c r="L259" s="36" t="s">
        <v>17822</v>
      </c>
      <c r="M259" s="186"/>
      <c r="N259" s="186"/>
      <c r="O259" s="13" t="s">
        <v>17818</v>
      </c>
    </row>
    <row r="260" spans="1:15" ht="38.25" x14ac:dyDescent="0.2">
      <c r="A260" s="197" t="str">
        <f t="shared" si="4"/>
        <v>ChxCode_chan053X</v>
      </c>
      <c r="B260" s="409"/>
      <c r="C260" s="416"/>
      <c r="D260" s="198" t="s">
        <v>17824</v>
      </c>
      <c r="E260" s="198">
        <v>159</v>
      </c>
      <c r="F260" s="199" t="s">
        <v>17825</v>
      </c>
      <c r="G260" s="1" t="s">
        <v>17826</v>
      </c>
      <c r="H260" s="1" t="s">
        <v>16716</v>
      </c>
      <c r="I260" s="346"/>
      <c r="J260" s="39">
        <v>117134</v>
      </c>
      <c r="K260" s="36" t="str">
        <f>CONCATENATE(Cover!$D$6,"fdd/view?i=",J260)</f>
        <v>https://www.dgiwg.org/FAD/fdd/view?i=117134</v>
      </c>
      <c r="L260" s="36" t="s">
        <v>17827</v>
      </c>
      <c r="M260" s="186"/>
      <c r="N260" s="186"/>
      <c r="O260" s="13" t="s">
        <v>17823</v>
      </c>
    </row>
    <row r="261" spans="1:15" ht="38.25" x14ac:dyDescent="0.2">
      <c r="A261" s="197" t="str">
        <f t="shared" si="4"/>
        <v>ChxCode_chan053Y</v>
      </c>
      <c r="B261" s="409"/>
      <c r="C261" s="416"/>
      <c r="D261" s="198" t="s">
        <v>17829</v>
      </c>
      <c r="E261" s="198">
        <v>160</v>
      </c>
      <c r="F261" s="199" t="s">
        <v>17830</v>
      </c>
      <c r="G261" s="1" t="s">
        <v>17831</v>
      </c>
      <c r="H261" s="1" t="s">
        <v>16716</v>
      </c>
      <c r="I261" s="346"/>
      <c r="J261" s="39">
        <v>117135</v>
      </c>
      <c r="K261" s="36" t="str">
        <f>CONCATENATE(Cover!$D$6,"fdd/view?i=",J261)</f>
        <v>https://www.dgiwg.org/FAD/fdd/view?i=117135</v>
      </c>
      <c r="L261" s="36" t="s">
        <v>17832</v>
      </c>
      <c r="M261" s="186"/>
      <c r="N261" s="186"/>
      <c r="O261" s="13" t="s">
        <v>17828</v>
      </c>
    </row>
    <row r="262" spans="1:15" ht="38.25" x14ac:dyDescent="0.2">
      <c r="A262" s="197" t="str">
        <f t="shared" si="4"/>
        <v>ChxCode_chan053Z</v>
      </c>
      <c r="B262" s="409"/>
      <c r="C262" s="416"/>
      <c r="D262" s="198" t="s">
        <v>17834</v>
      </c>
      <c r="E262" s="198">
        <v>161</v>
      </c>
      <c r="F262" s="199" t="s">
        <v>17835</v>
      </c>
      <c r="G262" s="1" t="s">
        <v>17836</v>
      </c>
      <c r="H262" s="1" t="s">
        <v>16716</v>
      </c>
      <c r="I262" s="346"/>
      <c r="J262" s="39">
        <v>117136</v>
      </c>
      <c r="K262" s="36" t="str">
        <f>CONCATENATE(Cover!$D$6,"fdd/view?i=",J262)</f>
        <v>https://www.dgiwg.org/FAD/fdd/view?i=117136</v>
      </c>
      <c r="L262" s="36" t="s">
        <v>17837</v>
      </c>
      <c r="M262" s="186"/>
      <c r="N262" s="186"/>
      <c r="O262" s="13" t="s">
        <v>17833</v>
      </c>
    </row>
    <row r="263" spans="1:15" ht="38.25" x14ac:dyDescent="0.2">
      <c r="A263" s="197" t="str">
        <f t="shared" si="4"/>
        <v>ChxCode_chan054W</v>
      </c>
      <c r="B263" s="409"/>
      <c r="C263" s="416"/>
      <c r="D263" s="198" t="s">
        <v>17839</v>
      </c>
      <c r="E263" s="198">
        <v>162</v>
      </c>
      <c r="F263" s="199" t="s">
        <v>17840</v>
      </c>
      <c r="G263" s="1" t="s">
        <v>17841</v>
      </c>
      <c r="H263" s="1" t="s">
        <v>16716</v>
      </c>
      <c r="I263" s="346"/>
      <c r="J263" s="39">
        <v>117137</v>
      </c>
      <c r="K263" s="36" t="str">
        <f>CONCATENATE(Cover!$D$6,"fdd/view?i=",J263)</f>
        <v>https://www.dgiwg.org/FAD/fdd/view?i=117137</v>
      </c>
      <c r="L263" s="36" t="s">
        <v>17842</v>
      </c>
      <c r="M263" s="186"/>
      <c r="N263" s="186"/>
      <c r="O263" s="13" t="s">
        <v>17838</v>
      </c>
    </row>
    <row r="264" spans="1:15" ht="38.25" x14ac:dyDescent="0.2">
      <c r="A264" s="197" t="str">
        <f t="shared" si="4"/>
        <v>ChxCode_chan054X</v>
      </c>
      <c r="B264" s="409"/>
      <c r="C264" s="416"/>
      <c r="D264" s="198" t="s">
        <v>17844</v>
      </c>
      <c r="E264" s="198">
        <v>163</v>
      </c>
      <c r="F264" s="199" t="s">
        <v>17845</v>
      </c>
      <c r="G264" s="1" t="s">
        <v>17846</v>
      </c>
      <c r="H264" s="1" t="s">
        <v>16716</v>
      </c>
      <c r="I264" s="346"/>
      <c r="J264" s="39">
        <v>117138</v>
      </c>
      <c r="K264" s="36" t="str">
        <f>CONCATENATE(Cover!$D$6,"fdd/view?i=",J264)</f>
        <v>https://www.dgiwg.org/FAD/fdd/view?i=117138</v>
      </c>
      <c r="L264" s="36" t="s">
        <v>17847</v>
      </c>
      <c r="M264" s="186"/>
      <c r="N264" s="186"/>
      <c r="O264" s="13" t="s">
        <v>17843</v>
      </c>
    </row>
    <row r="265" spans="1:15" ht="38.25" x14ac:dyDescent="0.2">
      <c r="A265" s="197" t="str">
        <f t="shared" si="4"/>
        <v>ChxCode_chan054Y</v>
      </c>
      <c r="B265" s="409"/>
      <c r="C265" s="416"/>
      <c r="D265" s="198" t="s">
        <v>17849</v>
      </c>
      <c r="E265" s="198">
        <v>164</v>
      </c>
      <c r="F265" s="199" t="s">
        <v>17850</v>
      </c>
      <c r="G265" s="1" t="s">
        <v>17851</v>
      </c>
      <c r="H265" s="1" t="s">
        <v>16716</v>
      </c>
      <c r="I265" s="346"/>
      <c r="J265" s="39">
        <v>117139</v>
      </c>
      <c r="K265" s="36" t="str">
        <f>CONCATENATE(Cover!$D$6,"fdd/view?i=",J265)</f>
        <v>https://www.dgiwg.org/FAD/fdd/view?i=117139</v>
      </c>
      <c r="L265" s="36" t="s">
        <v>17852</v>
      </c>
      <c r="M265" s="186"/>
      <c r="N265" s="186"/>
      <c r="O265" s="13" t="s">
        <v>17848</v>
      </c>
    </row>
    <row r="266" spans="1:15" ht="38.25" x14ac:dyDescent="0.2">
      <c r="A266" s="197" t="str">
        <f t="shared" si="4"/>
        <v>ChxCode_chan054Z</v>
      </c>
      <c r="B266" s="409"/>
      <c r="C266" s="416"/>
      <c r="D266" s="198" t="s">
        <v>17854</v>
      </c>
      <c r="E266" s="198">
        <v>165</v>
      </c>
      <c r="F266" s="199" t="s">
        <v>17855</v>
      </c>
      <c r="G266" s="1" t="s">
        <v>17856</v>
      </c>
      <c r="H266" s="1" t="s">
        <v>16716</v>
      </c>
      <c r="I266" s="346"/>
      <c r="J266" s="39">
        <v>117140</v>
      </c>
      <c r="K266" s="36" t="str">
        <f>CONCATENATE(Cover!$D$6,"fdd/view?i=",J266)</f>
        <v>https://www.dgiwg.org/FAD/fdd/view?i=117140</v>
      </c>
      <c r="L266" s="36" t="s">
        <v>17857</v>
      </c>
      <c r="M266" s="186"/>
      <c r="N266" s="186"/>
      <c r="O266" s="13" t="s">
        <v>17853</v>
      </c>
    </row>
    <row r="267" spans="1:15" ht="38.25" x14ac:dyDescent="0.2">
      <c r="A267" s="197" t="str">
        <f t="shared" si="4"/>
        <v>ChxCode_chan055X</v>
      </c>
      <c r="B267" s="409"/>
      <c r="C267" s="416"/>
      <c r="D267" s="198" t="s">
        <v>17859</v>
      </c>
      <c r="E267" s="198">
        <v>166</v>
      </c>
      <c r="F267" s="199" t="s">
        <v>17860</v>
      </c>
      <c r="G267" s="1" t="s">
        <v>17861</v>
      </c>
      <c r="H267" s="1" t="s">
        <v>16716</v>
      </c>
      <c r="I267" s="346"/>
      <c r="J267" s="39">
        <v>117141</v>
      </c>
      <c r="K267" s="36" t="str">
        <f>CONCATENATE(Cover!$D$6,"fdd/view?i=",J267)</f>
        <v>https://www.dgiwg.org/FAD/fdd/view?i=117141</v>
      </c>
      <c r="L267" s="36" t="s">
        <v>17862</v>
      </c>
      <c r="M267" s="186"/>
      <c r="N267" s="186"/>
      <c r="O267" s="13" t="s">
        <v>17858</v>
      </c>
    </row>
    <row r="268" spans="1:15" ht="38.25" x14ac:dyDescent="0.2">
      <c r="A268" s="197" t="str">
        <f t="shared" si="4"/>
        <v>ChxCode_chan055Y</v>
      </c>
      <c r="B268" s="409"/>
      <c r="C268" s="416"/>
      <c r="D268" s="198" t="s">
        <v>17864</v>
      </c>
      <c r="E268" s="198">
        <v>167</v>
      </c>
      <c r="F268" s="199" t="s">
        <v>17865</v>
      </c>
      <c r="G268" s="1" t="s">
        <v>17866</v>
      </c>
      <c r="H268" s="1" t="s">
        <v>16716</v>
      </c>
      <c r="I268" s="346"/>
      <c r="J268" s="39">
        <v>117142</v>
      </c>
      <c r="K268" s="36" t="str">
        <f>CONCATENATE(Cover!$D$6,"fdd/view?i=",J268)</f>
        <v>https://www.dgiwg.org/FAD/fdd/view?i=117142</v>
      </c>
      <c r="L268" s="36" t="s">
        <v>17867</v>
      </c>
      <c r="M268" s="186"/>
      <c r="N268" s="186"/>
      <c r="O268" s="13" t="s">
        <v>17863</v>
      </c>
    </row>
    <row r="269" spans="1:15" ht="38.25" x14ac:dyDescent="0.2">
      <c r="A269" s="197" t="str">
        <f t="shared" si="4"/>
        <v>ChxCode_chan055Z</v>
      </c>
      <c r="B269" s="409"/>
      <c r="C269" s="416"/>
      <c r="D269" s="198" t="s">
        <v>17869</v>
      </c>
      <c r="E269" s="198">
        <v>168</v>
      </c>
      <c r="F269" s="199" t="s">
        <v>17870</v>
      </c>
      <c r="G269" s="1" t="s">
        <v>17871</v>
      </c>
      <c r="H269" s="1" t="s">
        <v>16716</v>
      </c>
      <c r="I269" s="346"/>
      <c r="J269" s="39">
        <v>117143</v>
      </c>
      <c r="K269" s="36" t="str">
        <f>CONCATENATE(Cover!$D$6,"fdd/view?i=",J269)</f>
        <v>https://www.dgiwg.org/FAD/fdd/view?i=117143</v>
      </c>
      <c r="L269" s="36" t="s">
        <v>17872</v>
      </c>
      <c r="M269" s="186"/>
      <c r="N269" s="186"/>
      <c r="O269" s="13" t="s">
        <v>17868</v>
      </c>
    </row>
    <row r="270" spans="1:15" ht="38.25" x14ac:dyDescent="0.2">
      <c r="A270" s="197" t="str">
        <f t="shared" si="4"/>
        <v>ChxCode_chan056W</v>
      </c>
      <c r="B270" s="409"/>
      <c r="C270" s="416"/>
      <c r="D270" s="198" t="s">
        <v>17874</v>
      </c>
      <c r="E270" s="198">
        <v>169</v>
      </c>
      <c r="F270" s="199" t="s">
        <v>17875</v>
      </c>
      <c r="G270" s="1" t="s">
        <v>17876</v>
      </c>
      <c r="H270" s="1" t="s">
        <v>16716</v>
      </c>
      <c r="I270" s="346"/>
      <c r="J270" s="39">
        <v>117144</v>
      </c>
      <c r="K270" s="36" t="str">
        <f>CONCATENATE(Cover!$D$6,"fdd/view?i=",J270)</f>
        <v>https://www.dgiwg.org/FAD/fdd/view?i=117144</v>
      </c>
      <c r="L270" s="36" t="s">
        <v>17877</v>
      </c>
      <c r="M270" s="186"/>
      <c r="N270" s="186"/>
      <c r="O270" s="13" t="s">
        <v>17873</v>
      </c>
    </row>
    <row r="271" spans="1:15" ht="38.25" x14ac:dyDescent="0.2">
      <c r="A271" s="197" t="str">
        <f t="shared" si="4"/>
        <v>ChxCode_chan056X</v>
      </c>
      <c r="B271" s="409"/>
      <c r="C271" s="416"/>
      <c r="D271" s="198" t="s">
        <v>17879</v>
      </c>
      <c r="E271" s="198">
        <v>170</v>
      </c>
      <c r="F271" s="199" t="s">
        <v>17880</v>
      </c>
      <c r="G271" s="1" t="s">
        <v>17881</v>
      </c>
      <c r="H271" s="1" t="s">
        <v>16716</v>
      </c>
      <c r="I271" s="346"/>
      <c r="J271" s="39">
        <v>117145</v>
      </c>
      <c r="K271" s="36" t="str">
        <f>CONCATENATE(Cover!$D$6,"fdd/view?i=",J271)</f>
        <v>https://www.dgiwg.org/FAD/fdd/view?i=117145</v>
      </c>
      <c r="L271" s="36" t="s">
        <v>17882</v>
      </c>
      <c r="M271" s="186"/>
      <c r="N271" s="186"/>
      <c r="O271" s="13" t="s">
        <v>17878</v>
      </c>
    </row>
    <row r="272" spans="1:15" ht="38.25" x14ac:dyDescent="0.2">
      <c r="A272" s="197" t="str">
        <f t="shared" si="4"/>
        <v>ChxCode_chan056Y</v>
      </c>
      <c r="B272" s="409"/>
      <c r="C272" s="416"/>
      <c r="D272" s="198" t="s">
        <v>17884</v>
      </c>
      <c r="E272" s="198">
        <v>171</v>
      </c>
      <c r="F272" s="199" t="s">
        <v>17885</v>
      </c>
      <c r="G272" s="1" t="s">
        <v>17886</v>
      </c>
      <c r="H272" s="1" t="s">
        <v>16716</v>
      </c>
      <c r="I272" s="346"/>
      <c r="J272" s="39">
        <v>117146</v>
      </c>
      <c r="K272" s="36" t="str">
        <f>CONCATENATE(Cover!$D$6,"fdd/view?i=",J272)</f>
        <v>https://www.dgiwg.org/FAD/fdd/view?i=117146</v>
      </c>
      <c r="L272" s="36" t="s">
        <v>17887</v>
      </c>
      <c r="M272" s="186"/>
      <c r="N272" s="186"/>
      <c r="O272" s="13" t="s">
        <v>17883</v>
      </c>
    </row>
    <row r="273" spans="1:15" ht="38.25" x14ac:dyDescent="0.2">
      <c r="A273" s="197" t="str">
        <f t="shared" si="4"/>
        <v>ChxCode_chan056Z</v>
      </c>
      <c r="B273" s="409"/>
      <c r="C273" s="416"/>
      <c r="D273" s="198" t="s">
        <v>17889</v>
      </c>
      <c r="E273" s="198">
        <v>172</v>
      </c>
      <c r="F273" s="199" t="s">
        <v>17890</v>
      </c>
      <c r="G273" s="1" t="s">
        <v>17891</v>
      </c>
      <c r="H273" s="1" t="s">
        <v>16716</v>
      </c>
      <c r="I273" s="346"/>
      <c r="J273" s="39">
        <v>117147</v>
      </c>
      <c r="K273" s="36" t="str">
        <f>CONCATENATE(Cover!$D$6,"fdd/view?i=",J273)</f>
        <v>https://www.dgiwg.org/FAD/fdd/view?i=117147</v>
      </c>
      <c r="L273" s="36" t="s">
        <v>17892</v>
      </c>
      <c r="M273" s="186"/>
      <c r="N273" s="186"/>
      <c r="O273" s="13" t="s">
        <v>17888</v>
      </c>
    </row>
    <row r="274" spans="1:15" ht="38.25" x14ac:dyDescent="0.2">
      <c r="A274" s="197" t="str">
        <f t="shared" si="4"/>
        <v>ChxCode_chan057X</v>
      </c>
      <c r="B274" s="409"/>
      <c r="C274" s="416"/>
      <c r="D274" s="198" t="s">
        <v>17894</v>
      </c>
      <c r="E274" s="198">
        <v>173</v>
      </c>
      <c r="F274" s="199" t="s">
        <v>17895</v>
      </c>
      <c r="G274" s="1" t="s">
        <v>17896</v>
      </c>
      <c r="H274" s="1" t="s">
        <v>16716</v>
      </c>
      <c r="I274" s="346"/>
      <c r="J274" s="39">
        <v>117148</v>
      </c>
      <c r="K274" s="36" t="str">
        <f>CONCATENATE(Cover!$D$6,"fdd/view?i=",J274)</f>
        <v>https://www.dgiwg.org/FAD/fdd/view?i=117148</v>
      </c>
      <c r="L274" s="36" t="s">
        <v>17897</v>
      </c>
      <c r="M274" s="186"/>
      <c r="N274" s="186"/>
      <c r="O274" s="13" t="s">
        <v>17893</v>
      </c>
    </row>
    <row r="275" spans="1:15" ht="38.25" x14ac:dyDescent="0.2">
      <c r="A275" s="197" t="str">
        <f t="shared" si="4"/>
        <v>ChxCode_chan057Y</v>
      </c>
      <c r="B275" s="409"/>
      <c r="C275" s="416"/>
      <c r="D275" s="198" t="s">
        <v>17899</v>
      </c>
      <c r="E275" s="198">
        <v>174</v>
      </c>
      <c r="F275" s="199" t="s">
        <v>17900</v>
      </c>
      <c r="G275" s="1" t="s">
        <v>17901</v>
      </c>
      <c r="H275" s="1" t="s">
        <v>16716</v>
      </c>
      <c r="I275" s="346"/>
      <c r="J275" s="39">
        <v>117149</v>
      </c>
      <c r="K275" s="36" t="str">
        <f>CONCATENATE(Cover!$D$6,"fdd/view?i=",J275)</f>
        <v>https://www.dgiwg.org/FAD/fdd/view?i=117149</v>
      </c>
      <c r="L275" s="36" t="s">
        <v>17902</v>
      </c>
      <c r="M275" s="186"/>
      <c r="N275" s="186"/>
      <c r="O275" s="13" t="s">
        <v>17898</v>
      </c>
    </row>
    <row r="276" spans="1:15" ht="38.25" x14ac:dyDescent="0.2">
      <c r="A276" s="197" t="str">
        <f t="shared" si="4"/>
        <v>ChxCode_chan058X</v>
      </c>
      <c r="B276" s="409"/>
      <c r="C276" s="416"/>
      <c r="D276" s="198" t="s">
        <v>17904</v>
      </c>
      <c r="E276" s="198">
        <v>175</v>
      </c>
      <c r="F276" s="199" t="s">
        <v>17905</v>
      </c>
      <c r="G276" s="1" t="s">
        <v>17906</v>
      </c>
      <c r="H276" s="1" t="s">
        <v>16716</v>
      </c>
      <c r="I276" s="346"/>
      <c r="J276" s="39">
        <v>117150</v>
      </c>
      <c r="K276" s="36" t="str">
        <f>CONCATENATE(Cover!$D$6,"fdd/view?i=",J276)</f>
        <v>https://www.dgiwg.org/FAD/fdd/view?i=117150</v>
      </c>
      <c r="L276" s="36" t="s">
        <v>17907</v>
      </c>
      <c r="M276" s="186"/>
      <c r="N276" s="186"/>
      <c r="O276" s="13" t="s">
        <v>17903</v>
      </c>
    </row>
    <row r="277" spans="1:15" ht="38.25" x14ac:dyDescent="0.2">
      <c r="A277" s="197" t="str">
        <f t="shared" si="4"/>
        <v>ChxCode_chan058Y</v>
      </c>
      <c r="B277" s="409"/>
      <c r="C277" s="416"/>
      <c r="D277" s="198" t="s">
        <v>17909</v>
      </c>
      <c r="E277" s="198">
        <v>176</v>
      </c>
      <c r="F277" s="199" t="s">
        <v>17910</v>
      </c>
      <c r="G277" s="1" t="s">
        <v>17911</v>
      </c>
      <c r="H277" s="1" t="s">
        <v>16716</v>
      </c>
      <c r="I277" s="346"/>
      <c r="J277" s="39">
        <v>117151</v>
      </c>
      <c r="K277" s="36" t="str">
        <f>CONCATENATE(Cover!$D$6,"fdd/view?i=",J277)</f>
        <v>https://www.dgiwg.org/FAD/fdd/view?i=117151</v>
      </c>
      <c r="L277" s="36" t="s">
        <v>17912</v>
      </c>
      <c r="M277" s="186"/>
      <c r="N277" s="186"/>
      <c r="O277" s="13" t="s">
        <v>17908</v>
      </c>
    </row>
    <row r="278" spans="1:15" ht="38.25" x14ac:dyDescent="0.2">
      <c r="A278" s="197" t="str">
        <f t="shared" si="4"/>
        <v>ChxCode_chan059X</v>
      </c>
      <c r="B278" s="409"/>
      <c r="C278" s="416"/>
      <c r="D278" s="198" t="s">
        <v>17914</v>
      </c>
      <c r="E278" s="198">
        <v>177</v>
      </c>
      <c r="F278" s="199" t="s">
        <v>17915</v>
      </c>
      <c r="G278" s="1" t="s">
        <v>17916</v>
      </c>
      <c r="H278" s="1" t="s">
        <v>16716</v>
      </c>
      <c r="I278" s="346"/>
      <c r="J278" s="39">
        <v>117152</v>
      </c>
      <c r="K278" s="36" t="str">
        <f>CONCATENATE(Cover!$D$6,"fdd/view?i=",J278)</f>
        <v>https://www.dgiwg.org/FAD/fdd/view?i=117152</v>
      </c>
      <c r="L278" s="36" t="s">
        <v>17917</v>
      </c>
      <c r="M278" s="186"/>
      <c r="N278" s="186"/>
      <c r="O278" s="13" t="s">
        <v>17913</v>
      </c>
    </row>
    <row r="279" spans="1:15" ht="38.25" x14ac:dyDescent="0.2">
      <c r="A279" s="197" t="str">
        <f t="shared" si="4"/>
        <v>ChxCode_chan059Y</v>
      </c>
      <c r="B279" s="409"/>
      <c r="C279" s="416"/>
      <c r="D279" s="198" t="s">
        <v>17919</v>
      </c>
      <c r="E279" s="198">
        <v>178</v>
      </c>
      <c r="F279" s="199" t="s">
        <v>17920</v>
      </c>
      <c r="G279" s="1" t="s">
        <v>17921</v>
      </c>
      <c r="H279" s="1" t="s">
        <v>16716</v>
      </c>
      <c r="I279" s="346"/>
      <c r="J279" s="39">
        <v>117153</v>
      </c>
      <c r="K279" s="36" t="str">
        <f>CONCATENATE(Cover!$D$6,"fdd/view?i=",J279)</f>
        <v>https://www.dgiwg.org/FAD/fdd/view?i=117153</v>
      </c>
      <c r="L279" s="36" t="s">
        <v>17922</v>
      </c>
      <c r="M279" s="186"/>
      <c r="N279" s="186"/>
      <c r="O279" s="13" t="s">
        <v>17918</v>
      </c>
    </row>
    <row r="280" spans="1:15" ht="38.25" x14ac:dyDescent="0.2">
      <c r="A280" s="197" t="str">
        <f t="shared" si="4"/>
        <v>ChxCode_chan060X</v>
      </c>
      <c r="B280" s="409"/>
      <c r="C280" s="416"/>
      <c r="D280" s="198" t="s">
        <v>17934</v>
      </c>
      <c r="E280" s="198">
        <v>179</v>
      </c>
      <c r="F280" s="199" t="s">
        <v>17935</v>
      </c>
      <c r="G280" s="1" t="s">
        <v>17936</v>
      </c>
      <c r="H280" s="1" t="s">
        <v>16716</v>
      </c>
      <c r="I280" s="346"/>
      <c r="J280" s="39">
        <v>117154</v>
      </c>
      <c r="K280" s="36" t="str">
        <f>CONCATENATE(Cover!$D$6,"fdd/view?i=",J280)</f>
        <v>https://www.dgiwg.org/FAD/fdd/view?i=117154</v>
      </c>
      <c r="L280" s="36" t="s">
        <v>17937</v>
      </c>
      <c r="M280" s="186"/>
      <c r="N280" s="186"/>
      <c r="O280" s="13" t="s">
        <v>17933</v>
      </c>
    </row>
    <row r="281" spans="1:15" ht="38.25" x14ac:dyDescent="0.2">
      <c r="A281" s="197" t="str">
        <f t="shared" si="4"/>
        <v>ChxCode_chan060Y</v>
      </c>
      <c r="B281" s="409"/>
      <c r="C281" s="416"/>
      <c r="D281" s="198" t="s">
        <v>17939</v>
      </c>
      <c r="E281" s="198">
        <v>180</v>
      </c>
      <c r="F281" s="199" t="s">
        <v>17940</v>
      </c>
      <c r="G281" s="1" t="s">
        <v>17941</v>
      </c>
      <c r="H281" s="1" t="s">
        <v>16716</v>
      </c>
      <c r="I281" s="346"/>
      <c r="J281" s="39">
        <v>117155</v>
      </c>
      <c r="K281" s="36" t="str">
        <f>CONCATENATE(Cover!$D$6,"fdd/view?i=",J281)</f>
        <v>https://www.dgiwg.org/FAD/fdd/view?i=117155</v>
      </c>
      <c r="L281" s="36" t="s">
        <v>17942</v>
      </c>
      <c r="M281" s="186"/>
      <c r="N281" s="186"/>
      <c r="O281" s="13" t="s">
        <v>17938</v>
      </c>
    </row>
    <row r="282" spans="1:15" ht="38.25" x14ac:dyDescent="0.2">
      <c r="A282" s="197" t="str">
        <f t="shared" si="4"/>
        <v>ChxCode_chan061X</v>
      </c>
      <c r="B282" s="409"/>
      <c r="C282" s="416"/>
      <c r="D282" s="198" t="s">
        <v>17944</v>
      </c>
      <c r="E282" s="198">
        <v>181</v>
      </c>
      <c r="F282" s="199" t="s">
        <v>17945</v>
      </c>
      <c r="G282" s="1" t="s">
        <v>17946</v>
      </c>
      <c r="H282" s="1" t="s">
        <v>16716</v>
      </c>
      <c r="I282" s="346"/>
      <c r="J282" s="39">
        <v>117156</v>
      </c>
      <c r="K282" s="36" t="str">
        <f>CONCATENATE(Cover!$D$6,"fdd/view?i=",J282)</f>
        <v>https://www.dgiwg.org/FAD/fdd/view?i=117156</v>
      </c>
      <c r="L282" s="36" t="s">
        <v>17947</v>
      </c>
      <c r="M282" s="186"/>
      <c r="N282" s="186"/>
      <c r="O282" s="13" t="s">
        <v>17943</v>
      </c>
    </row>
    <row r="283" spans="1:15" ht="38.25" x14ac:dyDescent="0.2">
      <c r="A283" s="197" t="str">
        <f t="shared" si="4"/>
        <v>ChxCode_chan061Y</v>
      </c>
      <c r="B283" s="409"/>
      <c r="C283" s="416"/>
      <c r="D283" s="198" t="s">
        <v>17949</v>
      </c>
      <c r="E283" s="198">
        <v>182</v>
      </c>
      <c r="F283" s="199" t="s">
        <v>17950</v>
      </c>
      <c r="G283" s="1" t="s">
        <v>17951</v>
      </c>
      <c r="H283" s="1" t="s">
        <v>16716</v>
      </c>
      <c r="I283" s="346"/>
      <c r="J283" s="39">
        <v>117157</v>
      </c>
      <c r="K283" s="36" t="str">
        <f>CONCATENATE(Cover!$D$6,"fdd/view?i=",J283)</f>
        <v>https://www.dgiwg.org/FAD/fdd/view?i=117157</v>
      </c>
      <c r="L283" s="36" t="s">
        <v>17952</v>
      </c>
      <c r="M283" s="186"/>
      <c r="N283" s="186"/>
      <c r="O283" s="13" t="s">
        <v>17948</v>
      </c>
    </row>
    <row r="284" spans="1:15" ht="38.25" x14ac:dyDescent="0.2">
      <c r="A284" s="197" t="str">
        <f t="shared" si="4"/>
        <v>ChxCode_chan062X</v>
      </c>
      <c r="B284" s="409"/>
      <c r="C284" s="416"/>
      <c r="D284" s="198" t="s">
        <v>17954</v>
      </c>
      <c r="E284" s="198">
        <v>183</v>
      </c>
      <c r="F284" s="199" t="s">
        <v>17955</v>
      </c>
      <c r="G284" s="1" t="s">
        <v>17956</v>
      </c>
      <c r="H284" s="1" t="s">
        <v>16716</v>
      </c>
      <c r="I284" s="346"/>
      <c r="J284" s="39">
        <v>117158</v>
      </c>
      <c r="K284" s="36" t="str">
        <f>CONCATENATE(Cover!$D$6,"fdd/view?i=",J284)</f>
        <v>https://www.dgiwg.org/FAD/fdd/view?i=117158</v>
      </c>
      <c r="L284" s="36" t="s">
        <v>17957</v>
      </c>
      <c r="M284" s="186"/>
      <c r="N284" s="186"/>
      <c r="O284" s="13" t="s">
        <v>17953</v>
      </c>
    </row>
    <row r="285" spans="1:15" ht="38.25" x14ac:dyDescent="0.2">
      <c r="A285" s="197" t="str">
        <f t="shared" si="4"/>
        <v>ChxCode_chan062Y</v>
      </c>
      <c r="B285" s="409"/>
      <c r="C285" s="416"/>
      <c r="D285" s="198" t="s">
        <v>17959</v>
      </c>
      <c r="E285" s="198">
        <v>184</v>
      </c>
      <c r="F285" s="199" t="s">
        <v>17960</v>
      </c>
      <c r="G285" s="1" t="s">
        <v>17961</v>
      </c>
      <c r="H285" s="1" t="s">
        <v>16716</v>
      </c>
      <c r="I285" s="346"/>
      <c r="J285" s="39">
        <v>117159</v>
      </c>
      <c r="K285" s="36" t="str">
        <f>CONCATENATE(Cover!$D$6,"fdd/view?i=",J285)</f>
        <v>https://www.dgiwg.org/FAD/fdd/view?i=117159</v>
      </c>
      <c r="L285" s="36" t="s">
        <v>17962</v>
      </c>
      <c r="M285" s="186"/>
      <c r="N285" s="186"/>
      <c r="O285" s="13" t="s">
        <v>17958</v>
      </c>
    </row>
    <row r="286" spans="1:15" ht="38.25" x14ac:dyDescent="0.2">
      <c r="A286" s="197" t="str">
        <f t="shared" si="4"/>
        <v>ChxCode_chan063X</v>
      </c>
      <c r="B286" s="409"/>
      <c r="C286" s="416"/>
      <c r="D286" s="198" t="s">
        <v>17964</v>
      </c>
      <c r="E286" s="198">
        <v>185</v>
      </c>
      <c r="F286" s="199" t="s">
        <v>17965</v>
      </c>
      <c r="G286" s="1" t="s">
        <v>17966</v>
      </c>
      <c r="H286" s="1" t="s">
        <v>16716</v>
      </c>
      <c r="I286" s="346"/>
      <c r="J286" s="39">
        <v>117160</v>
      </c>
      <c r="K286" s="36" t="str">
        <f>CONCATENATE(Cover!$D$6,"fdd/view?i=",J286)</f>
        <v>https://www.dgiwg.org/FAD/fdd/view?i=117160</v>
      </c>
      <c r="L286" s="36" t="s">
        <v>17967</v>
      </c>
      <c r="M286" s="186"/>
      <c r="N286" s="186"/>
      <c r="O286" s="13" t="s">
        <v>17963</v>
      </c>
    </row>
    <row r="287" spans="1:15" ht="38.25" x14ac:dyDescent="0.2">
      <c r="A287" s="197" t="str">
        <f t="shared" si="4"/>
        <v>ChxCode_chan063Y</v>
      </c>
      <c r="B287" s="409"/>
      <c r="C287" s="416"/>
      <c r="D287" s="198" t="s">
        <v>17969</v>
      </c>
      <c r="E287" s="198">
        <v>186</v>
      </c>
      <c r="F287" s="199" t="s">
        <v>17970</v>
      </c>
      <c r="G287" s="1" t="s">
        <v>17971</v>
      </c>
      <c r="H287" s="1" t="s">
        <v>16716</v>
      </c>
      <c r="I287" s="346"/>
      <c r="J287" s="39">
        <v>117161</v>
      </c>
      <c r="K287" s="36" t="str">
        <f>CONCATENATE(Cover!$D$6,"fdd/view?i=",J287)</f>
        <v>https://www.dgiwg.org/FAD/fdd/view?i=117161</v>
      </c>
      <c r="L287" s="36" t="s">
        <v>17972</v>
      </c>
      <c r="M287" s="186"/>
      <c r="N287" s="186"/>
      <c r="O287" s="13" t="s">
        <v>17968</v>
      </c>
    </row>
    <row r="288" spans="1:15" ht="38.25" x14ac:dyDescent="0.2">
      <c r="A288" s="197" t="str">
        <f t="shared" si="4"/>
        <v>ChxCode_chan064X</v>
      </c>
      <c r="B288" s="409"/>
      <c r="C288" s="416"/>
      <c r="D288" s="198" t="s">
        <v>17974</v>
      </c>
      <c r="E288" s="198">
        <v>187</v>
      </c>
      <c r="F288" s="199" t="s">
        <v>17975</v>
      </c>
      <c r="G288" s="1" t="s">
        <v>17976</v>
      </c>
      <c r="H288" s="1" t="s">
        <v>16716</v>
      </c>
      <c r="I288" s="346"/>
      <c r="J288" s="39">
        <v>117162</v>
      </c>
      <c r="K288" s="36" t="str">
        <f>CONCATENATE(Cover!$D$6,"fdd/view?i=",J288)</f>
        <v>https://www.dgiwg.org/FAD/fdd/view?i=117162</v>
      </c>
      <c r="L288" s="36" t="s">
        <v>17977</v>
      </c>
      <c r="M288" s="186"/>
      <c r="N288" s="186"/>
      <c r="O288" s="13" t="s">
        <v>17973</v>
      </c>
    </row>
    <row r="289" spans="1:15" ht="38.25" x14ac:dyDescent="0.2">
      <c r="A289" s="197" t="str">
        <f t="shared" si="4"/>
        <v>ChxCode_chan064Y</v>
      </c>
      <c r="B289" s="409"/>
      <c r="C289" s="416"/>
      <c r="D289" s="198" t="s">
        <v>17979</v>
      </c>
      <c r="E289" s="198">
        <v>188</v>
      </c>
      <c r="F289" s="199" t="s">
        <v>17980</v>
      </c>
      <c r="G289" s="1" t="s">
        <v>17981</v>
      </c>
      <c r="H289" s="1" t="s">
        <v>16716</v>
      </c>
      <c r="I289" s="346"/>
      <c r="J289" s="39">
        <v>117163</v>
      </c>
      <c r="K289" s="36" t="str">
        <f>CONCATENATE(Cover!$D$6,"fdd/view?i=",J289)</f>
        <v>https://www.dgiwg.org/FAD/fdd/view?i=117163</v>
      </c>
      <c r="L289" s="36" t="s">
        <v>17982</v>
      </c>
      <c r="M289" s="186"/>
      <c r="N289" s="186"/>
      <c r="O289" s="13" t="s">
        <v>17978</v>
      </c>
    </row>
    <row r="290" spans="1:15" ht="38.25" x14ac:dyDescent="0.2">
      <c r="A290" s="197" t="str">
        <f t="shared" si="4"/>
        <v>ChxCode_chan065X</v>
      </c>
      <c r="B290" s="409"/>
      <c r="C290" s="416"/>
      <c r="D290" s="198" t="s">
        <v>17984</v>
      </c>
      <c r="E290" s="198">
        <v>189</v>
      </c>
      <c r="F290" s="199" t="s">
        <v>17985</v>
      </c>
      <c r="G290" s="1" t="s">
        <v>17986</v>
      </c>
      <c r="H290" s="1" t="s">
        <v>16716</v>
      </c>
      <c r="I290" s="346"/>
      <c r="J290" s="39">
        <v>117164</v>
      </c>
      <c r="K290" s="36" t="str">
        <f>CONCATENATE(Cover!$D$6,"fdd/view?i=",J290)</f>
        <v>https://www.dgiwg.org/FAD/fdd/view?i=117164</v>
      </c>
      <c r="L290" s="36" t="s">
        <v>17987</v>
      </c>
      <c r="M290" s="186"/>
      <c r="N290" s="186"/>
      <c r="O290" s="13" t="s">
        <v>17983</v>
      </c>
    </row>
    <row r="291" spans="1:15" ht="38.25" x14ac:dyDescent="0.2">
      <c r="A291" s="197" t="str">
        <f t="shared" si="4"/>
        <v>ChxCode_chan065Y</v>
      </c>
      <c r="B291" s="409"/>
      <c r="C291" s="416"/>
      <c r="D291" s="198" t="s">
        <v>17989</v>
      </c>
      <c r="E291" s="198">
        <v>190</v>
      </c>
      <c r="F291" s="199" t="s">
        <v>17990</v>
      </c>
      <c r="G291" s="1" t="s">
        <v>17991</v>
      </c>
      <c r="H291" s="1" t="s">
        <v>16716</v>
      </c>
      <c r="I291" s="346"/>
      <c r="J291" s="39">
        <v>117165</v>
      </c>
      <c r="K291" s="36" t="str">
        <f>CONCATENATE(Cover!$D$6,"fdd/view?i=",J291)</f>
        <v>https://www.dgiwg.org/FAD/fdd/view?i=117165</v>
      </c>
      <c r="L291" s="36" t="s">
        <v>17992</v>
      </c>
      <c r="M291" s="186"/>
      <c r="N291" s="186"/>
      <c r="O291" s="13" t="s">
        <v>17988</v>
      </c>
    </row>
    <row r="292" spans="1:15" ht="38.25" x14ac:dyDescent="0.2">
      <c r="A292" s="197" t="str">
        <f t="shared" si="4"/>
        <v>ChxCode_chan066X</v>
      </c>
      <c r="B292" s="409"/>
      <c r="C292" s="416"/>
      <c r="D292" s="198" t="s">
        <v>17994</v>
      </c>
      <c r="E292" s="198">
        <v>191</v>
      </c>
      <c r="F292" s="199" t="s">
        <v>17995</v>
      </c>
      <c r="G292" s="1" t="s">
        <v>17996</v>
      </c>
      <c r="H292" s="1" t="s">
        <v>16716</v>
      </c>
      <c r="I292" s="346"/>
      <c r="J292" s="39">
        <v>117166</v>
      </c>
      <c r="K292" s="36" t="str">
        <f>CONCATENATE(Cover!$D$6,"fdd/view?i=",J292)</f>
        <v>https://www.dgiwg.org/FAD/fdd/view?i=117166</v>
      </c>
      <c r="L292" s="36" t="s">
        <v>17997</v>
      </c>
      <c r="M292" s="186"/>
      <c r="N292" s="186"/>
      <c r="O292" s="13" t="s">
        <v>17993</v>
      </c>
    </row>
    <row r="293" spans="1:15" ht="38.25" x14ac:dyDescent="0.2">
      <c r="A293" s="197" t="str">
        <f t="shared" si="4"/>
        <v>ChxCode_chan066Y</v>
      </c>
      <c r="B293" s="409"/>
      <c r="C293" s="416"/>
      <c r="D293" s="198" t="s">
        <v>17999</v>
      </c>
      <c r="E293" s="198">
        <v>192</v>
      </c>
      <c r="F293" s="199" t="s">
        <v>18000</v>
      </c>
      <c r="G293" s="1" t="s">
        <v>18001</v>
      </c>
      <c r="H293" s="1" t="s">
        <v>16716</v>
      </c>
      <c r="I293" s="346"/>
      <c r="J293" s="39">
        <v>117167</v>
      </c>
      <c r="K293" s="36" t="str">
        <f>CONCATENATE(Cover!$D$6,"fdd/view?i=",J293)</f>
        <v>https://www.dgiwg.org/FAD/fdd/view?i=117167</v>
      </c>
      <c r="L293" s="36" t="s">
        <v>18002</v>
      </c>
      <c r="M293" s="186"/>
      <c r="N293" s="186"/>
      <c r="O293" s="13" t="s">
        <v>17998</v>
      </c>
    </row>
    <row r="294" spans="1:15" ht="38.25" x14ac:dyDescent="0.2">
      <c r="A294" s="197" t="str">
        <f t="shared" si="4"/>
        <v>ChxCode_chan067X</v>
      </c>
      <c r="B294" s="409"/>
      <c r="C294" s="416"/>
      <c r="D294" s="198" t="s">
        <v>18004</v>
      </c>
      <c r="E294" s="198">
        <v>193</v>
      </c>
      <c r="F294" s="199" t="s">
        <v>18005</v>
      </c>
      <c r="G294" s="1" t="s">
        <v>18006</v>
      </c>
      <c r="H294" s="1" t="s">
        <v>16716</v>
      </c>
      <c r="I294" s="346"/>
      <c r="J294" s="39">
        <v>117168</v>
      </c>
      <c r="K294" s="36" t="str">
        <f>CONCATENATE(Cover!$D$6,"fdd/view?i=",J294)</f>
        <v>https://www.dgiwg.org/FAD/fdd/view?i=117168</v>
      </c>
      <c r="L294" s="36" t="s">
        <v>18007</v>
      </c>
      <c r="M294" s="186"/>
      <c r="N294" s="186"/>
      <c r="O294" s="13" t="s">
        <v>18003</v>
      </c>
    </row>
    <row r="295" spans="1:15" ht="38.25" x14ac:dyDescent="0.2">
      <c r="A295" s="197" t="str">
        <f t="shared" si="4"/>
        <v>ChxCode_chan067Y</v>
      </c>
      <c r="B295" s="409"/>
      <c r="C295" s="416"/>
      <c r="D295" s="198" t="s">
        <v>18009</v>
      </c>
      <c r="E295" s="198">
        <v>194</v>
      </c>
      <c r="F295" s="199" t="s">
        <v>18010</v>
      </c>
      <c r="G295" s="1" t="s">
        <v>18011</v>
      </c>
      <c r="H295" s="1" t="s">
        <v>16716</v>
      </c>
      <c r="I295" s="346"/>
      <c r="J295" s="39">
        <v>117169</v>
      </c>
      <c r="K295" s="36" t="str">
        <f>CONCATENATE(Cover!$D$6,"fdd/view?i=",J295)</f>
        <v>https://www.dgiwg.org/FAD/fdd/view?i=117169</v>
      </c>
      <c r="L295" s="36" t="s">
        <v>18012</v>
      </c>
      <c r="M295" s="186"/>
      <c r="N295" s="186"/>
      <c r="O295" s="13" t="s">
        <v>18008</v>
      </c>
    </row>
    <row r="296" spans="1:15" ht="38.25" x14ac:dyDescent="0.2">
      <c r="A296" s="197" t="str">
        <f t="shared" si="4"/>
        <v>ChxCode_chan068X</v>
      </c>
      <c r="B296" s="409"/>
      <c r="C296" s="416"/>
      <c r="D296" s="198" t="s">
        <v>18014</v>
      </c>
      <c r="E296" s="198">
        <v>195</v>
      </c>
      <c r="F296" s="199" t="s">
        <v>18015</v>
      </c>
      <c r="G296" s="1" t="s">
        <v>18016</v>
      </c>
      <c r="H296" s="1" t="s">
        <v>16716</v>
      </c>
      <c r="I296" s="346"/>
      <c r="J296" s="39">
        <v>117170</v>
      </c>
      <c r="K296" s="36" t="str">
        <f>CONCATENATE(Cover!$D$6,"fdd/view?i=",J296)</f>
        <v>https://www.dgiwg.org/FAD/fdd/view?i=117170</v>
      </c>
      <c r="L296" s="36" t="s">
        <v>18017</v>
      </c>
      <c r="M296" s="186"/>
      <c r="N296" s="186"/>
      <c r="O296" s="13" t="s">
        <v>18013</v>
      </c>
    </row>
    <row r="297" spans="1:15" ht="38.25" x14ac:dyDescent="0.2">
      <c r="A297" s="197" t="str">
        <f t="shared" si="4"/>
        <v>ChxCode_chan068Y</v>
      </c>
      <c r="B297" s="409"/>
      <c r="C297" s="416"/>
      <c r="D297" s="198" t="s">
        <v>18019</v>
      </c>
      <c r="E297" s="198">
        <v>196</v>
      </c>
      <c r="F297" s="199" t="s">
        <v>18020</v>
      </c>
      <c r="G297" s="1" t="s">
        <v>18021</v>
      </c>
      <c r="H297" s="1" t="s">
        <v>16716</v>
      </c>
      <c r="I297" s="346"/>
      <c r="J297" s="39">
        <v>117171</v>
      </c>
      <c r="K297" s="36" t="str">
        <f>CONCATENATE(Cover!$D$6,"fdd/view?i=",J297)</f>
        <v>https://www.dgiwg.org/FAD/fdd/view?i=117171</v>
      </c>
      <c r="L297" s="36" t="s">
        <v>18022</v>
      </c>
      <c r="M297" s="186"/>
      <c r="N297" s="186"/>
      <c r="O297" s="13" t="s">
        <v>18018</v>
      </c>
    </row>
    <row r="298" spans="1:15" ht="38.25" x14ac:dyDescent="0.2">
      <c r="A298" s="197" t="str">
        <f t="shared" si="4"/>
        <v>ChxCode_chan069X</v>
      </c>
      <c r="B298" s="409"/>
      <c r="C298" s="416"/>
      <c r="D298" s="198" t="s">
        <v>18024</v>
      </c>
      <c r="E298" s="198">
        <v>197</v>
      </c>
      <c r="F298" s="199" t="s">
        <v>18025</v>
      </c>
      <c r="G298" s="1" t="s">
        <v>18026</v>
      </c>
      <c r="H298" s="1" t="s">
        <v>16716</v>
      </c>
      <c r="I298" s="346"/>
      <c r="J298" s="39">
        <v>117172</v>
      </c>
      <c r="K298" s="36" t="str">
        <f>CONCATENATE(Cover!$D$6,"fdd/view?i=",J298)</f>
        <v>https://www.dgiwg.org/FAD/fdd/view?i=117172</v>
      </c>
      <c r="L298" s="36" t="s">
        <v>18027</v>
      </c>
      <c r="M298" s="186"/>
      <c r="N298" s="186"/>
      <c r="O298" s="13" t="s">
        <v>18023</v>
      </c>
    </row>
    <row r="299" spans="1:15" ht="38.25" x14ac:dyDescent="0.2">
      <c r="A299" s="197" t="str">
        <f t="shared" si="4"/>
        <v>ChxCode_chan069Y</v>
      </c>
      <c r="B299" s="409"/>
      <c r="C299" s="416"/>
      <c r="D299" s="198" t="s">
        <v>18029</v>
      </c>
      <c r="E299" s="198">
        <v>198</v>
      </c>
      <c r="F299" s="199" t="s">
        <v>18030</v>
      </c>
      <c r="G299" s="1" t="s">
        <v>18031</v>
      </c>
      <c r="H299" s="1" t="s">
        <v>16716</v>
      </c>
      <c r="I299" s="346"/>
      <c r="J299" s="39">
        <v>117173</v>
      </c>
      <c r="K299" s="36" t="str">
        <f>CONCATENATE(Cover!$D$6,"fdd/view?i=",J299)</f>
        <v>https://www.dgiwg.org/FAD/fdd/view?i=117173</v>
      </c>
      <c r="L299" s="36" t="s">
        <v>18032</v>
      </c>
      <c r="M299" s="186"/>
      <c r="N299" s="186"/>
      <c r="O299" s="13" t="s">
        <v>18028</v>
      </c>
    </row>
    <row r="300" spans="1:15" ht="38.25" x14ac:dyDescent="0.2">
      <c r="A300" s="197" t="str">
        <f t="shared" si="4"/>
        <v>ChxCode_chan070X</v>
      </c>
      <c r="B300" s="409"/>
      <c r="C300" s="416"/>
      <c r="D300" s="198" t="s">
        <v>18044</v>
      </c>
      <c r="E300" s="198">
        <v>199</v>
      </c>
      <c r="F300" s="199" t="s">
        <v>18045</v>
      </c>
      <c r="G300" s="1" t="s">
        <v>18046</v>
      </c>
      <c r="H300" s="1" t="s">
        <v>16716</v>
      </c>
      <c r="I300" s="346"/>
      <c r="J300" s="39">
        <v>117174</v>
      </c>
      <c r="K300" s="36" t="str">
        <f>CONCATENATE(Cover!$D$6,"fdd/view?i=",J300)</f>
        <v>https://www.dgiwg.org/FAD/fdd/view?i=117174</v>
      </c>
      <c r="L300" s="36" t="s">
        <v>18047</v>
      </c>
      <c r="M300" s="186"/>
      <c r="N300" s="186"/>
      <c r="O300" s="13" t="s">
        <v>18043</v>
      </c>
    </row>
    <row r="301" spans="1:15" ht="38.25" x14ac:dyDescent="0.2">
      <c r="A301" s="197" t="str">
        <f t="shared" si="4"/>
        <v>ChxCode_chan070Y</v>
      </c>
      <c r="B301" s="409"/>
      <c r="C301" s="416"/>
      <c r="D301" s="198" t="s">
        <v>18049</v>
      </c>
      <c r="E301" s="198">
        <v>200</v>
      </c>
      <c r="F301" s="199" t="s">
        <v>18050</v>
      </c>
      <c r="G301" s="1" t="s">
        <v>18051</v>
      </c>
      <c r="H301" s="1" t="s">
        <v>16716</v>
      </c>
      <c r="I301" s="346"/>
      <c r="J301" s="39">
        <v>117175</v>
      </c>
      <c r="K301" s="36" t="str">
        <f>CONCATENATE(Cover!$D$6,"fdd/view?i=",J301)</f>
        <v>https://www.dgiwg.org/FAD/fdd/view?i=117175</v>
      </c>
      <c r="L301" s="36" t="s">
        <v>18052</v>
      </c>
      <c r="M301" s="186"/>
      <c r="N301" s="186"/>
      <c r="O301" s="13" t="s">
        <v>18048</v>
      </c>
    </row>
    <row r="302" spans="1:15" ht="38.25" x14ac:dyDescent="0.2">
      <c r="A302" s="197" t="str">
        <f t="shared" si="4"/>
        <v>ChxCode_chan071X</v>
      </c>
      <c r="B302" s="409"/>
      <c r="C302" s="416"/>
      <c r="D302" s="198" t="s">
        <v>18054</v>
      </c>
      <c r="E302" s="198">
        <v>201</v>
      </c>
      <c r="F302" s="199" t="s">
        <v>18055</v>
      </c>
      <c r="G302" s="1" t="s">
        <v>18056</v>
      </c>
      <c r="H302" s="1" t="s">
        <v>16716</v>
      </c>
      <c r="I302" s="346"/>
      <c r="J302" s="39">
        <v>117176</v>
      </c>
      <c r="K302" s="36" t="str">
        <f>CONCATENATE(Cover!$D$6,"fdd/view?i=",J302)</f>
        <v>https://www.dgiwg.org/FAD/fdd/view?i=117176</v>
      </c>
      <c r="L302" s="36" t="s">
        <v>18057</v>
      </c>
      <c r="M302" s="186"/>
      <c r="N302" s="186"/>
      <c r="O302" s="13" t="s">
        <v>18053</v>
      </c>
    </row>
    <row r="303" spans="1:15" ht="38.25" x14ac:dyDescent="0.2">
      <c r="A303" s="197" t="str">
        <f t="shared" si="4"/>
        <v>ChxCode_chan071Y</v>
      </c>
      <c r="B303" s="409"/>
      <c r="C303" s="416"/>
      <c r="D303" s="198" t="s">
        <v>18059</v>
      </c>
      <c r="E303" s="198">
        <v>202</v>
      </c>
      <c r="F303" s="199" t="s">
        <v>18060</v>
      </c>
      <c r="G303" s="1" t="s">
        <v>18061</v>
      </c>
      <c r="H303" s="1" t="s">
        <v>16716</v>
      </c>
      <c r="I303" s="346"/>
      <c r="J303" s="39">
        <v>117177</v>
      </c>
      <c r="K303" s="36" t="str">
        <f>CONCATENATE(Cover!$D$6,"fdd/view?i=",J303)</f>
        <v>https://www.dgiwg.org/FAD/fdd/view?i=117177</v>
      </c>
      <c r="L303" s="36" t="s">
        <v>18062</v>
      </c>
      <c r="M303" s="186"/>
      <c r="N303" s="186"/>
      <c r="O303" s="13" t="s">
        <v>18058</v>
      </c>
    </row>
    <row r="304" spans="1:15" ht="38.25" x14ac:dyDescent="0.2">
      <c r="A304" s="197" t="str">
        <f t="shared" si="4"/>
        <v>ChxCode_chan072X</v>
      </c>
      <c r="B304" s="409"/>
      <c r="C304" s="416"/>
      <c r="D304" s="198" t="s">
        <v>18064</v>
      </c>
      <c r="E304" s="198">
        <v>203</v>
      </c>
      <c r="F304" s="199" t="s">
        <v>18065</v>
      </c>
      <c r="G304" s="1" t="s">
        <v>18066</v>
      </c>
      <c r="H304" s="1" t="s">
        <v>16716</v>
      </c>
      <c r="I304" s="346"/>
      <c r="J304" s="39">
        <v>117178</v>
      </c>
      <c r="K304" s="36" t="str">
        <f>CONCATENATE(Cover!$D$6,"fdd/view?i=",J304)</f>
        <v>https://www.dgiwg.org/FAD/fdd/view?i=117178</v>
      </c>
      <c r="L304" s="36" t="s">
        <v>18067</v>
      </c>
      <c r="M304" s="186"/>
      <c r="N304" s="186"/>
      <c r="O304" s="13" t="s">
        <v>18063</v>
      </c>
    </row>
    <row r="305" spans="1:15" ht="38.25" x14ac:dyDescent="0.2">
      <c r="A305" s="197" t="str">
        <f t="shared" si="4"/>
        <v>ChxCode_chan072Y</v>
      </c>
      <c r="B305" s="409"/>
      <c r="C305" s="416"/>
      <c r="D305" s="198" t="s">
        <v>18069</v>
      </c>
      <c r="E305" s="198">
        <v>204</v>
      </c>
      <c r="F305" s="199" t="s">
        <v>18070</v>
      </c>
      <c r="G305" s="1" t="s">
        <v>18071</v>
      </c>
      <c r="H305" s="1" t="s">
        <v>16716</v>
      </c>
      <c r="I305" s="346"/>
      <c r="J305" s="39">
        <v>117179</v>
      </c>
      <c r="K305" s="36" t="str">
        <f>CONCATENATE(Cover!$D$6,"fdd/view?i=",J305)</f>
        <v>https://www.dgiwg.org/FAD/fdd/view?i=117179</v>
      </c>
      <c r="L305" s="36" t="s">
        <v>18072</v>
      </c>
      <c r="M305" s="186"/>
      <c r="N305" s="186"/>
      <c r="O305" s="13" t="s">
        <v>18068</v>
      </c>
    </row>
    <row r="306" spans="1:15" ht="38.25" x14ac:dyDescent="0.2">
      <c r="A306" s="197" t="str">
        <f t="shared" si="4"/>
        <v>ChxCode_chan073X</v>
      </c>
      <c r="B306" s="409"/>
      <c r="C306" s="416"/>
      <c r="D306" s="198" t="s">
        <v>18074</v>
      </c>
      <c r="E306" s="198">
        <v>205</v>
      </c>
      <c r="F306" s="199" t="s">
        <v>18075</v>
      </c>
      <c r="G306" s="1" t="s">
        <v>18076</v>
      </c>
      <c r="H306" s="1" t="s">
        <v>16716</v>
      </c>
      <c r="I306" s="346"/>
      <c r="J306" s="39">
        <v>117180</v>
      </c>
      <c r="K306" s="36" t="str">
        <f>CONCATENATE(Cover!$D$6,"fdd/view?i=",J306)</f>
        <v>https://www.dgiwg.org/FAD/fdd/view?i=117180</v>
      </c>
      <c r="L306" s="36" t="s">
        <v>18077</v>
      </c>
      <c r="M306" s="186"/>
      <c r="N306" s="186"/>
      <c r="O306" s="13" t="s">
        <v>18073</v>
      </c>
    </row>
    <row r="307" spans="1:15" ht="38.25" x14ac:dyDescent="0.2">
      <c r="A307" s="197" t="str">
        <f t="shared" si="4"/>
        <v>ChxCode_chan073Y</v>
      </c>
      <c r="B307" s="409"/>
      <c r="C307" s="416"/>
      <c r="D307" s="198" t="s">
        <v>18079</v>
      </c>
      <c r="E307" s="198">
        <v>206</v>
      </c>
      <c r="F307" s="199" t="s">
        <v>18080</v>
      </c>
      <c r="G307" s="1" t="s">
        <v>18081</v>
      </c>
      <c r="H307" s="1" t="s">
        <v>16716</v>
      </c>
      <c r="I307" s="346"/>
      <c r="J307" s="39">
        <v>117181</v>
      </c>
      <c r="K307" s="36" t="str">
        <f>CONCATENATE(Cover!$D$6,"fdd/view?i=",J307)</f>
        <v>https://www.dgiwg.org/FAD/fdd/view?i=117181</v>
      </c>
      <c r="L307" s="36" t="s">
        <v>18082</v>
      </c>
      <c r="M307" s="186"/>
      <c r="N307" s="186"/>
      <c r="O307" s="13" t="s">
        <v>18078</v>
      </c>
    </row>
    <row r="308" spans="1:15" ht="38.25" x14ac:dyDescent="0.2">
      <c r="A308" s="197" t="str">
        <f t="shared" si="4"/>
        <v>ChxCode_chan074X</v>
      </c>
      <c r="B308" s="409"/>
      <c r="C308" s="416"/>
      <c r="D308" s="198" t="s">
        <v>18084</v>
      </c>
      <c r="E308" s="198">
        <v>207</v>
      </c>
      <c r="F308" s="199" t="s">
        <v>18085</v>
      </c>
      <c r="G308" s="1" t="s">
        <v>18086</v>
      </c>
      <c r="H308" s="1" t="s">
        <v>16716</v>
      </c>
      <c r="I308" s="346"/>
      <c r="J308" s="39">
        <v>117182</v>
      </c>
      <c r="K308" s="36" t="str">
        <f>CONCATENATE(Cover!$D$6,"fdd/view?i=",J308)</f>
        <v>https://www.dgiwg.org/FAD/fdd/view?i=117182</v>
      </c>
      <c r="L308" s="36" t="s">
        <v>18087</v>
      </c>
      <c r="M308" s="186"/>
      <c r="N308" s="186"/>
      <c r="O308" s="13" t="s">
        <v>18083</v>
      </c>
    </row>
    <row r="309" spans="1:15" ht="38.25" x14ac:dyDescent="0.2">
      <c r="A309" s="197" t="str">
        <f t="shared" si="4"/>
        <v>ChxCode_chan074Y</v>
      </c>
      <c r="B309" s="409"/>
      <c r="C309" s="416"/>
      <c r="D309" s="198" t="s">
        <v>18089</v>
      </c>
      <c r="E309" s="198">
        <v>208</v>
      </c>
      <c r="F309" s="199" t="s">
        <v>18090</v>
      </c>
      <c r="G309" s="1" t="s">
        <v>18091</v>
      </c>
      <c r="H309" s="1" t="s">
        <v>16716</v>
      </c>
      <c r="I309" s="346"/>
      <c r="J309" s="39">
        <v>117183</v>
      </c>
      <c r="K309" s="36" t="str">
        <f>CONCATENATE(Cover!$D$6,"fdd/view?i=",J309)</f>
        <v>https://www.dgiwg.org/FAD/fdd/view?i=117183</v>
      </c>
      <c r="L309" s="36" t="s">
        <v>18092</v>
      </c>
      <c r="M309" s="186"/>
      <c r="N309" s="186"/>
      <c r="O309" s="13" t="s">
        <v>18088</v>
      </c>
    </row>
    <row r="310" spans="1:15" ht="38.25" x14ac:dyDescent="0.2">
      <c r="A310" s="197" t="str">
        <f t="shared" si="4"/>
        <v>ChxCode_chan075X</v>
      </c>
      <c r="B310" s="409"/>
      <c r="C310" s="416"/>
      <c r="D310" s="198" t="s">
        <v>18094</v>
      </c>
      <c r="E310" s="198">
        <v>209</v>
      </c>
      <c r="F310" s="199" t="s">
        <v>18095</v>
      </c>
      <c r="G310" s="1" t="s">
        <v>18096</v>
      </c>
      <c r="H310" s="1" t="s">
        <v>16716</v>
      </c>
      <c r="I310" s="346"/>
      <c r="J310" s="39">
        <v>117184</v>
      </c>
      <c r="K310" s="36" t="str">
        <f>CONCATENATE(Cover!$D$6,"fdd/view?i=",J310)</f>
        <v>https://www.dgiwg.org/FAD/fdd/view?i=117184</v>
      </c>
      <c r="L310" s="36" t="s">
        <v>18097</v>
      </c>
      <c r="M310" s="186"/>
      <c r="N310" s="186"/>
      <c r="O310" s="13" t="s">
        <v>18093</v>
      </c>
    </row>
    <row r="311" spans="1:15" ht="38.25" x14ac:dyDescent="0.2">
      <c r="A311" s="197" t="str">
        <f t="shared" si="4"/>
        <v>ChxCode_chan075Y</v>
      </c>
      <c r="B311" s="409"/>
      <c r="C311" s="416"/>
      <c r="D311" s="198" t="s">
        <v>18099</v>
      </c>
      <c r="E311" s="198">
        <v>210</v>
      </c>
      <c r="F311" s="199" t="s">
        <v>18100</v>
      </c>
      <c r="G311" s="1" t="s">
        <v>18101</v>
      </c>
      <c r="H311" s="1" t="s">
        <v>16716</v>
      </c>
      <c r="I311" s="346"/>
      <c r="J311" s="39">
        <v>117185</v>
      </c>
      <c r="K311" s="36" t="str">
        <f>CONCATENATE(Cover!$D$6,"fdd/view?i=",J311)</f>
        <v>https://www.dgiwg.org/FAD/fdd/view?i=117185</v>
      </c>
      <c r="L311" s="36" t="s">
        <v>18102</v>
      </c>
      <c r="M311" s="186"/>
      <c r="N311" s="186"/>
      <c r="O311" s="13" t="s">
        <v>18098</v>
      </c>
    </row>
    <row r="312" spans="1:15" ht="38.25" x14ac:dyDescent="0.2">
      <c r="A312" s="197" t="str">
        <f t="shared" si="4"/>
        <v>ChxCode_chan076X</v>
      </c>
      <c r="B312" s="409"/>
      <c r="C312" s="416"/>
      <c r="D312" s="198" t="s">
        <v>18104</v>
      </c>
      <c r="E312" s="198">
        <v>211</v>
      </c>
      <c r="F312" s="199" t="s">
        <v>18105</v>
      </c>
      <c r="G312" s="1" t="s">
        <v>18106</v>
      </c>
      <c r="H312" s="1" t="s">
        <v>16716</v>
      </c>
      <c r="I312" s="346"/>
      <c r="J312" s="39">
        <v>117186</v>
      </c>
      <c r="K312" s="36" t="str">
        <f>CONCATENATE(Cover!$D$6,"fdd/view?i=",J312)</f>
        <v>https://www.dgiwg.org/FAD/fdd/view?i=117186</v>
      </c>
      <c r="L312" s="36" t="s">
        <v>18107</v>
      </c>
      <c r="M312" s="186"/>
      <c r="N312" s="186"/>
      <c r="O312" s="13" t="s">
        <v>18103</v>
      </c>
    </row>
    <row r="313" spans="1:15" ht="38.25" x14ac:dyDescent="0.2">
      <c r="A313" s="197" t="str">
        <f t="shared" si="4"/>
        <v>ChxCode_chan076Y</v>
      </c>
      <c r="B313" s="409"/>
      <c r="C313" s="416"/>
      <c r="D313" s="198" t="s">
        <v>18109</v>
      </c>
      <c r="E313" s="198">
        <v>212</v>
      </c>
      <c r="F313" s="199" t="s">
        <v>18110</v>
      </c>
      <c r="G313" s="1" t="s">
        <v>18111</v>
      </c>
      <c r="H313" s="1" t="s">
        <v>16716</v>
      </c>
      <c r="I313" s="346"/>
      <c r="J313" s="39">
        <v>117187</v>
      </c>
      <c r="K313" s="36" t="str">
        <f>CONCATENATE(Cover!$D$6,"fdd/view?i=",J313)</f>
        <v>https://www.dgiwg.org/FAD/fdd/view?i=117187</v>
      </c>
      <c r="L313" s="36" t="s">
        <v>18112</v>
      </c>
      <c r="M313" s="186"/>
      <c r="N313" s="186"/>
      <c r="O313" s="13" t="s">
        <v>18108</v>
      </c>
    </row>
    <row r="314" spans="1:15" ht="38.25" x14ac:dyDescent="0.2">
      <c r="A314" s="197" t="str">
        <f t="shared" si="4"/>
        <v>ChxCode_chan077X</v>
      </c>
      <c r="B314" s="409"/>
      <c r="C314" s="416"/>
      <c r="D314" s="198" t="s">
        <v>18114</v>
      </c>
      <c r="E314" s="198">
        <v>213</v>
      </c>
      <c r="F314" s="199" t="s">
        <v>18115</v>
      </c>
      <c r="G314" s="1" t="s">
        <v>18116</v>
      </c>
      <c r="H314" s="1" t="s">
        <v>16716</v>
      </c>
      <c r="I314" s="346"/>
      <c r="J314" s="39">
        <v>117188</v>
      </c>
      <c r="K314" s="36" t="str">
        <f>CONCATENATE(Cover!$D$6,"fdd/view?i=",J314)</f>
        <v>https://www.dgiwg.org/FAD/fdd/view?i=117188</v>
      </c>
      <c r="L314" s="36" t="s">
        <v>18117</v>
      </c>
      <c r="M314" s="186"/>
      <c r="N314" s="186"/>
      <c r="O314" s="13" t="s">
        <v>18113</v>
      </c>
    </row>
    <row r="315" spans="1:15" ht="38.25" x14ac:dyDescent="0.2">
      <c r="A315" s="197" t="str">
        <f t="shared" si="4"/>
        <v>ChxCode_chan077Y</v>
      </c>
      <c r="B315" s="409"/>
      <c r="C315" s="416"/>
      <c r="D315" s="198" t="s">
        <v>18119</v>
      </c>
      <c r="E315" s="198">
        <v>214</v>
      </c>
      <c r="F315" s="199" t="s">
        <v>18120</v>
      </c>
      <c r="G315" s="1" t="s">
        <v>18121</v>
      </c>
      <c r="H315" s="1" t="s">
        <v>16716</v>
      </c>
      <c r="I315" s="346"/>
      <c r="J315" s="39">
        <v>117189</v>
      </c>
      <c r="K315" s="36" t="str">
        <f>CONCATENATE(Cover!$D$6,"fdd/view?i=",J315)</f>
        <v>https://www.dgiwg.org/FAD/fdd/view?i=117189</v>
      </c>
      <c r="L315" s="36" t="s">
        <v>18122</v>
      </c>
      <c r="M315" s="186"/>
      <c r="N315" s="186"/>
      <c r="O315" s="13" t="s">
        <v>18118</v>
      </c>
    </row>
    <row r="316" spans="1:15" ht="38.25" x14ac:dyDescent="0.2">
      <c r="A316" s="197" t="str">
        <f t="shared" si="4"/>
        <v>ChxCode_chan078X</v>
      </c>
      <c r="B316" s="409"/>
      <c r="C316" s="416"/>
      <c r="D316" s="198" t="s">
        <v>18124</v>
      </c>
      <c r="E316" s="198">
        <v>215</v>
      </c>
      <c r="F316" s="199" t="s">
        <v>18125</v>
      </c>
      <c r="G316" s="1" t="s">
        <v>18126</v>
      </c>
      <c r="H316" s="1" t="s">
        <v>16716</v>
      </c>
      <c r="I316" s="346"/>
      <c r="J316" s="39">
        <v>117190</v>
      </c>
      <c r="K316" s="36" t="str">
        <f>CONCATENATE(Cover!$D$6,"fdd/view?i=",J316)</f>
        <v>https://www.dgiwg.org/FAD/fdd/view?i=117190</v>
      </c>
      <c r="L316" s="36" t="s">
        <v>18127</v>
      </c>
      <c r="M316" s="186"/>
      <c r="N316" s="186"/>
      <c r="O316" s="13" t="s">
        <v>18123</v>
      </c>
    </row>
    <row r="317" spans="1:15" ht="38.25" x14ac:dyDescent="0.2">
      <c r="A317" s="197" t="str">
        <f t="shared" si="4"/>
        <v>ChxCode_chan078Y</v>
      </c>
      <c r="B317" s="409"/>
      <c r="C317" s="416"/>
      <c r="D317" s="198" t="s">
        <v>18129</v>
      </c>
      <c r="E317" s="198">
        <v>216</v>
      </c>
      <c r="F317" s="199" t="s">
        <v>18130</v>
      </c>
      <c r="G317" s="1" t="s">
        <v>18131</v>
      </c>
      <c r="H317" s="1" t="s">
        <v>16716</v>
      </c>
      <c r="I317" s="346"/>
      <c r="J317" s="39">
        <v>117191</v>
      </c>
      <c r="K317" s="36" t="str">
        <f>CONCATENATE(Cover!$D$6,"fdd/view?i=",J317)</f>
        <v>https://www.dgiwg.org/FAD/fdd/view?i=117191</v>
      </c>
      <c r="L317" s="36" t="s">
        <v>18132</v>
      </c>
      <c r="M317" s="186"/>
      <c r="N317" s="186"/>
      <c r="O317" s="13" t="s">
        <v>18128</v>
      </c>
    </row>
    <row r="318" spans="1:15" ht="38.25" x14ac:dyDescent="0.2">
      <c r="A318" s="197" t="str">
        <f t="shared" si="4"/>
        <v>ChxCode_chan079X</v>
      </c>
      <c r="B318" s="409"/>
      <c r="C318" s="416"/>
      <c r="D318" s="198" t="s">
        <v>18134</v>
      </c>
      <c r="E318" s="198">
        <v>217</v>
      </c>
      <c r="F318" s="199" t="s">
        <v>18135</v>
      </c>
      <c r="G318" s="1" t="s">
        <v>18136</v>
      </c>
      <c r="H318" s="1" t="s">
        <v>16716</v>
      </c>
      <c r="I318" s="346"/>
      <c r="J318" s="39">
        <v>117192</v>
      </c>
      <c r="K318" s="36" t="str">
        <f>CONCATENATE(Cover!$D$6,"fdd/view?i=",J318)</f>
        <v>https://www.dgiwg.org/FAD/fdd/view?i=117192</v>
      </c>
      <c r="L318" s="36" t="s">
        <v>18137</v>
      </c>
      <c r="M318" s="186"/>
      <c r="N318" s="186"/>
      <c r="O318" s="13" t="s">
        <v>18133</v>
      </c>
    </row>
    <row r="319" spans="1:15" ht="38.25" x14ac:dyDescent="0.2">
      <c r="A319" s="197" t="str">
        <f t="shared" si="4"/>
        <v>ChxCode_chan079Y</v>
      </c>
      <c r="B319" s="409"/>
      <c r="C319" s="416"/>
      <c r="D319" s="198" t="s">
        <v>18139</v>
      </c>
      <c r="E319" s="198">
        <v>218</v>
      </c>
      <c r="F319" s="199" t="s">
        <v>18140</v>
      </c>
      <c r="G319" s="1" t="s">
        <v>18141</v>
      </c>
      <c r="H319" s="1" t="s">
        <v>16716</v>
      </c>
      <c r="I319" s="346"/>
      <c r="J319" s="39">
        <v>117193</v>
      </c>
      <c r="K319" s="36" t="str">
        <f>CONCATENATE(Cover!$D$6,"fdd/view?i=",J319)</f>
        <v>https://www.dgiwg.org/FAD/fdd/view?i=117193</v>
      </c>
      <c r="L319" s="36" t="s">
        <v>18142</v>
      </c>
      <c r="M319" s="186"/>
      <c r="N319" s="186"/>
      <c r="O319" s="13" t="s">
        <v>18138</v>
      </c>
    </row>
    <row r="320" spans="1:15" ht="38.25" x14ac:dyDescent="0.2">
      <c r="A320" s="197" t="str">
        <f t="shared" si="4"/>
        <v>ChxCode_chan080X</v>
      </c>
      <c r="B320" s="409"/>
      <c r="C320" s="416"/>
      <c r="D320" s="198" t="s">
        <v>18154</v>
      </c>
      <c r="E320" s="198">
        <v>219</v>
      </c>
      <c r="F320" s="199" t="s">
        <v>18155</v>
      </c>
      <c r="G320" s="1" t="s">
        <v>18156</v>
      </c>
      <c r="H320" s="1" t="s">
        <v>16716</v>
      </c>
      <c r="I320" s="346"/>
      <c r="J320" s="39">
        <v>117194</v>
      </c>
      <c r="K320" s="36" t="str">
        <f>CONCATENATE(Cover!$D$6,"fdd/view?i=",J320)</f>
        <v>https://www.dgiwg.org/FAD/fdd/view?i=117194</v>
      </c>
      <c r="L320" s="36" t="s">
        <v>18157</v>
      </c>
      <c r="M320" s="186"/>
      <c r="N320" s="186"/>
      <c r="O320" s="13" t="s">
        <v>18153</v>
      </c>
    </row>
    <row r="321" spans="1:15" ht="38.25" x14ac:dyDescent="0.2">
      <c r="A321" s="197" t="str">
        <f t="shared" si="4"/>
        <v>ChxCode_chan080Y</v>
      </c>
      <c r="B321" s="409"/>
      <c r="C321" s="416"/>
      <c r="D321" s="198" t="s">
        <v>18159</v>
      </c>
      <c r="E321" s="198">
        <v>220</v>
      </c>
      <c r="F321" s="199" t="s">
        <v>18160</v>
      </c>
      <c r="G321" s="1" t="s">
        <v>18161</v>
      </c>
      <c r="H321" s="1" t="s">
        <v>16716</v>
      </c>
      <c r="I321" s="346"/>
      <c r="J321" s="39">
        <v>117195</v>
      </c>
      <c r="K321" s="36" t="str">
        <f>CONCATENATE(Cover!$D$6,"fdd/view?i=",J321)</f>
        <v>https://www.dgiwg.org/FAD/fdd/view?i=117195</v>
      </c>
      <c r="L321" s="36" t="s">
        <v>18162</v>
      </c>
      <c r="M321" s="186"/>
      <c r="N321" s="186"/>
      <c r="O321" s="13" t="s">
        <v>18158</v>
      </c>
    </row>
    <row r="322" spans="1:15" ht="38.25" x14ac:dyDescent="0.2">
      <c r="A322" s="197" t="str">
        <f t="shared" ref="A322:A385" si="5">HYPERLINK(K322,L322)</f>
        <v>ChxCode_chan080Z</v>
      </c>
      <c r="B322" s="409"/>
      <c r="C322" s="416"/>
      <c r="D322" s="198" t="s">
        <v>18164</v>
      </c>
      <c r="E322" s="198">
        <v>221</v>
      </c>
      <c r="F322" s="199" t="s">
        <v>18165</v>
      </c>
      <c r="G322" s="1" t="s">
        <v>18166</v>
      </c>
      <c r="H322" s="1" t="s">
        <v>16716</v>
      </c>
      <c r="I322" s="346"/>
      <c r="J322" s="39">
        <v>117196</v>
      </c>
      <c r="K322" s="36" t="str">
        <f>CONCATENATE(Cover!$D$6,"fdd/view?i=",J322)</f>
        <v>https://www.dgiwg.org/FAD/fdd/view?i=117196</v>
      </c>
      <c r="L322" s="36" t="s">
        <v>18167</v>
      </c>
      <c r="M322" s="186"/>
      <c r="N322" s="186"/>
      <c r="O322" s="13" t="s">
        <v>18163</v>
      </c>
    </row>
    <row r="323" spans="1:15" ht="38.25" x14ac:dyDescent="0.2">
      <c r="A323" s="197" t="str">
        <f t="shared" si="5"/>
        <v>ChxCode_chan081X</v>
      </c>
      <c r="B323" s="409"/>
      <c r="C323" s="416"/>
      <c r="D323" s="198" t="s">
        <v>18169</v>
      </c>
      <c r="E323" s="198">
        <v>222</v>
      </c>
      <c r="F323" s="199" t="s">
        <v>18170</v>
      </c>
      <c r="G323" s="1" t="s">
        <v>18171</v>
      </c>
      <c r="H323" s="1" t="s">
        <v>16716</v>
      </c>
      <c r="I323" s="346"/>
      <c r="J323" s="39">
        <v>117197</v>
      </c>
      <c r="K323" s="36" t="str">
        <f>CONCATENATE(Cover!$D$6,"fdd/view?i=",J323)</f>
        <v>https://www.dgiwg.org/FAD/fdd/view?i=117197</v>
      </c>
      <c r="L323" s="36" t="s">
        <v>18172</v>
      </c>
      <c r="M323" s="186"/>
      <c r="N323" s="186"/>
      <c r="O323" s="13" t="s">
        <v>18168</v>
      </c>
    </row>
    <row r="324" spans="1:15" ht="38.25" x14ac:dyDescent="0.2">
      <c r="A324" s="197" t="str">
        <f t="shared" si="5"/>
        <v>ChxCode_chan081Y</v>
      </c>
      <c r="B324" s="409"/>
      <c r="C324" s="416"/>
      <c r="D324" s="198" t="s">
        <v>18174</v>
      </c>
      <c r="E324" s="198">
        <v>223</v>
      </c>
      <c r="F324" s="199" t="s">
        <v>18175</v>
      </c>
      <c r="G324" s="1" t="s">
        <v>18176</v>
      </c>
      <c r="H324" s="1" t="s">
        <v>16716</v>
      </c>
      <c r="I324" s="346"/>
      <c r="J324" s="39">
        <v>117198</v>
      </c>
      <c r="K324" s="36" t="str">
        <f>CONCATENATE(Cover!$D$6,"fdd/view?i=",J324)</f>
        <v>https://www.dgiwg.org/FAD/fdd/view?i=117198</v>
      </c>
      <c r="L324" s="36" t="s">
        <v>18177</v>
      </c>
      <c r="M324" s="186"/>
      <c r="N324" s="186"/>
      <c r="O324" s="13" t="s">
        <v>18173</v>
      </c>
    </row>
    <row r="325" spans="1:15" ht="38.25" x14ac:dyDescent="0.2">
      <c r="A325" s="197" t="str">
        <f t="shared" si="5"/>
        <v>ChxCode_chan081Z</v>
      </c>
      <c r="B325" s="409"/>
      <c r="C325" s="416"/>
      <c r="D325" s="198" t="s">
        <v>18179</v>
      </c>
      <c r="E325" s="198">
        <v>224</v>
      </c>
      <c r="F325" s="199" t="s">
        <v>18180</v>
      </c>
      <c r="G325" s="1" t="s">
        <v>18181</v>
      </c>
      <c r="H325" s="1" t="s">
        <v>16716</v>
      </c>
      <c r="I325" s="346"/>
      <c r="J325" s="39">
        <v>117199</v>
      </c>
      <c r="K325" s="36" t="str">
        <f>CONCATENATE(Cover!$D$6,"fdd/view?i=",J325)</f>
        <v>https://www.dgiwg.org/FAD/fdd/view?i=117199</v>
      </c>
      <c r="L325" s="36" t="s">
        <v>18182</v>
      </c>
      <c r="M325" s="186"/>
      <c r="N325" s="186"/>
      <c r="O325" s="13" t="s">
        <v>18178</v>
      </c>
    </row>
    <row r="326" spans="1:15" ht="38.25" x14ac:dyDescent="0.2">
      <c r="A326" s="197" t="str">
        <f t="shared" si="5"/>
        <v>ChxCode_chan082X</v>
      </c>
      <c r="B326" s="409"/>
      <c r="C326" s="416"/>
      <c r="D326" s="198" t="s">
        <v>18184</v>
      </c>
      <c r="E326" s="198">
        <v>225</v>
      </c>
      <c r="F326" s="199" t="s">
        <v>18185</v>
      </c>
      <c r="G326" s="1" t="s">
        <v>18186</v>
      </c>
      <c r="H326" s="1" t="s">
        <v>16716</v>
      </c>
      <c r="I326" s="346"/>
      <c r="J326" s="39">
        <v>117200</v>
      </c>
      <c r="K326" s="36" t="str">
        <f>CONCATENATE(Cover!$D$6,"fdd/view?i=",J326)</f>
        <v>https://www.dgiwg.org/FAD/fdd/view?i=117200</v>
      </c>
      <c r="L326" s="36" t="s">
        <v>18187</v>
      </c>
      <c r="M326" s="186"/>
      <c r="N326" s="186"/>
      <c r="O326" s="13" t="s">
        <v>18183</v>
      </c>
    </row>
    <row r="327" spans="1:15" ht="38.25" x14ac:dyDescent="0.2">
      <c r="A327" s="197" t="str">
        <f t="shared" si="5"/>
        <v>ChxCode_chan082Y</v>
      </c>
      <c r="B327" s="409"/>
      <c r="C327" s="416"/>
      <c r="D327" s="198" t="s">
        <v>18189</v>
      </c>
      <c r="E327" s="198">
        <v>226</v>
      </c>
      <c r="F327" s="199" t="s">
        <v>18190</v>
      </c>
      <c r="G327" s="1" t="s">
        <v>18191</v>
      </c>
      <c r="H327" s="1" t="s">
        <v>16716</v>
      </c>
      <c r="I327" s="346"/>
      <c r="J327" s="39">
        <v>117201</v>
      </c>
      <c r="K327" s="36" t="str">
        <f>CONCATENATE(Cover!$D$6,"fdd/view?i=",J327)</f>
        <v>https://www.dgiwg.org/FAD/fdd/view?i=117201</v>
      </c>
      <c r="L327" s="36" t="s">
        <v>18192</v>
      </c>
      <c r="M327" s="186"/>
      <c r="N327" s="186"/>
      <c r="O327" s="13" t="s">
        <v>18188</v>
      </c>
    </row>
    <row r="328" spans="1:15" ht="38.25" x14ac:dyDescent="0.2">
      <c r="A328" s="197" t="str">
        <f t="shared" si="5"/>
        <v>ChxCode_chan082Z</v>
      </c>
      <c r="B328" s="409"/>
      <c r="C328" s="416"/>
      <c r="D328" s="198" t="s">
        <v>18194</v>
      </c>
      <c r="E328" s="198">
        <v>227</v>
      </c>
      <c r="F328" s="199" t="s">
        <v>18195</v>
      </c>
      <c r="G328" s="1" t="s">
        <v>18196</v>
      </c>
      <c r="H328" s="1" t="s">
        <v>16716</v>
      </c>
      <c r="I328" s="346"/>
      <c r="J328" s="39">
        <v>117202</v>
      </c>
      <c r="K328" s="36" t="str">
        <f>CONCATENATE(Cover!$D$6,"fdd/view?i=",J328)</f>
        <v>https://www.dgiwg.org/FAD/fdd/view?i=117202</v>
      </c>
      <c r="L328" s="36" t="s">
        <v>18197</v>
      </c>
      <c r="M328" s="186"/>
      <c r="N328" s="186"/>
      <c r="O328" s="13" t="s">
        <v>18193</v>
      </c>
    </row>
    <row r="329" spans="1:15" ht="38.25" x14ac:dyDescent="0.2">
      <c r="A329" s="197" t="str">
        <f t="shared" si="5"/>
        <v>ChxCode_chan083X</v>
      </c>
      <c r="B329" s="409"/>
      <c r="C329" s="416"/>
      <c r="D329" s="198" t="s">
        <v>18199</v>
      </c>
      <c r="E329" s="198">
        <v>228</v>
      </c>
      <c r="F329" s="199" t="s">
        <v>18200</v>
      </c>
      <c r="G329" s="1" t="s">
        <v>18201</v>
      </c>
      <c r="H329" s="1" t="s">
        <v>16716</v>
      </c>
      <c r="I329" s="346"/>
      <c r="J329" s="39">
        <v>117203</v>
      </c>
      <c r="K329" s="36" t="str">
        <f>CONCATENATE(Cover!$D$6,"fdd/view?i=",J329)</f>
        <v>https://www.dgiwg.org/FAD/fdd/view?i=117203</v>
      </c>
      <c r="L329" s="36" t="s">
        <v>18202</v>
      </c>
      <c r="M329" s="186"/>
      <c r="N329" s="186"/>
      <c r="O329" s="13" t="s">
        <v>18198</v>
      </c>
    </row>
    <row r="330" spans="1:15" ht="38.25" x14ac:dyDescent="0.2">
      <c r="A330" s="197" t="str">
        <f t="shared" si="5"/>
        <v>ChxCode_chan083Y</v>
      </c>
      <c r="B330" s="409"/>
      <c r="C330" s="416"/>
      <c r="D330" s="198" t="s">
        <v>18204</v>
      </c>
      <c r="E330" s="198">
        <v>229</v>
      </c>
      <c r="F330" s="199" t="s">
        <v>18205</v>
      </c>
      <c r="G330" s="1" t="s">
        <v>18206</v>
      </c>
      <c r="H330" s="1" t="s">
        <v>16716</v>
      </c>
      <c r="I330" s="346"/>
      <c r="J330" s="39">
        <v>117204</v>
      </c>
      <c r="K330" s="36" t="str">
        <f>CONCATENATE(Cover!$D$6,"fdd/view?i=",J330)</f>
        <v>https://www.dgiwg.org/FAD/fdd/view?i=117204</v>
      </c>
      <c r="L330" s="36" t="s">
        <v>18207</v>
      </c>
      <c r="M330" s="186"/>
      <c r="N330" s="186"/>
      <c r="O330" s="13" t="s">
        <v>18203</v>
      </c>
    </row>
    <row r="331" spans="1:15" ht="38.25" x14ac:dyDescent="0.2">
      <c r="A331" s="197" t="str">
        <f t="shared" si="5"/>
        <v>ChxCode_chan083Z</v>
      </c>
      <c r="B331" s="409"/>
      <c r="C331" s="416"/>
      <c r="D331" s="198" t="s">
        <v>18209</v>
      </c>
      <c r="E331" s="198">
        <v>230</v>
      </c>
      <c r="F331" s="199" t="s">
        <v>18210</v>
      </c>
      <c r="G331" s="1" t="s">
        <v>18211</v>
      </c>
      <c r="H331" s="1" t="s">
        <v>16716</v>
      </c>
      <c r="I331" s="346"/>
      <c r="J331" s="39">
        <v>117205</v>
      </c>
      <c r="K331" s="36" t="str">
        <f>CONCATENATE(Cover!$D$6,"fdd/view?i=",J331)</f>
        <v>https://www.dgiwg.org/FAD/fdd/view?i=117205</v>
      </c>
      <c r="L331" s="36" t="s">
        <v>18212</v>
      </c>
      <c r="M331" s="186"/>
      <c r="N331" s="186"/>
      <c r="O331" s="13" t="s">
        <v>18208</v>
      </c>
    </row>
    <row r="332" spans="1:15" ht="38.25" x14ac:dyDescent="0.2">
      <c r="A332" s="197" t="str">
        <f t="shared" si="5"/>
        <v>ChxCode_chan084X</v>
      </c>
      <c r="B332" s="409"/>
      <c r="C332" s="416"/>
      <c r="D332" s="198" t="s">
        <v>18214</v>
      </c>
      <c r="E332" s="198">
        <v>231</v>
      </c>
      <c r="F332" s="199" t="s">
        <v>18215</v>
      </c>
      <c r="G332" s="1" t="s">
        <v>18216</v>
      </c>
      <c r="H332" s="1" t="s">
        <v>16716</v>
      </c>
      <c r="I332" s="346"/>
      <c r="J332" s="39">
        <v>117206</v>
      </c>
      <c r="K332" s="36" t="str">
        <f>CONCATENATE(Cover!$D$6,"fdd/view?i=",J332)</f>
        <v>https://www.dgiwg.org/FAD/fdd/view?i=117206</v>
      </c>
      <c r="L332" s="36" t="s">
        <v>18217</v>
      </c>
      <c r="M332" s="186"/>
      <c r="N332" s="186"/>
      <c r="O332" s="13" t="s">
        <v>18213</v>
      </c>
    </row>
    <row r="333" spans="1:15" ht="38.25" x14ac:dyDescent="0.2">
      <c r="A333" s="197" t="str">
        <f t="shared" si="5"/>
        <v>ChxCode_chan084Y</v>
      </c>
      <c r="B333" s="409"/>
      <c r="C333" s="416"/>
      <c r="D333" s="198" t="s">
        <v>18219</v>
      </c>
      <c r="E333" s="198">
        <v>232</v>
      </c>
      <c r="F333" s="199" t="s">
        <v>18220</v>
      </c>
      <c r="G333" s="1" t="s">
        <v>18221</v>
      </c>
      <c r="H333" s="1" t="s">
        <v>16716</v>
      </c>
      <c r="I333" s="346"/>
      <c r="J333" s="39">
        <v>117207</v>
      </c>
      <c r="K333" s="36" t="str">
        <f>CONCATENATE(Cover!$D$6,"fdd/view?i=",J333)</f>
        <v>https://www.dgiwg.org/FAD/fdd/view?i=117207</v>
      </c>
      <c r="L333" s="36" t="s">
        <v>18222</v>
      </c>
      <c r="M333" s="186"/>
      <c r="N333" s="186"/>
      <c r="O333" s="13" t="s">
        <v>18218</v>
      </c>
    </row>
    <row r="334" spans="1:15" ht="38.25" x14ac:dyDescent="0.2">
      <c r="A334" s="197" t="str">
        <f t="shared" si="5"/>
        <v>ChxCode_chan084Z</v>
      </c>
      <c r="B334" s="409"/>
      <c r="C334" s="416"/>
      <c r="D334" s="198" t="s">
        <v>18224</v>
      </c>
      <c r="E334" s="198">
        <v>233</v>
      </c>
      <c r="F334" s="199" t="s">
        <v>18225</v>
      </c>
      <c r="G334" s="1" t="s">
        <v>18226</v>
      </c>
      <c r="H334" s="1" t="s">
        <v>16716</v>
      </c>
      <c r="I334" s="346"/>
      <c r="J334" s="39">
        <v>117208</v>
      </c>
      <c r="K334" s="36" t="str">
        <f>CONCATENATE(Cover!$D$6,"fdd/view?i=",J334)</f>
        <v>https://www.dgiwg.org/FAD/fdd/view?i=117208</v>
      </c>
      <c r="L334" s="36" t="s">
        <v>18227</v>
      </c>
      <c r="M334" s="186"/>
      <c r="N334" s="186"/>
      <c r="O334" s="13" t="s">
        <v>18223</v>
      </c>
    </row>
    <row r="335" spans="1:15" ht="38.25" x14ac:dyDescent="0.2">
      <c r="A335" s="197" t="str">
        <f t="shared" si="5"/>
        <v>ChxCode_chan085X</v>
      </c>
      <c r="B335" s="409"/>
      <c r="C335" s="416"/>
      <c r="D335" s="198" t="s">
        <v>18229</v>
      </c>
      <c r="E335" s="198">
        <v>234</v>
      </c>
      <c r="F335" s="199" t="s">
        <v>18230</v>
      </c>
      <c r="G335" s="1" t="s">
        <v>18231</v>
      </c>
      <c r="H335" s="1" t="s">
        <v>16716</v>
      </c>
      <c r="I335" s="346"/>
      <c r="J335" s="39">
        <v>117209</v>
      </c>
      <c r="K335" s="36" t="str">
        <f>CONCATENATE(Cover!$D$6,"fdd/view?i=",J335)</f>
        <v>https://www.dgiwg.org/FAD/fdd/view?i=117209</v>
      </c>
      <c r="L335" s="36" t="s">
        <v>18232</v>
      </c>
      <c r="M335" s="186"/>
      <c r="N335" s="186"/>
      <c r="O335" s="13" t="s">
        <v>18228</v>
      </c>
    </row>
    <row r="336" spans="1:15" ht="38.25" x14ac:dyDescent="0.2">
      <c r="A336" s="197" t="str">
        <f t="shared" si="5"/>
        <v>ChxCode_chan085Y</v>
      </c>
      <c r="B336" s="409"/>
      <c r="C336" s="416"/>
      <c r="D336" s="198" t="s">
        <v>18234</v>
      </c>
      <c r="E336" s="198">
        <v>235</v>
      </c>
      <c r="F336" s="199" t="s">
        <v>18235</v>
      </c>
      <c r="G336" s="1" t="s">
        <v>18236</v>
      </c>
      <c r="H336" s="1" t="s">
        <v>16716</v>
      </c>
      <c r="I336" s="346"/>
      <c r="J336" s="39">
        <v>117210</v>
      </c>
      <c r="K336" s="36" t="str">
        <f>CONCATENATE(Cover!$D$6,"fdd/view?i=",J336)</f>
        <v>https://www.dgiwg.org/FAD/fdd/view?i=117210</v>
      </c>
      <c r="L336" s="36" t="s">
        <v>18237</v>
      </c>
      <c r="M336" s="186"/>
      <c r="N336" s="186"/>
      <c r="O336" s="13" t="s">
        <v>18233</v>
      </c>
    </row>
    <row r="337" spans="1:15" ht="38.25" x14ac:dyDescent="0.2">
      <c r="A337" s="197" t="str">
        <f t="shared" si="5"/>
        <v>ChxCode_chan085Z</v>
      </c>
      <c r="B337" s="409"/>
      <c r="C337" s="416"/>
      <c r="D337" s="198" t="s">
        <v>18239</v>
      </c>
      <c r="E337" s="198">
        <v>236</v>
      </c>
      <c r="F337" s="199" t="s">
        <v>18240</v>
      </c>
      <c r="G337" s="1" t="s">
        <v>18241</v>
      </c>
      <c r="H337" s="1" t="s">
        <v>16716</v>
      </c>
      <c r="I337" s="346"/>
      <c r="J337" s="39">
        <v>117211</v>
      </c>
      <c r="K337" s="36" t="str">
        <f>CONCATENATE(Cover!$D$6,"fdd/view?i=",J337)</f>
        <v>https://www.dgiwg.org/FAD/fdd/view?i=117211</v>
      </c>
      <c r="L337" s="36" t="s">
        <v>18242</v>
      </c>
      <c r="M337" s="186"/>
      <c r="N337" s="186"/>
      <c r="O337" s="13" t="s">
        <v>18238</v>
      </c>
    </row>
    <row r="338" spans="1:15" ht="38.25" x14ac:dyDescent="0.2">
      <c r="A338" s="197" t="str">
        <f t="shared" si="5"/>
        <v>ChxCode_chan086X</v>
      </c>
      <c r="B338" s="409"/>
      <c r="C338" s="416"/>
      <c r="D338" s="198" t="s">
        <v>18244</v>
      </c>
      <c r="E338" s="198">
        <v>237</v>
      </c>
      <c r="F338" s="199" t="s">
        <v>18245</v>
      </c>
      <c r="G338" s="1" t="s">
        <v>18246</v>
      </c>
      <c r="H338" s="1" t="s">
        <v>16716</v>
      </c>
      <c r="I338" s="346"/>
      <c r="J338" s="39">
        <v>117212</v>
      </c>
      <c r="K338" s="36" t="str">
        <f>CONCATENATE(Cover!$D$6,"fdd/view?i=",J338)</f>
        <v>https://www.dgiwg.org/FAD/fdd/view?i=117212</v>
      </c>
      <c r="L338" s="36" t="s">
        <v>18247</v>
      </c>
      <c r="M338" s="186"/>
      <c r="N338" s="186"/>
      <c r="O338" s="13" t="s">
        <v>18243</v>
      </c>
    </row>
    <row r="339" spans="1:15" ht="38.25" x14ac:dyDescent="0.2">
      <c r="A339" s="197" t="str">
        <f t="shared" si="5"/>
        <v>ChxCode_chan086Y</v>
      </c>
      <c r="B339" s="409"/>
      <c r="C339" s="416"/>
      <c r="D339" s="198" t="s">
        <v>18249</v>
      </c>
      <c r="E339" s="198">
        <v>238</v>
      </c>
      <c r="F339" s="199" t="s">
        <v>18250</v>
      </c>
      <c r="G339" s="1" t="s">
        <v>18251</v>
      </c>
      <c r="H339" s="1" t="s">
        <v>16716</v>
      </c>
      <c r="I339" s="346"/>
      <c r="J339" s="39">
        <v>117213</v>
      </c>
      <c r="K339" s="36" t="str">
        <f>CONCATENATE(Cover!$D$6,"fdd/view?i=",J339)</f>
        <v>https://www.dgiwg.org/FAD/fdd/view?i=117213</v>
      </c>
      <c r="L339" s="36" t="s">
        <v>18252</v>
      </c>
      <c r="M339" s="186"/>
      <c r="N339" s="186"/>
      <c r="O339" s="13" t="s">
        <v>18248</v>
      </c>
    </row>
    <row r="340" spans="1:15" ht="38.25" x14ac:dyDescent="0.2">
      <c r="A340" s="197" t="str">
        <f t="shared" si="5"/>
        <v>ChxCode_chan086Z</v>
      </c>
      <c r="B340" s="409"/>
      <c r="C340" s="416"/>
      <c r="D340" s="198" t="s">
        <v>18254</v>
      </c>
      <c r="E340" s="198">
        <v>239</v>
      </c>
      <c r="F340" s="199" t="s">
        <v>18255</v>
      </c>
      <c r="G340" s="1" t="s">
        <v>18256</v>
      </c>
      <c r="H340" s="1" t="s">
        <v>16716</v>
      </c>
      <c r="I340" s="346"/>
      <c r="J340" s="39">
        <v>117214</v>
      </c>
      <c r="K340" s="36" t="str">
        <f>CONCATENATE(Cover!$D$6,"fdd/view?i=",J340)</f>
        <v>https://www.dgiwg.org/FAD/fdd/view?i=117214</v>
      </c>
      <c r="L340" s="36" t="s">
        <v>18257</v>
      </c>
      <c r="M340" s="186"/>
      <c r="N340" s="186"/>
      <c r="O340" s="13" t="s">
        <v>18253</v>
      </c>
    </row>
    <row r="341" spans="1:15" ht="38.25" x14ac:dyDescent="0.2">
      <c r="A341" s="197" t="str">
        <f t="shared" si="5"/>
        <v>ChxCode_chan087X</v>
      </c>
      <c r="B341" s="409"/>
      <c r="C341" s="416"/>
      <c r="D341" s="198" t="s">
        <v>18259</v>
      </c>
      <c r="E341" s="198">
        <v>240</v>
      </c>
      <c r="F341" s="199" t="s">
        <v>18260</v>
      </c>
      <c r="G341" s="1" t="s">
        <v>18261</v>
      </c>
      <c r="H341" s="1" t="s">
        <v>16716</v>
      </c>
      <c r="I341" s="346"/>
      <c r="J341" s="39">
        <v>117215</v>
      </c>
      <c r="K341" s="36" t="str">
        <f>CONCATENATE(Cover!$D$6,"fdd/view?i=",J341)</f>
        <v>https://www.dgiwg.org/FAD/fdd/view?i=117215</v>
      </c>
      <c r="L341" s="36" t="s">
        <v>18262</v>
      </c>
      <c r="M341" s="186"/>
      <c r="N341" s="186"/>
      <c r="O341" s="13" t="s">
        <v>18258</v>
      </c>
    </row>
    <row r="342" spans="1:15" ht="38.25" x14ac:dyDescent="0.2">
      <c r="A342" s="197" t="str">
        <f t="shared" si="5"/>
        <v>ChxCode_chan087Y</v>
      </c>
      <c r="B342" s="409"/>
      <c r="C342" s="416"/>
      <c r="D342" s="198" t="s">
        <v>18264</v>
      </c>
      <c r="E342" s="198">
        <v>241</v>
      </c>
      <c r="F342" s="199" t="s">
        <v>18265</v>
      </c>
      <c r="G342" s="1" t="s">
        <v>18266</v>
      </c>
      <c r="H342" s="1" t="s">
        <v>16716</v>
      </c>
      <c r="I342" s="346"/>
      <c r="J342" s="39">
        <v>117216</v>
      </c>
      <c r="K342" s="36" t="str">
        <f>CONCATENATE(Cover!$D$6,"fdd/view?i=",J342)</f>
        <v>https://www.dgiwg.org/FAD/fdd/view?i=117216</v>
      </c>
      <c r="L342" s="36" t="s">
        <v>18267</v>
      </c>
      <c r="M342" s="186"/>
      <c r="N342" s="186"/>
      <c r="O342" s="13" t="s">
        <v>18263</v>
      </c>
    </row>
    <row r="343" spans="1:15" ht="38.25" x14ac:dyDescent="0.2">
      <c r="A343" s="197" t="str">
        <f t="shared" si="5"/>
        <v>ChxCode_chan087Z</v>
      </c>
      <c r="B343" s="409"/>
      <c r="C343" s="416"/>
      <c r="D343" s="198" t="s">
        <v>18269</v>
      </c>
      <c r="E343" s="198">
        <v>242</v>
      </c>
      <c r="F343" s="199" t="s">
        <v>18270</v>
      </c>
      <c r="G343" s="1" t="s">
        <v>18271</v>
      </c>
      <c r="H343" s="1" t="s">
        <v>16716</v>
      </c>
      <c r="I343" s="346"/>
      <c r="J343" s="39">
        <v>117217</v>
      </c>
      <c r="K343" s="36" t="str">
        <f>CONCATENATE(Cover!$D$6,"fdd/view?i=",J343)</f>
        <v>https://www.dgiwg.org/FAD/fdd/view?i=117217</v>
      </c>
      <c r="L343" s="36" t="s">
        <v>18272</v>
      </c>
      <c r="M343" s="186"/>
      <c r="N343" s="186"/>
      <c r="O343" s="13" t="s">
        <v>18268</v>
      </c>
    </row>
    <row r="344" spans="1:15" ht="38.25" x14ac:dyDescent="0.2">
      <c r="A344" s="197" t="str">
        <f t="shared" si="5"/>
        <v>ChxCode_chan088X</v>
      </c>
      <c r="B344" s="409"/>
      <c r="C344" s="416"/>
      <c r="D344" s="198" t="s">
        <v>18274</v>
      </c>
      <c r="E344" s="198">
        <v>243</v>
      </c>
      <c r="F344" s="199" t="s">
        <v>18275</v>
      </c>
      <c r="G344" s="1" t="s">
        <v>18276</v>
      </c>
      <c r="H344" s="1" t="s">
        <v>16716</v>
      </c>
      <c r="I344" s="346"/>
      <c r="J344" s="39">
        <v>117218</v>
      </c>
      <c r="K344" s="36" t="str">
        <f>CONCATENATE(Cover!$D$6,"fdd/view?i=",J344)</f>
        <v>https://www.dgiwg.org/FAD/fdd/view?i=117218</v>
      </c>
      <c r="L344" s="36" t="s">
        <v>18277</v>
      </c>
      <c r="M344" s="186"/>
      <c r="N344" s="186"/>
      <c r="O344" s="13" t="s">
        <v>18273</v>
      </c>
    </row>
    <row r="345" spans="1:15" ht="38.25" x14ac:dyDescent="0.2">
      <c r="A345" s="197" t="str">
        <f t="shared" si="5"/>
        <v>ChxCode_chan088Y</v>
      </c>
      <c r="B345" s="409"/>
      <c r="C345" s="416"/>
      <c r="D345" s="198" t="s">
        <v>18279</v>
      </c>
      <c r="E345" s="198">
        <v>244</v>
      </c>
      <c r="F345" s="199" t="s">
        <v>18280</v>
      </c>
      <c r="G345" s="1" t="s">
        <v>18281</v>
      </c>
      <c r="H345" s="1" t="s">
        <v>16716</v>
      </c>
      <c r="I345" s="346"/>
      <c r="J345" s="39">
        <v>117219</v>
      </c>
      <c r="K345" s="36" t="str">
        <f>CONCATENATE(Cover!$D$6,"fdd/view?i=",J345)</f>
        <v>https://www.dgiwg.org/FAD/fdd/view?i=117219</v>
      </c>
      <c r="L345" s="36" t="s">
        <v>18282</v>
      </c>
      <c r="M345" s="186"/>
      <c r="N345" s="186"/>
      <c r="O345" s="13" t="s">
        <v>18278</v>
      </c>
    </row>
    <row r="346" spans="1:15" ht="38.25" x14ac:dyDescent="0.2">
      <c r="A346" s="197" t="str">
        <f t="shared" si="5"/>
        <v>ChxCode_chan088Z</v>
      </c>
      <c r="B346" s="409"/>
      <c r="C346" s="416"/>
      <c r="D346" s="198" t="s">
        <v>18284</v>
      </c>
      <c r="E346" s="198">
        <v>245</v>
      </c>
      <c r="F346" s="199" t="s">
        <v>18285</v>
      </c>
      <c r="G346" s="1" t="s">
        <v>18286</v>
      </c>
      <c r="H346" s="1" t="s">
        <v>16716</v>
      </c>
      <c r="I346" s="346"/>
      <c r="J346" s="39">
        <v>117220</v>
      </c>
      <c r="K346" s="36" t="str">
        <f>CONCATENATE(Cover!$D$6,"fdd/view?i=",J346)</f>
        <v>https://www.dgiwg.org/FAD/fdd/view?i=117220</v>
      </c>
      <c r="L346" s="36" t="s">
        <v>18287</v>
      </c>
      <c r="M346" s="186"/>
      <c r="N346" s="186"/>
      <c r="O346" s="13" t="s">
        <v>18283</v>
      </c>
    </row>
    <row r="347" spans="1:15" ht="38.25" x14ac:dyDescent="0.2">
      <c r="A347" s="197" t="str">
        <f t="shared" si="5"/>
        <v>ChxCode_chan089X</v>
      </c>
      <c r="B347" s="409"/>
      <c r="C347" s="416"/>
      <c r="D347" s="198" t="s">
        <v>18289</v>
      </c>
      <c r="E347" s="198">
        <v>246</v>
      </c>
      <c r="F347" s="199" t="s">
        <v>18290</v>
      </c>
      <c r="G347" s="1" t="s">
        <v>18291</v>
      </c>
      <c r="H347" s="1" t="s">
        <v>16716</v>
      </c>
      <c r="I347" s="346"/>
      <c r="J347" s="39">
        <v>117221</v>
      </c>
      <c r="K347" s="36" t="str">
        <f>CONCATENATE(Cover!$D$6,"fdd/view?i=",J347)</f>
        <v>https://www.dgiwg.org/FAD/fdd/view?i=117221</v>
      </c>
      <c r="L347" s="36" t="s">
        <v>18292</v>
      </c>
      <c r="M347" s="186"/>
      <c r="N347" s="186"/>
      <c r="O347" s="13" t="s">
        <v>18288</v>
      </c>
    </row>
    <row r="348" spans="1:15" ht="38.25" x14ac:dyDescent="0.2">
      <c r="A348" s="197" t="str">
        <f t="shared" si="5"/>
        <v>ChxCode_chan089Y</v>
      </c>
      <c r="B348" s="409"/>
      <c r="C348" s="416"/>
      <c r="D348" s="198" t="s">
        <v>18294</v>
      </c>
      <c r="E348" s="198">
        <v>247</v>
      </c>
      <c r="F348" s="199" t="s">
        <v>18295</v>
      </c>
      <c r="G348" s="1" t="s">
        <v>18296</v>
      </c>
      <c r="H348" s="1" t="s">
        <v>16716</v>
      </c>
      <c r="I348" s="346"/>
      <c r="J348" s="39">
        <v>117222</v>
      </c>
      <c r="K348" s="36" t="str">
        <f>CONCATENATE(Cover!$D$6,"fdd/view?i=",J348)</f>
        <v>https://www.dgiwg.org/FAD/fdd/view?i=117222</v>
      </c>
      <c r="L348" s="36" t="s">
        <v>18297</v>
      </c>
      <c r="M348" s="186"/>
      <c r="N348" s="186"/>
      <c r="O348" s="13" t="s">
        <v>18293</v>
      </c>
    </row>
    <row r="349" spans="1:15" ht="38.25" x14ac:dyDescent="0.2">
      <c r="A349" s="197" t="str">
        <f t="shared" si="5"/>
        <v>ChxCode_chan089Z</v>
      </c>
      <c r="B349" s="409"/>
      <c r="C349" s="416"/>
      <c r="D349" s="198" t="s">
        <v>18299</v>
      </c>
      <c r="E349" s="198">
        <v>248</v>
      </c>
      <c r="F349" s="199" t="s">
        <v>18300</v>
      </c>
      <c r="G349" s="1" t="s">
        <v>18301</v>
      </c>
      <c r="H349" s="1" t="s">
        <v>16716</v>
      </c>
      <c r="I349" s="346"/>
      <c r="J349" s="39">
        <v>117223</v>
      </c>
      <c r="K349" s="36" t="str">
        <f>CONCATENATE(Cover!$D$6,"fdd/view?i=",J349)</f>
        <v>https://www.dgiwg.org/FAD/fdd/view?i=117223</v>
      </c>
      <c r="L349" s="36" t="s">
        <v>18302</v>
      </c>
      <c r="M349" s="186"/>
      <c r="N349" s="186"/>
      <c r="O349" s="13" t="s">
        <v>18298</v>
      </c>
    </row>
    <row r="350" spans="1:15" ht="38.25" x14ac:dyDescent="0.2">
      <c r="A350" s="197" t="str">
        <f t="shared" si="5"/>
        <v>ChxCode_chan090X</v>
      </c>
      <c r="B350" s="409"/>
      <c r="C350" s="416"/>
      <c r="D350" s="198" t="s">
        <v>18314</v>
      </c>
      <c r="E350" s="198">
        <v>249</v>
      </c>
      <c r="F350" s="199" t="s">
        <v>18315</v>
      </c>
      <c r="G350" s="1" t="s">
        <v>18316</v>
      </c>
      <c r="H350" s="1" t="s">
        <v>16716</v>
      </c>
      <c r="I350" s="346"/>
      <c r="J350" s="39">
        <v>117224</v>
      </c>
      <c r="K350" s="36" t="str">
        <f>CONCATENATE(Cover!$D$6,"fdd/view?i=",J350)</f>
        <v>https://www.dgiwg.org/FAD/fdd/view?i=117224</v>
      </c>
      <c r="L350" s="36" t="s">
        <v>18317</v>
      </c>
      <c r="M350" s="186"/>
      <c r="N350" s="186"/>
      <c r="O350" s="13" t="s">
        <v>18313</v>
      </c>
    </row>
    <row r="351" spans="1:15" ht="38.25" x14ac:dyDescent="0.2">
      <c r="A351" s="197" t="str">
        <f t="shared" si="5"/>
        <v>ChxCode_chan090Y</v>
      </c>
      <c r="B351" s="409"/>
      <c r="C351" s="416"/>
      <c r="D351" s="198" t="s">
        <v>18319</v>
      </c>
      <c r="E351" s="198">
        <v>250</v>
      </c>
      <c r="F351" s="199" t="s">
        <v>18320</v>
      </c>
      <c r="G351" s="1" t="s">
        <v>18321</v>
      </c>
      <c r="H351" s="1" t="s">
        <v>16716</v>
      </c>
      <c r="I351" s="346"/>
      <c r="J351" s="39">
        <v>117225</v>
      </c>
      <c r="K351" s="36" t="str">
        <f>CONCATENATE(Cover!$D$6,"fdd/view?i=",J351)</f>
        <v>https://www.dgiwg.org/FAD/fdd/view?i=117225</v>
      </c>
      <c r="L351" s="36" t="s">
        <v>18322</v>
      </c>
      <c r="M351" s="186"/>
      <c r="N351" s="186"/>
      <c r="O351" s="13" t="s">
        <v>18318</v>
      </c>
    </row>
    <row r="352" spans="1:15" ht="38.25" x14ac:dyDescent="0.2">
      <c r="A352" s="197" t="str">
        <f t="shared" si="5"/>
        <v>ChxCode_chan090Z</v>
      </c>
      <c r="B352" s="409"/>
      <c r="C352" s="416"/>
      <c r="D352" s="198" t="s">
        <v>18324</v>
      </c>
      <c r="E352" s="198">
        <v>251</v>
      </c>
      <c r="F352" s="199" t="s">
        <v>18325</v>
      </c>
      <c r="G352" s="1" t="s">
        <v>18326</v>
      </c>
      <c r="H352" s="1" t="s">
        <v>16716</v>
      </c>
      <c r="I352" s="346"/>
      <c r="J352" s="39">
        <v>117226</v>
      </c>
      <c r="K352" s="36" t="str">
        <f>CONCATENATE(Cover!$D$6,"fdd/view?i=",J352)</f>
        <v>https://www.dgiwg.org/FAD/fdd/view?i=117226</v>
      </c>
      <c r="L352" s="36" t="s">
        <v>18327</v>
      </c>
      <c r="M352" s="186"/>
      <c r="N352" s="186"/>
      <c r="O352" s="13" t="s">
        <v>18323</v>
      </c>
    </row>
    <row r="353" spans="1:15" ht="38.25" x14ac:dyDescent="0.2">
      <c r="A353" s="197" t="str">
        <f t="shared" si="5"/>
        <v>ChxCode_chan091X</v>
      </c>
      <c r="B353" s="409"/>
      <c r="C353" s="416"/>
      <c r="D353" s="198" t="s">
        <v>18329</v>
      </c>
      <c r="E353" s="198">
        <v>252</v>
      </c>
      <c r="F353" s="199" t="s">
        <v>18330</v>
      </c>
      <c r="G353" s="1" t="s">
        <v>18331</v>
      </c>
      <c r="H353" s="1" t="s">
        <v>16716</v>
      </c>
      <c r="I353" s="346"/>
      <c r="J353" s="39">
        <v>117227</v>
      </c>
      <c r="K353" s="36" t="str">
        <f>CONCATENATE(Cover!$D$6,"fdd/view?i=",J353)</f>
        <v>https://www.dgiwg.org/FAD/fdd/view?i=117227</v>
      </c>
      <c r="L353" s="36" t="s">
        <v>18332</v>
      </c>
      <c r="M353" s="186"/>
      <c r="N353" s="186"/>
      <c r="O353" s="13" t="s">
        <v>18328</v>
      </c>
    </row>
    <row r="354" spans="1:15" ht="38.25" x14ac:dyDescent="0.2">
      <c r="A354" s="197" t="str">
        <f t="shared" si="5"/>
        <v>ChxCode_chan091Y</v>
      </c>
      <c r="B354" s="409"/>
      <c r="C354" s="416"/>
      <c r="D354" s="198" t="s">
        <v>18334</v>
      </c>
      <c r="E354" s="198">
        <v>253</v>
      </c>
      <c r="F354" s="199" t="s">
        <v>18335</v>
      </c>
      <c r="G354" s="1" t="s">
        <v>18336</v>
      </c>
      <c r="H354" s="1" t="s">
        <v>16716</v>
      </c>
      <c r="I354" s="346"/>
      <c r="J354" s="39">
        <v>117228</v>
      </c>
      <c r="K354" s="36" t="str">
        <f>CONCATENATE(Cover!$D$6,"fdd/view?i=",J354)</f>
        <v>https://www.dgiwg.org/FAD/fdd/view?i=117228</v>
      </c>
      <c r="L354" s="36" t="s">
        <v>18337</v>
      </c>
      <c r="M354" s="186"/>
      <c r="N354" s="186"/>
      <c r="O354" s="13" t="s">
        <v>18333</v>
      </c>
    </row>
    <row r="355" spans="1:15" ht="38.25" x14ac:dyDescent="0.2">
      <c r="A355" s="197" t="str">
        <f t="shared" si="5"/>
        <v>ChxCode_chan091Z</v>
      </c>
      <c r="B355" s="409"/>
      <c r="C355" s="416"/>
      <c r="D355" s="198" t="s">
        <v>18339</v>
      </c>
      <c r="E355" s="198">
        <v>254</v>
      </c>
      <c r="F355" s="199" t="s">
        <v>18340</v>
      </c>
      <c r="G355" s="1" t="s">
        <v>18341</v>
      </c>
      <c r="H355" s="1" t="s">
        <v>16716</v>
      </c>
      <c r="I355" s="346"/>
      <c r="J355" s="39">
        <v>117229</v>
      </c>
      <c r="K355" s="36" t="str">
        <f>CONCATENATE(Cover!$D$6,"fdd/view?i=",J355)</f>
        <v>https://www.dgiwg.org/FAD/fdd/view?i=117229</v>
      </c>
      <c r="L355" s="36" t="s">
        <v>18342</v>
      </c>
      <c r="M355" s="186"/>
      <c r="N355" s="186"/>
      <c r="O355" s="13" t="s">
        <v>18338</v>
      </c>
    </row>
    <row r="356" spans="1:15" ht="38.25" x14ac:dyDescent="0.2">
      <c r="A356" s="197" t="str">
        <f t="shared" si="5"/>
        <v>ChxCode_chan092X</v>
      </c>
      <c r="B356" s="409"/>
      <c r="C356" s="416"/>
      <c r="D356" s="198" t="s">
        <v>18344</v>
      </c>
      <c r="E356" s="198">
        <v>255</v>
      </c>
      <c r="F356" s="199" t="s">
        <v>18345</v>
      </c>
      <c r="G356" s="1" t="s">
        <v>18346</v>
      </c>
      <c r="H356" s="1" t="s">
        <v>16716</v>
      </c>
      <c r="I356" s="346"/>
      <c r="J356" s="39">
        <v>117230</v>
      </c>
      <c r="K356" s="36" t="str">
        <f>CONCATENATE(Cover!$D$6,"fdd/view?i=",J356)</f>
        <v>https://www.dgiwg.org/FAD/fdd/view?i=117230</v>
      </c>
      <c r="L356" s="36" t="s">
        <v>18347</v>
      </c>
      <c r="M356" s="186"/>
      <c r="N356" s="186"/>
      <c r="O356" s="13" t="s">
        <v>18343</v>
      </c>
    </row>
    <row r="357" spans="1:15" ht="38.25" x14ac:dyDescent="0.2">
      <c r="A357" s="197" t="str">
        <f t="shared" si="5"/>
        <v>ChxCode_chan092Y</v>
      </c>
      <c r="B357" s="409"/>
      <c r="C357" s="416"/>
      <c r="D357" s="198" t="s">
        <v>18349</v>
      </c>
      <c r="E357" s="198">
        <v>256</v>
      </c>
      <c r="F357" s="199" t="s">
        <v>18350</v>
      </c>
      <c r="G357" s="1" t="s">
        <v>18351</v>
      </c>
      <c r="H357" s="1" t="s">
        <v>16716</v>
      </c>
      <c r="I357" s="346"/>
      <c r="J357" s="39">
        <v>117231</v>
      </c>
      <c r="K357" s="36" t="str">
        <f>CONCATENATE(Cover!$D$6,"fdd/view?i=",J357)</f>
        <v>https://www.dgiwg.org/FAD/fdd/view?i=117231</v>
      </c>
      <c r="L357" s="36" t="s">
        <v>18352</v>
      </c>
      <c r="M357" s="186"/>
      <c r="N357" s="186"/>
      <c r="O357" s="13" t="s">
        <v>18348</v>
      </c>
    </row>
    <row r="358" spans="1:15" ht="38.25" x14ac:dyDescent="0.2">
      <c r="A358" s="197" t="str">
        <f t="shared" si="5"/>
        <v>ChxCode_chan092Z</v>
      </c>
      <c r="B358" s="409"/>
      <c r="C358" s="416"/>
      <c r="D358" s="198" t="s">
        <v>18354</v>
      </c>
      <c r="E358" s="198">
        <v>257</v>
      </c>
      <c r="F358" s="199" t="s">
        <v>18355</v>
      </c>
      <c r="G358" s="1" t="s">
        <v>18356</v>
      </c>
      <c r="H358" s="1" t="s">
        <v>16716</v>
      </c>
      <c r="I358" s="346"/>
      <c r="J358" s="39">
        <v>117232</v>
      </c>
      <c r="K358" s="36" t="str">
        <f>CONCATENATE(Cover!$D$6,"fdd/view?i=",J358)</f>
        <v>https://www.dgiwg.org/FAD/fdd/view?i=117232</v>
      </c>
      <c r="L358" s="36" t="s">
        <v>18357</v>
      </c>
      <c r="M358" s="186"/>
      <c r="N358" s="186"/>
      <c r="O358" s="13" t="s">
        <v>18353</v>
      </c>
    </row>
    <row r="359" spans="1:15" ht="38.25" x14ac:dyDescent="0.2">
      <c r="A359" s="197" t="str">
        <f t="shared" si="5"/>
        <v>ChxCode_chan093X</v>
      </c>
      <c r="B359" s="409"/>
      <c r="C359" s="416"/>
      <c r="D359" s="198" t="s">
        <v>18359</v>
      </c>
      <c r="E359" s="198">
        <v>258</v>
      </c>
      <c r="F359" s="199" t="s">
        <v>18360</v>
      </c>
      <c r="G359" s="1" t="s">
        <v>18361</v>
      </c>
      <c r="H359" s="1" t="s">
        <v>16716</v>
      </c>
      <c r="I359" s="346"/>
      <c r="J359" s="39">
        <v>117233</v>
      </c>
      <c r="K359" s="36" t="str">
        <f>CONCATENATE(Cover!$D$6,"fdd/view?i=",J359)</f>
        <v>https://www.dgiwg.org/FAD/fdd/view?i=117233</v>
      </c>
      <c r="L359" s="36" t="s">
        <v>18362</v>
      </c>
      <c r="M359" s="186"/>
      <c r="N359" s="186"/>
      <c r="O359" s="13" t="s">
        <v>18358</v>
      </c>
    </row>
    <row r="360" spans="1:15" ht="38.25" x14ac:dyDescent="0.2">
      <c r="A360" s="197" t="str">
        <f t="shared" si="5"/>
        <v>ChxCode_chan093Y</v>
      </c>
      <c r="B360" s="409"/>
      <c r="C360" s="416"/>
      <c r="D360" s="198" t="s">
        <v>18364</v>
      </c>
      <c r="E360" s="198">
        <v>259</v>
      </c>
      <c r="F360" s="199" t="s">
        <v>18365</v>
      </c>
      <c r="G360" s="1" t="s">
        <v>18366</v>
      </c>
      <c r="H360" s="1" t="s">
        <v>16716</v>
      </c>
      <c r="I360" s="346"/>
      <c r="J360" s="39">
        <v>117234</v>
      </c>
      <c r="K360" s="36" t="str">
        <f>CONCATENATE(Cover!$D$6,"fdd/view?i=",J360)</f>
        <v>https://www.dgiwg.org/FAD/fdd/view?i=117234</v>
      </c>
      <c r="L360" s="36" t="s">
        <v>18367</v>
      </c>
      <c r="M360" s="186"/>
      <c r="N360" s="186"/>
      <c r="O360" s="13" t="s">
        <v>18363</v>
      </c>
    </row>
    <row r="361" spans="1:15" ht="38.25" x14ac:dyDescent="0.2">
      <c r="A361" s="197" t="str">
        <f t="shared" si="5"/>
        <v>ChxCode_chan093Z</v>
      </c>
      <c r="B361" s="409"/>
      <c r="C361" s="416"/>
      <c r="D361" s="198" t="s">
        <v>18369</v>
      </c>
      <c r="E361" s="198">
        <v>260</v>
      </c>
      <c r="F361" s="199" t="s">
        <v>18370</v>
      </c>
      <c r="G361" s="1" t="s">
        <v>18371</v>
      </c>
      <c r="H361" s="1" t="s">
        <v>16716</v>
      </c>
      <c r="I361" s="346"/>
      <c r="J361" s="39">
        <v>117235</v>
      </c>
      <c r="K361" s="36" t="str">
        <f>CONCATENATE(Cover!$D$6,"fdd/view?i=",J361)</f>
        <v>https://www.dgiwg.org/FAD/fdd/view?i=117235</v>
      </c>
      <c r="L361" s="36" t="s">
        <v>18372</v>
      </c>
      <c r="M361" s="186"/>
      <c r="N361" s="186"/>
      <c r="O361" s="13" t="s">
        <v>18368</v>
      </c>
    </row>
    <row r="362" spans="1:15" ht="38.25" x14ac:dyDescent="0.2">
      <c r="A362" s="197" t="str">
        <f t="shared" si="5"/>
        <v>ChxCode_chan094X</v>
      </c>
      <c r="B362" s="409"/>
      <c r="C362" s="416"/>
      <c r="D362" s="198" t="s">
        <v>18374</v>
      </c>
      <c r="E362" s="198">
        <v>261</v>
      </c>
      <c r="F362" s="199" t="s">
        <v>18375</v>
      </c>
      <c r="G362" s="1" t="s">
        <v>18376</v>
      </c>
      <c r="H362" s="1" t="s">
        <v>16716</v>
      </c>
      <c r="I362" s="346"/>
      <c r="J362" s="39">
        <v>117236</v>
      </c>
      <c r="K362" s="36" t="str">
        <f>CONCATENATE(Cover!$D$6,"fdd/view?i=",J362)</f>
        <v>https://www.dgiwg.org/FAD/fdd/view?i=117236</v>
      </c>
      <c r="L362" s="36" t="s">
        <v>18377</v>
      </c>
      <c r="M362" s="186"/>
      <c r="N362" s="186"/>
      <c r="O362" s="13" t="s">
        <v>18373</v>
      </c>
    </row>
    <row r="363" spans="1:15" ht="38.25" x14ac:dyDescent="0.2">
      <c r="A363" s="197" t="str">
        <f t="shared" si="5"/>
        <v>ChxCode_chan094Y</v>
      </c>
      <c r="B363" s="409"/>
      <c r="C363" s="416"/>
      <c r="D363" s="198" t="s">
        <v>18379</v>
      </c>
      <c r="E363" s="198">
        <v>262</v>
      </c>
      <c r="F363" s="199" t="s">
        <v>18380</v>
      </c>
      <c r="G363" s="1" t="s">
        <v>18381</v>
      </c>
      <c r="H363" s="1" t="s">
        <v>16716</v>
      </c>
      <c r="I363" s="346"/>
      <c r="J363" s="39">
        <v>117237</v>
      </c>
      <c r="K363" s="36" t="str">
        <f>CONCATENATE(Cover!$D$6,"fdd/view?i=",J363)</f>
        <v>https://www.dgiwg.org/FAD/fdd/view?i=117237</v>
      </c>
      <c r="L363" s="36" t="s">
        <v>18382</v>
      </c>
      <c r="M363" s="186"/>
      <c r="N363" s="186"/>
      <c r="O363" s="13" t="s">
        <v>18378</v>
      </c>
    </row>
    <row r="364" spans="1:15" ht="38.25" x14ac:dyDescent="0.2">
      <c r="A364" s="197" t="str">
        <f t="shared" si="5"/>
        <v>ChxCode_chan094Z</v>
      </c>
      <c r="B364" s="409"/>
      <c r="C364" s="416"/>
      <c r="D364" s="198" t="s">
        <v>18384</v>
      </c>
      <c r="E364" s="198">
        <v>263</v>
      </c>
      <c r="F364" s="199" t="s">
        <v>18385</v>
      </c>
      <c r="G364" s="1" t="s">
        <v>18386</v>
      </c>
      <c r="H364" s="1" t="s">
        <v>16716</v>
      </c>
      <c r="I364" s="346"/>
      <c r="J364" s="39">
        <v>117238</v>
      </c>
      <c r="K364" s="36" t="str">
        <f>CONCATENATE(Cover!$D$6,"fdd/view?i=",J364)</f>
        <v>https://www.dgiwg.org/FAD/fdd/view?i=117238</v>
      </c>
      <c r="L364" s="36" t="s">
        <v>18387</v>
      </c>
      <c r="M364" s="186"/>
      <c r="N364" s="186"/>
      <c r="O364" s="13" t="s">
        <v>18383</v>
      </c>
    </row>
    <row r="365" spans="1:15" ht="38.25" x14ac:dyDescent="0.2">
      <c r="A365" s="197" t="str">
        <f t="shared" si="5"/>
        <v>ChxCode_chan095X</v>
      </c>
      <c r="B365" s="409"/>
      <c r="C365" s="416"/>
      <c r="D365" s="198" t="s">
        <v>18389</v>
      </c>
      <c r="E365" s="198">
        <v>264</v>
      </c>
      <c r="F365" s="199" t="s">
        <v>18390</v>
      </c>
      <c r="G365" s="1" t="s">
        <v>18391</v>
      </c>
      <c r="H365" s="1" t="s">
        <v>16716</v>
      </c>
      <c r="I365" s="346"/>
      <c r="J365" s="39">
        <v>117239</v>
      </c>
      <c r="K365" s="36" t="str">
        <f>CONCATENATE(Cover!$D$6,"fdd/view?i=",J365)</f>
        <v>https://www.dgiwg.org/FAD/fdd/view?i=117239</v>
      </c>
      <c r="L365" s="36" t="s">
        <v>18392</v>
      </c>
      <c r="M365" s="186"/>
      <c r="N365" s="186"/>
      <c r="O365" s="13" t="s">
        <v>18388</v>
      </c>
    </row>
    <row r="366" spans="1:15" ht="38.25" x14ac:dyDescent="0.2">
      <c r="A366" s="197" t="str">
        <f t="shared" si="5"/>
        <v>ChxCode_chan095Y</v>
      </c>
      <c r="B366" s="409"/>
      <c r="C366" s="416"/>
      <c r="D366" s="198" t="s">
        <v>18394</v>
      </c>
      <c r="E366" s="198">
        <v>265</v>
      </c>
      <c r="F366" s="199" t="s">
        <v>18395</v>
      </c>
      <c r="G366" s="1" t="s">
        <v>18396</v>
      </c>
      <c r="H366" s="1" t="s">
        <v>16716</v>
      </c>
      <c r="I366" s="346"/>
      <c r="J366" s="39">
        <v>117240</v>
      </c>
      <c r="K366" s="36" t="str">
        <f>CONCATENATE(Cover!$D$6,"fdd/view?i=",J366)</f>
        <v>https://www.dgiwg.org/FAD/fdd/view?i=117240</v>
      </c>
      <c r="L366" s="36" t="s">
        <v>18397</v>
      </c>
      <c r="M366" s="186"/>
      <c r="N366" s="186"/>
      <c r="O366" s="13" t="s">
        <v>18393</v>
      </c>
    </row>
    <row r="367" spans="1:15" ht="38.25" x14ac:dyDescent="0.2">
      <c r="A367" s="197" t="str">
        <f t="shared" si="5"/>
        <v>ChxCode_chan095Z</v>
      </c>
      <c r="B367" s="409"/>
      <c r="C367" s="416"/>
      <c r="D367" s="198" t="s">
        <v>18399</v>
      </c>
      <c r="E367" s="198">
        <v>266</v>
      </c>
      <c r="F367" s="199" t="s">
        <v>18400</v>
      </c>
      <c r="G367" s="1" t="s">
        <v>18401</v>
      </c>
      <c r="H367" s="1" t="s">
        <v>16716</v>
      </c>
      <c r="I367" s="346"/>
      <c r="J367" s="39">
        <v>117241</v>
      </c>
      <c r="K367" s="36" t="str">
        <f>CONCATENATE(Cover!$D$6,"fdd/view?i=",J367)</f>
        <v>https://www.dgiwg.org/FAD/fdd/view?i=117241</v>
      </c>
      <c r="L367" s="36" t="s">
        <v>18402</v>
      </c>
      <c r="M367" s="186"/>
      <c r="N367" s="186"/>
      <c r="O367" s="13" t="s">
        <v>18398</v>
      </c>
    </row>
    <row r="368" spans="1:15" ht="38.25" x14ac:dyDescent="0.2">
      <c r="A368" s="197" t="str">
        <f t="shared" si="5"/>
        <v>ChxCode_chan096X</v>
      </c>
      <c r="B368" s="409"/>
      <c r="C368" s="416"/>
      <c r="D368" s="198" t="s">
        <v>18404</v>
      </c>
      <c r="E368" s="198">
        <v>267</v>
      </c>
      <c r="F368" s="199" t="s">
        <v>18405</v>
      </c>
      <c r="G368" s="1" t="s">
        <v>18406</v>
      </c>
      <c r="H368" s="1" t="s">
        <v>16716</v>
      </c>
      <c r="I368" s="346"/>
      <c r="J368" s="39">
        <v>117242</v>
      </c>
      <c r="K368" s="36" t="str">
        <f>CONCATENATE(Cover!$D$6,"fdd/view?i=",J368)</f>
        <v>https://www.dgiwg.org/FAD/fdd/view?i=117242</v>
      </c>
      <c r="L368" s="36" t="s">
        <v>18407</v>
      </c>
      <c r="M368" s="186"/>
      <c r="N368" s="186"/>
      <c r="O368" s="13" t="s">
        <v>18403</v>
      </c>
    </row>
    <row r="369" spans="1:15" ht="38.25" x14ac:dyDescent="0.2">
      <c r="A369" s="197" t="str">
        <f t="shared" si="5"/>
        <v>ChxCode_chan096Y</v>
      </c>
      <c r="B369" s="409"/>
      <c r="C369" s="416"/>
      <c r="D369" s="198" t="s">
        <v>18409</v>
      </c>
      <c r="E369" s="198">
        <v>268</v>
      </c>
      <c r="F369" s="199" t="s">
        <v>18410</v>
      </c>
      <c r="G369" s="1" t="s">
        <v>18411</v>
      </c>
      <c r="H369" s="1" t="s">
        <v>16716</v>
      </c>
      <c r="I369" s="346"/>
      <c r="J369" s="39">
        <v>117243</v>
      </c>
      <c r="K369" s="36" t="str">
        <f>CONCATENATE(Cover!$D$6,"fdd/view?i=",J369)</f>
        <v>https://www.dgiwg.org/FAD/fdd/view?i=117243</v>
      </c>
      <c r="L369" s="36" t="s">
        <v>18412</v>
      </c>
      <c r="M369" s="186"/>
      <c r="N369" s="186"/>
      <c r="O369" s="13" t="s">
        <v>18408</v>
      </c>
    </row>
    <row r="370" spans="1:15" ht="38.25" x14ac:dyDescent="0.2">
      <c r="A370" s="197" t="str">
        <f t="shared" si="5"/>
        <v>ChxCode_chan096Z</v>
      </c>
      <c r="B370" s="409"/>
      <c r="C370" s="416"/>
      <c r="D370" s="198" t="s">
        <v>18414</v>
      </c>
      <c r="E370" s="198">
        <v>269</v>
      </c>
      <c r="F370" s="199" t="s">
        <v>18415</v>
      </c>
      <c r="G370" s="1" t="s">
        <v>18416</v>
      </c>
      <c r="H370" s="1" t="s">
        <v>16716</v>
      </c>
      <c r="I370" s="346"/>
      <c r="J370" s="39">
        <v>117244</v>
      </c>
      <c r="K370" s="36" t="str">
        <f>CONCATENATE(Cover!$D$6,"fdd/view?i=",J370)</f>
        <v>https://www.dgiwg.org/FAD/fdd/view?i=117244</v>
      </c>
      <c r="L370" s="36" t="s">
        <v>18417</v>
      </c>
      <c r="M370" s="186"/>
      <c r="N370" s="186"/>
      <c r="O370" s="13" t="s">
        <v>18413</v>
      </c>
    </row>
    <row r="371" spans="1:15" ht="38.25" x14ac:dyDescent="0.2">
      <c r="A371" s="197" t="str">
        <f t="shared" si="5"/>
        <v>ChxCode_chan097X</v>
      </c>
      <c r="B371" s="409"/>
      <c r="C371" s="416"/>
      <c r="D371" s="198" t="s">
        <v>18419</v>
      </c>
      <c r="E371" s="198">
        <v>270</v>
      </c>
      <c r="F371" s="199" t="s">
        <v>18420</v>
      </c>
      <c r="G371" s="1" t="s">
        <v>18421</v>
      </c>
      <c r="H371" s="1" t="s">
        <v>16716</v>
      </c>
      <c r="I371" s="346"/>
      <c r="J371" s="39">
        <v>117245</v>
      </c>
      <c r="K371" s="36" t="str">
        <f>CONCATENATE(Cover!$D$6,"fdd/view?i=",J371)</f>
        <v>https://www.dgiwg.org/FAD/fdd/view?i=117245</v>
      </c>
      <c r="L371" s="36" t="s">
        <v>18422</v>
      </c>
      <c r="M371" s="186"/>
      <c r="N371" s="186"/>
      <c r="O371" s="13" t="s">
        <v>18418</v>
      </c>
    </row>
    <row r="372" spans="1:15" ht="38.25" x14ac:dyDescent="0.2">
      <c r="A372" s="197" t="str">
        <f t="shared" si="5"/>
        <v>ChxCode_chan097Y</v>
      </c>
      <c r="B372" s="409"/>
      <c r="C372" s="416"/>
      <c r="D372" s="198" t="s">
        <v>18424</v>
      </c>
      <c r="E372" s="198">
        <v>271</v>
      </c>
      <c r="F372" s="199" t="s">
        <v>18425</v>
      </c>
      <c r="G372" s="1" t="s">
        <v>18426</v>
      </c>
      <c r="H372" s="1" t="s">
        <v>16716</v>
      </c>
      <c r="I372" s="346"/>
      <c r="J372" s="39">
        <v>117246</v>
      </c>
      <c r="K372" s="36" t="str">
        <f>CONCATENATE(Cover!$D$6,"fdd/view?i=",J372)</f>
        <v>https://www.dgiwg.org/FAD/fdd/view?i=117246</v>
      </c>
      <c r="L372" s="36" t="s">
        <v>18427</v>
      </c>
      <c r="M372" s="186"/>
      <c r="N372" s="186"/>
      <c r="O372" s="13" t="s">
        <v>18423</v>
      </c>
    </row>
    <row r="373" spans="1:15" ht="38.25" x14ac:dyDescent="0.2">
      <c r="A373" s="197" t="str">
        <f t="shared" si="5"/>
        <v>ChxCode_chan097Z</v>
      </c>
      <c r="B373" s="409"/>
      <c r="C373" s="416"/>
      <c r="D373" s="198" t="s">
        <v>18429</v>
      </c>
      <c r="E373" s="198">
        <v>272</v>
      </c>
      <c r="F373" s="199" t="s">
        <v>18430</v>
      </c>
      <c r="G373" s="1" t="s">
        <v>18431</v>
      </c>
      <c r="H373" s="1" t="s">
        <v>16716</v>
      </c>
      <c r="I373" s="346"/>
      <c r="J373" s="39">
        <v>117247</v>
      </c>
      <c r="K373" s="36" t="str">
        <f>CONCATENATE(Cover!$D$6,"fdd/view?i=",J373)</f>
        <v>https://www.dgiwg.org/FAD/fdd/view?i=117247</v>
      </c>
      <c r="L373" s="36" t="s">
        <v>18432</v>
      </c>
      <c r="M373" s="186"/>
      <c r="N373" s="186"/>
      <c r="O373" s="13" t="s">
        <v>18428</v>
      </c>
    </row>
    <row r="374" spans="1:15" ht="38.25" x14ac:dyDescent="0.2">
      <c r="A374" s="197" t="str">
        <f t="shared" si="5"/>
        <v>ChxCode_chan098X</v>
      </c>
      <c r="B374" s="409"/>
      <c r="C374" s="416"/>
      <c r="D374" s="198" t="s">
        <v>18434</v>
      </c>
      <c r="E374" s="198">
        <v>273</v>
      </c>
      <c r="F374" s="199" t="s">
        <v>18435</v>
      </c>
      <c r="G374" s="1" t="s">
        <v>18436</v>
      </c>
      <c r="H374" s="1" t="s">
        <v>16716</v>
      </c>
      <c r="I374" s="346"/>
      <c r="J374" s="39">
        <v>117248</v>
      </c>
      <c r="K374" s="36" t="str">
        <f>CONCATENATE(Cover!$D$6,"fdd/view?i=",J374)</f>
        <v>https://www.dgiwg.org/FAD/fdd/view?i=117248</v>
      </c>
      <c r="L374" s="36" t="s">
        <v>18437</v>
      </c>
      <c r="M374" s="186"/>
      <c r="N374" s="186"/>
      <c r="O374" s="13" t="s">
        <v>18433</v>
      </c>
    </row>
    <row r="375" spans="1:15" ht="38.25" x14ac:dyDescent="0.2">
      <c r="A375" s="197" t="str">
        <f t="shared" si="5"/>
        <v>ChxCode_chan098Y</v>
      </c>
      <c r="B375" s="409"/>
      <c r="C375" s="416"/>
      <c r="D375" s="198" t="s">
        <v>18439</v>
      </c>
      <c r="E375" s="198">
        <v>274</v>
      </c>
      <c r="F375" s="199" t="s">
        <v>18440</v>
      </c>
      <c r="G375" s="1" t="s">
        <v>18441</v>
      </c>
      <c r="H375" s="1" t="s">
        <v>16716</v>
      </c>
      <c r="I375" s="346"/>
      <c r="J375" s="39">
        <v>117249</v>
      </c>
      <c r="K375" s="36" t="str">
        <f>CONCATENATE(Cover!$D$6,"fdd/view?i=",J375)</f>
        <v>https://www.dgiwg.org/FAD/fdd/view?i=117249</v>
      </c>
      <c r="L375" s="36" t="s">
        <v>18442</v>
      </c>
      <c r="M375" s="186"/>
      <c r="N375" s="186"/>
      <c r="O375" s="13" t="s">
        <v>18438</v>
      </c>
    </row>
    <row r="376" spans="1:15" ht="38.25" x14ac:dyDescent="0.2">
      <c r="A376" s="197" t="str">
        <f t="shared" si="5"/>
        <v>ChxCode_chan098Z</v>
      </c>
      <c r="B376" s="409"/>
      <c r="C376" s="416"/>
      <c r="D376" s="198" t="s">
        <v>18444</v>
      </c>
      <c r="E376" s="198">
        <v>275</v>
      </c>
      <c r="F376" s="199" t="s">
        <v>18445</v>
      </c>
      <c r="G376" s="1" t="s">
        <v>18446</v>
      </c>
      <c r="H376" s="1" t="s">
        <v>16716</v>
      </c>
      <c r="I376" s="346"/>
      <c r="J376" s="39">
        <v>117250</v>
      </c>
      <c r="K376" s="36" t="str">
        <f>CONCATENATE(Cover!$D$6,"fdd/view?i=",J376)</f>
        <v>https://www.dgiwg.org/FAD/fdd/view?i=117250</v>
      </c>
      <c r="L376" s="36" t="s">
        <v>18447</v>
      </c>
      <c r="M376" s="186"/>
      <c r="N376" s="186"/>
      <c r="O376" s="13" t="s">
        <v>18443</v>
      </c>
    </row>
    <row r="377" spans="1:15" ht="38.25" x14ac:dyDescent="0.2">
      <c r="A377" s="197" t="str">
        <f t="shared" si="5"/>
        <v>ChxCode_chan099X</v>
      </c>
      <c r="B377" s="409"/>
      <c r="C377" s="416"/>
      <c r="D377" s="198" t="s">
        <v>18449</v>
      </c>
      <c r="E377" s="198">
        <v>276</v>
      </c>
      <c r="F377" s="199" t="s">
        <v>18450</v>
      </c>
      <c r="G377" s="1" t="s">
        <v>18451</v>
      </c>
      <c r="H377" s="1" t="s">
        <v>16716</v>
      </c>
      <c r="I377" s="346"/>
      <c r="J377" s="39">
        <v>117251</v>
      </c>
      <c r="K377" s="36" t="str">
        <f>CONCATENATE(Cover!$D$6,"fdd/view?i=",J377)</f>
        <v>https://www.dgiwg.org/FAD/fdd/view?i=117251</v>
      </c>
      <c r="L377" s="36" t="s">
        <v>18452</v>
      </c>
      <c r="M377" s="186"/>
      <c r="N377" s="186"/>
      <c r="O377" s="13" t="s">
        <v>18448</v>
      </c>
    </row>
    <row r="378" spans="1:15" ht="38.25" x14ac:dyDescent="0.2">
      <c r="A378" s="197" t="str">
        <f t="shared" si="5"/>
        <v>ChxCode_chan099Y</v>
      </c>
      <c r="B378" s="409"/>
      <c r="C378" s="416"/>
      <c r="D378" s="198" t="s">
        <v>18454</v>
      </c>
      <c r="E378" s="198">
        <v>277</v>
      </c>
      <c r="F378" s="199" t="s">
        <v>18455</v>
      </c>
      <c r="G378" s="1" t="s">
        <v>18456</v>
      </c>
      <c r="H378" s="1" t="s">
        <v>16716</v>
      </c>
      <c r="I378" s="346"/>
      <c r="J378" s="39">
        <v>117252</v>
      </c>
      <c r="K378" s="36" t="str">
        <f>CONCATENATE(Cover!$D$6,"fdd/view?i=",J378)</f>
        <v>https://www.dgiwg.org/FAD/fdd/view?i=117252</v>
      </c>
      <c r="L378" s="36" t="s">
        <v>18457</v>
      </c>
      <c r="M378" s="186"/>
      <c r="N378" s="186"/>
      <c r="O378" s="13" t="s">
        <v>18453</v>
      </c>
    </row>
    <row r="379" spans="1:15" ht="38.25" x14ac:dyDescent="0.2">
      <c r="A379" s="197" t="str">
        <f t="shared" si="5"/>
        <v>ChxCode_chan099Z</v>
      </c>
      <c r="B379" s="409"/>
      <c r="C379" s="416"/>
      <c r="D379" s="198" t="s">
        <v>18459</v>
      </c>
      <c r="E379" s="198">
        <v>278</v>
      </c>
      <c r="F379" s="199" t="s">
        <v>18460</v>
      </c>
      <c r="G379" s="1" t="s">
        <v>18461</v>
      </c>
      <c r="H379" s="1" t="s">
        <v>16716</v>
      </c>
      <c r="I379" s="346"/>
      <c r="J379" s="39">
        <v>117253</v>
      </c>
      <c r="K379" s="36" t="str">
        <f>CONCATENATE(Cover!$D$6,"fdd/view?i=",J379)</f>
        <v>https://www.dgiwg.org/FAD/fdd/view?i=117253</v>
      </c>
      <c r="L379" s="36" t="s">
        <v>18462</v>
      </c>
      <c r="M379" s="186"/>
      <c r="N379" s="186"/>
      <c r="O379" s="13" t="s">
        <v>18458</v>
      </c>
    </row>
    <row r="380" spans="1:15" ht="38.25" x14ac:dyDescent="0.2">
      <c r="A380" s="197" t="str">
        <f t="shared" si="5"/>
        <v>ChxCode_chan100X</v>
      </c>
      <c r="B380" s="409"/>
      <c r="C380" s="416"/>
      <c r="D380" s="198" t="s">
        <v>16713</v>
      </c>
      <c r="E380" s="198">
        <v>279</v>
      </c>
      <c r="F380" s="199" t="s">
        <v>16714</v>
      </c>
      <c r="G380" s="1" t="s">
        <v>16715</v>
      </c>
      <c r="H380" s="1" t="s">
        <v>16716</v>
      </c>
      <c r="I380" s="346"/>
      <c r="J380" s="39">
        <v>117254</v>
      </c>
      <c r="K380" s="36" t="str">
        <f>CONCATENATE(Cover!$D$6,"fdd/view?i=",J380)</f>
        <v>https://www.dgiwg.org/FAD/fdd/view?i=117254</v>
      </c>
      <c r="L380" s="36" t="s">
        <v>16717</v>
      </c>
      <c r="M380" s="186"/>
      <c r="N380" s="186"/>
      <c r="O380" s="13" t="s">
        <v>16712</v>
      </c>
    </row>
    <row r="381" spans="1:15" ht="38.25" x14ac:dyDescent="0.2">
      <c r="A381" s="197" t="str">
        <f t="shared" si="5"/>
        <v>ChxCode_chan100Y</v>
      </c>
      <c r="B381" s="409"/>
      <c r="C381" s="416"/>
      <c r="D381" s="198" t="s">
        <v>16719</v>
      </c>
      <c r="E381" s="198">
        <v>280</v>
      </c>
      <c r="F381" s="199" t="s">
        <v>16720</v>
      </c>
      <c r="G381" s="1" t="s">
        <v>16721</v>
      </c>
      <c r="H381" s="1" t="s">
        <v>16716</v>
      </c>
      <c r="I381" s="346"/>
      <c r="J381" s="39">
        <v>117255</v>
      </c>
      <c r="K381" s="36" t="str">
        <f>CONCATENATE(Cover!$D$6,"fdd/view?i=",J381)</f>
        <v>https://www.dgiwg.org/FAD/fdd/view?i=117255</v>
      </c>
      <c r="L381" s="36" t="s">
        <v>16722</v>
      </c>
      <c r="M381" s="186"/>
      <c r="N381" s="186"/>
      <c r="O381" s="13" t="s">
        <v>16718</v>
      </c>
    </row>
    <row r="382" spans="1:15" ht="38.25" x14ac:dyDescent="0.2">
      <c r="A382" s="197" t="str">
        <f t="shared" si="5"/>
        <v>ChxCode_chan100Z</v>
      </c>
      <c r="B382" s="409"/>
      <c r="C382" s="416"/>
      <c r="D382" s="198" t="s">
        <v>16724</v>
      </c>
      <c r="E382" s="198">
        <v>281</v>
      </c>
      <c r="F382" s="199" t="s">
        <v>16725</v>
      </c>
      <c r="G382" s="1" t="s">
        <v>16726</v>
      </c>
      <c r="H382" s="1" t="s">
        <v>16716</v>
      </c>
      <c r="I382" s="346"/>
      <c r="J382" s="39">
        <v>117256</v>
      </c>
      <c r="K382" s="36" t="str">
        <f>CONCATENATE(Cover!$D$6,"fdd/view?i=",J382)</f>
        <v>https://www.dgiwg.org/FAD/fdd/view?i=117256</v>
      </c>
      <c r="L382" s="36" t="s">
        <v>16727</v>
      </c>
      <c r="M382" s="186"/>
      <c r="N382" s="186"/>
      <c r="O382" s="13" t="s">
        <v>16723</v>
      </c>
    </row>
    <row r="383" spans="1:15" ht="38.25" x14ac:dyDescent="0.2">
      <c r="A383" s="197" t="str">
        <f t="shared" si="5"/>
        <v>ChxCode_chan101X</v>
      </c>
      <c r="B383" s="409"/>
      <c r="C383" s="416"/>
      <c r="D383" s="198" t="s">
        <v>16729</v>
      </c>
      <c r="E383" s="198">
        <v>282</v>
      </c>
      <c r="F383" s="199" t="s">
        <v>16730</v>
      </c>
      <c r="G383" s="1" t="s">
        <v>16731</v>
      </c>
      <c r="H383" s="1" t="s">
        <v>16716</v>
      </c>
      <c r="I383" s="346"/>
      <c r="J383" s="39">
        <v>117257</v>
      </c>
      <c r="K383" s="36" t="str">
        <f>CONCATENATE(Cover!$D$6,"fdd/view?i=",J383)</f>
        <v>https://www.dgiwg.org/FAD/fdd/view?i=117257</v>
      </c>
      <c r="L383" s="36" t="s">
        <v>16732</v>
      </c>
      <c r="M383" s="186"/>
      <c r="N383" s="186"/>
      <c r="O383" s="13" t="s">
        <v>16728</v>
      </c>
    </row>
    <row r="384" spans="1:15" ht="38.25" x14ac:dyDescent="0.2">
      <c r="A384" s="197" t="str">
        <f t="shared" si="5"/>
        <v>ChxCode_chan101Y</v>
      </c>
      <c r="B384" s="409"/>
      <c r="C384" s="416"/>
      <c r="D384" s="198" t="s">
        <v>16734</v>
      </c>
      <c r="E384" s="198">
        <v>283</v>
      </c>
      <c r="F384" s="199" t="s">
        <v>16735</v>
      </c>
      <c r="G384" s="1" t="s">
        <v>16736</v>
      </c>
      <c r="H384" s="1" t="s">
        <v>16716</v>
      </c>
      <c r="I384" s="346"/>
      <c r="J384" s="39">
        <v>117258</v>
      </c>
      <c r="K384" s="36" t="str">
        <f>CONCATENATE(Cover!$D$6,"fdd/view?i=",J384)</f>
        <v>https://www.dgiwg.org/FAD/fdd/view?i=117258</v>
      </c>
      <c r="L384" s="36" t="s">
        <v>16737</v>
      </c>
      <c r="M384" s="186"/>
      <c r="N384" s="186"/>
      <c r="O384" s="13" t="s">
        <v>16733</v>
      </c>
    </row>
    <row r="385" spans="1:15" ht="38.25" x14ac:dyDescent="0.2">
      <c r="A385" s="197" t="str">
        <f t="shared" si="5"/>
        <v>ChxCode_chan101Z</v>
      </c>
      <c r="B385" s="409"/>
      <c r="C385" s="416"/>
      <c r="D385" s="198" t="s">
        <v>16739</v>
      </c>
      <c r="E385" s="198">
        <v>284</v>
      </c>
      <c r="F385" s="199" t="s">
        <v>16740</v>
      </c>
      <c r="G385" s="1" t="s">
        <v>16741</v>
      </c>
      <c r="H385" s="1" t="s">
        <v>16716</v>
      </c>
      <c r="I385" s="346"/>
      <c r="J385" s="39">
        <v>117259</v>
      </c>
      <c r="K385" s="36" t="str">
        <f>CONCATENATE(Cover!$D$6,"fdd/view?i=",J385)</f>
        <v>https://www.dgiwg.org/FAD/fdd/view?i=117259</v>
      </c>
      <c r="L385" s="36" t="s">
        <v>16742</v>
      </c>
      <c r="M385" s="186"/>
      <c r="N385" s="186"/>
      <c r="O385" s="13" t="s">
        <v>16738</v>
      </c>
    </row>
    <row r="386" spans="1:15" ht="38.25" x14ac:dyDescent="0.2">
      <c r="A386" s="197" t="str">
        <f t="shared" ref="A386:A449" si="6">HYPERLINK(K386,L386)</f>
        <v>ChxCode_chan102X</v>
      </c>
      <c r="B386" s="409"/>
      <c r="C386" s="416"/>
      <c r="D386" s="198" t="s">
        <v>16744</v>
      </c>
      <c r="E386" s="198">
        <v>285</v>
      </c>
      <c r="F386" s="199" t="s">
        <v>16745</v>
      </c>
      <c r="G386" s="1" t="s">
        <v>16746</v>
      </c>
      <c r="H386" s="1" t="s">
        <v>16716</v>
      </c>
      <c r="I386" s="346"/>
      <c r="J386" s="39">
        <v>117260</v>
      </c>
      <c r="K386" s="36" t="str">
        <f>CONCATENATE(Cover!$D$6,"fdd/view?i=",J386)</f>
        <v>https://www.dgiwg.org/FAD/fdd/view?i=117260</v>
      </c>
      <c r="L386" s="36" t="s">
        <v>16747</v>
      </c>
      <c r="M386" s="186"/>
      <c r="N386" s="186"/>
      <c r="O386" s="13" t="s">
        <v>16743</v>
      </c>
    </row>
    <row r="387" spans="1:15" ht="38.25" x14ac:dyDescent="0.2">
      <c r="A387" s="197" t="str">
        <f t="shared" si="6"/>
        <v>ChxCode_chan102Y</v>
      </c>
      <c r="B387" s="409"/>
      <c r="C387" s="416"/>
      <c r="D387" s="198" t="s">
        <v>16749</v>
      </c>
      <c r="E387" s="198">
        <v>286</v>
      </c>
      <c r="F387" s="199" t="s">
        <v>16750</v>
      </c>
      <c r="G387" s="1" t="s">
        <v>16751</v>
      </c>
      <c r="H387" s="1" t="s">
        <v>16716</v>
      </c>
      <c r="I387" s="346"/>
      <c r="J387" s="39">
        <v>117261</v>
      </c>
      <c r="K387" s="36" t="str">
        <f>CONCATENATE(Cover!$D$6,"fdd/view?i=",J387)</f>
        <v>https://www.dgiwg.org/FAD/fdd/view?i=117261</v>
      </c>
      <c r="L387" s="36" t="s">
        <v>16752</v>
      </c>
      <c r="M387" s="186"/>
      <c r="N387" s="186"/>
      <c r="O387" s="13" t="s">
        <v>16748</v>
      </c>
    </row>
    <row r="388" spans="1:15" ht="38.25" x14ac:dyDescent="0.2">
      <c r="A388" s="197" t="str">
        <f t="shared" si="6"/>
        <v>ChxCode_chan102Z</v>
      </c>
      <c r="B388" s="409"/>
      <c r="C388" s="416"/>
      <c r="D388" s="198" t="s">
        <v>16754</v>
      </c>
      <c r="E388" s="198">
        <v>287</v>
      </c>
      <c r="F388" s="199" t="s">
        <v>16755</v>
      </c>
      <c r="G388" s="1" t="s">
        <v>16756</v>
      </c>
      <c r="H388" s="1" t="s">
        <v>16716</v>
      </c>
      <c r="I388" s="346"/>
      <c r="J388" s="39">
        <v>117262</v>
      </c>
      <c r="K388" s="36" t="str">
        <f>CONCATENATE(Cover!$D$6,"fdd/view?i=",J388)</f>
        <v>https://www.dgiwg.org/FAD/fdd/view?i=117262</v>
      </c>
      <c r="L388" s="36" t="s">
        <v>16757</v>
      </c>
      <c r="M388" s="186"/>
      <c r="N388" s="186"/>
      <c r="O388" s="13" t="s">
        <v>16753</v>
      </c>
    </row>
    <row r="389" spans="1:15" ht="38.25" x14ac:dyDescent="0.2">
      <c r="A389" s="197" t="str">
        <f t="shared" si="6"/>
        <v>ChxCode_chan103X</v>
      </c>
      <c r="B389" s="409"/>
      <c r="C389" s="416"/>
      <c r="D389" s="198" t="s">
        <v>16759</v>
      </c>
      <c r="E389" s="198">
        <v>288</v>
      </c>
      <c r="F389" s="199" t="s">
        <v>16760</v>
      </c>
      <c r="G389" s="1" t="s">
        <v>16761</v>
      </c>
      <c r="H389" s="1" t="s">
        <v>16716</v>
      </c>
      <c r="I389" s="346"/>
      <c r="J389" s="39">
        <v>117263</v>
      </c>
      <c r="K389" s="36" t="str">
        <f>CONCATENATE(Cover!$D$6,"fdd/view?i=",J389)</f>
        <v>https://www.dgiwg.org/FAD/fdd/view?i=117263</v>
      </c>
      <c r="L389" s="36" t="s">
        <v>16762</v>
      </c>
      <c r="M389" s="186"/>
      <c r="N389" s="186"/>
      <c r="O389" s="13" t="s">
        <v>16758</v>
      </c>
    </row>
    <row r="390" spans="1:15" ht="38.25" x14ac:dyDescent="0.2">
      <c r="A390" s="197" t="str">
        <f t="shared" si="6"/>
        <v>ChxCode_chan103Y</v>
      </c>
      <c r="B390" s="409"/>
      <c r="C390" s="416"/>
      <c r="D390" s="198" t="s">
        <v>16764</v>
      </c>
      <c r="E390" s="198">
        <v>289</v>
      </c>
      <c r="F390" s="199" t="s">
        <v>16765</v>
      </c>
      <c r="G390" s="1" t="s">
        <v>16766</v>
      </c>
      <c r="H390" s="1" t="s">
        <v>16716</v>
      </c>
      <c r="I390" s="346"/>
      <c r="J390" s="39">
        <v>117264</v>
      </c>
      <c r="K390" s="36" t="str">
        <f>CONCATENATE(Cover!$D$6,"fdd/view?i=",J390)</f>
        <v>https://www.dgiwg.org/FAD/fdd/view?i=117264</v>
      </c>
      <c r="L390" s="36" t="s">
        <v>16767</v>
      </c>
      <c r="M390" s="186"/>
      <c r="N390" s="186"/>
      <c r="O390" s="13" t="s">
        <v>16763</v>
      </c>
    </row>
    <row r="391" spans="1:15" ht="38.25" x14ac:dyDescent="0.2">
      <c r="A391" s="197" t="str">
        <f t="shared" si="6"/>
        <v>ChxCode_chan103Z</v>
      </c>
      <c r="B391" s="409"/>
      <c r="C391" s="416"/>
      <c r="D391" s="198" t="s">
        <v>16769</v>
      </c>
      <c r="E391" s="198">
        <v>290</v>
      </c>
      <c r="F391" s="199" t="s">
        <v>16770</v>
      </c>
      <c r="G391" s="1" t="s">
        <v>16771</v>
      </c>
      <c r="H391" s="1" t="s">
        <v>16716</v>
      </c>
      <c r="I391" s="346"/>
      <c r="J391" s="39">
        <v>117265</v>
      </c>
      <c r="K391" s="36" t="str">
        <f>CONCATENATE(Cover!$D$6,"fdd/view?i=",J391)</f>
        <v>https://www.dgiwg.org/FAD/fdd/view?i=117265</v>
      </c>
      <c r="L391" s="36" t="s">
        <v>16772</v>
      </c>
      <c r="M391" s="186"/>
      <c r="N391" s="186"/>
      <c r="O391" s="13" t="s">
        <v>16768</v>
      </c>
    </row>
    <row r="392" spans="1:15" ht="38.25" x14ac:dyDescent="0.2">
      <c r="A392" s="197" t="str">
        <f t="shared" si="6"/>
        <v>ChxCode_chan104X</v>
      </c>
      <c r="B392" s="409"/>
      <c r="C392" s="416"/>
      <c r="D392" s="198" t="s">
        <v>16774</v>
      </c>
      <c r="E392" s="198">
        <v>291</v>
      </c>
      <c r="F392" s="199" t="s">
        <v>16775</v>
      </c>
      <c r="G392" s="1" t="s">
        <v>16776</v>
      </c>
      <c r="H392" s="1" t="s">
        <v>16716</v>
      </c>
      <c r="I392" s="346"/>
      <c r="J392" s="39">
        <v>117266</v>
      </c>
      <c r="K392" s="36" t="str">
        <f>CONCATENATE(Cover!$D$6,"fdd/view?i=",J392)</f>
        <v>https://www.dgiwg.org/FAD/fdd/view?i=117266</v>
      </c>
      <c r="L392" s="36" t="s">
        <v>16777</v>
      </c>
      <c r="M392" s="186"/>
      <c r="N392" s="186"/>
      <c r="O392" s="13" t="s">
        <v>16773</v>
      </c>
    </row>
    <row r="393" spans="1:15" ht="38.25" x14ac:dyDescent="0.2">
      <c r="A393" s="197" t="str">
        <f t="shared" si="6"/>
        <v>ChxCode_chan104Y</v>
      </c>
      <c r="B393" s="409"/>
      <c r="C393" s="416"/>
      <c r="D393" s="198" t="s">
        <v>16779</v>
      </c>
      <c r="E393" s="198">
        <v>292</v>
      </c>
      <c r="F393" s="199" t="s">
        <v>16780</v>
      </c>
      <c r="G393" s="1" t="s">
        <v>16781</v>
      </c>
      <c r="H393" s="1" t="s">
        <v>16716</v>
      </c>
      <c r="I393" s="346"/>
      <c r="J393" s="39">
        <v>117267</v>
      </c>
      <c r="K393" s="36" t="str">
        <f>CONCATENATE(Cover!$D$6,"fdd/view?i=",J393)</f>
        <v>https://www.dgiwg.org/FAD/fdd/view?i=117267</v>
      </c>
      <c r="L393" s="36" t="s">
        <v>16782</v>
      </c>
      <c r="M393" s="186"/>
      <c r="N393" s="186"/>
      <c r="O393" s="13" t="s">
        <v>16778</v>
      </c>
    </row>
    <row r="394" spans="1:15" ht="38.25" x14ac:dyDescent="0.2">
      <c r="A394" s="197" t="str">
        <f t="shared" si="6"/>
        <v>ChxCode_chan104Z</v>
      </c>
      <c r="B394" s="409"/>
      <c r="C394" s="416"/>
      <c r="D394" s="198" t="s">
        <v>16784</v>
      </c>
      <c r="E394" s="198">
        <v>293</v>
      </c>
      <c r="F394" s="199" t="s">
        <v>16785</v>
      </c>
      <c r="G394" s="1" t="s">
        <v>16786</v>
      </c>
      <c r="H394" s="1" t="s">
        <v>16716</v>
      </c>
      <c r="I394" s="346"/>
      <c r="J394" s="39">
        <v>117268</v>
      </c>
      <c r="K394" s="36" t="str">
        <f>CONCATENATE(Cover!$D$6,"fdd/view?i=",J394)</f>
        <v>https://www.dgiwg.org/FAD/fdd/view?i=117268</v>
      </c>
      <c r="L394" s="36" t="s">
        <v>16787</v>
      </c>
      <c r="M394" s="186"/>
      <c r="N394" s="186"/>
      <c r="O394" s="13" t="s">
        <v>16783</v>
      </c>
    </row>
    <row r="395" spans="1:15" ht="38.25" x14ac:dyDescent="0.2">
      <c r="A395" s="197" t="str">
        <f t="shared" si="6"/>
        <v>ChxCode_chan105X</v>
      </c>
      <c r="B395" s="409"/>
      <c r="C395" s="416"/>
      <c r="D395" s="198" t="s">
        <v>16789</v>
      </c>
      <c r="E395" s="198">
        <v>294</v>
      </c>
      <c r="F395" s="199" t="s">
        <v>16790</v>
      </c>
      <c r="G395" s="1" t="s">
        <v>16791</v>
      </c>
      <c r="H395" s="1" t="s">
        <v>16716</v>
      </c>
      <c r="I395" s="346"/>
      <c r="J395" s="39">
        <v>117269</v>
      </c>
      <c r="K395" s="36" t="str">
        <f>CONCATENATE(Cover!$D$6,"fdd/view?i=",J395)</f>
        <v>https://www.dgiwg.org/FAD/fdd/view?i=117269</v>
      </c>
      <c r="L395" s="36" t="s">
        <v>16792</v>
      </c>
      <c r="M395" s="186"/>
      <c r="N395" s="186"/>
      <c r="O395" s="13" t="s">
        <v>16788</v>
      </c>
    </row>
    <row r="396" spans="1:15" ht="38.25" x14ac:dyDescent="0.2">
      <c r="A396" s="197" t="str">
        <f t="shared" si="6"/>
        <v>ChxCode_chan105Y</v>
      </c>
      <c r="B396" s="409"/>
      <c r="C396" s="416"/>
      <c r="D396" s="198" t="s">
        <v>16794</v>
      </c>
      <c r="E396" s="198">
        <v>295</v>
      </c>
      <c r="F396" s="199" t="s">
        <v>16795</v>
      </c>
      <c r="G396" s="1" t="s">
        <v>16796</v>
      </c>
      <c r="H396" s="1" t="s">
        <v>16716</v>
      </c>
      <c r="I396" s="346"/>
      <c r="J396" s="39">
        <v>117270</v>
      </c>
      <c r="K396" s="36" t="str">
        <f>CONCATENATE(Cover!$D$6,"fdd/view?i=",J396)</f>
        <v>https://www.dgiwg.org/FAD/fdd/view?i=117270</v>
      </c>
      <c r="L396" s="36" t="s">
        <v>16797</v>
      </c>
      <c r="M396" s="186"/>
      <c r="N396" s="186"/>
      <c r="O396" s="13" t="s">
        <v>16793</v>
      </c>
    </row>
    <row r="397" spans="1:15" ht="38.25" x14ac:dyDescent="0.2">
      <c r="A397" s="197" t="str">
        <f t="shared" si="6"/>
        <v>ChxCode_chan105Z</v>
      </c>
      <c r="B397" s="409"/>
      <c r="C397" s="416"/>
      <c r="D397" s="198" t="s">
        <v>16799</v>
      </c>
      <c r="E397" s="198">
        <v>296</v>
      </c>
      <c r="F397" s="199" t="s">
        <v>16800</v>
      </c>
      <c r="G397" s="1" t="s">
        <v>16801</v>
      </c>
      <c r="H397" s="1" t="s">
        <v>16716</v>
      </c>
      <c r="I397" s="346"/>
      <c r="J397" s="39">
        <v>117271</v>
      </c>
      <c r="K397" s="36" t="str">
        <f>CONCATENATE(Cover!$D$6,"fdd/view?i=",J397)</f>
        <v>https://www.dgiwg.org/FAD/fdd/view?i=117271</v>
      </c>
      <c r="L397" s="36" t="s">
        <v>16802</v>
      </c>
      <c r="M397" s="186"/>
      <c r="N397" s="186"/>
      <c r="O397" s="13" t="s">
        <v>16798</v>
      </c>
    </row>
    <row r="398" spans="1:15" ht="38.25" x14ac:dyDescent="0.2">
      <c r="A398" s="197" t="str">
        <f t="shared" si="6"/>
        <v>ChxCode_chan106X</v>
      </c>
      <c r="B398" s="409"/>
      <c r="C398" s="416"/>
      <c r="D398" s="198" t="s">
        <v>16804</v>
      </c>
      <c r="E398" s="198">
        <v>297</v>
      </c>
      <c r="F398" s="199" t="s">
        <v>16805</v>
      </c>
      <c r="G398" s="1" t="s">
        <v>16806</v>
      </c>
      <c r="H398" s="1" t="s">
        <v>16716</v>
      </c>
      <c r="I398" s="346"/>
      <c r="J398" s="39">
        <v>117272</v>
      </c>
      <c r="K398" s="36" t="str">
        <f>CONCATENATE(Cover!$D$6,"fdd/view?i=",J398)</f>
        <v>https://www.dgiwg.org/FAD/fdd/view?i=117272</v>
      </c>
      <c r="L398" s="36" t="s">
        <v>16807</v>
      </c>
      <c r="M398" s="186"/>
      <c r="N398" s="186"/>
      <c r="O398" s="13" t="s">
        <v>16803</v>
      </c>
    </row>
    <row r="399" spans="1:15" ht="38.25" x14ac:dyDescent="0.2">
      <c r="A399" s="197" t="str">
        <f t="shared" si="6"/>
        <v>ChxCode_chan106Y</v>
      </c>
      <c r="B399" s="409"/>
      <c r="C399" s="416"/>
      <c r="D399" s="198" t="s">
        <v>16809</v>
      </c>
      <c r="E399" s="198">
        <v>298</v>
      </c>
      <c r="F399" s="199" t="s">
        <v>16810</v>
      </c>
      <c r="G399" s="1" t="s">
        <v>16811</v>
      </c>
      <c r="H399" s="1" t="s">
        <v>16716</v>
      </c>
      <c r="I399" s="346"/>
      <c r="J399" s="39">
        <v>117273</v>
      </c>
      <c r="K399" s="36" t="str">
        <f>CONCATENATE(Cover!$D$6,"fdd/view?i=",J399)</f>
        <v>https://www.dgiwg.org/FAD/fdd/view?i=117273</v>
      </c>
      <c r="L399" s="36" t="s">
        <v>16812</v>
      </c>
      <c r="M399" s="186"/>
      <c r="N399" s="186"/>
      <c r="O399" s="13" t="s">
        <v>16808</v>
      </c>
    </row>
    <row r="400" spans="1:15" ht="38.25" x14ac:dyDescent="0.2">
      <c r="A400" s="197" t="str">
        <f t="shared" si="6"/>
        <v>ChxCode_chan106Z</v>
      </c>
      <c r="B400" s="409"/>
      <c r="C400" s="416"/>
      <c r="D400" s="198" t="s">
        <v>16814</v>
      </c>
      <c r="E400" s="198">
        <v>299</v>
      </c>
      <c r="F400" s="199" t="s">
        <v>16815</v>
      </c>
      <c r="G400" s="1" t="s">
        <v>16816</v>
      </c>
      <c r="H400" s="1" t="s">
        <v>16716</v>
      </c>
      <c r="I400" s="346"/>
      <c r="J400" s="39">
        <v>117274</v>
      </c>
      <c r="K400" s="36" t="str">
        <f>CONCATENATE(Cover!$D$6,"fdd/view?i=",J400)</f>
        <v>https://www.dgiwg.org/FAD/fdd/view?i=117274</v>
      </c>
      <c r="L400" s="36" t="s">
        <v>16817</v>
      </c>
      <c r="M400" s="186"/>
      <c r="N400" s="186"/>
      <c r="O400" s="13" t="s">
        <v>16813</v>
      </c>
    </row>
    <row r="401" spans="1:15" ht="38.25" x14ac:dyDescent="0.2">
      <c r="A401" s="197" t="str">
        <f t="shared" si="6"/>
        <v>ChxCode_chan107X</v>
      </c>
      <c r="B401" s="409"/>
      <c r="C401" s="416"/>
      <c r="D401" s="198" t="s">
        <v>16819</v>
      </c>
      <c r="E401" s="198">
        <v>300</v>
      </c>
      <c r="F401" s="199" t="s">
        <v>16820</v>
      </c>
      <c r="G401" s="1" t="s">
        <v>16821</v>
      </c>
      <c r="H401" s="1" t="s">
        <v>16716</v>
      </c>
      <c r="I401" s="346"/>
      <c r="J401" s="39">
        <v>117275</v>
      </c>
      <c r="K401" s="36" t="str">
        <f>CONCATENATE(Cover!$D$6,"fdd/view?i=",J401)</f>
        <v>https://www.dgiwg.org/FAD/fdd/view?i=117275</v>
      </c>
      <c r="L401" s="36" t="s">
        <v>16822</v>
      </c>
      <c r="M401" s="186"/>
      <c r="N401" s="186"/>
      <c r="O401" s="13" t="s">
        <v>16818</v>
      </c>
    </row>
    <row r="402" spans="1:15" ht="38.25" x14ac:dyDescent="0.2">
      <c r="A402" s="197" t="str">
        <f t="shared" si="6"/>
        <v>ChxCode_chan107Y</v>
      </c>
      <c r="B402" s="409"/>
      <c r="C402" s="416"/>
      <c r="D402" s="198" t="s">
        <v>16824</v>
      </c>
      <c r="E402" s="198">
        <v>301</v>
      </c>
      <c r="F402" s="199" t="s">
        <v>16825</v>
      </c>
      <c r="G402" s="1" t="s">
        <v>16826</v>
      </c>
      <c r="H402" s="1" t="s">
        <v>16716</v>
      </c>
      <c r="I402" s="346"/>
      <c r="J402" s="39">
        <v>117276</v>
      </c>
      <c r="K402" s="36" t="str">
        <f>CONCATENATE(Cover!$D$6,"fdd/view?i=",J402)</f>
        <v>https://www.dgiwg.org/FAD/fdd/view?i=117276</v>
      </c>
      <c r="L402" s="36" t="s">
        <v>16827</v>
      </c>
      <c r="M402" s="186"/>
      <c r="N402" s="186"/>
      <c r="O402" s="13" t="s">
        <v>16823</v>
      </c>
    </row>
    <row r="403" spans="1:15" ht="38.25" x14ac:dyDescent="0.2">
      <c r="A403" s="197" t="str">
        <f t="shared" si="6"/>
        <v>ChxCode_chan107Z</v>
      </c>
      <c r="B403" s="409"/>
      <c r="C403" s="416"/>
      <c r="D403" s="198" t="s">
        <v>16829</v>
      </c>
      <c r="E403" s="198">
        <v>302</v>
      </c>
      <c r="F403" s="199" t="s">
        <v>16830</v>
      </c>
      <c r="G403" s="1" t="s">
        <v>16831</v>
      </c>
      <c r="H403" s="1" t="s">
        <v>16716</v>
      </c>
      <c r="I403" s="346"/>
      <c r="J403" s="39">
        <v>117277</v>
      </c>
      <c r="K403" s="36" t="str">
        <f>CONCATENATE(Cover!$D$6,"fdd/view?i=",J403)</f>
        <v>https://www.dgiwg.org/FAD/fdd/view?i=117277</v>
      </c>
      <c r="L403" s="36" t="s">
        <v>16832</v>
      </c>
      <c r="M403" s="186"/>
      <c r="N403" s="186"/>
      <c r="O403" s="13" t="s">
        <v>16828</v>
      </c>
    </row>
    <row r="404" spans="1:15" ht="38.25" x14ac:dyDescent="0.2">
      <c r="A404" s="197" t="str">
        <f t="shared" si="6"/>
        <v>ChxCode_chan108X</v>
      </c>
      <c r="B404" s="409"/>
      <c r="C404" s="416"/>
      <c r="D404" s="198" t="s">
        <v>16834</v>
      </c>
      <c r="E404" s="198">
        <v>303</v>
      </c>
      <c r="F404" s="199" t="s">
        <v>16835</v>
      </c>
      <c r="G404" s="1" t="s">
        <v>16836</v>
      </c>
      <c r="H404" s="1" t="s">
        <v>16716</v>
      </c>
      <c r="I404" s="346"/>
      <c r="J404" s="39">
        <v>117278</v>
      </c>
      <c r="K404" s="36" t="str">
        <f>CONCATENATE(Cover!$D$6,"fdd/view?i=",J404)</f>
        <v>https://www.dgiwg.org/FAD/fdd/view?i=117278</v>
      </c>
      <c r="L404" s="36" t="s">
        <v>16837</v>
      </c>
      <c r="M404" s="186"/>
      <c r="N404" s="186"/>
      <c r="O404" s="13" t="s">
        <v>16833</v>
      </c>
    </row>
    <row r="405" spans="1:15" ht="38.25" x14ac:dyDescent="0.2">
      <c r="A405" s="197" t="str">
        <f t="shared" si="6"/>
        <v>ChxCode_chan108Y</v>
      </c>
      <c r="B405" s="409"/>
      <c r="C405" s="416"/>
      <c r="D405" s="198" t="s">
        <v>16839</v>
      </c>
      <c r="E405" s="198">
        <v>304</v>
      </c>
      <c r="F405" s="199" t="s">
        <v>16840</v>
      </c>
      <c r="G405" s="1" t="s">
        <v>16841</v>
      </c>
      <c r="H405" s="1" t="s">
        <v>16716</v>
      </c>
      <c r="I405" s="346"/>
      <c r="J405" s="39">
        <v>117279</v>
      </c>
      <c r="K405" s="36" t="str">
        <f>CONCATENATE(Cover!$D$6,"fdd/view?i=",J405)</f>
        <v>https://www.dgiwg.org/FAD/fdd/view?i=117279</v>
      </c>
      <c r="L405" s="36" t="s">
        <v>16842</v>
      </c>
      <c r="M405" s="186"/>
      <c r="N405" s="186"/>
      <c r="O405" s="13" t="s">
        <v>16838</v>
      </c>
    </row>
    <row r="406" spans="1:15" ht="38.25" x14ac:dyDescent="0.2">
      <c r="A406" s="197" t="str">
        <f t="shared" si="6"/>
        <v>ChxCode_chan108Z</v>
      </c>
      <c r="B406" s="409"/>
      <c r="C406" s="416"/>
      <c r="D406" s="198" t="s">
        <v>16844</v>
      </c>
      <c r="E406" s="198">
        <v>305</v>
      </c>
      <c r="F406" s="199" t="s">
        <v>16845</v>
      </c>
      <c r="G406" s="1" t="s">
        <v>16846</v>
      </c>
      <c r="H406" s="1" t="s">
        <v>16716</v>
      </c>
      <c r="I406" s="346"/>
      <c r="J406" s="39">
        <v>117280</v>
      </c>
      <c r="K406" s="36" t="str">
        <f>CONCATENATE(Cover!$D$6,"fdd/view?i=",J406)</f>
        <v>https://www.dgiwg.org/FAD/fdd/view?i=117280</v>
      </c>
      <c r="L406" s="36" t="s">
        <v>16847</v>
      </c>
      <c r="M406" s="186"/>
      <c r="N406" s="186"/>
      <c r="O406" s="13" t="s">
        <v>16843</v>
      </c>
    </row>
    <row r="407" spans="1:15" ht="38.25" x14ac:dyDescent="0.2">
      <c r="A407" s="197" t="str">
        <f t="shared" si="6"/>
        <v>ChxCode_chan109X</v>
      </c>
      <c r="B407" s="409"/>
      <c r="C407" s="416"/>
      <c r="D407" s="198" t="s">
        <v>16849</v>
      </c>
      <c r="E407" s="198">
        <v>306</v>
      </c>
      <c r="F407" s="199" t="s">
        <v>16850</v>
      </c>
      <c r="G407" s="1" t="s">
        <v>16851</v>
      </c>
      <c r="H407" s="1" t="s">
        <v>16716</v>
      </c>
      <c r="I407" s="346"/>
      <c r="J407" s="39">
        <v>117281</v>
      </c>
      <c r="K407" s="36" t="str">
        <f>CONCATENATE(Cover!$D$6,"fdd/view?i=",J407)</f>
        <v>https://www.dgiwg.org/FAD/fdd/view?i=117281</v>
      </c>
      <c r="L407" s="36" t="s">
        <v>16852</v>
      </c>
      <c r="M407" s="186"/>
      <c r="N407" s="186"/>
      <c r="O407" s="13" t="s">
        <v>16848</v>
      </c>
    </row>
    <row r="408" spans="1:15" ht="38.25" x14ac:dyDescent="0.2">
      <c r="A408" s="197" t="str">
        <f t="shared" si="6"/>
        <v>ChxCode_chan109Y</v>
      </c>
      <c r="B408" s="409"/>
      <c r="C408" s="416"/>
      <c r="D408" s="198" t="s">
        <v>16854</v>
      </c>
      <c r="E408" s="198">
        <v>307</v>
      </c>
      <c r="F408" s="199" t="s">
        <v>16855</v>
      </c>
      <c r="G408" s="1" t="s">
        <v>16856</v>
      </c>
      <c r="H408" s="1" t="s">
        <v>16716</v>
      </c>
      <c r="I408" s="346"/>
      <c r="J408" s="39">
        <v>117282</v>
      </c>
      <c r="K408" s="36" t="str">
        <f>CONCATENATE(Cover!$D$6,"fdd/view?i=",J408)</f>
        <v>https://www.dgiwg.org/FAD/fdd/view?i=117282</v>
      </c>
      <c r="L408" s="36" t="s">
        <v>16857</v>
      </c>
      <c r="M408" s="186"/>
      <c r="N408" s="186"/>
      <c r="O408" s="13" t="s">
        <v>16853</v>
      </c>
    </row>
    <row r="409" spans="1:15" ht="38.25" x14ac:dyDescent="0.2">
      <c r="A409" s="197" t="str">
        <f t="shared" si="6"/>
        <v>ChxCode_chan109Z</v>
      </c>
      <c r="B409" s="409"/>
      <c r="C409" s="416"/>
      <c r="D409" s="198" t="s">
        <v>16859</v>
      </c>
      <c r="E409" s="198">
        <v>308</v>
      </c>
      <c r="F409" s="199" t="s">
        <v>16860</v>
      </c>
      <c r="G409" s="1" t="s">
        <v>16861</v>
      </c>
      <c r="H409" s="1" t="s">
        <v>16716</v>
      </c>
      <c r="I409" s="346"/>
      <c r="J409" s="39">
        <v>117283</v>
      </c>
      <c r="K409" s="36" t="str">
        <f>CONCATENATE(Cover!$D$6,"fdd/view?i=",J409)</f>
        <v>https://www.dgiwg.org/FAD/fdd/view?i=117283</v>
      </c>
      <c r="L409" s="36" t="s">
        <v>16862</v>
      </c>
      <c r="M409" s="186"/>
      <c r="N409" s="186"/>
      <c r="O409" s="13" t="s">
        <v>16858</v>
      </c>
    </row>
    <row r="410" spans="1:15" ht="38.25" x14ac:dyDescent="0.2">
      <c r="A410" s="197" t="str">
        <f t="shared" si="6"/>
        <v>ChxCode_chan110X</v>
      </c>
      <c r="B410" s="409"/>
      <c r="C410" s="416"/>
      <c r="D410" s="198" t="s">
        <v>16874</v>
      </c>
      <c r="E410" s="198">
        <v>309</v>
      </c>
      <c r="F410" s="199" t="s">
        <v>16875</v>
      </c>
      <c r="G410" s="1" t="s">
        <v>16876</v>
      </c>
      <c r="H410" s="1" t="s">
        <v>16716</v>
      </c>
      <c r="I410" s="346"/>
      <c r="J410" s="39">
        <v>117284</v>
      </c>
      <c r="K410" s="36" t="str">
        <f>CONCATENATE(Cover!$D$6,"fdd/view?i=",J410)</f>
        <v>https://www.dgiwg.org/FAD/fdd/view?i=117284</v>
      </c>
      <c r="L410" s="36" t="s">
        <v>16877</v>
      </c>
      <c r="M410" s="186"/>
      <c r="N410" s="186"/>
      <c r="O410" s="13" t="s">
        <v>16873</v>
      </c>
    </row>
    <row r="411" spans="1:15" ht="38.25" x14ac:dyDescent="0.2">
      <c r="A411" s="197" t="str">
        <f t="shared" si="6"/>
        <v>ChxCode_chan110Y</v>
      </c>
      <c r="B411" s="409"/>
      <c r="C411" s="416"/>
      <c r="D411" s="198" t="s">
        <v>16879</v>
      </c>
      <c r="E411" s="198">
        <v>310</v>
      </c>
      <c r="F411" s="199" t="s">
        <v>16880</v>
      </c>
      <c r="G411" s="1" t="s">
        <v>16881</v>
      </c>
      <c r="H411" s="1" t="s">
        <v>16716</v>
      </c>
      <c r="I411" s="346"/>
      <c r="J411" s="39">
        <v>117285</v>
      </c>
      <c r="K411" s="36" t="str">
        <f>CONCATENATE(Cover!$D$6,"fdd/view?i=",J411)</f>
        <v>https://www.dgiwg.org/FAD/fdd/view?i=117285</v>
      </c>
      <c r="L411" s="36" t="s">
        <v>16882</v>
      </c>
      <c r="M411" s="186"/>
      <c r="N411" s="186"/>
      <c r="O411" s="13" t="s">
        <v>16878</v>
      </c>
    </row>
    <row r="412" spans="1:15" ht="38.25" x14ac:dyDescent="0.2">
      <c r="A412" s="197" t="str">
        <f t="shared" si="6"/>
        <v>ChxCode_chan110Z</v>
      </c>
      <c r="B412" s="409"/>
      <c r="C412" s="416"/>
      <c r="D412" s="198" t="s">
        <v>16884</v>
      </c>
      <c r="E412" s="198">
        <v>311</v>
      </c>
      <c r="F412" s="199" t="s">
        <v>16885</v>
      </c>
      <c r="G412" s="1" t="s">
        <v>16886</v>
      </c>
      <c r="H412" s="1" t="s">
        <v>16716</v>
      </c>
      <c r="I412" s="346"/>
      <c r="J412" s="39">
        <v>117286</v>
      </c>
      <c r="K412" s="36" t="str">
        <f>CONCATENATE(Cover!$D$6,"fdd/view?i=",J412)</f>
        <v>https://www.dgiwg.org/FAD/fdd/view?i=117286</v>
      </c>
      <c r="L412" s="36" t="s">
        <v>16887</v>
      </c>
      <c r="M412" s="186"/>
      <c r="N412" s="186"/>
      <c r="O412" s="13" t="s">
        <v>16883</v>
      </c>
    </row>
    <row r="413" spans="1:15" ht="38.25" x14ac:dyDescent="0.2">
      <c r="A413" s="197" t="str">
        <f t="shared" si="6"/>
        <v>ChxCode_chan111X</v>
      </c>
      <c r="B413" s="409"/>
      <c r="C413" s="416"/>
      <c r="D413" s="198" t="s">
        <v>16889</v>
      </c>
      <c r="E413" s="198">
        <v>312</v>
      </c>
      <c r="F413" s="199" t="s">
        <v>16890</v>
      </c>
      <c r="G413" s="1" t="s">
        <v>16891</v>
      </c>
      <c r="H413" s="1" t="s">
        <v>16716</v>
      </c>
      <c r="I413" s="346"/>
      <c r="J413" s="39">
        <v>117287</v>
      </c>
      <c r="K413" s="36" t="str">
        <f>CONCATENATE(Cover!$D$6,"fdd/view?i=",J413)</f>
        <v>https://www.dgiwg.org/FAD/fdd/view?i=117287</v>
      </c>
      <c r="L413" s="36" t="s">
        <v>16892</v>
      </c>
      <c r="M413" s="186"/>
      <c r="N413" s="186"/>
      <c r="O413" s="13" t="s">
        <v>16888</v>
      </c>
    </row>
    <row r="414" spans="1:15" ht="38.25" x14ac:dyDescent="0.2">
      <c r="A414" s="197" t="str">
        <f t="shared" si="6"/>
        <v>ChxCode_chan111Y</v>
      </c>
      <c r="B414" s="409"/>
      <c r="C414" s="416"/>
      <c r="D414" s="198" t="s">
        <v>16894</v>
      </c>
      <c r="E414" s="198">
        <v>313</v>
      </c>
      <c r="F414" s="199" t="s">
        <v>16895</v>
      </c>
      <c r="G414" s="1" t="s">
        <v>16896</v>
      </c>
      <c r="H414" s="1" t="s">
        <v>16716</v>
      </c>
      <c r="I414" s="346"/>
      <c r="J414" s="39">
        <v>117288</v>
      </c>
      <c r="K414" s="36" t="str">
        <f>CONCATENATE(Cover!$D$6,"fdd/view?i=",J414)</f>
        <v>https://www.dgiwg.org/FAD/fdd/view?i=117288</v>
      </c>
      <c r="L414" s="36" t="s">
        <v>16897</v>
      </c>
      <c r="M414" s="186"/>
      <c r="N414" s="186"/>
      <c r="O414" s="13" t="s">
        <v>16893</v>
      </c>
    </row>
    <row r="415" spans="1:15" ht="38.25" x14ac:dyDescent="0.2">
      <c r="A415" s="197" t="str">
        <f t="shared" si="6"/>
        <v>ChxCode_chan111Z</v>
      </c>
      <c r="B415" s="409"/>
      <c r="C415" s="416"/>
      <c r="D415" s="198" t="s">
        <v>16899</v>
      </c>
      <c r="E415" s="198">
        <v>314</v>
      </c>
      <c r="F415" s="199" t="s">
        <v>16900</v>
      </c>
      <c r="G415" s="1" t="s">
        <v>16901</v>
      </c>
      <c r="H415" s="1" t="s">
        <v>16716</v>
      </c>
      <c r="I415" s="346"/>
      <c r="J415" s="39">
        <v>117289</v>
      </c>
      <c r="K415" s="36" t="str">
        <f>CONCATENATE(Cover!$D$6,"fdd/view?i=",J415)</f>
        <v>https://www.dgiwg.org/FAD/fdd/view?i=117289</v>
      </c>
      <c r="L415" s="36" t="s">
        <v>16902</v>
      </c>
      <c r="M415" s="186"/>
      <c r="N415" s="186"/>
      <c r="O415" s="13" t="s">
        <v>16898</v>
      </c>
    </row>
    <row r="416" spans="1:15" ht="38.25" x14ac:dyDescent="0.2">
      <c r="A416" s="197" t="str">
        <f t="shared" si="6"/>
        <v>ChxCode_chan112X</v>
      </c>
      <c r="B416" s="409"/>
      <c r="C416" s="416"/>
      <c r="D416" s="198" t="s">
        <v>16904</v>
      </c>
      <c r="E416" s="198">
        <v>315</v>
      </c>
      <c r="F416" s="199" t="s">
        <v>16905</v>
      </c>
      <c r="G416" s="1" t="s">
        <v>16906</v>
      </c>
      <c r="H416" s="1" t="s">
        <v>16716</v>
      </c>
      <c r="I416" s="346"/>
      <c r="J416" s="39">
        <v>117290</v>
      </c>
      <c r="K416" s="36" t="str">
        <f>CONCATENATE(Cover!$D$6,"fdd/view?i=",J416)</f>
        <v>https://www.dgiwg.org/FAD/fdd/view?i=117290</v>
      </c>
      <c r="L416" s="36" t="s">
        <v>16907</v>
      </c>
      <c r="M416" s="186"/>
      <c r="N416" s="186"/>
      <c r="O416" s="13" t="s">
        <v>16903</v>
      </c>
    </row>
    <row r="417" spans="1:15" ht="38.25" x14ac:dyDescent="0.2">
      <c r="A417" s="197" t="str">
        <f t="shared" si="6"/>
        <v>ChxCode_chan112Y</v>
      </c>
      <c r="B417" s="409"/>
      <c r="C417" s="416"/>
      <c r="D417" s="198" t="s">
        <v>16909</v>
      </c>
      <c r="E417" s="198">
        <v>316</v>
      </c>
      <c r="F417" s="199" t="s">
        <v>16910</v>
      </c>
      <c r="G417" s="1" t="s">
        <v>16911</v>
      </c>
      <c r="H417" s="1" t="s">
        <v>16716</v>
      </c>
      <c r="I417" s="346"/>
      <c r="J417" s="39">
        <v>117291</v>
      </c>
      <c r="K417" s="36" t="str">
        <f>CONCATENATE(Cover!$D$6,"fdd/view?i=",J417)</f>
        <v>https://www.dgiwg.org/FAD/fdd/view?i=117291</v>
      </c>
      <c r="L417" s="36" t="s">
        <v>16912</v>
      </c>
      <c r="M417" s="186"/>
      <c r="N417" s="186"/>
      <c r="O417" s="13" t="s">
        <v>16908</v>
      </c>
    </row>
    <row r="418" spans="1:15" ht="38.25" x14ac:dyDescent="0.2">
      <c r="A418" s="197" t="str">
        <f t="shared" si="6"/>
        <v>ChxCode_chan112Z</v>
      </c>
      <c r="B418" s="409"/>
      <c r="C418" s="416"/>
      <c r="D418" s="198" t="s">
        <v>16914</v>
      </c>
      <c r="E418" s="198">
        <v>317</v>
      </c>
      <c r="F418" s="199" t="s">
        <v>16915</v>
      </c>
      <c r="G418" s="1" t="s">
        <v>16916</v>
      </c>
      <c r="H418" s="1" t="s">
        <v>16716</v>
      </c>
      <c r="I418" s="346"/>
      <c r="J418" s="39">
        <v>117292</v>
      </c>
      <c r="K418" s="36" t="str">
        <f>CONCATENATE(Cover!$D$6,"fdd/view?i=",J418)</f>
        <v>https://www.dgiwg.org/FAD/fdd/view?i=117292</v>
      </c>
      <c r="L418" s="36" t="s">
        <v>16917</v>
      </c>
      <c r="M418" s="186"/>
      <c r="N418" s="186"/>
      <c r="O418" s="13" t="s">
        <v>16913</v>
      </c>
    </row>
    <row r="419" spans="1:15" ht="38.25" x14ac:dyDescent="0.2">
      <c r="A419" s="197" t="str">
        <f t="shared" si="6"/>
        <v>ChxCode_chan113X</v>
      </c>
      <c r="B419" s="409"/>
      <c r="C419" s="416"/>
      <c r="D419" s="198" t="s">
        <v>16919</v>
      </c>
      <c r="E419" s="198">
        <v>318</v>
      </c>
      <c r="F419" s="199" t="s">
        <v>16920</v>
      </c>
      <c r="G419" s="1" t="s">
        <v>16921</v>
      </c>
      <c r="H419" s="1" t="s">
        <v>16716</v>
      </c>
      <c r="I419" s="346"/>
      <c r="J419" s="39">
        <v>117293</v>
      </c>
      <c r="K419" s="36" t="str">
        <f>CONCATENATE(Cover!$D$6,"fdd/view?i=",J419)</f>
        <v>https://www.dgiwg.org/FAD/fdd/view?i=117293</v>
      </c>
      <c r="L419" s="36" t="s">
        <v>16922</v>
      </c>
      <c r="M419" s="186"/>
      <c r="N419" s="186"/>
      <c r="O419" s="13" t="s">
        <v>16918</v>
      </c>
    </row>
    <row r="420" spans="1:15" ht="38.25" x14ac:dyDescent="0.2">
      <c r="A420" s="197" t="str">
        <f t="shared" si="6"/>
        <v>ChxCode_chan113Y</v>
      </c>
      <c r="B420" s="409"/>
      <c r="C420" s="416"/>
      <c r="D420" s="198" t="s">
        <v>16924</v>
      </c>
      <c r="E420" s="198">
        <v>319</v>
      </c>
      <c r="F420" s="199" t="s">
        <v>16925</v>
      </c>
      <c r="G420" s="1" t="s">
        <v>16926</v>
      </c>
      <c r="H420" s="1" t="s">
        <v>16716</v>
      </c>
      <c r="I420" s="346"/>
      <c r="J420" s="39">
        <v>117294</v>
      </c>
      <c r="K420" s="36" t="str">
        <f>CONCATENATE(Cover!$D$6,"fdd/view?i=",J420)</f>
        <v>https://www.dgiwg.org/FAD/fdd/view?i=117294</v>
      </c>
      <c r="L420" s="36" t="s">
        <v>16927</v>
      </c>
      <c r="M420" s="186"/>
      <c r="N420" s="186"/>
      <c r="O420" s="13" t="s">
        <v>16923</v>
      </c>
    </row>
    <row r="421" spans="1:15" ht="38.25" x14ac:dyDescent="0.2">
      <c r="A421" s="197" t="str">
        <f t="shared" si="6"/>
        <v>ChxCode_chan113Z</v>
      </c>
      <c r="B421" s="409"/>
      <c r="C421" s="416"/>
      <c r="D421" s="198" t="s">
        <v>16929</v>
      </c>
      <c r="E421" s="198">
        <v>320</v>
      </c>
      <c r="F421" s="199" t="s">
        <v>16930</v>
      </c>
      <c r="G421" s="1" t="s">
        <v>16931</v>
      </c>
      <c r="H421" s="1" t="s">
        <v>16716</v>
      </c>
      <c r="I421" s="346"/>
      <c r="J421" s="39">
        <v>117295</v>
      </c>
      <c r="K421" s="36" t="str">
        <f>CONCATENATE(Cover!$D$6,"fdd/view?i=",J421)</f>
        <v>https://www.dgiwg.org/FAD/fdd/view?i=117295</v>
      </c>
      <c r="L421" s="36" t="s">
        <v>16932</v>
      </c>
      <c r="M421" s="186"/>
      <c r="N421" s="186"/>
      <c r="O421" s="13" t="s">
        <v>16928</v>
      </c>
    </row>
    <row r="422" spans="1:15" ht="38.25" x14ac:dyDescent="0.2">
      <c r="A422" s="197" t="str">
        <f t="shared" si="6"/>
        <v>ChxCode_chan114X</v>
      </c>
      <c r="B422" s="409"/>
      <c r="C422" s="416"/>
      <c r="D422" s="198" t="s">
        <v>16934</v>
      </c>
      <c r="E422" s="198">
        <v>321</v>
      </c>
      <c r="F422" s="199" t="s">
        <v>16935</v>
      </c>
      <c r="G422" s="1" t="s">
        <v>16936</v>
      </c>
      <c r="H422" s="1" t="s">
        <v>16716</v>
      </c>
      <c r="I422" s="346"/>
      <c r="J422" s="39">
        <v>117296</v>
      </c>
      <c r="K422" s="36" t="str">
        <f>CONCATENATE(Cover!$D$6,"fdd/view?i=",J422)</f>
        <v>https://www.dgiwg.org/FAD/fdd/view?i=117296</v>
      </c>
      <c r="L422" s="36" t="s">
        <v>16937</v>
      </c>
      <c r="M422" s="186"/>
      <c r="N422" s="186"/>
      <c r="O422" s="13" t="s">
        <v>16933</v>
      </c>
    </row>
    <row r="423" spans="1:15" ht="38.25" x14ac:dyDescent="0.2">
      <c r="A423" s="197" t="str">
        <f t="shared" si="6"/>
        <v>ChxCode_chan114Y</v>
      </c>
      <c r="B423" s="409"/>
      <c r="C423" s="416"/>
      <c r="D423" s="198" t="s">
        <v>16939</v>
      </c>
      <c r="E423" s="198">
        <v>322</v>
      </c>
      <c r="F423" s="199" t="s">
        <v>16940</v>
      </c>
      <c r="G423" s="1" t="s">
        <v>16941</v>
      </c>
      <c r="H423" s="1" t="s">
        <v>16716</v>
      </c>
      <c r="I423" s="346"/>
      <c r="J423" s="39">
        <v>117297</v>
      </c>
      <c r="K423" s="36" t="str">
        <f>CONCATENATE(Cover!$D$6,"fdd/view?i=",J423)</f>
        <v>https://www.dgiwg.org/FAD/fdd/view?i=117297</v>
      </c>
      <c r="L423" s="36" t="s">
        <v>16942</v>
      </c>
      <c r="M423" s="186"/>
      <c r="N423" s="186"/>
      <c r="O423" s="13" t="s">
        <v>16938</v>
      </c>
    </row>
    <row r="424" spans="1:15" ht="38.25" x14ac:dyDescent="0.2">
      <c r="A424" s="197" t="str">
        <f t="shared" si="6"/>
        <v>ChxCode_chan114Z</v>
      </c>
      <c r="B424" s="409"/>
      <c r="C424" s="416"/>
      <c r="D424" s="198" t="s">
        <v>16944</v>
      </c>
      <c r="E424" s="198">
        <v>323</v>
      </c>
      <c r="F424" s="199" t="s">
        <v>16945</v>
      </c>
      <c r="G424" s="1" t="s">
        <v>16946</v>
      </c>
      <c r="H424" s="1" t="s">
        <v>16716</v>
      </c>
      <c r="I424" s="346"/>
      <c r="J424" s="39">
        <v>117298</v>
      </c>
      <c r="K424" s="36" t="str">
        <f>CONCATENATE(Cover!$D$6,"fdd/view?i=",J424)</f>
        <v>https://www.dgiwg.org/FAD/fdd/view?i=117298</v>
      </c>
      <c r="L424" s="36" t="s">
        <v>16947</v>
      </c>
      <c r="M424" s="186"/>
      <c r="N424" s="186"/>
      <c r="O424" s="13" t="s">
        <v>16943</v>
      </c>
    </row>
    <row r="425" spans="1:15" ht="38.25" x14ac:dyDescent="0.2">
      <c r="A425" s="197" t="str">
        <f t="shared" si="6"/>
        <v>ChxCode_chan115X</v>
      </c>
      <c r="B425" s="409"/>
      <c r="C425" s="416"/>
      <c r="D425" s="198" t="s">
        <v>16949</v>
      </c>
      <c r="E425" s="198">
        <v>324</v>
      </c>
      <c r="F425" s="199" t="s">
        <v>16950</v>
      </c>
      <c r="G425" s="1" t="s">
        <v>16951</v>
      </c>
      <c r="H425" s="1" t="s">
        <v>16716</v>
      </c>
      <c r="I425" s="346"/>
      <c r="J425" s="39">
        <v>117299</v>
      </c>
      <c r="K425" s="36" t="str">
        <f>CONCATENATE(Cover!$D$6,"fdd/view?i=",J425)</f>
        <v>https://www.dgiwg.org/FAD/fdd/view?i=117299</v>
      </c>
      <c r="L425" s="36" t="s">
        <v>16952</v>
      </c>
      <c r="M425" s="186"/>
      <c r="N425" s="186"/>
      <c r="O425" s="13" t="s">
        <v>16948</v>
      </c>
    </row>
    <row r="426" spans="1:15" ht="38.25" x14ac:dyDescent="0.2">
      <c r="A426" s="197" t="str">
        <f t="shared" si="6"/>
        <v>ChxCode_chan115Y</v>
      </c>
      <c r="B426" s="409"/>
      <c r="C426" s="416"/>
      <c r="D426" s="198" t="s">
        <v>16954</v>
      </c>
      <c r="E426" s="198">
        <v>325</v>
      </c>
      <c r="F426" s="199" t="s">
        <v>16955</v>
      </c>
      <c r="G426" s="1" t="s">
        <v>16956</v>
      </c>
      <c r="H426" s="1" t="s">
        <v>16716</v>
      </c>
      <c r="I426" s="346"/>
      <c r="J426" s="39">
        <v>117300</v>
      </c>
      <c r="K426" s="36" t="str">
        <f>CONCATENATE(Cover!$D$6,"fdd/view?i=",J426)</f>
        <v>https://www.dgiwg.org/FAD/fdd/view?i=117300</v>
      </c>
      <c r="L426" s="36" t="s">
        <v>16957</v>
      </c>
      <c r="M426" s="186"/>
      <c r="N426" s="186"/>
      <c r="O426" s="13" t="s">
        <v>16953</v>
      </c>
    </row>
    <row r="427" spans="1:15" ht="38.25" x14ac:dyDescent="0.2">
      <c r="A427" s="197" t="str">
        <f t="shared" si="6"/>
        <v>ChxCode_chan115Z</v>
      </c>
      <c r="B427" s="409"/>
      <c r="C427" s="416"/>
      <c r="D427" s="198" t="s">
        <v>16959</v>
      </c>
      <c r="E427" s="198">
        <v>326</v>
      </c>
      <c r="F427" s="199" t="s">
        <v>16960</v>
      </c>
      <c r="G427" s="1" t="s">
        <v>16961</v>
      </c>
      <c r="H427" s="1" t="s">
        <v>16716</v>
      </c>
      <c r="I427" s="346"/>
      <c r="J427" s="39">
        <v>117301</v>
      </c>
      <c r="K427" s="36" t="str">
        <f>CONCATENATE(Cover!$D$6,"fdd/view?i=",J427)</f>
        <v>https://www.dgiwg.org/FAD/fdd/view?i=117301</v>
      </c>
      <c r="L427" s="36" t="s">
        <v>16962</v>
      </c>
      <c r="M427" s="186"/>
      <c r="N427" s="186"/>
      <c r="O427" s="13" t="s">
        <v>16958</v>
      </c>
    </row>
    <row r="428" spans="1:15" ht="38.25" x14ac:dyDescent="0.2">
      <c r="A428" s="197" t="str">
        <f t="shared" si="6"/>
        <v>ChxCode_chan116X</v>
      </c>
      <c r="B428" s="409"/>
      <c r="C428" s="416"/>
      <c r="D428" s="198" t="s">
        <v>16964</v>
      </c>
      <c r="E428" s="198">
        <v>327</v>
      </c>
      <c r="F428" s="199" t="s">
        <v>16965</v>
      </c>
      <c r="G428" s="1" t="s">
        <v>16966</v>
      </c>
      <c r="H428" s="1" t="s">
        <v>16716</v>
      </c>
      <c r="I428" s="346"/>
      <c r="J428" s="39">
        <v>117302</v>
      </c>
      <c r="K428" s="36" t="str">
        <f>CONCATENATE(Cover!$D$6,"fdd/view?i=",J428)</f>
        <v>https://www.dgiwg.org/FAD/fdd/view?i=117302</v>
      </c>
      <c r="L428" s="36" t="s">
        <v>16967</v>
      </c>
      <c r="M428" s="186"/>
      <c r="N428" s="186"/>
      <c r="O428" s="13" t="s">
        <v>16963</v>
      </c>
    </row>
    <row r="429" spans="1:15" ht="38.25" x14ac:dyDescent="0.2">
      <c r="A429" s="197" t="str">
        <f t="shared" si="6"/>
        <v>ChxCode_chan116Y</v>
      </c>
      <c r="B429" s="409"/>
      <c r="C429" s="416"/>
      <c r="D429" s="198" t="s">
        <v>16969</v>
      </c>
      <c r="E429" s="198">
        <v>328</v>
      </c>
      <c r="F429" s="199" t="s">
        <v>16970</v>
      </c>
      <c r="G429" s="1" t="s">
        <v>16971</v>
      </c>
      <c r="H429" s="1" t="s">
        <v>16716</v>
      </c>
      <c r="I429" s="346"/>
      <c r="J429" s="39">
        <v>117303</v>
      </c>
      <c r="K429" s="36" t="str">
        <f>CONCATENATE(Cover!$D$6,"fdd/view?i=",J429)</f>
        <v>https://www.dgiwg.org/FAD/fdd/view?i=117303</v>
      </c>
      <c r="L429" s="36" t="s">
        <v>16972</v>
      </c>
      <c r="M429" s="186"/>
      <c r="N429" s="186"/>
      <c r="O429" s="13" t="s">
        <v>16968</v>
      </c>
    </row>
    <row r="430" spans="1:15" ht="38.25" x14ac:dyDescent="0.2">
      <c r="A430" s="197" t="str">
        <f t="shared" si="6"/>
        <v>ChxCode_chan116Z</v>
      </c>
      <c r="B430" s="409"/>
      <c r="C430" s="416"/>
      <c r="D430" s="198" t="s">
        <v>16974</v>
      </c>
      <c r="E430" s="198">
        <v>329</v>
      </c>
      <c r="F430" s="199" t="s">
        <v>16975</v>
      </c>
      <c r="G430" s="1" t="s">
        <v>16976</v>
      </c>
      <c r="H430" s="1" t="s">
        <v>16716</v>
      </c>
      <c r="I430" s="346"/>
      <c r="J430" s="39">
        <v>117304</v>
      </c>
      <c r="K430" s="36" t="str">
        <f>CONCATENATE(Cover!$D$6,"fdd/view?i=",J430)</f>
        <v>https://www.dgiwg.org/FAD/fdd/view?i=117304</v>
      </c>
      <c r="L430" s="36" t="s">
        <v>16977</v>
      </c>
      <c r="M430" s="186"/>
      <c r="N430" s="186"/>
      <c r="O430" s="13" t="s">
        <v>16973</v>
      </c>
    </row>
    <row r="431" spans="1:15" ht="38.25" x14ac:dyDescent="0.2">
      <c r="A431" s="197" t="str">
        <f t="shared" si="6"/>
        <v>ChxCode_chan117X</v>
      </c>
      <c r="B431" s="409"/>
      <c r="C431" s="416"/>
      <c r="D431" s="198" t="s">
        <v>16979</v>
      </c>
      <c r="E431" s="198">
        <v>330</v>
      </c>
      <c r="F431" s="199" t="s">
        <v>16980</v>
      </c>
      <c r="G431" s="1" t="s">
        <v>16981</v>
      </c>
      <c r="H431" s="1" t="s">
        <v>16716</v>
      </c>
      <c r="I431" s="346"/>
      <c r="J431" s="39">
        <v>117305</v>
      </c>
      <c r="K431" s="36" t="str">
        <f>CONCATENATE(Cover!$D$6,"fdd/view?i=",J431)</f>
        <v>https://www.dgiwg.org/FAD/fdd/view?i=117305</v>
      </c>
      <c r="L431" s="36" t="s">
        <v>16982</v>
      </c>
      <c r="M431" s="186"/>
      <c r="N431" s="186"/>
      <c r="O431" s="13" t="s">
        <v>16978</v>
      </c>
    </row>
    <row r="432" spans="1:15" ht="38.25" x14ac:dyDescent="0.2">
      <c r="A432" s="197" t="str">
        <f t="shared" si="6"/>
        <v>ChxCode_chan117Y</v>
      </c>
      <c r="B432" s="409"/>
      <c r="C432" s="416"/>
      <c r="D432" s="198" t="s">
        <v>16984</v>
      </c>
      <c r="E432" s="198">
        <v>331</v>
      </c>
      <c r="F432" s="199" t="s">
        <v>16985</v>
      </c>
      <c r="G432" s="1" t="s">
        <v>16986</v>
      </c>
      <c r="H432" s="1" t="s">
        <v>16716</v>
      </c>
      <c r="I432" s="346"/>
      <c r="J432" s="39">
        <v>117306</v>
      </c>
      <c r="K432" s="36" t="str">
        <f>CONCATENATE(Cover!$D$6,"fdd/view?i=",J432)</f>
        <v>https://www.dgiwg.org/FAD/fdd/view?i=117306</v>
      </c>
      <c r="L432" s="36" t="s">
        <v>16987</v>
      </c>
      <c r="M432" s="186"/>
      <c r="N432" s="186"/>
      <c r="O432" s="13" t="s">
        <v>16983</v>
      </c>
    </row>
    <row r="433" spans="1:15" ht="38.25" x14ac:dyDescent="0.2">
      <c r="A433" s="197" t="str">
        <f t="shared" si="6"/>
        <v>ChxCode_chan117Z</v>
      </c>
      <c r="B433" s="409"/>
      <c r="C433" s="416"/>
      <c r="D433" s="198" t="s">
        <v>16989</v>
      </c>
      <c r="E433" s="198">
        <v>332</v>
      </c>
      <c r="F433" s="199" t="s">
        <v>16990</v>
      </c>
      <c r="G433" s="1" t="s">
        <v>16991</v>
      </c>
      <c r="H433" s="1" t="s">
        <v>16716</v>
      </c>
      <c r="I433" s="346"/>
      <c r="J433" s="39">
        <v>117307</v>
      </c>
      <c r="K433" s="36" t="str">
        <f>CONCATENATE(Cover!$D$6,"fdd/view?i=",J433)</f>
        <v>https://www.dgiwg.org/FAD/fdd/view?i=117307</v>
      </c>
      <c r="L433" s="36" t="s">
        <v>16992</v>
      </c>
      <c r="M433" s="186"/>
      <c r="N433" s="186"/>
      <c r="O433" s="13" t="s">
        <v>16988</v>
      </c>
    </row>
    <row r="434" spans="1:15" ht="38.25" x14ac:dyDescent="0.2">
      <c r="A434" s="197" t="str">
        <f t="shared" si="6"/>
        <v>ChxCode_chan118X</v>
      </c>
      <c r="B434" s="409"/>
      <c r="C434" s="416"/>
      <c r="D434" s="198" t="s">
        <v>16994</v>
      </c>
      <c r="E434" s="198">
        <v>333</v>
      </c>
      <c r="F434" s="199" t="s">
        <v>16995</v>
      </c>
      <c r="G434" s="1" t="s">
        <v>16996</v>
      </c>
      <c r="H434" s="1" t="s">
        <v>16716</v>
      </c>
      <c r="I434" s="346"/>
      <c r="J434" s="39">
        <v>117308</v>
      </c>
      <c r="K434" s="36" t="str">
        <f>CONCATENATE(Cover!$D$6,"fdd/view?i=",J434)</f>
        <v>https://www.dgiwg.org/FAD/fdd/view?i=117308</v>
      </c>
      <c r="L434" s="36" t="s">
        <v>16997</v>
      </c>
      <c r="M434" s="186"/>
      <c r="N434" s="186"/>
      <c r="O434" s="13" t="s">
        <v>16993</v>
      </c>
    </row>
    <row r="435" spans="1:15" ht="38.25" x14ac:dyDescent="0.2">
      <c r="A435" s="197" t="str">
        <f t="shared" si="6"/>
        <v>ChxCode_chan118Y</v>
      </c>
      <c r="B435" s="409"/>
      <c r="C435" s="416"/>
      <c r="D435" s="198" t="s">
        <v>16999</v>
      </c>
      <c r="E435" s="198">
        <v>334</v>
      </c>
      <c r="F435" s="199" t="s">
        <v>17000</v>
      </c>
      <c r="G435" s="1" t="s">
        <v>17001</v>
      </c>
      <c r="H435" s="1" t="s">
        <v>16716</v>
      </c>
      <c r="I435" s="346"/>
      <c r="J435" s="39">
        <v>117309</v>
      </c>
      <c r="K435" s="36" t="str">
        <f>CONCATENATE(Cover!$D$6,"fdd/view?i=",J435)</f>
        <v>https://www.dgiwg.org/FAD/fdd/view?i=117309</v>
      </c>
      <c r="L435" s="36" t="s">
        <v>17002</v>
      </c>
      <c r="M435" s="186"/>
      <c r="N435" s="186"/>
      <c r="O435" s="13" t="s">
        <v>16998</v>
      </c>
    </row>
    <row r="436" spans="1:15" ht="38.25" x14ac:dyDescent="0.2">
      <c r="A436" s="197" t="str">
        <f t="shared" si="6"/>
        <v>ChxCode_chan118Z</v>
      </c>
      <c r="B436" s="409"/>
      <c r="C436" s="416"/>
      <c r="D436" s="198" t="s">
        <v>17004</v>
      </c>
      <c r="E436" s="198">
        <v>335</v>
      </c>
      <c r="F436" s="199" t="s">
        <v>17005</v>
      </c>
      <c r="G436" s="1" t="s">
        <v>17006</v>
      </c>
      <c r="H436" s="1" t="s">
        <v>16716</v>
      </c>
      <c r="I436" s="346"/>
      <c r="J436" s="39">
        <v>117310</v>
      </c>
      <c r="K436" s="36" t="str">
        <f>CONCATENATE(Cover!$D$6,"fdd/view?i=",J436)</f>
        <v>https://www.dgiwg.org/FAD/fdd/view?i=117310</v>
      </c>
      <c r="L436" s="36" t="s">
        <v>17007</v>
      </c>
      <c r="M436" s="186"/>
      <c r="N436" s="186"/>
      <c r="O436" s="13" t="s">
        <v>17003</v>
      </c>
    </row>
    <row r="437" spans="1:15" ht="38.25" x14ac:dyDescent="0.2">
      <c r="A437" s="197" t="str">
        <f t="shared" si="6"/>
        <v>ChxCode_chan119X</v>
      </c>
      <c r="B437" s="409"/>
      <c r="C437" s="416"/>
      <c r="D437" s="198" t="s">
        <v>17009</v>
      </c>
      <c r="E437" s="198">
        <v>336</v>
      </c>
      <c r="F437" s="199" t="s">
        <v>17010</v>
      </c>
      <c r="G437" s="1" t="s">
        <v>17011</v>
      </c>
      <c r="H437" s="1" t="s">
        <v>16716</v>
      </c>
      <c r="I437" s="346"/>
      <c r="J437" s="39">
        <v>117311</v>
      </c>
      <c r="K437" s="36" t="str">
        <f>CONCATENATE(Cover!$D$6,"fdd/view?i=",J437)</f>
        <v>https://www.dgiwg.org/FAD/fdd/view?i=117311</v>
      </c>
      <c r="L437" s="36" t="s">
        <v>17012</v>
      </c>
      <c r="M437" s="186"/>
      <c r="N437" s="186"/>
      <c r="O437" s="13" t="s">
        <v>17008</v>
      </c>
    </row>
    <row r="438" spans="1:15" ht="38.25" x14ac:dyDescent="0.2">
      <c r="A438" s="197" t="str">
        <f t="shared" si="6"/>
        <v>ChxCode_chan119Y</v>
      </c>
      <c r="B438" s="409"/>
      <c r="C438" s="416"/>
      <c r="D438" s="198" t="s">
        <v>17014</v>
      </c>
      <c r="E438" s="198">
        <v>337</v>
      </c>
      <c r="F438" s="199" t="s">
        <v>17015</v>
      </c>
      <c r="G438" s="1" t="s">
        <v>17016</v>
      </c>
      <c r="H438" s="1" t="s">
        <v>16716</v>
      </c>
      <c r="I438" s="346"/>
      <c r="J438" s="39">
        <v>117312</v>
      </c>
      <c r="K438" s="36" t="str">
        <f>CONCATENATE(Cover!$D$6,"fdd/view?i=",J438)</f>
        <v>https://www.dgiwg.org/FAD/fdd/view?i=117312</v>
      </c>
      <c r="L438" s="36" t="s">
        <v>17017</v>
      </c>
      <c r="M438" s="186"/>
      <c r="N438" s="186"/>
      <c r="O438" s="13" t="s">
        <v>17013</v>
      </c>
    </row>
    <row r="439" spans="1:15" ht="38.25" x14ac:dyDescent="0.2">
      <c r="A439" s="197" t="str">
        <f t="shared" si="6"/>
        <v>ChxCode_chan119Z</v>
      </c>
      <c r="B439" s="409"/>
      <c r="C439" s="416"/>
      <c r="D439" s="198" t="s">
        <v>17019</v>
      </c>
      <c r="E439" s="198">
        <v>338</v>
      </c>
      <c r="F439" s="199" t="s">
        <v>17020</v>
      </c>
      <c r="G439" s="1" t="s">
        <v>17021</v>
      </c>
      <c r="H439" s="1" t="s">
        <v>16716</v>
      </c>
      <c r="I439" s="346"/>
      <c r="J439" s="39">
        <v>117313</v>
      </c>
      <c r="K439" s="36" t="str">
        <f>CONCATENATE(Cover!$D$6,"fdd/view?i=",J439)</f>
        <v>https://www.dgiwg.org/FAD/fdd/view?i=117313</v>
      </c>
      <c r="L439" s="36" t="s">
        <v>17022</v>
      </c>
      <c r="M439" s="186"/>
      <c r="N439" s="186"/>
      <c r="O439" s="13" t="s">
        <v>17018</v>
      </c>
    </row>
    <row r="440" spans="1:15" ht="38.25" x14ac:dyDescent="0.2">
      <c r="A440" s="197" t="str">
        <f t="shared" si="6"/>
        <v>ChxCode_chan120X</v>
      </c>
      <c r="B440" s="409"/>
      <c r="C440" s="416"/>
      <c r="D440" s="198" t="s">
        <v>17034</v>
      </c>
      <c r="E440" s="198">
        <v>339</v>
      </c>
      <c r="F440" s="199" t="s">
        <v>17035</v>
      </c>
      <c r="G440" s="1" t="s">
        <v>17036</v>
      </c>
      <c r="H440" s="1" t="s">
        <v>16716</v>
      </c>
      <c r="I440" s="346"/>
      <c r="J440" s="39">
        <v>117314</v>
      </c>
      <c r="K440" s="36" t="str">
        <f>CONCATENATE(Cover!$D$6,"fdd/view?i=",J440)</f>
        <v>https://www.dgiwg.org/FAD/fdd/view?i=117314</v>
      </c>
      <c r="L440" s="36" t="s">
        <v>17037</v>
      </c>
      <c r="M440" s="186"/>
      <c r="N440" s="186"/>
      <c r="O440" s="13" t="s">
        <v>17033</v>
      </c>
    </row>
    <row r="441" spans="1:15" ht="38.25" x14ac:dyDescent="0.2">
      <c r="A441" s="197" t="str">
        <f t="shared" si="6"/>
        <v>ChxCode_chan120Y</v>
      </c>
      <c r="B441" s="409"/>
      <c r="C441" s="416"/>
      <c r="D441" s="198" t="s">
        <v>17039</v>
      </c>
      <c r="E441" s="198">
        <v>340</v>
      </c>
      <c r="F441" s="199" t="s">
        <v>17040</v>
      </c>
      <c r="G441" s="1" t="s">
        <v>17041</v>
      </c>
      <c r="H441" s="1" t="s">
        <v>16716</v>
      </c>
      <c r="I441" s="346"/>
      <c r="J441" s="39">
        <v>117315</v>
      </c>
      <c r="K441" s="36" t="str">
        <f>CONCATENATE(Cover!$D$6,"fdd/view?i=",J441)</f>
        <v>https://www.dgiwg.org/FAD/fdd/view?i=117315</v>
      </c>
      <c r="L441" s="36" t="s">
        <v>17042</v>
      </c>
      <c r="M441" s="186"/>
      <c r="N441" s="186"/>
      <c r="O441" s="13" t="s">
        <v>17038</v>
      </c>
    </row>
    <row r="442" spans="1:15" ht="38.25" x14ac:dyDescent="0.2">
      <c r="A442" s="197" t="str">
        <f t="shared" si="6"/>
        <v>ChxCode_chan121X</v>
      </c>
      <c r="B442" s="409"/>
      <c r="C442" s="416"/>
      <c r="D442" s="198" t="s">
        <v>17044</v>
      </c>
      <c r="E442" s="198">
        <v>341</v>
      </c>
      <c r="F442" s="199" t="s">
        <v>17045</v>
      </c>
      <c r="G442" s="1" t="s">
        <v>17046</v>
      </c>
      <c r="H442" s="1" t="s">
        <v>16716</v>
      </c>
      <c r="I442" s="346"/>
      <c r="J442" s="39">
        <v>117316</v>
      </c>
      <c r="K442" s="36" t="str">
        <f>CONCATENATE(Cover!$D$6,"fdd/view?i=",J442)</f>
        <v>https://www.dgiwg.org/FAD/fdd/view?i=117316</v>
      </c>
      <c r="L442" s="36" t="s">
        <v>17047</v>
      </c>
      <c r="M442" s="186"/>
      <c r="N442" s="186"/>
      <c r="O442" s="13" t="s">
        <v>17043</v>
      </c>
    </row>
    <row r="443" spans="1:15" ht="38.25" x14ac:dyDescent="0.2">
      <c r="A443" s="197" t="str">
        <f t="shared" si="6"/>
        <v>ChxCode_chan121Y</v>
      </c>
      <c r="B443" s="409"/>
      <c r="C443" s="416"/>
      <c r="D443" s="198" t="s">
        <v>17049</v>
      </c>
      <c r="E443" s="198">
        <v>342</v>
      </c>
      <c r="F443" s="199" t="s">
        <v>17050</v>
      </c>
      <c r="G443" s="1" t="s">
        <v>17051</v>
      </c>
      <c r="H443" s="1" t="s">
        <v>16716</v>
      </c>
      <c r="I443" s="346"/>
      <c r="J443" s="39">
        <v>117317</v>
      </c>
      <c r="K443" s="36" t="str">
        <f>CONCATENATE(Cover!$D$6,"fdd/view?i=",J443)</f>
        <v>https://www.dgiwg.org/FAD/fdd/view?i=117317</v>
      </c>
      <c r="L443" s="36" t="s">
        <v>17052</v>
      </c>
      <c r="M443" s="186"/>
      <c r="N443" s="186"/>
      <c r="O443" s="13" t="s">
        <v>17048</v>
      </c>
    </row>
    <row r="444" spans="1:15" ht="38.25" x14ac:dyDescent="0.2">
      <c r="A444" s="197" t="str">
        <f t="shared" si="6"/>
        <v>ChxCode_chan122X</v>
      </c>
      <c r="B444" s="409"/>
      <c r="C444" s="416"/>
      <c r="D444" s="198" t="s">
        <v>17054</v>
      </c>
      <c r="E444" s="198">
        <v>343</v>
      </c>
      <c r="F444" s="199" t="s">
        <v>17055</v>
      </c>
      <c r="G444" s="1" t="s">
        <v>17056</v>
      </c>
      <c r="H444" s="1" t="s">
        <v>16716</v>
      </c>
      <c r="I444" s="346"/>
      <c r="J444" s="39">
        <v>117318</v>
      </c>
      <c r="K444" s="36" t="str">
        <f>CONCATENATE(Cover!$D$6,"fdd/view?i=",J444)</f>
        <v>https://www.dgiwg.org/FAD/fdd/view?i=117318</v>
      </c>
      <c r="L444" s="36" t="s">
        <v>17057</v>
      </c>
      <c r="M444" s="186"/>
      <c r="N444" s="186"/>
      <c r="O444" s="13" t="s">
        <v>17053</v>
      </c>
    </row>
    <row r="445" spans="1:15" ht="38.25" x14ac:dyDescent="0.2">
      <c r="A445" s="197" t="str">
        <f t="shared" si="6"/>
        <v>ChxCode_chan122Y</v>
      </c>
      <c r="B445" s="409"/>
      <c r="C445" s="416"/>
      <c r="D445" s="198" t="s">
        <v>17059</v>
      </c>
      <c r="E445" s="198">
        <v>344</v>
      </c>
      <c r="F445" s="199" t="s">
        <v>17060</v>
      </c>
      <c r="G445" s="1" t="s">
        <v>17061</v>
      </c>
      <c r="H445" s="1" t="s">
        <v>16716</v>
      </c>
      <c r="I445" s="346"/>
      <c r="J445" s="39">
        <v>117319</v>
      </c>
      <c r="K445" s="36" t="str">
        <f>CONCATENATE(Cover!$D$6,"fdd/view?i=",J445)</f>
        <v>https://www.dgiwg.org/FAD/fdd/view?i=117319</v>
      </c>
      <c r="L445" s="36" t="s">
        <v>17062</v>
      </c>
      <c r="M445" s="186"/>
      <c r="N445" s="186"/>
      <c r="O445" s="13" t="s">
        <v>17058</v>
      </c>
    </row>
    <row r="446" spans="1:15" ht="38.25" x14ac:dyDescent="0.2">
      <c r="A446" s="197" t="str">
        <f t="shared" si="6"/>
        <v>ChxCode_chan123X</v>
      </c>
      <c r="B446" s="409"/>
      <c r="C446" s="416"/>
      <c r="D446" s="198" t="s">
        <v>17064</v>
      </c>
      <c r="E446" s="198">
        <v>345</v>
      </c>
      <c r="F446" s="199" t="s">
        <v>17065</v>
      </c>
      <c r="G446" s="1" t="s">
        <v>17066</v>
      </c>
      <c r="H446" s="1" t="s">
        <v>16716</v>
      </c>
      <c r="I446" s="346"/>
      <c r="J446" s="39">
        <v>117320</v>
      </c>
      <c r="K446" s="36" t="str">
        <f>CONCATENATE(Cover!$D$6,"fdd/view?i=",J446)</f>
        <v>https://www.dgiwg.org/FAD/fdd/view?i=117320</v>
      </c>
      <c r="L446" s="36" t="s">
        <v>17067</v>
      </c>
      <c r="M446" s="186"/>
      <c r="N446" s="186"/>
      <c r="O446" s="13" t="s">
        <v>17063</v>
      </c>
    </row>
    <row r="447" spans="1:15" ht="38.25" x14ac:dyDescent="0.2">
      <c r="A447" s="197" t="str">
        <f t="shared" si="6"/>
        <v>ChxCode_chan123Y</v>
      </c>
      <c r="B447" s="409"/>
      <c r="C447" s="416"/>
      <c r="D447" s="198" t="s">
        <v>17069</v>
      </c>
      <c r="E447" s="198">
        <v>346</v>
      </c>
      <c r="F447" s="199" t="s">
        <v>17070</v>
      </c>
      <c r="G447" s="1" t="s">
        <v>17071</v>
      </c>
      <c r="H447" s="1" t="s">
        <v>16716</v>
      </c>
      <c r="I447" s="346"/>
      <c r="J447" s="39">
        <v>117321</v>
      </c>
      <c r="K447" s="36" t="str">
        <f>CONCATENATE(Cover!$D$6,"fdd/view?i=",J447)</f>
        <v>https://www.dgiwg.org/FAD/fdd/view?i=117321</v>
      </c>
      <c r="L447" s="36" t="s">
        <v>17072</v>
      </c>
      <c r="M447" s="186"/>
      <c r="N447" s="186"/>
      <c r="O447" s="13" t="s">
        <v>17068</v>
      </c>
    </row>
    <row r="448" spans="1:15" ht="38.25" x14ac:dyDescent="0.2">
      <c r="A448" s="197" t="str">
        <f t="shared" si="6"/>
        <v>ChxCode_chan124X</v>
      </c>
      <c r="B448" s="409"/>
      <c r="C448" s="416"/>
      <c r="D448" s="198" t="s">
        <v>17074</v>
      </c>
      <c r="E448" s="198">
        <v>347</v>
      </c>
      <c r="F448" s="199" t="s">
        <v>17075</v>
      </c>
      <c r="G448" s="1" t="s">
        <v>17076</v>
      </c>
      <c r="H448" s="1" t="s">
        <v>16716</v>
      </c>
      <c r="I448" s="346"/>
      <c r="J448" s="39">
        <v>117322</v>
      </c>
      <c r="K448" s="36" t="str">
        <f>CONCATENATE(Cover!$D$6,"fdd/view?i=",J448)</f>
        <v>https://www.dgiwg.org/FAD/fdd/view?i=117322</v>
      </c>
      <c r="L448" s="36" t="s">
        <v>17077</v>
      </c>
      <c r="M448" s="186"/>
      <c r="N448" s="186"/>
      <c r="O448" s="13" t="s">
        <v>17073</v>
      </c>
    </row>
    <row r="449" spans="1:15" ht="38.25" x14ac:dyDescent="0.2">
      <c r="A449" s="197" t="str">
        <f t="shared" si="6"/>
        <v>ChxCode_chan124Y</v>
      </c>
      <c r="B449" s="409"/>
      <c r="C449" s="416"/>
      <c r="D449" s="198" t="s">
        <v>17079</v>
      </c>
      <c r="E449" s="198">
        <v>348</v>
      </c>
      <c r="F449" s="199" t="s">
        <v>17080</v>
      </c>
      <c r="G449" s="1" t="s">
        <v>17081</v>
      </c>
      <c r="H449" s="1" t="s">
        <v>16716</v>
      </c>
      <c r="I449" s="346"/>
      <c r="J449" s="39">
        <v>117323</v>
      </c>
      <c r="K449" s="36" t="str">
        <f>CONCATENATE(Cover!$D$6,"fdd/view?i=",J449)</f>
        <v>https://www.dgiwg.org/FAD/fdd/view?i=117323</v>
      </c>
      <c r="L449" s="36" t="s">
        <v>17082</v>
      </c>
      <c r="M449" s="186"/>
      <c r="N449" s="186"/>
      <c r="O449" s="13" t="s">
        <v>17078</v>
      </c>
    </row>
    <row r="450" spans="1:15" ht="38.25" x14ac:dyDescent="0.2">
      <c r="A450" s="197" t="str">
        <f t="shared" ref="A450:A513" si="7">HYPERLINK(K450,L450)</f>
        <v>ChxCode_chan125X</v>
      </c>
      <c r="B450" s="409"/>
      <c r="C450" s="416"/>
      <c r="D450" s="198" t="s">
        <v>17084</v>
      </c>
      <c r="E450" s="198">
        <v>349</v>
      </c>
      <c r="F450" s="199" t="s">
        <v>17085</v>
      </c>
      <c r="G450" s="1" t="s">
        <v>17086</v>
      </c>
      <c r="H450" s="1" t="s">
        <v>16716</v>
      </c>
      <c r="I450" s="346"/>
      <c r="J450" s="39">
        <v>117324</v>
      </c>
      <c r="K450" s="36" t="str">
        <f>CONCATENATE(Cover!$D$6,"fdd/view?i=",J450)</f>
        <v>https://www.dgiwg.org/FAD/fdd/view?i=117324</v>
      </c>
      <c r="L450" s="36" t="s">
        <v>17087</v>
      </c>
      <c r="M450" s="186"/>
      <c r="N450" s="186"/>
      <c r="O450" s="13" t="s">
        <v>17083</v>
      </c>
    </row>
    <row r="451" spans="1:15" ht="38.25" x14ac:dyDescent="0.2">
      <c r="A451" s="197" t="str">
        <f t="shared" si="7"/>
        <v>ChxCode_chan125Y</v>
      </c>
      <c r="B451" s="409"/>
      <c r="C451" s="416"/>
      <c r="D451" s="198" t="s">
        <v>17089</v>
      </c>
      <c r="E451" s="198">
        <v>350</v>
      </c>
      <c r="F451" s="199" t="s">
        <v>17090</v>
      </c>
      <c r="G451" s="1" t="s">
        <v>17091</v>
      </c>
      <c r="H451" s="1" t="s">
        <v>16716</v>
      </c>
      <c r="I451" s="346"/>
      <c r="J451" s="39">
        <v>117325</v>
      </c>
      <c r="K451" s="36" t="str">
        <f>CONCATENATE(Cover!$D$6,"fdd/view?i=",J451)</f>
        <v>https://www.dgiwg.org/FAD/fdd/view?i=117325</v>
      </c>
      <c r="L451" s="36" t="s">
        <v>17092</v>
      </c>
      <c r="M451" s="186"/>
      <c r="N451" s="186"/>
      <c r="O451" s="13" t="s">
        <v>17088</v>
      </c>
    </row>
    <row r="452" spans="1:15" ht="38.25" x14ac:dyDescent="0.2">
      <c r="A452" s="197" t="str">
        <f t="shared" si="7"/>
        <v>ChxCode_chan126X</v>
      </c>
      <c r="B452" s="409"/>
      <c r="C452" s="416"/>
      <c r="D452" s="198" t="s">
        <v>17094</v>
      </c>
      <c r="E452" s="198">
        <v>351</v>
      </c>
      <c r="F452" s="199" t="s">
        <v>17095</v>
      </c>
      <c r="G452" s="1" t="s">
        <v>17096</v>
      </c>
      <c r="H452" s="1" t="s">
        <v>16716</v>
      </c>
      <c r="I452" s="346"/>
      <c r="J452" s="39">
        <v>117326</v>
      </c>
      <c r="K452" s="36" t="str">
        <f>CONCATENATE(Cover!$D$6,"fdd/view?i=",J452)</f>
        <v>https://www.dgiwg.org/FAD/fdd/view?i=117326</v>
      </c>
      <c r="L452" s="36" t="s">
        <v>17097</v>
      </c>
      <c r="M452" s="186"/>
      <c r="N452" s="186"/>
      <c r="O452" s="13" t="s">
        <v>17093</v>
      </c>
    </row>
    <row r="453" spans="1:15" ht="38.25" x14ac:dyDescent="0.2">
      <c r="A453" s="203" t="str">
        <f t="shared" si="7"/>
        <v>ChxCode_chan126Y</v>
      </c>
      <c r="B453" s="410"/>
      <c r="C453" s="417"/>
      <c r="D453" s="204" t="s">
        <v>17099</v>
      </c>
      <c r="E453" s="204">
        <v>352</v>
      </c>
      <c r="F453" s="205" t="s">
        <v>17100</v>
      </c>
      <c r="G453" s="206" t="s">
        <v>17101</v>
      </c>
      <c r="H453" s="206" t="s">
        <v>16716</v>
      </c>
      <c r="I453" s="347"/>
      <c r="J453" s="39">
        <v>117327</v>
      </c>
      <c r="K453" s="36" t="str">
        <f>CONCATENATE(Cover!$D$6,"fdd/view?i=",J453)</f>
        <v>https://www.dgiwg.org/FAD/fdd/view?i=117327</v>
      </c>
      <c r="L453" s="36" t="s">
        <v>17102</v>
      </c>
      <c r="M453" s="186"/>
      <c r="N453" s="186"/>
      <c r="O453" s="13" t="s">
        <v>17098</v>
      </c>
    </row>
    <row r="454" spans="1:15" ht="38.25" x14ac:dyDescent="0.2">
      <c r="A454" s="190" t="str">
        <f t="shared" si="7"/>
        <v>ChyCode_chan001X</v>
      </c>
      <c r="B454" s="414" t="str">
        <f>HYPERLINK("[#]Datatypes!A34:L34","ChyCode")</f>
        <v>ChyCode</v>
      </c>
      <c r="C454" s="415" t="s">
        <v>14579</v>
      </c>
      <c r="D454" s="221" t="s">
        <v>17204</v>
      </c>
      <c r="E454" s="221">
        <v>1</v>
      </c>
      <c r="F454" s="222" t="s">
        <v>17205</v>
      </c>
      <c r="G454" s="223" t="s">
        <v>18669</v>
      </c>
      <c r="H454" s="223" t="s">
        <v>16716</v>
      </c>
      <c r="I454" s="345"/>
      <c r="J454" s="39">
        <v>116624</v>
      </c>
      <c r="K454" s="36" t="str">
        <f>CONCATENATE(Cover!$D$6,"fdd/view?i=",J454)</f>
        <v>https://www.dgiwg.org/FAD/fdd/view?i=116624</v>
      </c>
      <c r="L454" s="36" t="s">
        <v>18670</v>
      </c>
      <c r="M454" s="186"/>
      <c r="N454" s="186"/>
      <c r="O454" s="13" t="s">
        <v>17203</v>
      </c>
    </row>
    <row r="455" spans="1:15" ht="38.25" x14ac:dyDescent="0.2">
      <c r="A455" s="197" t="str">
        <f t="shared" si="7"/>
        <v>ChyCode_chan001Y</v>
      </c>
      <c r="B455" s="409"/>
      <c r="C455" s="416"/>
      <c r="D455" s="198" t="s">
        <v>17209</v>
      </c>
      <c r="E455" s="198">
        <v>2</v>
      </c>
      <c r="F455" s="199" t="s">
        <v>17210</v>
      </c>
      <c r="G455" s="1" t="s">
        <v>18671</v>
      </c>
      <c r="H455" s="1" t="s">
        <v>16716</v>
      </c>
      <c r="I455" s="346"/>
      <c r="J455" s="39">
        <v>116625</v>
      </c>
      <c r="K455" s="36" t="str">
        <f>CONCATENATE(Cover!$D$6,"fdd/view?i=",J455)</f>
        <v>https://www.dgiwg.org/FAD/fdd/view?i=116625</v>
      </c>
      <c r="L455" s="36" t="s">
        <v>18672</v>
      </c>
      <c r="M455" s="186"/>
      <c r="N455" s="186"/>
      <c r="O455" s="13" t="s">
        <v>17208</v>
      </c>
    </row>
    <row r="456" spans="1:15" ht="38.25" x14ac:dyDescent="0.2">
      <c r="A456" s="197" t="str">
        <f t="shared" si="7"/>
        <v>ChyCode_chan002X</v>
      </c>
      <c r="B456" s="409"/>
      <c r="C456" s="416"/>
      <c r="D456" s="198" t="s">
        <v>17389</v>
      </c>
      <c r="E456" s="198">
        <v>3</v>
      </c>
      <c r="F456" s="199" t="s">
        <v>17390</v>
      </c>
      <c r="G456" s="1" t="s">
        <v>18743</v>
      </c>
      <c r="H456" s="1" t="s">
        <v>16716</v>
      </c>
      <c r="I456" s="346"/>
      <c r="J456" s="39">
        <v>116626</v>
      </c>
      <c r="K456" s="36" t="str">
        <f>CONCATENATE(Cover!$D$6,"fdd/view?i=",J456)</f>
        <v>https://www.dgiwg.org/FAD/fdd/view?i=116626</v>
      </c>
      <c r="L456" s="36" t="s">
        <v>18744</v>
      </c>
      <c r="M456" s="186"/>
      <c r="N456" s="186"/>
      <c r="O456" s="13" t="s">
        <v>17388</v>
      </c>
    </row>
    <row r="457" spans="1:15" ht="38.25" x14ac:dyDescent="0.2">
      <c r="A457" s="197" t="str">
        <f t="shared" si="7"/>
        <v>ChyCode_chan002Y</v>
      </c>
      <c r="B457" s="409"/>
      <c r="C457" s="416"/>
      <c r="D457" s="198" t="s">
        <v>17394</v>
      </c>
      <c r="E457" s="198">
        <v>4</v>
      </c>
      <c r="F457" s="199" t="s">
        <v>17395</v>
      </c>
      <c r="G457" s="1" t="s">
        <v>18745</v>
      </c>
      <c r="H457" s="1" t="s">
        <v>16716</v>
      </c>
      <c r="I457" s="346"/>
      <c r="J457" s="39">
        <v>116627</v>
      </c>
      <c r="K457" s="36" t="str">
        <f>CONCATENATE(Cover!$D$6,"fdd/view?i=",J457)</f>
        <v>https://www.dgiwg.org/FAD/fdd/view?i=116627</v>
      </c>
      <c r="L457" s="36" t="s">
        <v>18746</v>
      </c>
      <c r="M457" s="186"/>
      <c r="N457" s="186"/>
      <c r="O457" s="13" t="s">
        <v>17393</v>
      </c>
    </row>
    <row r="458" spans="1:15" ht="38.25" x14ac:dyDescent="0.2">
      <c r="A458" s="197" t="str">
        <f t="shared" si="7"/>
        <v>ChyCode_chan003X</v>
      </c>
      <c r="B458" s="409"/>
      <c r="C458" s="416"/>
      <c r="D458" s="198" t="s">
        <v>17574</v>
      </c>
      <c r="E458" s="198">
        <v>5</v>
      </c>
      <c r="F458" s="199" t="s">
        <v>17575</v>
      </c>
      <c r="G458" s="1" t="s">
        <v>18817</v>
      </c>
      <c r="H458" s="1" t="s">
        <v>16716</v>
      </c>
      <c r="I458" s="346"/>
      <c r="J458" s="39">
        <v>116628</v>
      </c>
      <c r="K458" s="36" t="str">
        <f>CONCATENATE(Cover!$D$6,"fdd/view?i=",J458)</f>
        <v>https://www.dgiwg.org/FAD/fdd/view?i=116628</v>
      </c>
      <c r="L458" s="36" t="s">
        <v>18818</v>
      </c>
      <c r="M458" s="186"/>
      <c r="N458" s="186"/>
      <c r="O458" s="13" t="s">
        <v>17573</v>
      </c>
    </row>
    <row r="459" spans="1:15" ht="38.25" x14ac:dyDescent="0.2">
      <c r="A459" s="197" t="str">
        <f t="shared" si="7"/>
        <v>ChyCode_chan003Y</v>
      </c>
      <c r="B459" s="409"/>
      <c r="C459" s="416"/>
      <c r="D459" s="198" t="s">
        <v>17579</v>
      </c>
      <c r="E459" s="198">
        <v>6</v>
      </c>
      <c r="F459" s="199" t="s">
        <v>17580</v>
      </c>
      <c r="G459" s="1" t="s">
        <v>18819</v>
      </c>
      <c r="H459" s="1" t="s">
        <v>16716</v>
      </c>
      <c r="I459" s="346"/>
      <c r="J459" s="39">
        <v>116629</v>
      </c>
      <c r="K459" s="36" t="str">
        <f>CONCATENATE(Cover!$D$6,"fdd/view?i=",J459)</f>
        <v>https://www.dgiwg.org/FAD/fdd/view?i=116629</v>
      </c>
      <c r="L459" s="36" t="s">
        <v>18820</v>
      </c>
      <c r="M459" s="186"/>
      <c r="N459" s="186"/>
      <c r="O459" s="13" t="s">
        <v>17578</v>
      </c>
    </row>
    <row r="460" spans="1:15" ht="38.25" x14ac:dyDescent="0.2">
      <c r="A460" s="197" t="str">
        <f t="shared" si="7"/>
        <v>ChyCode_chan004X</v>
      </c>
      <c r="B460" s="409"/>
      <c r="C460" s="416"/>
      <c r="D460" s="198" t="s">
        <v>17759</v>
      </c>
      <c r="E460" s="198">
        <v>7</v>
      </c>
      <c r="F460" s="199" t="s">
        <v>17760</v>
      </c>
      <c r="G460" s="1" t="s">
        <v>18891</v>
      </c>
      <c r="H460" s="1" t="s">
        <v>16716</v>
      </c>
      <c r="I460" s="346"/>
      <c r="J460" s="39">
        <v>116630</v>
      </c>
      <c r="K460" s="36" t="str">
        <f>CONCATENATE(Cover!$D$6,"fdd/view?i=",J460)</f>
        <v>https://www.dgiwg.org/FAD/fdd/view?i=116630</v>
      </c>
      <c r="L460" s="36" t="s">
        <v>18892</v>
      </c>
      <c r="M460" s="186"/>
      <c r="N460" s="186"/>
      <c r="O460" s="13" t="s">
        <v>17758</v>
      </c>
    </row>
    <row r="461" spans="1:15" ht="38.25" x14ac:dyDescent="0.2">
      <c r="A461" s="197" t="str">
        <f t="shared" si="7"/>
        <v>ChyCode_chan004Y</v>
      </c>
      <c r="B461" s="409"/>
      <c r="C461" s="416"/>
      <c r="D461" s="198" t="s">
        <v>17764</v>
      </c>
      <c r="E461" s="198">
        <v>8</v>
      </c>
      <c r="F461" s="199" t="s">
        <v>17765</v>
      </c>
      <c r="G461" s="1" t="s">
        <v>18893</v>
      </c>
      <c r="H461" s="1" t="s">
        <v>16716</v>
      </c>
      <c r="I461" s="346"/>
      <c r="J461" s="39">
        <v>116631</v>
      </c>
      <c r="K461" s="36" t="str">
        <f>CONCATENATE(Cover!$D$6,"fdd/view?i=",J461)</f>
        <v>https://www.dgiwg.org/FAD/fdd/view?i=116631</v>
      </c>
      <c r="L461" s="36" t="s">
        <v>18894</v>
      </c>
      <c r="M461" s="186"/>
      <c r="N461" s="186"/>
      <c r="O461" s="13" t="s">
        <v>17763</v>
      </c>
    </row>
    <row r="462" spans="1:15" ht="38.25" x14ac:dyDescent="0.2">
      <c r="A462" s="197" t="str">
        <f t="shared" si="7"/>
        <v>ChyCode_chan005X</v>
      </c>
      <c r="B462" s="409"/>
      <c r="C462" s="416"/>
      <c r="D462" s="198" t="s">
        <v>17924</v>
      </c>
      <c r="E462" s="198">
        <v>9</v>
      </c>
      <c r="F462" s="199" t="s">
        <v>17925</v>
      </c>
      <c r="G462" s="1" t="s">
        <v>18957</v>
      </c>
      <c r="H462" s="1" t="s">
        <v>16716</v>
      </c>
      <c r="I462" s="346"/>
      <c r="J462" s="39">
        <v>116632</v>
      </c>
      <c r="K462" s="36" t="str">
        <f>CONCATENATE(Cover!$D$6,"fdd/view?i=",J462)</f>
        <v>https://www.dgiwg.org/FAD/fdd/view?i=116632</v>
      </c>
      <c r="L462" s="36" t="s">
        <v>18958</v>
      </c>
      <c r="M462" s="186"/>
      <c r="N462" s="186"/>
      <c r="O462" s="13" t="s">
        <v>17923</v>
      </c>
    </row>
    <row r="463" spans="1:15" ht="38.25" x14ac:dyDescent="0.2">
      <c r="A463" s="197" t="str">
        <f t="shared" si="7"/>
        <v>ChyCode_chan005Y</v>
      </c>
      <c r="B463" s="409"/>
      <c r="C463" s="416"/>
      <c r="D463" s="198" t="s">
        <v>17929</v>
      </c>
      <c r="E463" s="198">
        <v>10</v>
      </c>
      <c r="F463" s="199" t="s">
        <v>17930</v>
      </c>
      <c r="G463" s="1" t="s">
        <v>18959</v>
      </c>
      <c r="H463" s="1" t="s">
        <v>16716</v>
      </c>
      <c r="I463" s="346"/>
      <c r="J463" s="39">
        <v>116633</v>
      </c>
      <c r="K463" s="36" t="str">
        <f>CONCATENATE(Cover!$D$6,"fdd/view?i=",J463)</f>
        <v>https://www.dgiwg.org/FAD/fdd/view?i=116633</v>
      </c>
      <c r="L463" s="36" t="s">
        <v>18960</v>
      </c>
      <c r="M463" s="186"/>
      <c r="N463" s="186"/>
      <c r="O463" s="13" t="s">
        <v>17928</v>
      </c>
    </row>
    <row r="464" spans="1:15" ht="38.25" x14ac:dyDescent="0.2">
      <c r="A464" s="197" t="str">
        <f t="shared" si="7"/>
        <v>ChyCode_chan006X</v>
      </c>
      <c r="B464" s="409"/>
      <c r="C464" s="416"/>
      <c r="D464" s="198" t="s">
        <v>18034</v>
      </c>
      <c r="E464" s="198">
        <v>11</v>
      </c>
      <c r="F464" s="199" t="s">
        <v>18035</v>
      </c>
      <c r="G464" s="1" t="s">
        <v>19001</v>
      </c>
      <c r="H464" s="1" t="s">
        <v>16716</v>
      </c>
      <c r="I464" s="346"/>
      <c r="J464" s="39">
        <v>116634</v>
      </c>
      <c r="K464" s="36" t="str">
        <f>CONCATENATE(Cover!$D$6,"fdd/view?i=",J464)</f>
        <v>https://www.dgiwg.org/FAD/fdd/view?i=116634</v>
      </c>
      <c r="L464" s="36" t="s">
        <v>19002</v>
      </c>
      <c r="M464" s="186"/>
      <c r="N464" s="186"/>
      <c r="O464" s="13" t="s">
        <v>18033</v>
      </c>
    </row>
    <row r="465" spans="1:15" ht="38.25" x14ac:dyDescent="0.2">
      <c r="A465" s="197" t="str">
        <f t="shared" si="7"/>
        <v>ChyCode_chan006Y</v>
      </c>
      <c r="B465" s="409"/>
      <c r="C465" s="416"/>
      <c r="D465" s="198" t="s">
        <v>18039</v>
      </c>
      <c r="E465" s="198">
        <v>12</v>
      </c>
      <c r="F465" s="199" t="s">
        <v>18040</v>
      </c>
      <c r="G465" s="1" t="s">
        <v>19003</v>
      </c>
      <c r="H465" s="1" t="s">
        <v>16716</v>
      </c>
      <c r="I465" s="346"/>
      <c r="J465" s="39">
        <v>116635</v>
      </c>
      <c r="K465" s="36" t="str">
        <f>CONCATENATE(Cover!$D$6,"fdd/view?i=",J465)</f>
        <v>https://www.dgiwg.org/FAD/fdd/view?i=116635</v>
      </c>
      <c r="L465" s="36" t="s">
        <v>19004</v>
      </c>
      <c r="M465" s="186"/>
      <c r="N465" s="186"/>
      <c r="O465" s="13" t="s">
        <v>18038</v>
      </c>
    </row>
    <row r="466" spans="1:15" ht="38.25" x14ac:dyDescent="0.2">
      <c r="A466" s="197" t="str">
        <f t="shared" si="7"/>
        <v>ChyCode_chan007X</v>
      </c>
      <c r="B466" s="409"/>
      <c r="C466" s="416"/>
      <c r="D466" s="198" t="s">
        <v>18144</v>
      </c>
      <c r="E466" s="198">
        <v>13</v>
      </c>
      <c r="F466" s="199" t="s">
        <v>18145</v>
      </c>
      <c r="G466" s="1" t="s">
        <v>19045</v>
      </c>
      <c r="H466" s="1" t="s">
        <v>16716</v>
      </c>
      <c r="I466" s="346"/>
      <c r="J466" s="39">
        <v>116636</v>
      </c>
      <c r="K466" s="36" t="str">
        <f>CONCATENATE(Cover!$D$6,"fdd/view?i=",J466)</f>
        <v>https://www.dgiwg.org/FAD/fdd/view?i=116636</v>
      </c>
      <c r="L466" s="36" t="s">
        <v>19046</v>
      </c>
      <c r="M466" s="186"/>
      <c r="N466" s="186"/>
      <c r="O466" s="13" t="s">
        <v>18143</v>
      </c>
    </row>
    <row r="467" spans="1:15" ht="38.25" x14ac:dyDescent="0.2">
      <c r="A467" s="197" t="str">
        <f t="shared" si="7"/>
        <v>ChyCode_chan007Y</v>
      </c>
      <c r="B467" s="409"/>
      <c r="C467" s="416"/>
      <c r="D467" s="198" t="s">
        <v>18149</v>
      </c>
      <c r="E467" s="198">
        <v>14</v>
      </c>
      <c r="F467" s="199" t="s">
        <v>18150</v>
      </c>
      <c r="G467" s="1" t="s">
        <v>19047</v>
      </c>
      <c r="H467" s="1" t="s">
        <v>16716</v>
      </c>
      <c r="I467" s="346"/>
      <c r="J467" s="39">
        <v>116637</v>
      </c>
      <c r="K467" s="36" t="str">
        <f>CONCATENATE(Cover!$D$6,"fdd/view?i=",J467)</f>
        <v>https://www.dgiwg.org/FAD/fdd/view?i=116637</v>
      </c>
      <c r="L467" s="36" t="s">
        <v>19048</v>
      </c>
      <c r="M467" s="186"/>
      <c r="N467" s="186"/>
      <c r="O467" s="13" t="s">
        <v>18148</v>
      </c>
    </row>
    <row r="468" spans="1:15" ht="38.25" x14ac:dyDescent="0.2">
      <c r="A468" s="197" t="str">
        <f t="shared" si="7"/>
        <v>ChyCode_chan008X</v>
      </c>
      <c r="B468" s="409"/>
      <c r="C468" s="416"/>
      <c r="D468" s="198" t="s">
        <v>18304</v>
      </c>
      <c r="E468" s="198">
        <v>15</v>
      </c>
      <c r="F468" s="199" t="s">
        <v>18305</v>
      </c>
      <c r="G468" s="1" t="s">
        <v>19109</v>
      </c>
      <c r="H468" s="1" t="s">
        <v>16716</v>
      </c>
      <c r="I468" s="346"/>
      <c r="J468" s="39">
        <v>116638</v>
      </c>
      <c r="K468" s="36" t="str">
        <f>CONCATENATE(Cover!$D$6,"fdd/view?i=",J468)</f>
        <v>https://www.dgiwg.org/FAD/fdd/view?i=116638</v>
      </c>
      <c r="L468" s="36" t="s">
        <v>19110</v>
      </c>
      <c r="M468" s="186"/>
      <c r="N468" s="186"/>
      <c r="O468" s="13" t="s">
        <v>18303</v>
      </c>
    </row>
    <row r="469" spans="1:15" ht="38.25" x14ac:dyDescent="0.2">
      <c r="A469" s="197" t="str">
        <f t="shared" si="7"/>
        <v>ChyCode_chan008Y</v>
      </c>
      <c r="B469" s="409"/>
      <c r="C469" s="416"/>
      <c r="D469" s="198" t="s">
        <v>18309</v>
      </c>
      <c r="E469" s="198">
        <v>16</v>
      </c>
      <c r="F469" s="199" t="s">
        <v>18310</v>
      </c>
      <c r="G469" s="1" t="s">
        <v>19111</v>
      </c>
      <c r="H469" s="1" t="s">
        <v>16716</v>
      </c>
      <c r="I469" s="346"/>
      <c r="J469" s="39">
        <v>116639</v>
      </c>
      <c r="K469" s="36" t="str">
        <f>CONCATENATE(Cover!$D$6,"fdd/view?i=",J469)</f>
        <v>https://www.dgiwg.org/FAD/fdd/view?i=116639</v>
      </c>
      <c r="L469" s="36" t="s">
        <v>19112</v>
      </c>
      <c r="M469" s="186"/>
      <c r="N469" s="186"/>
      <c r="O469" s="13" t="s">
        <v>18308</v>
      </c>
    </row>
    <row r="470" spans="1:15" ht="38.25" x14ac:dyDescent="0.2">
      <c r="A470" s="197" t="str">
        <f t="shared" si="7"/>
        <v>ChyCode_chan009X</v>
      </c>
      <c r="B470" s="409"/>
      <c r="C470" s="416"/>
      <c r="D470" s="198" t="s">
        <v>18464</v>
      </c>
      <c r="E470" s="198">
        <v>17</v>
      </c>
      <c r="F470" s="199" t="s">
        <v>18465</v>
      </c>
      <c r="G470" s="1" t="s">
        <v>19173</v>
      </c>
      <c r="H470" s="1" t="s">
        <v>16716</v>
      </c>
      <c r="I470" s="346"/>
      <c r="J470" s="39">
        <v>116640</v>
      </c>
      <c r="K470" s="36" t="str">
        <f>CONCATENATE(Cover!$D$6,"fdd/view?i=",J470)</f>
        <v>https://www.dgiwg.org/FAD/fdd/view?i=116640</v>
      </c>
      <c r="L470" s="36" t="s">
        <v>19174</v>
      </c>
      <c r="M470" s="186"/>
      <c r="N470" s="186"/>
      <c r="O470" s="13" t="s">
        <v>18463</v>
      </c>
    </row>
    <row r="471" spans="1:15" ht="38.25" x14ac:dyDescent="0.2">
      <c r="A471" s="197" t="str">
        <f t="shared" si="7"/>
        <v>ChyCode_chan009Y</v>
      </c>
      <c r="B471" s="409"/>
      <c r="C471" s="416"/>
      <c r="D471" s="198" t="s">
        <v>18469</v>
      </c>
      <c r="E471" s="198">
        <v>18</v>
      </c>
      <c r="F471" s="199" t="s">
        <v>18470</v>
      </c>
      <c r="G471" s="1" t="s">
        <v>19175</v>
      </c>
      <c r="H471" s="1" t="s">
        <v>16716</v>
      </c>
      <c r="I471" s="346"/>
      <c r="J471" s="39">
        <v>116641</v>
      </c>
      <c r="K471" s="36" t="str">
        <f>CONCATENATE(Cover!$D$6,"fdd/view?i=",J471)</f>
        <v>https://www.dgiwg.org/FAD/fdd/view?i=116641</v>
      </c>
      <c r="L471" s="36" t="s">
        <v>19176</v>
      </c>
      <c r="M471" s="186"/>
      <c r="N471" s="186"/>
      <c r="O471" s="13" t="s">
        <v>18468</v>
      </c>
    </row>
    <row r="472" spans="1:15" ht="38.25" x14ac:dyDescent="0.2">
      <c r="A472" s="197" t="str">
        <f t="shared" si="7"/>
        <v>ChyCode_chan010X</v>
      </c>
      <c r="B472" s="409"/>
      <c r="C472" s="416"/>
      <c r="D472" s="198" t="s">
        <v>16864</v>
      </c>
      <c r="E472" s="198">
        <v>19</v>
      </c>
      <c r="F472" s="199" t="s">
        <v>16865</v>
      </c>
      <c r="G472" s="1" t="s">
        <v>18533</v>
      </c>
      <c r="H472" s="1" t="s">
        <v>16716</v>
      </c>
      <c r="I472" s="346"/>
      <c r="J472" s="39">
        <v>116642</v>
      </c>
      <c r="K472" s="36" t="str">
        <f>CONCATENATE(Cover!$D$6,"fdd/view?i=",J472)</f>
        <v>https://www.dgiwg.org/FAD/fdd/view?i=116642</v>
      </c>
      <c r="L472" s="36" t="s">
        <v>18534</v>
      </c>
      <c r="M472" s="186"/>
      <c r="N472" s="186"/>
      <c r="O472" s="13" t="s">
        <v>16863</v>
      </c>
    </row>
    <row r="473" spans="1:15" ht="38.25" x14ac:dyDescent="0.2">
      <c r="A473" s="197" t="str">
        <f t="shared" si="7"/>
        <v>ChyCode_chan010Y</v>
      </c>
      <c r="B473" s="409"/>
      <c r="C473" s="416"/>
      <c r="D473" s="198" t="s">
        <v>16869</v>
      </c>
      <c r="E473" s="198">
        <v>20</v>
      </c>
      <c r="F473" s="199" t="s">
        <v>16870</v>
      </c>
      <c r="G473" s="1" t="s">
        <v>18535</v>
      </c>
      <c r="H473" s="1" t="s">
        <v>16716</v>
      </c>
      <c r="I473" s="346"/>
      <c r="J473" s="39">
        <v>116643</v>
      </c>
      <c r="K473" s="36" t="str">
        <f>CONCATENATE(Cover!$D$6,"fdd/view?i=",J473)</f>
        <v>https://www.dgiwg.org/FAD/fdd/view?i=116643</v>
      </c>
      <c r="L473" s="36" t="s">
        <v>18536</v>
      </c>
      <c r="M473" s="186"/>
      <c r="N473" s="186"/>
      <c r="O473" s="13" t="s">
        <v>16868</v>
      </c>
    </row>
    <row r="474" spans="1:15" ht="38.25" x14ac:dyDescent="0.2">
      <c r="A474" s="197" t="str">
        <f t="shared" si="7"/>
        <v>ChyCode_chan011X</v>
      </c>
      <c r="B474" s="409"/>
      <c r="C474" s="416"/>
      <c r="D474" s="198" t="s">
        <v>17024</v>
      </c>
      <c r="E474" s="198">
        <v>21</v>
      </c>
      <c r="F474" s="199" t="s">
        <v>17025</v>
      </c>
      <c r="G474" s="1" t="s">
        <v>18597</v>
      </c>
      <c r="H474" s="1" t="s">
        <v>16716</v>
      </c>
      <c r="I474" s="346"/>
      <c r="J474" s="39">
        <v>116644</v>
      </c>
      <c r="K474" s="36" t="str">
        <f>CONCATENATE(Cover!$D$6,"fdd/view?i=",J474)</f>
        <v>https://www.dgiwg.org/FAD/fdd/view?i=116644</v>
      </c>
      <c r="L474" s="36" t="s">
        <v>18598</v>
      </c>
      <c r="M474" s="186"/>
      <c r="N474" s="186"/>
      <c r="O474" s="13" t="s">
        <v>17023</v>
      </c>
    </row>
    <row r="475" spans="1:15" ht="38.25" x14ac:dyDescent="0.2">
      <c r="A475" s="197" t="str">
        <f t="shared" si="7"/>
        <v>ChyCode_chan011Y</v>
      </c>
      <c r="B475" s="409"/>
      <c r="C475" s="416"/>
      <c r="D475" s="198" t="s">
        <v>17029</v>
      </c>
      <c r="E475" s="198">
        <v>22</v>
      </c>
      <c r="F475" s="199" t="s">
        <v>17030</v>
      </c>
      <c r="G475" s="1" t="s">
        <v>18599</v>
      </c>
      <c r="H475" s="1" t="s">
        <v>16716</v>
      </c>
      <c r="I475" s="346"/>
      <c r="J475" s="39">
        <v>116645</v>
      </c>
      <c r="K475" s="36" t="str">
        <f>CONCATENATE(Cover!$D$6,"fdd/view?i=",J475)</f>
        <v>https://www.dgiwg.org/FAD/fdd/view?i=116645</v>
      </c>
      <c r="L475" s="36" t="s">
        <v>18600</v>
      </c>
      <c r="M475" s="186"/>
      <c r="N475" s="186"/>
      <c r="O475" s="13" t="s">
        <v>17028</v>
      </c>
    </row>
    <row r="476" spans="1:15" ht="38.25" x14ac:dyDescent="0.2">
      <c r="A476" s="197" t="str">
        <f t="shared" si="7"/>
        <v>ChyCode_chan012X</v>
      </c>
      <c r="B476" s="409"/>
      <c r="C476" s="416"/>
      <c r="D476" s="198" t="s">
        <v>17104</v>
      </c>
      <c r="E476" s="198">
        <v>23</v>
      </c>
      <c r="F476" s="199" t="s">
        <v>17105</v>
      </c>
      <c r="G476" s="1" t="s">
        <v>18629</v>
      </c>
      <c r="H476" s="1" t="s">
        <v>16716</v>
      </c>
      <c r="I476" s="346"/>
      <c r="J476" s="39">
        <v>116646</v>
      </c>
      <c r="K476" s="36" t="str">
        <f>CONCATENATE(Cover!$D$6,"fdd/view?i=",J476)</f>
        <v>https://www.dgiwg.org/FAD/fdd/view?i=116646</v>
      </c>
      <c r="L476" s="36" t="s">
        <v>18630</v>
      </c>
      <c r="M476" s="186"/>
      <c r="N476" s="186"/>
      <c r="O476" s="13" t="s">
        <v>17103</v>
      </c>
    </row>
    <row r="477" spans="1:15" ht="38.25" x14ac:dyDescent="0.2">
      <c r="A477" s="197" t="str">
        <f t="shared" si="7"/>
        <v>ChyCode_chan012Y</v>
      </c>
      <c r="B477" s="409"/>
      <c r="C477" s="416"/>
      <c r="D477" s="198" t="s">
        <v>17109</v>
      </c>
      <c r="E477" s="198">
        <v>24</v>
      </c>
      <c r="F477" s="199" t="s">
        <v>17110</v>
      </c>
      <c r="G477" s="1" t="s">
        <v>18631</v>
      </c>
      <c r="H477" s="1" t="s">
        <v>16716</v>
      </c>
      <c r="I477" s="346"/>
      <c r="J477" s="39">
        <v>116647</v>
      </c>
      <c r="K477" s="36" t="str">
        <f>CONCATENATE(Cover!$D$6,"fdd/view?i=",J477)</f>
        <v>https://www.dgiwg.org/FAD/fdd/view?i=116647</v>
      </c>
      <c r="L477" s="36" t="s">
        <v>18632</v>
      </c>
      <c r="M477" s="186"/>
      <c r="N477" s="186"/>
      <c r="O477" s="13" t="s">
        <v>17108</v>
      </c>
    </row>
    <row r="478" spans="1:15" ht="38.25" x14ac:dyDescent="0.2">
      <c r="A478" s="197" t="str">
        <f t="shared" si="7"/>
        <v>ChyCode_chan013X</v>
      </c>
      <c r="B478" s="409"/>
      <c r="C478" s="416"/>
      <c r="D478" s="198" t="s">
        <v>17114</v>
      </c>
      <c r="E478" s="198">
        <v>25</v>
      </c>
      <c r="F478" s="199" t="s">
        <v>17115</v>
      </c>
      <c r="G478" s="1" t="s">
        <v>18633</v>
      </c>
      <c r="H478" s="1" t="s">
        <v>16716</v>
      </c>
      <c r="I478" s="346"/>
      <c r="J478" s="39">
        <v>116648</v>
      </c>
      <c r="K478" s="36" t="str">
        <f>CONCATENATE(Cover!$D$6,"fdd/view?i=",J478)</f>
        <v>https://www.dgiwg.org/FAD/fdd/view?i=116648</v>
      </c>
      <c r="L478" s="36" t="s">
        <v>18634</v>
      </c>
      <c r="M478" s="186"/>
      <c r="N478" s="186"/>
      <c r="O478" s="13" t="s">
        <v>17113</v>
      </c>
    </row>
    <row r="479" spans="1:15" ht="38.25" x14ac:dyDescent="0.2">
      <c r="A479" s="197" t="str">
        <f t="shared" si="7"/>
        <v>ChyCode_chan013Y</v>
      </c>
      <c r="B479" s="409"/>
      <c r="C479" s="416"/>
      <c r="D479" s="198" t="s">
        <v>17119</v>
      </c>
      <c r="E479" s="198">
        <v>26</v>
      </c>
      <c r="F479" s="199" t="s">
        <v>17120</v>
      </c>
      <c r="G479" s="1" t="s">
        <v>18635</v>
      </c>
      <c r="H479" s="1" t="s">
        <v>16716</v>
      </c>
      <c r="I479" s="346"/>
      <c r="J479" s="39">
        <v>116649</v>
      </c>
      <c r="K479" s="36" t="str">
        <f>CONCATENATE(Cover!$D$6,"fdd/view?i=",J479)</f>
        <v>https://www.dgiwg.org/FAD/fdd/view?i=116649</v>
      </c>
      <c r="L479" s="36" t="s">
        <v>18636</v>
      </c>
      <c r="M479" s="186"/>
      <c r="N479" s="186"/>
      <c r="O479" s="13" t="s">
        <v>17118</v>
      </c>
    </row>
    <row r="480" spans="1:15" ht="38.25" x14ac:dyDescent="0.2">
      <c r="A480" s="197" t="str">
        <f t="shared" si="7"/>
        <v>ChyCode_chan014X</v>
      </c>
      <c r="B480" s="409"/>
      <c r="C480" s="416"/>
      <c r="D480" s="198" t="s">
        <v>17124</v>
      </c>
      <c r="E480" s="198">
        <v>27</v>
      </c>
      <c r="F480" s="199" t="s">
        <v>17125</v>
      </c>
      <c r="G480" s="1" t="s">
        <v>18637</v>
      </c>
      <c r="H480" s="1" t="s">
        <v>16716</v>
      </c>
      <c r="I480" s="346"/>
      <c r="J480" s="39">
        <v>116650</v>
      </c>
      <c r="K480" s="36" t="str">
        <f>CONCATENATE(Cover!$D$6,"fdd/view?i=",J480)</f>
        <v>https://www.dgiwg.org/FAD/fdd/view?i=116650</v>
      </c>
      <c r="L480" s="36" t="s">
        <v>18638</v>
      </c>
      <c r="M480" s="186"/>
      <c r="N480" s="186"/>
      <c r="O480" s="13" t="s">
        <v>17123</v>
      </c>
    </row>
    <row r="481" spans="1:15" ht="38.25" x14ac:dyDescent="0.2">
      <c r="A481" s="197" t="str">
        <f t="shared" si="7"/>
        <v>ChyCode_chan014Y</v>
      </c>
      <c r="B481" s="409"/>
      <c r="C481" s="416"/>
      <c r="D481" s="198" t="s">
        <v>17129</v>
      </c>
      <c r="E481" s="198">
        <v>28</v>
      </c>
      <c r="F481" s="199" t="s">
        <v>17130</v>
      </c>
      <c r="G481" s="1" t="s">
        <v>18639</v>
      </c>
      <c r="H481" s="1" t="s">
        <v>16716</v>
      </c>
      <c r="I481" s="346"/>
      <c r="J481" s="39">
        <v>116651</v>
      </c>
      <c r="K481" s="36" t="str">
        <f>CONCATENATE(Cover!$D$6,"fdd/view?i=",J481)</f>
        <v>https://www.dgiwg.org/FAD/fdd/view?i=116651</v>
      </c>
      <c r="L481" s="36" t="s">
        <v>18640</v>
      </c>
      <c r="M481" s="186"/>
      <c r="N481" s="186"/>
      <c r="O481" s="13" t="s">
        <v>17128</v>
      </c>
    </row>
    <row r="482" spans="1:15" ht="38.25" x14ac:dyDescent="0.2">
      <c r="A482" s="197" t="str">
        <f t="shared" si="7"/>
        <v>ChyCode_chan015X</v>
      </c>
      <c r="B482" s="409"/>
      <c r="C482" s="416"/>
      <c r="D482" s="198" t="s">
        <v>17134</v>
      </c>
      <c r="E482" s="198">
        <v>29</v>
      </c>
      <c r="F482" s="199" t="s">
        <v>17135</v>
      </c>
      <c r="G482" s="1" t="s">
        <v>18641</v>
      </c>
      <c r="H482" s="1" t="s">
        <v>16716</v>
      </c>
      <c r="I482" s="346"/>
      <c r="J482" s="39">
        <v>116652</v>
      </c>
      <c r="K482" s="36" t="str">
        <f>CONCATENATE(Cover!$D$6,"fdd/view?i=",J482)</f>
        <v>https://www.dgiwg.org/FAD/fdd/view?i=116652</v>
      </c>
      <c r="L482" s="36" t="s">
        <v>18642</v>
      </c>
      <c r="M482" s="186"/>
      <c r="N482" s="186"/>
      <c r="O482" s="13" t="s">
        <v>17133</v>
      </c>
    </row>
    <row r="483" spans="1:15" ht="38.25" x14ac:dyDescent="0.2">
      <c r="A483" s="197" t="str">
        <f t="shared" si="7"/>
        <v>ChyCode_chan015Y</v>
      </c>
      <c r="B483" s="409"/>
      <c r="C483" s="416"/>
      <c r="D483" s="198" t="s">
        <v>17139</v>
      </c>
      <c r="E483" s="198">
        <v>30</v>
      </c>
      <c r="F483" s="199" t="s">
        <v>17140</v>
      </c>
      <c r="G483" s="1" t="s">
        <v>18643</v>
      </c>
      <c r="H483" s="1" t="s">
        <v>16716</v>
      </c>
      <c r="I483" s="346"/>
      <c r="J483" s="39">
        <v>116653</v>
      </c>
      <c r="K483" s="36" t="str">
        <f>CONCATENATE(Cover!$D$6,"fdd/view?i=",J483)</f>
        <v>https://www.dgiwg.org/FAD/fdd/view?i=116653</v>
      </c>
      <c r="L483" s="36" t="s">
        <v>18644</v>
      </c>
      <c r="M483" s="186"/>
      <c r="N483" s="186"/>
      <c r="O483" s="13" t="s">
        <v>17138</v>
      </c>
    </row>
    <row r="484" spans="1:15" ht="38.25" x14ac:dyDescent="0.2">
      <c r="A484" s="197" t="str">
        <f t="shared" si="7"/>
        <v>ChyCode_chan016X</v>
      </c>
      <c r="B484" s="409"/>
      <c r="C484" s="416"/>
      <c r="D484" s="198" t="s">
        <v>17144</v>
      </c>
      <c r="E484" s="198">
        <v>31</v>
      </c>
      <c r="F484" s="199" t="s">
        <v>17145</v>
      </c>
      <c r="G484" s="1" t="s">
        <v>18645</v>
      </c>
      <c r="H484" s="1" t="s">
        <v>16716</v>
      </c>
      <c r="I484" s="346"/>
      <c r="J484" s="39">
        <v>116654</v>
      </c>
      <c r="K484" s="36" t="str">
        <f>CONCATENATE(Cover!$D$6,"fdd/view?i=",J484)</f>
        <v>https://www.dgiwg.org/FAD/fdd/view?i=116654</v>
      </c>
      <c r="L484" s="36" t="s">
        <v>18646</v>
      </c>
      <c r="M484" s="186"/>
      <c r="N484" s="186"/>
      <c r="O484" s="13" t="s">
        <v>17143</v>
      </c>
    </row>
    <row r="485" spans="1:15" ht="38.25" x14ac:dyDescent="0.2">
      <c r="A485" s="197" t="str">
        <f t="shared" si="7"/>
        <v>ChyCode_chan016Y</v>
      </c>
      <c r="B485" s="409"/>
      <c r="C485" s="416"/>
      <c r="D485" s="198" t="s">
        <v>17149</v>
      </c>
      <c r="E485" s="198">
        <v>32</v>
      </c>
      <c r="F485" s="199" t="s">
        <v>17150</v>
      </c>
      <c r="G485" s="1" t="s">
        <v>18647</v>
      </c>
      <c r="H485" s="1" t="s">
        <v>16716</v>
      </c>
      <c r="I485" s="346"/>
      <c r="J485" s="39">
        <v>116655</v>
      </c>
      <c r="K485" s="36" t="str">
        <f>CONCATENATE(Cover!$D$6,"fdd/view?i=",J485)</f>
        <v>https://www.dgiwg.org/FAD/fdd/view?i=116655</v>
      </c>
      <c r="L485" s="36" t="s">
        <v>18648</v>
      </c>
      <c r="M485" s="186"/>
      <c r="N485" s="186"/>
      <c r="O485" s="13" t="s">
        <v>17148</v>
      </c>
    </row>
    <row r="486" spans="1:15" ht="38.25" x14ac:dyDescent="0.2">
      <c r="A486" s="197" t="str">
        <f t="shared" si="7"/>
        <v>ChyCode_chan017X</v>
      </c>
      <c r="B486" s="409"/>
      <c r="C486" s="416"/>
      <c r="D486" s="198" t="s">
        <v>17154</v>
      </c>
      <c r="E486" s="198">
        <v>33</v>
      </c>
      <c r="F486" s="199" t="s">
        <v>17155</v>
      </c>
      <c r="G486" s="1" t="s">
        <v>18649</v>
      </c>
      <c r="H486" s="1" t="s">
        <v>16716</v>
      </c>
      <c r="I486" s="346"/>
      <c r="J486" s="39">
        <v>116656</v>
      </c>
      <c r="K486" s="36" t="str">
        <f>CONCATENATE(Cover!$D$6,"fdd/view?i=",J486)</f>
        <v>https://www.dgiwg.org/FAD/fdd/view?i=116656</v>
      </c>
      <c r="L486" s="36" t="s">
        <v>18650</v>
      </c>
      <c r="M486" s="186"/>
      <c r="N486" s="186"/>
      <c r="O486" s="13" t="s">
        <v>17153</v>
      </c>
    </row>
    <row r="487" spans="1:15" ht="38.25" x14ac:dyDescent="0.2">
      <c r="A487" s="197" t="str">
        <f t="shared" si="7"/>
        <v>ChyCode_chan017Y</v>
      </c>
      <c r="B487" s="409"/>
      <c r="C487" s="416"/>
      <c r="D487" s="198" t="s">
        <v>17159</v>
      </c>
      <c r="E487" s="198">
        <v>34</v>
      </c>
      <c r="F487" s="199" t="s">
        <v>17160</v>
      </c>
      <c r="G487" s="1" t="s">
        <v>18651</v>
      </c>
      <c r="H487" s="1" t="s">
        <v>16716</v>
      </c>
      <c r="I487" s="346"/>
      <c r="J487" s="39">
        <v>116657</v>
      </c>
      <c r="K487" s="36" t="str">
        <f>CONCATENATE(Cover!$D$6,"fdd/view?i=",J487)</f>
        <v>https://www.dgiwg.org/FAD/fdd/view?i=116657</v>
      </c>
      <c r="L487" s="36" t="s">
        <v>18652</v>
      </c>
      <c r="M487" s="186"/>
      <c r="N487" s="186"/>
      <c r="O487" s="13" t="s">
        <v>17158</v>
      </c>
    </row>
    <row r="488" spans="1:15" ht="38.25" x14ac:dyDescent="0.2">
      <c r="A488" s="197" t="str">
        <f t="shared" si="7"/>
        <v>ChyCode_chan017Z</v>
      </c>
      <c r="B488" s="409"/>
      <c r="C488" s="416"/>
      <c r="D488" s="198" t="s">
        <v>17164</v>
      </c>
      <c r="E488" s="198">
        <v>35</v>
      </c>
      <c r="F488" s="199" t="s">
        <v>17165</v>
      </c>
      <c r="G488" s="1" t="s">
        <v>18653</v>
      </c>
      <c r="H488" s="1" t="s">
        <v>16716</v>
      </c>
      <c r="I488" s="346"/>
      <c r="J488" s="39">
        <v>116658</v>
      </c>
      <c r="K488" s="36" t="str">
        <f>CONCATENATE(Cover!$D$6,"fdd/view?i=",J488)</f>
        <v>https://www.dgiwg.org/FAD/fdd/view?i=116658</v>
      </c>
      <c r="L488" s="36" t="s">
        <v>18654</v>
      </c>
      <c r="M488" s="186"/>
      <c r="N488" s="186"/>
      <c r="O488" s="13" t="s">
        <v>17163</v>
      </c>
    </row>
    <row r="489" spans="1:15" ht="38.25" x14ac:dyDescent="0.2">
      <c r="A489" s="197" t="str">
        <f t="shared" si="7"/>
        <v>ChyCode_chan018W</v>
      </c>
      <c r="B489" s="409"/>
      <c r="C489" s="416"/>
      <c r="D489" s="198" t="s">
        <v>17169</v>
      </c>
      <c r="E489" s="198">
        <v>36</v>
      </c>
      <c r="F489" s="199" t="s">
        <v>17170</v>
      </c>
      <c r="G489" s="1" t="s">
        <v>18655</v>
      </c>
      <c r="H489" s="1" t="s">
        <v>16716</v>
      </c>
      <c r="I489" s="346"/>
      <c r="J489" s="39">
        <v>116659</v>
      </c>
      <c r="K489" s="36" t="str">
        <f>CONCATENATE(Cover!$D$6,"fdd/view?i=",J489)</f>
        <v>https://www.dgiwg.org/FAD/fdd/view?i=116659</v>
      </c>
      <c r="L489" s="36" t="s">
        <v>18656</v>
      </c>
      <c r="M489" s="186"/>
      <c r="N489" s="186"/>
      <c r="O489" s="13" t="s">
        <v>17168</v>
      </c>
    </row>
    <row r="490" spans="1:15" ht="38.25" x14ac:dyDescent="0.2">
      <c r="A490" s="197" t="str">
        <f t="shared" si="7"/>
        <v>ChyCode_chan018X</v>
      </c>
      <c r="B490" s="409"/>
      <c r="C490" s="416"/>
      <c r="D490" s="198" t="s">
        <v>17174</v>
      </c>
      <c r="E490" s="198">
        <v>37</v>
      </c>
      <c r="F490" s="199" t="s">
        <v>17175</v>
      </c>
      <c r="G490" s="1" t="s">
        <v>18657</v>
      </c>
      <c r="H490" s="1" t="s">
        <v>16716</v>
      </c>
      <c r="I490" s="346"/>
      <c r="J490" s="39">
        <v>116660</v>
      </c>
      <c r="K490" s="36" t="str">
        <f>CONCATENATE(Cover!$D$6,"fdd/view?i=",J490)</f>
        <v>https://www.dgiwg.org/FAD/fdd/view?i=116660</v>
      </c>
      <c r="L490" s="36" t="s">
        <v>18658</v>
      </c>
      <c r="M490" s="186"/>
      <c r="N490" s="186"/>
      <c r="O490" s="13" t="s">
        <v>17173</v>
      </c>
    </row>
    <row r="491" spans="1:15" ht="38.25" x14ac:dyDescent="0.2">
      <c r="A491" s="197" t="str">
        <f t="shared" si="7"/>
        <v>ChyCode_chan018Y</v>
      </c>
      <c r="B491" s="409"/>
      <c r="C491" s="416"/>
      <c r="D491" s="198" t="s">
        <v>17179</v>
      </c>
      <c r="E491" s="198">
        <v>38</v>
      </c>
      <c r="F491" s="199" t="s">
        <v>17180</v>
      </c>
      <c r="G491" s="1" t="s">
        <v>18659</v>
      </c>
      <c r="H491" s="1" t="s">
        <v>16716</v>
      </c>
      <c r="I491" s="346"/>
      <c r="J491" s="39">
        <v>116661</v>
      </c>
      <c r="K491" s="36" t="str">
        <f>CONCATENATE(Cover!$D$6,"fdd/view?i=",J491)</f>
        <v>https://www.dgiwg.org/FAD/fdd/view?i=116661</v>
      </c>
      <c r="L491" s="36" t="s">
        <v>18660</v>
      </c>
      <c r="M491" s="186"/>
      <c r="N491" s="186"/>
      <c r="O491" s="13" t="s">
        <v>17178</v>
      </c>
    </row>
    <row r="492" spans="1:15" ht="38.25" x14ac:dyDescent="0.2">
      <c r="A492" s="197" t="str">
        <f t="shared" si="7"/>
        <v>ChyCode_chan018Z</v>
      </c>
      <c r="B492" s="409"/>
      <c r="C492" s="416"/>
      <c r="D492" s="198" t="s">
        <v>17184</v>
      </c>
      <c r="E492" s="198">
        <v>39</v>
      </c>
      <c r="F492" s="199" t="s">
        <v>17185</v>
      </c>
      <c r="G492" s="1" t="s">
        <v>18661</v>
      </c>
      <c r="H492" s="1" t="s">
        <v>16716</v>
      </c>
      <c r="I492" s="346"/>
      <c r="J492" s="39">
        <v>116662</v>
      </c>
      <c r="K492" s="36" t="str">
        <f>CONCATENATE(Cover!$D$6,"fdd/view?i=",J492)</f>
        <v>https://www.dgiwg.org/FAD/fdd/view?i=116662</v>
      </c>
      <c r="L492" s="36" t="s">
        <v>18662</v>
      </c>
      <c r="M492" s="186"/>
      <c r="N492" s="186"/>
      <c r="O492" s="13" t="s">
        <v>17183</v>
      </c>
    </row>
    <row r="493" spans="1:15" ht="38.25" x14ac:dyDescent="0.2">
      <c r="A493" s="197" t="str">
        <f t="shared" si="7"/>
        <v>ChyCode_chan019X</v>
      </c>
      <c r="B493" s="409"/>
      <c r="C493" s="416"/>
      <c r="D493" s="198" t="s">
        <v>17189</v>
      </c>
      <c r="E493" s="198">
        <v>40</v>
      </c>
      <c r="F493" s="199" t="s">
        <v>17190</v>
      </c>
      <c r="G493" s="1" t="s">
        <v>18663</v>
      </c>
      <c r="H493" s="1" t="s">
        <v>16716</v>
      </c>
      <c r="I493" s="346"/>
      <c r="J493" s="39">
        <v>116663</v>
      </c>
      <c r="K493" s="36" t="str">
        <f>CONCATENATE(Cover!$D$6,"fdd/view?i=",J493)</f>
        <v>https://www.dgiwg.org/FAD/fdd/view?i=116663</v>
      </c>
      <c r="L493" s="36" t="s">
        <v>18664</v>
      </c>
      <c r="M493" s="186"/>
      <c r="N493" s="186"/>
      <c r="O493" s="13" t="s">
        <v>17188</v>
      </c>
    </row>
    <row r="494" spans="1:15" ht="38.25" x14ac:dyDescent="0.2">
      <c r="A494" s="197" t="str">
        <f t="shared" si="7"/>
        <v>ChyCode_chan019Y</v>
      </c>
      <c r="B494" s="409"/>
      <c r="C494" s="416"/>
      <c r="D494" s="198" t="s">
        <v>17194</v>
      </c>
      <c r="E494" s="198">
        <v>41</v>
      </c>
      <c r="F494" s="199" t="s">
        <v>17195</v>
      </c>
      <c r="G494" s="1" t="s">
        <v>18665</v>
      </c>
      <c r="H494" s="1" t="s">
        <v>16716</v>
      </c>
      <c r="I494" s="346"/>
      <c r="J494" s="39">
        <v>116664</v>
      </c>
      <c r="K494" s="36" t="str">
        <f>CONCATENATE(Cover!$D$6,"fdd/view?i=",J494)</f>
        <v>https://www.dgiwg.org/FAD/fdd/view?i=116664</v>
      </c>
      <c r="L494" s="36" t="s">
        <v>18666</v>
      </c>
      <c r="M494" s="186"/>
      <c r="N494" s="186"/>
      <c r="O494" s="13" t="s">
        <v>17193</v>
      </c>
    </row>
    <row r="495" spans="1:15" ht="38.25" x14ac:dyDescent="0.2">
      <c r="A495" s="197" t="str">
        <f t="shared" si="7"/>
        <v>ChyCode_chan019Z</v>
      </c>
      <c r="B495" s="409"/>
      <c r="C495" s="416"/>
      <c r="D495" s="198" t="s">
        <v>17199</v>
      </c>
      <c r="E495" s="198">
        <v>42</v>
      </c>
      <c r="F495" s="199" t="s">
        <v>17200</v>
      </c>
      <c r="G495" s="1" t="s">
        <v>18667</v>
      </c>
      <c r="H495" s="1" t="s">
        <v>16716</v>
      </c>
      <c r="I495" s="346"/>
      <c r="J495" s="39">
        <v>116665</v>
      </c>
      <c r="K495" s="36" t="str">
        <f>CONCATENATE(Cover!$D$6,"fdd/view?i=",J495)</f>
        <v>https://www.dgiwg.org/FAD/fdd/view?i=116665</v>
      </c>
      <c r="L495" s="36" t="s">
        <v>18668</v>
      </c>
      <c r="M495" s="186"/>
      <c r="N495" s="186"/>
      <c r="O495" s="13" t="s">
        <v>17198</v>
      </c>
    </row>
    <row r="496" spans="1:15" ht="38.25" x14ac:dyDescent="0.2">
      <c r="A496" s="197" t="str">
        <f t="shared" si="7"/>
        <v>ChyCode_chan020W</v>
      </c>
      <c r="B496" s="409"/>
      <c r="C496" s="416"/>
      <c r="D496" s="198" t="s">
        <v>17214</v>
      </c>
      <c r="E496" s="198">
        <v>43</v>
      </c>
      <c r="F496" s="199" t="s">
        <v>17215</v>
      </c>
      <c r="G496" s="1" t="s">
        <v>18673</v>
      </c>
      <c r="H496" s="1" t="s">
        <v>16716</v>
      </c>
      <c r="I496" s="346"/>
      <c r="J496" s="39">
        <v>116666</v>
      </c>
      <c r="K496" s="36" t="str">
        <f>CONCATENATE(Cover!$D$6,"fdd/view?i=",J496)</f>
        <v>https://www.dgiwg.org/FAD/fdd/view?i=116666</v>
      </c>
      <c r="L496" s="36" t="s">
        <v>18674</v>
      </c>
      <c r="M496" s="186"/>
      <c r="N496" s="186"/>
      <c r="O496" s="13" t="s">
        <v>17213</v>
      </c>
    </row>
    <row r="497" spans="1:15" ht="38.25" x14ac:dyDescent="0.2">
      <c r="A497" s="197" t="str">
        <f t="shared" si="7"/>
        <v>ChyCode_chan020X</v>
      </c>
      <c r="B497" s="409"/>
      <c r="C497" s="416"/>
      <c r="D497" s="198" t="s">
        <v>17219</v>
      </c>
      <c r="E497" s="198">
        <v>44</v>
      </c>
      <c r="F497" s="199" t="s">
        <v>17220</v>
      </c>
      <c r="G497" s="1" t="s">
        <v>18675</v>
      </c>
      <c r="H497" s="1" t="s">
        <v>16716</v>
      </c>
      <c r="I497" s="346"/>
      <c r="J497" s="39">
        <v>116667</v>
      </c>
      <c r="K497" s="36" t="str">
        <f>CONCATENATE(Cover!$D$6,"fdd/view?i=",J497)</f>
        <v>https://www.dgiwg.org/FAD/fdd/view?i=116667</v>
      </c>
      <c r="L497" s="36" t="s">
        <v>18676</v>
      </c>
      <c r="M497" s="186"/>
      <c r="N497" s="186"/>
      <c r="O497" s="13" t="s">
        <v>17218</v>
      </c>
    </row>
    <row r="498" spans="1:15" ht="38.25" x14ac:dyDescent="0.2">
      <c r="A498" s="197" t="str">
        <f t="shared" si="7"/>
        <v>ChyCode_chan020Y</v>
      </c>
      <c r="B498" s="409"/>
      <c r="C498" s="416"/>
      <c r="D498" s="198" t="s">
        <v>17224</v>
      </c>
      <c r="E498" s="198">
        <v>45</v>
      </c>
      <c r="F498" s="199" t="s">
        <v>17225</v>
      </c>
      <c r="G498" s="1" t="s">
        <v>18677</v>
      </c>
      <c r="H498" s="1" t="s">
        <v>16716</v>
      </c>
      <c r="I498" s="346"/>
      <c r="J498" s="39">
        <v>116668</v>
      </c>
      <c r="K498" s="36" t="str">
        <f>CONCATENATE(Cover!$D$6,"fdd/view?i=",J498)</f>
        <v>https://www.dgiwg.org/FAD/fdd/view?i=116668</v>
      </c>
      <c r="L498" s="36" t="s">
        <v>18678</v>
      </c>
      <c r="M498" s="186"/>
      <c r="N498" s="186"/>
      <c r="O498" s="13" t="s">
        <v>17223</v>
      </c>
    </row>
    <row r="499" spans="1:15" ht="38.25" x14ac:dyDescent="0.2">
      <c r="A499" s="197" t="str">
        <f t="shared" si="7"/>
        <v>ChyCode_chan020Z</v>
      </c>
      <c r="B499" s="409"/>
      <c r="C499" s="416"/>
      <c r="D499" s="198" t="s">
        <v>17229</v>
      </c>
      <c r="E499" s="198">
        <v>46</v>
      </c>
      <c r="F499" s="199" t="s">
        <v>17230</v>
      </c>
      <c r="G499" s="1" t="s">
        <v>18679</v>
      </c>
      <c r="H499" s="1" t="s">
        <v>16716</v>
      </c>
      <c r="I499" s="346"/>
      <c r="J499" s="39">
        <v>116669</v>
      </c>
      <c r="K499" s="36" t="str">
        <f>CONCATENATE(Cover!$D$6,"fdd/view?i=",J499)</f>
        <v>https://www.dgiwg.org/FAD/fdd/view?i=116669</v>
      </c>
      <c r="L499" s="36" t="s">
        <v>18680</v>
      </c>
      <c r="M499" s="186"/>
      <c r="N499" s="186"/>
      <c r="O499" s="13" t="s">
        <v>17228</v>
      </c>
    </row>
    <row r="500" spans="1:15" ht="38.25" x14ac:dyDescent="0.2">
      <c r="A500" s="197" t="str">
        <f t="shared" si="7"/>
        <v>ChyCode_chan021X</v>
      </c>
      <c r="B500" s="409"/>
      <c r="C500" s="416"/>
      <c r="D500" s="198" t="s">
        <v>17234</v>
      </c>
      <c r="E500" s="198">
        <v>47</v>
      </c>
      <c r="F500" s="199" t="s">
        <v>17235</v>
      </c>
      <c r="G500" s="1" t="s">
        <v>18681</v>
      </c>
      <c r="H500" s="1" t="s">
        <v>16716</v>
      </c>
      <c r="I500" s="346"/>
      <c r="J500" s="39">
        <v>116670</v>
      </c>
      <c r="K500" s="36" t="str">
        <f>CONCATENATE(Cover!$D$6,"fdd/view?i=",J500)</f>
        <v>https://www.dgiwg.org/FAD/fdd/view?i=116670</v>
      </c>
      <c r="L500" s="36" t="s">
        <v>18682</v>
      </c>
      <c r="M500" s="186"/>
      <c r="N500" s="186"/>
      <c r="O500" s="13" t="s">
        <v>17233</v>
      </c>
    </row>
    <row r="501" spans="1:15" ht="38.25" x14ac:dyDescent="0.2">
      <c r="A501" s="197" t="str">
        <f t="shared" si="7"/>
        <v>ChyCode_chan021Y</v>
      </c>
      <c r="B501" s="409"/>
      <c r="C501" s="416"/>
      <c r="D501" s="198" t="s">
        <v>17239</v>
      </c>
      <c r="E501" s="198">
        <v>48</v>
      </c>
      <c r="F501" s="199" t="s">
        <v>17240</v>
      </c>
      <c r="G501" s="1" t="s">
        <v>18683</v>
      </c>
      <c r="H501" s="1" t="s">
        <v>16716</v>
      </c>
      <c r="I501" s="346"/>
      <c r="J501" s="39">
        <v>116671</v>
      </c>
      <c r="K501" s="36" t="str">
        <f>CONCATENATE(Cover!$D$6,"fdd/view?i=",J501)</f>
        <v>https://www.dgiwg.org/FAD/fdd/view?i=116671</v>
      </c>
      <c r="L501" s="36" t="s">
        <v>18684</v>
      </c>
      <c r="M501" s="186"/>
      <c r="N501" s="186"/>
      <c r="O501" s="13" t="s">
        <v>17238</v>
      </c>
    </row>
    <row r="502" spans="1:15" ht="38.25" x14ac:dyDescent="0.2">
      <c r="A502" s="197" t="str">
        <f t="shared" si="7"/>
        <v>ChyCode_chan021Z</v>
      </c>
      <c r="B502" s="409"/>
      <c r="C502" s="416"/>
      <c r="D502" s="198" t="s">
        <v>17244</v>
      </c>
      <c r="E502" s="198">
        <v>49</v>
      </c>
      <c r="F502" s="199" t="s">
        <v>17245</v>
      </c>
      <c r="G502" s="1" t="s">
        <v>18685</v>
      </c>
      <c r="H502" s="1" t="s">
        <v>16716</v>
      </c>
      <c r="I502" s="346"/>
      <c r="J502" s="39">
        <v>116672</v>
      </c>
      <c r="K502" s="36" t="str">
        <f>CONCATENATE(Cover!$D$6,"fdd/view?i=",J502)</f>
        <v>https://www.dgiwg.org/FAD/fdd/view?i=116672</v>
      </c>
      <c r="L502" s="36" t="s">
        <v>18686</v>
      </c>
      <c r="M502" s="186"/>
      <c r="N502" s="186"/>
      <c r="O502" s="13" t="s">
        <v>17243</v>
      </c>
    </row>
    <row r="503" spans="1:15" ht="38.25" x14ac:dyDescent="0.2">
      <c r="A503" s="197" t="str">
        <f t="shared" si="7"/>
        <v>ChyCode_chan022W</v>
      </c>
      <c r="B503" s="409"/>
      <c r="C503" s="416"/>
      <c r="D503" s="198" t="s">
        <v>17249</v>
      </c>
      <c r="E503" s="198">
        <v>50</v>
      </c>
      <c r="F503" s="199" t="s">
        <v>17250</v>
      </c>
      <c r="G503" s="1" t="s">
        <v>18687</v>
      </c>
      <c r="H503" s="1" t="s">
        <v>16716</v>
      </c>
      <c r="I503" s="346"/>
      <c r="J503" s="39">
        <v>116673</v>
      </c>
      <c r="K503" s="36" t="str">
        <f>CONCATENATE(Cover!$D$6,"fdd/view?i=",J503)</f>
        <v>https://www.dgiwg.org/FAD/fdd/view?i=116673</v>
      </c>
      <c r="L503" s="36" t="s">
        <v>18688</v>
      </c>
      <c r="M503" s="186"/>
      <c r="N503" s="186"/>
      <c r="O503" s="13" t="s">
        <v>17248</v>
      </c>
    </row>
    <row r="504" spans="1:15" ht="38.25" x14ac:dyDescent="0.2">
      <c r="A504" s="197" t="str">
        <f t="shared" si="7"/>
        <v>ChyCode_chan022X</v>
      </c>
      <c r="B504" s="409"/>
      <c r="C504" s="416"/>
      <c r="D504" s="198" t="s">
        <v>17254</v>
      </c>
      <c r="E504" s="198">
        <v>51</v>
      </c>
      <c r="F504" s="199" t="s">
        <v>17255</v>
      </c>
      <c r="G504" s="1" t="s">
        <v>18689</v>
      </c>
      <c r="H504" s="1" t="s">
        <v>16716</v>
      </c>
      <c r="I504" s="346"/>
      <c r="J504" s="39">
        <v>116674</v>
      </c>
      <c r="K504" s="36" t="str">
        <f>CONCATENATE(Cover!$D$6,"fdd/view?i=",J504)</f>
        <v>https://www.dgiwg.org/FAD/fdd/view?i=116674</v>
      </c>
      <c r="L504" s="36" t="s">
        <v>18690</v>
      </c>
      <c r="M504" s="186"/>
      <c r="N504" s="186"/>
      <c r="O504" s="13" t="s">
        <v>17253</v>
      </c>
    </row>
    <row r="505" spans="1:15" ht="38.25" x14ac:dyDescent="0.2">
      <c r="A505" s="197" t="str">
        <f t="shared" si="7"/>
        <v>ChyCode_chan022Y</v>
      </c>
      <c r="B505" s="409"/>
      <c r="C505" s="416"/>
      <c r="D505" s="198" t="s">
        <v>17259</v>
      </c>
      <c r="E505" s="198">
        <v>52</v>
      </c>
      <c r="F505" s="199" t="s">
        <v>17260</v>
      </c>
      <c r="G505" s="1" t="s">
        <v>18691</v>
      </c>
      <c r="H505" s="1" t="s">
        <v>16716</v>
      </c>
      <c r="I505" s="346"/>
      <c r="J505" s="39">
        <v>116675</v>
      </c>
      <c r="K505" s="36" t="str">
        <f>CONCATENATE(Cover!$D$6,"fdd/view?i=",J505)</f>
        <v>https://www.dgiwg.org/FAD/fdd/view?i=116675</v>
      </c>
      <c r="L505" s="36" t="s">
        <v>18692</v>
      </c>
      <c r="M505" s="186"/>
      <c r="N505" s="186"/>
      <c r="O505" s="13" t="s">
        <v>17258</v>
      </c>
    </row>
    <row r="506" spans="1:15" ht="38.25" x14ac:dyDescent="0.2">
      <c r="A506" s="197" t="str">
        <f t="shared" si="7"/>
        <v>ChyCode_chan022Z</v>
      </c>
      <c r="B506" s="409"/>
      <c r="C506" s="416"/>
      <c r="D506" s="198" t="s">
        <v>17264</v>
      </c>
      <c r="E506" s="198">
        <v>53</v>
      </c>
      <c r="F506" s="199" t="s">
        <v>17265</v>
      </c>
      <c r="G506" s="1" t="s">
        <v>18693</v>
      </c>
      <c r="H506" s="1" t="s">
        <v>16716</v>
      </c>
      <c r="I506" s="346"/>
      <c r="J506" s="39">
        <v>116676</v>
      </c>
      <c r="K506" s="36" t="str">
        <f>CONCATENATE(Cover!$D$6,"fdd/view?i=",J506)</f>
        <v>https://www.dgiwg.org/FAD/fdd/view?i=116676</v>
      </c>
      <c r="L506" s="36" t="s">
        <v>18694</v>
      </c>
      <c r="M506" s="186"/>
      <c r="N506" s="186"/>
      <c r="O506" s="13" t="s">
        <v>17263</v>
      </c>
    </row>
    <row r="507" spans="1:15" ht="38.25" x14ac:dyDescent="0.2">
      <c r="A507" s="197" t="str">
        <f t="shared" si="7"/>
        <v>ChyCode_chan023X</v>
      </c>
      <c r="B507" s="409"/>
      <c r="C507" s="416"/>
      <c r="D507" s="198" t="s">
        <v>17269</v>
      </c>
      <c r="E507" s="198">
        <v>54</v>
      </c>
      <c r="F507" s="199" t="s">
        <v>17270</v>
      </c>
      <c r="G507" s="1" t="s">
        <v>18695</v>
      </c>
      <c r="H507" s="1" t="s">
        <v>16716</v>
      </c>
      <c r="I507" s="346"/>
      <c r="J507" s="39">
        <v>116677</v>
      </c>
      <c r="K507" s="36" t="str">
        <f>CONCATENATE(Cover!$D$6,"fdd/view?i=",J507)</f>
        <v>https://www.dgiwg.org/FAD/fdd/view?i=116677</v>
      </c>
      <c r="L507" s="36" t="s">
        <v>18696</v>
      </c>
      <c r="M507" s="186"/>
      <c r="N507" s="186"/>
      <c r="O507" s="13" t="s">
        <v>17268</v>
      </c>
    </row>
    <row r="508" spans="1:15" ht="38.25" x14ac:dyDescent="0.2">
      <c r="A508" s="197" t="str">
        <f t="shared" si="7"/>
        <v>ChyCode_chan023Y</v>
      </c>
      <c r="B508" s="409"/>
      <c r="C508" s="416"/>
      <c r="D508" s="198" t="s">
        <v>17274</v>
      </c>
      <c r="E508" s="198">
        <v>55</v>
      </c>
      <c r="F508" s="199" t="s">
        <v>17275</v>
      </c>
      <c r="G508" s="1" t="s">
        <v>18697</v>
      </c>
      <c r="H508" s="1" t="s">
        <v>16716</v>
      </c>
      <c r="I508" s="346"/>
      <c r="J508" s="39">
        <v>116678</v>
      </c>
      <c r="K508" s="36" t="str">
        <f>CONCATENATE(Cover!$D$6,"fdd/view?i=",J508)</f>
        <v>https://www.dgiwg.org/FAD/fdd/view?i=116678</v>
      </c>
      <c r="L508" s="36" t="s">
        <v>18698</v>
      </c>
      <c r="M508" s="186"/>
      <c r="N508" s="186"/>
      <c r="O508" s="13" t="s">
        <v>17273</v>
      </c>
    </row>
    <row r="509" spans="1:15" ht="38.25" x14ac:dyDescent="0.2">
      <c r="A509" s="197" t="str">
        <f t="shared" si="7"/>
        <v>ChyCode_chan023Z</v>
      </c>
      <c r="B509" s="409"/>
      <c r="C509" s="416"/>
      <c r="D509" s="198" t="s">
        <v>17279</v>
      </c>
      <c r="E509" s="198">
        <v>56</v>
      </c>
      <c r="F509" s="199" t="s">
        <v>17280</v>
      </c>
      <c r="G509" s="1" t="s">
        <v>18699</v>
      </c>
      <c r="H509" s="1" t="s">
        <v>16716</v>
      </c>
      <c r="I509" s="346"/>
      <c r="J509" s="39">
        <v>116679</v>
      </c>
      <c r="K509" s="36" t="str">
        <f>CONCATENATE(Cover!$D$6,"fdd/view?i=",J509)</f>
        <v>https://www.dgiwg.org/FAD/fdd/view?i=116679</v>
      </c>
      <c r="L509" s="36" t="s">
        <v>18700</v>
      </c>
      <c r="M509" s="186"/>
      <c r="N509" s="186"/>
      <c r="O509" s="13" t="s">
        <v>17278</v>
      </c>
    </row>
    <row r="510" spans="1:15" ht="38.25" x14ac:dyDescent="0.2">
      <c r="A510" s="197" t="str">
        <f t="shared" si="7"/>
        <v>ChyCode_chan024W</v>
      </c>
      <c r="B510" s="409"/>
      <c r="C510" s="416"/>
      <c r="D510" s="198" t="s">
        <v>17284</v>
      </c>
      <c r="E510" s="198">
        <v>57</v>
      </c>
      <c r="F510" s="199" t="s">
        <v>17285</v>
      </c>
      <c r="G510" s="1" t="s">
        <v>18701</v>
      </c>
      <c r="H510" s="1" t="s">
        <v>16716</v>
      </c>
      <c r="I510" s="346"/>
      <c r="J510" s="39">
        <v>116680</v>
      </c>
      <c r="K510" s="36" t="str">
        <f>CONCATENATE(Cover!$D$6,"fdd/view?i=",J510)</f>
        <v>https://www.dgiwg.org/FAD/fdd/view?i=116680</v>
      </c>
      <c r="L510" s="36" t="s">
        <v>18702</v>
      </c>
      <c r="M510" s="186"/>
      <c r="N510" s="186"/>
      <c r="O510" s="13" t="s">
        <v>17283</v>
      </c>
    </row>
    <row r="511" spans="1:15" ht="38.25" x14ac:dyDescent="0.2">
      <c r="A511" s="197" t="str">
        <f t="shared" si="7"/>
        <v>ChyCode_chan024X</v>
      </c>
      <c r="B511" s="409"/>
      <c r="C511" s="416"/>
      <c r="D511" s="198" t="s">
        <v>17289</v>
      </c>
      <c r="E511" s="198">
        <v>58</v>
      </c>
      <c r="F511" s="199" t="s">
        <v>17290</v>
      </c>
      <c r="G511" s="1" t="s">
        <v>18703</v>
      </c>
      <c r="H511" s="1" t="s">
        <v>16716</v>
      </c>
      <c r="I511" s="346"/>
      <c r="J511" s="39">
        <v>116681</v>
      </c>
      <c r="K511" s="36" t="str">
        <f>CONCATENATE(Cover!$D$6,"fdd/view?i=",J511)</f>
        <v>https://www.dgiwg.org/FAD/fdd/view?i=116681</v>
      </c>
      <c r="L511" s="36" t="s">
        <v>18704</v>
      </c>
      <c r="M511" s="186"/>
      <c r="N511" s="186"/>
      <c r="O511" s="13" t="s">
        <v>17288</v>
      </c>
    </row>
    <row r="512" spans="1:15" ht="38.25" x14ac:dyDescent="0.2">
      <c r="A512" s="197" t="str">
        <f t="shared" si="7"/>
        <v>ChyCode_chan024Y</v>
      </c>
      <c r="B512" s="409"/>
      <c r="C512" s="416"/>
      <c r="D512" s="198" t="s">
        <v>17294</v>
      </c>
      <c r="E512" s="198">
        <v>59</v>
      </c>
      <c r="F512" s="199" t="s">
        <v>17295</v>
      </c>
      <c r="G512" s="1" t="s">
        <v>18705</v>
      </c>
      <c r="H512" s="1" t="s">
        <v>16716</v>
      </c>
      <c r="I512" s="346"/>
      <c r="J512" s="39">
        <v>116682</v>
      </c>
      <c r="K512" s="36" t="str">
        <f>CONCATENATE(Cover!$D$6,"fdd/view?i=",J512)</f>
        <v>https://www.dgiwg.org/FAD/fdd/view?i=116682</v>
      </c>
      <c r="L512" s="36" t="s">
        <v>18706</v>
      </c>
      <c r="M512" s="186"/>
      <c r="N512" s="186"/>
      <c r="O512" s="13" t="s">
        <v>17293</v>
      </c>
    </row>
    <row r="513" spans="1:15" ht="38.25" x14ac:dyDescent="0.2">
      <c r="A513" s="197" t="str">
        <f t="shared" si="7"/>
        <v>ChyCode_chan024Z</v>
      </c>
      <c r="B513" s="409"/>
      <c r="C513" s="416"/>
      <c r="D513" s="198" t="s">
        <v>17299</v>
      </c>
      <c r="E513" s="198">
        <v>60</v>
      </c>
      <c r="F513" s="199" t="s">
        <v>17300</v>
      </c>
      <c r="G513" s="1" t="s">
        <v>18707</v>
      </c>
      <c r="H513" s="1" t="s">
        <v>16716</v>
      </c>
      <c r="I513" s="346"/>
      <c r="J513" s="39">
        <v>116683</v>
      </c>
      <c r="K513" s="36" t="str">
        <f>CONCATENATE(Cover!$D$6,"fdd/view?i=",J513)</f>
        <v>https://www.dgiwg.org/FAD/fdd/view?i=116683</v>
      </c>
      <c r="L513" s="36" t="s">
        <v>18708</v>
      </c>
      <c r="M513" s="186"/>
      <c r="N513" s="186"/>
      <c r="O513" s="13" t="s">
        <v>17298</v>
      </c>
    </row>
    <row r="514" spans="1:15" ht="38.25" x14ac:dyDescent="0.2">
      <c r="A514" s="197" t="str">
        <f t="shared" ref="A514:A577" si="8">HYPERLINK(K514,L514)</f>
        <v>ChyCode_chan025X</v>
      </c>
      <c r="B514" s="409"/>
      <c r="C514" s="416"/>
      <c r="D514" s="198" t="s">
        <v>17304</v>
      </c>
      <c r="E514" s="198">
        <v>61</v>
      </c>
      <c r="F514" s="199" t="s">
        <v>17305</v>
      </c>
      <c r="G514" s="1" t="s">
        <v>18709</v>
      </c>
      <c r="H514" s="1" t="s">
        <v>16716</v>
      </c>
      <c r="I514" s="346"/>
      <c r="J514" s="39">
        <v>116684</v>
      </c>
      <c r="K514" s="36" t="str">
        <f>CONCATENATE(Cover!$D$6,"fdd/view?i=",J514)</f>
        <v>https://www.dgiwg.org/FAD/fdd/view?i=116684</v>
      </c>
      <c r="L514" s="36" t="s">
        <v>18710</v>
      </c>
      <c r="M514" s="186"/>
      <c r="N514" s="186"/>
      <c r="O514" s="13" t="s">
        <v>17303</v>
      </c>
    </row>
    <row r="515" spans="1:15" ht="38.25" x14ac:dyDescent="0.2">
      <c r="A515" s="197" t="str">
        <f t="shared" si="8"/>
        <v>ChyCode_chan025Y</v>
      </c>
      <c r="B515" s="409"/>
      <c r="C515" s="416"/>
      <c r="D515" s="198" t="s">
        <v>17309</v>
      </c>
      <c r="E515" s="198">
        <v>62</v>
      </c>
      <c r="F515" s="199" t="s">
        <v>17310</v>
      </c>
      <c r="G515" s="1" t="s">
        <v>18711</v>
      </c>
      <c r="H515" s="1" t="s">
        <v>16716</v>
      </c>
      <c r="I515" s="346"/>
      <c r="J515" s="39">
        <v>116685</v>
      </c>
      <c r="K515" s="36" t="str">
        <f>CONCATENATE(Cover!$D$6,"fdd/view?i=",J515)</f>
        <v>https://www.dgiwg.org/FAD/fdd/view?i=116685</v>
      </c>
      <c r="L515" s="36" t="s">
        <v>18712</v>
      </c>
      <c r="M515" s="186"/>
      <c r="N515" s="186"/>
      <c r="O515" s="13" t="s">
        <v>17308</v>
      </c>
    </row>
    <row r="516" spans="1:15" ht="38.25" x14ac:dyDescent="0.2">
      <c r="A516" s="197" t="str">
        <f t="shared" si="8"/>
        <v>ChyCode_chan025Z</v>
      </c>
      <c r="B516" s="409"/>
      <c r="C516" s="416"/>
      <c r="D516" s="198" t="s">
        <v>17314</v>
      </c>
      <c r="E516" s="198">
        <v>63</v>
      </c>
      <c r="F516" s="199" t="s">
        <v>17315</v>
      </c>
      <c r="G516" s="1" t="s">
        <v>18713</v>
      </c>
      <c r="H516" s="1" t="s">
        <v>16716</v>
      </c>
      <c r="I516" s="346"/>
      <c r="J516" s="39">
        <v>116686</v>
      </c>
      <c r="K516" s="36" t="str">
        <f>CONCATENATE(Cover!$D$6,"fdd/view?i=",J516)</f>
        <v>https://www.dgiwg.org/FAD/fdd/view?i=116686</v>
      </c>
      <c r="L516" s="36" t="s">
        <v>18714</v>
      </c>
      <c r="M516" s="186"/>
      <c r="N516" s="186"/>
      <c r="O516" s="13" t="s">
        <v>17313</v>
      </c>
    </row>
    <row r="517" spans="1:15" ht="38.25" x14ac:dyDescent="0.2">
      <c r="A517" s="197" t="str">
        <f t="shared" si="8"/>
        <v>ChyCode_chan026W</v>
      </c>
      <c r="B517" s="409"/>
      <c r="C517" s="416"/>
      <c r="D517" s="198" t="s">
        <v>17319</v>
      </c>
      <c r="E517" s="198">
        <v>64</v>
      </c>
      <c r="F517" s="199" t="s">
        <v>17320</v>
      </c>
      <c r="G517" s="1" t="s">
        <v>18715</v>
      </c>
      <c r="H517" s="1" t="s">
        <v>16716</v>
      </c>
      <c r="I517" s="346"/>
      <c r="J517" s="39">
        <v>116687</v>
      </c>
      <c r="K517" s="36" t="str">
        <f>CONCATENATE(Cover!$D$6,"fdd/view?i=",J517)</f>
        <v>https://www.dgiwg.org/FAD/fdd/view?i=116687</v>
      </c>
      <c r="L517" s="36" t="s">
        <v>18716</v>
      </c>
      <c r="M517" s="186"/>
      <c r="N517" s="186"/>
      <c r="O517" s="13" t="s">
        <v>17318</v>
      </c>
    </row>
    <row r="518" spans="1:15" ht="38.25" x14ac:dyDescent="0.2">
      <c r="A518" s="197" t="str">
        <f t="shared" si="8"/>
        <v>ChyCode_chan026X</v>
      </c>
      <c r="B518" s="409"/>
      <c r="C518" s="416"/>
      <c r="D518" s="198" t="s">
        <v>17324</v>
      </c>
      <c r="E518" s="198">
        <v>65</v>
      </c>
      <c r="F518" s="199" t="s">
        <v>17325</v>
      </c>
      <c r="G518" s="1" t="s">
        <v>18717</v>
      </c>
      <c r="H518" s="1" t="s">
        <v>16716</v>
      </c>
      <c r="I518" s="346"/>
      <c r="J518" s="39">
        <v>116688</v>
      </c>
      <c r="K518" s="36" t="str">
        <f>CONCATENATE(Cover!$D$6,"fdd/view?i=",J518)</f>
        <v>https://www.dgiwg.org/FAD/fdd/view?i=116688</v>
      </c>
      <c r="L518" s="36" t="s">
        <v>18718</v>
      </c>
      <c r="M518" s="186"/>
      <c r="N518" s="186"/>
      <c r="O518" s="13" t="s">
        <v>17323</v>
      </c>
    </row>
    <row r="519" spans="1:15" ht="38.25" x14ac:dyDescent="0.2">
      <c r="A519" s="197" t="str">
        <f t="shared" si="8"/>
        <v>ChyCode_chan026Y</v>
      </c>
      <c r="B519" s="409"/>
      <c r="C519" s="416"/>
      <c r="D519" s="198" t="s">
        <v>17329</v>
      </c>
      <c r="E519" s="198">
        <v>66</v>
      </c>
      <c r="F519" s="199" t="s">
        <v>17330</v>
      </c>
      <c r="G519" s="1" t="s">
        <v>18719</v>
      </c>
      <c r="H519" s="1" t="s">
        <v>16716</v>
      </c>
      <c r="I519" s="346"/>
      <c r="J519" s="39">
        <v>116689</v>
      </c>
      <c r="K519" s="36" t="str">
        <f>CONCATENATE(Cover!$D$6,"fdd/view?i=",J519)</f>
        <v>https://www.dgiwg.org/FAD/fdd/view?i=116689</v>
      </c>
      <c r="L519" s="36" t="s">
        <v>18720</v>
      </c>
      <c r="M519" s="186"/>
      <c r="N519" s="186"/>
      <c r="O519" s="13" t="s">
        <v>17328</v>
      </c>
    </row>
    <row r="520" spans="1:15" ht="38.25" x14ac:dyDescent="0.2">
      <c r="A520" s="197" t="str">
        <f t="shared" si="8"/>
        <v>ChyCode_chan026Z</v>
      </c>
      <c r="B520" s="409"/>
      <c r="C520" s="416"/>
      <c r="D520" s="198" t="s">
        <v>17334</v>
      </c>
      <c r="E520" s="198">
        <v>67</v>
      </c>
      <c r="F520" s="199" t="s">
        <v>17335</v>
      </c>
      <c r="G520" s="1" t="s">
        <v>18721</v>
      </c>
      <c r="H520" s="1" t="s">
        <v>16716</v>
      </c>
      <c r="I520" s="346"/>
      <c r="J520" s="39">
        <v>116690</v>
      </c>
      <c r="K520" s="36" t="str">
        <f>CONCATENATE(Cover!$D$6,"fdd/view?i=",J520)</f>
        <v>https://www.dgiwg.org/FAD/fdd/view?i=116690</v>
      </c>
      <c r="L520" s="36" t="s">
        <v>18722</v>
      </c>
      <c r="M520" s="186"/>
      <c r="N520" s="186"/>
      <c r="O520" s="13" t="s">
        <v>17333</v>
      </c>
    </row>
    <row r="521" spans="1:15" ht="38.25" x14ac:dyDescent="0.2">
      <c r="A521" s="197" t="str">
        <f t="shared" si="8"/>
        <v>ChyCode_chan027X</v>
      </c>
      <c r="B521" s="409"/>
      <c r="C521" s="416"/>
      <c r="D521" s="198" t="s">
        <v>17339</v>
      </c>
      <c r="E521" s="198">
        <v>68</v>
      </c>
      <c r="F521" s="199" t="s">
        <v>17340</v>
      </c>
      <c r="G521" s="1" t="s">
        <v>18723</v>
      </c>
      <c r="H521" s="1" t="s">
        <v>16716</v>
      </c>
      <c r="I521" s="346"/>
      <c r="J521" s="39">
        <v>116691</v>
      </c>
      <c r="K521" s="36" t="str">
        <f>CONCATENATE(Cover!$D$6,"fdd/view?i=",J521)</f>
        <v>https://www.dgiwg.org/FAD/fdd/view?i=116691</v>
      </c>
      <c r="L521" s="36" t="s">
        <v>18724</v>
      </c>
      <c r="M521" s="186"/>
      <c r="N521" s="186"/>
      <c r="O521" s="13" t="s">
        <v>17338</v>
      </c>
    </row>
    <row r="522" spans="1:15" ht="38.25" x14ac:dyDescent="0.2">
      <c r="A522" s="197" t="str">
        <f t="shared" si="8"/>
        <v>ChyCode_chan027Y</v>
      </c>
      <c r="B522" s="409"/>
      <c r="C522" s="416"/>
      <c r="D522" s="198" t="s">
        <v>17344</v>
      </c>
      <c r="E522" s="198">
        <v>69</v>
      </c>
      <c r="F522" s="199" t="s">
        <v>17345</v>
      </c>
      <c r="G522" s="1" t="s">
        <v>18725</v>
      </c>
      <c r="H522" s="1" t="s">
        <v>16716</v>
      </c>
      <c r="I522" s="346"/>
      <c r="J522" s="39">
        <v>116692</v>
      </c>
      <c r="K522" s="36" t="str">
        <f>CONCATENATE(Cover!$D$6,"fdd/view?i=",J522)</f>
        <v>https://www.dgiwg.org/FAD/fdd/view?i=116692</v>
      </c>
      <c r="L522" s="36" t="s">
        <v>18726</v>
      </c>
      <c r="M522" s="186"/>
      <c r="N522" s="186"/>
      <c r="O522" s="13" t="s">
        <v>17343</v>
      </c>
    </row>
    <row r="523" spans="1:15" ht="38.25" x14ac:dyDescent="0.2">
      <c r="A523" s="197" t="str">
        <f t="shared" si="8"/>
        <v>ChyCode_chan027Z</v>
      </c>
      <c r="B523" s="409"/>
      <c r="C523" s="416"/>
      <c r="D523" s="198" t="s">
        <v>17349</v>
      </c>
      <c r="E523" s="198">
        <v>70</v>
      </c>
      <c r="F523" s="199" t="s">
        <v>17350</v>
      </c>
      <c r="G523" s="1" t="s">
        <v>18727</v>
      </c>
      <c r="H523" s="1" t="s">
        <v>16716</v>
      </c>
      <c r="I523" s="346"/>
      <c r="J523" s="39">
        <v>116693</v>
      </c>
      <c r="K523" s="36" t="str">
        <f>CONCATENATE(Cover!$D$6,"fdd/view?i=",J523)</f>
        <v>https://www.dgiwg.org/FAD/fdd/view?i=116693</v>
      </c>
      <c r="L523" s="36" t="s">
        <v>18728</v>
      </c>
      <c r="M523" s="186"/>
      <c r="N523" s="186"/>
      <c r="O523" s="13" t="s">
        <v>17348</v>
      </c>
    </row>
    <row r="524" spans="1:15" ht="38.25" x14ac:dyDescent="0.2">
      <c r="A524" s="197" t="str">
        <f t="shared" si="8"/>
        <v>ChyCode_chan028W</v>
      </c>
      <c r="B524" s="409"/>
      <c r="C524" s="416"/>
      <c r="D524" s="198" t="s">
        <v>17354</v>
      </c>
      <c r="E524" s="198">
        <v>71</v>
      </c>
      <c r="F524" s="199" t="s">
        <v>17355</v>
      </c>
      <c r="G524" s="1" t="s">
        <v>18729</v>
      </c>
      <c r="H524" s="1" t="s">
        <v>16716</v>
      </c>
      <c r="I524" s="346"/>
      <c r="J524" s="39">
        <v>116694</v>
      </c>
      <c r="K524" s="36" t="str">
        <f>CONCATENATE(Cover!$D$6,"fdd/view?i=",J524)</f>
        <v>https://www.dgiwg.org/FAD/fdd/view?i=116694</v>
      </c>
      <c r="L524" s="36" t="s">
        <v>18730</v>
      </c>
      <c r="M524" s="186"/>
      <c r="N524" s="186"/>
      <c r="O524" s="13" t="s">
        <v>17353</v>
      </c>
    </row>
    <row r="525" spans="1:15" ht="38.25" x14ac:dyDescent="0.2">
      <c r="A525" s="197" t="str">
        <f t="shared" si="8"/>
        <v>ChyCode_chan028X</v>
      </c>
      <c r="B525" s="409"/>
      <c r="C525" s="416"/>
      <c r="D525" s="198" t="s">
        <v>17359</v>
      </c>
      <c r="E525" s="198">
        <v>72</v>
      </c>
      <c r="F525" s="199" t="s">
        <v>17360</v>
      </c>
      <c r="G525" s="1" t="s">
        <v>18731</v>
      </c>
      <c r="H525" s="1" t="s">
        <v>16716</v>
      </c>
      <c r="I525" s="346"/>
      <c r="J525" s="39">
        <v>116695</v>
      </c>
      <c r="K525" s="36" t="str">
        <f>CONCATENATE(Cover!$D$6,"fdd/view?i=",J525)</f>
        <v>https://www.dgiwg.org/FAD/fdd/view?i=116695</v>
      </c>
      <c r="L525" s="36" t="s">
        <v>18732</v>
      </c>
      <c r="M525" s="186"/>
      <c r="N525" s="186"/>
      <c r="O525" s="13" t="s">
        <v>17358</v>
      </c>
    </row>
    <row r="526" spans="1:15" ht="38.25" x14ac:dyDescent="0.2">
      <c r="A526" s="197" t="str">
        <f t="shared" si="8"/>
        <v>ChyCode_chan028Y</v>
      </c>
      <c r="B526" s="409"/>
      <c r="C526" s="416"/>
      <c r="D526" s="198" t="s">
        <v>17364</v>
      </c>
      <c r="E526" s="198">
        <v>73</v>
      </c>
      <c r="F526" s="199" t="s">
        <v>17365</v>
      </c>
      <c r="G526" s="1" t="s">
        <v>18733</v>
      </c>
      <c r="H526" s="1" t="s">
        <v>16716</v>
      </c>
      <c r="I526" s="346"/>
      <c r="J526" s="39">
        <v>116696</v>
      </c>
      <c r="K526" s="36" t="str">
        <f>CONCATENATE(Cover!$D$6,"fdd/view?i=",J526)</f>
        <v>https://www.dgiwg.org/FAD/fdd/view?i=116696</v>
      </c>
      <c r="L526" s="36" t="s">
        <v>18734</v>
      </c>
      <c r="M526" s="186"/>
      <c r="N526" s="186"/>
      <c r="O526" s="13" t="s">
        <v>17363</v>
      </c>
    </row>
    <row r="527" spans="1:15" ht="38.25" x14ac:dyDescent="0.2">
      <c r="A527" s="197" t="str">
        <f t="shared" si="8"/>
        <v>ChyCode_chan028Z</v>
      </c>
      <c r="B527" s="409"/>
      <c r="C527" s="416"/>
      <c r="D527" s="198" t="s">
        <v>17369</v>
      </c>
      <c r="E527" s="198">
        <v>74</v>
      </c>
      <c r="F527" s="199" t="s">
        <v>17370</v>
      </c>
      <c r="G527" s="1" t="s">
        <v>18735</v>
      </c>
      <c r="H527" s="1" t="s">
        <v>16716</v>
      </c>
      <c r="I527" s="346"/>
      <c r="J527" s="39">
        <v>116697</v>
      </c>
      <c r="K527" s="36" t="str">
        <f>CONCATENATE(Cover!$D$6,"fdd/view?i=",J527)</f>
        <v>https://www.dgiwg.org/FAD/fdd/view?i=116697</v>
      </c>
      <c r="L527" s="36" t="s">
        <v>18736</v>
      </c>
      <c r="M527" s="186"/>
      <c r="N527" s="186"/>
      <c r="O527" s="13" t="s">
        <v>17368</v>
      </c>
    </row>
    <row r="528" spans="1:15" ht="38.25" x14ac:dyDescent="0.2">
      <c r="A528" s="197" t="str">
        <f t="shared" si="8"/>
        <v>ChyCode_chan029X</v>
      </c>
      <c r="B528" s="409"/>
      <c r="C528" s="416"/>
      <c r="D528" s="198" t="s">
        <v>17374</v>
      </c>
      <c r="E528" s="198">
        <v>75</v>
      </c>
      <c r="F528" s="199" t="s">
        <v>17375</v>
      </c>
      <c r="G528" s="1" t="s">
        <v>18737</v>
      </c>
      <c r="H528" s="1" t="s">
        <v>16716</v>
      </c>
      <c r="I528" s="346"/>
      <c r="J528" s="39">
        <v>116698</v>
      </c>
      <c r="K528" s="36" t="str">
        <f>CONCATENATE(Cover!$D$6,"fdd/view?i=",J528)</f>
        <v>https://www.dgiwg.org/FAD/fdd/view?i=116698</v>
      </c>
      <c r="L528" s="36" t="s">
        <v>18738</v>
      </c>
      <c r="M528" s="186"/>
      <c r="N528" s="186"/>
      <c r="O528" s="13" t="s">
        <v>17373</v>
      </c>
    </row>
    <row r="529" spans="1:15" ht="38.25" x14ac:dyDescent="0.2">
      <c r="A529" s="197" t="str">
        <f t="shared" si="8"/>
        <v>ChyCode_chan029Y</v>
      </c>
      <c r="B529" s="409"/>
      <c r="C529" s="416"/>
      <c r="D529" s="198" t="s">
        <v>17379</v>
      </c>
      <c r="E529" s="198">
        <v>76</v>
      </c>
      <c r="F529" s="199" t="s">
        <v>17380</v>
      </c>
      <c r="G529" s="1" t="s">
        <v>18739</v>
      </c>
      <c r="H529" s="1" t="s">
        <v>16716</v>
      </c>
      <c r="I529" s="346"/>
      <c r="J529" s="39">
        <v>116699</v>
      </c>
      <c r="K529" s="36" t="str">
        <f>CONCATENATE(Cover!$D$6,"fdd/view?i=",J529)</f>
        <v>https://www.dgiwg.org/FAD/fdd/view?i=116699</v>
      </c>
      <c r="L529" s="36" t="s">
        <v>18740</v>
      </c>
      <c r="M529" s="186"/>
      <c r="N529" s="186"/>
      <c r="O529" s="13" t="s">
        <v>17378</v>
      </c>
    </row>
    <row r="530" spans="1:15" ht="38.25" x14ac:dyDescent="0.2">
      <c r="A530" s="197" t="str">
        <f t="shared" si="8"/>
        <v>ChyCode_chan029Z</v>
      </c>
      <c r="B530" s="409"/>
      <c r="C530" s="416"/>
      <c r="D530" s="198" t="s">
        <v>17384</v>
      </c>
      <c r="E530" s="198">
        <v>77</v>
      </c>
      <c r="F530" s="199" t="s">
        <v>17385</v>
      </c>
      <c r="G530" s="1" t="s">
        <v>18741</v>
      </c>
      <c r="H530" s="1" t="s">
        <v>16716</v>
      </c>
      <c r="I530" s="346"/>
      <c r="J530" s="39">
        <v>116700</v>
      </c>
      <c r="K530" s="36" t="str">
        <f>CONCATENATE(Cover!$D$6,"fdd/view?i=",J530)</f>
        <v>https://www.dgiwg.org/FAD/fdd/view?i=116700</v>
      </c>
      <c r="L530" s="36" t="s">
        <v>18742</v>
      </c>
      <c r="M530" s="186"/>
      <c r="N530" s="186"/>
      <c r="O530" s="13" t="s">
        <v>17383</v>
      </c>
    </row>
    <row r="531" spans="1:15" ht="38.25" x14ac:dyDescent="0.2">
      <c r="A531" s="197" t="str">
        <f t="shared" si="8"/>
        <v>ChyCode_chan030W</v>
      </c>
      <c r="B531" s="409"/>
      <c r="C531" s="416"/>
      <c r="D531" s="198" t="s">
        <v>17399</v>
      </c>
      <c r="E531" s="198">
        <v>78</v>
      </c>
      <c r="F531" s="199" t="s">
        <v>17400</v>
      </c>
      <c r="G531" s="1" t="s">
        <v>18747</v>
      </c>
      <c r="H531" s="1" t="s">
        <v>16716</v>
      </c>
      <c r="I531" s="346"/>
      <c r="J531" s="39">
        <v>116701</v>
      </c>
      <c r="K531" s="36" t="str">
        <f>CONCATENATE(Cover!$D$6,"fdd/view?i=",J531)</f>
        <v>https://www.dgiwg.org/FAD/fdd/view?i=116701</v>
      </c>
      <c r="L531" s="36" t="s">
        <v>18748</v>
      </c>
      <c r="M531" s="186"/>
      <c r="N531" s="186"/>
      <c r="O531" s="13" t="s">
        <v>17398</v>
      </c>
    </row>
    <row r="532" spans="1:15" ht="38.25" x14ac:dyDescent="0.2">
      <c r="A532" s="197" t="str">
        <f t="shared" si="8"/>
        <v>ChyCode_chan030X</v>
      </c>
      <c r="B532" s="409"/>
      <c r="C532" s="416"/>
      <c r="D532" s="198" t="s">
        <v>17404</v>
      </c>
      <c r="E532" s="198">
        <v>79</v>
      </c>
      <c r="F532" s="199" t="s">
        <v>17405</v>
      </c>
      <c r="G532" s="1" t="s">
        <v>18749</v>
      </c>
      <c r="H532" s="1" t="s">
        <v>16716</v>
      </c>
      <c r="I532" s="346"/>
      <c r="J532" s="39">
        <v>116702</v>
      </c>
      <c r="K532" s="36" t="str">
        <f>CONCATENATE(Cover!$D$6,"fdd/view?i=",J532)</f>
        <v>https://www.dgiwg.org/FAD/fdd/view?i=116702</v>
      </c>
      <c r="L532" s="36" t="s">
        <v>18750</v>
      </c>
      <c r="M532" s="186"/>
      <c r="N532" s="186"/>
      <c r="O532" s="13" t="s">
        <v>17403</v>
      </c>
    </row>
    <row r="533" spans="1:15" ht="38.25" x14ac:dyDescent="0.2">
      <c r="A533" s="197" t="str">
        <f t="shared" si="8"/>
        <v>ChyCode_chan030Y</v>
      </c>
      <c r="B533" s="409"/>
      <c r="C533" s="416"/>
      <c r="D533" s="198" t="s">
        <v>17409</v>
      </c>
      <c r="E533" s="198">
        <v>80</v>
      </c>
      <c r="F533" s="199" t="s">
        <v>17410</v>
      </c>
      <c r="G533" s="1" t="s">
        <v>18751</v>
      </c>
      <c r="H533" s="1" t="s">
        <v>16716</v>
      </c>
      <c r="I533" s="346"/>
      <c r="J533" s="39">
        <v>116703</v>
      </c>
      <c r="K533" s="36" t="str">
        <f>CONCATENATE(Cover!$D$6,"fdd/view?i=",J533)</f>
        <v>https://www.dgiwg.org/FAD/fdd/view?i=116703</v>
      </c>
      <c r="L533" s="36" t="s">
        <v>18752</v>
      </c>
      <c r="M533" s="186"/>
      <c r="N533" s="186"/>
      <c r="O533" s="13" t="s">
        <v>17408</v>
      </c>
    </row>
    <row r="534" spans="1:15" ht="38.25" x14ac:dyDescent="0.2">
      <c r="A534" s="197" t="str">
        <f t="shared" si="8"/>
        <v>ChyCode_chan030Z</v>
      </c>
      <c r="B534" s="409"/>
      <c r="C534" s="416"/>
      <c r="D534" s="198" t="s">
        <v>17414</v>
      </c>
      <c r="E534" s="198">
        <v>81</v>
      </c>
      <c r="F534" s="199" t="s">
        <v>17415</v>
      </c>
      <c r="G534" s="1" t="s">
        <v>18753</v>
      </c>
      <c r="H534" s="1" t="s">
        <v>16716</v>
      </c>
      <c r="I534" s="346"/>
      <c r="J534" s="39">
        <v>116704</v>
      </c>
      <c r="K534" s="36" t="str">
        <f>CONCATENATE(Cover!$D$6,"fdd/view?i=",J534)</f>
        <v>https://www.dgiwg.org/FAD/fdd/view?i=116704</v>
      </c>
      <c r="L534" s="36" t="s">
        <v>18754</v>
      </c>
      <c r="M534" s="186"/>
      <c r="N534" s="186"/>
      <c r="O534" s="13" t="s">
        <v>17413</v>
      </c>
    </row>
    <row r="535" spans="1:15" ht="38.25" x14ac:dyDescent="0.2">
      <c r="A535" s="197" t="str">
        <f t="shared" si="8"/>
        <v>ChyCode_chan031X</v>
      </c>
      <c r="B535" s="409"/>
      <c r="C535" s="416"/>
      <c r="D535" s="198" t="s">
        <v>17419</v>
      </c>
      <c r="E535" s="198">
        <v>82</v>
      </c>
      <c r="F535" s="199" t="s">
        <v>17420</v>
      </c>
      <c r="G535" s="1" t="s">
        <v>18755</v>
      </c>
      <c r="H535" s="1" t="s">
        <v>16716</v>
      </c>
      <c r="I535" s="346"/>
      <c r="J535" s="39">
        <v>116705</v>
      </c>
      <c r="K535" s="36" t="str">
        <f>CONCATENATE(Cover!$D$6,"fdd/view?i=",J535)</f>
        <v>https://www.dgiwg.org/FAD/fdd/view?i=116705</v>
      </c>
      <c r="L535" s="36" t="s">
        <v>18756</v>
      </c>
      <c r="M535" s="186"/>
      <c r="N535" s="186"/>
      <c r="O535" s="13" t="s">
        <v>17418</v>
      </c>
    </row>
    <row r="536" spans="1:15" ht="38.25" x14ac:dyDescent="0.2">
      <c r="A536" s="197" t="str">
        <f t="shared" si="8"/>
        <v>ChyCode_chan031Y</v>
      </c>
      <c r="B536" s="409"/>
      <c r="C536" s="416"/>
      <c r="D536" s="198" t="s">
        <v>17424</v>
      </c>
      <c r="E536" s="198">
        <v>83</v>
      </c>
      <c r="F536" s="199" t="s">
        <v>17425</v>
      </c>
      <c r="G536" s="1" t="s">
        <v>18757</v>
      </c>
      <c r="H536" s="1" t="s">
        <v>16716</v>
      </c>
      <c r="I536" s="346"/>
      <c r="J536" s="39">
        <v>116706</v>
      </c>
      <c r="K536" s="36" t="str">
        <f>CONCATENATE(Cover!$D$6,"fdd/view?i=",J536)</f>
        <v>https://www.dgiwg.org/FAD/fdd/view?i=116706</v>
      </c>
      <c r="L536" s="36" t="s">
        <v>18758</v>
      </c>
      <c r="M536" s="186"/>
      <c r="N536" s="186"/>
      <c r="O536" s="13" t="s">
        <v>17423</v>
      </c>
    </row>
    <row r="537" spans="1:15" ht="38.25" x14ac:dyDescent="0.2">
      <c r="A537" s="197" t="str">
        <f t="shared" si="8"/>
        <v>ChyCode_chan031Z</v>
      </c>
      <c r="B537" s="409"/>
      <c r="C537" s="416"/>
      <c r="D537" s="198" t="s">
        <v>17429</v>
      </c>
      <c r="E537" s="198">
        <v>84</v>
      </c>
      <c r="F537" s="199" t="s">
        <v>17430</v>
      </c>
      <c r="G537" s="1" t="s">
        <v>18759</v>
      </c>
      <c r="H537" s="1" t="s">
        <v>16716</v>
      </c>
      <c r="I537" s="346"/>
      <c r="J537" s="39">
        <v>116707</v>
      </c>
      <c r="K537" s="36" t="str">
        <f>CONCATENATE(Cover!$D$6,"fdd/view?i=",J537)</f>
        <v>https://www.dgiwg.org/FAD/fdd/view?i=116707</v>
      </c>
      <c r="L537" s="36" t="s">
        <v>18760</v>
      </c>
      <c r="M537" s="186"/>
      <c r="N537" s="186"/>
      <c r="O537" s="13" t="s">
        <v>17428</v>
      </c>
    </row>
    <row r="538" spans="1:15" ht="38.25" x14ac:dyDescent="0.2">
      <c r="A538" s="197" t="str">
        <f t="shared" si="8"/>
        <v>ChyCode_chan032W</v>
      </c>
      <c r="B538" s="409"/>
      <c r="C538" s="416"/>
      <c r="D538" s="198" t="s">
        <v>17434</v>
      </c>
      <c r="E538" s="198">
        <v>85</v>
      </c>
      <c r="F538" s="199" t="s">
        <v>17435</v>
      </c>
      <c r="G538" s="1" t="s">
        <v>18761</v>
      </c>
      <c r="H538" s="1" t="s">
        <v>16716</v>
      </c>
      <c r="I538" s="346"/>
      <c r="J538" s="39">
        <v>116708</v>
      </c>
      <c r="K538" s="36" t="str">
        <f>CONCATENATE(Cover!$D$6,"fdd/view?i=",J538)</f>
        <v>https://www.dgiwg.org/FAD/fdd/view?i=116708</v>
      </c>
      <c r="L538" s="36" t="s">
        <v>18762</v>
      </c>
      <c r="M538" s="186"/>
      <c r="N538" s="186"/>
      <c r="O538" s="13" t="s">
        <v>17433</v>
      </c>
    </row>
    <row r="539" spans="1:15" ht="38.25" x14ac:dyDescent="0.2">
      <c r="A539" s="197" t="str">
        <f t="shared" si="8"/>
        <v>ChyCode_chan032X</v>
      </c>
      <c r="B539" s="409"/>
      <c r="C539" s="416"/>
      <c r="D539" s="198" t="s">
        <v>17439</v>
      </c>
      <c r="E539" s="198">
        <v>86</v>
      </c>
      <c r="F539" s="199" t="s">
        <v>17440</v>
      </c>
      <c r="G539" s="1" t="s">
        <v>18763</v>
      </c>
      <c r="H539" s="1" t="s">
        <v>16716</v>
      </c>
      <c r="I539" s="346"/>
      <c r="J539" s="39">
        <v>116709</v>
      </c>
      <c r="K539" s="36" t="str">
        <f>CONCATENATE(Cover!$D$6,"fdd/view?i=",J539)</f>
        <v>https://www.dgiwg.org/FAD/fdd/view?i=116709</v>
      </c>
      <c r="L539" s="36" t="s">
        <v>18764</v>
      </c>
      <c r="M539" s="186"/>
      <c r="N539" s="186"/>
      <c r="O539" s="13" t="s">
        <v>17438</v>
      </c>
    </row>
    <row r="540" spans="1:15" ht="38.25" x14ac:dyDescent="0.2">
      <c r="A540" s="197" t="str">
        <f t="shared" si="8"/>
        <v>ChyCode_chan032Y</v>
      </c>
      <c r="B540" s="409"/>
      <c r="C540" s="416"/>
      <c r="D540" s="198" t="s">
        <v>17444</v>
      </c>
      <c r="E540" s="198">
        <v>87</v>
      </c>
      <c r="F540" s="199" t="s">
        <v>17445</v>
      </c>
      <c r="G540" s="1" t="s">
        <v>18765</v>
      </c>
      <c r="H540" s="1" t="s">
        <v>16716</v>
      </c>
      <c r="I540" s="346"/>
      <c r="J540" s="39">
        <v>116710</v>
      </c>
      <c r="K540" s="36" t="str">
        <f>CONCATENATE(Cover!$D$6,"fdd/view?i=",J540)</f>
        <v>https://www.dgiwg.org/FAD/fdd/view?i=116710</v>
      </c>
      <c r="L540" s="36" t="s">
        <v>18766</v>
      </c>
      <c r="M540" s="186"/>
      <c r="N540" s="186"/>
      <c r="O540" s="13" t="s">
        <v>17443</v>
      </c>
    </row>
    <row r="541" spans="1:15" ht="38.25" x14ac:dyDescent="0.2">
      <c r="A541" s="197" t="str">
        <f t="shared" si="8"/>
        <v>ChyCode_chan032Z</v>
      </c>
      <c r="B541" s="409"/>
      <c r="C541" s="416"/>
      <c r="D541" s="198" t="s">
        <v>17449</v>
      </c>
      <c r="E541" s="198">
        <v>88</v>
      </c>
      <c r="F541" s="199" t="s">
        <v>17450</v>
      </c>
      <c r="G541" s="1" t="s">
        <v>18767</v>
      </c>
      <c r="H541" s="1" t="s">
        <v>16716</v>
      </c>
      <c r="I541" s="346"/>
      <c r="J541" s="39">
        <v>116711</v>
      </c>
      <c r="K541" s="36" t="str">
        <f>CONCATENATE(Cover!$D$6,"fdd/view?i=",J541)</f>
        <v>https://www.dgiwg.org/FAD/fdd/view?i=116711</v>
      </c>
      <c r="L541" s="36" t="s">
        <v>18768</v>
      </c>
      <c r="M541" s="186"/>
      <c r="N541" s="186"/>
      <c r="O541" s="13" t="s">
        <v>17448</v>
      </c>
    </row>
    <row r="542" spans="1:15" ht="38.25" x14ac:dyDescent="0.2">
      <c r="A542" s="197" t="str">
        <f t="shared" si="8"/>
        <v>ChyCode_chan033X</v>
      </c>
      <c r="B542" s="409"/>
      <c r="C542" s="416"/>
      <c r="D542" s="198" t="s">
        <v>17454</v>
      </c>
      <c r="E542" s="198">
        <v>89</v>
      </c>
      <c r="F542" s="199" t="s">
        <v>17455</v>
      </c>
      <c r="G542" s="1" t="s">
        <v>18769</v>
      </c>
      <c r="H542" s="1" t="s">
        <v>16716</v>
      </c>
      <c r="I542" s="346"/>
      <c r="J542" s="39">
        <v>116712</v>
      </c>
      <c r="K542" s="36" t="str">
        <f>CONCATENATE(Cover!$D$6,"fdd/view?i=",J542)</f>
        <v>https://www.dgiwg.org/FAD/fdd/view?i=116712</v>
      </c>
      <c r="L542" s="36" t="s">
        <v>18770</v>
      </c>
      <c r="M542" s="186"/>
      <c r="N542" s="186"/>
      <c r="O542" s="13" t="s">
        <v>17453</v>
      </c>
    </row>
    <row r="543" spans="1:15" ht="38.25" x14ac:dyDescent="0.2">
      <c r="A543" s="197" t="str">
        <f t="shared" si="8"/>
        <v>ChyCode_chan033Y</v>
      </c>
      <c r="B543" s="409"/>
      <c r="C543" s="416"/>
      <c r="D543" s="198" t="s">
        <v>17459</v>
      </c>
      <c r="E543" s="198">
        <v>90</v>
      </c>
      <c r="F543" s="199" t="s">
        <v>17460</v>
      </c>
      <c r="G543" s="1" t="s">
        <v>18771</v>
      </c>
      <c r="H543" s="1" t="s">
        <v>16716</v>
      </c>
      <c r="I543" s="346"/>
      <c r="J543" s="39">
        <v>116713</v>
      </c>
      <c r="K543" s="36" t="str">
        <f>CONCATENATE(Cover!$D$6,"fdd/view?i=",J543)</f>
        <v>https://www.dgiwg.org/FAD/fdd/view?i=116713</v>
      </c>
      <c r="L543" s="36" t="s">
        <v>18772</v>
      </c>
      <c r="M543" s="186"/>
      <c r="N543" s="186"/>
      <c r="O543" s="13" t="s">
        <v>17458</v>
      </c>
    </row>
    <row r="544" spans="1:15" ht="38.25" x14ac:dyDescent="0.2">
      <c r="A544" s="197" t="str">
        <f t="shared" si="8"/>
        <v>ChyCode_chan033Z</v>
      </c>
      <c r="B544" s="409"/>
      <c r="C544" s="416"/>
      <c r="D544" s="198" t="s">
        <v>17464</v>
      </c>
      <c r="E544" s="198">
        <v>91</v>
      </c>
      <c r="F544" s="199" t="s">
        <v>17465</v>
      </c>
      <c r="G544" s="1" t="s">
        <v>18773</v>
      </c>
      <c r="H544" s="1" t="s">
        <v>16716</v>
      </c>
      <c r="I544" s="346"/>
      <c r="J544" s="39">
        <v>116714</v>
      </c>
      <c r="K544" s="36" t="str">
        <f>CONCATENATE(Cover!$D$6,"fdd/view?i=",J544)</f>
        <v>https://www.dgiwg.org/FAD/fdd/view?i=116714</v>
      </c>
      <c r="L544" s="36" t="s">
        <v>18774</v>
      </c>
      <c r="M544" s="186"/>
      <c r="N544" s="186"/>
      <c r="O544" s="13" t="s">
        <v>17463</v>
      </c>
    </row>
    <row r="545" spans="1:15" ht="38.25" x14ac:dyDescent="0.2">
      <c r="A545" s="197" t="str">
        <f t="shared" si="8"/>
        <v>ChyCode_chan034W</v>
      </c>
      <c r="B545" s="409"/>
      <c r="C545" s="416"/>
      <c r="D545" s="198" t="s">
        <v>17469</v>
      </c>
      <c r="E545" s="198">
        <v>92</v>
      </c>
      <c r="F545" s="199" t="s">
        <v>17470</v>
      </c>
      <c r="G545" s="1" t="s">
        <v>18775</v>
      </c>
      <c r="H545" s="1" t="s">
        <v>16716</v>
      </c>
      <c r="I545" s="346"/>
      <c r="J545" s="39">
        <v>116715</v>
      </c>
      <c r="K545" s="36" t="str">
        <f>CONCATENATE(Cover!$D$6,"fdd/view?i=",J545)</f>
        <v>https://www.dgiwg.org/FAD/fdd/view?i=116715</v>
      </c>
      <c r="L545" s="36" t="s">
        <v>18776</v>
      </c>
      <c r="M545" s="186"/>
      <c r="N545" s="186"/>
      <c r="O545" s="13" t="s">
        <v>17468</v>
      </c>
    </row>
    <row r="546" spans="1:15" ht="38.25" x14ac:dyDescent="0.2">
      <c r="A546" s="197" t="str">
        <f t="shared" si="8"/>
        <v>ChyCode_chan034X</v>
      </c>
      <c r="B546" s="409"/>
      <c r="C546" s="416"/>
      <c r="D546" s="198" t="s">
        <v>17474</v>
      </c>
      <c r="E546" s="198">
        <v>93</v>
      </c>
      <c r="F546" s="199" t="s">
        <v>17475</v>
      </c>
      <c r="G546" s="1" t="s">
        <v>18777</v>
      </c>
      <c r="H546" s="1" t="s">
        <v>16716</v>
      </c>
      <c r="I546" s="346"/>
      <c r="J546" s="39">
        <v>116716</v>
      </c>
      <c r="K546" s="36" t="str">
        <f>CONCATENATE(Cover!$D$6,"fdd/view?i=",J546)</f>
        <v>https://www.dgiwg.org/FAD/fdd/view?i=116716</v>
      </c>
      <c r="L546" s="36" t="s">
        <v>18778</v>
      </c>
      <c r="M546" s="186"/>
      <c r="N546" s="186"/>
      <c r="O546" s="13" t="s">
        <v>17473</v>
      </c>
    </row>
    <row r="547" spans="1:15" ht="38.25" x14ac:dyDescent="0.2">
      <c r="A547" s="197" t="str">
        <f t="shared" si="8"/>
        <v>ChyCode_chan034Y</v>
      </c>
      <c r="B547" s="409"/>
      <c r="C547" s="416"/>
      <c r="D547" s="198" t="s">
        <v>17479</v>
      </c>
      <c r="E547" s="198">
        <v>94</v>
      </c>
      <c r="F547" s="199" t="s">
        <v>17480</v>
      </c>
      <c r="G547" s="1" t="s">
        <v>18779</v>
      </c>
      <c r="H547" s="1" t="s">
        <v>16716</v>
      </c>
      <c r="I547" s="346"/>
      <c r="J547" s="39">
        <v>116717</v>
      </c>
      <c r="K547" s="36" t="str">
        <f>CONCATENATE(Cover!$D$6,"fdd/view?i=",J547)</f>
        <v>https://www.dgiwg.org/FAD/fdd/view?i=116717</v>
      </c>
      <c r="L547" s="36" t="s">
        <v>18780</v>
      </c>
      <c r="M547" s="186"/>
      <c r="N547" s="186"/>
      <c r="O547" s="13" t="s">
        <v>17478</v>
      </c>
    </row>
    <row r="548" spans="1:15" ht="38.25" x14ac:dyDescent="0.2">
      <c r="A548" s="197" t="str">
        <f t="shared" si="8"/>
        <v>ChyCode_chan034Z</v>
      </c>
      <c r="B548" s="409"/>
      <c r="C548" s="416"/>
      <c r="D548" s="198" t="s">
        <v>17484</v>
      </c>
      <c r="E548" s="198">
        <v>95</v>
      </c>
      <c r="F548" s="199" t="s">
        <v>17485</v>
      </c>
      <c r="G548" s="1" t="s">
        <v>18781</v>
      </c>
      <c r="H548" s="1" t="s">
        <v>16716</v>
      </c>
      <c r="I548" s="346"/>
      <c r="J548" s="39">
        <v>116718</v>
      </c>
      <c r="K548" s="36" t="str">
        <f>CONCATENATE(Cover!$D$6,"fdd/view?i=",J548)</f>
        <v>https://www.dgiwg.org/FAD/fdd/view?i=116718</v>
      </c>
      <c r="L548" s="36" t="s">
        <v>18782</v>
      </c>
      <c r="M548" s="186"/>
      <c r="N548" s="186"/>
      <c r="O548" s="13" t="s">
        <v>17483</v>
      </c>
    </row>
    <row r="549" spans="1:15" ht="38.25" x14ac:dyDescent="0.2">
      <c r="A549" s="197" t="str">
        <f t="shared" si="8"/>
        <v>ChyCode_chan035X</v>
      </c>
      <c r="B549" s="409"/>
      <c r="C549" s="416"/>
      <c r="D549" s="198" t="s">
        <v>17489</v>
      </c>
      <c r="E549" s="198">
        <v>96</v>
      </c>
      <c r="F549" s="199" t="s">
        <v>17490</v>
      </c>
      <c r="G549" s="1" t="s">
        <v>18783</v>
      </c>
      <c r="H549" s="1" t="s">
        <v>16716</v>
      </c>
      <c r="I549" s="346"/>
      <c r="J549" s="39">
        <v>116719</v>
      </c>
      <c r="K549" s="36" t="str">
        <f>CONCATENATE(Cover!$D$6,"fdd/view?i=",J549)</f>
        <v>https://www.dgiwg.org/FAD/fdd/view?i=116719</v>
      </c>
      <c r="L549" s="36" t="s">
        <v>18784</v>
      </c>
      <c r="M549" s="186"/>
      <c r="N549" s="186"/>
      <c r="O549" s="13" t="s">
        <v>17488</v>
      </c>
    </row>
    <row r="550" spans="1:15" ht="38.25" x14ac:dyDescent="0.2">
      <c r="A550" s="197" t="str">
        <f t="shared" si="8"/>
        <v>ChyCode_chan035Y</v>
      </c>
      <c r="B550" s="409"/>
      <c r="C550" s="416"/>
      <c r="D550" s="198" t="s">
        <v>17494</v>
      </c>
      <c r="E550" s="198">
        <v>97</v>
      </c>
      <c r="F550" s="199" t="s">
        <v>17495</v>
      </c>
      <c r="G550" s="1" t="s">
        <v>18785</v>
      </c>
      <c r="H550" s="1" t="s">
        <v>16716</v>
      </c>
      <c r="I550" s="346"/>
      <c r="J550" s="39">
        <v>116720</v>
      </c>
      <c r="K550" s="36" t="str">
        <f>CONCATENATE(Cover!$D$6,"fdd/view?i=",J550)</f>
        <v>https://www.dgiwg.org/FAD/fdd/view?i=116720</v>
      </c>
      <c r="L550" s="36" t="s">
        <v>18786</v>
      </c>
      <c r="M550" s="186"/>
      <c r="N550" s="186"/>
      <c r="O550" s="13" t="s">
        <v>17493</v>
      </c>
    </row>
    <row r="551" spans="1:15" ht="38.25" x14ac:dyDescent="0.2">
      <c r="A551" s="197" t="str">
        <f t="shared" si="8"/>
        <v>ChyCode_chan035Z</v>
      </c>
      <c r="B551" s="409"/>
      <c r="C551" s="416"/>
      <c r="D551" s="198" t="s">
        <v>17499</v>
      </c>
      <c r="E551" s="198">
        <v>98</v>
      </c>
      <c r="F551" s="199" t="s">
        <v>17500</v>
      </c>
      <c r="G551" s="1" t="s">
        <v>18787</v>
      </c>
      <c r="H551" s="1" t="s">
        <v>16716</v>
      </c>
      <c r="I551" s="346"/>
      <c r="J551" s="39">
        <v>116721</v>
      </c>
      <c r="K551" s="36" t="str">
        <f>CONCATENATE(Cover!$D$6,"fdd/view?i=",J551)</f>
        <v>https://www.dgiwg.org/FAD/fdd/view?i=116721</v>
      </c>
      <c r="L551" s="36" t="s">
        <v>18788</v>
      </c>
      <c r="M551" s="186"/>
      <c r="N551" s="186"/>
      <c r="O551" s="13" t="s">
        <v>17498</v>
      </c>
    </row>
    <row r="552" spans="1:15" ht="38.25" x14ac:dyDescent="0.2">
      <c r="A552" s="197" t="str">
        <f t="shared" si="8"/>
        <v>ChyCode_chan036W</v>
      </c>
      <c r="B552" s="409"/>
      <c r="C552" s="416"/>
      <c r="D552" s="198" t="s">
        <v>17504</v>
      </c>
      <c r="E552" s="198">
        <v>99</v>
      </c>
      <c r="F552" s="199" t="s">
        <v>17505</v>
      </c>
      <c r="G552" s="1" t="s">
        <v>18789</v>
      </c>
      <c r="H552" s="1" t="s">
        <v>16716</v>
      </c>
      <c r="I552" s="346"/>
      <c r="J552" s="39">
        <v>116722</v>
      </c>
      <c r="K552" s="36" t="str">
        <f>CONCATENATE(Cover!$D$6,"fdd/view?i=",J552)</f>
        <v>https://www.dgiwg.org/FAD/fdd/view?i=116722</v>
      </c>
      <c r="L552" s="36" t="s">
        <v>18790</v>
      </c>
      <c r="M552" s="186"/>
      <c r="N552" s="186"/>
      <c r="O552" s="13" t="s">
        <v>17503</v>
      </c>
    </row>
    <row r="553" spans="1:15" ht="38.25" x14ac:dyDescent="0.2">
      <c r="A553" s="197" t="str">
        <f t="shared" si="8"/>
        <v>ChyCode_chan036X</v>
      </c>
      <c r="B553" s="409"/>
      <c r="C553" s="416"/>
      <c r="D553" s="198" t="s">
        <v>17509</v>
      </c>
      <c r="E553" s="198">
        <v>100</v>
      </c>
      <c r="F553" s="199" t="s">
        <v>17510</v>
      </c>
      <c r="G553" s="1" t="s">
        <v>18791</v>
      </c>
      <c r="H553" s="1" t="s">
        <v>16716</v>
      </c>
      <c r="I553" s="346"/>
      <c r="J553" s="39">
        <v>116723</v>
      </c>
      <c r="K553" s="36" t="str">
        <f>CONCATENATE(Cover!$D$6,"fdd/view?i=",J553)</f>
        <v>https://www.dgiwg.org/FAD/fdd/view?i=116723</v>
      </c>
      <c r="L553" s="36" t="s">
        <v>18792</v>
      </c>
      <c r="M553" s="186"/>
      <c r="N553" s="186"/>
      <c r="O553" s="13" t="s">
        <v>17508</v>
      </c>
    </row>
    <row r="554" spans="1:15" ht="38.25" x14ac:dyDescent="0.2">
      <c r="A554" s="197" t="str">
        <f t="shared" si="8"/>
        <v>ChyCode_chan036Y</v>
      </c>
      <c r="B554" s="409"/>
      <c r="C554" s="416"/>
      <c r="D554" s="198" t="s">
        <v>17514</v>
      </c>
      <c r="E554" s="198">
        <v>101</v>
      </c>
      <c r="F554" s="199" t="s">
        <v>17515</v>
      </c>
      <c r="G554" s="1" t="s">
        <v>18793</v>
      </c>
      <c r="H554" s="1" t="s">
        <v>16716</v>
      </c>
      <c r="I554" s="346"/>
      <c r="J554" s="39">
        <v>116724</v>
      </c>
      <c r="K554" s="36" t="str">
        <f>CONCATENATE(Cover!$D$6,"fdd/view?i=",J554)</f>
        <v>https://www.dgiwg.org/FAD/fdd/view?i=116724</v>
      </c>
      <c r="L554" s="36" t="s">
        <v>18794</v>
      </c>
      <c r="M554" s="186"/>
      <c r="N554" s="186"/>
      <c r="O554" s="13" t="s">
        <v>17513</v>
      </c>
    </row>
    <row r="555" spans="1:15" ht="38.25" x14ac:dyDescent="0.2">
      <c r="A555" s="197" t="str">
        <f t="shared" si="8"/>
        <v>ChyCode_chan036Z</v>
      </c>
      <c r="B555" s="409"/>
      <c r="C555" s="416"/>
      <c r="D555" s="198" t="s">
        <v>17519</v>
      </c>
      <c r="E555" s="198">
        <v>102</v>
      </c>
      <c r="F555" s="199" t="s">
        <v>17520</v>
      </c>
      <c r="G555" s="1" t="s">
        <v>18795</v>
      </c>
      <c r="H555" s="1" t="s">
        <v>16716</v>
      </c>
      <c r="I555" s="346"/>
      <c r="J555" s="39">
        <v>116725</v>
      </c>
      <c r="K555" s="36" t="str">
        <f>CONCATENATE(Cover!$D$6,"fdd/view?i=",J555)</f>
        <v>https://www.dgiwg.org/FAD/fdd/view?i=116725</v>
      </c>
      <c r="L555" s="36" t="s">
        <v>18796</v>
      </c>
      <c r="M555" s="186"/>
      <c r="N555" s="186"/>
      <c r="O555" s="13" t="s">
        <v>17518</v>
      </c>
    </row>
    <row r="556" spans="1:15" ht="38.25" x14ac:dyDescent="0.2">
      <c r="A556" s="197" t="str">
        <f t="shared" si="8"/>
        <v>ChyCode_chan037X</v>
      </c>
      <c r="B556" s="409"/>
      <c r="C556" s="416"/>
      <c r="D556" s="198" t="s">
        <v>17524</v>
      </c>
      <c r="E556" s="198">
        <v>103</v>
      </c>
      <c r="F556" s="199" t="s">
        <v>17525</v>
      </c>
      <c r="G556" s="1" t="s">
        <v>18797</v>
      </c>
      <c r="H556" s="1" t="s">
        <v>16716</v>
      </c>
      <c r="I556" s="346"/>
      <c r="J556" s="39">
        <v>116726</v>
      </c>
      <c r="K556" s="36" t="str">
        <f>CONCATENATE(Cover!$D$6,"fdd/view?i=",J556)</f>
        <v>https://www.dgiwg.org/FAD/fdd/view?i=116726</v>
      </c>
      <c r="L556" s="36" t="s">
        <v>18798</v>
      </c>
      <c r="M556" s="186"/>
      <c r="N556" s="186"/>
      <c r="O556" s="13" t="s">
        <v>17523</v>
      </c>
    </row>
    <row r="557" spans="1:15" ht="38.25" x14ac:dyDescent="0.2">
      <c r="A557" s="197" t="str">
        <f t="shared" si="8"/>
        <v>ChyCode_chan037Y</v>
      </c>
      <c r="B557" s="409"/>
      <c r="C557" s="416"/>
      <c r="D557" s="198" t="s">
        <v>17529</v>
      </c>
      <c r="E557" s="198">
        <v>104</v>
      </c>
      <c r="F557" s="199" t="s">
        <v>17530</v>
      </c>
      <c r="G557" s="1" t="s">
        <v>18799</v>
      </c>
      <c r="H557" s="1" t="s">
        <v>16716</v>
      </c>
      <c r="I557" s="346"/>
      <c r="J557" s="39">
        <v>116727</v>
      </c>
      <c r="K557" s="36" t="str">
        <f>CONCATENATE(Cover!$D$6,"fdd/view?i=",J557)</f>
        <v>https://www.dgiwg.org/FAD/fdd/view?i=116727</v>
      </c>
      <c r="L557" s="36" t="s">
        <v>18800</v>
      </c>
      <c r="M557" s="186"/>
      <c r="N557" s="186"/>
      <c r="O557" s="13" t="s">
        <v>17528</v>
      </c>
    </row>
    <row r="558" spans="1:15" ht="38.25" x14ac:dyDescent="0.2">
      <c r="A558" s="197" t="str">
        <f t="shared" si="8"/>
        <v>ChyCode_chan037Z</v>
      </c>
      <c r="B558" s="409"/>
      <c r="C558" s="416"/>
      <c r="D558" s="198" t="s">
        <v>17534</v>
      </c>
      <c r="E558" s="198">
        <v>105</v>
      </c>
      <c r="F558" s="199" t="s">
        <v>17535</v>
      </c>
      <c r="G558" s="1" t="s">
        <v>18801</v>
      </c>
      <c r="H558" s="1" t="s">
        <v>16716</v>
      </c>
      <c r="I558" s="346"/>
      <c r="J558" s="39">
        <v>116728</v>
      </c>
      <c r="K558" s="36" t="str">
        <f>CONCATENATE(Cover!$D$6,"fdd/view?i=",J558)</f>
        <v>https://www.dgiwg.org/FAD/fdd/view?i=116728</v>
      </c>
      <c r="L558" s="36" t="s">
        <v>18802</v>
      </c>
      <c r="M558" s="186"/>
      <c r="N558" s="186"/>
      <c r="O558" s="13" t="s">
        <v>17533</v>
      </c>
    </row>
    <row r="559" spans="1:15" ht="38.25" x14ac:dyDescent="0.2">
      <c r="A559" s="197" t="str">
        <f t="shared" si="8"/>
        <v>ChyCode_chan038W</v>
      </c>
      <c r="B559" s="409"/>
      <c r="C559" s="416"/>
      <c r="D559" s="198" t="s">
        <v>17539</v>
      </c>
      <c r="E559" s="198">
        <v>106</v>
      </c>
      <c r="F559" s="199" t="s">
        <v>17540</v>
      </c>
      <c r="G559" s="1" t="s">
        <v>18803</v>
      </c>
      <c r="H559" s="1" t="s">
        <v>16716</v>
      </c>
      <c r="I559" s="346"/>
      <c r="J559" s="39">
        <v>116729</v>
      </c>
      <c r="K559" s="36" t="str">
        <f>CONCATENATE(Cover!$D$6,"fdd/view?i=",J559)</f>
        <v>https://www.dgiwg.org/FAD/fdd/view?i=116729</v>
      </c>
      <c r="L559" s="36" t="s">
        <v>18804</v>
      </c>
      <c r="M559" s="186"/>
      <c r="N559" s="186"/>
      <c r="O559" s="13" t="s">
        <v>17538</v>
      </c>
    </row>
    <row r="560" spans="1:15" ht="38.25" x14ac:dyDescent="0.2">
      <c r="A560" s="197" t="str">
        <f t="shared" si="8"/>
        <v>ChyCode_chan038X</v>
      </c>
      <c r="B560" s="409"/>
      <c r="C560" s="416"/>
      <c r="D560" s="198" t="s">
        <v>17544</v>
      </c>
      <c r="E560" s="198">
        <v>107</v>
      </c>
      <c r="F560" s="199" t="s">
        <v>17545</v>
      </c>
      <c r="G560" s="1" t="s">
        <v>18805</v>
      </c>
      <c r="H560" s="1" t="s">
        <v>16716</v>
      </c>
      <c r="I560" s="346"/>
      <c r="J560" s="39">
        <v>116730</v>
      </c>
      <c r="K560" s="36" t="str">
        <f>CONCATENATE(Cover!$D$6,"fdd/view?i=",J560)</f>
        <v>https://www.dgiwg.org/FAD/fdd/view?i=116730</v>
      </c>
      <c r="L560" s="36" t="s">
        <v>18806</v>
      </c>
      <c r="M560" s="186"/>
      <c r="N560" s="186"/>
      <c r="O560" s="13" t="s">
        <v>17543</v>
      </c>
    </row>
    <row r="561" spans="1:15" ht="38.25" x14ac:dyDescent="0.2">
      <c r="A561" s="197" t="str">
        <f t="shared" si="8"/>
        <v>ChyCode_chan038Y</v>
      </c>
      <c r="B561" s="409"/>
      <c r="C561" s="416"/>
      <c r="D561" s="198" t="s">
        <v>17549</v>
      </c>
      <c r="E561" s="198">
        <v>108</v>
      </c>
      <c r="F561" s="199" t="s">
        <v>17550</v>
      </c>
      <c r="G561" s="1" t="s">
        <v>18807</v>
      </c>
      <c r="H561" s="1" t="s">
        <v>16716</v>
      </c>
      <c r="I561" s="346"/>
      <c r="J561" s="39">
        <v>116731</v>
      </c>
      <c r="K561" s="36" t="str">
        <f>CONCATENATE(Cover!$D$6,"fdd/view?i=",J561)</f>
        <v>https://www.dgiwg.org/FAD/fdd/view?i=116731</v>
      </c>
      <c r="L561" s="36" t="s">
        <v>18808</v>
      </c>
      <c r="M561" s="186"/>
      <c r="N561" s="186"/>
      <c r="O561" s="13" t="s">
        <v>17548</v>
      </c>
    </row>
    <row r="562" spans="1:15" ht="38.25" x14ac:dyDescent="0.2">
      <c r="A562" s="197" t="str">
        <f t="shared" si="8"/>
        <v>ChyCode_chan038Z</v>
      </c>
      <c r="B562" s="409"/>
      <c r="C562" s="416"/>
      <c r="D562" s="198" t="s">
        <v>17554</v>
      </c>
      <c r="E562" s="198">
        <v>109</v>
      </c>
      <c r="F562" s="199" t="s">
        <v>17555</v>
      </c>
      <c r="G562" s="1" t="s">
        <v>18809</v>
      </c>
      <c r="H562" s="1" t="s">
        <v>16716</v>
      </c>
      <c r="I562" s="346"/>
      <c r="J562" s="39">
        <v>116732</v>
      </c>
      <c r="K562" s="36" t="str">
        <f>CONCATENATE(Cover!$D$6,"fdd/view?i=",J562)</f>
        <v>https://www.dgiwg.org/FAD/fdd/view?i=116732</v>
      </c>
      <c r="L562" s="36" t="s">
        <v>18810</v>
      </c>
      <c r="M562" s="186"/>
      <c r="N562" s="186"/>
      <c r="O562" s="13" t="s">
        <v>17553</v>
      </c>
    </row>
    <row r="563" spans="1:15" ht="38.25" x14ac:dyDescent="0.2">
      <c r="A563" s="197" t="str">
        <f t="shared" si="8"/>
        <v>ChyCode_chan039X</v>
      </c>
      <c r="B563" s="409"/>
      <c r="C563" s="416"/>
      <c r="D563" s="198" t="s">
        <v>17559</v>
      </c>
      <c r="E563" s="198">
        <v>110</v>
      </c>
      <c r="F563" s="199" t="s">
        <v>17560</v>
      </c>
      <c r="G563" s="1" t="s">
        <v>18811</v>
      </c>
      <c r="H563" s="1" t="s">
        <v>16716</v>
      </c>
      <c r="I563" s="346"/>
      <c r="J563" s="39">
        <v>116733</v>
      </c>
      <c r="K563" s="36" t="str">
        <f>CONCATENATE(Cover!$D$6,"fdd/view?i=",J563)</f>
        <v>https://www.dgiwg.org/FAD/fdd/view?i=116733</v>
      </c>
      <c r="L563" s="36" t="s">
        <v>18812</v>
      </c>
      <c r="M563" s="186"/>
      <c r="N563" s="186"/>
      <c r="O563" s="13" t="s">
        <v>17558</v>
      </c>
    </row>
    <row r="564" spans="1:15" ht="38.25" x14ac:dyDescent="0.2">
      <c r="A564" s="197" t="str">
        <f t="shared" si="8"/>
        <v>ChyCode_chan039Y</v>
      </c>
      <c r="B564" s="409"/>
      <c r="C564" s="416"/>
      <c r="D564" s="198" t="s">
        <v>17564</v>
      </c>
      <c r="E564" s="198">
        <v>111</v>
      </c>
      <c r="F564" s="199" t="s">
        <v>17565</v>
      </c>
      <c r="G564" s="1" t="s">
        <v>18813</v>
      </c>
      <c r="H564" s="1" t="s">
        <v>16716</v>
      </c>
      <c r="I564" s="346"/>
      <c r="J564" s="39">
        <v>116734</v>
      </c>
      <c r="K564" s="36" t="str">
        <f>CONCATENATE(Cover!$D$6,"fdd/view?i=",J564)</f>
        <v>https://www.dgiwg.org/FAD/fdd/view?i=116734</v>
      </c>
      <c r="L564" s="36" t="s">
        <v>18814</v>
      </c>
      <c r="M564" s="186"/>
      <c r="N564" s="186"/>
      <c r="O564" s="13" t="s">
        <v>17563</v>
      </c>
    </row>
    <row r="565" spans="1:15" ht="38.25" x14ac:dyDescent="0.2">
      <c r="A565" s="197" t="str">
        <f t="shared" si="8"/>
        <v>ChyCode_chan039Z</v>
      </c>
      <c r="B565" s="409"/>
      <c r="C565" s="416"/>
      <c r="D565" s="198" t="s">
        <v>17569</v>
      </c>
      <c r="E565" s="198">
        <v>112</v>
      </c>
      <c r="F565" s="199" t="s">
        <v>17570</v>
      </c>
      <c r="G565" s="1" t="s">
        <v>18815</v>
      </c>
      <c r="H565" s="1" t="s">
        <v>16716</v>
      </c>
      <c r="I565" s="346"/>
      <c r="J565" s="39">
        <v>116735</v>
      </c>
      <c r="K565" s="36" t="str">
        <f>CONCATENATE(Cover!$D$6,"fdd/view?i=",J565)</f>
        <v>https://www.dgiwg.org/FAD/fdd/view?i=116735</v>
      </c>
      <c r="L565" s="36" t="s">
        <v>18816</v>
      </c>
      <c r="M565" s="186"/>
      <c r="N565" s="186"/>
      <c r="O565" s="13" t="s">
        <v>17568</v>
      </c>
    </row>
    <row r="566" spans="1:15" ht="38.25" x14ac:dyDescent="0.2">
      <c r="A566" s="197" t="str">
        <f t="shared" si="8"/>
        <v>ChyCode_chan040W</v>
      </c>
      <c r="B566" s="409"/>
      <c r="C566" s="416"/>
      <c r="D566" s="198" t="s">
        <v>17584</v>
      </c>
      <c r="E566" s="198">
        <v>113</v>
      </c>
      <c r="F566" s="199" t="s">
        <v>17585</v>
      </c>
      <c r="G566" s="1" t="s">
        <v>18821</v>
      </c>
      <c r="H566" s="1" t="s">
        <v>16716</v>
      </c>
      <c r="I566" s="346"/>
      <c r="J566" s="39">
        <v>116736</v>
      </c>
      <c r="K566" s="36" t="str">
        <f>CONCATENATE(Cover!$D$6,"fdd/view?i=",J566)</f>
        <v>https://www.dgiwg.org/FAD/fdd/view?i=116736</v>
      </c>
      <c r="L566" s="36" t="s">
        <v>18822</v>
      </c>
      <c r="M566" s="186"/>
      <c r="N566" s="186"/>
      <c r="O566" s="13" t="s">
        <v>17583</v>
      </c>
    </row>
    <row r="567" spans="1:15" ht="38.25" x14ac:dyDescent="0.2">
      <c r="A567" s="197" t="str">
        <f t="shared" si="8"/>
        <v>ChyCode_chan040X</v>
      </c>
      <c r="B567" s="409"/>
      <c r="C567" s="416"/>
      <c r="D567" s="198" t="s">
        <v>17589</v>
      </c>
      <c r="E567" s="198">
        <v>114</v>
      </c>
      <c r="F567" s="199" t="s">
        <v>17590</v>
      </c>
      <c r="G567" s="1" t="s">
        <v>18823</v>
      </c>
      <c r="H567" s="1" t="s">
        <v>16716</v>
      </c>
      <c r="I567" s="346"/>
      <c r="J567" s="39">
        <v>116737</v>
      </c>
      <c r="K567" s="36" t="str">
        <f>CONCATENATE(Cover!$D$6,"fdd/view?i=",J567)</f>
        <v>https://www.dgiwg.org/FAD/fdd/view?i=116737</v>
      </c>
      <c r="L567" s="36" t="s">
        <v>18824</v>
      </c>
      <c r="M567" s="186"/>
      <c r="N567" s="186"/>
      <c r="O567" s="13" t="s">
        <v>17588</v>
      </c>
    </row>
    <row r="568" spans="1:15" ht="38.25" x14ac:dyDescent="0.2">
      <c r="A568" s="197" t="str">
        <f t="shared" si="8"/>
        <v>ChyCode_chan040Y</v>
      </c>
      <c r="B568" s="409"/>
      <c r="C568" s="416"/>
      <c r="D568" s="198" t="s">
        <v>17594</v>
      </c>
      <c r="E568" s="198">
        <v>115</v>
      </c>
      <c r="F568" s="199" t="s">
        <v>17595</v>
      </c>
      <c r="G568" s="1" t="s">
        <v>18825</v>
      </c>
      <c r="H568" s="1" t="s">
        <v>16716</v>
      </c>
      <c r="I568" s="346"/>
      <c r="J568" s="39">
        <v>116738</v>
      </c>
      <c r="K568" s="36" t="str">
        <f>CONCATENATE(Cover!$D$6,"fdd/view?i=",J568)</f>
        <v>https://www.dgiwg.org/FAD/fdd/view?i=116738</v>
      </c>
      <c r="L568" s="36" t="s">
        <v>18826</v>
      </c>
      <c r="M568" s="186"/>
      <c r="N568" s="186"/>
      <c r="O568" s="13" t="s">
        <v>17593</v>
      </c>
    </row>
    <row r="569" spans="1:15" ht="38.25" x14ac:dyDescent="0.2">
      <c r="A569" s="197" t="str">
        <f t="shared" si="8"/>
        <v>ChyCode_chan040Z</v>
      </c>
      <c r="B569" s="409"/>
      <c r="C569" s="416"/>
      <c r="D569" s="198" t="s">
        <v>17599</v>
      </c>
      <c r="E569" s="198">
        <v>116</v>
      </c>
      <c r="F569" s="199" t="s">
        <v>17600</v>
      </c>
      <c r="G569" s="1" t="s">
        <v>18827</v>
      </c>
      <c r="H569" s="1" t="s">
        <v>16716</v>
      </c>
      <c r="I569" s="346"/>
      <c r="J569" s="39">
        <v>116739</v>
      </c>
      <c r="K569" s="36" t="str">
        <f>CONCATENATE(Cover!$D$6,"fdd/view?i=",J569)</f>
        <v>https://www.dgiwg.org/FAD/fdd/view?i=116739</v>
      </c>
      <c r="L569" s="36" t="s">
        <v>18828</v>
      </c>
      <c r="M569" s="186"/>
      <c r="N569" s="186"/>
      <c r="O569" s="13" t="s">
        <v>17598</v>
      </c>
    </row>
    <row r="570" spans="1:15" ht="38.25" x14ac:dyDescent="0.2">
      <c r="A570" s="197" t="str">
        <f t="shared" si="8"/>
        <v>ChyCode_chan041X</v>
      </c>
      <c r="B570" s="409"/>
      <c r="C570" s="416"/>
      <c r="D570" s="198" t="s">
        <v>17604</v>
      </c>
      <c r="E570" s="198">
        <v>117</v>
      </c>
      <c r="F570" s="199" t="s">
        <v>17605</v>
      </c>
      <c r="G570" s="1" t="s">
        <v>18829</v>
      </c>
      <c r="H570" s="1" t="s">
        <v>16716</v>
      </c>
      <c r="I570" s="346"/>
      <c r="J570" s="39">
        <v>116740</v>
      </c>
      <c r="K570" s="36" t="str">
        <f>CONCATENATE(Cover!$D$6,"fdd/view?i=",J570)</f>
        <v>https://www.dgiwg.org/FAD/fdd/view?i=116740</v>
      </c>
      <c r="L570" s="36" t="s">
        <v>18830</v>
      </c>
      <c r="M570" s="186"/>
      <c r="N570" s="186"/>
      <c r="O570" s="13" t="s">
        <v>17603</v>
      </c>
    </row>
    <row r="571" spans="1:15" ht="38.25" x14ac:dyDescent="0.2">
      <c r="A571" s="197" t="str">
        <f t="shared" si="8"/>
        <v>ChyCode_chan041Y</v>
      </c>
      <c r="B571" s="409"/>
      <c r="C571" s="416"/>
      <c r="D571" s="198" t="s">
        <v>17609</v>
      </c>
      <c r="E571" s="198">
        <v>118</v>
      </c>
      <c r="F571" s="199" t="s">
        <v>17610</v>
      </c>
      <c r="G571" s="1" t="s">
        <v>18831</v>
      </c>
      <c r="H571" s="1" t="s">
        <v>16716</v>
      </c>
      <c r="I571" s="346"/>
      <c r="J571" s="39">
        <v>116741</v>
      </c>
      <c r="K571" s="36" t="str">
        <f>CONCATENATE(Cover!$D$6,"fdd/view?i=",J571)</f>
        <v>https://www.dgiwg.org/FAD/fdd/view?i=116741</v>
      </c>
      <c r="L571" s="36" t="s">
        <v>18832</v>
      </c>
      <c r="M571" s="186"/>
      <c r="N571" s="186"/>
      <c r="O571" s="13" t="s">
        <v>17608</v>
      </c>
    </row>
    <row r="572" spans="1:15" ht="38.25" x14ac:dyDescent="0.2">
      <c r="A572" s="197" t="str">
        <f t="shared" si="8"/>
        <v>ChyCode_chan041Z</v>
      </c>
      <c r="B572" s="409"/>
      <c r="C572" s="416"/>
      <c r="D572" s="198" t="s">
        <v>17614</v>
      </c>
      <c r="E572" s="198">
        <v>119</v>
      </c>
      <c r="F572" s="199" t="s">
        <v>17615</v>
      </c>
      <c r="G572" s="1" t="s">
        <v>18833</v>
      </c>
      <c r="H572" s="1" t="s">
        <v>16716</v>
      </c>
      <c r="I572" s="346"/>
      <c r="J572" s="39">
        <v>116742</v>
      </c>
      <c r="K572" s="36" t="str">
        <f>CONCATENATE(Cover!$D$6,"fdd/view?i=",J572)</f>
        <v>https://www.dgiwg.org/FAD/fdd/view?i=116742</v>
      </c>
      <c r="L572" s="36" t="s">
        <v>18834</v>
      </c>
      <c r="M572" s="186"/>
      <c r="N572" s="186"/>
      <c r="O572" s="13" t="s">
        <v>17613</v>
      </c>
    </row>
    <row r="573" spans="1:15" ht="38.25" x14ac:dyDescent="0.2">
      <c r="A573" s="197" t="str">
        <f t="shared" si="8"/>
        <v>ChyCode_chan042W</v>
      </c>
      <c r="B573" s="409"/>
      <c r="C573" s="416"/>
      <c r="D573" s="198" t="s">
        <v>17619</v>
      </c>
      <c r="E573" s="198">
        <v>120</v>
      </c>
      <c r="F573" s="199" t="s">
        <v>17620</v>
      </c>
      <c r="G573" s="1" t="s">
        <v>18835</v>
      </c>
      <c r="H573" s="1" t="s">
        <v>16716</v>
      </c>
      <c r="I573" s="346"/>
      <c r="J573" s="39">
        <v>116743</v>
      </c>
      <c r="K573" s="36" t="str">
        <f>CONCATENATE(Cover!$D$6,"fdd/view?i=",J573)</f>
        <v>https://www.dgiwg.org/FAD/fdd/view?i=116743</v>
      </c>
      <c r="L573" s="36" t="s">
        <v>18836</v>
      </c>
      <c r="M573" s="186"/>
      <c r="N573" s="186"/>
      <c r="O573" s="13" t="s">
        <v>17618</v>
      </c>
    </row>
    <row r="574" spans="1:15" ht="38.25" x14ac:dyDescent="0.2">
      <c r="A574" s="197" t="str">
        <f t="shared" si="8"/>
        <v>ChyCode_chan042X</v>
      </c>
      <c r="B574" s="409"/>
      <c r="C574" s="416"/>
      <c r="D574" s="198" t="s">
        <v>17624</v>
      </c>
      <c r="E574" s="198">
        <v>121</v>
      </c>
      <c r="F574" s="199" t="s">
        <v>17625</v>
      </c>
      <c r="G574" s="1" t="s">
        <v>18837</v>
      </c>
      <c r="H574" s="1" t="s">
        <v>16716</v>
      </c>
      <c r="I574" s="346"/>
      <c r="J574" s="39">
        <v>116744</v>
      </c>
      <c r="K574" s="36" t="str">
        <f>CONCATENATE(Cover!$D$6,"fdd/view?i=",J574)</f>
        <v>https://www.dgiwg.org/FAD/fdd/view?i=116744</v>
      </c>
      <c r="L574" s="36" t="s">
        <v>18838</v>
      </c>
      <c r="M574" s="186"/>
      <c r="N574" s="186"/>
      <c r="O574" s="13" t="s">
        <v>17623</v>
      </c>
    </row>
    <row r="575" spans="1:15" ht="38.25" x14ac:dyDescent="0.2">
      <c r="A575" s="197" t="str">
        <f t="shared" si="8"/>
        <v>ChyCode_chan042Y</v>
      </c>
      <c r="B575" s="409"/>
      <c r="C575" s="416"/>
      <c r="D575" s="198" t="s">
        <v>17629</v>
      </c>
      <c r="E575" s="198">
        <v>122</v>
      </c>
      <c r="F575" s="199" t="s">
        <v>17630</v>
      </c>
      <c r="G575" s="1" t="s">
        <v>18839</v>
      </c>
      <c r="H575" s="1" t="s">
        <v>16716</v>
      </c>
      <c r="I575" s="346"/>
      <c r="J575" s="39">
        <v>116745</v>
      </c>
      <c r="K575" s="36" t="str">
        <f>CONCATENATE(Cover!$D$6,"fdd/view?i=",J575)</f>
        <v>https://www.dgiwg.org/FAD/fdd/view?i=116745</v>
      </c>
      <c r="L575" s="36" t="s">
        <v>18840</v>
      </c>
      <c r="M575" s="186"/>
      <c r="N575" s="186"/>
      <c r="O575" s="13" t="s">
        <v>17628</v>
      </c>
    </row>
    <row r="576" spans="1:15" ht="38.25" x14ac:dyDescent="0.2">
      <c r="A576" s="197" t="str">
        <f t="shared" si="8"/>
        <v>ChyCode_chan042Z</v>
      </c>
      <c r="B576" s="409"/>
      <c r="C576" s="416"/>
      <c r="D576" s="198" t="s">
        <v>17634</v>
      </c>
      <c r="E576" s="198">
        <v>123</v>
      </c>
      <c r="F576" s="199" t="s">
        <v>17635</v>
      </c>
      <c r="G576" s="1" t="s">
        <v>18841</v>
      </c>
      <c r="H576" s="1" t="s">
        <v>16716</v>
      </c>
      <c r="I576" s="346"/>
      <c r="J576" s="39">
        <v>116746</v>
      </c>
      <c r="K576" s="36" t="str">
        <f>CONCATENATE(Cover!$D$6,"fdd/view?i=",J576)</f>
        <v>https://www.dgiwg.org/FAD/fdd/view?i=116746</v>
      </c>
      <c r="L576" s="36" t="s">
        <v>18842</v>
      </c>
      <c r="M576" s="186"/>
      <c r="N576" s="186"/>
      <c r="O576" s="13" t="s">
        <v>17633</v>
      </c>
    </row>
    <row r="577" spans="1:15" ht="38.25" x14ac:dyDescent="0.2">
      <c r="A577" s="197" t="str">
        <f t="shared" si="8"/>
        <v>ChyCode_chan043X</v>
      </c>
      <c r="B577" s="409"/>
      <c r="C577" s="416"/>
      <c r="D577" s="198" t="s">
        <v>17639</v>
      </c>
      <c r="E577" s="198">
        <v>124</v>
      </c>
      <c r="F577" s="199" t="s">
        <v>17640</v>
      </c>
      <c r="G577" s="1" t="s">
        <v>18843</v>
      </c>
      <c r="H577" s="1" t="s">
        <v>16716</v>
      </c>
      <c r="I577" s="346"/>
      <c r="J577" s="39">
        <v>116747</v>
      </c>
      <c r="K577" s="36" t="str">
        <f>CONCATENATE(Cover!$D$6,"fdd/view?i=",J577)</f>
        <v>https://www.dgiwg.org/FAD/fdd/view?i=116747</v>
      </c>
      <c r="L577" s="36" t="s">
        <v>18844</v>
      </c>
      <c r="M577" s="186"/>
      <c r="N577" s="186"/>
      <c r="O577" s="13" t="s">
        <v>17638</v>
      </c>
    </row>
    <row r="578" spans="1:15" ht="38.25" x14ac:dyDescent="0.2">
      <c r="A578" s="197" t="str">
        <f t="shared" ref="A578:A641" si="9">HYPERLINK(K578,L578)</f>
        <v>ChyCode_chan043Y</v>
      </c>
      <c r="B578" s="409"/>
      <c r="C578" s="416"/>
      <c r="D578" s="198" t="s">
        <v>17644</v>
      </c>
      <c r="E578" s="198">
        <v>125</v>
      </c>
      <c r="F578" s="199" t="s">
        <v>17645</v>
      </c>
      <c r="G578" s="1" t="s">
        <v>18845</v>
      </c>
      <c r="H578" s="1" t="s">
        <v>16716</v>
      </c>
      <c r="I578" s="346"/>
      <c r="J578" s="39">
        <v>116748</v>
      </c>
      <c r="K578" s="36" t="str">
        <f>CONCATENATE(Cover!$D$6,"fdd/view?i=",J578)</f>
        <v>https://www.dgiwg.org/FAD/fdd/view?i=116748</v>
      </c>
      <c r="L578" s="36" t="s">
        <v>18846</v>
      </c>
      <c r="M578" s="186"/>
      <c r="N578" s="186"/>
      <c r="O578" s="13" t="s">
        <v>17643</v>
      </c>
    </row>
    <row r="579" spans="1:15" ht="38.25" x14ac:dyDescent="0.2">
      <c r="A579" s="197" t="str">
        <f t="shared" si="9"/>
        <v>ChyCode_chan043Z</v>
      </c>
      <c r="B579" s="409"/>
      <c r="C579" s="416"/>
      <c r="D579" s="198" t="s">
        <v>17649</v>
      </c>
      <c r="E579" s="198">
        <v>126</v>
      </c>
      <c r="F579" s="199" t="s">
        <v>17650</v>
      </c>
      <c r="G579" s="1" t="s">
        <v>18847</v>
      </c>
      <c r="H579" s="1" t="s">
        <v>16716</v>
      </c>
      <c r="I579" s="346"/>
      <c r="J579" s="39">
        <v>116749</v>
      </c>
      <c r="K579" s="36" t="str">
        <f>CONCATENATE(Cover!$D$6,"fdd/view?i=",J579)</f>
        <v>https://www.dgiwg.org/FAD/fdd/view?i=116749</v>
      </c>
      <c r="L579" s="36" t="s">
        <v>18848</v>
      </c>
      <c r="M579" s="186"/>
      <c r="N579" s="186"/>
      <c r="O579" s="13" t="s">
        <v>17648</v>
      </c>
    </row>
    <row r="580" spans="1:15" ht="38.25" x14ac:dyDescent="0.2">
      <c r="A580" s="197" t="str">
        <f t="shared" si="9"/>
        <v>ChyCode_chan044W</v>
      </c>
      <c r="B580" s="409"/>
      <c r="C580" s="416"/>
      <c r="D580" s="198" t="s">
        <v>17654</v>
      </c>
      <c r="E580" s="198">
        <v>127</v>
      </c>
      <c r="F580" s="199" t="s">
        <v>17655</v>
      </c>
      <c r="G580" s="1" t="s">
        <v>18849</v>
      </c>
      <c r="H580" s="1" t="s">
        <v>16716</v>
      </c>
      <c r="I580" s="346"/>
      <c r="J580" s="39">
        <v>116750</v>
      </c>
      <c r="K580" s="36" t="str">
        <f>CONCATENATE(Cover!$D$6,"fdd/view?i=",J580)</f>
        <v>https://www.dgiwg.org/FAD/fdd/view?i=116750</v>
      </c>
      <c r="L580" s="36" t="s">
        <v>18850</v>
      </c>
      <c r="M580" s="186"/>
      <c r="N580" s="186"/>
      <c r="O580" s="13" t="s">
        <v>17653</v>
      </c>
    </row>
    <row r="581" spans="1:15" ht="38.25" x14ac:dyDescent="0.2">
      <c r="A581" s="197" t="str">
        <f t="shared" si="9"/>
        <v>ChyCode_chan044X</v>
      </c>
      <c r="B581" s="409"/>
      <c r="C581" s="416"/>
      <c r="D581" s="198" t="s">
        <v>17659</v>
      </c>
      <c r="E581" s="198">
        <v>128</v>
      </c>
      <c r="F581" s="199" t="s">
        <v>17660</v>
      </c>
      <c r="G581" s="1" t="s">
        <v>18851</v>
      </c>
      <c r="H581" s="1" t="s">
        <v>16716</v>
      </c>
      <c r="I581" s="346"/>
      <c r="J581" s="39">
        <v>116751</v>
      </c>
      <c r="K581" s="36" t="str">
        <f>CONCATENATE(Cover!$D$6,"fdd/view?i=",J581)</f>
        <v>https://www.dgiwg.org/FAD/fdd/view?i=116751</v>
      </c>
      <c r="L581" s="36" t="s">
        <v>18852</v>
      </c>
      <c r="M581" s="186"/>
      <c r="N581" s="186"/>
      <c r="O581" s="13" t="s">
        <v>17658</v>
      </c>
    </row>
    <row r="582" spans="1:15" ht="38.25" x14ac:dyDescent="0.2">
      <c r="A582" s="197" t="str">
        <f t="shared" si="9"/>
        <v>ChyCode_chan044Y</v>
      </c>
      <c r="B582" s="409"/>
      <c r="C582" s="416"/>
      <c r="D582" s="198" t="s">
        <v>17664</v>
      </c>
      <c r="E582" s="198">
        <v>129</v>
      </c>
      <c r="F582" s="199" t="s">
        <v>17665</v>
      </c>
      <c r="G582" s="1" t="s">
        <v>18853</v>
      </c>
      <c r="H582" s="1" t="s">
        <v>16716</v>
      </c>
      <c r="I582" s="346"/>
      <c r="J582" s="39">
        <v>116752</v>
      </c>
      <c r="K582" s="36" t="str">
        <f>CONCATENATE(Cover!$D$6,"fdd/view?i=",J582)</f>
        <v>https://www.dgiwg.org/FAD/fdd/view?i=116752</v>
      </c>
      <c r="L582" s="36" t="s">
        <v>18854</v>
      </c>
      <c r="M582" s="186"/>
      <c r="N582" s="186"/>
      <c r="O582" s="13" t="s">
        <v>17663</v>
      </c>
    </row>
    <row r="583" spans="1:15" ht="38.25" x14ac:dyDescent="0.2">
      <c r="A583" s="197" t="str">
        <f t="shared" si="9"/>
        <v>ChyCode_chan044Z</v>
      </c>
      <c r="B583" s="409"/>
      <c r="C583" s="416"/>
      <c r="D583" s="198" t="s">
        <v>17669</v>
      </c>
      <c r="E583" s="198">
        <v>130</v>
      </c>
      <c r="F583" s="199" t="s">
        <v>17670</v>
      </c>
      <c r="G583" s="1" t="s">
        <v>18855</v>
      </c>
      <c r="H583" s="1" t="s">
        <v>16716</v>
      </c>
      <c r="I583" s="346"/>
      <c r="J583" s="39">
        <v>116753</v>
      </c>
      <c r="K583" s="36" t="str">
        <f>CONCATENATE(Cover!$D$6,"fdd/view?i=",J583)</f>
        <v>https://www.dgiwg.org/FAD/fdd/view?i=116753</v>
      </c>
      <c r="L583" s="36" t="s">
        <v>18856</v>
      </c>
      <c r="M583" s="186"/>
      <c r="N583" s="186"/>
      <c r="O583" s="13" t="s">
        <v>17668</v>
      </c>
    </row>
    <row r="584" spans="1:15" ht="38.25" x14ac:dyDescent="0.2">
      <c r="A584" s="197" t="str">
        <f t="shared" si="9"/>
        <v>ChyCode_chan045X</v>
      </c>
      <c r="B584" s="409"/>
      <c r="C584" s="416"/>
      <c r="D584" s="198" t="s">
        <v>17674</v>
      </c>
      <c r="E584" s="198">
        <v>131</v>
      </c>
      <c r="F584" s="199" t="s">
        <v>17675</v>
      </c>
      <c r="G584" s="1" t="s">
        <v>18857</v>
      </c>
      <c r="H584" s="1" t="s">
        <v>16716</v>
      </c>
      <c r="I584" s="346"/>
      <c r="J584" s="39">
        <v>116754</v>
      </c>
      <c r="K584" s="36" t="str">
        <f>CONCATENATE(Cover!$D$6,"fdd/view?i=",J584)</f>
        <v>https://www.dgiwg.org/FAD/fdd/view?i=116754</v>
      </c>
      <c r="L584" s="36" t="s">
        <v>18858</v>
      </c>
      <c r="M584" s="186"/>
      <c r="N584" s="186"/>
      <c r="O584" s="13" t="s">
        <v>17673</v>
      </c>
    </row>
    <row r="585" spans="1:15" ht="38.25" x14ac:dyDescent="0.2">
      <c r="A585" s="197" t="str">
        <f t="shared" si="9"/>
        <v>ChyCode_chan045Y</v>
      </c>
      <c r="B585" s="409"/>
      <c r="C585" s="416"/>
      <c r="D585" s="198" t="s">
        <v>17679</v>
      </c>
      <c r="E585" s="198">
        <v>132</v>
      </c>
      <c r="F585" s="199" t="s">
        <v>17680</v>
      </c>
      <c r="G585" s="1" t="s">
        <v>18859</v>
      </c>
      <c r="H585" s="1" t="s">
        <v>16716</v>
      </c>
      <c r="I585" s="346"/>
      <c r="J585" s="39">
        <v>116755</v>
      </c>
      <c r="K585" s="36" t="str">
        <f>CONCATENATE(Cover!$D$6,"fdd/view?i=",J585)</f>
        <v>https://www.dgiwg.org/FAD/fdd/view?i=116755</v>
      </c>
      <c r="L585" s="36" t="s">
        <v>18860</v>
      </c>
      <c r="M585" s="186"/>
      <c r="N585" s="186"/>
      <c r="O585" s="13" t="s">
        <v>17678</v>
      </c>
    </row>
    <row r="586" spans="1:15" ht="38.25" x14ac:dyDescent="0.2">
      <c r="A586" s="197" t="str">
        <f t="shared" si="9"/>
        <v>ChyCode_chan045Z</v>
      </c>
      <c r="B586" s="409"/>
      <c r="C586" s="416"/>
      <c r="D586" s="198" t="s">
        <v>17684</v>
      </c>
      <c r="E586" s="198">
        <v>133</v>
      </c>
      <c r="F586" s="199" t="s">
        <v>17685</v>
      </c>
      <c r="G586" s="1" t="s">
        <v>18861</v>
      </c>
      <c r="H586" s="1" t="s">
        <v>16716</v>
      </c>
      <c r="I586" s="346"/>
      <c r="J586" s="39">
        <v>116756</v>
      </c>
      <c r="K586" s="36" t="str">
        <f>CONCATENATE(Cover!$D$6,"fdd/view?i=",J586)</f>
        <v>https://www.dgiwg.org/FAD/fdd/view?i=116756</v>
      </c>
      <c r="L586" s="36" t="s">
        <v>18862</v>
      </c>
      <c r="M586" s="186"/>
      <c r="N586" s="186"/>
      <c r="O586" s="13" t="s">
        <v>17683</v>
      </c>
    </row>
    <row r="587" spans="1:15" ht="38.25" x14ac:dyDescent="0.2">
      <c r="A587" s="197" t="str">
        <f t="shared" si="9"/>
        <v>ChyCode_chan046W</v>
      </c>
      <c r="B587" s="409"/>
      <c r="C587" s="416"/>
      <c r="D587" s="198" t="s">
        <v>17689</v>
      </c>
      <c r="E587" s="198">
        <v>134</v>
      </c>
      <c r="F587" s="199" t="s">
        <v>17690</v>
      </c>
      <c r="G587" s="1" t="s">
        <v>18863</v>
      </c>
      <c r="H587" s="1" t="s">
        <v>16716</v>
      </c>
      <c r="I587" s="346"/>
      <c r="J587" s="39">
        <v>116757</v>
      </c>
      <c r="K587" s="36" t="str">
        <f>CONCATENATE(Cover!$D$6,"fdd/view?i=",J587)</f>
        <v>https://www.dgiwg.org/FAD/fdd/view?i=116757</v>
      </c>
      <c r="L587" s="36" t="s">
        <v>18864</v>
      </c>
      <c r="M587" s="186"/>
      <c r="N587" s="186"/>
      <c r="O587" s="13" t="s">
        <v>17688</v>
      </c>
    </row>
    <row r="588" spans="1:15" ht="38.25" x14ac:dyDescent="0.2">
      <c r="A588" s="197" t="str">
        <f t="shared" si="9"/>
        <v>ChyCode_chan046X</v>
      </c>
      <c r="B588" s="409"/>
      <c r="C588" s="416"/>
      <c r="D588" s="198" t="s">
        <v>17694</v>
      </c>
      <c r="E588" s="198">
        <v>135</v>
      </c>
      <c r="F588" s="199" t="s">
        <v>17695</v>
      </c>
      <c r="G588" s="1" t="s">
        <v>18865</v>
      </c>
      <c r="H588" s="1" t="s">
        <v>16716</v>
      </c>
      <c r="I588" s="346"/>
      <c r="J588" s="39">
        <v>116758</v>
      </c>
      <c r="K588" s="36" t="str">
        <f>CONCATENATE(Cover!$D$6,"fdd/view?i=",J588)</f>
        <v>https://www.dgiwg.org/FAD/fdd/view?i=116758</v>
      </c>
      <c r="L588" s="36" t="s">
        <v>18866</v>
      </c>
      <c r="M588" s="186"/>
      <c r="N588" s="186"/>
      <c r="O588" s="13" t="s">
        <v>17693</v>
      </c>
    </row>
    <row r="589" spans="1:15" ht="38.25" x14ac:dyDescent="0.2">
      <c r="A589" s="197" t="str">
        <f t="shared" si="9"/>
        <v>ChyCode_chan046Y</v>
      </c>
      <c r="B589" s="409"/>
      <c r="C589" s="416"/>
      <c r="D589" s="198" t="s">
        <v>17699</v>
      </c>
      <c r="E589" s="198">
        <v>136</v>
      </c>
      <c r="F589" s="199" t="s">
        <v>17700</v>
      </c>
      <c r="G589" s="1" t="s">
        <v>18867</v>
      </c>
      <c r="H589" s="1" t="s">
        <v>16716</v>
      </c>
      <c r="I589" s="346"/>
      <c r="J589" s="39">
        <v>116759</v>
      </c>
      <c r="K589" s="36" t="str">
        <f>CONCATENATE(Cover!$D$6,"fdd/view?i=",J589)</f>
        <v>https://www.dgiwg.org/FAD/fdd/view?i=116759</v>
      </c>
      <c r="L589" s="36" t="s">
        <v>18868</v>
      </c>
      <c r="M589" s="186"/>
      <c r="N589" s="186"/>
      <c r="O589" s="13" t="s">
        <v>17698</v>
      </c>
    </row>
    <row r="590" spans="1:15" ht="38.25" x14ac:dyDescent="0.2">
      <c r="A590" s="197" t="str">
        <f t="shared" si="9"/>
        <v>ChyCode_chan046Z</v>
      </c>
      <c r="B590" s="409"/>
      <c r="C590" s="416"/>
      <c r="D590" s="198" t="s">
        <v>17704</v>
      </c>
      <c r="E590" s="198">
        <v>137</v>
      </c>
      <c r="F590" s="199" t="s">
        <v>17705</v>
      </c>
      <c r="G590" s="1" t="s">
        <v>18869</v>
      </c>
      <c r="H590" s="1" t="s">
        <v>16716</v>
      </c>
      <c r="I590" s="346"/>
      <c r="J590" s="39">
        <v>116760</v>
      </c>
      <c r="K590" s="36" t="str">
        <f>CONCATENATE(Cover!$D$6,"fdd/view?i=",J590)</f>
        <v>https://www.dgiwg.org/FAD/fdd/view?i=116760</v>
      </c>
      <c r="L590" s="36" t="s">
        <v>18870</v>
      </c>
      <c r="M590" s="186"/>
      <c r="N590" s="186"/>
      <c r="O590" s="13" t="s">
        <v>17703</v>
      </c>
    </row>
    <row r="591" spans="1:15" ht="38.25" x14ac:dyDescent="0.2">
      <c r="A591" s="197" t="str">
        <f t="shared" si="9"/>
        <v>ChyCode_chan047X</v>
      </c>
      <c r="B591" s="409"/>
      <c r="C591" s="416"/>
      <c r="D591" s="198" t="s">
        <v>17709</v>
      </c>
      <c r="E591" s="198">
        <v>138</v>
      </c>
      <c r="F591" s="199" t="s">
        <v>17710</v>
      </c>
      <c r="G591" s="1" t="s">
        <v>18871</v>
      </c>
      <c r="H591" s="1" t="s">
        <v>16716</v>
      </c>
      <c r="I591" s="346"/>
      <c r="J591" s="39">
        <v>116761</v>
      </c>
      <c r="K591" s="36" t="str">
        <f>CONCATENATE(Cover!$D$6,"fdd/view?i=",J591)</f>
        <v>https://www.dgiwg.org/FAD/fdd/view?i=116761</v>
      </c>
      <c r="L591" s="36" t="s">
        <v>18872</v>
      </c>
      <c r="M591" s="186"/>
      <c r="N591" s="186"/>
      <c r="O591" s="13" t="s">
        <v>17708</v>
      </c>
    </row>
    <row r="592" spans="1:15" ht="38.25" x14ac:dyDescent="0.2">
      <c r="A592" s="197" t="str">
        <f t="shared" si="9"/>
        <v>ChyCode_chan047Y</v>
      </c>
      <c r="B592" s="409"/>
      <c r="C592" s="416"/>
      <c r="D592" s="198" t="s">
        <v>17714</v>
      </c>
      <c r="E592" s="198">
        <v>139</v>
      </c>
      <c r="F592" s="199" t="s">
        <v>17715</v>
      </c>
      <c r="G592" s="1" t="s">
        <v>18873</v>
      </c>
      <c r="H592" s="1" t="s">
        <v>16716</v>
      </c>
      <c r="I592" s="346"/>
      <c r="J592" s="39">
        <v>116762</v>
      </c>
      <c r="K592" s="36" t="str">
        <f>CONCATENATE(Cover!$D$6,"fdd/view?i=",J592)</f>
        <v>https://www.dgiwg.org/FAD/fdd/view?i=116762</v>
      </c>
      <c r="L592" s="36" t="s">
        <v>18874</v>
      </c>
      <c r="M592" s="186"/>
      <c r="N592" s="186"/>
      <c r="O592" s="13" t="s">
        <v>17713</v>
      </c>
    </row>
    <row r="593" spans="1:15" ht="38.25" x14ac:dyDescent="0.2">
      <c r="A593" s="197" t="str">
        <f t="shared" si="9"/>
        <v>ChyCode_chan047Z</v>
      </c>
      <c r="B593" s="409"/>
      <c r="C593" s="416"/>
      <c r="D593" s="198" t="s">
        <v>17719</v>
      </c>
      <c r="E593" s="198">
        <v>140</v>
      </c>
      <c r="F593" s="199" t="s">
        <v>17720</v>
      </c>
      <c r="G593" s="1" t="s">
        <v>18875</v>
      </c>
      <c r="H593" s="1" t="s">
        <v>16716</v>
      </c>
      <c r="I593" s="346"/>
      <c r="J593" s="39">
        <v>116763</v>
      </c>
      <c r="K593" s="36" t="str">
        <f>CONCATENATE(Cover!$D$6,"fdd/view?i=",J593)</f>
        <v>https://www.dgiwg.org/FAD/fdd/view?i=116763</v>
      </c>
      <c r="L593" s="36" t="s">
        <v>18876</v>
      </c>
      <c r="M593" s="186"/>
      <c r="N593" s="186"/>
      <c r="O593" s="13" t="s">
        <v>17718</v>
      </c>
    </row>
    <row r="594" spans="1:15" ht="38.25" x14ac:dyDescent="0.2">
      <c r="A594" s="197" t="str">
        <f t="shared" si="9"/>
        <v>ChyCode_chan048W</v>
      </c>
      <c r="B594" s="409"/>
      <c r="C594" s="416"/>
      <c r="D594" s="198" t="s">
        <v>17724</v>
      </c>
      <c r="E594" s="198">
        <v>141</v>
      </c>
      <c r="F594" s="199" t="s">
        <v>17725</v>
      </c>
      <c r="G594" s="1" t="s">
        <v>18877</v>
      </c>
      <c r="H594" s="1" t="s">
        <v>16716</v>
      </c>
      <c r="I594" s="346"/>
      <c r="J594" s="39">
        <v>116764</v>
      </c>
      <c r="K594" s="36" t="str">
        <f>CONCATENATE(Cover!$D$6,"fdd/view?i=",J594)</f>
        <v>https://www.dgiwg.org/FAD/fdd/view?i=116764</v>
      </c>
      <c r="L594" s="36" t="s">
        <v>18878</v>
      </c>
      <c r="M594" s="186"/>
      <c r="N594" s="186"/>
      <c r="O594" s="13" t="s">
        <v>17723</v>
      </c>
    </row>
    <row r="595" spans="1:15" ht="38.25" x14ac:dyDescent="0.2">
      <c r="A595" s="197" t="str">
        <f t="shared" si="9"/>
        <v>ChyCode_chan048X</v>
      </c>
      <c r="B595" s="409"/>
      <c r="C595" s="416"/>
      <c r="D595" s="198" t="s">
        <v>17729</v>
      </c>
      <c r="E595" s="198">
        <v>142</v>
      </c>
      <c r="F595" s="199" t="s">
        <v>17730</v>
      </c>
      <c r="G595" s="1" t="s">
        <v>18879</v>
      </c>
      <c r="H595" s="1" t="s">
        <v>16716</v>
      </c>
      <c r="I595" s="346"/>
      <c r="J595" s="39">
        <v>116765</v>
      </c>
      <c r="K595" s="36" t="str">
        <f>CONCATENATE(Cover!$D$6,"fdd/view?i=",J595)</f>
        <v>https://www.dgiwg.org/FAD/fdd/view?i=116765</v>
      </c>
      <c r="L595" s="36" t="s">
        <v>18880</v>
      </c>
      <c r="M595" s="186"/>
      <c r="N595" s="186"/>
      <c r="O595" s="13" t="s">
        <v>17728</v>
      </c>
    </row>
    <row r="596" spans="1:15" ht="38.25" x14ac:dyDescent="0.2">
      <c r="A596" s="197" t="str">
        <f t="shared" si="9"/>
        <v>ChyCode_chan048Y</v>
      </c>
      <c r="B596" s="409"/>
      <c r="C596" s="416"/>
      <c r="D596" s="198" t="s">
        <v>17734</v>
      </c>
      <c r="E596" s="198">
        <v>143</v>
      </c>
      <c r="F596" s="199" t="s">
        <v>17735</v>
      </c>
      <c r="G596" s="1" t="s">
        <v>18881</v>
      </c>
      <c r="H596" s="1" t="s">
        <v>16716</v>
      </c>
      <c r="I596" s="346"/>
      <c r="J596" s="39">
        <v>116766</v>
      </c>
      <c r="K596" s="36" t="str">
        <f>CONCATENATE(Cover!$D$6,"fdd/view?i=",J596)</f>
        <v>https://www.dgiwg.org/FAD/fdd/view?i=116766</v>
      </c>
      <c r="L596" s="36" t="s">
        <v>18882</v>
      </c>
      <c r="M596" s="186"/>
      <c r="N596" s="186"/>
      <c r="O596" s="13" t="s">
        <v>17733</v>
      </c>
    </row>
    <row r="597" spans="1:15" ht="38.25" x14ac:dyDescent="0.2">
      <c r="A597" s="197" t="str">
        <f t="shared" si="9"/>
        <v>ChyCode_chan048Z</v>
      </c>
      <c r="B597" s="409"/>
      <c r="C597" s="416"/>
      <c r="D597" s="198" t="s">
        <v>17739</v>
      </c>
      <c r="E597" s="198">
        <v>144</v>
      </c>
      <c r="F597" s="199" t="s">
        <v>17740</v>
      </c>
      <c r="G597" s="1" t="s">
        <v>18883</v>
      </c>
      <c r="H597" s="1" t="s">
        <v>16716</v>
      </c>
      <c r="I597" s="346"/>
      <c r="J597" s="39">
        <v>116767</v>
      </c>
      <c r="K597" s="36" t="str">
        <f>CONCATENATE(Cover!$D$6,"fdd/view?i=",J597)</f>
        <v>https://www.dgiwg.org/FAD/fdd/view?i=116767</v>
      </c>
      <c r="L597" s="36" t="s">
        <v>18884</v>
      </c>
      <c r="M597" s="186"/>
      <c r="N597" s="186"/>
      <c r="O597" s="13" t="s">
        <v>17738</v>
      </c>
    </row>
    <row r="598" spans="1:15" ht="38.25" x14ac:dyDescent="0.2">
      <c r="A598" s="197" t="str">
        <f t="shared" si="9"/>
        <v>ChyCode_chan049X</v>
      </c>
      <c r="B598" s="409"/>
      <c r="C598" s="416"/>
      <c r="D598" s="198" t="s">
        <v>17744</v>
      </c>
      <c r="E598" s="198">
        <v>145</v>
      </c>
      <c r="F598" s="199" t="s">
        <v>17745</v>
      </c>
      <c r="G598" s="1" t="s">
        <v>18885</v>
      </c>
      <c r="H598" s="1" t="s">
        <v>16716</v>
      </c>
      <c r="I598" s="346"/>
      <c r="J598" s="39">
        <v>116768</v>
      </c>
      <c r="K598" s="36" t="str">
        <f>CONCATENATE(Cover!$D$6,"fdd/view?i=",J598)</f>
        <v>https://www.dgiwg.org/FAD/fdd/view?i=116768</v>
      </c>
      <c r="L598" s="36" t="s">
        <v>18886</v>
      </c>
      <c r="M598" s="186"/>
      <c r="N598" s="186"/>
      <c r="O598" s="13" t="s">
        <v>17743</v>
      </c>
    </row>
    <row r="599" spans="1:15" ht="38.25" x14ac:dyDescent="0.2">
      <c r="A599" s="197" t="str">
        <f t="shared" si="9"/>
        <v>ChyCode_chan049Y</v>
      </c>
      <c r="B599" s="409"/>
      <c r="C599" s="416"/>
      <c r="D599" s="198" t="s">
        <v>17749</v>
      </c>
      <c r="E599" s="198">
        <v>146</v>
      </c>
      <c r="F599" s="199" t="s">
        <v>17750</v>
      </c>
      <c r="G599" s="1" t="s">
        <v>18887</v>
      </c>
      <c r="H599" s="1" t="s">
        <v>16716</v>
      </c>
      <c r="I599" s="346"/>
      <c r="J599" s="39">
        <v>116769</v>
      </c>
      <c r="K599" s="36" t="str">
        <f>CONCATENATE(Cover!$D$6,"fdd/view?i=",J599)</f>
        <v>https://www.dgiwg.org/FAD/fdd/view?i=116769</v>
      </c>
      <c r="L599" s="36" t="s">
        <v>18888</v>
      </c>
      <c r="M599" s="186"/>
      <c r="N599" s="186"/>
      <c r="O599" s="13" t="s">
        <v>17748</v>
      </c>
    </row>
    <row r="600" spans="1:15" ht="38.25" x14ac:dyDescent="0.2">
      <c r="A600" s="197" t="str">
        <f t="shared" si="9"/>
        <v>ChyCode_chan049Z</v>
      </c>
      <c r="B600" s="409"/>
      <c r="C600" s="416"/>
      <c r="D600" s="198" t="s">
        <v>17754</v>
      </c>
      <c r="E600" s="198">
        <v>147</v>
      </c>
      <c r="F600" s="199" t="s">
        <v>17755</v>
      </c>
      <c r="G600" s="1" t="s">
        <v>18889</v>
      </c>
      <c r="H600" s="1" t="s">
        <v>16716</v>
      </c>
      <c r="I600" s="346"/>
      <c r="J600" s="39">
        <v>116770</v>
      </c>
      <c r="K600" s="36" t="str">
        <f>CONCATENATE(Cover!$D$6,"fdd/view?i=",J600)</f>
        <v>https://www.dgiwg.org/FAD/fdd/view?i=116770</v>
      </c>
      <c r="L600" s="36" t="s">
        <v>18890</v>
      </c>
      <c r="M600" s="186"/>
      <c r="N600" s="186"/>
      <c r="O600" s="13" t="s">
        <v>17753</v>
      </c>
    </row>
    <row r="601" spans="1:15" ht="38.25" x14ac:dyDescent="0.2">
      <c r="A601" s="197" t="str">
        <f t="shared" si="9"/>
        <v>ChyCode_chan050W</v>
      </c>
      <c r="B601" s="409"/>
      <c r="C601" s="416"/>
      <c r="D601" s="198" t="s">
        <v>17769</v>
      </c>
      <c r="E601" s="198">
        <v>148</v>
      </c>
      <c r="F601" s="199" t="s">
        <v>17770</v>
      </c>
      <c r="G601" s="1" t="s">
        <v>18895</v>
      </c>
      <c r="H601" s="1" t="s">
        <v>16716</v>
      </c>
      <c r="I601" s="346"/>
      <c r="J601" s="39">
        <v>116771</v>
      </c>
      <c r="K601" s="36" t="str">
        <f>CONCATENATE(Cover!$D$6,"fdd/view?i=",J601)</f>
        <v>https://www.dgiwg.org/FAD/fdd/view?i=116771</v>
      </c>
      <c r="L601" s="36" t="s">
        <v>18896</v>
      </c>
      <c r="M601" s="186"/>
      <c r="N601" s="186"/>
      <c r="O601" s="13" t="s">
        <v>17768</v>
      </c>
    </row>
    <row r="602" spans="1:15" ht="38.25" x14ac:dyDescent="0.2">
      <c r="A602" s="197" t="str">
        <f t="shared" si="9"/>
        <v>ChyCode_chan050X</v>
      </c>
      <c r="B602" s="409"/>
      <c r="C602" s="416"/>
      <c r="D602" s="198" t="s">
        <v>17774</v>
      </c>
      <c r="E602" s="198">
        <v>149</v>
      </c>
      <c r="F602" s="199" t="s">
        <v>17775</v>
      </c>
      <c r="G602" s="1" t="s">
        <v>18897</v>
      </c>
      <c r="H602" s="1" t="s">
        <v>16716</v>
      </c>
      <c r="I602" s="346"/>
      <c r="J602" s="39">
        <v>116772</v>
      </c>
      <c r="K602" s="36" t="str">
        <f>CONCATENATE(Cover!$D$6,"fdd/view?i=",J602)</f>
        <v>https://www.dgiwg.org/FAD/fdd/view?i=116772</v>
      </c>
      <c r="L602" s="36" t="s">
        <v>18898</v>
      </c>
      <c r="M602" s="186"/>
      <c r="N602" s="186"/>
      <c r="O602" s="13" t="s">
        <v>17773</v>
      </c>
    </row>
    <row r="603" spans="1:15" ht="38.25" x14ac:dyDescent="0.2">
      <c r="A603" s="197" t="str">
        <f t="shared" si="9"/>
        <v>ChyCode_chan050Y</v>
      </c>
      <c r="B603" s="409"/>
      <c r="C603" s="416"/>
      <c r="D603" s="198" t="s">
        <v>17779</v>
      </c>
      <c r="E603" s="198">
        <v>150</v>
      </c>
      <c r="F603" s="199" t="s">
        <v>17780</v>
      </c>
      <c r="G603" s="1" t="s">
        <v>18899</v>
      </c>
      <c r="H603" s="1" t="s">
        <v>16716</v>
      </c>
      <c r="I603" s="346"/>
      <c r="J603" s="39">
        <v>116773</v>
      </c>
      <c r="K603" s="36" t="str">
        <f>CONCATENATE(Cover!$D$6,"fdd/view?i=",J603)</f>
        <v>https://www.dgiwg.org/FAD/fdd/view?i=116773</v>
      </c>
      <c r="L603" s="36" t="s">
        <v>18900</v>
      </c>
      <c r="M603" s="186"/>
      <c r="N603" s="186"/>
      <c r="O603" s="13" t="s">
        <v>17778</v>
      </c>
    </row>
    <row r="604" spans="1:15" ht="38.25" x14ac:dyDescent="0.2">
      <c r="A604" s="197" t="str">
        <f t="shared" si="9"/>
        <v>ChyCode_chan050Z</v>
      </c>
      <c r="B604" s="409"/>
      <c r="C604" s="416"/>
      <c r="D604" s="198" t="s">
        <v>17784</v>
      </c>
      <c r="E604" s="198">
        <v>151</v>
      </c>
      <c r="F604" s="199" t="s">
        <v>17785</v>
      </c>
      <c r="G604" s="1" t="s">
        <v>18901</v>
      </c>
      <c r="H604" s="1" t="s">
        <v>16716</v>
      </c>
      <c r="I604" s="346"/>
      <c r="J604" s="39">
        <v>116774</v>
      </c>
      <c r="K604" s="36" t="str">
        <f>CONCATENATE(Cover!$D$6,"fdd/view?i=",J604)</f>
        <v>https://www.dgiwg.org/FAD/fdd/view?i=116774</v>
      </c>
      <c r="L604" s="36" t="s">
        <v>18902</v>
      </c>
      <c r="M604" s="186"/>
      <c r="N604" s="186"/>
      <c r="O604" s="13" t="s">
        <v>17783</v>
      </c>
    </row>
    <row r="605" spans="1:15" ht="38.25" x14ac:dyDescent="0.2">
      <c r="A605" s="197" t="str">
        <f t="shared" si="9"/>
        <v>ChyCode_chan051X</v>
      </c>
      <c r="B605" s="409"/>
      <c r="C605" s="416"/>
      <c r="D605" s="198" t="s">
        <v>17789</v>
      </c>
      <c r="E605" s="198">
        <v>152</v>
      </c>
      <c r="F605" s="199" t="s">
        <v>17790</v>
      </c>
      <c r="G605" s="1" t="s">
        <v>18903</v>
      </c>
      <c r="H605" s="1" t="s">
        <v>16716</v>
      </c>
      <c r="I605" s="346"/>
      <c r="J605" s="39">
        <v>116775</v>
      </c>
      <c r="K605" s="36" t="str">
        <f>CONCATENATE(Cover!$D$6,"fdd/view?i=",J605)</f>
        <v>https://www.dgiwg.org/FAD/fdd/view?i=116775</v>
      </c>
      <c r="L605" s="36" t="s">
        <v>18904</v>
      </c>
      <c r="M605" s="186"/>
      <c r="N605" s="186"/>
      <c r="O605" s="13" t="s">
        <v>17788</v>
      </c>
    </row>
    <row r="606" spans="1:15" ht="38.25" x14ac:dyDescent="0.2">
      <c r="A606" s="197" t="str">
        <f t="shared" si="9"/>
        <v>ChyCode_chan051Y</v>
      </c>
      <c r="B606" s="409"/>
      <c r="C606" s="416"/>
      <c r="D606" s="198" t="s">
        <v>17794</v>
      </c>
      <c r="E606" s="198">
        <v>153</v>
      </c>
      <c r="F606" s="199" t="s">
        <v>17795</v>
      </c>
      <c r="G606" s="1" t="s">
        <v>18905</v>
      </c>
      <c r="H606" s="1" t="s">
        <v>16716</v>
      </c>
      <c r="I606" s="346"/>
      <c r="J606" s="39">
        <v>116776</v>
      </c>
      <c r="K606" s="36" t="str">
        <f>CONCATENATE(Cover!$D$6,"fdd/view?i=",J606)</f>
        <v>https://www.dgiwg.org/FAD/fdd/view?i=116776</v>
      </c>
      <c r="L606" s="36" t="s">
        <v>18906</v>
      </c>
      <c r="M606" s="186"/>
      <c r="N606" s="186"/>
      <c r="O606" s="13" t="s">
        <v>17793</v>
      </c>
    </row>
    <row r="607" spans="1:15" ht="38.25" x14ac:dyDescent="0.2">
      <c r="A607" s="197" t="str">
        <f t="shared" si="9"/>
        <v>ChyCode_chan051Z</v>
      </c>
      <c r="B607" s="409"/>
      <c r="C607" s="416"/>
      <c r="D607" s="198" t="s">
        <v>17799</v>
      </c>
      <c r="E607" s="198">
        <v>154</v>
      </c>
      <c r="F607" s="199" t="s">
        <v>17800</v>
      </c>
      <c r="G607" s="1" t="s">
        <v>18907</v>
      </c>
      <c r="H607" s="1" t="s">
        <v>16716</v>
      </c>
      <c r="I607" s="346"/>
      <c r="J607" s="39">
        <v>116777</v>
      </c>
      <c r="K607" s="36" t="str">
        <f>CONCATENATE(Cover!$D$6,"fdd/view?i=",J607)</f>
        <v>https://www.dgiwg.org/FAD/fdd/view?i=116777</v>
      </c>
      <c r="L607" s="36" t="s">
        <v>18908</v>
      </c>
      <c r="M607" s="186"/>
      <c r="N607" s="186"/>
      <c r="O607" s="13" t="s">
        <v>17798</v>
      </c>
    </row>
    <row r="608" spans="1:15" ht="38.25" x14ac:dyDescent="0.2">
      <c r="A608" s="197" t="str">
        <f t="shared" si="9"/>
        <v>ChyCode_chan052W</v>
      </c>
      <c r="B608" s="409"/>
      <c r="C608" s="416"/>
      <c r="D608" s="198" t="s">
        <v>17804</v>
      </c>
      <c r="E608" s="198">
        <v>155</v>
      </c>
      <c r="F608" s="199" t="s">
        <v>17805</v>
      </c>
      <c r="G608" s="1" t="s">
        <v>18909</v>
      </c>
      <c r="H608" s="1" t="s">
        <v>16716</v>
      </c>
      <c r="I608" s="346"/>
      <c r="J608" s="39">
        <v>116778</v>
      </c>
      <c r="K608" s="36" t="str">
        <f>CONCATENATE(Cover!$D$6,"fdd/view?i=",J608)</f>
        <v>https://www.dgiwg.org/FAD/fdd/view?i=116778</v>
      </c>
      <c r="L608" s="36" t="s">
        <v>18910</v>
      </c>
      <c r="M608" s="186"/>
      <c r="N608" s="186"/>
      <c r="O608" s="13" t="s">
        <v>17803</v>
      </c>
    </row>
    <row r="609" spans="1:15" ht="38.25" x14ac:dyDescent="0.2">
      <c r="A609" s="197" t="str">
        <f t="shared" si="9"/>
        <v>ChyCode_chan052X</v>
      </c>
      <c r="B609" s="409"/>
      <c r="C609" s="416"/>
      <c r="D609" s="198" t="s">
        <v>17809</v>
      </c>
      <c r="E609" s="198">
        <v>156</v>
      </c>
      <c r="F609" s="199" t="s">
        <v>17810</v>
      </c>
      <c r="G609" s="1" t="s">
        <v>18911</v>
      </c>
      <c r="H609" s="1" t="s">
        <v>16716</v>
      </c>
      <c r="I609" s="346"/>
      <c r="J609" s="39">
        <v>116779</v>
      </c>
      <c r="K609" s="36" t="str">
        <f>CONCATENATE(Cover!$D$6,"fdd/view?i=",J609)</f>
        <v>https://www.dgiwg.org/FAD/fdd/view?i=116779</v>
      </c>
      <c r="L609" s="36" t="s">
        <v>18912</v>
      </c>
      <c r="M609" s="186"/>
      <c r="N609" s="186"/>
      <c r="O609" s="13" t="s">
        <v>17808</v>
      </c>
    </row>
    <row r="610" spans="1:15" ht="38.25" x14ac:dyDescent="0.2">
      <c r="A610" s="197" t="str">
        <f t="shared" si="9"/>
        <v>ChyCode_chan052Y</v>
      </c>
      <c r="B610" s="409"/>
      <c r="C610" s="416"/>
      <c r="D610" s="198" t="s">
        <v>17814</v>
      </c>
      <c r="E610" s="198">
        <v>157</v>
      </c>
      <c r="F610" s="199" t="s">
        <v>17815</v>
      </c>
      <c r="G610" s="1" t="s">
        <v>18913</v>
      </c>
      <c r="H610" s="1" t="s">
        <v>16716</v>
      </c>
      <c r="I610" s="346"/>
      <c r="J610" s="39">
        <v>116780</v>
      </c>
      <c r="K610" s="36" t="str">
        <f>CONCATENATE(Cover!$D$6,"fdd/view?i=",J610)</f>
        <v>https://www.dgiwg.org/FAD/fdd/view?i=116780</v>
      </c>
      <c r="L610" s="36" t="s">
        <v>18914</v>
      </c>
      <c r="M610" s="186"/>
      <c r="N610" s="186"/>
      <c r="O610" s="13" t="s">
        <v>17813</v>
      </c>
    </row>
    <row r="611" spans="1:15" ht="38.25" x14ac:dyDescent="0.2">
      <c r="A611" s="197" t="str">
        <f t="shared" si="9"/>
        <v>ChyCode_chan052Z</v>
      </c>
      <c r="B611" s="409"/>
      <c r="C611" s="416"/>
      <c r="D611" s="198" t="s">
        <v>17819</v>
      </c>
      <c r="E611" s="198">
        <v>158</v>
      </c>
      <c r="F611" s="199" t="s">
        <v>17820</v>
      </c>
      <c r="G611" s="1" t="s">
        <v>18915</v>
      </c>
      <c r="H611" s="1" t="s">
        <v>16716</v>
      </c>
      <c r="I611" s="346"/>
      <c r="J611" s="39">
        <v>116781</v>
      </c>
      <c r="K611" s="36" t="str">
        <f>CONCATENATE(Cover!$D$6,"fdd/view?i=",J611)</f>
        <v>https://www.dgiwg.org/FAD/fdd/view?i=116781</v>
      </c>
      <c r="L611" s="36" t="s">
        <v>18916</v>
      </c>
      <c r="M611" s="186"/>
      <c r="N611" s="186"/>
      <c r="O611" s="13" t="s">
        <v>17818</v>
      </c>
    </row>
    <row r="612" spans="1:15" ht="38.25" x14ac:dyDescent="0.2">
      <c r="A612" s="197" t="str">
        <f t="shared" si="9"/>
        <v>ChyCode_chan053X</v>
      </c>
      <c r="B612" s="409"/>
      <c r="C612" s="416"/>
      <c r="D612" s="198" t="s">
        <v>17824</v>
      </c>
      <c r="E612" s="198">
        <v>159</v>
      </c>
      <c r="F612" s="199" t="s">
        <v>17825</v>
      </c>
      <c r="G612" s="1" t="s">
        <v>18917</v>
      </c>
      <c r="H612" s="1" t="s">
        <v>16716</v>
      </c>
      <c r="I612" s="346"/>
      <c r="J612" s="39">
        <v>116782</v>
      </c>
      <c r="K612" s="36" t="str">
        <f>CONCATENATE(Cover!$D$6,"fdd/view?i=",J612)</f>
        <v>https://www.dgiwg.org/FAD/fdd/view?i=116782</v>
      </c>
      <c r="L612" s="36" t="s">
        <v>18918</v>
      </c>
      <c r="M612" s="186"/>
      <c r="N612" s="186"/>
      <c r="O612" s="13" t="s">
        <v>17823</v>
      </c>
    </row>
    <row r="613" spans="1:15" ht="38.25" x14ac:dyDescent="0.2">
      <c r="A613" s="197" t="str">
        <f t="shared" si="9"/>
        <v>ChyCode_chan053Y</v>
      </c>
      <c r="B613" s="409"/>
      <c r="C613" s="416"/>
      <c r="D613" s="198" t="s">
        <v>17829</v>
      </c>
      <c r="E613" s="198">
        <v>160</v>
      </c>
      <c r="F613" s="199" t="s">
        <v>17830</v>
      </c>
      <c r="G613" s="1" t="s">
        <v>18919</v>
      </c>
      <c r="H613" s="1" t="s">
        <v>16716</v>
      </c>
      <c r="I613" s="346"/>
      <c r="J613" s="39">
        <v>116783</v>
      </c>
      <c r="K613" s="36" t="str">
        <f>CONCATENATE(Cover!$D$6,"fdd/view?i=",J613)</f>
        <v>https://www.dgiwg.org/FAD/fdd/view?i=116783</v>
      </c>
      <c r="L613" s="36" t="s">
        <v>18920</v>
      </c>
      <c r="M613" s="186"/>
      <c r="N613" s="186"/>
      <c r="O613" s="13" t="s">
        <v>17828</v>
      </c>
    </row>
    <row r="614" spans="1:15" ht="38.25" x14ac:dyDescent="0.2">
      <c r="A614" s="197" t="str">
        <f t="shared" si="9"/>
        <v>ChyCode_chan053Z</v>
      </c>
      <c r="B614" s="409"/>
      <c r="C614" s="416"/>
      <c r="D614" s="198" t="s">
        <v>17834</v>
      </c>
      <c r="E614" s="198">
        <v>161</v>
      </c>
      <c r="F614" s="199" t="s">
        <v>17835</v>
      </c>
      <c r="G614" s="1" t="s">
        <v>18921</v>
      </c>
      <c r="H614" s="1" t="s">
        <v>16716</v>
      </c>
      <c r="I614" s="346"/>
      <c r="J614" s="39">
        <v>116784</v>
      </c>
      <c r="K614" s="36" t="str">
        <f>CONCATENATE(Cover!$D$6,"fdd/view?i=",J614)</f>
        <v>https://www.dgiwg.org/FAD/fdd/view?i=116784</v>
      </c>
      <c r="L614" s="36" t="s">
        <v>18922</v>
      </c>
      <c r="M614" s="186"/>
      <c r="N614" s="186"/>
      <c r="O614" s="13" t="s">
        <v>17833</v>
      </c>
    </row>
    <row r="615" spans="1:15" ht="38.25" x14ac:dyDescent="0.2">
      <c r="A615" s="197" t="str">
        <f t="shared" si="9"/>
        <v>ChyCode_chan054W</v>
      </c>
      <c r="B615" s="409"/>
      <c r="C615" s="416"/>
      <c r="D615" s="198" t="s">
        <v>17839</v>
      </c>
      <c r="E615" s="198">
        <v>162</v>
      </c>
      <c r="F615" s="199" t="s">
        <v>17840</v>
      </c>
      <c r="G615" s="1" t="s">
        <v>18923</v>
      </c>
      <c r="H615" s="1" t="s">
        <v>16716</v>
      </c>
      <c r="I615" s="346"/>
      <c r="J615" s="39">
        <v>116785</v>
      </c>
      <c r="K615" s="36" t="str">
        <f>CONCATENATE(Cover!$D$6,"fdd/view?i=",J615)</f>
        <v>https://www.dgiwg.org/FAD/fdd/view?i=116785</v>
      </c>
      <c r="L615" s="36" t="s">
        <v>18924</v>
      </c>
      <c r="M615" s="186"/>
      <c r="N615" s="186"/>
      <c r="O615" s="13" t="s">
        <v>17838</v>
      </c>
    </row>
    <row r="616" spans="1:15" ht="38.25" x14ac:dyDescent="0.2">
      <c r="A616" s="197" t="str">
        <f t="shared" si="9"/>
        <v>ChyCode_chan054X</v>
      </c>
      <c r="B616" s="409"/>
      <c r="C616" s="416"/>
      <c r="D616" s="198" t="s">
        <v>17844</v>
      </c>
      <c r="E616" s="198">
        <v>163</v>
      </c>
      <c r="F616" s="199" t="s">
        <v>17845</v>
      </c>
      <c r="G616" s="1" t="s">
        <v>18925</v>
      </c>
      <c r="H616" s="1" t="s">
        <v>16716</v>
      </c>
      <c r="I616" s="346"/>
      <c r="J616" s="39">
        <v>116786</v>
      </c>
      <c r="K616" s="36" t="str">
        <f>CONCATENATE(Cover!$D$6,"fdd/view?i=",J616)</f>
        <v>https://www.dgiwg.org/FAD/fdd/view?i=116786</v>
      </c>
      <c r="L616" s="36" t="s">
        <v>18926</v>
      </c>
      <c r="M616" s="186"/>
      <c r="N616" s="186"/>
      <c r="O616" s="13" t="s">
        <v>17843</v>
      </c>
    </row>
    <row r="617" spans="1:15" ht="38.25" x14ac:dyDescent="0.2">
      <c r="A617" s="197" t="str">
        <f t="shared" si="9"/>
        <v>ChyCode_chan054Y</v>
      </c>
      <c r="B617" s="409"/>
      <c r="C617" s="416"/>
      <c r="D617" s="198" t="s">
        <v>17849</v>
      </c>
      <c r="E617" s="198">
        <v>164</v>
      </c>
      <c r="F617" s="199" t="s">
        <v>17850</v>
      </c>
      <c r="G617" s="1" t="s">
        <v>18927</v>
      </c>
      <c r="H617" s="1" t="s">
        <v>16716</v>
      </c>
      <c r="I617" s="346"/>
      <c r="J617" s="39">
        <v>116787</v>
      </c>
      <c r="K617" s="36" t="str">
        <f>CONCATENATE(Cover!$D$6,"fdd/view?i=",J617)</f>
        <v>https://www.dgiwg.org/FAD/fdd/view?i=116787</v>
      </c>
      <c r="L617" s="36" t="s">
        <v>18928</v>
      </c>
      <c r="M617" s="186"/>
      <c r="N617" s="186"/>
      <c r="O617" s="13" t="s">
        <v>17848</v>
      </c>
    </row>
    <row r="618" spans="1:15" ht="38.25" x14ac:dyDescent="0.2">
      <c r="A618" s="197" t="str">
        <f t="shared" si="9"/>
        <v>ChyCode_chan054Z</v>
      </c>
      <c r="B618" s="409"/>
      <c r="C618" s="416"/>
      <c r="D618" s="198" t="s">
        <v>17854</v>
      </c>
      <c r="E618" s="198">
        <v>165</v>
      </c>
      <c r="F618" s="199" t="s">
        <v>17855</v>
      </c>
      <c r="G618" s="1" t="s">
        <v>18929</v>
      </c>
      <c r="H618" s="1" t="s">
        <v>16716</v>
      </c>
      <c r="I618" s="346"/>
      <c r="J618" s="39">
        <v>116788</v>
      </c>
      <c r="K618" s="36" t="str">
        <f>CONCATENATE(Cover!$D$6,"fdd/view?i=",J618)</f>
        <v>https://www.dgiwg.org/FAD/fdd/view?i=116788</v>
      </c>
      <c r="L618" s="36" t="s">
        <v>18930</v>
      </c>
      <c r="M618" s="186"/>
      <c r="N618" s="186"/>
      <c r="O618" s="13" t="s">
        <v>17853</v>
      </c>
    </row>
    <row r="619" spans="1:15" ht="38.25" x14ac:dyDescent="0.2">
      <c r="A619" s="197" t="str">
        <f t="shared" si="9"/>
        <v>ChyCode_chan055X</v>
      </c>
      <c r="B619" s="409"/>
      <c r="C619" s="416"/>
      <c r="D619" s="198" t="s">
        <v>17859</v>
      </c>
      <c r="E619" s="198">
        <v>166</v>
      </c>
      <c r="F619" s="199" t="s">
        <v>17860</v>
      </c>
      <c r="G619" s="1" t="s">
        <v>18931</v>
      </c>
      <c r="H619" s="1" t="s">
        <v>16716</v>
      </c>
      <c r="I619" s="346"/>
      <c r="J619" s="39">
        <v>116789</v>
      </c>
      <c r="K619" s="36" t="str">
        <f>CONCATENATE(Cover!$D$6,"fdd/view?i=",J619)</f>
        <v>https://www.dgiwg.org/FAD/fdd/view?i=116789</v>
      </c>
      <c r="L619" s="36" t="s">
        <v>18932</v>
      </c>
      <c r="M619" s="186"/>
      <c r="N619" s="186"/>
      <c r="O619" s="13" t="s">
        <v>17858</v>
      </c>
    </row>
    <row r="620" spans="1:15" ht="38.25" x14ac:dyDescent="0.2">
      <c r="A620" s="197" t="str">
        <f t="shared" si="9"/>
        <v>ChyCode_chan055Y</v>
      </c>
      <c r="B620" s="409"/>
      <c r="C620" s="416"/>
      <c r="D620" s="198" t="s">
        <v>17864</v>
      </c>
      <c r="E620" s="198">
        <v>167</v>
      </c>
      <c r="F620" s="199" t="s">
        <v>17865</v>
      </c>
      <c r="G620" s="1" t="s">
        <v>18933</v>
      </c>
      <c r="H620" s="1" t="s">
        <v>16716</v>
      </c>
      <c r="I620" s="346"/>
      <c r="J620" s="39">
        <v>116790</v>
      </c>
      <c r="K620" s="36" t="str">
        <f>CONCATENATE(Cover!$D$6,"fdd/view?i=",J620)</f>
        <v>https://www.dgiwg.org/FAD/fdd/view?i=116790</v>
      </c>
      <c r="L620" s="36" t="s">
        <v>18934</v>
      </c>
      <c r="M620" s="186"/>
      <c r="N620" s="186"/>
      <c r="O620" s="13" t="s">
        <v>17863</v>
      </c>
    </row>
    <row r="621" spans="1:15" ht="38.25" x14ac:dyDescent="0.2">
      <c r="A621" s="197" t="str">
        <f t="shared" si="9"/>
        <v>ChyCode_chan055Z</v>
      </c>
      <c r="B621" s="409"/>
      <c r="C621" s="416"/>
      <c r="D621" s="198" t="s">
        <v>17869</v>
      </c>
      <c r="E621" s="198">
        <v>168</v>
      </c>
      <c r="F621" s="199" t="s">
        <v>17870</v>
      </c>
      <c r="G621" s="1" t="s">
        <v>18935</v>
      </c>
      <c r="H621" s="1" t="s">
        <v>16716</v>
      </c>
      <c r="I621" s="346"/>
      <c r="J621" s="39">
        <v>116791</v>
      </c>
      <c r="K621" s="36" t="str">
        <f>CONCATENATE(Cover!$D$6,"fdd/view?i=",J621)</f>
        <v>https://www.dgiwg.org/FAD/fdd/view?i=116791</v>
      </c>
      <c r="L621" s="36" t="s">
        <v>18936</v>
      </c>
      <c r="M621" s="186"/>
      <c r="N621" s="186"/>
      <c r="O621" s="13" t="s">
        <v>17868</v>
      </c>
    </row>
    <row r="622" spans="1:15" ht="38.25" x14ac:dyDescent="0.2">
      <c r="A622" s="197" t="str">
        <f t="shared" si="9"/>
        <v>ChyCode_chan056W</v>
      </c>
      <c r="B622" s="409"/>
      <c r="C622" s="416"/>
      <c r="D622" s="198" t="s">
        <v>17874</v>
      </c>
      <c r="E622" s="198">
        <v>169</v>
      </c>
      <c r="F622" s="199" t="s">
        <v>17875</v>
      </c>
      <c r="G622" s="1" t="s">
        <v>18937</v>
      </c>
      <c r="H622" s="1" t="s">
        <v>16716</v>
      </c>
      <c r="I622" s="346"/>
      <c r="J622" s="39">
        <v>116792</v>
      </c>
      <c r="K622" s="36" t="str">
        <f>CONCATENATE(Cover!$D$6,"fdd/view?i=",J622)</f>
        <v>https://www.dgiwg.org/FAD/fdd/view?i=116792</v>
      </c>
      <c r="L622" s="36" t="s">
        <v>18938</v>
      </c>
      <c r="M622" s="186"/>
      <c r="N622" s="186"/>
      <c r="O622" s="13" t="s">
        <v>17873</v>
      </c>
    </row>
    <row r="623" spans="1:15" ht="38.25" x14ac:dyDescent="0.2">
      <c r="A623" s="197" t="str">
        <f t="shared" si="9"/>
        <v>ChyCode_chan056X</v>
      </c>
      <c r="B623" s="409"/>
      <c r="C623" s="416"/>
      <c r="D623" s="198" t="s">
        <v>17879</v>
      </c>
      <c r="E623" s="198">
        <v>170</v>
      </c>
      <c r="F623" s="199" t="s">
        <v>17880</v>
      </c>
      <c r="G623" s="1" t="s">
        <v>18939</v>
      </c>
      <c r="H623" s="1" t="s">
        <v>16716</v>
      </c>
      <c r="I623" s="346"/>
      <c r="J623" s="39">
        <v>116793</v>
      </c>
      <c r="K623" s="36" t="str">
        <f>CONCATENATE(Cover!$D$6,"fdd/view?i=",J623)</f>
        <v>https://www.dgiwg.org/FAD/fdd/view?i=116793</v>
      </c>
      <c r="L623" s="36" t="s">
        <v>18940</v>
      </c>
      <c r="M623" s="186"/>
      <c r="N623" s="186"/>
      <c r="O623" s="13" t="s">
        <v>17878</v>
      </c>
    </row>
    <row r="624" spans="1:15" ht="38.25" x14ac:dyDescent="0.2">
      <c r="A624" s="197" t="str">
        <f t="shared" si="9"/>
        <v>ChyCode_chan056Y</v>
      </c>
      <c r="B624" s="409"/>
      <c r="C624" s="416"/>
      <c r="D624" s="198" t="s">
        <v>17884</v>
      </c>
      <c r="E624" s="198">
        <v>171</v>
      </c>
      <c r="F624" s="199" t="s">
        <v>17885</v>
      </c>
      <c r="G624" s="1" t="s">
        <v>18941</v>
      </c>
      <c r="H624" s="1" t="s">
        <v>16716</v>
      </c>
      <c r="I624" s="346"/>
      <c r="J624" s="39">
        <v>116794</v>
      </c>
      <c r="K624" s="36" t="str">
        <f>CONCATENATE(Cover!$D$6,"fdd/view?i=",J624)</f>
        <v>https://www.dgiwg.org/FAD/fdd/view?i=116794</v>
      </c>
      <c r="L624" s="36" t="s">
        <v>18942</v>
      </c>
      <c r="M624" s="186"/>
      <c r="N624" s="186"/>
      <c r="O624" s="13" t="s">
        <v>17883</v>
      </c>
    </row>
    <row r="625" spans="1:15" ht="38.25" x14ac:dyDescent="0.2">
      <c r="A625" s="197" t="str">
        <f t="shared" si="9"/>
        <v>ChyCode_chan056Z</v>
      </c>
      <c r="B625" s="409"/>
      <c r="C625" s="416"/>
      <c r="D625" s="198" t="s">
        <v>17889</v>
      </c>
      <c r="E625" s="198">
        <v>172</v>
      </c>
      <c r="F625" s="199" t="s">
        <v>17890</v>
      </c>
      <c r="G625" s="1" t="s">
        <v>18943</v>
      </c>
      <c r="H625" s="1" t="s">
        <v>16716</v>
      </c>
      <c r="I625" s="346"/>
      <c r="J625" s="39">
        <v>116795</v>
      </c>
      <c r="K625" s="36" t="str">
        <f>CONCATENATE(Cover!$D$6,"fdd/view?i=",J625)</f>
        <v>https://www.dgiwg.org/FAD/fdd/view?i=116795</v>
      </c>
      <c r="L625" s="36" t="s">
        <v>18944</v>
      </c>
      <c r="M625" s="186"/>
      <c r="N625" s="186"/>
      <c r="O625" s="13" t="s">
        <v>17888</v>
      </c>
    </row>
    <row r="626" spans="1:15" ht="38.25" x14ac:dyDescent="0.2">
      <c r="A626" s="197" t="str">
        <f t="shared" si="9"/>
        <v>ChyCode_chan057X</v>
      </c>
      <c r="B626" s="409"/>
      <c r="C626" s="416"/>
      <c r="D626" s="198" t="s">
        <v>17894</v>
      </c>
      <c r="E626" s="198">
        <v>173</v>
      </c>
      <c r="F626" s="199" t="s">
        <v>17895</v>
      </c>
      <c r="G626" s="1" t="s">
        <v>18945</v>
      </c>
      <c r="H626" s="1" t="s">
        <v>16716</v>
      </c>
      <c r="I626" s="346"/>
      <c r="J626" s="39">
        <v>116796</v>
      </c>
      <c r="K626" s="36" t="str">
        <f>CONCATENATE(Cover!$D$6,"fdd/view?i=",J626)</f>
        <v>https://www.dgiwg.org/FAD/fdd/view?i=116796</v>
      </c>
      <c r="L626" s="36" t="s">
        <v>18946</v>
      </c>
      <c r="M626" s="186"/>
      <c r="N626" s="186"/>
      <c r="O626" s="13" t="s">
        <v>17893</v>
      </c>
    </row>
    <row r="627" spans="1:15" ht="38.25" x14ac:dyDescent="0.2">
      <c r="A627" s="197" t="str">
        <f t="shared" si="9"/>
        <v>ChyCode_chan057Y</v>
      </c>
      <c r="B627" s="409"/>
      <c r="C627" s="416"/>
      <c r="D627" s="198" t="s">
        <v>17899</v>
      </c>
      <c r="E627" s="198">
        <v>174</v>
      </c>
      <c r="F627" s="199" t="s">
        <v>17900</v>
      </c>
      <c r="G627" s="1" t="s">
        <v>18947</v>
      </c>
      <c r="H627" s="1" t="s">
        <v>16716</v>
      </c>
      <c r="I627" s="346"/>
      <c r="J627" s="39">
        <v>116797</v>
      </c>
      <c r="K627" s="36" t="str">
        <f>CONCATENATE(Cover!$D$6,"fdd/view?i=",J627)</f>
        <v>https://www.dgiwg.org/FAD/fdd/view?i=116797</v>
      </c>
      <c r="L627" s="36" t="s">
        <v>18948</v>
      </c>
      <c r="M627" s="186"/>
      <c r="N627" s="186"/>
      <c r="O627" s="13" t="s">
        <v>17898</v>
      </c>
    </row>
    <row r="628" spans="1:15" ht="38.25" x14ac:dyDescent="0.2">
      <c r="A628" s="197" t="str">
        <f t="shared" si="9"/>
        <v>ChyCode_chan058X</v>
      </c>
      <c r="B628" s="409"/>
      <c r="C628" s="416"/>
      <c r="D628" s="198" t="s">
        <v>17904</v>
      </c>
      <c r="E628" s="198">
        <v>175</v>
      </c>
      <c r="F628" s="199" t="s">
        <v>17905</v>
      </c>
      <c r="G628" s="1" t="s">
        <v>18949</v>
      </c>
      <c r="H628" s="1" t="s">
        <v>16716</v>
      </c>
      <c r="I628" s="346"/>
      <c r="J628" s="39">
        <v>116798</v>
      </c>
      <c r="K628" s="36" t="str">
        <f>CONCATENATE(Cover!$D$6,"fdd/view?i=",J628)</f>
        <v>https://www.dgiwg.org/FAD/fdd/view?i=116798</v>
      </c>
      <c r="L628" s="36" t="s">
        <v>18950</v>
      </c>
      <c r="M628" s="186"/>
      <c r="N628" s="186"/>
      <c r="O628" s="13" t="s">
        <v>17903</v>
      </c>
    </row>
    <row r="629" spans="1:15" ht="38.25" x14ac:dyDescent="0.2">
      <c r="A629" s="197" t="str">
        <f t="shared" si="9"/>
        <v>ChyCode_chan058Y</v>
      </c>
      <c r="B629" s="409"/>
      <c r="C629" s="416"/>
      <c r="D629" s="198" t="s">
        <v>17909</v>
      </c>
      <c r="E629" s="198">
        <v>176</v>
      </c>
      <c r="F629" s="199" t="s">
        <v>17910</v>
      </c>
      <c r="G629" s="1" t="s">
        <v>18951</v>
      </c>
      <c r="H629" s="1" t="s">
        <v>16716</v>
      </c>
      <c r="I629" s="346"/>
      <c r="J629" s="39">
        <v>116799</v>
      </c>
      <c r="K629" s="36" t="str">
        <f>CONCATENATE(Cover!$D$6,"fdd/view?i=",J629)</f>
        <v>https://www.dgiwg.org/FAD/fdd/view?i=116799</v>
      </c>
      <c r="L629" s="36" t="s">
        <v>18952</v>
      </c>
      <c r="M629" s="186"/>
      <c r="N629" s="186"/>
      <c r="O629" s="13" t="s">
        <v>17908</v>
      </c>
    </row>
    <row r="630" spans="1:15" ht="38.25" x14ac:dyDescent="0.2">
      <c r="A630" s="197" t="str">
        <f t="shared" si="9"/>
        <v>ChyCode_chan059X</v>
      </c>
      <c r="B630" s="409"/>
      <c r="C630" s="416"/>
      <c r="D630" s="198" t="s">
        <v>17914</v>
      </c>
      <c r="E630" s="198">
        <v>177</v>
      </c>
      <c r="F630" s="199" t="s">
        <v>17915</v>
      </c>
      <c r="G630" s="1" t="s">
        <v>18953</v>
      </c>
      <c r="H630" s="1" t="s">
        <v>16716</v>
      </c>
      <c r="I630" s="346"/>
      <c r="J630" s="39">
        <v>116800</v>
      </c>
      <c r="K630" s="36" t="str">
        <f>CONCATENATE(Cover!$D$6,"fdd/view?i=",J630)</f>
        <v>https://www.dgiwg.org/FAD/fdd/view?i=116800</v>
      </c>
      <c r="L630" s="36" t="s">
        <v>18954</v>
      </c>
      <c r="M630" s="186"/>
      <c r="N630" s="186"/>
      <c r="O630" s="13" t="s">
        <v>17913</v>
      </c>
    </row>
    <row r="631" spans="1:15" ht="38.25" x14ac:dyDescent="0.2">
      <c r="A631" s="197" t="str">
        <f t="shared" si="9"/>
        <v>ChyCode_chan059Y</v>
      </c>
      <c r="B631" s="409"/>
      <c r="C631" s="416"/>
      <c r="D631" s="198" t="s">
        <v>17919</v>
      </c>
      <c r="E631" s="198">
        <v>178</v>
      </c>
      <c r="F631" s="199" t="s">
        <v>17920</v>
      </c>
      <c r="G631" s="1" t="s">
        <v>18955</v>
      </c>
      <c r="H631" s="1" t="s">
        <v>16716</v>
      </c>
      <c r="I631" s="346"/>
      <c r="J631" s="39">
        <v>116801</v>
      </c>
      <c r="K631" s="36" t="str">
        <f>CONCATENATE(Cover!$D$6,"fdd/view?i=",J631)</f>
        <v>https://www.dgiwg.org/FAD/fdd/view?i=116801</v>
      </c>
      <c r="L631" s="36" t="s">
        <v>18956</v>
      </c>
      <c r="M631" s="186"/>
      <c r="N631" s="186"/>
      <c r="O631" s="13" t="s">
        <v>17918</v>
      </c>
    </row>
    <row r="632" spans="1:15" ht="38.25" x14ac:dyDescent="0.2">
      <c r="A632" s="197" t="str">
        <f t="shared" si="9"/>
        <v>ChyCode_chan060X</v>
      </c>
      <c r="B632" s="409"/>
      <c r="C632" s="416"/>
      <c r="D632" s="198" t="s">
        <v>17934</v>
      </c>
      <c r="E632" s="198">
        <v>179</v>
      </c>
      <c r="F632" s="199" t="s">
        <v>17935</v>
      </c>
      <c r="G632" s="1" t="s">
        <v>18961</v>
      </c>
      <c r="H632" s="1" t="s">
        <v>16716</v>
      </c>
      <c r="I632" s="346"/>
      <c r="J632" s="39">
        <v>116802</v>
      </c>
      <c r="K632" s="36" t="str">
        <f>CONCATENATE(Cover!$D$6,"fdd/view?i=",J632)</f>
        <v>https://www.dgiwg.org/FAD/fdd/view?i=116802</v>
      </c>
      <c r="L632" s="36" t="s">
        <v>18962</v>
      </c>
      <c r="M632" s="186"/>
      <c r="N632" s="186"/>
      <c r="O632" s="13" t="s">
        <v>17933</v>
      </c>
    </row>
    <row r="633" spans="1:15" ht="38.25" x14ac:dyDescent="0.2">
      <c r="A633" s="197" t="str">
        <f t="shared" si="9"/>
        <v>ChyCode_chan060Y</v>
      </c>
      <c r="B633" s="409"/>
      <c r="C633" s="416"/>
      <c r="D633" s="198" t="s">
        <v>17939</v>
      </c>
      <c r="E633" s="198">
        <v>180</v>
      </c>
      <c r="F633" s="199" t="s">
        <v>17940</v>
      </c>
      <c r="G633" s="1" t="s">
        <v>18963</v>
      </c>
      <c r="H633" s="1" t="s">
        <v>16716</v>
      </c>
      <c r="I633" s="346"/>
      <c r="J633" s="39">
        <v>116803</v>
      </c>
      <c r="K633" s="36" t="str">
        <f>CONCATENATE(Cover!$D$6,"fdd/view?i=",J633)</f>
        <v>https://www.dgiwg.org/FAD/fdd/view?i=116803</v>
      </c>
      <c r="L633" s="36" t="s">
        <v>18964</v>
      </c>
      <c r="M633" s="186"/>
      <c r="N633" s="186"/>
      <c r="O633" s="13" t="s">
        <v>17938</v>
      </c>
    </row>
    <row r="634" spans="1:15" ht="38.25" x14ac:dyDescent="0.2">
      <c r="A634" s="197" t="str">
        <f t="shared" si="9"/>
        <v>ChyCode_chan061X</v>
      </c>
      <c r="B634" s="409"/>
      <c r="C634" s="416"/>
      <c r="D634" s="198" t="s">
        <v>17944</v>
      </c>
      <c r="E634" s="198">
        <v>181</v>
      </c>
      <c r="F634" s="199" t="s">
        <v>17945</v>
      </c>
      <c r="G634" s="1" t="s">
        <v>18965</v>
      </c>
      <c r="H634" s="1" t="s">
        <v>16716</v>
      </c>
      <c r="I634" s="346"/>
      <c r="J634" s="39">
        <v>116804</v>
      </c>
      <c r="K634" s="36" t="str">
        <f>CONCATENATE(Cover!$D$6,"fdd/view?i=",J634)</f>
        <v>https://www.dgiwg.org/FAD/fdd/view?i=116804</v>
      </c>
      <c r="L634" s="36" t="s">
        <v>18966</v>
      </c>
      <c r="M634" s="186"/>
      <c r="N634" s="186"/>
      <c r="O634" s="13" t="s">
        <v>17943</v>
      </c>
    </row>
    <row r="635" spans="1:15" ht="38.25" x14ac:dyDescent="0.2">
      <c r="A635" s="197" t="str">
        <f t="shared" si="9"/>
        <v>ChyCode_chan061Y</v>
      </c>
      <c r="B635" s="409"/>
      <c r="C635" s="416"/>
      <c r="D635" s="198" t="s">
        <v>17949</v>
      </c>
      <c r="E635" s="198">
        <v>182</v>
      </c>
      <c r="F635" s="199" t="s">
        <v>17950</v>
      </c>
      <c r="G635" s="1" t="s">
        <v>18967</v>
      </c>
      <c r="H635" s="1" t="s">
        <v>16716</v>
      </c>
      <c r="I635" s="346"/>
      <c r="J635" s="39">
        <v>116805</v>
      </c>
      <c r="K635" s="36" t="str">
        <f>CONCATENATE(Cover!$D$6,"fdd/view?i=",J635)</f>
        <v>https://www.dgiwg.org/FAD/fdd/view?i=116805</v>
      </c>
      <c r="L635" s="36" t="s">
        <v>18968</v>
      </c>
      <c r="M635" s="186"/>
      <c r="N635" s="186"/>
      <c r="O635" s="13" t="s">
        <v>17948</v>
      </c>
    </row>
    <row r="636" spans="1:15" ht="38.25" x14ac:dyDescent="0.2">
      <c r="A636" s="197" t="str">
        <f t="shared" si="9"/>
        <v>ChyCode_chan062X</v>
      </c>
      <c r="B636" s="409"/>
      <c r="C636" s="416"/>
      <c r="D636" s="198" t="s">
        <v>17954</v>
      </c>
      <c r="E636" s="198">
        <v>183</v>
      </c>
      <c r="F636" s="199" t="s">
        <v>17955</v>
      </c>
      <c r="G636" s="1" t="s">
        <v>18969</v>
      </c>
      <c r="H636" s="1" t="s">
        <v>16716</v>
      </c>
      <c r="I636" s="346"/>
      <c r="J636" s="39">
        <v>116806</v>
      </c>
      <c r="K636" s="36" t="str">
        <f>CONCATENATE(Cover!$D$6,"fdd/view?i=",J636)</f>
        <v>https://www.dgiwg.org/FAD/fdd/view?i=116806</v>
      </c>
      <c r="L636" s="36" t="s">
        <v>18970</v>
      </c>
      <c r="M636" s="186"/>
      <c r="N636" s="186"/>
      <c r="O636" s="13" t="s">
        <v>17953</v>
      </c>
    </row>
    <row r="637" spans="1:15" ht="38.25" x14ac:dyDescent="0.2">
      <c r="A637" s="197" t="str">
        <f t="shared" si="9"/>
        <v>ChyCode_chan062Y</v>
      </c>
      <c r="B637" s="409"/>
      <c r="C637" s="416"/>
      <c r="D637" s="198" t="s">
        <v>17959</v>
      </c>
      <c r="E637" s="198">
        <v>184</v>
      </c>
      <c r="F637" s="199" t="s">
        <v>17960</v>
      </c>
      <c r="G637" s="1" t="s">
        <v>18971</v>
      </c>
      <c r="H637" s="1" t="s">
        <v>16716</v>
      </c>
      <c r="I637" s="346"/>
      <c r="J637" s="39">
        <v>116807</v>
      </c>
      <c r="K637" s="36" t="str">
        <f>CONCATENATE(Cover!$D$6,"fdd/view?i=",J637)</f>
        <v>https://www.dgiwg.org/FAD/fdd/view?i=116807</v>
      </c>
      <c r="L637" s="36" t="s">
        <v>18972</v>
      </c>
      <c r="M637" s="186"/>
      <c r="N637" s="186"/>
      <c r="O637" s="13" t="s">
        <v>17958</v>
      </c>
    </row>
    <row r="638" spans="1:15" ht="38.25" x14ac:dyDescent="0.2">
      <c r="A638" s="197" t="str">
        <f t="shared" si="9"/>
        <v>ChyCode_chan063X</v>
      </c>
      <c r="B638" s="409"/>
      <c r="C638" s="416"/>
      <c r="D638" s="198" t="s">
        <v>17964</v>
      </c>
      <c r="E638" s="198">
        <v>185</v>
      </c>
      <c r="F638" s="199" t="s">
        <v>17965</v>
      </c>
      <c r="G638" s="1" t="s">
        <v>18973</v>
      </c>
      <c r="H638" s="1" t="s">
        <v>16716</v>
      </c>
      <c r="I638" s="346"/>
      <c r="J638" s="39">
        <v>116808</v>
      </c>
      <c r="K638" s="36" t="str">
        <f>CONCATENATE(Cover!$D$6,"fdd/view?i=",J638)</f>
        <v>https://www.dgiwg.org/FAD/fdd/view?i=116808</v>
      </c>
      <c r="L638" s="36" t="s">
        <v>18974</v>
      </c>
      <c r="M638" s="186"/>
      <c r="N638" s="186"/>
      <c r="O638" s="13" t="s">
        <v>17963</v>
      </c>
    </row>
    <row r="639" spans="1:15" ht="38.25" x14ac:dyDescent="0.2">
      <c r="A639" s="197" t="str">
        <f t="shared" si="9"/>
        <v>ChyCode_chan063Y</v>
      </c>
      <c r="B639" s="409"/>
      <c r="C639" s="416"/>
      <c r="D639" s="198" t="s">
        <v>17969</v>
      </c>
      <c r="E639" s="198">
        <v>186</v>
      </c>
      <c r="F639" s="199" t="s">
        <v>17970</v>
      </c>
      <c r="G639" s="1" t="s">
        <v>18975</v>
      </c>
      <c r="H639" s="1" t="s">
        <v>16716</v>
      </c>
      <c r="I639" s="346"/>
      <c r="J639" s="39">
        <v>116809</v>
      </c>
      <c r="K639" s="36" t="str">
        <f>CONCATENATE(Cover!$D$6,"fdd/view?i=",J639)</f>
        <v>https://www.dgiwg.org/FAD/fdd/view?i=116809</v>
      </c>
      <c r="L639" s="36" t="s">
        <v>18976</v>
      </c>
      <c r="M639" s="186"/>
      <c r="N639" s="186"/>
      <c r="O639" s="13" t="s">
        <v>17968</v>
      </c>
    </row>
    <row r="640" spans="1:15" ht="38.25" x14ac:dyDescent="0.2">
      <c r="A640" s="197" t="str">
        <f t="shared" si="9"/>
        <v>ChyCode_chan064X</v>
      </c>
      <c r="B640" s="409"/>
      <c r="C640" s="416"/>
      <c r="D640" s="198" t="s">
        <v>17974</v>
      </c>
      <c r="E640" s="198">
        <v>187</v>
      </c>
      <c r="F640" s="199" t="s">
        <v>17975</v>
      </c>
      <c r="G640" s="1" t="s">
        <v>18977</v>
      </c>
      <c r="H640" s="1" t="s">
        <v>16716</v>
      </c>
      <c r="I640" s="346"/>
      <c r="J640" s="39">
        <v>116810</v>
      </c>
      <c r="K640" s="36" t="str">
        <f>CONCATENATE(Cover!$D$6,"fdd/view?i=",J640)</f>
        <v>https://www.dgiwg.org/FAD/fdd/view?i=116810</v>
      </c>
      <c r="L640" s="36" t="s">
        <v>18978</v>
      </c>
      <c r="M640" s="186"/>
      <c r="N640" s="186"/>
      <c r="O640" s="13" t="s">
        <v>17973</v>
      </c>
    </row>
    <row r="641" spans="1:15" ht="38.25" x14ac:dyDescent="0.2">
      <c r="A641" s="197" t="str">
        <f t="shared" si="9"/>
        <v>ChyCode_chan064Y</v>
      </c>
      <c r="B641" s="409"/>
      <c r="C641" s="416"/>
      <c r="D641" s="198" t="s">
        <v>17979</v>
      </c>
      <c r="E641" s="198">
        <v>188</v>
      </c>
      <c r="F641" s="199" t="s">
        <v>17980</v>
      </c>
      <c r="G641" s="1" t="s">
        <v>18979</v>
      </c>
      <c r="H641" s="1" t="s">
        <v>16716</v>
      </c>
      <c r="I641" s="346"/>
      <c r="J641" s="39">
        <v>116811</v>
      </c>
      <c r="K641" s="36" t="str">
        <f>CONCATENATE(Cover!$D$6,"fdd/view?i=",J641)</f>
        <v>https://www.dgiwg.org/FAD/fdd/view?i=116811</v>
      </c>
      <c r="L641" s="36" t="s">
        <v>18980</v>
      </c>
      <c r="M641" s="186"/>
      <c r="N641" s="186"/>
      <c r="O641" s="13" t="s">
        <v>17978</v>
      </c>
    </row>
    <row r="642" spans="1:15" ht="38.25" x14ac:dyDescent="0.2">
      <c r="A642" s="197" t="str">
        <f t="shared" ref="A642:A705" si="10">HYPERLINK(K642,L642)</f>
        <v>ChyCode_chan065X</v>
      </c>
      <c r="B642" s="409"/>
      <c r="C642" s="416"/>
      <c r="D642" s="198" t="s">
        <v>17984</v>
      </c>
      <c r="E642" s="198">
        <v>189</v>
      </c>
      <c r="F642" s="199" t="s">
        <v>17985</v>
      </c>
      <c r="G642" s="1" t="s">
        <v>18981</v>
      </c>
      <c r="H642" s="1" t="s">
        <v>16716</v>
      </c>
      <c r="I642" s="346"/>
      <c r="J642" s="39">
        <v>116812</v>
      </c>
      <c r="K642" s="36" t="str">
        <f>CONCATENATE(Cover!$D$6,"fdd/view?i=",J642)</f>
        <v>https://www.dgiwg.org/FAD/fdd/view?i=116812</v>
      </c>
      <c r="L642" s="36" t="s">
        <v>18982</v>
      </c>
      <c r="M642" s="186"/>
      <c r="N642" s="186"/>
      <c r="O642" s="13" t="s">
        <v>17983</v>
      </c>
    </row>
    <row r="643" spans="1:15" ht="38.25" x14ac:dyDescent="0.2">
      <c r="A643" s="197" t="str">
        <f t="shared" si="10"/>
        <v>ChyCode_chan065Y</v>
      </c>
      <c r="B643" s="409"/>
      <c r="C643" s="416"/>
      <c r="D643" s="198" t="s">
        <v>17989</v>
      </c>
      <c r="E643" s="198">
        <v>190</v>
      </c>
      <c r="F643" s="199" t="s">
        <v>17990</v>
      </c>
      <c r="G643" s="1" t="s">
        <v>18983</v>
      </c>
      <c r="H643" s="1" t="s">
        <v>16716</v>
      </c>
      <c r="I643" s="346"/>
      <c r="J643" s="39">
        <v>116813</v>
      </c>
      <c r="K643" s="36" t="str">
        <f>CONCATENATE(Cover!$D$6,"fdd/view?i=",J643)</f>
        <v>https://www.dgiwg.org/FAD/fdd/view?i=116813</v>
      </c>
      <c r="L643" s="36" t="s">
        <v>18984</v>
      </c>
      <c r="M643" s="186"/>
      <c r="N643" s="186"/>
      <c r="O643" s="13" t="s">
        <v>17988</v>
      </c>
    </row>
    <row r="644" spans="1:15" ht="38.25" x14ac:dyDescent="0.2">
      <c r="A644" s="197" t="str">
        <f t="shared" si="10"/>
        <v>ChyCode_chan066X</v>
      </c>
      <c r="B644" s="409"/>
      <c r="C644" s="416"/>
      <c r="D644" s="198" t="s">
        <v>17994</v>
      </c>
      <c r="E644" s="198">
        <v>191</v>
      </c>
      <c r="F644" s="199" t="s">
        <v>17995</v>
      </c>
      <c r="G644" s="1" t="s">
        <v>18985</v>
      </c>
      <c r="H644" s="1" t="s">
        <v>16716</v>
      </c>
      <c r="I644" s="346"/>
      <c r="J644" s="39">
        <v>116814</v>
      </c>
      <c r="K644" s="36" t="str">
        <f>CONCATENATE(Cover!$D$6,"fdd/view?i=",J644)</f>
        <v>https://www.dgiwg.org/FAD/fdd/view?i=116814</v>
      </c>
      <c r="L644" s="36" t="s">
        <v>18986</v>
      </c>
      <c r="M644" s="186"/>
      <c r="N644" s="186"/>
      <c r="O644" s="13" t="s">
        <v>17993</v>
      </c>
    </row>
    <row r="645" spans="1:15" ht="38.25" x14ac:dyDescent="0.2">
      <c r="A645" s="197" t="str">
        <f t="shared" si="10"/>
        <v>ChyCode_chan066Y</v>
      </c>
      <c r="B645" s="409"/>
      <c r="C645" s="416"/>
      <c r="D645" s="198" t="s">
        <v>17999</v>
      </c>
      <c r="E645" s="198">
        <v>192</v>
      </c>
      <c r="F645" s="199" t="s">
        <v>18000</v>
      </c>
      <c r="G645" s="1" t="s">
        <v>18987</v>
      </c>
      <c r="H645" s="1" t="s">
        <v>16716</v>
      </c>
      <c r="I645" s="346"/>
      <c r="J645" s="39">
        <v>116815</v>
      </c>
      <c r="K645" s="36" t="str">
        <f>CONCATENATE(Cover!$D$6,"fdd/view?i=",J645)</f>
        <v>https://www.dgiwg.org/FAD/fdd/view?i=116815</v>
      </c>
      <c r="L645" s="36" t="s">
        <v>18988</v>
      </c>
      <c r="M645" s="186"/>
      <c r="N645" s="186"/>
      <c r="O645" s="13" t="s">
        <v>17998</v>
      </c>
    </row>
    <row r="646" spans="1:15" ht="38.25" x14ac:dyDescent="0.2">
      <c r="A646" s="197" t="str">
        <f t="shared" si="10"/>
        <v>ChyCode_chan067X</v>
      </c>
      <c r="B646" s="409"/>
      <c r="C646" s="416"/>
      <c r="D646" s="198" t="s">
        <v>18004</v>
      </c>
      <c r="E646" s="198">
        <v>193</v>
      </c>
      <c r="F646" s="199" t="s">
        <v>18005</v>
      </c>
      <c r="G646" s="1" t="s">
        <v>18989</v>
      </c>
      <c r="H646" s="1" t="s">
        <v>16716</v>
      </c>
      <c r="I646" s="346"/>
      <c r="J646" s="39">
        <v>116816</v>
      </c>
      <c r="K646" s="36" t="str">
        <f>CONCATENATE(Cover!$D$6,"fdd/view?i=",J646)</f>
        <v>https://www.dgiwg.org/FAD/fdd/view?i=116816</v>
      </c>
      <c r="L646" s="36" t="s">
        <v>18990</v>
      </c>
      <c r="M646" s="186"/>
      <c r="N646" s="186"/>
      <c r="O646" s="13" t="s">
        <v>18003</v>
      </c>
    </row>
    <row r="647" spans="1:15" ht="38.25" x14ac:dyDescent="0.2">
      <c r="A647" s="197" t="str">
        <f t="shared" si="10"/>
        <v>ChyCode_chan067Y</v>
      </c>
      <c r="B647" s="409"/>
      <c r="C647" s="416"/>
      <c r="D647" s="198" t="s">
        <v>18009</v>
      </c>
      <c r="E647" s="198">
        <v>194</v>
      </c>
      <c r="F647" s="199" t="s">
        <v>18010</v>
      </c>
      <c r="G647" s="1" t="s">
        <v>18991</v>
      </c>
      <c r="H647" s="1" t="s">
        <v>16716</v>
      </c>
      <c r="I647" s="346"/>
      <c r="J647" s="39">
        <v>116817</v>
      </c>
      <c r="K647" s="36" t="str">
        <f>CONCATENATE(Cover!$D$6,"fdd/view?i=",J647)</f>
        <v>https://www.dgiwg.org/FAD/fdd/view?i=116817</v>
      </c>
      <c r="L647" s="36" t="s">
        <v>18992</v>
      </c>
      <c r="M647" s="186"/>
      <c r="N647" s="186"/>
      <c r="O647" s="13" t="s">
        <v>18008</v>
      </c>
    </row>
    <row r="648" spans="1:15" ht="38.25" x14ac:dyDescent="0.2">
      <c r="A648" s="197" t="str">
        <f t="shared" si="10"/>
        <v>ChyCode_chan068X</v>
      </c>
      <c r="B648" s="409"/>
      <c r="C648" s="416"/>
      <c r="D648" s="198" t="s">
        <v>18014</v>
      </c>
      <c r="E648" s="198">
        <v>195</v>
      </c>
      <c r="F648" s="199" t="s">
        <v>18015</v>
      </c>
      <c r="G648" s="1" t="s">
        <v>18993</v>
      </c>
      <c r="H648" s="1" t="s">
        <v>16716</v>
      </c>
      <c r="I648" s="346"/>
      <c r="J648" s="39">
        <v>116818</v>
      </c>
      <c r="K648" s="36" t="str">
        <f>CONCATENATE(Cover!$D$6,"fdd/view?i=",J648)</f>
        <v>https://www.dgiwg.org/FAD/fdd/view?i=116818</v>
      </c>
      <c r="L648" s="36" t="s">
        <v>18994</v>
      </c>
      <c r="M648" s="186"/>
      <c r="N648" s="186"/>
      <c r="O648" s="13" t="s">
        <v>18013</v>
      </c>
    </row>
    <row r="649" spans="1:15" ht="38.25" x14ac:dyDescent="0.2">
      <c r="A649" s="197" t="str">
        <f t="shared" si="10"/>
        <v>ChyCode_chan068Y</v>
      </c>
      <c r="B649" s="409"/>
      <c r="C649" s="416"/>
      <c r="D649" s="198" t="s">
        <v>18019</v>
      </c>
      <c r="E649" s="198">
        <v>196</v>
      </c>
      <c r="F649" s="199" t="s">
        <v>18020</v>
      </c>
      <c r="G649" s="1" t="s">
        <v>18995</v>
      </c>
      <c r="H649" s="1" t="s">
        <v>16716</v>
      </c>
      <c r="I649" s="346"/>
      <c r="J649" s="39">
        <v>116819</v>
      </c>
      <c r="K649" s="36" t="str">
        <f>CONCATENATE(Cover!$D$6,"fdd/view?i=",J649)</f>
        <v>https://www.dgiwg.org/FAD/fdd/view?i=116819</v>
      </c>
      <c r="L649" s="36" t="s">
        <v>18996</v>
      </c>
      <c r="M649" s="186"/>
      <c r="N649" s="186"/>
      <c r="O649" s="13" t="s">
        <v>18018</v>
      </c>
    </row>
    <row r="650" spans="1:15" ht="38.25" x14ac:dyDescent="0.2">
      <c r="A650" s="197" t="str">
        <f t="shared" si="10"/>
        <v>ChyCode_chan069X</v>
      </c>
      <c r="B650" s="409"/>
      <c r="C650" s="416"/>
      <c r="D650" s="198" t="s">
        <v>18024</v>
      </c>
      <c r="E650" s="198">
        <v>197</v>
      </c>
      <c r="F650" s="199" t="s">
        <v>18025</v>
      </c>
      <c r="G650" s="1" t="s">
        <v>18997</v>
      </c>
      <c r="H650" s="1" t="s">
        <v>16716</v>
      </c>
      <c r="I650" s="346"/>
      <c r="J650" s="39">
        <v>116820</v>
      </c>
      <c r="K650" s="36" t="str">
        <f>CONCATENATE(Cover!$D$6,"fdd/view?i=",J650)</f>
        <v>https://www.dgiwg.org/FAD/fdd/view?i=116820</v>
      </c>
      <c r="L650" s="36" t="s">
        <v>18998</v>
      </c>
      <c r="M650" s="186"/>
      <c r="N650" s="186"/>
      <c r="O650" s="13" t="s">
        <v>18023</v>
      </c>
    </row>
    <row r="651" spans="1:15" ht="38.25" x14ac:dyDescent="0.2">
      <c r="A651" s="197" t="str">
        <f t="shared" si="10"/>
        <v>ChyCode_chan069Y</v>
      </c>
      <c r="B651" s="409"/>
      <c r="C651" s="416"/>
      <c r="D651" s="198" t="s">
        <v>18029</v>
      </c>
      <c r="E651" s="198">
        <v>198</v>
      </c>
      <c r="F651" s="199" t="s">
        <v>18030</v>
      </c>
      <c r="G651" s="1" t="s">
        <v>18999</v>
      </c>
      <c r="H651" s="1" t="s">
        <v>16716</v>
      </c>
      <c r="I651" s="346"/>
      <c r="J651" s="39">
        <v>116821</v>
      </c>
      <c r="K651" s="36" t="str">
        <f>CONCATENATE(Cover!$D$6,"fdd/view?i=",J651)</f>
        <v>https://www.dgiwg.org/FAD/fdd/view?i=116821</v>
      </c>
      <c r="L651" s="36" t="s">
        <v>19000</v>
      </c>
      <c r="M651" s="186"/>
      <c r="N651" s="186"/>
      <c r="O651" s="13" t="s">
        <v>18028</v>
      </c>
    </row>
    <row r="652" spans="1:15" ht="38.25" x14ac:dyDescent="0.2">
      <c r="A652" s="197" t="str">
        <f t="shared" si="10"/>
        <v>ChyCode_chan070X</v>
      </c>
      <c r="B652" s="409"/>
      <c r="C652" s="416"/>
      <c r="D652" s="198" t="s">
        <v>18044</v>
      </c>
      <c r="E652" s="198">
        <v>199</v>
      </c>
      <c r="F652" s="199" t="s">
        <v>18045</v>
      </c>
      <c r="G652" s="1" t="s">
        <v>19005</v>
      </c>
      <c r="H652" s="1" t="s">
        <v>16716</v>
      </c>
      <c r="I652" s="346"/>
      <c r="J652" s="39">
        <v>116822</v>
      </c>
      <c r="K652" s="36" t="str">
        <f>CONCATENATE(Cover!$D$6,"fdd/view?i=",J652)</f>
        <v>https://www.dgiwg.org/FAD/fdd/view?i=116822</v>
      </c>
      <c r="L652" s="36" t="s">
        <v>19006</v>
      </c>
      <c r="M652" s="186"/>
      <c r="N652" s="186"/>
      <c r="O652" s="13" t="s">
        <v>18043</v>
      </c>
    </row>
    <row r="653" spans="1:15" ht="38.25" x14ac:dyDescent="0.2">
      <c r="A653" s="197" t="str">
        <f t="shared" si="10"/>
        <v>ChyCode_chan070Y</v>
      </c>
      <c r="B653" s="409"/>
      <c r="C653" s="416"/>
      <c r="D653" s="198" t="s">
        <v>18049</v>
      </c>
      <c r="E653" s="198">
        <v>200</v>
      </c>
      <c r="F653" s="199" t="s">
        <v>18050</v>
      </c>
      <c r="G653" s="1" t="s">
        <v>19007</v>
      </c>
      <c r="H653" s="1" t="s">
        <v>16716</v>
      </c>
      <c r="I653" s="346"/>
      <c r="J653" s="39">
        <v>116823</v>
      </c>
      <c r="K653" s="36" t="str">
        <f>CONCATENATE(Cover!$D$6,"fdd/view?i=",J653)</f>
        <v>https://www.dgiwg.org/FAD/fdd/view?i=116823</v>
      </c>
      <c r="L653" s="36" t="s">
        <v>19008</v>
      </c>
      <c r="M653" s="186"/>
      <c r="N653" s="186"/>
      <c r="O653" s="13" t="s">
        <v>18048</v>
      </c>
    </row>
    <row r="654" spans="1:15" ht="38.25" x14ac:dyDescent="0.2">
      <c r="A654" s="197" t="str">
        <f t="shared" si="10"/>
        <v>ChyCode_chan071X</v>
      </c>
      <c r="B654" s="409"/>
      <c r="C654" s="416"/>
      <c r="D654" s="198" t="s">
        <v>18054</v>
      </c>
      <c r="E654" s="198">
        <v>201</v>
      </c>
      <c r="F654" s="199" t="s">
        <v>18055</v>
      </c>
      <c r="G654" s="1" t="s">
        <v>19009</v>
      </c>
      <c r="H654" s="1" t="s">
        <v>16716</v>
      </c>
      <c r="I654" s="346"/>
      <c r="J654" s="39">
        <v>116824</v>
      </c>
      <c r="K654" s="36" t="str">
        <f>CONCATENATE(Cover!$D$6,"fdd/view?i=",J654)</f>
        <v>https://www.dgiwg.org/FAD/fdd/view?i=116824</v>
      </c>
      <c r="L654" s="36" t="s">
        <v>19010</v>
      </c>
      <c r="M654" s="186"/>
      <c r="N654" s="186"/>
      <c r="O654" s="13" t="s">
        <v>18053</v>
      </c>
    </row>
    <row r="655" spans="1:15" ht="38.25" x14ac:dyDescent="0.2">
      <c r="A655" s="197" t="str">
        <f t="shared" si="10"/>
        <v>ChyCode_chan071Y</v>
      </c>
      <c r="B655" s="409"/>
      <c r="C655" s="416"/>
      <c r="D655" s="198" t="s">
        <v>18059</v>
      </c>
      <c r="E655" s="198">
        <v>202</v>
      </c>
      <c r="F655" s="199" t="s">
        <v>18060</v>
      </c>
      <c r="G655" s="1" t="s">
        <v>19011</v>
      </c>
      <c r="H655" s="1" t="s">
        <v>16716</v>
      </c>
      <c r="I655" s="346"/>
      <c r="J655" s="39">
        <v>116825</v>
      </c>
      <c r="K655" s="36" t="str">
        <f>CONCATENATE(Cover!$D$6,"fdd/view?i=",J655)</f>
        <v>https://www.dgiwg.org/FAD/fdd/view?i=116825</v>
      </c>
      <c r="L655" s="36" t="s">
        <v>19012</v>
      </c>
      <c r="M655" s="186"/>
      <c r="N655" s="186"/>
      <c r="O655" s="13" t="s">
        <v>18058</v>
      </c>
    </row>
    <row r="656" spans="1:15" ht="38.25" x14ac:dyDescent="0.2">
      <c r="A656" s="197" t="str">
        <f t="shared" si="10"/>
        <v>ChyCode_chan072X</v>
      </c>
      <c r="B656" s="409"/>
      <c r="C656" s="416"/>
      <c r="D656" s="198" t="s">
        <v>18064</v>
      </c>
      <c r="E656" s="198">
        <v>203</v>
      </c>
      <c r="F656" s="199" t="s">
        <v>18065</v>
      </c>
      <c r="G656" s="1" t="s">
        <v>19013</v>
      </c>
      <c r="H656" s="1" t="s">
        <v>16716</v>
      </c>
      <c r="I656" s="346"/>
      <c r="J656" s="39">
        <v>116826</v>
      </c>
      <c r="K656" s="36" t="str">
        <f>CONCATENATE(Cover!$D$6,"fdd/view?i=",J656)</f>
        <v>https://www.dgiwg.org/FAD/fdd/view?i=116826</v>
      </c>
      <c r="L656" s="36" t="s">
        <v>19014</v>
      </c>
      <c r="M656" s="186"/>
      <c r="N656" s="186"/>
      <c r="O656" s="13" t="s">
        <v>18063</v>
      </c>
    </row>
    <row r="657" spans="1:15" ht="38.25" x14ac:dyDescent="0.2">
      <c r="A657" s="197" t="str">
        <f t="shared" si="10"/>
        <v>ChyCode_chan072Y</v>
      </c>
      <c r="B657" s="409"/>
      <c r="C657" s="416"/>
      <c r="D657" s="198" t="s">
        <v>18069</v>
      </c>
      <c r="E657" s="198">
        <v>204</v>
      </c>
      <c r="F657" s="199" t="s">
        <v>18070</v>
      </c>
      <c r="G657" s="1" t="s">
        <v>19015</v>
      </c>
      <c r="H657" s="1" t="s">
        <v>16716</v>
      </c>
      <c r="I657" s="346"/>
      <c r="J657" s="39">
        <v>116827</v>
      </c>
      <c r="K657" s="36" t="str">
        <f>CONCATENATE(Cover!$D$6,"fdd/view?i=",J657)</f>
        <v>https://www.dgiwg.org/FAD/fdd/view?i=116827</v>
      </c>
      <c r="L657" s="36" t="s">
        <v>19016</v>
      </c>
      <c r="M657" s="186"/>
      <c r="N657" s="186"/>
      <c r="O657" s="13" t="s">
        <v>18068</v>
      </c>
    </row>
    <row r="658" spans="1:15" ht="38.25" x14ac:dyDescent="0.2">
      <c r="A658" s="197" t="str">
        <f t="shared" si="10"/>
        <v>ChyCode_chan073X</v>
      </c>
      <c r="B658" s="409"/>
      <c r="C658" s="416"/>
      <c r="D658" s="198" t="s">
        <v>18074</v>
      </c>
      <c r="E658" s="198">
        <v>205</v>
      </c>
      <c r="F658" s="199" t="s">
        <v>18075</v>
      </c>
      <c r="G658" s="1" t="s">
        <v>19017</v>
      </c>
      <c r="H658" s="1" t="s">
        <v>16716</v>
      </c>
      <c r="I658" s="346"/>
      <c r="J658" s="39">
        <v>116828</v>
      </c>
      <c r="K658" s="36" t="str">
        <f>CONCATENATE(Cover!$D$6,"fdd/view?i=",J658)</f>
        <v>https://www.dgiwg.org/FAD/fdd/view?i=116828</v>
      </c>
      <c r="L658" s="36" t="s">
        <v>19018</v>
      </c>
      <c r="M658" s="186"/>
      <c r="N658" s="186"/>
      <c r="O658" s="13" t="s">
        <v>18073</v>
      </c>
    </row>
    <row r="659" spans="1:15" ht="38.25" x14ac:dyDescent="0.2">
      <c r="A659" s="197" t="str">
        <f t="shared" si="10"/>
        <v>ChyCode_chan073Y</v>
      </c>
      <c r="B659" s="409"/>
      <c r="C659" s="416"/>
      <c r="D659" s="198" t="s">
        <v>18079</v>
      </c>
      <c r="E659" s="198">
        <v>206</v>
      </c>
      <c r="F659" s="199" t="s">
        <v>18080</v>
      </c>
      <c r="G659" s="1" t="s">
        <v>19019</v>
      </c>
      <c r="H659" s="1" t="s">
        <v>16716</v>
      </c>
      <c r="I659" s="346"/>
      <c r="J659" s="39">
        <v>116829</v>
      </c>
      <c r="K659" s="36" t="str">
        <f>CONCATENATE(Cover!$D$6,"fdd/view?i=",J659)</f>
        <v>https://www.dgiwg.org/FAD/fdd/view?i=116829</v>
      </c>
      <c r="L659" s="36" t="s">
        <v>19020</v>
      </c>
      <c r="M659" s="186"/>
      <c r="N659" s="186"/>
      <c r="O659" s="13" t="s">
        <v>18078</v>
      </c>
    </row>
    <row r="660" spans="1:15" ht="38.25" x14ac:dyDescent="0.2">
      <c r="A660" s="197" t="str">
        <f t="shared" si="10"/>
        <v>ChyCode_chan074X</v>
      </c>
      <c r="B660" s="409"/>
      <c r="C660" s="416"/>
      <c r="D660" s="198" t="s">
        <v>18084</v>
      </c>
      <c r="E660" s="198">
        <v>207</v>
      </c>
      <c r="F660" s="199" t="s">
        <v>18085</v>
      </c>
      <c r="G660" s="1" t="s">
        <v>19021</v>
      </c>
      <c r="H660" s="1" t="s">
        <v>16716</v>
      </c>
      <c r="I660" s="346"/>
      <c r="J660" s="39">
        <v>116830</v>
      </c>
      <c r="K660" s="36" t="str">
        <f>CONCATENATE(Cover!$D$6,"fdd/view?i=",J660)</f>
        <v>https://www.dgiwg.org/FAD/fdd/view?i=116830</v>
      </c>
      <c r="L660" s="36" t="s">
        <v>19022</v>
      </c>
      <c r="M660" s="186"/>
      <c r="N660" s="186"/>
      <c r="O660" s="13" t="s">
        <v>18083</v>
      </c>
    </row>
    <row r="661" spans="1:15" ht="38.25" x14ac:dyDescent="0.2">
      <c r="A661" s="197" t="str">
        <f t="shared" si="10"/>
        <v>ChyCode_chan074Y</v>
      </c>
      <c r="B661" s="409"/>
      <c r="C661" s="416"/>
      <c r="D661" s="198" t="s">
        <v>18089</v>
      </c>
      <c r="E661" s="198">
        <v>208</v>
      </c>
      <c r="F661" s="199" t="s">
        <v>18090</v>
      </c>
      <c r="G661" s="1" t="s">
        <v>19023</v>
      </c>
      <c r="H661" s="1" t="s">
        <v>16716</v>
      </c>
      <c r="I661" s="346"/>
      <c r="J661" s="39">
        <v>116831</v>
      </c>
      <c r="K661" s="36" t="str">
        <f>CONCATENATE(Cover!$D$6,"fdd/view?i=",J661)</f>
        <v>https://www.dgiwg.org/FAD/fdd/view?i=116831</v>
      </c>
      <c r="L661" s="36" t="s">
        <v>19024</v>
      </c>
      <c r="M661" s="186"/>
      <c r="N661" s="186"/>
      <c r="O661" s="13" t="s">
        <v>18088</v>
      </c>
    </row>
    <row r="662" spans="1:15" ht="38.25" x14ac:dyDescent="0.2">
      <c r="A662" s="197" t="str">
        <f t="shared" si="10"/>
        <v>ChyCode_chan075X</v>
      </c>
      <c r="B662" s="409"/>
      <c r="C662" s="416"/>
      <c r="D662" s="198" t="s">
        <v>18094</v>
      </c>
      <c r="E662" s="198">
        <v>209</v>
      </c>
      <c r="F662" s="199" t="s">
        <v>18095</v>
      </c>
      <c r="G662" s="1" t="s">
        <v>19025</v>
      </c>
      <c r="H662" s="1" t="s">
        <v>16716</v>
      </c>
      <c r="I662" s="346"/>
      <c r="J662" s="39">
        <v>116832</v>
      </c>
      <c r="K662" s="36" t="str">
        <f>CONCATENATE(Cover!$D$6,"fdd/view?i=",J662)</f>
        <v>https://www.dgiwg.org/FAD/fdd/view?i=116832</v>
      </c>
      <c r="L662" s="36" t="s">
        <v>19026</v>
      </c>
      <c r="M662" s="186"/>
      <c r="N662" s="186"/>
      <c r="O662" s="13" t="s">
        <v>18093</v>
      </c>
    </row>
    <row r="663" spans="1:15" ht="38.25" x14ac:dyDescent="0.2">
      <c r="A663" s="197" t="str">
        <f t="shared" si="10"/>
        <v>ChyCode_chan075Y</v>
      </c>
      <c r="B663" s="409"/>
      <c r="C663" s="416"/>
      <c r="D663" s="198" t="s">
        <v>18099</v>
      </c>
      <c r="E663" s="198">
        <v>210</v>
      </c>
      <c r="F663" s="199" t="s">
        <v>18100</v>
      </c>
      <c r="G663" s="1" t="s">
        <v>19027</v>
      </c>
      <c r="H663" s="1" t="s">
        <v>16716</v>
      </c>
      <c r="I663" s="346"/>
      <c r="J663" s="39">
        <v>116833</v>
      </c>
      <c r="K663" s="36" t="str">
        <f>CONCATENATE(Cover!$D$6,"fdd/view?i=",J663)</f>
        <v>https://www.dgiwg.org/FAD/fdd/view?i=116833</v>
      </c>
      <c r="L663" s="36" t="s">
        <v>19028</v>
      </c>
      <c r="M663" s="186"/>
      <c r="N663" s="186"/>
      <c r="O663" s="13" t="s">
        <v>18098</v>
      </c>
    </row>
    <row r="664" spans="1:15" ht="38.25" x14ac:dyDescent="0.2">
      <c r="A664" s="197" t="str">
        <f t="shared" si="10"/>
        <v>ChyCode_chan076X</v>
      </c>
      <c r="B664" s="409"/>
      <c r="C664" s="416"/>
      <c r="D664" s="198" t="s">
        <v>18104</v>
      </c>
      <c r="E664" s="198">
        <v>211</v>
      </c>
      <c r="F664" s="199" t="s">
        <v>18105</v>
      </c>
      <c r="G664" s="1" t="s">
        <v>19029</v>
      </c>
      <c r="H664" s="1" t="s">
        <v>16716</v>
      </c>
      <c r="I664" s="346"/>
      <c r="J664" s="39">
        <v>116834</v>
      </c>
      <c r="K664" s="36" t="str">
        <f>CONCATENATE(Cover!$D$6,"fdd/view?i=",J664)</f>
        <v>https://www.dgiwg.org/FAD/fdd/view?i=116834</v>
      </c>
      <c r="L664" s="36" t="s">
        <v>19030</v>
      </c>
      <c r="M664" s="186"/>
      <c r="N664" s="186"/>
      <c r="O664" s="13" t="s">
        <v>18103</v>
      </c>
    </row>
    <row r="665" spans="1:15" ht="38.25" x14ac:dyDescent="0.2">
      <c r="A665" s="197" t="str">
        <f t="shared" si="10"/>
        <v>ChyCode_chan076Y</v>
      </c>
      <c r="B665" s="409"/>
      <c r="C665" s="416"/>
      <c r="D665" s="198" t="s">
        <v>18109</v>
      </c>
      <c r="E665" s="198">
        <v>212</v>
      </c>
      <c r="F665" s="199" t="s">
        <v>18110</v>
      </c>
      <c r="G665" s="1" t="s">
        <v>19031</v>
      </c>
      <c r="H665" s="1" t="s">
        <v>16716</v>
      </c>
      <c r="I665" s="346"/>
      <c r="J665" s="39">
        <v>116835</v>
      </c>
      <c r="K665" s="36" t="str">
        <f>CONCATENATE(Cover!$D$6,"fdd/view?i=",J665)</f>
        <v>https://www.dgiwg.org/FAD/fdd/view?i=116835</v>
      </c>
      <c r="L665" s="36" t="s">
        <v>19032</v>
      </c>
      <c r="M665" s="186"/>
      <c r="N665" s="186"/>
      <c r="O665" s="13" t="s">
        <v>18108</v>
      </c>
    </row>
    <row r="666" spans="1:15" ht="38.25" x14ac:dyDescent="0.2">
      <c r="A666" s="197" t="str">
        <f t="shared" si="10"/>
        <v>ChyCode_chan077X</v>
      </c>
      <c r="B666" s="409"/>
      <c r="C666" s="416"/>
      <c r="D666" s="198" t="s">
        <v>18114</v>
      </c>
      <c r="E666" s="198">
        <v>213</v>
      </c>
      <c r="F666" s="199" t="s">
        <v>18115</v>
      </c>
      <c r="G666" s="1" t="s">
        <v>19033</v>
      </c>
      <c r="H666" s="1" t="s">
        <v>16716</v>
      </c>
      <c r="I666" s="346"/>
      <c r="J666" s="39">
        <v>116836</v>
      </c>
      <c r="K666" s="36" t="str">
        <f>CONCATENATE(Cover!$D$6,"fdd/view?i=",J666)</f>
        <v>https://www.dgiwg.org/FAD/fdd/view?i=116836</v>
      </c>
      <c r="L666" s="36" t="s">
        <v>19034</v>
      </c>
      <c r="M666" s="186"/>
      <c r="N666" s="186"/>
      <c r="O666" s="13" t="s">
        <v>18113</v>
      </c>
    </row>
    <row r="667" spans="1:15" ht="38.25" x14ac:dyDescent="0.2">
      <c r="A667" s="197" t="str">
        <f t="shared" si="10"/>
        <v>ChyCode_chan077Y</v>
      </c>
      <c r="B667" s="409"/>
      <c r="C667" s="416"/>
      <c r="D667" s="198" t="s">
        <v>18119</v>
      </c>
      <c r="E667" s="198">
        <v>214</v>
      </c>
      <c r="F667" s="199" t="s">
        <v>18120</v>
      </c>
      <c r="G667" s="1" t="s">
        <v>19035</v>
      </c>
      <c r="H667" s="1" t="s">
        <v>16716</v>
      </c>
      <c r="I667" s="346"/>
      <c r="J667" s="39">
        <v>116837</v>
      </c>
      <c r="K667" s="36" t="str">
        <f>CONCATENATE(Cover!$D$6,"fdd/view?i=",J667)</f>
        <v>https://www.dgiwg.org/FAD/fdd/view?i=116837</v>
      </c>
      <c r="L667" s="36" t="s">
        <v>19036</v>
      </c>
      <c r="M667" s="186"/>
      <c r="N667" s="186"/>
      <c r="O667" s="13" t="s">
        <v>18118</v>
      </c>
    </row>
    <row r="668" spans="1:15" ht="38.25" x14ac:dyDescent="0.2">
      <c r="A668" s="197" t="str">
        <f t="shared" si="10"/>
        <v>ChyCode_chan078X</v>
      </c>
      <c r="B668" s="409"/>
      <c r="C668" s="416"/>
      <c r="D668" s="198" t="s">
        <v>18124</v>
      </c>
      <c r="E668" s="198">
        <v>215</v>
      </c>
      <c r="F668" s="199" t="s">
        <v>18125</v>
      </c>
      <c r="G668" s="1" t="s">
        <v>19037</v>
      </c>
      <c r="H668" s="1" t="s">
        <v>16716</v>
      </c>
      <c r="I668" s="346"/>
      <c r="J668" s="39">
        <v>116838</v>
      </c>
      <c r="K668" s="36" t="str">
        <f>CONCATENATE(Cover!$D$6,"fdd/view?i=",J668)</f>
        <v>https://www.dgiwg.org/FAD/fdd/view?i=116838</v>
      </c>
      <c r="L668" s="36" t="s">
        <v>19038</v>
      </c>
      <c r="M668" s="186"/>
      <c r="N668" s="186"/>
      <c r="O668" s="13" t="s">
        <v>18123</v>
      </c>
    </row>
    <row r="669" spans="1:15" ht="38.25" x14ac:dyDescent="0.2">
      <c r="A669" s="197" t="str">
        <f t="shared" si="10"/>
        <v>ChyCode_chan078Y</v>
      </c>
      <c r="B669" s="409"/>
      <c r="C669" s="416"/>
      <c r="D669" s="198" t="s">
        <v>18129</v>
      </c>
      <c r="E669" s="198">
        <v>216</v>
      </c>
      <c r="F669" s="199" t="s">
        <v>18130</v>
      </c>
      <c r="G669" s="1" t="s">
        <v>19039</v>
      </c>
      <c r="H669" s="1" t="s">
        <v>16716</v>
      </c>
      <c r="I669" s="346"/>
      <c r="J669" s="39">
        <v>116839</v>
      </c>
      <c r="K669" s="36" t="str">
        <f>CONCATENATE(Cover!$D$6,"fdd/view?i=",J669)</f>
        <v>https://www.dgiwg.org/FAD/fdd/view?i=116839</v>
      </c>
      <c r="L669" s="36" t="s">
        <v>19040</v>
      </c>
      <c r="M669" s="186"/>
      <c r="N669" s="186"/>
      <c r="O669" s="13" t="s">
        <v>18128</v>
      </c>
    </row>
    <row r="670" spans="1:15" ht="38.25" x14ac:dyDescent="0.2">
      <c r="A670" s="197" t="str">
        <f t="shared" si="10"/>
        <v>ChyCode_chan079X</v>
      </c>
      <c r="B670" s="409"/>
      <c r="C670" s="416"/>
      <c r="D670" s="198" t="s">
        <v>18134</v>
      </c>
      <c r="E670" s="198">
        <v>217</v>
      </c>
      <c r="F670" s="199" t="s">
        <v>18135</v>
      </c>
      <c r="G670" s="1" t="s">
        <v>19041</v>
      </c>
      <c r="H670" s="1" t="s">
        <v>16716</v>
      </c>
      <c r="I670" s="346"/>
      <c r="J670" s="39">
        <v>116840</v>
      </c>
      <c r="K670" s="36" t="str">
        <f>CONCATENATE(Cover!$D$6,"fdd/view?i=",J670)</f>
        <v>https://www.dgiwg.org/FAD/fdd/view?i=116840</v>
      </c>
      <c r="L670" s="36" t="s">
        <v>19042</v>
      </c>
      <c r="M670" s="186"/>
      <c r="N670" s="186"/>
      <c r="O670" s="13" t="s">
        <v>18133</v>
      </c>
    </row>
    <row r="671" spans="1:15" ht="38.25" x14ac:dyDescent="0.2">
      <c r="A671" s="197" t="str">
        <f t="shared" si="10"/>
        <v>ChyCode_chan079Y</v>
      </c>
      <c r="B671" s="409"/>
      <c r="C671" s="416"/>
      <c r="D671" s="198" t="s">
        <v>18139</v>
      </c>
      <c r="E671" s="198">
        <v>218</v>
      </c>
      <c r="F671" s="199" t="s">
        <v>18140</v>
      </c>
      <c r="G671" s="1" t="s">
        <v>19043</v>
      </c>
      <c r="H671" s="1" t="s">
        <v>16716</v>
      </c>
      <c r="I671" s="346"/>
      <c r="J671" s="39">
        <v>116841</v>
      </c>
      <c r="K671" s="36" t="str">
        <f>CONCATENATE(Cover!$D$6,"fdd/view?i=",J671)</f>
        <v>https://www.dgiwg.org/FAD/fdd/view?i=116841</v>
      </c>
      <c r="L671" s="36" t="s">
        <v>19044</v>
      </c>
      <c r="M671" s="186"/>
      <c r="N671" s="186"/>
      <c r="O671" s="13" t="s">
        <v>18138</v>
      </c>
    </row>
    <row r="672" spans="1:15" ht="38.25" x14ac:dyDescent="0.2">
      <c r="A672" s="197" t="str">
        <f t="shared" si="10"/>
        <v>ChyCode_chan080X</v>
      </c>
      <c r="B672" s="409"/>
      <c r="C672" s="416"/>
      <c r="D672" s="198" t="s">
        <v>18154</v>
      </c>
      <c r="E672" s="198">
        <v>219</v>
      </c>
      <c r="F672" s="199" t="s">
        <v>18155</v>
      </c>
      <c r="G672" s="1" t="s">
        <v>19049</v>
      </c>
      <c r="H672" s="1" t="s">
        <v>16716</v>
      </c>
      <c r="I672" s="346"/>
      <c r="J672" s="39">
        <v>116842</v>
      </c>
      <c r="K672" s="36" t="str">
        <f>CONCATENATE(Cover!$D$6,"fdd/view?i=",J672)</f>
        <v>https://www.dgiwg.org/FAD/fdd/view?i=116842</v>
      </c>
      <c r="L672" s="36" t="s">
        <v>19050</v>
      </c>
      <c r="M672" s="186"/>
      <c r="N672" s="186"/>
      <c r="O672" s="13" t="s">
        <v>18153</v>
      </c>
    </row>
    <row r="673" spans="1:15" ht="38.25" x14ac:dyDescent="0.2">
      <c r="A673" s="197" t="str">
        <f t="shared" si="10"/>
        <v>ChyCode_chan080Y</v>
      </c>
      <c r="B673" s="409"/>
      <c r="C673" s="416"/>
      <c r="D673" s="198" t="s">
        <v>18159</v>
      </c>
      <c r="E673" s="198">
        <v>220</v>
      </c>
      <c r="F673" s="199" t="s">
        <v>18160</v>
      </c>
      <c r="G673" s="1" t="s">
        <v>19051</v>
      </c>
      <c r="H673" s="1" t="s">
        <v>16716</v>
      </c>
      <c r="I673" s="346"/>
      <c r="J673" s="39">
        <v>116843</v>
      </c>
      <c r="K673" s="36" t="str">
        <f>CONCATENATE(Cover!$D$6,"fdd/view?i=",J673)</f>
        <v>https://www.dgiwg.org/FAD/fdd/view?i=116843</v>
      </c>
      <c r="L673" s="36" t="s">
        <v>19052</v>
      </c>
      <c r="M673" s="186"/>
      <c r="N673" s="186"/>
      <c r="O673" s="13" t="s">
        <v>18158</v>
      </c>
    </row>
    <row r="674" spans="1:15" ht="38.25" x14ac:dyDescent="0.2">
      <c r="A674" s="197" t="str">
        <f t="shared" si="10"/>
        <v>ChyCode_chan080Z</v>
      </c>
      <c r="B674" s="409"/>
      <c r="C674" s="416"/>
      <c r="D674" s="198" t="s">
        <v>18164</v>
      </c>
      <c r="E674" s="198">
        <v>221</v>
      </c>
      <c r="F674" s="199" t="s">
        <v>18165</v>
      </c>
      <c r="G674" s="1" t="s">
        <v>19053</v>
      </c>
      <c r="H674" s="1" t="s">
        <v>16716</v>
      </c>
      <c r="I674" s="346"/>
      <c r="J674" s="39">
        <v>116844</v>
      </c>
      <c r="K674" s="36" t="str">
        <f>CONCATENATE(Cover!$D$6,"fdd/view?i=",J674)</f>
        <v>https://www.dgiwg.org/FAD/fdd/view?i=116844</v>
      </c>
      <c r="L674" s="36" t="s">
        <v>19054</v>
      </c>
      <c r="M674" s="186"/>
      <c r="N674" s="186"/>
      <c r="O674" s="13" t="s">
        <v>18163</v>
      </c>
    </row>
    <row r="675" spans="1:15" ht="38.25" x14ac:dyDescent="0.2">
      <c r="A675" s="197" t="str">
        <f t="shared" si="10"/>
        <v>ChyCode_chan081X</v>
      </c>
      <c r="B675" s="409"/>
      <c r="C675" s="416"/>
      <c r="D675" s="198" t="s">
        <v>18169</v>
      </c>
      <c r="E675" s="198">
        <v>222</v>
      </c>
      <c r="F675" s="199" t="s">
        <v>18170</v>
      </c>
      <c r="G675" s="1" t="s">
        <v>19055</v>
      </c>
      <c r="H675" s="1" t="s">
        <v>16716</v>
      </c>
      <c r="I675" s="346"/>
      <c r="J675" s="39">
        <v>116845</v>
      </c>
      <c r="K675" s="36" t="str">
        <f>CONCATENATE(Cover!$D$6,"fdd/view?i=",J675)</f>
        <v>https://www.dgiwg.org/FAD/fdd/view?i=116845</v>
      </c>
      <c r="L675" s="36" t="s">
        <v>19056</v>
      </c>
      <c r="M675" s="186"/>
      <c r="N675" s="186"/>
      <c r="O675" s="13" t="s">
        <v>18168</v>
      </c>
    </row>
    <row r="676" spans="1:15" ht="38.25" x14ac:dyDescent="0.2">
      <c r="A676" s="197" t="str">
        <f t="shared" si="10"/>
        <v>ChyCode_chan081Y</v>
      </c>
      <c r="B676" s="409"/>
      <c r="C676" s="416"/>
      <c r="D676" s="198" t="s">
        <v>18174</v>
      </c>
      <c r="E676" s="198">
        <v>223</v>
      </c>
      <c r="F676" s="199" t="s">
        <v>18175</v>
      </c>
      <c r="G676" s="1" t="s">
        <v>19057</v>
      </c>
      <c r="H676" s="1" t="s">
        <v>16716</v>
      </c>
      <c r="I676" s="346"/>
      <c r="J676" s="39">
        <v>116846</v>
      </c>
      <c r="K676" s="36" t="str">
        <f>CONCATENATE(Cover!$D$6,"fdd/view?i=",J676)</f>
        <v>https://www.dgiwg.org/FAD/fdd/view?i=116846</v>
      </c>
      <c r="L676" s="36" t="s">
        <v>19058</v>
      </c>
      <c r="M676" s="186"/>
      <c r="N676" s="186"/>
      <c r="O676" s="13" t="s">
        <v>18173</v>
      </c>
    </row>
    <row r="677" spans="1:15" ht="38.25" x14ac:dyDescent="0.2">
      <c r="A677" s="197" t="str">
        <f t="shared" si="10"/>
        <v>ChyCode_chan081Z</v>
      </c>
      <c r="B677" s="409"/>
      <c r="C677" s="416"/>
      <c r="D677" s="198" t="s">
        <v>18179</v>
      </c>
      <c r="E677" s="198">
        <v>224</v>
      </c>
      <c r="F677" s="199" t="s">
        <v>18180</v>
      </c>
      <c r="G677" s="1" t="s">
        <v>19059</v>
      </c>
      <c r="H677" s="1" t="s">
        <v>16716</v>
      </c>
      <c r="I677" s="346"/>
      <c r="J677" s="39">
        <v>116847</v>
      </c>
      <c r="K677" s="36" t="str">
        <f>CONCATENATE(Cover!$D$6,"fdd/view?i=",J677)</f>
        <v>https://www.dgiwg.org/FAD/fdd/view?i=116847</v>
      </c>
      <c r="L677" s="36" t="s">
        <v>19060</v>
      </c>
      <c r="M677" s="186"/>
      <c r="N677" s="186"/>
      <c r="O677" s="13" t="s">
        <v>18178</v>
      </c>
    </row>
    <row r="678" spans="1:15" ht="38.25" x14ac:dyDescent="0.2">
      <c r="A678" s="197" t="str">
        <f t="shared" si="10"/>
        <v>ChyCode_chan082X</v>
      </c>
      <c r="B678" s="409"/>
      <c r="C678" s="416"/>
      <c r="D678" s="198" t="s">
        <v>18184</v>
      </c>
      <c r="E678" s="198">
        <v>225</v>
      </c>
      <c r="F678" s="199" t="s">
        <v>18185</v>
      </c>
      <c r="G678" s="1" t="s">
        <v>19061</v>
      </c>
      <c r="H678" s="1" t="s">
        <v>16716</v>
      </c>
      <c r="I678" s="346"/>
      <c r="J678" s="39">
        <v>116848</v>
      </c>
      <c r="K678" s="36" t="str">
        <f>CONCATENATE(Cover!$D$6,"fdd/view?i=",J678)</f>
        <v>https://www.dgiwg.org/FAD/fdd/view?i=116848</v>
      </c>
      <c r="L678" s="36" t="s">
        <v>19062</v>
      </c>
      <c r="M678" s="186"/>
      <c r="N678" s="186"/>
      <c r="O678" s="13" t="s">
        <v>18183</v>
      </c>
    </row>
    <row r="679" spans="1:15" ht="38.25" x14ac:dyDescent="0.2">
      <c r="A679" s="197" t="str">
        <f t="shared" si="10"/>
        <v>ChyCode_chan082Y</v>
      </c>
      <c r="B679" s="409"/>
      <c r="C679" s="416"/>
      <c r="D679" s="198" t="s">
        <v>18189</v>
      </c>
      <c r="E679" s="198">
        <v>226</v>
      </c>
      <c r="F679" s="199" t="s">
        <v>18190</v>
      </c>
      <c r="G679" s="1" t="s">
        <v>19063</v>
      </c>
      <c r="H679" s="1" t="s">
        <v>16716</v>
      </c>
      <c r="I679" s="346"/>
      <c r="J679" s="39">
        <v>116849</v>
      </c>
      <c r="K679" s="36" t="str">
        <f>CONCATENATE(Cover!$D$6,"fdd/view?i=",J679)</f>
        <v>https://www.dgiwg.org/FAD/fdd/view?i=116849</v>
      </c>
      <c r="L679" s="36" t="s">
        <v>19064</v>
      </c>
      <c r="M679" s="186"/>
      <c r="N679" s="186"/>
      <c r="O679" s="13" t="s">
        <v>18188</v>
      </c>
    </row>
    <row r="680" spans="1:15" ht="38.25" x14ac:dyDescent="0.2">
      <c r="A680" s="197" t="str">
        <f t="shared" si="10"/>
        <v>ChyCode_chan082Z</v>
      </c>
      <c r="B680" s="409"/>
      <c r="C680" s="416"/>
      <c r="D680" s="198" t="s">
        <v>18194</v>
      </c>
      <c r="E680" s="198">
        <v>227</v>
      </c>
      <c r="F680" s="199" t="s">
        <v>18195</v>
      </c>
      <c r="G680" s="1" t="s">
        <v>19065</v>
      </c>
      <c r="H680" s="1" t="s">
        <v>16716</v>
      </c>
      <c r="I680" s="346"/>
      <c r="J680" s="39">
        <v>116850</v>
      </c>
      <c r="K680" s="36" t="str">
        <f>CONCATENATE(Cover!$D$6,"fdd/view?i=",J680)</f>
        <v>https://www.dgiwg.org/FAD/fdd/view?i=116850</v>
      </c>
      <c r="L680" s="36" t="s">
        <v>19066</v>
      </c>
      <c r="M680" s="186"/>
      <c r="N680" s="186"/>
      <c r="O680" s="13" t="s">
        <v>18193</v>
      </c>
    </row>
    <row r="681" spans="1:15" ht="38.25" x14ac:dyDescent="0.2">
      <c r="A681" s="197" t="str">
        <f t="shared" si="10"/>
        <v>ChyCode_chan083X</v>
      </c>
      <c r="B681" s="409"/>
      <c r="C681" s="416"/>
      <c r="D681" s="198" t="s">
        <v>18199</v>
      </c>
      <c r="E681" s="198">
        <v>228</v>
      </c>
      <c r="F681" s="199" t="s">
        <v>18200</v>
      </c>
      <c r="G681" s="1" t="s">
        <v>19067</v>
      </c>
      <c r="H681" s="1" t="s">
        <v>16716</v>
      </c>
      <c r="I681" s="346"/>
      <c r="J681" s="39">
        <v>116851</v>
      </c>
      <c r="K681" s="36" t="str">
        <f>CONCATENATE(Cover!$D$6,"fdd/view?i=",J681)</f>
        <v>https://www.dgiwg.org/FAD/fdd/view?i=116851</v>
      </c>
      <c r="L681" s="36" t="s">
        <v>19068</v>
      </c>
      <c r="M681" s="186"/>
      <c r="N681" s="186"/>
      <c r="O681" s="13" t="s">
        <v>18198</v>
      </c>
    </row>
    <row r="682" spans="1:15" ht="38.25" x14ac:dyDescent="0.2">
      <c r="A682" s="197" t="str">
        <f t="shared" si="10"/>
        <v>ChyCode_chan083Y</v>
      </c>
      <c r="B682" s="409"/>
      <c r="C682" s="416"/>
      <c r="D682" s="198" t="s">
        <v>18204</v>
      </c>
      <c r="E682" s="198">
        <v>229</v>
      </c>
      <c r="F682" s="199" t="s">
        <v>18205</v>
      </c>
      <c r="G682" s="1" t="s">
        <v>19069</v>
      </c>
      <c r="H682" s="1" t="s">
        <v>16716</v>
      </c>
      <c r="I682" s="346"/>
      <c r="J682" s="39">
        <v>116852</v>
      </c>
      <c r="K682" s="36" t="str">
        <f>CONCATENATE(Cover!$D$6,"fdd/view?i=",J682)</f>
        <v>https://www.dgiwg.org/FAD/fdd/view?i=116852</v>
      </c>
      <c r="L682" s="36" t="s">
        <v>19070</v>
      </c>
      <c r="M682" s="186"/>
      <c r="N682" s="186"/>
      <c r="O682" s="13" t="s">
        <v>18203</v>
      </c>
    </row>
    <row r="683" spans="1:15" ht="38.25" x14ac:dyDescent="0.2">
      <c r="A683" s="197" t="str">
        <f t="shared" si="10"/>
        <v>ChyCode_chan083Z</v>
      </c>
      <c r="B683" s="409"/>
      <c r="C683" s="416"/>
      <c r="D683" s="198" t="s">
        <v>18209</v>
      </c>
      <c r="E683" s="198">
        <v>230</v>
      </c>
      <c r="F683" s="199" t="s">
        <v>18210</v>
      </c>
      <c r="G683" s="1" t="s">
        <v>19071</v>
      </c>
      <c r="H683" s="1" t="s">
        <v>16716</v>
      </c>
      <c r="I683" s="346"/>
      <c r="J683" s="39">
        <v>116853</v>
      </c>
      <c r="K683" s="36" t="str">
        <f>CONCATENATE(Cover!$D$6,"fdd/view?i=",J683)</f>
        <v>https://www.dgiwg.org/FAD/fdd/view?i=116853</v>
      </c>
      <c r="L683" s="36" t="s">
        <v>19072</v>
      </c>
      <c r="M683" s="186"/>
      <c r="N683" s="186"/>
      <c r="O683" s="13" t="s">
        <v>18208</v>
      </c>
    </row>
    <row r="684" spans="1:15" ht="38.25" x14ac:dyDescent="0.2">
      <c r="A684" s="197" t="str">
        <f t="shared" si="10"/>
        <v>ChyCode_chan084X</v>
      </c>
      <c r="B684" s="409"/>
      <c r="C684" s="416"/>
      <c r="D684" s="198" t="s">
        <v>18214</v>
      </c>
      <c r="E684" s="198">
        <v>231</v>
      </c>
      <c r="F684" s="199" t="s">
        <v>18215</v>
      </c>
      <c r="G684" s="1" t="s">
        <v>19073</v>
      </c>
      <c r="H684" s="1" t="s">
        <v>16716</v>
      </c>
      <c r="I684" s="346"/>
      <c r="J684" s="39">
        <v>116854</v>
      </c>
      <c r="K684" s="36" t="str">
        <f>CONCATENATE(Cover!$D$6,"fdd/view?i=",J684)</f>
        <v>https://www.dgiwg.org/FAD/fdd/view?i=116854</v>
      </c>
      <c r="L684" s="36" t="s">
        <v>19074</v>
      </c>
      <c r="M684" s="186"/>
      <c r="N684" s="186"/>
      <c r="O684" s="13" t="s">
        <v>18213</v>
      </c>
    </row>
    <row r="685" spans="1:15" ht="38.25" x14ac:dyDescent="0.2">
      <c r="A685" s="197" t="str">
        <f t="shared" si="10"/>
        <v>ChyCode_chan084Y</v>
      </c>
      <c r="B685" s="409"/>
      <c r="C685" s="416"/>
      <c r="D685" s="198" t="s">
        <v>18219</v>
      </c>
      <c r="E685" s="198">
        <v>232</v>
      </c>
      <c r="F685" s="199" t="s">
        <v>18220</v>
      </c>
      <c r="G685" s="1" t="s">
        <v>19075</v>
      </c>
      <c r="H685" s="1" t="s">
        <v>16716</v>
      </c>
      <c r="I685" s="346"/>
      <c r="J685" s="39">
        <v>116855</v>
      </c>
      <c r="K685" s="36" t="str">
        <f>CONCATENATE(Cover!$D$6,"fdd/view?i=",J685)</f>
        <v>https://www.dgiwg.org/FAD/fdd/view?i=116855</v>
      </c>
      <c r="L685" s="36" t="s">
        <v>19076</v>
      </c>
      <c r="M685" s="186"/>
      <c r="N685" s="186"/>
      <c r="O685" s="13" t="s">
        <v>18218</v>
      </c>
    </row>
    <row r="686" spans="1:15" ht="38.25" x14ac:dyDescent="0.2">
      <c r="A686" s="197" t="str">
        <f t="shared" si="10"/>
        <v>ChyCode_chan084Z</v>
      </c>
      <c r="B686" s="409"/>
      <c r="C686" s="416"/>
      <c r="D686" s="198" t="s">
        <v>18224</v>
      </c>
      <c r="E686" s="198">
        <v>233</v>
      </c>
      <c r="F686" s="199" t="s">
        <v>18225</v>
      </c>
      <c r="G686" s="1" t="s">
        <v>19077</v>
      </c>
      <c r="H686" s="1" t="s">
        <v>16716</v>
      </c>
      <c r="I686" s="346"/>
      <c r="J686" s="39">
        <v>116856</v>
      </c>
      <c r="K686" s="36" t="str">
        <f>CONCATENATE(Cover!$D$6,"fdd/view?i=",J686)</f>
        <v>https://www.dgiwg.org/FAD/fdd/view?i=116856</v>
      </c>
      <c r="L686" s="36" t="s">
        <v>19078</v>
      </c>
      <c r="M686" s="186"/>
      <c r="N686" s="186"/>
      <c r="O686" s="13" t="s">
        <v>18223</v>
      </c>
    </row>
    <row r="687" spans="1:15" ht="38.25" x14ac:dyDescent="0.2">
      <c r="A687" s="197" t="str">
        <f t="shared" si="10"/>
        <v>ChyCode_chan085X</v>
      </c>
      <c r="B687" s="409"/>
      <c r="C687" s="416"/>
      <c r="D687" s="198" t="s">
        <v>18229</v>
      </c>
      <c r="E687" s="198">
        <v>234</v>
      </c>
      <c r="F687" s="199" t="s">
        <v>18230</v>
      </c>
      <c r="G687" s="1" t="s">
        <v>19079</v>
      </c>
      <c r="H687" s="1" t="s">
        <v>16716</v>
      </c>
      <c r="I687" s="346"/>
      <c r="J687" s="39">
        <v>116857</v>
      </c>
      <c r="K687" s="36" t="str">
        <f>CONCATENATE(Cover!$D$6,"fdd/view?i=",J687)</f>
        <v>https://www.dgiwg.org/FAD/fdd/view?i=116857</v>
      </c>
      <c r="L687" s="36" t="s">
        <v>19080</v>
      </c>
      <c r="M687" s="186"/>
      <c r="N687" s="186"/>
      <c r="O687" s="13" t="s">
        <v>18228</v>
      </c>
    </row>
    <row r="688" spans="1:15" ht="38.25" x14ac:dyDescent="0.2">
      <c r="A688" s="197" t="str">
        <f t="shared" si="10"/>
        <v>ChyCode_chan085Y</v>
      </c>
      <c r="B688" s="409"/>
      <c r="C688" s="416"/>
      <c r="D688" s="198" t="s">
        <v>18234</v>
      </c>
      <c r="E688" s="198">
        <v>235</v>
      </c>
      <c r="F688" s="199" t="s">
        <v>18235</v>
      </c>
      <c r="G688" s="1" t="s">
        <v>19081</v>
      </c>
      <c r="H688" s="1" t="s">
        <v>16716</v>
      </c>
      <c r="I688" s="346"/>
      <c r="J688" s="39">
        <v>116858</v>
      </c>
      <c r="K688" s="36" t="str">
        <f>CONCATENATE(Cover!$D$6,"fdd/view?i=",J688)</f>
        <v>https://www.dgiwg.org/FAD/fdd/view?i=116858</v>
      </c>
      <c r="L688" s="36" t="s">
        <v>19082</v>
      </c>
      <c r="M688" s="186"/>
      <c r="N688" s="186"/>
      <c r="O688" s="13" t="s">
        <v>18233</v>
      </c>
    </row>
    <row r="689" spans="1:15" ht="38.25" x14ac:dyDescent="0.2">
      <c r="A689" s="197" t="str">
        <f t="shared" si="10"/>
        <v>ChyCode_chan085Z</v>
      </c>
      <c r="B689" s="409"/>
      <c r="C689" s="416"/>
      <c r="D689" s="198" t="s">
        <v>18239</v>
      </c>
      <c r="E689" s="198">
        <v>236</v>
      </c>
      <c r="F689" s="199" t="s">
        <v>18240</v>
      </c>
      <c r="G689" s="1" t="s">
        <v>19083</v>
      </c>
      <c r="H689" s="1" t="s">
        <v>16716</v>
      </c>
      <c r="I689" s="346"/>
      <c r="J689" s="39">
        <v>116859</v>
      </c>
      <c r="K689" s="36" t="str">
        <f>CONCATENATE(Cover!$D$6,"fdd/view?i=",J689)</f>
        <v>https://www.dgiwg.org/FAD/fdd/view?i=116859</v>
      </c>
      <c r="L689" s="36" t="s">
        <v>19084</v>
      </c>
      <c r="M689" s="186"/>
      <c r="N689" s="186"/>
      <c r="O689" s="13" t="s">
        <v>18238</v>
      </c>
    </row>
    <row r="690" spans="1:15" ht="38.25" x14ac:dyDescent="0.2">
      <c r="A690" s="197" t="str">
        <f t="shared" si="10"/>
        <v>ChyCode_chan086X</v>
      </c>
      <c r="B690" s="409"/>
      <c r="C690" s="416"/>
      <c r="D690" s="198" t="s">
        <v>18244</v>
      </c>
      <c r="E690" s="198">
        <v>237</v>
      </c>
      <c r="F690" s="199" t="s">
        <v>18245</v>
      </c>
      <c r="G690" s="1" t="s">
        <v>19085</v>
      </c>
      <c r="H690" s="1" t="s">
        <v>16716</v>
      </c>
      <c r="I690" s="346"/>
      <c r="J690" s="39">
        <v>116860</v>
      </c>
      <c r="K690" s="36" t="str">
        <f>CONCATENATE(Cover!$D$6,"fdd/view?i=",J690)</f>
        <v>https://www.dgiwg.org/FAD/fdd/view?i=116860</v>
      </c>
      <c r="L690" s="36" t="s">
        <v>19086</v>
      </c>
      <c r="M690" s="186"/>
      <c r="N690" s="186"/>
      <c r="O690" s="13" t="s">
        <v>18243</v>
      </c>
    </row>
    <row r="691" spans="1:15" ht="38.25" x14ac:dyDescent="0.2">
      <c r="A691" s="197" t="str">
        <f t="shared" si="10"/>
        <v>ChyCode_chan086Y</v>
      </c>
      <c r="B691" s="409"/>
      <c r="C691" s="416"/>
      <c r="D691" s="198" t="s">
        <v>18249</v>
      </c>
      <c r="E691" s="198">
        <v>238</v>
      </c>
      <c r="F691" s="199" t="s">
        <v>18250</v>
      </c>
      <c r="G691" s="1" t="s">
        <v>19087</v>
      </c>
      <c r="H691" s="1" t="s">
        <v>16716</v>
      </c>
      <c r="I691" s="346"/>
      <c r="J691" s="39">
        <v>116861</v>
      </c>
      <c r="K691" s="36" t="str">
        <f>CONCATENATE(Cover!$D$6,"fdd/view?i=",J691)</f>
        <v>https://www.dgiwg.org/FAD/fdd/view?i=116861</v>
      </c>
      <c r="L691" s="36" t="s">
        <v>19088</v>
      </c>
      <c r="M691" s="186"/>
      <c r="N691" s="186"/>
      <c r="O691" s="13" t="s">
        <v>18248</v>
      </c>
    </row>
    <row r="692" spans="1:15" ht="38.25" x14ac:dyDescent="0.2">
      <c r="A692" s="197" t="str">
        <f t="shared" si="10"/>
        <v>ChyCode_chan086Z</v>
      </c>
      <c r="B692" s="409"/>
      <c r="C692" s="416"/>
      <c r="D692" s="198" t="s">
        <v>18254</v>
      </c>
      <c r="E692" s="198">
        <v>239</v>
      </c>
      <c r="F692" s="199" t="s">
        <v>18255</v>
      </c>
      <c r="G692" s="1" t="s">
        <v>19089</v>
      </c>
      <c r="H692" s="1" t="s">
        <v>16716</v>
      </c>
      <c r="I692" s="346"/>
      <c r="J692" s="39">
        <v>116862</v>
      </c>
      <c r="K692" s="36" t="str">
        <f>CONCATENATE(Cover!$D$6,"fdd/view?i=",J692)</f>
        <v>https://www.dgiwg.org/FAD/fdd/view?i=116862</v>
      </c>
      <c r="L692" s="36" t="s">
        <v>19090</v>
      </c>
      <c r="M692" s="186"/>
      <c r="N692" s="186"/>
      <c r="O692" s="13" t="s">
        <v>18253</v>
      </c>
    </row>
    <row r="693" spans="1:15" ht="38.25" x14ac:dyDescent="0.2">
      <c r="A693" s="197" t="str">
        <f t="shared" si="10"/>
        <v>ChyCode_chan087X</v>
      </c>
      <c r="B693" s="409"/>
      <c r="C693" s="416"/>
      <c r="D693" s="198" t="s">
        <v>18259</v>
      </c>
      <c r="E693" s="198">
        <v>240</v>
      </c>
      <c r="F693" s="199" t="s">
        <v>18260</v>
      </c>
      <c r="G693" s="1" t="s">
        <v>19091</v>
      </c>
      <c r="H693" s="1" t="s">
        <v>16716</v>
      </c>
      <c r="I693" s="346"/>
      <c r="J693" s="39">
        <v>116863</v>
      </c>
      <c r="K693" s="36" t="str">
        <f>CONCATENATE(Cover!$D$6,"fdd/view?i=",J693)</f>
        <v>https://www.dgiwg.org/FAD/fdd/view?i=116863</v>
      </c>
      <c r="L693" s="36" t="s">
        <v>19092</v>
      </c>
      <c r="M693" s="186"/>
      <c r="N693" s="186"/>
      <c r="O693" s="13" t="s">
        <v>18258</v>
      </c>
    </row>
    <row r="694" spans="1:15" ht="38.25" x14ac:dyDescent="0.2">
      <c r="A694" s="197" t="str">
        <f t="shared" si="10"/>
        <v>ChyCode_chan087Y</v>
      </c>
      <c r="B694" s="409"/>
      <c r="C694" s="416"/>
      <c r="D694" s="198" t="s">
        <v>18264</v>
      </c>
      <c r="E694" s="198">
        <v>241</v>
      </c>
      <c r="F694" s="199" t="s">
        <v>18265</v>
      </c>
      <c r="G694" s="1" t="s">
        <v>19093</v>
      </c>
      <c r="H694" s="1" t="s">
        <v>16716</v>
      </c>
      <c r="I694" s="346"/>
      <c r="J694" s="39">
        <v>116864</v>
      </c>
      <c r="K694" s="36" t="str">
        <f>CONCATENATE(Cover!$D$6,"fdd/view?i=",J694)</f>
        <v>https://www.dgiwg.org/FAD/fdd/view?i=116864</v>
      </c>
      <c r="L694" s="36" t="s">
        <v>19094</v>
      </c>
      <c r="M694" s="186"/>
      <c r="N694" s="186"/>
      <c r="O694" s="13" t="s">
        <v>18263</v>
      </c>
    </row>
    <row r="695" spans="1:15" ht="38.25" x14ac:dyDescent="0.2">
      <c r="A695" s="197" t="str">
        <f t="shared" si="10"/>
        <v>ChyCode_chan087Z</v>
      </c>
      <c r="B695" s="409"/>
      <c r="C695" s="416"/>
      <c r="D695" s="198" t="s">
        <v>18269</v>
      </c>
      <c r="E695" s="198">
        <v>242</v>
      </c>
      <c r="F695" s="199" t="s">
        <v>18270</v>
      </c>
      <c r="G695" s="1" t="s">
        <v>19095</v>
      </c>
      <c r="H695" s="1" t="s">
        <v>16716</v>
      </c>
      <c r="I695" s="346"/>
      <c r="J695" s="39">
        <v>116865</v>
      </c>
      <c r="K695" s="36" t="str">
        <f>CONCATENATE(Cover!$D$6,"fdd/view?i=",J695)</f>
        <v>https://www.dgiwg.org/FAD/fdd/view?i=116865</v>
      </c>
      <c r="L695" s="36" t="s">
        <v>19096</v>
      </c>
      <c r="M695" s="186"/>
      <c r="N695" s="186"/>
      <c r="O695" s="13" t="s">
        <v>18268</v>
      </c>
    </row>
    <row r="696" spans="1:15" ht="38.25" x14ac:dyDescent="0.2">
      <c r="A696" s="197" t="str">
        <f t="shared" si="10"/>
        <v>ChyCode_chan088X</v>
      </c>
      <c r="B696" s="409"/>
      <c r="C696" s="416"/>
      <c r="D696" s="198" t="s">
        <v>18274</v>
      </c>
      <c r="E696" s="198">
        <v>243</v>
      </c>
      <c r="F696" s="199" t="s">
        <v>18275</v>
      </c>
      <c r="G696" s="1" t="s">
        <v>19097</v>
      </c>
      <c r="H696" s="1" t="s">
        <v>16716</v>
      </c>
      <c r="I696" s="346"/>
      <c r="J696" s="39">
        <v>116866</v>
      </c>
      <c r="K696" s="36" t="str">
        <f>CONCATENATE(Cover!$D$6,"fdd/view?i=",J696)</f>
        <v>https://www.dgiwg.org/FAD/fdd/view?i=116866</v>
      </c>
      <c r="L696" s="36" t="s">
        <v>19098</v>
      </c>
      <c r="M696" s="186"/>
      <c r="N696" s="186"/>
      <c r="O696" s="13" t="s">
        <v>18273</v>
      </c>
    </row>
    <row r="697" spans="1:15" ht="38.25" x14ac:dyDescent="0.2">
      <c r="A697" s="197" t="str">
        <f t="shared" si="10"/>
        <v>ChyCode_chan088Y</v>
      </c>
      <c r="B697" s="409"/>
      <c r="C697" s="416"/>
      <c r="D697" s="198" t="s">
        <v>18279</v>
      </c>
      <c r="E697" s="198">
        <v>244</v>
      </c>
      <c r="F697" s="199" t="s">
        <v>18280</v>
      </c>
      <c r="G697" s="1" t="s">
        <v>19099</v>
      </c>
      <c r="H697" s="1" t="s">
        <v>16716</v>
      </c>
      <c r="I697" s="346"/>
      <c r="J697" s="39">
        <v>116867</v>
      </c>
      <c r="K697" s="36" t="str">
        <f>CONCATENATE(Cover!$D$6,"fdd/view?i=",J697)</f>
        <v>https://www.dgiwg.org/FAD/fdd/view?i=116867</v>
      </c>
      <c r="L697" s="36" t="s">
        <v>19100</v>
      </c>
      <c r="M697" s="186"/>
      <c r="N697" s="186"/>
      <c r="O697" s="13" t="s">
        <v>18278</v>
      </c>
    </row>
    <row r="698" spans="1:15" ht="38.25" x14ac:dyDescent="0.2">
      <c r="A698" s="197" t="str">
        <f t="shared" si="10"/>
        <v>ChyCode_chan088Z</v>
      </c>
      <c r="B698" s="409"/>
      <c r="C698" s="416"/>
      <c r="D698" s="198" t="s">
        <v>18284</v>
      </c>
      <c r="E698" s="198">
        <v>245</v>
      </c>
      <c r="F698" s="199" t="s">
        <v>18285</v>
      </c>
      <c r="G698" s="1" t="s">
        <v>19101</v>
      </c>
      <c r="H698" s="1" t="s">
        <v>16716</v>
      </c>
      <c r="I698" s="346"/>
      <c r="J698" s="39">
        <v>116868</v>
      </c>
      <c r="K698" s="36" t="str">
        <f>CONCATENATE(Cover!$D$6,"fdd/view?i=",J698)</f>
        <v>https://www.dgiwg.org/FAD/fdd/view?i=116868</v>
      </c>
      <c r="L698" s="36" t="s">
        <v>19102</v>
      </c>
      <c r="M698" s="186"/>
      <c r="N698" s="186"/>
      <c r="O698" s="13" t="s">
        <v>18283</v>
      </c>
    </row>
    <row r="699" spans="1:15" ht="38.25" x14ac:dyDescent="0.2">
      <c r="A699" s="197" t="str">
        <f t="shared" si="10"/>
        <v>ChyCode_chan089X</v>
      </c>
      <c r="B699" s="409"/>
      <c r="C699" s="416"/>
      <c r="D699" s="198" t="s">
        <v>18289</v>
      </c>
      <c r="E699" s="198">
        <v>246</v>
      </c>
      <c r="F699" s="199" t="s">
        <v>18290</v>
      </c>
      <c r="G699" s="1" t="s">
        <v>19103</v>
      </c>
      <c r="H699" s="1" t="s">
        <v>16716</v>
      </c>
      <c r="I699" s="346"/>
      <c r="J699" s="39">
        <v>116869</v>
      </c>
      <c r="K699" s="36" t="str">
        <f>CONCATENATE(Cover!$D$6,"fdd/view?i=",J699)</f>
        <v>https://www.dgiwg.org/FAD/fdd/view?i=116869</v>
      </c>
      <c r="L699" s="36" t="s">
        <v>19104</v>
      </c>
      <c r="M699" s="186"/>
      <c r="N699" s="186"/>
      <c r="O699" s="13" t="s">
        <v>18288</v>
      </c>
    </row>
    <row r="700" spans="1:15" ht="38.25" x14ac:dyDescent="0.2">
      <c r="A700" s="197" t="str">
        <f t="shared" si="10"/>
        <v>ChyCode_chan089Y</v>
      </c>
      <c r="B700" s="409"/>
      <c r="C700" s="416"/>
      <c r="D700" s="198" t="s">
        <v>18294</v>
      </c>
      <c r="E700" s="198">
        <v>247</v>
      </c>
      <c r="F700" s="199" t="s">
        <v>18295</v>
      </c>
      <c r="G700" s="1" t="s">
        <v>19105</v>
      </c>
      <c r="H700" s="1" t="s">
        <v>16716</v>
      </c>
      <c r="I700" s="346"/>
      <c r="J700" s="39">
        <v>116870</v>
      </c>
      <c r="K700" s="36" t="str">
        <f>CONCATENATE(Cover!$D$6,"fdd/view?i=",J700)</f>
        <v>https://www.dgiwg.org/FAD/fdd/view?i=116870</v>
      </c>
      <c r="L700" s="36" t="s">
        <v>19106</v>
      </c>
      <c r="M700" s="186"/>
      <c r="N700" s="186"/>
      <c r="O700" s="13" t="s">
        <v>18293</v>
      </c>
    </row>
    <row r="701" spans="1:15" ht="38.25" x14ac:dyDescent="0.2">
      <c r="A701" s="197" t="str">
        <f t="shared" si="10"/>
        <v>ChyCode_chan089Z</v>
      </c>
      <c r="B701" s="409"/>
      <c r="C701" s="416"/>
      <c r="D701" s="198" t="s">
        <v>18299</v>
      </c>
      <c r="E701" s="198">
        <v>248</v>
      </c>
      <c r="F701" s="199" t="s">
        <v>18300</v>
      </c>
      <c r="G701" s="1" t="s">
        <v>19107</v>
      </c>
      <c r="H701" s="1" t="s">
        <v>16716</v>
      </c>
      <c r="I701" s="346"/>
      <c r="J701" s="39">
        <v>116871</v>
      </c>
      <c r="K701" s="36" t="str">
        <f>CONCATENATE(Cover!$D$6,"fdd/view?i=",J701)</f>
        <v>https://www.dgiwg.org/FAD/fdd/view?i=116871</v>
      </c>
      <c r="L701" s="36" t="s">
        <v>19108</v>
      </c>
      <c r="M701" s="186"/>
      <c r="N701" s="186"/>
      <c r="O701" s="13" t="s">
        <v>18298</v>
      </c>
    </row>
    <row r="702" spans="1:15" ht="38.25" x14ac:dyDescent="0.2">
      <c r="A702" s="197" t="str">
        <f t="shared" si="10"/>
        <v>ChyCode_chan090X</v>
      </c>
      <c r="B702" s="409"/>
      <c r="C702" s="416"/>
      <c r="D702" s="198" t="s">
        <v>18314</v>
      </c>
      <c r="E702" s="198">
        <v>249</v>
      </c>
      <c r="F702" s="199" t="s">
        <v>18315</v>
      </c>
      <c r="G702" s="1" t="s">
        <v>19113</v>
      </c>
      <c r="H702" s="1" t="s">
        <v>16716</v>
      </c>
      <c r="I702" s="346"/>
      <c r="J702" s="39">
        <v>116872</v>
      </c>
      <c r="K702" s="36" t="str">
        <f>CONCATENATE(Cover!$D$6,"fdd/view?i=",J702)</f>
        <v>https://www.dgiwg.org/FAD/fdd/view?i=116872</v>
      </c>
      <c r="L702" s="36" t="s">
        <v>19114</v>
      </c>
      <c r="M702" s="186"/>
      <c r="N702" s="186"/>
      <c r="O702" s="13" t="s">
        <v>18313</v>
      </c>
    </row>
    <row r="703" spans="1:15" ht="38.25" x14ac:dyDescent="0.2">
      <c r="A703" s="197" t="str">
        <f t="shared" si="10"/>
        <v>ChyCode_chan090Y</v>
      </c>
      <c r="B703" s="409"/>
      <c r="C703" s="416"/>
      <c r="D703" s="198" t="s">
        <v>18319</v>
      </c>
      <c r="E703" s="198">
        <v>250</v>
      </c>
      <c r="F703" s="199" t="s">
        <v>18320</v>
      </c>
      <c r="G703" s="1" t="s">
        <v>19115</v>
      </c>
      <c r="H703" s="1" t="s">
        <v>16716</v>
      </c>
      <c r="I703" s="346"/>
      <c r="J703" s="39">
        <v>116873</v>
      </c>
      <c r="K703" s="36" t="str">
        <f>CONCATENATE(Cover!$D$6,"fdd/view?i=",J703)</f>
        <v>https://www.dgiwg.org/FAD/fdd/view?i=116873</v>
      </c>
      <c r="L703" s="36" t="s">
        <v>19116</v>
      </c>
      <c r="M703" s="186"/>
      <c r="N703" s="186"/>
      <c r="O703" s="13" t="s">
        <v>18318</v>
      </c>
    </row>
    <row r="704" spans="1:15" ht="38.25" x14ac:dyDescent="0.2">
      <c r="A704" s="197" t="str">
        <f t="shared" si="10"/>
        <v>ChyCode_chan090Z</v>
      </c>
      <c r="B704" s="409"/>
      <c r="C704" s="416"/>
      <c r="D704" s="198" t="s">
        <v>18324</v>
      </c>
      <c r="E704" s="198">
        <v>251</v>
      </c>
      <c r="F704" s="199" t="s">
        <v>18325</v>
      </c>
      <c r="G704" s="1" t="s">
        <v>19117</v>
      </c>
      <c r="H704" s="1" t="s">
        <v>16716</v>
      </c>
      <c r="I704" s="346"/>
      <c r="J704" s="39">
        <v>116874</v>
      </c>
      <c r="K704" s="36" t="str">
        <f>CONCATENATE(Cover!$D$6,"fdd/view?i=",J704)</f>
        <v>https://www.dgiwg.org/FAD/fdd/view?i=116874</v>
      </c>
      <c r="L704" s="36" t="s">
        <v>19118</v>
      </c>
      <c r="M704" s="186"/>
      <c r="N704" s="186"/>
      <c r="O704" s="13" t="s">
        <v>18323</v>
      </c>
    </row>
    <row r="705" spans="1:15" ht="38.25" x14ac:dyDescent="0.2">
      <c r="A705" s="197" t="str">
        <f t="shared" si="10"/>
        <v>ChyCode_chan091X</v>
      </c>
      <c r="B705" s="409"/>
      <c r="C705" s="416"/>
      <c r="D705" s="198" t="s">
        <v>18329</v>
      </c>
      <c r="E705" s="198">
        <v>252</v>
      </c>
      <c r="F705" s="199" t="s">
        <v>18330</v>
      </c>
      <c r="G705" s="1" t="s">
        <v>19119</v>
      </c>
      <c r="H705" s="1" t="s">
        <v>16716</v>
      </c>
      <c r="I705" s="346"/>
      <c r="J705" s="39">
        <v>116875</v>
      </c>
      <c r="K705" s="36" t="str">
        <f>CONCATENATE(Cover!$D$6,"fdd/view?i=",J705)</f>
        <v>https://www.dgiwg.org/FAD/fdd/view?i=116875</v>
      </c>
      <c r="L705" s="36" t="s">
        <v>19120</v>
      </c>
      <c r="M705" s="186"/>
      <c r="N705" s="186"/>
      <c r="O705" s="13" t="s">
        <v>18328</v>
      </c>
    </row>
    <row r="706" spans="1:15" ht="38.25" x14ac:dyDescent="0.2">
      <c r="A706" s="197" t="str">
        <f t="shared" ref="A706:A769" si="11">HYPERLINK(K706,L706)</f>
        <v>ChyCode_chan091Y</v>
      </c>
      <c r="B706" s="409"/>
      <c r="C706" s="416"/>
      <c r="D706" s="198" t="s">
        <v>18334</v>
      </c>
      <c r="E706" s="198">
        <v>253</v>
      </c>
      <c r="F706" s="199" t="s">
        <v>18335</v>
      </c>
      <c r="G706" s="1" t="s">
        <v>19121</v>
      </c>
      <c r="H706" s="1" t="s">
        <v>16716</v>
      </c>
      <c r="I706" s="346"/>
      <c r="J706" s="39">
        <v>116876</v>
      </c>
      <c r="K706" s="36" t="str">
        <f>CONCATENATE(Cover!$D$6,"fdd/view?i=",J706)</f>
        <v>https://www.dgiwg.org/FAD/fdd/view?i=116876</v>
      </c>
      <c r="L706" s="36" t="s">
        <v>19122</v>
      </c>
      <c r="M706" s="186"/>
      <c r="N706" s="186"/>
      <c r="O706" s="13" t="s">
        <v>18333</v>
      </c>
    </row>
    <row r="707" spans="1:15" ht="38.25" x14ac:dyDescent="0.2">
      <c r="A707" s="197" t="str">
        <f t="shared" si="11"/>
        <v>ChyCode_chan091Z</v>
      </c>
      <c r="B707" s="409"/>
      <c r="C707" s="416"/>
      <c r="D707" s="198" t="s">
        <v>18339</v>
      </c>
      <c r="E707" s="198">
        <v>254</v>
      </c>
      <c r="F707" s="199" t="s">
        <v>18340</v>
      </c>
      <c r="G707" s="1" t="s">
        <v>19123</v>
      </c>
      <c r="H707" s="1" t="s">
        <v>16716</v>
      </c>
      <c r="I707" s="346"/>
      <c r="J707" s="39">
        <v>116877</v>
      </c>
      <c r="K707" s="36" t="str">
        <f>CONCATENATE(Cover!$D$6,"fdd/view?i=",J707)</f>
        <v>https://www.dgiwg.org/FAD/fdd/view?i=116877</v>
      </c>
      <c r="L707" s="36" t="s">
        <v>19124</v>
      </c>
      <c r="M707" s="186"/>
      <c r="N707" s="186"/>
      <c r="O707" s="13" t="s">
        <v>18338</v>
      </c>
    </row>
    <row r="708" spans="1:15" ht="38.25" x14ac:dyDescent="0.2">
      <c r="A708" s="197" t="str">
        <f t="shared" si="11"/>
        <v>ChyCode_chan092X</v>
      </c>
      <c r="B708" s="409"/>
      <c r="C708" s="416"/>
      <c r="D708" s="198" t="s">
        <v>18344</v>
      </c>
      <c r="E708" s="198">
        <v>255</v>
      </c>
      <c r="F708" s="199" t="s">
        <v>18345</v>
      </c>
      <c r="G708" s="1" t="s">
        <v>19125</v>
      </c>
      <c r="H708" s="1" t="s">
        <v>16716</v>
      </c>
      <c r="I708" s="346"/>
      <c r="J708" s="39">
        <v>116878</v>
      </c>
      <c r="K708" s="36" t="str">
        <f>CONCATENATE(Cover!$D$6,"fdd/view?i=",J708)</f>
        <v>https://www.dgiwg.org/FAD/fdd/view?i=116878</v>
      </c>
      <c r="L708" s="36" t="s">
        <v>19126</v>
      </c>
      <c r="M708" s="186"/>
      <c r="N708" s="186"/>
      <c r="O708" s="13" t="s">
        <v>18343</v>
      </c>
    </row>
    <row r="709" spans="1:15" ht="38.25" x14ac:dyDescent="0.2">
      <c r="A709" s="197" t="str">
        <f t="shared" si="11"/>
        <v>ChyCode_chan092Y</v>
      </c>
      <c r="B709" s="409"/>
      <c r="C709" s="416"/>
      <c r="D709" s="198" t="s">
        <v>18349</v>
      </c>
      <c r="E709" s="198">
        <v>256</v>
      </c>
      <c r="F709" s="199" t="s">
        <v>18350</v>
      </c>
      <c r="G709" s="1" t="s">
        <v>19127</v>
      </c>
      <c r="H709" s="1" t="s">
        <v>16716</v>
      </c>
      <c r="I709" s="346"/>
      <c r="J709" s="39">
        <v>116879</v>
      </c>
      <c r="K709" s="36" t="str">
        <f>CONCATENATE(Cover!$D$6,"fdd/view?i=",J709)</f>
        <v>https://www.dgiwg.org/FAD/fdd/view?i=116879</v>
      </c>
      <c r="L709" s="36" t="s">
        <v>19128</v>
      </c>
      <c r="M709" s="186"/>
      <c r="N709" s="186"/>
      <c r="O709" s="13" t="s">
        <v>18348</v>
      </c>
    </row>
    <row r="710" spans="1:15" ht="38.25" x14ac:dyDescent="0.2">
      <c r="A710" s="197" t="str">
        <f t="shared" si="11"/>
        <v>ChyCode_chan092Z</v>
      </c>
      <c r="B710" s="409"/>
      <c r="C710" s="416"/>
      <c r="D710" s="198" t="s">
        <v>18354</v>
      </c>
      <c r="E710" s="198">
        <v>257</v>
      </c>
      <c r="F710" s="199" t="s">
        <v>18355</v>
      </c>
      <c r="G710" s="1" t="s">
        <v>19129</v>
      </c>
      <c r="H710" s="1" t="s">
        <v>16716</v>
      </c>
      <c r="I710" s="346"/>
      <c r="J710" s="39">
        <v>116880</v>
      </c>
      <c r="K710" s="36" t="str">
        <f>CONCATENATE(Cover!$D$6,"fdd/view?i=",J710)</f>
        <v>https://www.dgiwg.org/FAD/fdd/view?i=116880</v>
      </c>
      <c r="L710" s="36" t="s">
        <v>19130</v>
      </c>
      <c r="M710" s="186"/>
      <c r="N710" s="186"/>
      <c r="O710" s="13" t="s">
        <v>18353</v>
      </c>
    </row>
    <row r="711" spans="1:15" ht="38.25" x14ac:dyDescent="0.2">
      <c r="A711" s="197" t="str">
        <f t="shared" si="11"/>
        <v>ChyCode_chan093X</v>
      </c>
      <c r="B711" s="409"/>
      <c r="C711" s="416"/>
      <c r="D711" s="198" t="s">
        <v>18359</v>
      </c>
      <c r="E711" s="198">
        <v>258</v>
      </c>
      <c r="F711" s="199" t="s">
        <v>18360</v>
      </c>
      <c r="G711" s="1" t="s">
        <v>19131</v>
      </c>
      <c r="H711" s="1" t="s">
        <v>16716</v>
      </c>
      <c r="I711" s="346"/>
      <c r="J711" s="39">
        <v>116881</v>
      </c>
      <c r="K711" s="36" t="str">
        <f>CONCATENATE(Cover!$D$6,"fdd/view?i=",J711)</f>
        <v>https://www.dgiwg.org/FAD/fdd/view?i=116881</v>
      </c>
      <c r="L711" s="36" t="s">
        <v>19132</v>
      </c>
      <c r="M711" s="186"/>
      <c r="N711" s="186"/>
      <c r="O711" s="13" t="s">
        <v>18358</v>
      </c>
    </row>
    <row r="712" spans="1:15" ht="38.25" x14ac:dyDescent="0.2">
      <c r="A712" s="197" t="str">
        <f t="shared" si="11"/>
        <v>ChyCode_chan093Y</v>
      </c>
      <c r="B712" s="409"/>
      <c r="C712" s="416"/>
      <c r="D712" s="198" t="s">
        <v>18364</v>
      </c>
      <c r="E712" s="198">
        <v>259</v>
      </c>
      <c r="F712" s="199" t="s">
        <v>18365</v>
      </c>
      <c r="G712" s="1" t="s">
        <v>19133</v>
      </c>
      <c r="H712" s="1" t="s">
        <v>16716</v>
      </c>
      <c r="I712" s="346"/>
      <c r="J712" s="39">
        <v>116882</v>
      </c>
      <c r="K712" s="36" t="str">
        <f>CONCATENATE(Cover!$D$6,"fdd/view?i=",J712)</f>
        <v>https://www.dgiwg.org/FAD/fdd/view?i=116882</v>
      </c>
      <c r="L712" s="36" t="s">
        <v>19134</v>
      </c>
      <c r="M712" s="186"/>
      <c r="N712" s="186"/>
      <c r="O712" s="13" t="s">
        <v>18363</v>
      </c>
    </row>
    <row r="713" spans="1:15" ht="38.25" x14ac:dyDescent="0.2">
      <c r="A713" s="197" t="str">
        <f t="shared" si="11"/>
        <v>ChyCode_chan093Z</v>
      </c>
      <c r="B713" s="409"/>
      <c r="C713" s="416"/>
      <c r="D713" s="198" t="s">
        <v>18369</v>
      </c>
      <c r="E713" s="198">
        <v>260</v>
      </c>
      <c r="F713" s="199" t="s">
        <v>18370</v>
      </c>
      <c r="G713" s="1" t="s">
        <v>19135</v>
      </c>
      <c r="H713" s="1" t="s">
        <v>16716</v>
      </c>
      <c r="I713" s="346"/>
      <c r="J713" s="39">
        <v>116883</v>
      </c>
      <c r="K713" s="36" t="str">
        <f>CONCATENATE(Cover!$D$6,"fdd/view?i=",J713)</f>
        <v>https://www.dgiwg.org/FAD/fdd/view?i=116883</v>
      </c>
      <c r="L713" s="36" t="s">
        <v>19136</v>
      </c>
      <c r="M713" s="186"/>
      <c r="N713" s="186"/>
      <c r="O713" s="13" t="s">
        <v>18368</v>
      </c>
    </row>
    <row r="714" spans="1:15" ht="38.25" x14ac:dyDescent="0.2">
      <c r="A714" s="197" t="str">
        <f t="shared" si="11"/>
        <v>ChyCode_chan094X</v>
      </c>
      <c r="B714" s="409"/>
      <c r="C714" s="416"/>
      <c r="D714" s="198" t="s">
        <v>18374</v>
      </c>
      <c r="E714" s="198">
        <v>261</v>
      </c>
      <c r="F714" s="199" t="s">
        <v>18375</v>
      </c>
      <c r="G714" s="1" t="s">
        <v>19137</v>
      </c>
      <c r="H714" s="1" t="s">
        <v>16716</v>
      </c>
      <c r="I714" s="346"/>
      <c r="J714" s="39">
        <v>116884</v>
      </c>
      <c r="K714" s="36" t="str">
        <f>CONCATENATE(Cover!$D$6,"fdd/view?i=",J714)</f>
        <v>https://www.dgiwg.org/FAD/fdd/view?i=116884</v>
      </c>
      <c r="L714" s="36" t="s">
        <v>19138</v>
      </c>
      <c r="M714" s="186"/>
      <c r="N714" s="186"/>
      <c r="O714" s="13" t="s">
        <v>18373</v>
      </c>
    </row>
    <row r="715" spans="1:15" ht="38.25" x14ac:dyDescent="0.2">
      <c r="A715" s="197" t="str">
        <f t="shared" si="11"/>
        <v>ChyCode_chan094Y</v>
      </c>
      <c r="B715" s="409"/>
      <c r="C715" s="416"/>
      <c r="D715" s="198" t="s">
        <v>18379</v>
      </c>
      <c r="E715" s="198">
        <v>262</v>
      </c>
      <c r="F715" s="199" t="s">
        <v>18380</v>
      </c>
      <c r="G715" s="1" t="s">
        <v>19139</v>
      </c>
      <c r="H715" s="1" t="s">
        <v>16716</v>
      </c>
      <c r="I715" s="346"/>
      <c r="J715" s="39">
        <v>116885</v>
      </c>
      <c r="K715" s="36" t="str">
        <f>CONCATENATE(Cover!$D$6,"fdd/view?i=",J715)</f>
        <v>https://www.dgiwg.org/FAD/fdd/view?i=116885</v>
      </c>
      <c r="L715" s="36" t="s">
        <v>19140</v>
      </c>
      <c r="M715" s="186"/>
      <c r="N715" s="186"/>
      <c r="O715" s="13" t="s">
        <v>18378</v>
      </c>
    </row>
    <row r="716" spans="1:15" ht="38.25" x14ac:dyDescent="0.2">
      <c r="A716" s="197" t="str">
        <f t="shared" si="11"/>
        <v>ChyCode_chan094Z</v>
      </c>
      <c r="B716" s="409"/>
      <c r="C716" s="416"/>
      <c r="D716" s="198" t="s">
        <v>18384</v>
      </c>
      <c r="E716" s="198">
        <v>263</v>
      </c>
      <c r="F716" s="199" t="s">
        <v>18385</v>
      </c>
      <c r="G716" s="1" t="s">
        <v>19141</v>
      </c>
      <c r="H716" s="1" t="s">
        <v>16716</v>
      </c>
      <c r="I716" s="346"/>
      <c r="J716" s="39">
        <v>116886</v>
      </c>
      <c r="K716" s="36" t="str">
        <f>CONCATENATE(Cover!$D$6,"fdd/view?i=",J716)</f>
        <v>https://www.dgiwg.org/FAD/fdd/view?i=116886</v>
      </c>
      <c r="L716" s="36" t="s">
        <v>19142</v>
      </c>
      <c r="M716" s="186"/>
      <c r="N716" s="186"/>
      <c r="O716" s="13" t="s">
        <v>18383</v>
      </c>
    </row>
    <row r="717" spans="1:15" ht="38.25" x14ac:dyDescent="0.2">
      <c r="A717" s="197" t="str">
        <f t="shared" si="11"/>
        <v>ChyCode_chan095X</v>
      </c>
      <c r="B717" s="409"/>
      <c r="C717" s="416"/>
      <c r="D717" s="198" t="s">
        <v>18389</v>
      </c>
      <c r="E717" s="198">
        <v>264</v>
      </c>
      <c r="F717" s="199" t="s">
        <v>18390</v>
      </c>
      <c r="G717" s="1" t="s">
        <v>19143</v>
      </c>
      <c r="H717" s="1" t="s">
        <v>16716</v>
      </c>
      <c r="I717" s="346"/>
      <c r="J717" s="39">
        <v>116887</v>
      </c>
      <c r="K717" s="36" t="str">
        <f>CONCATENATE(Cover!$D$6,"fdd/view?i=",J717)</f>
        <v>https://www.dgiwg.org/FAD/fdd/view?i=116887</v>
      </c>
      <c r="L717" s="36" t="s">
        <v>19144</v>
      </c>
      <c r="M717" s="186"/>
      <c r="N717" s="186"/>
      <c r="O717" s="13" t="s">
        <v>18388</v>
      </c>
    </row>
    <row r="718" spans="1:15" ht="38.25" x14ac:dyDescent="0.2">
      <c r="A718" s="197" t="str">
        <f t="shared" si="11"/>
        <v>ChyCode_chan095Y</v>
      </c>
      <c r="B718" s="409"/>
      <c r="C718" s="416"/>
      <c r="D718" s="198" t="s">
        <v>18394</v>
      </c>
      <c r="E718" s="198">
        <v>265</v>
      </c>
      <c r="F718" s="199" t="s">
        <v>18395</v>
      </c>
      <c r="G718" s="1" t="s">
        <v>19145</v>
      </c>
      <c r="H718" s="1" t="s">
        <v>16716</v>
      </c>
      <c r="I718" s="346"/>
      <c r="J718" s="39">
        <v>116888</v>
      </c>
      <c r="K718" s="36" t="str">
        <f>CONCATENATE(Cover!$D$6,"fdd/view?i=",J718)</f>
        <v>https://www.dgiwg.org/FAD/fdd/view?i=116888</v>
      </c>
      <c r="L718" s="36" t="s">
        <v>19146</v>
      </c>
      <c r="M718" s="186"/>
      <c r="N718" s="186"/>
      <c r="O718" s="13" t="s">
        <v>18393</v>
      </c>
    </row>
    <row r="719" spans="1:15" ht="38.25" x14ac:dyDescent="0.2">
      <c r="A719" s="197" t="str">
        <f t="shared" si="11"/>
        <v>ChyCode_chan095Z</v>
      </c>
      <c r="B719" s="409"/>
      <c r="C719" s="416"/>
      <c r="D719" s="198" t="s">
        <v>18399</v>
      </c>
      <c r="E719" s="198">
        <v>266</v>
      </c>
      <c r="F719" s="199" t="s">
        <v>18400</v>
      </c>
      <c r="G719" s="1" t="s">
        <v>19147</v>
      </c>
      <c r="H719" s="1" t="s">
        <v>16716</v>
      </c>
      <c r="I719" s="346"/>
      <c r="J719" s="39">
        <v>116889</v>
      </c>
      <c r="K719" s="36" t="str">
        <f>CONCATENATE(Cover!$D$6,"fdd/view?i=",J719)</f>
        <v>https://www.dgiwg.org/FAD/fdd/view?i=116889</v>
      </c>
      <c r="L719" s="36" t="s">
        <v>19148</v>
      </c>
      <c r="M719" s="186"/>
      <c r="N719" s="186"/>
      <c r="O719" s="13" t="s">
        <v>18398</v>
      </c>
    </row>
    <row r="720" spans="1:15" ht="38.25" x14ac:dyDescent="0.2">
      <c r="A720" s="197" t="str">
        <f t="shared" si="11"/>
        <v>ChyCode_chan096X</v>
      </c>
      <c r="B720" s="409"/>
      <c r="C720" s="416"/>
      <c r="D720" s="198" t="s">
        <v>18404</v>
      </c>
      <c r="E720" s="198">
        <v>267</v>
      </c>
      <c r="F720" s="199" t="s">
        <v>18405</v>
      </c>
      <c r="G720" s="1" t="s">
        <v>19149</v>
      </c>
      <c r="H720" s="1" t="s">
        <v>16716</v>
      </c>
      <c r="I720" s="346"/>
      <c r="J720" s="39">
        <v>116890</v>
      </c>
      <c r="K720" s="36" t="str">
        <f>CONCATENATE(Cover!$D$6,"fdd/view?i=",J720)</f>
        <v>https://www.dgiwg.org/FAD/fdd/view?i=116890</v>
      </c>
      <c r="L720" s="36" t="s">
        <v>19150</v>
      </c>
      <c r="M720" s="186"/>
      <c r="N720" s="186"/>
      <c r="O720" s="13" t="s">
        <v>18403</v>
      </c>
    </row>
    <row r="721" spans="1:15" ht="38.25" x14ac:dyDescent="0.2">
      <c r="A721" s="197" t="str">
        <f t="shared" si="11"/>
        <v>ChyCode_chan096Y</v>
      </c>
      <c r="B721" s="409"/>
      <c r="C721" s="416"/>
      <c r="D721" s="198" t="s">
        <v>18409</v>
      </c>
      <c r="E721" s="198">
        <v>268</v>
      </c>
      <c r="F721" s="199" t="s">
        <v>18410</v>
      </c>
      <c r="G721" s="1" t="s">
        <v>19151</v>
      </c>
      <c r="H721" s="1" t="s">
        <v>16716</v>
      </c>
      <c r="I721" s="346"/>
      <c r="J721" s="39">
        <v>116891</v>
      </c>
      <c r="K721" s="36" t="str">
        <f>CONCATENATE(Cover!$D$6,"fdd/view?i=",J721)</f>
        <v>https://www.dgiwg.org/FAD/fdd/view?i=116891</v>
      </c>
      <c r="L721" s="36" t="s">
        <v>19152</v>
      </c>
      <c r="M721" s="186"/>
      <c r="N721" s="186"/>
      <c r="O721" s="13" t="s">
        <v>18408</v>
      </c>
    </row>
    <row r="722" spans="1:15" ht="38.25" x14ac:dyDescent="0.2">
      <c r="A722" s="197" t="str">
        <f t="shared" si="11"/>
        <v>ChyCode_chan096Z</v>
      </c>
      <c r="B722" s="409"/>
      <c r="C722" s="416"/>
      <c r="D722" s="198" t="s">
        <v>18414</v>
      </c>
      <c r="E722" s="198">
        <v>269</v>
      </c>
      <c r="F722" s="199" t="s">
        <v>18415</v>
      </c>
      <c r="G722" s="1" t="s">
        <v>19153</v>
      </c>
      <c r="H722" s="1" t="s">
        <v>16716</v>
      </c>
      <c r="I722" s="346"/>
      <c r="J722" s="39">
        <v>116892</v>
      </c>
      <c r="K722" s="36" t="str">
        <f>CONCATENATE(Cover!$D$6,"fdd/view?i=",J722)</f>
        <v>https://www.dgiwg.org/FAD/fdd/view?i=116892</v>
      </c>
      <c r="L722" s="36" t="s">
        <v>19154</v>
      </c>
      <c r="M722" s="186"/>
      <c r="N722" s="186"/>
      <c r="O722" s="13" t="s">
        <v>18413</v>
      </c>
    </row>
    <row r="723" spans="1:15" ht="38.25" x14ac:dyDescent="0.2">
      <c r="A723" s="197" t="str">
        <f t="shared" si="11"/>
        <v>ChyCode_chan097X</v>
      </c>
      <c r="B723" s="409"/>
      <c r="C723" s="416"/>
      <c r="D723" s="198" t="s">
        <v>18419</v>
      </c>
      <c r="E723" s="198">
        <v>270</v>
      </c>
      <c r="F723" s="199" t="s">
        <v>18420</v>
      </c>
      <c r="G723" s="1" t="s">
        <v>19155</v>
      </c>
      <c r="H723" s="1" t="s">
        <v>16716</v>
      </c>
      <c r="I723" s="346"/>
      <c r="J723" s="39">
        <v>116893</v>
      </c>
      <c r="K723" s="36" t="str">
        <f>CONCATENATE(Cover!$D$6,"fdd/view?i=",J723)</f>
        <v>https://www.dgiwg.org/FAD/fdd/view?i=116893</v>
      </c>
      <c r="L723" s="36" t="s">
        <v>19156</v>
      </c>
      <c r="M723" s="186"/>
      <c r="N723" s="186"/>
      <c r="O723" s="13" t="s">
        <v>18418</v>
      </c>
    </row>
    <row r="724" spans="1:15" ht="38.25" x14ac:dyDescent="0.2">
      <c r="A724" s="197" t="str">
        <f t="shared" si="11"/>
        <v>ChyCode_chan097Y</v>
      </c>
      <c r="B724" s="409"/>
      <c r="C724" s="416"/>
      <c r="D724" s="198" t="s">
        <v>18424</v>
      </c>
      <c r="E724" s="198">
        <v>271</v>
      </c>
      <c r="F724" s="199" t="s">
        <v>18425</v>
      </c>
      <c r="G724" s="1" t="s">
        <v>19157</v>
      </c>
      <c r="H724" s="1" t="s">
        <v>16716</v>
      </c>
      <c r="I724" s="346"/>
      <c r="J724" s="39">
        <v>116894</v>
      </c>
      <c r="K724" s="36" t="str">
        <f>CONCATENATE(Cover!$D$6,"fdd/view?i=",J724)</f>
        <v>https://www.dgiwg.org/FAD/fdd/view?i=116894</v>
      </c>
      <c r="L724" s="36" t="s">
        <v>19158</v>
      </c>
      <c r="M724" s="186"/>
      <c r="N724" s="186"/>
      <c r="O724" s="13" t="s">
        <v>18423</v>
      </c>
    </row>
    <row r="725" spans="1:15" ht="38.25" x14ac:dyDescent="0.2">
      <c r="A725" s="197" t="str">
        <f t="shared" si="11"/>
        <v>ChyCode_chan097Z</v>
      </c>
      <c r="B725" s="409"/>
      <c r="C725" s="416"/>
      <c r="D725" s="198" t="s">
        <v>18429</v>
      </c>
      <c r="E725" s="198">
        <v>272</v>
      </c>
      <c r="F725" s="199" t="s">
        <v>18430</v>
      </c>
      <c r="G725" s="1" t="s">
        <v>19159</v>
      </c>
      <c r="H725" s="1" t="s">
        <v>16716</v>
      </c>
      <c r="I725" s="346"/>
      <c r="J725" s="39">
        <v>116895</v>
      </c>
      <c r="K725" s="36" t="str">
        <f>CONCATENATE(Cover!$D$6,"fdd/view?i=",J725)</f>
        <v>https://www.dgiwg.org/FAD/fdd/view?i=116895</v>
      </c>
      <c r="L725" s="36" t="s">
        <v>19160</v>
      </c>
      <c r="M725" s="186"/>
      <c r="N725" s="186"/>
      <c r="O725" s="13" t="s">
        <v>18428</v>
      </c>
    </row>
    <row r="726" spans="1:15" ht="38.25" x14ac:dyDescent="0.2">
      <c r="A726" s="197" t="str">
        <f t="shared" si="11"/>
        <v>ChyCode_chan098X</v>
      </c>
      <c r="B726" s="409"/>
      <c r="C726" s="416"/>
      <c r="D726" s="198" t="s">
        <v>18434</v>
      </c>
      <c r="E726" s="198">
        <v>273</v>
      </c>
      <c r="F726" s="199" t="s">
        <v>18435</v>
      </c>
      <c r="G726" s="1" t="s">
        <v>19161</v>
      </c>
      <c r="H726" s="1" t="s">
        <v>16716</v>
      </c>
      <c r="I726" s="346"/>
      <c r="J726" s="39">
        <v>116896</v>
      </c>
      <c r="K726" s="36" t="str">
        <f>CONCATENATE(Cover!$D$6,"fdd/view?i=",J726)</f>
        <v>https://www.dgiwg.org/FAD/fdd/view?i=116896</v>
      </c>
      <c r="L726" s="36" t="s">
        <v>19162</v>
      </c>
      <c r="M726" s="186"/>
      <c r="N726" s="186"/>
      <c r="O726" s="13" t="s">
        <v>18433</v>
      </c>
    </row>
    <row r="727" spans="1:15" ht="38.25" x14ac:dyDescent="0.2">
      <c r="A727" s="197" t="str">
        <f t="shared" si="11"/>
        <v>ChyCode_chan098Y</v>
      </c>
      <c r="B727" s="409"/>
      <c r="C727" s="416"/>
      <c r="D727" s="198" t="s">
        <v>18439</v>
      </c>
      <c r="E727" s="198">
        <v>274</v>
      </c>
      <c r="F727" s="199" t="s">
        <v>18440</v>
      </c>
      <c r="G727" s="1" t="s">
        <v>19163</v>
      </c>
      <c r="H727" s="1" t="s">
        <v>16716</v>
      </c>
      <c r="I727" s="346"/>
      <c r="J727" s="39">
        <v>116897</v>
      </c>
      <c r="K727" s="36" t="str">
        <f>CONCATENATE(Cover!$D$6,"fdd/view?i=",J727)</f>
        <v>https://www.dgiwg.org/FAD/fdd/view?i=116897</v>
      </c>
      <c r="L727" s="36" t="s">
        <v>19164</v>
      </c>
      <c r="M727" s="186"/>
      <c r="N727" s="186"/>
      <c r="O727" s="13" t="s">
        <v>18438</v>
      </c>
    </row>
    <row r="728" spans="1:15" ht="38.25" x14ac:dyDescent="0.2">
      <c r="A728" s="197" t="str">
        <f t="shared" si="11"/>
        <v>ChyCode_chan098Z</v>
      </c>
      <c r="B728" s="409"/>
      <c r="C728" s="416"/>
      <c r="D728" s="198" t="s">
        <v>18444</v>
      </c>
      <c r="E728" s="198">
        <v>275</v>
      </c>
      <c r="F728" s="199" t="s">
        <v>18445</v>
      </c>
      <c r="G728" s="1" t="s">
        <v>19165</v>
      </c>
      <c r="H728" s="1" t="s">
        <v>16716</v>
      </c>
      <c r="I728" s="346"/>
      <c r="J728" s="39">
        <v>116898</v>
      </c>
      <c r="K728" s="36" t="str">
        <f>CONCATENATE(Cover!$D$6,"fdd/view?i=",J728)</f>
        <v>https://www.dgiwg.org/FAD/fdd/view?i=116898</v>
      </c>
      <c r="L728" s="36" t="s">
        <v>19166</v>
      </c>
      <c r="M728" s="186"/>
      <c r="N728" s="186"/>
      <c r="O728" s="13" t="s">
        <v>18443</v>
      </c>
    </row>
    <row r="729" spans="1:15" ht="38.25" x14ac:dyDescent="0.2">
      <c r="A729" s="197" t="str">
        <f t="shared" si="11"/>
        <v>ChyCode_chan099X</v>
      </c>
      <c r="B729" s="409"/>
      <c r="C729" s="416"/>
      <c r="D729" s="198" t="s">
        <v>18449</v>
      </c>
      <c r="E729" s="198">
        <v>276</v>
      </c>
      <c r="F729" s="199" t="s">
        <v>18450</v>
      </c>
      <c r="G729" s="1" t="s">
        <v>19167</v>
      </c>
      <c r="H729" s="1" t="s">
        <v>16716</v>
      </c>
      <c r="I729" s="346"/>
      <c r="J729" s="39">
        <v>116899</v>
      </c>
      <c r="K729" s="36" t="str">
        <f>CONCATENATE(Cover!$D$6,"fdd/view?i=",J729)</f>
        <v>https://www.dgiwg.org/FAD/fdd/view?i=116899</v>
      </c>
      <c r="L729" s="36" t="s">
        <v>19168</v>
      </c>
      <c r="M729" s="186"/>
      <c r="N729" s="186"/>
      <c r="O729" s="13" t="s">
        <v>18448</v>
      </c>
    </row>
    <row r="730" spans="1:15" ht="38.25" x14ac:dyDescent="0.2">
      <c r="A730" s="197" t="str">
        <f t="shared" si="11"/>
        <v>ChyCode_chan099Y</v>
      </c>
      <c r="B730" s="409"/>
      <c r="C730" s="416"/>
      <c r="D730" s="198" t="s">
        <v>18454</v>
      </c>
      <c r="E730" s="198">
        <v>277</v>
      </c>
      <c r="F730" s="199" t="s">
        <v>18455</v>
      </c>
      <c r="G730" s="1" t="s">
        <v>19169</v>
      </c>
      <c r="H730" s="1" t="s">
        <v>16716</v>
      </c>
      <c r="I730" s="346"/>
      <c r="J730" s="39">
        <v>116900</v>
      </c>
      <c r="K730" s="36" t="str">
        <f>CONCATENATE(Cover!$D$6,"fdd/view?i=",J730)</f>
        <v>https://www.dgiwg.org/FAD/fdd/view?i=116900</v>
      </c>
      <c r="L730" s="36" t="s">
        <v>19170</v>
      </c>
      <c r="M730" s="186"/>
      <c r="N730" s="186"/>
      <c r="O730" s="13" t="s">
        <v>18453</v>
      </c>
    </row>
    <row r="731" spans="1:15" ht="38.25" x14ac:dyDescent="0.2">
      <c r="A731" s="197" t="str">
        <f t="shared" si="11"/>
        <v>ChyCode_chan099Z</v>
      </c>
      <c r="B731" s="409"/>
      <c r="C731" s="416"/>
      <c r="D731" s="198" t="s">
        <v>18459</v>
      </c>
      <c r="E731" s="198">
        <v>278</v>
      </c>
      <c r="F731" s="199" t="s">
        <v>18460</v>
      </c>
      <c r="G731" s="1" t="s">
        <v>19171</v>
      </c>
      <c r="H731" s="1" t="s">
        <v>16716</v>
      </c>
      <c r="I731" s="346"/>
      <c r="J731" s="39">
        <v>116901</v>
      </c>
      <c r="K731" s="36" t="str">
        <f>CONCATENATE(Cover!$D$6,"fdd/view?i=",J731)</f>
        <v>https://www.dgiwg.org/FAD/fdd/view?i=116901</v>
      </c>
      <c r="L731" s="36" t="s">
        <v>19172</v>
      </c>
      <c r="M731" s="186"/>
      <c r="N731" s="186"/>
      <c r="O731" s="13" t="s">
        <v>18458</v>
      </c>
    </row>
    <row r="732" spans="1:15" ht="38.25" x14ac:dyDescent="0.2">
      <c r="A732" s="197" t="str">
        <f t="shared" si="11"/>
        <v>ChyCode_chan100X</v>
      </c>
      <c r="B732" s="409"/>
      <c r="C732" s="416"/>
      <c r="D732" s="198" t="s">
        <v>16713</v>
      </c>
      <c r="E732" s="198">
        <v>279</v>
      </c>
      <c r="F732" s="199" t="s">
        <v>16714</v>
      </c>
      <c r="G732" s="1" t="s">
        <v>18473</v>
      </c>
      <c r="H732" s="1" t="s">
        <v>16716</v>
      </c>
      <c r="I732" s="346"/>
      <c r="J732" s="39">
        <v>116902</v>
      </c>
      <c r="K732" s="36" t="str">
        <f>CONCATENATE(Cover!$D$6,"fdd/view?i=",J732)</f>
        <v>https://www.dgiwg.org/FAD/fdd/view?i=116902</v>
      </c>
      <c r="L732" s="36" t="s">
        <v>18474</v>
      </c>
      <c r="M732" s="186"/>
      <c r="N732" s="186"/>
      <c r="O732" s="13" t="s">
        <v>16712</v>
      </c>
    </row>
    <row r="733" spans="1:15" ht="38.25" x14ac:dyDescent="0.2">
      <c r="A733" s="197" t="str">
        <f t="shared" si="11"/>
        <v>ChyCode_chan100Y</v>
      </c>
      <c r="B733" s="409"/>
      <c r="C733" s="416"/>
      <c r="D733" s="198" t="s">
        <v>16719</v>
      </c>
      <c r="E733" s="198">
        <v>280</v>
      </c>
      <c r="F733" s="199" t="s">
        <v>16720</v>
      </c>
      <c r="G733" s="1" t="s">
        <v>18475</v>
      </c>
      <c r="H733" s="1" t="s">
        <v>16716</v>
      </c>
      <c r="I733" s="346"/>
      <c r="J733" s="39">
        <v>116903</v>
      </c>
      <c r="K733" s="36" t="str">
        <f>CONCATENATE(Cover!$D$6,"fdd/view?i=",J733)</f>
        <v>https://www.dgiwg.org/FAD/fdd/view?i=116903</v>
      </c>
      <c r="L733" s="36" t="s">
        <v>18476</v>
      </c>
      <c r="M733" s="186"/>
      <c r="N733" s="186"/>
      <c r="O733" s="13" t="s">
        <v>16718</v>
      </c>
    </row>
    <row r="734" spans="1:15" ht="38.25" x14ac:dyDescent="0.2">
      <c r="A734" s="197" t="str">
        <f t="shared" si="11"/>
        <v>ChyCode_chan100Z</v>
      </c>
      <c r="B734" s="409"/>
      <c r="C734" s="416"/>
      <c r="D734" s="198" t="s">
        <v>16724</v>
      </c>
      <c r="E734" s="198">
        <v>281</v>
      </c>
      <c r="F734" s="199" t="s">
        <v>16725</v>
      </c>
      <c r="G734" s="1" t="s">
        <v>18477</v>
      </c>
      <c r="H734" s="1" t="s">
        <v>16716</v>
      </c>
      <c r="I734" s="346"/>
      <c r="J734" s="39">
        <v>116904</v>
      </c>
      <c r="K734" s="36" t="str">
        <f>CONCATENATE(Cover!$D$6,"fdd/view?i=",J734)</f>
        <v>https://www.dgiwg.org/FAD/fdd/view?i=116904</v>
      </c>
      <c r="L734" s="36" t="s">
        <v>18478</v>
      </c>
      <c r="M734" s="186"/>
      <c r="N734" s="186"/>
      <c r="O734" s="13" t="s">
        <v>16723</v>
      </c>
    </row>
    <row r="735" spans="1:15" ht="38.25" x14ac:dyDescent="0.2">
      <c r="A735" s="197" t="str">
        <f t="shared" si="11"/>
        <v>ChyCode_chan101X</v>
      </c>
      <c r="B735" s="409"/>
      <c r="C735" s="416"/>
      <c r="D735" s="198" t="s">
        <v>16729</v>
      </c>
      <c r="E735" s="198">
        <v>282</v>
      </c>
      <c r="F735" s="199" t="s">
        <v>16730</v>
      </c>
      <c r="G735" s="1" t="s">
        <v>18479</v>
      </c>
      <c r="H735" s="1" t="s">
        <v>16716</v>
      </c>
      <c r="I735" s="346"/>
      <c r="J735" s="39">
        <v>116905</v>
      </c>
      <c r="K735" s="36" t="str">
        <f>CONCATENATE(Cover!$D$6,"fdd/view?i=",J735)</f>
        <v>https://www.dgiwg.org/FAD/fdd/view?i=116905</v>
      </c>
      <c r="L735" s="36" t="s">
        <v>18480</v>
      </c>
      <c r="M735" s="186"/>
      <c r="N735" s="186"/>
      <c r="O735" s="13" t="s">
        <v>16728</v>
      </c>
    </row>
    <row r="736" spans="1:15" ht="38.25" x14ac:dyDescent="0.2">
      <c r="A736" s="197" t="str">
        <f t="shared" si="11"/>
        <v>ChyCode_chan101Y</v>
      </c>
      <c r="B736" s="409"/>
      <c r="C736" s="416"/>
      <c r="D736" s="198" t="s">
        <v>16734</v>
      </c>
      <c r="E736" s="198">
        <v>283</v>
      </c>
      <c r="F736" s="199" t="s">
        <v>16735</v>
      </c>
      <c r="G736" s="1" t="s">
        <v>18481</v>
      </c>
      <c r="H736" s="1" t="s">
        <v>16716</v>
      </c>
      <c r="I736" s="346"/>
      <c r="J736" s="39">
        <v>116906</v>
      </c>
      <c r="K736" s="36" t="str">
        <f>CONCATENATE(Cover!$D$6,"fdd/view?i=",J736)</f>
        <v>https://www.dgiwg.org/FAD/fdd/view?i=116906</v>
      </c>
      <c r="L736" s="36" t="s">
        <v>18482</v>
      </c>
      <c r="M736" s="186"/>
      <c r="N736" s="186"/>
      <c r="O736" s="13" t="s">
        <v>16733</v>
      </c>
    </row>
    <row r="737" spans="1:15" ht="38.25" x14ac:dyDescent="0.2">
      <c r="A737" s="197" t="str">
        <f t="shared" si="11"/>
        <v>ChyCode_chan101Z</v>
      </c>
      <c r="B737" s="409"/>
      <c r="C737" s="416"/>
      <c r="D737" s="198" t="s">
        <v>16739</v>
      </c>
      <c r="E737" s="198">
        <v>284</v>
      </c>
      <c r="F737" s="199" t="s">
        <v>16740</v>
      </c>
      <c r="G737" s="1" t="s">
        <v>18483</v>
      </c>
      <c r="H737" s="1" t="s">
        <v>16716</v>
      </c>
      <c r="I737" s="346"/>
      <c r="J737" s="39">
        <v>116907</v>
      </c>
      <c r="K737" s="36" t="str">
        <f>CONCATENATE(Cover!$D$6,"fdd/view?i=",J737)</f>
        <v>https://www.dgiwg.org/FAD/fdd/view?i=116907</v>
      </c>
      <c r="L737" s="36" t="s">
        <v>18484</v>
      </c>
      <c r="M737" s="186"/>
      <c r="N737" s="186"/>
      <c r="O737" s="13" t="s">
        <v>16738</v>
      </c>
    </row>
    <row r="738" spans="1:15" ht="38.25" x14ac:dyDescent="0.2">
      <c r="A738" s="197" t="str">
        <f t="shared" si="11"/>
        <v>ChyCode_chan102X</v>
      </c>
      <c r="B738" s="409"/>
      <c r="C738" s="416"/>
      <c r="D738" s="198" t="s">
        <v>16744</v>
      </c>
      <c r="E738" s="198">
        <v>285</v>
      </c>
      <c r="F738" s="199" t="s">
        <v>16745</v>
      </c>
      <c r="G738" s="1" t="s">
        <v>18485</v>
      </c>
      <c r="H738" s="1" t="s">
        <v>16716</v>
      </c>
      <c r="I738" s="346"/>
      <c r="J738" s="39">
        <v>116908</v>
      </c>
      <c r="K738" s="36" t="str">
        <f>CONCATENATE(Cover!$D$6,"fdd/view?i=",J738)</f>
        <v>https://www.dgiwg.org/FAD/fdd/view?i=116908</v>
      </c>
      <c r="L738" s="36" t="s">
        <v>18486</v>
      </c>
      <c r="M738" s="186"/>
      <c r="N738" s="186"/>
      <c r="O738" s="13" t="s">
        <v>16743</v>
      </c>
    </row>
    <row r="739" spans="1:15" ht="38.25" x14ac:dyDescent="0.2">
      <c r="A739" s="197" t="str">
        <f t="shared" si="11"/>
        <v>ChyCode_chan102Y</v>
      </c>
      <c r="B739" s="409"/>
      <c r="C739" s="416"/>
      <c r="D739" s="198" t="s">
        <v>16749</v>
      </c>
      <c r="E739" s="198">
        <v>286</v>
      </c>
      <c r="F739" s="199" t="s">
        <v>16750</v>
      </c>
      <c r="G739" s="1" t="s">
        <v>18487</v>
      </c>
      <c r="H739" s="1" t="s">
        <v>16716</v>
      </c>
      <c r="I739" s="346"/>
      <c r="J739" s="39">
        <v>116909</v>
      </c>
      <c r="K739" s="36" t="str">
        <f>CONCATENATE(Cover!$D$6,"fdd/view?i=",J739)</f>
        <v>https://www.dgiwg.org/FAD/fdd/view?i=116909</v>
      </c>
      <c r="L739" s="36" t="s">
        <v>18488</v>
      </c>
      <c r="M739" s="186"/>
      <c r="N739" s="186"/>
      <c r="O739" s="13" t="s">
        <v>16748</v>
      </c>
    </row>
    <row r="740" spans="1:15" ht="38.25" x14ac:dyDescent="0.2">
      <c r="A740" s="197" t="str">
        <f t="shared" si="11"/>
        <v>ChyCode_chan102Z</v>
      </c>
      <c r="B740" s="409"/>
      <c r="C740" s="416"/>
      <c r="D740" s="198" t="s">
        <v>16754</v>
      </c>
      <c r="E740" s="198">
        <v>287</v>
      </c>
      <c r="F740" s="199" t="s">
        <v>16755</v>
      </c>
      <c r="G740" s="1" t="s">
        <v>18489</v>
      </c>
      <c r="H740" s="1" t="s">
        <v>16716</v>
      </c>
      <c r="I740" s="346"/>
      <c r="J740" s="39">
        <v>116910</v>
      </c>
      <c r="K740" s="36" t="str">
        <f>CONCATENATE(Cover!$D$6,"fdd/view?i=",J740)</f>
        <v>https://www.dgiwg.org/FAD/fdd/view?i=116910</v>
      </c>
      <c r="L740" s="36" t="s">
        <v>18490</v>
      </c>
      <c r="M740" s="186"/>
      <c r="N740" s="186"/>
      <c r="O740" s="13" t="s">
        <v>16753</v>
      </c>
    </row>
    <row r="741" spans="1:15" ht="38.25" x14ac:dyDescent="0.2">
      <c r="A741" s="197" t="str">
        <f t="shared" si="11"/>
        <v>ChyCode_chan103X</v>
      </c>
      <c r="B741" s="409"/>
      <c r="C741" s="416"/>
      <c r="D741" s="198" t="s">
        <v>16759</v>
      </c>
      <c r="E741" s="198">
        <v>288</v>
      </c>
      <c r="F741" s="199" t="s">
        <v>16760</v>
      </c>
      <c r="G741" s="1" t="s">
        <v>18491</v>
      </c>
      <c r="H741" s="1" t="s">
        <v>16716</v>
      </c>
      <c r="I741" s="346"/>
      <c r="J741" s="39">
        <v>116911</v>
      </c>
      <c r="K741" s="36" t="str">
        <f>CONCATENATE(Cover!$D$6,"fdd/view?i=",J741)</f>
        <v>https://www.dgiwg.org/FAD/fdd/view?i=116911</v>
      </c>
      <c r="L741" s="36" t="s">
        <v>18492</v>
      </c>
      <c r="M741" s="186"/>
      <c r="N741" s="186"/>
      <c r="O741" s="13" t="s">
        <v>16758</v>
      </c>
    </row>
    <row r="742" spans="1:15" ht="38.25" x14ac:dyDescent="0.2">
      <c r="A742" s="197" t="str">
        <f t="shared" si="11"/>
        <v>ChyCode_chan103Y</v>
      </c>
      <c r="B742" s="409"/>
      <c r="C742" s="416"/>
      <c r="D742" s="198" t="s">
        <v>16764</v>
      </c>
      <c r="E742" s="198">
        <v>289</v>
      </c>
      <c r="F742" s="199" t="s">
        <v>16765</v>
      </c>
      <c r="G742" s="1" t="s">
        <v>18493</v>
      </c>
      <c r="H742" s="1" t="s">
        <v>16716</v>
      </c>
      <c r="I742" s="346"/>
      <c r="J742" s="39">
        <v>116912</v>
      </c>
      <c r="K742" s="36" t="str">
        <f>CONCATENATE(Cover!$D$6,"fdd/view?i=",J742)</f>
        <v>https://www.dgiwg.org/FAD/fdd/view?i=116912</v>
      </c>
      <c r="L742" s="36" t="s">
        <v>18494</v>
      </c>
      <c r="M742" s="186"/>
      <c r="N742" s="186"/>
      <c r="O742" s="13" t="s">
        <v>16763</v>
      </c>
    </row>
    <row r="743" spans="1:15" ht="38.25" x14ac:dyDescent="0.2">
      <c r="A743" s="197" t="str">
        <f t="shared" si="11"/>
        <v>ChyCode_chan103Z</v>
      </c>
      <c r="B743" s="409"/>
      <c r="C743" s="416"/>
      <c r="D743" s="198" t="s">
        <v>16769</v>
      </c>
      <c r="E743" s="198">
        <v>290</v>
      </c>
      <c r="F743" s="199" t="s">
        <v>16770</v>
      </c>
      <c r="G743" s="1" t="s">
        <v>18495</v>
      </c>
      <c r="H743" s="1" t="s">
        <v>16716</v>
      </c>
      <c r="I743" s="346"/>
      <c r="J743" s="39">
        <v>116913</v>
      </c>
      <c r="K743" s="36" t="str">
        <f>CONCATENATE(Cover!$D$6,"fdd/view?i=",J743)</f>
        <v>https://www.dgiwg.org/FAD/fdd/view?i=116913</v>
      </c>
      <c r="L743" s="36" t="s">
        <v>18496</v>
      </c>
      <c r="M743" s="186"/>
      <c r="N743" s="186"/>
      <c r="O743" s="13" t="s">
        <v>16768</v>
      </c>
    </row>
    <row r="744" spans="1:15" ht="38.25" x14ac:dyDescent="0.2">
      <c r="A744" s="197" t="str">
        <f t="shared" si="11"/>
        <v>ChyCode_chan104X</v>
      </c>
      <c r="B744" s="409"/>
      <c r="C744" s="416"/>
      <c r="D744" s="198" t="s">
        <v>16774</v>
      </c>
      <c r="E744" s="198">
        <v>291</v>
      </c>
      <c r="F744" s="199" t="s">
        <v>16775</v>
      </c>
      <c r="G744" s="1" t="s">
        <v>18497</v>
      </c>
      <c r="H744" s="1" t="s">
        <v>16716</v>
      </c>
      <c r="I744" s="346"/>
      <c r="J744" s="39">
        <v>116914</v>
      </c>
      <c r="K744" s="36" t="str">
        <f>CONCATENATE(Cover!$D$6,"fdd/view?i=",J744)</f>
        <v>https://www.dgiwg.org/FAD/fdd/view?i=116914</v>
      </c>
      <c r="L744" s="36" t="s">
        <v>18498</v>
      </c>
      <c r="M744" s="186"/>
      <c r="N744" s="186"/>
      <c r="O744" s="13" t="s">
        <v>16773</v>
      </c>
    </row>
    <row r="745" spans="1:15" ht="38.25" x14ac:dyDescent="0.2">
      <c r="A745" s="197" t="str">
        <f t="shared" si="11"/>
        <v>ChyCode_chan104Y</v>
      </c>
      <c r="B745" s="409"/>
      <c r="C745" s="416"/>
      <c r="D745" s="198" t="s">
        <v>16779</v>
      </c>
      <c r="E745" s="198">
        <v>292</v>
      </c>
      <c r="F745" s="199" t="s">
        <v>16780</v>
      </c>
      <c r="G745" s="1" t="s">
        <v>18499</v>
      </c>
      <c r="H745" s="1" t="s">
        <v>16716</v>
      </c>
      <c r="I745" s="346"/>
      <c r="J745" s="39">
        <v>116915</v>
      </c>
      <c r="K745" s="36" t="str">
        <f>CONCATENATE(Cover!$D$6,"fdd/view?i=",J745)</f>
        <v>https://www.dgiwg.org/FAD/fdd/view?i=116915</v>
      </c>
      <c r="L745" s="36" t="s">
        <v>18500</v>
      </c>
      <c r="M745" s="186"/>
      <c r="N745" s="186"/>
      <c r="O745" s="13" t="s">
        <v>16778</v>
      </c>
    </row>
    <row r="746" spans="1:15" ht="38.25" x14ac:dyDescent="0.2">
      <c r="A746" s="197" t="str">
        <f t="shared" si="11"/>
        <v>ChyCode_chan104Z</v>
      </c>
      <c r="B746" s="409"/>
      <c r="C746" s="416"/>
      <c r="D746" s="198" t="s">
        <v>16784</v>
      </c>
      <c r="E746" s="198">
        <v>293</v>
      </c>
      <c r="F746" s="199" t="s">
        <v>16785</v>
      </c>
      <c r="G746" s="1" t="s">
        <v>18501</v>
      </c>
      <c r="H746" s="1" t="s">
        <v>16716</v>
      </c>
      <c r="I746" s="346"/>
      <c r="J746" s="39">
        <v>116916</v>
      </c>
      <c r="K746" s="36" t="str">
        <f>CONCATENATE(Cover!$D$6,"fdd/view?i=",J746)</f>
        <v>https://www.dgiwg.org/FAD/fdd/view?i=116916</v>
      </c>
      <c r="L746" s="36" t="s">
        <v>18502</v>
      </c>
      <c r="M746" s="186"/>
      <c r="N746" s="186"/>
      <c r="O746" s="13" t="s">
        <v>16783</v>
      </c>
    </row>
    <row r="747" spans="1:15" ht="38.25" x14ac:dyDescent="0.2">
      <c r="A747" s="197" t="str">
        <f t="shared" si="11"/>
        <v>ChyCode_chan105X</v>
      </c>
      <c r="B747" s="409"/>
      <c r="C747" s="416"/>
      <c r="D747" s="198" t="s">
        <v>16789</v>
      </c>
      <c r="E747" s="198">
        <v>294</v>
      </c>
      <c r="F747" s="199" t="s">
        <v>16790</v>
      </c>
      <c r="G747" s="1" t="s">
        <v>18503</v>
      </c>
      <c r="H747" s="1" t="s">
        <v>16716</v>
      </c>
      <c r="I747" s="346"/>
      <c r="J747" s="39">
        <v>116917</v>
      </c>
      <c r="K747" s="36" t="str">
        <f>CONCATENATE(Cover!$D$6,"fdd/view?i=",J747)</f>
        <v>https://www.dgiwg.org/FAD/fdd/view?i=116917</v>
      </c>
      <c r="L747" s="36" t="s">
        <v>18504</v>
      </c>
      <c r="M747" s="186"/>
      <c r="N747" s="186"/>
      <c r="O747" s="13" t="s">
        <v>16788</v>
      </c>
    </row>
    <row r="748" spans="1:15" ht="38.25" x14ac:dyDescent="0.2">
      <c r="A748" s="197" t="str">
        <f t="shared" si="11"/>
        <v>ChyCode_chan105Y</v>
      </c>
      <c r="B748" s="409"/>
      <c r="C748" s="416"/>
      <c r="D748" s="198" t="s">
        <v>16794</v>
      </c>
      <c r="E748" s="198">
        <v>295</v>
      </c>
      <c r="F748" s="199" t="s">
        <v>16795</v>
      </c>
      <c r="G748" s="1" t="s">
        <v>18505</v>
      </c>
      <c r="H748" s="1" t="s">
        <v>16716</v>
      </c>
      <c r="I748" s="346"/>
      <c r="J748" s="39">
        <v>116918</v>
      </c>
      <c r="K748" s="36" t="str">
        <f>CONCATENATE(Cover!$D$6,"fdd/view?i=",J748)</f>
        <v>https://www.dgiwg.org/FAD/fdd/view?i=116918</v>
      </c>
      <c r="L748" s="36" t="s">
        <v>18506</v>
      </c>
      <c r="M748" s="186"/>
      <c r="N748" s="186"/>
      <c r="O748" s="13" t="s">
        <v>16793</v>
      </c>
    </row>
    <row r="749" spans="1:15" ht="38.25" x14ac:dyDescent="0.2">
      <c r="A749" s="197" t="str">
        <f t="shared" si="11"/>
        <v>ChyCode_chan105Z</v>
      </c>
      <c r="B749" s="409"/>
      <c r="C749" s="416"/>
      <c r="D749" s="198" t="s">
        <v>16799</v>
      </c>
      <c r="E749" s="198">
        <v>296</v>
      </c>
      <c r="F749" s="199" t="s">
        <v>16800</v>
      </c>
      <c r="G749" s="1" t="s">
        <v>18507</v>
      </c>
      <c r="H749" s="1" t="s">
        <v>16716</v>
      </c>
      <c r="I749" s="346"/>
      <c r="J749" s="39">
        <v>116919</v>
      </c>
      <c r="K749" s="36" t="str">
        <f>CONCATENATE(Cover!$D$6,"fdd/view?i=",J749)</f>
        <v>https://www.dgiwg.org/FAD/fdd/view?i=116919</v>
      </c>
      <c r="L749" s="36" t="s">
        <v>18508</v>
      </c>
      <c r="M749" s="186"/>
      <c r="N749" s="186"/>
      <c r="O749" s="13" t="s">
        <v>16798</v>
      </c>
    </row>
    <row r="750" spans="1:15" ht="38.25" x14ac:dyDescent="0.2">
      <c r="A750" s="197" t="str">
        <f t="shared" si="11"/>
        <v>ChyCode_chan106X</v>
      </c>
      <c r="B750" s="409"/>
      <c r="C750" s="416"/>
      <c r="D750" s="198" t="s">
        <v>16804</v>
      </c>
      <c r="E750" s="198">
        <v>297</v>
      </c>
      <c r="F750" s="199" t="s">
        <v>16805</v>
      </c>
      <c r="G750" s="1" t="s">
        <v>18509</v>
      </c>
      <c r="H750" s="1" t="s">
        <v>16716</v>
      </c>
      <c r="I750" s="346"/>
      <c r="J750" s="39">
        <v>116920</v>
      </c>
      <c r="K750" s="36" t="str">
        <f>CONCATENATE(Cover!$D$6,"fdd/view?i=",J750)</f>
        <v>https://www.dgiwg.org/FAD/fdd/view?i=116920</v>
      </c>
      <c r="L750" s="36" t="s">
        <v>18510</v>
      </c>
      <c r="M750" s="186"/>
      <c r="N750" s="186"/>
      <c r="O750" s="13" t="s">
        <v>16803</v>
      </c>
    </row>
    <row r="751" spans="1:15" ht="38.25" x14ac:dyDescent="0.2">
      <c r="A751" s="197" t="str">
        <f t="shared" si="11"/>
        <v>ChyCode_chan106Y</v>
      </c>
      <c r="B751" s="409"/>
      <c r="C751" s="416"/>
      <c r="D751" s="198" t="s">
        <v>16809</v>
      </c>
      <c r="E751" s="198">
        <v>298</v>
      </c>
      <c r="F751" s="199" t="s">
        <v>16810</v>
      </c>
      <c r="G751" s="1" t="s">
        <v>18511</v>
      </c>
      <c r="H751" s="1" t="s">
        <v>16716</v>
      </c>
      <c r="I751" s="346"/>
      <c r="J751" s="39">
        <v>116921</v>
      </c>
      <c r="K751" s="36" t="str">
        <f>CONCATENATE(Cover!$D$6,"fdd/view?i=",J751)</f>
        <v>https://www.dgiwg.org/FAD/fdd/view?i=116921</v>
      </c>
      <c r="L751" s="36" t="s">
        <v>18512</v>
      </c>
      <c r="M751" s="186"/>
      <c r="N751" s="186"/>
      <c r="O751" s="13" t="s">
        <v>16808</v>
      </c>
    </row>
    <row r="752" spans="1:15" ht="38.25" x14ac:dyDescent="0.2">
      <c r="A752" s="197" t="str">
        <f t="shared" si="11"/>
        <v>ChyCode_chan106Z</v>
      </c>
      <c r="B752" s="409"/>
      <c r="C752" s="416"/>
      <c r="D752" s="198" t="s">
        <v>16814</v>
      </c>
      <c r="E752" s="198">
        <v>299</v>
      </c>
      <c r="F752" s="199" t="s">
        <v>16815</v>
      </c>
      <c r="G752" s="1" t="s">
        <v>18513</v>
      </c>
      <c r="H752" s="1" t="s">
        <v>16716</v>
      </c>
      <c r="I752" s="346"/>
      <c r="J752" s="39">
        <v>116922</v>
      </c>
      <c r="K752" s="36" t="str">
        <f>CONCATENATE(Cover!$D$6,"fdd/view?i=",J752)</f>
        <v>https://www.dgiwg.org/FAD/fdd/view?i=116922</v>
      </c>
      <c r="L752" s="36" t="s">
        <v>18514</v>
      </c>
      <c r="M752" s="186"/>
      <c r="N752" s="186"/>
      <c r="O752" s="13" t="s">
        <v>16813</v>
      </c>
    </row>
    <row r="753" spans="1:15" ht="38.25" x14ac:dyDescent="0.2">
      <c r="A753" s="197" t="str">
        <f t="shared" si="11"/>
        <v>ChyCode_chan107X</v>
      </c>
      <c r="B753" s="409"/>
      <c r="C753" s="416"/>
      <c r="D753" s="198" t="s">
        <v>16819</v>
      </c>
      <c r="E753" s="198">
        <v>300</v>
      </c>
      <c r="F753" s="199" t="s">
        <v>16820</v>
      </c>
      <c r="G753" s="1" t="s">
        <v>18515</v>
      </c>
      <c r="H753" s="1" t="s">
        <v>16716</v>
      </c>
      <c r="I753" s="346"/>
      <c r="J753" s="39">
        <v>116923</v>
      </c>
      <c r="K753" s="36" t="str">
        <f>CONCATENATE(Cover!$D$6,"fdd/view?i=",J753)</f>
        <v>https://www.dgiwg.org/FAD/fdd/view?i=116923</v>
      </c>
      <c r="L753" s="36" t="s">
        <v>18516</v>
      </c>
      <c r="M753" s="186"/>
      <c r="N753" s="186"/>
      <c r="O753" s="13" t="s">
        <v>16818</v>
      </c>
    </row>
    <row r="754" spans="1:15" ht="38.25" x14ac:dyDescent="0.2">
      <c r="A754" s="197" t="str">
        <f t="shared" si="11"/>
        <v>ChyCode_chan107Y</v>
      </c>
      <c r="B754" s="409"/>
      <c r="C754" s="416"/>
      <c r="D754" s="198" t="s">
        <v>16824</v>
      </c>
      <c r="E754" s="198">
        <v>301</v>
      </c>
      <c r="F754" s="199" t="s">
        <v>16825</v>
      </c>
      <c r="G754" s="1" t="s">
        <v>18517</v>
      </c>
      <c r="H754" s="1" t="s">
        <v>16716</v>
      </c>
      <c r="I754" s="346"/>
      <c r="J754" s="39">
        <v>116924</v>
      </c>
      <c r="K754" s="36" t="str">
        <f>CONCATENATE(Cover!$D$6,"fdd/view?i=",J754)</f>
        <v>https://www.dgiwg.org/FAD/fdd/view?i=116924</v>
      </c>
      <c r="L754" s="36" t="s">
        <v>18518</v>
      </c>
      <c r="M754" s="186"/>
      <c r="N754" s="186"/>
      <c r="O754" s="13" t="s">
        <v>16823</v>
      </c>
    </row>
    <row r="755" spans="1:15" ht="38.25" x14ac:dyDescent="0.2">
      <c r="A755" s="197" t="str">
        <f t="shared" si="11"/>
        <v>ChyCode_chan107Z</v>
      </c>
      <c r="B755" s="409"/>
      <c r="C755" s="416"/>
      <c r="D755" s="198" t="s">
        <v>16829</v>
      </c>
      <c r="E755" s="198">
        <v>302</v>
      </c>
      <c r="F755" s="199" t="s">
        <v>16830</v>
      </c>
      <c r="G755" s="1" t="s">
        <v>18519</v>
      </c>
      <c r="H755" s="1" t="s">
        <v>16716</v>
      </c>
      <c r="I755" s="346"/>
      <c r="J755" s="39">
        <v>116925</v>
      </c>
      <c r="K755" s="36" t="str">
        <f>CONCATENATE(Cover!$D$6,"fdd/view?i=",J755)</f>
        <v>https://www.dgiwg.org/FAD/fdd/view?i=116925</v>
      </c>
      <c r="L755" s="36" t="s">
        <v>18520</v>
      </c>
      <c r="M755" s="186"/>
      <c r="N755" s="186"/>
      <c r="O755" s="13" t="s">
        <v>16828</v>
      </c>
    </row>
    <row r="756" spans="1:15" ht="38.25" x14ac:dyDescent="0.2">
      <c r="A756" s="197" t="str">
        <f t="shared" si="11"/>
        <v>ChyCode_chan108X</v>
      </c>
      <c r="B756" s="409"/>
      <c r="C756" s="416"/>
      <c r="D756" s="198" t="s">
        <v>16834</v>
      </c>
      <c r="E756" s="198">
        <v>303</v>
      </c>
      <c r="F756" s="199" t="s">
        <v>16835</v>
      </c>
      <c r="G756" s="1" t="s">
        <v>18521</v>
      </c>
      <c r="H756" s="1" t="s">
        <v>16716</v>
      </c>
      <c r="I756" s="346"/>
      <c r="J756" s="39">
        <v>116926</v>
      </c>
      <c r="K756" s="36" t="str">
        <f>CONCATENATE(Cover!$D$6,"fdd/view?i=",J756)</f>
        <v>https://www.dgiwg.org/FAD/fdd/view?i=116926</v>
      </c>
      <c r="L756" s="36" t="s">
        <v>18522</v>
      </c>
      <c r="M756" s="186"/>
      <c r="N756" s="186"/>
      <c r="O756" s="13" t="s">
        <v>16833</v>
      </c>
    </row>
    <row r="757" spans="1:15" ht="38.25" x14ac:dyDescent="0.2">
      <c r="A757" s="197" t="str">
        <f t="shared" si="11"/>
        <v>ChyCode_chan108Y</v>
      </c>
      <c r="B757" s="409"/>
      <c r="C757" s="416"/>
      <c r="D757" s="198" t="s">
        <v>16839</v>
      </c>
      <c r="E757" s="198">
        <v>304</v>
      </c>
      <c r="F757" s="199" t="s">
        <v>16840</v>
      </c>
      <c r="G757" s="1" t="s">
        <v>18523</v>
      </c>
      <c r="H757" s="1" t="s">
        <v>16716</v>
      </c>
      <c r="I757" s="346"/>
      <c r="J757" s="39">
        <v>116927</v>
      </c>
      <c r="K757" s="36" t="str">
        <f>CONCATENATE(Cover!$D$6,"fdd/view?i=",J757)</f>
        <v>https://www.dgiwg.org/FAD/fdd/view?i=116927</v>
      </c>
      <c r="L757" s="36" t="s">
        <v>18524</v>
      </c>
      <c r="M757" s="186"/>
      <c r="N757" s="186"/>
      <c r="O757" s="13" t="s">
        <v>16838</v>
      </c>
    </row>
    <row r="758" spans="1:15" ht="38.25" x14ac:dyDescent="0.2">
      <c r="A758" s="197" t="str">
        <f t="shared" si="11"/>
        <v>ChyCode_chan108Z</v>
      </c>
      <c r="B758" s="409"/>
      <c r="C758" s="416"/>
      <c r="D758" s="198" t="s">
        <v>16844</v>
      </c>
      <c r="E758" s="198">
        <v>305</v>
      </c>
      <c r="F758" s="199" t="s">
        <v>16845</v>
      </c>
      <c r="G758" s="1" t="s">
        <v>18525</v>
      </c>
      <c r="H758" s="1" t="s">
        <v>16716</v>
      </c>
      <c r="I758" s="346"/>
      <c r="J758" s="39">
        <v>116928</v>
      </c>
      <c r="K758" s="36" t="str">
        <f>CONCATENATE(Cover!$D$6,"fdd/view?i=",J758)</f>
        <v>https://www.dgiwg.org/FAD/fdd/view?i=116928</v>
      </c>
      <c r="L758" s="36" t="s">
        <v>18526</v>
      </c>
      <c r="M758" s="186"/>
      <c r="N758" s="186"/>
      <c r="O758" s="13" t="s">
        <v>16843</v>
      </c>
    </row>
    <row r="759" spans="1:15" ht="38.25" x14ac:dyDescent="0.2">
      <c r="A759" s="197" t="str">
        <f t="shared" si="11"/>
        <v>ChyCode_chan109X</v>
      </c>
      <c r="B759" s="409"/>
      <c r="C759" s="416"/>
      <c r="D759" s="198" t="s">
        <v>16849</v>
      </c>
      <c r="E759" s="198">
        <v>306</v>
      </c>
      <c r="F759" s="199" t="s">
        <v>16850</v>
      </c>
      <c r="G759" s="1" t="s">
        <v>18527</v>
      </c>
      <c r="H759" s="1" t="s">
        <v>16716</v>
      </c>
      <c r="I759" s="346"/>
      <c r="J759" s="39">
        <v>116929</v>
      </c>
      <c r="K759" s="36" t="str">
        <f>CONCATENATE(Cover!$D$6,"fdd/view?i=",J759)</f>
        <v>https://www.dgiwg.org/FAD/fdd/view?i=116929</v>
      </c>
      <c r="L759" s="36" t="s">
        <v>18528</v>
      </c>
      <c r="M759" s="186"/>
      <c r="N759" s="186"/>
      <c r="O759" s="13" t="s">
        <v>16848</v>
      </c>
    </row>
    <row r="760" spans="1:15" ht="38.25" x14ac:dyDescent="0.2">
      <c r="A760" s="197" t="str">
        <f t="shared" si="11"/>
        <v>ChyCode_chan109Y</v>
      </c>
      <c r="B760" s="409"/>
      <c r="C760" s="416"/>
      <c r="D760" s="198" t="s">
        <v>16854</v>
      </c>
      <c r="E760" s="198">
        <v>307</v>
      </c>
      <c r="F760" s="199" t="s">
        <v>16855</v>
      </c>
      <c r="G760" s="1" t="s">
        <v>18529</v>
      </c>
      <c r="H760" s="1" t="s">
        <v>16716</v>
      </c>
      <c r="I760" s="346"/>
      <c r="J760" s="39">
        <v>116930</v>
      </c>
      <c r="K760" s="36" t="str">
        <f>CONCATENATE(Cover!$D$6,"fdd/view?i=",J760)</f>
        <v>https://www.dgiwg.org/FAD/fdd/view?i=116930</v>
      </c>
      <c r="L760" s="36" t="s">
        <v>18530</v>
      </c>
      <c r="M760" s="186"/>
      <c r="N760" s="186"/>
      <c r="O760" s="13" t="s">
        <v>16853</v>
      </c>
    </row>
    <row r="761" spans="1:15" ht="38.25" x14ac:dyDescent="0.2">
      <c r="A761" s="197" t="str">
        <f t="shared" si="11"/>
        <v>ChyCode_chan109Z</v>
      </c>
      <c r="B761" s="409"/>
      <c r="C761" s="416"/>
      <c r="D761" s="198" t="s">
        <v>16859</v>
      </c>
      <c r="E761" s="198">
        <v>308</v>
      </c>
      <c r="F761" s="199" t="s">
        <v>16860</v>
      </c>
      <c r="G761" s="1" t="s">
        <v>18531</v>
      </c>
      <c r="H761" s="1" t="s">
        <v>16716</v>
      </c>
      <c r="I761" s="346"/>
      <c r="J761" s="39">
        <v>116931</v>
      </c>
      <c r="K761" s="36" t="str">
        <f>CONCATENATE(Cover!$D$6,"fdd/view?i=",J761)</f>
        <v>https://www.dgiwg.org/FAD/fdd/view?i=116931</v>
      </c>
      <c r="L761" s="36" t="s">
        <v>18532</v>
      </c>
      <c r="M761" s="186"/>
      <c r="N761" s="186"/>
      <c r="O761" s="13" t="s">
        <v>16858</v>
      </c>
    </row>
    <row r="762" spans="1:15" ht="38.25" x14ac:dyDescent="0.2">
      <c r="A762" s="197" t="str">
        <f t="shared" si="11"/>
        <v>ChyCode_chan110X</v>
      </c>
      <c r="B762" s="409"/>
      <c r="C762" s="416"/>
      <c r="D762" s="198" t="s">
        <v>16874</v>
      </c>
      <c r="E762" s="198">
        <v>309</v>
      </c>
      <c r="F762" s="199" t="s">
        <v>16875</v>
      </c>
      <c r="G762" s="1" t="s">
        <v>18537</v>
      </c>
      <c r="H762" s="1" t="s">
        <v>16716</v>
      </c>
      <c r="I762" s="346"/>
      <c r="J762" s="39">
        <v>116932</v>
      </c>
      <c r="K762" s="36" t="str">
        <f>CONCATENATE(Cover!$D$6,"fdd/view?i=",J762)</f>
        <v>https://www.dgiwg.org/FAD/fdd/view?i=116932</v>
      </c>
      <c r="L762" s="36" t="s">
        <v>18538</v>
      </c>
      <c r="M762" s="186"/>
      <c r="N762" s="186"/>
      <c r="O762" s="13" t="s">
        <v>16873</v>
      </c>
    </row>
    <row r="763" spans="1:15" ht="38.25" x14ac:dyDescent="0.2">
      <c r="A763" s="197" t="str">
        <f t="shared" si="11"/>
        <v>ChyCode_chan110Y</v>
      </c>
      <c r="B763" s="409"/>
      <c r="C763" s="416"/>
      <c r="D763" s="198" t="s">
        <v>16879</v>
      </c>
      <c r="E763" s="198">
        <v>310</v>
      </c>
      <c r="F763" s="199" t="s">
        <v>16880</v>
      </c>
      <c r="G763" s="1" t="s">
        <v>18539</v>
      </c>
      <c r="H763" s="1" t="s">
        <v>16716</v>
      </c>
      <c r="I763" s="346"/>
      <c r="J763" s="39">
        <v>116933</v>
      </c>
      <c r="K763" s="36" t="str">
        <f>CONCATENATE(Cover!$D$6,"fdd/view?i=",J763)</f>
        <v>https://www.dgiwg.org/FAD/fdd/view?i=116933</v>
      </c>
      <c r="L763" s="36" t="s">
        <v>18540</v>
      </c>
      <c r="M763" s="186"/>
      <c r="N763" s="186"/>
      <c r="O763" s="13" t="s">
        <v>16878</v>
      </c>
    </row>
    <row r="764" spans="1:15" ht="38.25" x14ac:dyDescent="0.2">
      <c r="A764" s="197" t="str">
        <f t="shared" si="11"/>
        <v>ChyCode_chan110Z</v>
      </c>
      <c r="B764" s="409"/>
      <c r="C764" s="416"/>
      <c r="D764" s="198" t="s">
        <v>16884</v>
      </c>
      <c r="E764" s="198">
        <v>311</v>
      </c>
      <c r="F764" s="199" t="s">
        <v>16885</v>
      </c>
      <c r="G764" s="1" t="s">
        <v>18541</v>
      </c>
      <c r="H764" s="1" t="s">
        <v>16716</v>
      </c>
      <c r="I764" s="346"/>
      <c r="J764" s="39">
        <v>116934</v>
      </c>
      <c r="K764" s="36" t="str">
        <f>CONCATENATE(Cover!$D$6,"fdd/view?i=",J764)</f>
        <v>https://www.dgiwg.org/FAD/fdd/view?i=116934</v>
      </c>
      <c r="L764" s="36" t="s">
        <v>18542</v>
      </c>
      <c r="M764" s="186"/>
      <c r="N764" s="186"/>
      <c r="O764" s="13" t="s">
        <v>16883</v>
      </c>
    </row>
    <row r="765" spans="1:15" ht="38.25" x14ac:dyDescent="0.2">
      <c r="A765" s="197" t="str">
        <f t="shared" si="11"/>
        <v>ChyCode_chan111X</v>
      </c>
      <c r="B765" s="409"/>
      <c r="C765" s="416"/>
      <c r="D765" s="198" t="s">
        <v>16889</v>
      </c>
      <c r="E765" s="198">
        <v>312</v>
      </c>
      <c r="F765" s="199" t="s">
        <v>16890</v>
      </c>
      <c r="G765" s="1" t="s">
        <v>18543</v>
      </c>
      <c r="H765" s="1" t="s">
        <v>16716</v>
      </c>
      <c r="I765" s="346"/>
      <c r="J765" s="39">
        <v>116935</v>
      </c>
      <c r="K765" s="36" t="str">
        <f>CONCATENATE(Cover!$D$6,"fdd/view?i=",J765)</f>
        <v>https://www.dgiwg.org/FAD/fdd/view?i=116935</v>
      </c>
      <c r="L765" s="36" t="s">
        <v>18544</v>
      </c>
      <c r="M765" s="186"/>
      <c r="N765" s="186"/>
      <c r="O765" s="13" t="s">
        <v>16888</v>
      </c>
    </row>
    <row r="766" spans="1:15" ht="38.25" x14ac:dyDescent="0.2">
      <c r="A766" s="197" t="str">
        <f t="shared" si="11"/>
        <v>ChyCode_chan111Y</v>
      </c>
      <c r="B766" s="409"/>
      <c r="C766" s="416"/>
      <c r="D766" s="198" t="s">
        <v>16894</v>
      </c>
      <c r="E766" s="198">
        <v>313</v>
      </c>
      <c r="F766" s="199" t="s">
        <v>16895</v>
      </c>
      <c r="G766" s="1" t="s">
        <v>18545</v>
      </c>
      <c r="H766" s="1" t="s">
        <v>16716</v>
      </c>
      <c r="I766" s="346"/>
      <c r="J766" s="39">
        <v>116936</v>
      </c>
      <c r="K766" s="36" t="str">
        <f>CONCATENATE(Cover!$D$6,"fdd/view?i=",J766)</f>
        <v>https://www.dgiwg.org/FAD/fdd/view?i=116936</v>
      </c>
      <c r="L766" s="36" t="s">
        <v>18546</v>
      </c>
      <c r="M766" s="186"/>
      <c r="N766" s="186"/>
      <c r="O766" s="13" t="s">
        <v>16893</v>
      </c>
    </row>
    <row r="767" spans="1:15" ht="38.25" x14ac:dyDescent="0.2">
      <c r="A767" s="197" t="str">
        <f t="shared" si="11"/>
        <v>ChyCode_chan111Z</v>
      </c>
      <c r="B767" s="409"/>
      <c r="C767" s="416"/>
      <c r="D767" s="198" t="s">
        <v>16899</v>
      </c>
      <c r="E767" s="198">
        <v>314</v>
      </c>
      <c r="F767" s="199" t="s">
        <v>16900</v>
      </c>
      <c r="G767" s="1" t="s">
        <v>18547</v>
      </c>
      <c r="H767" s="1" t="s">
        <v>16716</v>
      </c>
      <c r="I767" s="346"/>
      <c r="J767" s="39">
        <v>116937</v>
      </c>
      <c r="K767" s="36" t="str">
        <f>CONCATENATE(Cover!$D$6,"fdd/view?i=",J767)</f>
        <v>https://www.dgiwg.org/FAD/fdd/view?i=116937</v>
      </c>
      <c r="L767" s="36" t="s">
        <v>18548</v>
      </c>
      <c r="M767" s="186"/>
      <c r="N767" s="186"/>
      <c r="O767" s="13" t="s">
        <v>16898</v>
      </c>
    </row>
    <row r="768" spans="1:15" ht="38.25" x14ac:dyDescent="0.2">
      <c r="A768" s="197" t="str">
        <f t="shared" si="11"/>
        <v>ChyCode_chan112X</v>
      </c>
      <c r="B768" s="409"/>
      <c r="C768" s="416"/>
      <c r="D768" s="198" t="s">
        <v>16904</v>
      </c>
      <c r="E768" s="198">
        <v>315</v>
      </c>
      <c r="F768" s="199" t="s">
        <v>16905</v>
      </c>
      <c r="G768" s="1" t="s">
        <v>18549</v>
      </c>
      <c r="H768" s="1" t="s">
        <v>16716</v>
      </c>
      <c r="I768" s="346"/>
      <c r="J768" s="39">
        <v>116938</v>
      </c>
      <c r="K768" s="36" t="str">
        <f>CONCATENATE(Cover!$D$6,"fdd/view?i=",J768)</f>
        <v>https://www.dgiwg.org/FAD/fdd/view?i=116938</v>
      </c>
      <c r="L768" s="36" t="s">
        <v>18550</v>
      </c>
      <c r="M768" s="186"/>
      <c r="N768" s="186"/>
      <c r="O768" s="13" t="s">
        <v>16903</v>
      </c>
    </row>
    <row r="769" spans="1:15" ht="38.25" x14ac:dyDescent="0.2">
      <c r="A769" s="197" t="str">
        <f t="shared" si="11"/>
        <v>ChyCode_chan112Y</v>
      </c>
      <c r="B769" s="409"/>
      <c r="C769" s="416"/>
      <c r="D769" s="198" t="s">
        <v>16909</v>
      </c>
      <c r="E769" s="198">
        <v>316</v>
      </c>
      <c r="F769" s="199" t="s">
        <v>16910</v>
      </c>
      <c r="G769" s="1" t="s">
        <v>18551</v>
      </c>
      <c r="H769" s="1" t="s">
        <v>16716</v>
      </c>
      <c r="I769" s="346"/>
      <c r="J769" s="39">
        <v>116939</v>
      </c>
      <c r="K769" s="36" t="str">
        <f>CONCATENATE(Cover!$D$6,"fdd/view?i=",J769)</f>
        <v>https://www.dgiwg.org/FAD/fdd/view?i=116939</v>
      </c>
      <c r="L769" s="36" t="s">
        <v>18552</v>
      </c>
      <c r="M769" s="186"/>
      <c r="N769" s="186"/>
      <c r="O769" s="13" t="s">
        <v>16908</v>
      </c>
    </row>
    <row r="770" spans="1:15" ht="38.25" x14ac:dyDescent="0.2">
      <c r="A770" s="197" t="str">
        <f t="shared" ref="A770:A833" si="12">HYPERLINK(K770,L770)</f>
        <v>ChyCode_chan112Z</v>
      </c>
      <c r="B770" s="409"/>
      <c r="C770" s="416"/>
      <c r="D770" s="198" t="s">
        <v>16914</v>
      </c>
      <c r="E770" s="198">
        <v>317</v>
      </c>
      <c r="F770" s="199" t="s">
        <v>16915</v>
      </c>
      <c r="G770" s="1" t="s">
        <v>18553</v>
      </c>
      <c r="H770" s="1" t="s">
        <v>16716</v>
      </c>
      <c r="I770" s="346"/>
      <c r="J770" s="39">
        <v>116940</v>
      </c>
      <c r="K770" s="36" t="str">
        <f>CONCATENATE(Cover!$D$6,"fdd/view?i=",J770)</f>
        <v>https://www.dgiwg.org/FAD/fdd/view?i=116940</v>
      </c>
      <c r="L770" s="36" t="s">
        <v>18554</v>
      </c>
      <c r="M770" s="186"/>
      <c r="N770" s="186"/>
      <c r="O770" s="13" t="s">
        <v>16913</v>
      </c>
    </row>
    <row r="771" spans="1:15" ht="38.25" x14ac:dyDescent="0.2">
      <c r="A771" s="197" t="str">
        <f t="shared" si="12"/>
        <v>ChyCode_chan113X</v>
      </c>
      <c r="B771" s="409"/>
      <c r="C771" s="416"/>
      <c r="D771" s="198" t="s">
        <v>16919</v>
      </c>
      <c r="E771" s="198">
        <v>318</v>
      </c>
      <c r="F771" s="199" t="s">
        <v>16920</v>
      </c>
      <c r="G771" s="1" t="s">
        <v>18555</v>
      </c>
      <c r="H771" s="1" t="s">
        <v>16716</v>
      </c>
      <c r="I771" s="346"/>
      <c r="J771" s="39">
        <v>116941</v>
      </c>
      <c r="K771" s="36" t="str">
        <f>CONCATENATE(Cover!$D$6,"fdd/view?i=",J771)</f>
        <v>https://www.dgiwg.org/FAD/fdd/view?i=116941</v>
      </c>
      <c r="L771" s="36" t="s">
        <v>18556</v>
      </c>
      <c r="M771" s="186"/>
      <c r="N771" s="186"/>
      <c r="O771" s="13" t="s">
        <v>16918</v>
      </c>
    </row>
    <row r="772" spans="1:15" ht="38.25" x14ac:dyDescent="0.2">
      <c r="A772" s="197" t="str">
        <f t="shared" si="12"/>
        <v>ChyCode_chan113Y</v>
      </c>
      <c r="B772" s="409"/>
      <c r="C772" s="416"/>
      <c r="D772" s="198" t="s">
        <v>16924</v>
      </c>
      <c r="E772" s="198">
        <v>319</v>
      </c>
      <c r="F772" s="199" t="s">
        <v>16925</v>
      </c>
      <c r="G772" s="1" t="s">
        <v>18557</v>
      </c>
      <c r="H772" s="1" t="s">
        <v>16716</v>
      </c>
      <c r="I772" s="346"/>
      <c r="J772" s="39">
        <v>116942</v>
      </c>
      <c r="K772" s="36" t="str">
        <f>CONCATENATE(Cover!$D$6,"fdd/view?i=",J772)</f>
        <v>https://www.dgiwg.org/FAD/fdd/view?i=116942</v>
      </c>
      <c r="L772" s="36" t="s">
        <v>18558</v>
      </c>
      <c r="M772" s="186"/>
      <c r="N772" s="186"/>
      <c r="O772" s="13" t="s">
        <v>16923</v>
      </c>
    </row>
    <row r="773" spans="1:15" ht="38.25" x14ac:dyDescent="0.2">
      <c r="A773" s="197" t="str">
        <f t="shared" si="12"/>
        <v>ChyCode_chan113Z</v>
      </c>
      <c r="B773" s="409"/>
      <c r="C773" s="416"/>
      <c r="D773" s="198" t="s">
        <v>16929</v>
      </c>
      <c r="E773" s="198">
        <v>320</v>
      </c>
      <c r="F773" s="199" t="s">
        <v>16930</v>
      </c>
      <c r="G773" s="1" t="s">
        <v>18559</v>
      </c>
      <c r="H773" s="1" t="s">
        <v>16716</v>
      </c>
      <c r="I773" s="346"/>
      <c r="J773" s="39">
        <v>116943</v>
      </c>
      <c r="K773" s="36" t="str">
        <f>CONCATENATE(Cover!$D$6,"fdd/view?i=",J773)</f>
        <v>https://www.dgiwg.org/FAD/fdd/view?i=116943</v>
      </c>
      <c r="L773" s="36" t="s">
        <v>18560</v>
      </c>
      <c r="M773" s="186"/>
      <c r="N773" s="186"/>
      <c r="O773" s="13" t="s">
        <v>16928</v>
      </c>
    </row>
    <row r="774" spans="1:15" ht="38.25" x14ac:dyDescent="0.2">
      <c r="A774" s="197" t="str">
        <f t="shared" si="12"/>
        <v>ChyCode_chan114X</v>
      </c>
      <c r="B774" s="409"/>
      <c r="C774" s="416"/>
      <c r="D774" s="198" t="s">
        <v>16934</v>
      </c>
      <c r="E774" s="198">
        <v>321</v>
      </c>
      <c r="F774" s="199" t="s">
        <v>16935</v>
      </c>
      <c r="G774" s="1" t="s">
        <v>18561</v>
      </c>
      <c r="H774" s="1" t="s">
        <v>16716</v>
      </c>
      <c r="I774" s="346"/>
      <c r="J774" s="39">
        <v>116944</v>
      </c>
      <c r="K774" s="36" t="str">
        <f>CONCATENATE(Cover!$D$6,"fdd/view?i=",J774)</f>
        <v>https://www.dgiwg.org/FAD/fdd/view?i=116944</v>
      </c>
      <c r="L774" s="36" t="s">
        <v>18562</v>
      </c>
      <c r="M774" s="186"/>
      <c r="N774" s="186"/>
      <c r="O774" s="13" t="s">
        <v>16933</v>
      </c>
    </row>
    <row r="775" spans="1:15" ht="38.25" x14ac:dyDescent="0.2">
      <c r="A775" s="197" t="str">
        <f t="shared" si="12"/>
        <v>ChyCode_chan114Y</v>
      </c>
      <c r="B775" s="409"/>
      <c r="C775" s="416"/>
      <c r="D775" s="198" t="s">
        <v>16939</v>
      </c>
      <c r="E775" s="198">
        <v>322</v>
      </c>
      <c r="F775" s="199" t="s">
        <v>16940</v>
      </c>
      <c r="G775" s="1" t="s">
        <v>18563</v>
      </c>
      <c r="H775" s="1" t="s">
        <v>16716</v>
      </c>
      <c r="I775" s="346"/>
      <c r="J775" s="39">
        <v>116945</v>
      </c>
      <c r="K775" s="36" t="str">
        <f>CONCATENATE(Cover!$D$6,"fdd/view?i=",J775)</f>
        <v>https://www.dgiwg.org/FAD/fdd/view?i=116945</v>
      </c>
      <c r="L775" s="36" t="s">
        <v>18564</v>
      </c>
      <c r="M775" s="186"/>
      <c r="N775" s="186"/>
      <c r="O775" s="13" t="s">
        <v>16938</v>
      </c>
    </row>
    <row r="776" spans="1:15" ht="38.25" x14ac:dyDescent="0.2">
      <c r="A776" s="197" t="str">
        <f t="shared" si="12"/>
        <v>ChyCode_chan114Z</v>
      </c>
      <c r="B776" s="409"/>
      <c r="C776" s="416"/>
      <c r="D776" s="198" t="s">
        <v>16944</v>
      </c>
      <c r="E776" s="198">
        <v>323</v>
      </c>
      <c r="F776" s="199" t="s">
        <v>16945</v>
      </c>
      <c r="G776" s="1" t="s">
        <v>18565</v>
      </c>
      <c r="H776" s="1" t="s">
        <v>16716</v>
      </c>
      <c r="I776" s="346"/>
      <c r="J776" s="39">
        <v>116946</v>
      </c>
      <c r="K776" s="36" t="str">
        <f>CONCATENATE(Cover!$D$6,"fdd/view?i=",J776)</f>
        <v>https://www.dgiwg.org/FAD/fdd/view?i=116946</v>
      </c>
      <c r="L776" s="36" t="s">
        <v>18566</v>
      </c>
      <c r="M776" s="186"/>
      <c r="N776" s="186"/>
      <c r="O776" s="13" t="s">
        <v>16943</v>
      </c>
    </row>
    <row r="777" spans="1:15" ht="38.25" x14ac:dyDescent="0.2">
      <c r="A777" s="197" t="str">
        <f t="shared" si="12"/>
        <v>ChyCode_chan115X</v>
      </c>
      <c r="B777" s="409"/>
      <c r="C777" s="416"/>
      <c r="D777" s="198" t="s">
        <v>16949</v>
      </c>
      <c r="E777" s="198">
        <v>324</v>
      </c>
      <c r="F777" s="199" t="s">
        <v>16950</v>
      </c>
      <c r="G777" s="1" t="s">
        <v>18567</v>
      </c>
      <c r="H777" s="1" t="s">
        <v>16716</v>
      </c>
      <c r="I777" s="346"/>
      <c r="J777" s="39">
        <v>116947</v>
      </c>
      <c r="K777" s="36" t="str">
        <f>CONCATENATE(Cover!$D$6,"fdd/view?i=",J777)</f>
        <v>https://www.dgiwg.org/FAD/fdd/view?i=116947</v>
      </c>
      <c r="L777" s="36" t="s">
        <v>18568</v>
      </c>
      <c r="M777" s="186"/>
      <c r="N777" s="186"/>
      <c r="O777" s="13" t="s">
        <v>16948</v>
      </c>
    </row>
    <row r="778" spans="1:15" ht="38.25" x14ac:dyDescent="0.2">
      <c r="A778" s="197" t="str">
        <f t="shared" si="12"/>
        <v>ChyCode_chan115Y</v>
      </c>
      <c r="B778" s="409"/>
      <c r="C778" s="416"/>
      <c r="D778" s="198" t="s">
        <v>16954</v>
      </c>
      <c r="E778" s="198">
        <v>325</v>
      </c>
      <c r="F778" s="199" t="s">
        <v>16955</v>
      </c>
      <c r="G778" s="1" t="s">
        <v>18569</v>
      </c>
      <c r="H778" s="1" t="s">
        <v>16716</v>
      </c>
      <c r="I778" s="346"/>
      <c r="J778" s="39">
        <v>116948</v>
      </c>
      <c r="K778" s="36" t="str">
        <f>CONCATENATE(Cover!$D$6,"fdd/view?i=",J778)</f>
        <v>https://www.dgiwg.org/FAD/fdd/view?i=116948</v>
      </c>
      <c r="L778" s="36" t="s">
        <v>18570</v>
      </c>
      <c r="M778" s="186"/>
      <c r="N778" s="186"/>
      <c r="O778" s="13" t="s">
        <v>16953</v>
      </c>
    </row>
    <row r="779" spans="1:15" ht="38.25" x14ac:dyDescent="0.2">
      <c r="A779" s="197" t="str">
        <f t="shared" si="12"/>
        <v>ChyCode_chan115Z</v>
      </c>
      <c r="B779" s="409"/>
      <c r="C779" s="416"/>
      <c r="D779" s="198" t="s">
        <v>16959</v>
      </c>
      <c r="E779" s="198">
        <v>326</v>
      </c>
      <c r="F779" s="199" t="s">
        <v>16960</v>
      </c>
      <c r="G779" s="1" t="s">
        <v>18571</v>
      </c>
      <c r="H779" s="1" t="s">
        <v>16716</v>
      </c>
      <c r="I779" s="346"/>
      <c r="J779" s="39">
        <v>116949</v>
      </c>
      <c r="K779" s="36" t="str">
        <f>CONCATENATE(Cover!$D$6,"fdd/view?i=",J779)</f>
        <v>https://www.dgiwg.org/FAD/fdd/view?i=116949</v>
      </c>
      <c r="L779" s="36" t="s">
        <v>18572</v>
      </c>
      <c r="M779" s="186"/>
      <c r="N779" s="186"/>
      <c r="O779" s="13" t="s">
        <v>16958</v>
      </c>
    </row>
    <row r="780" spans="1:15" ht="38.25" x14ac:dyDescent="0.2">
      <c r="A780" s="197" t="str">
        <f t="shared" si="12"/>
        <v>ChyCode_chan116X</v>
      </c>
      <c r="B780" s="409"/>
      <c r="C780" s="416"/>
      <c r="D780" s="198" t="s">
        <v>16964</v>
      </c>
      <c r="E780" s="198">
        <v>327</v>
      </c>
      <c r="F780" s="199" t="s">
        <v>16965</v>
      </c>
      <c r="G780" s="1" t="s">
        <v>18573</v>
      </c>
      <c r="H780" s="1" t="s">
        <v>16716</v>
      </c>
      <c r="I780" s="346"/>
      <c r="J780" s="39">
        <v>116950</v>
      </c>
      <c r="K780" s="36" t="str">
        <f>CONCATENATE(Cover!$D$6,"fdd/view?i=",J780)</f>
        <v>https://www.dgiwg.org/FAD/fdd/view?i=116950</v>
      </c>
      <c r="L780" s="36" t="s">
        <v>18574</v>
      </c>
      <c r="M780" s="186"/>
      <c r="N780" s="186"/>
      <c r="O780" s="13" t="s">
        <v>16963</v>
      </c>
    </row>
    <row r="781" spans="1:15" ht="38.25" x14ac:dyDescent="0.2">
      <c r="A781" s="197" t="str">
        <f t="shared" si="12"/>
        <v>ChyCode_chan116Y</v>
      </c>
      <c r="B781" s="409"/>
      <c r="C781" s="416"/>
      <c r="D781" s="198" t="s">
        <v>16969</v>
      </c>
      <c r="E781" s="198">
        <v>328</v>
      </c>
      <c r="F781" s="199" t="s">
        <v>16970</v>
      </c>
      <c r="G781" s="1" t="s">
        <v>18575</v>
      </c>
      <c r="H781" s="1" t="s">
        <v>16716</v>
      </c>
      <c r="I781" s="346"/>
      <c r="J781" s="39">
        <v>116951</v>
      </c>
      <c r="K781" s="36" t="str">
        <f>CONCATENATE(Cover!$D$6,"fdd/view?i=",J781)</f>
        <v>https://www.dgiwg.org/FAD/fdd/view?i=116951</v>
      </c>
      <c r="L781" s="36" t="s">
        <v>18576</v>
      </c>
      <c r="M781" s="186"/>
      <c r="N781" s="186"/>
      <c r="O781" s="13" t="s">
        <v>16968</v>
      </c>
    </row>
    <row r="782" spans="1:15" ht="38.25" x14ac:dyDescent="0.2">
      <c r="A782" s="197" t="str">
        <f t="shared" si="12"/>
        <v>ChyCode_chan116Z</v>
      </c>
      <c r="B782" s="409"/>
      <c r="C782" s="416"/>
      <c r="D782" s="198" t="s">
        <v>16974</v>
      </c>
      <c r="E782" s="198">
        <v>329</v>
      </c>
      <c r="F782" s="199" t="s">
        <v>16975</v>
      </c>
      <c r="G782" s="1" t="s">
        <v>18577</v>
      </c>
      <c r="H782" s="1" t="s">
        <v>16716</v>
      </c>
      <c r="I782" s="346"/>
      <c r="J782" s="39">
        <v>116952</v>
      </c>
      <c r="K782" s="36" t="str">
        <f>CONCATENATE(Cover!$D$6,"fdd/view?i=",J782)</f>
        <v>https://www.dgiwg.org/FAD/fdd/view?i=116952</v>
      </c>
      <c r="L782" s="36" t="s">
        <v>18578</v>
      </c>
      <c r="M782" s="186"/>
      <c r="N782" s="186"/>
      <c r="O782" s="13" t="s">
        <v>16973</v>
      </c>
    </row>
    <row r="783" spans="1:15" ht="38.25" x14ac:dyDescent="0.2">
      <c r="A783" s="197" t="str">
        <f t="shared" si="12"/>
        <v>ChyCode_chan117X</v>
      </c>
      <c r="B783" s="409"/>
      <c r="C783" s="416"/>
      <c r="D783" s="198" t="s">
        <v>16979</v>
      </c>
      <c r="E783" s="198">
        <v>330</v>
      </c>
      <c r="F783" s="199" t="s">
        <v>16980</v>
      </c>
      <c r="G783" s="1" t="s">
        <v>18579</v>
      </c>
      <c r="H783" s="1" t="s">
        <v>16716</v>
      </c>
      <c r="I783" s="346"/>
      <c r="J783" s="39">
        <v>116953</v>
      </c>
      <c r="K783" s="36" t="str">
        <f>CONCATENATE(Cover!$D$6,"fdd/view?i=",J783)</f>
        <v>https://www.dgiwg.org/FAD/fdd/view?i=116953</v>
      </c>
      <c r="L783" s="36" t="s">
        <v>18580</v>
      </c>
      <c r="M783" s="186"/>
      <c r="N783" s="186"/>
      <c r="O783" s="13" t="s">
        <v>16978</v>
      </c>
    </row>
    <row r="784" spans="1:15" ht="38.25" x14ac:dyDescent="0.2">
      <c r="A784" s="197" t="str">
        <f t="shared" si="12"/>
        <v>ChyCode_chan117Y</v>
      </c>
      <c r="B784" s="409"/>
      <c r="C784" s="416"/>
      <c r="D784" s="198" t="s">
        <v>16984</v>
      </c>
      <c r="E784" s="198">
        <v>331</v>
      </c>
      <c r="F784" s="199" t="s">
        <v>16985</v>
      </c>
      <c r="G784" s="1" t="s">
        <v>18581</v>
      </c>
      <c r="H784" s="1" t="s">
        <v>16716</v>
      </c>
      <c r="I784" s="346"/>
      <c r="J784" s="39">
        <v>116954</v>
      </c>
      <c r="K784" s="36" t="str">
        <f>CONCATENATE(Cover!$D$6,"fdd/view?i=",J784)</f>
        <v>https://www.dgiwg.org/FAD/fdd/view?i=116954</v>
      </c>
      <c r="L784" s="36" t="s">
        <v>18582</v>
      </c>
      <c r="M784" s="186"/>
      <c r="N784" s="186"/>
      <c r="O784" s="13" t="s">
        <v>16983</v>
      </c>
    </row>
    <row r="785" spans="1:15" ht="38.25" x14ac:dyDescent="0.2">
      <c r="A785" s="197" t="str">
        <f t="shared" si="12"/>
        <v>ChyCode_chan117Z</v>
      </c>
      <c r="B785" s="409"/>
      <c r="C785" s="416"/>
      <c r="D785" s="198" t="s">
        <v>16989</v>
      </c>
      <c r="E785" s="198">
        <v>332</v>
      </c>
      <c r="F785" s="199" t="s">
        <v>16990</v>
      </c>
      <c r="G785" s="1" t="s">
        <v>18583</v>
      </c>
      <c r="H785" s="1" t="s">
        <v>16716</v>
      </c>
      <c r="I785" s="346"/>
      <c r="J785" s="39">
        <v>116955</v>
      </c>
      <c r="K785" s="36" t="str">
        <f>CONCATENATE(Cover!$D$6,"fdd/view?i=",J785)</f>
        <v>https://www.dgiwg.org/FAD/fdd/view?i=116955</v>
      </c>
      <c r="L785" s="36" t="s">
        <v>18584</v>
      </c>
      <c r="M785" s="186"/>
      <c r="N785" s="186"/>
      <c r="O785" s="13" t="s">
        <v>16988</v>
      </c>
    </row>
    <row r="786" spans="1:15" ht="38.25" x14ac:dyDescent="0.2">
      <c r="A786" s="197" t="str">
        <f t="shared" si="12"/>
        <v>ChyCode_chan118X</v>
      </c>
      <c r="B786" s="409"/>
      <c r="C786" s="416"/>
      <c r="D786" s="198" t="s">
        <v>16994</v>
      </c>
      <c r="E786" s="198">
        <v>333</v>
      </c>
      <c r="F786" s="199" t="s">
        <v>16995</v>
      </c>
      <c r="G786" s="1" t="s">
        <v>18585</v>
      </c>
      <c r="H786" s="1" t="s">
        <v>16716</v>
      </c>
      <c r="I786" s="346"/>
      <c r="J786" s="39">
        <v>116956</v>
      </c>
      <c r="K786" s="36" t="str">
        <f>CONCATENATE(Cover!$D$6,"fdd/view?i=",J786)</f>
        <v>https://www.dgiwg.org/FAD/fdd/view?i=116956</v>
      </c>
      <c r="L786" s="36" t="s">
        <v>18586</v>
      </c>
      <c r="M786" s="186"/>
      <c r="N786" s="186"/>
      <c r="O786" s="13" t="s">
        <v>16993</v>
      </c>
    </row>
    <row r="787" spans="1:15" ht="38.25" x14ac:dyDescent="0.2">
      <c r="A787" s="197" t="str">
        <f t="shared" si="12"/>
        <v>ChyCode_chan118Y</v>
      </c>
      <c r="B787" s="409"/>
      <c r="C787" s="416"/>
      <c r="D787" s="198" t="s">
        <v>16999</v>
      </c>
      <c r="E787" s="198">
        <v>334</v>
      </c>
      <c r="F787" s="199" t="s">
        <v>17000</v>
      </c>
      <c r="G787" s="1" t="s">
        <v>18587</v>
      </c>
      <c r="H787" s="1" t="s">
        <v>16716</v>
      </c>
      <c r="I787" s="346"/>
      <c r="J787" s="39">
        <v>116957</v>
      </c>
      <c r="K787" s="36" t="str">
        <f>CONCATENATE(Cover!$D$6,"fdd/view?i=",J787)</f>
        <v>https://www.dgiwg.org/FAD/fdd/view?i=116957</v>
      </c>
      <c r="L787" s="36" t="s">
        <v>18588</v>
      </c>
      <c r="M787" s="186"/>
      <c r="N787" s="186"/>
      <c r="O787" s="13" t="s">
        <v>16998</v>
      </c>
    </row>
    <row r="788" spans="1:15" ht="38.25" x14ac:dyDescent="0.2">
      <c r="A788" s="197" t="str">
        <f t="shared" si="12"/>
        <v>ChyCode_chan118Z</v>
      </c>
      <c r="B788" s="409"/>
      <c r="C788" s="416"/>
      <c r="D788" s="198" t="s">
        <v>17004</v>
      </c>
      <c r="E788" s="198">
        <v>335</v>
      </c>
      <c r="F788" s="199" t="s">
        <v>17005</v>
      </c>
      <c r="G788" s="1" t="s">
        <v>18589</v>
      </c>
      <c r="H788" s="1" t="s">
        <v>16716</v>
      </c>
      <c r="I788" s="346"/>
      <c r="J788" s="39">
        <v>116958</v>
      </c>
      <c r="K788" s="36" t="str">
        <f>CONCATENATE(Cover!$D$6,"fdd/view?i=",J788)</f>
        <v>https://www.dgiwg.org/FAD/fdd/view?i=116958</v>
      </c>
      <c r="L788" s="36" t="s">
        <v>18590</v>
      </c>
      <c r="M788" s="186"/>
      <c r="N788" s="186"/>
      <c r="O788" s="13" t="s">
        <v>17003</v>
      </c>
    </row>
    <row r="789" spans="1:15" ht="38.25" x14ac:dyDescent="0.2">
      <c r="A789" s="197" t="str">
        <f t="shared" si="12"/>
        <v>ChyCode_chan119X</v>
      </c>
      <c r="B789" s="409"/>
      <c r="C789" s="416"/>
      <c r="D789" s="198" t="s">
        <v>17009</v>
      </c>
      <c r="E789" s="198">
        <v>336</v>
      </c>
      <c r="F789" s="199" t="s">
        <v>17010</v>
      </c>
      <c r="G789" s="1" t="s">
        <v>18591</v>
      </c>
      <c r="H789" s="1" t="s">
        <v>16716</v>
      </c>
      <c r="I789" s="346"/>
      <c r="J789" s="39">
        <v>116959</v>
      </c>
      <c r="K789" s="36" t="str">
        <f>CONCATENATE(Cover!$D$6,"fdd/view?i=",J789)</f>
        <v>https://www.dgiwg.org/FAD/fdd/view?i=116959</v>
      </c>
      <c r="L789" s="36" t="s">
        <v>18592</v>
      </c>
      <c r="M789" s="186"/>
      <c r="N789" s="186"/>
      <c r="O789" s="13" t="s">
        <v>17008</v>
      </c>
    </row>
    <row r="790" spans="1:15" ht="38.25" x14ac:dyDescent="0.2">
      <c r="A790" s="197" t="str">
        <f t="shared" si="12"/>
        <v>ChyCode_chan119Y</v>
      </c>
      <c r="B790" s="409"/>
      <c r="C790" s="416"/>
      <c r="D790" s="198" t="s">
        <v>17014</v>
      </c>
      <c r="E790" s="198">
        <v>337</v>
      </c>
      <c r="F790" s="199" t="s">
        <v>17015</v>
      </c>
      <c r="G790" s="1" t="s">
        <v>18593</v>
      </c>
      <c r="H790" s="1" t="s">
        <v>16716</v>
      </c>
      <c r="I790" s="346"/>
      <c r="J790" s="39">
        <v>116960</v>
      </c>
      <c r="K790" s="36" t="str">
        <f>CONCATENATE(Cover!$D$6,"fdd/view?i=",J790)</f>
        <v>https://www.dgiwg.org/FAD/fdd/view?i=116960</v>
      </c>
      <c r="L790" s="36" t="s">
        <v>18594</v>
      </c>
      <c r="M790" s="186"/>
      <c r="N790" s="186"/>
      <c r="O790" s="13" t="s">
        <v>17013</v>
      </c>
    </row>
    <row r="791" spans="1:15" ht="38.25" x14ac:dyDescent="0.2">
      <c r="A791" s="197" t="str">
        <f t="shared" si="12"/>
        <v>ChyCode_chan119Z</v>
      </c>
      <c r="B791" s="409"/>
      <c r="C791" s="416"/>
      <c r="D791" s="198" t="s">
        <v>17019</v>
      </c>
      <c r="E791" s="198">
        <v>338</v>
      </c>
      <c r="F791" s="199" t="s">
        <v>17020</v>
      </c>
      <c r="G791" s="1" t="s">
        <v>18595</v>
      </c>
      <c r="H791" s="1" t="s">
        <v>16716</v>
      </c>
      <c r="I791" s="346"/>
      <c r="J791" s="39">
        <v>116961</v>
      </c>
      <c r="K791" s="36" t="str">
        <f>CONCATENATE(Cover!$D$6,"fdd/view?i=",J791)</f>
        <v>https://www.dgiwg.org/FAD/fdd/view?i=116961</v>
      </c>
      <c r="L791" s="36" t="s">
        <v>18596</v>
      </c>
      <c r="M791" s="186"/>
      <c r="N791" s="186"/>
      <c r="O791" s="13" t="s">
        <v>17018</v>
      </c>
    </row>
    <row r="792" spans="1:15" ht="38.25" x14ac:dyDescent="0.2">
      <c r="A792" s="197" t="str">
        <f t="shared" si="12"/>
        <v>ChyCode_chan120X</v>
      </c>
      <c r="B792" s="409"/>
      <c r="C792" s="416"/>
      <c r="D792" s="198" t="s">
        <v>17034</v>
      </c>
      <c r="E792" s="198">
        <v>339</v>
      </c>
      <c r="F792" s="199" t="s">
        <v>17035</v>
      </c>
      <c r="G792" s="1" t="s">
        <v>18601</v>
      </c>
      <c r="H792" s="1" t="s">
        <v>16716</v>
      </c>
      <c r="I792" s="346"/>
      <c r="J792" s="39">
        <v>116962</v>
      </c>
      <c r="K792" s="36" t="str">
        <f>CONCATENATE(Cover!$D$6,"fdd/view?i=",J792)</f>
        <v>https://www.dgiwg.org/FAD/fdd/view?i=116962</v>
      </c>
      <c r="L792" s="36" t="s">
        <v>18602</v>
      </c>
      <c r="M792" s="186"/>
      <c r="N792" s="186"/>
      <c r="O792" s="13" t="s">
        <v>17033</v>
      </c>
    </row>
    <row r="793" spans="1:15" ht="38.25" x14ac:dyDescent="0.2">
      <c r="A793" s="197" t="str">
        <f t="shared" si="12"/>
        <v>ChyCode_chan120Y</v>
      </c>
      <c r="B793" s="409"/>
      <c r="C793" s="416"/>
      <c r="D793" s="198" t="s">
        <v>17039</v>
      </c>
      <c r="E793" s="198">
        <v>340</v>
      </c>
      <c r="F793" s="199" t="s">
        <v>17040</v>
      </c>
      <c r="G793" s="1" t="s">
        <v>18603</v>
      </c>
      <c r="H793" s="1" t="s">
        <v>16716</v>
      </c>
      <c r="I793" s="346"/>
      <c r="J793" s="39">
        <v>116963</v>
      </c>
      <c r="K793" s="36" t="str">
        <f>CONCATENATE(Cover!$D$6,"fdd/view?i=",J793)</f>
        <v>https://www.dgiwg.org/FAD/fdd/view?i=116963</v>
      </c>
      <c r="L793" s="36" t="s">
        <v>18604</v>
      </c>
      <c r="M793" s="186"/>
      <c r="N793" s="186"/>
      <c r="O793" s="13" t="s">
        <v>17038</v>
      </c>
    </row>
    <row r="794" spans="1:15" ht="38.25" x14ac:dyDescent="0.2">
      <c r="A794" s="197" t="str">
        <f t="shared" si="12"/>
        <v>ChyCode_chan121X</v>
      </c>
      <c r="B794" s="409"/>
      <c r="C794" s="416"/>
      <c r="D794" s="198" t="s">
        <v>17044</v>
      </c>
      <c r="E794" s="198">
        <v>341</v>
      </c>
      <c r="F794" s="199" t="s">
        <v>17045</v>
      </c>
      <c r="G794" s="1" t="s">
        <v>18605</v>
      </c>
      <c r="H794" s="1" t="s">
        <v>16716</v>
      </c>
      <c r="I794" s="346"/>
      <c r="J794" s="39">
        <v>116964</v>
      </c>
      <c r="K794" s="36" t="str">
        <f>CONCATENATE(Cover!$D$6,"fdd/view?i=",J794)</f>
        <v>https://www.dgiwg.org/FAD/fdd/view?i=116964</v>
      </c>
      <c r="L794" s="36" t="s">
        <v>18606</v>
      </c>
      <c r="M794" s="186"/>
      <c r="N794" s="186"/>
      <c r="O794" s="13" t="s">
        <v>17043</v>
      </c>
    </row>
    <row r="795" spans="1:15" ht="38.25" x14ac:dyDescent="0.2">
      <c r="A795" s="197" t="str">
        <f t="shared" si="12"/>
        <v>ChyCode_chan121Y</v>
      </c>
      <c r="B795" s="409"/>
      <c r="C795" s="416"/>
      <c r="D795" s="198" t="s">
        <v>17049</v>
      </c>
      <c r="E795" s="198">
        <v>342</v>
      </c>
      <c r="F795" s="199" t="s">
        <v>17050</v>
      </c>
      <c r="G795" s="1" t="s">
        <v>18607</v>
      </c>
      <c r="H795" s="1" t="s">
        <v>16716</v>
      </c>
      <c r="I795" s="346"/>
      <c r="J795" s="39">
        <v>116965</v>
      </c>
      <c r="K795" s="36" t="str">
        <f>CONCATENATE(Cover!$D$6,"fdd/view?i=",J795)</f>
        <v>https://www.dgiwg.org/FAD/fdd/view?i=116965</v>
      </c>
      <c r="L795" s="36" t="s">
        <v>18608</v>
      </c>
      <c r="M795" s="186"/>
      <c r="N795" s="186"/>
      <c r="O795" s="13" t="s">
        <v>17048</v>
      </c>
    </row>
    <row r="796" spans="1:15" ht="38.25" x14ac:dyDescent="0.2">
      <c r="A796" s="197" t="str">
        <f t="shared" si="12"/>
        <v>ChyCode_chan122X</v>
      </c>
      <c r="B796" s="409"/>
      <c r="C796" s="416"/>
      <c r="D796" s="198" t="s">
        <v>17054</v>
      </c>
      <c r="E796" s="198">
        <v>343</v>
      </c>
      <c r="F796" s="199" t="s">
        <v>17055</v>
      </c>
      <c r="G796" s="1" t="s">
        <v>18609</v>
      </c>
      <c r="H796" s="1" t="s">
        <v>16716</v>
      </c>
      <c r="I796" s="346"/>
      <c r="J796" s="39">
        <v>116966</v>
      </c>
      <c r="K796" s="36" t="str">
        <f>CONCATENATE(Cover!$D$6,"fdd/view?i=",J796)</f>
        <v>https://www.dgiwg.org/FAD/fdd/view?i=116966</v>
      </c>
      <c r="L796" s="36" t="s">
        <v>18610</v>
      </c>
      <c r="M796" s="186"/>
      <c r="N796" s="186"/>
      <c r="O796" s="13" t="s">
        <v>17053</v>
      </c>
    </row>
    <row r="797" spans="1:15" ht="38.25" x14ac:dyDescent="0.2">
      <c r="A797" s="197" t="str">
        <f t="shared" si="12"/>
        <v>ChyCode_chan122Y</v>
      </c>
      <c r="B797" s="409"/>
      <c r="C797" s="416"/>
      <c r="D797" s="198" t="s">
        <v>17059</v>
      </c>
      <c r="E797" s="198">
        <v>344</v>
      </c>
      <c r="F797" s="199" t="s">
        <v>17060</v>
      </c>
      <c r="G797" s="1" t="s">
        <v>18611</v>
      </c>
      <c r="H797" s="1" t="s">
        <v>16716</v>
      </c>
      <c r="I797" s="346"/>
      <c r="J797" s="39">
        <v>116967</v>
      </c>
      <c r="K797" s="36" t="str">
        <f>CONCATENATE(Cover!$D$6,"fdd/view?i=",J797)</f>
        <v>https://www.dgiwg.org/FAD/fdd/view?i=116967</v>
      </c>
      <c r="L797" s="36" t="s">
        <v>18612</v>
      </c>
      <c r="M797" s="186"/>
      <c r="N797" s="186"/>
      <c r="O797" s="13" t="s">
        <v>17058</v>
      </c>
    </row>
    <row r="798" spans="1:15" ht="38.25" x14ac:dyDescent="0.2">
      <c r="A798" s="197" t="str">
        <f t="shared" si="12"/>
        <v>ChyCode_chan123X</v>
      </c>
      <c r="B798" s="409"/>
      <c r="C798" s="416"/>
      <c r="D798" s="198" t="s">
        <v>17064</v>
      </c>
      <c r="E798" s="198">
        <v>345</v>
      </c>
      <c r="F798" s="199" t="s">
        <v>17065</v>
      </c>
      <c r="G798" s="1" t="s">
        <v>18613</v>
      </c>
      <c r="H798" s="1" t="s">
        <v>16716</v>
      </c>
      <c r="I798" s="346"/>
      <c r="J798" s="39">
        <v>116968</v>
      </c>
      <c r="K798" s="36" t="str">
        <f>CONCATENATE(Cover!$D$6,"fdd/view?i=",J798)</f>
        <v>https://www.dgiwg.org/FAD/fdd/view?i=116968</v>
      </c>
      <c r="L798" s="36" t="s">
        <v>18614</v>
      </c>
      <c r="M798" s="186"/>
      <c r="N798" s="186"/>
      <c r="O798" s="13" t="s">
        <v>17063</v>
      </c>
    </row>
    <row r="799" spans="1:15" ht="38.25" x14ac:dyDescent="0.2">
      <c r="A799" s="197" t="str">
        <f t="shared" si="12"/>
        <v>ChyCode_chan123Y</v>
      </c>
      <c r="B799" s="409"/>
      <c r="C799" s="416"/>
      <c r="D799" s="198" t="s">
        <v>17069</v>
      </c>
      <c r="E799" s="198">
        <v>346</v>
      </c>
      <c r="F799" s="199" t="s">
        <v>17070</v>
      </c>
      <c r="G799" s="1" t="s">
        <v>18615</v>
      </c>
      <c r="H799" s="1" t="s">
        <v>16716</v>
      </c>
      <c r="I799" s="346"/>
      <c r="J799" s="39">
        <v>116969</v>
      </c>
      <c r="K799" s="36" t="str">
        <f>CONCATENATE(Cover!$D$6,"fdd/view?i=",J799)</f>
        <v>https://www.dgiwg.org/FAD/fdd/view?i=116969</v>
      </c>
      <c r="L799" s="36" t="s">
        <v>18616</v>
      </c>
      <c r="M799" s="186"/>
      <c r="N799" s="186"/>
      <c r="O799" s="13" t="s">
        <v>17068</v>
      </c>
    </row>
    <row r="800" spans="1:15" ht="38.25" x14ac:dyDescent="0.2">
      <c r="A800" s="197" t="str">
        <f t="shared" si="12"/>
        <v>ChyCode_chan124X</v>
      </c>
      <c r="B800" s="409"/>
      <c r="C800" s="416"/>
      <c r="D800" s="198" t="s">
        <v>17074</v>
      </c>
      <c r="E800" s="198">
        <v>347</v>
      </c>
      <c r="F800" s="199" t="s">
        <v>17075</v>
      </c>
      <c r="G800" s="1" t="s">
        <v>18617</v>
      </c>
      <c r="H800" s="1" t="s">
        <v>16716</v>
      </c>
      <c r="I800" s="346"/>
      <c r="J800" s="39">
        <v>116970</v>
      </c>
      <c r="K800" s="36" t="str">
        <f>CONCATENATE(Cover!$D$6,"fdd/view?i=",J800)</f>
        <v>https://www.dgiwg.org/FAD/fdd/view?i=116970</v>
      </c>
      <c r="L800" s="36" t="s">
        <v>18618</v>
      </c>
      <c r="M800" s="186"/>
      <c r="N800" s="186"/>
      <c r="O800" s="13" t="s">
        <v>17073</v>
      </c>
    </row>
    <row r="801" spans="1:15" ht="38.25" x14ac:dyDescent="0.2">
      <c r="A801" s="197" t="str">
        <f t="shared" si="12"/>
        <v>ChyCode_chan124Y</v>
      </c>
      <c r="B801" s="409"/>
      <c r="C801" s="416"/>
      <c r="D801" s="198" t="s">
        <v>17079</v>
      </c>
      <c r="E801" s="198">
        <v>348</v>
      </c>
      <c r="F801" s="199" t="s">
        <v>17080</v>
      </c>
      <c r="G801" s="1" t="s">
        <v>18619</v>
      </c>
      <c r="H801" s="1" t="s">
        <v>16716</v>
      </c>
      <c r="I801" s="346"/>
      <c r="J801" s="39">
        <v>116971</v>
      </c>
      <c r="K801" s="36" t="str">
        <f>CONCATENATE(Cover!$D$6,"fdd/view?i=",J801)</f>
        <v>https://www.dgiwg.org/FAD/fdd/view?i=116971</v>
      </c>
      <c r="L801" s="36" t="s">
        <v>18620</v>
      </c>
      <c r="M801" s="186"/>
      <c r="N801" s="186"/>
      <c r="O801" s="13" t="s">
        <v>17078</v>
      </c>
    </row>
    <row r="802" spans="1:15" ht="38.25" x14ac:dyDescent="0.2">
      <c r="A802" s="197" t="str">
        <f t="shared" si="12"/>
        <v>ChyCode_chan125X</v>
      </c>
      <c r="B802" s="409"/>
      <c r="C802" s="416"/>
      <c r="D802" s="198" t="s">
        <v>17084</v>
      </c>
      <c r="E802" s="198">
        <v>349</v>
      </c>
      <c r="F802" s="199" t="s">
        <v>17085</v>
      </c>
      <c r="G802" s="1" t="s">
        <v>18621</v>
      </c>
      <c r="H802" s="1" t="s">
        <v>16716</v>
      </c>
      <c r="I802" s="346"/>
      <c r="J802" s="39">
        <v>116972</v>
      </c>
      <c r="K802" s="36" t="str">
        <f>CONCATENATE(Cover!$D$6,"fdd/view?i=",J802)</f>
        <v>https://www.dgiwg.org/FAD/fdd/view?i=116972</v>
      </c>
      <c r="L802" s="36" t="s">
        <v>18622</v>
      </c>
      <c r="M802" s="186"/>
      <c r="N802" s="186"/>
      <c r="O802" s="13" t="s">
        <v>17083</v>
      </c>
    </row>
    <row r="803" spans="1:15" ht="38.25" x14ac:dyDescent="0.2">
      <c r="A803" s="197" t="str">
        <f t="shared" si="12"/>
        <v>ChyCode_chan125Y</v>
      </c>
      <c r="B803" s="409"/>
      <c r="C803" s="416"/>
      <c r="D803" s="198" t="s">
        <v>17089</v>
      </c>
      <c r="E803" s="198">
        <v>350</v>
      </c>
      <c r="F803" s="199" t="s">
        <v>17090</v>
      </c>
      <c r="G803" s="1" t="s">
        <v>18623</v>
      </c>
      <c r="H803" s="1" t="s">
        <v>16716</v>
      </c>
      <c r="I803" s="346"/>
      <c r="J803" s="39">
        <v>116973</v>
      </c>
      <c r="K803" s="36" t="str">
        <f>CONCATENATE(Cover!$D$6,"fdd/view?i=",J803)</f>
        <v>https://www.dgiwg.org/FAD/fdd/view?i=116973</v>
      </c>
      <c r="L803" s="36" t="s">
        <v>18624</v>
      </c>
      <c r="M803" s="186"/>
      <c r="N803" s="186"/>
      <c r="O803" s="13" t="s">
        <v>17088</v>
      </c>
    </row>
    <row r="804" spans="1:15" ht="38.25" x14ac:dyDescent="0.2">
      <c r="A804" s="197" t="str">
        <f t="shared" si="12"/>
        <v>ChyCode_chan126X</v>
      </c>
      <c r="B804" s="409"/>
      <c r="C804" s="416"/>
      <c r="D804" s="198" t="s">
        <v>17094</v>
      </c>
      <c r="E804" s="198">
        <v>351</v>
      </c>
      <c r="F804" s="199" t="s">
        <v>17095</v>
      </c>
      <c r="G804" s="1" t="s">
        <v>18625</v>
      </c>
      <c r="H804" s="1" t="s">
        <v>16716</v>
      </c>
      <c r="I804" s="346"/>
      <c r="J804" s="39">
        <v>116974</v>
      </c>
      <c r="K804" s="36" t="str">
        <f>CONCATENATE(Cover!$D$6,"fdd/view?i=",J804)</f>
        <v>https://www.dgiwg.org/FAD/fdd/view?i=116974</v>
      </c>
      <c r="L804" s="36" t="s">
        <v>18626</v>
      </c>
      <c r="M804" s="186"/>
      <c r="N804" s="186"/>
      <c r="O804" s="13" t="s">
        <v>17093</v>
      </c>
    </row>
    <row r="805" spans="1:15" ht="38.25" x14ac:dyDescent="0.2">
      <c r="A805" s="203" t="str">
        <f t="shared" si="12"/>
        <v>ChyCode_chan126Y</v>
      </c>
      <c r="B805" s="410"/>
      <c r="C805" s="417"/>
      <c r="D805" s="204" t="s">
        <v>17099</v>
      </c>
      <c r="E805" s="204">
        <v>352</v>
      </c>
      <c r="F805" s="205" t="s">
        <v>17100</v>
      </c>
      <c r="G805" s="206" t="s">
        <v>18627</v>
      </c>
      <c r="H805" s="206" t="s">
        <v>16716</v>
      </c>
      <c r="I805" s="347"/>
      <c r="J805" s="39">
        <v>116975</v>
      </c>
      <c r="K805" s="36" t="str">
        <f>CONCATENATE(Cover!$D$6,"fdd/view?i=",J805)</f>
        <v>https://www.dgiwg.org/FAD/fdd/view?i=116975</v>
      </c>
      <c r="L805" s="36" t="s">
        <v>18628</v>
      </c>
      <c r="M805" s="186"/>
      <c r="N805" s="186"/>
      <c r="O805" s="13" t="s">
        <v>17098</v>
      </c>
    </row>
    <row r="806" spans="1:15" ht="38.25" x14ac:dyDescent="0.2">
      <c r="A806" s="190" t="str">
        <f t="shared" si="12"/>
        <v>RlsCode_airForceOverrun</v>
      </c>
      <c r="B806" s="414" t="str">
        <f>HYPERLINK("[#]Datatypes!A36:L36","RlsCode")</f>
        <v>RlsCode</v>
      </c>
      <c r="C806" s="415" t="s">
        <v>14581</v>
      </c>
      <c r="D806" s="221" t="s">
        <v>19177</v>
      </c>
      <c r="E806" s="221">
        <v>17</v>
      </c>
      <c r="F806" s="222" t="s">
        <v>19178</v>
      </c>
      <c r="G806" s="223" t="s">
        <v>19179</v>
      </c>
      <c r="H806" s="224"/>
      <c r="I806" s="345"/>
      <c r="J806" s="39">
        <v>116598</v>
      </c>
      <c r="K806" s="36" t="str">
        <f>CONCATENATE(Cover!$D$6,"fdd/view?i=",J806)</f>
        <v>https://www.dgiwg.org/FAD/fdd/view?i=116598</v>
      </c>
      <c r="L806" s="36" t="s">
        <v>19180</v>
      </c>
      <c r="M806" s="186"/>
      <c r="N806" s="186"/>
      <c r="O806" s="172"/>
    </row>
    <row r="807" spans="1:15" ht="51" x14ac:dyDescent="0.2">
      <c r="A807" s="197" t="str">
        <f t="shared" si="12"/>
        <v>RlsCode_alsfType1</v>
      </c>
      <c r="B807" s="409"/>
      <c r="C807" s="416"/>
      <c r="D807" s="198" t="s">
        <v>19181</v>
      </c>
      <c r="E807" s="198">
        <v>1</v>
      </c>
      <c r="F807" s="199" t="s">
        <v>19182</v>
      </c>
      <c r="G807" s="1" t="s">
        <v>19183</v>
      </c>
      <c r="H807" s="1" t="s">
        <v>19184</v>
      </c>
      <c r="I807" s="346"/>
      <c r="J807" s="39">
        <v>116582</v>
      </c>
      <c r="K807" s="36" t="str">
        <f>CONCATENATE(Cover!$D$6,"fdd/view?i=",J807)</f>
        <v>https://www.dgiwg.org/FAD/fdd/view?i=116582</v>
      </c>
      <c r="L807" s="36" t="s">
        <v>19185</v>
      </c>
      <c r="M807" s="186"/>
      <c r="N807" s="186"/>
      <c r="O807" s="172"/>
    </row>
    <row r="808" spans="1:15" ht="127.5" x14ac:dyDescent="0.2">
      <c r="A808" s="197" t="str">
        <f t="shared" si="12"/>
        <v>RlsCode_alsfType2</v>
      </c>
      <c r="B808" s="409"/>
      <c r="C808" s="416"/>
      <c r="D808" s="198" t="s">
        <v>19186</v>
      </c>
      <c r="E808" s="198">
        <v>4</v>
      </c>
      <c r="F808" s="199" t="s">
        <v>19187</v>
      </c>
      <c r="G808" s="1" t="s">
        <v>19188</v>
      </c>
      <c r="H808" s="1" t="s">
        <v>19189</v>
      </c>
      <c r="I808" s="346"/>
      <c r="J808" s="39">
        <v>116585</v>
      </c>
      <c r="K808" s="36" t="str">
        <f>CONCATENATE(Cover!$D$6,"fdd/view?i=",J808)</f>
        <v>https://www.dgiwg.org/FAD/fdd/view?i=116585</v>
      </c>
      <c r="L808" s="36" t="s">
        <v>19190</v>
      </c>
      <c r="M808" s="186"/>
      <c r="N808" s="186"/>
      <c r="O808" s="172"/>
    </row>
    <row r="809" spans="1:15" ht="114.75" x14ac:dyDescent="0.2">
      <c r="A809" s="197" t="str">
        <f t="shared" si="12"/>
        <v>RlsCode_calvertBritish</v>
      </c>
      <c r="B809" s="409"/>
      <c r="C809" s="416"/>
      <c r="D809" s="198" t="s">
        <v>19191</v>
      </c>
      <c r="E809" s="198">
        <v>10</v>
      </c>
      <c r="F809" s="199" t="s">
        <v>19192</v>
      </c>
      <c r="G809" s="1" t="s">
        <v>19193</v>
      </c>
      <c r="H809" s="1" t="s">
        <v>19194</v>
      </c>
      <c r="I809" s="346"/>
      <c r="J809" s="39">
        <v>116591</v>
      </c>
      <c r="K809" s="36" t="str">
        <f>CONCATENATE(Cover!$D$6,"fdd/view?i=",J809)</f>
        <v>https://www.dgiwg.org/FAD/fdd/view?i=116591</v>
      </c>
      <c r="L809" s="36" t="s">
        <v>19195</v>
      </c>
      <c r="M809" s="186"/>
      <c r="N809" s="186"/>
      <c r="O809" s="172"/>
    </row>
    <row r="810" spans="1:15" ht="38.25" x14ac:dyDescent="0.2">
      <c r="A810" s="197" t="str">
        <f t="shared" si="12"/>
        <v>RlsCode_cross</v>
      </c>
      <c r="B810" s="409"/>
      <c r="C810" s="416"/>
      <c r="D810" s="198" t="s">
        <v>19196</v>
      </c>
      <c r="E810" s="198">
        <v>23</v>
      </c>
      <c r="F810" s="199" t="s">
        <v>19197</v>
      </c>
      <c r="G810" s="1" t="s">
        <v>19198</v>
      </c>
      <c r="H810" s="200"/>
      <c r="I810" s="346"/>
      <c r="J810" s="39">
        <v>116604</v>
      </c>
      <c r="K810" s="36" t="str">
        <f>CONCATENATE(Cover!$D$6,"fdd/view?i=",J810)</f>
        <v>https://www.dgiwg.org/FAD/fdd/view?i=116604</v>
      </c>
      <c r="L810" s="36" t="s">
        <v>19199</v>
      </c>
      <c r="M810" s="186"/>
      <c r="N810" s="186"/>
      <c r="O810" s="172"/>
    </row>
    <row r="811" spans="1:15" ht="140.25" x14ac:dyDescent="0.2">
      <c r="A811" s="197" t="str">
        <f t="shared" si="12"/>
        <v>RlsCode_formerNatoStandard</v>
      </c>
      <c r="B811" s="409"/>
      <c r="C811" s="416"/>
      <c r="D811" s="198" t="s">
        <v>19200</v>
      </c>
      <c r="E811" s="198">
        <v>18</v>
      </c>
      <c r="F811" s="199" t="s">
        <v>19201</v>
      </c>
      <c r="G811" s="1" t="s">
        <v>19202</v>
      </c>
      <c r="H811" s="1" t="s">
        <v>19203</v>
      </c>
      <c r="I811" s="346"/>
      <c r="J811" s="39">
        <v>116599</v>
      </c>
      <c r="K811" s="36" t="str">
        <f>CONCATENATE(Cover!$D$6,"fdd/view?i=",J811)</f>
        <v>https://www.dgiwg.org/FAD/fdd/view?i=116599</v>
      </c>
      <c r="L811" s="36" t="s">
        <v>19204</v>
      </c>
      <c r="M811" s="186"/>
      <c r="N811" s="186"/>
      <c r="O811" s="172"/>
    </row>
    <row r="812" spans="1:15" ht="63.75" x14ac:dyDescent="0.2">
      <c r="A812" s="197" t="str">
        <f t="shared" si="12"/>
        <v>RlsCode_hialCategory1</v>
      </c>
      <c r="B812" s="409"/>
      <c r="C812" s="416"/>
      <c r="D812" s="198" t="s">
        <v>19205</v>
      </c>
      <c r="E812" s="198">
        <v>14</v>
      </c>
      <c r="F812" s="199" t="s">
        <v>19206</v>
      </c>
      <c r="G812" s="1" t="s">
        <v>19207</v>
      </c>
      <c r="H812" s="1" t="s">
        <v>19208</v>
      </c>
      <c r="I812" s="351" t="s">
        <v>19209</v>
      </c>
      <c r="J812" s="39">
        <v>116595</v>
      </c>
      <c r="K812" s="36" t="str">
        <f>CONCATENATE(Cover!$D$6,"fdd/view?i=",J812)</f>
        <v>https://www.dgiwg.org/FAD/fdd/view?i=116595</v>
      </c>
      <c r="L812" s="36" t="s">
        <v>19210</v>
      </c>
      <c r="M812" s="186"/>
      <c r="N812" s="186"/>
      <c r="O812" s="172"/>
    </row>
    <row r="813" spans="1:15" ht="63.75" x14ac:dyDescent="0.2">
      <c r="A813" s="197" t="str">
        <f t="shared" si="12"/>
        <v>RlsCode_hialCategory2</v>
      </c>
      <c r="B813" s="409"/>
      <c r="C813" s="416"/>
      <c r="D813" s="198" t="s">
        <v>19211</v>
      </c>
      <c r="E813" s="198">
        <v>15</v>
      </c>
      <c r="F813" s="199" t="s">
        <v>19212</v>
      </c>
      <c r="G813" s="1" t="s">
        <v>19213</v>
      </c>
      <c r="H813" s="1" t="s">
        <v>19214</v>
      </c>
      <c r="I813" s="351" t="s">
        <v>19215</v>
      </c>
      <c r="J813" s="39">
        <v>116596</v>
      </c>
      <c r="K813" s="36" t="str">
        <f>CONCATENATE(Cover!$D$6,"fdd/view?i=",J813)</f>
        <v>https://www.dgiwg.org/FAD/fdd/view?i=116596</v>
      </c>
      <c r="L813" s="36" t="s">
        <v>19216</v>
      </c>
      <c r="M813" s="186"/>
      <c r="N813" s="186"/>
      <c r="O813" s="172"/>
    </row>
    <row r="814" spans="1:15" ht="63.75" x14ac:dyDescent="0.2">
      <c r="A814" s="197" t="str">
        <f t="shared" si="12"/>
        <v>RlsCode_leadInLightSystem</v>
      </c>
      <c r="B814" s="409"/>
      <c r="C814" s="416"/>
      <c r="D814" s="198" t="s">
        <v>19217</v>
      </c>
      <c r="E814" s="198">
        <v>16</v>
      </c>
      <c r="F814" s="199" t="s">
        <v>19218</v>
      </c>
      <c r="G814" s="1" t="s">
        <v>19219</v>
      </c>
      <c r="H814" s="200"/>
      <c r="I814" s="346"/>
      <c r="J814" s="39">
        <v>116597</v>
      </c>
      <c r="K814" s="36" t="str">
        <f>CONCATENATE(Cover!$D$6,"fdd/view?i=",J814)</f>
        <v>https://www.dgiwg.org/FAD/fdd/view?i=116597</v>
      </c>
      <c r="L814" s="36" t="s">
        <v>19220</v>
      </c>
      <c r="M814" s="186"/>
      <c r="N814" s="186"/>
      <c r="O814" s="172"/>
    </row>
    <row r="815" spans="1:15" ht="51" x14ac:dyDescent="0.2">
      <c r="A815" s="197" t="str">
        <f t="shared" si="12"/>
        <v>RlsCode_leftSingleRow</v>
      </c>
      <c r="B815" s="409"/>
      <c r="C815" s="416"/>
      <c r="D815" s="198" t="s">
        <v>19221</v>
      </c>
      <c r="E815" s="198">
        <v>20</v>
      </c>
      <c r="F815" s="199" t="s">
        <v>19222</v>
      </c>
      <c r="G815" s="1" t="s">
        <v>19223</v>
      </c>
      <c r="H815" s="200"/>
      <c r="I815" s="346"/>
      <c r="J815" s="39">
        <v>116601</v>
      </c>
      <c r="K815" s="36" t="str">
        <f>CONCATENATE(Cover!$D$6,"fdd/view?i=",J815)</f>
        <v>https://www.dgiwg.org/FAD/fdd/view?i=116601</v>
      </c>
      <c r="L815" s="36" t="s">
        <v>19224</v>
      </c>
      <c r="M815" s="186"/>
      <c r="N815" s="186"/>
      <c r="O815" s="172"/>
    </row>
    <row r="816" spans="1:15" ht="63.75" x14ac:dyDescent="0.2">
      <c r="A816" s="197" t="str">
        <f t="shared" si="12"/>
        <v>RlsCode_lowApproachLightSystem</v>
      </c>
      <c r="B816" s="409"/>
      <c r="C816" s="416"/>
      <c r="D816" s="198" t="s">
        <v>19225</v>
      </c>
      <c r="E816" s="198">
        <v>13</v>
      </c>
      <c r="F816" s="199" t="s">
        <v>19226</v>
      </c>
      <c r="G816" s="1" t="s">
        <v>19227</v>
      </c>
      <c r="H816" s="1" t="s">
        <v>19228</v>
      </c>
      <c r="I816" s="346"/>
      <c r="J816" s="39">
        <v>116594</v>
      </c>
      <c r="K816" s="36" t="str">
        <f>CONCATENATE(Cover!$D$6,"fdd/view?i=",J816)</f>
        <v>https://www.dgiwg.org/FAD/fdd/view?i=116594</v>
      </c>
      <c r="L816" s="36" t="s">
        <v>19229</v>
      </c>
      <c r="M816" s="186"/>
      <c r="N816" s="186"/>
      <c r="O816" s="172"/>
    </row>
    <row r="817" spans="1:15" ht="63.75" x14ac:dyDescent="0.2">
      <c r="A817" s="197" t="str">
        <f t="shared" si="12"/>
        <v>RlsCode_malsWithRunwayAlignInd</v>
      </c>
      <c r="B817" s="409"/>
      <c r="C817" s="416"/>
      <c r="D817" s="198" t="s">
        <v>19235</v>
      </c>
      <c r="E817" s="198">
        <v>6</v>
      </c>
      <c r="F817" s="199" t="s">
        <v>19236</v>
      </c>
      <c r="G817" s="1" t="s">
        <v>19237</v>
      </c>
      <c r="H817" s="1" t="s">
        <v>19238</v>
      </c>
      <c r="I817" s="346"/>
      <c r="J817" s="39">
        <v>116587</v>
      </c>
      <c r="K817" s="36" t="str">
        <f>CONCATENATE(Cover!$D$6,"fdd/view?i=",J817)</f>
        <v>https://www.dgiwg.org/FAD/fdd/view?i=116587</v>
      </c>
      <c r="L817" s="36" t="s">
        <v>19239</v>
      </c>
      <c r="M817" s="186"/>
      <c r="N817" s="186"/>
      <c r="O817" s="172"/>
    </row>
    <row r="818" spans="1:15" ht="76.5" x14ac:dyDescent="0.2">
      <c r="A818" s="197" t="str">
        <f t="shared" si="12"/>
        <v>RlsCode_malsWithSeqFlashingLights</v>
      </c>
      <c r="B818" s="409"/>
      <c r="C818" s="416"/>
      <c r="D818" s="198" t="s">
        <v>19240</v>
      </c>
      <c r="E818" s="198">
        <v>7</v>
      </c>
      <c r="F818" s="199" t="s">
        <v>19241</v>
      </c>
      <c r="G818" s="1" t="s">
        <v>19242</v>
      </c>
      <c r="H818" s="1" t="s">
        <v>19233</v>
      </c>
      <c r="I818" s="346"/>
      <c r="J818" s="39">
        <v>116588</v>
      </c>
      <c r="K818" s="36" t="str">
        <f>CONCATENATE(Cover!$D$6,"fdd/view?i=",J818)</f>
        <v>https://www.dgiwg.org/FAD/fdd/view?i=116588</v>
      </c>
      <c r="L818" s="36" t="s">
        <v>19243</v>
      </c>
      <c r="M818" s="186"/>
      <c r="N818" s="186"/>
      <c r="O818" s="172"/>
    </row>
    <row r="819" spans="1:15" ht="51" x14ac:dyDescent="0.2">
      <c r="A819" s="197" t="str">
        <f t="shared" si="12"/>
        <v>RlsCode_mediumApproachLightSystem</v>
      </c>
      <c r="B819" s="409"/>
      <c r="C819" s="416"/>
      <c r="D819" s="198" t="s">
        <v>19230</v>
      </c>
      <c r="E819" s="198">
        <v>12</v>
      </c>
      <c r="F819" s="199" t="s">
        <v>19231</v>
      </c>
      <c r="G819" s="1" t="s">
        <v>19232</v>
      </c>
      <c r="H819" s="1" t="s">
        <v>19233</v>
      </c>
      <c r="I819" s="346"/>
      <c r="J819" s="39">
        <v>116593</v>
      </c>
      <c r="K819" s="36" t="str">
        <f>CONCATENATE(Cover!$D$6,"fdd/view?i=",J819)</f>
        <v>https://www.dgiwg.org/FAD/fdd/view?i=116593</v>
      </c>
      <c r="L819" s="36" t="s">
        <v>19234</v>
      </c>
      <c r="M819" s="186"/>
      <c r="N819" s="186"/>
      <c r="O819" s="172"/>
    </row>
    <row r="820" spans="1:15" ht="51" x14ac:dyDescent="0.2">
      <c r="A820" s="197" t="str">
        <f t="shared" si="12"/>
        <v>RlsCode_narrowMultiCross</v>
      </c>
      <c r="B820" s="409"/>
      <c r="C820" s="416"/>
      <c r="D820" s="198" t="s">
        <v>19244</v>
      </c>
      <c r="E820" s="198">
        <v>22</v>
      </c>
      <c r="F820" s="199" t="s">
        <v>19245</v>
      </c>
      <c r="G820" s="1" t="s">
        <v>19246</v>
      </c>
      <c r="H820" s="200"/>
      <c r="I820" s="346"/>
      <c r="J820" s="39">
        <v>116603</v>
      </c>
      <c r="K820" s="36" t="str">
        <f>CONCATENATE(Cover!$D$6,"fdd/view?i=",J820)</f>
        <v>https://www.dgiwg.org/FAD/fdd/view?i=116603</v>
      </c>
      <c r="L820" s="36" t="s">
        <v>19247</v>
      </c>
      <c r="M820" s="186"/>
      <c r="N820" s="186"/>
      <c r="O820" s="172"/>
    </row>
    <row r="821" spans="1:15" ht="89.25" x14ac:dyDescent="0.2">
      <c r="A821" s="197" t="str">
        <f t="shared" si="12"/>
        <v>RlsCode_natoStandard</v>
      </c>
      <c r="B821" s="409"/>
      <c r="C821" s="416"/>
      <c r="D821" s="198" t="s">
        <v>19248</v>
      </c>
      <c r="E821" s="198">
        <v>11</v>
      </c>
      <c r="F821" s="199" t="s">
        <v>19249</v>
      </c>
      <c r="G821" s="1" t="s">
        <v>19250</v>
      </c>
      <c r="H821" s="1" t="s">
        <v>19203</v>
      </c>
      <c r="I821" s="346"/>
      <c r="J821" s="39">
        <v>116592</v>
      </c>
      <c r="K821" s="36" t="str">
        <f>CONCATENATE(Cover!$D$6,"fdd/view?i=",J821)</f>
        <v>https://www.dgiwg.org/FAD/fdd/view?i=116592</v>
      </c>
      <c r="L821" s="36" t="s">
        <v>19251</v>
      </c>
      <c r="M821" s="186"/>
      <c r="N821" s="186"/>
      <c r="O821" s="172"/>
    </row>
    <row r="822" spans="1:15" ht="114.75" x14ac:dyDescent="0.2">
      <c r="A822" s="197" t="str">
        <f t="shared" si="12"/>
        <v>RlsCode_omniApproachLightSystem</v>
      </c>
      <c r="B822" s="409"/>
      <c r="C822" s="416"/>
      <c r="D822" s="198" t="s">
        <v>19252</v>
      </c>
      <c r="E822" s="198">
        <v>8</v>
      </c>
      <c r="F822" s="199" t="s">
        <v>19253</v>
      </c>
      <c r="G822" s="1" t="s">
        <v>19254</v>
      </c>
      <c r="H822" s="1" t="s">
        <v>19255</v>
      </c>
      <c r="I822" s="346"/>
      <c r="J822" s="39">
        <v>116589</v>
      </c>
      <c r="K822" s="36" t="str">
        <f>CONCATENATE(Cover!$D$6,"fdd/view?i=",J822)</f>
        <v>https://www.dgiwg.org/FAD/fdd/view?i=116589</v>
      </c>
      <c r="L822" s="36" t="s">
        <v>19256</v>
      </c>
      <c r="M822" s="186"/>
      <c r="N822" s="186"/>
      <c r="O822" s="172"/>
    </row>
    <row r="823" spans="1:15" ht="51" x14ac:dyDescent="0.2">
      <c r="A823" s="197" t="str">
        <f t="shared" si="12"/>
        <v>RlsCode_runwayAlignmentIndicator</v>
      </c>
      <c r="B823" s="409"/>
      <c r="C823" s="416"/>
      <c r="D823" s="198" t="s">
        <v>19257</v>
      </c>
      <c r="E823" s="198">
        <v>9</v>
      </c>
      <c r="F823" s="199" t="s">
        <v>19258</v>
      </c>
      <c r="G823" s="1" t="s">
        <v>19259</v>
      </c>
      <c r="H823" s="1" t="s">
        <v>19260</v>
      </c>
      <c r="I823" s="346"/>
      <c r="J823" s="39">
        <v>116590</v>
      </c>
      <c r="K823" s="36" t="str">
        <f>CONCATENATE(Cover!$D$6,"fdd/view?i=",J823)</f>
        <v>https://www.dgiwg.org/FAD/fdd/view?i=116590</v>
      </c>
      <c r="L823" s="36" t="s">
        <v>19261</v>
      </c>
      <c r="M823" s="186"/>
      <c r="N823" s="186"/>
      <c r="O823" s="172"/>
    </row>
    <row r="824" spans="1:15" ht="63.75" x14ac:dyDescent="0.2">
      <c r="A824" s="197" t="str">
        <f t="shared" si="12"/>
        <v>RlsCode_salsWithSeqFlashingLights</v>
      </c>
      <c r="B824" s="409"/>
      <c r="C824" s="416"/>
      <c r="D824" s="198" t="s">
        <v>19266</v>
      </c>
      <c r="E824" s="198">
        <v>2</v>
      </c>
      <c r="F824" s="199" t="s">
        <v>19267</v>
      </c>
      <c r="G824" s="1" t="s">
        <v>19268</v>
      </c>
      <c r="H824" s="200"/>
      <c r="I824" s="346"/>
      <c r="J824" s="39">
        <v>116583</v>
      </c>
      <c r="K824" s="36" t="str">
        <f>CONCATENATE(Cover!$D$6,"fdd/view?i=",J824)</f>
        <v>https://www.dgiwg.org/FAD/fdd/view?i=116583</v>
      </c>
      <c r="L824" s="36" t="s">
        <v>19269</v>
      </c>
      <c r="M824" s="186"/>
      <c r="N824" s="186"/>
      <c r="O824" s="172"/>
    </row>
    <row r="825" spans="1:15" ht="38.25" x14ac:dyDescent="0.2">
      <c r="A825" s="197" t="str">
        <f t="shared" si="12"/>
        <v>RlsCode_shortApproachLightSystem</v>
      </c>
      <c r="B825" s="409"/>
      <c r="C825" s="416"/>
      <c r="D825" s="198" t="s">
        <v>19262</v>
      </c>
      <c r="E825" s="198">
        <v>3</v>
      </c>
      <c r="F825" s="199" t="s">
        <v>19263</v>
      </c>
      <c r="G825" s="1" t="s">
        <v>19264</v>
      </c>
      <c r="H825" s="200"/>
      <c r="I825" s="346"/>
      <c r="J825" s="39">
        <v>116584</v>
      </c>
      <c r="K825" s="36" t="str">
        <f>CONCATENATE(Cover!$D$6,"fdd/view?i=",J825)</f>
        <v>https://www.dgiwg.org/FAD/fdd/view?i=116584</v>
      </c>
      <c r="L825" s="36" t="s">
        <v>19265</v>
      </c>
      <c r="M825" s="186"/>
      <c r="N825" s="186"/>
      <c r="O825" s="172"/>
    </row>
    <row r="826" spans="1:15" ht="38.25" x14ac:dyDescent="0.2">
      <c r="A826" s="197" t="str">
        <f t="shared" si="12"/>
        <v>RlsCode_singleRowCentreline</v>
      </c>
      <c r="B826" s="409"/>
      <c r="C826" s="416"/>
      <c r="D826" s="198" t="s">
        <v>19274</v>
      </c>
      <c r="E826" s="198">
        <v>19</v>
      </c>
      <c r="F826" s="199" t="s">
        <v>19275</v>
      </c>
      <c r="G826" s="1" t="s">
        <v>19276</v>
      </c>
      <c r="H826" s="200"/>
      <c r="I826" s="346"/>
      <c r="J826" s="39">
        <v>116600</v>
      </c>
      <c r="K826" s="36" t="str">
        <f>CONCATENATE(Cover!$D$6,"fdd/view?i=",J826)</f>
        <v>https://www.dgiwg.org/FAD/fdd/view?i=116600</v>
      </c>
      <c r="L826" s="36" t="s">
        <v>19277</v>
      </c>
      <c r="M826" s="186"/>
      <c r="N826" s="186"/>
      <c r="O826" s="172"/>
    </row>
    <row r="827" spans="1:15" ht="63.75" x14ac:dyDescent="0.2">
      <c r="A827" s="197" t="str">
        <f t="shared" si="12"/>
        <v>RlsCode_ssalWithRunwayAlignInd</v>
      </c>
      <c r="B827" s="409"/>
      <c r="C827" s="416"/>
      <c r="D827" s="198" t="s">
        <v>19270</v>
      </c>
      <c r="E827" s="198">
        <v>5</v>
      </c>
      <c r="F827" s="199" t="s">
        <v>19271</v>
      </c>
      <c r="G827" s="1" t="s">
        <v>19272</v>
      </c>
      <c r="H827" s="1" t="s">
        <v>19184</v>
      </c>
      <c r="I827" s="346"/>
      <c r="J827" s="39">
        <v>116586</v>
      </c>
      <c r="K827" s="36" t="str">
        <f>CONCATENATE(Cover!$D$6,"fdd/view?i=",J827)</f>
        <v>https://www.dgiwg.org/FAD/fdd/view?i=116586</v>
      </c>
      <c r="L827" s="36" t="s">
        <v>19273</v>
      </c>
      <c r="M827" s="186"/>
      <c r="N827" s="186"/>
      <c r="O827" s="172"/>
    </row>
    <row r="828" spans="1:15" ht="63.75" x14ac:dyDescent="0.2">
      <c r="A828" s="203" t="str">
        <f t="shared" si="12"/>
        <v>RlsCode_twoParallelRow</v>
      </c>
      <c r="B828" s="410"/>
      <c r="C828" s="417"/>
      <c r="D828" s="204" t="s">
        <v>19278</v>
      </c>
      <c r="E828" s="204">
        <v>21</v>
      </c>
      <c r="F828" s="205" t="s">
        <v>19279</v>
      </c>
      <c r="G828" s="206" t="s">
        <v>19280</v>
      </c>
      <c r="H828" s="207"/>
      <c r="I828" s="347"/>
      <c r="J828" s="39">
        <v>116602</v>
      </c>
      <c r="K828" s="36" t="str">
        <f>CONCATENATE(Cover!$D$6,"fdd/view?i=",J828)</f>
        <v>https://www.dgiwg.org/FAD/fdd/view?i=116602</v>
      </c>
      <c r="L828" s="36" t="s">
        <v>19281</v>
      </c>
      <c r="M828" s="186"/>
      <c r="N828" s="186"/>
      <c r="O828" s="172"/>
    </row>
    <row r="829" spans="1:15" ht="38.25" x14ac:dyDescent="0.2">
      <c r="A829" s="190" t="str">
        <f t="shared" si="12"/>
        <v>AcyCode_primary</v>
      </c>
      <c r="B829" s="414" t="str">
        <f>HYPERLINK("[#]Datatypes!A40:L40","AcyCode")</f>
        <v>AcyCode</v>
      </c>
      <c r="C829" s="415" t="s">
        <v>14586</v>
      </c>
      <c r="D829" s="221" t="s">
        <v>19282</v>
      </c>
      <c r="E829" s="221">
        <v>1</v>
      </c>
      <c r="F829" s="222" t="s">
        <v>19283</v>
      </c>
      <c r="G829" s="223" t="s">
        <v>19284</v>
      </c>
      <c r="H829" s="223" t="s">
        <v>19285</v>
      </c>
      <c r="I829" s="345"/>
      <c r="J829" s="39">
        <v>119807</v>
      </c>
      <c r="K829" s="36" t="str">
        <f>CONCATENATE(Cover!$D$6,"fdd/view?i=",J829)</f>
        <v>https://www.dgiwg.org/FAD/fdd/view?i=119807</v>
      </c>
      <c r="L829" s="36" t="s">
        <v>19286</v>
      </c>
      <c r="M829" s="186"/>
      <c r="N829" s="186"/>
      <c r="O829" s="172"/>
    </row>
    <row r="830" spans="1:15" ht="38.25" x14ac:dyDescent="0.2">
      <c r="A830" s="203" t="str">
        <f t="shared" si="12"/>
        <v>AcyCode_secondary</v>
      </c>
      <c r="B830" s="410"/>
      <c r="C830" s="417"/>
      <c r="D830" s="204" t="s">
        <v>19287</v>
      </c>
      <c r="E830" s="204">
        <v>2</v>
      </c>
      <c r="F830" s="205" t="s">
        <v>19288</v>
      </c>
      <c r="G830" s="206" t="s">
        <v>19289</v>
      </c>
      <c r="H830" s="206" t="s">
        <v>19290</v>
      </c>
      <c r="I830" s="347"/>
      <c r="J830" s="39">
        <v>119808</v>
      </c>
      <c r="K830" s="36" t="str">
        <f>CONCATENATE(Cover!$D$6,"fdd/view?i=",J830)</f>
        <v>https://www.dgiwg.org/FAD/fdd/view?i=119808</v>
      </c>
      <c r="L830" s="36" t="s">
        <v>19291</v>
      </c>
      <c r="M830" s="186"/>
      <c r="N830" s="186"/>
      <c r="O830" s="172"/>
    </row>
    <row r="831" spans="1:15" ht="25.5" x14ac:dyDescent="0.2">
      <c r="A831" s="190" t="str">
        <f t="shared" si="12"/>
        <v>AffCode_aircraftRescueFireCat1</v>
      </c>
      <c r="B831" s="414" t="str">
        <f>HYPERLINK("[#]Datatypes!A42:L42","AffCode")</f>
        <v>AffCode</v>
      </c>
      <c r="C831" s="415" t="s">
        <v>14588</v>
      </c>
      <c r="D831" s="221" t="s">
        <v>19293</v>
      </c>
      <c r="E831" s="221">
        <v>1</v>
      </c>
      <c r="F831" s="222" t="s">
        <v>19294</v>
      </c>
      <c r="G831" s="223" t="s">
        <v>19295</v>
      </c>
      <c r="H831" s="224"/>
      <c r="I831" s="345"/>
      <c r="J831" s="39">
        <v>115444</v>
      </c>
      <c r="K831" s="36" t="str">
        <f>CONCATENATE(Cover!$D$6,"fdd/view?i=",J831)</f>
        <v>https://www.dgiwg.org/FAD/fdd/view?i=115444</v>
      </c>
      <c r="L831" s="36" t="s">
        <v>19296</v>
      </c>
      <c r="M831" s="186"/>
      <c r="N831" s="186"/>
      <c r="O831" s="13" t="s">
        <v>19292</v>
      </c>
    </row>
    <row r="832" spans="1:15" ht="25.5" x14ac:dyDescent="0.2">
      <c r="A832" s="197" t="str">
        <f t="shared" si="12"/>
        <v>AffCode_aircraftRescueFireCat10</v>
      </c>
      <c r="B832" s="409"/>
      <c r="C832" s="416"/>
      <c r="D832" s="198" t="s">
        <v>19298</v>
      </c>
      <c r="E832" s="198">
        <v>10</v>
      </c>
      <c r="F832" s="199" t="s">
        <v>19299</v>
      </c>
      <c r="G832" s="1" t="s">
        <v>19300</v>
      </c>
      <c r="H832" s="200"/>
      <c r="I832" s="346"/>
      <c r="J832" s="39">
        <v>115445</v>
      </c>
      <c r="K832" s="36" t="str">
        <f>CONCATENATE(Cover!$D$6,"fdd/view?i=",J832)</f>
        <v>https://www.dgiwg.org/FAD/fdd/view?i=115445</v>
      </c>
      <c r="L832" s="36" t="s">
        <v>19301</v>
      </c>
      <c r="M832" s="186"/>
      <c r="N832" s="186"/>
      <c r="O832" s="13" t="s">
        <v>19297</v>
      </c>
    </row>
    <row r="833" spans="1:15" ht="25.5" x14ac:dyDescent="0.2">
      <c r="A833" s="197" t="str">
        <f t="shared" si="12"/>
        <v>AffCode_aircraftRescueFireCat2</v>
      </c>
      <c r="B833" s="409"/>
      <c r="C833" s="416"/>
      <c r="D833" s="198" t="s">
        <v>19303</v>
      </c>
      <c r="E833" s="198">
        <v>2</v>
      </c>
      <c r="F833" s="199" t="s">
        <v>19304</v>
      </c>
      <c r="G833" s="1" t="s">
        <v>19305</v>
      </c>
      <c r="H833" s="200"/>
      <c r="I833" s="346"/>
      <c r="J833" s="39">
        <v>115446</v>
      </c>
      <c r="K833" s="36" t="str">
        <f>CONCATENATE(Cover!$D$6,"fdd/view?i=",J833)</f>
        <v>https://www.dgiwg.org/FAD/fdd/view?i=115446</v>
      </c>
      <c r="L833" s="36" t="s">
        <v>19306</v>
      </c>
      <c r="M833" s="186"/>
      <c r="N833" s="186"/>
      <c r="O833" s="13" t="s">
        <v>19302</v>
      </c>
    </row>
    <row r="834" spans="1:15" ht="25.5" x14ac:dyDescent="0.2">
      <c r="A834" s="197" t="str">
        <f t="shared" ref="A834:A897" si="13">HYPERLINK(K834,L834)</f>
        <v>AffCode_aircraftRescueFireCat3</v>
      </c>
      <c r="B834" s="409"/>
      <c r="C834" s="416"/>
      <c r="D834" s="198" t="s">
        <v>19308</v>
      </c>
      <c r="E834" s="198">
        <v>3</v>
      </c>
      <c r="F834" s="199" t="s">
        <v>19309</v>
      </c>
      <c r="G834" s="1" t="s">
        <v>19310</v>
      </c>
      <c r="H834" s="200"/>
      <c r="I834" s="346"/>
      <c r="J834" s="39">
        <v>115447</v>
      </c>
      <c r="K834" s="36" t="str">
        <f>CONCATENATE(Cover!$D$6,"fdd/view?i=",J834)</f>
        <v>https://www.dgiwg.org/FAD/fdd/view?i=115447</v>
      </c>
      <c r="L834" s="36" t="s">
        <v>19311</v>
      </c>
      <c r="M834" s="186"/>
      <c r="N834" s="186"/>
      <c r="O834" s="13" t="s">
        <v>19307</v>
      </c>
    </row>
    <row r="835" spans="1:15" ht="25.5" x14ac:dyDescent="0.2">
      <c r="A835" s="197" t="str">
        <f t="shared" si="13"/>
        <v>AffCode_aircraftRescueFireCat4</v>
      </c>
      <c r="B835" s="409"/>
      <c r="C835" s="416"/>
      <c r="D835" s="198" t="s">
        <v>19313</v>
      </c>
      <c r="E835" s="198">
        <v>4</v>
      </c>
      <c r="F835" s="199" t="s">
        <v>19314</v>
      </c>
      <c r="G835" s="1" t="s">
        <v>19315</v>
      </c>
      <c r="H835" s="200"/>
      <c r="I835" s="346"/>
      <c r="J835" s="39">
        <v>115448</v>
      </c>
      <c r="K835" s="36" t="str">
        <f>CONCATENATE(Cover!$D$6,"fdd/view?i=",J835)</f>
        <v>https://www.dgiwg.org/FAD/fdd/view?i=115448</v>
      </c>
      <c r="L835" s="36" t="s">
        <v>19316</v>
      </c>
      <c r="M835" s="186"/>
      <c r="N835" s="186"/>
      <c r="O835" s="13" t="s">
        <v>19312</v>
      </c>
    </row>
    <row r="836" spans="1:15" ht="25.5" x14ac:dyDescent="0.2">
      <c r="A836" s="197" t="str">
        <f t="shared" si="13"/>
        <v>AffCode_aircraftRescueFireCat5</v>
      </c>
      <c r="B836" s="409"/>
      <c r="C836" s="416"/>
      <c r="D836" s="198" t="s">
        <v>19318</v>
      </c>
      <c r="E836" s="198">
        <v>5</v>
      </c>
      <c r="F836" s="199" t="s">
        <v>19319</v>
      </c>
      <c r="G836" s="1" t="s">
        <v>19320</v>
      </c>
      <c r="H836" s="200"/>
      <c r="I836" s="346"/>
      <c r="J836" s="39">
        <v>115449</v>
      </c>
      <c r="K836" s="36" t="str">
        <f>CONCATENATE(Cover!$D$6,"fdd/view?i=",J836)</f>
        <v>https://www.dgiwg.org/FAD/fdd/view?i=115449</v>
      </c>
      <c r="L836" s="36" t="s">
        <v>19321</v>
      </c>
      <c r="M836" s="186"/>
      <c r="N836" s="186"/>
      <c r="O836" s="13" t="s">
        <v>19317</v>
      </c>
    </row>
    <row r="837" spans="1:15" ht="25.5" x14ac:dyDescent="0.2">
      <c r="A837" s="197" t="str">
        <f t="shared" si="13"/>
        <v>AffCode_aircraftRescueFireCat6</v>
      </c>
      <c r="B837" s="409"/>
      <c r="C837" s="416"/>
      <c r="D837" s="198" t="s">
        <v>19323</v>
      </c>
      <c r="E837" s="198">
        <v>6</v>
      </c>
      <c r="F837" s="199" t="s">
        <v>19324</v>
      </c>
      <c r="G837" s="1" t="s">
        <v>19325</v>
      </c>
      <c r="H837" s="200"/>
      <c r="I837" s="346"/>
      <c r="J837" s="39">
        <v>115450</v>
      </c>
      <c r="K837" s="36" t="str">
        <f>CONCATENATE(Cover!$D$6,"fdd/view?i=",J837)</f>
        <v>https://www.dgiwg.org/FAD/fdd/view?i=115450</v>
      </c>
      <c r="L837" s="36" t="s">
        <v>19326</v>
      </c>
      <c r="M837" s="186"/>
      <c r="N837" s="186"/>
      <c r="O837" s="13" t="s">
        <v>19322</v>
      </c>
    </row>
    <row r="838" spans="1:15" ht="25.5" x14ac:dyDescent="0.2">
      <c r="A838" s="197" t="str">
        <f t="shared" si="13"/>
        <v>AffCode_aircraftRescueFireCat7</v>
      </c>
      <c r="B838" s="409"/>
      <c r="C838" s="416"/>
      <c r="D838" s="198" t="s">
        <v>19328</v>
      </c>
      <c r="E838" s="198">
        <v>7</v>
      </c>
      <c r="F838" s="199" t="s">
        <v>19329</v>
      </c>
      <c r="G838" s="1" t="s">
        <v>19330</v>
      </c>
      <c r="H838" s="200"/>
      <c r="I838" s="346"/>
      <c r="J838" s="39">
        <v>115451</v>
      </c>
      <c r="K838" s="36" t="str">
        <f>CONCATENATE(Cover!$D$6,"fdd/view?i=",J838)</f>
        <v>https://www.dgiwg.org/FAD/fdd/view?i=115451</v>
      </c>
      <c r="L838" s="36" t="s">
        <v>19331</v>
      </c>
      <c r="M838" s="186"/>
      <c r="N838" s="186"/>
      <c r="O838" s="13" t="s">
        <v>19327</v>
      </c>
    </row>
    <row r="839" spans="1:15" ht="25.5" x14ac:dyDescent="0.2">
      <c r="A839" s="197" t="str">
        <f t="shared" si="13"/>
        <v>AffCode_aircraftRescueFireCat8</v>
      </c>
      <c r="B839" s="409"/>
      <c r="C839" s="416"/>
      <c r="D839" s="198" t="s">
        <v>19333</v>
      </c>
      <c r="E839" s="198">
        <v>8</v>
      </c>
      <c r="F839" s="199" t="s">
        <v>19334</v>
      </c>
      <c r="G839" s="1" t="s">
        <v>19335</v>
      </c>
      <c r="H839" s="200"/>
      <c r="I839" s="346"/>
      <c r="J839" s="39">
        <v>115452</v>
      </c>
      <c r="K839" s="36" t="str">
        <f>CONCATENATE(Cover!$D$6,"fdd/view?i=",J839)</f>
        <v>https://www.dgiwg.org/FAD/fdd/view?i=115452</v>
      </c>
      <c r="L839" s="36" t="s">
        <v>19336</v>
      </c>
      <c r="M839" s="186"/>
      <c r="N839" s="186"/>
      <c r="O839" s="13" t="s">
        <v>19332</v>
      </c>
    </row>
    <row r="840" spans="1:15" ht="25.5" x14ac:dyDescent="0.2">
      <c r="A840" s="197" t="str">
        <f t="shared" si="13"/>
        <v>AffCode_aircraftRescueFireCat9</v>
      </c>
      <c r="B840" s="409"/>
      <c r="C840" s="416"/>
      <c r="D840" s="198" t="s">
        <v>19338</v>
      </c>
      <c r="E840" s="198">
        <v>9</v>
      </c>
      <c r="F840" s="199" t="s">
        <v>19339</v>
      </c>
      <c r="G840" s="1" t="s">
        <v>19340</v>
      </c>
      <c r="H840" s="200"/>
      <c r="I840" s="346"/>
      <c r="J840" s="39">
        <v>115453</v>
      </c>
      <c r="K840" s="36" t="str">
        <f>CONCATENATE(Cover!$D$6,"fdd/view?i=",J840)</f>
        <v>https://www.dgiwg.org/FAD/fdd/view?i=115453</v>
      </c>
      <c r="L840" s="36" t="s">
        <v>19341</v>
      </c>
      <c r="M840" s="186"/>
      <c r="N840" s="186"/>
      <c r="O840" s="13" t="s">
        <v>19337</v>
      </c>
    </row>
    <row r="841" spans="1:15" ht="25.5" x14ac:dyDescent="0.2">
      <c r="A841" s="197" t="str">
        <f t="shared" si="13"/>
        <v>AffCode_helicopterRescueFireCat1</v>
      </c>
      <c r="B841" s="409"/>
      <c r="C841" s="416"/>
      <c r="D841" s="198" t="s">
        <v>19343</v>
      </c>
      <c r="E841" s="198">
        <v>11</v>
      </c>
      <c r="F841" s="199" t="s">
        <v>19344</v>
      </c>
      <c r="G841" s="1" t="s">
        <v>19345</v>
      </c>
      <c r="H841" s="200"/>
      <c r="I841" s="346"/>
      <c r="J841" s="39">
        <v>115454</v>
      </c>
      <c r="K841" s="36" t="str">
        <f>CONCATENATE(Cover!$D$6,"fdd/view?i=",J841)</f>
        <v>https://www.dgiwg.org/FAD/fdd/view?i=115454</v>
      </c>
      <c r="L841" s="36" t="s">
        <v>19346</v>
      </c>
      <c r="M841" s="186"/>
      <c r="N841" s="186"/>
      <c r="O841" s="13" t="s">
        <v>19342</v>
      </c>
    </row>
    <row r="842" spans="1:15" ht="25.5" x14ac:dyDescent="0.2">
      <c r="A842" s="197" t="str">
        <f t="shared" si="13"/>
        <v>AffCode_helicopterRescueFireCat2</v>
      </c>
      <c r="B842" s="409"/>
      <c r="C842" s="416"/>
      <c r="D842" s="198" t="s">
        <v>19348</v>
      </c>
      <c r="E842" s="198">
        <v>12</v>
      </c>
      <c r="F842" s="199" t="s">
        <v>19349</v>
      </c>
      <c r="G842" s="1" t="s">
        <v>19350</v>
      </c>
      <c r="H842" s="200"/>
      <c r="I842" s="346"/>
      <c r="J842" s="39">
        <v>115455</v>
      </c>
      <c r="K842" s="36" t="str">
        <f>CONCATENATE(Cover!$D$6,"fdd/view?i=",J842)</f>
        <v>https://www.dgiwg.org/FAD/fdd/view?i=115455</v>
      </c>
      <c r="L842" s="36" t="s">
        <v>19351</v>
      </c>
      <c r="M842" s="186"/>
      <c r="N842" s="186"/>
      <c r="O842" s="13" t="s">
        <v>19347</v>
      </c>
    </row>
    <row r="843" spans="1:15" ht="25.5" x14ac:dyDescent="0.2">
      <c r="A843" s="203" t="str">
        <f t="shared" si="13"/>
        <v>AffCode_helicopterRescueFireCat3</v>
      </c>
      <c r="B843" s="410"/>
      <c r="C843" s="417"/>
      <c r="D843" s="204" t="s">
        <v>19353</v>
      </c>
      <c r="E843" s="204">
        <v>13</v>
      </c>
      <c r="F843" s="205" t="s">
        <v>19354</v>
      </c>
      <c r="G843" s="206" t="s">
        <v>19355</v>
      </c>
      <c r="H843" s="207"/>
      <c r="I843" s="347"/>
      <c r="J843" s="39">
        <v>115456</v>
      </c>
      <c r="K843" s="36" t="str">
        <f>CONCATENATE(Cover!$D$6,"fdd/view?i=",J843)</f>
        <v>https://www.dgiwg.org/FAD/fdd/view?i=115456</v>
      </c>
      <c r="L843" s="36" t="s">
        <v>19356</v>
      </c>
      <c r="M843" s="186"/>
      <c r="N843" s="186"/>
      <c r="O843" s="13" t="s">
        <v>19352</v>
      </c>
    </row>
    <row r="844" spans="1:15" ht="38.25" x14ac:dyDescent="0.2">
      <c r="A844" s="190" t="str">
        <f t="shared" si="13"/>
        <v>MalCode_aircraftStandManeuver</v>
      </c>
      <c r="B844" s="414" t="str">
        <f>HYPERLINK("[#]Datatypes!A48:L48","MalCode")</f>
        <v>MalCode</v>
      </c>
      <c r="C844" s="415" t="s">
        <v>14598</v>
      </c>
      <c r="D844" s="221" t="s">
        <v>19357</v>
      </c>
      <c r="E844" s="221">
        <v>12</v>
      </c>
      <c r="F844" s="222" t="s">
        <v>19358</v>
      </c>
      <c r="G844" s="223" t="s">
        <v>19359</v>
      </c>
      <c r="H844" s="224"/>
      <c r="I844" s="345"/>
      <c r="J844" s="39">
        <v>115604</v>
      </c>
      <c r="K844" s="36" t="str">
        <f>CONCATENATE(Cover!$D$6,"fdd/view?i=",J844)</f>
        <v>https://www.dgiwg.org/FAD/fdd/view?i=115604</v>
      </c>
      <c r="L844" s="36" t="s">
        <v>19360</v>
      </c>
      <c r="M844" s="186"/>
      <c r="N844" s="186"/>
      <c r="O844" s="172"/>
    </row>
    <row r="845" spans="1:15" ht="25.5" x14ac:dyDescent="0.2">
      <c r="A845" s="197" t="str">
        <f t="shared" si="13"/>
        <v>MalCode_apronFlood</v>
      </c>
      <c r="B845" s="409"/>
      <c r="C845" s="416"/>
      <c r="D845" s="198" t="s">
        <v>19361</v>
      </c>
      <c r="E845" s="198">
        <v>3</v>
      </c>
      <c r="F845" s="199" t="s">
        <v>19362</v>
      </c>
      <c r="G845" s="1" t="s">
        <v>19363</v>
      </c>
      <c r="H845" s="200"/>
      <c r="I845" s="346"/>
      <c r="J845" s="39">
        <v>115595</v>
      </c>
      <c r="K845" s="36" t="str">
        <f>CONCATENATE(Cover!$D$6,"fdd/view?i=",J845)</f>
        <v>https://www.dgiwg.org/FAD/fdd/view?i=115595</v>
      </c>
      <c r="L845" s="36" t="s">
        <v>19364</v>
      </c>
      <c r="M845" s="186"/>
      <c r="N845" s="186"/>
      <c r="O845" s="172"/>
    </row>
    <row r="846" spans="1:15" ht="63.75" x14ac:dyDescent="0.2">
      <c r="A846" s="197" t="str">
        <f t="shared" si="13"/>
        <v>MalCode_deicingAreaExit</v>
      </c>
      <c r="B846" s="409"/>
      <c r="C846" s="416"/>
      <c r="D846" s="198" t="s">
        <v>19365</v>
      </c>
      <c r="E846" s="198">
        <v>9</v>
      </c>
      <c r="F846" s="199" t="s">
        <v>19366</v>
      </c>
      <c r="G846" s="1" t="s">
        <v>19367</v>
      </c>
      <c r="H846" s="1" t="s">
        <v>19368</v>
      </c>
      <c r="I846" s="346"/>
      <c r="J846" s="39">
        <v>115601</v>
      </c>
      <c r="K846" s="36" t="str">
        <f>CONCATENATE(Cover!$D$6,"fdd/view?i=",J846)</f>
        <v>https://www.dgiwg.org/FAD/fdd/view?i=115601</v>
      </c>
      <c r="L846" s="36" t="s">
        <v>19369</v>
      </c>
      <c r="M846" s="186"/>
      <c r="N846" s="186"/>
      <c r="O846" s="172"/>
    </row>
    <row r="847" spans="1:15" ht="51" x14ac:dyDescent="0.2">
      <c r="A847" s="197" t="str">
        <f t="shared" si="13"/>
        <v>MalCode_finalApproachTakeOffArea</v>
      </c>
      <c r="B847" s="409"/>
      <c r="C847" s="416"/>
      <c r="D847" s="198" t="s">
        <v>19370</v>
      </c>
      <c r="E847" s="198">
        <v>23</v>
      </c>
      <c r="F847" s="199" t="s">
        <v>19371</v>
      </c>
      <c r="G847" s="1" t="s">
        <v>19372</v>
      </c>
      <c r="H847" s="1" t="s">
        <v>19373</v>
      </c>
      <c r="I847" s="346"/>
      <c r="J847" s="39">
        <v>115615</v>
      </c>
      <c r="K847" s="36" t="str">
        <f>CONCATENATE(Cover!$D$6,"fdd/view?i=",J847)</f>
        <v>https://www.dgiwg.org/FAD/fdd/view?i=115615</v>
      </c>
      <c r="L847" s="36" t="s">
        <v>19374</v>
      </c>
      <c r="M847" s="186"/>
      <c r="N847" s="186"/>
      <c r="O847" s="172"/>
    </row>
    <row r="848" spans="1:15" ht="102" x14ac:dyDescent="0.2">
      <c r="A848" s="197" t="str">
        <f t="shared" si="13"/>
        <v>MalCode_intermediateHolding</v>
      </c>
      <c r="B848" s="409"/>
      <c r="C848" s="416"/>
      <c r="D848" s="198" t="s">
        <v>19375</v>
      </c>
      <c r="E848" s="198">
        <v>8</v>
      </c>
      <c r="F848" s="199" t="s">
        <v>19376</v>
      </c>
      <c r="G848" s="1" t="s">
        <v>19377</v>
      </c>
      <c r="H848" s="1" t="s">
        <v>19378</v>
      </c>
      <c r="I848" s="346"/>
      <c r="J848" s="39">
        <v>115600</v>
      </c>
      <c r="K848" s="36" t="str">
        <f>CONCATENATE(Cover!$D$6,"fdd/view?i=",J848)</f>
        <v>https://www.dgiwg.org/FAD/fdd/view?i=115600</v>
      </c>
      <c r="L848" s="36" t="s">
        <v>19379</v>
      </c>
      <c r="M848" s="186"/>
      <c r="N848" s="186"/>
      <c r="O848" s="172"/>
    </row>
    <row r="849" spans="1:15" ht="63.75" x14ac:dyDescent="0.2">
      <c r="A849" s="197" t="str">
        <f t="shared" si="13"/>
        <v>MalCode_landandHoldShort</v>
      </c>
      <c r="B849" s="409"/>
      <c r="C849" s="416"/>
      <c r="D849" s="198" t="s">
        <v>19380</v>
      </c>
      <c r="E849" s="198">
        <v>20</v>
      </c>
      <c r="F849" s="199" t="s">
        <v>19381</v>
      </c>
      <c r="G849" s="1" t="s">
        <v>19382</v>
      </c>
      <c r="H849" s="1" t="s">
        <v>19383</v>
      </c>
      <c r="I849" s="346"/>
      <c r="J849" s="39">
        <v>115612</v>
      </c>
      <c r="K849" s="36" t="str">
        <f>CONCATENATE(Cover!$D$6,"fdd/view?i=",J849)</f>
        <v>https://www.dgiwg.org/FAD/fdd/view?i=115612</v>
      </c>
      <c r="L849" s="36" t="s">
        <v>19384</v>
      </c>
      <c r="M849" s="186"/>
      <c r="N849" s="186"/>
      <c r="O849" s="172"/>
    </row>
    <row r="850" spans="1:15" ht="63.75" x14ac:dyDescent="0.2">
      <c r="A850" s="197" t="str">
        <f t="shared" si="13"/>
        <v>MalCode_rapidExitTaxiwayIndicator</v>
      </c>
      <c r="B850" s="409"/>
      <c r="C850" s="416"/>
      <c r="D850" s="198" t="s">
        <v>19385</v>
      </c>
      <c r="E850" s="198">
        <v>1</v>
      </c>
      <c r="F850" s="199" t="s">
        <v>19386</v>
      </c>
      <c r="G850" s="1" t="s">
        <v>19387</v>
      </c>
      <c r="H850" s="1" t="s">
        <v>19388</v>
      </c>
      <c r="I850" s="346"/>
      <c r="J850" s="39">
        <v>115593</v>
      </c>
      <c r="K850" s="36" t="str">
        <f>CONCATENATE(Cover!$D$6,"fdd/view?i=",J850)</f>
        <v>https://www.dgiwg.org/FAD/fdd/view?i=115593</v>
      </c>
      <c r="L850" s="36" t="s">
        <v>19389</v>
      </c>
      <c r="M850" s="186"/>
      <c r="N850" s="186"/>
      <c r="O850" s="172"/>
    </row>
    <row r="851" spans="1:15" ht="38.25" x14ac:dyDescent="0.2">
      <c r="A851" s="197" t="str">
        <f t="shared" si="13"/>
        <v>MalCode_roadHoldingPosition</v>
      </c>
      <c r="B851" s="409"/>
      <c r="C851" s="416"/>
      <c r="D851" s="198" t="s">
        <v>19390</v>
      </c>
      <c r="E851" s="198">
        <v>13</v>
      </c>
      <c r="F851" s="199" t="s">
        <v>19391</v>
      </c>
      <c r="G851" s="1" t="s">
        <v>19392</v>
      </c>
      <c r="H851" s="1" t="s">
        <v>19393</v>
      </c>
      <c r="I851" s="346"/>
      <c r="J851" s="39">
        <v>115605</v>
      </c>
      <c r="K851" s="36" t="str">
        <f>CONCATENATE(Cover!$D$6,"fdd/view?i=",J851)</f>
        <v>https://www.dgiwg.org/FAD/fdd/view?i=115605</v>
      </c>
      <c r="L851" s="36" t="s">
        <v>19394</v>
      </c>
      <c r="M851" s="186"/>
      <c r="N851" s="186"/>
      <c r="O851" s="172"/>
    </row>
    <row r="852" spans="1:15" ht="127.5" x14ac:dyDescent="0.2">
      <c r="A852" s="197" t="str">
        <f t="shared" si="13"/>
        <v>MalCode_runwayCenterline</v>
      </c>
      <c r="B852" s="409"/>
      <c r="C852" s="416"/>
      <c r="D852" s="198" t="s">
        <v>19395</v>
      </c>
      <c r="E852" s="198">
        <v>14</v>
      </c>
      <c r="F852" s="199" t="s">
        <v>19396</v>
      </c>
      <c r="G852" s="1" t="s">
        <v>19397</v>
      </c>
      <c r="H852" s="1" t="s">
        <v>19398</v>
      </c>
      <c r="I852" s="346"/>
      <c r="J852" s="39">
        <v>115606</v>
      </c>
      <c r="K852" s="36" t="str">
        <f>CONCATENATE(Cover!$D$6,"fdd/view?i=",J852)</f>
        <v>https://www.dgiwg.org/FAD/fdd/view?i=115606</v>
      </c>
      <c r="L852" s="36" t="s">
        <v>19399</v>
      </c>
      <c r="M852" s="186"/>
      <c r="N852" s="186"/>
      <c r="O852" s="172"/>
    </row>
    <row r="853" spans="1:15" ht="102" x14ac:dyDescent="0.2">
      <c r="A853" s="197" t="str">
        <f t="shared" si="13"/>
        <v>MalCode_runwayEdge</v>
      </c>
      <c r="B853" s="409"/>
      <c r="C853" s="416"/>
      <c r="D853" s="198" t="s">
        <v>19400</v>
      </c>
      <c r="E853" s="198">
        <v>15</v>
      </c>
      <c r="F853" s="199" t="s">
        <v>19401</v>
      </c>
      <c r="G853" s="1" t="s">
        <v>19402</v>
      </c>
      <c r="H853" s="1" t="s">
        <v>19403</v>
      </c>
      <c r="I853" s="346"/>
      <c r="J853" s="39">
        <v>115607</v>
      </c>
      <c r="K853" s="36" t="str">
        <f>CONCATENATE(Cover!$D$6,"fdd/view?i=",J853)</f>
        <v>https://www.dgiwg.org/FAD/fdd/view?i=115607</v>
      </c>
      <c r="L853" s="36" t="s">
        <v>19404</v>
      </c>
      <c r="M853" s="186"/>
      <c r="N853" s="186"/>
      <c r="O853" s="172"/>
    </row>
    <row r="854" spans="1:15" ht="63.75" x14ac:dyDescent="0.2">
      <c r="A854" s="197" t="str">
        <f t="shared" si="13"/>
        <v>MalCode_runwayEnd</v>
      </c>
      <c r="B854" s="409"/>
      <c r="C854" s="416"/>
      <c r="D854" s="198" t="s">
        <v>19405</v>
      </c>
      <c r="E854" s="198">
        <v>19</v>
      </c>
      <c r="F854" s="199" t="s">
        <v>4821</v>
      </c>
      <c r="G854" s="1" t="s">
        <v>19406</v>
      </c>
      <c r="H854" s="1" t="s">
        <v>19407</v>
      </c>
      <c r="I854" s="346"/>
      <c r="J854" s="39">
        <v>115611</v>
      </c>
      <c r="K854" s="36" t="str">
        <f>CONCATENATE(Cover!$D$6,"fdd/view?i=",J854)</f>
        <v>https://www.dgiwg.org/FAD/fdd/view?i=115611</v>
      </c>
      <c r="L854" s="36" t="s">
        <v>19408</v>
      </c>
      <c r="M854" s="186"/>
      <c r="N854" s="186"/>
      <c r="O854" s="172"/>
    </row>
    <row r="855" spans="1:15" ht="127.5" x14ac:dyDescent="0.2">
      <c r="A855" s="197" t="str">
        <f t="shared" si="13"/>
        <v>MalCode_runwayEndIdentifierLight</v>
      </c>
      <c r="B855" s="409"/>
      <c r="C855" s="416"/>
      <c r="D855" s="198" t="s">
        <v>19409</v>
      </c>
      <c r="E855" s="198">
        <v>16</v>
      </c>
      <c r="F855" s="199" t="s">
        <v>19410</v>
      </c>
      <c r="G855" s="1" t="s">
        <v>19411</v>
      </c>
      <c r="H855" s="1" t="s">
        <v>19412</v>
      </c>
      <c r="I855" s="346"/>
      <c r="J855" s="39">
        <v>115608</v>
      </c>
      <c r="K855" s="36" t="str">
        <f>CONCATENATE(Cover!$D$6,"fdd/view?i=",J855)</f>
        <v>https://www.dgiwg.org/FAD/fdd/view?i=115608</v>
      </c>
      <c r="L855" s="36" t="s">
        <v>19413</v>
      </c>
      <c r="M855" s="186"/>
      <c r="N855" s="186"/>
      <c r="O855" s="172"/>
    </row>
    <row r="856" spans="1:15" ht="102" x14ac:dyDescent="0.2">
      <c r="A856" s="197" t="str">
        <f t="shared" si="13"/>
        <v>MalCode_runwayGuard</v>
      </c>
      <c r="B856" s="409"/>
      <c r="C856" s="416"/>
      <c r="D856" s="198" t="s">
        <v>19414</v>
      </c>
      <c r="E856" s="198">
        <v>10</v>
      </c>
      <c r="F856" s="199" t="s">
        <v>19415</v>
      </c>
      <c r="G856" s="1" t="s">
        <v>19416</v>
      </c>
      <c r="H856" s="1" t="s">
        <v>19417</v>
      </c>
      <c r="I856" s="346"/>
      <c r="J856" s="39">
        <v>115602</v>
      </c>
      <c r="K856" s="36" t="str">
        <f>CONCATENATE(Cover!$D$6,"fdd/view?i=",J856)</f>
        <v>https://www.dgiwg.org/FAD/fdd/view?i=115602</v>
      </c>
      <c r="L856" s="36" t="s">
        <v>19418</v>
      </c>
      <c r="M856" s="186"/>
      <c r="N856" s="186"/>
      <c r="O856" s="172"/>
    </row>
    <row r="857" spans="1:15" ht="51" x14ac:dyDescent="0.2">
      <c r="A857" s="197" t="str">
        <f t="shared" si="13"/>
        <v>MalCode_runwayTurnPad</v>
      </c>
      <c r="B857" s="409"/>
      <c r="C857" s="416"/>
      <c r="D857" s="198" t="s">
        <v>19419</v>
      </c>
      <c r="E857" s="198">
        <v>6</v>
      </c>
      <c r="F857" s="199" t="s">
        <v>4861</v>
      </c>
      <c r="G857" s="1" t="s">
        <v>19420</v>
      </c>
      <c r="H857" s="1" t="s">
        <v>19421</v>
      </c>
      <c r="I857" s="346"/>
      <c r="J857" s="39">
        <v>115598</v>
      </c>
      <c r="K857" s="36" t="str">
        <f>CONCATENATE(Cover!$D$6,"fdd/view?i=",J857)</f>
        <v>https://www.dgiwg.org/FAD/fdd/view?i=115598</v>
      </c>
      <c r="L857" s="36" t="s">
        <v>19422</v>
      </c>
      <c r="M857" s="186"/>
      <c r="N857" s="186"/>
      <c r="O857" s="172"/>
    </row>
    <row r="858" spans="1:15" ht="51" x14ac:dyDescent="0.2">
      <c r="A858" s="197" t="str">
        <f t="shared" si="13"/>
        <v>MalCode_stopbars</v>
      </c>
      <c r="B858" s="409"/>
      <c r="C858" s="416"/>
      <c r="D858" s="198" t="s">
        <v>19423</v>
      </c>
      <c r="E858" s="198">
        <v>7</v>
      </c>
      <c r="F858" s="199" t="s">
        <v>19424</v>
      </c>
      <c r="G858" s="1" t="s">
        <v>19425</v>
      </c>
      <c r="H858" s="1" t="s">
        <v>19426</v>
      </c>
      <c r="I858" s="346"/>
      <c r="J858" s="39">
        <v>115599</v>
      </c>
      <c r="K858" s="36" t="str">
        <f>CONCATENATE(Cover!$D$6,"fdd/view?i=",J858)</f>
        <v>https://www.dgiwg.org/FAD/fdd/view?i=115599</v>
      </c>
      <c r="L858" s="36" t="s">
        <v>19427</v>
      </c>
      <c r="M858" s="186"/>
      <c r="N858" s="186"/>
      <c r="O858" s="172"/>
    </row>
    <row r="859" spans="1:15" ht="114.75" x14ac:dyDescent="0.2">
      <c r="A859" s="197" t="str">
        <f t="shared" si="13"/>
        <v>MalCode_stopwayEdge</v>
      </c>
      <c r="B859" s="409"/>
      <c r="C859" s="416"/>
      <c r="D859" s="198" t="s">
        <v>19428</v>
      </c>
      <c r="E859" s="198">
        <v>2</v>
      </c>
      <c r="F859" s="199" t="s">
        <v>19429</v>
      </c>
      <c r="G859" s="1" t="s">
        <v>19430</v>
      </c>
      <c r="H859" s="1" t="s">
        <v>19431</v>
      </c>
      <c r="I859" s="346"/>
      <c r="J859" s="39">
        <v>115594</v>
      </c>
      <c r="K859" s="36" t="str">
        <f>CONCATENATE(Cover!$D$6,"fdd/view?i=",J859)</f>
        <v>https://www.dgiwg.org/FAD/fdd/view?i=115594</v>
      </c>
      <c r="L859" s="36" t="s">
        <v>19432</v>
      </c>
      <c r="M859" s="186"/>
      <c r="N859" s="186"/>
      <c r="O859" s="172"/>
    </row>
    <row r="860" spans="1:15" ht="76.5" x14ac:dyDescent="0.2">
      <c r="A860" s="197" t="str">
        <f t="shared" si="13"/>
        <v>MalCode_taxiwayCenterline</v>
      </c>
      <c r="B860" s="409"/>
      <c r="C860" s="416"/>
      <c r="D860" s="198" t="s">
        <v>19433</v>
      </c>
      <c r="E860" s="198">
        <v>4</v>
      </c>
      <c r="F860" s="199" t="s">
        <v>19434</v>
      </c>
      <c r="G860" s="1" t="s">
        <v>19435</v>
      </c>
      <c r="H860" s="1" t="s">
        <v>19436</v>
      </c>
      <c r="I860" s="346"/>
      <c r="J860" s="39">
        <v>115596</v>
      </c>
      <c r="K860" s="36" t="str">
        <f>CONCATENATE(Cover!$D$6,"fdd/view?i=",J860)</f>
        <v>https://www.dgiwg.org/FAD/fdd/view?i=115596</v>
      </c>
      <c r="L860" s="36" t="s">
        <v>19437</v>
      </c>
      <c r="M860" s="186"/>
      <c r="N860" s="186"/>
      <c r="O860" s="172"/>
    </row>
    <row r="861" spans="1:15" ht="25.5" x14ac:dyDescent="0.2">
      <c r="A861" s="197" t="str">
        <f t="shared" si="13"/>
        <v>MalCode_taxiwayEdge</v>
      </c>
      <c r="B861" s="409"/>
      <c r="C861" s="416"/>
      <c r="D861" s="198" t="s">
        <v>19438</v>
      </c>
      <c r="E861" s="198">
        <v>5</v>
      </c>
      <c r="F861" s="199" t="s">
        <v>19439</v>
      </c>
      <c r="G861" s="1" t="s">
        <v>19440</v>
      </c>
      <c r="H861" s="1" t="s">
        <v>19441</v>
      </c>
      <c r="I861" s="346"/>
      <c r="J861" s="39">
        <v>115597</v>
      </c>
      <c r="K861" s="36" t="str">
        <f>CONCATENATE(Cover!$D$6,"fdd/view?i=",J861)</f>
        <v>https://www.dgiwg.org/FAD/fdd/view?i=115597</v>
      </c>
      <c r="L861" s="36" t="s">
        <v>19442</v>
      </c>
      <c r="M861" s="186"/>
      <c r="N861" s="186"/>
      <c r="O861" s="172"/>
    </row>
    <row r="862" spans="1:15" ht="63.75" x14ac:dyDescent="0.2">
      <c r="A862" s="197" t="str">
        <f t="shared" si="13"/>
        <v>MalCode_taxiwayExitCenterLights</v>
      </c>
      <c r="B862" s="409"/>
      <c r="C862" s="416"/>
      <c r="D862" s="198" t="s">
        <v>19443</v>
      </c>
      <c r="E862" s="198">
        <v>21</v>
      </c>
      <c r="F862" s="199" t="s">
        <v>19444</v>
      </c>
      <c r="G862" s="1" t="s">
        <v>19445</v>
      </c>
      <c r="H862" s="1" t="s">
        <v>19446</v>
      </c>
      <c r="I862" s="346"/>
      <c r="J862" s="39">
        <v>115613</v>
      </c>
      <c r="K862" s="36" t="str">
        <f>CONCATENATE(Cover!$D$6,"fdd/view?i=",J862)</f>
        <v>https://www.dgiwg.org/FAD/fdd/view?i=115613</v>
      </c>
      <c r="L862" s="36" t="s">
        <v>19447</v>
      </c>
      <c r="M862" s="186"/>
      <c r="N862" s="186"/>
      <c r="O862" s="172"/>
    </row>
    <row r="863" spans="1:15" ht="191.25" x14ac:dyDescent="0.2">
      <c r="A863" s="197" t="str">
        <f t="shared" si="13"/>
        <v>MalCode_threshold</v>
      </c>
      <c r="B863" s="409"/>
      <c r="C863" s="416"/>
      <c r="D863" s="198" t="s">
        <v>19448</v>
      </c>
      <c r="E863" s="198">
        <v>18</v>
      </c>
      <c r="F863" s="199" t="s">
        <v>19449</v>
      </c>
      <c r="G863" s="1" t="s">
        <v>19450</v>
      </c>
      <c r="H863" s="1" t="s">
        <v>19451</v>
      </c>
      <c r="I863" s="346"/>
      <c r="J863" s="39">
        <v>115610</v>
      </c>
      <c r="K863" s="36" t="str">
        <f>CONCATENATE(Cover!$D$6,"fdd/view?i=",J863)</f>
        <v>https://www.dgiwg.org/FAD/fdd/view?i=115610</v>
      </c>
      <c r="L863" s="36" t="s">
        <v>19452</v>
      </c>
      <c r="M863" s="186"/>
      <c r="N863" s="186"/>
      <c r="O863" s="172"/>
    </row>
    <row r="864" spans="1:15" ht="153" x14ac:dyDescent="0.2">
      <c r="A864" s="197" t="str">
        <f t="shared" si="13"/>
        <v>MalCode_touchdownAndLiftOffArea</v>
      </c>
      <c r="B864" s="409"/>
      <c r="C864" s="416"/>
      <c r="D864" s="198" t="s">
        <v>19453</v>
      </c>
      <c r="E864" s="198">
        <v>22</v>
      </c>
      <c r="F864" s="199" t="s">
        <v>19454</v>
      </c>
      <c r="G864" s="1" t="s">
        <v>19455</v>
      </c>
      <c r="H864" s="1" t="s">
        <v>19456</v>
      </c>
      <c r="I864" s="346"/>
      <c r="J864" s="39">
        <v>115614</v>
      </c>
      <c r="K864" s="36" t="str">
        <f>CONCATENATE(Cover!$D$6,"fdd/view?i=",J864)</f>
        <v>https://www.dgiwg.org/FAD/fdd/view?i=115614</v>
      </c>
      <c r="L864" s="36" t="s">
        <v>19457</v>
      </c>
      <c r="M864" s="186"/>
      <c r="N864" s="186"/>
      <c r="O864" s="172"/>
    </row>
    <row r="865" spans="1:15" ht="153" x14ac:dyDescent="0.2">
      <c r="A865" s="197" t="str">
        <f t="shared" si="13"/>
        <v>MalCode_touchdownZone</v>
      </c>
      <c r="B865" s="409"/>
      <c r="C865" s="416"/>
      <c r="D865" s="198" t="s">
        <v>19458</v>
      </c>
      <c r="E865" s="198">
        <v>17</v>
      </c>
      <c r="F865" s="199" t="s">
        <v>19459</v>
      </c>
      <c r="G865" s="1" t="s">
        <v>19460</v>
      </c>
      <c r="H865" s="1" t="s">
        <v>19461</v>
      </c>
      <c r="I865" s="346"/>
      <c r="J865" s="39">
        <v>115609</v>
      </c>
      <c r="K865" s="36" t="str">
        <f>CONCATENATE(Cover!$D$6,"fdd/view?i=",J865)</f>
        <v>https://www.dgiwg.org/FAD/fdd/view?i=115609</v>
      </c>
      <c r="L865" s="36" t="s">
        <v>19462</v>
      </c>
      <c r="M865" s="186"/>
      <c r="N865" s="186"/>
      <c r="O865" s="172"/>
    </row>
    <row r="866" spans="1:15" ht="38.25" x14ac:dyDescent="0.2">
      <c r="A866" s="203" t="str">
        <f t="shared" si="13"/>
        <v>MalCode_visualDockingGuidance</v>
      </c>
      <c r="B866" s="410"/>
      <c r="C866" s="417"/>
      <c r="D866" s="204" t="s">
        <v>19463</v>
      </c>
      <c r="E866" s="204">
        <v>11</v>
      </c>
      <c r="F866" s="205" t="s">
        <v>19464</v>
      </c>
      <c r="G866" s="206" t="s">
        <v>19465</v>
      </c>
      <c r="H866" s="207"/>
      <c r="I866" s="347"/>
      <c r="J866" s="39">
        <v>115603</v>
      </c>
      <c r="K866" s="36" t="str">
        <f>CONCATENATE(Cover!$D$6,"fdd/view?i=",J866)</f>
        <v>https://www.dgiwg.org/FAD/fdd/view?i=115603</v>
      </c>
      <c r="L866" s="36" t="s">
        <v>19466</v>
      </c>
      <c r="M866" s="186"/>
      <c r="N866" s="186"/>
      <c r="O866" s="172"/>
    </row>
    <row r="867" spans="1:15" ht="25.5" x14ac:dyDescent="0.2">
      <c r="A867" s="190" t="str">
        <f t="shared" si="13"/>
        <v>AszCode_damaged</v>
      </c>
      <c r="B867" s="414" t="str">
        <f>HYPERLINK("[#]Datatypes!A50:L50","AszCode")</f>
        <v>AszCode</v>
      </c>
      <c r="C867" s="415" t="s">
        <v>14600</v>
      </c>
      <c r="D867" s="221" t="s">
        <v>19467</v>
      </c>
      <c r="E867" s="221">
        <v>6</v>
      </c>
      <c r="F867" s="222" t="s">
        <v>19468</v>
      </c>
      <c r="G867" s="223" t="s">
        <v>19469</v>
      </c>
      <c r="H867" s="224"/>
      <c r="I867" s="345"/>
      <c r="J867" s="39">
        <v>116574</v>
      </c>
      <c r="K867" s="36" t="str">
        <f>CONCATENATE(Cover!$D$6,"fdd/view?i=",J867)</f>
        <v>https://www.dgiwg.org/FAD/fdd/view?i=116574</v>
      </c>
      <c r="L867" s="36" t="s">
        <v>19470</v>
      </c>
      <c r="M867" s="186"/>
      <c r="N867" s="186"/>
      <c r="O867" s="172"/>
    </row>
    <row r="868" spans="1:15" ht="25.5" x14ac:dyDescent="0.2">
      <c r="A868" s="197" t="str">
        <f t="shared" si="13"/>
        <v>AszCode_destroyed</v>
      </c>
      <c r="B868" s="409"/>
      <c r="C868" s="416"/>
      <c r="D868" s="198" t="s">
        <v>19471</v>
      </c>
      <c r="E868" s="198">
        <v>7</v>
      </c>
      <c r="F868" s="199" t="s">
        <v>19472</v>
      </c>
      <c r="G868" s="1" t="s">
        <v>19473</v>
      </c>
      <c r="H868" s="200"/>
      <c r="I868" s="346"/>
      <c r="J868" s="39">
        <v>116575</v>
      </c>
      <c r="K868" s="36" t="str">
        <f>CONCATENATE(Cover!$D$6,"fdd/view?i=",J868)</f>
        <v>https://www.dgiwg.org/FAD/fdd/view?i=116575</v>
      </c>
      <c r="L868" s="36" t="s">
        <v>19474</v>
      </c>
      <c r="M868" s="186"/>
      <c r="N868" s="186"/>
      <c r="O868" s="172"/>
    </row>
    <row r="869" spans="1:15" ht="38.25" x14ac:dyDescent="0.2">
      <c r="A869" s="197" t="str">
        <f t="shared" si="13"/>
        <v>AszCode_deteriorated</v>
      </c>
      <c r="B869" s="409"/>
      <c r="C869" s="416"/>
      <c r="D869" s="198" t="s">
        <v>19475</v>
      </c>
      <c r="E869" s="198">
        <v>4</v>
      </c>
      <c r="F869" s="199" t="s">
        <v>19476</v>
      </c>
      <c r="G869" s="1" t="s">
        <v>19477</v>
      </c>
      <c r="H869" s="1" t="s">
        <v>19478</v>
      </c>
      <c r="I869" s="346"/>
      <c r="J869" s="39">
        <v>116572</v>
      </c>
      <c r="K869" s="36" t="str">
        <f>CONCATENATE(Cover!$D$6,"fdd/view?i=",J869)</f>
        <v>https://www.dgiwg.org/FAD/fdd/view?i=116572</v>
      </c>
      <c r="L869" s="36" t="s">
        <v>19479</v>
      </c>
      <c r="M869" s="186"/>
      <c r="N869" s="186"/>
      <c r="O869" s="172"/>
    </row>
    <row r="870" spans="1:15" ht="25.5" x14ac:dyDescent="0.2">
      <c r="A870" s="197" t="str">
        <f t="shared" si="13"/>
        <v>AszCode_fair</v>
      </c>
      <c r="B870" s="409"/>
      <c r="C870" s="416"/>
      <c r="D870" s="198" t="s">
        <v>19480</v>
      </c>
      <c r="E870" s="198">
        <v>2</v>
      </c>
      <c r="F870" s="199" t="s">
        <v>19481</v>
      </c>
      <c r="G870" s="1" t="s">
        <v>19482</v>
      </c>
      <c r="H870" s="200"/>
      <c r="I870" s="346"/>
      <c r="J870" s="39">
        <v>116576</v>
      </c>
      <c r="K870" s="36" t="str">
        <f>CONCATENATE(Cover!$D$6,"fdd/view?i=",J870)</f>
        <v>https://www.dgiwg.org/FAD/fdd/view?i=116576</v>
      </c>
      <c r="L870" s="36" t="s">
        <v>19483</v>
      </c>
      <c r="M870" s="186"/>
      <c r="N870" s="186"/>
      <c r="O870" s="172"/>
    </row>
    <row r="871" spans="1:15" ht="25.5" x14ac:dyDescent="0.2">
      <c r="A871" s="197" t="str">
        <f t="shared" si="13"/>
        <v>AszCode_good</v>
      </c>
      <c r="B871" s="409"/>
      <c r="C871" s="416"/>
      <c r="D871" s="198" t="s">
        <v>19484</v>
      </c>
      <c r="E871" s="198">
        <v>1</v>
      </c>
      <c r="F871" s="199" t="s">
        <v>19485</v>
      </c>
      <c r="G871" s="1" t="s">
        <v>19486</v>
      </c>
      <c r="H871" s="200"/>
      <c r="I871" s="346"/>
      <c r="J871" s="39">
        <v>116577</v>
      </c>
      <c r="K871" s="36" t="str">
        <f>CONCATENATE(Cover!$D$6,"fdd/view?i=",J871)</f>
        <v>https://www.dgiwg.org/FAD/fdd/view?i=116577</v>
      </c>
      <c r="L871" s="36" t="s">
        <v>19487</v>
      </c>
      <c r="M871" s="186"/>
      <c r="N871" s="186"/>
      <c r="O871" s="172"/>
    </row>
    <row r="872" spans="1:15" ht="25.5" x14ac:dyDescent="0.2">
      <c r="A872" s="197" t="str">
        <f t="shared" si="13"/>
        <v>AszCode_ruined</v>
      </c>
      <c r="B872" s="409"/>
      <c r="C872" s="416"/>
      <c r="D872" s="198" t="s">
        <v>19488</v>
      </c>
      <c r="E872" s="198">
        <v>5</v>
      </c>
      <c r="F872" s="199" t="s">
        <v>19489</v>
      </c>
      <c r="G872" s="1" t="s">
        <v>19490</v>
      </c>
      <c r="H872" s="200"/>
      <c r="I872" s="346"/>
      <c r="J872" s="39">
        <v>116573</v>
      </c>
      <c r="K872" s="36" t="str">
        <f>CONCATENATE(Cover!$D$6,"fdd/view?i=",J872)</f>
        <v>https://www.dgiwg.org/FAD/fdd/view?i=116573</v>
      </c>
      <c r="L872" s="36" t="s">
        <v>19491</v>
      </c>
      <c r="M872" s="186"/>
      <c r="N872" s="186"/>
      <c r="O872" s="172"/>
    </row>
    <row r="873" spans="1:15" ht="25.5" x14ac:dyDescent="0.2">
      <c r="A873" s="203" t="str">
        <f t="shared" si="13"/>
        <v>AszCode_underConstruction</v>
      </c>
      <c r="B873" s="410"/>
      <c r="C873" s="417"/>
      <c r="D873" s="204" t="s">
        <v>19492</v>
      </c>
      <c r="E873" s="204">
        <v>3</v>
      </c>
      <c r="F873" s="205" t="s">
        <v>19493</v>
      </c>
      <c r="G873" s="206" t="s">
        <v>19494</v>
      </c>
      <c r="H873" s="207"/>
      <c r="I873" s="347"/>
      <c r="J873" s="39">
        <v>116571</v>
      </c>
      <c r="K873" s="36" t="str">
        <f>CONCATENATE(Cover!$D$6,"fdd/view?i=",J873)</f>
        <v>https://www.dgiwg.org/FAD/fdd/view?i=116571</v>
      </c>
      <c r="L873" s="36" t="s">
        <v>19495</v>
      </c>
      <c r="M873" s="186"/>
      <c r="N873" s="186"/>
      <c r="O873" s="172"/>
    </row>
    <row r="874" spans="1:15" ht="25.5" x14ac:dyDescent="0.2">
      <c r="A874" s="190" t="str">
        <f t="shared" si="13"/>
        <v>AsxCode_completelyPaved</v>
      </c>
      <c r="B874" s="414" t="str">
        <f>HYPERLINK("[#]Datatypes!A52:L52","AsxCode")</f>
        <v>AsxCode</v>
      </c>
      <c r="C874" s="415" t="s">
        <v>14602</v>
      </c>
      <c r="D874" s="221" t="s">
        <v>19496</v>
      </c>
      <c r="E874" s="221">
        <v>1</v>
      </c>
      <c r="F874" s="222" t="s">
        <v>19497</v>
      </c>
      <c r="G874" s="223" t="s">
        <v>19498</v>
      </c>
      <c r="H874" s="223" t="s">
        <v>19499</v>
      </c>
      <c r="I874" s="345"/>
      <c r="J874" s="39">
        <v>116529</v>
      </c>
      <c r="K874" s="36" t="str">
        <f>CONCATENATE(Cover!$D$6,"fdd/view?i=",J874)</f>
        <v>https://www.dgiwg.org/FAD/fdd/view?i=116529</v>
      </c>
      <c r="L874" s="36" t="s">
        <v>19500</v>
      </c>
      <c r="M874" s="186"/>
      <c r="N874" s="186"/>
      <c r="O874" s="172"/>
    </row>
    <row r="875" spans="1:15" x14ac:dyDescent="0.2">
      <c r="A875" s="197" t="str">
        <f t="shared" si="13"/>
        <v>AsxCode_mostlyPaved</v>
      </c>
      <c r="B875" s="409"/>
      <c r="C875" s="416"/>
      <c r="D875" s="198" t="s">
        <v>19501</v>
      </c>
      <c r="E875" s="198">
        <v>2</v>
      </c>
      <c r="F875" s="199" t="s">
        <v>19502</v>
      </c>
      <c r="G875" s="1" t="s">
        <v>19503</v>
      </c>
      <c r="H875" s="200"/>
      <c r="I875" s="346"/>
      <c r="J875" s="39">
        <v>116530</v>
      </c>
      <c r="K875" s="36" t="str">
        <f>CONCATENATE(Cover!$D$6,"fdd/view?i=",J875)</f>
        <v>https://www.dgiwg.org/FAD/fdd/view?i=116530</v>
      </c>
      <c r="L875" s="36" t="s">
        <v>19504</v>
      </c>
      <c r="M875" s="186"/>
      <c r="N875" s="186"/>
      <c r="O875" s="172"/>
    </row>
    <row r="876" spans="1:15" ht="25.5" x14ac:dyDescent="0.2">
      <c r="A876" s="197" t="str">
        <f t="shared" si="13"/>
        <v>AsxCode_partiallyPaved</v>
      </c>
      <c r="B876" s="409"/>
      <c r="C876" s="416"/>
      <c r="D876" s="198" t="s">
        <v>19505</v>
      </c>
      <c r="E876" s="198">
        <v>4</v>
      </c>
      <c r="F876" s="199" t="s">
        <v>19506</v>
      </c>
      <c r="G876" s="1" t="s">
        <v>19507</v>
      </c>
      <c r="H876" s="200"/>
      <c r="I876" s="346"/>
      <c r="J876" s="39">
        <v>116532</v>
      </c>
      <c r="K876" s="36" t="str">
        <f>CONCATENATE(Cover!$D$6,"fdd/view?i=",J876)</f>
        <v>https://www.dgiwg.org/FAD/fdd/view?i=116532</v>
      </c>
      <c r="L876" s="36" t="s">
        <v>19508</v>
      </c>
      <c r="M876" s="186"/>
      <c r="N876" s="186"/>
      <c r="O876" s="172"/>
    </row>
    <row r="877" spans="1:15" ht="76.5" x14ac:dyDescent="0.2">
      <c r="A877" s="197" t="str">
        <f t="shared" si="13"/>
        <v>AsxCode_unpaved</v>
      </c>
      <c r="B877" s="409"/>
      <c r="C877" s="416"/>
      <c r="D877" s="198" t="s">
        <v>19509</v>
      </c>
      <c r="E877" s="198">
        <v>5</v>
      </c>
      <c r="F877" s="199" t="s">
        <v>19510</v>
      </c>
      <c r="G877" s="1" t="s">
        <v>19511</v>
      </c>
      <c r="H877" s="1" t="s">
        <v>19512</v>
      </c>
      <c r="I877" s="346"/>
      <c r="J877" s="39">
        <v>116533</v>
      </c>
      <c r="K877" s="36" t="str">
        <f>CONCATENATE(Cover!$D$6,"fdd/view?i=",J877)</f>
        <v>https://www.dgiwg.org/FAD/fdd/view?i=116533</v>
      </c>
      <c r="L877" s="36" t="s">
        <v>19513</v>
      </c>
      <c r="M877" s="186"/>
      <c r="N877" s="186"/>
      <c r="O877" s="172"/>
    </row>
    <row r="878" spans="1:15" x14ac:dyDescent="0.2">
      <c r="A878" s="203" t="str">
        <f t="shared" si="13"/>
        <v>AsxCode_unprepared</v>
      </c>
      <c r="B878" s="410"/>
      <c r="C878" s="417"/>
      <c r="D878" s="204" t="s">
        <v>19514</v>
      </c>
      <c r="E878" s="204">
        <v>3</v>
      </c>
      <c r="F878" s="205" t="s">
        <v>19515</v>
      </c>
      <c r="G878" s="206" t="s">
        <v>19516</v>
      </c>
      <c r="H878" s="206" t="s">
        <v>19517</v>
      </c>
      <c r="I878" s="347"/>
      <c r="J878" s="39">
        <v>116531</v>
      </c>
      <c r="K878" s="36" t="str">
        <f>CONCATENATE(Cover!$D$6,"fdd/view?i=",J878)</f>
        <v>https://www.dgiwg.org/FAD/fdd/view?i=116531</v>
      </c>
      <c r="L878" s="36" t="s">
        <v>19518</v>
      </c>
      <c r="M878" s="186"/>
      <c r="N878" s="186"/>
      <c r="O878" s="172"/>
    </row>
    <row r="879" spans="1:15" ht="76.5" x14ac:dyDescent="0.2">
      <c r="A879" s="190" t="str">
        <f t="shared" si="13"/>
        <v>AsuCode_asphalt</v>
      </c>
      <c r="B879" s="414" t="str">
        <f>HYPERLINK("[#]Datatypes!A54:L54","AsuCode")</f>
        <v>AsuCode</v>
      </c>
      <c r="C879" s="415" t="s">
        <v>14604</v>
      </c>
      <c r="D879" s="221" t="s">
        <v>19519</v>
      </c>
      <c r="E879" s="221">
        <v>1</v>
      </c>
      <c r="F879" s="222" t="s">
        <v>19520</v>
      </c>
      <c r="G879" s="223" t="s">
        <v>19521</v>
      </c>
      <c r="H879" s="223" t="s">
        <v>19522</v>
      </c>
      <c r="I879" s="345"/>
      <c r="J879" s="39">
        <v>116534</v>
      </c>
      <c r="K879" s="36" t="str">
        <f>CONCATENATE(Cover!$D$6,"fdd/view?i=",J879)</f>
        <v>https://www.dgiwg.org/FAD/fdd/view?i=116534</v>
      </c>
      <c r="L879" s="36" t="s">
        <v>19523</v>
      </c>
      <c r="M879" s="186"/>
      <c r="N879" s="186"/>
      <c r="O879" s="172"/>
    </row>
    <row r="880" spans="1:15" ht="25.5" x14ac:dyDescent="0.2">
      <c r="A880" s="197" t="str">
        <f t="shared" si="13"/>
        <v>AsuCode_asphaltOverConcrete</v>
      </c>
      <c r="B880" s="409"/>
      <c r="C880" s="416"/>
      <c r="D880" s="198" t="s">
        <v>19524</v>
      </c>
      <c r="E880" s="198">
        <v>21</v>
      </c>
      <c r="F880" s="199" t="s">
        <v>19525</v>
      </c>
      <c r="G880" s="1" t="s">
        <v>19526</v>
      </c>
      <c r="H880" s="200"/>
      <c r="I880" s="346"/>
      <c r="J880" s="39">
        <v>116554</v>
      </c>
      <c r="K880" s="36" t="str">
        <f>CONCATENATE(Cover!$D$6,"fdd/view?i=",J880)</f>
        <v>https://www.dgiwg.org/FAD/fdd/view?i=116554</v>
      </c>
      <c r="L880" s="36" t="s">
        <v>19527</v>
      </c>
      <c r="M880" s="186"/>
      <c r="N880" s="186"/>
      <c r="O880" s="172"/>
    </row>
    <row r="881" spans="1:15" ht="76.5" x14ac:dyDescent="0.2">
      <c r="A881" s="197" t="str">
        <f t="shared" si="13"/>
        <v>AsuCode_bituminousMix</v>
      </c>
      <c r="B881" s="409"/>
      <c r="C881" s="416"/>
      <c r="D881" s="198" t="s">
        <v>19528</v>
      </c>
      <c r="E881" s="198">
        <v>2</v>
      </c>
      <c r="F881" s="199" t="s">
        <v>19529</v>
      </c>
      <c r="G881" s="1" t="s">
        <v>19530</v>
      </c>
      <c r="H881" s="1" t="s">
        <v>19531</v>
      </c>
      <c r="I881" s="346"/>
      <c r="J881" s="39">
        <v>116535</v>
      </c>
      <c r="K881" s="36" t="str">
        <f>CONCATENATE(Cover!$D$6,"fdd/view?i=",J881)</f>
        <v>https://www.dgiwg.org/FAD/fdd/view?i=116535</v>
      </c>
      <c r="L881" s="36" t="s">
        <v>19532</v>
      </c>
      <c r="M881" s="186"/>
      <c r="N881" s="186"/>
      <c r="O881" s="172"/>
    </row>
    <row r="882" spans="1:15" ht="25.5" x14ac:dyDescent="0.2">
      <c r="A882" s="197" t="str">
        <f t="shared" si="13"/>
        <v>AsuCode_brick</v>
      </c>
      <c r="B882" s="409"/>
      <c r="C882" s="416"/>
      <c r="D882" s="198" t="s">
        <v>19533</v>
      </c>
      <c r="E882" s="198">
        <v>3</v>
      </c>
      <c r="F882" s="199" t="s">
        <v>19534</v>
      </c>
      <c r="G882" s="1" t="s">
        <v>19535</v>
      </c>
      <c r="H882" s="200"/>
      <c r="I882" s="346"/>
      <c r="J882" s="39">
        <v>116536</v>
      </c>
      <c r="K882" s="36" t="str">
        <f>CONCATENATE(Cover!$D$6,"fdd/view?i=",J882)</f>
        <v>https://www.dgiwg.org/FAD/fdd/view?i=116536</v>
      </c>
      <c r="L882" s="36" t="s">
        <v>19536</v>
      </c>
      <c r="M882" s="186"/>
      <c r="N882" s="186"/>
      <c r="O882" s="172"/>
    </row>
    <row r="883" spans="1:15" ht="25.5" x14ac:dyDescent="0.2">
      <c r="A883" s="197" t="str">
        <f t="shared" si="13"/>
        <v>AsuCode_clay</v>
      </c>
      <c r="B883" s="409"/>
      <c r="C883" s="416"/>
      <c r="D883" s="198" t="s">
        <v>19537</v>
      </c>
      <c r="E883" s="198">
        <v>4</v>
      </c>
      <c r="F883" s="199" t="s">
        <v>19538</v>
      </c>
      <c r="G883" s="1" t="s">
        <v>19539</v>
      </c>
      <c r="H883" s="200"/>
      <c r="I883" s="346"/>
      <c r="J883" s="39">
        <v>116537</v>
      </c>
      <c r="K883" s="36" t="str">
        <f>CONCATENATE(Cover!$D$6,"fdd/view?i=",J883)</f>
        <v>https://www.dgiwg.org/FAD/fdd/view?i=116537</v>
      </c>
      <c r="L883" s="36" t="s">
        <v>19540</v>
      </c>
      <c r="M883" s="186"/>
      <c r="N883" s="186"/>
      <c r="O883" s="172"/>
    </row>
    <row r="884" spans="1:15" ht="76.5" x14ac:dyDescent="0.2">
      <c r="A884" s="197" t="str">
        <f t="shared" si="13"/>
        <v>AsuCode_concrete</v>
      </c>
      <c r="B884" s="409"/>
      <c r="C884" s="416"/>
      <c r="D884" s="198" t="s">
        <v>19541</v>
      </c>
      <c r="E884" s="198">
        <v>5</v>
      </c>
      <c r="F884" s="199" t="s">
        <v>19542</v>
      </c>
      <c r="G884" s="1" t="s">
        <v>19543</v>
      </c>
      <c r="H884" s="1" t="s">
        <v>19544</v>
      </c>
      <c r="I884" s="346"/>
      <c r="J884" s="39">
        <v>116538</v>
      </c>
      <c r="K884" s="36" t="str">
        <f>CONCATENATE(Cover!$D$6,"fdd/view?i=",J884)</f>
        <v>https://www.dgiwg.org/FAD/fdd/view?i=116538</v>
      </c>
      <c r="L884" s="36" t="s">
        <v>19545</v>
      </c>
      <c r="M884" s="186"/>
      <c r="N884" s="186"/>
      <c r="O884" s="172"/>
    </row>
    <row r="885" spans="1:15" ht="25.5" x14ac:dyDescent="0.2">
      <c r="A885" s="197" t="str">
        <f t="shared" si="13"/>
        <v>AsuCode_coral</v>
      </c>
      <c r="B885" s="409"/>
      <c r="C885" s="416"/>
      <c r="D885" s="198" t="s">
        <v>19546</v>
      </c>
      <c r="E885" s="198">
        <v>6</v>
      </c>
      <c r="F885" s="199" t="s">
        <v>19547</v>
      </c>
      <c r="G885" s="1" t="s">
        <v>19548</v>
      </c>
      <c r="H885" s="1" t="s">
        <v>19549</v>
      </c>
      <c r="I885" s="346"/>
      <c r="J885" s="39">
        <v>116539</v>
      </c>
      <c r="K885" s="36" t="str">
        <f>CONCATENATE(Cover!$D$6,"fdd/view?i=",J885)</f>
        <v>https://www.dgiwg.org/FAD/fdd/view?i=116539</v>
      </c>
      <c r="L885" s="36" t="s">
        <v>19550</v>
      </c>
      <c r="M885" s="186"/>
      <c r="N885" s="186"/>
      <c r="O885" s="172"/>
    </row>
    <row r="886" spans="1:15" x14ac:dyDescent="0.2">
      <c r="A886" s="197" t="str">
        <f t="shared" si="13"/>
        <v>AsuCode_earthen</v>
      </c>
      <c r="B886" s="409"/>
      <c r="C886" s="416"/>
      <c r="D886" s="198" t="s">
        <v>19551</v>
      </c>
      <c r="E886" s="198">
        <v>7</v>
      </c>
      <c r="F886" s="199" t="s">
        <v>19552</v>
      </c>
      <c r="G886" s="1" t="s">
        <v>19553</v>
      </c>
      <c r="H886" s="1" t="s">
        <v>19554</v>
      </c>
      <c r="I886" s="346"/>
      <c r="J886" s="39">
        <v>116540</v>
      </c>
      <c r="K886" s="36" t="str">
        <f>CONCATENATE(Cover!$D$6,"fdd/view?i=",J886)</f>
        <v>https://www.dgiwg.org/FAD/fdd/view?i=116540</v>
      </c>
      <c r="L886" s="36" t="s">
        <v>19555</v>
      </c>
      <c r="M886" s="186"/>
      <c r="N886" s="186"/>
      <c r="O886" s="172"/>
    </row>
    <row r="887" spans="1:15" ht="25.5" x14ac:dyDescent="0.2">
      <c r="A887" s="197" t="str">
        <f t="shared" si="13"/>
        <v>AsuCode_gravel</v>
      </c>
      <c r="B887" s="409"/>
      <c r="C887" s="416"/>
      <c r="D887" s="198" t="s">
        <v>19556</v>
      </c>
      <c r="E887" s="198">
        <v>8</v>
      </c>
      <c r="F887" s="199" t="s">
        <v>19557</v>
      </c>
      <c r="G887" s="1" t="s">
        <v>19558</v>
      </c>
      <c r="H887" s="1" t="s">
        <v>19549</v>
      </c>
      <c r="I887" s="346"/>
      <c r="J887" s="39">
        <v>116541</v>
      </c>
      <c r="K887" s="36" t="str">
        <f>CONCATENATE(Cover!$D$6,"fdd/view?i=",J887)</f>
        <v>https://www.dgiwg.org/FAD/fdd/view?i=116541</v>
      </c>
      <c r="L887" s="36" t="s">
        <v>19559</v>
      </c>
      <c r="M887" s="186"/>
      <c r="N887" s="186"/>
      <c r="O887" s="172"/>
    </row>
    <row r="888" spans="1:15" ht="25.5" x14ac:dyDescent="0.2">
      <c r="A888" s="197" t="str">
        <f t="shared" si="13"/>
        <v>AsuCode_ice</v>
      </c>
      <c r="B888" s="409"/>
      <c r="C888" s="416"/>
      <c r="D888" s="198" t="s">
        <v>19560</v>
      </c>
      <c r="E888" s="198">
        <v>9</v>
      </c>
      <c r="F888" s="199" t="s">
        <v>19561</v>
      </c>
      <c r="G888" s="1" t="s">
        <v>19562</v>
      </c>
      <c r="H888" s="1" t="s">
        <v>19563</v>
      </c>
      <c r="I888" s="346"/>
      <c r="J888" s="39">
        <v>116542</v>
      </c>
      <c r="K888" s="36" t="str">
        <f>CONCATENATE(Cover!$D$6,"fdd/view?i=",J888)</f>
        <v>https://www.dgiwg.org/FAD/fdd/view?i=116542</v>
      </c>
      <c r="L888" s="36" t="s">
        <v>19564</v>
      </c>
      <c r="M888" s="186"/>
      <c r="N888" s="186"/>
      <c r="O888" s="172"/>
    </row>
    <row r="889" spans="1:15" ht="76.5" x14ac:dyDescent="0.2">
      <c r="A889" s="197" t="str">
        <f t="shared" si="13"/>
        <v>AsuCode_landingMat</v>
      </c>
      <c r="B889" s="409"/>
      <c r="C889" s="416"/>
      <c r="D889" s="198" t="s">
        <v>19565</v>
      </c>
      <c r="E889" s="198">
        <v>10</v>
      </c>
      <c r="F889" s="199" t="s">
        <v>19566</v>
      </c>
      <c r="G889" s="1" t="s">
        <v>19567</v>
      </c>
      <c r="H889" s="1" t="s">
        <v>19568</v>
      </c>
      <c r="I889" s="346"/>
      <c r="J889" s="39">
        <v>116543</v>
      </c>
      <c r="K889" s="36" t="str">
        <f>CONCATENATE(Cover!$D$6,"fdd/view?i=",J889)</f>
        <v>https://www.dgiwg.org/FAD/fdd/view?i=116543</v>
      </c>
      <c r="L889" s="36" t="s">
        <v>19569</v>
      </c>
      <c r="M889" s="186"/>
      <c r="N889" s="186"/>
      <c r="O889" s="172"/>
    </row>
    <row r="890" spans="1:15" ht="89.25" x14ac:dyDescent="0.2">
      <c r="A890" s="197" t="str">
        <f t="shared" si="13"/>
        <v>AsuCode_laterite</v>
      </c>
      <c r="B890" s="409"/>
      <c r="C890" s="416"/>
      <c r="D890" s="198" t="s">
        <v>19570</v>
      </c>
      <c r="E890" s="198">
        <v>11</v>
      </c>
      <c r="F890" s="199" t="s">
        <v>19571</v>
      </c>
      <c r="G890" s="1" t="s">
        <v>19572</v>
      </c>
      <c r="H890" s="1" t="s">
        <v>19573</v>
      </c>
      <c r="I890" s="346"/>
      <c r="J890" s="39">
        <v>116544</v>
      </c>
      <c r="K890" s="36" t="str">
        <f>CONCATENATE(Cover!$D$6,"fdd/view?i=",J890)</f>
        <v>https://www.dgiwg.org/FAD/fdd/view?i=116544</v>
      </c>
      <c r="L890" s="36" t="s">
        <v>19574</v>
      </c>
      <c r="M890" s="186"/>
      <c r="N890" s="186"/>
      <c r="O890" s="172"/>
    </row>
    <row r="891" spans="1:15" ht="38.25" x14ac:dyDescent="0.2">
      <c r="A891" s="197" t="str">
        <f t="shared" si="13"/>
        <v>AsuCode_macadam</v>
      </c>
      <c r="B891" s="409"/>
      <c r="C891" s="416"/>
      <c r="D891" s="198" t="s">
        <v>19575</v>
      </c>
      <c r="E891" s="198">
        <v>12</v>
      </c>
      <c r="F891" s="199" t="s">
        <v>19576</v>
      </c>
      <c r="G891" s="1" t="s">
        <v>19577</v>
      </c>
      <c r="H891" s="1" t="s">
        <v>19578</v>
      </c>
      <c r="I891" s="346"/>
      <c r="J891" s="39">
        <v>116545</v>
      </c>
      <c r="K891" s="36" t="str">
        <f>CONCATENATE(Cover!$D$6,"fdd/view?i=",J891)</f>
        <v>https://www.dgiwg.org/FAD/fdd/view?i=116545</v>
      </c>
      <c r="L891" s="36" t="s">
        <v>19579</v>
      </c>
      <c r="M891" s="186"/>
      <c r="N891" s="186"/>
      <c r="O891" s="172"/>
    </row>
    <row r="892" spans="1:15" ht="38.25" x14ac:dyDescent="0.2">
      <c r="A892" s="197" t="str">
        <f t="shared" si="13"/>
        <v>AsuCode_membrane</v>
      </c>
      <c r="B892" s="409"/>
      <c r="C892" s="416"/>
      <c r="D892" s="198" t="s">
        <v>19580</v>
      </c>
      <c r="E892" s="198">
        <v>13</v>
      </c>
      <c r="F892" s="199" t="s">
        <v>19581</v>
      </c>
      <c r="G892" s="1" t="s">
        <v>19582</v>
      </c>
      <c r="H892" s="1" t="s">
        <v>19583</v>
      </c>
      <c r="I892" s="346"/>
      <c r="J892" s="39">
        <v>116546</v>
      </c>
      <c r="K892" s="36" t="str">
        <f>CONCATENATE(Cover!$D$6,"fdd/view?i=",J892)</f>
        <v>https://www.dgiwg.org/FAD/fdd/view?i=116546</v>
      </c>
      <c r="L892" s="36" t="s">
        <v>19584</v>
      </c>
      <c r="M892" s="186"/>
      <c r="N892" s="186"/>
      <c r="O892" s="172"/>
    </row>
    <row r="893" spans="1:15" ht="25.5" x14ac:dyDescent="0.2">
      <c r="A893" s="197" t="str">
        <f t="shared" si="13"/>
        <v>AsuCode_nonBituminousMix</v>
      </c>
      <c r="B893" s="409"/>
      <c r="C893" s="416"/>
      <c r="D893" s="198" t="s">
        <v>19585</v>
      </c>
      <c r="E893" s="198">
        <v>14</v>
      </c>
      <c r="F893" s="199" t="s">
        <v>19586</v>
      </c>
      <c r="G893" s="1" t="s">
        <v>19587</v>
      </c>
      <c r="H893" s="200"/>
      <c r="I893" s="346"/>
      <c r="J893" s="39">
        <v>116547</v>
      </c>
      <c r="K893" s="36" t="str">
        <f>CONCATENATE(Cover!$D$6,"fdd/view?i=",J893)</f>
        <v>https://www.dgiwg.org/FAD/fdd/view?i=116547</v>
      </c>
      <c r="L893" s="36" t="s">
        <v>19588</v>
      </c>
      <c r="M893" s="186"/>
      <c r="N893" s="186"/>
      <c r="O893" s="172"/>
    </row>
    <row r="894" spans="1:15" ht="38.25" x14ac:dyDescent="0.2">
      <c r="A894" s="197" t="str">
        <f t="shared" si="13"/>
        <v>AsuCode_piercedSteelPlanking</v>
      </c>
      <c r="B894" s="409"/>
      <c r="C894" s="416"/>
      <c r="D894" s="198" t="s">
        <v>19589</v>
      </c>
      <c r="E894" s="198">
        <v>15</v>
      </c>
      <c r="F894" s="199" t="s">
        <v>19590</v>
      </c>
      <c r="G894" s="1" t="s">
        <v>19591</v>
      </c>
      <c r="H894" s="1" t="s">
        <v>19592</v>
      </c>
      <c r="I894" s="346"/>
      <c r="J894" s="39">
        <v>116548</v>
      </c>
      <c r="K894" s="36" t="str">
        <f>CONCATENATE(Cover!$D$6,"fdd/view?i=",J894)</f>
        <v>https://www.dgiwg.org/FAD/fdd/view?i=116548</v>
      </c>
      <c r="L894" s="36" t="s">
        <v>19593</v>
      </c>
      <c r="M894" s="186"/>
      <c r="N894" s="186"/>
      <c r="O894" s="172"/>
    </row>
    <row r="895" spans="1:15" ht="25.5" x14ac:dyDescent="0.2">
      <c r="A895" s="197" t="str">
        <f t="shared" si="13"/>
        <v>AsuCode_sand</v>
      </c>
      <c r="B895" s="409"/>
      <c r="C895" s="416"/>
      <c r="D895" s="198" t="s">
        <v>19594</v>
      </c>
      <c r="E895" s="198">
        <v>16</v>
      </c>
      <c r="F895" s="199" t="s">
        <v>19595</v>
      </c>
      <c r="G895" s="1" t="s">
        <v>19596</v>
      </c>
      <c r="H895" s="200"/>
      <c r="I895" s="346"/>
      <c r="J895" s="39">
        <v>116549</v>
      </c>
      <c r="K895" s="36" t="str">
        <f>CONCATENATE(Cover!$D$6,"fdd/view?i=",J895)</f>
        <v>https://www.dgiwg.org/FAD/fdd/view?i=116549</v>
      </c>
      <c r="L895" s="36" t="s">
        <v>19597</v>
      </c>
      <c r="M895" s="186"/>
      <c r="N895" s="186"/>
      <c r="O895" s="172"/>
    </row>
    <row r="896" spans="1:15" ht="38.25" x14ac:dyDescent="0.2">
      <c r="A896" s="197" t="str">
        <f t="shared" si="13"/>
        <v>AsuCode_snow</v>
      </c>
      <c r="B896" s="409"/>
      <c r="C896" s="416"/>
      <c r="D896" s="198" t="s">
        <v>19598</v>
      </c>
      <c r="E896" s="198">
        <v>17</v>
      </c>
      <c r="F896" s="199" t="s">
        <v>19599</v>
      </c>
      <c r="G896" s="1" t="s">
        <v>19600</v>
      </c>
      <c r="H896" s="200"/>
      <c r="I896" s="346"/>
      <c r="J896" s="39">
        <v>116550</v>
      </c>
      <c r="K896" s="36" t="str">
        <f>CONCATENATE(Cover!$D$6,"fdd/view?i=",J896)</f>
        <v>https://www.dgiwg.org/FAD/fdd/view?i=116550</v>
      </c>
      <c r="L896" s="36" t="s">
        <v>19601</v>
      </c>
      <c r="M896" s="186"/>
      <c r="N896" s="186"/>
      <c r="O896" s="172"/>
    </row>
    <row r="897" spans="1:15" ht="38.25" x14ac:dyDescent="0.2">
      <c r="A897" s="197" t="str">
        <f t="shared" si="13"/>
        <v>AsuCode_stone</v>
      </c>
      <c r="B897" s="409"/>
      <c r="C897" s="416"/>
      <c r="D897" s="198" t="s">
        <v>19602</v>
      </c>
      <c r="E897" s="198">
        <v>18</v>
      </c>
      <c r="F897" s="199" t="s">
        <v>19603</v>
      </c>
      <c r="G897" s="1" t="s">
        <v>19604</v>
      </c>
      <c r="H897" s="200"/>
      <c r="I897" s="346"/>
      <c r="J897" s="39">
        <v>116551</v>
      </c>
      <c r="K897" s="36" t="str">
        <f>CONCATENATE(Cover!$D$6,"fdd/view?i=",J897)</f>
        <v>https://www.dgiwg.org/FAD/fdd/view?i=116551</v>
      </c>
      <c r="L897" s="36" t="s">
        <v>19605</v>
      </c>
      <c r="M897" s="186"/>
      <c r="N897" s="186"/>
      <c r="O897" s="172"/>
    </row>
    <row r="898" spans="1:15" x14ac:dyDescent="0.2">
      <c r="A898" s="197" t="str">
        <f t="shared" ref="A898:A961" si="14">HYPERLINK(K898,L898)</f>
        <v>AsuCode_water</v>
      </c>
      <c r="B898" s="409"/>
      <c r="C898" s="416"/>
      <c r="D898" s="198" t="s">
        <v>19606</v>
      </c>
      <c r="E898" s="198">
        <v>19</v>
      </c>
      <c r="F898" s="199" t="s">
        <v>19607</v>
      </c>
      <c r="G898" s="1" t="s">
        <v>19608</v>
      </c>
      <c r="H898" s="200"/>
      <c r="I898" s="346"/>
      <c r="J898" s="39">
        <v>116552</v>
      </c>
      <c r="K898" s="36" t="str">
        <f>CONCATENATE(Cover!$D$6,"fdd/view?i=",J898)</f>
        <v>https://www.dgiwg.org/FAD/fdd/view?i=116552</v>
      </c>
      <c r="L898" s="36" t="s">
        <v>19609</v>
      </c>
      <c r="M898" s="186"/>
      <c r="N898" s="186"/>
      <c r="O898" s="172"/>
    </row>
    <row r="899" spans="1:15" x14ac:dyDescent="0.2">
      <c r="A899" s="203" t="str">
        <f t="shared" si="14"/>
        <v>AsuCode_wood</v>
      </c>
      <c r="B899" s="410"/>
      <c r="C899" s="417"/>
      <c r="D899" s="204" t="s">
        <v>19610</v>
      </c>
      <c r="E899" s="204">
        <v>20</v>
      </c>
      <c r="F899" s="205" t="s">
        <v>5911</v>
      </c>
      <c r="G899" s="206" t="s">
        <v>19611</v>
      </c>
      <c r="H899" s="207"/>
      <c r="I899" s="347"/>
      <c r="J899" s="39">
        <v>116553</v>
      </c>
      <c r="K899" s="36" t="str">
        <f>CONCATENATE(Cover!$D$6,"fdd/view?i=",J899)</f>
        <v>https://www.dgiwg.org/FAD/fdd/view?i=116553</v>
      </c>
      <c r="L899" s="36" t="s">
        <v>19612</v>
      </c>
      <c r="M899" s="186"/>
      <c r="N899" s="186"/>
      <c r="O899" s="172"/>
    </row>
    <row r="900" spans="1:15" ht="25.5" x14ac:dyDescent="0.2">
      <c r="A900" s="190" t="str">
        <f t="shared" si="14"/>
        <v>AspCode_aggregateSealCoat</v>
      </c>
      <c r="B900" s="414" t="str">
        <f>HYPERLINK("[#]Datatypes!A56:L56","AspCode")</f>
        <v>AspCode</v>
      </c>
      <c r="C900" s="415" t="s">
        <v>14606</v>
      </c>
      <c r="D900" s="221" t="s">
        <v>19613</v>
      </c>
      <c r="E900" s="221">
        <v>1</v>
      </c>
      <c r="F900" s="222" t="s">
        <v>19614</v>
      </c>
      <c r="G900" s="223" t="s">
        <v>19615</v>
      </c>
      <c r="H900" s="224"/>
      <c r="I900" s="345"/>
      <c r="J900" s="39">
        <v>116555</v>
      </c>
      <c r="K900" s="36" t="str">
        <f>CONCATENATE(Cover!$D$6,"fdd/view?i=",J900)</f>
        <v>https://www.dgiwg.org/FAD/fdd/view?i=116555</v>
      </c>
      <c r="L900" s="36" t="s">
        <v>19616</v>
      </c>
      <c r="M900" s="186"/>
      <c r="N900" s="186"/>
      <c r="O900" s="172"/>
    </row>
    <row r="901" spans="1:15" x14ac:dyDescent="0.2">
      <c r="A901" s="197" t="str">
        <f t="shared" si="14"/>
        <v>AspCode_graded</v>
      </c>
      <c r="B901" s="409"/>
      <c r="C901" s="416"/>
      <c r="D901" s="198" t="s">
        <v>19617</v>
      </c>
      <c r="E901" s="198">
        <v>2</v>
      </c>
      <c r="F901" s="199" t="s">
        <v>19618</v>
      </c>
      <c r="G901" s="1" t="s">
        <v>19619</v>
      </c>
      <c r="H901" s="1" t="s">
        <v>19620</v>
      </c>
      <c r="I901" s="346"/>
      <c r="J901" s="39">
        <v>116556</v>
      </c>
      <c r="K901" s="36" t="str">
        <f>CONCATENATE(Cover!$D$6,"fdd/view?i=",J901)</f>
        <v>https://www.dgiwg.org/FAD/fdd/view?i=116556</v>
      </c>
      <c r="L901" s="36" t="s">
        <v>19621</v>
      </c>
      <c r="M901" s="186"/>
      <c r="N901" s="186"/>
      <c r="O901" s="172"/>
    </row>
    <row r="902" spans="1:15" x14ac:dyDescent="0.2">
      <c r="A902" s="197" t="str">
        <f t="shared" si="14"/>
        <v>AspCode_grass</v>
      </c>
      <c r="B902" s="409"/>
      <c r="C902" s="416"/>
      <c r="D902" s="198" t="s">
        <v>19622</v>
      </c>
      <c r="E902" s="198">
        <v>3</v>
      </c>
      <c r="F902" s="199" t="s">
        <v>19623</v>
      </c>
      <c r="G902" s="1" t="s">
        <v>19624</v>
      </c>
      <c r="H902" s="200"/>
      <c r="I902" s="346"/>
      <c r="J902" s="39">
        <v>116557</v>
      </c>
      <c r="K902" s="36" t="str">
        <f>CONCATENATE(Cover!$D$6,"fdd/view?i=",J902)</f>
        <v>https://www.dgiwg.org/FAD/fdd/view?i=116557</v>
      </c>
      <c r="L902" s="36" t="s">
        <v>19625</v>
      </c>
      <c r="M902" s="186"/>
      <c r="N902" s="186"/>
      <c r="O902" s="172"/>
    </row>
    <row r="903" spans="1:15" ht="25.5" x14ac:dyDescent="0.2">
      <c r="A903" s="197" t="str">
        <f t="shared" si="14"/>
        <v>AspCode_grooved</v>
      </c>
      <c r="B903" s="409"/>
      <c r="C903" s="416"/>
      <c r="D903" s="198" t="s">
        <v>19626</v>
      </c>
      <c r="E903" s="198">
        <v>4</v>
      </c>
      <c r="F903" s="199" t="s">
        <v>19627</v>
      </c>
      <c r="G903" s="1" t="s">
        <v>19628</v>
      </c>
      <c r="H903" s="1" t="s">
        <v>19629</v>
      </c>
      <c r="I903" s="346"/>
      <c r="J903" s="39">
        <v>116558</v>
      </c>
      <c r="K903" s="36" t="str">
        <f>CONCATENATE(Cover!$D$6,"fdd/view?i=",J903)</f>
        <v>https://www.dgiwg.org/FAD/fdd/view?i=116558</v>
      </c>
      <c r="L903" s="36" t="s">
        <v>19630</v>
      </c>
      <c r="M903" s="186"/>
      <c r="N903" s="186"/>
      <c r="O903" s="172"/>
    </row>
    <row r="904" spans="1:15" ht="25.5" x14ac:dyDescent="0.2">
      <c r="A904" s="197" t="str">
        <f t="shared" si="14"/>
        <v>AspCode_oiled</v>
      </c>
      <c r="B904" s="409"/>
      <c r="C904" s="416"/>
      <c r="D904" s="198" t="s">
        <v>19631</v>
      </c>
      <c r="E904" s="198">
        <v>5</v>
      </c>
      <c r="F904" s="199" t="s">
        <v>19632</v>
      </c>
      <c r="G904" s="1" t="s">
        <v>19633</v>
      </c>
      <c r="H904" s="1" t="s">
        <v>19634</v>
      </c>
      <c r="I904" s="346"/>
      <c r="J904" s="39">
        <v>116559</v>
      </c>
      <c r="K904" s="36" t="str">
        <f>CONCATENATE(Cover!$D$6,"fdd/view?i=",J904)</f>
        <v>https://www.dgiwg.org/FAD/fdd/view?i=116559</v>
      </c>
      <c r="L904" s="36" t="s">
        <v>19635</v>
      </c>
      <c r="M904" s="186"/>
      <c r="N904" s="186"/>
      <c r="O904" s="172"/>
    </row>
    <row r="905" spans="1:15" ht="51" x14ac:dyDescent="0.2">
      <c r="A905" s="197" t="str">
        <f t="shared" si="14"/>
        <v>AspCode_porousFrictionCourse</v>
      </c>
      <c r="B905" s="409"/>
      <c r="C905" s="416"/>
      <c r="D905" s="198" t="s">
        <v>19636</v>
      </c>
      <c r="E905" s="198">
        <v>6</v>
      </c>
      <c r="F905" s="199" t="s">
        <v>19637</v>
      </c>
      <c r="G905" s="1" t="s">
        <v>19638</v>
      </c>
      <c r="H905" s="1" t="s">
        <v>19639</v>
      </c>
      <c r="I905" s="346"/>
      <c r="J905" s="39">
        <v>116560</v>
      </c>
      <c r="K905" s="36" t="str">
        <f>CONCATENATE(Cover!$D$6,"fdd/view?i=",J905)</f>
        <v>https://www.dgiwg.org/FAD/fdd/view?i=116560</v>
      </c>
      <c r="L905" s="36" t="s">
        <v>19640</v>
      </c>
      <c r="M905" s="186"/>
      <c r="N905" s="186"/>
      <c r="O905" s="172"/>
    </row>
    <row r="906" spans="1:15" ht="25.5" x14ac:dyDescent="0.2">
      <c r="A906" s="197" t="str">
        <f t="shared" si="14"/>
        <v>AspCode_rolled</v>
      </c>
      <c r="B906" s="409"/>
      <c r="C906" s="416"/>
      <c r="D906" s="198" t="s">
        <v>19641</v>
      </c>
      <c r="E906" s="198">
        <v>7</v>
      </c>
      <c r="F906" s="199" t="s">
        <v>19642</v>
      </c>
      <c r="G906" s="1" t="s">
        <v>19643</v>
      </c>
      <c r="H906" s="200"/>
      <c r="I906" s="346"/>
      <c r="J906" s="39">
        <v>116561</v>
      </c>
      <c r="K906" s="36" t="str">
        <f>CONCATENATE(Cover!$D$6,"fdd/view?i=",J906)</f>
        <v>https://www.dgiwg.org/FAD/fdd/view?i=116561</v>
      </c>
      <c r="L906" s="36" t="s">
        <v>19644</v>
      </c>
      <c r="M906" s="186"/>
      <c r="N906" s="186"/>
      <c r="O906" s="172"/>
    </row>
    <row r="907" spans="1:15" ht="38.25" x14ac:dyDescent="0.2">
      <c r="A907" s="203" t="str">
        <f t="shared" si="14"/>
        <v>AspCode_rubberizedSealCoat</v>
      </c>
      <c r="B907" s="410"/>
      <c r="C907" s="417"/>
      <c r="D907" s="204" t="s">
        <v>19645</v>
      </c>
      <c r="E907" s="204">
        <v>8</v>
      </c>
      <c r="F907" s="205" t="s">
        <v>19646</v>
      </c>
      <c r="G907" s="206" t="s">
        <v>19647</v>
      </c>
      <c r="H907" s="206" t="s">
        <v>19648</v>
      </c>
      <c r="I907" s="347"/>
      <c r="J907" s="39">
        <v>116562</v>
      </c>
      <c r="K907" s="36" t="str">
        <f>CONCATENATE(Cover!$D$6,"fdd/view?i=",J907)</f>
        <v>https://www.dgiwg.org/FAD/fdd/view?i=116562</v>
      </c>
      <c r="L907" s="36" t="s">
        <v>19649</v>
      </c>
      <c r="M907" s="186"/>
      <c r="N907" s="186"/>
      <c r="O907" s="172"/>
    </row>
    <row r="908" spans="1:15" ht="76.5" x14ac:dyDescent="0.2">
      <c r="A908" s="190" t="str">
        <f t="shared" si="14"/>
        <v>SfsCode_excellent</v>
      </c>
      <c r="B908" s="414" t="str">
        <f>HYPERLINK("[#]Datatypes!A58:L58","SfsCode")</f>
        <v>SfsCode</v>
      </c>
      <c r="C908" s="415" t="s">
        <v>14608</v>
      </c>
      <c r="D908" s="221" t="s">
        <v>19650</v>
      </c>
      <c r="E908" s="221">
        <v>9</v>
      </c>
      <c r="F908" s="222" t="s">
        <v>19651</v>
      </c>
      <c r="G908" s="223" t="s">
        <v>19652</v>
      </c>
      <c r="H908" s="223" t="s">
        <v>19653</v>
      </c>
      <c r="I908" s="345"/>
      <c r="J908" s="39">
        <v>119073</v>
      </c>
      <c r="K908" s="36" t="str">
        <f>CONCATENATE(Cover!$D$6,"fdd/view?i=",J908)</f>
        <v>https://www.dgiwg.org/FAD/fdd/view?i=119073</v>
      </c>
      <c r="L908" s="36" t="s">
        <v>19654</v>
      </c>
      <c r="M908" s="186"/>
      <c r="N908" s="186"/>
      <c r="O908" s="172"/>
    </row>
    <row r="909" spans="1:15" ht="51" x14ac:dyDescent="0.2">
      <c r="A909" s="197" t="str">
        <f t="shared" si="14"/>
        <v>SfsCode_fair</v>
      </c>
      <c r="B909" s="409"/>
      <c r="C909" s="416"/>
      <c r="D909" s="198" t="s">
        <v>19480</v>
      </c>
      <c r="E909" s="198">
        <v>1</v>
      </c>
      <c r="F909" s="199" t="s">
        <v>19481</v>
      </c>
      <c r="G909" s="1" t="s">
        <v>19655</v>
      </c>
      <c r="H909" s="1" t="s">
        <v>19656</v>
      </c>
      <c r="I909" s="346"/>
      <c r="J909" s="39">
        <v>119065</v>
      </c>
      <c r="K909" s="36" t="str">
        <f>CONCATENATE(Cover!$D$6,"fdd/view?i=",J909)</f>
        <v>https://www.dgiwg.org/FAD/fdd/view?i=119065</v>
      </c>
      <c r="L909" s="36" t="s">
        <v>19657</v>
      </c>
      <c r="M909" s="186"/>
      <c r="N909" s="186"/>
      <c r="O909" s="172"/>
    </row>
    <row r="910" spans="1:15" ht="51" x14ac:dyDescent="0.2">
      <c r="A910" s="197" t="str">
        <f t="shared" si="14"/>
        <v>SfsCode_fairEstimated</v>
      </c>
      <c r="B910" s="409"/>
      <c r="C910" s="416"/>
      <c r="D910" s="198" t="s">
        <v>19658</v>
      </c>
      <c r="E910" s="198">
        <v>2</v>
      </c>
      <c r="F910" s="199" t="s">
        <v>19659</v>
      </c>
      <c r="G910" s="1" t="s">
        <v>19660</v>
      </c>
      <c r="H910" s="1" t="s">
        <v>19661</v>
      </c>
      <c r="I910" s="346"/>
      <c r="J910" s="39">
        <v>119066</v>
      </c>
      <c r="K910" s="36" t="str">
        <f>CONCATENATE(Cover!$D$6,"fdd/view?i=",J910)</f>
        <v>https://www.dgiwg.org/FAD/fdd/view?i=119066</v>
      </c>
      <c r="L910" s="36" t="s">
        <v>19662</v>
      </c>
      <c r="M910" s="186"/>
      <c r="N910" s="186"/>
      <c r="O910" s="172"/>
    </row>
    <row r="911" spans="1:15" ht="51" x14ac:dyDescent="0.2">
      <c r="A911" s="197" t="str">
        <f t="shared" si="14"/>
        <v>SfsCode_good</v>
      </c>
      <c r="B911" s="409"/>
      <c r="C911" s="416"/>
      <c r="D911" s="198" t="s">
        <v>19484</v>
      </c>
      <c r="E911" s="198">
        <v>3</v>
      </c>
      <c r="F911" s="199" t="s">
        <v>19485</v>
      </c>
      <c r="G911" s="1" t="s">
        <v>19663</v>
      </c>
      <c r="H911" s="1" t="s">
        <v>19664</v>
      </c>
      <c r="I911" s="346"/>
      <c r="J911" s="39">
        <v>119067</v>
      </c>
      <c r="K911" s="36" t="str">
        <f>CONCATENATE(Cover!$D$6,"fdd/view?i=",J911)</f>
        <v>https://www.dgiwg.org/FAD/fdd/view?i=119067</v>
      </c>
      <c r="L911" s="36" t="s">
        <v>19665</v>
      </c>
      <c r="M911" s="186"/>
      <c r="N911" s="186"/>
      <c r="O911" s="172"/>
    </row>
    <row r="912" spans="1:15" ht="51" x14ac:dyDescent="0.2">
      <c r="A912" s="197" t="str">
        <f t="shared" si="14"/>
        <v>SfsCode_goodEstimated</v>
      </c>
      <c r="B912" s="409"/>
      <c r="C912" s="416"/>
      <c r="D912" s="198" t="s">
        <v>19666</v>
      </c>
      <c r="E912" s="198">
        <v>4</v>
      </c>
      <c r="F912" s="199" t="s">
        <v>19667</v>
      </c>
      <c r="G912" s="1" t="s">
        <v>19668</v>
      </c>
      <c r="H912" s="1" t="s">
        <v>19669</v>
      </c>
      <c r="I912" s="346"/>
      <c r="J912" s="39">
        <v>119068</v>
      </c>
      <c r="K912" s="36" t="str">
        <f>CONCATENATE(Cover!$D$6,"fdd/view?i=",J912)</f>
        <v>https://www.dgiwg.org/FAD/fdd/view?i=119068</v>
      </c>
      <c r="L912" s="36" t="s">
        <v>19670</v>
      </c>
      <c r="M912" s="186"/>
      <c r="N912" s="186"/>
      <c r="O912" s="172"/>
    </row>
    <row r="913" spans="1:15" ht="51" x14ac:dyDescent="0.2">
      <c r="A913" s="197" t="str">
        <f t="shared" si="14"/>
        <v>SfsCode_poor</v>
      </c>
      <c r="B913" s="409"/>
      <c r="C913" s="416"/>
      <c r="D913" s="198" t="s">
        <v>19671</v>
      </c>
      <c r="E913" s="198">
        <v>5</v>
      </c>
      <c r="F913" s="199" t="s">
        <v>19672</v>
      </c>
      <c r="G913" s="1" t="s">
        <v>19673</v>
      </c>
      <c r="H913" s="1" t="s">
        <v>19674</v>
      </c>
      <c r="I913" s="346"/>
      <c r="J913" s="39">
        <v>119069</v>
      </c>
      <c r="K913" s="36" t="str">
        <f>CONCATENATE(Cover!$D$6,"fdd/view?i=",J913)</f>
        <v>https://www.dgiwg.org/FAD/fdd/view?i=119069</v>
      </c>
      <c r="L913" s="36" t="s">
        <v>19675</v>
      </c>
      <c r="M913" s="186"/>
      <c r="N913" s="186"/>
      <c r="O913" s="172"/>
    </row>
    <row r="914" spans="1:15" ht="51" x14ac:dyDescent="0.2">
      <c r="A914" s="197" t="str">
        <f t="shared" si="14"/>
        <v>SfsCode_poorEstimated</v>
      </c>
      <c r="B914" s="409"/>
      <c r="C914" s="416"/>
      <c r="D914" s="198" t="s">
        <v>19676</v>
      </c>
      <c r="E914" s="198">
        <v>6</v>
      </c>
      <c r="F914" s="199" t="s">
        <v>19677</v>
      </c>
      <c r="G914" s="1" t="s">
        <v>19678</v>
      </c>
      <c r="H914" s="1" t="s">
        <v>19679</v>
      </c>
      <c r="I914" s="346"/>
      <c r="J914" s="39">
        <v>119070</v>
      </c>
      <c r="K914" s="36" t="str">
        <f>CONCATENATE(Cover!$D$6,"fdd/view?i=",J914)</f>
        <v>https://www.dgiwg.org/FAD/fdd/view?i=119070</v>
      </c>
      <c r="L914" s="36" t="s">
        <v>19680</v>
      </c>
      <c r="M914" s="186"/>
      <c r="N914" s="186"/>
      <c r="O914" s="172"/>
    </row>
    <row r="915" spans="1:15" ht="25.5" x14ac:dyDescent="0.2">
      <c r="A915" s="197" t="str">
        <f t="shared" si="14"/>
        <v>SfsCode_underConstruction</v>
      </c>
      <c r="B915" s="409"/>
      <c r="C915" s="416"/>
      <c r="D915" s="198" t="s">
        <v>19492</v>
      </c>
      <c r="E915" s="198">
        <v>7</v>
      </c>
      <c r="F915" s="199" t="s">
        <v>19493</v>
      </c>
      <c r="G915" s="1" t="s">
        <v>19681</v>
      </c>
      <c r="H915" s="200"/>
      <c r="I915" s="346"/>
      <c r="J915" s="39">
        <v>119071</v>
      </c>
      <c r="K915" s="36" t="str">
        <f>CONCATENATE(Cover!$D$6,"fdd/view?i=",J915)</f>
        <v>https://www.dgiwg.org/FAD/fdd/view?i=119071</v>
      </c>
      <c r="L915" s="36" t="s">
        <v>19682</v>
      </c>
      <c r="M915" s="186"/>
      <c r="N915" s="186"/>
      <c r="O915" s="172"/>
    </row>
    <row r="916" spans="1:15" ht="38.25" x14ac:dyDescent="0.2">
      <c r="A916" s="203" t="str">
        <f t="shared" si="14"/>
        <v>SfsCode_unserviceable</v>
      </c>
      <c r="B916" s="410"/>
      <c r="C916" s="417"/>
      <c r="D916" s="204" t="s">
        <v>19683</v>
      </c>
      <c r="E916" s="204">
        <v>8</v>
      </c>
      <c r="F916" s="205" t="s">
        <v>19684</v>
      </c>
      <c r="G916" s="206" t="s">
        <v>19685</v>
      </c>
      <c r="H916" s="207"/>
      <c r="I916" s="347"/>
      <c r="J916" s="39">
        <v>119072</v>
      </c>
      <c r="K916" s="36" t="str">
        <f>CONCATENATE(Cover!$D$6,"fdd/view?i=",J916)</f>
        <v>https://www.dgiwg.org/FAD/fdd/view?i=119072</v>
      </c>
      <c r="L916" s="36" t="s">
        <v>19686</v>
      </c>
      <c r="M916" s="186"/>
      <c r="N916" s="186"/>
      <c r="O916" s="172"/>
    </row>
    <row r="917" spans="1:15" ht="25.5" x14ac:dyDescent="0.2">
      <c r="A917" s="190" t="str">
        <f t="shared" si="14"/>
        <v>AxsCode_closed</v>
      </c>
      <c r="B917" s="414" t="str">
        <f>HYPERLINK("[#]Datatypes!A60:L60","AxsCode")</f>
        <v>AxsCode</v>
      </c>
      <c r="C917" s="415" t="s">
        <v>14610</v>
      </c>
      <c r="D917" s="221" t="s">
        <v>16510</v>
      </c>
      <c r="E917" s="221">
        <v>1</v>
      </c>
      <c r="F917" s="222" t="s">
        <v>16511</v>
      </c>
      <c r="G917" s="223" t="s">
        <v>16512</v>
      </c>
      <c r="H917" s="224"/>
      <c r="I917" s="345"/>
      <c r="J917" s="39">
        <v>115469</v>
      </c>
      <c r="K917" s="36" t="str">
        <f>CONCATENATE(Cover!$D$6,"fdd/view?i=",J917)</f>
        <v>https://www.dgiwg.org/FAD/fdd/view?i=115469</v>
      </c>
      <c r="L917" s="36" t="s">
        <v>19688</v>
      </c>
      <c r="M917" s="186"/>
      <c r="N917" s="186"/>
      <c r="O917" s="13" t="s">
        <v>19687</v>
      </c>
    </row>
    <row r="918" spans="1:15" x14ac:dyDescent="0.2">
      <c r="A918" s="197" t="str">
        <f t="shared" si="14"/>
        <v>AxsCode_open</v>
      </c>
      <c r="B918" s="409"/>
      <c r="C918" s="416"/>
      <c r="D918" s="198" t="s">
        <v>16532</v>
      </c>
      <c r="E918" s="198">
        <v>2</v>
      </c>
      <c r="F918" s="199" t="s">
        <v>16533</v>
      </c>
      <c r="G918" s="1" t="s">
        <v>19689</v>
      </c>
      <c r="H918" s="200"/>
      <c r="I918" s="346"/>
      <c r="J918" s="39">
        <v>115470</v>
      </c>
      <c r="K918" s="36" t="str">
        <f>CONCATENATE(Cover!$D$6,"fdd/view?i=",J918)</f>
        <v>https://www.dgiwg.org/FAD/fdd/view?i=115470</v>
      </c>
      <c r="L918" s="36" t="s">
        <v>19690</v>
      </c>
      <c r="M918" s="186"/>
      <c r="N918" s="186"/>
      <c r="O918" s="172"/>
    </row>
    <row r="919" spans="1:15" ht="25.5" x14ac:dyDescent="0.2">
      <c r="A919" s="197" t="str">
        <f t="shared" si="14"/>
        <v>AxsCode_parkedDisabledAircraft</v>
      </c>
      <c r="B919" s="409"/>
      <c r="C919" s="416"/>
      <c r="D919" s="198" t="s">
        <v>19692</v>
      </c>
      <c r="E919" s="198">
        <v>4</v>
      </c>
      <c r="F919" s="199" t="s">
        <v>19693</v>
      </c>
      <c r="G919" s="1" t="s">
        <v>19694</v>
      </c>
      <c r="H919" s="200"/>
      <c r="I919" s="346"/>
      <c r="J919" s="39">
        <v>115472</v>
      </c>
      <c r="K919" s="36" t="str">
        <f>CONCATENATE(Cover!$D$6,"fdd/view?i=",J919)</f>
        <v>https://www.dgiwg.org/FAD/fdd/view?i=115472</v>
      </c>
      <c r="L919" s="36" t="s">
        <v>19695</v>
      </c>
      <c r="M919" s="186"/>
      <c r="N919" s="186"/>
      <c r="O919" s="13" t="s">
        <v>19691</v>
      </c>
    </row>
    <row r="920" spans="1:15" ht="25.5" x14ac:dyDescent="0.2">
      <c r="A920" s="203" t="str">
        <f t="shared" si="14"/>
        <v>AxsCode_workInProgress</v>
      </c>
      <c r="B920" s="410"/>
      <c r="C920" s="417"/>
      <c r="D920" s="204" t="s">
        <v>19697</v>
      </c>
      <c r="E920" s="204">
        <v>3</v>
      </c>
      <c r="F920" s="205" t="s">
        <v>19698</v>
      </c>
      <c r="G920" s="206" t="s">
        <v>19681</v>
      </c>
      <c r="H920" s="207"/>
      <c r="I920" s="347"/>
      <c r="J920" s="39">
        <v>115471</v>
      </c>
      <c r="K920" s="36" t="str">
        <f>CONCATENATE(Cover!$D$6,"fdd/view?i=",J920)</f>
        <v>https://www.dgiwg.org/FAD/fdd/view?i=115471</v>
      </c>
      <c r="L920" s="36" t="s">
        <v>19699</v>
      </c>
      <c r="M920" s="186"/>
      <c r="N920" s="186"/>
      <c r="O920" s="13" t="s">
        <v>19696</v>
      </c>
    </row>
    <row r="921" spans="1:15" ht="51" x14ac:dyDescent="0.2">
      <c r="A921" s="190" t="str">
        <f t="shared" si="14"/>
        <v>AstCode_aerodromeFlightInfoServ</v>
      </c>
      <c r="B921" s="414" t="str">
        <f>HYPERLINK("[#]Datatypes!A62:L62","AstCode")</f>
        <v>AstCode</v>
      </c>
      <c r="C921" s="415" t="s">
        <v>14612</v>
      </c>
      <c r="D921" s="221" t="s">
        <v>19700</v>
      </c>
      <c r="E921" s="221">
        <v>1</v>
      </c>
      <c r="F921" s="222" t="s">
        <v>19701</v>
      </c>
      <c r="G921" s="223" t="s">
        <v>19702</v>
      </c>
      <c r="H921" s="224"/>
      <c r="I921" s="352" t="s">
        <v>19703</v>
      </c>
      <c r="J921" s="39">
        <v>116178</v>
      </c>
      <c r="K921" s="36" t="str">
        <f>CONCATENATE(Cover!$D$6,"fdd/view?i=",J921)</f>
        <v>https://www.dgiwg.org/FAD/fdd/view?i=116178</v>
      </c>
      <c r="L921" s="36" t="s">
        <v>19704</v>
      </c>
      <c r="M921" s="186"/>
      <c r="N921" s="186"/>
      <c r="O921" s="172"/>
    </row>
    <row r="922" spans="1:15" ht="38.25" x14ac:dyDescent="0.2">
      <c r="A922" s="197" t="str">
        <f t="shared" si="14"/>
        <v>AstCode_aeronauticalInfoService</v>
      </c>
      <c r="B922" s="409"/>
      <c r="C922" s="416"/>
      <c r="D922" s="198" t="s">
        <v>19705</v>
      </c>
      <c r="E922" s="198">
        <v>3</v>
      </c>
      <c r="F922" s="199" t="s">
        <v>19706</v>
      </c>
      <c r="G922" s="1" t="s">
        <v>19707</v>
      </c>
      <c r="H922" s="200"/>
      <c r="I922" s="351" t="s">
        <v>19708</v>
      </c>
      <c r="J922" s="39">
        <v>116180</v>
      </c>
      <c r="K922" s="36" t="str">
        <f>CONCATENATE(Cover!$D$6,"fdd/view?i=",J922)</f>
        <v>https://www.dgiwg.org/FAD/fdd/view?i=116180</v>
      </c>
      <c r="L922" s="36" t="s">
        <v>19709</v>
      </c>
      <c r="M922" s="186"/>
      <c r="N922" s="186"/>
      <c r="O922" s="172"/>
    </row>
    <row r="923" spans="1:15" ht="76.5" x14ac:dyDescent="0.2">
      <c r="A923" s="197" t="str">
        <f t="shared" si="14"/>
        <v>AstCode_airmetService</v>
      </c>
      <c r="B923" s="409"/>
      <c r="C923" s="416"/>
      <c r="D923" s="198" t="s">
        <v>19710</v>
      </c>
      <c r="E923" s="198">
        <v>18</v>
      </c>
      <c r="F923" s="199" t="s">
        <v>19711</v>
      </c>
      <c r="G923" s="1" t="s">
        <v>19712</v>
      </c>
      <c r="H923" s="200"/>
      <c r="I923" s="346"/>
      <c r="J923" s="39">
        <v>116195</v>
      </c>
      <c r="K923" s="36" t="str">
        <f>CONCATENATE(Cover!$D$6,"fdd/view?i=",J923)</f>
        <v>https://www.dgiwg.org/FAD/fdd/view?i=116195</v>
      </c>
      <c r="L923" s="36" t="s">
        <v>19713</v>
      </c>
      <c r="M923" s="186"/>
      <c r="N923" s="186"/>
      <c r="O923" s="172"/>
    </row>
    <row r="924" spans="1:15" ht="25.5" x14ac:dyDescent="0.2">
      <c r="A924" s="197" t="str">
        <f t="shared" si="14"/>
        <v>AstCode_altimeterService</v>
      </c>
      <c r="B924" s="409"/>
      <c r="C924" s="416"/>
      <c r="D924" s="198" t="s">
        <v>19714</v>
      </c>
      <c r="E924" s="198">
        <v>4</v>
      </c>
      <c r="F924" s="199" t="s">
        <v>19715</v>
      </c>
      <c r="G924" s="1" t="s">
        <v>19716</v>
      </c>
      <c r="H924" s="200"/>
      <c r="I924" s="346"/>
      <c r="J924" s="39">
        <v>116181</v>
      </c>
      <c r="K924" s="36" t="str">
        <f>CONCATENATE(Cover!$D$6,"fdd/view?i=",J924)</f>
        <v>https://www.dgiwg.org/FAD/fdd/view?i=116181</v>
      </c>
      <c r="L924" s="36" t="s">
        <v>19717</v>
      </c>
      <c r="M924" s="186"/>
      <c r="N924" s="186"/>
      <c r="O924" s="172"/>
    </row>
    <row r="925" spans="1:15" ht="89.25" x14ac:dyDescent="0.2">
      <c r="A925" s="197" t="str">
        <f t="shared" si="14"/>
        <v>AstCode_automaticFlightInfoServ</v>
      </c>
      <c r="B925" s="409"/>
      <c r="C925" s="416"/>
      <c r="D925" s="198" t="s">
        <v>19739</v>
      </c>
      <c r="E925" s="198">
        <v>2</v>
      </c>
      <c r="F925" s="199" t="s">
        <v>19740</v>
      </c>
      <c r="G925" s="1" t="s">
        <v>19741</v>
      </c>
      <c r="H925" s="1" t="s">
        <v>19742</v>
      </c>
      <c r="I925" s="346"/>
      <c r="J925" s="39">
        <v>116179</v>
      </c>
      <c r="K925" s="36" t="str">
        <f>CONCATENATE(Cover!$D$6,"fdd/view?i=",J925)</f>
        <v>https://www.dgiwg.org/FAD/fdd/view?i=116179</v>
      </c>
      <c r="L925" s="36" t="s">
        <v>19743</v>
      </c>
      <c r="M925" s="186"/>
      <c r="N925" s="186"/>
      <c r="O925" s="172"/>
    </row>
    <row r="926" spans="1:15" ht="38.25" x14ac:dyDescent="0.2">
      <c r="A926" s="197" t="str">
        <f t="shared" si="14"/>
        <v>AstCode_autoSurfaceObsSystem</v>
      </c>
      <c r="B926" s="409"/>
      <c r="C926" s="416"/>
      <c r="D926" s="198" t="s">
        <v>19718</v>
      </c>
      <c r="E926" s="198">
        <v>5</v>
      </c>
      <c r="F926" s="199" t="s">
        <v>19719</v>
      </c>
      <c r="G926" s="1" t="s">
        <v>19720</v>
      </c>
      <c r="H926" s="1" t="s">
        <v>19721</v>
      </c>
      <c r="I926" s="351" t="s">
        <v>19722</v>
      </c>
      <c r="J926" s="39">
        <v>116182</v>
      </c>
      <c r="K926" s="36" t="str">
        <f>CONCATENATE(Cover!$D$6,"fdd/view?i=",J926)</f>
        <v>https://www.dgiwg.org/FAD/fdd/view?i=116182</v>
      </c>
      <c r="L926" s="36" t="s">
        <v>19723</v>
      </c>
      <c r="M926" s="186"/>
      <c r="N926" s="186"/>
      <c r="O926" s="172"/>
    </row>
    <row r="927" spans="1:15" ht="38.25" x14ac:dyDescent="0.2">
      <c r="A927" s="197" t="str">
        <f t="shared" si="14"/>
        <v>AstCode_autoTerminalInfoService</v>
      </c>
      <c r="B927" s="409"/>
      <c r="C927" s="416"/>
      <c r="D927" s="198" t="s">
        <v>19724</v>
      </c>
      <c r="E927" s="198">
        <v>6</v>
      </c>
      <c r="F927" s="199" t="s">
        <v>19725</v>
      </c>
      <c r="G927" s="1" t="s">
        <v>19726</v>
      </c>
      <c r="H927" s="200"/>
      <c r="I927" s="351" t="s">
        <v>19727</v>
      </c>
      <c r="J927" s="39">
        <v>116183</v>
      </c>
      <c r="K927" s="36" t="str">
        <f>CONCATENATE(Cover!$D$6,"fdd/view?i=",J927)</f>
        <v>https://www.dgiwg.org/FAD/fdd/view?i=116183</v>
      </c>
      <c r="L927" s="36" t="s">
        <v>19728</v>
      </c>
      <c r="M927" s="186"/>
      <c r="N927" s="186"/>
      <c r="O927" s="172"/>
    </row>
    <row r="928" spans="1:15" ht="51" x14ac:dyDescent="0.2">
      <c r="A928" s="197" t="str">
        <f t="shared" si="14"/>
        <v>AstCode_autoWeatherObsService</v>
      </c>
      <c r="B928" s="409"/>
      <c r="C928" s="416"/>
      <c r="D928" s="198" t="s">
        <v>19729</v>
      </c>
      <c r="E928" s="198">
        <v>8</v>
      </c>
      <c r="F928" s="199" t="s">
        <v>19730</v>
      </c>
      <c r="G928" s="1" t="s">
        <v>19720</v>
      </c>
      <c r="H928" s="1" t="s">
        <v>19731</v>
      </c>
      <c r="I928" s="351" t="s">
        <v>19732</v>
      </c>
      <c r="J928" s="39">
        <v>116185</v>
      </c>
      <c r="K928" s="36" t="str">
        <f>CONCATENATE(Cover!$D$6,"fdd/view?i=",J928)</f>
        <v>https://www.dgiwg.org/FAD/fdd/view?i=116185</v>
      </c>
      <c r="L928" s="36" t="s">
        <v>19733</v>
      </c>
      <c r="M928" s="186"/>
      <c r="N928" s="186"/>
      <c r="O928" s="172"/>
    </row>
    <row r="929" spans="1:15" ht="51" x14ac:dyDescent="0.2">
      <c r="A929" s="197" t="str">
        <f t="shared" si="14"/>
        <v>AstCode_autoWeatherSensorSystem</v>
      </c>
      <c r="B929" s="409"/>
      <c r="C929" s="416"/>
      <c r="D929" s="198" t="s">
        <v>19734</v>
      </c>
      <c r="E929" s="198">
        <v>7</v>
      </c>
      <c r="F929" s="199" t="s">
        <v>19735</v>
      </c>
      <c r="G929" s="1" t="s">
        <v>19720</v>
      </c>
      <c r="H929" s="1" t="s">
        <v>19736</v>
      </c>
      <c r="I929" s="351" t="s">
        <v>19737</v>
      </c>
      <c r="J929" s="39">
        <v>116184</v>
      </c>
      <c r="K929" s="36" t="str">
        <f>CONCATENATE(Cover!$D$6,"fdd/view?i=",J929)</f>
        <v>https://www.dgiwg.org/FAD/fdd/view?i=116184</v>
      </c>
      <c r="L929" s="36" t="s">
        <v>19738</v>
      </c>
      <c r="M929" s="186"/>
      <c r="N929" s="186"/>
      <c r="O929" s="172"/>
    </row>
    <row r="930" spans="1:15" ht="25.5" x14ac:dyDescent="0.2">
      <c r="A930" s="197" t="str">
        <f t="shared" si="14"/>
        <v>AstCode_briefingService</v>
      </c>
      <c r="B930" s="409"/>
      <c r="C930" s="416"/>
      <c r="D930" s="198" t="s">
        <v>19744</v>
      </c>
      <c r="E930" s="198">
        <v>9</v>
      </c>
      <c r="F930" s="199" t="s">
        <v>19745</v>
      </c>
      <c r="G930" s="1" t="s">
        <v>19746</v>
      </c>
      <c r="H930" s="200"/>
      <c r="I930" s="346"/>
      <c r="J930" s="39">
        <v>116186</v>
      </c>
      <c r="K930" s="36" t="str">
        <f>CONCATENATE(Cover!$D$6,"fdd/view?i=",J930)</f>
        <v>https://www.dgiwg.org/FAD/fdd/view?i=116186</v>
      </c>
      <c r="L930" s="36" t="s">
        <v>19747</v>
      </c>
      <c r="M930" s="186"/>
      <c r="N930" s="186"/>
      <c r="O930" s="172"/>
    </row>
    <row r="931" spans="1:15" ht="38.25" x14ac:dyDescent="0.2">
      <c r="A931" s="197" t="str">
        <f t="shared" si="14"/>
        <v>AstCode_enRouteFlightAdvisoryServ</v>
      </c>
      <c r="B931" s="409"/>
      <c r="C931" s="416"/>
      <c r="D931" s="198" t="s">
        <v>19748</v>
      </c>
      <c r="E931" s="198">
        <v>10</v>
      </c>
      <c r="F931" s="199" t="s">
        <v>19749</v>
      </c>
      <c r="G931" s="1" t="s">
        <v>19750</v>
      </c>
      <c r="H931" s="200"/>
      <c r="I931" s="351" t="s">
        <v>19751</v>
      </c>
      <c r="J931" s="39">
        <v>116187</v>
      </c>
      <c r="K931" s="36" t="str">
        <f>CONCATENATE(Cover!$D$6,"fdd/view?i=",J931)</f>
        <v>https://www.dgiwg.org/FAD/fdd/view?i=116187</v>
      </c>
      <c r="L931" s="36" t="s">
        <v>19752</v>
      </c>
      <c r="M931" s="186"/>
      <c r="N931" s="186"/>
      <c r="O931" s="172"/>
    </row>
    <row r="932" spans="1:15" ht="25.5" x14ac:dyDescent="0.2">
      <c r="A932" s="197" t="str">
        <f t="shared" si="14"/>
        <v>AstCode_flightInfoService</v>
      </c>
      <c r="B932" s="409"/>
      <c r="C932" s="416"/>
      <c r="D932" s="198" t="s">
        <v>19753</v>
      </c>
      <c r="E932" s="198">
        <v>11</v>
      </c>
      <c r="F932" s="199" t="s">
        <v>19754</v>
      </c>
      <c r="G932" s="1" t="s">
        <v>19755</v>
      </c>
      <c r="H932" s="200"/>
      <c r="I932" s="351" t="s">
        <v>19756</v>
      </c>
      <c r="J932" s="39">
        <v>116188</v>
      </c>
      <c r="K932" s="36" t="str">
        <f>CONCATENATE(Cover!$D$6,"fdd/view?i=",J932)</f>
        <v>https://www.dgiwg.org/FAD/fdd/view?i=116188</v>
      </c>
      <c r="L932" s="36" t="s">
        <v>19757</v>
      </c>
      <c r="M932" s="186"/>
      <c r="N932" s="186"/>
      <c r="O932" s="172"/>
    </row>
    <row r="933" spans="1:15" ht="38.25" x14ac:dyDescent="0.2">
      <c r="A933" s="197" t="str">
        <f t="shared" si="14"/>
        <v>AstCode_hfOperationFlightInfoServ</v>
      </c>
      <c r="B933" s="409"/>
      <c r="C933" s="416"/>
      <c r="D933" s="198" t="s">
        <v>19758</v>
      </c>
      <c r="E933" s="198">
        <v>16</v>
      </c>
      <c r="F933" s="199" t="s">
        <v>19759</v>
      </c>
      <c r="G933" s="1" t="s">
        <v>19760</v>
      </c>
      <c r="H933" s="200"/>
      <c r="I933" s="351" t="s">
        <v>19761</v>
      </c>
      <c r="J933" s="39">
        <v>116193</v>
      </c>
      <c r="K933" s="36" t="str">
        <f>CONCATENATE(Cover!$D$6,"fdd/view?i=",J933)</f>
        <v>https://www.dgiwg.org/FAD/fdd/view?i=116193</v>
      </c>
      <c r="L933" s="36" t="s">
        <v>19762</v>
      </c>
      <c r="M933" s="186"/>
      <c r="N933" s="186"/>
      <c r="O933" s="172"/>
    </row>
    <row r="934" spans="1:15" ht="25.5" x14ac:dyDescent="0.2">
      <c r="A934" s="197" t="str">
        <f t="shared" si="14"/>
        <v>AstCode_highAltWeatherObsSystem</v>
      </c>
      <c r="B934" s="409"/>
      <c r="C934" s="416"/>
      <c r="D934" s="198" t="s">
        <v>19763</v>
      </c>
      <c r="E934" s="198">
        <v>12</v>
      </c>
      <c r="F934" s="199" t="s">
        <v>19764</v>
      </c>
      <c r="G934" s="1" t="s">
        <v>19765</v>
      </c>
      <c r="H934" s="200"/>
      <c r="I934" s="351" t="s">
        <v>19766</v>
      </c>
      <c r="J934" s="39">
        <v>116189</v>
      </c>
      <c r="K934" s="36" t="str">
        <f>CONCATENATE(Cover!$D$6,"fdd/view?i=",J934)</f>
        <v>https://www.dgiwg.org/FAD/fdd/view?i=116189</v>
      </c>
      <c r="L934" s="36" t="s">
        <v>19767</v>
      </c>
      <c r="M934" s="186"/>
      <c r="N934" s="186"/>
      <c r="O934" s="172"/>
    </row>
    <row r="935" spans="1:15" ht="25.5" x14ac:dyDescent="0.2">
      <c r="A935" s="197" t="str">
        <f t="shared" si="14"/>
        <v>AstCode_infoService</v>
      </c>
      <c r="B935" s="409"/>
      <c r="C935" s="416"/>
      <c r="D935" s="198" t="s">
        <v>19768</v>
      </c>
      <c r="E935" s="198">
        <v>13</v>
      </c>
      <c r="F935" s="199" t="s">
        <v>19769</v>
      </c>
      <c r="G935" s="1" t="s">
        <v>19770</v>
      </c>
      <c r="H935" s="200"/>
      <c r="I935" s="346"/>
      <c r="J935" s="39">
        <v>116190</v>
      </c>
      <c r="K935" s="36" t="str">
        <f>CONCATENATE(Cover!$D$6,"fdd/view?i=",J935)</f>
        <v>https://www.dgiwg.org/FAD/fdd/view?i=116190</v>
      </c>
      <c r="L935" s="36" t="s">
        <v>19771</v>
      </c>
      <c r="M935" s="186"/>
      <c r="N935" s="186"/>
      <c r="O935" s="172"/>
    </row>
    <row r="936" spans="1:15" ht="51" x14ac:dyDescent="0.2">
      <c r="A936" s="197" t="str">
        <f t="shared" si="14"/>
        <v>AstCode_meteorologicalService</v>
      </c>
      <c r="B936" s="409"/>
      <c r="C936" s="416"/>
      <c r="D936" s="198" t="s">
        <v>19772</v>
      </c>
      <c r="E936" s="198">
        <v>14</v>
      </c>
      <c r="F936" s="199" t="s">
        <v>19773</v>
      </c>
      <c r="G936" s="1" t="s">
        <v>19774</v>
      </c>
      <c r="H936" s="200"/>
      <c r="I936" s="351" t="s">
        <v>19775</v>
      </c>
      <c r="J936" s="39">
        <v>116191</v>
      </c>
      <c r="K936" s="36" t="str">
        <f>CONCATENATE(Cover!$D$6,"fdd/view?i=",J936)</f>
        <v>https://www.dgiwg.org/FAD/fdd/view?i=116191</v>
      </c>
      <c r="L936" s="36" t="s">
        <v>19776</v>
      </c>
      <c r="M936" s="186"/>
      <c r="N936" s="186"/>
      <c r="O936" s="172"/>
    </row>
    <row r="937" spans="1:15" ht="63.75" x14ac:dyDescent="0.2">
      <c r="A937" s="197" t="str">
        <f t="shared" si="14"/>
        <v>AstCode_notamService</v>
      </c>
      <c r="B937" s="409"/>
      <c r="C937" s="416"/>
      <c r="D937" s="198" t="s">
        <v>19777</v>
      </c>
      <c r="E937" s="198">
        <v>15</v>
      </c>
      <c r="F937" s="199" t="s">
        <v>19778</v>
      </c>
      <c r="G937" s="1" t="s">
        <v>19779</v>
      </c>
      <c r="H937" s="200"/>
      <c r="I937" s="346"/>
      <c r="J937" s="39">
        <v>116192</v>
      </c>
      <c r="K937" s="36" t="str">
        <f>CONCATENATE(Cover!$D$6,"fdd/view?i=",J937)</f>
        <v>https://www.dgiwg.org/FAD/fdd/view?i=116192</v>
      </c>
      <c r="L937" s="36" t="s">
        <v>19780</v>
      </c>
      <c r="M937" s="186"/>
      <c r="N937" s="186"/>
      <c r="O937" s="172"/>
    </row>
    <row r="938" spans="1:15" ht="38.25" x14ac:dyDescent="0.2">
      <c r="A938" s="197" t="str">
        <f t="shared" si="14"/>
        <v>AstCode_sigmetService</v>
      </c>
      <c r="B938" s="409"/>
      <c r="C938" s="416"/>
      <c r="D938" s="198" t="s">
        <v>19781</v>
      </c>
      <c r="E938" s="198">
        <v>19</v>
      </c>
      <c r="F938" s="199" t="s">
        <v>19782</v>
      </c>
      <c r="G938" s="1" t="s">
        <v>19783</v>
      </c>
      <c r="H938" s="200"/>
      <c r="I938" s="346"/>
      <c r="J938" s="39">
        <v>116196</v>
      </c>
      <c r="K938" s="36" t="str">
        <f>CONCATENATE(Cover!$D$6,"fdd/view?i=",J938)</f>
        <v>https://www.dgiwg.org/FAD/fdd/view?i=116196</v>
      </c>
      <c r="L938" s="36" t="s">
        <v>19784</v>
      </c>
      <c r="M938" s="186"/>
      <c r="N938" s="186"/>
      <c r="O938" s="172"/>
    </row>
    <row r="939" spans="1:15" ht="25.5" x14ac:dyDescent="0.2">
      <c r="A939" s="197" t="str">
        <f t="shared" si="14"/>
        <v>AstCode_transcribedWxBroadcastServ</v>
      </c>
      <c r="B939" s="409"/>
      <c r="C939" s="416"/>
      <c r="D939" s="198" t="s">
        <v>19785</v>
      </c>
      <c r="E939" s="198">
        <v>20</v>
      </c>
      <c r="F939" s="199" t="s">
        <v>19786</v>
      </c>
      <c r="G939" s="1" t="s">
        <v>19787</v>
      </c>
      <c r="H939" s="200"/>
      <c r="I939" s="351" t="s">
        <v>19788</v>
      </c>
      <c r="J939" s="39">
        <v>116197</v>
      </c>
      <c r="K939" s="36" t="str">
        <f>CONCATENATE(Cover!$D$6,"fdd/view?i=",J939)</f>
        <v>https://www.dgiwg.org/FAD/fdd/view?i=116197</v>
      </c>
      <c r="L939" s="36" t="s">
        <v>19789</v>
      </c>
      <c r="M939" s="186"/>
      <c r="N939" s="186"/>
      <c r="O939" s="172"/>
    </row>
    <row r="940" spans="1:15" ht="51" x14ac:dyDescent="0.2">
      <c r="A940" s="197" t="str">
        <f t="shared" si="14"/>
        <v>AstCode_vhfOperationFlightInfoServ</v>
      </c>
      <c r="B940" s="409"/>
      <c r="C940" s="416"/>
      <c r="D940" s="198" t="s">
        <v>19790</v>
      </c>
      <c r="E940" s="198">
        <v>17</v>
      </c>
      <c r="F940" s="199" t="s">
        <v>19791</v>
      </c>
      <c r="G940" s="1" t="s">
        <v>19792</v>
      </c>
      <c r="H940" s="200"/>
      <c r="I940" s="351" t="s">
        <v>19793</v>
      </c>
      <c r="J940" s="39">
        <v>116194</v>
      </c>
      <c r="K940" s="36" t="str">
        <f>CONCATENATE(Cover!$D$6,"fdd/view?i=",J940)</f>
        <v>https://www.dgiwg.org/FAD/fdd/view?i=116194</v>
      </c>
      <c r="L940" s="36" t="s">
        <v>19794</v>
      </c>
      <c r="M940" s="186"/>
      <c r="N940" s="186"/>
      <c r="O940" s="172"/>
    </row>
    <row r="941" spans="1:15" ht="38.25" x14ac:dyDescent="0.2">
      <c r="A941" s="203" t="str">
        <f t="shared" si="14"/>
        <v>AstCode_volmetService</v>
      </c>
      <c r="B941" s="410"/>
      <c r="C941" s="417"/>
      <c r="D941" s="204" t="s">
        <v>19795</v>
      </c>
      <c r="E941" s="204">
        <v>21</v>
      </c>
      <c r="F941" s="205" t="s">
        <v>19796</v>
      </c>
      <c r="G941" s="206" t="s">
        <v>19797</v>
      </c>
      <c r="H941" s="207"/>
      <c r="I941" s="347"/>
      <c r="J941" s="39">
        <v>116198</v>
      </c>
      <c r="K941" s="36" t="str">
        <f>CONCATENATE(Cover!$D$6,"fdd/view?i=",J941)</f>
        <v>https://www.dgiwg.org/FAD/fdd/view?i=116198</v>
      </c>
      <c r="L941" s="36" t="s">
        <v>19798</v>
      </c>
      <c r="M941" s="186"/>
      <c r="N941" s="186"/>
      <c r="O941" s="172"/>
    </row>
    <row r="942" spans="1:15" ht="76.5" x14ac:dyDescent="0.2">
      <c r="A942" s="190" t="str">
        <f t="shared" si="14"/>
        <v>AbtCode_controlTowerSignalBeacon</v>
      </c>
      <c r="B942" s="414" t="str">
        <f>HYPERLINK("[#]Datatypes!A64:L64","AbtCode")</f>
        <v>AbtCode</v>
      </c>
      <c r="C942" s="415" t="s">
        <v>14614</v>
      </c>
      <c r="D942" s="221" t="s">
        <v>19800</v>
      </c>
      <c r="E942" s="221">
        <v>4</v>
      </c>
      <c r="F942" s="222" t="s">
        <v>19801</v>
      </c>
      <c r="G942" s="223" t="s">
        <v>19802</v>
      </c>
      <c r="H942" s="223" t="s">
        <v>19803</v>
      </c>
      <c r="I942" s="352" t="s">
        <v>19804</v>
      </c>
      <c r="J942" s="39">
        <v>115682</v>
      </c>
      <c r="K942" s="36" t="str">
        <f>CONCATENATE(Cover!$D$6,"fdd/view?i=",J942)</f>
        <v>https://www.dgiwg.org/FAD/fdd/view?i=115682</v>
      </c>
      <c r="L942" s="36" t="s">
        <v>19805</v>
      </c>
      <c r="M942" s="186"/>
      <c r="N942" s="186"/>
      <c r="O942" s="13" t="s">
        <v>19799</v>
      </c>
    </row>
    <row r="943" spans="1:15" ht="38.25" x14ac:dyDescent="0.2">
      <c r="A943" s="197" t="str">
        <f t="shared" si="14"/>
        <v>AbtCode_generalAeronauticalBeacon</v>
      </c>
      <c r="B943" s="409"/>
      <c r="C943" s="416"/>
      <c r="D943" s="198" t="s">
        <v>19807</v>
      </c>
      <c r="E943" s="198">
        <v>3</v>
      </c>
      <c r="F943" s="199" t="s">
        <v>19808</v>
      </c>
      <c r="G943" s="1" t="s">
        <v>19809</v>
      </c>
      <c r="H943" s="200"/>
      <c r="I943" s="346"/>
      <c r="J943" s="39">
        <v>115681</v>
      </c>
      <c r="K943" s="36" t="str">
        <f>CONCATENATE(Cover!$D$6,"fdd/view?i=",J943)</f>
        <v>https://www.dgiwg.org/FAD/fdd/view?i=115681</v>
      </c>
      <c r="L943" s="36" t="s">
        <v>19810</v>
      </c>
      <c r="M943" s="186"/>
      <c r="N943" s="186"/>
      <c r="O943" s="13" t="s">
        <v>19806</v>
      </c>
    </row>
    <row r="944" spans="1:15" ht="25.5" x14ac:dyDescent="0.2">
      <c r="A944" s="197" t="str">
        <f t="shared" si="14"/>
        <v>AbtCode_hazardBeacon</v>
      </c>
      <c r="B944" s="409"/>
      <c r="C944" s="416"/>
      <c r="D944" s="198" t="s">
        <v>19811</v>
      </c>
      <c r="E944" s="198">
        <v>8</v>
      </c>
      <c r="F944" s="199" t="s">
        <v>19812</v>
      </c>
      <c r="G944" s="1" t="s">
        <v>19813</v>
      </c>
      <c r="H944" s="200"/>
      <c r="I944" s="346"/>
      <c r="J944" s="39">
        <v>115686</v>
      </c>
      <c r="K944" s="36" t="str">
        <f>CONCATENATE(Cover!$D$6,"fdd/view?i=",J944)</f>
        <v>https://www.dgiwg.org/FAD/fdd/view?i=115686</v>
      </c>
      <c r="L944" s="36" t="s">
        <v>19814</v>
      </c>
      <c r="M944" s="186"/>
      <c r="N944" s="186"/>
      <c r="O944" s="172"/>
    </row>
    <row r="945" spans="1:15" ht="51" x14ac:dyDescent="0.2">
      <c r="A945" s="197" t="str">
        <f t="shared" si="14"/>
        <v>AbtCode_identificationBeacon</v>
      </c>
      <c r="B945" s="409"/>
      <c r="C945" s="416"/>
      <c r="D945" s="198" t="s">
        <v>19816</v>
      </c>
      <c r="E945" s="198">
        <v>6</v>
      </c>
      <c r="F945" s="199" t="s">
        <v>19817</v>
      </c>
      <c r="G945" s="1" t="s">
        <v>19818</v>
      </c>
      <c r="H945" s="1" t="s">
        <v>19819</v>
      </c>
      <c r="I945" s="346"/>
      <c r="J945" s="39">
        <v>115684</v>
      </c>
      <c r="K945" s="36" t="str">
        <f>CONCATENATE(Cover!$D$6,"fdd/view?i=",J945)</f>
        <v>https://www.dgiwg.org/FAD/fdd/view?i=115684</v>
      </c>
      <c r="L945" s="36" t="s">
        <v>19820</v>
      </c>
      <c r="M945" s="186"/>
      <c r="N945" s="186"/>
      <c r="O945" s="13" t="s">
        <v>19815</v>
      </c>
    </row>
    <row r="946" spans="1:15" ht="25.5" x14ac:dyDescent="0.2">
      <c r="A946" s="197" t="str">
        <f t="shared" si="14"/>
        <v>AbtCode_lightedHeliport</v>
      </c>
      <c r="B946" s="409"/>
      <c r="C946" s="416"/>
      <c r="D946" s="198" t="s">
        <v>19822</v>
      </c>
      <c r="E946" s="198">
        <v>5</v>
      </c>
      <c r="F946" s="199" t="s">
        <v>19823</v>
      </c>
      <c r="G946" s="1" t="s">
        <v>19824</v>
      </c>
      <c r="H946" s="1" t="s">
        <v>19825</v>
      </c>
      <c r="I946" s="346"/>
      <c r="J946" s="39">
        <v>115683</v>
      </c>
      <c r="K946" s="36" t="str">
        <f>CONCATENATE(Cover!$D$6,"fdd/view?i=",J946)</f>
        <v>https://www.dgiwg.org/FAD/fdd/view?i=115683</v>
      </c>
      <c r="L946" s="36" t="s">
        <v>19826</v>
      </c>
      <c r="M946" s="186"/>
      <c r="N946" s="186"/>
      <c r="O946" s="13" t="s">
        <v>19821</v>
      </c>
    </row>
    <row r="947" spans="1:15" ht="25.5" x14ac:dyDescent="0.2">
      <c r="A947" s="197" t="str">
        <f t="shared" si="14"/>
        <v>AbtCode_lightedLandAerodrome</v>
      </c>
      <c r="B947" s="409"/>
      <c r="C947" s="416"/>
      <c r="D947" s="198" t="s">
        <v>19828</v>
      </c>
      <c r="E947" s="198">
        <v>1</v>
      </c>
      <c r="F947" s="199" t="s">
        <v>19829</v>
      </c>
      <c r="G947" s="1" t="s">
        <v>19830</v>
      </c>
      <c r="H947" s="1" t="s">
        <v>19831</v>
      </c>
      <c r="I947" s="346"/>
      <c r="J947" s="39">
        <v>115679</v>
      </c>
      <c r="K947" s="36" t="str">
        <f>CONCATENATE(Cover!$D$6,"fdd/view?i=",J947)</f>
        <v>https://www.dgiwg.org/FAD/fdd/view?i=115679</v>
      </c>
      <c r="L947" s="36" t="s">
        <v>19832</v>
      </c>
      <c r="M947" s="186"/>
      <c r="N947" s="186"/>
      <c r="O947" s="13" t="s">
        <v>19827</v>
      </c>
    </row>
    <row r="948" spans="1:15" ht="25.5" x14ac:dyDescent="0.2">
      <c r="A948" s="197" t="str">
        <f t="shared" si="14"/>
        <v>AbtCode_lightedWaterAerodrome</v>
      </c>
      <c r="B948" s="409"/>
      <c r="C948" s="416"/>
      <c r="D948" s="198" t="s">
        <v>19833</v>
      </c>
      <c r="E948" s="198">
        <v>9</v>
      </c>
      <c r="F948" s="199" t="s">
        <v>19834</v>
      </c>
      <c r="G948" s="1" t="s">
        <v>19835</v>
      </c>
      <c r="H948" s="1" t="s">
        <v>19836</v>
      </c>
      <c r="I948" s="346"/>
      <c r="J948" s="39">
        <v>115687</v>
      </c>
      <c r="K948" s="36" t="str">
        <f>CONCATENATE(Cover!$D$6,"fdd/view?i=",J948)</f>
        <v>https://www.dgiwg.org/FAD/fdd/view?i=115687</v>
      </c>
      <c r="L948" s="36" t="s">
        <v>19837</v>
      </c>
      <c r="M948" s="186"/>
      <c r="N948" s="186"/>
      <c r="O948" s="172"/>
    </row>
    <row r="949" spans="1:15" ht="25.5" x14ac:dyDescent="0.2">
      <c r="A949" s="197" t="str">
        <f t="shared" si="14"/>
        <v>AbtCode_marineBeacon</v>
      </c>
      <c r="B949" s="409"/>
      <c r="C949" s="416"/>
      <c r="D949" s="198" t="s">
        <v>19839</v>
      </c>
      <c r="E949" s="198">
        <v>7</v>
      </c>
      <c r="F949" s="199" t="s">
        <v>19840</v>
      </c>
      <c r="G949" s="1" t="s">
        <v>19841</v>
      </c>
      <c r="H949" s="200"/>
      <c r="I949" s="346"/>
      <c r="J949" s="39">
        <v>115685</v>
      </c>
      <c r="K949" s="36" t="str">
        <f>CONCATENATE(Cover!$D$6,"fdd/view?i=",J949)</f>
        <v>https://www.dgiwg.org/FAD/fdd/view?i=115685</v>
      </c>
      <c r="L949" s="36" t="s">
        <v>19842</v>
      </c>
      <c r="M949" s="186"/>
      <c r="N949" s="186"/>
      <c r="O949" s="13" t="s">
        <v>19838</v>
      </c>
    </row>
    <row r="950" spans="1:15" ht="25.5" x14ac:dyDescent="0.2">
      <c r="A950" s="197" t="str">
        <f t="shared" si="14"/>
        <v>AbtCode_militaryAerodrome</v>
      </c>
      <c r="B950" s="409"/>
      <c r="C950" s="416"/>
      <c r="D950" s="198" t="s">
        <v>19843</v>
      </c>
      <c r="E950" s="198">
        <v>2</v>
      </c>
      <c r="F950" s="199" t="s">
        <v>19844</v>
      </c>
      <c r="G950" s="1" t="s">
        <v>19845</v>
      </c>
      <c r="H950" s="200"/>
      <c r="I950" s="346"/>
      <c r="J950" s="39">
        <v>115680</v>
      </c>
      <c r="K950" s="36" t="str">
        <f>CONCATENATE(Cover!$D$6,"fdd/view?i=",J950)</f>
        <v>https://www.dgiwg.org/FAD/fdd/view?i=115680</v>
      </c>
      <c r="L950" s="36" t="s">
        <v>19846</v>
      </c>
      <c r="M950" s="186"/>
      <c r="N950" s="186"/>
      <c r="O950" s="172"/>
    </row>
    <row r="951" spans="1:15" ht="25.5" x14ac:dyDescent="0.2">
      <c r="A951" s="203" t="str">
        <f t="shared" si="14"/>
        <v>AbtCode_responderBeacon</v>
      </c>
      <c r="B951" s="410"/>
      <c r="C951" s="417"/>
      <c r="D951" s="204" t="s">
        <v>19848</v>
      </c>
      <c r="E951" s="204">
        <v>10</v>
      </c>
      <c r="F951" s="205" t="s">
        <v>19849</v>
      </c>
      <c r="G951" s="206" t="s">
        <v>19850</v>
      </c>
      <c r="H951" s="207"/>
      <c r="I951" s="347"/>
      <c r="J951" s="39">
        <v>115688</v>
      </c>
      <c r="K951" s="36" t="str">
        <f>CONCATENATE(Cover!$D$6,"fdd/view?i=",J951)</f>
        <v>https://www.dgiwg.org/FAD/fdd/view?i=115688</v>
      </c>
      <c r="L951" s="36" t="s">
        <v>19851</v>
      </c>
      <c r="M951" s="186"/>
      <c r="N951" s="186"/>
      <c r="O951" s="13" t="s">
        <v>19847</v>
      </c>
    </row>
    <row r="952" spans="1:15" x14ac:dyDescent="0.2">
      <c r="A952" s="190" t="str">
        <f t="shared" si="14"/>
        <v>AcmCode_adsB</v>
      </c>
      <c r="B952" s="414" t="str">
        <f>HYPERLINK("[#]Datatypes!A66:L66","AcmCode")</f>
        <v>AcmCode</v>
      </c>
      <c r="C952" s="415" t="s">
        <v>14616</v>
      </c>
      <c r="D952" s="221" t="s">
        <v>19856</v>
      </c>
      <c r="E952" s="221">
        <v>1</v>
      </c>
      <c r="F952" s="222" t="s">
        <v>19857</v>
      </c>
      <c r="G952" s="223" t="s">
        <v>19858</v>
      </c>
      <c r="H952" s="224"/>
      <c r="I952" s="345"/>
      <c r="J952" s="39">
        <v>116518</v>
      </c>
      <c r="K952" s="36" t="str">
        <f>CONCATENATE(Cover!$D$6,"fdd/view?i=",J952)</f>
        <v>https://www.dgiwg.org/FAD/fdd/view?i=116518</v>
      </c>
      <c r="L952" s="36" t="s">
        <v>19859</v>
      </c>
      <c r="M952" s="186"/>
      <c r="N952" s="186"/>
      <c r="O952" s="172"/>
    </row>
    <row r="953" spans="1:15" ht="25.5" x14ac:dyDescent="0.2">
      <c r="A953" s="197" t="str">
        <f t="shared" si="14"/>
        <v>AcmCode_adsBwithVDL</v>
      </c>
      <c r="B953" s="409"/>
      <c r="C953" s="416"/>
      <c r="D953" s="198" t="s">
        <v>19860</v>
      </c>
      <c r="E953" s="198">
        <v>2</v>
      </c>
      <c r="F953" s="199" t="s">
        <v>19861</v>
      </c>
      <c r="G953" s="1" t="s">
        <v>19862</v>
      </c>
      <c r="H953" s="200"/>
      <c r="I953" s="346"/>
      <c r="J953" s="39">
        <v>116519</v>
      </c>
      <c r="K953" s="36" t="str">
        <f>CONCATENATE(Cover!$D$6,"fdd/view?i=",J953)</f>
        <v>https://www.dgiwg.org/FAD/fdd/view?i=116519</v>
      </c>
      <c r="L953" s="36" t="s">
        <v>19863</v>
      </c>
      <c r="M953" s="186"/>
      <c r="N953" s="186"/>
      <c r="O953" s="172"/>
    </row>
    <row r="954" spans="1:15" x14ac:dyDescent="0.2">
      <c r="A954" s="197" t="str">
        <f t="shared" si="14"/>
        <v>AcmCode_amss</v>
      </c>
      <c r="B954" s="409"/>
      <c r="C954" s="416"/>
      <c r="D954" s="198" t="s">
        <v>19864</v>
      </c>
      <c r="E954" s="198">
        <v>3</v>
      </c>
      <c r="F954" s="199" t="s">
        <v>19865</v>
      </c>
      <c r="G954" s="1" t="s">
        <v>19866</v>
      </c>
      <c r="H954" s="200"/>
      <c r="I954" s="346"/>
      <c r="J954" s="39">
        <v>116520</v>
      </c>
      <c r="K954" s="36" t="str">
        <f>CONCATENATE(Cover!$D$6,"fdd/view?i=",J954)</f>
        <v>https://www.dgiwg.org/FAD/fdd/view?i=116520</v>
      </c>
      <c r="L954" s="36" t="s">
        <v>19867</v>
      </c>
      <c r="M954" s="186"/>
      <c r="N954" s="186"/>
      <c r="O954" s="172"/>
    </row>
    <row r="955" spans="1:15" ht="25.5" x14ac:dyDescent="0.2">
      <c r="A955" s="197" t="str">
        <f t="shared" si="14"/>
        <v>AcmCode_channelSpacing8r33</v>
      </c>
      <c r="B955" s="409"/>
      <c r="C955" s="416"/>
      <c r="D955" s="198" t="s">
        <v>19852</v>
      </c>
      <c r="E955" s="198">
        <v>10</v>
      </c>
      <c r="F955" s="199" t="s">
        <v>19853</v>
      </c>
      <c r="G955" s="1" t="s">
        <v>19854</v>
      </c>
      <c r="H955" s="200"/>
      <c r="I955" s="346"/>
      <c r="J955" s="39">
        <v>116527</v>
      </c>
      <c r="K955" s="36" t="str">
        <f>CONCATENATE(Cover!$D$6,"fdd/view?i=",J955)</f>
        <v>https://www.dgiwg.org/FAD/fdd/view?i=116527</v>
      </c>
      <c r="L955" s="36" t="s">
        <v>19855</v>
      </c>
      <c r="M955" s="186"/>
      <c r="N955" s="186"/>
      <c r="O955" s="172"/>
    </row>
    <row r="956" spans="1:15" x14ac:dyDescent="0.2">
      <c r="A956" s="197" t="str">
        <f t="shared" si="14"/>
        <v>AcmCode_hf</v>
      </c>
      <c r="B956" s="409"/>
      <c r="C956" s="416"/>
      <c r="D956" s="198" t="s">
        <v>19868</v>
      </c>
      <c r="E956" s="198">
        <v>4</v>
      </c>
      <c r="F956" s="199" t="s">
        <v>19869</v>
      </c>
      <c r="G956" s="1" t="s">
        <v>19870</v>
      </c>
      <c r="H956" s="200"/>
      <c r="I956" s="346"/>
      <c r="J956" s="39">
        <v>116521</v>
      </c>
      <c r="K956" s="36" t="str">
        <f>CONCATENATE(Cover!$D$6,"fdd/view?i=",J956)</f>
        <v>https://www.dgiwg.org/FAD/fdd/view?i=116521</v>
      </c>
      <c r="L956" s="36" t="s">
        <v>19871</v>
      </c>
      <c r="M956" s="186"/>
      <c r="N956" s="186"/>
      <c r="O956" s="172"/>
    </row>
    <row r="957" spans="1:15" x14ac:dyDescent="0.2">
      <c r="A957" s="197" t="str">
        <f t="shared" si="14"/>
        <v>AcmCode_hfdl</v>
      </c>
      <c r="B957" s="409"/>
      <c r="C957" s="416"/>
      <c r="D957" s="198" t="s">
        <v>19872</v>
      </c>
      <c r="E957" s="198">
        <v>5</v>
      </c>
      <c r="F957" s="199" t="s">
        <v>19873</v>
      </c>
      <c r="G957" s="1" t="s">
        <v>19874</v>
      </c>
      <c r="H957" s="200"/>
      <c r="I957" s="346"/>
      <c r="J957" s="39">
        <v>116522</v>
      </c>
      <c r="K957" s="36" t="str">
        <f>CONCATENATE(Cover!$D$6,"fdd/view?i=",J957)</f>
        <v>https://www.dgiwg.org/FAD/fdd/view?i=116522</v>
      </c>
      <c r="L957" s="36" t="s">
        <v>19875</v>
      </c>
      <c r="M957" s="186"/>
      <c r="N957" s="186"/>
      <c r="O957" s="172"/>
    </row>
    <row r="958" spans="1:15" x14ac:dyDescent="0.2">
      <c r="A958" s="197" t="str">
        <f t="shared" si="14"/>
        <v>AcmCode_uhf</v>
      </c>
      <c r="B958" s="409"/>
      <c r="C958" s="416"/>
      <c r="D958" s="198" t="s">
        <v>19876</v>
      </c>
      <c r="E958" s="198">
        <v>11</v>
      </c>
      <c r="F958" s="199" t="s">
        <v>19877</v>
      </c>
      <c r="G958" s="1" t="s">
        <v>19878</v>
      </c>
      <c r="H958" s="200"/>
      <c r="I958" s="346"/>
      <c r="J958" s="39">
        <v>116528</v>
      </c>
      <c r="K958" s="36" t="str">
        <f>CONCATENATE(Cover!$D$6,"fdd/view?i=",J958)</f>
        <v>https://www.dgiwg.org/FAD/fdd/view?i=116528</v>
      </c>
      <c r="L958" s="36" t="s">
        <v>19879</v>
      </c>
      <c r="M958" s="186"/>
      <c r="N958" s="186"/>
      <c r="O958" s="172"/>
    </row>
    <row r="959" spans="1:15" x14ac:dyDescent="0.2">
      <c r="A959" s="197" t="str">
        <f t="shared" si="14"/>
        <v>AcmCode_vdl1</v>
      </c>
      <c r="B959" s="409"/>
      <c r="C959" s="416"/>
      <c r="D959" s="198" t="s">
        <v>19880</v>
      </c>
      <c r="E959" s="198">
        <v>6</v>
      </c>
      <c r="F959" s="199" t="s">
        <v>19881</v>
      </c>
      <c r="G959" s="1" t="s">
        <v>19882</v>
      </c>
      <c r="H959" s="200"/>
      <c r="I959" s="346"/>
      <c r="J959" s="39">
        <v>116523</v>
      </c>
      <c r="K959" s="36" t="str">
        <f>CONCATENATE(Cover!$D$6,"fdd/view?i=",J959)</f>
        <v>https://www.dgiwg.org/FAD/fdd/view?i=116523</v>
      </c>
      <c r="L959" s="36" t="s">
        <v>19883</v>
      </c>
      <c r="M959" s="186"/>
      <c r="N959" s="186"/>
      <c r="O959" s="172"/>
    </row>
    <row r="960" spans="1:15" ht="25.5" x14ac:dyDescent="0.2">
      <c r="A960" s="197" t="str">
        <f t="shared" si="14"/>
        <v>AcmCode_vdl2</v>
      </c>
      <c r="B960" s="409"/>
      <c r="C960" s="416"/>
      <c r="D960" s="198" t="s">
        <v>19884</v>
      </c>
      <c r="E960" s="198">
        <v>7</v>
      </c>
      <c r="F960" s="199" t="s">
        <v>19885</v>
      </c>
      <c r="G960" s="1" t="s">
        <v>19886</v>
      </c>
      <c r="H960" s="200"/>
      <c r="I960" s="346"/>
      <c r="J960" s="39">
        <v>116524</v>
      </c>
      <c r="K960" s="36" t="str">
        <f>CONCATENATE(Cover!$D$6,"fdd/view?i=",J960)</f>
        <v>https://www.dgiwg.org/FAD/fdd/view?i=116524</v>
      </c>
      <c r="L960" s="36" t="s">
        <v>19887</v>
      </c>
      <c r="M960" s="186"/>
      <c r="N960" s="186"/>
      <c r="O960" s="172"/>
    </row>
    <row r="961" spans="1:15" ht="25.5" x14ac:dyDescent="0.2">
      <c r="A961" s="197" t="str">
        <f t="shared" si="14"/>
        <v>AcmCode_vdl4</v>
      </c>
      <c r="B961" s="409"/>
      <c r="C961" s="416"/>
      <c r="D961" s="198" t="s">
        <v>19888</v>
      </c>
      <c r="E961" s="198">
        <v>8</v>
      </c>
      <c r="F961" s="199" t="s">
        <v>19889</v>
      </c>
      <c r="G961" s="1" t="s">
        <v>19890</v>
      </c>
      <c r="H961" s="200"/>
      <c r="I961" s="346"/>
      <c r="J961" s="39">
        <v>116525</v>
      </c>
      <c r="K961" s="36" t="str">
        <f>CONCATENATE(Cover!$D$6,"fdd/view?i=",J961)</f>
        <v>https://www.dgiwg.org/FAD/fdd/view?i=116525</v>
      </c>
      <c r="L961" s="36" t="s">
        <v>19891</v>
      </c>
      <c r="M961" s="186"/>
      <c r="N961" s="186"/>
      <c r="O961" s="172"/>
    </row>
    <row r="962" spans="1:15" x14ac:dyDescent="0.2">
      <c r="A962" s="203" t="str">
        <f t="shared" ref="A962:A1025" si="15">HYPERLINK(K962,L962)</f>
        <v>AcmCode_vhf</v>
      </c>
      <c r="B962" s="410"/>
      <c r="C962" s="417"/>
      <c r="D962" s="204" t="s">
        <v>19892</v>
      </c>
      <c r="E962" s="204">
        <v>9</v>
      </c>
      <c r="F962" s="205" t="s">
        <v>19893</v>
      </c>
      <c r="G962" s="206" t="s">
        <v>19894</v>
      </c>
      <c r="H962" s="207"/>
      <c r="I962" s="347"/>
      <c r="J962" s="39">
        <v>116526</v>
      </c>
      <c r="K962" s="36" t="str">
        <f>CONCATENATE(Cover!$D$6,"fdd/view?i=",J962)</f>
        <v>https://www.dgiwg.org/FAD/fdd/view?i=116526</v>
      </c>
      <c r="L962" s="36" t="s">
        <v>19895</v>
      </c>
      <c r="M962" s="186"/>
      <c r="N962" s="186"/>
      <c r="O962" s="172"/>
    </row>
    <row r="963" spans="1:15" x14ac:dyDescent="0.2">
      <c r="A963" s="190" t="str">
        <f t="shared" si="15"/>
        <v>LfaCode_aeronautical</v>
      </c>
      <c r="B963" s="414" t="str">
        <f>HYPERLINK("[#]Datatypes!A68:L68","LfaCode")</f>
        <v>LfaCode</v>
      </c>
      <c r="C963" s="415" t="s">
        <v>14618</v>
      </c>
      <c r="D963" s="221" t="s">
        <v>19896</v>
      </c>
      <c r="E963" s="221">
        <v>51</v>
      </c>
      <c r="F963" s="222" t="s">
        <v>19897</v>
      </c>
      <c r="G963" s="224"/>
      <c r="H963" s="224"/>
      <c r="I963" s="345"/>
      <c r="J963" s="39">
        <v>104815</v>
      </c>
      <c r="K963" s="36" t="str">
        <f>CONCATENATE(Cover!$D$6,"fdd/view?i=",J963)</f>
        <v>https://www.dgiwg.org/FAD/fdd/view?i=104815</v>
      </c>
      <c r="L963" s="36" t="s">
        <v>19898</v>
      </c>
      <c r="M963" s="186"/>
      <c r="N963" s="186"/>
      <c r="O963" s="172"/>
    </row>
    <row r="964" spans="1:15" ht="25.5" x14ac:dyDescent="0.2">
      <c r="A964" s="197" t="str">
        <f t="shared" si="15"/>
        <v>LfaCode_airForceOverrun</v>
      </c>
      <c r="B964" s="409"/>
      <c r="C964" s="416"/>
      <c r="D964" s="198" t="s">
        <v>19177</v>
      </c>
      <c r="E964" s="198">
        <v>115</v>
      </c>
      <c r="F964" s="199" t="s">
        <v>19178</v>
      </c>
      <c r="G964" s="200"/>
      <c r="H964" s="200"/>
      <c r="I964" s="346"/>
      <c r="J964" s="39">
        <v>104853</v>
      </c>
      <c r="K964" s="36" t="str">
        <f>CONCATENATE(Cover!$D$6,"fdd/view?i=",J964)</f>
        <v>https://www.dgiwg.org/FAD/fdd/view?i=104853</v>
      </c>
      <c r="L964" s="36" t="s">
        <v>19899</v>
      </c>
      <c r="M964" s="186"/>
      <c r="N964" s="186"/>
      <c r="O964" s="172"/>
    </row>
    <row r="965" spans="1:15" ht="25.5" x14ac:dyDescent="0.2">
      <c r="A965" s="197" t="str">
        <f t="shared" si="15"/>
        <v>LfaCode_airportTerminalLights</v>
      </c>
      <c r="B965" s="409"/>
      <c r="C965" s="416"/>
      <c r="D965" s="198" t="s">
        <v>19900</v>
      </c>
      <c r="E965" s="198">
        <v>1</v>
      </c>
      <c r="F965" s="199" t="s">
        <v>19901</v>
      </c>
      <c r="G965" s="1" t="s">
        <v>19902</v>
      </c>
      <c r="H965" s="200"/>
      <c r="I965" s="346"/>
      <c r="J965" s="39">
        <v>104782</v>
      </c>
      <c r="K965" s="36" t="str">
        <f>CONCATENATE(Cover!$D$6,"fdd/view?i=",J965)</f>
        <v>https://www.dgiwg.org/FAD/fdd/view?i=104782</v>
      </c>
      <c r="L965" s="36" t="s">
        <v>19903</v>
      </c>
      <c r="M965" s="186"/>
      <c r="N965" s="186"/>
      <c r="O965" s="172"/>
    </row>
    <row r="966" spans="1:15" x14ac:dyDescent="0.2">
      <c r="A966" s="197" t="str">
        <f t="shared" si="15"/>
        <v>LfaCode_alsfType1</v>
      </c>
      <c r="B966" s="409"/>
      <c r="C966" s="416"/>
      <c r="D966" s="198" t="s">
        <v>19181</v>
      </c>
      <c r="E966" s="198">
        <v>15</v>
      </c>
      <c r="F966" s="199" t="s">
        <v>19904</v>
      </c>
      <c r="G966" s="1" t="s">
        <v>19905</v>
      </c>
      <c r="H966" s="200"/>
      <c r="I966" s="346"/>
      <c r="J966" s="39">
        <v>104796</v>
      </c>
      <c r="K966" s="36" t="str">
        <f>CONCATENATE(Cover!$D$6,"fdd/view?i=",J966)</f>
        <v>https://www.dgiwg.org/FAD/fdd/view?i=104796</v>
      </c>
      <c r="L966" s="36" t="s">
        <v>19906</v>
      </c>
      <c r="M966" s="186"/>
      <c r="N966" s="186"/>
      <c r="O966" s="172"/>
    </row>
    <row r="967" spans="1:15" x14ac:dyDescent="0.2">
      <c r="A967" s="197" t="str">
        <f t="shared" si="15"/>
        <v>LfaCode_alsfType2</v>
      </c>
      <c r="B967" s="409"/>
      <c r="C967" s="416"/>
      <c r="D967" s="198" t="s">
        <v>19186</v>
      </c>
      <c r="E967" s="198">
        <v>16</v>
      </c>
      <c r="F967" s="199" t="s">
        <v>19907</v>
      </c>
      <c r="G967" s="1" t="s">
        <v>19908</v>
      </c>
      <c r="H967" s="200"/>
      <c r="I967" s="346"/>
      <c r="J967" s="39">
        <v>104797</v>
      </c>
      <c r="K967" s="36" t="str">
        <f>CONCATENATE(Cover!$D$6,"fdd/view?i=",J967)</f>
        <v>https://www.dgiwg.org/FAD/fdd/view?i=104797</v>
      </c>
      <c r="L967" s="36" t="s">
        <v>19909</v>
      </c>
      <c r="M967" s="186"/>
      <c r="N967" s="186"/>
      <c r="O967" s="172"/>
    </row>
    <row r="968" spans="1:15" ht="38.25" x14ac:dyDescent="0.2">
      <c r="A968" s="197" t="str">
        <f t="shared" si="15"/>
        <v>LfaCode_alternateCentreBarApproach</v>
      </c>
      <c r="B968" s="409"/>
      <c r="C968" s="416"/>
      <c r="D968" s="198" t="s">
        <v>19910</v>
      </c>
      <c r="E968" s="198">
        <v>120</v>
      </c>
      <c r="F968" s="199" t="s">
        <v>19911</v>
      </c>
      <c r="G968" s="200"/>
      <c r="H968" s="200"/>
      <c r="I968" s="346"/>
      <c r="J968" s="39">
        <v>104858</v>
      </c>
      <c r="K968" s="36" t="str">
        <f>CONCATENATE(Cover!$D$6,"fdd/view?i=",J968)</f>
        <v>https://www.dgiwg.org/FAD/fdd/view?i=104858</v>
      </c>
      <c r="L968" s="36" t="s">
        <v>19912</v>
      </c>
      <c r="M968" s="186"/>
      <c r="N968" s="186"/>
      <c r="O968" s="172"/>
    </row>
    <row r="969" spans="1:15" ht="51" x14ac:dyDescent="0.2">
      <c r="A969" s="197" t="str">
        <f t="shared" si="15"/>
        <v>LfaCode_apapAlignment</v>
      </c>
      <c r="B969" s="409"/>
      <c r="C969" s="416"/>
      <c r="D969" s="198" t="s">
        <v>19913</v>
      </c>
      <c r="E969" s="198">
        <v>127</v>
      </c>
      <c r="F969" s="199" t="s">
        <v>19914</v>
      </c>
      <c r="G969" s="1" t="s">
        <v>19915</v>
      </c>
      <c r="H969" s="200"/>
      <c r="I969" s="346"/>
      <c r="J969" s="39">
        <v>104865</v>
      </c>
      <c r="K969" s="36" t="str">
        <f>CONCATENATE(Cover!$D$6,"fdd/view?i=",J969)</f>
        <v>https://www.dgiwg.org/FAD/fdd/view?i=104865</v>
      </c>
      <c r="L969" s="36" t="s">
        <v>19916</v>
      </c>
      <c r="M969" s="186"/>
      <c r="N969" s="186"/>
      <c r="O969" s="172"/>
    </row>
    <row r="970" spans="1:15" x14ac:dyDescent="0.2">
      <c r="A970" s="197" t="str">
        <f t="shared" si="15"/>
        <v>LfaCode_apronFlood</v>
      </c>
      <c r="B970" s="409"/>
      <c r="C970" s="416"/>
      <c r="D970" s="198" t="s">
        <v>19361</v>
      </c>
      <c r="E970" s="198">
        <v>2</v>
      </c>
      <c r="F970" s="199" t="s">
        <v>19362</v>
      </c>
      <c r="G970" s="1" t="s">
        <v>19917</v>
      </c>
      <c r="H970" s="200"/>
      <c r="I970" s="346"/>
      <c r="J970" s="39">
        <v>104783</v>
      </c>
      <c r="K970" s="36" t="str">
        <f>CONCATENATE(Cover!$D$6,"fdd/view?i=",J970)</f>
        <v>https://www.dgiwg.org/FAD/fdd/view?i=104783</v>
      </c>
      <c r="L970" s="36" t="s">
        <v>19918</v>
      </c>
      <c r="M970" s="186"/>
      <c r="N970" s="186"/>
      <c r="O970" s="172"/>
    </row>
    <row r="971" spans="1:15" x14ac:dyDescent="0.2">
      <c r="A971" s="197" t="str">
        <f t="shared" si="15"/>
        <v>LfaCode_articulated</v>
      </c>
      <c r="B971" s="409"/>
      <c r="C971" s="416"/>
      <c r="D971" s="198" t="s">
        <v>19919</v>
      </c>
      <c r="E971" s="198">
        <v>66</v>
      </c>
      <c r="F971" s="199" t="s">
        <v>19920</v>
      </c>
      <c r="G971" s="200"/>
      <c r="H971" s="200"/>
      <c r="I971" s="346"/>
      <c r="J971" s="39">
        <v>104830</v>
      </c>
      <c r="K971" s="36" t="str">
        <f>CONCATENATE(Cover!$D$6,"fdd/view?i=",J971)</f>
        <v>https://www.dgiwg.org/FAD/fdd/view?i=104830</v>
      </c>
      <c r="L971" s="36" t="s">
        <v>19921</v>
      </c>
      <c r="M971" s="186"/>
      <c r="N971" s="186"/>
      <c r="O971" s="172"/>
    </row>
    <row r="972" spans="1:15" x14ac:dyDescent="0.2">
      <c r="A972" s="197" t="str">
        <f t="shared" si="15"/>
        <v>LfaCode_auxiliary</v>
      </c>
      <c r="B972" s="409"/>
      <c r="C972" s="416"/>
      <c r="D972" s="198" t="s">
        <v>19922</v>
      </c>
      <c r="E972" s="198">
        <v>52</v>
      </c>
      <c r="F972" s="199" t="s">
        <v>19923</v>
      </c>
      <c r="G972" s="200"/>
      <c r="H972" s="200"/>
      <c r="I972" s="346"/>
      <c r="J972" s="39">
        <v>104816</v>
      </c>
      <c r="K972" s="36" t="str">
        <f>CONCATENATE(Cover!$D$6,"fdd/view?i=",J972)</f>
        <v>https://www.dgiwg.org/FAD/fdd/view?i=104816</v>
      </c>
      <c r="L972" s="36" t="s">
        <v>19924</v>
      </c>
      <c r="M972" s="186"/>
      <c r="N972" s="186"/>
      <c r="O972" s="172"/>
    </row>
    <row r="973" spans="1:15" x14ac:dyDescent="0.2">
      <c r="A973" s="197" t="str">
        <f t="shared" si="15"/>
        <v>LfaCode_beacon</v>
      </c>
      <c r="B973" s="409"/>
      <c r="C973" s="416"/>
      <c r="D973" s="198" t="s">
        <v>19925</v>
      </c>
      <c r="E973" s="198">
        <v>53</v>
      </c>
      <c r="F973" s="199" t="s">
        <v>19926</v>
      </c>
      <c r="G973" s="200"/>
      <c r="H973" s="200"/>
      <c r="I973" s="346"/>
      <c r="J973" s="39">
        <v>104817</v>
      </c>
      <c r="K973" s="36" t="str">
        <f>CONCATENATE(Cover!$D$6,"fdd/view?i=",J973)</f>
        <v>https://www.dgiwg.org/FAD/fdd/view?i=104817</v>
      </c>
      <c r="L973" s="36" t="s">
        <v>19927</v>
      </c>
      <c r="M973" s="186"/>
      <c r="N973" s="186"/>
      <c r="O973" s="172"/>
    </row>
    <row r="974" spans="1:15" x14ac:dyDescent="0.2">
      <c r="A974" s="197" t="str">
        <f t="shared" si="15"/>
        <v>LfaCode_boundary</v>
      </c>
      <c r="B974" s="409"/>
      <c r="C974" s="416"/>
      <c r="D974" s="198" t="s">
        <v>19928</v>
      </c>
      <c r="E974" s="198">
        <v>3</v>
      </c>
      <c r="F974" s="199" t="s">
        <v>2314</v>
      </c>
      <c r="G974" s="1" t="s">
        <v>19929</v>
      </c>
      <c r="H974" s="200"/>
      <c r="I974" s="346"/>
      <c r="J974" s="39">
        <v>104784</v>
      </c>
      <c r="K974" s="36" t="str">
        <f>CONCATENATE(Cover!$D$6,"fdd/view?i=",J974)</f>
        <v>https://www.dgiwg.org/FAD/fdd/view?i=104784</v>
      </c>
      <c r="L974" s="36" t="s">
        <v>19930</v>
      </c>
      <c r="M974" s="186"/>
      <c r="N974" s="186"/>
      <c r="O974" s="172"/>
    </row>
    <row r="975" spans="1:15" x14ac:dyDescent="0.2">
      <c r="A975" s="197" t="str">
        <f t="shared" si="15"/>
        <v>LfaCode_calvert</v>
      </c>
      <c r="B975" s="409"/>
      <c r="C975" s="416"/>
      <c r="D975" s="198" t="s">
        <v>19931</v>
      </c>
      <c r="E975" s="198">
        <v>116</v>
      </c>
      <c r="F975" s="199" t="s">
        <v>19932</v>
      </c>
      <c r="G975" s="1" t="s">
        <v>19933</v>
      </c>
      <c r="H975" s="200"/>
      <c r="I975" s="346"/>
      <c r="J975" s="39">
        <v>104854</v>
      </c>
      <c r="K975" s="36" t="str">
        <f>CONCATENATE(Cover!$D$6,"fdd/view?i=",J975)</f>
        <v>https://www.dgiwg.org/FAD/fdd/view?i=104854</v>
      </c>
      <c r="L975" s="36" t="s">
        <v>19934</v>
      </c>
      <c r="M975" s="186"/>
      <c r="N975" s="186"/>
      <c r="O975" s="172"/>
    </row>
    <row r="976" spans="1:15" ht="38.25" x14ac:dyDescent="0.2">
      <c r="A976" s="197" t="str">
        <f t="shared" si="15"/>
        <v>LfaCode_centre2CrossbarApproach</v>
      </c>
      <c r="B976" s="409"/>
      <c r="C976" s="416"/>
      <c r="D976" s="198" t="s">
        <v>19949</v>
      </c>
      <c r="E976" s="198">
        <v>124</v>
      </c>
      <c r="F976" s="199" t="s">
        <v>19950</v>
      </c>
      <c r="G976" s="200"/>
      <c r="H976" s="200"/>
      <c r="I976" s="346"/>
      <c r="J976" s="39">
        <v>104862</v>
      </c>
      <c r="K976" s="36" t="str">
        <f>CONCATENATE(Cover!$D$6,"fdd/view?i=",J976)</f>
        <v>https://www.dgiwg.org/FAD/fdd/view?i=104862</v>
      </c>
      <c r="L976" s="36" t="s">
        <v>19951</v>
      </c>
      <c r="M976" s="186"/>
      <c r="N976" s="186"/>
      <c r="O976" s="172"/>
    </row>
    <row r="977" spans="1:15" ht="25.5" x14ac:dyDescent="0.2">
      <c r="A977" s="197" t="str">
        <f t="shared" si="15"/>
        <v>LfaCode_centreandDoubleRow</v>
      </c>
      <c r="B977" s="409"/>
      <c r="C977" s="416"/>
      <c r="D977" s="198" t="s">
        <v>19935</v>
      </c>
      <c r="E977" s="198">
        <v>108</v>
      </c>
      <c r="F977" s="199" t="s">
        <v>19936</v>
      </c>
      <c r="G977" s="200"/>
      <c r="H977" s="200"/>
      <c r="I977" s="346"/>
      <c r="J977" s="39">
        <v>104846</v>
      </c>
      <c r="K977" s="36" t="str">
        <f>CONCATENATE(Cover!$D$6,"fdd/view?i=",J977)</f>
        <v>https://www.dgiwg.org/FAD/fdd/view?i=104846</v>
      </c>
      <c r="L977" s="36" t="s">
        <v>19937</v>
      </c>
      <c r="M977" s="186"/>
      <c r="N977" s="186"/>
      <c r="O977" s="172"/>
    </row>
    <row r="978" spans="1:15" ht="38.25" x14ac:dyDescent="0.2">
      <c r="A978" s="197" t="str">
        <f t="shared" si="15"/>
        <v>LfaCode_centreHiIntenseApproach</v>
      </c>
      <c r="B978" s="409"/>
      <c r="C978" s="416"/>
      <c r="D978" s="198" t="s">
        <v>19955</v>
      </c>
      <c r="E978" s="198">
        <v>119</v>
      </c>
      <c r="F978" s="199" t="s">
        <v>19956</v>
      </c>
      <c r="G978" s="200"/>
      <c r="H978" s="200"/>
      <c r="I978" s="346"/>
      <c r="J978" s="39">
        <v>104857</v>
      </c>
      <c r="K978" s="36" t="str">
        <f>CONCATENATE(Cover!$D$6,"fdd/view?i=",J978)</f>
        <v>https://www.dgiwg.org/FAD/fdd/view?i=104857</v>
      </c>
      <c r="L978" s="36" t="s">
        <v>19957</v>
      </c>
      <c r="M978" s="186"/>
      <c r="N978" s="186"/>
      <c r="O978" s="172"/>
    </row>
    <row r="979" spans="1:15" ht="25.5" x14ac:dyDescent="0.2">
      <c r="A979" s="197" t="str">
        <f t="shared" si="15"/>
        <v>LfaCode_centrelineAndBar</v>
      </c>
      <c r="B979" s="409"/>
      <c r="C979" s="416"/>
      <c r="D979" s="198" t="s">
        <v>19952</v>
      </c>
      <c r="E979" s="198">
        <v>101</v>
      </c>
      <c r="F979" s="199" t="s">
        <v>19953</v>
      </c>
      <c r="G979" s="200"/>
      <c r="H979" s="200"/>
      <c r="I979" s="346"/>
      <c r="J979" s="39">
        <v>104839</v>
      </c>
      <c r="K979" s="36" t="str">
        <f>CONCATENATE(Cover!$D$6,"fdd/view?i=",J979)</f>
        <v>https://www.dgiwg.org/FAD/fdd/view?i=104839</v>
      </c>
      <c r="L979" s="36" t="s">
        <v>19954</v>
      </c>
      <c r="M979" s="186"/>
      <c r="N979" s="186"/>
      <c r="O979" s="172"/>
    </row>
    <row r="980" spans="1:15" x14ac:dyDescent="0.2">
      <c r="A980" s="197" t="str">
        <f t="shared" si="15"/>
        <v>LfaCode_centreRow</v>
      </c>
      <c r="B980" s="409"/>
      <c r="C980" s="416"/>
      <c r="D980" s="198" t="s">
        <v>19938</v>
      </c>
      <c r="E980" s="198">
        <v>105</v>
      </c>
      <c r="F980" s="199" t="s">
        <v>19939</v>
      </c>
      <c r="G980" s="200"/>
      <c r="H980" s="200"/>
      <c r="I980" s="346"/>
      <c r="J980" s="39">
        <v>104843</v>
      </c>
      <c r="K980" s="36" t="str">
        <f>CONCATENATE(Cover!$D$6,"fdd/view?i=",J980)</f>
        <v>https://www.dgiwg.org/FAD/fdd/view?i=104843</v>
      </c>
      <c r="L980" s="36" t="s">
        <v>19940</v>
      </c>
      <c r="M980" s="186"/>
      <c r="N980" s="186"/>
      <c r="O980" s="172"/>
    </row>
    <row r="981" spans="1:15" ht="25.5" x14ac:dyDescent="0.2">
      <c r="A981" s="197" t="str">
        <f t="shared" si="15"/>
        <v>LfaCode_centreRowCategory1</v>
      </c>
      <c r="B981" s="409"/>
      <c r="C981" s="416"/>
      <c r="D981" s="198" t="s">
        <v>19941</v>
      </c>
      <c r="E981" s="198">
        <v>111</v>
      </c>
      <c r="F981" s="199" t="s">
        <v>19942</v>
      </c>
      <c r="G981" s="1" t="s">
        <v>19943</v>
      </c>
      <c r="H981" s="200"/>
      <c r="I981" s="346"/>
      <c r="J981" s="39">
        <v>104849</v>
      </c>
      <c r="K981" s="36" t="str">
        <f>CONCATENATE(Cover!$D$6,"fdd/view?i=",J981)</f>
        <v>https://www.dgiwg.org/FAD/fdd/view?i=104849</v>
      </c>
      <c r="L981" s="36" t="s">
        <v>19944</v>
      </c>
      <c r="M981" s="186"/>
      <c r="N981" s="186"/>
      <c r="O981" s="172"/>
    </row>
    <row r="982" spans="1:15" ht="25.5" x14ac:dyDescent="0.2">
      <c r="A982" s="197" t="str">
        <f t="shared" si="15"/>
        <v>LfaCode_centreRowCategory2</v>
      </c>
      <c r="B982" s="409"/>
      <c r="C982" s="416"/>
      <c r="D982" s="198" t="s">
        <v>19945</v>
      </c>
      <c r="E982" s="198">
        <v>110</v>
      </c>
      <c r="F982" s="199" t="s">
        <v>19946</v>
      </c>
      <c r="G982" s="1" t="s">
        <v>19947</v>
      </c>
      <c r="H982" s="200"/>
      <c r="I982" s="346"/>
      <c r="J982" s="39">
        <v>104848</v>
      </c>
      <c r="K982" s="36" t="str">
        <f>CONCATENATE(Cover!$D$6,"fdd/view?i=",J982)</f>
        <v>https://www.dgiwg.org/FAD/fdd/view?i=104848</v>
      </c>
      <c r="L982" s="36" t="s">
        <v>19948</v>
      </c>
      <c r="M982" s="186"/>
      <c r="N982" s="186"/>
      <c r="O982" s="172"/>
    </row>
    <row r="983" spans="1:15" x14ac:dyDescent="0.2">
      <c r="A983" s="197" t="str">
        <f t="shared" si="15"/>
        <v>LfaCode_cross</v>
      </c>
      <c r="B983" s="409"/>
      <c r="C983" s="416"/>
      <c r="D983" s="198" t="s">
        <v>19196</v>
      </c>
      <c r="E983" s="198">
        <v>121</v>
      </c>
      <c r="F983" s="199" t="s">
        <v>19197</v>
      </c>
      <c r="G983" s="200"/>
      <c r="H983" s="200"/>
      <c r="I983" s="346"/>
      <c r="J983" s="39">
        <v>104859</v>
      </c>
      <c r="K983" s="36" t="str">
        <f>CONCATENATE(Cover!$D$6,"fdd/view?i=",J983)</f>
        <v>https://www.dgiwg.org/FAD/fdd/view?i=104859</v>
      </c>
      <c r="L983" s="36" t="s">
        <v>19958</v>
      </c>
      <c r="M983" s="186"/>
      <c r="N983" s="186"/>
      <c r="O983" s="172"/>
    </row>
    <row r="984" spans="1:15" x14ac:dyDescent="0.2">
      <c r="A984" s="197" t="str">
        <f t="shared" si="15"/>
        <v>LfaCode_fishing</v>
      </c>
      <c r="B984" s="409"/>
      <c r="C984" s="416"/>
      <c r="D984" s="198" t="s">
        <v>19959</v>
      </c>
      <c r="E984" s="198">
        <v>55</v>
      </c>
      <c r="F984" s="199" t="s">
        <v>19960</v>
      </c>
      <c r="G984" s="200"/>
      <c r="H984" s="200"/>
      <c r="I984" s="346"/>
      <c r="J984" s="39">
        <v>104819</v>
      </c>
      <c r="K984" s="36" t="str">
        <f>CONCATENATE(Cover!$D$6,"fdd/view?i=",J984)</f>
        <v>https://www.dgiwg.org/FAD/fdd/view?i=104819</v>
      </c>
      <c r="L984" s="36" t="s">
        <v>19961</v>
      </c>
      <c r="M984" s="186"/>
      <c r="N984" s="186"/>
      <c r="O984" s="172"/>
    </row>
    <row r="985" spans="1:15" x14ac:dyDescent="0.2">
      <c r="A985" s="197" t="str">
        <f t="shared" si="15"/>
        <v>LfaCode_flares</v>
      </c>
      <c r="B985" s="409"/>
      <c r="C985" s="416"/>
      <c r="D985" s="198" t="s">
        <v>19962</v>
      </c>
      <c r="E985" s="198">
        <v>30</v>
      </c>
      <c r="F985" s="199" t="s">
        <v>19963</v>
      </c>
      <c r="G985" s="200"/>
      <c r="H985" s="200"/>
      <c r="I985" s="346"/>
      <c r="J985" s="39">
        <v>104811</v>
      </c>
      <c r="K985" s="36" t="str">
        <f>CONCATENATE(Cover!$D$6,"fdd/view?i=",J985)</f>
        <v>https://www.dgiwg.org/FAD/fdd/view?i=104811</v>
      </c>
      <c r="L985" s="36" t="s">
        <v>19964</v>
      </c>
      <c r="M985" s="186"/>
      <c r="N985" s="186"/>
      <c r="O985" s="172"/>
    </row>
    <row r="986" spans="1:15" ht="25.5" x14ac:dyDescent="0.2">
      <c r="A986" s="197" t="str">
        <f t="shared" si="15"/>
        <v>LfaCode_fogDetector</v>
      </c>
      <c r="B986" s="409"/>
      <c r="C986" s="416"/>
      <c r="D986" s="198" t="s">
        <v>19965</v>
      </c>
      <c r="E986" s="198">
        <v>56</v>
      </c>
      <c r="F986" s="199" t="s">
        <v>19966</v>
      </c>
      <c r="G986" s="1" t="s">
        <v>19967</v>
      </c>
      <c r="H986" s="200"/>
      <c r="I986" s="346"/>
      <c r="J986" s="39">
        <v>104820</v>
      </c>
      <c r="K986" s="36" t="str">
        <f>CONCATENATE(Cover!$D$6,"fdd/view?i=",J986)</f>
        <v>https://www.dgiwg.org/FAD/fdd/view?i=104820</v>
      </c>
      <c r="L986" s="36" t="s">
        <v>19968</v>
      </c>
      <c r="M986" s="186"/>
      <c r="N986" s="186"/>
      <c r="O986" s="172"/>
    </row>
    <row r="987" spans="1:15" ht="25.5" x14ac:dyDescent="0.2">
      <c r="A987" s="197" t="str">
        <f t="shared" si="15"/>
        <v>LfaCode_formerNatoStandard</v>
      </c>
      <c r="B987" s="409"/>
      <c r="C987" s="416"/>
      <c r="D987" s="198" t="s">
        <v>19200</v>
      </c>
      <c r="E987" s="198">
        <v>106</v>
      </c>
      <c r="F987" s="199" t="s">
        <v>19201</v>
      </c>
      <c r="G987" s="200"/>
      <c r="H987" s="200"/>
      <c r="I987" s="346"/>
      <c r="J987" s="39">
        <v>104844</v>
      </c>
      <c r="K987" s="36" t="str">
        <f>CONCATENATE(Cover!$D$6,"fdd/view?i=",J987)</f>
        <v>https://www.dgiwg.org/FAD/fdd/view?i=104844</v>
      </c>
      <c r="L987" s="36" t="s">
        <v>19969</v>
      </c>
      <c r="M987" s="186"/>
      <c r="N987" s="186"/>
      <c r="O987" s="172"/>
    </row>
    <row r="988" spans="1:15" x14ac:dyDescent="0.2">
      <c r="A988" s="197" t="str">
        <f t="shared" si="15"/>
        <v>LfaCode_harbour</v>
      </c>
      <c r="B988" s="409"/>
      <c r="C988" s="416"/>
      <c r="D988" s="198" t="s">
        <v>19970</v>
      </c>
      <c r="E988" s="198">
        <v>57</v>
      </c>
      <c r="F988" s="199" t="s">
        <v>3437</v>
      </c>
      <c r="G988" s="200"/>
      <c r="H988" s="200"/>
      <c r="I988" s="346"/>
      <c r="J988" s="39">
        <v>104821</v>
      </c>
      <c r="K988" s="36" t="str">
        <f>CONCATENATE(Cover!$D$6,"fdd/view?i=",J988)</f>
        <v>https://www.dgiwg.org/FAD/fdd/view?i=104821</v>
      </c>
      <c r="L988" s="36" t="s">
        <v>19971</v>
      </c>
      <c r="M988" s="186"/>
      <c r="N988" s="186"/>
      <c r="O988" s="172"/>
    </row>
    <row r="989" spans="1:15" ht="25.5" x14ac:dyDescent="0.2">
      <c r="A989" s="197" t="str">
        <f t="shared" si="15"/>
        <v>LfaCode_hiIntensityRunwayLights</v>
      </c>
      <c r="B989" s="409"/>
      <c r="C989" s="416"/>
      <c r="D989" s="198" t="s">
        <v>19972</v>
      </c>
      <c r="E989" s="198">
        <v>130</v>
      </c>
      <c r="F989" s="199" t="s">
        <v>19973</v>
      </c>
      <c r="G989" s="1" t="s">
        <v>19974</v>
      </c>
      <c r="H989" s="200"/>
      <c r="I989" s="346"/>
      <c r="J989" s="39">
        <v>104868</v>
      </c>
      <c r="K989" s="36" t="str">
        <f>CONCATENATE(Cover!$D$6,"fdd/view?i=",J989)</f>
        <v>https://www.dgiwg.org/FAD/fdd/view?i=104868</v>
      </c>
      <c r="L989" s="36" t="s">
        <v>19975</v>
      </c>
      <c r="M989" s="186"/>
      <c r="N989" s="186"/>
      <c r="O989" s="172"/>
    </row>
    <row r="990" spans="1:15" ht="25.5" x14ac:dyDescent="0.2">
      <c r="A990" s="197" t="str">
        <f t="shared" si="15"/>
        <v>LfaCode_hongKongCurve</v>
      </c>
      <c r="B990" s="409"/>
      <c r="C990" s="416"/>
      <c r="D990" s="198" t="s">
        <v>19976</v>
      </c>
      <c r="E990" s="198">
        <v>103</v>
      </c>
      <c r="F990" s="199" t="s">
        <v>19977</v>
      </c>
      <c r="G990" s="1" t="s">
        <v>19978</v>
      </c>
      <c r="H990" s="200"/>
      <c r="I990" s="346"/>
      <c r="J990" s="39">
        <v>104841</v>
      </c>
      <c r="K990" s="36" t="str">
        <f>CONCATENATE(Cover!$D$6,"fdd/view?i=",J990)</f>
        <v>https://www.dgiwg.org/FAD/fdd/view?i=104841</v>
      </c>
      <c r="L990" s="36" t="s">
        <v>19979</v>
      </c>
      <c r="M990" s="186"/>
      <c r="N990" s="186"/>
      <c r="O990" s="172"/>
    </row>
    <row r="991" spans="1:15" x14ac:dyDescent="0.2">
      <c r="A991" s="197" t="str">
        <f t="shared" si="15"/>
        <v>LfaCode_horizontal</v>
      </c>
      <c r="B991" s="409"/>
      <c r="C991" s="416"/>
      <c r="D991" s="198" t="s">
        <v>19980</v>
      </c>
      <c r="E991" s="198">
        <v>58</v>
      </c>
      <c r="F991" s="199" t="s">
        <v>19981</v>
      </c>
      <c r="G991" s="200"/>
      <c r="H991" s="200"/>
      <c r="I991" s="346"/>
      <c r="J991" s="39">
        <v>104822</v>
      </c>
      <c r="K991" s="36" t="str">
        <f>CONCATENATE(Cover!$D$6,"fdd/view?i=",J991)</f>
        <v>https://www.dgiwg.org/FAD/fdd/view?i=104822</v>
      </c>
      <c r="L991" s="36" t="s">
        <v>19982</v>
      </c>
      <c r="M991" s="186"/>
      <c r="N991" s="186"/>
      <c r="O991" s="172"/>
    </row>
    <row r="992" spans="1:15" ht="25.5" x14ac:dyDescent="0.2">
      <c r="A992" s="197" t="str">
        <f t="shared" si="15"/>
        <v>LfaCode_identificationBeacon</v>
      </c>
      <c r="B992" s="409"/>
      <c r="C992" s="416"/>
      <c r="D992" s="198" t="s">
        <v>19816</v>
      </c>
      <c r="E992" s="198">
        <v>72</v>
      </c>
      <c r="F992" s="199" t="s">
        <v>19817</v>
      </c>
      <c r="G992" s="200"/>
      <c r="H992" s="200"/>
      <c r="I992" s="346"/>
      <c r="J992" s="39">
        <v>104836</v>
      </c>
      <c r="K992" s="36" t="str">
        <f>CONCATENATE(Cover!$D$6,"fdd/view?i=",J992)</f>
        <v>https://www.dgiwg.org/FAD/fdd/view?i=104836</v>
      </c>
      <c r="L992" s="36" t="s">
        <v>19983</v>
      </c>
      <c r="M992" s="186"/>
      <c r="N992" s="186"/>
      <c r="O992" s="172"/>
    </row>
    <row r="993" spans="1:15" x14ac:dyDescent="0.2">
      <c r="A993" s="197" t="str">
        <f t="shared" si="15"/>
        <v>LfaCode_lcVasi</v>
      </c>
      <c r="B993" s="409"/>
      <c r="C993" s="416"/>
      <c r="D993" s="198" t="s">
        <v>19984</v>
      </c>
      <c r="E993" s="198">
        <v>129</v>
      </c>
      <c r="F993" s="199" t="s">
        <v>19985</v>
      </c>
      <c r="G993" s="1" t="s">
        <v>19986</v>
      </c>
      <c r="H993" s="200"/>
      <c r="I993" s="346"/>
      <c r="J993" s="39">
        <v>104867</v>
      </c>
      <c r="K993" s="36" t="str">
        <f>CONCATENATE(Cover!$D$6,"fdd/view?i=",J993)</f>
        <v>https://www.dgiwg.org/FAD/fdd/view?i=104867</v>
      </c>
      <c r="L993" s="36" t="s">
        <v>19987</v>
      </c>
      <c r="M993" s="186"/>
      <c r="N993" s="186"/>
      <c r="O993" s="172"/>
    </row>
    <row r="994" spans="1:15" x14ac:dyDescent="0.2">
      <c r="A994" s="197" t="str">
        <f t="shared" si="15"/>
        <v>LfaCode_ldin</v>
      </c>
      <c r="B994" s="409"/>
      <c r="C994" s="416"/>
      <c r="D994" s="198" t="s">
        <v>19988</v>
      </c>
      <c r="E994" s="198">
        <v>21</v>
      </c>
      <c r="F994" s="199" t="s">
        <v>19989</v>
      </c>
      <c r="G994" s="1" t="s">
        <v>19990</v>
      </c>
      <c r="H994" s="200"/>
      <c r="I994" s="346"/>
      <c r="J994" s="39">
        <v>104802</v>
      </c>
      <c r="K994" s="36" t="str">
        <f>CONCATENATE(Cover!$D$6,"fdd/view?i=",J994)</f>
        <v>https://www.dgiwg.org/FAD/fdd/view?i=104802</v>
      </c>
      <c r="L994" s="36" t="s">
        <v>19991</v>
      </c>
      <c r="M994" s="186"/>
      <c r="N994" s="186"/>
      <c r="O994" s="172"/>
    </row>
    <row r="995" spans="1:15" x14ac:dyDescent="0.2">
      <c r="A995" s="197" t="str">
        <f t="shared" si="15"/>
        <v>LfaCode_leftRowHigh</v>
      </c>
      <c r="B995" s="409"/>
      <c r="C995" s="416"/>
      <c r="D995" s="198" t="s">
        <v>19992</v>
      </c>
      <c r="E995" s="198">
        <v>114</v>
      </c>
      <c r="F995" s="199" t="s">
        <v>19993</v>
      </c>
      <c r="G995" s="1" t="s">
        <v>19994</v>
      </c>
      <c r="H995" s="200"/>
      <c r="I995" s="346"/>
      <c r="J995" s="39">
        <v>104852</v>
      </c>
      <c r="K995" s="36" t="str">
        <f>CONCATENATE(Cover!$D$6,"fdd/view?i=",J995)</f>
        <v>https://www.dgiwg.org/FAD/fdd/view?i=104852</v>
      </c>
      <c r="L995" s="36" t="s">
        <v>19995</v>
      </c>
      <c r="M995" s="186"/>
      <c r="N995" s="186"/>
      <c r="O995" s="172"/>
    </row>
    <row r="996" spans="1:15" x14ac:dyDescent="0.2">
      <c r="A996" s="197" t="str">
        <f t="shared" si="15"/>
        <v>LfaCode_leftSingleRow</v>
      </c>
      <c r="B996" s="409"/>
      <c r="C996" s="416"/>
      <c r="D996" s="198" t="s">
        <v>19221</v>
      </c>
      <c r="E996" s="198">
        <v>104</v>
      </c>
      <c r="F996" s="199" t="s">
        <v>19222</v>
      </c>
      <c r="G996" s="200"/>
      <c r="H996" s="200"/>
      <c r="I996" s="346"/>
      <c r="J996" s="39">
        <v>104842</v>
      </c>
      <c r="K996" s="36" t="str">
        <f>CONCATENATE(Cover!$D$6,"fdd/view?i=",J996)</f>
        <v>https://www.dgiwg.org/FAD/fdd/view?i=104842</v>
      </c>
      <c r="L996" s="36" t="s">
        <v>19996</v>
      </c>
      <c r="M996" s="186"/>
      <c r="N996" s="186"/>
      <c r="O996" s="172"/>
    </row>
    <row r="997" spans="1:15" ht="25.5" x14ac:dyDescent="0.2">
      <c r="A997" s="197" t="str">
        <f t="shared" si="15"/>
        <v>LfaCode_loIntensityRunwayLights</v>
      </c>
      <c r="B997" s="409"/>
      <c r="C997" s="416"/>
      <c r="D997" s="198" t="s">
        <v>19997</v>
      </c>
      <c r="E997" s="198">
        <v>132</v>
      </c>
      <c r="F997" s="199" t="s">
        <v>19998</v>
      </c>
      <c r="G997" s="1" t="s">
        <v>19999</v>
      </c>
      <c r="H997" s="200"/>
      <c r="I997" s="346"/>
      <c r="J997" s="39">
        <v>104870</v>
      </c>
      <c r="K997" s="36" t="str">
        <f>CONCATENATE(Cover!$D$6,"fdd/view?i=",J997)</f>
        <v>https://www.dgiwg.org/FAD/fdd/view?i=104870</v>
      </c>
      <c r="L997" s="36" t="s">
        <v>20000</v>
      </c>
      <c r="M997" s="186"/>
      <c r="N997" s="186"/>
      <c r="O997" s="172"/>
    </row>
    <row r="998" spans="1:15" x14ac:dyDescent="0.2">
      <c r="A998" s="197" t="str">
        <f t="shared" si="15"/>
        <v>LfaCode_major</v>
      </c>
      <c r="B998" s="409"/>
      <c r="C998" s="416"/>
      <c r="D998" s="198" t="s">
        <v>20001</v>
      </c>
      <c r="E998" s="198">
        <v>69</v>
      </c>
      <c r="F998" s="199" t="s">
        <v>20002</v>
      </c>
      <c r="G998" s="200"/>
      <c r="H998" s="200"/>
      <c r="I998" s="346"/>
      <c r="J998" s="39">
        <v>104833</v>
      </c>
      <c r="K998" s="36" t="str">
        <f>CONCATENATE(Cover!$D$6,"fdd/view?i=",J998)</f>
        <v>https://www.dgiwg.org/FAD/fdd/view?i=104833</v>
      </c>
      <c r="L998" s="36" t="s">
        <v>20003</v>
      </c>
      <c r="M998" s="186"/>
      <c r="N998" s="186"/>
      <c r="O998" s="172"/>
    </row>
    <row r="999" spans="1:15" ht="25.5" x14ac:dyDescent="0.2">
      <c r="A999" s="197" t="str">
        <f t="shared" si="15"/>
        <v>LfaCode_malsf</v>
      </c>
      <c r="B999" s="409"/>
      <c r="C999" s="416"/>
      <c r="D999" s="198" t="s">
        <v>20004</v>
      </c>
      <c r="E999" s="198">
        <v>19</v>
      </c>
      <c r="F999" s="199" t="s">
        <v>20005</v>
      </c>
      <c r="G999" s="1" t="s">
        <v>20006</v>
      </c>
      <c r="H999" s="200"/>
      <c r="I999" s="346"/>
      <c r="J999" s="39">
        <v>104800</v>
      </c>
      <c r="K999" s="36" t="str">
        <f>CONCATENATE(Cover!$D$6,"fdd/view?i=",J999)</f>
        <v>https://www.dgiwg.org/FAD/fdd/view?i=104800</v>
      </c>
      <c r="L999" s="36" t="s">
        <v>20007</v>
      </c>
      <c r="M999" s="186"/>
      <c r="N999" s="186"/>
      <c r="O999" s="172"/>
    </row>
    <row r="1000" spans="1:15" ht="25.5" x14ac:dyDescent="0.2">
      <c r="A1000" s="197" t="str">
        <f t="shared" si="15"/>
        <v>LfaCode_malsr</v>
      </c>
      <c r="B1000" s="409"/>
      <c r="C1000" s="416"/>
      <c r="D1000" s="198" t="s">
        <v>20008</v>
      </c>
      <c r="E1000" s="198">
        <v>20</v>
      </c>
      <c r="F1000" s="199" t="s">
        <v>20009</v>
      </c>
      <c r="G1000" s="1" t="s">
        <v>20010</v>
      </c>
      <c r="H1000" s="200"/>
      <c r="I1000" s="346"/>
      <c r="J1000" s="39">
        <v>104801</v>
      </c>
      <c r="K1000" s="36" t="str">
        <f>CONCATENATE(Cover!$D$6,"fdd/view?i=",J1000)</f>
        <v>https://www.dgiwg.org/FAD/fdd/view?i=104801</v>
      </c>
      <c r="L1000" s="36" t="s">
        <v>20011</v>
      </c>
      <c r="M1000" s="186"/>
      <c r="N1000" s="186"/>
      <c r="O1000" s="172"/>
    </row>
    <row r="1001" spans="1:15" ht="25.5" x14ac:dyDescent="0.2">
      <c r="A1001" s="197" t="str">
        <f t="shared" si="15"/>
        <v>LfaCode_medIntensityRunwayLights</v>
      </c>
      <c r="B1001" s="409"/>
      <c r="C1001" s="416"/>
      <c r="D1001" s="198" t="s">
        <v>20015</v>
      </c>
      <c r="E1001" s="198">
        <v>131</v>
      </c>
      <c r="F1001" s="199" t="s">
        <v>20016</v>
      </c>
      <c r="G1001" s="1" t="s">
        <v>20017</v>
      </c>
      <c r="H1001" s="200"/>
      <c r="I1001" s="346"/>
      <c r="J1001" s="39">
        <v>104869</v>
      </c>
      <c r="K1001" s="36" t="str">
        <f>CONCATENATE(Cover!$D$6,"fdd/view?i=",J1001)</f>
        <v>https://www.dgiwg.org/FAD/fdd/view?i=104869</v>
      </c>
      <c r="L1001" s="36" t="s">
        <v>20018</v>
      </c>
      <c r="M1001" s="186"/>
      <c r="N1001" s="186"/>
      <c r="O1001" s="172"/>
    </row>
    <row r="1002" spans="1:15" x14ac:dyDescent="0.2">
      <c r="A1002" s="197" t="str">
        <f t="shared" si="15"/>
        <v>LfaCode_minor</v>
      </c>
      <c r="B1002" s="409"/>
      <c r="C1002" s="416"/>
      <c r="D1002" s="198" t="s">
        <v>20012</v>
      </c>
      <c r="E1002" s="198">
        <v>70</v>
      </c>
      <c r="F1002" s="199" t="s">
        <v>20013</v>
      </c>
      <c r="G1002" s="200"/>
      <c r="H1002" s="200"/>
      <c r="I1002" s="346"/>
      <c r="J1002" s="39">
        <v>104834</v>
      </c>
      <c r="K1002" s="36" t="str">
        <f>CONCATENATE(Cover!$D$6,"fdd/view?i=",J1002)</f>
        <v>https://www.dgiwg.org/FAD/fdd/view?i=104834</v>
      </c>
      <c r="L1002" s="36" t="s">
        <v>20014</v>
      </c>
      <c r="M1002" s="186"/>
      <c r="N1002" s="186"/>
      <c r="O1002" s="172"/>
    </row>
    <row r="1003" spans="1:15" ht="25.5" x14ac:dyDescent="0.2">
      <c r="A1003" s="197" t="str">
        <f t="shared" si="15"/>
        <v>LfaCode_narrowMultiCross</v>
      </c>
      <c r="B1003" s="409"/>
      <c r="C1003" s="416"/>
      <c r="D1003" s="198" t="s">
        <v>19244</v>
      </c>
      <c r="E1003" s="198">
        <v>118</v>
      </c>
      <c r="F1003" s="199" t="s">
        <v>19245</v>
      </c>
      <c r="G1003" s="200"/>
      <c r="H1003" s="200"/>
      <c r="I1003" s="346"/>
      <c r="J1003" s="39">
        <v>104856</v>
      </c>
      <c r="K1003" s="36" t="str">
        <f>CONCATENATE(Cover!$D$6,"fdd/view?i=",J1003)</f>
        <v>https://www.dgiwg.org/FAD/fdd/view?i=104856</v>
      </c>
      <c r="L1003" s="36" t="s">
        <v>20019</v>
      </c>
      <c r="M1003" s="186"/>
      <c r="N1003" s="186"/>
      <c r="O1003" s="172"/>
    </row>
    <row r="1004" spans="1:15" x14ac:dyDescent="0.2">
      <c r="A1004" s="197" t="str">
        <f t="shared" si="15"/>
        <v>LfaCode_natoStandard</v>
      </c>
      <c r="B1004" s="409"/>
      <c r="C1004" s="416"/>
      <c r="D1004" s="198" t="s">
        <v>19248</v>
      </c>
      <c r="E1004" s="198">
        <v>107</v>
      </c>
      <c r="F1004" s="199" t="s">
        <v>19249</v>
      </c>
      <c r="G1004" s="200"/>
      <c r="H1004" s="200"/>
      <c r="I1004" s="346"/>
      <c r="J1004" s="39">
        <v>104845</v>
      </c>
      <c r="K1004" s="36" t="str">
        <f>CONCATENATE(Cover!$D$6,"fdd/view?i=",J1004)</f>
        <v>https://www.dgiwg.org/FAD/fdd/view?i=104845</v>
      </c>
      <c r="L1004" s="36" t="s">
        <v>20020</v>
      </c>
      <c r="M1004" s="186"/>
      <c r="N1004" s="186"/>
      <c r="O1004" s="172"/>
    </row>
    <row r="1005" spans="1:15" ht="25.5" x14ac:dyDescent="0.2">
      <c r="A1005" s="197" t="str">
        <f t="shared" si="15"/>
        <v>LfaCode_navyParallelRowsCrossbar</v>
      </c>
      <c r="B1005" s="409"/>
      <c r="C1005" s="416"/>
      <c r="D1005" s="198" t="s">
        <v>20021</v>
      </c>
      <c r="E1005" s="198">
        <v>112</v>
      </c>
      <c r="F1005" s="199" t="s">
        <v>20022</v>
      </c>
      <c r="G1005" s="200"/>
      <c r="H1005" s="200"/>
      <c r="I1005" s="346"/>
      <c r="J1005" s="39">
        <v>104850</v>
      </c>
      <c r="K1005" s="36" t="str">
        <f>CONCATENATE(Cover!$D$6,"fdd/view?i=",J1005)</f>
        <v>https://www.dgiwg.org/FAD/fdd/view?i=104850</v>
      </c>
      <c r="L1005" s="36" t="s">
        <v>20023</v>
      </c>
      <c r="M1005" s="186"/>
      <c r="N1005" s="186"/>
      <c r="O1005" s="172"/>
    </row>
    <row r="1006" spans="1:15" x14ac:dyDescent="0.2">
      <c r="A1006" s="197" t="str">
        <f t="shared" si="15"/>
        <v>LfaCode_neonLadder</v>
      </c>
      <c r="B1006" s="409"/>
      <c r="C1006" s="416"/>
      <c r="D1006" s="198" t="s">
        <v>20024</v>
      </c>
      <c r="E1006" s="198">
        <v>122</v>
      </c>
      <c r="F1006" s="199" t="s">
        <v>20025</v>
      </c>
      <c r="G1006" s="200"/>
      <c r="H1006" s="200"/>
      <c r="I1006" s="346"/>
      <c r="J1006" s="39">
        <v>104860</v>
      </c>
      <c r="K1006" s="36" t="str">
        <f>CONCATENATE(Cover!$D$6,"fdd/view?i=",J1006)</f>
        <v>https://www.dgiwg.org/FAD/fdd/view?i=104860</v>
      </c>
      <c r="L1006" s="36" t="s">
        <v>20026</v>
      </c>
      <c r="M1006" s="186"/>
      <c r="N1006" s="186"/>
      <c r="O1006" s="172"/>
    </row>
    <row r="1007" spans="1:15" x14ac:dyDescent="0.2">
      <c r="A1007" s="197" t="str">
        <f t="shared" si="15"/>
        <v>LfaCode_noneAvailable</v>
      </c>
      <c r="B1007" s="409"/>
      <c r="C1007" s="416"/>
      <c r="D1007" s="198" t="s">
        <v>20027</v>
      </c>
      <c r="E1007" s="198">
        <v>73</v>
      </c>
      <c r="F1007" s="199" t="s">
        <v>20028</v>
      </c>
      <c r="G1007" s="1" t="s">
        <v>20029</v>
      </c>
      <c r="H1007" s="200"/>
      <c r="I1007" s="346"/>
      <c r="J1007" s="39">
        <v>104837</v>
      </c>
      <c r="K1007" s="36" t="str">
        <f>CONCATENATE(Cover!$D$6,"fdd/view?i=",J1007)</f>
        <v>https://www.dgiwg.org/FAD/fdd/view?i=104837</v>
      </c>
      <c r="L1007" s="36" t="s">
        <v>20030</v>
      </c>
      <c r="M1007" s="186"/>
      <c r="N1007" s="186"/>
      <c r="O1007" s="172"/>
    </row>
    <row r="1008" spans="1:15" x14ac:dyDescent="0.2">
      <c r="A1008" s="197" t="str">
        <f t="shared" si="15"/>
        <v>LfaCode_obstruction</v>
      </c>
      <c r="B1008" s="409"/>
      <c r="C1008" s="416"/>
      <c r="D1008" s="198" t="s">
        <v>20031</v>
      </c>
      <c r="E1008" s="198">
        <v>59</v>
      </c>
      <c r="F1008" s="199" t="s">
        <v>20032</v>
      </c>
      <c r="G1008" s="200"/>
      <c r="H1008" s="200"/>
      <c r="I1008" s="346"/>
      <c r="J1008" s="39">
        <v>104823</v>
      </c>
      <c r="K1008" s="36" t="str">
        <f>CONCATENATE(Cover!$D$6,"fdd/view?i=",J1008)</f>
        <v>https://www.dgiwg.org/FAD/fdd/view?i=104823</v>
      </c>
      <c r="L1008" s="36" t="s">
        <v>20033</v>
      </c>
      <c r="M1008" s="186"/>
      <c r="N1008" s="186"/>
      <c r="O1008" s="172"/>
    </row>
    <row r="1009" spans="1:15" ht="25.5" x14ac:dyDescent="0.2">
      <c r="A1009" s="197" t="str">
        <f t="shared" si="15"/>
        <v>LfaCode_obstructionMarker</v>
      </c>
      <c r="B1009" s="409"/>
      <c r="C1009" s="416"/>
      <c r="D1009" s="198" t="s">
        <v>20034</v>
      </c>
      <c r="E1009" s="198">
        <v>11</v>
      </c>
      <c r="F1009" s="199" t="s">
        <v>20035</v>
      </c>
      <c r="G1009" s="1" t="s">
        <v>20036</v>
      </c>
      <c r="H1009" s="200"/>
      <c r="I1009" s="346"/>
      <c r="J1009" s="39">
        <v>104792</v>
      </c>
      <c r="K1009" s="36" t="str">
        <f>CONCATENATE(Cover!$D$6,"fdd/view?i=",J1009)</f>
        <v>https://www.dgiwg.org/FAD/fdd/view?i=104792</v>
      </c>
      <c r="L1009" s="36" t="s">
        <v>20037</v>
      </c>
      <c r="M1009" s="186"/>
      <c r="N1009" s="186"/>
      <c r="O1009" s="172"/>
    </row>
    <row r="1010" spans="1:15" x14ac:dyDescent="0.2">
      <c r="A1010" s="197" t="str">
        <f t="shared" si="15"/>
        <v>LfaCode_occasional</v>
      </c>
      <c r="B1010" s="409"/>
      <c r="C1010" s="416"/>
      <c r="D1010" s="198" t="s">
        <v>20038</v>
      </c>
      <c r="E1010" s="198">
        <v>60</v>
      </c>
      <c r="F1010" s="199" t="s">
        <v>20039</v>
      </c>
      <c r="G1010" s="200"/>
      <c r="H1010" s="200"/>
      <c r="I1010" s="346"/>
      <c r="J1010" s="39">
        <v>104824</v>
      </c>
      <c r="K1010" s="36" t="str">
        <f>CONCATENATE(Cover!$D$6,"fdd/view?i=",J1010)</f>
        <v>https://www.dgiwg.org/FAD/fdd/view?i=104824</v>
      </c>
      <c r="L1010" s="36" t="s">
        <v>20040</v>
      </c>
      <c r="M1010" s="186"/>
      <c r="N1010" s="186"/>
      <c r="O1010" s="172"/>
    </row>
    <row r="1011" spans="1:15" ht="38.25" x14ac:dyDescent="0.2">
      <c r="A1011" s="197" t="str">
        <f t="shared" si="15"/>
        <v>LfaCode_odals</v>
      </c>
      <c r="B1011" s="409"/>
      <c r="C1011" s="416"/>
      <c r="D1011" s="198" t="s">
        <v>20041</v>
      </c>
      <c r="E1011" s="198">
        <v>23</v>
      </c>
      <c r="F1011" s="199" t="s">
        <v>20042</v>
      </c>
      <c r="G1011" s="1" t="s">
        <v>20043</v>
      </c>
      <c r="H1011" s="200"/>
      <c r="I1011" s="346"/>
      <c r="J1011" s="39">
        <v>104804</v>
      </c>
      <c r="K1011" s="36" t="str">
        <f>CONCATENATE(Cover!$D$6,"fdd/view?i=",J1011)</f>
        <v>https://www.dgiwg.org/FAD/fdd/view?i=104804</v>
      </c>
      <c r="L1011" s="36" t="s">
        <v>20044</v>
      </c>
      <c r="M1011" s="186"/>
      <c r="N1011" s="186"/>
      <c r="O1011" s="172"/>
    </row>
    <row r="1012" spans="1:15" ht="25.5" x14ac:dyDescent="0.2">
      <c r="A1012" s="197" t="str">
        <f t="shared" si="15"/>
        <v>LfaCode_opticalLandingSystem</v>
      </c>
      <c r="B1012" s="409"/>
      <c r="C1012" s="416"/>
      <c r="D1012" s="198" t="s">
        <v>20045</v>
      </c>
      <c r="E1012" s="198">
        <v>33</v>
      </c>
      <c r="F1012" s="199" t="s">
        <v>20046</v>
      </c>
      <c r="G1012" s="200"/>
      <c r="H1012" s="200"/>
      <c r="I1012" s="346"/>
      <c r="J1012" s="39">
        <v>104814</v>
      </c>
      <c r="K1012" s="36" t="str">
        <f>CONCATENATE(Cover!$D$6,"fdd/view?i=",J1012)</f>
        <v>https://www.dgiwg.org/FAD/fdd/view?i=104814</v>
      </c>
      <c r="L1012" s="36" t="s">
        <v>20047</v>
      </c>
      <c r="M1012" s="186"/>
      <c r="N1012" s="186"/>
      <c r="O1012" s="172"/>
    </row>
    <row r="1013" spans="1:15" ht="25.5" x14ac:dyDescent="0.2">
      <c r="A1013" s="197" t="str">
        <f t="shared" si="15"/>
        <v>LfaCode_otherAirportLighting</v>
      </c>
      <c r="B1013" s="409"/>
      <c r="C1013" s="416"/>
      <c r="D1013" s="198" t="s">
        <v>20048</v>
      </c>
      <c r="E1013" s="198">
        <v>14</v>
      </c>
      <c r="F1013" s="199" t="s">
        <v>20049</v>
      </c>
      <c r="G1013" s="200"/>
      <c r="H1013" s="200"/>
      <c r="I1013" s="346"/>
      <c r="J1013" s="39">
        <v>104795</v>
      </c>
      <c r="K1013" s="36" t="str">
        <f>CONCATENATE(Cover!$D$6,"fdd/view?i=",J1013)</f>
        <v>https://www.dgiwg.org/FAD/fdd/view?i=104795</v>
      </c>
      <c r="L1013" s="36" t="s">
        <v>20050</v>
      </c>
      <c r="M1013" s="186"/>
      <c r="N1013" s="186"/>
      <c r="O1013" s="172"/>
    </row>
    <row r="1014" spans="1:15" ht="25.5" x14ac:dyDescent="0.2">
      <c r="A1014" s="197" t="str">
        <f t="shared" si="15"/>
        <v>LfaCode_otherApproachLighting</v>
      </c>
      <c r="B1014" s="409"/>
      <c r="C1014" s="416"/>
      <c r="D1014" s="198" t="s">
        <v>20051</v>
      </c>
      <c r="E1014" s="198">
        <v>24</v>
      </c>
      <c r="F1014" s="199" t="s">
        <v>20052</v>
      </c>
      <c r="G1014" s="200"/>
      <c r="H1014" s="200"/>
      <c r="I1014" s="346"/>
      <c r="J1014" s="39">
        <v>104805</v>
      </c>
      <c r="K1014" s="36" t="str">
        <f>CONCATENATE(Cover!$D$6,"fdd/view?i=",J1014)</f>
        <v>https://www.dgiwg.org/FAD/fdd/view?i=104805</v>
      </c>
      <c r="L1014" s="36" t="s">
        <v>20053</v>
      </c>
      <c r="M1014" s="186"/>
      <c r="N1014" s="186"/>
      <c r="O1014" s="172"/>
    </row>
    <row r="1015" spans="1:15" ht="25.5" x14ac:dyDescent="0.2">
      <c r="A1015" s="197" t="str">
        <f t="shared" si="15"/>
        <v>LfaCode_overrunCentreline</v>
      </c>
      <c r="B1015" s="409"/>
      <c r="C1015" s="416"/>
      <c r="D1015" s="198" t="s">
        <v>20054</v>
      </c>
      <c r="E1015" s="198">
        <v>100</v>
      </c>
      <c r="F1015" s="199" t="s">
        <v>20055</v>
      </c>
      <c r="G1015" s="200"/>
      <c r="H1015" s="200"/>
      <c r="I1015" s="346"/>
      <c r="J1015" s="39">
        <v>104838</v>
      </c>
      <c r="K1015" s="36" t="str">
        <f>CONCATENATE(Cover!$D$6,"fdd/view?i=",J1015)</f>
        <v>https://www.dgiwg.org/FAD/fdd/view?i=104838</v>
      </c>
      <c r="L1015" s="36" t="s">
        <v>20056</v>
      </c>
      <c r="M1015" s="186"/>
      <c r="N1015" s="186"/>
      <c r="O1015" s="172"/>
    </row>
    <row r="1016" spans="1:15" x14ac:dyDescent="0.2">
      <c r="A1016" s="197" t="str">
        <f t="shared" si="15"/>
        <v>LfaCode_papi</v>
      </c>
      <c r="B1016" s="409"/>
      <c r="C1016" s="416"/>
      <c r="D1016" s="198" t="s">
        <v>20057</v>
      </c>
      <c r="E1016" s="198">
        <v>25</v>
      </c>
      <c r="F1016" s="199" t="s">
        <v>20058</v>
      </c>
      <c r="G1016" s="1" t="s">
        <v>20059</v>
      </c>
      <c r="H1016" s="200"/>
      <c r="I1016" s="346"/>
      <c r="J1016" s="39">
        <v>104806</v>
      </c>
      <c r="K1016" s="36" t="str">
        <f>CONCATENATE(Cover!$D$6,"fdd/view?i=",J1016)</f>
        <v>https://www.dgiwg.org/FAD/fdd/view?i=104806</v>
      </c>
      <c r="L1016" s="36" t="s">
        <v>20060</v>
      </c>
      <c r="M1016" s="186"/>
      <c r="N1016" s="186"/>
      <c r="O1016" s="172"/>
    </row>
    <row r="1017" spans="1:15" ht="25.5" x14ac:dyDescent="0.2">
      <c r="A1017" s="197" t="str">
        <f t="shared" si="15"/>
        <v>LfaCode_pilotControlledLighting</v>
      </c>
      <c r="B1017" s="409"/>
      <c r="C1017" s="416"/>
      <c r="D1017" s="198" t="s">
        <v>11495</v>
      </c>
      <c r="E1017" s="198">
        <v>133</v>
      </c>
      <c r="F1017" s="199" t="s">
        <v>11497</v>
      </c>
      <c r="G1017" s="200"/>
      <c r="H1017" s="200"/>
      <c r="I1017" s="346"/>
      <c r="J1017" s="39">
        <v>110211</v>
      </c>
      <c r="K1017" s="36" t="str">
        <f>CONCATENATE(Cover!$D$6,"fdd/view?i=",J1017)</f>
        <v>https://www.dgiwg.org/FAD/fdd/view?i=110211</v>
      </c>
      <c r="L1017" s="36" t="s">
        <v>20061</v>
      </c>
      <c r="M1017" s="186"/>
      <c r="N1017" s="186"/>
      <c r="O1017" s="172"/>
    </row>
    <row r="1018" spans="1:15" ht="25.5" x14ac:dyDescent="0.2">
      <c r="A1018" s="197" t="str">
        <f t="shared" si="15"/>
        <v>LfaCode_portableApproach</v>
      </c>
      <c r="B1018" s="409"/>
      <c r="C1018" s="416"/>
      <c r="D1018" s="198" t="s">
        <v>20062</v>
      </c>
      <c r="E1018" s="198">
        <v>109</v>
      </c>
      <c r="F1018" s="199" t="s">
        <v>20063</v>
      </c>
      <c r="G1018" s="200"/>
      <c r="H1018" s="200"/>
      <c r="I1018" s="346"/>
      <c r="J1018" s="39">
        <v>104847</v>
      </c>
      <c r="K1018" s="36" t="str">
        <f>CONCATENATE(Cover!$D$6,"fdd/view?i=",J1018)</f>
        <v>https://www.dgiwg.org/FAD/fdd/view?i=104847</v>
      </c>
      <c r="L1018" s="36" t="s">
        <v>20064</v>
      </c>
      <c r="M1018" s="186"/>
      <c r="N1018" s="186"/>
      <c r="O1018" s="172"/>
    </row>
    <row r="1019" spans="1:15" ht="25.5" x14ac:dyDescent="0.2">
      <c r="A1019" s="197" t="str">
        <f t="shared" si="15"/>
        <v>LfaCode_portableRunwayLights</v>
      </c>
      <c r="B1019" s="409"/>
      <c r="C1019" s="416"/>
      <c r="D1019" s="198" t="s">
        <v>20065</v>
      </c>
      <c r="E1019" s="198">
        <v>29</v>
      </c>
      <c r="F1019" s="199" t="s">
        <v>20066</v>
      </c>
      <c r="G1019" s="200"/>
      <c r="H1019" s="200"/>
      <c r="I1019" s="346"/>
      <c r="J1019" s="39">
        <v>104810</v>
      </c>
      <c r="K1019" s="36" t="str">
        <f>CONCATENATE(Cover!$D$6,"fdd/view?i=",J1019)</f>
        <v>https://www.dgiwg.org/FAD/fdd/view?i=104810</v>
      </c>
      <c r="L1019" s="36" t="s">
        <v>20067</v>
      </c>
      <c r="M1019" s="186"/>
      <c r="N1019" s="186"/>
      <c r="O1019" s="172"/>
    </row>
    <row r="1020" spans="1:15" x14ac:dyDescent="0.2">
      <c r="A1020" s="197" t="str">
        <f t="shared" si="15"/>
        <v>LfaCode_primary</v>
      </c>
      <c r="B1020" s="409"/>
      <c r="C1020" s="416"/>
      <c r="D1020" s="198" t="s">
        <v>19282</v>
      </c>
      <c r="E1020" s="198">
        <v>67</v>
      </c>
      <c r="F1020" s="199" t="s">
        <v>19283</v>
      </c>
      <c r="G1020" s="200"/>
      <c r="H1020" s="200"/>
      <c r="I1020" s="346"/>
      <c r="J1020" s="39">
        <v>104831</v>
      </c>
      <c r="K1020" s="36" t="str">
        <f>CONCATENATE(Cover!$D$6,"fdd/view?i=",J1020)</f>
        <v>https://www.dgiwg.org/FAD/fdd/view?i=104831</v>
      </c>
      <c r="L1020" s="36" t="s">
        <v>20068</v>
      </c>
      <c r="M1020" s="186"/>
      <c r="N1020" s="186"/>
      <c r="O1020" s="172"/>
    </row>
    <row r="1021" spans="1:15" x14ac:dyDescent="0.2">
      <c r="A1021" s="197" t="str">
        <f t="shared" si="15"/>
        <v>LfaCode_private</v>
      </c>
      <c r="B1021" s="409"/>
      <c r="C1021" s="416"/>
      <c r="D1021" s="198" t="s">
        <v>20069</v>
      </c>
      <c r="E1021" s="198">
        <v>61</v>
      </c>
      <c r="F1021" s="199" t="s">
        <v>20070</v>
      </c>
      <c r="G1021" s="200"/>
      <c r="H1021" s="200"/>
      <c r="I1021" s="346"/>
      <c r="J1021" s="39">
        <v>104825</v>
      </c>
      <c r="K1021" s="36" t="str">
        <f>CONCATENATE(Cover!$D$6,"fdd/view?i=",J1021)</f>
        <v>https://www.dgiwg.org/FAD/fdd/view?i=104825</v>
      </c>
      <c r="L1021" s="36" t="s">
        <v>20071</v>
      </c>
      <c r="M1021" s="186"/>
      <c r="N1021" s="186"/>
      <c r="O1021" s="172"/>
    </row>
    <row r="1022" spans="1:15" x14ac:dyDescent="0.2">
      <c r="A1022" s="197" t="str">
        <f t="shared" si="15"/>
        <v>LfaCode_pVasi</v>
      </c>
      <c r="B1022" s="409"/>
      <c r="C1022" s="416"/>
      <c r="D1022" s="198" t="s">
        <v>20072</v>
      </c>
      <c r="E1022" s="198">
        <v>126</v>
      </c>
      <c r="F1022" s="199" t="s">
        <v>20073</v>
      </c>
      <c r="G1022" s="1" t="s">
        <v>20074</v>
      </c>
      <c r="H1022" s="200"/>
      <c r="I1022" s="346"/>
      <c r="J1022" s="39">
        <v>104864</v>
      </c>
      <c r="K1022" s="36" t="str">
        <f>CONCATENATE(Cover!$D$6,"fdd/view?i=",J1022)</f>
        <v>https://www.dgiwg.org/FAD/fdd/view?i=104864</v>
      </c>
      <c r="L1022" s="36" t="s">
        <v>20075</v>
      </c>
      <c r="M1022" s="186"/>
      <c r="N1022" s="186"/>
      <c r="O1022" s="172"/>
    </row>
    <row r="1023" spans="1:15" x14ac:dyDescent="0.2">
      <c r="A1023" s="197" t="str">
        <f t="shared" si="15"/>
        <v>LfaCode_rail</v>
      </c>
      <c r="B1023" s="409"/>
      <c r="C1023" s="416"/>
      <c r="D1023" s="198" t="s">
        <v>20076</v>
      </c>
      <c r="E1023" s="198">
        <v>22</v>
      </c>
      <c r="F1023" s="199" t="s">
        <v>20077</v>
      </c>
      <c r="G1023" s="1" t="s">
        <v>20078</v>
      </c>
      <c r="H1023" s="200"/>
      <c r="I1023" s="346"/>
      <c r="J1023" s="39">
        <v>104803</v>
      </c>
      <c r="K1023" s="36" t="str">
        <f>CONCATENATE(Cover!$D$6,"fdd/view?i=",J1023)</f>
        <v>https://www.dgiwg.org/FAD/fdd/view?i=104803</v>
      </c>
      <c r="L1023" s="36" t="s">
        <v>20079</v>
      </c>
      <c r="M1023" s="186"/>
      <c r="N1023" s="186"/>
      <c r="O1023" s="172"/>
    </row>
    <row r="1024" spans="1:15" x14ac:dyDescent="0.2">
      <c r="A1024" s="197" t="str">
        <f t="shared" si="15"/>
        <v>LfaCode_range</v>
      </c>
      <c r="B1024" s="409"/>
      <c r="C1024" s="416"/>
      <c r="D1024" s="198" t="s">
        <v>20080</v>
      </c>
      <c r="E1024" s="198">
        <v>62</v>
      </c>
      <c r="F1024" s="199" t="s">
        <v>20081</v>
      </c>
      <c r="G1024" s="200"/>
      <c r="H1024" s="200"/>
      <c r="I1024" s="346"/>
      <c r="J1024" s="39">
        <v>104826</v>
      </c>
      <c r="K1024" s="36" t="str">
        <f>CONCATENATE(Cover!$D$6,"fdd/view?i=",J1024)</f>
        <v>https://www.dgiwg.org/FAD/fdd/view?i=104826</v>
      </c>
      <c r="L1024" s="36" t="s">
        <v>20082</v>
      </c>
      <c r="M1024" s="186"/>
      <c r="N1024" s="186"/>
      <c r="O1024" s="172"/>
    </row>
    <row r="1025" spans="1:15" x14ac:dyDescent="0.2">
      <c r="A1025" s="197" t="str">
        <f t="shared" si="15"/>
        <v>LfaCode_reil</v>
      </c>
      <c r="B1025" s="409"/>
      <c r="C1025" s="416"/>
      <c r="D1025" s="198" t="s">
        <v>20083</v>
      </c>
      <c r="E1025" s="198">
        <v>5</v>
      </c>
      <c r="F1025" s="199" t="s">
        <v>20084</v>
      </c>
      <c r="G1025" s="1" t="s">
        <v>20085</v>
      </c>
      <c r="H1025" s="200"/>
      <c r="I1025" s="346"/>
      <c r="J1025" s="39">
        <v>104786</v>
      </c>
      <c r="K1025" s="36" t="str">
        <f>CONCATENATE(Cover!$D$6,"fdd/view?i=",J1025)</f>
        <v>https://www.dgiwg.org/FAD/fdd/view?i=104786</v>
      </c>
      <c r="L1025" s="36" t="s">
        <v>20086</v>
      </c>
      <c r="M1025" s="186"/>
      <c r="N1025" s="186"/>
      <c r="O1025" s="172"/>
    </row>
    <row r="1026" spans="1:15" ht="25.5" x14ac:dyDescent="0.2">
      <c r="A1026" s="197" t="str">
        <f t="shared" ref="A1026:A1089" si="16">HYPERLINK(K1026,L1026)</f>
        <v>LfaCode_rotatingBeacon</v>
      </c>
      <c r="B1026" s="409"/>
      <c r="C1026" s="416"/>
      <c r="D1026" s="198" t="s">
        <v>20087</v>
      </c>
      <c r="E1026" s="198">
        <v>10</v>
      </c>
      <c r="F1026" s="199" t="s">
        <v>20088</v>
      </c>
      <c r="G1026" s="200"/>
      <c r="H1026" s="200"/>
      <c r="I1026" s="346"/>
      <c r="J1026" s="39">
        <v>104791</v>
      </c>
      <c r="K1026" s="36" t="str">
        <f>CONCATENATE(Cover!$D$6,"fdd/view?i=",J1026)</f>
        <v>https://www.dgiwg.org/FAD/fdd/view?i=104791</v>
      </c>
      <c r="L1026" s="36" t="s">
        <v>20089</v>
      </c>
      <c r="M1026" s="186"/>
      <c r="N1026" s="186"/>
      <c r="O1026" s="172"/>
    </row>
    <row r="1027" spans="1:15" ht="25.5" x14ac:dyDescent="0.2">
      <c r="A1027" s="197" t="str">
        <f t="shared" si="16"/>
        <v>LfaCode_runwayCentreline</v>
      </c>
      <c r="B1027" s="409"/>
      <c r="C1027" s="416"/>
      <c r="D1027" s="198" t="s">
        <v>20090</v>
      </c>
      <c r="E1027" s="198">
        <v>4</v>
      </c>
      <c r="F1027" s="199" t="s">
        <v>20091</v>
      </c>
      <c r="G1027" s="1" t="s">
        <v>20092</v>
      </c>
      <c r="H1027" s="200"/>
      <c r="I1027" s="346"/>
      <c r="J1027" s="39">
        <v>104785</v>
      </c>
      <c r="K1027" s="36" t="str">
        <f>CONCATENATE(Cover!$D$6,"fdd/view?i=",J1027)</f>
        <v>https://www.dgiwg.org/FAD/fdd/view?i=104785</v>
      </c>
      <c r="L1027" s="36" t="s">
        <v>20093</v>
      </c>
      <c r="M1027" s="186"/>
      <c r="N1027" s="186"/>
      <c r="O1027" s="172"/>
    </row>
    <row r="1028" spans="1:15" x14ac:dyDescent="0.2">
      <c r="A1028" s="197" t="str">
        <f t="shared" si="16"/>
        <v>LfaCode_runwayEdge</v>
      </c>
      <c r="B1028" s="409"/>
      <c r="C1028" s="416"/>
      <c r="D1028" s="198" t="s">
        <v>19400</v>
      </c>
      <c r="E1028" s="198">
        <v>6</v>
      </c>
      <c r="F1028" s="199" t="s">
        <v>19401</v>
      </c>
      <c r="G1028" s="1" t="s">
        <v>20094</v>
      </c>
      <c r="H1028" s="200"/>
      <c r="I1028" s="346"/>
      <c r="J1028" s="39">
        <v>104787</v>
      </c>
      <c r="K1028" s="36" t="str">
        <f>CONCATENATE(Cover!$D$6,"fdd/view?i=",J1028)</f>
        <v>https://www.dgiwg.org/FAD/fdd/view?i=104787</v>
      </c>
      <c r="L1028" s="36" t="s">
        <v>20095</v>
      </c>
      <c r="M1028" s="186"/>
      <c r="N1028" s="186"/>
      <c r="O1028" s="172"/>
    </row>
    <row r="1029" spans="1:15" x14ac:dyDescent="0.2">
      <c r="A1029" s="197" t="str">
        <f t="shared" si="16"/>
        <v>LfaCode_runwayFlood</v>
      </c>
      <c r="B1029" s="409"/>
      <c r="C1029" s="416"/>
      <c r="D1029" s="198" t="s">
        <v>20096</v>
      </c>
      <c r="E1029" s="198">
        <v>27</v>
      </c>
      <c r="F1029" s="199" t="s">
        <v>20097</v>
      </c>
      <c r="G1029" s="1" t="s">
        <v>20098</v>
      </c>
      <c r="H1029" s="200"/>
      <c r="I1029" s="346"/>
      <c r="J1029" s="39">
        <v>104808</v>
      </c>
      <c r="K1029" s="36" t="str">
        <f>CONCATENATE(Cover!$D$6,"fdd/view?i=",J1029)</f>
        <v>https://www.dgiwg.org/FAD/fdd/view?i=104808</v>
      </c>
      <c r="L1029" s="36" t="s">
        <v>20099</v>
      </c>
      <c r="M1029" s="186"/>
      <c r="N1029" s="186"/>
      <c r="O1029" s="172"/>
    </row>
    <row r="1030" spans="1:15" x14ac:dyDescent="0.2">
      <c r="A1030" s="197" t="str">
        <f t="shared" si="16"/>
        <v>LfaCode_seasonal</v>
      </c>
      <c r="B1030" s="409"/>
      <c r="C1030" s="416"/>
      <c r="D1030" s="198" t="s">
        <v>20100</v>
      </c>
      <c r="E1030" s="198">
        <v>63</v>
      </c>
      <c r="F1030" s="199" t="s">
        <v>20101</v>
      </c>
      <c r="G1030" s="200"/>
      <c r="H1030" s="200"/>
      <c r="I1030" s="346"/>
      <c r="J1030" s="39">
        <v>104827</v>
      </c>
      <c r="K1030" s="36" t="str">
        <f>CONCATENATE(Cover!$D$6,"fdd/view?i=",J1030)</f>
        <v>https://www.dgiwg.org/FAD/fdd/view?i=104827</v>
      </c>
      <c r="L1030" s="36" t="s">
        <v>20102</v>
      </c>
      <c r="M1030" s="186"/>
      <c r="N1030" s="186"/>
      <c r="O1030" s="172"/>
    </row>
    <row r="1031" spans="1:15" x14ac:dyDescent="0.2">
      <c r="A1031" s="197" t="str">
        <f t="shared" si="16"/>
        <v>LfaCode_secondary</v>
      </c>
      <c r="B1031" s="409"/>
      <c r="C1031" s="416"/>
      <c r="D1031" s="198" t="s">
        <v>19287</v>
      </c>
      <c r="E1031" s="198">
        <v>68</v>
      </c>
      <c r="F1031" s="199" t="s">
        <v>19288</v>
      </c>
      <c r="G1031" s="200"/>
      <c r="H1031" s="200"/>
      <c r="I1031" s="346"/>
      <c r="J1031" s="39">
        <v>104832</v>
      </c>
      <c r="K1031" s="36" t="str">
        <f>CONCATENATE(Cover!$D$6,"fdd/view?i=",J1031)</f>
        <v>https://www.dgiwg.org/FAD/fdd/view?i=104832</v>
      </c>
      <c r="L1031" s="36" t="s">
        <v>20103</v>
      </c>
      <c r="M1031" s="186"/>
      <c r="N1031" s="186"/>
      <c r="O1031" s="172"/>
    </row>
    <row r="1032" spans="1:15" ht="25.5" x14ac:dyDescent="0.2">
      <c r="A1032" s="197" t="str">
        <f t="shared" si="16"/>
        <v>LfaCode_sequencedFlashingLights</v>
      </c>
      <c r="B1032" s="409"/>
      <c r="C1032" s="416"/>
      <c r="D1032" s="198" t="s">
        <v>20104</v>
      </c>
      <c r="E1032" s="198">
        <v>134</v>
      </c>
      <c r="F1032" s="199" t="s">
        <v>20105</v>
      </c>
      <c r="G1032" s="200"/>
      <c r="H1032" s="200"/>
      <c r="I1032" s="346"/>
      <c r="J1032" s="39">
        <v>110212</v>
      </c>
      <c r="K1032" s="36" t="str">
        <f>CONCATENATE(Cover!$D$6,"fdd/view?i=",J1032)</f>
        <v>https://www.dgiwg.org/FAD/fdd/view?i=110212</v>
      </c>
      <c r="L1032" s="36" t="s">
        <v>20106</v>
      </c>
      <c r="M1032" s="186"/>
      <c r="N1032" s="186"/>
      <c r="O1032" s="172"/>
    </row>
    <row r="1033" spans="1:15" ht="25.5" x14ac:dyDescent="0.2">
      <c r="A1033" s="197" t="str">
        <f t="shared" si="16"/>
        <v>LfaCode_sequencedStrobe</v>
      </c>
      <c r="B1033" s="409"/>
      <c r="C1033" s="416"/>
      <c r="D1033" s="198" t="s">
        <v>20107</v>
      </c>
      <c r="E1033" s="198">
        <v>7</v>
      </c>
      <c r="F1033" s="199" t="s">
        <v>20108</v>
      </c>
      <c r="G1033" s="200"/>
      <c r="H1033" s="200"/>
      <c r="I1033" s="346"/>
      <c r="J1033" s="39">
        <v>104788</v>
      </c>
      <c r="K1033" s="36" t="str">
        <f>CONCATENATE(Cover!$D$6,"fdd/view?i=",J1033)</f>
        <v>https://www.dgiwg.org/FAD/fdd/view?i=104788</v>
      </c>
      <c r="L1033" s="36" t="s">
        <v>20109</v>
      </c>
      <c r="M1033" s="186"/>
      <c r="N1033" s="186"/>
      <c r="O1033" s="172"/>
    </row>
    <row r="1034" spans="1:15" ht="25.5" x14ac:dyDescent="0.2">
      <c r="A1034" s="197" t="str">
        <f t="shared" si="16"/>
        <v>LfaCode_singaporeCentreline</v>
      </c>
      <c r="B1034" s="409"/>
      <c r="C1034" s="416"/>
      <c r="D1034" s="198" t="s">
        <v>20110</v>
      </c>
      <c r="E1034" s="198">
        <v>123</v>
      </c>
      <c r="F1034" s="199" t="s">
        <v>20111</v>
      </c>
      <c r="G1034" s="1" t="s">
        <v>20112</v>
      </c>
      <c r="H1034" s="200"/>
      <c r="I1034" s="346"/>
      <c r="J1034" s="39">
        <v>104861</v>
      </c>
      <c r="K1034" s="36" t="str">
        <f>CONCATENATE(Cover!$D$6,"fdd/view?i=",J1034)</f>
        <v>https://www.dgiwg.org/FAD/fdd/view?i=104861</v>
      </c>
      <c r="L1034" s="36" t="s">
        <v>20113</v>
      </c>
      <c r="M1034" s="186"/>
      <c r="N1034" s="186"/>
      <c r="O1034" s="172"/>
    </row>
    <row r="1035" spans="1:15" ht="25.5" x14ac:dyDescent="0.2">
      <c r="A1035" s="197" t="str">
        <f t="shared" si="16"/>
        <v>LfaCode_singleRowCentreline</v>
      </c>
      <c r="B1035" s="409"/>
      <c r="C1035" s="416"/>
      <c r="D1035" s="198" t="s">
        <v>19274</v>
      </c>
      <c r="E1035" s="198">
        <v>117</v>
      </c>
      <c r="F1035" s="199" t="s">
        <v>20114</v>
      </c>
      <c r="G1035" s="200"/>
      <c r="H1035" s="200"/>
      <c r="I1035" s="346"/>
      <c r="J1035" s="39">
        <v>104855</v>
      </c>
      <c r="K1035" s="36" t="str">
        <f>CONCATENATE(Cover!$D$6,"fdd/view?i=",J1035)</f>
        <v>https://www.dgiwg.org/FAD/fdd/view?i=104855</v>
      </c>
      <c r="L1035" s="36" t="s">
        <v>20115</v>
      </c>
      <c r="M1035" s="186"/>
      <c r="N1035" s="186"/>
      <c r="O1035" s="172"/>
    </row>
    <row r="1036" spans="1:15" ht="25.5" x14ac:dyDescent="0.2">
      <c r="A1036" s="197" t="str">
        <f t="shared" si="16"/>
        <v>LfaCode_ssalf</v>
      </c>
      <c r="B1036" s="409"/>
      <c r="C1036" s="416"/>
      <c r="D1036" s="198" t="s">
        <v>20116</v>
      </c>
      <c r="E1036" s="198">
        <v>17</v>
      </c>
      <c r="F1036" s="199" t="s">
        <v>20117</v>
      </c>
      <c r="G1036" s="1" t="s">
        <v>20118</v>
      </c>
      <c r="H1036" s="200"/>
      <c r="I1036" s="346"/>
      <c r="J1036" s="39">
        <v>104798</v>
      </c>
      <c r="K1036" s="36" t="str">
        <f>CONCATENATE(Cover!$D$6,"fdd/view?i=",J1036)</f>
        <v>https://www.dgiwg.org/FAD/fdd/view?i=104798</v>
      </c>
      <c r="L1036" s="36" t="s">
        <v>20119</v>
      </c>
      <c r="M1036" s="186"/>
      <c r="N1036" s="186"/>
      <c r="O1036" s="172"/>
    </row>
    <row r="1037" spans="1:15" ht="25.5" x14ac:dyDescent="0.2">
      <c r="A1037" s="197" t="str">
        <f t="shared" si="16"/>
        <v>LfaCode_ssalr</v>
      </c>
      <c r="B1037" s="409"/>
      <c r="C1037" s="416"/>
      <c r="D1037" s="198" t="s">
        <v>20120</v>
      </c>
      <c r="E1037" s="198">
        <v>18</v>
      </c>
      <c r="F1037" s="199" t="s">
        <v>20121</v>
      </c>
      <c r="G1037" s="1" t="s">
        <v>20122</v>
      </c>
      <c r="H1037" s="200"/>
      <c r="I1037" s="346"/>
      <c r="J1037" s="39">
        <v>104799</v>
      </c>
      <c r="K1037" s="36" t="str">
        <f>CONCATENATE(Cover!$D$6,"fdd/view?i=",J1037)</f>
        <v>https://www.dgiwg.org/FAD/fdd/view?i=104799</v>
      </c>
      <c r="L1037" s="36" t="s">
        <v>20123</v>
      </c>
      <c r="M1037" s="186"/>
      <c r="N1037" s="186"/>
      <c r="O1037" s="172"/>
    </row>
    <row r="1038" spans="1:15" x14ac:dyDescent="0.2">
      <c r="A1038" s="197" t="str">
        <f t="shared" si="16"/>
        <v>LfaCode_strobe</v>
      </c>
      <c r="B1038" s="409"/>
      <c r="C1038" s="416"/>
      <c r="D1038" s="198" t="s">
        <v>20124</v>
      </c>
      <c r="E1038" s="198">
        <v>26</v>
      </c>
      <c r="F1038" s="199" t="s">
        <v>20125</v>
      </c>
      <c r="G1038" s="1" t="s">
        <v>20126</v>
      </c>
      <c r="H1038" s="200"/>
      <c r="I1038" s="346"/>
      <c r="J1038" s="39">
        <v>104807</v>
      </c>
      <c r="K1038" s="36" t="str">
        <f>CONCATENATE(Cover!$D$6,"fdd/view?i=",J1038)</f>
        <v>https://www.dgiwg.org/FAD/fdd/view?i=104807</v>
      </c>
      <c r="L1038" s="36" t="s">
        <v>20127</v>
      </c>
      <c r="M1038" s="186"/>
      <c r="N1038" s="186"/>
      <c r="O1038" s="172"/>
    </row>
    <row r="1039" spans="1:15" ht="25.5" x14ac:dyDescent="0.2">
      <c r="A1039" s="197" t="str">
        <f t="shared" si="16"/>
        <v>LfaCode_taxiwayLighting</v>
      </c>
      <c r="B1039" s="409"/>
      <c r="C1039" s="416"/>
      <c r="D1039" s="198" t="s">
        <v>20128</v>
      </c>
      <c r="E1039" s="198">
        <v>8</v>
      </c>
      <c r="F1039" s="199" t="s">
        <v>20129</v>
      </c>
      <c r="G1039" s="1" t="s">
        <v>20130</v>
      </c>
      <c r="H1039" s="200"/>
      <c r="I1039" s="346"/>
      <c r="J1039" s="39">
        <v>104789</v>
      </c>
      <c r="K1039" s="36" t="str">
        <f>CONCATENATE(Cover!$D$6,"fdd/view?i=",J1039)</f>
        <v>https://www.dgiwg.org/FAD/fdd/view?i=104789</v>
      </c>
      <c r="L1039" s="36" t="s">
        <v>20131</v>
      </c>
      <c r="M1039" s="186"/>
      <c r="N1039" s="186"/>
      <c r="O1039" s="172"/>
    </row>
    <row r="1040" spans="1:15" x14ac:dyDescent="0.2">
      <c r="A1040" s="197" t="str">
        <f t="shared" si="16"/>
        <v>LfaCode_threshold</v>
      </c>
      <c r="B1040" s="409"/>
      <c r="C1040" s="416"/>
      <c r="D1040" s="198" t="s">
        <v>19448</v>
      </c>
      <c r="E1040" s="198">
        <v>12</v>
      </c>
      <c r="F1040" s="199" t="s">
        <v>19449</v>
      </c>
      <c r="G1040" s="1" t="s">
        <v>20132</v>
      </c>
      <c r="H1040" s="200"/>
      <c r="I1040" s="346"/>
      <c r="J1040" s="39">
        <v>104793</v>
      </c>
      <c r="K1040" s="36" t="str">
        <f>CONCATENATE(Cover!$D$6,"fdd/view?i=",J1040)</f>
        <v>https://www.dgiwg.org/FAD/fdd/view?i=104793</v>
      </c>
      <c r="L1040" s="36" t="s">
        <v>20133</v>
      </c>
      <c r="M1040" s="186"/>
      <c r="N1040" s="186"/>
      <c r="O1040" s="172"/>
    </row>
    <row r="1041" spans="1:15" x14ac:dyDescent="0.2">
      <c r="A1041" s="197" t="str">
        <f t="shared" si="16"/>
        <v>LfaCode_tidal</v>
      </c>
      <c r="B1041" s="409"/>
      <c r="C1041" s="416"/>
      <c r="D1041" s="198" t="s">
        <v>20134</v>
      </c>
      <c r="E1041" s="198">
        <v>64</v>
      </c>
      <c r="F1041" s="199" t="s">
        <v>20135</v>
      </c>
      <c r="G1041" s="200"/>
      <c r="H1041" s="200"/>
      <c r="I1041" s="346"/>
      <c r="J1041" s="39">
        <v>104828</v>
      </c>
      <c r="K1041" s="36" t="str">
        <f>CONCATENATE(Cover!$D$6,"fdd/view?i=",J1041)</f>
        <v>https://www.dgiwg.org/FAD/fdd/view?i=104828</v>
      </c>
      <c r="L1041" s="36" t="s">
        <v>20136</v>
      </c>
      <c r="M1041" s="186"/>
      <c r="N1041" s="186"/>
      <c r="O1041" s="172"/>
    </row>
    <row r="1042" spans="1:15" ht="25.5" x14ac:dyDescent="0.2">
      <c r="A1042" s="197" t="str">
        <f t="shared" si="16"/>
        <v>LfaCode_touchdownZone</v>
      </c>
      <c r="B1042" s="409"/>
      <c r="C1042" s="416"/>
      <c r="D1042" s="198" t="s">
        <v>19458</v>
      </c>
      <c r="E1042" s="198">
        <v>13</v>
      </c>
      <c r="F1042" s="199" t="s">
        <v>19459</v>
      </c>
      <c r="G1042" s="1" t="s">
        <v>20137</v>
      </c>
      <c r="H1042" s="200"/>
      <c r="I1042" s="346"/>
      <c r="J1042" s="39">
        <v>104794</v>
      </c>
      <c r="K1042" s="36" t="str">
        <f>CONCATENATE(Cover!$D$6,"fdd/view?i=",J1042)</f>
        <v>https://www.dgiwg.org/FAD/fdd/view?i=104794</v>
      </c>
      <c r="L1042" s="36" t="s">
        <v>20138</v>
      </c>
      <c r="M1042" s="186"/>
      <c r="N1042" s="186"/>
      <c r="O1042" s="172"/>
    </row>
    <row r="1043" spans="1:15" x14ac:dyDescent="0.2">
      <c r="A1043" s="197" t="str">
        <f t="shared" si="16"/>
        <v>LfaCode_tVasi</v>
      </c>
      <c r="B1043" s="409"/>
      <c r="C1043" s="416"/>
      <c r="D1043" s="198" t="s">
        <v>20139</v>
      </c>
      <c r="E1043" s="198">
        <v>125</v>
      </c>
      <c r="F1043" s="199" t="s">
        <v>20140</v>
      </c>
      <c r="G1043" s="349" t="s">
        <v>20141</v>
      </c>
      <c r="H1043" s="200"/>
      <c r="I1043" s="346"/>
      <c r="J1043" s="39">
        <v>104863</v>
      </c>
      <c r="K1043" s="36" t="str">
        <f>CONCATENATE(Cover!$D$6,"fdd/view?i=",J1043)</f>
        <v>https://www.dgiwg.org/FAD/fdd/view?i=104863</v>
      </c>
      <c r="L1043" s="36" t="s">
        <v>20142</v>
      </c>
      <c r="M1043" s="186"/>
      <c r="N1043" s="186"/>
      <c r="O1043" s="172"/>
    </row>
    <row r="1044" spans="1:15" ht="25.5" x14ac:dyDescent="0.2">
      <c r="A1044" s="197" t="str">
        <f t="shared" si="16"/>
        <v>LfaCode_twoParallelRows</v>
      </c>
      <c r="B1044" s="409"/>
      <c r="C1044" s="416"/>
      <c r="D1044" s="198" t="s">
        <v>20143</v>
      </c>
      <c r="E1044" s="198">
        <v>113</v>
      </c>
      <c r="F1044" s="199" t="s">
        <v>20144</v>
      </c>
      <c r="G1044" s="200"/>
      <c r="H1044" s="200"/>
      <c r="I1044" s="346"/>
      <c r="J1044" s="39">
        <v>104851</v>
      </c>
      <c r="K1044" s="36" t="str">
        <f>CONCATENATE(Cover!$D$6,"fdd/view?i=",J1044)</f>
        <v>https://www.dgiwg.org/FAD/fdd/view?i=104851</v>
      </c>
      <c r="L1044" s="36" t="s">
        <v>20145</v>
      </c>
      <c r="M1044" s="186"/>
      <c r="N1044" s="186"/>
      <c r="O1044" s="172"/>
    </row>
    <row r="1045" spans="1:15" ht="25.5" x14ac:dyDescent="0.2">
      <c r="A1045" s="197" t="str">
        <f t="shared" si="16"/>
        <v>LfaCode_usConfigurationB</v>
      </c>
      <c r="B1045" s="409"/>
      <c r="C1045" s="416"/>
      <c r="D1045" s="198" t="s">
        <v>20146</v>
      </c>
      <c r="E1045" s="198">
        <v>102</v>
      </c>
      <c r="F1045" s="199" t="s">
        <v>20147</v>
      </c>
      <c r="G1045" s="200"/>
      <c r="H1045" s="200"/>
      <c r="I1045" s="346"/>
      <c r="J1045" s="39">
        <v>104840</v>
      </c>
      <c r="K1045" s="36" t="str">
        <f>CONCATENATE(Cover!$D$6,"fdd/view?i=",J1045)</f>
        <v>https://www.dgiwg.org/FAD/fdd/view?i=104840</v>
      </c>
      <c r="L1045" s="36" t="s">
        <v>20148</v>
      </c>
      <c r="M1045" s="186"/>
      <c r="N1045" s="186"/>
      <c r="O1045" s="172"/>
    </row>
    <row r="1046" spans="1:15" ht="25.5" x14ac:dyDescent="0.2">
      <c r="A1046" s="197" t="str">
        <f t="shared" si="16"/>
        <v>LfaCode_variableIntenseRunwayLight</v>
      </c>
      <c r="B1046" s="409"/>
      <c r="C1046" s="416"/>
      <c r="D1046" s="198" t="s">
        <v>20149</v>
      </c>
      <c r="E1046" s="198">
        <v>28</v>
      </c>
      <c r="F1046" s="199" t="s">
        <v>20150</v>
      </c>
      <c r="G1046" s="200"/>
      <c r="H1046" s="200"/>
      <c r="I1046" s="346"/>
      <c r="J1046" s="39">
        <v>104809</v>
      </c>
      <c r="K1046" s="36" t="str">
        <f>CONCATENATE(Cover!$D$6,"fdd/view?i=",J1046)</f>
        <v>https://www.dgiwg.org/FAD/fdd/view?i=104809</v>
      </c>
      <c r="L1046" s="36" t="s">
        <v>20151</v>
      </c>
      <c r="M1046" s="186"/>
      <c r="N1046" s="186"/>
      <c r="O1046" s="172"/>
    </row>
    <row r="1047" spans="1:15" x14ac:dyDescent="0.2">
      <c r="A1047" s="197" t="str">
        <f t="shared" si="16"/>
        <v>LfaCode_vasi</v>
      </c>
      <c r="B1047" s="409"/>
      <c r="C1047" s="416"/>
      <c r="D1047" s="198" t="s">
        <v>20152</v>
      </c>
      <c r="E1047" s="198">
        <v>9</v>
      </c>
      <c r="F1047" s="199" t="s">
        <v>20153</v>
      </c>
      <c r="G1047" s="1" t="s">
        <v>20154</v>
      </c>
      <c r="H1047" s="200"/>
      <c r="I1047" s="346"/>
      <c r="J1047" s="39">
        <v>104790</v>
      </c>
      <c r="K1047" s="36" t="str">
        <f>CONCATENATE(Cover!$D$6,"fdd/view?i=",J1047)</f>
        <v>https://www.dgiwg.org/FAD/fdd/view?i=104790</v>
      </c>
      <c r="L1047" s="36" t="s">
        <v>20155</v>
      </c>
      <c r="M1047" s="186"/>
      <c r="N1047" s="186"/>
      <c r="O1047" s="172"/>
    </row>
    <row r="1048" spans="1:15" x14ac:dyDescent="0.2">
      <c r="A1048" s="197" t="str">
        <f t="shared" si="16"/>
        <v>LfaCode_vasi2Bar</v>
      </c>
      <c r="B1048" s="409"/>
      <c r="C1048" s="416"/>
      <c r="D1048" s="198" t="s">
        <v>20156</v>
      </c>
      <c r="E1048" s="198">
        <v>71</v>
      </c>
      <c r="F1048" s="199" t="s">
        <v>20157</v>
      </c>
      <c r="G1048" s="1" t="s">
        <v>20158</v>
      </c>
      <c r="H1048" s="200"/>
      <c r="I1048" s="346"/>
      <c r="J1048" s="39">
        <v>104835</v>
      </c>
      <c r="K1048" s="36" t="str">
        <f>CONCATENATE(Cover!$D$6,"fdd/view?i=",J1048)</f>
        <v>https://www.dgiwg.org/FAD/fdd/view?i=104835</v>
      </c>
      <c r="L1048" s="36" t="s">
        <v>20159</v>
      </c>
      <c r="M1048" s="186"/>
      <c r="N1048" s="186"/>
      <c r="O1048" s="172"/>
    </row>
    <row r="1049" spans="1:15" x14ac:dyDescent="0.2">
      <c r="A1049" s="197" t="str">
        <f t="shared" si="16"/>
        <v>LfaCode_vasi3Bar</v>
      </c>
      <c r="B1049" s="409"/>
      <c r="C1049" s="416"/>
      <c r="D1049" s="198" t="s">
        <v>20160</v>
      </c>
      <c r="E1049" s="198">
        <v>32</v>
      </c>
      <c r="F1049" s="199" t="s">
        <v>20161</v>
      </c>
      <c r="G1049" s="1" t="s">
        <v>20162</v>
      </c>
      <c r="H1049" s="200"/>
      <c r="I1049" s="346"/>
      <c r="J1049" s="39">
        <v>104813</v>
      </c>
      <c r="K1049" s="36" t="str">
        <f>CONCATENATE(Cover!$D$6,"fdd/view?i=",J1049)</f>
        <v>https://www.dgiwg.org/FAD/fdd/view?i=104813</v>
      </c>
      <c r="L1049" s="36" t="s">
        <v>20163</v>
      </c>
      <c r="M1049" s="186"/>
      <c r="N1049" s="186"/>
      <c r="O1049" s="172"/>
    </row>
    <row r="1050" spans="1:15" ht="25.5" x14ac:dyDescent="0.2">
      <c r="A1050" s="197" t="str">
        <f t="shared" si="16"/>
        <v>LfaCode_vasiWithThreshIndicator</v>
      </c>
      <c r="B1050" s="409"/>
      <c r="C1050" s="416"/>
      <c r="D1050" s="198" t="s">
        <v>20164</v>
      </c>
      <c r="E1050" s="198">
        <v>128</v>
      </c>
      <c r="F1050" s="199" t="s">
        <v>20165</v>
      </c>
      <c r="G1050" s="1" t="s">
        <v>20166</v>
      </c>
      <c r="H1050" s="1" t="s">
        <v>20167</v>
      </c>
      <c r="I1050" s="346"/>
      <c r="J1050" s="39">
        <v>104866</v>
      </c>
      <c r="K1050" s="36" t="str">
        <f>CONCATENATE(Cover!$D$6,"fdd/view?i=",J1050)</f>
        <v>https://www.dgiwg.org/FAD/fdd/view?i=104866</v>
      </c>
      <c r="L1050" s="36" t="s">
        <v>20168</v>
      </c>
      <c r="M1050" s="186"/>
      <c r="N1050" s="186"/>
      <c r="O1050" s="172"/>
    </row>
    <row r="1051" spans="1:15" x14ac:dyDescent="0.2">
      <c r="A1051" s="197" t="str">
        <f t="shared" si="16"/>
        <v>LfaCode_vertical</v>
      </c>
      <c r="B1051" s="409"/>
      <c r="C1051" s="416"/>
      <c r="D1051" s="198" t="s">
        <v>20169</v>
      </c>
      <c r="E1051" s="198">
        <v>65</v>
      </c>
      <c r="F1051" s="199" t="s">
        <v>20170</v>
      </c>
      <c r="G1051" s="200"/>
      <c r="H1051" s="200"/>
      <c r="I1051" s="346"/>
      <c r="J1051" s="39">
        <v>104829</v>
      </c>
      <c r="K1051" s="36" t="str">
        <f>CONCATENATE(Cover!$D$6,"fdd/view?i=",J1051)</f>
        <v>https://www.dgiwg.org/FAD/fdd/view?i=104829</v>
      </c>
      <c r="L1051" s="36" t="s">
        <v>20171</v>
      </c>
      <c r="M1051" s="186"/>
      <c r="N1051" s="186"/>
      <c r="O1051" s="172"/>
    </row>
    <row r="1052" spans="1:15" ht="25.5" x14ac:dyDescent="0.2">
      <c r="A1052" s="203" t="str">
        <f t="shared" si="16"/>
        <v>LfaCode_windIndicatorLights</v>
      </c>
      <c r="B1052" s="410"/>
      <c r="C1052" s="417"/>
      <c r="D1052" s="204" t="s">
        <v>20172</v>
      </c>
      <c r="E1052" s="204">
        <v>31</v>
      </c>
      <c r="F1052" s="205" t="s">
        <v>20173</v>
      </c>
      <c r="G1052" s="207"/>
      <c r="H1052" s="207"/>
      <c r="I1052" s="347"/>
      <c r="J1052" s="39">
        <v>104812</v>
      </c>
      <c r="K1052" s="36" t="str">
        <f>CONCATENATE(Cover!$D$6,"fdd/view?i=",J1052)</f>
        <v>https://www.dgiwg.org/FAD/fdd/view?i=104812</v>
      </c>
      <c r="L1052" s="36" t="s">
        <v>20174</v>
      </c>
      <c r="M1052" s="186"/>
      <c r="N1052" s="186"/>
      <c r="O1052" s="172"/>
    </row>
    <row r="1053" spans="1:15" ht="25.5" x14ac:dyDescent="0.2">
      <c r="A1053" s="190" t="str">
        <f t="shared" si="16"/>
        <v>AauCode_airspaceDelegation</v>
      </c>
      <c r="B1053" s="414" t="str">
        <f>HYPERLINK("[#]Datatypes!A72:L72","AauCode")</f>
        <v>AauCode</v>
      </c>
      <c r="C1053" s="415" t="s">
        <v>14623</v>
      </c>
      <c r="D1053" s="221" t="s">
        <v>20176</v>
      </c>
      <c r="E1053" s="221">
        <v>2</v>
      </c>
      <c r="F1053" s="222" t="s">
        <v>20177</v>
      </c>
      <c r="G1053" s="223" t="s">
        <v>20178</v>
      </c>
      <c r="H1053" s="224"/>
      <c r="I1053" s="345"/>
      <c r="J1053" s="39">
        <v>114713</v>
      </c>
      <c r="K1053" s="36" t="str">
        <f>CONCATENATE(Cover!$D$6,"fdd/view?i=",J1053)</f>
        <v>https://www.dgiwg.org/FAD/fdd/view?i=114713</v>
      </c>
      <c r="L1053" s="36" t="s">
        <v>20179</v>
      </c>
      <c r="M1053" s="186"/>
      <c r="N1053" s="186"/>
      <c r="O1053" s="13" t="s">
        <v>20175</v>
      </c>
    </row>
    <row r="1054" spans="1:15" ht="25.5" x14ac:dyDescent="0.2">
      <c r="A1054" s="197" t="str">
        <f t="shared" si="16"/>
        <v>AauCode_airspaceOwnership</v>
      </c>
      <c r="B1054" s="409"/>
      <c r="C1054" s="416"/>
      <c r="D1054" s="198" t="s">
        <v>20181</v>
      </c>
      <c r="E1054" s="198">
        <v>4</v>
      </c>
      <c r="F1054" s="199" t="s">
        <v>20182</v>
      </c>
      <c r="G1054" s="1" t="s">
        <v>20183</v>
      </c>
      <c r="H1054" s="200"/>
      <c r="I1054" s="346"/>
      <c r="J1054" s="39">
        <v>114715</v>
      </c>
      <c r="K1054" s="36" t="str">
        <f>CONCATENATE(Cover!$D$6,"fdd/view?i=",J1054)</f>
        <v>https://www.dgiwg.org/FAD/fdd/view?i=114715</v>
      </c>
      <c r="L1054" s="36" t="s">
        <v>20184</v>
      </c>
      <c r="M1054" s="186"/>
      <c r="N1054" s="186"/>
      <c r="O1054" s="13" t="s">
        <v>20180</v>
      </c>
    </row>
    <row r="1055" spans="1:15" ht="38.25" x14ac:dyDescent="0.2">
      <c r="A1055" s="197" t="str">
        <f t="shared" si="16"/>
        <v>AauCode_aisAuthority</v>
      </c>
      <c r="B1055" s="409"/>
      <c r="C1055" s="416"/>
      <c r="D1055" s="198" t="s">
        <v>20186</v>
      </c>
      <c r="E1055" s="198">
        <v>1</v>
      </c>
      <c r="F1055" s="199" t="s">
        <v>20187</v>
      </c>
      <c r="G1055" s="1" t="s">
        <v>20188</v>
      </c>
      <c r="H1055" s="200"/>
      <c r="I1055" s="346"/>
      <c r="J1055" s="39">
        <v>114712</v>
      </c>
      <c r="K1055" s="36" t="str">
        <f>CONCATENATE(Cover!$D$6,"fdd/view?i=",J1055)</f>
        <v>https://www.dgiwg.org/FAD/fdd/view?i=114712</v>
      </c>
      <c r="L1055" s="36" t="s">
        <v>20189</v>
      </c>
      <c r="M1055" s="186"/>
      <c r="N1055" s="186"/>
      <c r="O1055" s="13" t="s">
        <v>20185</v>
      </c>
    </row>
    <row r="1056" spans="1:15" ht="25.5" x14ac:dyDescent="0.2">
      <c r="A1056" s="203" t="str">
        <f t="shared" si="16"/>
        <v>AauCode_otherResponsibleAuthority</v>
      </c>
      <c r="B1056" s="410"/>
      <c r="C1056" s="417"/>
      <c r="D1056" s="204" t="s">
        <v>20191</v>
      </c>
      <c r="E1056" s="204">
        <v>3</v>
      </c>
      <c r="F1056" s="205" t="s">
        <v>20192</v>
      </c>
      <c r="G1056" s="206" t="s">
        <v>20193</v>
      </c>
      <c r="H1056" s="207"/>
      <c r="I1056" s="347"/>
      <c r="J1056" s="39">
        <v>114714</v>
      </c>
      <c r="K1056" s="36" t="str">
        <f>CONCATENATE(Cover!$D$6,"fdd/view?i=",J1056)</f>
        <v>https://www.dgiwg.org/FAD/fdd/view?i=114714</v>
      </c>
      <c r="L1056" s="36" t="s">
        <v>20194</v>
      </c>
      <c r="M1056" s="186"/>
      <c r="N1056" s="186"/>
      <c r="O1056" s="13" t="s">
        <v>20190</v>
      </c>
    </row>
    <row r="1057" spans="1:15" x14ac:dyDescent="0.2">
      <c r="A1057" s="190" t="str">
        <f t="shared" si="16"/>
        <v>ArtCode_both</v>
      </c>
      <c r="B1057" s="414" t="str">
        <f>HYPERLINK("[#]Datatypes!A74:L74","ArtCode")</f>
        <v>ArtCode</v>
      </c>
      <c r="C1057" s="415" t="s">
        <v>14625</v>
      </c>
      <c r="D1057" s="221" t="s">
        <v>20195</v>
      </c>
      <c r="E1057" s="221">
        <v>3</v>
      </c>
      <c r="F1057" s="222" t="s">
        <v>20196</v>
      </c>
      <c r="G1057" s="223" t="s">
        <v>20197</v>
      </c>
      <c r="H1057" s="224"/>
      <c r="I1057" s="345"/>
      <c r="J1057" s="39">
        <v>119497</v>
      </c>
      <c r="K1057" s="36" t="str">
        <f>CONCATENATE(Cover!$D$6,"fdd/view?i=",J1057)</f>
        <v>https://www.dgiwg.org/FAD/fdd/view?i=119497</v>
      </c>
      <c r="L1057" s="36" t="s">
        <v>20198</v>
      </c>
      <c r="M1057" s="186"/>
      <c r="N1057" s="186"/>
      <c r="O1057" s="172"/>
    </row>
    <row r="1058" spans="1:15" x14ac:dyDescent="0.2">
      <c r="A1058" s="197" t="str">
        <f t="shared" si="16"/>
        <v>ArtCode_high</v>
      </c>
      <c r="B1058" s="409"/>
      <c r="C1058" s="416"/>
      <c r="D1058" s="198" t="s">
        <v>20199</v>
      </c>
      <c r="E1058" s="198">
        <v>2</v>
      </c>
      <c r="F1058" s="199" t="s">
        <v>20200</v>
      </c>
      <c r="G1058" s="1" t="s">
        <v>20201</v>
      </c>
      <c r="H1058" s="200"/>
      <c r="I1058" s="346"/>
      <c r="J1058" s="39">
        <v>119496</v>
      </c>
      <c r="K1058" s="36" t="str">
        <f>CONCATENATE(Cover!$D$6,"fdd/view?i=",J1058)</f>
        <v>https://www.dgiwg.org/FAD/fdd/view?i=119496</v>
      </c>
      <c r="L1058" s="36" t="s">
        <v>20202</v>
      </c>
      <c r="M1058" s="186"/>
      <c r="N1058" s="186"/>
      <c r="O1058" s="172"/>
    </row>
    <row r="1059" spans="1:15" x14ac:dyDescent="0.2">
      <c r="A1059" s="203" t="str">
        <f t="shared" si="16"/>
        <v>ArtCode_low</v>
      </c>
      <c r="B1059" s="410"/>
      <c r="C1059" s="417"/>
      <c r="D1059" s="204" t="s">
        <v>20203</v>
      </c>
      <c r="E1059" s="204">
        <v>1</v>
      </c>
      <c r="F1059" s="205" t="s">
        <v>20204</v>
      </c>
      <c r="G1059" s="206" t="s">
        <v>20205</v>
      </c>
      <c r="H1059" s="207"/>
      <c r="I1059" s="347"/>
      <c r="J1059" s="39">
        <v>119495</v>
      </c>
      <c r="K1059" s="36" t="str">
        <f>CONCATENATE(Cover!$D$6,"fdd/view?i=",J1059)</f>
        <v>https://www.dgiwg.org/FAD/fdd/view?i=119495</v>
      </c>
      <c r="L1059" s="36" t="s">
        <v>20206</v>
      </c>
      <c r="M1059" s="186"/>
      <c r="N1059" s="186"/>
      <c r="O1059" s="172"/>
    </row>
    <row r="1060" spans="1:15" x14ac:dyDescent="0.2">
      <c r="A1060" s="190" t="str">
        <f t="shared" si="16"/>
        <v>AsoCode_conditional</v>
      </c>
      <c r="B1060" s="414" t="str">
        <f>HYPERLINK("[#]Datatypes!A76:L76","AsoCode")</f>
        <v>AsoCode</v>
      </c>
      <c r="C1060" s="415" t="s">
        <v>14627</v>
      </c>
      <c r="D1060" s="221" t="s">
        <v>20207</v>
      </c>
      <c r="E1060" s="221">
        <v>6</v>
      </c>
      <c r="F1060" s="222" t="s">
        <v>20208</v>
      </c>
      <c r="G1060" s="223" t="s">
        <v>20209</v>
      </c>
      <c r="H1060" s="224"/>
      <c r="I1060" s="345"/>
      <c r="J1060" s="39">
        <v>116504</v>
      </c>
      <c r="K1060" s="36" t="str">
        <f>CONCATENATE(Cover!$D$6,"fdd/view?i=",J1060)</f>
        <v>https://www.dgiwg.org/FAD/fdd/view?i=116504</v>
      </c>
      <c r="L1060" s="36" t="s">
        <v>20210</v>
      </c>
      <c r="M1060" s="186"/>
      <c r="N1060" s="186"/>
      <c r="O1060" s="172"/>
    </row>
    <row r="1061" spans="1:15" x14ac:dyDescent="0.2">
      <c r="A1061" s="197" t="str">
        <f t="shared" si="16"/>
        <v>AsoCode_displaced</v>
      </c>
      <c r="B1061" s="409"/>
      <c r="C1061" s="416"/>
      <c r="D1061" s="198" t="s">
        <v>20211</v>
      </c>
      <c r="E1061" s="198">
        <v>10</v>
      </c>
      <c r="F1061" s="199" t="s">
        <v>20212</v>
      </c>
      <c r="G1061" s="1" t="s">
        <v>20213</v>
      </c>
      <c r="H1061" s="200"/>
      <c r="I1061" s="346"/>
      <c r="J1061" s="39">
        <v>116508</v>
      </c>
      <c r="K1061" s="36" t="str">
        <f>CONCATENATE(Cover!$D$6,"fdd/view?i=",J1061)</f>
        <v>https://www.dgiwg.org/FAD/fdd/view?i=116508</v>
      </c>
      <c r="L1061" s="36" t="s">
        <v>20214</v>
      </c>
      <c r="M1061" s="186"/>
      <c r="N1061" s="186"/>
      <c r="O1061" s="172"/>
    </row>
    <row r="1062" spans="1:15" ht="25.5" x14ac:dyDescent="0.2">
      <c r="A1062" s="197" t="str">
        <f t="shared" si="16"/>
        <v>AsoCode_falseIndicationDefinite</v>
      </c>
      <c r="B1062" s="409"/>
      <c r="C1062" s="416"/>
      <c r="D1062" s="198" t="s">
        <v>20215</v>
      </c>
      <c r="E1062" s="198">
        <v>7</v>
      </c>
      <c r="F1062" s="199" t="s">
        <v>20216</v>
      </c>
      <c r="G1062" s="1" t="s">
        <v>20217</v>
      </c>
      <c r="H1062" s="200"/>
      <c r="I1062" s="346"/>
      <c r="J1062" s="39">
        <v>116505</v>
      </c>
      <c r="K1062" s="36" t="str">
        <f>CONCATENATE(Cover!$D$6,"fdd/view?i=",J1062)</f>
        <v>https://www.dgiwg.org/FAD/fdd/view?i=116505</v>
      </c>
      <c r="L1062" s="36" t="s">
        <v>20218</v>
      </c>
      <c r="M1062" s="186"/>
      <c r="N1062" s="186"/>
      <c r="O1062" s="172"/>
    </row>
    <row r="1063" spans="1:15" ht="25.5" x14ac:dyDescent="0.2">
      <c r="A1063" s="197" t="str">
        <f t="shared" si="16"/>
        <v>AsoCode_falseIndicationPossible</v>
      </c>
      <c r="B1063" s="409"/>
      <c r="C1063" s="416"/>
      <c r="D1063" s="198" t="s">
        <v>20219</v>
      </c>
      <c r="E1063" s="198">
        <v>8</v>
      </c>
      <c r="F1063" s="199" t="s">
        <v>20220</v>
      </c>
      <c r="G1063" s="1" t="s">
        <v>20221</v>
      </c>
      <c r="H1063" s="200"/>
      <c r="I1063" s="346"/>
      <c r="J1063" s="39">
        <v>116506</v>
      </c>
      <c r="K1063" s="36" t="str">
        <f>CONCATENATE(Cover!$D$6,"fdd/view?i=",J1063)</f>
        <v>https://www.dgiwg.org/FAD/fdd/view?i=116506</v>
      </c>
      <c r="L1063" s="36" t="s">
        <v>20222</v>
      </c>
      <c r="M1063" s="186"/>
      <c r="N1063" s="186"/>
      <c r="O1063" s="172"/>
    </row>
    <row r="1064" spans="1:15" ht="25.5" x14ac:dyDescent="0.2">
      <c r="A1064" s="197" t="str">
        <f t="shared" si="16"/>
        <v>AsoCode_inConstruction</v>
      </c>
      <c r="B1064" s="409"/>
      <c r="C1064" s="416"/>
      <c r="D1064" s="198" t="s">
        <v>20223</v>
      </c>
      <c r="E1064" s="198">
        <v>11</v>
      </c>
      <c r="F1064" s="199" t="s">
        <v>20224</v>
      </c>
      <c r="G1064" s="1" t="s">
        <v>20225</v>
      </c>
      <c r="H1064" s="200"/>
      <c r="I1064" s="346"/>
      <c r="J1064" s="39">
        <v>116509</v>
      </c>
      <c r="K1064" s="36" t="str">
        <f>CONCATENATE(Cover!$D$6,"fdd/view?i=",J1064)</f>
        <v>https://www.dgiwg.org/FAD/fdd/view?i=116509</v>
      </c>
      <c r="L1064" s="36" t="s">
        <v>20226</v>
      </c>
      <c r="M1064" s="186"/>
      <c r="N1064" s="186"/>
      <c r="O1064" s="172"/>
    </row>
    <row r="1065" spans="1:15" x14ac:dyDescent="0.2">
      <c r="A1065" s="197" t="str">
        <f t="shared" si="16"/>
        <v>AsoCode_intermittent</v>
      </c>
      <c r="B1065" s="409"/>
      <c r="C1065" s="416"/>
      <c r="D1065" s="198" t="s">
        <v>20227</v>
      </c>
      <c r="E1065" s="198">
        <v>13</v>
      </c>
      <c r="F1065" s="199" t="s">
        <v>20228</v>
      </c>
      <c r="G1065" s="1" t="s">
        <v>20229</v>
      </c>
      <c r="H1065" s="200"/>
      <c r="I1065" s="346"/>
      <c r="J1065" s="39">
        <v>116511</v>
      </c>
      <c r="K1065" s="36" t="str">
        <f>CONCATENATE(Cover!$D$6,"fdd/view?i=",J1065)</f>
        <v>https://www.dgiwg.org/FAD/fdd/view?i=116511</v>
      </c>
      <c r="L1065" s="36" t="s">
        <v>20230</v>
      </c>
      <c r="M1065" s="186"/>
      <c r="N1065" s="186"/>
      <c r="O1065" s="172"/>
    </row>
    <row r="1066" spans="1:15" x14ac:dyDescent="0.2">
      <c r="A1066" s="197" t="str">
        <f t="shared" si="16"/>
        <v>AsoCode_interrupt</v>
      </c>
      <c r="B1066" s="409"/>
      <c r="C1066" s="416"/>
      <c r="D1066" s="198" t="s">
        <v>20231</v>
      </c>
      <c r="E1066" s="198">
        <v>4</v>
      </c>
      <c r="F1066" s="199" t="s">
        <v>20232</v>
      </c>
      <c r="G1066" s="1" t="s">
        <v>20233</v>
      </c>
      <c r="H1066" s="200"/>
      <c r="I1066" s="346"/>
      <c r="J1066" s="39">
        <v>116502</v>
      </c>
      <c r="K1066" s="36" t="str">
        <f>CONCATENATE(Cover!$D$6,"fdd/view?i=",J1066)</f>
        <v>https://www.dgiwg.org/FAD/fdd/view?i=116502</v>
      </c>
      <c r="L1066" s="36" t="s">
        <v>20234</v>
      </c>
      <c r="M1066" s="186"/>
      <c r="N1066" s="186"/>
      <c r="O1066" s="172"/>
    </row>
    <row r="1067" spans="1:15" x14ac:dyDescent="0.2">
      <c r="A1067" s="197" t="str">
        <f t="shared" si="16"/>
        <v>AsoCode_irregular</v>
      </c>
      <c r="B1067" s="409"/>
      <c r="C1067" s="416"/>
      <c r="D1067" s="198" t="s">
        <v>20235</v>
      </c>
      <c r="E1067" s="198">
        <v>14</v>
      </c>
      <c r="F1067" s="199" t="s">
        <v>20236</v>
      </c>
      <c r="G1067" s="1" t="s">
        <v>20237</v>
      </c>
      <c r="H1067" s="200"/>
      <c r="I1067" s="346"/>
      <c r="J1067" s="39">
        <v>116512</v>
      </c>
      <c r="K1067" s="36" t="str">
        <f>CONCATENATE(Cover!$D$6,"fdd/view?i=",J1067)</f>
        <v>https://www.dgiwg.org/FAD/fdd/view?i=116512</v>
      </c>
      <c r="L1067" s="36" t="s">
        <v>20238</v>
      </c>
      <c r="M1067" s="186"/>
      <c r="N1067" s="186"/>
      <c r="O1067" s="172"/>
    </row>
    <row r="1068" spans="1:15" ht="25.5" x14ac:dyDescent="0.2">
      <c r="A1068" s="197" t="str">
        <f t="shared" si="16"/>
        <v>AsoCode_limited</v>
      </c>
      <c r="B1068" s="409"/>
      <c r="C1068" s="416"/>
      <c r="D1068" s="198" t="s">
        <v>16515</v>
      </c>
      <c r="E1068" s="198">
        <v>5</v>
      </c>
      <c r="F1068" s="199" t="s">
        <v>16516</v>
      </c>
      <c r="G1068" s="1" t="s">
        <v>20239</v>
      </c>
      <c r="H1068" s="1" t="s">
        <v>20240</v>
      </c>
      <c r="I1068" s="346"/>
      <c r="J1068" s="39">
        <v>116503</v>
      </c>
      <c r="K1068" s="36" t="str">
        <f>CONCATENATE(Cover!$D$6,"fdd/view?i=",J1068)</f>
        <v>https://www.dgiwg.org/FAD/fdd/view?i=116503</v>
      </c>
      <c r="L1068" s="36" t="s">
        <v>20241</v>
      </c>
      <c r="M1068" s="186"/>
      <c r="N1068" s="186"/>
      <c r="O1068" s="172"/>
    </row>
    <row r="1069" spans="1:15" ht="25.5" x14ac:dyDescent="0.2">
      <c r="A1069" s="197" t="str">
        <f t="shared" si="16"/>
        <v>AsoCode_navaidDmeOutOfService</v>
      </c>
      <c r="B1069" s="409"/>
      <c r="C1069" s="416"/>
      <c r="D1069" s="198" t="s">
        <v>20242</v>
      </c>
      <c r="E1069" s="198">
        <v>15</v>
      </c>
      <c r="F1069" s="199" t="s">
        <v>20243</v>
      </c>
      <c r="G1069" s="1" t="s">
        <v>20244</v>
      </c>
      <c r="H1069" s="1" t="s">
        <v>20245</v>
      </c>
      <c r="I1069" s="346"/>
      <c r="J1069" s="39">
        <v>119640</v>
      </c>
      <c r="K1069" s="36" t="str">
        <f>CONCATENATE(Cover!$D$6,"fdd/view?i=",J1069)</f>
        <v>https://www.dgiwg.org/FAD/fdd/view?i=119640</v>
      </c>
      <c r="L1069" s="36" t="s">
        <v>20246</v>
      </c>
      <c r="M1069" s="186"/>
      <c r="N1069" s="186"/>
      <c r="O1069" s="172"/>
    </row>
    <row r="1070" spans="1:15" ht="25.5" x14ac:dyDescent="0.2">
      <c r="A1070" s="197" t="str">
        <f t="shared" si="16"/>
        <v>AsoCode_navaidFreqOutOfService</v>
      </c>
      <c r="B1070" s="409"/>
      <c r="C1070" s="416"/>
      <c r="D1070" s="198" t="s">
        <v>20247</v>
      </c>
      <c r="E1070" s="198">
        <v>16</v>
      </c>
      <c r="F1070" s="199" t="s">
        <v>20248</v>
      </c>
      <c r="G1070" s="1" t="s">
        <v>20249</v>
      </c>
      <c r="H1070" s="1" t="s">
        <v>20245</v>
      </c>
      <c r="I1070" s="346"/>
      <c r="J1070" s="39">
        <v>119641</v>
      </c>
      <c r="K1070" s="36" t="str">
        <f>CONCATENATE(Cover!$D$6,"fdd/view?i=",J1070)</f>
        <v>https://www.dgiwg.org/FAD/fdd/view?i=119641</v>
      </c>
      <c r="L1070" s="36" t="s">
        <v>20250</v>
      </c>
      <c r="M1070" s="186"/>
      <c r="N1070" s="186"/>
      <c r="O1070" s="172"/>
    </row>
    <row r="1071" spans="1:15" ht="25.5" x14ac:dyDescent="0.2">
      <c r="A1071" s="197" t="str">
        <f t="shared" si="16"/>
        <v>AsoCode_navaidPartialService</v>
      </c>
      <c r="B1071" s="409"/>
      <c r="C1071" s="416"/>
      <c r="D1071" s="198" t="s">
        <v>20251</v>
      </c>
      <c r="E1071" s="198">
        <v>17</v>
      </c>
      <c r="F1071" s="199" t="s">
        <v>20252</v>
      </c>
      <c r="G1071" s="1" t="s">
        <v>20253</v>
      </c>
      <c r="H1071" s="1" t="s">
        <v>20254</v>
      </c>
      <c r="I1071" s="346"/>
      <c r="J1071" s="39">
        <v>119642</v>
      </c>
      <c r="K1071" s="36" t="str">
        <f>CONCATENATE(Cover!$D$6,"fdd/view?i=",J1071)</f>
        <v>https://www.dgiwg.org/FAD/fdd/view?i=119642</v>
      </c>
      <c r="L1071" s="36" t="s">
        <v>20255</v>
      </c>
      <c r="M1071" s="186"/>
      <c r="N1071" s="186"/>
      <c r="O1071" s="172"/>
    </row>
    <row r="1072" spans="1:15" x14ac:dyDescent="0.2">
      <c r="A1072" s="197" t="str">
        <f t="shared" si="16"/>
        <v>AsoCode_onTest</v>
      </c>
      <c r="B1072" s="409"/>
      <c r="C1072" s="416"/>
      <c r="D1072" s="198" t="s">
        <v>20256</v>
      </c>
      <c r="E1072" s="198">
        <v>3</v>
      </c>
      <c r="F1072" s="199" t="s">
        <v>20257</v>
      </c>
      <c r="G1072" s="1" t="s">
        <v>20258</v>
      </c>
      <c r="H1072" s="1" t="s">
        <v>20259</v>
      </c>
      <c r="I1072" s="346"/>
      <c r="J1072" s="39">
        <v>116501</v>
      </c>
      <c r="K1072" s="36" t="str">
        <f>CONCATENATE(Cover!$D$6,"fdd/view?i=",J1072)</f>
        <v>https://www.dgiwg.org/FAD/fdd/view?i=116501</v>
      </c>
      <c r="L1072" s="36" t="s">
        <v>20260</v>
      </c>
      <c r="M1072" s="186"/>
      <c r="N1072" s="186"/>
      <c r="O1072" s="172"/>
    </row>
    <row r="1073" spans="1:15" x14ac:dyDescent="0.2">
      <c r="A1073" s="197" t="str">
        <f t="shared" si="16"/>
        <v>AsoCode_operational</v>
      </c>
      <c r="B1073" s="409"/>
      <c r="C1073" s="416"/>
      <c r="D1073" s="198" t="s">
        <v>11293</v>
      </c>
      <c r="E1073" s="198">
        <v>1</v>
      </c>
      <c r="F1073" s="199" t="s">
        <v>11295</v>
      </c>
      <c r="G1073" s="1" t="s">
        <v>20261</v>
      </c>
      <c r="H1073" s="200"/>
      <c r="I1073" s="346"/>
      <c r="J1073" s="39">
        <v>116499</v>
      </c>
      <c r="K1073" s="36" t="str">
        <f>CONCATENATE(Cover!$D$6,"fdd/view?i=",J1073)</f>
        <v>https://www.dgiwg.org/FAD/fdd/view?i=116499</v>
      </c>
      <c r="L1073" s="36" t="s">
        <v>20262</v>
      </c>
      <c r="M1073" s="186"/>
      <c r="N1073" s="186"/>
      <c r="O1073" s="172"/>
    </row>
    <row r="1074" spans="1:15" ht="51" x14ac:dyDescent="0.2">
      <c r="A1074" s="197" t="str">
        <f t="shared" si="16"/>
        <v>AsoCode_unreliable</v>
      </c>
      <c r="B1074" s="409"/>
      <c r="C1074" s="416"/>
      <c r="D1074" s="198" t="s">
        <v>20263</v>
      </c>
      <c r="E1074" s="198">
        <v>9</v>
      </c>
      <c r="F1074" s="199" t="s">
        <v>20264</v>
      </c>
      <c r="G1074" s="1" t="s">
        <v>20265</v>
      </c>
      <c r="H1074" s="1" t="s">
        <v>20266</v>
      </c>
      <c r="I1074" s="346"/>
      <c r="J1074" s="39">
        <v>116507</v>
      </c>
      <c r="K1074" s="36" t="str">
        <f>CONCATENATE(Cover!$D$6,"fdd/view?i=",J1074)</f>
        <v>https://www.dgiwg.org/FAD/fdd/view?i=116507</v>
      </c>
      <c r="L1074" s="36" t="s">
        <v>20267</v>
      </c>
      <c r="M1074" s="186"/>
      <c r="N1074" s="186"/>
      <c r="O1074" s="172"/>
    </row>
    <row r="1075" spans="1:15" ht="25.5" x14ac:dyDescent="0.2">
      <c r="A1075" s="197" t="str">
        <f t="shared" si="16"/>
        <v>AsoCode_unserviceable</v>
      </c>
      <c r="B1075" s="409"/>
      <c r="C1075" s="416"/>
      <c r="D1075" s="198" t="s">
        <v>19683</v>
      </c>
      <c r="E1075" s="198">
        <v>2</v>
      </c>
      <c r="F1075" s="199" t="s">
        <v>19684</v>
      </c>
      <c r="G1075" s="1" t="s">
        <v>20268</v>
      </c>
      <c r="H1075" s="200"/>
      <c r="I1075" s="346"/>
      <c r="J1075" s="39">
        <v>116500</v>
      </c>
      <c r="K1075" s="36" t="str">
        <f>CONCATENATE(Cover!$D$6,"fdd/view?i=",J1075)</f>
        <v>https://www.dgiwg.org/FAD/fdd/view?i=116500</v>
      </c>
      <c r="L1075" s="36" t="s">
        <v>20269</v>
      </c>
      <c r="M1075" s="186"/>
      <c r="N1075" s="186"/>
      <c r="O1075" s="172"/>
    </row>
    <row r="1076" spans="1:15" ht="25.5" x14ac:dyDescent="0.2">
      <c r="A1076" s="203" t="str">
        <f t="shared" si="16"/>
        <v>AsoCode_withdrawn</v>
      </c>
      <c r="B1076" s="410"/>
      <c r="C1076" s="417"/>
      <c r="D1076" s="204" t="s">
        <v>20270</v>
      </c>
      <c r="E1076" s="204">
        <v>12</v>
      </c>
      <c r="F1076" s="205" t="s">
        <v>20271</v>
      </c>
      <c r="G1076" s="206" t="s">
        <v>20272</v>
      </c>
      <c r="H1076" s="207"/>
      <c r="I1076" s="347"/>
      <c r="J1076" s="39">
        <v>116510</v>
      </c>
      <c r="K1076" s="36" t="str">
        <f>CONCATENATE(Cover!$D$6,"fdd/view?i=",J1076)</f>
        <v>https://www.dgiwg.org/FAD/fdd/view?i=116510</v>
      </c>
      <c r="L1076" s="36" t="s">
        <v>20273</v>
      </c>
      <c r="M1076" s="186"/>
      <c r="N1076" s="186"/>
      <c r="O1076" s="172"/>
    </row>
    <row r="1077" spans="1:15" ht="25.5" x14ac:dyDescent="0.2">
      <c r="A1077" s="190" t="str">
        <f t="shared" si="16"/>
        <v>SerCode_alternate</v>
      </c>
      <c r="B1077" s="414" t="str">
        <f>HYPERLINK("[#]Datatypes!A78:L78","SerCode")</f>
        <v>SerCode</v>
      </c>
      <c r="C1077" s="415" t="s">
        <v>14629</v>
      </c>
      <c r="D1077" s="221" t="s">
        <v>6637</v>
      </c>
      <c r="E1077" s="221">
        <v>3</v>
      </c>
      <c r="F1077" s="222" t="s">
        <v>6639</v>
      </c>
      <c r="G1077" s="223" t="s">
        <v>20274</v>
      </c>
      <c r="H1077" s="224"/>
      <c r="I1077" s="345"/>
      <c r="J1077" s="39">
        <v>116513</v>
      </c>
      <c r="K1077" s="36" t="str">
        <f>CONCATENATE(Cover!$D$6,"fdd/view?i=",J1077)</f>
        <v>https://www.dgiwg.org/FAD/fdd/view?i=116513</v>
      </c>
      <c r="L1077" s="36" t="s">
        <v>20275</v>
      </c>
      <c r="M1077" s="186"/>
      <c r="N1077" s="186"/>
      <c r="O1077" s="172"/>
    </row>
    <row r="1078" spans="1:15" x14ac:dyDescent="0.2">
      <c r="A1078" s="197" t="str">
        <f t="shared" si="16"/>
        <v>SerCode_emergency</v>
      </c>
      <c r="B1078" s="409"/>
      <c r="C1078" s="416"/>
      <c r="D1078" s="198" t="s">
        <v>20276</v>
      </c>
      <c r="E1078" s="198">
        <v>4</v>
      </c>
      <c r="F1078" s="199" t="s">
        <v>20277</v>
      </c>
      <c r="G1078" s="1" t="s">
        <v>20278</v>
      </c>
      <c r="H1078" s="200"/>
      <c r="I1078" s="346"/>
      <c r="J1078" s="39">
        <v>116514</v>
      </c>
      <c r="K1078" s="36" t="str">
        <f>CONCATENATE(Cover!$D$6,"fdd/view?i=",J1078)</f>
        <v>https://www.dgiwg.org/FAD/fdd/view?i=116514</v>
      </c>
      <c r="L1078" s="36" t="s">
        <v>20279</v>
      </c>
      <c r="M1078" s="186"/>
      <c r="N1078" s="186"/>
      <c r="O1078" s="172"/>
    </row>
    <row r="1079" spans="1:15" ht="25.5" x14ac:dyDescent="0.2">
      <c r="A1079" s="197" t="str">
        <f t="shared" si="16"/>
        <v>SerCode_guarded</v>
      </c>
      <c r="B1079" s="409"/>
      <c r="C1079" s="416"/>
      <c r="D1079" s="198" t="s">
        <v>9206</v>
      </c>
      <c r="E1079" s="198">
        <v>5</v>
      </c>
      <c r="F1079" s="199" t="s">
        <v>9208</v>
      </c>
      <c r="G1079" s="1" t="s">
        <v>20280</v>
      </c>
      <c r="H1079" s="200"/>
      <c r="I1079" s="346"/>
      <c r="J1079" s="39">
        <v>116515</v>
      </c>
      <c r="K1079" s="36" t="str">
        <f>CONCATENATE(Cover!$D$6,"fdd/view?i=",J1079)</f>
        <v>https://www.dgiwg.org/FAD/fdd/view?i=116515</v>
      </c>
      <c r="L1079" s="36" t="s">
        <v>20281</v>
      </c>
      <c r="M1079" s="186"/>
      <c r="N1079" s="186"/>
      <c r="O1079" s="172"/>
    </row>
    <row r="1080" spans="1:15" x14ac:dyDescent="0.2">
      <c r="A1080" s="197" t="str">
        <f t="shared" si="16"/>
        <v>SerCode_primary</v>
      </c>
      <c r="B1080" s="409"/>
      <c r="C1080" s="416"/>
      <c r="D1080" s="198" t="s">
        <v>19282</v>
      </c>
      <c r="E1080" s="198">
        <v>1</v>
      </c>
      <c r="F1080" s="199" t="s">
        <v>19283</v>
      </c>
      <c r="G1080" s="1" t="s">
        <v>20282</v>
      </c>
      <c r="H1080" s="200"/>
      <c r="I1080" s="346"/>
      <c r="J1080" s="39">
        <v>116516</v>
      </c>
      <c r="K1080" s="36" t="str">
        <f>CONCATENATE(Cover!$D$6,"fdd/view?i=",J1080)</f>
        <v>https://www.dgiwg.org/FAD/fdd/view?i=116516</v>
      </c>
      <c r="L1080" s="36" t="s">
        <v>20283</v>
      </c>
      <c r="M1080" s="186"/>
      <c r="N1080" s="186"/>
      <c r="O1080" s="172"/>
    </row>
    <row r="1081" spans="1:15" x14ac:dyDescent="0.2">
      <c r="A1081" s="203" t="str">
        <f t="shared" si="16"/>
        <v>SerCode_secondary</v>
      </c>
      <c r="B1081" s="410"/>
      <c r="C1081" s="417"/>
      <c r="D1081" s="204" t="s">
        <v>19287</v>
      </c>
      <c r="E1081" s="204">
        <v>2</v>
      </c>
      <c r="F1081" s="205" t="s">
        <v>19288</v>
      </c>
      <c r="G1081" s="206" t="s">
        <v>20284</v>
      </c>
      <c r="H1081" s="207"/>
      <c r="I1081" s="347"/>
      <c r="J1081" s="39">
        <v>116517</v>
      </c>
      <c r="K1081" s="36" t="str">
        <f>CONCATENATE(Cover!$D$6,"fdd/view?i=",J1081)</f>
        <v>https://www.dgiwg.org/FAD/fdd/view?i=116517</v>
      </c>
      <c r="L1081" s="36" t="s">
        <v>20285</v>
      </c>
      <c r="M1081" s="186"/>
      <c r="N1081" s="186"/>
      <c r="O1081" s="172"/>
    </row>
    <row r="1082" spans="1:15" ht="38.25" x14ac:dyDescent="0.2">
      <c r="A1082" s="190" t="str">
        <f t="shared" si="16"/>
        <v>AtuCode_advisoryCentre</v>
      </c>
      <c r="B1082" s="414" t="str">
        <f>HYPERLINK("[#]Datatypes!A80:L80","AtuCode")</f>
        <v>AtuCode</v>
      </c>
      <c r="C1082" s="415" t="s">
        <v>14631</v>
      </c>
      <c r="D1082" s="221" t="s">
        <v>20286</v>
      </c>
      <c r="E1082" s="221">
        <v>4</v>
      </c>
      <c r="F1082" s="222" t="s">
        <v>20287</v>
      </c>
      <c r="G1082" s="223" t="s">
        <v>20288</v>
      </c>
      <c r="H1082" s="224"/>
      <c r="I1082" s="352" t="s">
        <v>20289</v>
      </c>
      <c r="J1082" s="39">
        <v>116465</v>
      </c>
      <c r="K1082" s="36" t="str">
        <f>CONCATENATE(Cover!$D$6,"fdd/view?i=",J1082)</f>
        <v>https://www.dgiwg.org/FAD/fdd/view?i=116465</v>
      </c>
      <c r="L1082" s="36" t="s">
        <v>20290</v>
      </c>
      <c r="M1082" s="186"/>
      <c r="N1082" s="186"/>
      <c r="O1082" s="172"/>
    </row>
    <row r="1083" spans="1:15" ht="51" x14ac:dyDescent="0.2">
      <c r="A1083" s="197" t="str">
        <f t="shared" si="16"/>
        <v>AtuCode_aerodromeAisUnit</v>
      </c>
      <c r="B1083" s="409"/>
      <c r="C1083" s="416"/>
      <c r="D1083" s="198" t="s">
        <v>20291</v>
      </c>
      <c r="E1083" s="198">
        <v>37</v>
      </c>
      <c r="F1083" s="199" t="s">
        <v>20292</v>
      </c>
      <c r="G1083" s="1" t="s">
        <v>20293</v>
      </c>
      <c r="H1083" s="200"/>
      <c r="I1083" s="346"/>
      <c r="J1083" s="39">
        <v>116498</v>
      </c>
      <c r="K1083" s="36" t="str">
        <f>CONCATENATE(Cover!$D$6,"fdd/view?i=",J1083)</f>
        <v>https://www.dgiwg.org/FAD/fdd/view?i=116498</v>
      </c>
      <c r="L1083" s="36" t="s">
        <v>20294</v>
      </c>
      <c r="M1083" s="186"/>
      <c r="N1083" s="186"/>
      <c r="O1083" s="172"/>
    </row>
    <row r="1084" spans="1:15" ht="25.5" x14ac:dyDescent="0.2">
      <c r="A1084" s="197" t="str">
        <f t="shared" si="16"/>
        <v>AtuCode_aerodromeControlTower</v>
      </c>
      <c r="B1084" s="409"/>
      <c r="C1084" s="416"/>
      <c r="D1084" s="198" t="s">
        <v>20295</v>
      </c>
      <c r="E1084" s="198">
        <v>30</v>
      </c>
      <c r="F1084" s="199" t="s">
        <v>20296</v>
      </c>
      <c r="G1084" s="1" t="s">
        <v>20297</v>
      </c>
      <c r="H1084" s="200"/>
      <c r="I1084" s="351" t="s">
        <v>20298</v>
      </c>
      <c r="J1084" s="39">
        <v>116491</v>
      </c>
      <c r="K1084" s="36" t="str">
        <f>CONCATENATE(Cover!$D$6,"fdd/view?i=",J1084)</f>
        <v>https://www.dgiwg.org/FAD/fdd/view?i=116491</v>
      </c>
      <c r="L1084" s="36" t="s">
        <v>20299</v>
      </c>
      <c r="M1084" s="186"/>
      <c r="N1084" s="186"/>
      <c r="O1084" s="172"/>
    </row>
    <row r="1085" spans="1:15" ht="25.5" x14ac:dyDescent="0.2">
      <c r="A1085" s="197" t="str">
        <f t="shared" si="16"/>
        <v>AtuCode_aerodromeMetOffice</v>
      </c>
      <c r="B1085" s="409"/>
      <c r="C1085" s="416"/>
      <c r="D1085" s="198" t="s">
        <v>20300</v>
      </c>
      <c r="E1085" s="198">
        <v>1</v>
      </c>
      <c r="F1085" s="199" t="s">
        <v>20301</v>
      </c>
      <c r="G1085" s="1" t="s">
        <v>20302</v>
      </c>
      <c r="H1085" s="200"/>
      <c r="I1085" s="346"/>
      <c r="J1085" s="39">
        <v>116462</v>
      </c>
      <c r="K1085" s="36" t="str">
        <f>CONCATENATE(Cover!$D$6,"fdd/view?i=",J1085)</f>
        <v>https://www.dgiwg.org/FAD/fdd/view?i=116462</v>
      </c>
      <c r="L1085" s="36" t="s">
        <v>20303</v>
      </c>
      <c r="M1085" s="186"/>
      <c r="N1085" s="186"/>
      <c r="O1085" s="172"/>
    </row>
    <row r="1086" spans="1:15" ht="38.25" x14ac:dyDescent="0.2">
      <c r="A1086" s="197" t="str">
        <f t="shared" si="16"/>
        <v>AtuCode_aeroInfoServicesHeadOffice</v>
      </c>
      <c r="B1086" s="409"/>
      <c r="C1086" s="416"/>
      <c r="D1086" s="198" t="s">
        <v>20304</v>
      </c>
      <c r="E1086" s="198">
        <v>6</v>
      </c>
      <c r="F1086" s="199" t="s">
        <v>20305</v>
      </c>
      <c r="G1086" s="1" t="s">
        <v>20306</v>
      </c>
      <c r="H1086" s="200"/>
      <c r="I1086" s="351" t="s">
        <v>20307</v>
      </c>
      <c r="J1086" s="39">
        <v>116467</v>
      </c>
      <c r="K1086" s="36" t="str">
        <f>CONCATENATE(Cover!$D$6,"fdd/view?i=",J1086)</f>
        <v>https://www.dgiwg.org/FAD/fdd/view?i=116467</v>
      </c>
      <c r="L1086" s="36" t="s">
        <v>20308</v>
      </c>
      <c r="M1086" s="186"/>
      <c r="N1086" s="186"/>
      <c r="O1086" s="172"/>
    </row>
    <row r="1087" spans="1:15" ht="25.5" x14ac:dyDescent="0.2">
      <c r="A1087" s="197" t="str">
        <f t="shared" si="16"/>
        <v>AtuCode_airliftCommandPost</v>
      </c>
      <c r="B1087" s="409"/>
      <c r="C1087" s="416"/>
      <c r="D1087" s="198" t="s">
        <v>20340</v>
      </c>
      <c r="E1087" s="198">
        <v>22</v>
      </c>
      <c r="F1087" s="199" t="s">
        <v>20341</v>
      </c>
      <c r="G1087" s="1" t="s">
        <v>20342</v>
      </c>
      <c r="H1087" s="1" t="s">
        <v>20343</v>
      </c>
      <c r="I1087" s="351" t="s">
        <v>20344</v>
      </c>
      <c r="J1087" s="39">
        <v>116483</v>
      </c>
      <c r="K1087" s="36" t="str">
        <f>CONCATENATE(Cover!$D$6,"fdd/view?i=",J1087)</f>
        <v>https://www.dgiwg.org/FAD/fdd/view?i=116483</v>
      </c>
      <c r="L1087" s="36" t="s">
        <v>20345</v>
      </c>
      <c r="M1087" s="186"/>
      <c r="N1087" s="186"/>
      <c r="O1087" s="172"/>
    </row>
    <row r="1088" spans="1:15" ht="38.25" x14ac:dyDescent="0.2">
      <c r="A1088" s="197" t="str">
        <f t="shared" si="16"/>
        <v>AtuCode_airRouteTraffControlCentre</v>
      </c>
      <c r="B1088" s="409"/>
      <c r="C1088" s="416"/>
      <c r="D1088" s="198" t="s">
        <v>20309</v>
      </c>
      <c r="E1088" s="198">
        <v>11</v>
      </c>
      <c r="F1088" s="199" t="s">
        <v>20310</v>
      </c>
      <c r="G1088" s="1" t="s">
        <v>20311</v>
      </c>
      <c r="H1088" s="200"/>
      <c r="I1088" s="351" t="s">
        <v>20312</v>
      </c>
      <c r="J1088" s="39">
        <v>116472</v>
      </c>
      <c r="K1088" s="36" t="str">
        <f>CONCATENATE(Cover!$D$6,"fdd/view?i=",J1088)</f>
        <v>https://www.dgiwg.org/FAD/fdd/view?i=116472</v>
      </c>
      <c r="L1088" s="36" t="s">
        <v>20313</v>
      </c>
      <c r="M1088" s="186"/>
      <c r="N1088" s="186"/>
      <c r="O1088" s="172"/>
    </row>
    <row r="1089" spans="1:15" ht="25.5" x14ac:dyDescent="0.2">
      <c r="A1089" s="197" t="str">
        <f t="shared" si="16"/>
        <v>AtuCode_airTrafficControlCentre</v>
      </c>
      <c r="B1089" s="409"/>
      <c r="C1089" s="416"/>
      <c r="D1089" s="198" t="s">
        <v>20314</v>
      </c>
      <c r="E1089" s="198">
        <v>12</v>
      </c>
      <c r="F1089" s="199" t="s">
        <v>20315</v>
      </c>
      <c r="G1089" s="1" t="s">
        <v>20316</v>
      </c>
      <c r="H1089" s="200"/>
      <c r="I1089" s="351" t="s">
        <v>20317</v>
      </c>
      <c r="J1089" s="39">
        <v>116473</v>
      </c>
      <c r="K1089" s="36" t="str">
        <f>CONCATENATE(Cover!$D$6,"fdd/view?i=",J1089)</f>
        <v>https://www.dgiwg.org/FAD/fdd/view?i=116473</v>
      </c>
      <c r="L1089" s="36" t="s">
        <v>20318</v>
      </c>
      <c r="M1089" s="186"/>
      <c r="N1089" s="186"/>
      <c r="O1089" s="172"/>
    </row>
    <row r="1090" spans="1:15" ht="63.75" x14ac:dyDescent="0.2">
      <c r="A1090" s="197" t="str">
        <f t="shared" ref="A1090:A1153" si="17">HYPERLINK(K1090,L1090)</f>
        <v>AtuCode_airTrafficFlowManagement</v>
      </c>
      <c r="B1090" s="409"/>
      <c r="C1090" s="416"/>
      <c r="D1090" s="198" t="s">
        <v>20319</v>
      </c>
      <c r="E1090" s="198">
        <v>13</v>
      </c>
      <c r="F1090" s="199" t="s">
        <v>20320</v>
      </c>
      <c r="G1090" s="1" t="s">
        <v>20321</v>
      </c>
      <c r="H1090" s="200"/>
      <c r="I1090" s="351" t="s">
        <v>20322</v>
      </c>
      <c r="J1090" s="39">
        <v>116474</v>
      </c>
      <c r="K1090" s="36" t="str">
        <f>CONCATENATE(Cover!$D$6,"fdd/view?i=",J1090)</f>
        <v>https://www.dgiwg.org/FAD/fdd/view?i=116474</v>
      </c>
      <c r="L1090" s="36" t="s">
        <v>20323</v>
      </c>
      <c r="M1090" s="186"/>
      <c r="N1090" s="186"/>
      <c r="O1090" s="172"/>
    </row>
    <row r="1091" spans="1:15" ht="51" x14ac:dyDescent="0.2">
      <c r="A1091" s="197" t="str">
        <f t="shared" si="17"/>
        <v>AtuCode_airTrafficManagementUnit</v>
      </c>
      <c r="B1091" s="409"/>
      <c r="C1091" s="416"/>
      <c r="D1091" s="198" t="s">
        <v>20324</v>
      </c>
      <c r="E1091" s="198">
        <v>14</v>
      </c>
      <c r="F1091" s="199" t="s">
        <v>20325</v>
      </c>
      <c r="G1091" s="1" t="s">
        <v>20326</v>
      </c>
      <c r="H1091" s="200"/>
      <c r="I1091" s="351" t="s">
        <v>20327</v>
      </c>
      <c r="J1091" s="39">
        <v>116475</v>
      </c>
      <c r="K1091" s="36" t="str">
        <f>CONCATENATE(Cover!$D$6,"fdd/view?i=",J1091)</f>
        <v>https://www.dgiwg.org/FAD/fdd/view?i=116475</v>
      </c>
      <c r="L1091" s="36" t="s">
        <v>20328</v>
      </c>
      <c r="M1091" s="186"/>
      <c r="N1091" s="186"/>
      <c r="O1091" s="172"/>
    </row>
    <row r="1092" spans="1:15" ht="51" x14ac:dyDescent="0.2">
      <c r="A1092" s="197" t="str">
        <f t="shared" si="17"/>
        <v>AtuCode_airTrafficServicesReporting</v>
      </c>
      <c r="B1092" s="409"/>
      <c r="C1092" s="416"/>
      <c r="D1092" s="198" t="s">
        <v>20329</v>
      </c>
      <c r="E1092" s="198">
        <v>10</v>
      </c>
      <c r="F1092" s="199" t="s">
        <v>20330</v>
      </c>
      <c r="G1092" s="1" t="s">
        <v>20331</v>
      </c>
      <c r="H1092" s="1" t="s">
        <v>20332</v>
      </c>
      <c r="I1092" s="351" t="s">
        <v>20333</v>
      </c>
      <c r="J1092" s="39">
        <v>116471</v>
      </c>
      <c r="K1092" s="36" t="str">
        <f>CONCATENATE(Cover!$D$6,"fdd/view?i=",J1092)</f>
        <v>https://www.dgiwg.org/FAD/fdd/view?i=116471</v>
      </c>
      <c r="L1092" s="36" t="s">
        <v>20334</v>
      </c>
      <c r="M1092" s="186"/>
      <c r="N1092" s="186"/>
      <c r="O1092" s="172"/>
    </row>
    <row r="1093" spans="1:15" ht="25.5" x14ac:dyDescent="0.2">
      <c r="A1093" s="197" t="str">
        <f t="shared" si="17"/>
        <v>AtuCode_airTrafficServicesUnit</v>
      </c>
      <c r="B1093" s="409"/>
      <c r="C1093" s="416"/>
      <c r="D1093" s="198" t="s">
        <v>20335</v>
      </c>
      <c r="E1093" s="198">
        <v>15</v>
      </c>
      <c r="F1093" s="199" t="s">
        <v>20336</v>
      </c>
      <c r="G1093" s="1" t="s">
        <v>20337</v>
      </c>
      <c r="H1093" s="200"/>
      <c r="I1093" s="351" t="s">
        <v>20338</v>
      </c>
      <c r="J1093" s="39">
        <v>116476</v>
      </c>
      <c r="K1093" s="36" t="str">
        <f>CONCATENATE(Cover!$D$6,"fdd/view?i=",J1093)</f>
        <v>https://www.dgiwg.org/FAD/fdd/view?i=116476</v>
      </c>
      <c r="L1093" s="36" t="s">
        <v>20339</v>
      </c>
      <c r="M1093" s="186"/>
      <c r="N1093" s="186"/>
      <c r="O1093" s="172"/>
    </row>
    <row r="1094" spans="1:15" ht="38.25" x14ac:dyDescent="0.2">
      <c r="A1094" s="197" t="str">
        <f t="shared" si="17"/>
        <v>AtuCode_alertingPost</v>
      </c>
      <c r="B1094" s="409"/>
      <c r="C1094" s="416"/>
      <c r="D1094" s="198" t="s">
        <v>20346</v>
      </c>
      <c r="E1094" s="198">
        <v>5</v>
      </c>
      <c r="F1094" s="199" t="s">
        <v>20347</v>
      </c>
      <c r="G1094" s="1" t="s">
        <v>20348</v>
      </c>
      <c r="H1094" s="200"/>
      <c r="I1094" s="351" t="s">
        <v>20349</v>
      </c>
      <c r="J1094" s="39">
        <v>116466</v>
      </c>
      <c r="K1094" s="36" t="str">
        <f>CONCATENATE(Cover!$D$6,"fdd/view?i=",J1094)</f>
        <v>https://www.dgiwg.org/FAD/fdd/view?i=116466</v>
      </c>
      <c r="L1094" s="36" t="s">
        <v>20350</v>
      </c>
      <c r="M1094" s="186"/>
      <c r="N1094" s="186"/>
      <c r="O1094" s="172"/>
    </row>
    <row r="1095" spans="1:15" ht="25.5" x14ac:dyDescent="0.2">
      <c r="A1095" s="197" t="str">
        <f t="shared" si="17"/>
        <v>AtuCode_approachControlUnit</v>
      </c>
      <c r="B1095" s="409"/>
      <c r="C1095" s="416"/>
      <c r="D1095" s="198" t="s">
        <v>20351</v>
      </c>
      <c r="E1095" s="198">
        <v>7</v>
      </c>
      <c r="F1095" s="199" t="s">
        <v>20352</v>
      </c>
      <c r="G1095" s="1" t="s">
        <v>20353</v>
      </c>
      <c r="H1095" s="200"/>
      <c r="I1095" s="351" t="s">
        <v>20354</v>
      </c>
      <c r="J1095" s="39">
        <v>116468</v>
      </c>
      <c r="K1095" s="36" t="str">
        <f>CONCATENATE(Cover!$D$6,"fdd/view?i=",J1095)</f>
        <v>https://www.dgiwg.org/FAD/fdd/view?i=116468</v>
      </c>
      <c r="L1095" s="36" t="s">
        <v>20355</v>
      </c>
      <c r="M1095" s="186"/>
      <c r="N1095" s="186"/>
      <c r="O1095" s="172"/>
    </row>
    <row r="1096" spans="1:15" ht="25.5" x14ac:dyDescent="0.2">
      <c r="A1096" s="197" t="str">
        <f t="shared" si="17"/>
        <v>AtuCode_areaControlCentre</v>
      </c>
      <c r="B1096" s="409"/>
      <c r="C1096" s="416"/>
      <c r="D1096" s="198" t="s">
        <v>20356</v>
      </c>
      <c r="E1096" s="198">
        <v>2</v>
      </c>
      <c r="F1096" s="199" t="s">
        <v>20357</v>
      </c>
      <c r="G1096" s="1" t="s">
        <v>20358</v>
      </c>
      <c r="H1096" s="200"/>
      <c r="I1096" s="351" t="s">
        <v>9415</v>
      </c>
      <c r="J1096" s="39">
        <v>116463</v>
      </c>
      <c r="K1096" s="36" t="str">
        <f>CONCATENATE(Cover!$D$6,"fdd/view?i=",J1096)</f>
        <v>https://www.dgiwg.org/FAD/fdd/view?i=116463</v>
      </c>
      <c r="L1096" s="36" t="s">
        <v>20359</v>
      </c>
      <c r="M1096" s="186"/>
      <c r="N1096" s="186"/>
      <c r="O1096" s="172"/>
    </row>
    <row r="1097" spans="1:15" ht="25.5" x14ac:dyDescent="0.2">
      <c r="A1097" s="197" t="str">
        <f t="shared" si="17"/>
        <v>AtuCode_arrivalsApproachControl</v>
      </c>
      <c r="B1097" s="409"/>
      <c r="C1097" s="416"/>
      <c r="D1097" s="198" t="s">
        <v>20360</v>
      </c>
      <c r="E1097" s="198">
        <v>8</v>
      </c>
      <c r="F1097" s="199" t="s">
        <v>20361</v>
      </c>
      <c r="G1097" s="1" t="s">
        <v>20362</v>
      </c>
      <c r="H1097" s="200"/>
      <c r="I1097" s="351" t="s">
        <v>20363</v>
      </c>
      <c r="J1097" s="39">
        <v>116469</v>
      </c>
      <c r="K1097" s="36" t="str">
        <f>CONCATENATE(Cover!$D$6,"fdd/view?i=",J1097)</f>
        <v>https://www.dgiwg.org/FAD/fdd/view?i=116469</v>
      </c>
      <c r="L1097" s="36" t="s">
        <v>20364</v>
      </c>
      <c r="M1097" s="186"/>
      <c r="N1097" s="186"/>
      <c r="O1097" s="172"/>
    </row>
    <row r="1098" spans="1:15" ht="25.5" x14ac:dyDescent="0.2">
      <c r="A1098" s="197" t="str">
        <f t="shared" si="17"/>
        <v>AtuCode_autoDependSurveillanceUnit</v>
      </c>
      <c r="B1098" s="409"/>
      <c r="C1098" s="416"/>
      <c r="D1098" s="198" t="s">
        <v>20365</v>
      </c>
      <c r="E1098" s="198">
        <v>3</v>
      </c>
      <c r="F1098" s="199" t="s">
        <v>20366</v>
      </c>
      <c r="G1098" s="1" t="s">
        <v>20367</v>
      </c>
      <c r="H1098" s="200"/>
      <c r="I1098" s="351" t="s">
        <v>20368</v>
      </c>
      <c r="J1098" s="39">
        <v>116464</v>
      </c>
      <c r="K1098" s="36" t="str">
        <f>CONCATENATE(Cover!$D$6,"fdd/view?i=",J1098)</f>
        <v>https://www.dgiwg.org/FAD/fdd/view?i=116464</v>
      </c>
      <c r="L1098" s="36" t="s">
        <v>20369</v>
      </c>
      <c r="M1098" s="186"/>
      <c r="N1098" s="186"/>
      <c r="O1098" s="172"/>
    </row>
    <row r="1099" spans="1:15" ht="38.25" x14ac:dyDescent="0.2">
      <c r="A1099" s="197" t="str">
        <f t="shared" si="17"/>
        <v>AtuCode_commandPost</v>
      </c>
      <c r="B1099" s="409"/>
      <c r="C1099" s="416"/>
      <c r="D1099" s="198" t="s">
        <v>20370</v>
      </c>
      <c r="E1099" s="198">
        <v>21</v>
      </c>
      <c r="F1099" s="199" t="s">
        <v>20371</v>
      </c>
      <c r="G1099" s="1" t="s">
        <v>20372</v>
      </c>
      <c r="H1099" s="1" t="s">
        <v>20373</v>
      </c>
      <c r="I1099" s="351" t="s">
        <v>20374</v>
      </c>
      <c r="J1099" s="39">
        <v>116482</v>
      </c>
      <c r="K1099" s="36" t="str">
        <f>CONCATENATE(Cover!$D$6,"fdd/view?i=",J1099)</f>
        <v>https://www.dgiwg.org/FAD/fdd/view?i=116482</v>
      </c>
      <c r="L1099" s="36" t="s">
        <v>20375</v>
      </c>
      <c r="M1099" s="186"/>
      <c r="N1099" s="186"/>
      <c r="O1099" s="172"/>
    </row>
    <row r="1100" spans="1:15" ht="25.5" x14ac:dyDescent="0.2">
      <c r="A1100" s="197" t="str">
        <f t="shared" si="17"/>
        <v>AtuCode_commercialBroadcastStation</v>
      </c>
      <c r="B1100" s="409"/>
      <c r="C1100" s="416"/>
      <c r="D1100" s="198" t="s">
        <v>20376</v>
      </c>
      <c r="E1100" s="198">
        <v>16</v>
      </c>
      <c r="F1100" s="199" t="s">
        <v>20377</v>
      </c>
      <c r="G1100" s="1" t="s">
        <v>20378</v>
      </c>
      <c r="H1100" s="200"/>
      <c r="I1100" s="351" t="s">
        <v>20379</v>
      </c>
      <c r="J1100" s="39">
        <v>116477</v>
      </c>
      <c r="K1100" s="36" t="str">
        <f>CONCATENATE(Cover!$D$6,"fdd/view?i=",J1100)</f>
        <v>https://www.dgiwg.org/FAD/fdd/view?i=116477</v>
      </c>
      <c r="L1100" s="36" t="s">
        <v>20380</v>
      </c>
      <c r="M1100" s="186"/>
      <c r="N1100" s="186"/>
      <c r="O1100" s="172"/>
    </row>
    <row r="1101" spans="1:15" ht="25.5" x14ac:dyDescent="0.2">
      <c r="A1101" s="197" t="str">
        <f t="shared" si="17"/>
        <v>AtuCode_departuresApproachControl</v>
      </c>
      <c r="B1101" s="409"/>
      <c r="C1101" s="416"/>
      <c r="D1101" s="198" t="s">
        <v>20381</v>
      </c>
      <c r="E1101" s="198">
        <v>9</v>
      </c>
      <c r="F1101" s="199" t="s">
        <v>20382</v>
      </c>
      <c r="G1101" s="1" t="s">
        <v>20383</v>
      </c>
      <c r="H1101" s="200"/>
      <c r="I1101" s="351" t="s">
        <v>20384</v>
      </c>
      <c r="J1101" s="39">
        <v>116470</v>
      </c>
      <c r="K1101" s="36" t="str">
        <f>CONCATENATE(Cover!$D$6,"fdd/view?i=",J1101)</f>
        <v>https://www.dgiwg.org/FAD/fdd/view?i=116470</v>
      </c>
      <c r="L1101" s="36" t="s">
        <v>20385</v>
      </c>
      <c r="M1101" s="186"/>
      <c r="N1101" s="186"/>
      <c r="O1101" s="172"/>
    </row>
    <row r="1102" spans="1:15" ht="25.5" x14ac:dyDescent="0.2">
      <c r="A1102" s="197" t="str">
        <f t="shared" si="17"/>
        <v>AtuCode_flightInformationCentre</v>
      </c>
      <c r="B1102" s="409"/>
      <c r="C1102" s="416"/>
      <c r="D1102" s="198" t="s">
        <v>20386</v>
      </c>
      <c r="E1102" s="198">
        <v>18</v>
      </c>
      <c r="F1102" s="199" t="s">
        <v>20387</v>
      </c>
      <c r="G1102" s="1" t="s">
        <v>20388</v>
      </c>
      <c r="H1102" s="200"/>
      <c r="I1102" s="351" t="s">
        <v>8401</v>
      </c>
      <c r="J1102" s="39">
        <v>116479</v>
      </c>
      <c r="K1102" s="36" t="str">
        <f>CONCATENATE(Cover!$D$6,"fdd/view?i=",J1102)</f>
        <v>https://www.dgiwg.org/FAD/fdd/view?i=116479</v>
      </c>
      <c r="L1102" s="36" t="s">
        <v>20389</v>
      </c>
      <c r="M1102" s="186"/>
      <c r="N1102" s="186"/>
      <c r="O1102" s="172"/>
    </row>
    <row r="1103" spans="1:15" ht="76.5" x14ac:dyDescent="0.2">
      <c r="A1103" s="197" t="str">
        <f t="shared" si="17"/>
        <v>AtuCode_flightServiceStation</v>
      </c>
      <c r="B1103" s="409"/>
      <c r="C1103" s="416"/>
      <c r="D1103" s="198" t="s">
        <v>20390</v>
      </c>
      <c r="E1103" s="198">
        <v>19</v>
      </c>
      <c r="F1103" s="199" t="s">
        <v>20391</v>
      </c>
      <c r="G1103" s="1" t="s">
        <v>20392</v>
      </c>
      <c r="H1103" s="200"/>
      <c r="I1103" s="351" t="s">
        <v>20393</v>
      </c>
      <c r="J1103" s="39">
        <v>116480</v>
      </c>
      <c r="K1103" s="36" t="str">
        <f>CONCATENATE(Cover!$D$6,"fdd/view?i=",J1103)</f>
        <v>https://www.dgiwg.org/FAD/fdd/view?i=116480</v>
      </c>
      <c r="L1103" s="36" t="s">
        <v>20394</v>
      </c>
      <c r="M1103" s="186"/>
      <c r="N1103" s="186"/>
      <c r="O1103" s="172"/>
    </row>
    <row r="1104" spans="1:15" ht="25.5" x14ac:dyDescent="0.2">
      <c r="A1104" s="197" t="str">
        <f t="shared" si="17"/>
        <v>AtuCode_generalCommunicationsUnit</v>
      </c>
      <c r="B1104" s="409"/>
      <c r="C1104" s="416"/>
      <c r="D1104" s="198" t="s">
        <v>20395</v>
      </c>
      <c r="E1104" s="198">
        <v>17</v>
      </c>
      <c r="F1104" s="199" t="s">
        <v>20396</v>
      </c>
      <c r="G1104" s="1" t="s">
        <v>20397</v>
      </c>
      <c r="H1104" s="200"/>
      <c r="I1104" s="351" t="s">
        <v>20398</v>
      </c>
      <c r="J1104" s="39">
        <v>116478</v>
      </c>
      <c r="K1104" s="36" t="str">
        <f>CONCATENATE(Cover!$D$6,"fdd/view?i=",J1104)</f>
        <v>https://www.dgiwg.org/FAD/fdd/view?i=116478</v>
      </c>
      <c r="L1104" s="36" t="s">
        <v>20399</v>
      </c>
      <c r="M1104" s="186"/>
      <c r="N1104" s="186"/>
      <c r="O1104" s="172"/>
    </row>
    <row r="1105" spans="1:15" ht="76.5" x14ac:dyDescent="0.2">
      <c r="A1105" s="197" t="str">
        <f t="shared" si="17"/>
        <v>AtuCode_internationalNotamOffice</v>
      </c>
      <c r="B1105" s="409"/>
      <c r="C1105" s="416"/>
      <c r="D1105" s="198" t="s">
        <v>20400</v>
      </c>
      <c r="E1105" s="198">
        <v>23</v>
      </c>
      <c r="F1105" s="199" t="s">
        <v>20401</v>
      </c>
      <c r="G1105" s="1" t="s">
        <v>20402</v>
      </c>
      <c r="H1105" s="1" t="s">
        <v>20403</v>
      </c>
      <c r="I1105" s="351" t="s">
        <v>20404</v>
      </c>
      <c r="J1105" s="39">
        <v>116484</v>
      </c>
      <c r="K1105" s="36" t="str">
        <f>CONCATENATE(Cover!$D$6,"fdd/view?i=",J1105)</f>
        <v>https://www.dgiwg.org/FAD/fdd/view?i=116484</v>
      </c>
      <c r="L1105" s="36" t="s">
        <v>20405</v>
      </c>
      <c r="M1105" s="186"/>
      <c r="N1105" s="186"/>
      <c r="O1105" s="172"/>
    </row>
    <row r="1106" spans="1:15" ht="25.5" x14ac:dyDescent="0.2">
      <c r="A1106" s="197" t="str">
        <f t="shared" si="17"/>
        <v>AtuCode_meteorologicalOffice</v>
      </c>
      <c r="B1106" s="409"/>
      <c r="C1106" s="416"/>
      <c r="D1106" s="198" t="s">
        <v>20406</v>
      </c>
      <c r="E1106" s="198">
        <v>20</v>
      </c>
      <c r="F1106" s="199" t="s">
        <v>20407</v>
      </c>
      <c r="G1106" s="1" t="s">
        <v>20408</v>
      </c>
      <c r="H1106" s="200"/>
      <c r="I1106" s="351" t="s">
        <v>10468</v>
      </c>
      <c r="J1106" s="39">
        <v>116481</v>
      </c>
      <c r="K1106" s="36" t="str">
        <f>CONCATENATE(Cover!$D$6,"fdd/view?i=",J1106)</f>
        <v>https://www.dgiwg.org/FAD/fdd/view?i=116481</v>
      </c>
      <c r="L1106" s="36" t="s">
        <v>20409</v>
      </c>
      <c r="M1106" s="186"/>
      <c r="N1106" s="186"/>
      <c r="O1106" s="172"/>
    </row>
    <row r="1107" spans="1:15" ht="25.5" x14ac:dyDescent="0.2">
      <c r="A1107" s="197" t="str">
        <f t="shared" si="17"/>
        <v>AtuCode_oceanicControlCentre</v>
      </c>
      <c r="B1107" s="409"/>
      <c r="C1107" s="416"/>
      <c r="D1107" s="198" t="s">
        <v>20410</v>
      </c>
      <c r="E1107" s="198">
        <v>24</v>
      </c>
      <c r="F1107" s="199" t="s">
        <v>20411</v>
      </c>
      <c r="G1107" s="1" t="s">
        <v>20412</v>
      </c>
      <c r="H1107" s="200"/>
      <c r="I1107" s="351" t="s">
        <v>11313</v>
      </c>
      <c r="J1107" s="39">
        <v>116485</v>
      </c>
      <c r="K1107" s="36" t="str">
        <f>CONCATENATE(Cover!$D$6,"fdd/view?i=",J1107)</f>
        <v>https://www.dgiwg.org/FAD/fdd/view?i=116485</v>
      </c>
      <c r="L1107" s="36" t="s">
        <v>20413</v>
      </c>
      <c r="M1107" s="186"/>
      <c r="N1107" s="186"/>
      <c r="O1107" s="172"/>
    </row>
    <row r="1108" spans="1:15" ht="38.25" x14ac:dyDescent="0.2">
      <c r="A1108" s="197" t="str">
        <f t="shared" si="17"/>
        <v>AtuCode_radarApproachControlFac</v>
      </c>
      <c r="B1108" s="409"/>
      <c r="C1108" s="416"/>
      <c r="D1108" s="198" t="s">
        <v>20414</v>
      </c>
      <c r="E1108" s="198">
        <v>25</v>
      </c>
      <c r="F1108" s="199" t="s">
        <v>20415</v>
      </c>
      <c r="G1108" s="1" t="s">
        <v>20416</v>
      </c>
      <c r="H1108" s="200"/>
      <c r="I1108" s="346"/>
      <c r="J1108" s="39">
        <v>116486</v>
      </c>
      <c r="K1108" s="36" t="str">
        <f>CONCATENATE(Cover!$D$6,"fdd/view?i=",J1108)</f>
        <v>https://www.dgiwg.org/FAD/fdd/view?i=116486</v>
      </c>
      <c r="L1108" s="36" t="s">
        <v>20417</v>
      </c>
      <c r="M1108" s="186"/>
      <c r="N1108" s="186"/>
      <c r="O1108" s="172"/>
    </row>
    <row r="1109" spans="1:15" ht="51" x14ac:dyDescent="0.2">
      <c r="A1109" s="197" t="str">
        <f t="shared" si="17"/>
        <v>AtuCode_regionalAreaForecastCentre</v>
      </c>
      <c r="B1109" s="409"/>
      <c r="C1109" s="416"/>
      <c r="D1109" s="198" t="s">
        <v>20418</v>
      </c>
      <c r="E1109" s="198">
        <v>26</v>
      </c>
      <c r="F1109" s="199" t="s">
        <v>20419</v>
      </c>
      <c r="G1109" s="1" t="s">
        <v>20420</v>
      </c>
      <c r="H1109" s="200"/>
      <c r="I1109" s="351" t="s">
        <v>20421</v>
      </c>
      <c r="J1109" s="39">
        <v>116487</v>
      </c>
      <c r="K1109" s="36" t="str">
        <f>CONCATENATE(Cover!$D$6,"fdd/view?i=",J1109)</f>
        <v>https://www.dgiwg.org/FAD/fdd/view?i=116487</v>
      </c>
      <c r="L1109" s="36" t="s">
        <v>20422</v>
      </c>
      <c r="M1109" s="186"/>
      <c r="N1109" s="186"/>
      <c r="O1109" s="172"/>
    </row>
    <row r="1110" spans="1:15" ht="38.25" x14ac:dyDescent="0.2">
      <c r="A1110" s="197" t="str">
        <f t="shared" si="17"/>
        <v>AtuCode_rescueCoOrdinationCentre</v>
      </c>
      <c r="B1110" s="409"/>
      <c r="C1110" s="416"/>
      <c r="D1110" s="198" t="s">
        <v>20423</v>
      </c>
      <c r="E1110" s="198">
        <v>27</v>
      </c>
      <c r="F1110" s="199" t="s">
        <v>20424</v>
      </c>
      <c r="G1110" s="1" t="s">
        <v>20425</v>
      </c>
      <c r="H1110" s="200"/>
      <c r="I1110" s="351" t="s">
        <v>20426</v>
      </c>
      <c r="J1110" s="39">
        <v>116488</v>
      </c>
      <c r="K1110" s="36" t="str">
        <f>CONCATENATE(Cover!$D$6,"fdd/view?i=",J1110)</f>
        <v>https://www.dgiwg.org/FAD/fdd/view?i=116488</v>
      </c>
      <c r="L1110" s="36" t="s">
        <v>20427</v>
      </c>
      <c r="M1110" s="186"/>
      <c r="N1110" s="186"/>
      <c r="O1110" s="172"/>
    </row>
    <row r="1111" spans="1:15" ht="38.25" x14ac:dyDescent="0.2">
      <c r="A1111" s="197" t="str">
        <f t="shared" si="17"/>
        <v>AtuCode_rescueSubCentre</v>
      </c>
      <c r="B1111" s="409"/>
      <c r="C1111" s="416"/>
      <c r="D1111" s="198" t="s">
        <v>20428</v>
      </c>
      <c r="E1111" s="198">
        <v>28</v>
      </c>
      <c r="F1111" s="199" t="s">
        <v>20429</v>
      </c>
      <c r="G1111" s="1" t="s">
        <v>20430</v>
      </c>
      <c r="H1111" s="200"/>
      <c r="I1111" s="351" t="s">
        <v>10252</v>
      </c>
      <c r="J1111" s="39">
        <v>116489</v>
      </c>
      <c r="K1111" s="36" t="str">
        <f>CONCATENATE(Cover!$D$6,"fdd/view?i=",J1111)</f>
        <v>https://www.dgiwg.org/FAD/fdd/view?i=116489</v>
      </c>
      <c r="L1111" s="36" t="s">
        <v>20431</v>
      </c>
      <c r="M1111" s="186"/>
      <c r="N1111" s="186"/>
      <c r="O1111" s="172"/>
    </row>
    <row r="1112" spans="1:15" ht="25.5" x14ac:dyDescent="0.2">
      <c r="A1112" s="197" t="str">
        <f t="shared" si="17"/>
        <v>AtuCode_surfaceMovementRadarOffice</v>
      </c>
      <c r="B1112" s="409"/>
      <c r="C1112" s="416"/>
      <c r="D1112" s="198" t="s">
        <v>20432</v>
      </c>
      <c r="E1112" s="198">
        <v>29</v>
      </c>
      <c r="F1112" s="199" t="s">
        <v>20433</v>
      </c>
      <c r="G1112" s="1" t="s">
        <v>20434</v>
      </c>
      <c r="H1112" s="200"/>
      <c r="I1112" s="351" t="s">
        <v>20435</v>
      </c>
      <c r="J1112" s="39">
        <v>116490</v>
      </c>
      <c r="K1112" s="36" t="str">
        <f>CONCATENATE(Cover!$D$6,"fdd/view?i=",J1112)</f>
        <v>https://www.dgiwg.org/FAD/fdd/view?i=116490</v>
      </c>
      <c r="L1112" s="36" t="s">
        <v>20436</v>
      </c>
      <c r="M1112" s="186"/>
      <c r="N1112" s="186"/>
      <c r="O1112" s="172"/>
    </row>
    <row r="1113" spans="1:15" ht="38.25" x14ac:dyDescent="0.2">
      <c r="A1113" s="197" t="str">
        <f t="shared" si="17"/>
        <v>AtuCode_tempReservedAirspaceMonitor</v>
      </c>
      <c r="B1113" s="409"/>
      <c r="C1113" s="416"/>
      <c r="D1113" s="198" t="s">
        <v>20437</v>
      </c>
      <c r="E1113" s="198">
        <v>36</v>
      </c>
      <c r="F1113" s="199" t="s">
        <v>20438</v>
      </c>
      <c r="G1113" s="1" t="s">
        <v>20439</v>
      </c>
      <c r="H1113" s="200"/>
      <c r="I1113" s="351" t="s">
        <v>20440</v>
      </c>
      <c r="J1113" s="39">
        <v>116497</v>
      </c>
      <c r="K1113" s="36" t="str">
        <f>CONCATENATE(Cover!$D$6,"fdd/view?i=",J1113)</f>
        <v>https://www.dgiwg.org/FAD/fdd/view?i=116497</v>
      </c>
      <c r="L1113" s="36" t="s">
        <v>20441</v>
      </c>
      <c r="M1113" s="186"/>
      <c r="N1113" s="186"/>
      <c r="O1113" s="172"/>
    </row>
    <row r="1114" spans="1:15" ht="38.25" x14ac:dyDescent="0.2">
      <c r="A1114" s="197" t="str">
        <f t="shared" si="17"/>
        <v>AtuCode_uhfDirectionFindingStation</v>
      </c>
      <c r="B1114" s="409"/>
      <c r="C1114" s="416"/>
      <c r="D1114" s="198" t="s">
        <v>20442</v>
      </c>
      <c r="E1114" s="198">
        <v>32</v>
      </c>
      <c r="F1114" s="199" t="s">
        <v>20443</v>
      </c>
      <c r="G1114" s="1" t="s">
        <v>20444</v>
      </c>
      <c r="H1114" s="200"/>
      <c r="I1114" s="351" t="s">
        <v>20445</v>
      </c>
      <c r="J1114" s="39">
        <v>116493</v>
      </c>
      <c r="K1114" s="36" t="str">
        <f>CONCATENATE(Cover!$D$6,"fdd/view?i=",J1114)</f>
        <v>https://www.dgiwg.org/FAD/fdd/view?i=116493</v>
      </c>
      <c r="L1114" s="36" t="s">
        <v>20446</v>
      </c>
      <c r="M1114" s="186"/>
      <c r="N1114" s="186"/>
      <c r="O1114" s="172"/>
    </row>
    <row r="1115" spans="1:15" ht="25.5" x14ac:dyDescent="0.2">
      <c r="A1115" s="197" t="str">
        <f t="shared" si="17"/>
        <v>AtuCode_upperAreaControlCentre</v>
      </c>
      <c r="B1115" s="409"/>
      <c r="C1115" s="416"/>
      <c r="D1115" s="198" t="s">
        <v>20447</v>
      </c>
      <c r="E1115" s="198">
        <v>31</v>
      </c>
      <c r="F1115" s="199" t="s">
        <v>20448</v>
      </c>
      <c r="G1115" s="1" t="s">
        <v>20449</v>
      </c>
      <c r="H1115" s="200"/>
      <c r="I1115" s="351" t="s">
        <v>20450</v>
      </c>
      <c r="J1115" s="39">
        <v>116492</v>
      </c>
      <c r="K1115" s="36" t="str">
        <f>CONCATENATE(Cover!$D$6,"fdd/view?i=",J1115)</f>
        <v>https://www.dgiwg.org/FAD/fdd/view?i=116492</v>
      </c>
      <c r="L1115" s="36" t="s">
        <v>20451</v>
      </c>
      <c r="M1115" s="186"/>
      <c r="N1115" s="186"/>
      <c r="O1115" s="172"/>
    </row>
    <row r="1116" spans="1:15" ht="25.5" x14ac:dyDescent="0.2">
      <c r="A1116" s="197" t="str">
        <f t="shared" si="17"/>
        <v>AtuCode_upperInformationCentre</v>
      </c>
      <c r="B1116" s="409"/>
      <c r="C1116" s="416"/>
      <c r="D1116" s="198" t="s">
        <v>20452</v>
      </c>
      <c r="E1116" s="198">
        <v>33</v>
      </c>
      <c r="F1116" s="199" t="s">
        <v>20453</v>
      </c>
      <c r="G1116" s="1" t="s">
        <v>20454</v>
      </c>
      <c r="H1116" s="200"/>
      <c r="I1116" s="351" t="s">
        <v>20455</v>
      </c>
      <c r="J1116" s="39">
        <v>116494</v>
      </c>
      <c r="K1116" s="36" t="str">
        <f>CONCATENATE(Cover!$D$6,"fdd/view?i=",J1116)</f>
        <v>https://www.dgiwg.org/FAD/fdd/view?i=116494</v>
      </c>
      <c r="L1116" s="36" t="s">
        <v>20456</v>
      </c>
      <c r="M1116" s="186"/>
      <c r="N1116" s="186"/>
      <c r="O1116" s="172"/>
    </row>
    <row r="1117" spans="1:15" ht="38.25" x14ac:dyDescent="0.2">
      <c r="A1117" s="197" t="str">
        <f t="shared" si="17"/>
        <v>AtuCode_vhfDirectionFindingStation</v>
      </c>
      <c r="B1117" s="409"/>
      <c r="C1117" s="416"/>
      <c r="D1117" s="198" t="s">
        <v>20457</v>
      </c>
      <c r="E1117" s="198">
        <v>34</v>
      </c>
      <c r="F1117" s="199" t="s">
        <v>20458</v>
      </c>
      <c r="G1117" s="1" t="s">
        <v>20459</v>
      </c>
      <c r="H1117" s="200"/>
      <c r="I1117" s="351" t="s">
        <v>20460</v>
      </c>
      <c r="J1117" s="39">
        <v>116495</v>
      </c>
      <c r="K1117" s="36" t="str">
        <f>CONCATENATE(Cover!$D$6,"fdd/view?i=",J1117)</f>
        <v>https://www.dgiwg.org/FAD/fdd/view?i=116495</v>
      </c>
      <c r="L1117" s="36" t="s">
        <v>20461</v>
      </c>
      <c r="M1117" s="186"/>
      <c r="N1117" s="186"/>
      <c r="O1117" s="172"/>
    </row>
    <row r="1118" spans="1:15" ht="51" x14ac:dyDescent="0.2">
      <c r="A1118" s="203" t="str">
        <f t="shared" si="17"/>
        <v>AtuCode_worldAreaForecastCentre</v>
      </c>
      <c r="B1118" s="410"/>
      <c r="C1118" s="417"/>
      <c r="D1118" s="204" t="s">
        <v>20462</v>
      </c>
      <c r="E1118" s="204">
        <v>35</v>
      </c>
      <c r="F1118" s="205" t="s">
        <v>20463</v>
      </c>
      <c r="G1118" s="206" t="s">
        <v>20464</v>
      </c>
      <c r="H1118" s="207"/>
      <c r="I1118" s="353" t="s">
        <v>20465</v>
      </c>
      <c r="J1118" s="39">
        <v>116496</v>
      </c>
      <c r="K1118" s="36" t="str">
        <f>CONCATENATE(Cover!$D$6,"fdd/view?i=",J1118)</f>
        <v>https://www.dgiwg.org/FAD/fdd/view?i=116496</v>
      </c>
      <c r="L1118" s="36" t="s">
        <v>20466</v>
      </c>
      <c r="M1118" s="186"/>
      <c r="N1118" s="186"/>
      <c r="O1118" s="172"/>
    </row>
    <row r="1119" spans="1:15" ht="25.5" x14ac:dyDescent="0.2">
      <c r="A1119" s="190" t="str">
        <f t="shared" si="17"/>
        <v>FfoCode_assumedFriend</v>
      </c>
      <c r="B1119" s="414" t="str">
        <f>HYPERLINK("[#]Datatypes!A82:L82","FfoCode")</f>
        <v>FfoCode</v>
      </c>
      <c r="C1119" s="415" t="s">
        <v>14633</v>
      </c>
      <c r="D1119" s="221" t="s">
        <v>20467</v>
      </c>
      <c r="E1119" s="221">
        <v>1</v>
      </c>
      <c r="F1119" s="222" t="s">
        <v>20468</v>
      </c>
      <c r="G1119" s="223" t="s">
        <v>20469</v>
      </c>
      <c r="H1119" s="224"/>
      <c r="I1119" s="345"/>
      <c r="J1119" s="39">
        <v>118260</v>
      </c>
      <c r="K1119" s="36" t="str">
        <f>CONCATENATE(Cover!$D$6,"fdd/view?i=",J1119)</f>
        <v>https://www.dgiwg.org/FAD/fdd/view?i=118260</v>
      </c>
      <c r="L1119" s="36" t="s">
        <v>20470</v>
      </c>
      <c r="M1119" s="186"/>
      <c r="N1119" s="186"/>
      <c r="O1119" s="172"/>
    </row>
    <row r="1120" spans="1:15" x14ac:dyDescent="0.2">
      <c r="A1120" s="197" t="str">
        <f t="shared" si="17"/>
        <v>FfoCode_friend</v>
      </c>
      <c r="B1120" s="409"/>
      <c r="C1120" s="416"/>
      <c r="D1120" s="198" t="s">
        <v>20471</v>
      </c>
      <c r="E1120" s="198">
        <v>2</v>
      </c>
      <c r="F1120" s="199" t="s">
        <v>20472</v>
      </c>
      <c r="G1120" s="1" t="s">
        <v>20473</v>
      </c>
      <c r="H1120" s="200"/>
      <c r="I1120" s="346"/>
      <c r="J1120" s="39">
        <v>118261</v>
      </c>
      <c r="K1120" s="36" t="str">
        <f>CONCATENATE(Cover!$D$6,"fdd/view?i=",J1120)</f>
        <v>https://www.dgiwg.org/FAD/fdd/view?i=118261</v>
      </c>
      <c r="L1120" s="36" t="s">
        <v>20474</v>
      </c>
      <c r="M1120" s="186"/>
      <c r="N1120" s="186"/>
      <c r="O1120" s="172"/>
    </row>
    <row r="1121" spans="1:15" x14ac:dyDescent="0.2">
      <c r="A1121" s="197" t="str">
        <f t="shared" si="17"/>
        <v>FfoCode_hostile</v>
      </c>
      <c r="B1121" s="409"/>
      <c r="C1121" s="416"/>
      <c r="D1121" s="198" t="s">
        <v>20475</v>
      </c>
      <c r="E1121" s="198">
        <v>5</v>
      </c>
      <c r="F1121" s="199" t="s">
        <v>20476</v>
      </c>
      <c r="G1121" s="1" t="s">
        <v>20477</v>
      </c>
      <c r="H1121" s="200"/>
      <c r="I1121" s="346"/>
      <c r="J1121" s="39">
        <v>118264</v>
      </c>
      <c r="K1121" s="36" t="str">
        <f>CONCATENATE(Cover!$D$6,"fdd/view?i=",J1121)</f>
        <v>https://www.dgiwg.org/FAD/fdd/view?i=118264</v>
      </c>
      <c r="L1121" s="36" t="s">
        <v>20478</v>
      </c>
      <c r="M1121" s="186"/>
      <c r="N1121" s="186"/>
      <c r="O1121" s="172"/>
    </row>
    <row r="1122" spans="1:15" ht="25.5" x14ac:dyDescent="0.2">
      <c r="A1122" s="197" t="str">
        <f t="shared" si="17"/>
        <v>FfoCode_neutral</v>
      </c>
      <c r="B1122" s="409"/>
      <c r="C1122" s="416"/>
      <c r="D1122" s="198" t="s">
        <v>20479</v>
      </c>
      <c r="E1122" s="198">
        <v>3</v>
      </c>
      <c r="F1122" s="199" t="s">
        <v>20480</v>
      </c>
      <c r="G1122" s="1" t="s">
        <v>20481</v>
      </c>
      <c r="H1122" s="200"/>
      <c r="I1122" s="346"/>
      <c r="J1122" s="39">
        <v>118262</v>
      </c>
      <c r="K1122" s="36" t="str">
        <f>CONCATENATE(Cover!$D$6,"fdd/view?i=",J1122)</f>
        <v>https://www.dgiwg.org/FAD/fdd/view?i=118262</v>
      </c>
      <c r="L1122" s="36" t="s">
        <v>20482</v>
      </c>
      <c r="M1122" s="186"/>
      <c r="N1122" s="186"/>
      <c r="O1122" s="172"/>
    </row>
    <row r="1123" spans="1:15" ht="25.5" x14ac:dyDescent="0.2">
      <c r="A1123" s="203" t="str">
        <f t="shared" si="17"/>
        <v>FfoCode_suspect</v>
      </c>
      <c r="B1123" s="410"/>
      <c r="C1123" s="417"/>
      <c r="D1123" s="204" t="s">
        <v>20483</v>
      </c>
      <c r="E1123" s="204">
        <v>4</v>
      </c>
      <c r="F1123" s="205" t="s">
        <v>20484</v>
      </c>
      <c r="G1123" s="206" t="s">
        <v>20485</v>
      </c>
      <c r="H1123" s="207"/>
      <c r="I1123" s="347"/>
      <c r="J1123" s="39">
        <v>118263</v>
      </c>
      <c r="K1123" s="36" t="str">
        <f>CONCATENATE(Cover!$D$6,"fdd/view?i=",J1123)</f>
        <v>https://www.dgiwg.org/FAD/fdd/view?i=118263</v>
      </c>
      <c r="L1123" s="36" t="s">
        <v>20486</v>
      </c>
      <c r="M1123" s="186"/>
      <c r="N1123" s="186"/>
      <c r="O1123" s="172"/>
    </row>
    <row r="1124" spans="1:15" ht="25.5" x14ac:dyDescent="0.2">
      <c r="A1124" s="190" t="str">
        <f t="shared" si="17"/>
        <v>AgaCode_activists</v>
      </c>
      <c r="B1124" s="414" t="str">
        <f>HYPERLINK("[#]Datatypes!A84:L84","AgaCode")</f>
        <v>AgaCode</v>
      </c>
      <c r="C1124" s="415" t="s">
        <v>14635</v>
      </c>
      <c r="D1124" s="221" t="s">
        <v>20487</v>
      </c>
      <c r="E1124" s="221">
        <v>8</v>
      </c>
      <c r="F1124" s="222" t="s">
        <v>20488</v>
      </c>
      <c r="G1124" s="223" t="s">
        <v>20489</v>
      </c>
      <c r="H1124" s="224"/>
      <c r="I1124" s="345"/>
      <c r="J1124" s="39">
        <v>118191</v>
      </c>
      <c r="K1124" s="36" t="str">
        <f>CONCATENATE(Cover!$D$6,"fdd/view?i=",J1124)</f>
        <v>https://www.dgiwg.org/FAD/fdd/view?i=118191</v>
      </c>
      <c r="L1124" s="36" t="s">
        <v>20490</v>
      </c>
      <c r="M1124" s="186"/>
      <c r="N1124" s="186"/>
      <c r="O1124" s="172"/>
    </row>
    <row r="1125" spans="1:15" ht="25.5" x14ac:dyDescent="0.2">
      <c r="A1125" s="197" t="str">
        <f t="shared" si="17"/>
        <v>AgaCode_criminalSyndicate</v>
      </c>
      <c r="B1125" s="409"/>
      <c r="C1125" s="416"/>
      <c r="D1125" s="198" t="s">
        <v>20491</v>
      </c>
      <c r="E1125" s="198">
        <v>2</v>
      </c>
      <c r="F1125" s="199" t="s">
        <v>20492</v>
      </c>
      <c r="G1125" s="1" t="s">
        <v>20493</v>
      </c>
      <c r="H1125" s="200"/>
      <c r="I1125" s="346"/>
      <c r="J1125" s="39">
        <v>112604</v>
      </c>
      <c r="K1125" s="36" t="str">
        <f>CONCATENATE(Cover!$D$6,"fdd/view?i=",J1125)</f>
        <v>https://www.dgiwg.org/FAD/fdd/view?i=112604</v>
      </c>
      <c r="L1125" s="36" t="s">
        <v>20494</v>
      </c>
      <c r="M1125" s="186"/>
      <c r="N1125" s="186"/>
      <c r="O1125" s="172"/>
    </row>
    <row r="1126" spans="1:15" x14ac:dyDescent="0.2">
      <c r="A1126" s="197" t="str">
        <f t="shared" si="17"/>
        <v>AgaCode_insurgent</v>
      </c>
      <c r="B1126" s="409"/>
      <c r="C1126" s="416"/>
      <c r="D1126" s="198" t="s">
        <v>20495</v>
      </c>
      <c r="E1126" s="198">
        <v>10</v>
      </c>
      <c r="F1126" s="199" t="s">
        <v>20496</v>
      </c>
      <c r="G1126" s="1" t="s">
        <v>20497</v>
      </c>
      <c r="H1126" s="200"/>
      <c r="I1126" s="346"/>
      <c r="J1126" s="39">
        <v>118193</v>
      </c>
      <c r="K1126" s="36" t="str">
        <f>CONCATENATE(Cover!$D$6,"fdd/view?i=",J1126)</f>
        <v>https://www.dgiwg.org/FAD/fdd/view?i=118193</v>
      </c>
      <c r="L1126" s="36" t="s">
        <v>20498</v>
      </c>
      <c r="M1126" s="186"/>
      <c r="N1126" s="186"/>
      <c r="O1126" s="172"/>
    </row>
    <row r="1127" spans="1:15" ht="25.5" x14ac:dyDescent="0.2">
      <c r="A1127" s="197" t="str">
        <f t="shared" si="17"/>
        <v>AgaCode_localGang</v>
      </c>
      <c r="B1127" s="409"/>
      <c r="C1127" s="416"/>
      <c r="D1127" s="198" t="s">
        <v>20499</v>
      </c>
      <c r="E1127" s="198">
        <v>1</v>
      </c>
      <c r="F1127" s="199" t="s">
        <v>20500</v>
      </c>
      <c r="G1127" s="1" t="s">
        <v>20501</v>
      </c>
      <c r="H1127" s="200"/>
      <c r="I1127" s="346"/>
      <c r="J1127" s="39">
        <v>112602</v>
      </c>
      <c r="K1127" s="36" t="str">
        <f>CONCATENATE(Cover!$D$6,"fdd/view?i=",J1127)</f>
        <v>https://www.dgiwg.org/FAD/fdd/view?i=112602</v>
      </c>
      <c r="L1127" s="36" t="s">
        <v>20502</v>
      </c>
      <c r="M1127" s="186"/>
      <c r="N1127" s="186"/>
      <c r="O1127" s="172"/>
    </row>
    <row r="1128" spans="1:15" ht="25.5" x14ac:dyDescent="0.2">
      <c r="A1128" s="197" t="str">
        <f t="shared" si="17"/>
        <v>AgaCode_military</v>
      </c>
      <c r="B1128" s="409"/>
      <c r="C1128" s="416"/>
      <c r="D1128" s="198" t="s">
        <v>20503</v>
      </c>
      <c r="E1128" s="198">
        <v>3</v>
      </c>
      <c r="F1128" s="199" t="s">
        <v>20504</v>
      </c>
      <c r="G1128" s="1" t="s">
        <v>20505</v>
      </c>
      <c r="H1128" s="200"/>
      <c r="I1128" s="346"/>
      <c r="J1128" s="39">
        <v>112606</v>
      </c>
      <c r="K1128" s="36" t="str">
        <f>CONCATENATE(Cover!$D$6,"fdd/view?i=",J1128)</f>
        <v>https://www.dgiwg.org/FAD/fdd/view?i=112606</v>
      </c>
      <c r="L1128" s="36" t="s">
        <v>20506</v>
      </c>
      <c r="M1128" s="186"/>
      <c r="N1128" s="186"/>
      <c r="O1128" s="172"/>
    </row>
    <row r="1129" spans="1:15" ht="25.5" x14ac:dyDescent="0.2">
      <c r="A1129" s="197" t="str">
        <f t="shared" si="17"/>
        <v>AgaCode_multiNationalAlliance</v>
      </c>
      <c r="B1129" s="409"/>
      <c r="C1129" s="416"/>
      <c r="D1129" s="198" t="s">
        <v>20507</v>
      </c>
      <c r="E1129" s="198">
        <v>5</v>
      </c>
      <c r="F1129" s="199" t="s">
        <v>20508</v>
      </c>
      <c r="G1129" s="1" t="s">
        <v>20509</v>
      </c>
      <c r="H1129" s="200"/>
      <c r="I1129" s="346"/>
      <c r="J1129" s="39">
        <v>111788</v>
      </c>
      <c r="K1129" s="36" t="str">
        <f>CONCATENATE(Cover!$D$6,"fdd/view?i=",J1129)</f>
        <v>https://www.dgiwg.org/FAD/fdd/view?i=111788</v>
      </c>
      <c r="L1129" s="36" t="s">
        <v>20510</v>
      </c>
      <c r="M1129" s="186"/>
      <c r="N1129" s="186"/>
      <c r="O1129" s="172"/>
    </row>
    <row r="1130" spans="1:15" ht="38.25" x14ac:dyDescent="0.2">
      <c r="A1130" s="197" t="str">
        <f t="shared" si="17"/>
        <v>AgaCode_nonGovArmedForces</v>
      </c>
      <c r="B1130" s="409"/>
      <c r="C1130" s="416"/>
      <c r="D1130" s="198" t="s">
        <v>20511</v>
      </c>
      <c r="E1130" s="198">
        <v>4</v>
      </c>
      <c r="F1130" s="199" t="s">
        <v>20512</v>
      </c>
      <c r="G1130" s="1" t="s">
        <v>20513</v>
      </c>
      <c r="H1130" s="200"/>
      <c r="I1130" s="346"/>
      <c r="J1130" s="39">
        <v>111789</v>
      </c>
      <c r="K1130" s="36" t="str">
        <f>CONCATENATE(Cover!$D$6,"fdd/view?i=",J1130)</f>
        <v>https://www.dgiwg.org/FAD/fdd/view?i=111789</v>
      </c>
      <c r="L1130" s="36" t="s">
        <v>20514</v>
      </c>
      <c r="M1130" s="186"/>
      <c r="N1130" s="186"/>
      <c r="O1130" s="172"/>
    </row>
    <row r="1131" spans="1:15" ht="25.5" x14ac:dyDescent="0.2">
      <c r="A1131" s="197" t="str">
        <f t="shared" si="17"/>
        <v>AgaCode_nonMilitarySecurityForces</v>
      </c>
      <c r="B1131" s="409"/>
      <c r="C1131" s="416"/>
      <c r="D1131" s="198" t="s">
        <v>20515</v>
      </c>
      <c r="E1131" s="198">
        <v>9</v>
      </c>
      <c r="F1131" s="199" t="s">
        <v>20516</v>
      </c>
      <c r="G1131" s="1" t="s">
        <v>20517</v>
      </c>
      <c r="H1131" s="200"/>
      <c r="I1131" s="346"/>
      <c r="J1131" s="39">
        <v>118192</v>
      </c>
      <c r="K1131" s="36" t="str">
        <f>CONCATENATE(Cover!$D$6,"fdd/view?i=",J1131)</f>
        <v>https://www.dgiwg.org/FAD/fdd/view?i=118192</v>
      </c>
      <c r="L1131" s="36" t="s">
        <v>20518</v>
      </c>
      <c r="M1131" s="186"/>
      <c r="N1131" s="186"/>
      <c r="O1131" s="172"/>
    </row>
    <row r="1132" spans="1:15" ht="38.25" x14ac:dyDescent="0.2">
      <c r="A1132" s="197" t="str">
        <f t="shared" si="17"/>
        <v>AgaCode_terroristCell</v>
      </c>
      <c r="B1132" s="409"/>
      <c r="C1132" s="416"/>
      <c r="D1132" s="198" t="s">
        <v>20519</v>
      </c>
      <c r="E1132" s="198">
        <v>6</v>
      </c>
      <c r="F1132" s="199" t="s">
        <v>20520</v>
      </c>
      <c r="G1132" s="1" t="s">
        <v>20521</v>
      </c>
      <c r="H1132" s="200"/>
      <c r="I1132" s="346"/>
      <c r="J1132" s="39">
        <v>118189</v>
      </c>
      <c r="K1132" s="36" t="str">
        <f>CONCATENATE(Cover!$D$6,"fdd/view?i=",J1132)</f>
        <v>https://www.dgiwg.org/FAD/fdd/view?i=118189</v>
      </c>
      <c r="L1132" s="36" t="s">
        <v>20522</v>
      </c>
      <c r="M1132" s="186"/>
      <c r="N1132" s="186"/>
      <c r="O1132" s="172"/>
    </row>
    <row r="1133" spans="1:15" ht="38.25" x14ac:dyDescent="0.2">
      <c r="A1133" s="203" t="str">
        <f t="shared" si="17"/>
        <v>AgaCode_tribalGroup</v>
      </c>
      <c r="B1133" s="410"/>
      <c r="C1133" s="417"/>
      <c r="D1133" s="204" t="s">
        <v>20523</v>
      </c>
      <c r="E1133" s="204">
        <v>7</v>
      </c>
      <c r="F1133" s="205" t="s">
        <v>20524</v>
      </c>
      <c r="G1133" s="206" t="s">
        <v>20525</v>
      </c>
      <c r="H1133" s="207"/>
      <c r="I1133" s="347"/>
      <c r="J1133" s="39">
        <v>118190</v>
      </c>
      <c r="K1133" s="36" t="str">
        <f>CONCATENATE(Cover!$D$6,"fdd/view?i=",J1133)</f>
        <v>https://www.dgiwg.org/FAD/fdd/view?i=118190</v>
      </c>
      <c r="L1133" s="36" t="s">
        <v>20526</v>
      </c>
      <c r="M1133" s="186"/>
      <c r="N1133" s="186"/>
      <c r="O1133" s="172"/>
    </row>
    <row r="1134" spans="1:15" ht="25.5" x14ac:dyDescent="0.2">
      <c r="A1134" s="190" t="str">
        <f t="shared" si="17"/>
        <v>AfcCode_barn</v>
      </c>
      <c r="B1134" s="414" t="str">
        <f>HYPERLINK("[#]Datatypes!A86:L86","AfcCode")</f>
        <v>AfcCode</v>
      </c>
      <c r="C1134" s="415" t="s">
        <v>14637</v>
      </c>
      <c r="D1134" s="221" t="s">
        <v>20527</v>
      </c>
      <c r="E1134" s="221">
        <v>5</v>
      </c>
      <c r="F1134" s="222" t="s">
        <v>2209</v>
      </c>
      <c r="G1134" s="223" t="s">
        <v>20528</v>
      </c>
      <c r="H1134" s="224"/>
      <c r="I1134" s="345"/>
      <c r="J1134" s="39">
        <v>101669</v>
      </c>
      <c r="K1134" s="36" t="str">
        <f>CONCATENATE(Cover!$D$6,"fdd/view?i=",J1134)</f>
        <v>https://www.dgiwg.org/FAD/fdd/view?i=101669</v>
      </c>
      <c r="L1134" s="36" t="s">
        <v>20529</v>
      </c>
      <c r="M1134" s="186"/>
      <c r="N1134" s="186"/>
      <c r="O1134" s="172"/>
    </row>
    <row r="1135" spans="1:15" x14ac:dyDescent="0.2">
      <c r="A1135" s="197" t="str">
        <f t="shared" si="17"/>
        <v>AfcCode_farmBuilding</v>
      </c>
      <c r="B1135" s="409"/>
      <c r="C1135" s="416"/>
      <c r="D1135" s="198" t="s">
        <v>20530</v>
      </c>
      <c r="E1135" s="198">
        <v>1</v>
      </c>
      <c r="F1135" s="199" t="s">
        <v>20531</v>
      </c>
      <c r="G1135" s="1" t="s">
        <v>20532</v>
      </c>
      <c r="H1135" s="200"/>
      <c r="I1135" s="346"/>
      <c r="J1135" s="39">
        <v>101665</v>
      </c>
      <c r="K1135" s="36" t="str">
        <f>CONCATENATE(Cover!$D$6,"fdd/view?i=",J1135)</f>
        <v>https://www.dgiwg.org/FAD/fdd/view?i=101665</v>
      </c>
      <c r="L1135" s="36" t="s">
        <v>20533</v>
      </c>
      <c r="M1135" s="186"/>
      <c r="N1135" s="186"/>
      <c r="O1135" s="172"/>
    </row>
    <row r="1136" spans="1:15" x14ac:dyDescent="0.2">
      <c r="A1136" s="197" t="str">
        <f t="shared" si="17"/>
        <v>AfcCode_farmhouse</v>
      </c>
      <c r="B1136" s="409"/>
      <c r="C1136" s="416"/>
      <c r="D1136" s="198" t="s">
        <v>20534</v>
      </c>
      <c r="E1136" s="198">
        <v>10</v>
      </c>
      <c r="F1136" s="199" t="s">
        <v>20535</v>
      </c>
      <c r="G1136" s="1" t="s">
        <v>20536</v>
      </c>
      <c r="H1136" s="1" t="s">
        <v>20537</v>
      </c>
      <c r="I1136" s="346"/>
      <c r="J1136" s="39">
        <v>112739</v>
      </c>
      <c r="K1136" s="36" t="str">
        <f>CONCATENATE(Cover!$D$6,"fdd/view?i=",J1136)</f>
        <v>https://www.dgiwg.org/FAD/fdd/view?i=112739</v>
      </c>
      <c r="L1136" s="36" t="s">
        <v>20538</v>
      </c>
      <c r="M1136" s="186"/>
      <c r="N1136" s="186"/>
      <c r="O1136" s="172"/>
    </row>
    <row r="1137" spans="1:15" ht="51" x14ac:dyDescent="0.2">
      <c r="A1137" s="197" t="str">
        <f t="shared" si="17"/>
        <v>AfcCode_greenhouse</v>
      </c>
      <c r="B1137" s="409"/>
      <c r="C1137" s="416"/>
      <c r="D1137" s="198" t="s">
        <v>20539</v>
      </c>
      <c r="E1137" s="198">
        <v>2</v>
      </c>
      <c r="F1137" s="199" t="s">
        <v>3405</v>
      </c>
      <c r="G1137" s="1" t="s">
        <v>20540</v>
      </c>
      <c r="H1137" s="200"/>
      <c r="I1137" s="346"/>
      <c r="J1137" s="39">
        <v>101666</v>
      </c>
      <c r="K1137" s="36" t="str">
        <f>CONCATENATE(Cover!$D$6,"fdd/view?i=",J1137)</f>
        <v>https://www.dgiwg.org/FAD/fdd/view?i=101666</v>
      </c>
      <c r="L1137" s="36" t="s">
        <v>20541</v>
      </c>
      <c r="M1137" s="186"/>
      <c r="N1137" s="186"/>
      <c r="O1137" s="172"/>
    </row>
    <row r="1138" spans="1:15" ht="51" x14ac:dyDescent="0.2">
      <c r="A1138" s="197" t="str">
        <f t="shared" si="17"/>
        <v>AfcCode_marketGarden</v>
      </c>
      <c r="B1138" s="409"/>
      <c r="C1138" s="416"/>
      <c r="D1138" s="198" t="s">
        <v>20542</v>
      </c>
      <c r="E1138" s="198">
        <v>7</v>
      </c>
      <c r="F1138" s="199" t="s">
        <v>20543</v>
      </c>
      <c r="G1138" s="1" t="s">
        <v>20544</v>
      </c>
      <c r="H1138" s="1" t="s">
        <v>20545</v>
      </c>
      <c r="I1138" s="346"/>
      <c r="J1138" s="39">
        <v>112848</v>
      </c>
      <c r="K1138" s="36" t="str">
        <f>CONCATENATE(Cover!$D$6,"fdd/view?i=",J1138)</f>
        <v>https://www.dgiwg.org/FAD/fdd/view?i=112848</v>
      </c>
      <c r="L1138" s="36" t="s">
        <v>20546</v>
      </c>
      <c r="M1138" s="186"/>
      <c r="N1138" s="186"/>
      <c r="O1138" s="172"/>
    </row>
    <row r="1139" spans="1:15" ht="38.25" x14ac:dyDescent="0.2">
      <c r="A1139" s="197" t="str">
        <f t="shared" si="17"/>
        <v>AfcCode_outbuilding</v>
      </c>
      <c r="B1139" s="409"/>
      <c r="C1139" s="416"/>
      <c r="D1139" s="198" t="s">
        <v>20547</v>
      </c>
      <c r="E1139" s="198">
        <v>4</v>
      </c>
      <c r="F1139" s="199" t="s">
        <v>20548</v>
      </c>
      <c r="G1139" s="1" t="s">
        <v>20549</v>
      </c>
      <c r="H1139" s="200"/>
      <c r="I1139" s="346"/>
      <c r="J1139" s="39">
        <v>101668</v>
      </c>
      <c r="K1139" s="36" t="str">
        <f>CONCATENATE(Cover!$D$6,"fdd/view?i=",J1139)</f>
        <v>https://www.dgiwg.org/FAD/fdd/view?i=101668</v>
      </c>
      <c r="L1139" s="36" t="s">
        <v>20550</v>
      </c>
      <c r="M1139" s="186"/>
      <c r="N1139" s="186"/>
      <c r="O1139" s="172"/>
    </row>
    <row r="1140" spans="1:15" x14ac:dyDescent="0.2">
      <c r="A1140" s="197" t="str">
        <f t="shared" si="17"/>
        <v>AfcCode_shed</v>
      </c>
      <c r="B1140" s="409"/>
      <c r="C1140" s="416"/>
      <c r="D1140" s="198" t="s">
        <v>20551</v>
      </c>
      <c r="E1140" s="198">
        <v>3</v>
      </c>
      <c r="F1140" s="199" t="s">
        <v>5001</v>
      </c>
      <c r="G1140" s="1" t="s">
        <v>20552</v>
      </c>
      <c r="H1140" s="1" t="s">
        <v>5004</v>
      </c>
      <c r="I1140" s="346"/>
      <c r="J1140" s="39">
        <v>101667</v>
      </c>
      <c r="K1140" s="36" t="str">
        <f>CONCATENATE(Cover!$D$6,"fdd/view?i=",J1140)</f>
        <v>https://www.dgiwg.org/FAD/fdd/view?i=101667</v>
      </c>
      <c r="L1140" s="36" t="s">
        <v>20553</v>
      </c>
      <c r="M1140" s="186"/>
      <c r="N1140" s="186"/>
      <c r="O1140" s="172"/>
    </row>
    <row r="1141" spans="1:15" ht="51" x14ac:dyDescent="0.2">
      <c r="A1141" s="197" t="str">
        <f t="shared" si="17"/>
        <v>AfcCode_stable</v>
      </c>
      <c r="B1141" s="409"/>
      <c r="C1141" s="416"/>
      <c r="D1141" s="198" t="s">
        <v>20554</v>
      </c>
      <c r="E1141" s="198">
        <v>11</v>
      </c>
      <c r="F1141" s="199" t="s">
        <v>5218</v>
      </c>
      <c r="G1141" s="1" t="s">
        <v>5220</v>
      </c>
      <c r="H1141" s="1" t="s">
        <v>5221</v>
      </c>
      <c r="I1141" s="346"/>
      <c r="J1141" s="39">
        <v>117822</v>
      </c>
      <c r="K1141" s="36" t="str">
        <f>CONCATENATE(Cover!$D$6,"fdd/view?i=",J1141)</f>
        <v>https://www.dgiwg.org/FAD/fdd/view?i=117822</v>
      </c>
      <c r="L1141" s="36" t="s">
        <v>20555</v>
      </c>
      <c r="M1141" s="186"/>
      <c r="N1141" s="186"/>
      <c r="O1141" s="172"/>
    </row>
    <row r="1142" spans="1:15" ht="25.5" x14ac:dyDescent="0.2">
      <c r="A1142" s="203" t="str">
        <f t="shared" si="17"/>
        <v>AfcCode_treeNursery</v>
      </c>
      <c r="B1142" s="410"/>
      <c r="C1142" s="417"/>
      <c r="D1142" s="204" t="s">
        <v>20556</v>
      </c>
      <c r="E1142" s="204">
        <v>8</v>
      </c>
      <c r="F1142" s="205" t="s">
        <v>20557</v>
      </c>
      <c r="G1142" s="206" t="s">
        <v>20558</v>
      </c>
      <c r="H1142" s="207"/>
      <c r="I1142" s="347"/>
      <c r="J1142" s="39">
        <v>112849</v>
      </c>
      <c r="K1142" s="36" t="str">
        <f>CONCATENATE(Cover!$D$6,"fdd/view?i=",J1142)</f>
        <v>https://www.dgiwg.org/FAD/fdd/view?i=112849</v>
      </c>
      <c r="L1142" s="36" t="s">
        <v>20559</v>
      </c>
      <c r="M1142" s="186"/>
      <c r="N1142" s="186"/>
      <c r="O1142" s="172"/>
    </row>
    <row r="1143" spans="1:15" ht="25.5" x14ac:dyDescent="0.2">
      <c r="A1143" s="190" t="str">
        <f t="shared" si="17"/>
        <v>AztCode_borealConiferousForest</v>
      </c>
      <c r="B1143" s="414" t="str">
        <f>HYPERLINK("[#]Datatypes!A88:L88","AztCode")</f>
        <v>AztCode</v>
      </c>
      <c r="C1143" s="415" t="s">
        <v>14639</v>
      </c>
      <c r="D1143" s="221" t="s">
        <v>20560</v>
      </c>
      <c r="E1143" s="221">
        <v>10</v>
      </c>
      <c r="F1143" s="222" t="s">
        <v>20561</v>
      </c>
      <c r="G1143" s="223" t="s">
        <v>20562</v>
      </c>
      <c r="H1143" s="224"/>
      <c r="I1143" s="345"/>
      <c r="J1143" s="39">
        <v>113009</v>
      </c>
      <c r="K1143" s="36" t="str">
        <f>CONCATENATE(Cover!$D$6,"fdd/view?i=",J1143)</f>
        <v>https://www.dgiwg.org/FAD/fdd/view?i=113009</v>
      </c>
      <c r="L1143" s="36" t="s">
        <v>20563</v>
      </c>
      <c r="M1143" s="186"/>
      <c r="N1143" s="186"/>
      <c r="O1143" s="172"/>
    </row>
    <row r="1144" spans="1:15" ht="38.25" x14ac:dyDescent="0.2">
      <c r="A1144" s="197" t="str">
        <f t="shared" si="17"/>
        <v>AztCode_extensiveNomadPastureFarm</v>
      </c>
      <c r="B1144" s="409"/>
      <c r="C1144" s="416"/>
      <c r="D1144" s="198" t="s">
        <v>20564</v>
      </c>
      <c r="E1144" s="198">
        <v>4</v>
      </c>
      <c r="F1144" s="199" t="s">
        <v>20565</v>
      </c>
      <c r="G1144" s="1" t="s">
        <v>20566</v>
      </c>
      <c r="H1144" s="200"/>
      <c r="I1144" s="346"/>
      <c r="J1144" s="39">
        <v>113003</v>
      </c>
      <c r="K1144" s="36" t="str">
        <f>CONCATENATE(Cover!$D$6,"fdd/view?i=",J1144)</f>
        <v>https://www.dgiwg.org/FAD/fdd/view?i=113003</v>
      </c>
      <c r="L1144" s="36" t="s">
        <v>20567</v>
      </c>
      <c r="M1144" s="186"/>
      <c r="N1144" s="186"/>
      <c r="O1144" s="172"/>
    </row>
    <row r="1145" spans="1:15" ht="25.5" x14ac:dyDescent="0.2">
      <c r="A1145" s="197" t="str">
        <f t="shared" si="17"/>
        <v>AztCode_intensiveGrasslandFarming</v>
      </c>
      <c r="B1145" s="409"/>
      <c r="C1145" s="416"/>
      <c r="D1145" s="198" t="s">
        <v>20568</v>
      </c>
      <c r="E1145" s="198">
        <v>9</v>
      </c>
      <c r="F1145" s="199" t="s">
        <v>20569</v>
      </c>
      <c r="G1145" s="1" t="s">
        <v>20570</v>
      </c>
      <c r="H1145" s="200"/>
      <c r="I1145" s="346"/>
      <c r="J1145" s="39">
        <v>113008</v>
      </c>
      <c r="K1145" s="36" t="str">
        <f>CONCATENATE(Cover!$D$6,"fdd/view?i=",J1145)</f>
        <v>https://www.dgiwg.org/FAD/fdd/view?i=113008</v>
      </c>
      <c r="L1145" s="36" t="s">
        <v>20571</v>
      </c>
      <c r="M1145" s="186"/>
      <c r="N1145" s="186"/>
      <c r="O1145" s="172"/>
    </row>
    <row r="1146" spans="1:15" ht="25.5" x14ac:dyDescent="0.2">
      <c r="A1146" s="197" t="str">
        <f t="shared" si="17"/>
        <v>AztCode_specializedAgriculture</v>
      </c>
      <c r="B1146" s="409"/>
      <c r="C1146" s="416"/>
      <c r="D1146" s="198" t="s">
        <v>20572</v>
      </c>
      <c r="E1146" s="198">
        <v>7</v>
      </c>
      <c r="F1146" s="199" t="s">
        <v>20573</v>
      </c>
      <c r="G1146" s="1" t="s">
        <v>20574</v>
      </c>
      <c r="H1146" s="200"/>
      <c r="I1146" s="346"/>
      <c r="J1146" s="39">
        <v>113006</v>
      </c>
      <c r="K1146" s="36" t="str">
        <f>CONCATENATE(Cover!$D$6,"fdd/view?i=",J1146)</f>
        <v>https://www.dgiwg.org/FAD/fdd/view?i=113006</v>
      </c>
      <c r="L1146" s="36" t="s">
        <v>20575</v>
      </c>
      <c r="M1146" s="186"/>
      <c r="N1146" s="186"/>
      <c r="O1146" s="172"/>
    </row>
    <row r="1147" spans="1:15" ht="38.25" x14ac:dyDescent="0.2">
      <c r="A1147" s="197" t="str">
        <f t="shared" si="17"/>
        <v>AztCode_stationaryPastureFarming</v>
      </c>
      <c r="B1147" s="409"/>
      <c r="C1147" s="416"/>
      <c r="D1147" s="198" t="s">
        <v>20576</v>
      </c>
      <c r="E1147" s="198">
        <v>5</v>
      </c>
      <c r="F1147" s="199" t="s">
        <v>20577</v>
      </c>
      <c r="G1147" s="1" t="s">
        <v>20578</v>
      </c>
      <c r="H1147" s="200"/>
      <c r="I1147" s="346"/>
      <c r="J1147" s="39">
        <v>113004</v>
      </c>
      <c r="K1147" s="36" t="str">
        <f>CONCATENATE(Cover!$D$6,"fdd/view?i=",J1147)</f>
        <v>https://www.dgiwg.org/FAD/fdd/view?i=113004</v>
      </c>
      <c r="L1147" s="36" t="s">
        <v>20579</v>
      </c>
      <c r="M1147" s="186"/>
      <c r="N1147" s="186"/>
      <c r="O1147" s="172"/>
    </row>
    <row r="1148" spans="1:15" ht="25.5" x14ac:dyDescent="0.2">
      <c r="A1148" s="197" t="str">
        <f t="shared" si="17"/>
        <v>AztCode_subtropicalMixedAgriculture</v>
      </c>
      <c r="B1148" s="409"/>
      <c r="C1148" s="416"/>
      <c r="D1148" s="198" t="s">
        <v>20580</v>
      </c>
      <c r="E1148" s="198">
        <v>6</v>
      </c>
      <c r="F1148" s="199" t="s">
        <v>20581</v>
      </c>
      <c r="G1148" s="1" t="s">
        <v>20582</v>
      </c>
      <c r="H1148" s="200"/>
      <c r="I1148" s="346"/>
      <c r="J1148" s="39">
        <v>113005</v>
      </c>
      <c r="K1148" s="36" t="str">
        <f>CONCATENATE(Cover!$D$6,"fdd/view?i=",J1148)</f>
        <v>https://www.dgiwg.org/FAD/fdd/view?i=113005</v>
      </c>
      <c r="L1148" s="36" t="s">
        <v>20583</v>
      </c>
      <c r="M1148" s="186"/>
      <c r="N1148" s="186"/>
      <c r="O1148" s="172"/>
    </row>
    <row r="1149" spans="1:15" ht="25.5" x14ac:dyDescent="0.2">
      <c r="A1149" s="197" t="str">
        <f t="shared" si="17"/>
        <v>AztCode_temperateMixedAgriculture</v>
      </c>
      <c r="B1149" s="409"/>
      <c r="C1149" s="416"/>
      <c r="D1149" s="198" t="s">
        <v>20584</v>
      </c>
      <c r="E1149" s="198">
        <v>8</v>
      </c>
      <c r="F1149" s="199" t="s">
        <v>20585</v>
      </c>
      <c r="G1149" s="1" t="s">
        <v>20586</v>
      </c>
      <c r="H1149" s="200"/>
      <c r="I1149" s="346"/>
      <c r="J1149" s="39">
        <v>113007</v>
      </c>
      <c r="K1149" s="36" t="str">
        <f>CONCATENATE(Cover!$D$6,"fdd/view?i=",J1149)</f>
        <v>https://www.dgiwg.org/FAD/fdd/view?i=113007</v>
      </c>
      <c r="L1149" s="36" t="s">
        <v>20587</v>
      </c>
      <c r="M1149" s="186"/>
      <c r="N1149" s="186"/>
      <c r="O1149" s="172"/>
    </row>
    <row r="1150" spans="1:15" ht="25.5" x14ac:dyDescent="0.2">
      <c r="A1150" s="197" t="str">
        <f t="shared" si="17"/>
        <v>AztCode_tropicalMixedAgriculture</v>
      </c>
      <c r="B1150" s="409"/>
      <c r="C1150" s="416"/>
      <c r="D1150" s="198" t="s">
        <v>20588</v>
      </c>
      <c r="E1150" s="198">
        <v>1</v>
      </c>
      <c r="F1150" s="199" t="s">
        <v>20589</v>
      </c>
      <c r="G1150" s="1" t="s">
        <v>20590</v>
      </c>
      <c r="H1150" s="200"/>
      <c r="I1150" s="346"/>
      <c r="J1150" s="39">
        <v>113000</v>
      </c>
      <c r="K1150" s="36" t="str">
        <f>CONCATENATE(Cover!$D$6,"fdd/view?i=",J1150)</f>
        <v>https://www.dgiwg.org/FAD/fdd/view?i=113000</v>
      </c>
      <c r="L1150" s="36" t="s">
        <v>20591</v>
      </c>
      <c r="M1150" s="186"/>
      <c r="N1150" s="186"/>
      <c r="O1150" s="172"/>
    </row>
    <row r="1151" spans="1:15" ht="25.5" x14ac:dyDescent="0.2">
      <c r="A1151" s="197" t="str">
        <f t="shared" si="17"/>
        <v>AztCode_tropicalRainforestLandRot</v>
      </c>
      <c r="B1151" s="409"/>
      <c r="C1151" s="416"/>
      <c r="D1151" s="198" t="s">
        <v>20592</v>
      </c>
      <c r="E1151" s="198">
        <v>2</v>
      </c>
      <c r="F1151" s="199" t="s">
        <v>20593</v>
      </c>
      <c r="G1151" s="1" t="s">
        <v>20594</v>
      </c>
      <c r="H1151" s="200"/>
      <c r="I1151" s="346"/>
      <c r="J1151" s="39">
        <v>113001</v>
      </c>
      <c r="K1151" s="36" t="str">
        <f>CONCATENATE(Cover!$D$6,"fdd/view?i=",J1151)</f>
        <v>https://www.dgiwg.org/FAD/fdd/view?i=113001</v>
      </c>
      <c r="L1151" s="36" t="s">
        <v>20595</v>
      </c>
      <c r="M1151" s="186"/>
      <c r="N1151" s="186"/>
      <c r="O1151" s="172"/>
    </row>
    <row r="1152" spans="1:15" ht="25.5" x14ac:dyDescent="0.2">
      <c r="A1152" s="203" t="str">
        <f t="shared" si="17"/>
        <v>AztCode_wetRiceCultivation</v>
      </c>
      <c r="B1152" s="410"/>
      <c r="C1152" s="417"/>
      <c r="D1152" s="204" t="s">
        <v>20596</v>
      </c>
      <c r="E1152" s="204">
        <v>3</v>
      </c>
      <c r="F1152" s="205" t="s">
        <v>20597</v>
      </c>
      <c r="G1152" s="206" t="s">
        <v>20598</v>
      </c>
      <c r="H1152" s="207"/>
      <c r="I1152" s="347"/>
      <c r="J1152" s="39">
        <v>113002</v>
      </c>
      <c r="K1152" s="36" t="str">
        <f>CONCATENATE(Cover!$D$6,"fdd/view?i=",J1152)</f>
        <v>https://www.dgiwg.org/FAD/fdd/view?i=113002</v>
      </c>
      <c r="L1152" s="36" t="s">
        <v>20599</v>
      </c>
      <c r="M1152" s="186"/>
      <c r="N1152" s="186"/>
      <c r="O1152" s="172"/>
    </row>
    <row r="1153" spans="1:15" ht="25.5" x14ac:dyDescent="0.2">
      <c r="A1153" s="190" t="str">
        <f t="shared" si="17"/>
        <v>RpuCode_anchorPattern</v>
      </c>
      <c r="B1153" s="414" t="str">
        <f>HYPERLINK("[#]Datatypes!A90:L90","RpuCode")</f>
        <v>RpuCode</v>
      </c>
      <c r="C1153" s="415" t="s">
        <v>14641</v>
      </c>
      <c r="D1153" s="221" t="s">
        <v>20600</v>
      </c>
      <c r="E1153" s="221">
        <v>2</v>
      </c>
      <c r="F1153" s="222" t="s">
        <v>20601</v>
      </c>
      <c r="G1153" s="223" t="s">
        <v>20602</v>
      </c>
      <c r="H1153" s="224"/>
      <c r="I1153" s="345"/>
      <c r="J1153" s="39">
        <v>116121</v>
      </c>
      <c r="K1153" s="36" t="str">
        <f>CONCATENATE(Cover!$D$6,"fdd/view?i=",J1153)</f>
        <v>https://www.dgiwg.org/FAD/fdd/view?i=116121</v>
      </c>
      <c r="L1153" s="36" t="s">
        <v>20603</v>
      </c>
      <c r="M1153" s="186"/>
      <c r="N1153" s="186"/>
      <c r="O1153" s="172"/>
    </row>
    <row r="1154" spans="1:15" ht="25.5" x14ac:dyDescent="0.2">
      <c r="A1154" s="197" t="str">
        <f t="shared" ref="A1154:A1217" si="18">HYPERLINK(K1154,L1154)</f>
        <v>RpuCode_anchorPoint</v>
      </c>
      <c r="B1154" s="409"/>
      <c r="C1154" s="416"/>
      <c r="D1154" s="198" t="s">
        <v>20604</v>
      </c>
      <c r="E1154" s="198">
        <v>1</v>
      </c>
      <c r="F1154" s="199" t="s">
        <v>20605</v>
      </c>
      <c r="G1154" s="1" t="s">
        <v>20606</v>
      </c>
      <c r="H1154" s="200"/>
      <c r="I1154" s="346"/>
      <c r="J1154" s="39">
        <v>116120</v>
      </c>
      <c r="K1154" s="36" t="str">
        <f>CONCATENATE(Cover!$D$6,"fdd/view?i=",J1154)</f>
        <v>https://www.dgiwg.org/FAD/fdd/view?i=116120</v>
      </c>
      <c r="L1154" s="36" t="s">
        <v>20607</v>
      </c>
      <c r="M1154" s="186"/>
      <c r="N1154" s="186"/>
      <c r="O1154" s="172"/>
    </row>
    <row r="1155" spans="1:15" ht="25.5" x14ac:dyDescent="0.2">
      <c r="A1155" s="197" t="str">
        <f t="shared" si="18"/>
        <v>RpuCode_controlPoint</v>
      </c>
      <c r="B1155" s="409"/>
      <c r="C1155" s="416"/>
      <c r="D1155" s="198" t="s">
        <v>20608</v>
      </c>
      <c r="E1155" s="198">
        <v>3</v>
      </c>
      <c r="F1155" s="199" t="s">
        <v>2606</v>
      </c>
      <c r="G1155" s="1" t="s">
        <v>20609</v>
      </c>
      <c r="H1155" s="1" t="s">
        <v>20610</v>
      </c>
      <c r="I1155" s="346"/>
      <c r="J1155" s="39">
        <v>116122</v>
      </c>
      <c r="K1155" s="36" t="str">
        <f>CONCATENATE(Cover!$D$6,"fdd/view?i=",J1155)</f>
        <v>https://www.dgiwg.org/FAD/fdd/view?i=116122</v>
      </c>
      <c r="L1155" s="36" t="s">
        <v>20611</v>
      </c>
      <c r="M1155" s="186"/>
      <c r="N1155" s="186"/>
      <c r="O1155" s="172"/>
    </row>
    <row r="1156" spans="1:15" ht="38.25" x14ac:dyDescent="0.2">
      <c r="A1156" s="197" t="str">
        <f t="shared" si="18"/>
        <v>RpuCode_controlPointNato</v>
      </c>
      <c r="B1156" s="409"/>
      <c r="C1156" s="416"/>
      <c r="D1156" s="198" t="s">
        <v>20612</v>
      </c>
      <c r="E1156" s="198">
        <v>10</v>
      </c>
      <c r="F1156" s="199" t="s">
        <v>20613</v>
      </c>
      <c r="G1156" s="1" t="s">
        <v>20614</v>
      </c>
      <c r="H1156" s="200"/>
      <c r="I1156" s="346"/>
      <c r="J1156" s="39">
        <v>116123</v>
      </c>
      <c r="K1156" s="36" t="str">
        <f>CONCATENATE(Cover!$D$6,"fdd/view?i=",J1156)</f>
        <v>https://www.dgiwg.org/FAD/fdd/view?i=116123</v>
      </c>
      <c r="L1156" s="36" t="s">
        <v>20615</v>
      </c>
      <c r="M1156" s="186"/>
      <c r="N1156" s="186"/>
      <c r="O1156" s="172"/>
    </row>
    <row r="1157" spans="1:15" ht="38.25" x14ac:dyDescent="0.2">
      <c r="A1157" s="197" t="str">
        <f t="shared" si="18"/>
        <v>RpuCode_entryPoint</v>
      </c>
      <c r="B1157" s="409"/>
      <c r="C1157" s="416"/>
      <c r="D1157" s="198" t="s">
        <v>20616</v>
      </c>
      <c r="E1157" s="198">
        <v>4</v>
      </c>
      <c r="F1157" s="199" t="s">
        <v>20617</v>
      </c>
      <c r="G1157" s="1" t="s">
        <v>20618</v>
      </c>
      <c r="H1157" s="200"/>
      <c r="I1157" s="346"/>
      <c r="J1157" s="39">
        <v>116124</v>
      </c>
      <c r="K1157" s="36" t="str">
        <f>CONCATENATE(Cover!$D$6,"fdd/view?i=",J1157)</f>
        <v>https://www.dgiwg.org/FAD/fdd/view?i=116124</v>
      </c>
      <c r="L1157" s="36" t="s">
        <v>20619</v>
      </c>
      <c r="M1157" s="186"/>
      <c r="N1157" s="186"/>
      <c r="O1157" s="172"/>
    </row>
    <row r="1158" spans="1:15" ht="51" x14ac:dyDescent="0.2">
      <c r="A1158" s="197" t="str">
        <f t="shared" si="18"/>
        <v>RpuCode_exitPoint</v>
      </c>
      <c r="B1158" s="409"/>
      <c r="C1158" s="416"/>
      <c r="D1158" s="198" t="s">
        <v>20620</v>
      </c>
      <c r="E1158" s="198">
        <v>5</v>
      </c>
      <c r="F1158" s="199" t="s">
        <v>20621</v>
      </c>
      <c r="G1158" s="1" t="s">
        <v>20622</v>
      </c>
      <c r="H1158" s="200"/>
      <c r="I1158" s="346"/>
      <c r="J1158" s="39">
        <v>116125</v>
      </c>
      <c r="K1158" s="36" t="str">
        <f>CONCATENATE(Cover!$D$6,"fdd/view?i=",J1158)</f>
        <v>https://www.dgiwg.org/FAD/fdd/view?i=116125</v>
      </c>
      <c r="L1158" s="36" t="s">
        <v>20623</v>
      </c>
      <c r="M1158" s="186"/>
      <c r="N1158" s="186"/>
      <c r="O1158" s="172"/>
    </row>
    <row r="1159" spans="1:15" ht="38.25" x14ac:dyDescent="0.2">
      <c r="A1159" s="197" t="str">
        <f t="shared" si="18"/>
        <v>RpuCode_initialPoint</v>
      </c>
      <c r="B1159" s="409"/>
      <c r="C1159" s="416"/>
      <c r="D1159" s="198" t="s">
        <v>20624</v>
      </c>
      <c r="E1159" s="198">
        <v>6</v>
      </c>
      <c r="F1159" s="199" t="s">
        <v>20625</v>
      </c>
      <c r="G1159" s="1" t="s">
        <v>20626</v>
      </c>
      <c r="H1159" s="1" t="s">
        <v>20627</v>
      </c>
      <c r="I1159" s="351" t="s">
        <v>20628</v>
      </c>
      <c r="J1159" s="39">
        <v>116126</v>
      </c>
      <c r="K1159" s="36" t="str">
        <f>CONCATENATE(Cover!$D$6,"fdd/view?i=",J1159)</f>
        <v>https://www.dgiwg.org/FAD/fdd/view?i=116126</v>
      </c>
      <c r="L1159" s="36" t="s">
        <v>20629</v>
      </c>
      <c r="M1159" s="186"/>
      <c r="N1159" s="186"/>
      <c r="O1159" s="172"/>
    </row>
    <row r="1160" spans="1:15" ht="38.25" x14ac:dyDescent="0.2">
      <c r="A1160" s="197" t="str">
        <f t="shared" si="18"/>
        <v>RpuCode_navigationCheckPoint</v>
      </c>
      <c r="B1160" s="409"/>
      <c r="C1160" s="416"/>
      <c r="D1160" s="198" t="s">
        <v>20630</v>
      </c>
      <c r="E1160" s="198">
        <v>7</v>
      </c>
      <c r="F1160" s="199" t="s">
        <v>20631</v>
      </c>
      <c r="G1160" s="1" t="s">
        <v>20632</v>
      </c>
      <c r="H1160" s="200"/>
      <c r="I1160" s="346"/>
      <c r="J1160" s="39">
        <v>116127</v>
      </c>
      <c r="K1160" s="36" t="str">
        <f>CONCATENATE(Cover!$D$6,"fdd/view?i=",J1160)</f>
        <v>https://www.dgiwg.org/FAD/fdd/view?i=116127</v>
      </c>
      <c r="L1160" s="36" t="s">
        <v>20633</v>
      </c>
      <c r="M1160" s="186"/>
      <c r="N1160" s="186"/>
      <c r="O1160" s="172"/>
    </row>
    <row r="1161" spans="1:15" ht="25.5" x14ac:dyDescent="0.2">
      <c r="A1161" s="197" t="str">
        <f t="shared" si="18"/>
        <v>RpuCode_rendezvousPoint</v>
      </c>
      <c r="B1161" s="409"/>
      <c r="C1161" s="416"/>
      <c r="D1161" s="198" t="s">
        <v>20634</v>
      </c>
      <c r="E1161" s="198">
        <v>8</v>
      </c>
      <c r="F1161" s="199" t="s">
        <v>20635</v>
      </c>
      <c r="G1161" s="1" t="s">
        <v>20636</v>
      </c>
      <c r="H1161" s="200"/>
      <c r="I1161" s="346"/>
      <c r="J1161" s="39">
        <v>116128</v>
      </c>
      <c r="K1161" s="36" t="str">
        <f>CONCATENATE(Cover!$D$6,"fdd/view?i=",J1161)</f>
        <v>https://www.dgiwg.org/FAD/fdd/view?i=116128</v>
      </c>
      <c r="L1161" s="36" t="s">
        <v>20637</v>
      </c>
      <c r="M1161" s="186"/>
      <c r="N1161" s="186"/>
      <c r="O1161" s="172"/>
    </row>
    <row r="1162" spans="1:15" ht="25.5" x14ac:dyDescent="0.2">
      <c r="A1162" s="203" t="str">
        <f t="shared" si="18"/>
        <v>RpuCode_turningPoint</v>
      </c>
      <c r="B1162" s="410"/>
      <c r="C1162" s="417"/>
      <c r="D1162" s="204" t="s">
        <v>20638</v>
      </c>
      <c r="E1162" s="204">
        <v>9</v>
      </c>
      <c r="F1162" s="205" t="s">
        <v>20639</v>
      </c>
      <c r="G1162" s="206" t="s">
        <v>20640</v>
      </c>
      <c r="H1162" s="207"/>
      <c r="I1162" s="347"/>
      <c r="J1162" s="39">
        <v>116129</v>
      </c>
      <c r="K1162" s="36" t="str">
        <f>CONCATENATE(Cover!$D$6,"fdd/view?i=",J1162)</f>
        <v>https://www.dgiwg.org/FAD/fdd/view?i=116129</v>
      </c>
      <c r="L1162" s="36" t="s">
        <v>20641</v>
      </c>
      <c r="M1162" s="186"/>
      <c r="N1162" s="186"/>
      <c r="O1162" s="172"/>
    </row>
    <row r="1163" spans="1:15" x14ac:dyDescent="0.2">
      <c r="A1163" s="190" t="str">
        <f t="shared" si="18"/>
        <v>RdiCode_east</v>
      </c>
      <c r="B1163" s="414" t="str">
        <f>HYPERLINK("[#]Datatypes!A92:L92","RdiCode")</f>
        <v>RdiCode</v>
      </c>
      <c r="C1163" s="415" t="s">
        <v>14643</v>
      </c>
      <c r="D1163" s="221" t="s">
        <v>16603</v>
      </c>
      <c r="E1163" s="221">
        <v>3</v>
      </c>
      <c r="F1163" s="222" t="s">
        <v>16604</v>
      </c>
      <c r="G1163" s="223" t="s">
        <v>20642</v>
      </c>
      <c r="H1163" s="224"/>
      <c r="I1163" s="345"/>
      <c r="J1163" s="39">
        <v>116135</v>
      </c>
      <c r="K1163" s="36" t="str">
        <f>CONCATENATE(Cover!$D$6,"fdd/view?i=",J1163)</f>
        <v>https://www.dgiwg.org/FAD/fdd/view?i=116135</v>
      </c>
      <c r="L1163" s="36" t="s">
        <v>20643</v>
      </c>
      <c r="M1163" s="186"/>
      <c r="N1163" s="186"/>
      <c r="O1163" s="172"/>
    </row>
    <row r="1164" spans="1:15" x14ac:dyDescent="0.2">
      <c r="A1164" s="197" t="str">
        <f t="shared" si="18"/>
        <v>RdiCode_north</v>
      </c>
      <c r="B1164" s="409"/>
      <c r="C1164" s="416"/>
      <c r="D1164" s="198" t="s">
        <v>16611</v>
      </c>
      <c r="E1164" s="198">
        <v>1</v>
      </c>
      <c r="F1164" s="199" t="s">
        <v>16612</v>
      </c>
      <c r="G1164" s="1" t="s">
        <v>20644</v>
      </c>
      <c r="H1164" s="200"/>
      <c r="I1164" s="346"/>
      <c r="J1164" s="39">
        <v>116133</v>
      </c>
      <c r="K1164" s="36" t="str">
        <f>CONCATENATE(Cover!$D$6,"fdd/view?i=",J1164)</f>
        <v>https://www.dgiwg.org/FAD/fdd/view?i=116133</v>
      </c>
      <c r="L1164" s="36" t="s">
        <v>20645</v>
      </c>
      <c r="M1164" s="186"/>
      <c r="N1164" s="186"/>
      <c r="O1164" s="172"/>
    </row>
    <row r="1165" spans="1:15" x14ac:dyDescent="0.2">
      <c r="A1165" s="197" t="str">
        <f t="shared" si="18"/>
        <v>RdiCode_northeast</v>
      </c>
      <c r="B1165" s="409"/>
      <c r="C1165" s="416"/>
      <c r="D1165" s="198" t="s">
        <v>16615</v>
      </c>
      <c r="E1165" s="198">
        <v>5</v>
      </c>
      <c r="F1165" s="199" t="s">
        <v>16616</v>
      </c>
      <c r="G1165" s="1" t="s">
        <v>20646</v>
      </c>
      <c r="H1165" s="200"/>
      <c r="I1165" s="346"/>
      <c r="J1165" s="39">
        <v>116137</v>
      </c>
      <c r="K1165" s="36" t="str">
        <f>CONCATENATE(Cover!$D$6,"fdd/view?i=",J1165)</f>
        <v>https://www.dgiwg.org/FAD/fdd/view?i=116137</v>
      </c>
      <c r="L1165" s="36" t="s">
        <v>20647</v>
      </c>
      <c r="M1165" s="186"/>
      <c r="N1165" s="186"/>
      <c r="O1165" s="172"/>
    </row>
    <row r="1166" spans="1:15" x14ac:dyDescent="0.2">
      <c r="A1166" s="197" t="str">
        <f t="shared" si="18"/>
        <v>RdiCode_northwest</v>
      </c>
      <c r="B1166" s="409"/>
      <c r="C1166" s="416"/>
      <c r="D1166" s="198" t="s">
        <v>16619</v>
      </c>
      <c r="E1166" s="198">
        <v>7</v>
      </c>
      <c r="F1166" s="199" t="s">
        <v>16620</v>
      </c>
      <c r="G1166" s="1" t="s">
        <v>20648</v>
      </c>
      <c r="H1166" s="200"/>
      <c r="I1166" s="346"/>
      <c r="J1166" s="39">
        <v>116139</v>
      </c>
      <c r="K1166" s="36" t="str">
        <f>CONCATENATE(Cover!$D$6,"fdd/view?i=",J1166)</f>
        <v>https://www.dgiwg.org/FAD/fdd/view?i=116139</v>
      </c>
      <c r="L1166" s="36" t="s">
        <v>20649</v>
      </c>
      <c r="M1166" s="186"/>
      <c r="N1166" s="186"/>
      <c r="O1166" s="172"/>
    </row>
    <row r="1167" spans="1:15" x14ac:dyDescent="0.2">
      <c r="A1167" s="197" t="str">
        <f t="shared" si="18"/>
        <v>RdiCode_south</v>
      </c>
      <c r="B1167" s="409"/>
      <c r="C1167" s="416"/>
      <c r="D1167" s="198" t="s">
        <v>16623</v>
      </c>
      <c r="E1167" s="198">
        <v>2</v>
      </c>
      <c r="F1167" s="199" t="s">
        <v>16624</v>
      </c>
      <c r="G1167" s="1" t="s">
        <v>20650</v>
      </c>
      <c r="H1167" s="200"/>
      <c r="I1167" s="346"/>
      <c r="J1167" s="39">
        <v>116134</v>
      </c>
      <c r="K1167" s="36" t="str">
        <f>CONCATENATE(Cover!$D$6,"fdd/view?i=",J1167)</f>
        <v>https://www.dgiwg.org/FAD/fdd/view?i=116134</v>
      </c>
      <c r="L1167" s="36" t="s">
        <v>20651</v>
      </c>
      <c r="M1167" s="186"/>
      <c r="N1167" s="186"/>
      <c r="O1167" s="172"/>
    </row>
    <row r="1168" spans="1:15" x14ac:dyDescent="0.2">
      <c r="A1168" s="197" t="str">
        <f t="shared" si="18"/>
        <v>RdiCode_southeast</v>
      </c>
      <c r="B1168" s="409"/>
      <c r="C1168" s="416"/>
      <c r="D1168" s="198" t="s">
        <v>16627</v>
      </c>
      <c r="E1168" s="198">
        <v>6</v>
      </c>
      <c r="F1168" s="199" t="s">
        <v>16628</v>
      </c>
      <c r="G1168" s="1" t="s">
        <v>20652</v>
      </c>
      <c r="H1168" s="200"/>
      <c r="I1168" s="346"/>
      <c r="J1168" s="39">
        <v>116138</v>
      </c>
      <c r="K1168" s="36" t="str">
        <f>CONCATENATE(Cover!$D$6,"fdd/view?i=",J1168)</f>
        <v>https://www.dgiwg.org/FAD/fdd/view?i=116138</v>
      </c>
      <c r="L1168" s="36" t="s">
        <v>20653</v>
      </c>
      <c r="M1168" s="186"/>
      <c r="N1168" s="186"/>
      <c r="O1168" s="172"/>
    </row>
    <row r="1169" spans="1:15" x14ac:dyDescent="0.2">
      <c r="A1169" s="197" t="str">
        <f t="shared" si="18"/>
        <v>RdiCode_southwest</v>
      </c>
      <c r="B1169" s="409"/>
      <c r="C1169" s="416"/>
      <c r="D1169" s="198" t="s">
        <v>16631</v>
      </c>
      <c r="E1169" s="198">
        <v>8</v>
      </c>
      <c r="F1169" s="199" t="s">
        <v>16632</v>
      </c>
      <c r="G1169" s="1" t="s">
        <v>20654</v>
      </c>
      <c r="H1169" s="200"/>
      <c r="I1169" s="346"/>
      <c r="J1169" s="39">
        <v>116140</v>
      </c>
      <c r="K1169" s="36" t="str">
        <f>CONCATENATE(Cover!$D$6,"fdd/view?i=",J1169)</f>
        <v>https://www.dgiwg.org/FAD/fdd/view?i=116140</v>
      </c>
      <c r="L1169" s="36" t="s">
        <v>20655</v>
      </c>
      <c r="M1169" s="186"/>
      <c r="N1169" s="186"/>
      <c r="O1169" s="172"/>
    </row>
    <row r="1170" spans="1:15" x14ac:dyDescent="0.2">
      <c r="A1170" s="203" t="str">
        <f t="shared" si="18"/>
        <v>RdiCode_west</v>
      </c>
      <c r="B1170" s="410"/>
      <c r="C1170" s="417"/>
      <c r="D1170" s="204" t="s">
        <v>16635</v>
      </c>
      <c r="E1170" s="204">
        <v>4</v>
      </c>
      <c r="F1170" s="205" t="s">
        <v>16636</v>
      </c>
      <c r="G1170" s="206" t="s">
        <v>20656</v>
      </c>
      <c r="H1170" s="207"/>
      <c r="I1170" s="347"/>
      <c r="J1170" s="39">
        <v>116136</v>
      </c>
      <c r="K1170" s="36" t="str">
        <f>CONCATENATE(Cover!$D$6,"fdd/view?i=",J1170)</f>
        <v>https://www.dgiwg.org/FAD/fdd/view?i=116136</v>
      </c>
      <c r="L1170" s="36" t="s">
        <v>20657</v>
      </c>
      <c r="M1170" s="186"/>
      <c r="N1170" s="186"/>
      <c r="O1170" s="172"/>
    </row>
    <row r="1171" spans="1:15" ht="25.5" x14ac:dyDescent="0.2">
      <c r="A1171" s="190" t="str">
        <f t="shared" si="18"/>
        <v>RptCode_anchorPattern</v>
      </c>
      <c r="B1171" s="414" t="str">
        <f>HYPERLINK("[#]Datatypes!A94:L94","RptCode")</f>
        <v>RptCode</v>
      </c>
      <c r="C1171" s="415" t="s">
        <v>14645</v>
      </c>
      <c r="D1171" s="221" t="s">
        <v>20600</v>
      </c>
      <c r="E1171" s="221">
        <v>1</v>
      </c>
      <c r="F1171" s="222" t="s">
        <v>20601</v>
      </c>
      <c r="G1171" s="223" t="s">
        <v>1958</v>
      </c>
      <c r="H1171" s="223" t="s">
        <v>1959</v>
      </c>
      <c r="I1171" s="345"/>
      <c r="J1171" s="39">
        <v>116130</v>
      </c>
      <c r="K1171" s="36" t="str">
        <f>CONCATENATE(Cover!$D$6,"fdd/view?i=",J1171)</f>
        <v>https://www.dgiwg.org/FAD/fdd/view?i=116130</v>
      </c>
      <c r="L1171" s="36" t="s">
        <v>20658</v>
      </c>
      <c r="M1171" s="186"/>
      <c r="N1171" s="186"/>
      <c r="O1171" s="172"/>
    </row>
    <row r="1172" spans="1:15" ht="25.5" x14ac:dyDescent="0.2">
      <c r="A1172" s="197" t="str">
        <f t="shared" si="18"/>
        <v>RptCode_both</v>
      </c>
      <c r="B1172" s="409"/>
      <c r="C1172" s="416"/>
      <c r="D1172" s="198" t="s">
        <v>20195</v>
      </c>
      <c r="E1172" s="198">
        <v>3</v>
      </c>
      <c r="F1172" s="199" t="s">
        <v>20196</v>
      </c>
      <c r="G1172" s="1" t="s">
        <v>20659</v>
      </c>
      <c r="H1172" s="200"/>
      <c r="I1172" s="346"/>
      <c r="J1172" s="39">
        <v>116132</v>
      </c>
      <c r="K1172" s="36" t="str">
        <f>CONCATENATE(Cover!$D$6,"fdd/view?i=",J1172)</f>
        <v>https://www.dgiwg.org/FAD/fdd/view?i=116132</v>
      </c>
      <c r="L1172" s="36" t="s">
        <v>20660</v>
      </c>
      <c r="M1172" s="186"/>
      <c r="N1172" s="186"/>
      <c r="O1172" s="172"/>
    </row>
    <row r="1173" spans="1:15" ht="38.25" x14ac:dyDescent="0.2">
      <c r="A1173" s="203" t="str">
        <f t="shared" si="18"/>
        <v>RptCode_track</v>
      </c>
      <c r="B1173" s="410"/>
      <c r="C1173" s="417"/>
      <c r="D1173" s="204" t="s">
        <v>20661</v>
      </c>
      <c r="E1173" s="204">
        <v>2</v>
      </c>
      <c r="F1173" s="205" t="s">
        <v>20662</v>
      </c>
      <c r="G1173" s="206" t="s">
        <v>1978</v>
      </c>
      <c r="H1173" s="207"/>
      <c r="I1173" s="347"/>
      <c r="J1173" s="39">
        <v>116131</v>
      </c>
      <c r="K1173" s="36" t="str">
        <f>CONCATENATE(Cover!$D$6,"fdd/view?i=",J1173)</f>
        <v>https://www.dgiwg.org/FAD/fdd/view?i=116131</v>
      </c>
      <c r="L1173" s="36" t="s">
        <v>20663</v>
      </c>
      <c r="M1173" s="186"/>
      <c r="N1173" s="186"/>
      <c r="O1173" s="172"/>
    </row>
    <row r="1174" spans="1:15" ht="25.5" x14ac:dyDescent="0.2">
      <c r="A1174" s="190" t="str">
        <f t="shared" si="18"/>
        <v>RrtCode_compulsory</v>
      </c>
      <c r="B1174" s="414" t="str">
        <f>HYPERLINK("[#]Datatypes!A96:L96","RrtCode")</f>
        <v>RrtCode</v>
      </c>
      <c r="C1174" s="415" t="s">
        <v>14647</v>
      </c>
      <c r="D1174" s="221" t="s">
        <v>20665</v>
      </c>
      <c r="E1174" s="221">
        <v>1</v>
      </c>
      <c r="F1174" s="222" t="s">
        <v>20666</v>
      </c>
      <c r="G1174" s="223" t="s">
        <v>20667</v>
      </c>
      <c r="H1174" s="224"/>
      <c r="I1174" s="345"/>
      <c r="J1174" s="39">
        <v>115378</v>
      </c>
      <c r="K1174" s="36" t="str">
        <f>CONCATENATE(Cover!$D$6,"fdd/view?i=",J1174)</f>
        <v>https://www.dgiwg.org/FAD/fdd/view?i=115378</v>
      </c>
      <c r="L1174" s="36" t="s">
        <v>20668</v>
      </c>
      <c r="M1174" s="186"/>
      <c r="N1174" s="186"/>
      <c r="O1174" s="13" t="s">
        <v>20664</v>
      </c>
    </row>
    <row r="1175" spans="1:15" ht="25.5" x14ac:dyDescent="0.2">
      <c r="A1175" s="197" t="str">
        <f t="shared" si="18"/>
        <v>RrtCode_noReport</v>
      </c>
      <c r="B1175" s="409"/>
      <c r="C1175" s="416"/>
      <c r="D1175" s="198" t="s">
        <v>20670</v>
      </c>
      <c r="E1175" s="198">
        <v>3</v>
      </c>
      <c r="F1175" s="199" t="s">
        <v>20671</v>
      </c>
      <c r="G1175" s="1" t="s">
        <v>20672</v>
      </c>
      <c r="H1175" s="200"/>
      <c r="I1175" s="346"/>
      <c r="J1175" s="39">
        <v>115379</v>
      </c>
      <c r="K1175" s="36" t="str">
        <f>CONCATENATE(Cover!$D$6,"fdd/view?i=",J1175)</f>
        <v>https://www.dgiwg.org/FAD/fdd/view?i=115379</v>
      </c>
      <c r="L1175" s="36" t="s">
        <v>20673</v>
      </c>
      <c r="M1175" s="186"/>
      <c r="N1175" s="186"/>
      <c r="O1175" s="13" t="s">
        <v>20669</v>
      </c>
    </row>
    <row r="1176" spans="1:15" ht="25.5" x14ac:dyDescent="0.2">
      <c r="A1176" s="203" t="str">
        <f t="shared" si="18"/>
        <v>RrtCode_onRequest</v>
      </c>
      <c r="B1176" s="410"/>
      <c r="C1176" s="417"/>
      <c r="D1176" s="204" t="s">
        <v>20675</v>
      </c>
      <c r="E1176" s="204">
        <v>2</v>
      </c>
      <c r="F1176" s="205" t="s">
        <v>20676</v>
      </c>
      <c r="G1176" s="206" t="s">
        <v>20677</v>
      </c>
      <c r="H1176" s="207"/>
      <c r="I1176" s="347"/>
      <c r="J1176" s="39">
        <v>115380</v>
      </c>
      <c r="K1176" s="36" t="str">
        <f>CONCATENATE(Cover!$D$6,"fdd/view?i=",J1176)</f>
        <v>https://www.dgiwg.org/FAD/fdd/view?i=115380</v>
      </c>
      <c r="L1176" s="36" t="s">
        <v>20678</v>
      </c>
      <c r="M1176" s="186"/>
      <c r="N1176" s="186"/>
      <c r="O1176" s="13" t="s">
        <v>20674</v>
      </c>
    </row>
    <row r="1177" spans="1:15" ht="63.75" x14ac:dyDescent="0.2">
      <c r="A1177" s="190" t="str">
        <f t="shared" si="18"/>
        <v>ActCode_advSurfMoveGuidControlSys</v>
      </c>
      <c r="B1177" s="414" t="str">
        <f>HYPERLINK("[#]Datatypes!A98:L98","ActCode")</f>
        <v>ActCode</v>
      </c>
      <c r="C1177" s="415" t="s">
        <v>14649</v>
      </c>
      <c r="D1177" s="221" t="s">
        <v>20679</v>
      </c>
      <c r="E1177" s="221">
        <v>14</v>
      </c>
      <c r="F1177" s="222" t="s">
        <v>20680</v>
      </c>
      <c r="G1177" s="223" t="s">
        <v>20681</v>
      </c>
      <c r="H1177" s="224"/>
      <c r="I1177" s="345"/>
      <c r="J1177" s="39">
        <v>116212</v>
      </c>
      <c r="K1177" s="36" t="str">
        <f>CONCATENATE(Cover!$D$6,"fdd/view?i=",J1177)</f>
        <v>https://www.dgiwg.org/FAD/fdd/view?i=116212</v>
      </c>
      <c r="L1177" s="36" t="s">
        <v>20682</v>
      </c>
      <c r="M1177" s="186"/>
      <c r="N1177" s="186"/>
      <c r="O1177" s="172"/>
    </row>
    <row r="1178" spans="1:15" ht="25.5" x14ac:dyDescent="0.2">
      <c r="A1178" s="197" t="str">
        <f t="shared" si="18"/>
        <v>ActCode_aerodromeControlService</v>
      </c>
      <c r="B1178" s="409"/>
      <c r="C1178" s="416"/>
      <c r="D1178" s="198" t="s">
        <v>20683</v>
      </c>
      <c r="E1178" s="198">
        <v>10</v>
      </c>
      <c r="F1178" s="199" t="s">
        <v>20684</v>
      </c>
      <c r="G1178" s="1" t="s">
        <v>20685</v>
      </c>
      <c r="H1178" s="200"/>
      <c r="I1178" s="351" t="s">
        <v>20298</v>
      </c>
      <c r="J1178" s="39">
        <v>116208</v>
      </c>
      <c r="K1178" s="36" t="str">
        <f>CONCATENATE(Cover!$D$6,"fdd/view?i=",J1178)</f>
        <v>https://www.dgiwg.org/FAD/fdd/view?i=116208</v>
      </c>
      <c r="L1178" s="36" t="s">
        <v>20686</v>
      </c>
      <c r="M1178" s="186"/>
      <c r="N1178" s="186"/>
      <c r="O1178" s="172"/>
    </row>
    <row r="1179" spans="1:15" ht="25.5" x14ac:dyDescent="0.2">
      <c r="A1179" s="197" t="str">
        <f t="shared" si="18"/>
        <v>ActCode_airportAdvisoryService</v>
      </c>
      <c r="B1179" s="409"/>
      <c r="C1179" s="416"/>
      <c r="D1179" s="198" t="s">
        <v>20692</v>
      </c>
      <c r="E1179" s="198">
        <v>4</v>
      </c>
      <c r="F1179" s="199" t="s">
        <v>20693</v>
      </c>
      <c r="G1179" s="1" t="s">
        <v>20694</v>
      </c>
      <c r="H1179" s="200"/>
      <c r="I1179" s="351" t="s">
        <v>20695</v>
      </c>
      <c r="J1179" s="39">
        <v>116202</v>
      </c>
      <c r="K1179" s="36" t="str">
        <f>CONCATENATE(Cover!$D$6,"fdd/view?i=",J1179)</f>
        <v>https://www.dgiwg.org/FAD/fdd/view?i=116202</v>
      </c>
      <c r="L1179" s="36" t="s">
        <v>20696</v>
      </c>
      <c r="M1179" s="186"/>
      <c r="N1179" s="186"/>
      <c r="O1179" s="172"/>
    </row>
    <row r="1180" spans="1:15" ht="38.25" x14ac:dyDescent="0.2">
      <c r="A1180" s="197" t="str">
        <f t="shared" si="18"/>
        <v>ActCode_airTrafficAdvisoryService</v>
      </c>
      <c r="B1180" s="409"/>
      <c r="C1180" s="416"/>
      <c r="D1180" s="198" t="s">
        <v>20687</v>
      </c>
      <c r="E1180" s="198">
        <v>3</v>
      </c>
      <c r="F1180" s="199" t="s">
        <v>20688</v>
      </c>
      <c r="G1180" s="1" t="s">
        <v>20689</v>
      </c>
      <c r="H1180" s="200"/>
      <c r="I1180" s="351" t="s">
        <v>20690</v>
      </c>
      <c r="J1180" s="39">
        <v>116201</v>
      </c>
      <c r="K1180" s="36" t="str">
        <f>CONCATENATE(Cover!$D$6,"fdd/view?i=",J1180)</f>
        <v>https://www.dgiwg.org/FAD/fdd/view?i=116201</v>
      </c>
      <c r="L1180" s="36" t="s">
        <v>20691</v>
      </c>
      <c r="M1180" s="186"/>
      <c r="N1180" s="186"/>
      <c r="O1180" s="172"/>
    </row>
    <row r="1181" spans="1:15" ht="38.25" x14ac:dyDescent="0.2">
      <c r="A1181" s="197" t="str">
        <f t="shared" si="18"/>
        <v>ActCode_alertingService</v>
      </c>
      <c r="B1181" s="409"/>
      <c r="C1181" s="416"/>
      <c r="D1181" s="198" t="s">
        <v>20697</v>
      </c>
      <c r="E1181" s="198">
        <v>2</v>
      </c>
      <c r="F1181" s="199" t="s">
        <v>20698</v>
      </c>
      <c r="G1181" s="1" t="s">
        <v>20699</v>
      </c>
      <c r="H1181" s="200"/>
      <c r="I1181" s="346"/>
      <c r="J1181" s="39">
        <v>116200</v>
      </c>
      <c r="K1181" s="36" t="str">
        <f>CONCATENATE(Cover!$D$6,"fdd/view?i=",J1181)</f>
        <v>https://www.dgiwg.org/FAD/fdd/view?i=116200</v>
      </c>
      <c r="L1181" s="36" t="s">
        <v>20700</v>
      </c>
      <c r="M1181" s="186"/>
      <c r="N1181" s="186"/>
      <c r="O1181" s="172"/>
    </row>
    <row r="1182" spans="1:15" ht="25.5" x14ac:dyDescent="0.2">
      <c r="A1182" s="197" t="str">
        <f t="shared" si="18"/>
        <v>ActCode_approachControlService</v>
      </c>
      <c r="B1182" s="409"/>
      <c r="C1182" s="416"/>
      <c r="D1182" s="198" t="s">
        <v>20701</v>
      </c>
      <c r="E1182" s="198">
        <v>5</v>
      </c>
      <c r="F1182" s="199" t="s">
        <v>20702</v>
      </c>
      <c r="G1182" s="1" t="s">
        <v>20703</v>
      </c>
      <c r="H1182" s="200"/>
      <c r="I1182" s="346"/>
      <c r="J1182" s="39">
        <v>116203</v>
      </c>
      <c r="K1182" s="36" t="str">
        <f>CONCATENATE(Cover!$D$6,"fdd/view?i=",J1182)</f>
        <v>https://www.dgiwg.org/FAD/fdd/view?i=116203</v>
      </c>
      <c r="L1182" s="36" t="s">
        <v>20704</v>
      </c>
      <c r="M1182" s="186"/>
      <c r="N1182" s="186"/>
      <c r="O1182" s="172"/>
    </row>
    <row r="1183" spans="1:15" ht="25.5" x14ac:dyDescent="0.2">
      <c r="A1183" s="197" t="str">
        <f t="shared" si="18"/>
        <v>ActCode_areaControlService</v>
      </c>
      <c r="B1183" s="409"/>
      <c r="C1183" s="416"/>
      <c r="D1183" s="198" t="s">
        <v>20705</v>
      </c>
      <c r="E1183" s="198">
        <v>1</v>
      </c>
      <c r="F1183" s="199" t="s">
        <v>20706</v>
      </c>
      <c r="G1183" s="1" t="s">
        <v>20707</v>
      </c>
      <c r="H1183" s="200"/>
      <c r="I1183" s="351" t="s">
        <v>20708</v>
      </c>
      <c r="J1183" s="39">
        <v>116199</v>
      </c>
      <c r="K1183" s="36" t="str">
        <f>CONCATENATE(Cover!$D$6,"fdd/view?i=",J1183)</f>
        <v>https://www.dgiwg.org/FAD/fdd/view?i=116199</v>
      </c>
      <c r="L1183" s="36" t="s">
        <v>20709</v>
      </c>
      <c r="M1183" s="186"/>
      <c r="N1183" s="186"/>
      <c r="O1183" s="172"/>
    </row>
    <row r="1184" spans="1:15" ht="25.5" x14ac:dyDescent="0.2">
      <c r="A1184" s="197" t="str">
        <f t="shared" si="18"/>
        <v>ActCode_arrivalControlService</v>
      </c>
      <c r="B1184" s="409"/>
      <c r="C1184" s="416"/>
      <c r="D1184" s="198" t="s">
        <v>20710</v>
      </c>
      <c r="E1184" s="198">
        <v>6</v>
      </c>
      <c r="F1184" s="199" t="s">
        <v>20711</v>
      </c>
      <c r="G1184" s="1" t="s">
        <v>20712</v>
      </c>
      <c r="H1184" s="200"/>
      <c r="I1184" s="346"/>
      <c r="J1184" s="39">
        <v>116204</v>
      </c>
      <c r="K1184" s="36" t="str">
        <f>CONCATENATE(Cover!$D$6,"fdd/view?i=",J1184)</f>
        <v>https://www.dgiwg.org/FAD/fdd/view?i=116204</v>
      </c>
      <c r="L1184" s="36" t="s">
        <v>20713</v>
      </c>
      <c r="M1184" s="186"/>
      <c r="N1184" s="186"/>
      <c r="O1184" s="172"/>
    </row>
    <row r="1185" spans="1:15" ht="38.25" x14ac:dyDescent="0.2">
      <c r="A1185" s="197" t="str">
        <f t="shared" si="18"/>
        <v>ActCode_commonTraffAdviseFreqServ</v>
      </c>
      <c r="B1185" s="409"/>
      <c r="C1185" s="416"/>
      <c r="D1185" s="198" t="s">
        <v>20714</v>
      </c>
      <c r="E1185" s="198">
        <v>8</v>
      </c>
      <c r="F1185" s="199" t="s">
        <v>20715</v>
      </c>
      <c r="G1185" s="1" t="s">
        <v>20716</v>
      </c>
      <c r="H1185" s="1" t="s">
        <v>20717</v>
      </c>
      <c r="I1185" s="346"/>
      <c r="J1185" s="39">
        <v>116206</v>
      </c>
      <c r="K1185" s="36" t="str">
        <f>CONCATENATE(Cover!$D$6,"fdd/view?i=",J1185)</f>
        <v>https://www.dgiwg.org/FAD/fdd/view?i=116206</v>
      </c>
      <c r="L1185" s="36" t="s">
        <v>20718</v>
      </c>
      <c r="M1185" s="186"/>
      <c r="N1185" s="186"/>
      <c r="O1185" s="172"/>
    </row>
    <row r="1186" spans="1:15" ht="25.5" x14ac:dyDescent="0.2">
      <c r="A1186" s="197" t="str">
        <f t="shared" si="18"/>
        <v>ActCode_departureControlService</v>
      </c>
      <c r="B1186" s="409"/>
      <c r="C1186" s="416"/>
      <c r="D1186" s="198" t="s">
        <v>20719</v>
      </c>
      <c r="E1186" s="198">
        <v>7</v>
      </c>
      <c r="F1186" s="199" t="s">
        <v>20720</v>
      </c>
      <c r="G1186" s="1" t="s">
        <v>20721</v>
      </c>
      <c r="H1186" s="200"/>
      <c r="I1186" s="346"/>
      <c r="J1186" s="39">
        <v>116205</v>
      </c>
      <c r="K1186" s="36" t="str">
        <f>CONCATENATE(Cover!$D$6,"fdd/view?i=",J1186)</f>
        <v>https://www.dgiwg.org/FAD/fdd/view?i=116205</v>
      </c>
      <c r="L1186" s="36" t="s">
        <v>20722</v>
      </c>
      <c r="M1186" s="186"/>
      <c r="N1186" s="186"/>
      <c r="O1186" s="172"/>
    </row>
    <row r="1187" spans="1:15" ht="63.75" x14ac:dyDescent="0.2">
      <c r="A1187" s="197" t="str">
        <f t="shared" si="18"/>
        <v>ActCode_lowAltitudeRadarService</v>
      </c>
      <c r="B1187" s="409"/>
      <c r="C1187" s="416"/>
      <c r="D1187" s="198" t="s">
        <v>20723</v>
      </c>
      <c r="E1187" s="198">
        <v>11</v>
      </c>
      <c r="F1187" s="199" t="s">
        <v>20724</v>
      </c>
      <c r="G1187" s="1" t="s">
        <v>20725</v>
      </c>
      <c r="H1187" s="1" t="s">
        <v>20726</v>
      </c>
      <c r="I1187" s="351" t="s">
        <v>20727</v>
      </c>
      <c r="J1187" s="39">
        <v>116209</v>
      </c>
      <c r="K1187" s="36" t="str">
        <f>CONCATENATE(Cover!$D$6,"fdd/view?i=",J1187)</f>
        <v>https://www.dgiwg.org/FAD/fdd/view?i=116209</v>
      </c>
      <c r="L1187" s="36" t="s">
        <v>20728</v>
      </c>
      <c r="M1187" s="186"/>
      <c r="N1187" s="186"/>
      <c r="O1187" s="172"/>
    </row>
    <row r="1188" spans="1:15" ht="25.5" x14ac:dyDescent="0.2">
      <c r="A1188" s="197" t="str">
        <f t="shared" si="18"/>
        <v>ActCode_oceanicAreaControlService</v>
      </c>
      <c r="B1188" s="409"/>
      <c r="C1188" s="416"/>
      <c r="D1188" s="198" t="s">
        <v>20729</v>
      </c>
      <c r="E1188" s="198">
        <v>9</v>
      </c>
      <c r="F1188" s="199" t="s">
        <v>20730</v>
      </c>
      <c r="G1188" s="1" t="s">
        <v>20731</v>
      </c>
      <c r="H1188" s="200"/>
      <c r="I1188" s="351" t="s">
        <v>20732</v>
      </c>
      <c r="J1188" s="39">
        <v>116207</v>
      </c>
      <c r="K1188" s="36" t="str">
        <f>CONCATENATE(Cover!$D$6,"fdd/view?i=",J1188)</f>
        <v>https://www.dgiwg.org/FAD/fdd/view?i=116207</v>
      </c>
      <c r="L1188" s="36" t="s">
        <v>20733</v>
      </c>
      <c r="M1188" s="186"/>
      <c r="N1188" s="186"/>
      <c r="O1188" s="172"/>
    </row>
    <row r="1189" spans="1:15" ht="38.25" x14ac:dyDescent="0.2">
      <c r="A1189" s="197" t="str">
        <f t="shared" si="18"/>
        <v>ActCode_terminalControlService</v>
      </c>
      <c r="B1189" s="409"/>
      <c r="C1189" s="416"/>
      <c r="D1189" s="198" t="s">
        <v>20734</v>
      </c>
      <c r="E1189" s="198">
        <v>13</v>
      </c>
      <c r="F1189" s="199" t="s">
        <v>20735</v>
      </c>
      <c r="G1189" s="1" t="s">
        <v>20736</v>
      </c>
      <c r="H1189" s="200"/>
      <c r="I1189" s="346"/>
      <c r="J1189" s="39">
        <v>116211</v>
      </c>
      <c r="K1189" s="36" t="str">
        <f>CONCATENATE(Cover!$D$6,"fdd/view?i=",J1189)</f>
        <v>https://www.dgiwg.org/FAD/fdd/view?i=116211</v>
      </c>
      <c r="L1189" s="36" t="s">
        <v>20737</v>
      </c>
      <c r="M1189" s="186"/>
      <c r="N1189" s="186"/>
      <c r="O1189" s="172"/>
    </row>
    <row r="1190" spans="1:15" ht="51" x14ac:dyDescent="0.2">
      <c r="A1190" s="197" t="str">
        <f t="shared" si="18"/>
        <v>ActCode_terminalRadarService</v>
      </c>
      <c r="B1190" s="409"/>
      <c r="C1190" s="416"/>
      <c r="D1190" s="198" t="s">
        <v>20738</v>
      </c>
      <c r="E1190" s="198">
        <v>12</v>
      </c>
      <c r="F1190" s="199" t="s">
        <v>20739</v>
      </c>
      <c r="G1190" s="1" t="s">
        <v>20740</v>
      </c>
      <c r="H1190" s="1" t="s">
        <v>20741</v>
      </c>
      <c r="I1190" s="346"/>
      <c r="J1190" s="39">
        <v>116210</v>
      </c>
      <c r="K1190" s="36" t="str">
        <f>CONCATENATE(Cover!$D$6,"fdd/view?i=",J1190)</f>
        <v>https://www.dgiwg.org/FAD/fdd/view?i=116210</v>
      </c>
      <c r="L1190" s="36" t="s">
        <v>20742</v>
      </c>
      <c r="M1190" s="186"/>
      <c r="N1190" s="186"/>
      <c r="O1190" s="172"/>
    </row>
    <row r="1191" spans="1:15" ht="25.5" x14ac:dyDescent="0.2">
      <c r="A1191" s="203" t="str">
        <f t="shared" si="18"/>
        <v>ActCode_upperAreaControlService</v>
      </c>
      <c r="B1191" s="410"/>
      <c r="C1191" s="417"/>
      <c r="D1191" s="204" t="s">
        <v>20743</v>
      </c>
      <c r="E1191" s="204">
        <v>15</v>
      </c>
      <c r="F1191" s="205" t="s">
        <v>20744</v>
      </c>
      <c r="G1191" s="206" t="s">
        <v>20745</v>
      </c>
      <c r="H1191" s="207"/>
      <c r="I1191" s="353" t="s">
        <v>20450</v>
      </c>
      <c r="J1191" s="39">
        <v>116213</v>
      </c>
      <c r="K1191" s="36" t="str">
        <f>CONCATENATE(Cover!$D$6,"fdd/view?i=",J1191)</f>
        <v>https://www.dgiwg.org/FAD/fdd/view?i=116213</v>
      </c>
      <c r="L1191" s="36" t="s">
        <v>20746</v>
      </c>
      <c r="M1191" s="186"/>
      <c r="N1191" s="186"/>
      <c r="O1191" s="172"/>
    </row>
    <row r="1192" spans="1:15" ht="63.75" x14ac:dyDescent="0.2">
      <c r="A1192" s="190" t="str">
        <f t="shared" si="18"/>
        <v>AmtCode_airTrafficFlowManageServ</v>
      </c>
      <c r="B1192" s="414" t="str">
        <f>HYPERLINK("[#]Datatypes!A100:L100","AmtCode")</f>
        <v>AmtCode</v>
      </c>
      <c r="C1192" s="415" t="s">
        <v>14651</v>
      </c>
      <c r="D1192" s="221" t="s">
        <v>20747</v>
      </c>
      <c r="E1192" s="221">
        <v>1</v>
      </c>
      <c r="F1192" s="222" t="s">
        <v>20748</v>
      </c>
      <c r="G1192" s="223" t="s">
        <v>20749</v>
      </c>
      <c r="H1192" s="224"/>
      <c r="I1192" s="352" t="s">
        <v>20750</v>
      </c>
      <c r="J1192" s="39">
        <v>116214</v>
      </c>
      <c r="K1192" s="36" t="str">
        <f>CONCATENATE(Cover!$D$6,"fdd/view?i=",J1192)</f>
        <v>https://www.dgiwg.org/FAD/fdd/view?i=116214</v>
      </c>
      <c r="L1192" s="36" t="s">
        <v>20751</v>
      </c>
      <c r="M1192" s="186"/>
      <c r="N1192" s="186"/>
      <c r="O1192" s="172"/>
    </row>
    <row r="1193" spans="1:15" ht="25.5" x14ac:dyDescent="0.2">
      <c r="A1193" s="197" t="str">
        <f t="shared" si="18"/>
        <v>AmtCode_clearance</v>
      </c>
      <c r="B1193" s="409"/>
      <c r="C1193" s="416"/>
      <c r="D1193" s="198" t="s">
        <v>20752</v>
      </c>
      <c r="E1193" s="198">
        <v>2</v>
      </c>
      <c r="F1193" s="199" t="s">
        <v>20753</v>
      </c>
      <c r="G1193" s="1" t="s">
        <v>20754</v>
      </c>
      <c r="H1193" s="200"/>
      <c r="I1193" s="346"/>
      <c r="J1193" s="39">
        <v>116215</v>
      </c>
      <c r="K1193" s="36" t="str">
        <f>CONCATENATE(Cover!$D$6,"fdd/view?i=",J1193)</f>
        <v>https://www.dgiwg.org/FAD/fdd/view?i=116215</v>
      </c>
      <c r="L1193" s="36" t="s">
        <v>20755</v>
      </c>
      <c r="M1193" s="186"/>
      <c r="N1193" s="186"/>
      <c r="O1193" s="172"/>
    </row>
    <row r="1194" spans="1:15" ht="25.5" x14ac:dyDescent="0.2">
      <c r="A1194" s="197" t="str">
        <f t="shared" si="18"/>
        <v>AmtCode_flightPlanningService</v>
      </c>
      <c r="B1194" s="409"/>
      <c r="C1194" s="416"/>
      <c r="D1194" s="198" t="s">
        <v>20756</v>
      </c>
      <c r="E1194" s="198">
        <v>3</v>
      </c>
      <c r="F1194" s="199" t="s">
        <v>20757</v>
      </c>
      <c r="G1194" s="1" t="s">
        <v>20758</v>
      </c>
      <c r="H1194" s="200"/>
      <c r="I1194" s="346"/>
      <c r="J1194" s="39">
        <v>116216</v>
      </c>
      <c r="K1194" s="36" t="str">
        <f>CONCATENATE(Cover!$D$6,"fdd/view?i=",J1194)</f>
        <v>https://www.dgiwg.org/FAD/fdd/view?i=116216</v>
      </c>
      <c r="L1194" s="36" t="s">
        <v>20759</v>
      </c>
      <c r="M1194" s="186"/>
      <c r="N1194" s="186"/>
      <c r="O1194" s="172"/>
    </row>
    <row r="1195" spans="1:15" ht="25.5" x14ac:dyDescent="0.2">
      <c r="A1195" s="197" t="str">
        <f t="shared" si="18"/>
        <v>AmtCode_flightPlanningValidServ</v>
      </c>
      <c r="B1195" s="409"/>
      <c r="C1195" s="416"/>
      <c r="D1195" s="198" t="s">
        <v>20760</v>
      </c>
      <c r="E1195" s="198">
        <v>4</v>
      </c>
      <c r="F1195" s="199" t="s">
        <v>20761</v>
      </c>
      <c r="G1195" s="1" t="s">
        <v>20762</v>
      </c>
      <c r="H1195" s="200"/>
      <c r="I1195" s="346"/>
      <c r="J1195" s="39">
        <v>116217</v>
      </c>
      <c r="K1195" s="36" t="str">
        <f>CONCATENATE(Cover!$D$6,"fdd/view?i=",J1195)</f>
        <v>https://www.dgiwg.org/FAD/fdd/view?i=116217</v>
      </c>
      <c r="L1195" s="36" t="s">
        <v>20763</v>
      </c>
      <c r="M1195" s="186"/>
      <c r="N1195" s="186"/>
      <c r="O1195" s="172"/>
    </row>
    <row r="1196" spans="1:15" ht="25.5" x14ac:dyDescent="0.2">
      <c r="A1196" s="203" t="str">
        <f t="shared" si="18"/>
        <v>AmtCode_scheduling</v>
      </c>
      <c r="B1196" s="410"/>
      <c r="C1196" s="417"/>
      <c r="D1196" s="204" t="s">
        <v>20764</v>
      </c>
      <c r="E1196" s="204">
        <v>5</v>
      </c>
      <c r="F1196" s="205" t="s">
        <v>20765</v>
      </c>
      <c r="G1196" s="206" t="s">
        <v>20766</v>
      </c>
      <c r="H1196" s="207"/>
      <c r="I1196" s="347"/>
      <c r="J1196" s="39">
        <v>116218</v>
      </c>
      <c r="K1196" s="36" t="str">
        <f>CONCATENATE(Cover!$D$6,"fdd/view?i=",J1196)</f>
        <v>https://www.dgiwg.org/FAD/fdd/view?i=116218</v>
      </c>
      <c r="L1196" s="36" t="s">
        <v>20767</v>
      </c>
      <c r="M1196" s="186"/>
      <c r="N1196" s="186"/>
      <c r="O1196" s="172"/>
    </row>
    <row r="1197" spans="1:15" x14ac:dyDescent="0.2">
      <c r="A1197" s="190" t="str">
        <f t="shared" si="18"/>
        <v>AtvCode_civil</v>
      </c>
      <c r="B1197" s="414" t="str">
        <f>HYPERLINK("[#]Datatypes!A102:L102","AtvCode")</f>
        <v>AtvCode</v>
      </c>
      <c r="C1197" s="415" t="s">
        <v>14653</v>
      </c>
      <c r="D1197" s="221" t="s">
        <v>20768</v>
      </c>
      <c r="E1197" s="221">
        <v>9</v>
      </c>
      <c r="F1197" s="222" t="s">
        <v>20769</v>
      </c>
      <c r="G1197" s="223" t="s">
        <v>20770</v>
      </c>
      <c r="H1197" s="224"/>
      <c r="I1197" s="345"/>
      <c r="J1197" s="39">
        <v>115497</v>
      </c>
      <c r="K1197" s="36" t="str">
        <f>CONCATENATE(Cover!$D$6,"fdd/view?i=",J1197)</f>
        <v>https://www.dgiwg.org/FAD/fdd/view?i=115497</v>
      </c>
      <c r="L1197" s="36" t="s">
        <v>20771</v>
      </c>
      <c r="M1197" s="186"/>
      <c r="N1197" s="186"/>
      <c r="O1197" s="172"/>
    </row>
    <row r="1198" spans="1:15" ht="25.5" x14ac:dyDescent="0.2">
      <c r="A1198" s="197" t="str">
        <f t="shared" si="18"/>
        <v>AtvCode_instrumentFlightRules</v>
      </c>
      <c r="B1198" s="409"/>
      <c r="C1198" s="416"/>
      <c r="D1198" s="198" t="s">
        <v>20772</v>
      </c>
      <c r="E1198" s="198">
        <v>3</v>
      </c>
      <c r="F1198" s="199" t="s">
        <v>20773</v>
      </c>
      <c r="G1198" s="1" t="s">
        <v>20774</v>
      </c>
      <c r="H1198" s="200"/>
      <c r="I1198" s="346"/>
      <c r="J1198" s="39">
        <v>115491</v>
      </c>
      <c r="K1198" s="36" t="str">
        <f>CONCATENATE(Cover!$D$6,"fdd/view?i=",J1198)</f>
        <v>https://www.dgiwg.org/FAD/fdd/view?i=115491</v>
      </c>
      <c r="L1198" s="36" t="s">
        <v>20775</v>
      </c>
      <c r="M1198" s="186"/>
      <c r="N1198" s="186"/>
      <c r="O1198" s="172"/>
    </row>
    <row r="1199" spans="1:15" ht="25.5" x14ac:dyDescent="0.2">
      <c r="A1199" s="197" t="str">
        <f t="shared" si="18"/>
        <v>AtvCode_international</v>
      </c>
      <c r="B1199" s="409"/>
      <c r="C1199" s="416"/>
      <c r="D1199" s="198" t="s">
        <v>16684</v>
      </c>
      <c r="E1199" s="198">
        <v>1</v>
      </c>
      <c r="F1199" s="199" t="s">
        <v>16685</v>
      </c>
      <c r="G1199" s="1" t="s">
        <v>20776</v>
      </c>
      <c r="H1199" s="200"/>
      <c r="I1199" s="346"/>
      <c r="J1199" s="39">
        <v>115489</v>
      </c>
      <c r="K1199" s="36" t="str">
        <f>CONCATENATE(Cover!$D$6,"fdd/view?i=",J1199)</f>
        <v>https://www.dgiwg.org/FAD/fdd/view?i=115489</v>
      </c>
      <c r="L1199" s="36" t="s">
        <v>20777</v>
      </c>
      <c r="M1199" s="186"/>
      <c r="N1199" s="186"/>
      <c r="O1199" s="172"/>
    </row>
    <row r="1200" spans="1:15" x14ac:dyDescent="0.2">
      <c r="A1200" s="197" t="str">
        <f t="shared" si="18"/>
        <v>AtvCode_military</v>
      </c>
      <c r="B1200" s="409"/>
      <c r="C1200" s="416"/>
      <c r="D1200" s="198" t="s">
        <v>20503</v>
      </c>
      <c r="E1200" s="198">
        <v>8</v>
      </c>
      <c r="F1200" s="199" t="s">
        <v>20504</v>
      </c>
      <c r="G1200" s="1" t="s">
        <v>20778</v>
      </c>
      <c r="H1200" s="200"/>
      <c r="I1200" s="346"/>
      <c r="J1200" s="39">
        <v>115496</v>
      </c>
      <c r="K1200" s="36" t="str">
        <f>CONCATENATE(Cover!$D$6,"fdd/view?i=",J1200)</f>
        <v>https://www.dgiwg.org/FAD/fdd/view?i=115496</v>
      </c>
      <c r="L1200" s="36" t="s">
        <v>20779</v>
      </c>
      <c r="M1200" s="186"/>
      <c r="N1200" s="186"/>
      <c r="O1200" s="172"/>
    </row>
    <row r="1201" spans="1:15" x14ac:dyDescent="0.2">
      <c r="A1201" s="197" t="str">
        <f t="shared" si="18"/>
        <v>AtvCode_national</v>
      </c>
      <c r="B1201" s="409"/>
      <c r="C1201" s="416"/>
      <c r="D1201" s="198" t="s">
        <v>16698</v>
      </c>
      <c r="E1201" s="198">
        <v>2</v>
      </c>
      <c r="F1201" s="199" t="s">
        <v>16699</v>
      </c>
      <c r="G1201" s="1" t="s">
        <v>20780</v>
      </c>
      <c r="H1201" s="200"/>
      <c r="I1201" s="351" t="s">
        <v>20781</v>
      </c>
      <c r="J1201" s="39">
        <v>115490</v>
      </c>
      <c r="K1201" s="36" t="str">
        <f>CONCATENATE(Cover!$D$6,"fdd/view?i=",J1201)</f>
        <v>https://www.dgiwg.org/FAD/fdd/view?i=115490</v>
      </c>
      <c r="L1201" s="36" t="s">
        <v>20782</v>
      </c>
      <c r="M1201" s="186"/>
      <c r="N1201" s="186"/>
      <c r="O1201" s="172"/>
    </row>
    <row r="1202" spans="1:15" x14ac:dyDescent="0.2">
      <c r="A1202" s="197" t="str">
        <f t="shared" si="18"/>
        <v>AtvCode_nonScheduled</v>
      </c>
      <c r="B1202" s="409"/>
      <c r="C1202" s="416"/>
      <c r="D1202" s="198" t="s">
        <v>20783</v>
      </c>
      <c r="E1202" s="198">
        <v>6</v>
      </c>
      <c r="F1202" s="199" t="s">
        <v>20784</v>
      </c>
      <c r="G1202" s="1" t="s">
        <v>20785</v>
      </c>
      <c r="H1202" s="200"/>
      <c r="I1202" s="346"/>
      <c r="J1202" s="39">
        <v>115494</v>
      </c>
      <c r="K1202" s="36" t="str">
        <f>CONCATENATE(Cover!$D$6,"fdd/view?i=",J1202)</f>
        <v>https://www.dgiwg.org/FAD/fdd/view?i=115494</v>
      </c>
      <c r="L1202" s="36" t="s">
        <v>20786</v>
      </c>
      <c r="M1202" s="186"/>
      <c r="N1202" s="186"/>
      <c r="O1202" s="172"/>
    </row>
    <row r="1203" spans="1:15" ht="25.5" x14ac:dyDescent="0.2">
      <c r="A1203" s="197" t="str">
        <f t="shared" si="18"/>
        <v>AtvCode_private</v>
      </c>
      <c r="B1203" s="409"/>
      <c r="C1203" s="416"/>
      <c r="D1203" s="198" t="s">
        <v>20069</v>
      </c>
      <c r="E1203" s="198">
        <v>7</v>
      </c>
      <c r="F1203" s="199" t="s">
        <v>20070</v>
      </c>
      <c r="G1203" s="1" t="s">
        <v>20787</v>
      </c>
      <c r="H1203" s="200"/>
      <c r="I1203" s="346"/>
      <c r="J1203" s="39">
        <v>115495</v>
      </c>
      <c r="K1203" s="36" t="str">
        <f>CONCATENATE(Cover!$D$6,"fdd/view?i=",J1203)</f>
        <v>https://www.dgiwg.org/FAD/fdd/view?i=115495</v>
      </c>
      <c r="L1203" s="36" t="s">
        <v>20788</v>
      </c>
      <c r="M1203" s="186"/>
      <c r="N1203" s="186"/>
      <c r="O1203" s="172"/>
    </row>
    <row r="1204" spans="1:15" ht="25.5" x14ac:dyDescent="0.2">
      <c r="A1204" s="197" t="str">
        <f t="shared" si="18"/>
        <v>AtvCode_scheduled</v>
      </c>
      <c r="B1204" s="409"/>
      <c r="C1204" s="416"/>
      <c r="D1204" s="198" t="s">
        <v>20789</v>
      </c>
      <c r="E1204" s="198">
        <v>5</v>
      </c>
      <c r="F1204" s="199" t="s">
        <v>20790</v>
      </c>
      <c r="G1204" s="1" t="s">
        <v>20791</v>
      </c>
      <c r="H1204" s="200"/>
      <c r="I1204" s="346"/>
      <c r="J1204" s="39">
        <v>115493</v>
      </c>
      <c r="K1204" s="36" t="str">
        <f>CONCATENATE(Cover!$D$6,"fdd/view?i=",J1204)</f>
        <v>https://www.dgiwg.org/FAD/fdd/view?i=115493</v>
      </c>
      <c r="L1204" s="36" t="s">
        <v>20792</v>
      </c>
      <c r="M1204" s="186"/>
      <c r="N1204" s="186"/>
      <c r="O1204" s="172"/>
    </row>
    <row r="1205" spans="1:15" ht="25.5" x14ac:dyDescent="0.2">
      <c r="A1205" s="203" t="str">
        <f t="shared" si="18"/>
        <v>AtvCode_visualFlightRules</v>
      </c>
      <c r="B1205" s="410"/>
      <c r="C1205" s="417"/>
      <c r="D1205" s="204" t="s">
        <v>20793</v>
      </c>
      <c r="E1205" s="204">
        <v>4</v>
      </c>
      <c r="F1205" s="205" t="s">
        <v>20794</v>
      </c>
      <c r="G1205" s="206" t="s">
        <v>20795</v>
      </c>
      <c r="H1205" s="207"/>
      <c r="I1205" s="347"/>
      <c r="J1205" s="39">
        <v>115492</v>
      </c>
      <c r="K1205" s="36" t="str">
        <f>CONCATENATE(Cover!$D$6,"fdd/view?i=",J1205)</f>
        <v>https://www.dgiwg.org/FAD/fdd/view?i=115492</v>
      </c>
      <c r="L1205" s="36" t="s">
        <v>20796</v>
      </c>
      <c r="M1205" s="186"/>
      <c r="N1205" s="186"/>
      <c r="O1205" s="172"/>
    </row>
    <row r="1206" spans="1:15" x14ac:dyDescent="0.2">
      <c r="A1206" s="190" t="str">
        <f t="shared" si="18"/>
        <v>RsvCode_alternate</v>
      </c>
      <c r="B1206" s="414" t="str">
        <f>HYPERLINK("[#]Datatypes!A106:L106","RsvCode")</f>
        <v>RsvCode</v>
      </c>
      <c r="C1206" s="415" t="s">
        <v>14658</v>
      </c>
      <c r="D1206" s="221" t="s">
        <v>6637</v>
      </c>
      <c r="E1206" s="221">
        <v>3</v>
      </c>
      <c r="F1206" s="222" t="s">
        <v>6639</v>
      </c>
      <c r="G1206" s="223" t="s">
        <v>20797</v>
      </c>
      <c r="H1206" s="224"/>
      <c r="I1206" s="345"/>
      <c r="J1206" s="39">
        <v>115399</v>
      </c>
      <c r="K1206" s="36" t="str">
        <f>CONCATENATE(Cover!$D$6,"fdd/view?i=",J1206)</f>
        <v>https://www.dgiwg.org/FAD/fdd/view?i=115399</v>
      </c>
      <c r="L1206" s="36" t="s">
        <v>20798</v>
      </c>
      <c r="M1206" s="186"/>
      <c r="N1206" s="186"/>
      <c r="O1206" s="172"/>
    </row>
    <row r="1207" spans="1:15" ht="25.5" x14ac:dyDescent="0.2">
      <c r="A1207" s="197" t="str">
        <f t="shared" si="18"/>
        <v>RsvCode_closed</v>
      </c>
      <c r="B1207" s="409"/>
      <c r="C1207" s="416"/>
      <c r="D1207" s="198" t="s">
        <v>16510</v>
      </c>
      <c r="E1207" s="198">
        <v>5</v>
      </c>
      <c r="F1207" s="199" t="s">
        <v>16511</v>
      </c>
      <c r="G1207" s="1" t="s">
        <v>20799</v>
      </c>
      <c r="H1207" s="200"/>
      <c r="I1207" s="346"/>
      <c r="J1207" s="39">
        <v>115393</v>
      </c>
      <c r="K1207" s="36" t="str">
        <f>CONCATENATE(Cover!$D$6,"fdd/view?i=",J1207)</f>
        <v>https://www.dgiwg.org/FAD/fdd/view?i=115393</v>
      </c>
      <c r="L1207" s="36" t="s">
        <v>20800</v>
      </c>
      <c r="M1207" s="186"/>
      <c r="N1207" s="186"/>
      <c r="O1207" s="13" t="s">
        <v>19687</v>
      </c>
    </row>
    <row r="1208" spans="1:15" ht="38.25" x14ac:dyDescent="0.2">
      <c r="A1208" s="197" t="str">
        <f t="shared" si="18"/>
        <v>RsvCode_conditionalRouteType1</v>
      </c>
      <c r="B1208" s="409"/>
      <c r="C1208" s="416"/>
      <c r="D1208" s="198" t="s">
        <v>20802</v>
      </c>
      <c r="E1208" s="198">
        <v>6</v>
      </c>
      <c r="F1208" s="199" t="s">
        <v>20803</v>
      </c>
      <c r="G1208" s="1" t="s">
        <v>20804</v>
      </c>
      <c r="H1208" s="1" t="s">
        <v>20805</v>
      </c>
      <c r="I1208" s="346"/>
      <c r="J1208" s="39">
        <v>115394</v>
      </c>
      <c r="K1208" s="36" t="str">
        <f>CONCATENATE(Cover!$D$6,"fdd/view?i=",J1208)</f>
        <v>https://www.dgiwg.org/FAD/fdd/view?i=115394</v>
      </c>
      <c r="L1208" s="36" t="s">
        <v>20806</v>
      </c>
      <c r="M1208" s="186"/>
      <c r="N1208" s="186"/>
      <c r="O1208" s="13" t="s">
        <v>20801</v>
      </c>
    </row>
    <row r="1209" spans="1:15" ht="25.5" x14ac:dyDescent="0.2">
      <c r="A1209" s="197" t="str">
        <f t="shared" si="18"/>
        <v>RsvCode_conditionalRouteType2</v>
      </c>
      <c r="B1209" s="409"/>
      <c r="C1209" s="416"/>
      <c r="D1209" s="198" t="s">
        <v>20808</v>
      </c>
      <c r="E1209" s="198">
        <v>7</v>
      </c>
      <c r="F1209" s="199" t="s">
        <v>20809</v>
      </c>
      <c r="G1209" s="1" t="s">
        <v>20810</v>
      </c>
      <c r="H1209" s="1" t="s">
        <v>20811</v>
      </c>
      <c r="I1209" s="346"/>
      <c r="J1209" s="39">
        <v>115395</v>
      </c>
      <c r="K1209" s="36" t="str">
        <f>CONCATENATE(Cover!$D$6,"fdd/view?i=",J1209)</f>
        <v>https://www.dgiwg.org/FAD/fdd/view?i=115395</v>
      </c>
      <c r="L1209" s="36" t="s">
        <v>20812</v>
      </c>
      <c r="M1209" s="186"/>
      <c r="N1209" s="186"/>
      <c r="O1209" s="13" t="s">
        <v>20807</v>
      </c>
    </row>
    <row r="1210" spans="1:15" ht="25.5" x14ac:dyDescent="0.2">
      <c r="A1210" s="197" t="str">
        <f t="shared" si="18"/>
        <v>RsvCode_conditionalRouteType3</v>
      </c>
      <c r="B1210" s="409"/>
      <c r="C1210" s="416"/>
      <c r="D1210" s="198" t="s">
        <v>20814</v>
      </c>
      <c r="E1210" s="198">
        <v>8</v>
      </c>
      <c r="F1210" s="199" t="s">
        <v>20815</v>
      </c>
      <c r="G1210" s="1" t="s">
        <v>20816</v>
      </c>
      <c r="H1210" s="1" t="s">
        <v>20817</v>
      </c>
      <c r="I1210" s="346"/>
      <c r="J1210" s="39">
        <v>115396</v>
      </c>
      <c r="K1210" s="36" t="str">
        <f>CONCATENATE(Cover!$D$6,"fdd/view?i=",J1210)</f>
        <v>https://www.dgiwg.org/FAD/fdd/view?i=115396</v>
      </c>
      <c r="L1210" s="36" t="s">
        <v>20818</v>
      </c>
      <c r="M1210" s="186"/>
      <c r="N1210" s="186"/>
      <c r="O1210" s="13" t="s">
        <v>20813</v>
      </c>
    </row>
    <row r="1211" spans="1:15" x14ac:dyDescent="0.2">
      <c r="A1211" s="197" t="str">
        <f t="shared" si="18"/>
        <v>RsvCode_open</v>
      </c>
      <c r="B1211" s="409"/>
      <c r="C1211" s="416"/>
      <c r="D1211" s="198" t="s">
        <v>16532</v>
      </c>
      <c r="E1211" s="198">
        <v>1</v>
      </c>
      <c r="F1211" s="199" t="s">
        <v>16533</v>
      </c>
      <c r="G1211" s="1" t="s">
        <v>20819</v>
      </c>
      <c r="H1211" s="200"/>
      <c r="I1211" s="346"/>
      <c r="J1211" s="39">
        <v>115400</v>
      </c>
      <c r="K1211" s="36" t="str">
        <f>CONCATENATE(Cover!$D$6,"fdd/view?i=",J1211)</f>
        <v>https://www.dgiwg.org/FAD/fdd/view?i=115400</v>
      </c>
      <c r="L1211" s="36" t="s">
        <v>20820</v>
      </c>
      <c r="M1211" s="186"/>
      <c r="N1211" s="186"/>
      <c r="O1211" s="172"/>
    </row>
    <row r="1212" spans="1:15" x14ac:dyDescent="0.2">
      <c r="A1212" s="197" t="str">
        <f t="shared" si="18"/>
        <v>RsvCode_seasonal</v>
      </c>
      <c r="B1212" s="409"/>
      <c r="C1212" s="416"/>
      <c r="D1212" s="198" t="s">
        <v>20100</v>
      </c>
      <c r="E1212" s="198">
        <v>2</v>
      </c>
      <c r="F1212" s="199" t="s">
        <v>20101</v>
      </c>
      <c r="G1212" s="1" t="s">
        <v>20821</v>
      </c>
      <c r="H1212" s="200"/>
      <c r="I1212" s="346"/>
      <c r="J1212" s="39">
        <v>115401</v>
      </c>
      <c r="K1212" s="36" t="str">
        <f>CONCATENATE(Cover!$D$6,"fdd/view?i=",J1212)</f>
        <v>https://www.dgiwg.org/FAD/fdd/view?i=115401</v>
      </c>
      <c r="L1212" s="36" t="s">
        <v>20822</v>
      </c>
      <c r="M1212" s="186"/>
      <c r="N1212" s="186"/>
      <c r="O1212" s="172"/>
    </row>
    <row r="1213" spans="1:15" ht="76.5" x14ac:dyDescent="0.2">
      <c r="A1213" s="197" t="str">
        <f t="shared" si="18"/>
        <v>RsvCode_specialUse</v>
      </c>
      <c r="B1213" s="409"/>
      <c r="C1213" s="416"/>
      <c r="D1213" s="198" t="s">
        <v>20824</v>
      </c>
      <c r="E1213" s="198">
        <v>4</v>
      </c>
      <c r="F1213" s="199" t="s">
        <v>20825</v>
      </c>
      <c r="G1213" s="1" t="s">
        <v>20826</v>
      </c>
      <c r="H1213" s="1" t="s">
        <v>20827</v>
      </c>
      <c r="I1213" s="351" t="s">
        <v>16538</v>
      </c>
      <c r="J1213" s="39">
        <v>115398</v>
      </c>
      <c r="K1213" s="36" t="str">
        <f>CONCATENATE(Cover!$D$6,"fdd/view?i=",J1213)</f>
        <v>https://www.dgiwg.org/FAD/fdd/view?i=115398</v>
      </c>
      <c r="L1213" s="36" t="s">
        <v>20828</v>
      </c>
      <c r="M1213" s="186"/>
      <c r="N1213" s="186"/>
      <c r="O1213" s="13" t="s">
        <v>20823</v>
      </c>
    </row>
    <row r="1214" spans="1:15" ht="25.5" x14ac:dyDescent="0.2">
      <c r="A1214" s="203" t="str">
        <f t="shared" si="18"/>
        <v>RsvCode_timetable</v>
      </c>
      <c r="B1214" s="410"/>
      <c r="C1214" s="417"/>
      <c r="D1214" s="204" t="s">
        <v>20830</v>
      </c>
      <c r="E1214" s="204">
        <v>9</v>
      </c>
      <c r="F1214" s="205" t="s">
        <v>20831</v>
      </c>
      <c r="G1214" s="206" t="s">
        <v>20832</v>
      </c>
      <c r="H1214" s="207"/>
      <c r="I1214" s="347"/>
      <c r="J1214" s="39">
        <v>115397</v>
      </c>
      <c r="K1214" s="36" t="str">
        <f>CONCATENATE(Cover!$D$6,"fdd/view?i=",J1214)</f>
        <v>https://www.dgiwg.org/FAD/fdd/view?i=115397</v>
      </c>
      <c r="L1214" s="36" t="s">
        <v>20833</v>
      </c>
      <c r="M1214" s="186"/>
      <c r="N1214" s="186"/>
      <c r="O1214" s="13" t="s">
        <v>20829</v>
      </c>
    </row>
    <row r="1215" spans="1:15" ht="25.5" x14ac:dyDescent="0.2">
      <c r="A1215" s="190" t="str">
        <f t="shared" si="18"/>
        <v>ArpCode_arcByEdge</v>
      </c>
      <c r="B1215" s="414" t="str">
        <f>HYPERLINK("[#]Datatypes!A108:L108","ArpCode")</f>
        <v>ArpCode</v>
      </c>
      <c r="C1215" s="415" t="s">
        <v>14660</v>
      </c>
      <c r="D1215" s="221" t="s">
        <v>20835</v>
      </c>
      <c r="E1215" s="221">
        <v>4</v>
      </c>
      <c r="F1215" s="222" t="s">
        <v>20836</v>
      </c>
      <c r="G1215" s="223" t="s">
        <v>20837</v>
      </c>
      <c r="H1215" s="224"/>
      <c r="I1215" s="345"/>
      <c r="J1215" s="39">
        <v>115408</v>
      </c>
      <c r="K1215" s="36" t="str">
        <f>CONCATENATE(Cover!$D$6,"fdd/view?i=",J1215)</f>
        <v>https://www.dgiwg.org/FAD/fdd/view?i=115408</v>
      </c>
      <c r="L1215" s="36" t="s">
        <v>20838</v>
      </c>
      <c r="M1215" s="186"/>
      <c r="N1215" s="186"/>
      <c r="O1215" s="13" t="s">
        <v>20834</v>
      </c>
    </row>
    <row r="1216" spans="1:15" ht="25.5" x14ac:dyDescent="0.2">
      <c r="A1216" s="197" t="str">
        <f t="shared" si="18"/>
        <v>ArpCode_clockwiseArc</v>
      </c>
      <c r="B1216" s="409"/>
      <c r="C1216" s="416"/>
      <c r="D1216" s="198" t="s">
        <v>20840</v>
      </c>
      <c r="E1216" s="198">
        <v>6</v>
      </c>
      <c r="F1216" s="199" t="s">
        <v>20841</v>
      </c>
      <c r="G1216" s="1" t="s">
        <v>20842</v>
      </c>
      <c r="H1216" s="200"/>
      <c r="I1216" s="346"/>
      <c r="J1216" s="39">
        <v>115410</v>
      </c>
      <c r="K1216" s="36" t="str">
        <f>CONCATENATE(Cover!$D$6,"fdd/view?i=",J1216)</f>
        <v>https://www.dgiwg.org/FAD/fdd/view?i=115410</v>
      </c>
      <c r="L1216" s="36" t="s">
        <v>20843</v>
      </c>
      <c r="M1216" s="186"/>
      <c r="N1216" s="186"/>
      <c r="O1216" s="13" t="s">
        <v>20839</v>
      </c>
    </row>
    <row r="1217" spans="1:15" ht="25.5" x14ac:dyDescent="0.2">
      <c r="A1217" s="197" t="str">
        <f t="shared" si="18"/>
        <v>ArpCode_counterClockwiseArc</v>
      </c>
      <c r="B1217" s="409"/>
      <c r="C1217" s="416"/>
      <c r="D1217" s="198" t="s">
        <v>20845</v>
      </c>
      <c r="E1217" s="198">
        <v>5</v>
      </c>
      <c r="F1217" s="199" t="s">
        <v>20846</v>
      </c>
      <c r="G1217" s="1" t="s">
        <v>20847</v>
      </c>
      <c r="H1217" s="200"/>
      <c r="I1217" s="346"/>
      <c r="J1217" s="39">
        <v>115409</v>
      </c>
      <c r="K1217" s="36" t="str">
        <f>CONCATENATE(Cover!$D$6,"fdd/view?i=",J1217)</f>
        <v>https://www.dgiwg.org/FAD/fdd/view?i=115409</v>
      </c>
      <c r="L1217" s="36" t="s">
        <v>20848</v>
      </c>
      <c r="M1217" s="186"/>
      <c r="N1217" s="186"/>
      <c r="O1217" s="13" t="s">
        <v>20844</v>
      </c>
    </row>
    <row r="1218" spans="1:15" ht="25.5" x14ac:dyDescent="0.2">
      <c r="A1218" s="197" t="str">
        <f t="shared" ref="A1218:A1281" si="19">HYPERLINK(K1218,L1218)</f>
        <v>ArpCode_geoBorderVertices</v>
      </c>
      <c r="B1218" s="409"/>
      <c r="C1218" s="416"/>
      <c r="D1218" s="198" t="s">
        <v>20855</v>
      </c>
      <c r="E1218" s="198">
        <v>7</v>
      </c>
      <c r="F1218" s="199" t="s">
        <v>20856</v>
      </c>
      <c r="G1218" s="1" t="s">
        <v>20857</v>
      </c>
      <c r="H1218" s="200"/>
      <c r="I1218" s="346"/>
      <c r="J1218" s="39">
        <v>115411</v>
      </c>
      <c r="K1218" s="36" t="str">
        <f>CONCATENATE(Cover!$D$6,"fdd/view?i=",J1218)</f>
        <v>https://www.dgiwg.org/FAD/fdd/view?i=115411</v>
      </c>
      <c r="L1218" s="36" t="s">
        <v>20858</v>
      </c>
      <c r="M1218" s="186"/>
      <c r="N1218" s="186"/>
      <c r="O1218" s="13" t="s">
        <v>20854</v>
      </c>
    </row>
    <row r="1219" spans="1:15" ht="25.5" x14ac:dyDescent="0.2">
      <c r="A1219" s="197" t="str">
        <f t="shared" si="19"/>
        <v>ArpCode_geodesic</v>
      </c>
      <c r="B1219" s="409"/>
      <c r="C1219" s="416"/>
      <c r="D1219" s="198" t="s">
        <v>20850</v>
      </c>
      <c r="E1219" s="198">
        <v>1</v>
      </c>
      <c r="F1219" s="199" t="s">
        <v>20851</v>
      </c>
      <c r="G1219" s="1" t="s">
        <v>20852</v>
      </c>
      <c r="H1219" s="200"/>
      <c r="I1219" s="346"/>
      <c r="J1219" s="39">
        <v>115405</v>
      </c>
      <c r="K1219" s="36" t="str">
        <f>CONCATENATE(Cover!$D$6,"fdd/view?i=",J1219)</f>
        <v>https://www.dgiwg.org/FAD/fdd/view?i=115405</v>
      </c>
      <c r="L1219" s="36" t="s">
        <v>20853</v>
      </c>
      <c r="M1219" s="186"/>
      <c r="N1219" s="186"/>
      <c r="O1219" s="13" t="s">
        <v>20849</v>
      </c>
    </row>
    <row r="1220" spans="1:15" ht="25.5" x14ac:dyDescent="0.2">
      <c r="A1220" s="197" t="str">
        <f t="shared" si="19"/>
        <v>ArpCode_greatCircle</v>
      </c>
      <c r="B1220" s="409"/>
      <c r="C1220" s="416"/>
      <c r="D1220" s="198" t="s">
        <v>20860</v>
      </c>
      <c r="E1220" s="198">
        <v>2</v>
      </c>
      <c r="F1220" s="199" t="s">
        <v>20861</v>
      </c>
      <c r="G1220" s="1" t="s">
        <v>20862</v>
      </c>
      <c r="H1220" s="200"/>
      <c r="I1220" s="346"/>
      <c r="J1220" s="39">
        <v>115406</v>
      </c>
      <c r="K1220" s="36" t="str">
        <f>CONCATENATE(Cover!$D$6,"fdd/view?i=",J1220)</f>
        <v>https://www.dgiwg.org/FAD/fdd/view?i=115406</v>
      </c>
      <c r="L1220" s="36" t="s">
        <v>20863</v>
      </c>
      <c r="M1220" s="186"/>
      <c r="N1220" s="186"/>
      <c r="O1220" s="13" t="s">
        <v>20859</v>
      </c>
    </row>
    <row r="1221" spans="1:15" ht="25.5" x14ac:dyDescent="0.2">
      <c r="A1221" s="203" t="str">
        <f t="shared" si="19"/>
        <v>ArpCode_rhumbline</v>
      </c>
      <c r="B1221" s="410"/>
      <c r="C1221" s="417"/>
      <c r="D1221" s="204" t="s">
        <v>20865</v>
      </c>
      <c r="E1221" s="204">
        <v>3</v>
      </c>
      <c r="F1221" s="205" t="s">
        <v>20866</v>
      </c>
      <c r="G1221" s="206" t="s">
        <v>20867</v>
      </c>
      <c r="H1221" s="207"/>
      <c r="I1221" s="347"/>
      <c r="J1221" s="39">
        <v>115407</v>
      </c>
      <c r="K1221" s="36" t="str">
        <f>CONCATENATE(Cover!$D$6,"fdd/view?i=",J1221)</f>
        <v>https://www.dgiwg.org/FAD/fdd/view?i=115407</v>
      </c>
      <c r="L1221" s="36" t="s">
        <v>20868</v>
      </c>
      <c r="M1221" s="186"/>
      <c r="N1221" s="186"/>
      <c r="O1221" s="13" t="s">
        <v>20864</v>
      </c>
    </row>
    <row r="1222" spans="1:15" ht="25.5" x14ac:dyDescent="0.2">
      <c r="A1222" s="190" t="str">
        <f t="shared" si="19"/>
        <v>RsxCode_backward</v>
      </c>
      <c r="B1222" s="414" t="str">
        <f>HYPERLINK("[#]Datatypes!A110:L110","RsxCode")</f>
        <v>RsxCode</v>
      </c>
      <c r="C1222" s="415" t="s">
        <v>14662</v>
      </c>
      <c r="D1222" s="221" t="s">
        <v>20870</v>
      </c>
      <c r="E1222" s="221">
        <v>1</v>
      </c>
      <c r="F1222" s="222" t="s">
        <v>20871</v>
      </c>
      <c r="G1222" s="223" t="s">
        <v>20872</v>
      </c>
      <c r="H1222" s="224"/>
      <c r="I1222" s="345"/>
      <c r="J1222" s="39">
        <v>115387</v>
      </c>
      <c r="K1222" s="36" t="str">
        <f>CONCATENATE(Cover!$D$6,"fdd/view?i=",J1222)</f>
        <v>https://www.dgiwg.org/FAD/fdd/view?i=115387</v>
      </c>
      <c r="L1222" s="36" t="s">
        <v>20873</v>
      </c>
      <c r="M1222" s="186"/>
      <c r="N1222" s="186"/>
      <c r="O1222" s="13" t="s">
        <v>20869</v>
      </c>
    </row>
    <row r="1223" spans="1:15" x14ac:dyDescent="0.2">
      <c r="A1223" s="197" t="str">
        <f t="shared" si="19"/>
        <v>RsxCode_both</v>
      </c>
      <c r="B1223" s="409"/>
      <c r="C1223" s="416"/>
      <c r="D1223" s="198" t="s">
        <v>20195</v>
      </c>
      <c r="E1223" s="198">
        <v>3</v>
      </c>
      <c r="F1223" s="199" t="s">
        <v>20196</v>
      </c>
      <c r="G1223" s="1" t="s">
        <v>20874</v>
      </c>
      <c r="H1223" s="200"/>
      <c r="I1223" s="346"/>
      <c r="J1223" s="39">
        <v>115389</v>
      </c>
      <c r="K1223" s="36" t="str">
        <f>CONCATENATE(Cover!$D$6,"fdd/view?i=",J1223)</f>
        <v>https://www.dgiwg.org/FAD/fdd/view?i=115389</v>
      </c>
      <c r="L1223" s="36" t="s">
        <v>20875</v>
      </c>
      <c r="M1223" s="186"/>
      <c r="N1223" s="186"/>
      <c r="O1223" s="172"/>
    </row>
    <row r="1224" spans="1:15" ht="25.5" x14ac:dyDescent="0.2">
      <c r="A1224" s="203" t="str">
        <f t="shared" si="19"/>
        <v>RsxCode_forward</v>
      </c>
      <c r="B1224" s="410"/>
      <c r="C1224" s="417"/>
      <c r="D1224" s="204" t="s">
        <v>20877</v>
      </c>
      <c r="E1224" s="204">
        <v>2</v>
      </c>
      <c r="F1224" s="205" t="s">
        <v>20878</v>
      </c>
      <c r="G1224" s="206" t="s">
        <v>20879</v>
      </c>
      <c r="H1224" s="207"/>
      <c r="I1224" s="347"/>
      <c r="J1224" s="39">
        <v>115388</v>
      </c>
      <c r="K1224" s="36" t="str">
        <f>CONCATENATE(Cover!$D$6,"fdd/view?i=",J1224)</f>
        <v>https://www.dgiwg.org/FAD/fdd/view?i=115388</v>
      </c>
      <c r="L1224" s="36" t="s">
        <v>20880</v>
      </c>
      <c r="M1224" s="186"/>
      <c r="N1224" s="186"/>
      <c r="O1224" s="13" t="s">
        <v>20876</v>
      </c>
    </row>
    <row r="1225" spans="1:15" ht="25.5" x14ac:dyDescent="0.2">
      <c r="A1225" s="190" t="str">
        <f t="shared" si="19"/>
        <v>AryCode_advisoryRoute</v>
      </c>
      <c r="B1225" s="414" t="str">
        <f>HYPERLINK("[#]Datatypes!A112:L112","AryCode")</f>
        <v>AryCode</v>
      </c>
      <c r="C1225" s="415" t="s">
        <v>14664</v>
      </c>
      <c r="D1225" s="221" t="s">
        <v>20882</v>
      </c>
      <c r="E1225" s="221">
        <v>3</v>
      </c>
      <c r="F1225" s="222" t="s">
        <v>20883</v>
      </c>
      <c r="G1225" s="223" t="s">
        <v>20884</v>
      </c>
      <c r="H1225" s="224"/>
      <c r="I1225" s="345"/>
      <c r="J1225" s="39">
        <v>115414</v>
      </c>
      <c r="K1225" s="36" t="str">
        <f>CONCATENATE(Cover!$D$6,"fdd/view?i=",J1225)</f>
        <v>https://www.dgiwg.org/FAD/fdd/view?i=115414</v>
      </c>
      <c r="L1225" s="36" t="s">
        <v>20885</v>
      </c>
      <c r="M1225" s="186"/>
      <c r="N1225" s="186"/>
      <c r="O1225" s="13" t="s">
        <v>20881</v>
      </c>
    </row>
    <row r="1226" spans="1:15" ht="63.75" x14ac:dyDescent="0.2">
      <c r="A1226" s="197" t="str">
        <f t="shared" si="19"/>
        <v>AryCode_areaNavigationRoute</v>
      </c>
      <c r="B1226" s="409"/>
      <c r="C1226" s="416"/>
      <c r="D1226" s="198" t="s">
        <v>20887</v>
      </c>
      <c r="E1226" s="198">
        <v>2</v>
      </c>
      <c r="F1226" s="199" t="s">
        <v>20888</v>
      </c>
      <c r="G1226" s="1" t="s">
        <v>20889</v>
      </c>
      <c r="H1226" s="1" t="s">
        <v>20890</v>
      </c>
      <c r="I1226" s="346"/>
      <c r="J1226" s="39">
        <v>115415</v>
      </c>
      <c r="K1226" s="36" t="str">
        <f>CONCATENATE(Cover!$D$6,"fdd/view?i=",J1226)</f>
        <v>https://www.dgiwg.org/FAD/fdd/view?i=115415</v>
      </c>
      <c r="L1226" s="36" t="s">
        <v>20891</v>
      </c>
      <c r="M1226" s="186"/>
      <c r="N1226" s="186"/>
      <c r="O1226" s="13" t="s">
        <v>20886</v>
      </c>
    </row>
    <row r="1227" spans="1:15" ht="25.5" x14ac:dyDescent="0.2">
      <c r="A1227" s="197" t="str">
        <f t="shared" si="19"/>
        <v>AryCode_conventionalRoute</v>
      </c>
      <c r="B1227" s="409"/>
      <c r="C1227" s="416"/>
      <c r="D1227" s="198" t="s">
        <v>20893</v>
      </c>
      <c r="E1227" s="198">
        <v>1</v>
      </c>
      <c r="F1227" s="199" t="s">
        <v>20894</v>
      </c>
      <c r="G1227" s="1" t="s">
        <v>20895</v>
      </c>
      <c r="H1227" s="1" t="s">
        <v>20896</v>
      </c>
      <c r="I1227" s="346"/>
      <c r="J1227" s="39">
        <v>115416</v>
      </c>
      <c r="K1227" s="36" t="str">
        <f>CONCATENATE(Cover!$D$6,"fdd/view?i=",J1227)</f>
        <v>https://www.dgiwg.org/FAD/fdd/view?i=115416</v>
      </c>
      <c r="L1227" s="36" t="s">
        <v>20897</v>
      </c>
      <c r="M1227" s="186"/>
      <c r="N1227" s="186"/>
      <c r="O1227" s="13" t="s">
        <v>20892</v>
      </c>
    </row>
    <row r="1228" spans="1:15" ht="51" x14ac:dyDescent="0.2">
      <c r="A1228" s="197" t="str">
        <f t="shared" si="19"/>
        <v>AryCode_corridorRoute</v>
      </c>
      <c r="B1228" s="409"/>
      <c r="C1228" s="416"/>
      <c r="D1228" s="198" t="s">
        <v>20898</v>
      </c>
      <c r="E1228" s="198">
        <v>5</v>
      </c>
      <c r="F1228" s="199" t="s">
        <v>20899</v>
      </c>
      <c r="G1228" s="1" t="s">
        <v>20900</v>
      </c>
      <c r="H1228" s="200"/>
      <c r="I1228" s="346"/>
      <c r="J1228" s="39">
        <v>115418</v>
      </c>
      <c r="K1228" s="36" t="str">
        <f>CONCATENATE(Cover!$D$6,"fdd/view?i=",J1228)</f>
        <v>https://www.dgiwg.org/FAD/fdd/view?i=115418</v>
      </c>
      <c r="L1228" s="36" t="s">
        <v>20901</v>
      </c>
      <c r="M1228" s="186"/>
      <c r="N1228" s="186"/>
      <c r="O1228" s="172"/>
    </row>
    <row r="1229" spans="1:15" ht="25.5" x14ac:dyDescent="0.2">
      <c r="A1229" s="197" t="str">
        <f t="shared" si="19"/>
        <v>AryCode_direct</v>
      </c>
      <c r="B1229" s="409"/>
      <c r="C1229" s="416"/>
      <c r="D1229" s="198" t="s">
        <v>20903</v>
      </c>
      <c r="E1229" s="198">
        <v>4</v>
      </c>
      <c r="F1229" s="199" t="s">
        <v>20904</v>
      </c>
      <c r="G1229" s="1" t="s">
        <v>20905</v>
      </c>
      <c r="H1229" s="200"/>
      <c r="I1229" s="346"/>
      <c r="J1229" s="39">
        <v>115417</v>
      </c>
      <c r="K1229" s="36" t="str">
        <f>CONCATENATE(Cover!$D$6,"fdd/view?i=",J1229)</f>
        <v>https://www.dgiwg.org/FAD/fdd/view?i=115417</v>
      </c>
      <c r="L1229" s="36" t="s">
        <v>20906</v>
      </c>
      <c r="M1229" s="186"/>
      <c r="N1229" s="186"/>
      <c r="O1229" s="13" t="s">
        <v>20902</v>
      </c>
    </row>
    <row r="1230" spans="1:15" ht="25.5" x14ac:dyDescent="0.2">
      <c r="A1230" s="197" t="str">
        <f t="shared" si="19"/>
        <v>AryCode_helicopterRoute</v>
      </c>
      <c r="B1230" s="409"/>
      <c r="C1230" s="416"/>
      <c r="D1230" s="198" t="s">
        <v>20907</v>
      </c>
      <c r="E1230" s="198">
        <v>7</v>
      </c>
      <c r="F1230" s="199" t="s">
        <v>20908</v>
      </c>
      <c r="G1230" s="1" t="s">
        <v>20909</v>
      </c>
      <c r="H1230" s="200"/>
      <c r="I1230" s="351" t="s">
        <v>20910</v>
      </c>
      <c r="J1230" s="39">
        <v>115420</v>
      </c>
      <c r="K1230" s="36" t="str">
        <f>CONCATENATE(Cover!$D$6,"fdd/view?i=",J1230)</f>
        <v>https://www.dgiwg.org/FAD/fdd/view?i=115420</v>
      </c>
      <c r="L1230" s="36" t="s">
        <v>20911</v>
      </c>
      <c r="M1230" s="186"/>
      <c r="N1230" s="186"/>
      <c r="O1230" s="172"/>
    </row>
    <row r="1231" spans="1:15" x14ac:dyDescent="0.2">
      <c r="A1231" s="197" t="str">
        <f t="shared" si="19"/>
        <v>AryCode_militaryRoute</v>
      </c>
      <c r="B1231" s="409"/>
      <c r="C1231" s="416"/>
      <c r="D1231" s="198" t="s">
        <v>20912</v>
      </c>
      <c r="E1231" s="198">
        <v>6</v>
      </c>
      <c r="F1231" s="199" t="s">
        <v>20913</v>
      </c>
      <c r="G1231" s="1" t="s">
        <v>20914</v>
      </c>
      <c r="H1231" s="200"/>
      <c r="I1231" s="346"/>
      <c r="J1231" s="39">
        <v>115419</v>
      </c>
      <c r="K1231" s="36" t="str">
        <f>CONCATENATE(Cover!$D$6,"fdd/view?i=",J1231)</f>
        <v>https://www.dgiwg.org/FAD/fdd/view?i=115419</v>
      </c>
      <c r="L1231" s="36" t="s">
        <v>20915</v>
      </c>
      <c r="M1231" s="186"/>
      <c r="N1231" s="186"/>
      <c r="O1231" s="172"/>
    </row>
    <row r="1232" spans="1:15" ht="25.5" x14ac:dyDescent="0.2">
      <c r="A1232" s="203" t="str">
        <f t="shared" si="19"/>
        <v>AryCode_visualRoute</v>
      </c>
      <c r="B1232" s="410"/>
      <c r="C1232" s="417"/>
      <c r="D1232" s="204" t="s">
        <v>20916</v>
      </c>
      <c r="E1232" s="204">
        <v>8</v>
      </c>
      <c r="F1232" s="205" t="s">
        <v>20917</v>
      </c>
      <c r="G1232" s="206" t="s">
        <v>20918</v>
      </c>
      <c r="H1232" s="207"/>
      <c r="I1232" s="347"/>
      <c r="J1232" s="39">
        <v>115421</v>
      </c>
      <c r="K1232" s="36" t="str">
        <f>CONCATENATE(Cover!$D$6,"fdd/view?i=",J1232)</f>
        <v>https://www.dgiwg.org/FAD/fdd/view?i=115421</v>
      </c>
      <c r="L1232" s="36" t="s">
        <v>20919</v>
      </c>
      <c r="M1232" s="186"/>
      <c r="N1232" s="186"/>
      <c r="O1232" s="172"/>
    </row>
    <row r="1233" spans="1:15" ht="25.5" x14ac:dyDescent="0.2">
      <c r="A1233" s="190" t="str">
        <f t="shared" si="19"/>
        <v>AacCode_categoryA</v>
      </c>
      <c r="B1233" s="414" t="str">
        <f>HYPERLINK("[#]Datatypes!A118:L118","AacCode")</f>
        <v>AacCode</v>
      </c>
      <c r="C1233" s="415" t="s">
        <v>14672</v>
      </c>
      <c r="D1233" s="221" t="s">
        <v>20921</v>
      </c>
      <c r="E1233" s="221">
        <v>1</v>
      </c>
      <c r="F1233" s="222" t="s">
        <v>20922</v>
      </c>
      <c r="G1233" s="223" t="s">
        <v>20923</v>
      </c>
      <c r="H1233" s="224"/>
      <c r="I1233" s="345"/>
      <c r="J1233" s="39">
        <v>115708</v>
      </c>
      <c r="K1233" s="36" t="str">
        <f>CONCATENATE(Cover!$D$6,"fdd/view?i=",J1233)</f>
        <v>https://www.dgiwg.org/FAD/fdd/view?i=115708</v>
      </c>
      <c r="L1233" s="36" t="s">
        <v>20924</v>
      </c>
      <c r="M1233" s="186"/>
      <c r="N1233" s="186"/>
      <c r="O1233" s="13" t="s">
        <v>20920</v>
      </c>
    </row>
    <row r="1234" spans="1:15" ht="25.5" x14ac:dyDescent="0.2">
      <c r="A1234" s="197" t="str">
        <f t="shared" si="19"/>
        <v>AacCode_categoryB</v>
      </c>
      <c r="B1234" s="409"/>
      <c r="C1234" s="416"/>
      <c r="D1234" s="198" t="s">
        <v>20925</v>
      </c>
      <c r="E1234" s="198">
        <v>2</v>
      </c>
      <c r="F1234" s="199" t="s">
        <v>20926</v>
      </c>
      <c r="G1234" s="1" t="s">
        <v>20927</v>
      </c>
      <c r="H1234" s="200"/>
      <c r="I1234" s="346"/>
      <c r="J1234" s="39">
        <v>115709</v>
      </c>
      <c r="K1234" s="36" t="str">
        <f>CONCATENATE(Cover!$D$6,"fdd/view?i=",J1234)</f>
        <v>https://www.dgiwg.org/FAD/fdd/view?i=115709</v>
      </c>
      <c r="L1234" s="36" t="s">
        <v>20928</v>
      </c>
      <c r="M1234" s="186"/>
      <c r="N1234" s="186"/>
      <c r="O1234" s="13" t="s">
        <v>20869</v>
      </c>
    </row>
    <row r="1235" spans="1:15" ht="25.5" x14ac:dyDescent="0.2">
      <c r="A1235" s="197" t="str">
        <f t="shared" si="19"/>
        <v>AacCode_categoryC</v>
      </c>
      <c r="B1235" s="409"/>
      <c r="C1235" s="416"/>
      <c r="D1235" s="198" t="s">
        <v>20929</v>
      </c>
      <c r="E1235" s="198">
        <v>3</v>
      </c>
      <c r="F1235" s="199" t="s">
        <v>20930</v>
      </c>
      <c r="G1235" s="1" t="s">
        <v>20931</v>
      </c>
      <c r="H1235" s="200"/>
      <c r="I1235" s="346"/>
      <c r="J1235" s="39">
        <v>115710</v>
      </c>
      <c r="K1235" s="36" t="str">
        <f>CONCATENATE(Cover!$D$6,"fdd/view?i=",J1235)</f>
        <v>https://www.dgiwg.org/FAD/fdd/view?i=115710</v>
      </c>
      <c r="L1235" s="36" t="s">
        <v>20932</v>
      </c>
      <c r="M1235" s="186"/>
      <c r="N1235" s="186"/>
      <c r="O1235" s="13" t="s">
        <v>20664</v>
      </c>
    </row>
    <row r="1236" spans="1:15" ht="25.5" x14ac:dyDescent="0.2">
      <c r="A1236" s="197" t="str">
        <f t="shared" si="19"/>
        <v>AacCode_categoryD</v>
      </c>
      <c r="B1236" s="409"/>
      <c r="C1236" s="416"/>
      <c r="D1236" s="198" t="s">
        <v>20934</v>
      </c>
      <c r="E1236" s="198">
        <v>4</v>
      </c>
      <c r="F1236" s="199" t="s">
        <v>20935</v>
      </c>
      <c r="G1236" s="1" t="s">
        <v>20936</v>
      </c>
      <c r="H1236" s="200"/>
      <c r="I1236" s="346"/>
      <c r="J1236" s="39">
        <v>115711</v>
      </c>
      <c r="K1236" s="36" t="str">
        <f>CONCATENATE(Cover!$D$6,"fdd/view?i=",J1236)</f>
        <v>https://www.dgiwg.org/FAD/fdd/view?i=115711</v>
      </c>
      <c r="L1236" s="36" t="s">
        <v>20937</v>
      </c>
      <c r="M1236" s="186"/>
      <c r="N1236" s="186"/>
      <c r="O1236" s="13" t="s">
        <v>20933</v>
      </c>
    </row>
    <row r="1237" spans="1:15" ht="25.5" x14ac:dyDescent="0.2">
      <c r="A1237" s="197" t="str">
        <f t="shared" si="19"/>
        <v>AacCode_categoryE</v>
      </c>
      <c r="B1237" s="409"/>
      <c r="C1237" s="416"/>
      <c r="D1237" s="198" t="s">
        <v>20939</v>
      </c>
      <c r="E1237" s="198">
        <v>5</v>
      </c>
      <c r="F1237" s="199" t="s">
        <v>20940</v>
      </c>
      <c r="G1237" s="1" t="s">
        <v>20941</v>
      </c>
      <c r="H1237" s="1" t="s">
        <v>20942</v>
      </c>
      <c r="I1237" s="346"/>
      <c r="J1237" s="39">
        <v>115712</v>
      </c>
      <c r="K1237" s="36" t="str">
        <f>CONCATENATE(Cover!$D$6,"fdd/view?i=",J1237)</f>
        <v>https://www.dgiwg.org/FAD/fdd/view?i=115712</v>
      </c>
      <c r="L1237" s="36" t="s">
        <v>20943</v>
      </c>
      <c r="M1237" s="186"/>
      <c r="N1237" s="186"/>
      <c r="O1237" s="13" t="s">
        <v>20938</v>
      </c>
    </row>
    <row r="1238" spans="1:15" ht="25.5" x14ac:dyDescent="0.2">
      <c r="A1238" s="203" t="str">
        <f t="shared" si="19"/>
        <v>AacCode_categoryH</v>
      </c>
      <c r="B1238" s="410"/>
      <c r="C1238" s="417"/>
      <c r="D1238" s="204" t="s">
        <v>20945</v>
      </c>
      <c r="E1238" s="204">
        <v>6</v>
      </c>
      <c r="F1238" s="205" t="s">
        <v>20946</v>
      </c>
      <c r="G1238" s="206" t="s">
        <v>20947</v>
      </c>
      <c r="H1238" s="206" t="s">
        <v>20948</v>
      </c>
      <c r="I1238" s="347"/>
      <c r="J1238" s="39">
        <v>115713</v>
      </c>
      <c r="K1238" s="36" t="str">
        <f>CONCATENATE(Cover!$D$6,"fdd/view?i=",J1238)</f>
        <v>https://www.dgiwg.org/FAD/fdd/view?i=115713</v>
      </c>
      <c r="L1238" s="36" t="s">
        <v>20949</v>
      </c>
      <c r="M1238" s="186"/>
      <c r="N1238" s="186"/>
      <c r="O1238" s="13" t="s">
        <v>20944</v>
      </c>
    </row>
    <row r="1239" spans="1:15" x14ac:dyDescent="0.2">
      <c r="A1239" s="190" t="str">
        <f t="shared" si="19"/>
        <v>AdfCode_milA_8243</v>
      </c>
      <c r="B1239" s="414" t="str">
        <f>HYPERLINK("[#]Datatypes!A120:L120","AdfCode")</f>
        <v>AdfCode</v>
      </c>
      <c r="C1239" s="415" t="s">
        <v>14674</v>
      </c>
      <c r="D1239" s="221" t="s">
        <v>20950</v>
      </c>
      <c r="E1239" s="221">
        <v>6</v>
      </c>
      <c r="F1239" s="222" t="s">
        <v>20951</v>
      </c>
      <c r="G1239" s="223" t="s">
        <v>20952</v>
      </c>
      <c r="H1239" s="224"/>
      <c r="I1239" s="345"/>
      <c r="J1239" s="39">
        <v>116454</v>
      </c>
      <c r="K1239" s="36" t="str">
        <f>CONCATENATE(Cover!$D$6,"fdd/view?i=",J1239)</f>
        <v>https://www.dgiwg.org/FAD/fdd/view?i=116454</v>
      </c>
      <c r="L1239" s="36" t="s">
        <v>20953</v>
      </c>
      <c r="M1239" s="186"/>
      <c r="N1239" s="186"/>
      <c r="O1239" s="172"/>
    </row>
    <row r="1240" spans="1:15" ht="25.5" x14ac:dyDescent="0.2">
      <c r="A1240" s="197" t="str">
        <f t="shared" si="19"/>
        <v>AdfCode_pressurizedAir</v>
      </c>
      <c r="B1240" s="409"/>
      <c r="C1240" s="416"/>
      <c r="D1240" s="198" t="s">
        <v>20954</v>
      </c>
      <c r="E1240" s="198">
        <v>7</v>
      </c>
      <c r="F1240" s="199" t="s">
        <v>20955</v>
      </c>
      <c r="G1240" s="1" t="s">
        <v>20956</v>
      </c>
      <c r="H1240" s="200"/>
      <c r="I1240" s="346"/>
      <c r="J1240" s="39">
        <v>116455</v>
      </c>
      <c r="K1240" s="36" t="str">
        <f>CONCATENATE(Cover!$D$6,"fdd/view?i=",J1240)</f>
        <v>https://www.dgiwg.org/FAD/fdd/view?i=116455</v>
      </c>
      <c r="L1240" s="36" t="s">
        <v>20957</v>
      </c>
      <c r="M1240" s="186"/>
      <c r="N1240" s="186"/>
      <c r="O1240" s="172"/>
    </row>
    <row r="1241" spans="1:15" x14ac:dyDescent="0.2">
      <c r="A1241" s="197" t="str">
        <f t="shared" si="19"/>
        <v>AdfCode_s_1745</v>
      </c>
      <c r="B1241" s="409"/>
      <c r="C1241" s="416"/>
      <c r="D1241" s="198" t="s">
        <v>20958</v>
      </c>
      <c r="E1241" s="198">
        <v>4</v>
      </c>
      <c r="F1241" s="199" t="s">
        <v>20959</v>
      </c>
      <c r="G1241" s="1" t="s">
        <v>20960</v>
      </c>
      <c r="H1241" s="200"/>
      <c r="I1241" s="346"/>
      <c r="J1241" s="39">
        <v>116452</v>
      </c>
      <c r="K1241" s="36" t="str">
        <f>CONCATENATE(Cover!$D$6,"fdd/view?i=",J1241)</f>
        <v>https://www.dgiwg.org/FAD/fdd/view?i=116452</v>
      </c>
      <c r="L1241" s="36" t="s">
        <v>20961</v>
      </c>
      <c r="M1241" s="186"/>
      <c r="N1241" s="186"/>
      <c r="O1241" s="172"/>
    </row>
    <row r="1242" spans="1:15" x14ac:dyDescent="0.2">
      <c r="A1242" s="197" t="str">
        <f t="shared" si="19"/>
        <v>AdfCode_s_745</v>
      </c>
      <c r="B1242" s="409"/>
      <c r="C1242" s="416"/>
      <c r="D1242" s="198" t="s">
        <v>20962</v>
      </c>
      <c r="E1242" s="198">
        <v>2</v>
      </c>
      <c r="F1242" s="199" t="s">
        <v>20963</v>
      </c>
      <c r="G1242" s="1" t="s">
        <v>20964</v>
      </c>
      <c r="H1242" s="200"/>
      <c r="I1242" s="346"/>
      <c r="J1242" s="39">
        <v>116450</v>
      </c>
      <c r="K1242" s="36" t="str">
        <f>CONCATENATE(Cover!$D$6,"fdd/view?i=",J1242)</f>
        <v>https://www.dgiwg.org/FAD/fdd/view?i=116450</v>
      </c>
      <c r="L1242" s="36" t="s">
        <v>20965</v>
      </c>
      <c r="M1242" s="186"/>
      <c r="N1242" s="186"/>
      <c r="O1242" s="172"/>
    </row>
    <row r="1243" spans="1:15" x14ac:dyDescent="0.2">
      <c r="A1243" s="197" t="str">
        <f t="shared" si="19"/>
        <v>AdfCode_s_747</v>
      </c>
      <c r="B1243" s="409"/>
      <c r="C1243" s="416"/>
      <c r="D1243" s="198" t="s">
        <v>20966</v>
      </c>
      <c r="E1243" s="198">
        <v>3</v>
      </c>
      <c r="F1243" s="199" t="s">
        <v>20967</v>
      </c>
      <c r="G1243" s="1" t="s">
        <v>20968</v>
      </c>
      <c r="H1243" s="200"/>
      <c r="I1243" s="346"/>
      <c r="J1243" s="39">
        <v>116451</v>
      </c>
      <c r="K1243" s="36" t="str">
        <f>CONCATENATE(Cover!$D$6,"fdd/view?i=",J1243)</f>
        <v>https://www.dgiwg.org/FAD/fdd/view?i=116451</v>
      </c>
      <c r="L1243" s="36" t="s">
        <v>20969</v>
      </c>
      <c r="M1243" s="186"/>
      <c r="N1243" s="186"/>
      <c r="O1243" s="172"/>
    </row>
    <row r="1244" spans="1:15" x14ac:dyDescent="0.2">
      <c r="A1244" s="197" t="str">
        <f t="shared" si="19"/>
        <v>AdfCode_tl_6850_0010</v>
      </c>
      <c r="B1244" s="409"/>
      <c r="C1244" s="416"/>
      <c r="D1244" s="198" t="s">
        <v>20970</v>
      </c>
      <c r="E1244" s="198">
        <v>1</v>
      </c>
      <c r="F1244" s="199" t="s">
        <v>20971</v>
      </c>
      <c r="G1244" s="1" t="s">
        <v>20972</v>
      </c>
      <c r="H1244" s="200"/>
      <c r="I1244" s="346"/>
      <c r="J1244" s="39">
        <v>116449</v>
      </c>
      <c r="K1244" s="36" t="str">
        <f>CONCATENATE(Cover!$D$6,"fdd/view?i=",J1244)</f>
        <v>https://www.dgiwg.org/FAD/fdd/view?i=116449</v>
      </c>
      <c r="L1244" s="36" t="s">
        <v>20973</v>
      </c>
      <c r="M1244" s="186"/>
      <c r="N1244" s="186"/>
      <c r="O1244" s="172"/>
    </row>
    <row r="1245" spans="1:15" x14ac:dyDescent="0.2">
      <c r="A1245" s="203" t="str">
        <f t="shared" si="19"/>
        <v>AdfCode_tl_6850_0043</v>
      </c>
      <c r="B1245" s="410"/>
      <c r="C1245" s="417"/>
      <c r="D1245" s="204" t="s">
        <v>20974</v>
      </c>
      <c r="E1245" s="204">
        <v>5</v>
      </c>
      <c r="F1245" s="205" t="s">
        <v>20975</v>
      </c>
      <c r="G1245" s="206" t="s">
        <v>20976</v>
      </c>
      <c r="H1245" s="207"/>
      <c r="I1245" s="347"/>
      <c r="J1245" s="39">
        <v>116453</v>
      </c>
      <c r="K1245" s="36" t="str">
        <f>CONCATENATE(Cover!$D$6,"fdd/view?i=",J1245)</f>
        <v>https://www.dgiwg.org/FAD/fdd/view?i=116453</v>
      </c>
      <c r="L1245" s="36" t="s">
        <v>20977</v>
      </c>
      <c r="M1245" s="186"/>
      <c r="N1245" s="186"/>
      <c r="O1245" s="172"/>
    </row>
    <row r="1246" spans="1:15" ht="38.25" x14ac:dyDescent="0.2">
      <c r="A1246" s="190" t="str">
        <f t="shared" si="19"/>
        <v>FryCode_ma1</v>
      </c>
      <c r="B1246" s="414" t="str">
        <f>HYPERLINK("[#]Datatypes!A122:L122","FryCode")</f>
        <v>FryCode</v>
      </c>
      <c r="C1246" s="415" t="s">
        <v>14676</v>
      </c>
      <c r="D1246" s="221" t="s">
        <v>20978</v>
      </c>
      <c r="E1246" s="221">
        <v>1</v>
      </c>
      <c r="F1246" s="222" t="s">
        <v>10515</v>
      </c>
      <c r="G1246" s="223" t="s">
        <v>20979</v>
      </c>
      <c r="H1246" s="223" t="s">
        <v>20980</v>
      </c>
      <c r="I1246" s="345"/>
      <c r="J1246" s="39">
        <v>119694</v>
      </c>
      <c r="K1246" s="36" t="str">
        <f>CONCATENATE(Cover!$D$6,"fdd/view?i=",J1246)</f>
        <v>https://www.dgiwg.org/FAD/fdd/view?i=119694</v>
      </c>
      <c r="L1246" s="36" t="s">
        <v>20981</v>
      </c>
      <c r="M1246" s="186"/>
      <c r="N1246" s="186"/>
      <c r="O1246" s="172"/>
    </row>
    <row r="1247" spans="1:15" ht="25.5" x14ac:dyDescent="0.2">
      <c r="A1247" s="197" t="str">
        <f t="shared" si="19"/>
        <v>FryCode_mh</v>
      </c>
      <c r="B1247" s="409"/>
      <c r="C1247" s="416"/>
      <c r="D1247" s="198" t="s">
        <v>20982</v>
      </c>
      <c r="E1247" s="198">
        <v>3</v>
      </c>
      <c r="F1247" s="199" t="s">
        <v>20983</v>
      </c>
      <c r="G1247" s="1" t="s">
        <v>20984</v>
      </c>
      <c r="H1247" s="200"/>
      <c r="I1247" s="346"/>
      <c r="J1247" s="39">
        <v>119696</v>
      </c>
      <c r="K1247" s="36" t="str">
        <f>CONCATENATE(Cover!$D$6,"fdd/view?i=",J1247)</f>
        <v>https://www.dgiwg.org/FAD/fdd/view?i=119696</v>
      </c>
      <c r="L1247" s="36" t="s">
        <v>20985</v>
      </c>
      <c r="M1247" s="186"/>
      <c r="N1247" s="186"/>
      <c r="O1247" s="172"/>
    </row>
    <row r="1248" spans="1:15" ht="25.5" x14ac:dyDescent="0.2">
      <c r="A1248" s="203" t="str">
        <f t="shared" si="19"/>
        <v>FryCode_t4</v>
      </c>
      <c r="B1248" s="410"/>
      <c r="C1248" s="417"/>
      <c r="D1248" s="204" t="s">
        <v>20986</v>
      </c>
      <c r="E1248" s="204">
        <v>2</v>
      </c>
      <c r="F1248" s="205" t="s">
        <v>20987</v>
      </c>
      <c r="G1248" s="206" t="s">
        <v>20988</v>
      </c>
      <c r="H1248" s="207"/>
      <c r="I1248" s="347"/>
      <c r="J1248" s="39">
        <v>119695</v>
      </c>
      <c r="K1248" s="36" t="str">
        <f>CONCATENATE(Cover!$D$6,"fdd/view?i=",J1248)</f>
        <v>https://www.dgiwg.org/FAD/fdd/view?i=119695</v>
      </c>
      <c r="L1248" s="36" t="s">
        <v>20989</v>
      </c>
      <c r="M1248" s="186"/>
      <c r="N1248" s="186"/>
      <c r="O1248" s="172"/>
    </row>
    <row r="1249" spans="1:15" ht="38.25" x14ac:dyDescent="0.2">
      <c r="A1249" s="190" t="str">
        <f t="shared" si="19"/>
        <v>AfiCode_overWing</v>
      </c>
      <c r="B1249" s="414" t="str">
        <f>HYPERLINK("[#]Datatypes!A124:L124","AfiCode")</f>
        <v>AfiCode</v>
      </c>
      <c r="C1249" s="415" t="s">
        <v>14678</v>
      </c>
      <c r="D1249" s="221" t="s">
        <v>20990</v>
      </c>
      <c r="E1249" s="221">
        <v>1</v>
      </c>
      <c r="F1249" s="222" t="s">
        <v>20991</v>
      </c>
      <c r="G1249" s="223" t="s">
        <v>20992</v>
      </c>
      <c r="H1249" s="224"/>
      <c r="I1249" s="345"/>
      <c r="J1249" s="39">
        <v>119697</v>
      </c>
      <c r="K1249" s="36" t="str">
        <f>CONCATENATE(Cover!$D$6,"fdd/view?i=",J1249)</f>
        <v>https://www.dgiwg.org/FAD/fdd/view?i=119697</v>
      </c>
      <c r="L1249" s="36" t="s">
        <v>20993</v>
      </c>
      <c r="M1249" s="186"/>
      <c r="N1249" s="186"/>
      <c r="O1249" s="172"/>
    </row>
    <row r="1250" spans="1:15" ht="38.25" x14ac:dyDescent="0.2">
      <c r="A1250" s="197" t="str">
        <f t="shared" si="19"/>
        <v>AfiCode_overWingDrums</v>
      </c>
      <c r="B1250" s="409"/>
      <c r="C1250" s="416"/>
      <c r="D1250" s="198" t="s">
        <v>20994</v>
      </c>
      <c r="E1250" s="198">
        <v>3</v>
      </c>
      <c r="F1250" s="199" t="s">
        <v>20995</v>
      </c>
      <c r="G1250" s="1" t="s">
        <v>20996</v>
      </c>
      <c r="H1250" s="200"/>
      <c r="I1250" s="346"/>
      <c r="J1250" s="39">
        <v>119699</v>
      </c>
      <c r="K1250" s="36" t="str">
        <f>CONCATENATE(Cover!$D$6,"fdd/view?i=",J1250)</f>
        <v>https://www.dgiwg.org/FAD/fdd/view?i=119699</v>
      </c>
      <c r="L1250" s="36" t="s">
        <v>20997</v>
      </c>
      <c r="M1250" s="186"/>
      <c r="N1250" s="186"/>
      <c r="O1250" s="172"/>
    </row>
    <row r="1251" spans="1:15" ht="38.25" x14ac:dyDescent="0.2">
      <c r="A1251" s="203" t="str">
        <f t="shared" si="19"/>
        <v>AfiCode_underWing</v>
      </c>
      <c r="B1251" s="410"/>
      <c r="C1251" s="417"/>
      <c r="D1251" s="204" t="s">
        <v>20998</v>
      </c>
      <c r="E1251" s="204">
        <v>2</v>
      </c>
      <c r="F1251" s="205" t="s">
        <v>20999</v>
      </c>
      <c r="G1251" s="206" t="s">
        <v>21000</v>
      </c>
      <c r="H1251" s="207"/>
      <c r="I1251" s="347"/>
      <c r="J1251" s="39">
        <v>119698</v>
      </c>
      <c r="K1251" s="36" t="str">
        <f>CONCATENATE(Cover!$D$6,"fdd/view?i=",J1251)</f>
        <v>https://www.dgiwg.org/FAD/fdd/view?i=119698</v>
      </c>
      <c r="L1251" s="36" t="s">
        <v>21001</v>
      </c>
      <c r="M1251" s="186"/>
      <c r="N1251" s="186"/>
      <c r="O1251" s="172"/>
    </row>
    <row r="1252" spans="1:15" ht="25.5" x14ac:dyDescent="0.2">
      <c r="A1252" s="190" t="str">
        <f t="shared" si="19"/>
        <v>AgsCode_aircraftDeIcing</v>
      </c>
      <c r="B1252" s="414" t="str">
        <f>HYPERLINK("[#]Datatypes!A126:L126","AgsCode")</f>
        <v>AgsCode</v>
      </c>
      <c r="C1252" s="415" t="s">
        <v>14680</v>
      </c>
      <c r="D1252" s="221" t="s">
        <v>21002</v>
      </c>
      <c r="E1252" s="221">
        <v>1</v>
      </c>
      <c r="F1252" s="222" t="s">
        <v>21003</v>
      </c>
      <c r="G1252" s="223" t="s">
        <v>21004</v>
      </c>
      <c r="H1252" s="224"/>
      <c r="I1252" s="345"/>
      <c r="J1252" s="39">
        <v>116170</v>
      </c>
      <c r="K1252" s="36" t="str">
        <f>CONCATENATE(Cover!$D$6,"fdd/view?i=",J1252)</f>
        <v>https://www.dgiwg.org/FAD/fdd/view?i=116170</v>
      </c>
      <c r="L1252" s="36" t="s">
        <v>21005</v>
      </c>
      <c r="M1252" s="186"/>
      <c r="N1252" s="186"/>
      <c r="O1252" s="172"/>
    </row>
    <row r="1253" spans="1:15" ht="25.5" x14ac:dyDescent="0.2">
      <c r="A1253" s="197" t="str">
        <f t="shared" si="19"/>
        <v>AgsCode_aircraftHandling</v>
      </c>
      <c r="B1253" s="409"/>
      <c r="C1253" s="416"/>
      <c r="D1253" s="198" t="s">
        <v>21006</v>
      </c>
      <c r="E1253" s="198">
        <v>2</v>
      </c>
      <c r="F1253" s="199" t="s">
        <v>21007</v>
      </c>
      <c r="G1253" s="1" t="s">
        <v>21008</v>
      </c>
      <c r="H1253" s="1" t="s">
        <v>21009</v>
      </c>
      <c r="I1253" s="346"/>
      <c r="J1253" s="39">
        <v>116171</v>
      </c>
      <c r="K1253" s="36" t="str">
        <f>CONCATENATE(Cover!$D$6,"fdd/view?i=",J1253)</f>
        <v>https://www.dgiwg.org/FAD/fdd/view?i=116171</v>
      </c>
      <c r="L1253" s="36" t="s">
        <v>21010</v>
      </c>
      <c r="M1253" s="186"/>
      <c r="N1253" s="186"/>
      <c r="O1253" s="172"/>
    </row>
    <row r="1254" spans="1:15" ht="25.5" x14ac:dyDescent="0.2">
      <c r="A1254" s="197" t="str">
        <f t="shared" si="19"/>
        <v>AgsCode_aircraftHangaring</v>
      </c>
      <c r="B1254" s="409"/>
      <c r="C1254" s="416"/>
      <c r="D1254" s="198" t="s">
        <v>21011</v>
      </c>
      <c r="E1254" s="198">
        <v>4</v>
      </c>
      <c r="F1254" s="199" t="s">
        <v>21012</v>
      </c>
      <c r="G1254" s="1" t="s">
        <v>21013</v>
      </c>
      <c r="H1254" s="200"/>
      <c r="I1254" s="346"/>
      <c r="J1254" s="39">
        <v>116173</v>
      </c>
      <c r="K1254" s="36" t="str">
        <f>CONCATENATE(Cover!$D$6,"fdd/view?i=",J1254)</f>
        <v>https://www.dgiwg.org/FAD/fdd/view?i=116173</v>
      </c>
      <c r="L1254" s="36" t="s">
        <v>21014</v>
      </c>
      <c r="M1254" s="186"/>
      <c r="N1254" s="186"/>
      <c r="O1254" s="172"/>
    </row>
    <row r="1255" spans="1:15" ht="25.5" x14ac:dyDescent="0.2">
      <c r="A1255" s="197" t="str">
        <f t="shared" si="19"/>
        <v>AgsCode_aircraftMaintenance</v>
      </c>
      <c r="B1255" s="409"/>
      <c r="C1255" s="416"/>
      <c r="D1255" s="198" t="s">
        <v>21015</v>
      </c>
      <c r="E1255" s="198">
        <v>7</v>
      </c>
      <c r="F1255" s="199" t="s">
        <v>21016</v>
      </c>
      <c r="G1255" s="1" t="s">
        <v>21017</v>
      </c>
      <c r="H1255" s="200"/>
      <c r="I1255" s="346"/>
      <c r="J1255" s="39">
        <v>116176</v>
      </c>
      <c r="K1255" s="36" t="str">
        <f>CONCATENATE(Cover!$D$6,"fdd/view?i=",J1255)</f>
        <v>https://www.dgiwg.org/FAD/fdd/view?i=116176</v>
      </c>
      <c r="L1255" s="36" t="s">
        <v>21018</v>
      </c>
      <c r="M1255" s="186"/>
      <c r="N1255" s="186"/>
      <c r="O1255" s="172"/>
    </row>
    <row r="1256" spans="1:15" ht="25.5" x14ac:dyDescent="0.2">
      <c r="A1256" s="197" t="str">
        <f t="shared" si="19"/>
        <v>AgsCode_aircraftRemoval</v>
      </c>
      <c r="B1256" s="409"/>
      <c r="C1256" s="416"/>
      <c r="D1256" s="198" t="s">
        <v>21019</v>
      </c>
      <c r="E1256" s="198">
        <v>5</v>
      </c>
      <c r="F1256" s="199" t="s">
        <v>21020</v>
      </c>
      <c r="G1256" s="1" t="s">
        <v>21021</v>
      </c>
      <c r="H1256" s="200"/>
      <c r="I1256" s="346"/>
      <c r="J1256" s="39">
        <v>116174</v>
      </c>
      <c r="K1256" s="36" t="str">
        <f>CONCATENATE(Cover!$D$6,"fdd/view?i=",J1256)</f>
        <v>https://www.dgiwg.org/FAD/fdd/view?i=116174</v>
      </c>
      <c r="L1256" s="36" t="s">
        <v>21022</v>
      </c>
      <c r="M1256" s="186"/>
      <c r="N1256" s="186"/>
      <c r="O1256" s="172"/>
    </row>
    <row r="1257" spans="1:15" x14ac:dyDescent="0.2">
      <c r="A1257" s="197" t="str">
        <f t="shared" si="19"/>
        <v>AgsCode_aircraftRepair</v>
      </c>
      <c r="B1257" s="409"/>
      <c r="C1257" s="416"/>
      <c r="D1257" s="198" t="s">
        <v>21023</v>
      </c>
      <c r="E1257" s="198">
        <v>6</v>
      </c>
      <c r="F1257" s="199" t="s">
        <v>21024</v>
      </c>
      <c r="G1257" s="1" t="s">
        <v>21025</v>
      </c>
      <c r="H1257" s="200"/>
      <c r="I1257" s="346"/>
      <c r="J1257" s="39">
        <v>116175</v>
      </c>
      <c r="K1257" s="36" t="str">
        <f>CONCATENATE(Cover!$D$6,"fdd/view?i=",J1257)</f>
        <v>https://www.dgiwg.org/FAD/fdd/view?i=116175</v>
      </c>
      <c r="L1257" s="36" t="s">
        <v>21026</v>
      </c>
      <c r="M1257" s="186"/>
      <c r="N1257" s="186"/>
      <c r="O1257" s="172"/>
    </row>
    <row r="1258" spans="1:15" ht="25.5" x14ac:dyDescent="0.2">
      <c r="A1258" s="197" t="str">
        <f t="shared" si="19"/>
        <v>AgsCode_cargoHandling</v>
      </c>
      <c r="B1258" s="409"/>
      <c r="C1258" s="416"/>
      <c r="D1258" s="198" t="s">
        <v>21027</v>
      </c>
      <c r="E1258" s="198">
        <v>3</v>
      </c>
      <c r="F1258" s="199" t="s">
        <v>21028</v>
      </c>
      <c r="G1258" s="1" t="s">
        <v>21029</v>
      </c>
      <c r="H1258" s="200"/>
      <c r="I1258" s="346"/>
      <c r="J1258" s="39">
        <v>116172</v>
      </c>
      <c r="K1258" s="36" t="str">
        <f>CONCATENATE(Cover!$D$6,"fdd/view?i=",J1258)</f>
        <v>https://www.dgiwg.org/FAD/fdd/view?i=116172</v>
      </c>
      <c r="L1258" s="36" t="s">
        <v>21030</v>
      </c>
      <c r="M1258" s="186"/>
      <c r="N1258" s="186"/>
      <c r="O1258" s="172"/>
    </row>
    <row r="1259" spans="1:15" ht="25.5" x14ac:dyDescent="0.2">
      <c r="A1259" s="203" t="str">
        <f t="shared" si="19"/>
        <v>AgsCode_security</v>
      </c>
      <c r="B1259" s="410"/>
      <c r="C1259" s="417"/>
      <c r="D1259" s="204" t="s">
        <v>21031</v>
      </c>
      <c r="E1259" s="204">
        <v>8</v>
      </c>
      <c r="F1259" s="205" t="s">
        <v>21032</v>
      </c>
      <c r="G1259" s="206" t="s">
        <v>21033</v>
      </c>
      <c r="H1259" s="207"/>
      <c r="I1259" s="347"/>
      <c r="J1259" s="39">
        <v>116177</v>
      </c>
      <c r="K1259" s="36" t="str">
        <f>CONCATENATE(Cover!$D$6,"fdd/view?i=",J1259)</f>
        <v>https://www.dgiwg.org/FAD/fdd/view?i=116177</v>
      </c>
      <c r="L1259" s="36" t="s">
        <v>21034</v>
      </c>
      <c r="M1259" s="186"/>
      <c r="N1259" s="186"/>
      <c r="O1259" s="172"/>
    </row>
    <row r="1260" spans="1:15" ht="25.5" x14ac:dyDescent="0.2">
      <c r="A1260" s="190" t="str">
        <f t="shared" si="19"/>
        <v>AsrCode_calibratedAirspeed</v>
      </c>
      <c r="B1260" s="414" t="str">
        <f>HYPERLINK("[#]Datatypes!A128:L128","AsrCode")</f>
        <v>AsrCode</v>
      </c>
      <c r="C1260" s="415" t="s">
        <v>14682</v>
      </c>
      <c r="D1260" s="221" t="s">
        <v>21035</v>
      </c>
      <c r="E1260" s="221">
        <v>3</v>
      </c>
      <c r="F1260" s="222" t="s">
        <v>21036</v>
      </c>
      <c r="G1260" s="223" t="s">
        <v>21037</v>
      </c>
      <c r="H1260" s="224"/>
      <c r="I1260" s="345"/>
      <c r="J1260" s="39">
        <v>115638</v>
      </c>
      <c r="K1260" s="36" t="str">
        <f>CONCATENATE(Cover!$D$6,"fdd/view?i=",J1260)</f>
        <v>https://www.dgiwg.org/FAD/fdd/view?i=115638</v>
      </c>
      <c r="L1260" s="36" t="s">
        <v>21038</v>
      </c>
      <c r="M1260" s="186"/>
      <c r="N1260" s="186"/>
      <c r="O1260" s="172"/>
    </row>
    <row r="1261" spans="1:15" ht="38.25" x14ac:dyDescent="0.2">
      <c r="A1261" s="197" t="str">
        <f t="shared" si="19"/>
        <v>AsrCode_equivalentAirspeed</v>
      </c>
      <c r="B1261" s="409"/>
      <c r="C1261" s="416"/>
      <c r="D1261" s="198" t="s">
        <v>21039</v>
      </c>
      <c r="E1261" s="198">
        <v>4</v>
      </c>
      <c r="F1261" s="199" t="s">
        <v>21040</v>
      </c>
      <c r="G1261" s="1" t="s">
        <v>21041</v>
      </c>
      <c r="H1261" s="200"/>
      <c r="I1261" s="346"/>
      <c r="J1261" s="39">
        <v>115639</v>
      </c>
      <c r="K1261" s="36" t="str">
        <f>CONCATENATE(Cover!$D$6,"fdd/view?i=",J1261)</f>
        <v>https://www.dgiwg.org/FAD/fdd/view?i=115639</v>
      </c>
      <c r="L1261" s="36" t="s">
        <v>21042</v>
      </c>
      <c r="M1261" s="186"/>
      <c r="N1261" s="186"/>
      <c r="O1261" s="172"/>
    </row>
    <row r="1262" spans="1:15" x14ac:dyDescent="0.2">
      <c r="A1262" s="197" t="str">
        <f t="shared" si="19"/>
        <v>AsrCode_groundSpeed</v>
      </c>
      <c r="B1262" s="409"/>
      <c r="C1262" s="416"/>
      <c r="D1262" s="198" t="s">
        <v>21043</v>
      </c>
      <c r="E1262" s="198">
        <v>5</v>
      </c>
      <c r="F1262" s="199" t="s">
        <v>21044</v>
      </c>
      <c r="G1262" s="1" t="s">
        <v>21045</v>
      </c>
      <c r="H1262" s="200"/>
      <c r="I1262" s="346"/>
      <c r="J1262" s="39">
        <v>115640</v>
      </c>
      <c r="K1262" s="36" t="str">
        <f>CONCATENATE(Cover!$D$6,"fdd/view?i=",J1262)</f>
        <v>https://www.dgiwg.org/FAD/fdd/view?i=115640</v>
      </c>
      <c r="L1262" s="36" t="s">
        <v>21046</v>
      </c>
      <c r="M1262" s="186"/>
      <c r="N1262" s="186"/>
      <c r="O1262" s="172"/>
    </row>
    <row r="1263" spans="1:15" ht="51" x14ac:dyDescent="0.2">
      <c r="A1263" s="197" t="str">
        <f t="shared" si="19"/>
        <v>AsrCode_indicatedAirspeed</v>
      </c>
      <c r="B1263" s="409"/>
      <c r="C1263" s="416"/>
      <c r="D1263" s="198" t="s">
        <v>21047</v>
      </c>
      <c r="E1263" s="198">
        <v>1</v>
      </c>
      <c r="F1263" s="199" t="s">
        <v>21048</v>
      </c>
      <c r="G1263" s="1" t="s">
        <v>21049</v>
      </c>
      <c r="H1263" s="200"/>
      <c r="I1263" s="346"/>
      <c r="J1263" s="39">
        <v>115636</v>
      </c>
      <c r="K1263" s="36" t="str">
        <f>CONCATENATE(Cover!$D$6,"fdd/view?i=",J1263)</f>
        <v>https://www.dgiwg.org/FAD/fdd/view?i=115636</v>
      </c>
      <c r="L1263" s="36" t="s">
        <v>21050</v>
      </c>
      <c r="M1263" s="186"/>
      <c r="N1263" s="186"/>
      <c r="O1263" s="172"/>
    </row>
    <row r="1264" spans="1:15" x14ac:dyDescent="0.2">
      <c r="A1264" s="203" t="str">
        <f t="shared" si="19"/>
        <v>AsrCode_trueAirspeed</v>
      </c>
      <c r="B1264" s="410"/>
      <c r="C1264" s="417"/>
      <c r="D1264" s="204" t="s">
        <v>21051</v>
      </c>
      <c r="E1264" s="204">
        <v>2</v>
      </c>
      <c r="F1264" s="205" t="s">
        <v>21052</v>
      </c>
      <c r="G1264" s="206" t="s">
        <v>21053</v>
      </c>
      <c r="H1264" s="207"/>
      <c r="I1264" s="347"/>
      <c r="J1264" s="39">
        <v>115637</v>
      </c>
      <c r="K1264" s="36" t="str">
        <f>CONCATENATE(Cover!$D$6,"fdd/view?i=",J1264)</f>
        <v>https://www.dgiwg.org/FAD/fdd/view?i=115637</v>
      </c>
      <c r="L1264" s="36" t="s">
        <v>21054</v>
      </c>
      <c r="M1264" s="186"/>
      <c r="N1264" s="186"/>
      <c r="O1264" s="172"/>
    </row>
    <row r="1265" spans="1:15" ht="25.5" x14ac:dyDescent="0.2">
      <c r="A1265" s="190" t="str">
        <f t="shared" si="19"/>
        <v>SatCode_angledNoseIn</v>
      </c>
      <c r="B1265" s="414" t="str">
        <f>HYPERLINK("[#]Datatypes!A130:L130","SatCode")</f>
        <v>SatCode</v>
      </c>
      <c r="C1265" s="415" t="s">
        <v>14684</v>
      </c>
      <c r="D1265" s="221" t="s">
        <v>21056</v>
      </c>
      <c r="E1265" s="221">
        <v>1</v>
      </c>
      <c r="F1265" s="222" t="s">
        <v>21057</v>
      </c>
      <c r="G1265" s="223" t="s">
        <v>21058</v>
      </c>
      <c r="H1265" s="224"/>
      <c r="I1265" s="345"/>
      <c r="J1265" s="39">
        <v>115714</v>
      </c>
      <c r="K1265" s="36" t="str">
        <f>CONCATENATE(Cover!$D$6,"fdd/view?i=",J1265)</f>
        <v>https://www.dgiwg.org/FAD/fdd/view?i=115714</v>
      </c>
      <c r="L1265" s="36" t="s">
        <v>21059</v>
      </c>
      <c r="M1265" s="186"/>
      <c r="N1265" s="186"/>
      <c r="O1265" s="13" t="s">
        <v>21055</v>
      </c>
    </row>
    <row r="1266" spans="1:15" ht="25.5" x14ac:dyDescent="0.2">
      <c r="A1266" s="197" t="str">
        <f t="shared" si="19"/>
        <v>SatCode_angledNoseOut</v>
      </c>
      <c r="B1266" s="409"/>
      <c r="C1266" s="416"/>
      <c r="D1266" s="198" t="s">
        <v>21061</v>
      </c>
      <c r="E1266" s="198">
        <v>2</v>
      </c>
      <c r="F1266" s="199" t="s">
        <v>21062</v>
      </c>
      <c r="G1266" s="1" t="s">
        <v>21063</v>
      </c>
      <c r="H1266" s="200"/>
      <c r="I1266" s="346"/>
      <c r="J1266" s="39">
        <v>115715</v>
      </c>
      <c r="K1266" s="36" t="str">
        <f>CONCATENATE(Cover!$D$6,"fdd/view?i=",J1266)</f>
        <v>https://www.dgiwg.org/FAD/fdd/view?i=115715</v>
      </c>
      <c r="L1266" s="36" t="s">
        <v>21064</v>
      </c>
      <c r="M1266" s="186"/>
      <c r="N1266" s="186"/>
      <c r="O1266" s="13" t="s">
        <v>21060</v>
      </c>
    </row>
    <row r="1267" spans="1:15" ht="25.5" x14ac:dyDescent="0.2">
      <c r="A1267" s="197" t="str">
        <f t="shared" si="19"/>
        <v>SatCode_isolated</v>
      </c>
      <c r="B1267" s="409"/>
      <c r="C1267" s="416"/>
      <c r="D1267" s="198" t="s">
        <v>21066</v>
      </c>
      <c r="E1267" s="198">
        <v>3</v>
      </c>
      <c r="F1267" s="199" t="s">
        <v>21067</v>
      </c>
      <c r="G1267" s="1" t="s">
        <v>21068</v>
      </c>
      <c r="H1267" s="200"/>
      <c r="I1267" s="346"/>
      <c r="J1267" s="39">
        <v>115716</v>
      </c>
      <c r="K1267" s="36" t="str">
        <f>CONCATENATE(Cover!$D$6,"fdd/view?i=",J1267)</f>
        <v>https://www.dgiwg.org/FAD/fdd/view?i=115716</v>
      </c>
      <c r="L1267" s="36" t="s">
        <v>21069</v>
      </c>
      <c r="M1267" s="186"/>
      <c r="N1267" s="186"/>
      <c r="O1267" s="13" t="s">
        <v>21065</v>
      </c>
    </row>
    <row r="1268" spans="1:15" ht="25.5" x14ac:dyDescent="0.2">
      <c r="A1268" s="197" t="str">
        <f t="shared" si="19"/>
        <v>SatCode_noseIn</v>
      </c>
      <c r="B1268" s="409"/>
      <c r="C1268" s="416"/>
      <c r="D1268" s="198" t="s">
        <v>21071</v>
      </c>
      <c r="E1268" s="198">
        <v>4</v>
      </c>
      <c r="F1268" s="199" t="s">
        <v>21072</v>
      </c>
      <c r="G1268" s="1" t="s">
        <v>21073</v>
      </c>
      <c r="H1268" s="200"/>
      <c r="I1268" s="346"/>
      <c r="J1268" s="39">
        <v>115717</v>
      </c>
      <c r="K1268" s="36" t="str">
        <f>CONCATENATE(Cover!$D$6,"fdd/view?i=",J1268)</f>
        <v>https://www.dgiwg.org/FAD/fdd/view?i=115717</v>
      </c>
      <c r="L1268" s="36" t="s">
        <v>21074</v>
      </c>
      <c r="M1268" s="186"/>
      <c r="N1268" s="186"/>
      <c r="O1268" s="13" t="s">
        <v>21070</v>
      </c>
    </row>
    <row r="1269" spans="1:15" ht="25.5" x14ac:dyDescent="0.2">
      <c r="A1269" s="197" t="str">
        <f t="shared" si="19"/>
        <v>SatCode_parallel</v>
      </c>
      <c r="B1269" s="409"/>
      <c r="C1269" s="416"/>
      <c r="D1269" s="198" t="s">
        <v>21076</v>
      </c>
      <c r="E1269" s="198">
        <v>5</v>
      </c>
      <c r="F1269" s="199" t="s">
        <v>21077</v>
      </c>
      <c r="G1269" s="1" t="s">
        <v>21078</v>
      </c>
      <c r="H1269" s="200"/>
      <c r="I1269" s="346"/>
      <c r="J1269" s="39">
        <v>115718</v>
      </c>
      <c r="K1269" s="36" t="str">
        <f>CONCATENATE(Cover!$D$6,"fdd/view?i=",J1269)</f>
        <v>https://www.dgiwg.org/FAD/fdd/view?i=115718</v>
      </c>
      <c r="L1269" s="36" t="s">
        <v>21079</v>
      </c>
      <c r="M1269" s="186"/>
      <c r="N1269" s="186"/>
      <c r="O1269" s="13" t="s">
        <v>21075</v>
      </c>
    </row>
    <row r="1270" spans="1:15" ht="25.5" x14ac:dyDescent="0.2">
      <c r="A1270" s="203" t="str">
        <f t="shared" si="19"/>
        <v>SatCode_remote</v>
      </c>
      <c r="B1270" s="410"/>
      <c r="C1270" s="417"/>
      <c r="D1270" s="204" t="s">
        <v>21081</v>
      </c>
      <c r="E1270" s="204">
        <v>6</v>
      </c>
      <c r="F1270" s="205" t="s">
        <v>21082</v>
      </c>
      <c r="G1270" s="206" t="s">
        <v>21083</v>
      </c>
      <c r="H1270" s="207"/>
      <c r="I1270" s="347"/>
      <c r="J1270" s="39">
        <v>115719</v>
      </c>
      <c r="K1270" s="36" t="str">
        <f>CONCATENATE(Cover!$D$6,"fdd/view?i=",J1270)</f>
        <v>https://www.dgiwg.org/FAD/fdd/view?i=115719</v>
      </c>
      <c r="L1270" s="36" t="s">
        <v>21084</v>
      </c>
      <c r="M1270" s="186"/>
      <c r="N1270" s="186"/>
      <c r="O1270" s="13" t="s">
        <v>21080</v>
      </c>
    </row>
    <row r="1271" spans="1:15" ht="25.5" x14ac:dyDescent="0.2">
      <c r="A1271" s="190" t="str">
        <f t="shared" si="19"/>
        <v>XaaCode_fixedWingAircraft</v>
      </c>
      <c r="B1271" s="414" t="str">
        <f>HYPERLINK("[#]Datatypes!A132:L132","XaaCode")</f>
        <v>XaaCode</v>
      </c>
      <c r="C1271" s="415" t="s">
        <v>14686</v>
      </c>
      <c r="D1271" s="221" t="s">
        <v>21085</v>
      </c>
      <c r="E1271" s="221">
        <v>1</v>
      </c>
      <c r="F1271" s="222" t="s">
        <v>21086</v>
      </c>
      <c r="G1271" s="223" t="s">
        <v>21087</v>
      </c>
      <c r="H1271" s="224"/>
      <c r="I1271" s="345"/>
      <c r="J1271" s="39">
        <v>119733</v>
      </c>
      <c r="K1271" s="36" t="str">
        <f>CONCATENATE(Cover!$D$6,"fdd/view?i=",J1271)</f>
        <v>https://www.dgiwg.org/FAD/fdd/view?i=119733</v>
      </c>
      <c r="L1271" s="36" t="s">
        <v>21088</v>
      </c>
      <c r="M1271" s="186"/>
      <c r="N1271" s="186"/>
      <c r="O1271" s="172"/>
    </row>
    <row r="1272" spans="1:15" ht="25.5" x14ac:dyDescent="0.2">
      <c r="A1272" s="203" t="str">
        <f t="shared" si="19"/>
        <v>XaaCode_helicopter</v>
      </c>
      <c r="B1272" s="410"/>
      <c r="C1272" s="417"/>
      <c r="D1272" s="204" t="s">
        <v>21089</v>
      </c>
      <c r="E1272" s="204">
        <v>2</v>
      </c>
      <c r="F1272" s="205" t="s">
        <v>21090</v>
      </c>
      <c r="G1272" s="206" t="s">
        <v>21091</v>
      </c>
      <c r="H1272" s="207"/>
      <c r="I1272" s="347"/>
      <c r="J1272" s="39">
        <v>119734</v>
      </c>
      <c r="K1272" s="36" t="str">
        <f>CONCATENATE(Cover!$D$6,"fdd/view?i=",J1272)</f>
        <v>https://www.dgiwg.org/FAD/fdd/view?i=119734</v>
      </c>
      <c r="L1272" s="36" t="s">
        <v>21092</v>
      </c>
      <c r="M1272" s="186"/>
      <c r="N1272" s="186"/>
      <c r="O1272" s="172"/>
    </row>
    <row r="1273" spans="1:15" ht="25.5" x14ac:dyDescent="0.2">
      <c r="A1273" s="190" t="str">
        <f t="shared" si="19"/>
        <v>FptCode_major</v>
      </c>
      <c r="B1273" s="414" t="str">
        <f>HYPERLINK("[#]Datatypes!A134:L134","FptCode")</f>
        <v>FptCode</v>
      </c>
      <c r="C1273" s="415" t="s">
        <v>14688</v>
      </c>
      <c r="D1273" s="221" t="s">
        <v>20001</v>
      </c>
      <c r="E1273" s="221">
        <v>1</v>
      </c>
      <c r="F1273" s="222" t="s">
        <v>20002</v>
      </c>
      <c r="G1273" s="223" t="s">
        <v>21093</v>
      </c>
      <c r="H1273" s="224"/>
      <c r="I1273" s="345"/>
      <c r="J1273" s="39">
        <v>103711</v>
      </c>
      <c r="K1273" s="36" t="str">
        <f>CONCATENATE(Cover!$D$6,"fdd/view?i=",J1273)</f>
        <v>https://www.dgiwg.org/FAD/fdd/view?i=103711</v>
      </c>
      <c r="L1273" s="36" t="s">
        <v>21094</v>
      </c>
      <c r="M1273" s="186"/>
      <c r="N1273" s="186"/>
      <c r="O1273" s="172"/>
    </row>
    <row r="1274" spans="1:15" ht="25.5" x14ac:dyDescent="0.2">
      <c r="A1274" s="197" t="str">
        <f t="shared" si="19"/>
        <v>FptCode_minor</v>
      </c>
      <c r="B1274" s="409"/>
      <c r="C1274" s="416"/>
      <c r="D1274" s="198" t="s">
        <v>20012</v>
      </c>
      <c r="E1274" s="198">
        <v>4</v>
      </c>
      <c r="F1274" s="199" t="s">
        <v>20013</v>
      </c>
      <c r="G1274" s="1" t="s">
        <v>21095</v>
      </c>
      <c r="H1274" s="200"/>
      <c r="I1274" s="346"/>
      <c r="J1274" s="39">
        <v>103714</v>
      </c>
      <c r="K1274" s="36" t="str">
        <f>CONCATENATE(Cover!$D$6,"fdd/view?i=",J1274)</f>
        <v>https://www.dgiwg.org/FAD/fdd/view?i=103714</v>
      </c>
      <c r="L1274" s="36" t="s">
        <v>21096</v>
      </c>
      <c r="M1274" s="186"/>
      <c r="N1274" s="186"/>
      <c r="O1274" s="172"/>
    </row>
    <row r="1275" spans="1:15" ht="25.5" x14ac:dyDescent="0.2">
      <c r="A1275" s="197" t="str">
        <f t="shared" si="19"/>
        <v>FptCode_minorAndHard</v>
      </c>
      <c r="B1275" s="409"/>
      <c r="C1275" s="416"/>
      <c r="D1275" s="198" t="s">
        <v>21097</v>
      </c>
      <c r="E1275" s="198">
        <v>2</v>
      </c>
      <c r="F1275" s="199" t="s">
        <v>21098</v>
      </c>
      <c r="G1275" s="1" t="s">
        <v>21099</v>
      </c>
      <c r="H1275" s="200"/>
      <c r="I1275" s="346"/>
      <c r="J1275" s="39">
        <v>103712</v>
      </c>
      <c r="K1275" s="36" t="str">
        <f>CONCATENATE(Cover!$D$6,"fdd/view?i=",J1275)</f>
        <v>https://www.dgiwg.org/FAD/fdd/view?i=103712</v>
      </c>
      <c r="L1275" s="36" t="s">
        <v>21100</v>
      </c>
      <c r="M1275" s="186"/>
      <c r="N1275" s="186"/>
      <c r="O1275" s="172"/>
    </row>
    <row r="1276" spans="1:15" x14ac:dyDescent="0.2">
      <c r="A1276" s="203" t="str">
        <f t="shared" si="19"/>
        <v>FptCode_minorSoft</v>
      </c>
      <c r="B1276" s="410"/>
      <c r="C1276" s="417"/>
      <c r="D1276" s="204" t="s">
        <v>21101</v>
      </c>
      <c r="E1276" s="204">
        <v>3</v>
      </c>
      <c r="F1276" s="205" t="s">
        <v>21102</v>
      </c>
      <c r="G1276" s="206" t="s">
        <v>21103</v>
      </c>
      <c r="H1276" s="207"/>
      <c r="I1276" s="347"/>
      <c r="J1276" s="39">
        <v>103713</v>
      </c>
      <c r="K1276" s="36" t="str">
        <f>CONCATENATE(Cover!$D$6,"fdd/view?i=",J1276)</f>
        <v>https://www.dgiwg.org/FAD/fdd/view?i=103713</v>
      </c>
      <c r="L1276" s="36" t="s">
        <v>21104</v>
      </c>
      <c r="M1276" s="186"/>
      <c r="N1276" s="186"/>
      <c r="O1276" s="172"/>
    </row>
    <row r="1277" spans="1:15" x14ac:dyDescent="0.2">
      <c r="A1277" s="190" t="str">
        <f t="shared" si="19"/>
        <v>AptCode_airship</v>
      </c>
      <c r="B1277" s="414" t="str">
        <f>HYPERLINK("[#]Datatypes!A136:L136","AptCode")</f>
        <v>AptCode</v>
      </c>
      <c r="C1277" s="415" t="s">
        <v>14690</v>
      </c>
      <c r="D1277" s="221" t="s">
        <v>21105</v>
      </c>
      <c r="E1277" s="221">
        <v>17</v>
      </c>
      <c r="F1277" s="222" t="s">
        <v>21106</v>
      </c>
      <c r="G1277" s="223" t="s">
        <v>21107</v>
      </c>
      <c r="H1277" s="224"/>
      <c r="I1277" s="345"/>
      <c r="J1277" s="39">
        <v>118511</v>
      </c>
      <c r="K1277" s="36" t="str">
        <f>CONCATENATE(Cover!$D$6,"fdd/view?i=",J1277)</f>
        <v>https://www.dgiwg.org/FAD/fdd/view?i=118511</v>
      </c>
      <c r="L1277" s="36" t="s">
        <v>21108</v>
      </c>
      <c r="M1277" s="186"/>
      <c r="N1277" s="186"/>
      <c r="O1277" s="172"/>
    </row>
    <row r="1278" spans="1:15" x14ac:dyDescent="0.2">
      <c r="A1278" s="197" t="str">
        <f t="shared" si="19"/>
        <v>AptCode_balloonSite</v>
      </c>
      <c r="B1278" s="409"/>
      <c r="C1278" s="416"/>
      <c r="D1278" s="198" t="s">
        <v>21109</v>
      </c>
      <c r="E1278" s="198">
        <v>18</v>
      </c>
      <c r="F1278" s="199" t="s">
        <v>21110</v>
      </c>
      <c r="G1278" s="1" t="s">
        <v>21111</v>
      </c>
      <c r="H1278" s="200"/>
      <c r="I1278" s="346"/>
      <c r="J1278" s="39">
        <v>118512</v>
      </c>
      <c r="K1278" s="36" t="str">
        <f>CONCATENATE(Cover!$D$6,"fdd/view?i=",J1278)</f>
        <v>https://www.dgiwg.org/FAD/fdd/view?i=118512</v>
      </c>
      <c r="L1278" s="36" t="s">
        <v>21112</v>
      </c>
      <c r="M1278" s="186"/>
      <c r="N1278" s="186"/>
      <c r="O1278" s="172"/>
    </row>
    <row r="1279" spans="1:15" ht="38.25" x14ac:dyDescent="0.2">
      <c r="A1279" s="197" t="str">
        <f t="shared" si="19"/>
        <v>AptCode_emergency</v>
      </c>
      <c r="B1279" s="409"/>
      <c r="C1279" s="416"/>
      <c r="D1279" s="198" t="s">
        <v>20276</v>
      </c>
      <c r="E1279" s="198">
        <v>12</v>
      </c>
      <c r="F1279" s="199" t="s">
        <v>20277</v>
      </c>
      <c r="G1279" s="1" t="s">
        <v>21113</v>
      </c>
      <c r="H1279" s="200"/>
      <c r="I1279" s="346"/>
      <c r="J1279" s="39">
        <v>101757</v>
      </c>
      <c r="K1279" s="36" t="str">
        <f>CONCATENATE(Cover!$D$6,"fdd/view?i=",J1279)</f>
        <v>https://www.dgiwg.org/FAD/fdd/view?i=101757</v>
      </c>
      <c r="L1279" s="36" t="s">
        <v>21114</v>
      </c>
      <c r="M1279" s="186"/>
      <c r="N1279" s="186"/>
      <c r="O1279" s="172"/>
    </row>
    <row r="1280" spans="1:15" ht="38.25" x14ac:dyDescent="0.2">
      <c r="A1280" s="197" t="str">
        <f t="shared" si="19"/>
        <v>AptCode_generalAviatAircraftOper</v>
      </c>
      <c r="B1280" s="409"/>
      <c r="C1280" s="416"/>
      <c r="D1280" s="198" t="s">
        <v>21115</v>
      </c>
      <c r="E1280" s="198">
        <v>3</v>
      </c>
      <c r="F1280" s="199" t="s">
        <v>21116</v>
      </c>
      <c r="G1280" s="1" t="s">
        <v>21117</v>
      </c>
      <c r="H1280" s="200"/>
      <c r="I1280" s="346"/>
      <c r="J1280" s="39">
        <v>101748</v>
      </c>
      <c r="K1280" s="36" t="str">
        <f>CONCATENATE(Cover!$D$6,"fdd/view?i=",J1280)</f>
        <v>https://www.dgiwg.org/FAD/fdd/view?i=101748</v>
      </c>
      <c r="L1280" s="36" t="s">
        <v>21118</v>
      </c>
      <c r="M1280" s="186"/>
      <c r="N1280" s="186"/>
      <c r="O1280" s="172"/>
    </row>
    <row r="1281" spans="1:15" ht="25.5" x14ac:dyDescent="0.2">
      <c r="A1281" s="197" t="str">
        <f t="shared" si="19"/>
        <v>AptCode_gliderSite</v>
      </c>
      <c r="B1281" s="409"/>
      <c r="C1281" s="416"/>
      <c r="D1281" s="198" t="s">
        <v>21119</v>
      </c>
      <c r="E1281" s="198">
        <v>5</v>
      </c>
      <c r="F1281" s="199" t="s">
        <v>21120</v>
      </c>
      <c r="G1281" s="1" t="s">
        <v>21121</v>
      </c>
      <c r="H1281" s="200"/>
      <c r="I1281" s="346"/>
      <c r="J1281" s="39">
        <v>101750</v>
      </c>
      <c r="K1281" s="36" t="str">
        <f>CONCATENATE(Cover!$D$6,"fdd/view?i=",J1281)</f>
        <v>https://www.dgiwg.org/FAD/fdd/view?i=101750</v>
      </c>
      <c r="L1281" s="36" t="s">
        <v>21122</v>
      </c>
      <c r="M1281" s="186"/>
      <c r="N1281" s="186"/>
      <c r="O1281" s="172"/>
    </row>
    <row r="1282" spans="1:15" ht="38.25" x14ac:dyDescent="0.2">
      <c r="A1282" s="197" t="str">
        <f t="shared" ref="A1282:A1345" si="20">HYPERLINK(K1282,L1282)</f>
        <v>AptCode_hangGliderSite</v>
      </c>
      <c r="B1282" s="409"/>
      <c r="C1282" s="416"/>
      <c r="D1282" s="198" t="s">
        <v>21123</v>
      </c>
      <c r="E1282" s="198">
        <v>7</v>
      </c>
      <c r="F1282" s="199" t="s">
        <v>21124</v>
      </c>
      <c r="G1282" s="1" t="s">
        <v>21125</v>
      </c>
      <c r="H1282" s="200"/>
      <c r="I1282" s="346"/>
      <c r="J1282" s="39">
        <v>101752</v>
      </c>
      <c r="K1282" s="36" t="str">
        <f>CONCATENATE(Cover!$D$6,"fdd/view?i=",J1282)</f>
        <v>https://www.dgiwg.org/FAD/fdd/view?i=101752</v>
      </c>
      <c r="L1282" s="36" t="s">
        <v>21126</v>
      </c>
      <c r="M1282" s="186"/>
      <c r="N1282" s="186"/>
      <c r="O1282" s="172"/>
    </row>
    <row r="1283" spans="1:15" x14ac:dyDescent="0.2">
      <c r="A1283" s="197" t="str">
        <f t="shared" si="20"/>
        <v>AptCode_helicopterSite</v>
      </c>
      <c r="B1283" s="409"/>
      <c r="C1283" s="416"/>
      <c r="D1283" s="198" t="s">
        <v>21127</v>
      </c>
      <c r="E1283" s="198">
        <v>10</v>
      </c>
      <c r="F1283" s="199" t="s">
        <v>21128</v>
      </c>
      <c r="G1283" s="200"/>
      <c r="H1283" s="200"/>
      <c r="I1283" s="346"/>
      <c r="J1283" s="39">
        <v>101755</v>
      </c>
      <c r="K1283" s="36" t="str">
        <f>CONCATENATE(Cover!$D$6,"fdd/view?i=",J1283)</f>
        <v>https://www.dgiwg.org/FAD/fdd/view?i=101755</v>
      </c>
      <c r="L1283" s="36" t="s">
        <v>21129</v>
      </c>
      <c r="M1283" s="186"/>
      <c r="N1283" s="186"/>
      <c r="O1283" s="172"/>
    </row>
    <row r="1284" spans="1:15" ht="25.5" x14ac:dyDescent="0.2">
      <c r="A1284" s="197" t="str">
        <f t="shared" si="20"/>
        <v>AptCode_majorAirfield</v>
      </c>
      <c r="B1284" s="409"/>
      <c r="C1284" s="416"/>
      <c r="D1284" s="198" t="s">
        <v>21130</v>
      </c>
      <c r="E1284" s="198">
        <v>1</v>
      </c>
      <c r="F1284" s="199" t="s">
        <v>21131</v>
      </c>
      <c r="G1284" s="1" t="s">
        <v>21132</v>
      </c>
      <c r="H1284" s="200"/>
      <c r="I1284" s="346"/>
      <c r="J1284" s="39">
        <v>101746</v>
      </c>
      <c r="K1284" s="36" t="str">
        <f>CONCATENATE(Cover!$D$6,"fdd/view?i=",J1284)</f>
        <v>https://www.dgiwg.org/FAD/fdd/view?i=101746</v>
      </c>
      <c r="L1284" s="36" t="s">
        <v>21133</v>
      </c>
      <c r="M1284" s="186"/>
      <c r="N1284" s="186"/>
      <c r="O1284" s="172"/>
    </row>
    <row r="1285" spans="1:15" ht="38.25" x14ac:dyDescent="0.2">
      <c r="A1285" s="197" t="str">
        <f t="shared" si="20"/>
        <v>AptCode_minorAirfield</v>
      </c>
      <c r="B1285" s="409"/>
      <c r="C1285" s="416"/>
      <c r="D1285" s="198" t="s">
        <v>21134</v>
      </c>
      <c r="E1285" s="198">
        <v>2</v>
      </c>
      <c r="F1285" s="199" t="s">
        <v>21135</v>
      </c>
      <c r="G1285" s="1" t="s">
        <v>21136</v>
      </c>
      <c r="H1285" s="200"/>
      <c r="I1285" s="346"/>
      <c r="J1285" s="39">
        <v>101747</v>
      </c>
      <c r="K1285" s="36" t="str">
        <f>CONCATENATE(Cover!$D$6,"fdd/view?i=",J1285)</f>
        <v>https://www.dgiwg.org/FAD/fdd/view?i=101747</v>
      </c>
      <c r="L1285" s="36" t="s">
        <v>21137</v>
      </c>
      <c r="M1285" s="186"/>
      <c r="N1285" s="186"/>
      <c r="O1285" s="172"/>
    </row>
    <row r="1286" spans="1:15" ht="38.25" x14ac:dyDescent="0.2">
      <c r="A1286" s="197" t="str">
        <f t="shared" si="20"/>
        <v>AptCode_parascendingSite</v>
      </c>
      <c r="B1286" s="409"/>
      <c r="C1286" s="416"/>
      <c r="D1286" s="198" t="s">
        <v>21138</v>
      </c>
      <c r="E1286" s="198">
        <v>13</v>
      </c>
      <c r="F1286" s="199" t="s">
        <v>21139</v>
      </c>
      <c r="G1286" s="1" t="s">
        <v>21140</v>
      </c>
      <c r="H1286" s="200"/>
      <c r="I1286" s="346"/>
      <c r="J1286" s="39">
        <v>101758</v>
      </c>
      <c r="K1286" s="36" t="str">
        <f>CONCATENATE(Cover!$D$6,"fdd/view?i=",J1286)</f>
        <v>https://www.dgiwg.org/FAD/fdd/view?i=101758</v>
      </c>
      <c r="L1286" s="36" t="s">
        <v>21141</v>
      </c>
      <c r="M1286" s="186"/>
      <c r="N1286" s="186"/>
      <c r="O1286" s="172"/>
    </row>
    <row r="1287" spans="1:15" ht="25.5" x14ac:dyDescent="0.2">
      <c r="A1287" s="197" t="str">
        <f t="shared" si="20"/>
        <v>AptCode_seaplaneBase</v>
      </c>
      <c r="B1287" s="409"/>
      <c r="C1287" s="416"/>
      <c r="D1287" s="198" t="s">
        <v>21142</v>
      </c>
      <c r="E1287" s="198">
        <v>4</v>
      </c>
      <c r="F1287" s="199" t="s">
        <v>21143</v>
      </c>
      <c r="G1287" s="200"/>
      <c r="H1287" s="200"/>
      <c r="I1287" s="346"/>
      <c r="J1287" s="39">
        <v>101749</v>
      </c>
      <c r="K1287" s="36" t="str">
        <f>CONCATENATE(Cover!$D$6,"fdd/view?i=",J1287)</f>
        <v>https://www.dgiwg.org/FAD/fdd/view?i=101749</v>
      </c>
      <c r="L1287" s="36" t="s">
        <v>21144</v>
      </c>
      <c r="M1287" s="186"/>
      <c r="N1287" s="186"/>
      <c r="O1287" s="172"/>
    </row>
    <row r="1288" spans="1:15" ht="25.5" x14ac:dyDescent="0.2">
      <c r="A1288" s="197" t="str">
        <f t="shared" si="20"/>
        <v>AptCode_searchRescue</v>
      </c>
      <c r="B1288" s="409"/>
      <c r="C1288" s="416"/>
      <c r="D1288" s="198" t="s">
        <v>21145</v>
      </c>
      <c r="E1288" s="198">
        <v>16</v>
      </c>
      <c r="F1288" s="199" t="s">
        <v>21146</v>
      </c>
      <c r="G1288" s="1" t="s">
        <v>21147</v>
      </c>
      <c r="H1288" s="200"/>
      <c r="I1288" s="346"/>
      <c r="J1288" s="39">
        <v>101761</v>
      </c>
      <c r="K1288" s="36" t="str">
        <f>CONCATENATE(Cover!$D$6,"fdd/view?i=",J1288)</f>
        <v>https://www.dgiwg.org/FAD/fdd/view?i=101761</v>
      </c>
      <c r="L1288" s="36" t="s">
        <v>21148</v>
      </c>
      <c r="M1288" s="186"/>
      <c r="N1288" s="186"/>
      <c r="O1288" s="172"/>
    </row>
    <row r="1289" spans="1:15" ht="38.25" x14ac:dyDescent="0.2">
      <c r="A1289" s="197" t="str">
        <f t="shared" si="20"/>
        <v>AptCode_ultralightSite</v>
      </c>
      <c r="B1289" s="409"/>
      <c r="C1289" s="416"/>
      <c r="D1289" s="198" t="s">
        <v>21149</v>
      </c>
      <c r="E1289" s="198">
        <v>6</v>
      </c>
      <c r="F1289" s="199" t="s">
        <v>21150</v>
      </c>
      <c r="G1289" s="1" t="s">
        <v>21151</v>
      </c>
      <c r="H1289" s="200"/>
      <c r="I1289" s="346"/>
      <c r="J1289" s="39">
        <v>101751</v>
      </c>
      <c r="K1289" s="36" t="str">
        <f>CONCATENATE(Cover!$D$6,"fdd/view?i=",J1289)</f>
        <v>https://www.dgiwg.org/FAD/fdd/view?i=101751</v>
      </c>
      <c r="L1289" s="36" t="s">
        <v>21152</v>
      </c>
      <c r="M1289" s="186"/>
      <c r="N1289" s="186"/>
      <c r="O1289" s="172"/>
    </row>
    <row r="1290" spans="1:15" ht="25.5" x14ac:dyDescent="0.2">
      <c r="A1290" s="197" t="str">
        <f t="shared" si="20"/>
        <v>AptCode_undefinedLandingArea</v>
      </c>
      <c r="B1290" s="409"/>
      <c r="C1290" s="416"/>
      <c r="D1290" s="198" t="s">
        <v>21153</v>
      </c>
      <c r="E1290" s="198">
        <v>15</v>
      </c>
      <c r="F1290" s="199" t="s">
        <v>21154</v>
      </c>
      <c r="G1290" s="200"/>
      <c r="H1290" s="200"/>
      <c r="I1290" s="346"/>
      <c r="J1290" s="39">
        <v>101760</v>
      </c>
      <c r="K1290" s="36" t="str">
        <f>CONCATENATE(Cover!$D$6,"fdd/view?i=",J1290)</f>
        <v>https://www.dgiwg.org/FAD/fdd/view?i=101760</v>
      </c>
      <c r="L1290" s="36" t="s">
        <v>21155</v>
      </c>
      <c r="M1290" s="186"/>
      <c r="N1290" s="186"/>
      <c r="O1290" s="172"/>
    </row>
    <row r="1291" spans="1:15" ht="38.25" x14ac:dyDescent="0.2">
      <c r="A1291" s="203" t="str">
        <f t="shared" si="20"/>
        <v>AptCode_winchLaunchHangGliderSite</v>
      </c>
      <c r="B1291" s="410"/>
      <c r="C1291" s="417"/>
      <c r="D1291" s="204" t="s">
        <v>21156</v>
      </c>
      <c r="E1291" s="204">
        <v>8</v>
      </c>
      <c r="F1291" s="205" t="s">
        <v>21157</v>
      </c>
      <c r="G1291" s="206" t="s">
        <v>21158</v>
      </c>
      <c r="H1291" s="207"/>
      <c r="I1291" s="347"/>
      <c r="J1291" s="39">
        <v>101753</v>
      </c>
      <c r="K1291" s="36" t="str">
        <f>CONCATENATE(Cover!$D$6,"fdd/view?i=",J1291)</f>
        <v>https://www.dgiwg.org/FAD/fdd/view?i=101753</v>
      </c>
      <c r="L1291" s="36" t="s">
        <v>21159</v>
      </c>
      <c r="M1291" s="186"/>
      <c r="N1291" s="186"/>
      <c r="O1291" s="172"/>
    </row>
    <row r="1292" spans="1:15" ht="38.25" x14ac:dyDescent="0.2">
      <c r="A1292" s="190" t="str">
        <f t="shared" si="20"/>
        <v>AaaCode_accidentInvestigation</v>
      </c>
      <c r="B1292" s="414" t="str">
        <f>HYPERLINK("[#]Datatypes!A138:L138","AaaCode")</f>
        <v>AaaCode</v>
      </c>
      <c r="C1292" s="415" t="s">
        <v>14692</v>
      </c>
      <c r="D1292" s="221" t="s">
        <v>21168</v>
      </c>
      <c r="E1292" s="221">
        <v>2</v>
      </c>
      <c r="F1292" s="222" t="s">
        <v>21169</v>
      </c>
      <c r="G1292" s="223" t="s">
        <v>21170</v>
      </c>
      <c r="H1292" s="223" t="s">
        <v>21171</v>
      </c>
      <c r="I1292" s="352" t="s">
        <v>21172</v>
      </c>
      <c r="J1292" s="39">
        <v>114655</v>
      </c>
      <c r="K1292" s="36" t="str">
        <f>CONCATENATE(Cover!$D$6,"fdd/view?i=",J1292)</f>
        <v>https://www.dgiwg.org/FAD/fdd/view?i=114655</v>
      </c>
      <c r="L1292" s="36" t="s">
        <v>21173</v>
      </c>
      <c r="M1292" s="186"/>
      <c r="N1292" s="186"/>
      <c r="O1292" s="13" t="s">
        <v>21167</v>
      </c>
    </row>
    <row r="1293" spans="1:15" ht="25.5" x14ac:dyDescent="0.2">
      <c r="A1293" s="197" t="str">
        <f t="shared" si="20"/>
        <v>AaaCode_aerialGunnery</v>
      </c>
      <c r="B1293" s="409"/>
      <c r="C1293" s="416"/>
      <c r="D1293" s="198" t="s">
        <v>21175</v>
      </c>
      <c r="E1293" s="198">
        <v>4</v>
      </c>
      <c r="F1293" s="199" t="s">
        <v>21176</v>
      </c>
      <c r="G1293" s="1" t="s">
        <v>21177</v>
      </c>
      <c r="H1293" s="1" t="s">
        <v>21178</v>
      </c>
      <c r="I1293" s="346"/>
      <c r="J1293" s="39">
        <v>114657</v>
      </c>
      <c r="K1293" s="36" t="str">
        <f>CONCATENATE(Cover!$D$6,"fdd/view?i=",J1293)</f>
        <v>https://www.dgiwg.org/FAD/fdd/view?i=114657</v>
      </c>
      <c r="L1293" s="36" t="s">
        <v>21179</v>
      </c>
      <c r="M1293" s="186"/>
      <c r="N1293" s="186"/>
      <c r="O1293" s="13" t="s">
        <v>21174</v>
      </c>
    </row>
    <row r="1294" spans="1:15" ht="25.5" x14ac:dyDescent="0.2">
      <c r="A1294" s="197" t="str">
        <f t="shared" si="20"/>
        <v>AaaCode_aerialSporting</v>
      </c>
      <c r="B1294" s="409"/>
      <c r="C1294" s="416"/>
      <c r="D1294" s="198" t="s">
        <v>21181</v>
      </c>
      <c r="E1294" s="198">
        <v>5</v>
      </c>
      <c r="F1294" s="199" t="s">
        <v>21182</v>
      </c>
      <c r="G1294" s="1" t="s">
        <v>21183</v>
      </c>
      <c r="H1294" s="1" t="s">
        <v>21184</v>
      </c>
      <c r="I1294" s="346"/>
      <c r="J1294" s="39">
        <v>114658</v>
      </c>
      <c r="K1294" s="36" t="str">
        <f>CONCATENATE(Cover!$D$6,"fdd/view?i=",J1294)</f>
        <v>https://www.dgiwg.org/FAD/fdd/view?i=114658</v>
      </c>
      <c r="L1294" s="36" t="s">
        <v>21185</v>
      </c>
      <c r="M1294" s="186"/>
      <c r="N1294" s="186"/>
      <c r="O1294" s="13" t="s">
        <v>21180</v>
      </c>
    </row>
    <row r="1295" spans="1:15" ht="51" x14ac:dyDescent="0.2">
      <c r="A1295" s="197" t="str">
        <f t="shared" si="20"/>
        <v>AaaCode_aerialWork</v>
      </c>
      <c r="B1295" s="409"/>
      <c r="C1295" s="416"/>
      <c r="D1295" s="198" t="s">
        <v>21187</v>
      </c>
      <c r="E1295" s="198">
        <v>6</v>
      </c>
      <c r="F1295" s="199" t="s">
        <v>21188</v>
      </c>
      <c r="G1295" s="1" t="s">
        <v>21189</v>
      </c>
      <c r="H1295" s="1" t="s">
        <v>21190</v>
      </c>
      <c r="I1295" s="346"/>
      <c r="J1295" s="39">
        <v>114659</v>
      </c>
      <c r="K1295" s="36" t="str">
        <f>CONCATENATE(Cover!$D$6,"fdd/view?i=",J1295)</f>
        <v>https://www.dgiwg.org/FAD/fdd/view?i=114659</v>
      </c>
      <c r="L1295" s="36" t="s">
        <v>21191</v>
      </c>
      <c r="M1295" s="186"/>
      <c r="N1295" s="186"/>
      <c r="O1295" s="13" t="s">
        <v>21186</v>
      </c>
    </row>
    <row r="1296" spans="1:15" ht="38.25" x14ac:dyDescent="0.2">
      <c r="A1296" s="197" t="str">
        <f t="shared" si="20"/>
        <v>AaaCode_aerobatics</v>
      </c>
      <c r="B1296" s="409"/>
      <c r="C1296" s="416"/>
      <c r="D1296" s="198" t="s">
        <v>21193</v>
      </c>
      <c r="E1296" s="198">
        <v>3</v>
      </c>
      <c r="F1296" s="199" t="s">
        <v>21194</v>
      </c>
      <c r="G1296" s="1" t="s">
        <v>21195</v>
      </c>
      <c r="H1296" s="1" t="s">
        <v>21196</v>
      </c>
      <c r="I1296" s="351" t="s">
        <v>21197</v>
      </c>
      <c r="J1296" s="39">
        <v>114656</v>
      </c>
      <c r="K1296" s="36" t="str">
        <f>CONCATENATE(Cover!$D$6,"fdd/view?i=",J1296)</f>
        <v>https://www.dgiwg.org/FAD/fdd/view?i=114656</v>
      </c>
      <c r="L1296" s="36" t="s">
        <v>21198</v>
      </c>
      <c r="M1296" s="186"/>
      <c r="N1296" s="186"/>
      <c r="O1296" s="13" t="s">
        <v>21192</v>
      </c>
    </row>
    <row r="1297" spans="1:15" ht="25.5" x14ac:dyDescent="0.2">
      <c r="A1297" s="197" t="str">
        <f t="shared" si="20"/>
        <v>AaaCode_aerodromeTraffic</v>
      </c>
      <c r="B1297" s="409"/>
      <c r="C1297" s="416"/>
      <c r="D1297" s="198" t="s">
        <v>21200</v>
      </c>
      <c r="E1297" s="198">
        <v>7</v>
      </c>
      <c r="F1297" s="199" t="s">
        <v>21201</v>
      </c>
      <c r="G1297" s="1" t="s">
        <v>21202</v>
      </c>
      <c r="H1297" s="1" t="s">
        <v>21196</v>
      </c>
      <c r="I1297" s="346"/>
      <c r="J1297" s="39">
        <v>114660</v>
      </c>
      <c r="K1297" s="36" t="str">
        <f>CONCATENATE(Cover!$D$6,"fdd/view?i=",J1297)</f>
        <v>https://www.dgiwg.org/FAD/fdd/view?i=114660</v>
      </c>
      <c r="L1297" s="36" t="s">
        <v>21203</v>
      </c>
      <c r="M1297" s="186"/>
      <c r="N1297" s="186"/>
      <c r="O1297" s="13" t="s">
        <v>21199</v>
      </c>
    </row>
    <row r="1298" spans="1:15" ht="25.5" x14ac:dyDescent="0.2">
      <c r="A1298" s="197" t="str">
        <f t="shared" si="20"/>
        <v>AaaCode_airCombatOrExercises</v>
      </c>
      <c r="B1298" s="409"/>
      <c r="C1298" s="416"/>
      <c r="D1298" s="198" t="s">
        <v>21205</v>
      </c>
      <c r="E1298" s="198">
        <v>8</v>
      </c>
      <c r="F1298" s="199" t="s">
        <v>21206</v>
      </c>
      <c r="G1298" s="1" t="s">
        <v>21207</v>
      </c>
      <c r="H1298" s="1" t="s">
        <v>21178</v>
      </c>
      <c r="I1298" s="346"/>
      <c r="J1298" s="39">
        <v>114661</v>
      </c>
      <c r="K1298" s="36" t="str">
        <f>CONCATENATE(Cover!$D$6,"fdd/view?i=",J1298)</f>
        <v>https://www.dgiwg.org/FAD/fdd/view?i=114661</v>
      </c>
      <c r="L1298" s="36" t="s">
        <v>21208</v>
      </c>
      <c r="M1298" s="186"/>
      <c r="N1298" s="186"/>
      <c r="O1298" s="13" t="s">
        <v>21204</v>
      </c>
    </row>
    <row r="1299" spans="1:15" ht="25.5" x14ac:dyDescent="0.2">
      <c r="A1299" s="197" t="str">
        <f t="shared" si="20"/>
        <v>AaaCode_airRefuelling</v>
      </c>
      <c r="B1299" s="409"/>
      <c r="C1299" s="416"/>
      <c r="D1299" s="198" t="s">
        <v>21210</v>
      </c>
      <c r="E1299" s="198">
        <v>41</v>
      </c>
      <c r="F1299" s="199" t="s">
        <v>21211</v>
      </c>
      <c r="G1299" s="1" t="s">
        <v>21212</v>
      </c>
      <c r="H1299" s="1" t="s">
        <v>21178</v>
      </c>
      <c r="I1299" s="351" t="s">
        <v>21213</v>
      </c>
      <c r="J1299" s="39">
        <v>114694</v>
      </c>
      <c r="K1299" s="36" t="str">
        <f>CONCATENATE(Cover!$D$6,"fdd/view?i=",J1299)</f>
        <v>https://www.dgiwg.org/FAD/fdd/view?i=114694</v>
      </c>
      <c r="L1299" s="36" t="s">
        <v>21214</v>
      </c>
      <c r="M1299" s="186"/>
      <c r="N1299" s="186"/>
      <c r="O1299" s="13" t="s">
        <v>21209</v>
      </c>
    </row>
    <row r="1300" spans="1:15" ht="25.5" x14ac:dyDescent="0.2">
      <c r="A1300" s="197" t="str">
        <f t="shared" si="20"/>
        <v>AaaCode_airShow</v>
      </c>
      <c r="B1300" s="409"/>
      <c r="C1300" s="416"/>
      <c r="D1300" s="198" t="s">
        <v>21216</v>
      </c>
      <c r="E1300" s="198">
        <v>9</v>
      </c>
      <c r="F1300" s="199" t="s">
        <v>21217</v>
      </c>
      <c r="G1300" s="1" t="s">
        <v>21218</v>
      </c>
      <c r="H1300" s="1" t="s">
        <v>21196</v>
      </c>
      <c r="I1300" s="346"/>
      <c r="J1300" s="39">
        <v>114662</v>
      </c>
      <c r="K1300" s="36" t="str">
        <f>CONCATENATE(Cover!$D$6,"fdd/view?i=",J1300)</f>
        <v>https://www.dgiwg.org/FAD/fdd/view?i=114662</v>
      </c>
      <c r="L1300" s="36" t="s">
        <v>21219</v>
      </c>
      <c r="M1300" s="186"/>
      <c r="N1300" s="186"/>
      <c r="O1300" s="13" t="s">
        <v>21215</v>
      </c>
    </row>
    <row r="1301" spans="1:15" ht="38.25" x14ac:dyDescent="0.2">
      <c r="A1301" s="197" t="str">
        <f t="shared" si="20"/>
        <v>AaaCode_airTrafficServices</v>
      </c>
      <c r="B1301" s="409"/>
      <c r="C1301" s="416"/>
      <c r="D1301" s="198" t="s">
        <v>21221</v>
      </c>
      <c r="E1301" s="198">
        <v>10</v>
      </c>
      <c r="F1301" s="199" t="s">
        <v>21222</v>
      </c>
      <c r="G1301" s="1" t="s">
        <v>21223</v>
      </c>
      <c r="H1301" s="1" t="s">
        <v>21224</v>
      </c>
      <c r="I1301" s="346"/>
      <c r="J1301" s="39">
        <v>114663</v>
      </c>
      <c r="K1301" s="36" t="str">
        <f>CONCATENATE(Cover!$D$6,"fdd/view?i=",J1301)</f>
        <v>https://www.dgiwg.org/FAD/fdd/view?i=114663</v>
      </c>
      <c r="L1301" s="36" t="s">
        <v>21225</v>
      </c>
      <c r="M1301" s="186"/>
      <c r="N1301" s="186"/>
      <c r="O1301" s="13" t="s">
        <v>21220</v>
      </c>
    </row>
    <row r="1302" spans="1:15" ht="25.5" x14ac:dyDescent="0.2">
      <c r="A1302" s="197" t="str">
        <f t="shared" si="20"/>
        <v>AaaCode_antiHailRocketFiring</v>
      </c>
      <c r="B1302" s="409"/>
      <c r="C1302" s="416"/>
      <c r="D1302" s="198" t="s">
        <v>21227</v>
      </c>
      <c r="E1302" s="198">
        <v>11</v>
      </c>
      <c r="F1302" s="199" t="s">
        <v>21228</v>
      </c>
      <c r="G1302" s="1" t="s">
        <v>21229</v>
      </c>
      <c r="H1302" s="1" t="s">
        <v>21230</v>
      </c>
      <c r="I1302" s="346"/>
      <c r="J1302" s="39">
        <v>114664</v>
      </c>
      <c r="K1302" s="36" t="str">
        <f>CONCATENATE(Cover!$D$6,"fdd/view?i=",J1302)</f>
        <v>https://www.dgiwg.org/FAD/fdd/view?i=114664</v>
      </c>
      <c r="L1302" s="36" t="s">
        <v>21231</v>
      </c>
      <c r="M1302" s="186"/>
      <c r="N1302" s="186"/>
      <c r="O1302" s="13" t="s">
        <v>21226</v>
      </c>
    </row>
    <row r="1303" spans="1:15" ht="25.5" x14ac:dyDescent="0.2">
      <c r="A1303" s="197" t="str">
        <f t="shared" si="20"/>
        <v>AaaCode_artilleryFiring</v>
      </c>
      <c r="B1303" s="409"/>
      <c r="C1303" s="416"/>
      <c r="D1303" s="198" t="s">
        <v>21233</v>
      </c>
      <c r="E1303" s="198">
        <v>12</v>
      </c>
      <c r="F1303" s="199" t="s">
        <v>21234</v>
      </c>
      <c r="G1303" s="1" t="s">
        <v>21235</v>
      </c>
      <c r="H1303" s="1" t="s">
        <v>21178</v>
      </c>
      <c r="I1303" s="346"/>
      <c r="J1303" s="39">
        <v>114665</v>
      </c>
      <c r="K1303" s="36" t="str">
        <f>CONCATENATE(Cover!$D$6,"fdd/view?i=",J1303)</f>
        <v>https://www.dgiwg.org/FAD/fdd/view?i=114665</v>
      </c>
      <c r="L1303" s="36" t="s">
        <v>21236</v>
      </c>
      <c r="M1303" s="186"/>
      <c r="N1303" s="186"/>
      <c r="O1303" s="13" t="s">
        <v>21232</v>
      </c>
    </row>
    <row r="1304" spans="1:15" ht="25.5" x14ac:dyDescent="0.2">
      <c r="A1304" s="197" t="str">
        <f t="shared" si="20"/>
        <v>AaaCode_birdHazard</v>
      </c>
      <c r="B1304" s="409"/>
      <c r="C1304" s="416"/>
      <c r="D1304" s="198" t="s">
        <v>21238</v>
      </c>
      <c r="E1304" s="198">
        <v>14</v>
      </c>
      <c r="F1304" s="199" t="s">
        <v>21239</v>
      </c>
      <c r="G1304" s="1" t="s">
        <v>21240</v>
      </c>
      <c r="H1304" s="1" t="s">
        <v>21230</v>
      </c>
      <c r="I1304" s="346"/>
      <c r="J1304" s="39">
        <v>114667</v>
      </c>
      <c r="K1304" s="36" t="str">
        <f>CONCATENATE(Cover!$D$6,"fdd/view?i=",J1304)</f>
        <v>https://www.dgiwg.org/FAD/fdd/view?i=114667</v>
      </c>
      <c r="L1304" s="36" t="s">
        <v>21241</v>
      </c>
      <c r="M1304" s="186"/>
      <c r="N1304" s="186"/>
      <c r="O1304" s="13" t="s">
        <v>21237</v>
      </c>
    </row>
    <row r="1305" spans="1:15" ht="89.25" x14ac:dyDescent="0.2">
      <c r="A1305" s="197" t="str">
        <f t="shared" si="20"/>
        <v>AaaCode_birdMigration</v>
      </c>
      <c r="B1305" s="409"/>
      <c r="C1305" s="416"/>
      <c r="D1305" s="198" t="s">
        <v>21243</v>
      </c>
      <c r="E1305" s="198">
        <v>15</v>
      </c>
      <c r="F1305" s="199" t="s">
        <v>21244</v>
      </c>
      <c r="G1305" s="1" t="s">
        <v>21245</v>
      </c>
      <c r="H1305" s="1" t="s">
        <v>21246</v>
      </c>
      <c r="I1305" s="346"/>
      <c r="J1305" s="39">
        <v>114668</v>
      </c>
      <c r="K1305" s="36" t="str">
        <f>CONCATENATE(Cover!$D$6,"fdd/view?i=",J1305)</f>
        <v>https://www.dgiwg.org/FAD/fdd/view?i=114668</v>
      </c>
      <c r="L1305" s="36" t="s">
        <v>21247</v>
      </c>
      <c r="M1305" s="186"/>
      <c r="N1305" s="186"/>
      <c r="O1305" s="13" t="s">
        <v>21242</v>
      </c>
    </row>
    <row r="1306" spans="1:15" ht="25.5" x14ac:dyDescent="0.2">
      <c r="A1306" s="197" t="str">
        <f t="shared" si="20"/>
        <v>AaaCode_blastingOperations</v>
      </c>
      <c r="B1306" s="409"/>
      <c r="C1306" s="416"/>
      <c r="D1306" s="198" t="s">
        <v>21249</v>
      </c>
      <c r="E1306" s="198">
        <v>16</v>
      </c>
      <c r="F1306" s="199" t="s">
        <v>21250</v>
      </c>
      <c r="G1306" s="1" t="s">
        <v>21251</v>
      </c>
      <c r="H1306" s="1" t="s">
        <v>21230</v>
      </c>
      <c r="I1306" s="346"/>
      <c r="J1306" s="39">
        <v>114669</v>
      </c>
      <c r="K1306" s="36" t="str">
        <f>CONCATENATE(Cover!$D$6,"fdd/view?i=",J1306)</f>
        <v>https://www.dgiwg.org/FAD/fdd/view?i=114669</v>
      </c>
      <c r="L1306" s="36" t="s">
        <v>21252</v>
      </c>
      <c r="M1306" s="186"/>
      <c r="N1306" s="186"/>
      <c r="O1306" s="13" t="s">
        <v>21248</v>
      </c>
    </row>
    <row r="1307" spans="1:15" ht="38.25" x14ac:dyDescent="0.2">
      <c r="A1307" s="197" t="str">
        <f t="shared" si="20"/>
        <v>AaaCode_channelSpacingEquip8r33</v>
      </c>
      <c r="B1307" s="409"/>
      <c r="C1307" s="416"/>
      <c r="D1307" s="198" t="s">
        <v>21161</v>
      </c>
      <c r="E1307" s="198">
        <v>1</v>
      </c>
      <c r="F1307" s="199" t="s">
        <v>21162</v>
      </c>
      <c r="G1307" s="1" t="s">
        <v>21163</v>
      </c>
      <c r="H1307" s="1" t="s">
        <v>21164</v>
      </c>
      <c r="I1307" s="351" t="s">
        <v>21165</v>
      </c>
      <c r="J1307" s="39">
        <v>114654</v>
      </c>
      <c r="K1307" s="36" t="str">
        <f>CONCATENATE(Cover!$D$6,"fdd/view?i=",J1307)</f>
        <v>https://www.dgiwg.org/FAD/fdd/view?i=114654</v>
      </c>
      <c r="L1307" s="36" t="s">
        <v>21166</v>
      </c>
      <c r="M1307" s="186"/>
      <c r="N1307" s="186"/>
      <c r="O1307" s="13" t="s">
        <v>21160</v>
      </c>
    </row>
    <row r="1308" spans="1:15" ht="25.5" x14ac:dyDescent="0.2">
      <c r="A1308" s="197" t="str">
        <f t="shared" si="20"/>
        <v>AaaCode_chemicalPlant</v>
      </c>
      <c r="B1308" s="409"/>
      <c r="C1308" s="416"/>
      <c r="D1308" s="198" t="s">
        <v>21254</v>
      </c>
      <c r="E1308" s="198">
        <v>17</v>
      </c>
      <c r="F1308" s="199" t="s">
        <v>21255</v>
      </c>
      <c r="G1308" s="1" t="s">
        <v>21256</v>
      </c>
      <c r="H1308" s="1" t="s">
        <v>21257</v>
      </c>
      <c r="I1308" s="346"/>
      <c r="J1308" s="39">
        <v>114670</v>
      </c>
      <c r="K1308" s="36" t="str">
        <f>CONCATENATE(Cover!$D$6,"fdd/view?i=",J1308)</f>
        <v>https://www.dgiwg.org/FAD/fdd/view?i=114670</v>
      </c>
      <c r="L1308" s="36" t="s">
        <v>21258</v>
      </c>
      <c r="M1308" s="186"/>
      <c r="N1308" s="186"/>
      <c r="O1308" s="13" t="s">
        <v>21253</v>
      </c>
    </row>
    <row r="1309" spans="1:15" ht="25.5" x14ac:dyDescent="0.2">
      <c r="A1309" s="197" t="str">
        <f t="shared" si="20"/>
        <v>AaaCode_climbOutJetAircraft</v>
      </c>
      <c r="B1309" s="409"/>
      <c r="C1309" s="416"/>
      <c r="D1309" s="198" t="s">
        <v>21260</v>
      </c>
      <c r="E1309" s="198">
        <v>18</v>
      </c>
      <c r="F1309" s="199" t="s">
        <v>21261</v>
      </c>
      <c r="G1309" s="1" t="s">
        <v>21262</v>
      </c>
      <c r="H1309" s="1" t="s">
        <v>21178</v>
      </c>
      <c r="I1309" s="351" t="s">
        <v>21263</v>
      </c>
      <c r="J1309" s="39">
        <v>114671</v>
      </c>
      <c r="K1309" s="36" t="str">
        <f>CONCATENATE(Cover!$D$6,"fdd/view?i=",J1309)</f>
        <v>https://www.dgiwg.org/FAD/fdd/view?i=114671</v>
      </c>
      <c r="L1309" s="36" t="s">
        <v>21264</v>
      </c>
      <c r="M1309" s="186"/>
      <c r="N1309" s="186"/>
      <c r="O1309" s="13" t="s">
        <v>21259</v>
      </c>
    </row>
    <row r="1310" spans="1:15" ht="25.5" x14ac:dyDescent="0.2">
      <c r="A1310" s="197" t="str">
        <f t="shared" si="20"/>
        <v>AaaCode_droppings</v>
      </c>
      <c r="B1310" s="409"/>
      <c r="C1310" s="416"/>
      <c r="D1310" s="198" t="s">
        <v>21266</v>
      </c>
      <c r="E1310" s="198">
        <v>19</v>
      </c>
      <c r="F1310" s="199" t="s">
        <v>21267</v>
      </c>
      <c r="G1310" s="1" t="s">
        <v>21268</v>
      </c>
      <c r="H1310" s="1" t="s">
        <v>21196</v>
      </c>
      <c r="I1310" s="346"/>
      <c r="J1310" s="39">
        <v>114672</v>
      </c>
      <c r="K1310" s="36" t="str">
        <f>CONCATENATE(Cover!$D$6,"fdd/view?i=",J1310)</f>
        <v>https://www.dgiwg.org/FAD/fdd/view?i=114672</v>
      </c>
      <c r="L1310" s="36" t="s">
        <v>21269</v>
      </c>
      <c r="M1310" s="186"/>
      <c r="N1310" s="186"/>
      <c r="O1310" s="13" t="s">
        <v>21265</v>
      </c>
    </row>
    <row r="1311" spans="1:15" ht="25.5" x14ac:dyDescent="0.2">
      <c r="A1311" s="197" t="str">
        <f t="shared" si="20"/>
        <v>AaaCode_fireworks</v>
      </c>
      <c r="B1311" s="409"/>
      <c r="C1311" s="416"/>
      <c r="D1311" s="198" t="s">
        <v>21271</v>
      </c>
      <c r="E1311" s="198">
        <v>20</v>
      </c>
      <c r="F1311" s="199" t="s">
        <v>21272</v>
      </c>
      <c r="G1311" s="1" t="s">
        <v>21273</v>
      </c>
      <c r="H1311" s="1" t="s">
        <v>21230</v>
      </c>
      <c r="I1311" s="346"/>
      <c r="J1311" s="39">
        <v>114673</v>
      </c>
      <c r="K1311" s="36" t="str">
        <f>CONCATENATE(Cover!$D$6,"fdd/view?i=",J1311)</f>
        <v>https://www.dgiwg.org/FAD/fdd/view?i=114673</v>
      </c>
      <c r="L1311" s="36" t="s">
        <v>21274</v>
      </c>
      <c r="M1311" s="186"/>
      <c r="N1311" s="186"/>
      <c r="O1311" s="13" t="s">
        <v>21270</v>
      </c>
    </row>
    <row r="1312" spans="1:15" ht="38.25" x14ac:dyDescent="0.2">
      <c r="A1312" s="197" t="str">
        <f t="shared" si="20"/>
        <v>AaaCode_flightGuidedMissiles</v>
      </c>
      <c r="B1312" s="409"/>
      <c r="C1312" s="416"/>
      <c r="D1312" s="198" t="s">
        <v>21276</v>
      </c>
      <c r="E1312" s="198">
        <v>21</v>
      </c>
      <c r="F1312" s="199" t="s">
        <v>21277</v>
      </c>
      <c r="G1312" s="1" t="s">
        <v>21278</v>
      </c>
      <c r="H1312" s="1" t="s">
        <v>21279</v>
      </c>
      <c r="I1312" s="346"/>
      <c r="J1312" s="39">
        <v>114674</v>
      </c>
      <c r="K1312" s="36" t="str">
        <f>CONCATENATE(Cover!$D$6,"fdd/view?i=",J1312)</f>
        <v>https://www.dgiwg.org/FAD/fdd/view?i=114674</v>
      </c>
      <c r="L1312" s="36" t="s">
        <v>21280</v>
      </c>
      <c r="M1312" s="186"/>
      <c r="N1312" s="186"/>
      <c r="O1312" s="13" t="s">
        <v>21275</v>
      </c>
    </row>
    <row r="1313" spans="1:15" ht="25.5" x14ac:dyDescent="0.2">
      <c r="A1313" s="197" t="str">
        <f t="shared" si="20"/>
        <v>AaaCode_gasFieldOrGasolineVapor</v>
      </c>
      <c r="B1313" s="409"/>
      <c r="C1313" s="416"/>
      <c r="D1313" s="198" t="s">
        <v>21282</v>
      </c>
      <c r="E1313" s="198">
        <v>22</v>
      </c>
      <c r="F1313" s="199" t="s">
        <v>21283</v>
      </c>
      <c r="G1313" s="1" t="s">
        <v>21284</v>
      </c>
      <c r="H1313" s="1" t="s">
        <v>21257</v>
      </c>
      <c r="I1313" s="346"/>
      <c r="J1313" s="39">
        <v>114675</v>
      </c>
      <c r="K1313" s="36" t="str">
        <f>CONCATENATE(Cover!$D$6,"fdd/view?i=",J1313)</f>
        <v>https://www.dgiwg.org/FAD/fdd/view?i=114675</v>
      </c>
      <c r="L1313" s="36" t="s">
        <v>21285</v>
      </c>
      <c r="M1313" s="186"/>
      <c r="N1313" s="186"/>
      <c r="O1313" s="13" t="s">
        <v>21281</v>
      </c>
    </row>
    <row r="1314" spans="1:15" ht="38.25" x14ac:dyDescent="0.2">
      <c r="A1314" s="197" t="str">
        <f t="shared" si="20"/>
        <v>AaaCode_gliding</v>
      </c>
      <c r="B1314" s="409"/>
      <c r="C1314" s="416"/>
      <c r="D1314" s="198" t="s">
        <v>21287</v>
      </c>
      <c r="E1314" s="198">
        <v>23</v>
      </c>
      <c r="F1314" s="199" t="s">
        <v>21288</v>
      </c>
      <c r="G1314" s="1" t="s">
        <v>21289</v>
      </c>
      <c r="H1314" s="1" t="s">
        <v>21290</v>
      </c>
      <c r="I1314" s="346"/>
      <c r="J1314" s="39">
        <v>114676</v>
      </c>
      <c r="K1314" s="36" t="str">
        <f>CONCATENATE(Cover!$D$6,"fdd/view?i=",J1314)</f>
        <v>https://www.dgiwg.org/FAD/fdd/view?i=114676</v>
      </c>
      <c r="L1314" s="36" t="s">
        <v>21291</v>
      </c>
      <c r="M1314" s="186"/>
      <c r="N1314" s="186"/>
      <c r="O1314" s="13" t="s">
        <v>21286</v>
      </c>
    </row>
    <row r="1315" spans="1:15" ht="38.25" x14ac:dyDescent="0.2">
      <c r="A1315" s="197" t="str">
        <f t="shared" si="20"/>
        <v>AaaCode_hangGliding</v>
      </c>
      <c r="B1315" s="409"/>
      <c r="C1315" s="416"/>
      <c r="D1315" s="198" t="s">
        <v>21293</v>
      </c>
      <c r="E1315" s="198">
        <v>24</v>
      </c>
      <c r="F1315" s="199" t="s">
        <v>21294</v>
      </c>
      <c r="G1315" s="1" t="s">
        <v>21295</v>
      </c>
      <c r="H1315" s="1" t="s">
        <v>21196</v>
      </c>
      <c r="I1315" s="346"/>
      <c r="J1315" s="39">
        <v>114677</v>
      </c>
      <c r="K1315" s="36" t="str">
        <f>CONCATENATE(Cover!$D$6,"fdd/view?i=",J1315)</f>
        <v>https://www.dgiwg.org/FAD/fdd/view?i=114677</v>
      </c>
      <c r="L1315" s="36" t="s">
        <v>21296</v>
      </c>
      <c r="M1315" s="186"/>
      <c r="N1315" s="186"/>
      <c r="O1315" s="13" t="s">
        <v>21292</v>
      </c>
    </row>
    <row r="1316" spans="1:15" ht="25.5" x14ac:dyDescent="0.2">
      <c r="A1316" s="197" t="str">
        <f t="shared" si="20"/>
        <v>AaaCode_heavyFireSuppressionWork</v>
      </c>
      <c r="B1316" s="409"/>
      <c r="C1316" s="416"/>
      <c r="D1316" s="198" t="s">
        <v>21298</v>
      </c>
      <c r="E1316" s="198">
        <v>25</v>
      </c>
      <c r="F1316" s="199" t="s">
        <v>21299</v>
      </c>
      <c r="G1316" s="1" t="s">
        <v>21300</v>
      </c>
      <c r="H1316" s="1" t="s">
        <v>21196</v>
      </c>
      <c r="I1316" s="346"/>
      <c r="J1316" s="39">
        <v>114678</v>
      </c>
      <c r="K1316" s="36" t="str">
        <f>CONCATENATE(Cover!$D$6,"fdd/view?i=",J1316)</f>
        <v>https://www.dgiwg.org/FAD/fdd/view?i=114678</v>
      </c>
      <c r="L1316" s="36" t="s">
        <v>21301</v>
      </c>
      <c r="M1316" s="186"/>
      <c r="N1316" s="186"/>
      <c r="O1316" s="13" t="s">
        <v>21297</v>
      </c>
    </row>
    <row r="1317" spans="1:15" ht="25.5" x14ac:dyDescent="0.2">
      <c r="A1317" s="197" t="str">
        <f t="shared" si="20"/>
        <v>AaaCode_helicopterGyroTraffic</v>
      </c>
      <c r="B1317" s="409"/>
      <c r="C1317" s="416"/>
      <c r="D1317" s="198" t="s">
        <v>21303</v>
      </c>
      <c r="E1317" s="198">
        <v>26</v>
      </c>
      <c r="F1317" s="199" t="s">
        <v>21304</v>
      </c>
      <c r="G1317" s="1" t="s">
        <v>21305</v>
      </c>
      <c r="H1317" s="1" t="s">
        <v>21196</v>
      </c>
      <c r="I1317" s="346"/>
      <c r="J1317" s="39">
        <v>114679</v>
      </c>
      <c r="K1317" s="36" t="str">
        <f>CONCATENATE(Cover!$D$6,"fdd/view?i=",J1317)</f>
        <v>https://www.dgiwg.org/FAD/fdd/view?i=114679</v>
      </c>
      <c r="L1317" s="36" t="s">
        <v>21306</v>
      </c>
      <c r="M1317" s="186"/>
      <c r="N1317" s="186"/>
      <c r="O1317" s="13" t="s">
        <v>21302</v>
      </c>
    </row>
    <row r="1318" spans="1:15" ht="25.5" x14ac:dyDescent="0.2">
      <c r="A1318" s="197" t="str">
        <f t="shared" si="20"/>
        <v>AaaCode_highIntensityLights</v>
      </c>
      <c r="B1318" s="409"/>
      <c r="C1318" s="416"/>
      <c r="D1318" s="198" t="s">
        <v>21308</v>
      </c>
      <c r="E1318" s="198">
        <v>27</v>
      </c>
      <c r="F1318" s="199" t="s">
        <v>21309</v>
      </c>
      <c r="G1318" s="1" t="s">
        <v>21310</v>
      </c>
      <c r="H1318" s="1" t="s">
        <v>21230</v>
      </c>
      <c r="I1318" s="346"/>
      <c r="J1318" s="39">
        <v>114680</v>
      </c>
      <c r="K1318" s="36" t="str">
        <f>CONCATENATE(Cover!$D$6,"fdd/view?i=",J1318)</f>
        <v>https://www.dgiwg.org/FAD/fdd/view?i=114680</v>
      </c>
      <c r="L1318" s="36" t="s">
        <v>21311</v>
      </c>
      <c r="M1318" s="186"/>
      <c r="N1318" s="186"/>
      <c r="O1318" s="13" t="s">
        <v>21307</v>
      </c>
    </row>
    <row r="1319" spans="1:15" ht="25.5" x14ac:dyDescent="0.2">
      <c r="A1319" s="197" t="str">
        <f t="shared" si="20"/>
        <v>AaaCode_highIntensityRadioTrans</v>
      </c>
      <c r="B1319" s="409"/>
      <c r="C1319" s="416"/>
      <c r="D1319" s="198" t="s">
        <v>21313</v>
      </c>
      <c r="E1319" s="198">
        <v>28</v>
      </c>
      <c r="F1319" s="199" t="s">
        <v>21314</v>
      </c>
      <c r="G1319" s="1" t="s">
        <v>21315</v>
      </c>
      <c r="H1319" s="1" t="s">
        <v>21230</v>
      </c>
      <c r="I1319" s="346"/>
      <c r="J1319" s="39">
        <v>114681</v>
      </c>
      <c r="K1319" s="36" t="str">
        <f>CONCATENATE(Cover!$D$6,"fdd/view?i=",J1319)</f>
        <v>https://www.dgiwg.org/FAD/fdd/view?i=114681</v>
      </c>
      <c r="L1319" s="36" t="s">
        <v>21316</v>
      </c>
      <c r="M1319" s="186"/>
      <c r="N1319" s="186"/>
      <c r="O1319" s="13" t="s">
        <v>21312</v>
      </c>
    </row>
    <row r="1320" spans="1:15" ht="25.5" x14ac:dyDescent="0.2">
      <c r="A1320" s="197" t="str">
        <f t="shared" si="20"/>
        <v>AaaCode_highlyPopulatedArea</v>
      </c>
      <c r="B1320" s="409"/>
      <c r="C1320" s="416"/>
      <c r="D1320" s="198" t="s">
        <v>21318</v>
      </c>
      <c r="E1320" s="198">
        <v>29</v>
      </c>
      <c r="F1320" s="199" t="s">
        <v>21319</v>
      </c>
      <c r="G1320" s="1" t="s">
        <v>21320</v>
      </c>
      <c r="H1320" s="1" t="s">
        <v>21171</v>
      </c>
      <c r="I1320" s="346"/>
      <c r="J1320" s="39">
        <v>114682</v>
      </c>
      <c r="K1320" s="36" t="str">
        <f>CONCATENATE(Cover!$D$6,"fdd/view?i=",J1320)</f>
        <v>https://www.dgiwg.org/FAD/fdd/view?i=114682</v>
      </c>
      <c r="L1320" s="36" t="s">
        <v>21321</v>
      </c>
      <c r="M1320" s="186"/>
      <c r="N1320" s="186"/>
      <c r="O1320" s="13" t="s">
        <v>21317</v>
      </c>
    </row>
    <row r="1321" spans="1:15" ht="38.25" x14ac:dyDescent="0.2">
      <c r="A1321" s="197" t="str">
        <f t="shared" si="20"/>
        <v>AaaCode_hotAirBalloons</v>
      </c>
      <c r="B1321" s="409"/>
      <c r="C1321" s="416"/>
      <c r="D1321" s="198" t="s">
        <v>21323</v>
      </c>
      <c r="E1321" s="198">
        <v>30</v>
      </c>
      <c r="F1321" s="199" t="s">
        <v>21324</v>
      </c>
      <c r="G1321" s="1" t="s">
        <v>21325</v>
      </c>
      <c r="H1321" s="1" t="s">
        <v>21196</v>
      </c>
      <c r="I1321" s="346"/>
      <c r="J1321" s="39">
        <v>114683</v>
      </c>
      <c r="K1321" s="36" t="str">
        <f>CONCATENATE(Cover!$D$6,"fdd/view?i=",J1321)</f>
        <v>https://www.dgiwg.org/FAD/fdd/view?i=114683</v>
      </c>
      <c r="L1321" s="36" t="s">
        <v>21326</v>
      </c>
      <c r="M1321" s="186"/>
      <c r="N1321" s="186"/>
      <c r="O1321" s="13" t="s">
        <v>21322</v>
      </c>
    </row>
    <row r="1322" spans="1:15" ht="38.25" x14ac:dyDescent="0.2">
      <c r="A1322" s="197" t="str">
        <f t="shared" si="20"/>
        <v>AaaCode_laserUsage</v>
      </c>
      <c r="B1322" s="409"/>
      <c r="C1322" s="416"/>
      <c r="D1322" s="198" t="s">
        <v>21328</v>
      </c>
      <c r="E1322" s="198">
        <v>31</v>
      </c>
      <c r="F1322" s="199" t="s">
        <v>21329</v>
      </c>
      <c r="G1322" s="1" t="s">
        <v>21330</v>
      </c>
      <c r="H1322" s="1" t="s">
        <v>21331</v>
      </c>
      <c r="I1322" s="351" t="s">
        <v>21332</v>
      </c>
      <c r="J1322" s="39">
        <v>114684</v>
      </c>
      <c r="K1322" s="36" t="str">
        <f>CONCATENATE(Cover!$D$6,"fdd/view?i=",J1322)</f>
        <v>https://www.dgiwg.org/FAD/fdd/view?i=114684</v>
      </c>
      <c r="L1322" s="36" t="s">
        <v>21333</v>
      </c>
      <c r="M1322" s="186"/>
      <c r="N1322" s="186"/>
      <c r="O1322" s="13" t="s">
        <v>21327</v>
      </c>
    </row>
    <row r="1323" spans="1:15" ht="25.5" x14ac:dyDescent="0.2">
      <c r="A1323" s="197" t="str">
        <f t="shared" si="20"/>
        <v>AaaCode_militaryOperations</v>
      </c>
      <c r="B1323" s="409"/>
      <c r="C1323" s="416"/>
      <c r="D1323" s="198" t="s">
        <v>21335</v>
      </c>
      <c r="E1323" s="198">
        <v>32</v>
      </c>
      <c r="F1323" s="199" t="s">
        <v>21336</v>
      </c>
      <c r="G1323" s="1" t="s">
        <v>21337</v>
      </c>
      <c r="H1323" s="1" t="s">
        <v>21178</v>
      </c>
      <c r="I1323" s="346"/>
      <c r="J1323" s="39">
        <v>114685</v>
      </c>
      <c r="K1323" s="36" t="str">
        <f>CONCATENATE(Cover!$D$6,"fdd/view?i=",J1323)</f>
        <v>https://www.dgiwg.org/FAD/fdd/view?i=114685</v>
      </c>
      <c r="L1323" s="36" t="s">
        <v>21338</v>
      </c>
      <c r="M1323" s="186"/>
      <c r="N1323" s="186"/>
      <c r="O1323" s="13" t="s">
        <v>21334</v>
      </c>
    </row>
    <row r="1324" spans="1:15" ht="38.25" x14ac:dyDescent="0.2">
      <c r="A1324" s="197" t="str">
        <f t="shared" si="20"/>
        <v>AaaCode_naturalReserve</v>
      </c>
      <c r="B1324" s="409"/>
      <c r="C1324" s="416"/>
      <c r="D1324" s="198" t="s">
        <v>21340</v>
      </c>
      <c r="E1324" s="198">
        <v>33</v>
      </c>
      <c r="F1324" s="199" t="s">
        <v>21341</v>
      </c>
      <c r="G1324" s="1" t="s">
        <v>21342</v>
      </c>
      <c r="H1324" s="1" t="s">
        <v>21343</v>
      </c>
      <c r="I1324" s="346"/>
      <c r="J1324" s="39">
        <v>114686</v>
      </c>
      <c r="K1324" s="36" t="str">
        <f>CONCATENATE(Cover!$D$6,"fdd/view?i=",J1324)</f>
        <v>https://www.dgiwg.org/FAD/fdd/view?i=114686</v>
      </c>
      <c r="L1324" s="36" t="s">
        <v>21344</v>
      </c>
      <c r="M1324" s="186"/>
      <c r="N1324" s="186"/>
      <c r="O1324" s="13" t="s">
        <v>21339</v>
      </c>
    </row>
    <row r="1325" spans="1:15" ht="25.5" x14ac:dyDescent="0.2">
      <c r="A1325" s="197" t="str">
        <f t="shared" si="20"/>
        <v>AaaCode_navalFiringAndOrPractice</v>
      </c>
      <c r="B1325" s="409"/>
      <c r="C1325" s="416"/>
      <c r="D1325" s="198" t="s">
        <v>21346</v>
      </c>
      <c r="E1325" s="198">
        <v>46</v>
      </c>
      <c r="F1325" s="199" t="s">
        <v>21347</v>
      </c>
      <c r="G1325" s="1" t="s">
        <v>21348</v>
      </c>
      <c r="H1325" s="1" t="s">
        <v>4271</v>
      </c>
      <c r="I1325" s="351" t="s">
        <v>21349</v>
      </c>
      <c r="J1325" s="39">
        <v>114699</v>
      </c>
      <c r="K1325" s="36" t="str">
        <f>CONCATENATE(Cover!$D$6,"fdd/view?i=",J1325)</f>
        <v>https://www.dgiwg.org/FAD/fdd/view?i=114699</v>
      </c>
      <c r="L1325" s="36" t="s">
        <v>21350</v>
      </c>
      <c r="M1325" s="186"/>
      <c r="N1325" s="186"/>
      <c r="O1325" s="13" t="s">
        <v>21345</v>
      </c>
    </row>
    <row r="1326" spans="1:15" ht="25.5" x14ac:dyDescent="0.2">
      <c r="A1326" s="197" t="str">
        <f t="shared" si="20"/>
        <v>AaaCode_noiseAbatement</v>
      </c>
      <c r="B1326" s="409"/>
      <c r="C1326" s="416"/>
      <c r="D1326" s="198" t="s">
        <v>21352</v>
      </c>
      <c r="E1326" s="198">
        <v>34</v>
      </c>
      <c r="F1326" s="199" t="s">
        <v>21353</v>
      </c>
      <c r="G1326" s="1" t="s">
        <v>21354</v>
      </c>
      <c r="H1326" s="1" t="s">
        <v>21171</v>
      </c>
      <c r="I1326" s="346"/>
      <c r="J1326" s="39">
        <v>114687</v>
      </c>
      <c r="K1326" s="36" t="str">
        <f>CONCATENATE(Cover!$D$6,"fdd/view?i=",J1326)</f>
        <v>https://www.dgiwg.org/FAD/fdd/view?i=114687</v>
      </c>
      <c r="L1326" s="36" t="s">
        <v>21355</v>
      </c>
      <c r="M1326" s="186"/>
      <c r="N1326" s="186"/>
      <c r="O1326" s="13" t="s">
        <v>21351</v>
      </c>
    </row>
    <row r="1327" spans="1:15" ht="25.5" x14ac:dyDescent="0.2">
      <c r="A1327" s="197" t="str">
        <f t="shared" si="20"/>
        <v>AaaCode_nuclearEnergyPlant</v>
      </c>
      <c r="B1327" s="409"/>
      <c r="C1327" s="416"/>
      <c r="D1327" s="198" t="s">
        <v>21357</v>
      </c>
      <c r="E1327" s="198">
        <v>35</v>
      </c>
      <c r="F1327" s="199" t="s">
        <v>21358</v>
      </c>
      <c r="G1327" s="1" t="s">
        <v>21359</v>
      </c>
      <c r="H1327" s="1" t="s">
        <v>21257</v>
      </c>
      <c r="I1327" s="351" t="s">
        <v>21360</v>
      </c>
      <c r="J1327" s="39">
        <v>114688</v>
      </c>
      <c r="K1327" s="36" t="str">
        <f>CONCATENATE(Cover!$D$6,"fdd/view?i=",J1327)</f>
        <v>https://www.dgiwg.org/FAD/fdd/view?i=114688</v>
      </c>
      <c r="L1327" s="36" t="s">
        <v>21361</v>
      </c>
      <c r="M1327" s="186"/>
      <c r="N1327" s="186"/>
      <c r="O1327" s="13" t="s">
        <v>21356</v>
      </c>
    </row>
    <row r="1328" spans="1:15" ht="25.5" x14ac:dyDescent="0.2">
      <c r="A1328" s="197" t="str">
        <f t="shared" si="20"/>
        <v>AaaCode_oilField</v>
      </c>
      <c r="B1328" s="409"/>
      <c r="C1328" s="416"/>
      <c r="D1328" s="198" t="s">
        <v>21363</v>
      </c>
      <c r="E1328" s="198">
        <v>36</v>
      </c>
      <c r="F1328" s="199" t="s">
        <v>21364</v>
      </c>
      <c r="G1328" s="1" t="s">
        <v>21365</v>
      </c>
      <c r="H1328" s="1" t="s">
        <v>21257</v>
      </c>
      <c r="I1328" s="346"/>
      <c r="J1328" s="39">
        <v>114689</v>
      </c>
      <c r="K1328" s="36" t="str">
        <f>CONCATENATE(Cover!$D$6,"fdd/view?i=",J1328)</f>
        <v>https://www.dgiwg.org/FAD/fdd/view?i=114689</v>
      </c>
      <c r="L1328" s="36" t="s">
        <v>21366</v>
      </c>
      <c r="M1328" s="186"/>
      <c r="N1328" s="186"/>
      <c r="O1328" s="13" t="s">
        <v>21362</v>
      </c>
    </row>
    <row r="1329" spans="1:15" ht="38.25" x14ac:dyDescent="0.2">
      <c r="A1329" s="197" t="str">
        <f t="shared" si="20"/>
        <v>AaaCode_parachuteJumping</v>
      </c>
      <c r="B1329" s="409"/>
      <c r="C1329" s="416"/>
      <c r="D1329" s="198" t="s">
        <v>21368</v>
      </c>
      <c r="E1329" s="198">
        <v>38</v>
      </c>
      <c r="F1329" s="199" t="s">
        <v>21369</v>
      </c>
      <c r="G1329" s="1" t="s">
        <v>21370</v>
      </c>
      <c r="H1329" s="1" t="s">
        <v>21371</v>
      </c>
      <c r="I1329" s="346"/>
      <c r="J1329" s="39">
        <v>114691</v>
      </c>
      <c r="K1329" s="36" t="str">
        <f>CONCATENATE(Cover!$D$6,"fdd/view?i=",J1329)</f>
        <v>https://www.dgiwg.org/FAD/fdd/view?i=114691</v>
      </c>
      <c r="L1329" s="36" t="s">
        <v>21372</v>
      </c>
      <c r="M1329" s="186"/>
      <c r="N1329" s="186"/>
      <c r="O1329" s="13" t="s">
        <v>21367</v>
      </c>
    </row>
    <row r="1330" spans="1:15" ht="63.75" x14ac:dyDescent="0.2">
      <c r="A1330" s="197" t="str">
        <f t="shared" si="20"/>
        <v>AaaCode_paragliding</v>
      </c>
      <c r="B1330" s="409"/>
      <c r="C1330" s="416"/>
      <c r="D1330" s="198" t="s">
        <v>21374</v>
      </c>
      <c r="E1330" s="198">
        <v>39</v>
      </c>
      <c r="F1330" s="199" t="s">
        <v>21375</v>
      </c>
      <c r="G1330" s="1" t="s">
        <v>21376</v>
      </c>
      <c r="H1330" s="1" t="s">
        <v>21377</v>
      </c>
      <c r="I1330" s="346"/>
      <c r="J1330" s="39">
        <v>114692</v>
      </c>
      <c r="K1330" s="36" t="str">
        <f>CONCATENATE(Cover!$D$6,"fdd/view?i=",J1330)</f>
        <v>https://www.dgiwg.org/FAD/fdd/view?i=114692</v>
      </c>
      <c r="L1330" s="36" t="s">
        <v>21378</v>
      </c>
      <c r="M1330" s="186"/>
      <c r="N1330" s="186"/>
      <c r="O1330" s="13" t="s">
        <v>21373</v>
      </c>
    </row>
    <row r="1331" spans="1:15" ht="25.5" x14ac:dyDescent="0.2">
      <c r="A1331" s="197" t="str">
        <f t="shared" si="20"/>
        <v>AaaCode_petrochemicalRefinery</v>
      </c>
      <c r="B1331" s="409"/>
      <c r="C1331" s="416"/>
      <c r="D1331" s="198" t="s">
        <v>21380</v>
      </c>
      <c r="E1331" s="198">
        <v>37</v>
      </c>
      <c r="F1331" s="199" t="s">
        <v>21381</v>
      </c>
      <c r="G1331" s="1" t="s">
        <v>21382</v>
      </c>
      <c r="H1331" s="1" t="s">
        <v>21257</v>
      </c>
      <c r="I1331" s="351" t="s">
        <v>21383</v>
      </c>
      <c r="J1331" s="39">
        <v>114690</v>
      </c>
      <c r="K1331" s="36" t="str">
        <f>CONCATENATE(Cover!$D$6,"fdd/view?i=",J1331)</f>
        <v>https://www.dgiwg.org/FAD/fdd/view?i=114690</v>
      </c>
      <c r="L1331" s="36" t="s">
        <v>21384</v>
      </c>
      <c r="M1331" s="186"/>
      <c r="N1331" s="186"/>
      <c r="O1331" s="13" t="s">
        <v>21379</v>
      </c>
    </row>
    <row r="1332" spans="1:15" ht="25.5" x14ac:dyDescent="0.2">
      <c r="A1332" s="197" t="str">
        <f t="shared" si="20"/>
        <v>AaaCode_president</v>
      </c>
      <c r="B1332" s="409"/>
      <c r="C1332" s="416"/>
      <c r="D1332" s="198" t="s">
        <v>21386</v>
      </c>
      <c r="E1332" s="198">
        <v>40</v>
      </c>
      <c r="F1332" s="199" t="s">
        <v>21387</v>
      </c>
      <c r="G1332" s="1" t="s">
        <v>21388</v>
      </c>
      <c r="H1332" s="1" t="s">
        <v>21171</v>
      </c>
      <c r="I1332" s="346"/>
      <c r="J1332" s="39">
        <v>114693</v>
      </c>
      <c r="K1332" s="36" t="str">
        <f>CONCATENATE(Cover!$D$6,"fdd/view?i=",J1332)</f>
        <v>https://www.dgiwg.org/FAD/fdd/view?i=114693</v>
      </c>
      <c r="L1332" s="36" t="s">
        <v>21389</v>
      </c>
      <c r="M1332" s="186"/>
      <c r="N1332" s="186"/>
      <c r="O1332" s="13" t="s">
        <v>21385</v>
      </c>
    </row>
    <row r="1333" spans="1:15" ht="63.75" x14ac:dyDescent="0.2">
      <c r="A1333" s="197" t="str">
        <f t="shared" si="20"/>
        <v>AaaCode_radiosonde</v>
      </c>
      <c r="B1333" s="409"/>
      <c r="C1333" s="416"/>
      <c r="D1333" s="198" t="s">
        <v>21391</v>
      </c>
      <c r="E1333" s="198">
        <v>13</v>
      </c>
      <c r="F1333" s="199" t="s">
        <v>21392</v>
      </c>
      <c r="G1333" s="1" t="s">
        <v>21393</v>
      </c>
      <c r="H1333" s="1" t="s">
        <v>21394</v>
      </c>
      <c r="I1333" s="351" t="s">
        <v>21395</v>
      </c>
      <c r="J1333" s="39">
        <v>114666</v>
      </c>
      <c r="K1333" s="36" t="str">
        <f>CONCATENATE(Cover!$D$6,"fdd/view?i=",J1333)</f>
        <v>https://www.dgiwg.org/FAD/fdd/view?i=114666</v>
      </c>
      <c r="L1333" s="36" t="s">
        <v>21396</v>
      </c>
      <c r="M1333" s="186"/>
      <c r="N1333" s="186"/>
      <c r="O1333" s="13" t="s">
        <v>21390</v>
      </c>
    </row>
    <row r="1334" spans="1:15" ht="38.25" x14ac:dyDescent="0.2">
      <c r="A1334" s="197" t="str">
        <f t="shared" si="20"/>
        <v>AaaCode_rnavEquipment</v>
      </c>
      <c r="B1334" s="409"/>
      <c r="C1334" s="416"/>
      <c r="D1334" s="198" t="s">
        <v>21398</v>
      </c>
      <c r="E1334" s="198">
        <v>42</v>
      </c>
      <c r="F1334" s="199" t="s">
        <v>21399</v>
      </c>
      <c r="G1334" s="1" t="s">
        <v>21400</v>
      </c>
      <c r="H1334" s="1" t="s">
        <v>21164</v>
      </c>
      <c r="I1334" s="351" t="s">
        <v>21401</v>
      </c>
      <c r="J1334" s="39">
        <v>114695</v>
      </c>
      <c r="K1334" s="36" t="str">
        <f>CONCATENATE(Cover!$D$6,"fdd/view?i=",J1334)</f>
        <v>https://www.dgiwg.org/FAD/fdd/view?i=114695</v>
      </c>
      <c r="L1334" s="36" t="s">
        <v>21402</v>
      </c>
      <c r="M1334" s="186"/>
      <c r="N1334" s="186"/>
      <c r="O1334" s="13" t="s">
        <v>21397</v>
      </c>
    </row>
    <row r="1335" spans="1:15" ht="38.25" x14ac:dyDescent="0.2">
      <c r="A1335" s="197" t="str">
        <f t="shared" si="20"/>
        <v>AaaCode_rvsmEquipment</v>
      </c>
      <c r="B1335" s="409"/>
      <c r="C1335" s="416"/>
      <c r="D1335" s="198" t="s">
        <v>21404</v>
      </c>
      <c r="E1335" s="198">
        <v>43</v>
      </c>
      <c r="F1335" s="199" t="s">
        <v>21405</v>
      </c>
      <c r="G1335" s="1" t="s">
        <v>21406</v>
      </c>
      <c r="H1335" s="1" t="s">
        <v>21164</v>
      </c>
      <c r="I1335" s="351" t="s">
        <v>21407</v>
      </c>
      <c r="J1335" s="39">
        <v>114696</v>
      </c>
      <c r="K1335" s="36" t="str">
        <f>CONCATENATE(Cover!$D$6,"fdd/view?i=",J1335)</f>
        <v>https://www.dgiwg.org/FAD/fdd/view?i=114696</v>
      </c>
      <c r="L1335" s="36" t="s">
        <v>21408</v>
      </c>
      <c r="M1335" s="186"/>
      <c r="N1335" s="186"/>
      <c r="O1335" s="13" t="s">
        <v>21403</v>
      </c>
    </row>
    <row r="1336" spans="1:15" ht="25.5" x14ac:dyDescent="0.2">
      <c r="A1336" s="197" t="str">
        <f t="shared" si="20"/>
        <v>AaaCode_seasonalCropDusting</v>
      </c>
      <c r="B1336" s="409"/>
      <c r="C1336" s="416"/>
      <c r="D1336" s="198" t="s">
        <v>21410</v>
      </c>
      <c r="E1336" s="198">
        <v>44</v>
      </c>
      <c r="F1336" s="199" t="s">
        <v>21411</v>
      </c>
      <c r="G1336" s="1" t="s">
        <v>21412</v>
      </c>
      <c r="H1336" s="1" t="s">
        <v>21196</v>
      </c>
      <c r="I1336" s="346"/>
      <c r="J1336" s="39">
        <v>114697</v>
      </c>
      <c r="K1336" s="36" t="str">
        <f>CONCATENATE(Cover!$D$6,"fdd/view?i=",J1336)</f>
        <v>https://www.dgiwg.org/FAD/fdd/view?i=114697</v>
      </c>
      <c r="L1336" s="36" t="s">
        <v>21413</v>
      </c>
      <c r="M1336" s="186"/>
      <c r="N1336" s="186"/>
      <c r="O1336" s="13" t="s">
        <v>21409</v>
      </c>
    </row>
    <row r="1337" spans="1:15" ht="38.25" x14ac:dyDescent="0.2">
      <c r="A1337" s="197" t="str">
        <f t="shared" si="20"/>
        <v>AaaCode_sensitiveFauna</v>
      </c>
      <c r="B1337" s="409"/>
      <c r="C1337" s="416"/>
      <c r="D1337" s="198" t="s">
        <v>21415</v>
      </c>
      <c r="E1337" s="198">
        <v>45</v>
      </c>
      <c r="F1337" s="199" t="s">
        <v>21416</v>
      </c>
      <c r="G1337" s="1" t="s">
        <v>21417</v>
      </c>
      <c r="H1337" s="1" t="s">
        <v>21418</v>
      </c>
      <c r="I1337" s="346"/>
      <c r="J1337" s="39">
        <v>114698</v>
      </c>
      <c r="K1337" s="36" t="str">
        <f>CONCATENATE(Cover!$D$6,"fdd/view?i=",J1337)</f>
        <v>https://www.dgiwg.org/FAD/fdd/view?i=114698</v>
      </c>
      <c r="L1337" s="36" t="s">
        <v>21419</v>
      </c>
      <c r="M1337" s="186"/>
      <c r="N1337" s="186"/>
      <c r="O1337" s="13" t="s">
        <v>21414</v>
      </c>
    </row>
    <row r="1338" spans="1:15" ht="25.5" x14ac:dyDescent="0.2">
      <c r="A1338" s="197" t="str">
        <f t="shared" si="20"/>
        <v>AaaCode_shootingFromGround</v>
      </c>
      <c r="B1338" s="409"/>
      <c r="C1338" s="416"/>
      <c r="D1338" s="198" t="s">
        <v>21421</v>
      </c>
      <c r="E1338" s="198">
        <v>47</v>
      </c>
      <c r="F1338" s="199" t="s">
        <v>21422</v>
      </c>
      <c r="G1338" s="1" t="s">
        <v>21423</v>
      </c>
      <c r="H1338" s="1" t="s">
        <v>21424</v>
      </c>
      <c r="I1338" s="346"/>
      <c r="J1338" s="39">
        <v>114700</v>
      </c>
      <c r="K1338" s="36" t="str">
        <f>CONCATENATE(Cover!$D$6,"fdd/view?i=",J1338)</f>
        <v>https://www.dgiwg.org/FAD/fdd/view?i=114700</v>
      </c>
      <c r="L1338" s="36" t="s">
        <v>21425</v>
      </c>
      <c r="M1338" s="186"/>
      <c r="N1338" s="186"/>
      <c r="O1338" s="13" t="s">
        <v>21420</v>
      </c>
    </row>
    <row r="1339" spans="1:15" ht="25.5" x14ac:dyDescent="0.2">
      <c r="A1339" s="197" t="str">
        <f t="shared" si="20"/>
        <v>AaaCode_spaceFlightOperations</v>
      </c>
      <c r="B1339" s="409"/>
      <c r="C1339" s="416"/>
      <c r="D1339" s="198" t="s">
        <v>21427</v>
      </c>
      <c r="E1339" s="198">
        <v>48</v>
      </c>
      <c r="F1339" s="199" t="s">
        <v>21428</v>
      </c>
      <c r="G1339" s="1" t="s">
        <v>21429</v>
      </c>
      <c r="H1339" s="1" t="s">
        <v>21196</v>
      </c>
      <c r="I1339" s="346"/>
      <c r="J1339" s="39">
        <v>114701</v>
      </c>
      <c r="K1339" s="36" t="str">
        <f>CONCATENATE(Cover!$D$6,"fdd/view?i=",J1339)</f>
        <v>https://www.dgiwg.org/FAD/fdd/view?i=114701</v>
      </c>
      <c r="L1339" s="36" t="s">
        <v>21430</v>
      </c>
      <c r="M1339" s="186"/>
      <c r="N1339" s="186"/>
      <c r="O1339" s="13" t="s">
        <v>21426</v>
      </c>
    </row>
    <row r="1340" spans="1:15" ht="25.5" x14ac:dyDescent="0.2">
      <c r="A1340" s="197" t="str">
        <f t="shared" si="20"/>
        <v>AaaCode_specialEquipment</v>
      </c>
      <c r="B1340" s="409"/>
      <c r="C1340" s="416"/>
      <c r="D1340" s="198" t="s">
        <v>21432</v>
      </c>
      <c r="E1340" s="198">
        <v>49</v>
      </c>
      <c r="F1340" s="199" t="s">
        <v>21433</v>
      </c>
      <c r="G1340" s="1" t="s">
        <v>21434</v>
      </c>
      <c r="H1340" s="1" t="s">
        <v>21164</v>
      </c>
      <c r="I1340" s="346"/>
      <c r="J1340" s="39">
        <v>114702</v>
      </c>
      <c r="K1340" s="36" t="str">
        <f>CONCATENATE(Cover!$D$6,"fdd/view?i=",J1340)</f>
        <v>https://www.dgiwg.org/FAD/fdd/view?i=114702</v>
      </c>
      <c r="L1340" s="36" t="s">
        <v>21435</v>
      </c>
      <c r="M1340" s="186"/>
      <c r="N1340" s="186"/>
      <c r="O1340" s="13" t="s">
        <v>21431</v>
      </c>
    </row>
    <row r="1341" spans="1:15" ht="25.5" x14ac:dyDescent="0.2">
      <c r="A1341" s="197" t="str">
        <f t="shared" si="20"/>
        <v>AaaCode_specialProcedure</v>
      </c>
      <c r="B1341" s="409"/>
      <c r="C1341" s="416"/>
      <c r="D1341" s="198" t="s">
        <v>21437</v>
      </c>
      <c r="E1341" s="198">
        <v>50</v>
      </c>
      <c r="F1341" s="199" t="s">
        <v>21438</v>
      </c>
      <c r="G1341" s="1" t="s">
        <v>21439</v>
      </c>
      <c r="H1341" s="1" t="s">
        <v>21440</v>
      </c>
      <c r="I1341" s="346"/>
      <c r="J1341" s="39">
        <v>114703</v>
      </c>
      <c r="K1341" s="36" t="str">
        <f>CONCATENATE(Cover!$D$6,"fdd/view?i=",J1341)</f>
        <v>https://www.dgiwg.org/FAD/fdd/view?i=114703</v>
      </c>
      <c r="L1341" s="36" t="s">
        <v>21441</v>
      </c>
      <c r="M1341" s="186"/>
      <c r="N1341" s="186"/>
      <c r="O1341" s="13" t="s">
        <v>21436</v>
      </c>
    </row>
    <row r="1342" spans="1:15" ht="25.5" x14ac:dyDescent="0.2">
      <c r="A1342" s="197" t="str">
        <f t="shared" si="20"/>
        <v>AaaCode_targetTowing</v>
      </c>
      <c r="B1342" s="409"/>
      <c r="C1342" s="416"/>
      <c r="D1342" s="198" t="s">
        <v>21443</v>
      </c>
      <c r="E1342" s="198">
        <v>51</v>
      </c>
      <c r="F1342" s="199" t="s">
        <v>21444</v>
      </c>
      <c r="G1342" s="1" t="s">
        <v>21445</v>
      </c>
      <c r="H1342" s="1" t="s">
        <v>21178</v>
      </c>
      <c r="I1342" s="346"/>
      <c r="J1342" s="39">
        <v>114704</v>
      </c>
      <c r="K1342" s="36" t="str">
        <f>CONCATENATE(Cover!$D$6,"fdd/view?i=",J1342)</f>
        <v>https://www.dgiwg.org/FAD/fdd/view?i=114704</v>
      </c>
      <c r="L1342" s="36" t="s">
        <v>21446</v>
      </c>
      <c r="M1342" s="186"/>
      <c r="N1342" s="186"/>
      <c r="O1342" s="13" t="s">
        <v>21442</v>
      </c>
    </row>
    <row r="1343" spans="1:15" ht="25.5" x14ac:dyDescent="0.2">
      <c r="A1343" s="197" t="str">
        <f t="shared" si="20"/>
        <v>AaaCode_technicalActivity</v>
      </c>
      <c r="B1343" s="409"/>
      <c r="C1343" s="416"/>
      <c r="D1343" s="198" t="s">
        <v>21448</v>
      </c>
      <c r="E1343" s="198">
        <v>52</v>
      </c>
      <c r="F1343" s="199" t="s">
        <v>21449</v>
      </c>
      <c r="G1343" s="1" t="s">
        <v>21450</v>
      </c>
      <c r="H1343" s="1" t="s">
        <v>21257</v>
      </c>
      <c r="I1343" s="346"/>
      <c r="J1343" s="39">
        <v>114705</v>
      </c>
      <c r="K1343" s="36" t="str">
        <f>CONCATENATE(Cover!$D$6,"fdd/view?i=",J1343)</f>
        <v>https://www.dgiwg.org/FAD/fdd/view?i=114705</v>
      </c>
      <c r="L1343" s="36" t="s">
        <v>21451</v>
      </c>
      <c r="M1343" s="186"/>
      <c r="N1343" s="186"/>
      <c r="O1343" s="13" t="s">
        <v>21447</v>
      </c>
    </row>
    <row r="1344" spans="1:15" ht="25.5" x14ac:dyDescent="0.2">
      <c r="A1344" s="197" t="str">
        <f t="shared" si="20"/>
        <v>AaaCode_training</v>
      </c>
      <c r="B1344" s="409"/>
      <c r="C1344" s="416"/>
      <c r="D1344" s="198" t="s">
        <v>21453</v>
      </c>
      <c r="E1344" s="198">
        <v>53</v>
      </c>
      <c r="F1344" s="199" t="s">
        <v>21454</v>
      </c>
      <c r="G1344" s="1" t="s">
        <v>21455</v>
      </c>
      <c r="H1344" s="1" t="s">
        <v>21196</v>
      </c>
      <c r="I1344" s="346"/>
      <c r="J1344" s="39">
        <v>114706</v>
      </c>
      <c r="K1344" s="36" t="str">
        <f>CONCATENATE(Cover!$D$6,"fdd/view?i=",J1344)</f>
        <v>https://www.dgiwg.org/FAD/fdd/view?i=114706</v>
      </c>
      <c r="L1344" s="36" t="s">
        <v>21456</v>
      </c>
      <c r="M1344" s="186"/>
      <c r="N1344" s="186"/>
      <c r="O1344" s="13" t="s">
        <v>21452</v>
      </c>
    </row>
    <row r="1345" spans="1:15" ht="25.5" x14ac:dyDescent="0.2">
      <c r="A1345" s="197" t="str">
        <f t="shared" si="20"/>
        <v>AaaCode_ultraLightFlights</v>
      </c>
      <c r="B1345" s="409"/>
      <c r="C1345" s="416"/>
      <c r="D1345" s="198" t="s">
        <v>21458</v>
      </c>
      <c r="E1345" s="198">
        <v>54</v>
      </c>
      <c r="F1345" s="199" t="s">
        <v>21459</v>
      </c>
      <c r="G1345" s="1" t="s">
        <v>21460</v>
      </c>
      <c r="H1345" s="1" t="s">
        <v>21196</v>
      </c>
      <c r="I1345" s="346"/>
      <c r="J1345" s="39">
        <v>114707</v>
      </c>
      <c r="K1345" s="36" t="str">
        <f>CONCATENATE(Cover!$D$6,"fdd/view?i=",J1345)</f>
        <v>https://www.dgiwg.org/FAD/fdd/view?i=114707</v>
      </c>
      <c r="L1345" s="36" t="s">
        <v>21461</v>
      </c>
      <c r="M1345" s="186"/>
      <c r="N1345" s="186"/>
      <c r="O1345" s="13" t="s">
        <v>21457</v>
      </c>
    </row>
    <row r="1346" spans="1:15" ht="25.5" x14ac:dyDescent="0.2">
      <c r="A1346" s="197" t="str">
        <f t="shared" ref="A1346:A1409" si="21">HYPERLINK(K1346,L1346)</f>
        <v>AaaCode_underwaterExplosions</v>
      </c>
      <c r="B1346" s="409"/>
      <c r="C1346" s="416"/>
      <c r="D1346" s="198" t="s">
        <v>21463</v>
      </c>
      <c r="E1346" s="198">
        <v>55</v>
      </c>
      <c r="F1346" s="199" t="s">
        <v>21464</v>
      </c>
      <c r="G1346" s="1" t="s">
        <v>21465</v>
      </c>
      <c r="H1346" s="1" t="s">
        <v>21466</v>
      </c>
      <c r="I1346" s="346"/>
      <c r="J1346" s="39">
        <v>114708</v>
      </c>
      <c r="K1346" s="36" t="str">
        <f>CONCATENATE(Cover!$D$6,"fdd/view?i=",J1346)</f>
        <v>https://www.dgiwg.org/FAD/fdd/view?i=114708</v>
      </c>
      <c r="L1346" s="36" t="s">
        <v>21467</v>
      </c>
      <c r="M1346" s="186"/>
      <c r="N1346" s="186"/>
      <c r="O1346" s="13" t="s">
        <v>21462</v>
      </c>
    </row>
    <row r="1347" spans="1:15" ht="63.75" x14ac:dyDescent="0.2">
      <c r="A1347" s="197" t="str">
        <f t="shared" si="21"/>
        <v>AaaCode_unmannedAerialVehicles</v>
      </c>
      <c r="B1347" s="409"/>
      <c r="C1347" s="416"/>
      <c r="D1347" s="198" t="s">
        <v>21469</v>
      </c>
      <c r="E1347" s="198">
        <v>56</v>
      </c>
      <c r="F1347" s="199" t="s">
        <v>21470</v>
      </c>
      <c r="G1347" s="1" t="s">
        <v>21471</v>
      </c>
      <c r="H1347" s="1" t="s">
        <v>21472</v>
      </c>
      <c r="I1347" s="351" t="s">
        <v>21473</v>
      </c>
      <c r="J1347" s="39">
        <v>114709</v>
      </c>
      <c r="K1347" s="36" t="str">
        <f>CONCATENATE(Cover!$D$6,"fdd/view?i=",J1347)</f>
        <v>https://www.dgiwg.org/FAD/fdd/view?i=114709</v>
      </c>
      <c r="L1347" s="36" t="s">
        <v>21474</v>
      </c>
      <c r="M1347" s="186"/>
      <c r="N1347" s="186"/>
      <c r="O1347" s="13" t="s">
        <v>21468</v>
      </c>
    </row>
    <row r="1348" spans="1:15" ht="25.5" x14ac:dyDescent="0.2">
      <c r="A1348" s="197" t="str">
        <f t="shared" si="21"/>
        <v>AaaCode_vipPublicFigure</v>
      </c>
      <c r="B1348" s="409"/>
      <c r="C1348" s="416"/>
      <c r="D1348" s="198" t="s">
        <v>21476</v>
      </c>
      <c r="E1348" s="198">
        <v>58</v>
      </c>
      <c r="F1348" s="199" t="s">
        <v>21477</v>
      </c>
      <c r="G1348" s="1" t="s">
        <v>21478</v>
      </c>
      <c r="H1348" s="1" t="s">
        <v>21171</v>
      </c>
      <c r="I1348" s="346"/>
      <c r="J1348" s="39">
        <v>114711</v>
      </c>
      <c r="K1348" s="36" t="str">
        <f>CONCATENATE(Cover!$D$6,"fdd/view?i=",J1348)</f>
        <v>https://www.dgiwg.org/FAD/fdd/view?i=114711</v>
      </c>
      <c r="L1348" s="36" t="s">
        <v>21479</v>
      </c>
      <c r="M1348" s="186"/>
      <c r="N1348" s="186"/>
      <c r="O1348" s="13" t="s">
        <v>21475</v>
      </c>
    </row>
    <row r="1349" spans="1:15" ht="25.5" x14ac:dyDescent="0.2">
      <c r="A1349" s="203" t="str">
        <f t="shared" si="21"/>
        <v>AaaCode_vipVicePresident</v>
      </c>
      <c r="B1349" s="410"/>
      <c r="C1349" s="417"/>
      <c r="D1349" s="204" t="s">
        <v>21481</v>
      </c>
      <c r="E1349" s="204">
        <v>57</v>
      </c>
      <c r="F1349" s="205" t="s">
        <v>21482</v>
      </c>
      <c r="G1349" s="206" t="s">
        <v>21483</v>
      </c>
      <c r="H1349" s="206" t="s">
        <v>21171</v>
      </c>
      <c r="I1349" s="347"/>
      <c r="J1349" s="39">
        <v>114710</v>
      </c>
      <c r="K1349" s="36" t="str">
        <f>CONCATENATE(Cover!$D$6,"fdd/view?i=",J1349)</f>
        <v>https://www.dgiwg.org/FAD/fdd/view?i=114710</v>
      </c>
      <c r="L1349" s="36" t="s">
        <v>21484</v>
      </c>
      <c r="M1349" s="186"/>
      <c r="N1349" s="186"/>
      <c r="O1349" s="13" t="s">
        <v>21480</v>
      </c>
    </row>
    <row r="1350" spans="1:15" ht="25.5" x14ac:dyDescent="0.2">
      <c r="A1350" s="190" t="str">
        <f t="shared" si="21"/>
        <v>AcxCode_classA</v>
      </c>
      <c r="B1350" s="414" t="str">
        <f>HYPERLINK("[#]Datatypes!A140:L140","AcxCode")</f>
        <v>AcxCode</v>
      </c>
      <c r="C1350" s="415" t="s">
        <v>14694</v>
      </c>
      <c r="D1350" s="221" t="s">
        <v>21485</v>
      </c>
      <c r="E1350" s="221">
        <v>1</v>
      </c>
      <c r="F1350" s="222" t="s">
        <v>21486</v>
      </c>
      <c r="G1350" s="223" t="s">
        <v>21487</v>
      </c>
      <c r="H1350" s="224"/>
      <c r="I1350" s="345"/>
      <c r="J1350" s="39">
        <v>114716</v>
      </c>
      <c r="K1350" s="36" t="str">
        <f>CONCATENATE(Cover!$D$6,"fdd/view?i=",J1350)</f>
        <v>https://www.dgiwg.org/FAD/fdd/view?i=114716</v>
      </c>
      <c r="L1350" s="36" t="s">
        <v>21488</v>
      </c>
      <c r="M1350" s="186"/>
      <c r="N1350" s="186"/>
      <c r="O1350" s="13" t="s">
        <v>20920</v>
      </c>
    </row>
    <row r="1351" spans="1:15" ht="25.5" x14ac:dyDescent="0.2">
      <c r="A1351" s="197" t="str">
        <f t="shared" si="21"/>
        <v>AcxCode_classB</v>
      </c>
      <c r="B1351" s="409"/>
      <c r="C1351" s="416"/>
      <c r="D1351" s="198" t="s">
        <v>21489</v>
      </c>
      <c r="E1351" s="198">
        <v>2</v>
      </c>
      <c r="F1351" s="199" t="s">
        <v>21490</v>
      </c>
      <c r="G1351" s="1" t="s">
        <v>21491</v>
      </c>
      <c r="H1351" s="200"/>
      <c r="I1351" s="346"/>
      <c r="J1351" s="39">
        <v>114717</v>
      </c>
      <c r="K1351" s="36" t="str">
        <f>CONCATENATE(Cover!$D$6,"fdd/view?i=",J1351)</f>
        <v>https://www.dgiwg.org/FAD/fdd/view?i=114717</v>
      </c>
      <c r="L1351" s="36" t="s">
        <v>21492</v>
      </c>
      <c r="M1351" s="186"/>
      <c r="N1351" s="186"/>
      <c r="O1351" s="13" t="s">
        <v>20869</v>
      </c>
    </row>
    <row r="1352" spans="1:15" ht="38.25" x14ac:dyDescent="0.2">
      <c r="A1352" s="197" t="str">
        <f t="shared" si="21"/>
        <v>AcxCode_classC</v>
      </c>
      <c r="B1352" s="409"/>
      <c r="C1352" s="416"/>
      <c r="D1352" s="198" t="s">
        <v>21493</v>
      </c>
      <c r="E1352" s="198">
        <v>3</v>
      </c>
      <c r="F1352" s="199" t="s">
        <v>21494</v>
      </c>
      <c r="G1352" s="1" t="s">
        <v>21495</v>
      </c>
      <c r="H1352" s="1" t="s">
        <v>21496</v>
      </c>
      <c r="I1352" s="346"/>
      <c r="J1352" s="39">
        <v>114718</v>
      </c>
      <c r="K1352" s="36" t="str">
        <f>CONCATENATE(Cover!$D$6,"fdd/view?i=",J1352)</f>
        <v>https://www.dgiwg.org/FAD/fdd/view?i=114718</v>
      </c>
      <c r="L1352" s="36" t="s">
        <v>21497</v>
      </c>
      <c r="M1352" s="186"/>
      <c r="N1352" s="186"/>
      <c r="O1352" s="13" t="s">
        <v>20664</v>
      </c>
    </row>
    <row r="1353" spans="1:15" ht="51" x14ac:dyDescent="0.2">
      <c r="A1353" s="197" t="str">
        <f t="shared" si="21"/>
        <v>AcxCode_classD</v>
      </c>
      <c r="B1353" s="409"/>
      <c r="C1353" s="416"/>
      <c r="D1353" s="198" t="s">
        <v>21498</v>
      </c>
      <c r="E1353" s="198">
        <v>4</v>
      </c>
      <c r="F1353" s="199" t="s">
        <v>21499</v>
      </c>
      <c r="G1353" s="1" t="s">
        <v>21500</v>
      </c>
      <c r="H1353" s="200"/>
      <c r="I1353" s="346"/>
      <c r="J1353" s="39">
        <v>114719</v>
      </c>
      <c r="K1353" s="36" t="str">
        <f>CONCATENATE(Cover!$D$6,"fdd/view?i=",J1353)</f>
        <v>https://www.dgiwg.org/FAD/fdd/view?i=114719</v>
      </c>
      <c r="L1353" s="36" t="s">
        <v>21501</v>
      </c>
      <c r="M1353" s="186"/>
      <c r="N1353" s="186"/>
      <c r="O1353" s="13" t="s">
        <v>20933</v>
      </c>
    </row>
    <row r="1354" spans="1:15" ht="38.25" x14ac:dyDescent="0.2">
      <c r="A1354" s="197" t="str">
        <f t="shared" si="21"/>
        <v>AcxCode_classE</v>
      </c>
      <c r="B1354" s="409"/>
      <c r="C1354" s="416"/>
      <c r="D1354" s="198" t="s">
        <v>21502</v>
      </c>
      <c r="E1354" s="198">
        <v>5</v>
      </c>
      <c r="F1354" s="199" t="s">
        <v>21503</v>
      </c>
      <c r="G1354" s="1" t="s">
        <v>21504</v>
      </c>
      <c r="H1354" s="1" t="s">
        <v>21505</v>
      </c>
      <c r="I1354" s="346"/>
      <c r="J1354" s="39">
        <v>114720</v>
      </c>
      <c r="K1354" s="36" t="str">
        <f>CONCATENATE(Cover!$D$6,"fdd/view?i=",J1354)</f>
        <v>https://www.dgiwg.org/FAD/fdd/view?i=114720</v>
      </c>
      <c r="L1354" s="36" t="s">
        <v>21506</v>
      </c>
      <c r="M1354" s="186"/>
      <c r="N1354" s="186"/>
      <c r="O1354" s="13" t="s">
        <v>20938</v>
      </c>
    </row>
    <row r="1355" spans="1:15" ht="51" x14ac:dyDescent="0.2">
      <c r="A1355" s="197" t="str">
        <f t="shared" si="21"/>
        <v>AcxCode_classF</v>
      </c>
      <c r="B1355" s="409"/>
      <c r="C1355" s="416"/>
      <c r="D1355" s="198" t="s">
        <v>21507</v>
      </c>
      <c r="E1355" s="198">
        <v>6</v>
      </c>
      <c r="F1355" s="199" t="s">
        <v>21508</v>
      </c>
      <c r="G1355" s="1" t="s">
        <v>21509</v>
      </c>
      <c r="H1355" s="1" t="s">
        <v>21510</v>
      </c>
      <c r="I1355" s="346"/>
      <c r="J1355" s="39">
        <v>114721</v>
      </c>
      <c r="K1355" s="36" t="str">
        <f>CONCATENATE(Cover!$D$6,"fdd/view?i=",J1355)</f>
        <v>https://www.dgiwg.org/FAD/fdd/view?i=114721</v>
      </c>
      <c r="L1355" s="36" t="s">
        <v>21511</v>
      </c>
      <c r="M1355" s="186"/>
      <c r="N1355" s="186"/>
      <c r="O1355" s="13" t="s">
        <v>20876</v>
      </c>
    </row>
    <row r="1356" spans="1:15" ht="25.5" x14ac:dyDescent="0.2">
      <c r="A1356" s="203" t="str">
        <f t="shared" si="21"/>
        <v>AcxCode_classG</v>
      </c>
      <c r="B1356" s="410"/>
      <c r="C1356" s="417"/>
      <c r="D1356" s="204" t="s">
        <v>21513</v>
      </c>
      <c r="E1356" s="204">
        <v>7</v>
      </c>
      <c r="F1356" s="205" t="s">
        <v>21514</v>
      </c>
      <c r="G1356" s="206" t="s">
        <v>21515</v>
      </c>
      <c r="H1356" s="207"/>
      <c r="I1356" s="347"/>
      <c r="J1356" s="39">
        <v>114722</v>
      </c>
      <c r="K1356" s="36" t="str">
        <f>CONCATENATE(Cover!$D$6,"fdd/view?i=",J1356)</f>
        <v>https://www.dgiwg.org/FAD/fdd/view?i=114722</v>
      </c>
      <c r="L1356" s="36" t="s">
        <v>21516</v>
      </c>
      <c r="M1356" s="186"/>
      <c r="N1356" s="186"/>
      <c r="O1356" s="13" t="s">
        <v>21512</v>
      </c>
    </row>
    <row r="1357" spans="1:15" ht="25.5" x14ac:dyDescent="0.2">
      <c r="A1357" s="190" t="str">
        <f t="shared" si="21"/>
        <v>AcoCode_bothCivilMilitaryControl</v>
      </c>
      <c r="B1357" s="414" t="str">
        <f>HYPERLINK("[#]Datatypes!A142:L142","AcoCode")</f>
        <v>AcoCode</v>
      </c>
      <c r="C1357" s="415" t="s">
        <v>14696</v>
      </c>
      <c r="D1357" s="221" t="s">
        <v>21517</v>
      </c>
      <c r="E1357" s="221">
        <v>3</v>
      </c>
      <c r="F1357" s="222" t="s">
        <v>21518</v>
      </c>
      <c r="G1357" s="223" t="s">
        <v>21519</v>
      </c>
      <c r="H1357" s="224"/>
      <c r="I1357" s="345"/>
      <c r="J1357" s="39">
        <v>114760</v>
      </c>
      <c r="K1357" s="36" t="str">
        <f>CONCATENATE(Cover!$D$6,"fdd/view?i=",J1357)</f>
        <v>https://www.dgiwg.org/FAD/fdd/view?i=114760</v>
      </c>
      <c r="L1357" s="36" t="s">
        <v>21520</v>
      </c>
      <c r="M1357" s="186"/>
      <c r="N1357" s="186"/>
      <c r="O1357" s="172"/>
    </row>
    <row r="1358" spans="1:15" ht="25.5" x14ac:dyDescent="0.2">
      <c r="A1358" s="197" t="str">
        <f t="shared" si="21"/>
        <v>AcoCode_civilControl</v>
      </c>
      <c r="B1358" s="409"/>
      <c r="C1358" s="416"/>
      <c r="D1358" s="198" t="s">
        <v>21521</v>
      </c>
      <c r="E1358" s="198">
        <v>2</v>
      </c>
      <c r="F1358" s="199" t="s">
        <v>21522</v>
      </c>
      <c r="G1358" s="1" t="s">
        <v>21523</v>
      </c>
      <c r="H1358" s="200"/>
      <c r="I1358" s="346"/>
      <c r="J1358" s="39">
        <v>114759</v>
      </c>
      <c r="K1358" s="36" t="str">
        <f>CONCATENATE(Cover!$D$6,"fdd/view?i=",J1358)</f>
        <v>https://www.dgiwg.org/FAD/fdd/view?i=114759</v>
      </c>
      <c r="L1358" s="36" t="s">
        <v>21524</v>
      </c>
      <c r="M1358" s="186"/>
      <c r="N1358" s="186"/>
      <c r="O1358" s="172"/>
    </row>
    <row r="1359" spans="1:15" ht="25.5" x14ac:dyDescent="0.2">
      <c r="A1359" s="203" t="str">
        <f t="shared" si="21"/>
        <v>AcoCode_militaryControl</v>
      </c>
      <c r="B1359" s="410"/>
      <c r="C1359" s="417"/>
      <c r="D1359" s="204" t="s">
        <v>21525</v>
      </c>
      <c r="E1359" s="204">
        <v>1</v>
      </c>
      <c r="F1359" s="205" t="s">
        <v>21526</v>
      </c>
      <c r="G1359" s="206" t="s">
        <v>21527</v>
      </c>
      <c r="H1359" s="207"/>
      <c r="I1359" s="347"/>
      <c r="J1359" s="39">
        <v>114758</v>
      </c>
      <c r="K1359" s="36" t="str">
        <f>CONCATENATE(Cover!$D$6,"fdd/view?i=",J1359)</f>
        <v>https://www.dgiwg.org/FAD/fdd/view?i=114758</v>
      </c>
      <c r="L1359" s="36" t="s">
        <v>21528</v>
      </c>
      <c r="M1359" s="186"/>
      <c r="N1359" s="186"/>
      <c r="O1359" s="172"/>
    </row>
    <row r="1360" spans="1:15" ht="76.5" x14ac:dyDescent="0.2">
      <c r="A1360" s="190" t="str">
        <f t="shared" si="21"/>
        <v>AtyCode_advisoryArea</v>
      </c>
      <c r="B1360" s="414" t="str">
        <f>HYPERLINK("[#]Datatypes!A144:L144","AtyCode")</f>
        <v>AtyCode</v>
      </c>
      <c r="C1360" s="415" t="s">
        <v>14698</v>
      </c>
      <c r="D1360" s="221" t="s">
        <v>21529</v>
      </c>
      <c r="E1360" s="221">
        <v>23</v>
      </c>
      <c r="F1360" s="222" t="s">
        <v>21530</v>
      </c>
      <c r="G1360" s="223" t="s">
        <v>21531</v>
      </c>
      <c r="H1360" s="223" t="s">
        <v>21532</v>
      </c>
      <c r="I1360" s="345"/>
      <c r="J1360" s="39">
        <v>114745</v>
      </c>
      <c r="K1360" s="36" t="str">
        <f>CONCATENATE(Cover!$D$6,"fdd/view?i=",J1360)</f>
        <v>https://www.dgiwg.org/FAD/fdd/view?i=114745</v>
      </c>
      <c r="L1360" s="36" t="s">
        <v>21533</v>
      </c>
      <c r="M1360" s="186"/>
      <c r="N1360" s="186"/>
      <c r="O1360" s="172"/>
    </row>
    <row r="1361" spans="1:15" ht="25.5" x14ac:dyDescent="0.2">
      <c r="A1361" s="197" t="str">
        <f t="shared" si="21"/>
        <v>AtyCode_aerodromeTrafficZone</v>
      </c>
      <c r="B1361" s="409"/>
      <c r="C1361" s="416"/>
      <c r="D1361" s="198" t="s">
        <v>21534</v>
      </c>
      <c r="E1361" s="198">
        <v>26</v>
      </c>
      <c r="F1361" s="199" t="s">
        <v>21535</v>
      </c>
      <c r="G1361" s="1" t="s">
        <v>21536</v>
      </c>
      <c r="H1361" s="1" t="s">
        <v>21537</v>
      </c>
      <c r="I1361" s="346"/>
      <c r="J1361" s="39">
        <v>114748</v>
      </c>
      <c r="K1361" s="36" t="str">
        <f>CONCATENATE(Cover!$D$6,"fdd/view?i=",J1361)</f>
        <v>https://www.dgiwg.org/FAD/fdd/view?i=114748</v>
      </c>
      <c r="L1361" s="36" t="s">
        <v>21538</v>
      </c>
      <c r="M1361" s="186"/>
      <c r="N1361" s="186"/>
      <c r="O1361" s="172"/>
    </row>
    <row r="1362" spans="1:15" ht="51" x14ac:dyDescent="0.2">
      <c r="A1362" s="197" t="str">
        <f t="shared" si="21"/>
        <v>AtyCode_airDefenseIdentZone</v>
      </c>
      <c r="B1362" s="409"/>
      <c r="C1362" s="416"/>
      <c r="D1362" s="198" t="s">
        <v>21540</v>
      </c>
      <c r="E1362" s="198">
        <v>1</v>
      </c>
      <c r="F1362" s="199" t="s">
        <v>21541</v>
      </c>
      <c r="G1362" s="1" t="s">
        <v>21542</v>
      </c>
      <c r="H1362" s="1" t="s">
        <v>21537</v>
      </c>
      <c r="I1362" s="346"/>
      <c r="J1362" s="39">
        <v>114723</v>
      </c>
      <c r="K1362" s="36" t="str">
        <f>CONCATENATE(Cover!$D$6,"fdd/view?i=",J1362)</f>
        <v>https://www.dgiwg.org/FAD/fdd/view?i=114723</v>
      </c>
      <c r="L1362" s="36" t="s">
        <v>21543</v>
      </c>
      <c r="M1362" s="186"/>
      <c r="N1362" s="186"/>
      <c r="O1362" s="13" t="s">
        <v>21539</v>
      </c>
    </row>
    <row r="1363" spans="1:15" ht="25.5" x14ac:dyDescent="0.2">
      <c r="A1363" s="197" t="str">
        <f t="shared" si="21"/>
        <v>AtyCode_airway</v>
      </c>
      <c r="B1363" s="409"/>
      <c r="C1363" s="416"/>
      <c r="D1363" s="198" t="s">
        <v>21545</v>
      </c>
      <c r="E1363" s="198">
        <v>2</v>
      </c>
      <c r="F1363" s="199" t="s">
        <v>21546</v>
      </c>
      <c r="G1363" s="1" t="s">
        <v>21547</v>
      </c>
      <c r="H1363" s="1" t="s">
        <v>21548</v>
      </c>
      <c r="I1363" s="346"/>
      <c r="J1363" s="39">
        <v>114724</v>
      </c>
      <c r="K1363" s="36" t="str">
        <f>CONCATENATE(Cover!$D$6,"fdd/view?i=",J1363)</f>
        <v>https://www.dgiwg.org/FAD/fdd/view?i=114724</v>
      </c>
      <c r="L1363" s="36" t="s">
        <v>21549</v>
      </c>
      <c r="M1363" s="186"/>
      <c r="N1363" s="186"/>
      <c r="O1363" s="13" t="s">
        <v>21544</v>
      </c>
    </row>
    <row r="1364" spans="1:15" ht="38.25" x14ac:dyDescent="0.2">
      <c r="A1364" s="197" t="str">
        <f t="shared" si="21"/>
        <v>AtyCode_alertArea</v>
      </c>
      <c r="B1364" s="409"/>
      <c r="C1364" s="416"/>
      <c r="D1364" s="198" t="s">
        <v>21550</v>
      </c>
      <c r="E1364" s="198">
        <v>3</v>
      </c>
      <c r="F1364" s="199" t="s">
        <v>21551</v>
      </c>
      <c r="G1364" s="1" t="s">
        <v>21552</v>
      </c>
      <c r="H1364" s="1" t="s">
        <v>21553</v>
      </c>
      <c r="I1364" s="346"/>
      <c r="J1364" s="39">
        <v>114725</v>
      </c>
      <c r="K1364" s="36" t="str">
        <f>CONCATENATE(Cover!$D$6,"fdd/view?i=",J1364)</f>
        <v>https://www.dgiwg.org/FAD/fdd/view?i=114725</v>
      </c>
      <c r="L1364" s="36" t="s">
        <v>21554</v>
      </c>
      <c r="M1364" s="186"/>
      <c r="N1364" s="186"/>
      <c r="O1364" s="13" t="s">
        <v>20920</v>
      </c>
    </row>
    <row r="1365" spans="1:15" ht="38.25" x14ac:dyDescent="0.2">
      <c r="A1365" s="197" t="str">
        <f t="shared" si="21"/>
        <v>AtyCode_altimeterSettingRegion</v>
      </c>
      <c r="B1365" s="409"/>
      <c r="C1365" s="416"/>
      <c r="D1365" s="198" t="s">
        <v>21556</v>
      </c>
      <c r="E1365" s="198">
        <v>4</v>
      </c>
      <c r="F1365" s="199" t="s">
        <v>21557</v>
      </c>
      <c r="G1365" s="1" t="s">
        <v>21558</v>
      </c>
      <c r="H1365" s="1" t="s">
        <v>21559</v>
      </c>
      <c r="I1365" s="346"/>
      <c r="J1365" s="39">
        <v>114726</v>
      </c>
      <c r="K1365" s="36" t="str">
        <f>CONCATENATE(Cover!$D$6,"fdd/view?i=",J1365)</f>
        <v>https://www.dgiwg.org/FAD/fdd/view?i=114726</v>
      </c>
      <c r="L1365" s="36" t="s">
        <v>21560</v>
      </c>
      <c r="M1365" s="186"/>
      <c r="N1365" s="186"/>
      <c r="O1365" s="13" t="s">
        <v>21555</v>
      </c>
    </row>
    <row r="1366" spans="1:15" ht="25.5" x14ac:dyDescent="0.2">
      <c r="A1366" s="197" t="str">
        <f t="shared" si="21"/>
        <v>AtyCode_amcManageableDangerArea</v>
      </c>
      <c r="B1366" s="409"/>
      <c r="C1366" s="416"/>
      <c r="D1366" s="198" t="s">
        <v>21562</v>
      </c>
      <c r="E1366" s="198">
        <v>5</v>
      </c>
      <c r="F1366" s="199" t="s">
        <v>21563</v>
      </c>
      <c r="G1366" s="1" t="s">
        <v>21564</v>
      </c>
      <c r="H1366" s="1" t="s">
        <v>21565</v>
      </c>
      <c r="I1366" s="346"/>
      <c r="J1366" s="39">
        <v>114727</v>
      </c>
      <c r="K1366" s="36" t="str">
        <f>CONCATENATE(Cover!$D$6,"fdd/view?i=",J1366)</f>
        <v>https://www.dgiwg.org/FAD/fdd/view?i=114727</v>
      </c>
      <c r="L1366" s="36" t="s">
        <v>21566</v>
      </c>
      <c r="M1366" s="186"/>
      <c r="N1366" s="186"/>
      <c r="O1366" s="13" t="s">
        <v>21561</v>
      </c>
    </row>
    <row r="1367" spans="1:15" ht="25.5" x14ac:dyDescent="0.2">
      <c r="A1367" s="197" t="str">
        <f t="shared" si="21"/>
        <v>AtyCode_amcManageableRestrictArea</v>
      </c>
      <c r="B1367" s="409"/>
      <c r="C1367" s="416"/>
      <c r="D1367" s="198" t="s">
        <v>21568</v>
      </c>
      <c r="E1367" s="198">
        <v>6</v>
      </c>
      <c r="F1367" s="199" t="s">
        <v>21569</v>
      </c>
      <c r="G1367" s="1" t="s">
        <v>21570</v>
      </c>
      <c r="H1367" s="1" t="s">
        <v>21565</v>
      </c>
      <c r="I1367" s="346"/>
      <c r="J1367" s="39">
        <v>114728</v>
      </c>
      <c r="K1367" s="36" t="str">
        <f>CONCATENATE(Cover!$D$6,"fdd/view?i=",J1367)</f>
        <v>https://www.dgiwg.org/FAD/fdd/view?i=114728</v>
      </c>
      <c r="L1367" s="36" t="s">
        <v>21571</v>
      </c>
      <c r="M1367" s="186"/>
      <c r="N1367" s="186"/>
      <c r="O1367" s="13" t="s">
        <v>21567</v>
      </c>
    </row>
    <row r="1368" spans="1:15" ht="63.75" x14ac:dyDescent="0.2">
      <c r="A1368" s="197" t="str">
        <f t="shared" si="21"/>
        <v>AtyCode_areaMinimumAltitude</v>
      </c>
      <c r="B1368" s="409"/>
      <c r="C1368" s="416"/>
      <c r="D1368" s="198" t="s">
        <v>6805</v>
      </c>
      <c r="E1368" s="198">
        <v>13</v>
      </c>
      <c r="F1368" s="199" t="s">
        <v>21573</v>
      </c>
      <c r="G1368" s="1" t="s">
        <v>21574</v>
      </c>
      <c r="H1368" s="1" t="s">
        <v>21575</v>
      </c>
      <c r="I1368" s="346"/>
      <c r="J1368" s="39">
        <v>114735</v>
      </c>
      <c r="K1368" s="36" t="str">
        <f>CONCATENATE(Cover!$D$6,"fdd/view?i=",J1368)</f>
        <v>https://www.dgiwg.org/FAD/fdd/view?i=114735</v>
      </c>
      <c r="L1368" s="36" t="s">
        <v>21576</v>
      </c>
      <c r="M1368" s="186"/>
      <c r="N1368" s="186"/>
      <c r="O1368" s="13" t="s">
        <v>21572</v>
      </c>
    </row>
    <row r="1369" spans="1:15" ht="25.5" x14ac:dyDescent="0.2">
      <c r="A1369" s="197" t="str">
        <f t="shared" si="21"/>
        <v>AtyCode_controlArea</v>
      </c>
      <c r="B1369" s="409"/>
      <c r="C1369" s="416"/>
      <c r="D1369" s="198" t="s">
        <v>21578</v>
      </c>
      <c r="E1369" s="198">
        <v>7</v>
      </c>
      <c r="F1369" s="199" t="s">
        <v>21579</v>
      </c>
      <c r="G1369" s="1" t="s">
        <v>21580</v>
      </c>
      <c r="H1369" s="1" t="s">
        <v>21537</v>
      </c>
      <c r="I1369" s="346"/>
      <c r="J1369" s="39">
        <v>114729</v>
      </c>
      <c r="K1369" s="36" t="str">
        <f>CONCATENATE(Cover!$D$6,"fdd/view?i=",J1369)</f>
        <v>https://www.dgiwg.org/FAD/fdd/view?i=114729</v>
      </c>
      <c r="L1369" s="36" t="s">
        <v>21581</v>
      </c>
      <c r="M1369" s="186"/>
      <c r="N1369" s="186"/>
      <c r="O1369" s="13" t="s">
        <v>21577</v>
      </c>
    </row>
    <row r="1370" spans="1:15" ht="38.25" x14ac:dyDescent="0.2">
      <c r="A1370" s="197" t="str">
        <f t="shared" si="21"/>
        <v>AtyCode_controlSector</v>
      </c>
      <c r="B1370" s="409"/>
      <c r="C1370" s="416"/>
      <c r="D1370" s="198" t="s">
        <v>21583</v>
      </c>
      <c r="E1370" s="198">
        <v>8</v>
      </c>
      <c r="F1370" s="199" t="s">
        <v>21584</v>
      </c>
      <c r="G1370" s="1" t="s">
        <v>21585</v>
      </c>
      <c r="H1370" s="1" t="s">
        <v>21537</v>
      </c>
      <c r="I1370" s="346"/>
      <c r="J1370" s="39">
        <v>114730</v>
      </c>
      <c r="K1370" s="36" t="str">
        <f>CONCATENATE(Cover!$D$6,"fdd/view?i=",J1370)</f>
        <v>https://www.dgiwg.org/FAD/fdd/view?i=114730</v>
      </c>
      <c r="L1370" s="36" t="s">
        <v>21586</v>
      </c>
      <c r="M1370" s="186"/>
      <c r="N1370" s="186"/>
      <c r="O1370" s="13" t="s">
        <v>21582</v>
      </c>
    </row>
    <row r="1371" spans="1:15" ht="25.5" x14ac:dyDescent="0.2">
      <c r="A1371" s="197" t="str">
        <f t="shared" si="21"/>
        <v>AtyCode_controlZone</v>
      </c>
      <c r="B1371" s="409"/>
      <c r="C1371" s="416"/>
      <c r="D1371" s="198" t="s">
        <v>21588</v>
      </c>
      <c r="E1371" s="198">
        <v>9</v>
      </c>
      <c r="F1371" s="199" t="s">
        <v>21589</v>
      </c>
      <c r="G1371" s="1" t="s">
        <v>21590</v>
      </c>
      <c r="H1371" s="1" t="s">
        <v>21537</v>
      </c>
      <c r="I1371" s="346"/>
      <c r="J1371" s="39">
        <v>114731</v>
      </c>
      <c r="K1371" s="36" t="str">
        <f>CONCATENATE(Cover!$D$6,"fdd/view?i=",J1371)</f>
        <v>https://www.dgiwg.org/FAD/fdd/view?i=114731</v>
      </c>
      <c r="L1371" s="36" t="s">
        <v>21591</v>
      </c>
      <c r="M1371" s="186"/>
      <c r="N1371" s="186"/>
      <c r="O1371" s="13" t="s">
        <v>21587</v>
      </c>
    </row>
    <row r="1372" spans="1:15" ht="25.5" x14ac:dyDescent="0.2">
      <c r="A1372" s="197" t="str">
        <f t="shared" si="21"/>
        <v>AtyCode_crossBorderArea</v>
      </c>
      <c r="B1372" s="409"/>
      <c r="C1372" s="416"/>
      <c r="D1372" s="198" t="s">
        <v>21593</v>
      </c>
      <c r="E1372" s="198">
        <v>10</v>
      </c>
      <c r="F1372" s="199" t="s">
        <v>21594</v>
      </c>
      <c r="G1372" s="1" t="s">
        <v>21595</v>
      </c>
      <c r="H1372" s="1" t="s">
        <v>21565</v>
      </c>
      <c r="I1372" s="346"/>
      <c r="J1372" s="39">
        <v>114732</v>
      </c>
      <c r="K1372" s="36" t="str">
        <f>CONCATENATE(Cover!$D$6,"fdd/view?i=",J1372)</f>
        <v>https://www.dgiwg.org/FAD/fdd/view?i=114732</v>
      </c>
      <c r="L1372" s="36" t="s">
        <v>21596</v>
      </c>
      <c r="M1372" s="186"/>
      <c r="N1372" s="186"/>
      <c r="O1372" s="13" t="s">
        <v>21592</v>
      </c>
    </row>
    <row r="1373" spans="1:15" ht="25.5" x14ac:dyDescent="0.2">
      <c r="A1373" s="197" t="str">
        <f t="shared" si="21"/>
        <v>AtyCode_dangerArea</v>
      </c>
      <c r="B1373" s="409"/>
      <c r="C1373" s="416"/>
      <c r="D1373" s="198" t="s">
        <v>21597</v>
      </c>
      <c r="E1373" s="198">
        <v>11</v>
      </c>
      <c r="F1373" s="199" t="s">
        <v>21598</v>
      </c>
      <c r="G1373" s="1" t="s">
        <v>21599</v>
      </c>
      <c r="H1373" s="1" t="s">
        <v>21537</v>
      </c>
      <c r="I1373" s="346"/>
      <c r="J1373" s="39">
        <v>114733</v>
      </c>
      <c r="K1373" s="36" t="str">
        <f>CONCATENATE(Cover!$D$6,"fdd/view?i=",J1373)</f>
        <v>https://www.dgiwg.org/FAD/fdd/view?i=114733</v>
      </c>
      <c r="L1373" s="36" t="s">
        <v>21600</v>
      </c>
      <c r="M1373" s="186"/>
      <c r="N1373" s="186"/>
      <c r="O1373" s="13" t="s">
        <v>20933</v>
      </c>
    </row>
    <row r="1374" spans="1:15" ht="25.5" x14ac:dyDescent="0.2">
      <c r="A1374" s="197" t="str">
        <f t="shared" si="21"/>
        <v>AtyCode_flightInformationRegion</v>
      </c>
      <c r="B1374" s="409"/>
      <c r="C1374" s="416"/>
      <c r="D1374" s="198" t="s">
        <v>21602</v>
      </c>
      <c r="E1374" s="198">
        <v>12</v>
      </c>
      <c r="F1374" s="199" t="s">
        <v>21603</v>
      </c>
      <c r="G1374" s="1" t="s">
        <v>21604</v>
      </c>
      <c r="H1374" s="1" t="s">
        <v>21605</v>
      </c>
      <c r="I1374" s="346"/>
      <c r="J1374" s="39">
        <v>114734</v>
      </c>
      <c r="K1374" s="36" t="str">
        <f>CONCATENATE(Cover!$D$6,"fdd/view?i=",J1374)</f>
        <v>https://www.dgiwg.org/FAD/fdd/view?i=114734</v>
      </c>
      <c r="L1374" s="36" t="s">
        <v>21606</v>
      </c>
      <c r="M1374" s="186"/>
      <c r="N1374" s="186"/>
      <c r="O1374" s="13" t="s">
        <v>21601</v>
      </c>
    </row>
    <row r="1375" spans="1:15" ht="51" x14ac:dyDescent="0.2">
      <c r="A1375" s="197" t="str">
        <f t="shared" si="21"/>
        <v>AtyCode_frenchPeripheralZone</v>
      </c>
      <c r="B1375" s="409"/>
      <c r="C1375" s="416"/>
      <c r="D1375" s="198" t="s">
        <v>21607</v>
      </c>
      <c r="E1375" s="198">
        <v>30</v>
      </c>
      <c r="F1375" s="199" t="s">
        <v>21608</v>
      </c>
      <c r="G1375" s="1" t="s">
        <v>21609</v>
      </c>
      <c r="H1375" s="1" t="s">
        <v>21610</v>
      </c>
      <c r="I1375" s="346"/>
      <c r="J1375" s="39">
        <v>114752</v>
      </c>
      <c r="K1375" s="36" t="str">
        <f>CONCATENATE(Cover!$D$6,"fdd/view?i=",J1375)</f>
        <v>https://www.dgiwg.org/FAD/fdd/view?i=114752</v>
      </c>
      <c r="L1375" s="36" t="s">
        <v>21611</v>
      </c>
      <c r="M1375" s="186"/>
      <c r="N1375" s="186"/>
      <c r="O1375" s="172"/>
    </row>
    <row r="1376" spans="1:15" ht="51" x14ac:dyDescent="0.2">
      <c r="A1376" s="197" t="str">
        <f t="shared" si="21"/>
        <v>AtyCode_germanDeconflictionLine</v>
      </c>
      <c r="B1376" s="409"/>
      <c r="C1376" s="416"/>
      <c r="D1376" s="198" t="s">
        <v>21612</v>
      </c>
      <c r="E1376" s="198">
        <v>33</v>
      </c>
      <c r="F1376" s="199" t="s">
        <v>21613</v>
      </c>
      <c r="G1376" s="1" t="s">
        <v>21614</v>
      </c>
      <c r="H1376" s="1" t="s">
        <v>21615</v>
      </c>
      <c r="I1376" s="346"/>
      <c r="J1376" s="39">
        <v>114755</v>
      </c>
      <c r="K1376" s="36" t="str">
        <f>CONCATENATE(Cover!$D$6,"fdd/view?i=",J1376)</f>
        <v>https://www.dgiwg.org/FAD/fdd/view?i=114755</v>
      </c>
      <c r="L1376" s="36" t="s">
        <v>21616</v>
      </c>
      <c r="M1376" s="186"/>
      <c r="N1376" s="186"/>
      <c r="O1376" s="172"/>
    </row>
    <row r="1377" spans="1:15" ht="25.5" x14ac:dyDescent="0.2">
      <c r="A1377" s="197" t="str">
        <f t="shared" si="21"/>
        <v>AtyCode_germanLowFlyAreas250Feet</v>
      </c>
      <c r="B1377" s="409"/>
      <c r="C1377" s="416"/>
      <c r="D1377" s="198" t="s">
        <v>21617</v>
      </c>
      <c r="E1377" s="198">
        <v>34</v>
      </c>
      <c r="F1377" s="199" t="s">
        <v>21618</v>
      </c>
      <c r="G1377" s="1" t="s">
        <v>21619</v>
      </c>
      <c r="H1377" s="1" t="s">
        <v>21615</v>
      </c>
      <c r="I1377" s="346"/>
      <c r="J1377" s="39">
        <v>114756</v>
      </c>
      <c r="K1377" s="36" t="str">
        <f>CONCATENATE(Cover!$D$6,"fdd/view?i=",J1377)</f>
        <v>https://www.dgiwg.org/FAD/fdd/view?i=114756</v>
      </c>
      <c r="L1377" s="36" t="s">
        <v>21620</v>
      </c>
      <c r="M1377" s="186"/>
      <c r="N1377" s="186"/>
      <c r="O1377" s="172"/>
    </row>
    <row r="1378" spans="1:15" ht="51" x14ac:dyDescent="0.2">
      <c r="A1378" s="197" t="str">
        <f t="shared" si="21"/>
        <v>AtyCode_germanNightLowFlyingSys</v>
      </c>
      <c r="B1378" s="409"/>
      <c r="C1378" s="416"/>
      <c r="D1378" s="198" t="s">
        <v>21621</v>
      </c>
      <c r="E1378" s="198">
        <v>32</v>
      </c>
      <c r="F1378" s="199" t="s">
        <v>21622</v>
      </c>
      <c r="G1378" s="1" t="s">
        <v>21623</v>
      </c>
      <c r="H1378" s="1" t="s">
        <v>21624</v>
      </c>
      <c r="I1378" s="346"/>
      <c r="J1378" s="39">
        <v>114754</v>
      </c>
      <c r="K1378" s="36" t="str">
        <f>CONCATENATE(Cover!$D$6,"fdd/view?i=",J1378)</f>
        <v>https://www.dgiwg.org/FAD/fdd/view?i=114754</v>
      </c>
      <c r="L1378" s="36" t="s">
        <v>21625</v>
      </c>
      <c r="M1378" s="186"/>
      <c r="N1378" s="186"/>
      <c r="O1378" s="172"/>
    </row>
    <row r="1379" spans="1:15" ht="63.75" x14ac:dyDescent="0.2">
      <c r="A1379" s="197" t="str">
        <f t="shared" si="21"/>
        <v>AtyCode_lowerTrafficArea</v>
      </c>
      <c r="B1379" s="409"/>
      <c r="C1379" s="416"/>
      <c r="D1379" s="198" t="s">
        <v>21626</v>
      </c>
      <c r="E1379" s="198">
        <v>22</v>
      </c>
      <c r="F1379" s="199" t="s">
        <v>21627</v>
      </c>
      <c r="G1379" s="1" t="s">
        <v>21628</v>
      </c>
      <c r="H1379" s="1" t="s">
        <v>21629</v>
      </c>
      <c r="I1379" s="346"/>
      <c r="J1379" s="39">
        <v>114744</v>
      </c>
      <c r="K1379" s="36" t="str">
        <f>CONCATENATE(Cover!$D$6,"fdd/view?i=",J1379)</f>
        <v>https://www.dgiwg.org/FAD/fdd/view?i=114744</v>
      </c>
      <c r="L1379" s="36" t="s">
        <v>21630</v>
      </c>
      <c r="M1379" s="186"/>
      <c r="N1379" s="186"/>
      <c r="O1379" s="172"/>
    </row>
    <row r="1380" spans="1:15" ht="25.5" x14ac:dyDescent="0.2">
      <c r="A1380" s="197" t="str">
        <f t="shared" si="21"/>
        <v>AtyCode_milAerodromeTrafficZone</v>
      </c>
      <c r="B1380" s="409"/>
      <c r="C1380" s="416"/>
      <c r="D1380" s="198" t="s">
        <v>21631</v>
      </c>
      <c r="E1380" s="198">
        <v>25</v>
      </c>
      <c r="F1380" s="199" t="s">
        <v>21632</v>
      </c>
      <c r="G1380" s="1" t="s">
        <v>21633</v>
      </c>
      <c r="H1380" s="1" t="s">
        <v>21634</v>
      </c>
      <c r="I1380" s="346"/>
      <c r="J1380" s="39">
        <v>114747</v>
      </c>
      <c r="K1380" s="36" t="str">
        <f>CONCATENATE(Cover!$D$6,"fdd/view?i=",J1380)</f>
        <v>https://www.dgiwg.org/FAD/fdd/view?i=114747</v>
      </c>
      <c r="L1380" s="36" t="s">
        <v>21635</v>
      </c>
      <c r="M1380" s="186"/>
      <c r="N1380" s="186"/>
      <c r="O1380" s="172"/>
    </row>
    <row r="1381" spans="1:15" ht="63.75" x14ac:dyDescent="0.2">
      <c r="A1381" s="197" t="str">
        <f t="shared" si="21"/>
        <v>AtyCode_militaryOperationsArea</v>
      </c>
      <c r="B1381" s="409"/>
      <c r="C1381" s="416"/>
      <c r="D1381" s="198" t="s">
        <v>21636</v>
      </c>
      <c r="E1381" s="198">
        <v>36</v>
      </c>
      <c r="F1381" s="199" t="s">
        <v>21637</v>
      </c>
      <c r="G1381" s="1" t="s">
        <v>21638</v>
      </c>
      <c r="H1381" s="1" t="s">
        <v>21639</v>
      </c>
      <c r="I1381" s="351" t="s">
        <v>21640</v>
      </c>
      <c r="J1381" s="39">
        <v>118570</v>
      </c>
      <c r="K1381" s="36" t="str">
        <f>CONCATENATE(Cover!$D$6,"fdd/view?i=",J1381)</f>
        <v>https://www.dgiwg.org/FAD/fdd/view?i=118570</v>
      </c>
      <c r="L1381" s="36" t="s">
        <v>21641</v>
      </c>
      <c r="M1381" s="186"/>
      <c r="N1381" s="186"/>
      <c r="O1381" s="172"/>
    </row>
    <row r="1382" spans="1:15" ht="25.5" x14ac:dyDescent="0.2">
      <c r="A1382" s="197" t="str">
        <f t="shared" si="21"/>
        <v>AtyCode_milTerminalControlArea</v>
      </c>
      <c r="B1382" s="409"/>
      <c r="C1382" s="416"/>
      <c r="D1382" s="198" t="s">
        <v>21642</v>
      </c>
      <c r="E1382" s="198">
        <v>27</v>
      </c>
      <c r="F1382" s="199" t="s">
        <v>21643</v>
      </c>
      <c r="G1382" s="1" t="s">
        <v>21644</v>
      </c>
      <c r="H1382" s="1" t="s">
        <v>21634</v>
      </c>
      <c r="I1382" s="346"/>
      <c r="J1382" s="39">
        <v>114749</v>
      </c>
      <c r="K1382" s="36" t="str">
        <f>CONCATENATE(Cover!$D$6,"fdd/view?i=",J1382)</f>
        <v>https://www.dgiwg.org/FAD/fdd/view?i=114749</v>
      </c>
      <c r="L1382" s="36" t="s">
        <v>21645</v>
      </c>
      <c r="M1382" s="186"/>
      <c r="N1382" s="186"/>
      <c r="O1382" s="172"/>
    </row>
    <row r="1383" spans="1:15" ht="51" x14ac:dyDescent="0.2">
      <c r="A1383" s="197" t="str">
        <f t="shared" si="21"/>
        <v>AtyCode_noFlyArea</v>
      </c>
      <c r="B1383" s="409"/>
      <c r="C1383" s="416"/>
      <c r="D1383" s="198" t="s">
        <v>21646</v>
      </c>
      <c r="E1383" s="198">
        <v>41</v>
      </c>
      <c r="F1383" s="199" t="s">
        <v>21647</v>
      </c>
      <c r="G1383" s="1" t="s">
        <v>21648</v>
      </c>
      <c r="H1383" s="1" t="s">
        <v>21649</v>
      </c>
      <c r="I1383" s="346"/>
      <c r="J1383" s="39">
        <v>119636</v>
      </c>
      <c r="K1383" s="36" t="str">
        <f>CONCATENATE(Cover!$D$6,"fdd/view?i=",J1383)</f>
        <v>https://www.dgiwg.org/FAD/fdd/view?i=119636</v>
      </c>
      <c r="L1383" s="36" t="s">
        <v>21650</v>
      </c>
      <c r="M1383" s="186"/>
      <c r="N1383" s="186"/>
      <c r="O1383" s="172"/>
    </row>
    <row r="1384" spans="1:15" ht="25.5" x14ac:dyDescent="0.2">
      <c r="A1384" s="197" t="str">
        <f t="shared" si="21"/>
        <v>AtyCode_oceanicControlArea</v>
      </c>
      <c r="B1384" s="409"/>
      <c r="C1384" s="416"/>
      <c r="D1384" s="198" t="s">
        <v>21652</v>
      </c>
      <c r="E1384" s="198">
        <v>14</v>
      </c>
      <c r="F1384" s="199" t="s">
        <v>21653</v>
      </c>
      <c r="G1384" s="1" t="s">
        <v>21654</v>
      </c>
      <c r="H1384" s="1" t="s">
        <v>21634</v>
      </c>
      <c r="I1384" s="346"/>
      <c r="J1384" s="39">
        <v>114736</v>
      </c>
      <c r="K1384" s="36" t="str">
        <f>CONCATENATE(Cover!$D$6,"fdd/view?i=",J1384)</f>
        <v>https://www.dgiwg.org/FAD/fdd/view?i=114736</v>
      </c>
      <c r="L1384" s="36" t="s">
        <v>21655</v>
      </c>
      <c r="M1384" s="186"/>
      <c r="N1384" s="186"/>
      <c r="O1384" s="13" t="s">
        <v>21651</v>
      </c>
    </row>
    <row r="1385" spans="1:15" ht="38.25" x14ac:dyDescent="0.2">
      <c r="A1385" s="197" t="str">
        <f t="shared" si="21"/>
        <v>AtyCode_prohibitedArea</v>
      </c>
      <c r="B1385" s="409"/>
      <c r="C1385" s="416"/>
      <c r="D1385" s="198" t="s">
        <v>21657</v>
      </c>
      <c r="E1385" s="198">
        <v>15</v>
      </c>
      <c r="F1385" s="199" t="s">
        <v>21658</v>
      </c>
      <c r="G1385" s="1" t="s">
        <v>21659</v>
      </c>
      <c r="H1385" s="1" t="s">
        <v>21537</v>
      </c>
      <c r="I1385" s="346"/>
      <c r="J1385" s="39">
        <v>114737</v>
      </c>
      <c r="K1385" s="36" t="str">
        <f>CONCATENATE(Cover!$D$6,"fdd/view?i=",J1385)</f>
        <v>https://www.dgiwg.org/FAD/fdd/view?i=114737</v>
      </c>
      <c r="L1385" s="36" t="s">
        <v>21660</v>
      </c>
      <c r="M1385" s="186"/>
      <c r="N1385" s="186"/>
      <c r="O1385" s="13" t="s">
        <v>21656</v>
      </c>
    </row>
    <row r="1386" spans="1:15" ht="38.25" x14ac:dyDescent="0.2">
      <c r="A1386" s="197" t="str">
        <f t="shared" si="21"/>
        <v>AtyCode_reducedCoOrdinationArea</v>
      </c>
      <c r="B1386" s="409"/>
      <c r="C1386" s="416"/>
      <c r="D1386" s="198" t="s">
        <v>21661</v>
      </c>
      <c r="E1386" s="198">
        <v>29</v>
      </c>
      <c r="F1386" s="199" t="s">
        <v>21662</v>
      </c>
      <c r="G1386" s="1" t="s">
        <v>21663</v>
      </c>
      <c r="H1386" s="1" t="s">
        <v>21565</v>
      </c>
      <c r="I1386" s="346"/>
      <c r="J1386" s="39">
        <v>114751</v>
      </c>
      <c r="K1386" s="36" t="str">
        <f>CONCATENATE(Cover!$D$6,"fdd/view?i=",J1386)</f>
        <v>https://www.dgiwg.org/FAD/fdd/view?i=114751</v>
      </c>
      <c r="L1386" s="36" t="s">
        <v>21664</v>
      </c>
      <c r="M1386" s="186"/>
      <c r="N1386" s="186"/>
      <c r="O1386" s="172"/>
    </row>
    <row r="1387" spans="1:15" ht="76.5" x14ac:dyDescent="0.2">
      <c r="A1387" s="197" t="str">
        <f t="shared" si="21"/>
        <v>AtyCode_restrictedArea</v>
      </c>
      <c r="B1387" s="409"/>
      <c r="C1387" s="416"/>
      <c r="D1387" s="198" t="s">
        <v>21665</v>
      </c>
      <c r="E1387" s="198">
        <v>16</v>
      </c>
      <c r="F1387" s="199" t="s">
        <v>4722</v>
      </c>
      <c r="G1387" s="1" t="s">
        <v>21666</v>
      </c>
      <c r="H1387" s="1" t="s">
        <v>21667</v>
      </c>
      <c r="I1387" s="346"/>
      <c r="J1387" s="39">
        <v>114738</v>
      </c>
      <c r="K1387" s="36" t="str">
        <f>CONCATENATE(Cover!$D$6,"fdd/view?i=",J1387)</f>
        <v>https://www.dgiwg.org/FAD/fdd/view?i=114738</v>
      </c>
      <c r="L1387" s="36" t="s">
        <v>21668</v>
      </c>
      <c r="M1387" s="186"/>
      <c r="N1387" s="186"/>
      <c r="O1387" s="13" t="s">
        <v>20674</v>
      </c>
    </row>
    <row r="1388" spans="1:15" ht="51" x14ac:dyDescent="0.2">
      <c r="A1388" s="197" t="str">
        <f t="shared" si="21"/>
        <v>AtyCode_specialRulesZone</v>
      </c>
      <c r="B1388" s="409"/>
      <c r="C1388" s="416"/>
      <c r="D1388" s="198" t="s">
        <v>21669</v>
      </c>
      <c r="E1388" s="198">
        <v>35</v>
      </c>
      <c r="F1388" s="199" t="s">
        <v>21670</v>
      </c>
      <c r="G1388" s="1" t="s">
        <v>21671</v>
      </c>
      <c r="H1388" s="1" t="s">
        <v>21672</v>
      </c>
      <c r="I1388" s="346"/>
      <c r="J1388" s="39">
        <v>114757</v>
      </c>
      <c r="K1388" s="36" t="str">
        <f>CONCATENATE(Cover!$D$6,"fdd/view?i=",J1388)</f>
        <v>https://www.dgiwg.org/FAD/fdd/view?i=114757</v>
      </c>
      <c r="L1388" s="36" t="s">
        <v>21673</v>
      </c>
      <c r="M1388" s="186"/>
      <c r="N1388" s="186"/>
      <c r="O1388" s="172"/>
    </row>
    <row r="1389" spans="1:15" ht="38.25" x14ac:dyDescent="0.2">
      <c r="A1389" s="197" t="str">
        <f t="shared" si="21"/>
        <v>AtyCode_standardPressureRegion</v>
      </c>
      <c r="B1389" s="409"/>
      <c r="C1389" s="416"/>
      <c r="D1389" s="198" t="s">
        <v>21674</v>
      </c>
      <c r="E1389" s="198">
        <v>28</v>
      </c>
      <c r="F1389" s="199" t="s">
        <v>21675</v>
      </c>
      <c r="G1389" s="1" t="s">
        <v>21676</v>
      </c>
      <c r="H1389" s="1" t="s">
        <v>21677</v>
      </c>
      <c r="I1389" s="346"/>
      <c r="J1389" s="39">
        <v>114750</v>
      </c>
      <c r="K1389" s="36" t="str">
        <f>CONCATENATE(Cover!$D$6,"fdd/view?i=",J1389)</f>
        <v>https://www.dgiwg.org/FAD/fdd/view?i=114750</v>
      </c>
      <c r="L1389" s="36" t="s">
        <v>21678</v>
      </c>
      <c r="M1389" s="186"/>
      <c r="N1389" s="186"/>
      <c r="O1389" s="172"/>
    </row>
    <row r="1390" spans="1:15" ht="38.25" x14ac:dyDescent="0.2">
      <c r="A1390" s="197" t="str">
        <f t="shared" si="21"/>
        <v>AtyCode_temporaryReservedArea</v>
      </c>
      <c r="B1390" s="409"/>
      <c r="C1390" s="416"/>
      <c r="D1390" s="198" t="s">
        <v>21679</v>
      </c>
      <c r="E1390" s="198">
        <v>18</v>
      </c>
      <c r="F1390" s="199" t="s">
        <v>21680</v>
      </c>
      <c r="G1390" s="1" t="s">
        <v>21681</v>
      </c>
      <c r="H1390" s="1" t="s">
        <v>21682</v>
      </c>
      <c r="I1390" s="346"/>
      <c r="J1390" s="39">
        <v>114740</v>
      </c>
      <c r="K1390" s="36" t="str">
        <f>CONCATENATE(Cover!$D$6,"fdd/view?i=",J1390)</f>
        <v>https://www.dgiwg.org/FAD/fdd/view?i=114740</v>
      </c>
      <c r="L1390" s="36" t="s">
        <v>21683</v>
      </c>
      <c r="M1390" s="186"/>
      <c r="N1390" s="186"/>
      <c r="O1390" s="172"/>
    </row>
    <row r="1391" spans="1:15" ht="38.25" x14ac:dyDescent="0.2">
      <c r="A1391" s="197" t="str">
        <f t="shared" si="21"/>
        <v>AtyCode_temporarySegregatedArea</v>
      </c>
      <c r="B1391" s="409"/>
      <c r="C1391" s="416"/>
      <c r="D1391" s="198" t="s">
        <v>21685</v>
      </c>
      <c r="E1391" s="198">
        <v>17</v>
      </c>
      <c r="F1391" s="199" t="s">
        <v>21686</v>
      </c>
      <c r="G1391" s="1" t="s">
        <v>21687</v>
      </c>
      <c r="H1391" s="1" t="s">
        <v>21688</v>
      </c>
      <c r="I1391" s="346"/>
      <c r="J1391" s="39">
        <v>114739</v>
      </c>
      <c r="K1391" s="36" t="str">
        <f>CONCATENATE(Cover!$D$6,"fdd/view?i=",J1391)</f>
        <v>https://www.dgiwg.org/FAD/fdd/view?i=114739</v>
      </c>
      <c r="L1391" s="36" t="s">
        <v>21689</v>
      </c>
      <c r="M1391" s="186"/>
      <c r="N1391" s="186"/>
      <c r="O1391" s="13" t="s">
        <v>21684</v>
      </c>
    </row>
    <row r="1392" spans="1:15" ht="25.5" x14ac:dyDescent="0.2">
      <c r="A1392" s="197" t="str">
        <f t="shared" si="21"/>
        <v>AtyCode_terminalControlArea</v>
      </c>
      <c r="B1392" s="409"/>
      <c r="C1392" s="416"/>
      <c r="D1392" s="198" t="s">
        <v>21691</v>
      </c>
      <c r="E1392" s="198">
        <v>19</v>
      </c>
      <c r="F1392" s="199" t="s">
        <v>21692</v>
      </c>
      <c r="G1392" s="1" t="s">
        <v>21693</v>
      </c>
      <c r="H1392" s="1" t="s">
        <v>21537</v>
      </c>
      <c r="I1392" s="346"/>
      <c r="J1392" s="39">
        <v>114741</v>
      </c>
      <c r="K1392" s="36" t="str">
        <f>CONCATENATE(Cover!$D$6,"fdd/view?i=",J1392)</f>
        <v>https://www.dgiwg.org/FAD/fdd/view?i=114741</v>
      </c>
      <c r="L1392" s="36" t="s">
        <v>21694</v>
      </c>
      <c r="M1392" s="186"/>
      <c r="N1392" s="186"/>
      <c r="O1392" s="13" t="s">
        <v>21690</v>
      </c>
    </row>
    <row r="1393" spans="1:15" ht="76.5" x14ac:dyDescent="0.2">
      <c r="A1393" s="197" t="str">
        <f t="shared" si="21"/>
        <v>AtyCode_upperAdvisoryArea</v>
      </c>
      <c r="B1393" s="409"/>
      <c r="C1393" s="416"/>
      <c r="D1393" s="198" t="s">
        <v>21695</v>
      </c>
      <c r="E1393" s="198">
        <v>24</v>
      </c>
      <c r="F1393" s="199" t="s">
        <v>21696</v>
      </c>
      <c r="G1393" s="1" t="s">
        <v>21697</v>
      </c>
      <c r="H1393" s="1" t="s">
        <v>21532</v>
      </c>
      <c r="I1393" s="346"/>
      <c r="J1393" s="39">
        <v>114746</v>
      </c>
      <c r="K1393" s="36" t="str">
        <f>CONCATENATE(Cover!$D$6,"fdd/view?i=",J1393)</f>
        <v>https://www.dgiwg.org/FAD/fdd/view?i=114746</v>
      </c>
      <c r="L1393" s="36" t="s">
        <v>21698</v>
      </c>
      <c r="M1393" s="186"/>
      <c r="N1393" s="186"/>
      <c r="O1393" s="172"/>
    </row>
    <row r="1394" spans="1:15" ht="25.5" x14ac:dyDescent="0.2">
      <c r="A1394" s="197" t="str">
        <f t="shared" si="21"/>
        <v>AtyCode_upperControlArea</v>
      </c>
      <c r="B1394" s="409"/>
      <c r="C1394" s="416"/>
      <c r="D1394" s="198" t="s">
        <v>21700</v>
      </c>
      <c r="E1394" s="198">
        <v>20</v>
      </c>
      <c r="F1394" s="199" t="s">
        <v>21701</v>
      </c>
      <c r="G1394" s="1" t="s">
        <v>21654</v>
      </c>
      <c r="H1394" s="1" t="s">
        <v>21634</v>
      </c>
      <c r="I1394" s="346"/>
      <c r="J1394" s="39">
        <v>114742</v>
      </c>
      <c r="K1394" s="36" t="str">
        <f>CONCATENATE(Cover!$D$6,"fdd/view?i=",J1394)</f>
        <v>https://www.dgiwg.org/FAD/fdd/view?i=114742</v>
      </c>
      <c r="L1394" s="36" t="s">
        <v>21702</v>
      </c>
      <c r="M1394" s="186"/>
      <c r="N1394" s="186"/>
      <c r="O1394" s="13" t="s">
        <v>21699</v>
      </c>
    </row>
    <row r="1395" spans="1:15" ht="25.5" x14ac:dyDescent="0.2">
      <c r="A1395" s="197" t="str">
        <f t="shared" si="21"/>
        <v>AtyCode_upperFlightInfoRegion</v>
      </c>
      <c r="B1395" s="409"/>
      <c r="C1395" s="416"/>
      <c r="D1395" s="198" t="s">
        <v>21704</v>
      </c>
      <c r="E1395" s="198">
        <v>21</v>
      </c>
      <c r="F1395" s="199" t="s">
        <v>21705</v>
      </c>
      <c r="G1395" s="1" t="s">
        <v>21706</v>
      </c>
      <c r="H1395" s="1" t="s">
        <v>21707</v>
      </c>
      <c r="I1395" s="346"/>
      <c r="J1395" s="39">
        <v>114743</v>
      </c>
      <c r="K1395" s="36" t="str">
        <f>CONCATENATE(Cover!$D$6,"fdd/view?i=",J1395)</f>
        <v>https://www.dgiwg.org/FAD/fdd/view?i=114743</v>
      </c>
      <c r="L1395" s="36" t="s">
        <v>21708</v>
      </c>
      <c r="M1395" s="186"/>
      <c r="N1395" s="186"/>
      <c r="O1395" s="13" t="s">
        <v>21703</v>
      </c>
    </row>
    <row r="1396" spans="1:15" ht="38.25" x14ac:dyDescent="0.2">
      <c r="A1396" s="203" t="str">
        <f t="shared" si="21"/>
        <v>AtyCode_warningArea</v>
      </c>
      <c r="B1396" s="410"/>
      <c r="C1396" s="417"/>
      <c r="D1396" s="204" t="s">
        <v>21710</v>
      </c>
      <c r="E1396" s="204">
        <v>31</v>
      </c>
      <c r="F1396" s="205" t="s">
        <v>21711</v>
      </c>
      <c r="G1396" s="206" t="s">
        <v>21712</v>
      </c>
      <c r="H1396" s="206" t="s">
        <v>21553</v>
      </c>
      <c r="I1396" s="347"/>
      <c r="J1396" s="39">
        <v>114753</v>
      </c>
      <c r="K1396" s="36" t="str">
        <f>CONCATENATE(Cover!$D$6,"fdd/view?i=",J1396)</f>
        <v>https://www.dgiwg.org/FAD/fdd/view?i=114753</v>
      </c>
      <c r="L1396" s="36" t="s">
        <v>21713</v>
      </c>
      <c r="M1396" s="186"/>
      <c r="N1396" s="186"/>
      <c r="O1396" s="13" t="s">
        <v>21709</v>
      </c>
    </row>
    <row r="1397" spans="1:15" ht="25.5" x14ac:dyDescent="0.2">
      <c r="A1397" s="190" t="str">
        <f t="shared" si="21"/>
        <v>AarCode_helicopterPerformanceClass</v>
      </c>
      <c r="B1397" s="414" t="str">
        <f>HYPERLINK("[#]Datatypes!A146:L146","AarCode")</f>
        <v>AarCode</v>
      </c>
      <c r="C1397" s="415" t="s">
        <v>14700</v>
      </c>
      <c r="D1397" s="221" t="s">
        <v>21719</v>
      </c>
      <c r="E1397" s="221">
        <v>6</v>
      </c>
      <c r="F1397" s="222" t="s">
        <v>9335</v>
      </c>
      <c r="G1397" s="223" t="s">
        <v>21720</v>
      </c>
      <c r="H1397" s="224"/>
      <c r="I1397" s="345"/>
      <c r="J1397" s="39">
        <v>115703</v>
      </c>
      <c r="K1397" s="36" t="str">
        <f>CONCATENATE(Cover!$D$6,"fdd/view?i=",J1397)</f>
        <v>https://www.dgiwg.org/FAD/fdd/view?i=115703</v>
      </c>
      <c r="L1397" s="36" t="s">
        <v>21721</v>
      </c>
      <c r="M1397" s="186"/>
      <c r="N1397" s="186"/>
      <c r="O1397" s="13" t="s">
        <v>20944</v>
      </c>
    </row>
    <row r="1398" spans="1:15" ht="25.5" x14ac:dyDescent="0.2">
      <c r="A1398" s="197" t="str">
        <f t="shared" si="21"/>
        <v>AarCode_helicopterPropeller</v>
      </c>
      <c r="B1398" s="409"/>
      <c r="C1398" s="416"/>
      <c r="D1398" s="198" t="s">
        <v>21715</v>
      </c>
      <c r="E1398" s="198">
        <v>5</v>
      </c>
      <c r="F1398" s="199" t="s">
        <v>21716</v>
      </c>
      <c r="G1398" s="1" t="s">
        <v>21717</v>
      </c>
      <c r="H1398" s="200"/>
      <c r="I1398" s="346"/>
      <c r="J1398" s="39">
        <v>115702</v>
      </c>
      <c r="K1398" s="36" t="str">
        <f>CONCATENATE(Cover!$D$6,"fdd/view?i=",J1398)</f>
        <v>https://www.dgiwg.org/FAD/fdd/view?i=115702</v>
      </c>
      <c r="L1398" s="36" t="s">
        <v>21718</v>
      </c>
      <c r="M1398" s="186"/>
      <c r="N1398" s="186"/>
      <c r="O1398" s="13" t="s">
        <v>21714</v>
      </c>
    </row>
    <row r="1399" spans="1:15" ht="25.5" x14ac:dyDescent="0.2">
      <c r="A1399" s="197" t="str">
        <f t="shared" si="21"/>
        <v>AarCode_jet</v>
      </c>
      <c r="B1399" s="409"/>
      <c r="C1399" s="416"/>
      <c r="D1399" s="198" t="s">
        <v>21723</v>
      </c>
      <c r="E1399" s="198">
        <v>2</v>
      </c>
      <c r="F1399" s="199" t="s">
        <v>21724</v>
      </c>
      <c r="G1399" s="1" t="s">
        <v>21725</v>
      </c>
      <c r="H1399" s="200"/>
      <c r="I1399" s="346"/>
      <c r="J1399" s="39">
        <v>115704</v>
      </c>
      <c r="K1399" s="36" t="str">
        <f>CONCATENATE(Cover!$D$6,"fdd/view?i=",J1399)</f>
        <v>https://www.dgiwg.org/FAD/fdd/view?i=115704</v>
      </c>
      <c r="L1399" s="36" t="s">
        <v>21726</v>
      </c>
      <c r="M1399" s="186"/>
      <c r="N1399" s="186"/>
      <c r="O1399" s="13" t="s">
        <v>21722</v>
      </c>
    </row>
    <row r="1400" spans="1:15" ht="25.5" x14ac:dyDescent="0.2">
      <c r="A1400" s="197" t="str">
        <f t="shared" si="21"/>
        <v>AarCode_jetPropeller</v>
      </c>
      <c r="B1400" s="409"/>
      <c r="C1400" s="416"/>
      <c r="D1400" s="198" t="s">
        <v>21728</v>
      </c>
      <c r="E1400" s="198">
        <v>3</v>
      </c>
      <c r="F1400" s="199" t="s">
        <v>21729</v>
      </c>
      <c r="G1400" s="1" t="s">
        <v>21730</v>
      </c>
      <c r="H1400" s="200"/>
      <c r="I1400" s="346"/>
      <c r="J1400" s="39">
        <v>115705</v>
      </c>
      <c r="K1400" s="36" t="str">
        <f>CONCATENATE(Cover!$D$6,"fdd/view?i=",J1400)</f>
        <v>https://www.dgiwg.org/FAD/fdd/view?i=115705</v>
      </c>
      <c r="L1400" s="36" t="s">
        <v>21731</v>
      </c>
      <c r="M1400" s="186"/>
      <c r="N1400" s="186"/>
      <c r="O1400" s="13" t="s">
        <v>21727</v>
      </c>
    </row>
    <row r="1401" spans="1:15" ht="25.5" x14ac:dyDescent="0.2">
      <c r="A1401" s="197" t="str">
        <f t="shared" si="21"/>
        <v>AarCode_jetPropellerHelicopter</v>
      </c>
      <c r="B1401" s="409"/>
      <c r="C1401" s="416"/>
      <c r="D1401" s="198" t="s">
        <v>21733</v>
      </c>
      <c r="E1401" s="198">
        <v>1</v>
      </c>
      <c r="F1401" s="199" t="s">
        <v>21734</v>
      </c>
      <c r="G1401" s="1" t="s">
        <v>21735</v>
      </c>
      <c r="H1401" s="200"/>
      <c r="I1401" s="346"/>
      <c r="J1401" s="39">
        <v>115706</v>
      </c>
      <c r="K1401" s="36" t="str">
        <f>CONCATENATE(Cover!$D$6,"fdd/view?i=",J1401)</f>
        <v>https://www.dgiwg.org/FAD/fdd/view?i=115706</v>
      </c>
      <c r="L1401" s="36" t="s">
        <v>21736</v>
      </c>
      <c r="M1401" s="186"/>
      <c r="N1401" s="186"/>
      <c r="O1401" s="13" t="s">
        <v>21732</v>
      </c>
    </row>
    <row r="1402" spans="1:15" ht="25.5" x14ac:dyDescent="0.2">
      <c r="A1402" s="203" t="str">
        <f t="shared" si="21"/>
        <v>AarCode_propeller</v>
      </c>
      <c r="B1402" s="410"/>
      <c r="C1402" s="417"/>
      <c r="D1402" s="204" t="s">
        <v>21737</v>
      </c>
      <c r="E1402" s="204">
        <v>4</v>
      </c>
      <c r="F1402" s="205" t="s">
        <v>21738</v>
      </c>
      <c r="G1402" s="206" t="s">
        <v>21739</v>
      </c>
      <c r="H1402" s="207"/>
      <c r="I1402" s="347"/>
      <c r="J1402" s="39">
        <v>115707</v>
      </c>
      <c r="K1402" s="36" t="str">
        <f>CONCATENATE(Cover!$D$6,"fdd/view?i=",J1402)</f>
        <v>https://www.dgiwg.org/FAD/fdd/view?i=115707</v>
      </c>
      <c r="L1402" s="36" t="s">
        <v>21740</v>
      </c>
      <c r="M1402" s="186"/>
      <c r="N1402" s="186"/>
      <c r="O1402" s="13" t="s">
        <v>21656</v>
      </c>
    </row>
    <row r="1403" spans="1:15" ht="25.5" x14ac:dyDescent="0.2">
      <c r="A1403" s="190" t="str">
        <f t="shared" si="21"/>
        <v>AldCode_asAssigned</v>
      </c>
      <c r="B1403" s="414" t="str">
        <f>HYPERLINK("[#]Datatypes!A148:L148","AldCode")</f>
        <v>AldCode</v>
      </c>
      <c r="C1403" s="415" t="s">
        <v>14702</v>
      </c>
      <c r="D1403" s="221" t="s">
        <v>21741</v>
      </c>
      <c r="E1403" s="221">
        <v>7</v>
      </c>
      <c r="F1403" s="222" t="s">
        <v>21742</v>
      </c>
      <c r="G1403" s="223" t="s">
        <v>21743</v>
      </c>
      <c r="H1403" s="224"/>
      <c r="I1403" s="345"/>
      <c r="J1403" s="39">
        <v>115647</v>
      </c>
      <c r="K1403" s="36" t="str">
        <f>CONCATENATE(Cover!$D$6,"fdd/view?i=",J1403)</f>
        <v>https://www.dgiwg.org/FAD/fdd/view?i=115647</v>
      </c>
      <c r="L1403" s="36" t="s">
        <v>21744</v>
      </c>
      <c r="M1403" s="186"/>
      <c r="N1403" s="186"/>
      <c r="O1403" s="172"/>
    </row>
    <row r="1404" spans="1:15" x14ac:dyDescent="0.2">
      <c r="A1404" s="197" t="str">
        <f t="shared" si="21"/>
        <v>AldCode_atOrAbove</v>
      </c>
      <c r="B1404" s="409"/>
      <c r="C1404" s="416"/>
      <c r="D1404" s="198" t="s">
        <v>21745</v>
      </c>
      <c r="E1404" s="198">
        <v>2</v>
      </c>
      <c r="F1404" s="199" t="s">
        <v>21746</v>
      </c>
      <c r="G1404" s="1" t="s">
        <v>21747</v>
      </c>
      <c r="H1404" s="200"/>
      <c r="I1404" s="346"/>
      <c r="J1404" s="39">
        <v>115642</v>
      </c>
      <c r="K1404" s="36" t="str">
        <f>CONCATENATE(Cover!$D$6,"fdd/view?i=",J1404)</f>
        <v>https://www.dgiwg.org/FAD/fdd/view?i=115642</v>
      </c>
      <c r="L1404" s="36" t="s">
        <v>21748</v>
      </c>
      <c r="M1404" s="186"/>
      <c r="N1404" s="186"/>
      <c r="O1404" s="172"/>
    </row>
    <row r="1405" spans="1:15" x14ac:dyDescent="0.2">
      <c r="A1405" s="197" t="str">
        <f t="shared" si="21"/>
        <v>AldCode_atOrBelow</v>
      </c>
      <c r="B1405" s="409"/>
      <c r="C1405" s="416"/>
      <c r="D1405" s="198" t="s">
        <v>21749</v>
      </c>
      <c r="E1405" s="198">
        <v>3</v>
      </c>
      <c r="F1405" s="199" t="s">
        <v>21750</v>
      </c>
      <c r="G1405" s="1" t="s">
        <v>21751</v>
      </c>
      <c r="H1405" s="200"/>
      <c r="I1405" s="346"/>
      <c r="J1405" s="39">
        <v>115643</v>
      </c>
      <c r="K1405" s="36" t="str">
        <f>CONCATENATE(Cover!$D$6,"fdd/view?i=",J1405)</f>
        <v>https://www.dgiwg.org/FAD/fdd/view?i=115643</v>
      </c>
      <c r="L1405" s="36" t="s">
        <v>21752</v>
      </c>
      <c r="M1405" s="186"/>
      <c r="N1405" s="186"/>
      <c r="O1405" s="172"/>
    </row>
    <row r="1406" spans="1:15" ht="25.5" x14ac:dyDescent="0.2">
      <c r="A1406" s="197" t="str">
        <f t="shared" si="21"/>
        <v>AldCode_between</v>
      </c>
      <c r="B1406" s="409"/>
      <c r="C1406" s="416"/>
      <c r="D1406" s="198" t="s">
        <v>21753</v>
      </c>
      <c r="E1406" s="198">
        <v>1</v>
      </c>
      <c r="F1406" s="199" t="s">
        <v>21754</v>
      </c>
      <c r="G1406" s="1" t="s">
        <v>21755</v>
      </c>
      <c r="H1406" s="200"/>
      <c r="I1406" s="351" t="s">
        <v>21756</v>
      </c>
      <c r="J1406" s="39">
        <v>115641</v>
      </c>
      <c r="K1406" s="36" t="str">
        <f>CONCATENATE(Cover!$D$6,"fdd/view?i=",J1406)</f>
        <v>https://www.dgiwg.org/FAD/fdd/view?i=115641</v>
      </c>
      <c r="L1406" s="36" t="s">
        <v>21757</v>
      </c>
      <c r="M1406" s="186"/>
      <c r="N1406" s="186"/>
      <c r="O1406" s="172"/>
    </row>
    <row r="1407" spans="1:15" ht="25.5" x14ac:dyDescent="0.2">
      <c r="A1407" s="197" t="str">
        <f t="shared" si="21"/>
        <v>AldCode_expected</v>
      </c>
      <c r="B1407" s="409"/>
      <c r="C1407" s="416"/>
      <c r="D1407" s="198" t="s">
        <v>21758</v>
      </c>
      <c r="E1407" s="198">
        <v>6</v>
      </c>
      <c r="F1407" s="199" t="s">
        <v>21759</v>
      </c>
      <c r="G1407" s="1" t="s">
        <v>21760</v>
      </c>
      <c r="H1407" s="200"/>
      <c r="I1407" s="346"/>
      <c r="J1407" s="39">
        <v>115646</v>
      </c>
      <c r="K1407" s="36" t="str">
        <f>CONCATENATE(Cover!$D$6,"fdd/view?i=",J1407)</f>
        <v>https://www.dgiwg.org/FAD/fdd/view?i=115646</v>
      </c>
      <c r="L1407" s="36" t="s">
        <v>21761</v>
      </c>
      <c r="M1407" s="186"/>
      <c r="N1407" s="186"/>
      <c r="O1407" s="172"/>
    </row>
    <row r="1408" spans="1:15" x14ac:dyDescent="0.2">
      <c r="A1408" s="197" t="str">
        <f t="shared" si="21"/>
        <v>AldCode_mandatory</v>
      </c>
      <c r="B1408" s="409"/>
      <c r="C1408" s="416"/>
      <c r="D1408" s="198" t="s">
        <v>21762</v>
      </c>
      <c r="E1408" s="198">
        <v>4</v>
      </c>
      <c r="F1408" s="199" t="s">
        <v>21763</v>
      </c>
      <c r="G1408" s="1" t="s">
        <v>21764</v>
      </c>
      <c r="H1408" s="200"/>
      <c r="I1408" s="346"/>
      <c r="J1408" s="39">
        <v>115644</v>
      </c>
      <c r="K1408" s="36" t="str">
        <f>CONCATENATE(Cover!$D$6,"fdd/view?i=",J1408)</f>
        <v>https://www.dgiwg.org/FAD/fdd/view?i=115644</v>
      </c>
      <c r="L1408" s="36" t="s">
        <v>21765</v>
      </c>
      <c r="M1408" s="186"/>
      <c r="N1408" s="186"/>
      <c r="O1408" s="172"/>
    </row>
    <row r="1409" spans="1:15" ht="25.5" x14ac:dyDescent="0.2">
      <c r="A1409" s="203" t="str">
        <f t="shared" si="21"/>
        <v>AldCode_recommended</v>
      </c>
      <c r="B1409" s="410"/>
      <c r="C1409" s="417"/>
      <c r="D1409" s="204" t="s">
        <v>21766</v>
      </c>
      <c r="E1409" s="204">
        <v>5</v>
      </c>
      <c r="F1409" s="205" t="s">
        <v>21767</v>
      </c>
      <c r="G1409" s="206" t="s">
        <v>21768</v>
      </c>
      <c r="H1409" s="207"/>
      <c r="I1409" s="347"/>
      <c r="J1409" s="39">
        <v>115645</v>
      </c>
      <c r="K1409" s="36" t="str">
        <f>CONCATENATE(Cover!$D$6,"fdd/view?i=",J1409)</f>
        <v>https://www.dgiwg.org/FAD/fdd/view?i=115645</v>
      </c>
      <c r="L1409" s="36" t="s">
        <v>21769</v>
      </c>
      <c r="M1409" s="186"/>
      <c r="N1409" s="186"/>
      <c r="O1409" s="172"/>
    </row>
    <row r="1410" spans="1:15" ht="25.5" x14ac:dyDescent="0.2">
      <c r="A1410" s="190" t="str">
        <f t="shared" ref="A1410:A1473" si="22">HYPERLINK(K1410,L1410)</f>
        <v>AmaCode_artificialMountain</v>
      </c>
      <c r="B1410" s="414" t="str">
        <f>HYPERLINK("[#]Datatypes!A150:L150","AmaCode")</f>
        <v>AmaCode</v>
      </c>
      <c r="C1410" s="415" t="s">
        <v>14704</v>
      </c>
      <c r="D1410" s="221" t="s">
        <v>21770</v>
      </c>
      <c r="E1410" s="221">
        <v>1</v>
      </c>
      <c r="F1410" s="222" t="s">
        <v>21771</v>
      </c>
      <c r="G1410" s="223" t="s">
        <v>21772</v>
      </c>
      <c r="H1410" s="224"/>
      <c r="I1410" s="345"/>
      <c r="J1410" s="39">
        <v>103235</v>
      </c>
      <c r="K1410" s="36" t="str">
        <f>CONCATENATE(Cover!$D$6,"fdd/view?i=",J1410)</f>
        <v>https://www.dgiwg.org/FAD/fdd/view?i=103235</v>
      </c>
      <c r="L1410" s="36" t="s">
        <v>21773</v>
      </c>
      <c r="M1410" s="186"/>
      <c r="N1410" s="186"/>
      <c r="O1410" s="172"/>
    </row>
    <row r="1411" spans="1:15" ht="25.5" x14ac:dyDescent="0.2">
      <c r="A1411" s="197" t="str">
        <f t="shared" si="22"/>
        <v>AmaCode_ferrisWheel</v>
      </c>
      <c r="B1411" s="409"/>
      <c r="C1411" s="416"/>
      <c r="D1411" s="198" t="s">
        <v>21774</v>
      </c>
      <c r="E1411" s="198">
        <v>2</v>
      </c>
      <c r="F1411" s="199" t="s">
        <v>21775</v>
      </c>
      <c r="G1411" s="1" t="s">
        <v>21776</v>
      </c>
      <c r="H1411" s="200"/>
      <c r="I1411" s="346"/>
      <c r="J1411" s="39">
        <v>103236</v>
      </c>
      <c r="K1411" s="36" t="str">
        <f>CONCATENATE(Cover!$D$6,"fdd/view?i=",J1411)</f>
        <v>https://www.dgiwg.org/FAD/fdd/view?i=103236</v>
      </c>
      <c r="L1411" s="36" t="s">
        <v>21777</v>
      </c>
      <c r="M1411" s="186"/>
      <c r="N1411" s="186"/>
      <c r="O1411" s="172"/>
    </row>
    <row r="1412" spans="1:15" ht="25.5" x14ac:dyDescent="0.2">
      <c r="A1412" s="197" t="str">
        <f t="shared" si="22"/>
        <v>AmaCode_rollerCoaster</v>
      </c>
      <c r="B1412" s="409"/>
      <c r="C1412" s="416"/>
      <c r="D1412" s="198" t="s">
        <v>21778</v>
      </c>
      <c r="E1412" s="198">
        <v>3</v>
      </c>
      <c r="F1412" s="199" t="s">
        <v>21779</v>
      </c>
      <c r="G1412" s="1" t="s">
        <v>21780</v>
      </c>
      <c r="H1412" s="200"/>
      <c r="I1412" s="346"/>
      <c r="J1412" s="39">
        <v>103238</v>
      </c>
      <c r="K1412" s="36" t="str">
        <f>CONCATENATE(Cover!$D$6,"fdd/view?i=",J1412)</f>
        <v>https://www.dgiwg.org/FAD/fdd/view?i=103238</v>
      </c>
      <c r="L1412" s="36" t="s">
        <v>21781</v>
      </c>
      <c r="M1412" s="186"/>
      <c r="N1412" s="186"/>
      <c r="O1412" s="172"/>
    </row>
    <row r="1413" spans="1:15" ht="25.5" x14ac:dyDescent="0.2">
      <c r="A1413" s="197" t="str">
        <f t="shared" si="22"/>
        <v>AmaCode_spherical</v>
      </c>
      <c r="B1413" s="409"/>
      <c r="C1413" s="416"/>
      <c r="D1413" s="198" t="s">
        <v>21782</v>
      </c>
      <c r="E1413" s="198">
        <v>4</v>
      </c>
      <c r="F1413" s="199" t="s">
        <v>21783</v>
      </c>
      <c r="G1413" s="1" t="s">
        <v>21784</v>
      </c>
      <c r="H1413" s="1" t="s">
        <v>21785</v>
      </c>
      <c r="I1413" s="346"/>
      <c r="J1413" s="39">
        <v>103488</v>
      </c>
      <c r="K1413" s="36" t="str">
        <f>CONCATENATE(Cover!$D$6,"fdd/view?i=",J1413)</f>
        <v>https://www.dgiwg.org/FAD/fdd/view?i=103488</v>
      </c>
      <c r="L1413" s="36" t="s">
        <v>21786</v>
      </c>
      <c r="M1413" s="186"/>
      <c r="N1413" s="186"/>
      <c r="O1413" s="172"/>
    </row>
    <row r="1414" spans="1:15" ht="25.5" x14ac:dyDescent="0.2">
      <c r="A1414" s="197" t="str">
        <f t="shared" si="22"/>
        <v>AmaCode_verticalRide</v>
      </c>
      <c r="B1414" s="409"/>
      <c r="C1414" s="416"/>
      <c r="D1414" s="198" t="s">
        <v>21787</v>
      </c>
      <c r="E1414" s="198">
        <v>6</v>
      </c>
      <c r="F1414" s="199" t="s">
        <v>21788</v>
      </c>
      <c r="G1414" s="1" t="s">
        <v>21789</v>
      </c>
      <c r="H1414" s="1" t="s">
        <v>21790</v>
      </c>
      <c r="I1414" s="346"/>
      <c r="J1414" s="39">
        <v>117825</v>
      </c>
      <c r="K1414" s="36" t="str">
        <f>CONCATENATE(Cover!$D$6,"fdd/view?i=",J1414)</f>
        <v>https://www.dgiwg.org/FAD/fdd/view?i=117825</v>
      </c>
      <c r="L1414" s="36" t="s">
        <v>21791</v>
      </c>
      <c r="M1414" s="186"/>
      <c r="N1414" s="186"/>
      <c r="O1414" s="172"/>
    </row>
    <row r="1415" spans="1:15" ht="89.25" x14ac:dyDescent="0.2">
      <c r="A1415" s="203" t="str">
        <f t="shared" si="22"/>
        <v>AmaCode_waterAttraction</v>
      </c>
      <c r="B1415" s="410"/>
      <c r="C1415" s="417"/>
      <c r="D1415" s="204" t="s">
        <v>21792</v>
      </c>
      <c r="E1415" s="204">
        <v>5</v>
      </c>
      <c r="F1415" s="205" t="s">
        <v>21793</v>
      </c>
      <c r="G1415" s="206" t="s">
        <v>21794</v>
      </c>
      <c r="H1415" s="206" t="s">
        <v>21795</v>
      </c>
      <c r="I1415" s="347"/>
      <c r="J1415" s="39">
        <v>112737</v>
      </c>
      <c r="K1415" s="36" t="str">
        <f>CONCATENATE(Cover!$D$6,"fdd/view?i=",J1415)</f>
        <v>https://www.dgiwg.org/FAD/fdd/view?i=112737</v>
      </c>
      <c r="L1415" s="36" t="s">
        <v>21796</v>
      </c>
      <c r="M1415" s="186"/>
      <c r="N1415" s="186"/>
      <c r="O1415" s="172"/>
    </row>
    <row r="1416" spans="1:15" ht="25.5" x14ac:dyDescent="0.2">
      <c r="A1416" s="190" t="str">
        <f t="shared" si="22"/>
        <v>AchCode_anchorageBerth</v>
      </c>
      <c r="B1416" s="414" t="str">
        <f>HYPERLINK("[#]Datatypes!A152:L152","AchCode")</f>
        <v>AchCode</v>
      </c>
      <c r="C1416" s="415" t="s">
        <v>14706</v>
      </c>
      <c r="D1416" s="221" t="s">
        <v>21797</v>
      </c>
      <c r="E1416" s="221">
        <v>13</v>
      </c>
      <c r="F1416" s="222" t="s">
        <v>21798</v>
      </c>
      <c r="G1416" s="223" t="s">
        <v>21799</v>
      </c>
      <c r="H1416" s="223" t="s">
        <v>21800</v>
      </c>
      <c r="I1416" s="345"/>
      <c r="J1416" s="39">
        <v>111324</v>
      </c>
      <c r="K1416" s="36" t="str">
        <f>CONCATENATE(Cover!$D$6,"fdd/view?i=",J1416)</f>
        <v>https://www.dgiwg.org/FAD/fdd/view?i=111324</v>
      </c>
      <c r="L1416" s="36" t="s">
        <v>21801</v>
      </c>
      <c r="M1416" s="186"/>
      <c r="N1416" s="186"/>
      <c r="O1416" s="172"/>
    </row>
    <row r="1417" spans="1:15" ht="25.5" x14ac:dyDescent="0.2">
      <c r="A1417" s="197" t="str">
        <f t="shared" si="22"/>
        <v>AchCode_anchorageUpTo24Hours</v>
      </c>
      <c r="B1417" s="409"/>
      <c r="C1417" s="416"/>
      <c r="D1417" s="198" t="s">
        <v>21802</v>
      </c>
      <c r="E1417" s="198">
        <v>9</v>
      </c>
      <c r="F1417" s="199" t="s">
        <v>21803</v>
      </c>
      <c r="G1417" s="1" t="s">
        <v>21804</v>
      </c>
      <c r="H1417" s="200"/>
      <c r="I1417" s="346"/>
      <c r="J1417" s="39">
        <v>111139</v>
      </c>
      <c r="K1417" s="36" t="str">
        <f>CONCATENATE(Cover!$D$6,"fdd/view?i=",J1417)</f>
        <v>https://www.dgiwg.org/FAD/fdd/view?i=111139</v>
      </c>
      <c r="L1417" s="36" t="s">
        <v>21805</v>
      </c>
      <c r="M1417" s="186"/>
      <c r="N1417" s="186"/>
      <c r="O1417" s="172"/>
    </row>
    <row r="1418" spans="1:15" ht="25.5" x14ac:dyDescent="0.2">
      <c r="A1418" s="197" t="str">
        <f t="shared" si="22"/>
        <v>AchCode_deepWaterAnchorage</v>
      </c>
      <c r="B1418" s="409"/>
      <c r="C1418" s="416"/>
      <c r="D1418" s="198" t="s">
        <v>21806</v>
      </c>
      <c r="E1418" s="198">
        <v>2</v>
      </c>
      <c r="F1418" s="199" t="s">
        <v>21807</v>
      </c>
      <c r="G1418" s="1" t="s">
        <v>21808</v>
      </c>
      <c r="H1418" s="200"/>
      <c r="I1418" s="346"/>
      <c r="J1418" s="39">
        <v>111132</v>
      </c>
      <c r="K1418" s="36" t="str">
        <f>CONCATENATE(Cover!$D$6,"fdd/view?i=",J1418)</f>
        <v>https://www.dgiwg.org/FAD/fdd/view?i=111132</v>
      </c>
      <c r="L1418" s="36" t="s">
        <v>21809</v>
      </c>
      <c r="M1418" s="186"/>
      <c r="N1418" s="186"/>
      <c r="O1418" s="172"/>
    </row>
    <row r="1419" spans="1:15" ht="25.5" x14ac:dyDescent="0.2">
      <c r="A1419" s="197" t="str">
        <f t="shared" si="22"/>
        <v>AchCode_explosivesAnchorage</v>
      </c>
      <c r="B1419" s="409"/>
      <c r="C1419" s="416"/>
      <c r="D1419" s="198" t="s">
        <v>21810</v>
      </c>
      <c r="E1419" s="198">
        <v>4</v>
      </c>
      <c r="F1419" s="199" t="s">
        <v>21811</v>
      </c>
      <c r="G1419" s="1" t="s">
        <v>21812</v>
      </c>
      <c r="H1419" s="200"/>
      <c r="I1419" s="346"/>
      <c r="J1419" s="39">
        <v>111134</v>
      </c>
      <c r="K1419" s="36" t="str">
        <f>CONCATENATE(Cover!$D$6,"fdd/view?i=",J1419)</f>
        <v>https://www.dgiwg.org/FAD/fdd/view?i=111134</v>
      </c>
      <c r="L1419" s="36" t="s">
        <v>21813</v>
      </c>
      <c r="M1419" s="186"/>
      <c r="N1419" s="186"/>
      <c r="O1419" s="172"/>
    </row>
    <row r="1420" spans="1:15" ht="89.25" x14ac:dyDescent="0.2">
      <c r="A1420" s="197" t="str">
        <f t="shared" si="22"/>
        <v>AchCode_navalReserveAnchorage</v>
      </c>
      <c r="B1420" s="409"/>
      <c r="C1420" s="416"/>
      <c r="D1420" s="198" t="s">
        <v>21814</v>
      </c>
      <c r="E1420" s="198">
        <v>12</v>
      </c>
      <c r="F1420" s="199" t="s">
        <v>21815</v>
      </c>
      <c r="G1420" s="1" t="s">
        <v>21816</v>
      </c>
      <c r="H1420" s="1" t="s">
        <v>21817</v>
      </c>
      <c r="I1420" s="346"/>
      <c r="J1420" s="39">
        <v>111142</v>
      </c>
      <c r="K1420" s="36" t="str">
        <f>CONCATENATE(Cover!$D$6,"fdd/view?i=",J1420)</f>
        <v>https://www.dgiwg.org/FAD/fdd/view?i=111142</v>
      </c>
      <c r="L1420" s="36" t="s">
        <v>21818</v>
      </c>
      <c r="M1420" s="186"/>
      <c r="N1420" s="186"/>
      <c r="O1420" s="172"/>
    </row>
    <row r="1421" spans="1:15" ht="25.5" x14ac:dyDescent="0.2">
      <c r="A1421" s="197" t="str">
        <f t="shared" si="22"/>
        <v>AchCode_quarantineAnchorage</v>
      </c>
      <c r="B1421" s="409"/>
      <c r="C1421" s="416"/>
      <c r="D1421" s="198" t="s">
        <v>21819</v>
      </c>
      <c r="E1421" s="198">
        <v>5</v>
      </c>
      <c r="F1421" s="199" t="s">
        <v>21820</v>
      </c>
      <c r="G1421" s="1" t="s">
        <v>21821</v>
      </c>
      <c r="H1421" s="200"/>
      <c r="I1421" s="346"/>
      <c r="J1421" s="39">
        <v>111135</v>
      </c>
      <c r="K1421" s="36" t="str">
        <f>CONCATENATE(Cover!$D$6,"fdd/view?i=",J1421)</f>
        <v>https://www.dgiwg.org/FAD/fdd/view?i=111135</v>
      </c>
      <c r="L1421" s="36" t="s">
        <v>21822</v>
      </c>
      <c r="M1421" s="186"/>
      <c r="N1421" s="186"/>
      <c r="O1421" s="172"/>
    </row>
    <row r="1422" spans="1:15" ht="38.25" x14ac:dyDescent="0.2">
      <c r="A1422" s="197" t="str">
        <f t="shared" si="22"/>
        <v>AchCode_reservedAnchorage</v>
      </c>
      <c r="B1422" s="409"/>
      <c r="C1422" s="416"/>
      <c r="D1422" s="198" t="s">
        <v>21823</v>
      </c>
      <c r="E1422" s="198">
        <v>11</v>
      </c>
      <c r="F1422" s="199" t="s">
        <v>21824</v>
      </c>
      <c r="G1422" s="1" t="s">
        <v>21825</v>
      </c>
      <c r="H1422" s="200"/>
      <c r="I1422" s="346"/>
      <c r="J1422" s="39">
        <v>111141</v>
      </c>
      <c r="K1422" s="36" t="str">
        <f>CONCATENATE(Cover!$D$6,"fdd/view?i=",J1422)</f>
        <v>https://www.dgiwg.org/FAD/fdd/view?i=111141</v>
      </c>
      <c r="L1422" s="36" t="s">
        <v>21826</v>
      </c>
      <c r="M1422" s="186"/>
      <c r="N1422" s="186"/>
      <c r="O1422" s="172"/>
    </row>
    <row r="1423" spans="1:15" ht="25.5" x14ac:dyDescent="0.2">
      <c r="A1423" s="197" t="str">
        <f t="shared" si="22"/>
        <v>AchCode_seaplaneAnchorage</v>
      </c>
      <c r="B1423" s="409"/>
      <c r="C1423" s="416"/>
      <c r="D1423" s="198" t="s">
        <v>21827</v>
      </c>
      <c r="E1423" s="198">
        <v>6</v>
      </c>
      <c r="F1423" s="199" t="s">
        <v>21828</v>
      </c>
      <c r="G1423" s="1" t="s">
        <v>21829</v>
      </c>
      <c r="H1423" s="200"/>
      <c r="I1423" s="346"/>
      <c r="J1423" s="39">
        <v>111136</v>
      </c>
      <c r="K1423" s="36" t="str">
        <f>CONCATENATE(Cover!$D$6,"fdd/view?i=",J1423)</f>
        <v>https://www.dgiwg.org/FAD/fdd/view?i=111136</v>
      </c>
      <c r="L1423" s="36" t="s">
        <v>21830</v>
      </c>
      <c r="M1423" s="186"/>
      <c r="N1423" s="186"/>
      <c r="O1423" s="172"/>
    </row>
    <row r="1424" spans="1:15" ht="25.5" x14ac:dyDescent="0.2">
      <c r="A1424" s="197" t="str">
        <f t="shared" si="22"/>
        <v>AchCode_smallCraftAnchorage</v>
      </c>
      <c r="B1424" s="409"/>
      <c r="C1424" s="416"/>
      <c r="D1424" s="198" t="s">
        <v>21831</v>
      </c>
      <c r="E1424" s="198">
        <v>7</v>
      </c>
      <c r="F1424" s="199" t="s">
        <v>21832</v>
      </c>
      <c r="G1424" s="1" t="s">
        <v>21833</v>
      </c>
      <c r="H1424" s="200"/>
      <c r="I1424" s="346"/>
      <c r="J1424" s="39">
        <v>111137</v>
      </c>
      <c r="K1424" s="36" t="str">
        <f>CONCATENATE(Cover!$D$6,"fdd/view?i=",J1424)</f>
        <v>https://www.dgiwg.org/FAD/fdd/view?i=111137</v>
      </c>
      <c r="L1424" s="36" t="s">
        <v>21834</v>
      </c>
      <c r="M1424" s="186"/>
      <c r="N1424" s="186"/>
      <c r="O1424" s="172"/>
    </row>
    <row r="1425" spans="1:15" ht="25.5" x14ac:dyDescent="0.2">
      <c r="A1425" s="197" t="str">
        <f t="shared" si="22"/>
        <v>AchCode_smallCraftMooringArea</v>
      </c>
      <c r="B1425" s="409"/>
      <c r="C1425" s="416"/>
      <c r="D1425" s="198" t="s">
        <v>21835</v>
      </c>
      <c r="E1425" s="198">
        <v>8</v>
      </c>
      <c r="F1425" s="199" t="s">
        <v>21836</v>
      </c>
      <c r="G1425" s="1" t="s">
        <v>21837</v>
      </c>
      <c r="H1425" s="200"/>
      <c r="I1425" s="346"/>
      <c r="J1425" s="39">
        <v>111138</v>
      </c>
      <c r="K1425" s="36" t="str">
        <f>CONCATENATE(Cover!$D$6,"fdd/view?i=",J1425)</f>
        <v>https://www.dgiwg.org/FAD/fdd/view?i=111138</v>
      </c>
      <c r="L1425" s="36" t="s">
        <v>21838</v>
      </c>
      <c r="M1425" s="186"/>
      <c r="N1425" s="186"/>
      <c r="O1425" s="172"/>
    </row>
    <row r="1426" spans="1:15" ht="25.5" x14ac:dyDescent="0.2">
      <c r="A1426" s="197" t="str">
        <f t="shared" si="22"/>
        <v>AchCode_tankerAnchorage</v>
      </c>
      <c r="B1426" s="409"/>
      <c r="C1426" s="416"/>
      <c r="D1426" s="198" t="s">
        <v>21839</v>
      </c>
      <c r="E1426" s="198">
        <v>3</v>
      </c>
      <c r="F1426" s="199" t="s">
        <v>21840</v>
      </c>
      <c r="G1426" s="1" t="s">
        <v>21841</v>
      </c>
      <c r="H1426" s="200"/>
      <c r="I1426" s="346"/>
      <c r="J1426" s="39">
        <v>111133</v>
      </c>
      <c r="K1426" s="36" t="str">
        <f>CONCATENATE(Cover!$D$6,"fdd/view?i=",J1426)</f>
        <v>https://www.dgiwg.org/FAD/fdd/view?i=111133</v>
      </c>
      <c r="L1426" s="36" t="s">
        <v>21842</v>
      </c>
      <c r="M1426" s="186"/>
      <c r="N1426" s="186"/>
      <c r="O1426" s="172"/>
    </row>
    <row r="1427" spans="1:15" ht="25.5" x14ac:dyDescent="0.2">
      <c r="A1427" s="197" t="str">
        <f t="shared" si="22"/>
        <v>AchCode_timeLimited</v>
      </c>
      <c r="B1427" s="409"/>
      <c r="C1427" s="416"/>
      <c r="D1427" s="198" t="s">
        <v>21843</v>
      </c>
      <c r="E1427" s="198">
        <v>10</v>
      </c>
      <c r="F1427" s="199" t="s">
        <v>21844</v>
      </c>
      <c r="G1427" s="1" t="s">
        <v>21845</v>
      </c>
      <c r="H1427" s="1" t="s">
        <v>21846</v>
      </c>
      <c r="I1427" s="346"/>
      <c r="J1427" s="39">
        <v>111140</v>
      </c>
      <c r="K1427" s="36" t="str">
        <f>CONCATENATE(Cover!$D$6,"fdd/view?i=",J1427)</f>
        <v>https://www.dgiwg.org/FAD/fdd/view?i=111140</v>
      </c>
      <c r="L1427" s="36" t="s">
        <v>21847</v>
      </c>
      <c r="M1427" s="186"/>
      <c r="N1427" s="186"/>
      <c r="O1427" s="172"/>
    </row>
    <row r="1428" spans="1:15" ht="25.5" x14ac:dyDescent="0.2">
      <c r="A1428" s="203" t="str">
        <f t="shared" si="22"/>
        <v>AchCode_unrestrictedAnchorage</v>
      </c>
      <c r="B1428" s="410"/>
      <c r="C1428" s="417"/>
      <c r="D1428" s="204" t="s">
        <v>21848</v>
      </c>
      <c r="E1428" s="204">
        <v>1</v>
      </c>
      <c r="F1428" s="205" t="s">
        <v>21849</v>
      </c>
      <c r="G1428" s="206" t="s">
        <v>21850</v>
      </c>
      <c r="H1428" s="207"/>
      <c r="I1428" s="347"/>
      <c r="J1428" s="39">
        <v>111131</v>
      </c>
      <c r="K1428" s="36" t="str">
        <f>CONCATENATE(Cover!$D$6,"fdd/view?i=",J1428)</f>
        <v>https://www.dgiwg.org/FAD/fdd/view?i=111131</v>
      </c>
      <c r="L1428" s="36" t="s">
        <v>21851</v>
      </c>
      <c r="M1428" s="186"/>
      <c r="N1428" s="186"/>
      <c r="O1428" s="172"/>
    </row>
    <row r="1429" spans="1:15" ht="25.5" x14ac:dyDescent="0.2">
      <c r="A1429" s="190" t="str">
        <f t="shared" si="22"/>
        <v>AntCode_magneticBearing</v>
      </c>
      <c r="B1429" s="414" t="str">
        <f>HYPERLINK("[#]Datatypes!A154:L154","AntCode")</f>
        <v>AntCode</v>
      </c>
      <c r="C1429" s="415" t="s">
        <v>14708</v>
      </c>
      <c r="D1429" s="221" t="s">
        <v>10135</v>
      </c>
      <c r="E1429" s="221">
        <v>1</v>
      </c>
      <c r="F1429" s="222" t="s">
        <v>10137</v>
      </c>
      <c r="G1429" s="223" t="s">
        <v>21853</v>
      </c>
      <c r="H1429" s="224"/>
      <c r="I1429" s="345"/>
      <c r="J1429" s="39">
        <v>115341</v>
      </c>
      <c r="K1429" s="36" t="str">
        <f>CONCATENATE(Cover!$D$6,"fdd/view?i=",J1429)</f>
        <v>https://www.dgiwg.org/FAD/fdd/view?i=115341</v>
      </c>
      <c r="L1429" s="36" t="s">
        <v>21854</v>
      </c>
      <c r="M1429" s="186"/>
      <c r="N1429" s="186"/>
      <c r="O1429" s="13" t="s">
        <v>21852</v>
      </c>
    </row>
    <row r="1430" spans="1:15" ht="25.5" x14ac:dyDescent="0.2">
      <c r="A1430" s="197" t="str">
        <f t="shared" si="22"/>
        <v>AntCode_trueBearing</v>
      </c>
      <c r="B1430" s="409"/>
      <c r="C1430" s="416"/>
      <c r="D1430" s="198" t="s">
        <v>13826</v>
      </c>
      <c r="E1430" s="198">
        <v>2</v>
      </c>
      <c r="F1430" s="199" t="s">
        <v>13828</v>
      </c>
      <c r="G1430" s="1" t="s">
        <v>21856</v>
      </c>
      <c r="H1430" s="200"/>
      <c r="I1430" s="346"/>
      <c r="J1430" s="39">
        <v>115342</v>
      </c>
      <c r="K1430" s="36" t="str">
        <f>CONCATENATE(Cover!$D$6,"fdd/view?i=",J1430)</f>
        <v>https://www.dgiwg.org/FAD/fdd/view?i=115342</v>
      </c>
      <c r="L1430" s="36" t="s">
        <v>21857</v>
      </c>
      <c r="M1430" s="186"/>
      <c r="N1430" s="186"/>
      <c r="O1430" s="13" t="s">
        <v>21855</v>
      </c>
    </row>
    <row r="1431" spans="1:15" ht="25.5" x14ac:dyDescent="0.2">
      <c r="A1431" s="203" t="str">
        <f t="shared" si="22"/>
        <v>AntCode_vorRadial</v>
      </c>
      <c r="B1431" s="410"/>
      <c r="C1431" s="417"/>
      <c r="D1431" s="204" t="s">
        <v>21859</v>
      </c>
      <c r="E1431" s="204">
        <v>3</v>
      </c>
      <c r="F1431" s="205" t="s">
        <v>21860</v>
      </c>
      <c r="G1431" s="206" t="s">
        <v>21861</v>
      </c>
      <c r="H1431" s="207"/>
      <c r="I1431" s="347"/>
      <c r="J1431" s="39">
        <v>115343</v>
      </c>
      <c r="K1431" s="36" t="str">
        <f>CONCATENATE(Cover!$D$6,"fdd/view?i=",J1431)</f>
        <v>https://www.dgiwg.org/FAD/fdd/view?i=115343</v>
      </c>
      <c r="L1431" s="36" t="s">
        <v>21862</v>
      </c>
      <c r="M1431" s="186"/>
      <c r="N1431" s="186"/>
      <c r="O1431" s="13" t="s">
        <v>21858</v>
      </c>
    </row>
    <row r="1432" spans="1:15" ht="25.5" x14ac:dyDescent="0.2">
      <c r="A1432" s="190" t="str">
        <f t="shared" si="22"/>
        <v>AnbCode_camel</v>
      </c>
      <c r="B1432" s="414" t="str">
        <f>HYPERLINK("[#]Datatypes!A156:L156","AnbCode")</f>
        <v>AnbCode</v>
      </c>
      <c r="C1432" s="415" t="s">
        <v>14710</v>
      </c>
      <c r="D1432" s="221" t="s">
        <v>21863</v>
      </c>
      <c r="E1432" s="221">
        <v>13</v>
      </c>
      <c r="F1432" s="222" t="s">
        <v>21864</v>
      </c>
      <c r="G1432" s="223" t="s">
        <v>21865</v>
      </c>
      <c r="H1432" s="224"/>
      <c r="I1432" s="345"/>
      <c r="J1432" s="39">
        <v>112949</v>
      </c>
      <c r="K1432" s="36" t="str">
        <f>CONCATENATE(Cover!$D$6,"fdd/view?i=",J1432)</f>
        <v>https://www.dgiwg.org/FAD/fdd/view?i=112949</v>
      </c>
      <c r="L1432" s="36" t="s">
        <v>21866</v>
      </c>
      <c r="M1432" s="186"/>
      <c r="N1432" s="186"/>
      <c r="O1432" s="172"/>
    </row>
    <row r="1433" spans="1:15" x14ac:dyDescent="0.2">
      <c r="A1433" s="197" t="str">
        <f t="shared" si="22"/>
        <v>AnbCode_cattle</v>
      </c>
      <c r="B1433" s="409"/>
      <c r="C1433" s="416"/>
      <c r="D1433" s="198" t="s">
        <v>21867</v>
      </c>
      <c r="E1433" s="198">
        <v>4</v>
      </c>
      <c r="F1433" s="199" t="s">
        <v>21868</v>
      </c>
      <c r="G1433" s="1" t="s">
        <v>21869</v>
      </c>
      <c r="H1433" s="200"/>
      <c r="I1433" s="346"/>
      <c r="J1433" s="39">
        <v>112940</v>
      </c>
      <c r="K1433" s="36" t="str">
        <f>CONCATENATE(Cover!$D$6,"fdd/view?i=",J1433)</f>
        <v>https://www.dgiwg.org/FAD/fdd/view?i=112940</v>
      </c>
      <c r="L1433" s="36" t="s">
        <v>21870</v>
      </c>
      <c r="M1433" s="186"/>
      <c r="N1433" s="186"/>
      <c r="O1433" s="172"/>
    </row>
    <row r="1434" spans="1:15" ht="38.25" x14ac:dyDescent="0.2">
      <c r="A1434" s="197" t="str">
        <f t="shared" si="22"/>
        <v>AnbCode_dog</v>
      </c>
      <c r="B1434" s="409"/>
      <c r="C1434" s="416"/>
      <c r="D1434" s="198" t="s">
        <v>21871</v>
      </c>
      <c r="E1434" s="198">
        <v>12</v>
      </c>
      <c r="F1434" s="199" t="s">
        <v>21872</v>
      </c>
      <c r="G1434" s="1" t="s">
        <v>21873</v>
      </c>
      <c r="H1434" s="200"/>
      <c r="I1434" s="346"/>
      <c r="J1434" s="39">
        <v>112948</v>
      </c>
      <c r="K1434" s="36" t="str">
        <f>CONCATENATE(Cover!$D$6,"fdd/view?i=",J1434)</f>
        <v>https://www.dgiwg.org/FAD/fdd/view?i=112948</v>
      </c>
      <c r="L1434" s="36" t="s">
        <v>21874</v>
      </c>
      <c r="M1434" s="186"/>
      <c r="N1434" s="186"/>
      <c r="O1434" s="172"/>
    </row>
    <row r="1435" spans="1:15" ht="25.5" x14ac:dyDescent="0.2">
      <c r="A1435" s="197" t="str">
        <f t="shared" si="22"/>
        <v>AnbCode_donkey</v>
      </c>
      <c r="B1435" s="409"/>
      <c r="C1435" s="416"/>
      <c r="D1435" s="198" t="s">
        <v>21875</v>
      </c>
      <c r="E1435" s="198">
        <v>9</v>
      </c>
      <c r="F1435" s="199" t="s">
        <v>21876</v>
      </c>
      <c r="G1435" s="1" t="s">
        <v>21877</v>
      </c>
      <c r="H1435" s="200"/>
      <c r="I1435" s="351" t="s">
        <v>21878</v>
      </c>
      <c r="J1435" s="39">
        <v>112945</v>
      </c>
      <c r="K1435" s="36" t="str">
        <f>CONCATENATE(Cover!$D$6,"fdd/view?i=",J1435)</f>
        <v>https://www.dgiwg.org/FAD/fdd/view?i=112945</v>
      </c>
      <c r="L1435" s="36" t="s">
        <v>21879</v>
      </c>
      <c r="M1435" s="186"/>
      <c r="N1435" s="186"/>
      <c r="O1435" s="172"/>
    </row>
    <row r="1436" spans="1:15" ht="38.25" x14ac:dyDescent="0.2">
      <c r="A1436" s="197" t="str">
        <f t="shared" si="22"/>
        <v>AnbCode_elephant</v>
      </c>
      <c r="B1436" s="409"/>
      <c r="C1436" s="416"/>
      <c r="D1436" s="198" t="s">
        <v>21880</v>
      </c>
      <c r="E1436" s="198">
        <v>11</v>
      </c>
      <c r="F1436" s="199" t="s">
        <v>21881</v>
      </c>
      <c r="G1436" s="1" t="s">
        <v>21882</v>
      </c>
      <c r="H1436" s="200"/>
      <c r="I1436" s="346"/>
      <c r="J1436" s="39">
        <v>112947</v>
      </c>
      <c r="K1436" s="36" t="str">
        <f>CONCATENATE(Cover!$D$6,"fdd/view?i=",J1436)</f>
        <v>https://www.dgiwg.org/FAD/fdd/view?i=112947</v>
      </c>
      <c r="L1436" s="36" t="s">
        <v>21883</v>
      </c>
      <c r="M1436" s="186"/>
      <c r="N1436" s="186"/>
      <c r="O1436" s="172"/>
    </row>
    <row r="1437" spans="1:15" ht="38.25" x14ac:dyDescent="0.2">
      <c r="A1437" s="197" t="str">
        <f t="shared" si="22"/>
        <v>AnbCode_fish</v>
      </c>
      <c r="B1437" s="409"/>
      <c r="C1437" s="416"/>
      <c r="D1437" s="198" t="s">
        <v>21884</v>
      </c>
      <c r="E1437" s="198">
        <v>8</v>
      </c>
      <c r="F1437" s="199" t="s">
        <v>21885</v>
      </c>
      <c r="G1437" s="1" t="s">
        <v>21886</v>
      </c>
      <c r="H1437" s="200"/>
      <c r="I1437" s="346"/>
      <c r="J1437" s="39">
        <v>112944</v>
      </c>
      <c r="K1437" s="36" t="str">
        <f>CONCATENATE(Cover!$D$6,"fdd/view?i=",J1437)</f>
        <v>https://www.dgiwg.org/FAD/fdd/view?i=112944</v>
      </c>
      <c r="L1437" s="36" t="s">
        <v>21887</v>
      </c>
      <c r="M1437" s="186"/>
      <c r="N1437" s="186"/>
      <c r="O1437" s="172"/>
    </row>
    <row r="1438" spans="1:15" ht="25.5" x14ac:dyDescent="0.2">
      <c r="A1438" s="197" t="str">
        <f t="shared" si="22"/>
        <v>AnbCode_furBearingAnimal</v>
      </c>
      <c r="B1438" s="409"/>
      <c r="C1438" s="416"/>
      <c r="D1438" s="198" t="s">
        <v>21888</v>
      </c>
      <c r="E1438" s="198">
        <v>16</v>
      </c>
      <c r="F1438" s="199" t="s">
        <v>21889</v>
      </c>
      <c r="G1438" s="1" t="s">
        <v>21890</v>
      </c>
      <c r="H1438" s="200"/>
      <c r="I1438" s="346"/>
      <c r="J1438" s="39">
        <v>112952</v>
      </c>
      <c r="K1438" s="36" t="str">
        <f>CONCATENATE(Cover!$D$6,"fdd/view?i=",J1438)</f>
        <v>https://www.dgiwg.org/FAD/fdd/view?i=112952</v>
      </c>
      <c r="L1438" s="36" t="s">
        <v>21891</v>
      </c>
      <c r="M1438" s="186"/>
      <c r="N1438" s="186"/>
      <c r="O1438" s="172"/>
    </row>
    <row r="1439" spans="1:15" ht="25.5" x14ac:dyDescent="0.2">
      <c r="A1439" s="197" t="str">
        <f t="shared" si="22"/>
        <v>AnbCode_game</v>
      </c>
      <c r="B1439" s="409"/>
      <c r="C1439" s="416"/>
      <c r="D1439" s="198" t="s">
        <v>21892</v>
      </c>
      <c r="E1439" s="198">
        <v>10</v>
      </c>
      <c r="F1439" s="199" t="s">
        <v>21893</v>
      </c>
      <c r="G1439" s="1" t="s">
        <v>21894</v>
      </c>
      <c r="H1439" s="200"/>
      <c r="I1439" s="346"/>
      <c r="J1439" s="39">
        <v>112946</v>
      </c>
      <c r="K1439" s="36" t="str">
        <f>CONCATENATE(Cover!$D$6,"fdd/view?i=",J1439)</f>
        <v>https://www.dgiwg.org/FAD/fdd/view?i=112946</v>
      </c>
      <c r="L1439" s="36" t="s">
        <v>21895</v>
      </c>
      <c r="M1439" s="186"/>
      <c r="N1439" s="186"/>
      <c r="O1439" s="172"/>
    </row>
    <row r="1440" spans="1:15" ht="25.5" x14ac:dyDescent="0.2">
      <c r="A1440" s="197" t="str">
        <f t="shared" si="22"/>
        <v>AnbCode_goat</v>
      </c>
      <c r="B1440" s="409"/>
      <c r="C1440" s="416"/>
      <c r="D1440" s="198" t="s">
        <v>21896</v>
      </c>
      <c r="E1440" s="198">
        <v>7</v>
      </c>
      <c r="F1440" s="199" t="s">
        <v>21897</v>
      </c>
      <c r="G1440" s="1" t="s">
        <v>21898</v>
      </c>
      <c r="H1440" s="200"/>
      <c r="I1440" s="346"/>
      <c r="J1440" s="39">
        <v>112943</v>
      </c>
      <c r="K1440" s="36" t="str">
        <f>CONCATENATE(Cover!$D$6,"fdd/view?i=",J1440)</f>
        <v>https://www.dgiwg.org/FAD/fdd/view?i=112943</v>
      </c>
      <c r="L1440" s="36" t="s">
        <v>21899</v>
      </c>
      <c r="M1440" s="186"/>
      <c r="N1440" s="186"/>
      <c r="O1440" s="172"/>
    </row>
    <row r="1441" spans="1:15" x14ac:dyDescent="0.2">
      <c r="A1441" s="197" t="str">
        <f t="shared" si="22"/>
        <v>AnbCode_honeyBee</v>
      </c>
      <c r="B1441" s="409"/>
      <c r="C1441" s="416"/>
      <c r="D1441" s="198" t="s">
        <v>21900</v>
      </c>
      <c r="E1441" s="198">
        <v>17</v>
      </c>
      <c r="F1441" s="199" t="s">
        <v>21901</v>
      </c>
      <c r="G1441" s="1" t="s">
        <v>21902</v>
      </c>
      <c r="H1441" s="200"/>
      <c r="I1441" s="346"/>
      <c r="J1441" s="39">
        <v>112953</v>
      </c>
      <c r="K1441" s="36" t="str">
        <f>CONCATENATE(Cover!$D$6,"fdd/view?i=",J1441)</f>
        <v>https://www.dgiwg.org/FAD/fdd/view?i=112953</v>
      </c>
      <c r="L1441" s="36" t="s">
        <v>21903</v>
      </c>
      <c r="M1441" s="186"/>
      <c r="N1441" s="186"/>
      <c r="O1441" s="172"/>
    </row>
    <row r="1442" spans="1:15" ht="38.25" x14ac:dyDescent="0.2">
      <c r="A1442" s="197" t="str">
        <f t="shared" si="22"/>
        <v>AnbCode_horse</v>
      </c>
      <c r="B1442" s="409"/>
      <c r="C1442" s="416"/>
      <c r="D1442" s="198" t="s">
        <v>21904</v>
      </c>
      <c r="E1442" s="198">
        <v>2</v>
      </c>
      <c r="F1442" s="199" t="s">
        <v>21905</v>
      </c>
      <c r="G1442" s="1" t="s">
        <v>21906</v>
      </c>
      <c r="H1442" s="200"/>
      <c r="I1442" s="346"/>
      <c r="J1442" s="39">
        <v>112938</v>
      </c>
      <c r="K1442" s="36" t="str">
        <f>CONCATENATE(Cover!$D$6,"fdd/view?i=",J1442)</f>
        <v>https://www.dgiwg.org/FAD/fdd/view?i=112938</v>
      </c>
      <c r="L1442" s="36" t="s">
        <v>21907</v>
      </c>
      <c r="M1442" s="186"/>
      <c r="N1442" s="186"/>
      <c r="O1442" s="172"/>
    </row>
    <row r="1443" spans="1:15" ht="38.25" x14ac:dyDescent="0.2">
      <c r="A1443" s="197" t="str">
        <f t="shared" si="22"/>
        <v>AnbCode_llama</v>
      </c>
      <c r="B1443" s="409"/>
      <c r="C1443" s="416"/>
      <c r="D1443" s="198" t="s">
        <v>21908</v>
      </c>
      <c r="E1443" s="198">
        <v>14</v>
      </c>
      <c r="F1443" s="199" t="s">
        <v>21909</v>
      </c>
      <c r="G1443" s="1" t="s">
        <v>21910</v>
      </c>
      <c r="H1443" s="200"/>
      <c r="I1443" s="346"/>
      <c r="J1443" s="39">
        <v>112950</v>
      </c>
      <c r="K1443" s="36" t="str">
        <f>CONCATENATE(Cover!$D$6,"fdd/view?i=",J1443)</f>
        <v>https://www.dgiwg.org/FAD/fdd/view?i=112950</v>
      </c>
      <c r="L1443" s="36" t="s">
        <v>21911</v>
      </c>
      <c r="M1443" s="186"/>
      <c r="N1443" s="186"/>
      <c r="O1443" s="172"/>
    </row>
    <row r="1444" spans="1:15" ht="25.5" x14ac:dyDescent="0.2">
      <c r="A1444" s="197" t="str">
        <f t="shared" si="22"/>
        <v>AnbCode_mule</v>
      </c>
      <c r="B1444" s="409"/>
      <c r="C1444" s="416"/>
      <c r="D1444" s="198" t="s">
        <v>21912</v>
      </c>
      <c r="E1444" s="198">
        <v>15</v>
      </c>
      <c r="F1444" s="199" t="s">
        <v>21913</v>
      </c>
      <c r="G1444" s="1" t="s">
        <v>21914</v>
      </c>
      <c r="H1444" s="200"/>
      <c r="I1444" s="351" t="s">
        <v>21915</v>
      </c>
      <c r="J1444" s="39">
        <v>112951</v>
      </c>
      <c r="K1444" s="36" t="str">
        <f>CONCATENATE(Cover!$D$6,"fdd/view?i=",J1444)</f>
        <v>https://www.dgiwg.org/FAD/fdd/view?i=112951</v>
      </c>
      <c r="L1444" s="36" t="s">
        <v>21916</v>
      </c>
      <c r="M1444" s="186"/>
      <c r="N1444" s="186"/>
      <c r="O1444" s="172"/>
    </row>
    <row r="1445" spans="1:15" x14ac:dyDescent="0.2">
      <c r="A1445" s="197" t="str">
        <f t="shared" si="22"/>
        <v>AnbCode_pig</v>
      </c>
      <c r="B1445" s="409"/>
      <c r="C1445" s="416"/>
      <c r="D1445" s="198" t="s">
        <v>21917</v>
      </c>
      <c r="E1445" s="198">
        <v>6</v>
      </c>
      <c r="F1445" s="199" t="s">
        <v>21918</v>
      </c>
      <c r="G1445" s="1" t="s">
        <v>21919</v>
      </c>
      <c r="H1445" s="200"/>
      <c r="I1445" s="346"/>
      <c r="J1445" s="39">
        <v>112942</v>
      </c>
      <c r="K1445" s="36" t="str">
        <f>CONCATENATE(Cover!$D$6,"fdd/view?i=",J1445)</f>
        <v>https://www.dgiwg.org/FAD/fdd/view?i=112942</v>
      </c>
      <c r="L1445" s="36" t="s">
        <v>21920</v>
      </c>
      <c r="M1445" s="186"/>
      <c r="N1445" s="186"/>
      <c r="O1445" s="172"/>
    </row>
    <row r="1446" spans="1:15" ht="25.5" x14ac:dyDescent="0.2">
      <c r="A1446" s="197" t="str">
        <f t="shared" si="22"/>
        <v>AnbCode_poultry</v>
      </c>
      <c r="B1446" s="409"/>
      <c r="C1446" s="416"/>
      <c r="D1446" s="198" t="s">
        <v>21921</v>
      </c>
      <c r="E1446" s="198">
        <v>1</v>
      </c>
      <c r="F1446" s="199" t="s">
        <v>21922</v>
      </c>
      <c r="G1446" s="1" t="s">
        <v>21923</v>
      </c>
      <c r="H1446" s="200"/>
      <c r="I1446" s="346"/>
      <c r="J1446" s="39">
        <v>112937</v>
      </c>
      <c r="K1446" s="36" t="str">
        <f>CONCATENATE(Cover!$D$6,"fdd/view?i=",J1446)</f>
        <v>https://www.dgiwg.org/FAD/fdd/view?i=112937</v>
      </c>
      <c r="L1446" s="36" t="s">
        <v>21924</v>
      </c>
      <c r="M1446" s="186"/>
      <c r="N1446" s="186"/>
      <c r="O1446" s="172"/>
    </row>
    <row r="1447" spans="1:15" ht="25.5" x14ac:dyDescent="0.2">
      <c r="A1447" s="197" t="str">
        <f t="shared" si="22"/>
        <v>AnbCode_reindeer</v>
      </c>
      <c r="B1447" s="409"/>
      <c r="C1447" s="416"/>
      <c r="D1447" s="198" t="s">
        <v>21925</v>
      </c>
      <c r="E1447" s="198">
        <v>3</v>
      </c>
      <c r="F1447" s="199" t="s">
        <v>21926</v>
      </c>
      <c r="G1447" s="1" t="s">
        <v>21927</v>
      </c>
      <c r="H1447" s="200"/>
      <c r="I1447" s="346"/>
      <c r="J1447" s="39">
        <v>112939</v>
      </c>
      <c r="K1447" s="36" t="str">
        <f>CONCATENATE(Cover!$D$6,"fdd/view?i=",J1447)</f>
        <v>https://www.dgiwg.org/FAD/fdd/view?i=112939</v>
      </c>
      <c r="L1447" s="36" t="s">
        <v>21928</v>
      </c>
      <c r="M1447" s="186"/>
      <c r="N1447" s="186"/>
      <c r="O1447" s="172"/>
    </row>
    <row r="1448" spans="1:15" ht="25.5" x14ac:dyDescent="0.2">
      <c r="A1448" s="197" t="str">
        <f t="shared" si="22"/>
        <v>AnbCode_sheep</v>
      </c>
      <c r="B1448" s="409"/>
      <c r="C1448" s="416"/>
      <c r="D1448" s="198" t="s">
        <v>21929</v>
      </c>
      <c r="E1448" s="198">
        <v>5</v>
      </c>
      <c r="F1448" s="199" t="s">
        <v>21930</v>
      </c>
      <c r="G1448" s="1" t="s">
        <v>21931</v>
      </c>
      <c r="H1448" s="200"/>
      <c r="I1448" s="346"/>
      <c r="J1448" s="39">
        <v>112941</v>
      </c>
      <c r="K1448" s="36" t="str">
        <f>CONCATENATE(Cover!$D$6,"fdd/view?i=",J1448)</f>
        <v>https://www.dgiwg.org/FAD/fdd/view?i=112941</v>
      </c>
      <c r="L1448" s="36" t="s">
        <v>21932</v>
      </c>
      <c r="M1448" s="186"/>
      <c r="N1448" s="186"/>
      <c r="O1448" s="172"/>
    </row>
    <row r="1449" spans="1:15" ht="38.25" x14ac:dyDescent="0.2">
      <c r="A1449" s="203" t="str">
        <f t="shared" si="22"/>
        <v>AnbCode_silkworm</v>
      </c>
      <c r="B1449" s="410"/>
      <c r="C1449" s="417"/>
      <c r="D1449" s="204" t="s">
        <v>21933</v>
      </c>
      <c r="E1449" s="204">
        <v>18</v>
      </c>
      <c r="F1449" s="205" t="s">
        <v>21934</v>
      </c>
      <c r="G1449" s="206" t="s">
        <v>21935</v>
      </c>
      <c r="H1449" s="207"/>
      <c r="I1449" s="347"/>
      <c r="J1449" s="39">
        <v>112954</v>
      </c>
      <c r="K1449" s="36" t="str">
        <f>CONCATENATE(Cover!$D$6,"fdd/view?i=",J1449)</f>
        <v>https://www.dgiwg.org/FAD/fdd/view?i=112954</v>
      </c>
      <c r="L1449" s="36" t="s">
        <v>21936</v>
      </c>
      <c r="M1449" s="186"/>
      <c r="N1449" s="186"/>
      <c r="O1449" s="172"/>
    </row>
    <row r="1450" spans="1:15" ht="25.5" x14ac:dyDescent="0.2">
      <c r="A1450" s="190" t="str">
        <f t="shared" si="22"/>
        <v>XesCode_dipole</v>
      </c>
      <c r="B1450" s="414" t="str">
        <f>HYPERLINK("[#]Datatypes!A158:L158","XesCode")</f>
        <v>XesCode</v>
      </c>
      <c r="C1450" s="415" t="s">
        <v>14712</v>
      </c>
      <c r="D1450" s="221" t="s">
        <v>21937</v>
      </c>
      <c r="E1450" s="221">
        <v>1</v>
      </c>
      <c r="F1450" s="222" t="s">
        <v>21938</v>
      </c>
      <c r="G1450" s="223" t="s">
        <v>21939</v>
      </c>
      <c r="H1450" s="224"/>
      <c r="I1450" s="345"/>
      <c r="J1450" s="39">
        <v>119743</v>
      </c>
      <c r="K1450" s="36" t="str">
        <f>CONCATENATE(Cover!$D$6,"fdd/view?i=",J1450)</f>
        <v>https://www.dgiwg.org/FAD/fdd/view?i=119743</v>
      </c>
      <c r="L1450" s="36" t="s">
        <v>21940</v>
      </c>
      <c r="M1450" s="186"/>
      <c r="N1450" s="186"/>
      <c r="O1450" s="172"/>
    </row>
    <row r="1451" spans="1:15" ht="38.25" x14ac:dyDescent="0.2">
      <c r="A1451" s="197" t="str">
        <f t="shared" si="22"/>
        <v>XesCode_longWire</v>
      </c>
      <c r="B1451" s="409"/>
      <c r="C1451" s="416"/>
      <c r="D1451" s="198" t="s">
        <v>21941</v>
      </c>
      <c r="E1451" s="198">
        <v>2</v>
      </c>
      <c r="F1451" s="199" t="s">
        <v>21942</v>
      </c>
      <c r="G1451" s="1" t="s">
        <v>21943</v>
      </c>
      <c r="H1451" s="200"/>
      <c r="I1451" s="346"/>
      <c r="J1451" s="39">
        <v>119744</v>
      </c>
      <c r="K1451" s="36" t="str">
        <f>CONCATENATE(Cover!$D$6,"fdd/view?i=",J1451)</f>
        <v>https://www.dgiwg.org/FAD/fdd/view?i=119744</v>
      </c>
      <c r="L1451" s="36" t="s">
        <v>21944</v>
      </c>
      <c r="M1451" s="186"/>
      <c r="N1451" s="186"/>
      <c r="O1451" s="172"/>
    </row>
    <row r="1452" spans="1:15" ht="38.25" x14ac:dyDescent="0.2">
      <c r="A1452" s="197" t="str">
        <f t="shared" si="22"/>
        <v>XesCode_phasedArray</v>
      </c>
      <c r="B1452" s="409"/>
      <c r="C1452" s="416"/>
      <c r="D1452" s="198" t="s">
        <v>21945</v>
      </c>
      <c r="E1452" s="198">
        <v>3</v>
      </c>
      <c r="F1452" s="199" t="s">
        <v>21946</v>
      </c>
      <c r="G1452" s="1" t="s">
        <v>21947</v>
      </c>
      <c r="H1452" s="200"/>
      <c r="I1452" s="346"/>
      <c r="J1452" s="39">
        <v>119745</v>
      </c>
      <c r="K1452" s="36" t="str">
        <f>CONCATENATE(Cover!$D$6,"fdd/view?i=",J1452)</f>
        <v>https://www.dgiwg.org/FAD/fdd/view?i=119745</v>
      </c>
      <c r="L1452" s="36" t="s">
        <v>21948</v>
      </c>
      <c r="M1452" s="186"/>
      <c r="N1452" s="186"/>
      <c r="O1452" s="172"/>
    </row>
    <row r="1453" spans="1:15" ht="25.5" x14ac:dyDescent="0.2">
      <c r="A1453" s="203" t="str">
        <f t="shared" si="22"/>
        <v>XesCode_yagi</v>
      </c>
      <c r="B1453" s="410"/>
      <c r="C1453" s="417"/>
      <c r="D1453" s="204" t="s">
        <v>21949</v>
      </c>
      <c r="E1453" s="204">
        <v>5</v>
      </c>
      <c r="F1453" s="205" t="s">
        <v>21950</v>
      </c>
      <c r="G1453" s="206" t="s">
        <v>21951</v>
      </c>
      <c r="H1453" s="207"/>
      <c r="I1453" s="347"/>
      <c r="J1453" s="39">
        <v>119746</v>
      </c>
      <c r="K1453" s="36" t="str">
        <f>CONCATENATE(Cover!$D$6,"fdd/view?i=",J1453)</f>
        <v>https://www.dgiwg.org/FAD/fdd/view?i=119746</v>
      </c>
      <c r="L1453" s="36" t="s">
        <v>21952</v>
      </c>
      <c r="M1453" s="186"/>
      <c r="N1453" s="186"/>
      <c r="O1453" s="172"/>
    </row>
    <row r="1454" spans="1:15" ht="38.25" x14ac:dyDescent="0.2">
      <c r="A1454" s="190" t="str">
        <f t="shared" si="22"/>
        <v>ApmCode_nonPrecision</v>
      </c>
      <c r="B1454" s="414" t="str">
        <f>HYPERLINK("[#]Datatypes!A160:L160","ApmCode")</f>
        <v>ApmCode</v>
      </c>
      <c r="C1454" s="415" t="s">
        <v>14714</v>
      </c>
      <c r="D1454" s="221" t="s">
        <v>21953</v>
      </c>
      <c r="E1454" s="221">
        <v>2</v>
      </c>
      <c r="F1454" s="222" t="s">
        <v>21954</v>
      </c>
      <c r="G1454" s="223" t="s">
        <v>21955</v>
      </c>
      <c r="H1454" s="223" t="s">
        <v>21956</v>
      </c>
      <c r="I1454" s="345"/>
      <c r="J1454" s="39">
        <v>119011</v>
      </c>
      <c r="K1454" s="36" t="str">
        <f>CONCATENATE(Cover!$D$6,"fdd/view?i=",J1454)</f>
        <v>https://www.dgiwg.org/FAD/fdd/view?i=119011</v>
      </c>
      <c r="L1454" s="36" t="s">
        <v>21957</v>
      </c>
      <c r="M1454" s="186"/>
      <c r="N1454" s="186"/>
      <c r="O1454" s="172"/>
    </row>
    <row r="1455" spans="1:15" ht="38.25" x14ac:dyDescent="0.2">
      <c r="A1455" s="197" t="str">
        <f t="shared" si="22"/>
        <v>ApmCode_precision</v>
      </c>
      <c r="B1455" s="409"/>
      <c r="C1455" s="416"/>
      <c r="D1455" s="198" t="s">
        <v>21958</v>
      </c>
      <c r="E1455" s="198">
        <v>3</v>
      </c>
      <c r="F1455" s="199" t="s">
        <v>21959</v>
      </c>
      <c r="G1455" s="1" t="s">
        <v>21960</v>
      </c>
      <c r="H1455" s="1" t="s">
        <v>21961</v>
      </c>
      <c r="I1455" s="346"/>
      <c r="J1455" s="39">
        <v>119012</v>
      </c>
      <c r="K1455" s="36" t="str">
        <f>CONCATENATE(Cover!$D$6,"fdd/view?i=",J1455)</f>
        <v>https://www.dgiwg.org/FAD/fdd/view?i=119012</v>
      </c>
      <c r="L1455" s="36" t="s">
        <v>21962</v>
      </c>
      <c r="M1455" s="186"/>
      <c r="N1455" s="186"/>
      <c r="O1455" s="172"/>
    </row>
    <row r="1456" spans="1:15" ht="25.5" x14ac:dyDescent="0.2">
      <c r="A1456" s="203" t="str">
        <f t="shared" si="22"/>
        <v>ApmCode_visual</v>
      </c>
      <c r="B1456" s="410"/>
      <c r="C1456" s="417"/>
      <c r="D1456" s="204" t="s">
        <v>21963</v>
      </c>
      <c r="E1456" s="204">
        <v>1</v>
      </c>
      <c r="F1456" s="205" t="s">
        <v>21964</v>
      </c>
      <c r="G1456" s="206" t="s">
        <v>21965</v>
      </c>
      <c r="H1456" s="206" t="s">
        <v>21966</v>
      </c>
      <c r="I1456" s="347"/>
      <c r="J1456" s="39">
        <v>119010</v>
      </c>
      <c r="K1456" s="36" t="str">
        <f>CONCATENATE(Cover!$D$6,"fdd/view?i=",J1456)</f>
        <v>https://www.dgiwg.org/FAD/fdd/view?i=119010</v>
      </c>
      <c r="L1456" s="36" t="s">
        <v>21967</v>
      </c>
      <c r="M1456" s="186"/>
      <c r="N1456" s="186"/>
      <c r="O1456" s="172"/>
    </row>
    <row r="1457" spans="1:15" ht="25.5" x14ac:dyDescent="0.2">
      <c r="A1457" s="190" t="str">
        <f t="shared" si="22"/>
        <v>ApfCode_converging</v>
      </c>
      <c r="B1457" s="414" t="str">
        <f>HYPERLINK("[#]Datatypes!A162:L162","ApfCode")</f>
        <v>ApfCode</v>
      </c>
      <c r="C1457" s="415" t="s">
        <v>14716</v>
      </c>
      <c r="D1457" s="221" t="s">
        <v>21969</v>
      </c>
      <c r="E1457" s="221">
        <v>3</v>
      </c>
      <c r="F1457" s="222" t="s">
        <v>21970</v>
      </c>
      <c r="G1457" s="223" t="s">
        <v>21971</v>
      </c>
      <c r="H1457" s="224"/>
      <c r="I1457" s="345"/>
      <c r="J1457" s="39">
        <v>116116</v>
      </c>
      <c r="K1457" s="36" t="str">
        <f>CONCATENATE(Cover!$D$6,"fdd/view?i=",J1457)</f>
        <v>https://www.dgiwg.org/FAD/fdd/view?i=116116</v>
      </c>
      <c r="L1457" s="36" t="s">
        <v>21972</v>
      </c>
      <c r="M1457" s="186"/>
      <c r="N1457" s="186"/>
      <c r="O1457" s="13" t="s">
        <v>21968</v>
      </c>
    </row>
    <row r="1458" spans="1:15" ht="25.5" x14ac:dyDescent="0.2">
      <c r="A1458" s="197" t="str">
        <f t="shared" si="22"/>
        <v>ApfCode_copter</v>
      </c>
      <c r="B1458" s="409"/>
      <c r="C1458" s="416"/>
      <c r="D1458" s="198" t="s">
        <v>21974</v>
      </c>
      <c r="E1458" s="198">
        <v>2</v>
      </c>
      <c r="F1458" s="199" t="s">
        <v>21975</v>
      </c>
      <c r="G1458" s="1" t="s">
        <v>21976</v>
      </c>
      <c r="H1458" s="200"/>
      <c r="I1458" s="346"/>
      <c r="J1458" s="39">
        <v>116115</v>
      </c>
      <c r="K1458" s="36" t="str">
        <f>CONCATENATE(Cover!$D$6,"fdd/view?i=",J1458)</f>
        <v>https://www.dgiwg.org/FAD/fdd/view?i=116115</v>
      </c>
      <c r="L1458" s="36" t="s">
        <v>21977</v>
      </c>
      <c r="M1458" s="186"/>
      <c r="N1458" s="186"/>
      <c r="O1458" s="13" t="s">
        <v>21973</v>
      </c>
    </row>
    <row r="1459" spans="1:15" ht="25.5" x14ac:dyDescent="0.2">
      <c r="A1459" s="203" t="str">
        <f t="shared" si="22"/>
        <v>ApfCode_hi</v>
      </c>
      <c r="B1459" s="410"/>
      <c r="C1459" s="417"/>
      <c r="D1459" s="204" t="s">
        <v>21979</v>
      </c>
      <c r="E1459" s="204">
        <v>1</v>
      </c>
      <c r="F1459" s="205" t="s">
        <v>21980</v>
      </c>
      <c r="G1459" s="206" t="s">
        <v>21981</v>
      </c>
      <c r="H1459" s="206" t="s">
        <v>21982</v>
      </c>
      <c r="I1459" s="347"/>
      <c r="J1459" s="39">
        <v>116114</v>
      </c>
      <c r="K1459" s="36" t="str">
        <f>CONCATENATE(Cover!$D$6,"fdd/view?i=",J1459)</f>
        <v>https://www.dgiwg.org/FAD/fdd/view?i=116114</v>
      </c>
      <c r="L1459" s="36" t="s">
        <v>21983</v>
      </c>
      <c r="M1459" s="186"/>
      <c r="N1459" s="186"/>
      <c r="O1459" s="13" t="s">
        <v>21978</v>
      </c>
    </row>
    <row r="1460" spans="1:15" ht="25.5" x14ac:dyDescent="0.2">
      <c r="A1460" s="190" t="str">
        <f t="shared" si="22"/>
        <v>IatCode_airborneRadarApproach</v>
      </c>
      <c r="B1460" s="414" t="str">
        <f>HYPERLINK("[#]Datatypes!A164:L164","IatCode")</f>
        <v>IatCode</v>
      </c>
      <c r="C1460" s="415" t="s">
        <v>14718</v>
      </c>
      <c r="D1460" s="221" t="s">
        <v>21990</v>
      </c>
      <c r="E1460" s="221">
        <v>2</v>
      </c>
      <c r="F1460" s="222" t="s">
        <v>21991</v>
      </c>
      <c r="G1460" s="223" t="s">
        <v>21992</v>
      </c>
      <c r="H1460" s="224"/>
      <c r="I1460" s="345"/>
      <c r="J1460" s="39">
        <v>115722</v>
      </c>
      <c r="K1460" s="36" t="str">
        <f>CONCATENATE(Cover!$D$6,"fdd/view?i=",J1460)</f>
        <v>https://www.dgiwg.org/FAD/fdd/view?i=115722</v>
      </c>
      <c r="L1460" s="36" t="s">
        <v>21993</v>
      </c>
      <c r="M1460" s="186"/>
      <c r="N1460" s="186"/>
      <c r="O1460" s="13" t="s">
        <v>21989</v>
      </c>
    </row>
    <row r="1461" spans="1:15" ht="25.5" x14ac:dyDescent="0.2">
      <c r="A1461" s="197" t="str">
        <f t="shared" si="22"/>
        <v>IatCode_airportSurveillanceRadar</v>
      </c>
      <c r="B1461" s="409"/>
      <c r="C1461" s="416"/>
      <c r="D1461" s="198" t="s">
        <v>21994</v>
      </c>
      <c r="E1461" s="198">
        <v>1</v>
      </c>
      <c r="F1461" s="199" t="s">
        <v>21995</v>
      </c>
      <c r="G1461" s="1" t="s">
        <v>21996</v>
      </c>
      <c r="H1461" s="200"/>
      <c r="I1461" s="346"/>
      <c r="J1461" s="39">
        <v>115721</v>
      </c>
      <c r="K1461" s="36" t="str">
        <f>CONCATENATE(Cover!$D$6,"fdd/view?i=",J1461)</f>
        <v>https://www.dgiwg.org/FAD/fdd/view?i=115721</v>
      </c>
      <c r="L1461" s="36" t="s">
        <v>21997</v>
      </c>
      <c r="M1461" s="186"/>
      <c r="N1461" s="186"/>
      <c r="O1461" s="13" t="s">
        <v>21555</v>
      </c>
    </row>
    <row r="1462" spans="1:15" ht="25.5" x14ac:dyDescent="0.2">
      <c r="A1462" s="197" t="str">
        <f t="shared" si="22"/>
        <v>IatCode_airRouteSurveillanceRadar</v>
      </c>
      <c r="B1462" s="409"/>
      <c r="C1462" s="416"/>
      <c r="D1462" s="198" t="s">
        <v>21985</v>
      </c>
      <c r="E1462" s="198">
        <v>3</v>
      </c>
      <c r="F1462" s="199" t="s">
        <v>21986</v>
      </c>
      <c r="G1462" s="1" t="s">
        <v>21987</v>
      </c>
      <c r="H1462" s="200"/>
      <c r="I1462" s="346"/>
      <c r="J1462" s="39">
        <v>115723</v>
      </c>
      <c r="K1462" s="36" t="str">
        <f>CONCATENATE(Cover!$D$6,"fdd/view?i=",J1462)</f>
        <v>https://www.dgiwg.org/FAD/fdd/view?i=115723</v>
      </c>
      <c r="L1462" s="36" t="s">
        <v>21988</v>
      </c>
      <c r="M1462" s="186"/>
      <c r="N1462" s="186"/>
      <c r="O1462" s="13" t="s">
        <v>21984</v>
      </c>
    </row>
    <row r="1463" spans="1:15" ht="25.5" x14ac:dyDescent="0.2">
      <c r="A1463" s="197" t="str">
        <f t="shared" si="22"/>
        <v>IatCode_areaNavigation</v>
      </c>
      <c r="B1463" s="409"/>
      <c r="C1463" s="416"/>
      <c r="D1463" s="198" t="s">
        <v>21998</v>
      </c>
      <c r="E1463" s="198">
        <v>29</v>
      </c>
      <c r="F1463" s="199" t="s">
        <v>21999</v>
      </c>
      <c r="G1463" s="1" t="s">
        <v>22000</v>
      </c>
      <c r="H1463" s="200"/>
      <c r="I1463" s="346"/>
      <c r="J1463" s="39">
        <v>115749</v>
      </c>
      <c r="K1463" s="36" t="str">
        <f>CONCATENATE(Cover!$D$6,"fdd/view?i=",J1463)</f>
        <v>https://www.dgiwg.org/FAD/fdd/view?i=115749</v>
      </c>
      <c r="L1463" s="36" t="s">
        <v>22001</v>
      </c>
      <c r="M1463" s="186"/>
      <c r="N1463" s="186"/>
      <c r="O1463" s="13" t="s">
        <v>20886</v>
      </c>
    </row>
    <row r="1464" spans="1:15" ht="25.5" x14ac:dyDescent="0.2">
      <c r="A1464" s="197" t="str">
        <f t="shared" si="22"/>
        <v>IatCode_distanceMeasuringEquipment</v>
      </c>
      <c r="B1464" s="409"/>
      <c r="C1464" s="416"/>
      <c r="D1464" s="198" t="s">
        <v>22007</v>
      </c>
      <c r="E1464" s="198">
        <v>24</v>
      </c>
      <c r="F1464" s="199" t="s">
        <v>2805</v>
      </c>
      <c r="G1464" s="1" t="s">
        <v>22008</v>
      </c>
      <c r="H1464" s="200"/>
      <c r="I1464" s="346"/>
      <c r="J1464" s="39">
        <v>115744</v>
      </c>
      <c r="K1464" s="36" t="str">
        <f>CONCATENATE(Cover!$D$6,"fdd/view?i=",J1464)</f>
        <v>https://www.dgiwg.org/FAD/fdd/view?i=115744</v>
      </c>
      <c r="L1464" s="36" t="s">
        <v>22009</v>
      </c>
      <c r="M1464" s="186"/>
      <c r="N1464" s="186"/>
      <c r="O1464" s="13" t="s">
        <v>22006</v>
      </c>
    </row>
    <row r="1465" spans="1:15" ht="51" x14ac:dyDescent="0.2">
      <c r="A1465" s="197" t="str">
        <f t="shared" si="22"/>
        <v>IatCode_dmeWithDistMeasuringEquip</v>
      </c>
      <c r="B1465" s="409"/>
      <c r="C1465" s="416"/>
      <c r="D1465" s="198" t="s">
        <v>22011</v>
      </c>
      <c r="E1465" s="198">
        <v>25</v>
      </c>
      <c r="F1465" s="199" t="s">
        <v>22012</v>
      </c>
      <c r="G1465" s="1" t="s">
        <v>22013</v>
      </c>
      <c r="H1465" s="200"/>
      <c r="I1465" s="346"/>
      <c r="J1465" s="39">
        <v>115745</v>
      </c>
      <c r="K1465" s="36" t="str">
        <f>CONCATENATE(Cover!$D$6,"fdd/view?i=",J1465)</f>
        <v>https://www.dgiwg.org/FAD/fdd/view?i=115745</v>
      </c>
      <c r="L1465" s="36" t="s">
        <v>22014</v>
      </c>
      <c r="M1465" s="186"/>
      <c r="N1465" s="186"/>
      <c r="O1465" s="13" t="s">
        <v>22010</v>
      </c>
    </row>
    <row r="1466" spans="1:15" ht="38.25" x14ac:dyDescent="0.2">
      <c r="A1466" s="197" t="str">
        <f t="shared" si="22"/>
        <v>IatCode_globalNavSatelliteSystem</v>
      </c>
      <c r="B1466" s="409"/>
      <c r="C1466" s="416"/>
      <c r="D1466" s="198" t="s">
        <v>22015</v>
      </c>
      <c r="E1466" s="198">
        <v>28</v>
      </c>
      <c r="F1466" s="199" t="s">
        <v>3351</v>
      </c>
      <c r="G1466" s="1" t="s">
        <v>22016</v>
      </c>
      <c r="H1466" s="200"/>
      <c r="I1466" s="346"/>
      <c r="J1466" s="39">
        <v>115748</v>
      </c>
      <c r="K1466" s="36" t="str">
        <f>CONCATENATE(Cover!$D$6,"fdd/view?i=",J1466)</f>
        <v>https://www.dgiwg.org/FAD/fdd/view?i=115748</v>
      </c>
      <c r="L1466" s="36" t="s">
        <v>22017</v>
      </c>
      <c r="M1466" s="186"/>
      <c r="N1466" s="186"/>
      <c r="O1466" s="172"/>
    </row>
    <row r="1467" spans="1:15" ht="25.5" x14ac:dyDescent="0.2">
      <c r="A1467" s="197" t="str">
        <f t="shared" si="22"/>
        <v>IatCode_globalPositioningSystem</v>
      </c>
      <c r="B1467" s="409"/>
      <c r="C1467" s="416"/>
      <c r="D1467" s="198" t="s">
        <v>22019</v>
      </c>
      <c r="E1467" s="198">
        <v>27</v>
      </c>
      <c r="F1467" s="199" t="s">
        <v>22020</v>
      </c>
      <c r="G1467" s="1" t="s">
        <v>22021</v>
      </c>
      <c r="H1467" s="200"/>
      <c r="I1467" s="346"/>
      <c r="J1467" s="39">
        <v>115747</v>
      </c>
      <c r="K1467" s="36" t="str">
        <f>CONCATENATE(Cover!$D$6,"fdd/view?i=",J1467)</f>
        <v>https://www.dgiwg.org/FAD/fdd/view?i=115747</v>
      </c>
      <c r="L1467" s="36" t="s">
        <v>22022</v>
      </c>
      <c r="M1467" s="186"/>
      <c r="N1467" s="186"/>
      <c r="O1467" s="13" t="s">
        <v>22018</v>
      </c>
    </row>
    <row r="1468" spans="1:15" ht="51" x14ac:dyDescent="0.2">
      <c r="A1468" s="197" t="str">
        <f t="shared" si="22"/>
        <v>IatCode_ilsUsingPrecRunwayMonitor</v>
      </c>
      <c r="B1468" s="409"/>
      <c r="C1468" s="416"/>
      <c r="D1468" s="198" t="s">
        <v>22033</v>
      </c>
      <c r="E1468" s="198">
        <v>7</v>
      </c>
      <c r="F1468" s="199" t="s">
        <v>22034</v>
      </c>
      <c r="G1468" s="1" t="s">
        <v>22035</v>
      </c>
      <c r="H1468" s="200"/>
      <c r="I1468" s="346"/>
      <c r="J1468" s="39">
        <v>115727</v>
      </c>
      <c r="K1468" s="36" t="str">
        <f>CONCATENATE(Cover!$D$6,"fdd/view?i=",J1468)</f>
        <v>https://www.dgiwg.org/FAD/fdd/view?i=115727</v>
      </c>
      <c r="L1468" s="36" t="s">
        <v>22036</v>
      </c>
      <c r="M1468" s="186"/>
      <c r="N1468" s="186"/>
      <c r="O1468" s="13" t="s">
        <v>22032</v>
      </c>
    </row>
    <row r="1469" spans="1:15" ht="51" x14ac:dyDescent="0.2">
      <c r="A1469" s="197" t="str">
        <f t="shared" si="22"/>
        <v>IatCode_ilsWithDistMeasuringEquip</v>
      </c>
      <c r="B1469" s="409"/>
      <c r="C1469" s="416"/>
      <c r="D1469" s="198" t="s">
        <v>22038</v>
      </c>
      <c r="E1469" s="198">
        <v>6</v>
      </c>
      <c r="F1469" s="199" t="s">
        <v>22039</v>
      </c>
      <c r="G1469" s="1" t="s">
        <v>22040</v>
      </c>
      <c r="H1469" s="200"/>
      <c r="I1469" s="346"/>
      <c r="J1469" s="39">
        <v>115726</v>
      </c>
      <c r="K1469" s="36" t="str">
        <f>CONCATENATE(Cover!$D$6,"fdd/view?i=",J1469)</f>
        <v>https://www.dgiwg.org/FAD/fdd/view?i=115726</v>
      </c>
      <c r="L1469" s="36" t="s">
        <v>22041</v>
      </c>
      <c r="M1469" s="186"/>
      <c r="N1469" s="186"/>
      <c r="O1469" s="13" t="s">
        <v>22037</v>
      </c>
    </row>
    <row r="1470" spans="1:15" ht="25.5" x14ac:dyDescent="0.2">
      <c r="A1470" s="197" t="str">
        <f t="shared" si="22"/>
        <v>IatCode_instrumentGuidanceSystem</v>
      </c>
      <c r="B1470" s="409"/>
      <c r="C1470" s="416"/>
      <c r="D1470" s="198" t="s">
        <v>22024</v>
      </c>
      <c r="E1470" s="198">
        <v>30</v>
      </c>
      <c r="F1470" s="199" t="s">
        <v>22025</v>
      </c>
      <c r="G1470" s="1" t="s">
        <v>22026</v>
      </c>
      <c r="H1470" s="200"/>
      <c r="I1470" s="346"/>
      <c r="J1470" s="39">
        <v>115750</v>
      </c>
      <c r="K1470" s="36" t="str">
        <f>CONCATENATE(Cover!$D$6,"fdd/view?i=",J1470)</f>
        <v>https://www.dgiwg.org/FAD/fdd/view?i=115750</v>
      </c>
      <c r="L1470" s="36" t="s">
        <v>22027</v>
      </c>
      <c r="M1470" s="186"/>
      <c r="N1470" s="186"/>
      <c r="O1470" s="13" t="s">
        <v>22023</v>
      </c>
    </row>
    <row r="1471" spans="1:15" ht="25.5" x14ac:dyDescent="0.2">
      <c r="A1471" s="197" t="str">
        <f t="shared" si="22"/>
        <v>IatCode_instrumentLandingSystem</v>
      </c>
      <c r="B1471" s="409"/>
      <c r="C1471" s="416"/>
      <c r="D1471" s="198" t="s">
        <v>22029</v>
      </c>
      <c r="E1471" s="198">
        <v>5</v>
      </c>
      <c r="F1471" s="199" t="s">
        <v>3695</v>
      </c>
      <c r="G1471" s="1" t="s">
        <v>22030</v>
      </c>
      <c r="H1471" s="200"/>
      <c r="I1471" s="346"/>
      <c r="J1471" s="39">
        <v>115725</v>
      </c>
      <c r="K1471" s="36" t="str">
        <f>CONCATENATE(Cover!$D$6,"fdd/view?i=",J1471)</f>
        <v>https://www.dgiwg.org/FAD/fdd/view?i=115725</v>
      </c>
      <c r="L1471" s="36" t="s">
        <v>22031</v>
      </c>
      <c r="M1471" s="186"/>
      <c r="N1471" s="186"/>
      <c r="O1471" s="13" t="s">
        <v>22028</v>
      </c>
    </row>
    <row r="1472" spans="1:15" ht="63.75" x14ac:dyDescent="0.2">
      <c r="A1472" s="197" t="str">
        <f t="shared" si="22"/>
        <v>IatCode_ldaWithDistMeasuringEquip</v>
      </c>
      <c r="B1472" s="409"/>
      <c r="C1472" s="416"/>
      <c r="D1472" s="198" t="s">
        <v>22067</v>
      </c>
      <c r="E1472" s="198">
        <v>9</v>
      </c>
      <c r="F1472" s="199" t="s">
        <v>22068</v>
      </c>
      <c r="G1472" s="1" t="s">
        <v>22069</v>
      </c>
      <c r="H1472" s="200"/>
      <c r="I1472" s="346"/>
      <c r="J1472" s="39">
        <v>115729</v>
      </c>
      <c r="K1472" s="36" t="str">
        <f>CONCATENATE(Cover!$D$6,"fdd/view?i=",J1472)</f>
        <v>https://www.dgiwg.org/FAD/fdd/view?i=115729</v>
      </c>
      <c r="L1472" s="36" t="s">
        <v>22070</v>
      </c>
      <c r="M1472" s="186"/>
      <c r="N1472" s="186"/>
      <c r="O1472" s="13" t="s">
        <v>22066</v>
      </c>
    </row>
    <row r="1473" spans="1:15" ht="25.5" x14ac:dyDescent="0.2">
      <c r="A1473" s="197" t="str">
        <f t="shared" si="22"/>
        <v>IatCode_localizer</v>
      </c>
      <c r="B1473" s="409"/>
      <c r="C1473" s="416"/>
      <c r="D1473" s="198" t="s">
        <v>22043</v>
      </c>
      <c r="E1473" s="198">
        <v>10</v>
      </c>
      <c r="F1473" s="199" t="s">
        <v>22044</v>
      </c>
      <c r="G1473" s="1" t="s">
        <v>22045</v>
      </c>
      <c r="H1473" s="200"/>
      <c r="I1473" s="346"/>
      <c r="J1473" s="39">
        <v>115730</v>
      </c>
      <c r="K1473" s="36" t="str">
        <f>CONCATENATE(Cover!$D$6,"fdd/view?i=",J1473)</f>
        <v>https://www.dgiwg.org/FAD/fdd/view?i=115730</v>
      </c>
      <c r="L1473" s="36" t="s">
        <v>22046</v>
      </c>
      <c r="M1473" s="186"/>
      <c r="N1473" s="186"/>
      <c r="O1473" s="13" t="s">
        <v>22042</v>
      </c>
    </row>
    <row r="1474" spans="1:15" ht="25.5" x14ac:dyDescent="0.2">
      <c r="A1474" s="197" t="str">
        <f t="shared" ref="A1474:A1537" si="23">HYPERLINK(K1474,L1474)</f>
        <v>IatCode_localizerBackCourse</v>
      </c>
      <c r="B1474" s="409"/>
      <c r="C1474" s="416"/>
      <c r="D1474" s="198" t="s">
        <v>22048</v>
      </c>
      <c r="E1474" s="198">
        <v>11</v>
      </c>
      <c r="F1474" s="199" t="s">
        <v>22049</v>
      </c>
      <c r="G1474" s="1" t="s">
        <v>22050</v>
      </c>
      <c r="H1474" s="200"/>
      <c r="I1474" s="346"/>
      <c r="J1474" s="39">
        <v>115731</v>
      </c>
      <c r="K1474" s="36" t="str">
        <f>CONCATENATE(Cover!$D$6,"fdd/view?i=",J1474)</f>
        <v>https://www.dgiwg.org/FAD/fdd/view?i=115731</v>
      </c>
      <c r="L1474" s="36" t="s">
        <v>22051</v>
      </c>
      <c r="M1474" s="186"/>
      <c r="N1474" s="186"/>
      <c r="O1474" s="13" t="s">
        <v>22047</v>
      </c>
    </row>
    <row r="1475" spans="1:15" ht="25.5" x14ac:dyDescent="0.2">
      <c r="A1475" s="197" t="str">
        <f t="shared" si="23"/>
        <v>IatCode_localizerTypeDirectionAid</v>
      </c>
      <c r="B1475" s="409"/>
      <c r="C1475" s="416"/>
      <c r="D1475" s="198" t="s">
        <v>22063</v>
      </c>
      <c r="E1475" s="198">
        <v>8</v>
      </c>
      <c r="F1475" s="199" t="s">
        <v>3901</v>
      </c>
      <c r="G1475" s="1" t="s">
        <v>22064</v>
      </c>
      <c r="H1475" s="200"/>
      <c r="I1475" s="346"/>
      <c r="J1475" s="39">
        <v>115728</v>
      </c>
      <c r="K1475" s="36" t="str">
        <f>CONCATENATE(Cover!$D$6,"fdd/view?i=",J1475)</f>
        <v>https://www.dgiwg.org/FAD/fdd/view?i=115728</v>
      </c>
      <c r="L1475" s="36" t="s">
        <v>22065</v>
      </c>
      <c r="M1475" s="186"/>
      <c r="N1475" s="186"/>
      <c r="O1475" s="13" t="s">
        <v>22062</v>
      </c>
    </row>
    <row r="1476" spans="1:15" ht="38.25" x14ac:dyDescent="0.2">
      <c r="A1476" s="197" t="str">
        <f t="shared" si="23"/>
        <v>IatCode_localizerWithDme</v>
      </c>
      <c r="B1476" s="409"/>
      <c r="C1476" s="416"/>
      <c r="D1476" s="198" t="s">
        <v>22053</v>
      </c>
      <c r="E1476" s="198">
        <v>12</v>
      </c>
      <c r="F1476" s="199" t="s">
        <v>22054</v>
      </c>
      <c r="G1476" s="1" t="s">
        <v>22055</v>
      </c>
      <c r="H1476" s="200"/>
      <c r="I1476" s="346"/>
      <c r="J1476" s="39">
        <v>115732</v>
      </c>
      <c r="K1476" s="36" t="str">
        <f>CONCATENATE(Cover!$D$6,"fdd/view?i=",J1476)</f>
        <v>https://www.dgiwg.org/FAD/fdd/view?i=115732</v>
      </c>
      <c r="L1476" s="36" t="s">
        <v>22056</v>
      </c>
      <c r="M1476" s="186"/>
      <c r="N1476" s="186"/>
      <c r="O1476" s="13" t="s">
        <v>22052</v>
      </c>
    </row>
    <row r="1477" spans="1:15" ht="51" x14ac:dyDescent="0.2">
      <c r="A1477" s="197" t="str">
        <f t="shared" si="23"/>
        <v>IatCode_localizerWithDmeBackCourse</v>
      </c>
      <c r="B1477" s="409"/>
      <c r="C1477" s="416"/>
      <c r="D1477" s="198" t="s">
        <v>22058</v>
      </c>
      <c r="E1477" s="198">
        <v>13</v>
      </c>
      <c r="F1477" s="199" t="s">
        <v>22059</v>
      </c>
      <c r="G1477" s="1" t="s">
        <v>22060</v>
      </c>
      <c r="H1477" s="200"/>
      <c r="I1477" s="346"/>
      <c r="J1477" s="39">
        <v>115733</v>
      </c>
      <c r="K1477" s="36" t="str">
        <f>CONCATENATE(Cover!$D$6,"fdd/view?i=",J1477)</f>
        <v>https://www.dgiwg.org/FAD/fdd/view?i=115733</v>
      </c>
      <c r="L1477" s="36" t="s">
        <v>22061</v>
      </c>
      <c r="M1477" s="186"/>
      <c r="N1477" s="186"/>
      <c r="O1477" s="13" t="s">
        <v>22057</v>
      </c>
    </row>
    <row r="1478" spans="1:15" ht="25.5" x14ac:dyDescent="0.2">
      <c r="A1478" s="197" t="str">
        <f t="shared" si="23"/>
        <v>IatCode_microwaveLandingSystem</v>
      </c>
      <c r="B1478" s="409"/>
      <c r="C1478" s="416"/>
      <c r="D1478" s="198" t="s">
        <v>22072</v>
      </c>
      <c r="E1478" s="198">
        <v>14</v>
      </c>
      <c r="F1478" s="199" t="s">
        <v>4098</v>
      </c>
      <c r="G1478" s="1" t="s">
        <v>22073</v>
      </c>
      <c r="H1478" s="200"/>
      <c r="I1478" s="346"/>
      <c r="J1478" s="39">
        <v>115734</v>
      </c>
      <c r="K1478" s="36" t="str">
        <f>CONCATENATE(Cover!$D$6,"fdd/view?i=",J1478)</f>
        <v>https://www.dgiwg.org/FAD/fdd/view?i=115734</v>
      </c>
      <c r="L1478" s="36" t="s">
        <v>22074</v>
      </c>
      <c r="M1478" s="186"/>
      <c r="N1478" s="186"/>
      <c r="O1478" s="13" t="s">
        <v>22071</v>
      </c>
    </row>
    <row r="1479" spans="1:15" ht="51" x14ac:dyDescent="0.2">
      <c r="A1479" s="197" t="str">
        <f t="shared" si="23"/>
        <v>IatCode_mlsWithDistMeasuringEquip</v>
      </c>
      <c r="B1479" s="409"/>
      <c r="C1479" s="416"/>
      <c r="D1479" s="198" t="s">
        <v>22076</v>
      </c>
      <c r="E1479" s="198">
        <v>15</v>
      </c>
      <c r="F1479" s="199" t="s">
        <v>22077</v>
      </c>
      <c r="G1479" s="1" t="s">
        <v>22078</v>
      </c>
      <c r="H1479" s="200"/>
      <c r="I1479" s="346"/>
      <c r="J1479" s="39">
        <v>115735</v>
      </c>
      <c r="K1479" s="36" t="str">
        <f>CONCATENATE(Cover!$D$6,"fdd/view?i=",J1479)</f>
        <v>https://www.dgiwg.org/FAD/fdd/view?i=115735</v>
      </c>
      <c r="L1479" s="36" t="s">
        <v>22079</v>
      </c>
      <c r="M1479" s="186"/>
      <c r="N1479" s="186"/>
      <c r="O1479" s="13" t="s">
        <v>22075</v>
      </c>
    </row>
    <row r="1480" spans="1:15" ht="51" x14ac:dyDescent="0.2">
      <c r="A1480" s="197" t="str">
        <f t="shared" si="23"/>
        <v>IatCode_ndbWithDistMeasuringEquip</v>
      </c>
      <c r="B1480" s="409"/>
      <c r="C1480" s="416"/>
      <c r="D1480" s="198" t="s">
        <v>22086</v>
      </c>
      <c r="E1480" s="198">
        <v>17</v>
      </c>
      <c r="F1480" s="199" t="s">
        <v>22087</v>
      </c>
      <c r="G1480" s="1" t="s">
        <v>22088</v>
      </c>
      <c r="H1480" s="200"/>
      <c r="I1480" s="346"/>
      <c r="J1480" s="39">
        <v>115737</v>
      </c>
      <c r="K1480" s="36" t="str">
        <f>CONCATENATE(Cover!$D$6,"fdd/view?i=",J1480)</f>
        <v>https://www.dgiwg.org/FAD/fdd/view?i=115737</v>
      </c>
      <c r="L1480" s="36" t="s">
        <v>22089</v>
      </c>
      <c r="M1480" s="186"/>
      <c r="N1480" s="186"/>
      <c r="O1480" s="13" t="s">
        <v>22085</v>
      </c>
    </row>
    <row r="1481" spans="1:15" ht="25.5" x14ac:dyDescent="0.2">
      <c r="A1481" s="197" t="str">
        <f t="shared" si="23"/>
        <v>IatCode_nonDirectionalBeacon</v>
      </c>
      <c r="B1481" s="409"/>
      <c r="C1481" s="416"/>
      <c r="D1481" s="198" t="s">
        <v>22081</v>
      </c>
      <c r="E1481" s="198">
        <v>16</v>
      </c>
      <c r="F1481" s="199" t="s">
        <v>22082</v>
      </c>
      <c r="G1481" s="1" t="s">
        <v>22083</v>
      </c>
      <c r="H1481" s="200"/>
      <c r="I1481" s="346"/>
      <c r="J1481" s="39">
        <v>115736</v>
      </c>
      <c r="K1481" s="36" t="str">
        <f>CONCATENATE(Cover!$D$6,"fdd/view?i=",J1481)</f>
        <v>https://www.dgiwg.org/FAD/fdd/view?i=115736</v>
      </c>
      <c r="L1481" s="36" t="s">
        <v>22084</v>
      </c>
      <c r="M1481" s="186"/>
      <c r="N1481" s="186"/>
      <c r="O1481" s="13" t="s">
        <v>22080</v>
      </c>
    </row>
    <row r="1482" spans="1:15" ht="25.5" x14ac:dyDescent="0.2">
      <c r="A1482" s="197" t="str">
        <f t="shared" si="23"/>
        <v>IatCode_precisionApproachRadar</v>
      </c>
      <c r="B1482" s="409"/>
      <c r="C1482" s="416"/>
      <c r="D1482" s="198" t="s">
        <v>22090</v>
      </c>
      <c r="E1482" s="198">
        <v>4</v>
      </c>
      <c r="F1482" s="199" t="s">
        <v>4529</v>
      </c>
      <c r="G1482" s="1" t="s">
        <v>22091</v>
      </c>
      <c r="H1482" s="200"/>
      <c r="I1482" s="346"/>
      <c r="J1482" s="39">
        <v>115724</v>
      </c>
      <c r="K1482" s="36" t="str">
        <f>CONCATENATE(Cover!$D$6,"fdd/view?i=",J1482)</f>
        <v>https://www.dgiwg.org/FAD/fdd/view?i=115724</v>
      </c>
      <c r="L1482" s="36" t="s">
        <v>22092</v>
      </c>
      <c r="M1482" s="186"/>
      <c r="N1482" s="186"/>
      <c r="O1482" s="13" t="s">
        <v>21075</v>
      </c>
    </row>
    <row r="1483" spans="1:15" ht="25.5" x14ac:dyDescent="0.2">
      <c r="A1483" s="197" t="str">
        <f t="shared" si="23"/>
        <v>IatCode_requiredNavPerformance</v>
      </c>
      <c r="B1483" s="409"/>
      <c r="C1483" s="416"/>
      <c r="D1483" s="198" t="s">
        <v>22094</v>
      </c>
      <c r="E1483" s="198">
        <v>26</v>
      </c>
      <c r="F1483" s="199" t="s">
        <v>22095</v>
      </c>
      <c r="G1483" s="1" t="s">
        <v>22096</v>
      </c>
      <c r="H1483" s="200"/>
      <c r="I1483" s="346"/>
      <c r="J1483" s="39">
        <v>115746</v>
      </c>
      <c r="K1483" s="36" t="str">
        <f>CONCATENATE(Cover!$D$6,"fdd/view?i=",J1483)</f>
        <v>https://www.dgiwg.org/FAD/fdd/view?i=115746</v>
      </c>
      <c r="L1483" s="36" t="s">
        <v>22097</v>
      </c>
      <c r="M1483" s="186"/>
      <c r="N1483" s="186"/>
      <c r="O1483" s="13" t="s">
        <v>22093</v>
      </c>
    </row>
    <row r="1484" spans="1:15" ht="38.25" x14ac:dyDescent="0.2">
      <c r="A1484" s="197" t="str">
        <f t="shared" si="23"/>
        <v>IatCode_rnavToInstLandingSys</v>
      </c>
      <c r="B1484" s="409"/>
      <c r="C1484" s="416"/>
      <c r="D1484" s="198" t="s">
        <v>22002</v>
      </c>
      <c r="E1484" s="198">
        <v>31</v>
      </c>
      <c r="F1484" s="199" t="s">
        <v>22003</v>
      </c>
      <c r="G1484" s="1" t="s">
        <v>22004</v>
      </c>
      <c r="H1484" s="200"/>
      <c r="I1484" s="346"/>
      <c r="J1484" s="39">
        <v>115751</v>
      </c>
      <c r="K1484" s="36" t="str">
        <f>CONCATENATE(Cover!$D$6,"fdd/view?i=",J1484)</f>
        <v>https://www.dgiwg.org/FAD/fdd/view?i=115751</v>
      </c>
      <c r="L1484" s="36" t="s">
        <v>22005</v>
      </c>
      <c r="M1484" s="186"/>
      <c r="N1484" s="186"/>
      <c r="O1484" s="172"/>
    </row>
    <row r="1485" spans="1:15" ht="38.25" x14ac:dyDescent="0.2">
      <c r="A1485" s="197" t="str">
        <f t="shared" si="23"/>
        <v>IatCode_satelliteBasedAugSystem</v>
      </c>
      <c r="B1485" s="409"/>
      <c r="C1485" s="416"/>
      <c r="D1485" s="198" t="s">
        <v>12519</v>
      </c>
      <c r="E1485" s="198">
        <v>34</v>
      </c>
      <c r="F1485" s="199" t="s">
        <v>4897</v>
      </c>
      <c r="G1485" s="1" t="s">
        <v>22098</v>
      </c>
      <c r="H1485" s="200"/>
      <c r="I1485" s="346"/>
      <c r="J1485" s="39">
        <v>115754</v>
      </c>
      <c r="K1485" s="36" t="str">
        <f>CONCATENATE(Cover!$D$6,"fdd/view?i=",J1485)</f>
        <v>https://www.dgiwg.org/FAD/fdd/view?i=115754</v>
      </c>
      <c r="L1485" s="36" t="s">
        <v>22099</v>
      </c>
      <c r="M1485" s="186"/>
      <c r="N1485" s="186"/>
      <c r="O1485" s="172"/>
    </row>
    <row r="1486" spans="1:15" ht="25.5" x14ac:dyDescent="0.2">
      <c r="A1486" s="197" t="str">
        <f t="shared" si="23"/>
        <v>IatCode_simplifiedDirectionalFac</v>
      </c>
      <c r="B1486" s="409"/>
      <c r="C1486" s="416"/>
      <c r="D1486" s="198" t="s">
        <v>22101</v>
      </c>
      <c r="E1486" s="198">
        <v>18</v>
      </c>
      <c r="F1486" s="199" t="s">
        <v>5064</v>
      </c>
      <c r="G1486" s="1" t="s">
        <v>22102</v>
      </c>
      <c r="H1486" s="200"/>
      <c r="I1486" s="346"/>
      <c r="J1486" s="39">
        <v>115738</v>
      </c>
      <c r="K1486" s="36" t="str">
        <f>CONCATENATE(Cover!$D$6,"fdd/view?i=",J1486)</f>
        <v>https://www.dgiwg.org/FAD/fdd/view?i=115738</v>
      </c>
      <c r="L1486" s="36" t="s">
        <v>22103</v>
      </c>
      <c r="M1486" s="186"/>
      <c r="N1486" s="186"/>
      <c r="O1486" s="13" t="s">
        <v>22100</v>
      </c>
    </row>
    <row r="1487" spans="1:15" ht="38.25" x14ac:dyDescent="0.2">
      <c r="A1487" s="197" t="str">
        <f t="shared" si="23"/>
        <v>IatCode_specAircraftCrewApproval</v>
      </c>
      <c r="B1487" s="409"/>
      <c r="C1487" s="416"/>
      <c r="D1487" s="198" t="s">
        <v>22104</v>
      </c>
      <c r="E1487" s="198">
        <v>32</v>
      </c>
      <c r="F1487" s="199" t="s">
        <v>22105</v>
      </c>
      <c r="G1487" s="1" t="s">
        <v>22106</v>
      </c>
      <c r="H1487" s="200"/>
      <c r="I1487" s="346"/>
      <c r="J1487" s="39">
        <v>115752</v>
      </c>
      <c r="K1487" s="36" t="str">
        <f>CONCATENATE(Cover!$D$6,"fdd/view?i=",J1487)</f>
        <v>https://www.dgiwg.org/FAD/fdd/view?i=115752</v>
      </c>
      <c r="L1487" s="36" t="s">
        <v>22107</v>
      </c>
      <c r="M1487" s="186"/>
      <c r="N1487" s="186"/>
      <c r="O1487" s="172"/>
    </row>
    <row r="1488" spans="1:15" ht="25.5" x14ac:dyDescent="0.2">
      <c r="A1488" s="197" t="str">
        <f t="shared" si="23"/>
        <v>IatCode_transponderLandingSystem</v>
      </c>
      <c r="B1488" s="409"/>
      <c r="C1488" s="416"/>
      <c r="D1488" s="198" t="s">
        <v>22109</v>
      </c>
      <c r="E1488" s="198">
        <v>19</v>
      </c>
      <c r="F1488" s="199" t="s">
        <v>22110</v>
      </c>
      <c r="G1488" s="1" t="s">
        <v>22111</v>
      </c>
      <c r="H1488" s="200"/>
      <c r="I1488" s="346"/>
      <c r="J1488" s="39">
        <v>115739</v>
      </c>
      <c r="K1488" s="36" t="str">
        <f>CONCATENATE(Cover!$D$6,"fdd/view?i=",J1488)</f>
        <v>https://www.dgiwg.org/FAD/fdd/view?i=115739</v>
      </c>
      <c r="L1488" s="36" t="s">
        <v>22112</v>
      </c>
      <c r="M1488" s="186"/>
      <c r="N1488" s="186"/>
      <c r="O1488" s="13" t="s">
        <v>22108</v>
      </c>
    </row>
    <row r="1489" spans="1:15" ht="38.25" x14ac:dyDescent="0.2">
      <c r="A1489" s="197" t="str">
        <f t="shared" si="23"/>
        <v>IatCode_uhfTacticalAirNavBeacon</v>
      </c>
      <c r="B1489" s="409"/>
      <c r="C1489" s="416"/>
      <c r="D1489" s="198" t="s">
        <v>22114</v>
      </c>
      <c r="E1489" s="198">
        <v>22</v>
      </c>
      <c r="F1489" s="199" t="s">
        <v>22115</v>
      </c>
      <c r="G1489" s="1" t="s">
        <v>22116</v>
      </c>
      <c r="H1489" s="200"/>
      <c r="I1489" s="346"/>
      <c r="J1489" s="39">
        <v>115742</v>
      </c>
      <c r="K1489" s="36" t="str">
        <f>CONCATENATE(Cover!$D$6,"fdd/view?i=",J1489)</f>
        <v>https://www.dgiwg.org/FAD/fdd/view?i=115742</v>
      </c>
      <c r="L1489" s="36" t="s">
        <v>22117</v>
      </c>
      <c r="M1489" s="186"/>
      <c r="N1489" s="186"/>
      <c r="O1489" s="13" t="s">
        <v>22113</v>
      </c>
    </row>
    <row r="1490" spans="1:15" ht="25.5" x14ac:dyDescent="0.2">
      <c r="A1490" s="197" t="str">
        <f t="shared" si="23"/>
        <v>IatCode_vhfOmnidirectionalRadio</v>
      </c>
      <c r="B1490" s="409"/>
      <c r="C1490" s="416"/>
      <c r="D1490" s="198" t="s">
        <v>22119</v>
      </c>
      <c r="E1490" s="198">
        <v>20</v>
      </c>
      <c r="F1490" s="199" t="s">
        <v>22120</v>
      </c>
      <c r="G1490" s="1" t="s">
        <v>22121</v>
      </c>
      <c r="H1490" s="200"/>
      <c r="I1490" s="346"/>
      <c r="J1490" s="39">
        <v>115740</v>
      </c>
      <c r="K1490" s="36" t="str">
        <f>CONCATENATE(Cover!$D$6,"fdd/view?i=",J1490)</f>
        <v>https://www.dgiwg.org/FAD/fdd/view?i=115740</v>
      </c>
      <c r="L1490" s="36" t="s">
        <v>22122</v>
      </c>
      <c r="M1490" s="186"/>
      <c r="N1490" s="186"/>
      <c r="O1490" s="13" t="s">
        <v>22118</v>
      </c>
    </row>
    <row r="1491" spans="1:15" ht="25.5" x14ac:dyDescent="0.2">
      <c r="A1491" s="197" t="str">
        <f t="shared" si="23"/>
        <v>IatCode_visual</v>
      </c>
      <c r="B1491" s="409"/>
      <c r="C1491" s="416"/>
      <c r="D1491" s="198" t="s">
        <v>21963</v>
      </c>
      <c r="E1491" s="198">
        <v>33</v>
      </c>
      <c r="F1491" s="199" t="s">
        <v>21964</v>
      </c>
      <c r="G1491" s="1" t="s">
        <v>22133</v>
      </c>
      <c r="H1491" s="200"/>
      <c r="I1491" s="346"/>
      <c r="J1491" s="39">
        <v>115753</v>
      </c>
      <c r="K1491" s="36" t="str">
        <f>CONCATENATE(Cover!$D$6,"fdd/view?i=",J1491)</f>
        <v>https://www.dgiwg.org/FAD/fdd/view?i=115753</v>
      </c>
      <c r="L1491" s="36" t="s">
        <v>22134</v>
      </c>
      <c r="M1491" s="186"/>
      <c r="N1491" s="186"/>
      <c r="O1491" s="172"/>
    </row>
    <row r="1492" spans="1:15" ht="51" x14ac:dyDescent="0.2">
      <c r="A1492" s="197" t="str">
        <f t="shared" si="23"/>
        <v>IatCode_vorWithDistMeasuringEquip</v>
      </c>
      <c r="B1492" s="409"/>
      <c r="C1492" s="416"/>
      <c r="D1492" s="198" t="s">
        <v>22124</v>
      </c>
      <c r="E1492" s="198">
        <v>21</v>
      </c>
      <c r="F1492" s="199" t="s">
        <v>22125</v>
      </c>
      <c r="G1492" s="1" t="s">
        <v>22126</v>
      </c>
      <c r="H1492" s="200"/>
      <c r="I1492" s="346"/>
      <c r="J1492" s="39">
        <v>115741</v>
      </c>
      <c r="K1492" s="36" t="str">
        <f>CONCATENATE(Cover!$D$6,"fdd/view?i=",J1492)</f>
        <v>https://www.dgiwg.org/FAD/fdd/view?i=115741</v>
      </c>
      <c r="L1492" s="36" t="s">
        <v>22127</v>
      </c>
      <c r="M1492" s="186"/>
      <c r="N1492" s="186"/>
      <c r="O1492" s="13" t="s">
        <v>22123</v>
      </c>
    </row>
    <row r="1493" spans="1:15" ht="63.75" x14ac:dyDescent="0.2">
      <c r="A1493" s="203" t="str">
        <f t="shared" si="23"/>
        <v>IatCode_vorWithTacanBeacon</v>
      </c>
      <c r="B1493" s="410"/>
      <c r="C1493" s="417"/>
      <c r="D1493" s="204" t="s">
        <v>22129</v>
      </c>
      <c r="E1493" s="204">
        <v>23</v>
      </c>
      <c r="F1493" s="205" t="s">
        <v>22130</v>
      </c>
      <c r="G1493" s="206" t="s">
        <v>22131</v>
      </c>
      <c r="H1493" s="207"/>
      <c r="I1493" s="347"/>
      <c r="J1493" s="39">
        <v>115743</v>
      </c>
      <c r="K1493" s="36" t="str">
        <f>CONCATENATE(Cover!$D$6,"fdd/view?i=",J1493)</f>
        <v>https://www.dgiwg.org/FAD/fdd/view?i=115743</v>
      </c>
      <c r="L1493" s="36" t="s">
        <v>22132</v>
      </c>
      <c r="M1493" s="186"/>
      <c r="N1493" s="186"/>
      <c r="O1493" s="13" t="s">
        <v>22128</v>
      </c>
    </row>
    <row r="1494" spans="1:15" ht="25.5" x14ac:dyDescent="0.2">
      <c r="A1494" s="190" t="str">
        <f t="shared" si="23"/>
        <v>ApyCode_cargo</v>
      </c>
      <c r="B1494" s="414" t="str">
        <f>HYPERLINK("[#]Datatypes!A166:L166","ApyCode")</f>
        <v>ApyCode</v>
      </c>
      <c r="C1494" s="415" t="s">
        <v>14720</v>
      </c>
      <c r="D1494" s="221" t="s">
        <v>22135</v>
      </c>
      <c r="E1494" s="221">
        <v>2</v>
      </c>
      <c r="F1494" s="222" t="s">
        <v>22136</v>
      </c>
      <c r="G1494" s="223" t="s">
        <v>22137</v>
      </c>
      <c r="H1494" s="224"/>
      <c r="I1494" s="352" t="s">
        <v>22138</v>
      </c>
      <c r="J1494" s="39">
        <v>115423</v>
      </c>
      <c r="K1494" s="36" t="str">
        <f>CONCATENATE(Cover!$D$6,"fdd/view?i=",J1494)</f>
        <v>https://www.dgiwg.org/FAD/fdd/view?i=115423</v>
      </c>
      <c r="L1494" s="36" t="s">
        <v>22139</v>
      </c>
      <c r="M1494" s="186"/>
      <c r="N1494" s="186"/>
      <c r="O1494" s="172"/>
    </row>
    <row r="1495" spans="1:15" ht="51" x14ac:dyDescent="0.2">
      <c r="A1495" s="197" t="str">
        <f t="shared" si="23"/>
        <v>ApyCode_dispersal</v>
      </c>
      <c r="B1495" s="409"/>
      <c r="C1495" s="416"/>
      <c r="D1495" s="198" t="s">
        <v>22140</v>
      </c>
      <c r="E1495" s="198">
        <v>7</v>
      </c>
      <c r="F1495" s="199" t="s">
        <v>22141</v>
      </c>
      <c r="G1495" s="1" t="s">
        <v>22142</v>
      </c>
      <c r="H1495" s="1" t="s">
        <v>22143</v>
      </c>
      <c r="I1495" s="346"/>
      <c r="J1495" s="39">
        <v>115428</v>
      </c>
      <c r="K1495" s="36" t="str">
        <f>CONCATENATE(Cover!$D$6,"fdd/view?i=",J1495)</f>
        <v>https://www.dgiwg.org/FAD/fdd/view?i=115428</v>
      </c>
      <c r="L1495" s="36" t="s">
        <v>22144</v>
      </c>
      <c r="M1495" s="186"/>
      <c r="N1495" s="186"/>
      <c r="O1495" s="172"/>
    </row>
    <row r="1496" spans="1:15" ht="38.25" x14ac:dyDescent="0.2">
      <c r="A1496" s="197" t="str">
        <f t="shared" si="23"/>
        <v>ApyCode_generalAviation</v>
      </c>
      <c r="B1496" s="409"/>
      <c r="C1496" s="416"/>
      <c r="D1496" s="198" t="s">
        <v>22145</v>
      </c>
      <c r="E1496" s="198">
        <v>5</v>
      </c>
      <c r="F1496" s="199" t="s">
        <v>22146</v>
      </c>
      <c r="G1496" s="1" t="s">
        <v>22147</v>
      </c>
      <c r="H1496" s="200"/>
      <c r="I1496" s="346"/>
      <c r="J1496" s="39">
        <v>115426</v>
      </c>
      <c r="K1496" s="36" t="str">
        <f>CONCATENATE(Cover!$D$6,"fdd/view?i=",J1496)</f>
        <v>https://www.dgiwg.org/FAD/fdd/view?i=115426</v>
      </c>
      <c r="L1496" s="36" t="s">
        <v>22148</v>
      </c>
      <c r="M1496" s="186"/>
      <c r="N1496" s="186"/>
      <c r="O1496" s="172"/>
    </row>
    <row r="1497" spans="1:15" ht="25.5" x14ac:dyDescent="0.2">
      <c r="A1497" s="197" t="str">
        <f t="shared" si="23"/>
        <v>ApyCode_holding</v>
      </c>
      <c r="B1497" s="409"/>
      <c r="C1497" s="416"/>
      <c r="D1497" s="198" t="s">
        <v>22149</v>
      </c>
      <c r="E1497" s="198">
        <v>8</v>
      </c>
      <c r="F1497" s="199" t="s">
        <v>22150</v>
      </c>
      <c r="G1497" s="1" t="s">
        <v>22151</v>
      </c>
      <c r="H1497" s="200"/>
      <c r="I1497" s="346"/>
      <c r="J1497" s="39">
        <v>115429</v>
      </c>
      <c r="K1497" s="36" t="str">
        <f>CONCATENATE(Cover!$D$6,"fdd/view?i=",J1497)</f>
        <v>https://www.dgiwg.org/FAD/fdd/view?i=115429</v>
      </c>
      <c r="L1497" s="36" t="s">
        <v>22152</v>
      </c>
      <c r="M1497" s="186"/>
      <c r="N1497" s="186"/>
      <c r="O1497" s="172"/>
    </row>
    <row r="1498" spans="1:15" ht="38.25" x14ac:dyDescent="0.2">
      <c r="A1498" s="197" t="str">
        <f t="shared" si="23"/>
        <v>ApyCode_military</v>
      </c>
      <c r="B1498" s="409"/>
      <c r="C1498" s="416"/>
      <c r="D1498" s="198" t="s">
        <v>20503</v>
      </c>
      <c r="E1498" s="198">
        <v>6</v>
      </c>
      <c r="F1498" s="199" t="s">
        <v>20504</v>
      </c>
      <c r="G1498" s="1" t="s">
        <v>22153</v>
      </c>
      <c r="H1498" s="200"/>
      <c r="I1498" s="346"/>
      <c r="J1498" s="39">
        <v>115427</v>
      </c>
      <c r="K1498" s="36" t="str">
        <f>CONCATENATE(Cover!$D$6,"fdd/view?i=",J1498)</f>
        <v>https://www.dgiwg.org/FAD/fdd/view?i=115427</v>
      </c>
      <c r="L1498" s="36" t="s">
        <v>22154</v>
      </c>
      <c r="M1498" s="186"/>
      <c r="N1498" s="186"/>
      <c r="O1498" s="172"/>
    </row>
    <row r="1499" spans="1:15" ht="25.5" x14ac:dyDescent="0.2">
      <c r="A1499" s="197" t="str">
        <f t="shared" si="23"/>
        <v>ApyCode_passenger</v>
      </c>
      <c r="B1499" s="409"/>
      <c r="C1499" s="416"/>
      <c r="D1499" s="198" t="s">
        <v>22155</v>
      </c>
      <c r="E1499" s="198">
        <v>1</v>
      </c>
      <c r="F1499" s="199" t="s">
        <v>22156</v>
      </c>
      <c r="G1499" s="1" t="s">
        <v>22157</v>
      </c>
      <c r="H1499" s="200"/>
      <c r="I1499" s="346"/>
      <c r="J1499" s="39">
        <v>115422</v>
      </c>
      <c r="K1499" s="36" t="str">
        <f>CONCATENATE(Cover!$D$6,"fdd/view?i=",J1499)</f>
        <v>https://www.dgiwg.org/FAD/fdd/view?i=115422</v>
      </c>
      <c r="L1499" s="36" t="s">
        <v>22158</v>
      </c>
      <c r="M1499" s="186"/>
      <c r="N1499" s="186"/>
      <c r="O1499" s="172"/>
    </row>
    <row r="1500" spans="1:15" ht="25.5" x14ac:dyDescent="0.2">
      <c r="A1500" s="197" t="str">
        <f t="shared" si="23"/>
        <v>ApyCode_remoteParking</v>
      </c>
      <c r="B1500" s="409"/>
      <c r="C1500" s="416"/>
      <c r="D1500" s="198" t="s">
        <v>22159</v>
      </c>
      <c r="E1500" s="198">
        <v>3</v>
      </c>
      <c r="F1500" s="199" t="s">
        <v>22160</v>
      </c>
      <c r="G1500" s="1" t="s">
        <v>22161</v>
      </c>
      <c r="H1500" s="200"/>
      <c r="I1500" s="346"/>
      <c r="J1500" s="39">
        <v>115424</v>
      </c>
      <c r="K1500" s="36" t="str">
        <f>CONCATENATE(Cover!$D$6,"fdd/view?i=",J1500)</f>
        <v>https://www.dgiwg.org/FAD/fdd/view?i=115424</v>
      </c>
      <c r="L1500" s="36" t="s">
        <v>22162</v>
      </c>
      <c r="M1500" s="186"/>
      <c r="N1500" s="186"/>
      <c r="O1500" s="172"/>
    </row>
    <row r="1501" spans="1:15" ht="38.25" x14ac:dyDescent="0.2">
      <c r="A1501" s="203" t="str">
        <f t="shared" si="23"/>
        <v>ApyCode_servicesHangar</v>
      </c>
      <c r="B1501" s="410"/>
      <c r="C1501" s="417"/>
      <c r="D1501" s="204" t="s">
        <v>22163</v>
      </c>
      <c r="E1501" s="204">
        <v>4</v>
      </c>
      <c r="F1501" s="205" t="s">
        <v>22164</v>
      </c>
      <c r="G1501" s="206" t="s">
        <v>22165</v>
      </c>
      <c r="H1501" s="207"/>
      <c r="I1501" s="347"/>
      <c r="J1501" s="39">
        <v>115425</v>
      </c>
      <c r="K1501" s="36" t="str">
        <f>CONCATENATE(Cover!$D$6,"fdd/view?i=",J1501)</f>
        <v>https://www.dgiwg.org/FAD/fdd/view?i=115425</v>
      </c>
      <c r="L1501" s="36" t="s">
        <v>22166</v>
      </c>
      <c r="M1501" s="186"/>
      <c r="N1501" s="186"/>
      <c r="O1501" s="172"/>
    </row>
    <row r="1502" spans="1:15" ht="25.5" x14ac:dyDescent="0.2">
      <c r="A1502" s="190" t="str">
        <f t="shared" si="23"/>
        <v>ApuCode_aircraftWashStand</v>
      </c>
      <c r="B1502" s="414" t="str">
        <f>HYPERLINK("[#]Datatypes!A168:L168","ApuCode")</f>
        <v>ApuCode</v>
      </c>
      <c r="C1502" s="415" t="s">
        <v>14722</v>
      </c>
      <c r="D1502" s="221" t="s">
        <v>22167</v>
      </c>
      <c r="E1502" s="221">
        <v>15</v>
      </c>
      <c r="F1502" s="222" t="s">
        <v>22168</v>
      </c>
      <c r="G1502" s="223" t="s">
        <v>22169</v>
      </c>
      <c r="H1502" s="224"/>
      <c r="I1502" s="345"/>
      <c r="J1502" s="39">
        <v>119715</v>
      </c>
      <c r="K1502" s="36" t="str">
        <f>CONCATENATE(Cover!$D$6,"fdd/view?i=",J1502)</f>
        <v>https://www.dgiwg.org/FAD/fdd/view?i=119715</v>
      </c>
      <c r="L1502" s="36" t="s">
        <v>22170</v>
      </c>
      <c r="M1502" s="186"/>
      <c r="N1502" s="186"/>
      <c r="O1502" s="172"/>
    </row>
    <row r="1503" spans="1:15" ht="38.25" x14ac:dyDescent="0.2">
      <c r="A1503" s="197" t="str">
        <f t="shared" si="23"/>
        <v>ApuCode_alert</v>
      </c>
      <c r="B1503" s="409"/>
      <c r="C1503" s="416"/>
      <c r="D1503" s="198" t="s">
        <v>22171</v>
      </c>
      <c r="E1503" s="198">
        <v>8</v>
      </c>
      <c r="F1503" s="199" t="s">
        <v>22172</v>
      </c>
      <c r="G1503" s="1" t="s">
        <v>22173</v>
      </c>
      <c r="H1503" s="200"/>
      <c r="I1503" s="351" t="s">
        <v>22174</v>
      </c>
      <c r="J1503" s="39">
        <v>115437</v>
      </c>
      <c r="K1503" s="36" t="str">
        <f>CONCATENATE(Cover!$D$6,"fdd/view?i=",J1503)</f>
        <v>https://www.dgiwg.org/FAD/fdd/view?i=115437</v>
      </c>
      <c r="L1503" s="36" t="s">
        <v>22175</v>
      </c>
      <c r="M1503" s="186"/>
      <c r="N1503" s="186"/>
      <c r="O1503" s="172"/>
    </row>
    <row r="1504" spans="1:15" ht="25.5" x14ac:dyDescent="0.2">
      <c r="A1504" s="197" t="str">
        <f t="shared" si="23"/>
        <v>ApuCode_compassRose</v>
      </c>
      <c r="B1504" s="409"/>
      <c r="C1504" s="416"/>
      <c r="D1504" s="198" t="s">
        <v>22176</v>
      </c>
      <c r="E1504" s="198">
        <v>5</v>
      </c>
      <c r="F1504" s="199" t="s">
        <v>22177</v>
      </c>
      <c r="G1504" s="1" t="s">
        <v>22178</v>
      </c>
      <c r="H1504" s="200"/>
      <c r="I1504" s="346"/>
      <c r="J1504" s="39">
        <v>115434</v>
      </c>
      <c r="K1504" s="36" t="str">
        <f>CONCATENATE(Cover!$D$6,"fdd/view?i=",J1504)</f>
        <v>https://www.dgiwg.org/FAD/fdd/view?i=115434</v>
      </c>
      <c r="L1504" s="36" t="s">
        <v>22179</v>
      </c>
      <c r="M1504" s="186"/>
      <c r="N1504" s="186"/>
      <c r="O1504" s="172"/>
    </row>
    <row r="1505" spans="1:15" ht="38.25" x14ac:dyDescent="0.2">
      <c r="A1505" s="197" t="str">
        <f t="shared" si="23"/>
        <v>ApuCode_decontamination</v>
      </c>
      <c r="B1505" s="409"/>
      <c r="C1505" s="416"/>
      <c r="D1505" s="198" t="s">
        <v>22180</v>
      </c>
      <c r="E1505" s="198">
        <v>14</v>
      </c>
      <c r="F1505" s="199" t="s">
        <v>22181</v>
      </c>
      <c r="G1505" s="1" t="s">
        <v>22182</v>
      </c>
      <c r="H1505" s="200"/>
      <c r="I1505" s="346"/>
      <c r="J1505" s="39">
        <v>115443</v>
      </c>
      <c r="K1505" s="36" t="str">
        <f>CONCATENATE(Cover!$D$6,"fdd/view?i=",J1505)</f>
        <v>https://www.dgiwg.org/FAD/fdd/view?i=115443</v>
      </c>
      <c r="L1505" s="36" t="s">
        <v>22183</v>
      </c>
      <c r="M1505" s="186"/>
      <c r="N1505" s="186"/>
      <c r="O1505" s="172"/>
    </row>
    <row r="1506" spans="1:15" ht="63.75" x14ac:dyDescent="0.2">
      <c r="A1506" s="197" t="str">
        <f t="shared" si="23"/>
        <v>ApuCode_deIcingAntiIcing</v>
      </c>
      <c r="B1506" s="409"/>
      <c r="C1506" s="416"/>
      <c r="D1506" s="198" t="s">
        <v>22184</v>
      </c>
      <c r="E1506" s="198">
        <v>12</v>
      </c>
      <c r="F1506" s="199" t="s">
        <v>22185</v>
      </c>
      <c r="G1506" s="1" t="s">
        <v>22186</v>
      </c>
      <c r="H1506" s="200"/>
      <c r="I1506" s="346"/>
      <c r="J1506" s="39">
        <v>115441</v>
      </c>
      <c r="K1506" s="36" t="str">
        <f>CONCATENATE(Cover!$D$6,"fdd/view?i=",J1506)</f>
        <v>https://www.dgiwg.org/FAD/fdd/view?i=115441</v>
      </c>
      <c r="L1506" s="36" t="s">
        <v>22187</v>
      </c>
      <c r="M1506" s="186"/>
      <c r="N1506" s="186"/>
      <c r="O1506" s="172"/>
    </row>
    <row r="1507" spans="1:15" ht="25.5" x14ac:dyDescent="0.2">
      <c r="A1507" s="197" t="str">
        <f t="shared" si="23"/>
        <v>ApuCode_engineRunUp</v>
      </c>
      <c r="B1507" s="409"/>
      <c r="C1507" s="416"/>
      <c r="D1507" s="198" t="s">
        <v>22188</v>
      </c>
      <c r="E1507" s="198">
        <v>6</v>
      </c>
      <c r="F1507" s="199" t="s">
        <v>22189</v>
      </c>
      <c r="G1507" s="1" t="s">
        <v>22190</v>
      </c>
      <c r="H1507" s="1" t="s">
        <v>22191</v>
      </c>
      <c r="I1507" s="351" t="s">
        <v>22192</v>
      </c>
      <c r="J1507" s="39">
        <v>115435</v>
      </c>
      <c r="K1507" s="36" t="str">
        <f>CONCATENATE(Cover!$D$6,"fdd/view?i=",J1507)</f>
        <v>https://www.dgiwg.org/FAD/fdd/view?i=115435</v>
      </c>
      <c r="L1507" s="36" t="s">
        <v>22193</v>
      </c>
      <c r="M1507" s="186"/>
      <c r="N1507" s="186"/>
      <c r="O1507" s="172"/>
    </row>
    <row r="1508" spans="1:15" ht="38.25" x14ac:dyDescent="0.2">
      <c r="A1508" s="197" t="str">
        <f t="shared" si="23"/>
        <v>ApuCode_firingIn</v>
      </c>
      <c r="B1508" s="409"/>
      <c r="C1508" s="416"/>
      <c r="D1508" s="198" t="s">
        <v>22194</v>
      </c>
      <c r="E1508" s="198">
        <v>9</v>
      </c>
      <c r="F1508" s="199" t="s">
        <v>22195</v>
      </c>
      <c r="G1508" s="1" t="s">
        <v>22196</v>
      </c>
      <c r="H1508" s="200"/>
      <c r="I1508" s="346"/>
      <c r="J1508" s="39">
        <v>115438</v>
      </c>
      <c r="K1508" s="36" t="str">
        <f>CONCATENATE(Cover!$D$6,"fdd/view?i=",J1508)</f>
        <v>https://www.dgiwg.org/FAD/fdd/view?i=115438</v>
      </c>
      <c r="L1508" s="36" t="s">
        <v>22197</v>
      </c>
      <c r="M1508" s="186"/>
      <c r="N1508" s="186"/>
      <c r="O1508" s="172"/>
    </row>
    <row r="1509" spans="1:15" ht="25.5" x14ac:dyDescent="0.2">
      <c r="A1509" s="197" t="str">
        <f t="shared" si="23"/>
        <v>ApuCode_fuelling</v>
      </c>
      <c r="B1509" s="409"/>
      <c r="C1509" s="416"/>
      <c r="D1509" s="198" t="s">
        <v>22198</v>
      </c>
      <c r="E1509" s="198">
        <v>3</v>
      </c>
      <c r="F1509" s="199" t="s">
        <v>22199</v>
      </c>
      <c r="G1509" s="1" t="s">
        <v>22200</v>
      </c>
      <c r="H1509" s="200"/>
      <c r="I1509" s="346"/>
      <c r="J1509" s="39">
        <v>115432</v>
      </c>
      <c r="K1509" s="36" t="str">
        <f>CONCATENATE(Cover!$D$6,"fdd/view?i=",J1509)</f>
        <v>https://www.dgiwg.org/FAD/fdd/view?i=115432</v>
      </c>
      <c r="L1509" s="36" t="s">
        <v>22201</v>
      </c>
      <c r="M1509" s="186"/>
      <c r="N1509" s="186"/>
      <c r="O1509" s="172"/>
    </row>
    <row r="1510" spans="1:15" ht="25.5" x14ac:dyDescent="0.2">
      <c r="A1510" s="197" t="str">
        <f t="shared" si="23"/>
        <v>ApuCode_hotRefuelling</v>
      </c>
      <c r="B1510" s="409"/>
      <c r="C1510" s="416"/>
      <c r="D1510" s="198" t="s">
        <v>22202</v>
      </c>
      <c r="E1510" s="198">
        <v>10</v>
      </c>
      <c r="F1510" s="199" t="s">
        <v>22203</v>
      </c>
      <c r="G1510" s="1" t="s">
        <v>22204</v>
      </c>
      <c r="H1510" s="200"/>
      <c r="I1510" s="346"/>
      <c r="J1510" s="39">
        <v>115439</v>
      </c>
      <c r="K1510" s="36" t="str">
        <f>CONCATENATE(Cover!$D$6,"fdd/view?i=",J1510)</f>
        <v>https://www.dgiwg.org/FAD/fdd/view?i=115439</v>
      </c>
      <c r="L1510" s="36" t="s">
        <v>22205</v>
      </c>
      <c r="M1510" s="186"/>
      <c r="N1510" s="186"/>
      <c r="O1510" s="172"/>
    </row>
    <row r="1511" spans="1:15" ht="25.5" x14ac:dyDescent="0.2">
      <c r="A1511" s="197" t="str">
        <f t="shared" si="23"/>
        <v>ApuCode_insAlignment</v>
      </c>
      <c r="B1511" s="409"/>
      <c r="C1511" s="416"/>
      <c r="D1511" s="198" t="s">
        <v>22206</v>
      </c>
      <c r="E1511" s="198">
        <v>13</v>
      </c>
      <c r="F1511" s="199" t="s">
        <v>22207</v>
      </c>
      <c r="G1511" s="1" t="s">
        <v>22208</v>
      </c>
      <c r="H1511" s="200"/>
      <c r="I1511" s="346"/>
      <c r="J1511" s="39">
        <v>115442</v>
      </c>
      <c r="K1511" s="36" t="str">
        <f>CONCATENATE(Cover!$D$6,"fdd/view?i=",J1511)</f>
        <v>https://www.dgiwg.org/FAD/fdd/view?i=115442</v>
      </c>
      <c r="L1511" s="36" t="s">
        <v>22209</v>
      </c>
      <c r="M1511" s="186"/>
      <c r="N1511" s="186"/>
      <c r="O1511" s="172"/>
    </row>
    <row r="1512" spans="1:15" ht="25.5" x14ac:dyDescent="0.2">
      <c r="A1512" s="197" t="str">
        <f t="shared" si="23"/>
        <v>ApuCode_loadingUnloading</v>
      </c>
      <c r="B1512" s="409"/>
      <c r="C1512" s="416"/>
      <c r="D1512" s="198" t="s">
        <v>22210</v>
      </c>
      <c r="E1512" s="198">
        <v>2</v>
      </c>
      <c r="F1512" s="199" t="s">
        <v>22211</v>
      </c>
      <c r="G1512" s="1" t="s">
        <v>22212</v>
      </c>
      <c r="H1512" s="200"/>
      <c r="I1512" s="346"/>
      <c r="J1512" s="39">
        <v>115431</v>
      </c>
      <c r="K1512" s="36" t="str">
        <f>CONCATENATE(Cover!$D$6,"fdd/view?i=",J1512)</f>
        <v>https://www.dgiwg.org/FAD/fdd/view?i=115431</v>
      </c>
      <c r="L1512" s="36" t="s">
        <v>22213</v>
      </c>
      <c r="M1512" s="186"/>
      <c r="N1512" s="186"/>
      <c r="O1512" s="172"/>
    </row>
    <row r="1513" spans="1:15" x14ac:dyDescent="0.2">
      <c r="A1513" s="197" t="str">
        <f t="shared" si="23"/>
        <v>ApuCode_maintenance</v>
      </c>
      <c r="B1513" s="409"/>
      <c r="C1513" s="416"/>
      <c r="D1513" s="198" t="s">
        <v>22214</v>
      </c>
      <c r="E1513" s="198">
        <v>7</v>
      </c>
      <c r="F1513" s="199" t="s">
        <v>22215</v>
      </c>
      <c r="G1513" s="1" t="s">
        <v>22216</v>
      </c>
      <c r="H1513" s="1" t="s">
        <v>22217</v>
      </c>
      <c r="I1513" s="346"/>
      <c r="J1513" s="39">
        <v>115436</v>
      </c>
      <c r="K1513" s="36" t="str">
        <f>CONCATENATE(Cover!$D$6,"fdd/view?i=",J1513)</f>
        <v>https://www.dgiwg.org/FAD/fdd/view?i=115436</v>
      </c>
      <c r="L1513" s="36" t="s">
        <v>22218</v>
      </c>
      <c r="M1513" s="186"/>
      <c r="N1513" s="186"/>
      <c r="O1513" s="172"/>
    </row>
    <row r="1514" spans="1:15" x14ac:dyDescent="0.2">
      <c r="A1514" s="197" t="str">
        <f t="shared" si="23"/>
        <v>ApuCode_parking</v>
      </c>
      <c r="B1514" s="409"/>
      <c r="C1514" s="416"/>
      <c r="D1514" s="198" t="s">
        <v>22219</v>
      </c>
      <c r="E1514" s="198">
        <v>1</v>
      </c>
      <c r="F1514" s="199" t="s">
        <v>22220</v>
      </c>
      <c r="G1514" s="1" t="s">
        <v>22221</v>
      </c>
      <c r="H1514" s="200"/>
      <c r="I1514" s="346"/>
      <c r="J1514" s="39">
        <v>115430</v>
      </c>
      <c r="K1514" s="36" t="str">
        <f>CONCATENATE(Cover!$D$6,"fdd/view?i=",J1514)</f>
        <v>https://www.dgiwg.org/FAD/fdd/view?i=115430</v>
      </c>
      <c r="L1514" s="36" t="s">
        <v>22222</v>
      </c>
      <c r="M1514" s="186"/>
      <c r="N1514" s="186"/>
      <c r="O1514" s="172"/>
    </row>
    <row r="1515" spans="1:15" ht="25.5" x14ac:dyDescent="0.2">
      <c r="A1515" s="197" t="str">
        <f t="shared" si="23"/>
        <v>ApuCode_transient</v>
      </c>
      <c r="B1515" s="409"/>
      <c r="C1515" s="416"/>
      <c r="D1515" s="198" t="s">
        <v>16598</v>
      </c>
      <c r="E1515" s="198">
        <v>4</v>
      </c>
      <c r="F1515" s="199" t="s">
        <v>16599</v>
      </c>
      <c r="G1515" s="1" t="s">
        <v>22223</v>
      </c>
      <c r="H1515" s="200"/>
      <c r="I1515" s="351" t="s">
        <v>22224</v>
      </c>
      <c r="J1515" s="39">
        <v>115433</v>
      </c>
      <c r="K1515" s="36" t="str">
        <f>CONCATENATE(Cover!$D$6,"fdd/view?i=",J1515)</f>
        <v>https://www.dgiwg.org/FAD/fdd/view?i=115433</v>
      </c>
      <c r="L1515" s="36" t="s">
        <v>22225</v>
      </c>
      <c r="M1515" s="186"/>
      <c r="N1515" s="186"/>
      <c r="O1515" s="172"/>
    </row>
    <row r="1516" spans="1:15" ht="25.5" x14ac:dyDescent="0.2">
      <c r="A1516" s="203" t="str">
        <f t="shared" si="23"/>
        <v>ApuCode_weaponLoading</v>
      </c>
      <c r="B1516" s="410"/>
      <c r="C1516" s="417"/>
      <c r="D1516" s="204" t="s">
        <v>22226</v>
      </c>
      <c r="E1516" s="204">
        <v>11</v>
      </c>
      <c r="F1516" s="205" t="s">
        <v>22227</v>
      </c>
      <c r="G1516" s="206" t="s">
        <v>22228</v>
      </c>
      <c r="H1516" s="207"/>
      <c r="I1516" s="347"/>
      <c r="J1516" s="39">
        <v>115440</v>
      </c>
      <c r="K1516" s="36" t="str">
        <f>CONCATENATE(Cover!$D$6,"fdd/view?i=",J1516)</f>
        <v>https://www.dgiwg.org/FAD/fdd/view?i=115440</v>
      </c>
      <c r="L1516" s="36" t="s">
        <v>22229</v>
      </c>
      <c r="M1516" s="186"/>
      <c r="N1516" s="186"/>
      <c r="O1516" s="172"/>
    </row>
    <row r="1517" spans="1:15" ht="38.25" x14ac:dyDescent="0.2">
      <c r="A1517" s="190" t="str">
        <f t="shared" si="23"/>
        <v>AqfCode_fishFarm</v>
      </c>
      <c r="B1517" s="414" t="str">
        <f>HYPERLINK("[#]Datatypes!A170:L170","AqfCode")</f>
        <v>AqfCode</v>
      </c>
      <c r="C1517" s="415" t="s">
        <v>14724</v>
      </c>
      <c r="D1517" s="221" t="s">
        <v>22230</v>
      </c>
      <c r="E1517" s="221">
        <v>7</v>
      </c>
      <c r="F1517" s="222" t="s">
        <v>22231</v>
      </c>
      <c r="G1517" s="223" t="s">
        <v>22232</v>
      </c>
      <c r="H1517" s="223" t="s">
        <v>3107</v>
      </c>
      <c r="I1517" s="345"/>
      <c r="J1517" s="39">
        <v>114167</v>
      </c>
      <c r="K1517" s="36" t="str">
        <f>CONCATENATE(Cover!$D$6,"fdd/view?i=",J1517)</f>
        <v>https://www.dgiwg.org/FAD/fdd/view?i=114167</v>
      </c>
      <c r="L1517" s="36" t="s">
        <v>22233</v>
      </c>
      <c r="M1517" s="186"/>
      <c r="N1517" s="186"/>
      <c r="O1517" s="172"/>
    </row>
    <row r="1518" spans="1:15" ht="38.25" x14ac:dyDescent="0.2">
      <c r="A1518" s="197" t="str">
        <f t="shared" si="23"/>
        <v>AqfCode_fishHatchery</v>
      </c>
      <c r="B1518" s="409"/>
      <c r="C1518" s="416"/>
      <c r="D1518" s="198" t="s">
        <v>22234</v>
      </c>
      <c r="E1518" s="198">
        <v>5</v>
      </c>
      <c r="F1518" s="199" t="s">
        <v>22235</v>
      </c>
      <c r="G1518" s="1" t="s">
        <v>22236</v>
      </c>
      <c r="H1518" s="200"/>
      <c r="I1518" s="346"/>
      <c r="J1518" s="39">
        <v>114165</v>
      </c>
      <c r="K1518" s="36" t="str">
        <f>CONCATENATE(Cover!$D$6,"fdd/view?i=",J1518)</f>
        <v>https://www.dgiwg.org/FAD/fdd/view?i=114165</v>
      </c>
      <c r="L1518" s="36" t="s">
        <v>22237</v>
      </c>
      <c r="M1518" s="186"/>
      <c r="N1518" s="186"/>
      <c r="O1518" s="172"/>
    </row>
    <row r="1519" spans="1:15" ht="25.5" x14ac:dyDescent="0.2">
      <c r="A1519" s="197" t="str">
        <f t="shared" si="23"/>
        <v>AqfCode_freshwaterPrawnFarm</v>
      </c>
      <c r="B1519" s="409"/>
      <c r="C1519" s="416"/>
      <c r="D1519" s="198" t="s">
        <v>22238</v>
      </c>
      <c r="E1519" s="198">
        <v>6</v>
      </c>
      <c r="F1519" s="199" t="s">
        <v>22239</v>
      </c>
      <c r="G1519" s="1" t="s">
        <v>22240</v>
      </c>
      <c r="H1519" s="200"/>
      <c r="I1519" s="346"/>
      <c r="J1519" s="39">
        <v>114166</v>
      </c>
      <c r="K1519" s="36" t="str">
        <f>CONCATENATE(Cover!$D$6,"fdd/view?i=",J1519)</f>
        <v>https://www.dgiwg.org/FAD/fdd/view?i=114166</v>
      </c>
      <c r="L1519" s="36" t="s">
        <v>22241</v>
      </c>
      <c r="M1519" s="186"/>
      <c r="N1519" s="186"/>
      <c r="O1519" s="172"/>
    </row>
    <row r="1520" spans="1:15" ht="25.5" x14ac:dyDescent="0.2">
      <c r="A1520" s="197" t="str">
        <f t="shared" si="23"/>
        <v>AqfCode_kelpFarm</v>
      </c>
      <c r="B1520" s="409"/>
      <c r="C1520" s="416"/>
      <c r="D1520" s="198" t="s">
        <v>22242</v>
      </c>
      <c r="E1520" s="198">
        <v>4</v>
      </c>
      <c r="F1520" s="199" t="s">
        <v>22243</v>
      </c>
      <c r="G1520" s="1" t="s">
        <v>22244</v>
      </c>
      <c r="H1520" s="200"/>
      <c r="I1520" s="346"/>
      <c r="J1520" s="39">
        <v>114164</v>
      </c>
      <c r="K1520" s="36" t="str">
        <f>CONCATENATE(Cover!$D$6,"fdd/view?i=",J1520)</f>
        <v>https://www.dgiwg.org/FAD/fdd/view?i=114164</v>
      </c>
      <c r="L1520" s="36" t="s">
        <v>22245</v>
      </c>
      <c r="M1520" s="186"/>
      <c r="N1520" s="186"/>
      <c r="O1520" s="172"/>
    </row>
    <row r="1521" spans="1:15" ht="63.75" x14ac:dyDescent="0.2">
      <c r="A1521" s="197" t="str">
        <f t="shared" si="23"/>
        <v>AqfCode_marineCulture</v>
      </c>
      <c r="B1521" s="409"/>
      <c r="C1521" s="416"/>
      <c r="D1521" s="198" t="s">
        <v>22246</v>
      </c>
      <c r="E1521" s="198">
        <v>1</v>
      </c>
      <c r="F1521" s="199" t="s">
        <v>22247</v>
      </c>
      <c r="G1521" s="1" t="s">
        <v>22248</v>
      </c>
      <c r="H1521" s="200"/>
      <c r="I1521" s="346"/>
      <c r="J1521" s="39">
        <v>114161</v>
      </c>
      <c r="K1521" s="36" t="str">
        <f>CONCATENATE(Cover!$D$6,"fdd/view?i=",J1521)</f>
        <v>https://www.dgiwg.org/FAD/fdd/view?i=114161</v>
      </c>
      <c r="L1521" s="36" t="s">
        <v>22249</v>
      </c>
      <c r="M1521" s="186"/>
      <c r="N1521" s="186"/>
      <c r="O1521" s="172"/>
    </row>
    <row r="1522" spans="1:15" ht="127.5" x14ac:dyDescent="0.2">
      <c r="A1522" s="197" t="str">
        <f t="shared" si="23"/>
        <v>AqfCode_seaRanch</v>
      </c>
      <c r="B1522" s="409"/>
      <c r="C1522" s="416"/>
      <c r="D1522" s="198" t="s">
        <v>22250</v>
      </c>
      <c r="E1522" s="198">
        <v>2</v>
      </c>
      <c r="F1522" s="199" t="s">
        <v>22251</v>
      </c>
      <c r="G1522" s="1" t="s">
        <v>22252</v>
      </c>
      <c r="H1522" s="1" t="s">
        <v>22253</v>
      </c>
      <c r="I1522" s="346"/>
      <c r="J1522" s="39">
        <v>114162</v>
      </c>
      <c r="K1522" s="36" t="str">
        <f>CONCATENATE(Cover!$D$6,"fdd/view?i=",J1522)</f>
        <v>https://www.dgiwg.org/FAD/fdd/view?i=114162</v>
      </c>
      <c r="L1522" s="36" t="s">
        <v>22254</v>
      </c>
      <c r="M1522" s="186"/>
      <c r="N1522" s="186"/>
      <c r="O1522" s="172"/>
    </row>
    <row r="1523" spans="1:15" ht="25.5" x14ac:dyDescent="0.2">
      <c r="A1523" s="203" t="str">
        <f t="shared" si="23"/>
        <v>AqfCode_shrimpFarm</v>
      </c>
      <c r="B1523" s="410"/>
      <c r="C1523" s="417"/>
      <c r="D1523" s="204" t="s">
        <v>22255</v>
      </c>
      <c r="E1523" s="204">
        <v>3</v>
      </c>
      <c r="F1523" s="205" t="s">
        <v>22256</v>
      </c>
      <c r="G1523" s="206" t="s">
        <v>22257</v>
      </c>
      <c r="H1523" s="207"/>
      <c r="I1523" s="347"/>
      <c r="J1523" s="39">
        <v>114163</v>
      </c>
      <c r="K1523" s="36" t="str">
        <f>CONCATENATE(Cover!$D$6,"fdd/view?i=",J1523)</f>
        <v>https://www.dgiwg.org/FAD/fdd/view?i=114163</v>
      </c>
      <c r="L1523" s="36" t="s">
        <v>22258</v>
      </c>
      <c r="M1523" s="186"/>
      <c r="N1523" s="186"/>
      <c r="O1523" s="172"/>
    </row>
    <row r="1524" spans="1:15" ht="38.25" x14ac:dyDescent="0.2">
      <c r="A1524" s="190" t="str">
        <f t="shared" si="23"/>
        <v>AghCode_emergent</v>
      </c>
      <c r="B1524" s="414" t="str">
        <f>HYPERLINK("[#]Datatypes!A172:L172","AghCode")</f>
        <v>AghCode</v>
      </c>
      <c r="C1524" s="415" t="s">
        <v>14726</v>
      </c>
      <c r="D1524" s="221" t="s">
        <v>22259</v>
      </c>
      <c r="E1524" s="221">
        <v>2</v>
      </c>
      <c r="F1524" s="222" t="s">
        <v>22260</v>
      </c>
      <c r="G1524" s="223" t="s">
        <v>22261</v>
      </c>
      <c r="H1524" s="223" t="s">
        <v>22262</v>
      </c>
      <c r="I1524" s="345"/>
      <c r="J1524" s="39">
        <v>119350</v>
      </c>
      <c r="K1524" s="36" t="str">
        <f>CONCATENATE(Cover!$D$6,"fdd/view?i=",J1524)</f>
        <v>https://www.dgiwg.org/FAD/fdd/view?i=119350</v>
      </c>
      <c r="L1524" s="36" t="s">
        <v>22263</v>
      </c>
      <c r="M1524" s="186"/>
      <c r="N1524" s="186"/>
      <c r="O1524" s="172"/>
    </row>
    <row r="1525" spans="1:15" ht="25.5" x14ac:dyDescent="0.2">
      <c r="A1525" s="197" t="str">
        <f t="shared" si="23"/>
        <v>AghCode_freeFloating</v>
      </c>
      <c r="B1525" s="409"/>
      <c r="C1525" s="416"/>
      <c r="D1525" s="198" t="s">
        <v>22264</v>
      </c>
      <c r="E1525" s="198">
        <v>3</v>
      </c>
      <c r="F1525" s="199" t="s">
        <v>22265</v>
      </c>
      <c r="G1525" s="1" t="s">
        <v>22266</v>
      </c>
      <c r="H1525" s="1" t="s">
        <v>22267</v>
      </c>
      <c r="I1525" s="346"/>
      <c r="J1525" s="39">
        <v>119351</v>
      </c>
      <c r="K1525" s="36" t="str">
        <f>CONCATENATE(Cover!$D$6,"fdd/view?i=",J1525)</f>
        <v>https://www.dgiwg.org/FAD/fdd/view?i=119351</v>
      </c>
      <c r="L1525" s="36" t="s">
        <v>22268</v>
      </c>
      <c r="M1525" s="186"/>
      <c r="N1525" s="186"/>
      <c r="O1525" s="172"/>
    </row>
    <row r="1526" spans="1:15" ht="51" x14ac:dyDescent="0.2">
      <c r="A1526" s="197" t="str">
        <f t="shared" si="23"/>
        <v>AghCode_submerged</v>
      </c>
      <c r="B1526" s="409"/>
      <c r="C1526" s="416"/>
      <c r="D1526" s="198" t="s">
        <v>22269</v>
      </c>
      <c r="E1526" s="198">
        <v>1</v>
      </c>
      <c r="F1526" s="199" t="s">
        <v>22270</v>
      </c>
      <c r="G1526" s="1" t="s">
        <v>22271</v>
      </c>
      <c r="H1526" s="1" t="s">
        <v>22272</v>
      </c>
      <c r="I1526" s="346"/>
      <c r="J1526" s="39">
        <v>119349</v>
      </c>
      <c r="K1526" s="36" t="str">
        <f>CONCATENATE(Cover!$D$6,"fdd/view?i=",J1526)</f>
        <v>https://www.dgiwg.org/FAD/fdd/view?i=119349</v>
      </c>
      <c r="L1526" s="36" t="s">
        <v>22273</v>
      </c>
      <c r="M1526" s="186"/>
      <c r="N1526" s="186"/>
      <c r="O1526" s="172"/>
    </row>
    <row r="1527" spans="1:15" ht="25.5" x14ac:dyDescent="0.2">
      <c r="A1527" s="203" t="str">
        <f t="shared" si="23"/>
        <v>AghCode_waterlogged</v>
      </c>
      <c r="B1527" s="410"/>
      <c r="C1527" s="417"/>
      <c r="D1527" s="204" t="s">
        <v>22274</v>
      </c>
      <c r="E1527" s="204">
        <v>4</v>
      </c>
      <c r="F1527" s="205" t="s">
        <v>22275</v>
      </c>
      <c r="G1527" s="206" t="s">
        <v>22276</v>
      </c>
      <c r="H1527" s="206" t="s">
        <v>22277</v>
      </c>
      <c r="I1527" s="347"/>
      <c r="J1527" s="39">
        <v>119352</v>
      </c>
      <c r="K1527" s="36" t="str">
        <f>CONCATENATE(Cover!$D$6,"fdd/view?i=",J1527)</f>
        <v>https://www.dgiwg.org/FAD/fdd/view?i=119352</v>
      </c>
      <c r="L1527" s="36" t="s">
        <v>22278</v>
      </c>
      <c r="M1527" s="186"/>
      <c r="N1527" s="186"/>
      <c r="O1527" s="172"/>
    </row>
    <row r="1528" spans="1:15" ht="25.5" x14ac:dyDescent="0.2">
      <c r="A1528" s="190" t="str">
        <f t="shared" si="23"/>
        <v>AtcCode_qanat</v>
      </c>
      <c r="B1528" s="414" t="str">
        <f>HYPERLINK("[#]Datatypes!A174:L174","AtcCode")</f>
        <v>AtcCode</v>
      </c>
      <c r="C1528" s="415" t="s">
        <v>14728</v>
      </c>
      <c r="D1528" s="221" t="s">
        <v>22279</v>
      </c>
      <c r="E1528" s="221">
        <v>6</v>
      </c>
      <c r="F1528" s="222" t="s">
        <v>22280</v>
      </c>
      <c r="G1528" s="223" t="s">
        <v>22281</v>
      </c>
      <c r="H1528" s="223" t="s">
        <v>22282</v>
      </c>
      <c r="I1528" s="345"/>
      <c r="J1528" s="39">
        <v>119387</v>
      </c>
      <c r="K1528" s="36" t="str">
        <f>CONCATENATE(Cover!$D$6,"fdd/view?i=",J1528)</f>
        <v>https://www.dgiwg.org/FAD/fdd/view?i=119387</v>
      </c>
      <c r="L1528" s="36" t="s">
        <v>22283</v>
      </c>
      <c r="M1528" s="186"/>
      <c r="N1528" s="186"/>
      <c r="O1528" s="172"/>
    </row>
    <row r="1529" spans="1:15" ht="38.25" x14ac:dyDescent="0.2">
      <c r="A1529" s="197" t="str">
        <f t="shared" si="23"/>
        <v>AtcCode_surface</v>
      </c>
      <c r="B1529" s="409"/>
      <c r="C1529" s="416"/>
      <c r="D1529" s="198" t="s">
        <v>22284</v>
      </c>
      <c r="E1529" s="198">
        <v>5</v>
      </c>
      <c r="F1529" s="199" t="s">
        <v>22285</v>
      </c>
      <c r="G1529" s="1" t="s">
        <v>22286</v>
      </c>
      <c r="H1529" s="1" t="s">
        <v>22287</v>
      </c>
      <c r="I1529" s="346"/>
      <c r="J1529" s="39">
        <v>112733</v>
      </c>
      <c r="K1529" s="36" t="str">
        <f>CONCATENATE(Cover!$D$6,"fdd/view?i=",J1529)</f>
        <v>https://www.dgiwg.org/FAD/fdd/view?i=112733</v>
      </c>
      <c r="L1529" s="36" t="s">
        <v>22288</v>
      </c>
      <c r="M1529" s="186"/>
      <c r="N1529" s="186"/>
      <c r="O1529" s="172"/>
    </row>
    <row r="1530" spans="1:15" x14ac:dyDescent="0.2">
      <c r="A1530" s="197" t="str">
        <f t="shared" si="23"/>
        <v>AtcCode_underground</v>
      </c>
      <c r="B1530" s="409"/>
      <c r="C1530" s="416"/>
      <c r="D1530" s="198" t="s">
        <v>22289</v>
      </c>
      <c r="E1530" s="198">
        <v>3</v>
      </c>
      <c r="F1530" s="199" t="s">
        <v>22290</v>
      </c>
      <c r="G1530" s="1" t="s">
        <v>22291</v>
      </c>
      <c r="H1530" s="1" t="s">
        <v>22292</v>
      </c>
      <c r="I1530" s="346"/>
      <c r="J1530" s="39">
        <v>101798</v>
      </c>
      <c r="K1530" s="36" t="str">
        <f>CONCATENATE(Cover!$D$6,"fdd/view?i=",J1530)</f>
        <v>https://www.dgiwg.org/FAD/fdd/view?i=101798</v>
      </c>
      <c r="L1530" s="36" t="s">
        <v>22293</v>
      </c>
      <c r="M1530" s="186"/>
      <c r="N1530" s="186"/>
      <c r="O1530" s="172"/>
    </row>
    <row r="1531" spans="1:15" ht="25.5" x14ac:dyDescent="0.2">
      <c r="A1531" s="203" t="str">
        <f t="shared" si="23"/>
        <v>AtcCode_underwater</v>
      </c>
      <c r="B1531" s="410"/>
      <c r="C1531" s="417"/>
      <c r="D1531" s="204" t="s">
        <v>22294</v>
      </c>
      <c r="E1531" s="204">
        <v>4</v>
      </c>
      <c r="F1531" s="205" t="s">
        <v>22295</v>
      </c>
      <c r="G1531" s="206" t="s">
        <v>22296</v>
      </c>
      <c r="H1531" s="206" t="s">
        <v>22297</v>
      </c>
      <c r="I1531" s="347"/>
      <c r="J1531" s="39">
        <v>112734</v>
      </c>
      <c r="K1531" s="36" t="str">
        <f>CONCATENATE(Cover!$D$6,"fdd/view?i=",J1531)</f>
        <v>https://www.dgiwg.org/FAD/fdd/view?i=112734</v>
      </c>
      <c r="L1531" s="36" t="s">
        <v>22298</v>
      </c>
      <c r="M1531" s="186"/>
      <c r="N1531" s="186"/>
      <c r="O1531" s="172"/>
    </row>
    <row r="1532" spans="1:15" ht="25.5" x14ac:dyDescent="0.2">
      <c r="A1532" s="190" t="str">
        <f t="shared" si="23"/>
        <v>AqpCode_basalt</v>
      </c>
      <c r="B1532" s="414" t="str">
        <f>HYPERLINK("[#]Datatypes!A176:L176","AqpCode")</f>
        <v>AqpCode</v>
      </c>
      <c r="C1532" s="415" t="s">
        <v>14730</v>
      </c>
      <c r="D1532" s="221" t="s">
        <v>22299</v>
      </c>
      <c r="E1532" s="221">
        <v>1</v>
      </c>
      <c r="F1532" s="222" t="s">
        <v>22300</v>
      </c>
      <c r="G1532" s="223" t="s">
        <v>22301</v>
      </c>
      <c r="H1532" s="224"/>
      <c r="I1532" s="345"/>
      <c r="J1532" s="39">
        <v>119035</v>
      </c>
      <c r="K1532" s="36" t="str">
        <f>CONCATENATE(Cover!$D$6,"fdd/view?i=",J1532)</f>
        <v>https://www.dgiwg.org/FAD/fdd/view?i=119035</v>
      </c>
      <c r="L1532" s="36" t="s">
        <v>22302</v>
      </c>
      <c r="M1532" s="186"/>
      <c r="N1532" s="186"/>
      <c r="O1532" s="172"/>
    </row>
    <row r="1533" spans="1:15" x14ac:dyDescent="0.2">
      <c r="A1533" s="197" t="str">
        <f t="shared" si="23"/>
        <v>AqpCode_boulders</v>
      </c>
      <c r="B1533" s="409"/>
      <c r="C1533" s="416"/>
      <c r="D1533" s="198" t="s">
        <v>22303</v>
      </c>
      <c r="E1533" s="198">
        <v>2</v>
      </c>
      <c r="F1533" s="199" t="s">
        <v>22304</v>
      </c>
      <c r="G1533" s="1" t="s">
        <v>22305</v>
      </c>
      <c r="H1533" s="200"/>
      <c r="I1533" s="346"/>
      <c r="J1533" s="39">
        <v>119036</v>
      </c>
      <c r="K1533" s="36" t="str">
        <f>CONCATENATE(Cover!$D$6,"fdd/view?i=",J1533)</f>
        <v>https://www.dgiwg.org/FAD/fdd/view?i=119036</v>
      </c>
      <c r="L1533" s="36" t="s">
        <v>22306</v>
      </c>
      <c r="M1533" s="186"/>
      <c r="N1533" s="186"/>
      <c r="O1533" s="172"/>
    </row>
    <row r="1534" spans="1:15" ht="51" x14ac:dyDescent="0.2">
      <c r="A1534" s="197" t="str">
        <f t="shared" si="23"/>
        <v>AqpCode_clay</v>
      </c>
      <c r="B1534" s="409"/>
      <c r="C1534" s="416"/>
      <c r="D1534" s="198" t="s">
        <v>19537</v>
      </c>
      <c r="E1534" s="198">
        <v>3</v>
      </c>
      <c r="F1534" s="199" t="s">
        <v>19538</v>
      </c>
      <c r="G1534" s="1" t="s">
        <v>22307</v>
      </c>
      <c r="H1534" s="1" t="s">
        <v>22308</v>
      </c>
      <c r="I1534" s="346"/>
      <c r="J1534" s="39">
        <v>119037</v>
      </c>
      <c r="K1534" s="36" t="str">
        <f>CONCATENATE(Cover!$D$6,"fdd/view?i=",J1534)</f>
        <v>https://www.dgiwg.org/FAD/fdd/view?i=119037</v>
      </c>
      <c r="L1534" s="36" t="s">
        <v>22309</v>
      </c>
      <c r="M1534" s="186"/>
      <c r="N1534" s="186"/>
      <c r="O1534" s="172"/>
    </row>
    <row r="1535" spans="1:15" ht="38.25" x14ac:dyDescent="0.2">
      <c r="A1535" s="197" t="str">
        <f t="shared" si="23"/>
        <v>AqpCode_conglomerate</v>
      </c>
      <c r="B1535" s="409"/>
      <c r="C1535" s="416"/>
      <c r="D1535" s="198" t="s">
        <v>22310</v>
      </c>
      <c r="E1535" s="198">
        <v>4</v>
      </c>
      <c r="F1535" s="199" t="s">
        <v>22311</v>
      </c>
      <c r="G1535" s="1" t="s">
        <v>22312</v>
      </c>
      <c r="H1535" s="1" t="s">
        <v>22313</v>
      </c>
      <c r="I1535" s="346"/>
      <c r="J1535" s="39">
        <v>119038</v>
      </c>
      <c r="K1535" s="36" t="str">
        <f>CONCATENATE(Cover!$D$6,"fdd/view?i=",J1535)</f>
        <v>https://www.dgiwg.org/FAD/fdd/view?i=119038</v>
      </c>
      <c r="L1535" s="36" t="s">
        <v>22314</v>
      </c>
      <c r="M1535" s="186"/>
      <c r="N1535" s="186"/>
      <c r="O1535" s="172"/>
    </row>
    <row r="1536" spans="1:15" ht="25.5" x14ac:dyDescent="0.2">
      <c r="A1536" s="197" t="str">
        <f t="shared" si="23"/>
        <v>AqpCode_dolomite</v>
      </c>
      <c r="B1536" s="409"/>
      <c r="C1536" s="416"/>
      <c r="D1536" s="198" t="s">
        <v>22315</v>
      </c>
      <c r="E1536" s="198">
        <v>5</v>
      </c>
      <c r="F1536" s="199" t="s">
        <v>22316</v>
      </c>
      <c r="G1536" s="1" t="s">
        <v>22317</v>
      </c>
      <c r="H1536" s="200"/>
      <c r="I1536" s="346"/>
      <c r="J1536" s="39">
        <v>119039</v>
      </c>
      <c r="K1536" s="36" t="str">
        <f>CONCATENATE(Cover!$D$6,"fdd/view?i=",J1536)</f>
        <v>https://www.dgiwg.org/FAD/fdd/view?i=119039</v>
      </c>
      <c r="L1536" s="36" t="s">
        <v>22318</v>
      </c>
      <c r="M1536" s="186"/>
      <c r="N1536" s="186"/>
      <c r="O1536" s="172"/>
    </row>
    <row r="1537" spans="1:15" ht="38.25" x14ac:dyDescent="0.2">
      <c r="A1537" s="197" t="str">
        <f t="shared" si="23"/>
        <v>AqpCode_granite</v>
      </c>
      <c r="B1537" s="409"/>
      <c r="C1537" s="416"/>
      <c r="D1537" s="198" t="s">
        <v>22319</v>
      </c>
      <c r="E1537" s="198">
        <v>6</v>
      </c>
      <c r="F1537" s="199" t="s">
        <v>22320</v>
      </c>
      <c r="G1537" s="1" t="s">
        <v>22321</v>
      </c>
      <c r="H1537" s="200"/>
      <c r="I1537" s="346"/>
      <c r="J1537" s="39">
        <v>119040</v>
      </c>
      <c r="K1537" s="36" t="str">
        <f>CONCATENATE(Cover!$D$6,"fdd/view?i=",J1537)</f>
        <v>https://www.dgiwg.org/FAD/fdd/view?i=119040</v>
      </c>
      <c r="L1537" s="36" t="s">
        <v>22322</v>
      </c>
      <c r="M1537" s="186"/>
      <c r="N1537" s="186"/>
      <c r="O1537" s="172"/>
    </row>
    <row r="1538" spans="1:15" ht="25.5" x14ac:dyDescent="0.2">
      <c r="A1538" s="197" t="str">
        <f t="shared" ref="A1538:A1601" si="24">HYPERLINK(K1538,L1538)</f>
        <v>AqpCode_gravel</v>
      </c>
      <c r="B1538" s="409"/>
      <c r="C1538" s="416"/>
      <c r="D1538" s="198" t="s">
        <v>19556</v>
      </c>
      <c r="E1538" s="198">
        <v>7</v>
      </c>
      <c r="F1538" s="199" t="s">
        <v>19557</v>
      </c>
      <c r="G1538" s="1" t="s">
        <v>22323</v>
      </c>
      <c r="H1538" s="1" t="s">
        <v>22324</v>
      </c>
      <c r="I1538" s="346"/>
      <c r="J1538" s="39">
        <v>119041</v>
      </c>
      <c r="K1538" s="36" t="str">
        <f>CONCATENATE(Cover!$D$6,"fdd/view?i=",J1538)</f>
        <v>https://www.dgiwg.org/FAD/fdd/view?i=119041</v>
      </c>
      <c r="L1538" s="36" t="s">
        <v>22325</v>
      </c>
      <c r="M1538" s="186"/>
      <c r="N1538" s="186"/>
      <c r="O1538" s="172"/>
    </row>
    <row r="1539" spans="1:15" ht="38.25" x14ac:dyDescent="0.2">
      <c r="A1539" s="197" t="str">
        <f t="shared" si="24"/>
        <v>AqpCode_igneousRock</v>
      </c>
      <c r="B1539" s="409"/>
      <c r="C1539" s="416"/>
      <c r="D1539" s="198" t="s">
        <v>22326</v>
      </c>
      <c r="E1539" s="198">
        <v>8</v>
      </c>
      <c r="F1539" s="199" t="s">
        <v>22327</v>
      </c>
      <c r="G1539" s="1" t="s">
        <v>22328</v>
      </c>
      <c r="H1539" s="1" t="s">
        <v>22329</v>
      </c>
      <c r="I1539" s="346"/>
      <c r="J1539" s="39">
        <v>119042</v>
      </c>
      <c r="K1539" s="36" t="str">
        <f>CONCATENATE(Cover!$D$6,"fdd/view?i=",J1539)</f>
        <v>https://www.dgiwg.org/FAD/fdd/view?i=119042</v>
      </c>
      <c r="L1539" s="36" t="s">
        <v>22330</v>
      </c>
      <c r="M1539" s="186"/>
      <c r="N1539" s="186"/>
      <c r="O1539" s="172"/>
    </row>
    <row r="1540" spans="1:15" ht="63.75" x14ac:dyDescent="0.2">
      <c r="A1540" s="197" t="str">
        <f t="shared" si="24"/>
        <v>AqpCode_karst</v>
      </c>
      <c r="B1540" s="409"/>
      <c r="C1540" s="416"/>
      <c r="D1540" s="198" t="s">
        <v>22331</v>
      </c>
      <c r="E1540" s="198">
        <v>9</v>
      </c>
      <c r="F1540" s="199" t="s">
        <v>22332</v>
      </c>
      <c r="G1540" s="1" t="s">
        <v>22333</v>
      </c>
      <c r="H1540" s="1" t="s">
        <v>22334</v>
      </c>
      <c r="I1540" s="346"/>
      <c r="J1540" s="39">
        <v>119043</v>
      </c>
      <c r="K1540" s="36" t="str">
        <f>CONCATENATE(Cover!$D$6,"fdd/view?i=",J1540)</f>
        <v>https://www.dgiwg.org/FAD/fdd/view?i=119043</v>
      </c>
      <c r="L1540" s="36" t="s">
        <v>22335</v>
      </c>
      <c r="M1540" s="186"/>
      <c r="N1540" s="186"/>
      <c r="O1540" s="172"/>
    </row>
    <row r="1541" spans="1:15" ht="38.25" x14ac:dyDescent="0.2">
      <c r="A1541" s="197" t="str">
        <f t="shared" si="24"/>
        <v>AqpCode_limestone</v>
      </c>
      <c r="B1541" s="409"/>
      <c r="C1541" s="416"/>
      <c r="D1541" s="198" t="s">
        <v>22336</v>
      </c>
      <c r="E1541" s="198">
        <v>10</v>
      </c>
      <c r="F1541" s="199" t="s">
        <v>22337</v>
      </c>
      <c r="G1541" s="1" t="s">
        <v>22338</v>
      </c>
      <c r="H1541" s="1" t="s">
        <v>22339</v>
      </c>
      <c r="I1541" s="346"/>
      <c r="J1541" s="39">
        <v>119044</v>
      </c>
      <c r="K1541" s="36" t="str">
        <f>CONCATENATE(Cover!$D$6,"fdd/view?i=",J1541)</f>
        <v>https://www.dgiwg.org/FAD/fdd/view?i=119044</v>
      </c>
      <c r="L1541" s="36" t="s">
        <v>22340</v>
      </c>
      <c r="M1541" s="186"/>
      <c r="N1541" s="186"/>
      <c r="O1541" s="172"/>
    </row>
    <row r="1542" spans="1:15" ht="38.25" x14ac:dyDescent="0.2">
      <c r="A1542" s="197" t="str">
        <f t="shared" si="24"/>
        <v>AqpCode_marl</v>
      </c>
      <c r="B1542" s="409"/>
      <c r="C1542" s="416"/>
      <c r="D1542" s="198" t="s">
        <v>22341</v>
      </c>
      <c r="E1542" s="198">
        <v>11</v>
      </c>
      <c r="F1542" s="199" t="s">
        <v>22342</v>
      </c>
      <c r="G1542" s="1" t="s">
        <v>22343</v>
      </c>
      <c r="H1542" s="1" t="s">
        <v>22344</v>
      </c>
      <c r="I1542" s="346"/>
      <c r="J1542" s="39">
        <v>119045</v>
      </c>
      <c r="K1542" s="36" t="str">
        <f>CONCATENATE(Cover!$D$6,"fdd/view?i=",J1542)</f>
        <v>https://www.dgiwg.org/FAD/fdd/view?i=119045</v>
      </c>
      <c r="L1542" s="36" t="s">
        <v>22345</v>
      </c>
      <c r="M1542" s="186"/>
      <c r="N1542" s="186"/>
      <c r="O1542" s="172"/>
    </row>
    <row r="1543" spans="1:15" ht="25.5" x14ac:dyDescent="0.2">
      <c r="A1543" s="197" t="str">
        <f t="shared" si="24"/>
        <v>AqpCode_metamorphicRock</v>
      </c>
      <c r="B1543" s="409"/>
      <c r="C1543" s="416"/>
      <c r="D1543" s="198" t="s">
        <v>22346</v>
      </c>
      <c r="E1543" s="198">
        <v>12</v>
      </c>
      <c r="F1543" s="199" t="s">
        <v>22347</v>
      </c>
      <c r="G1543" s="1" t="s">
        <v>22348</v>
      </c>
      <c r="H1543" s="1" t="s">
        <v>22349</v>
      </c>
      <c r="I1543" s="346"/>
      <c r="J1543" s="39">
        <v>119046</v>
      </c>
      <c r="K1543" s="36" t="str">
        <f>CONCATENATE(Cover!$D$6,"fdd/view?i=",J1543)</f>
        <v>https://www.dgiwg.org/FAD/fdd/view?i=119046</v>
      </c>
      <c r="L1543" s="36" t="s">
        <v>22350</v>
      </c>
      <c r="M1543" s="186"/>
      <c r="N1543" s="186"/>
      <c r="O1543" s="172"/>
    </row>
    <row r="1544" spans="1:15" ht="38.25" x14ac:dyDescent="0.2">
      <c r="A1544" s="197" t="str">
        <f t="shared" si="24"/>
        <v>AqpCode_mud</v>
      </c>
      <c r="B1544" s="409"/>
      <c r="C1544" s="416"/>
      <c r="D1544" s="198" t="s">
        <v>22351</v>
      </c>
      <c r="E1544" s="198">
        <v>13</v>
      </c>
      <c r="F1544" s="199" t="s">
        <v>22352</v>
      </c>
      <c r="G1544" s="1" t="s">
        <v>22353</v>
      </c>
      <c r="H1544" s="1" t="s">
        <v>22354</v>
      </c>
      <c r="I1544" s="346"/>
      <c r="J1544" s="39">
        <v>119047</v>
      </c>
      <c r="K1544" s="36" t="str">
        <f>CONCATENATE(Cover!$D$6,"fdd/view?i=",J1544)</f>
        <v>https://www.dgiwg.org/FAD/fdd/view?i=119047</v>
      </c>
      <c r="L1544" s="36" t="s">
        <v>22355</v>
      </c>
      <c r="M1544" s="186"/>
      <c r="N1544" s="186"/>
      <c r="O1544" s="172"/>
    </row>
    <row r="1545" spans="1:15" ht="25.5" x14ac:dyDescent="0.2">
      <c r="A1545" s="197" t="str">
        <f t="shared" si="24"/>
        <v>AqpCode_sand</v>
      </c>
      <c r="B1545" s="409"/>
      <c r="C1545" s="416"/>
      <c r="D1545" s="198" t="s">
        <v>19594</v>
      </c>
      <c r="E1545" s="198">
        <v>14</v>
      </c>
      <c r="F1545" s="199" t="s">
        <v>19595</v>
      </c>
      <c r="G1545" s="1" t="s">
        <v>22356</v>
      </c>
      <c r="H1545" s="200"/>
      <c r="I1545" s="346"/>
      <c r="J1545" s="39">
        <v>119048</v>
      </c>
      <c r="K1545" s="36" t="str">
        <f>CONCATENATE(Cover!$D$6,"fdd/view?i=",J1545)</f>
        <v>https://www.dgiwg.org/FAD/fdd/view?i=119048</v>
      </c>
      <c r="L1545" s="36" t="s">
        <v>22357</v>
      </c>
      <c r="M1545" s="186"/>
      <c r="N1545" s="186"/>
      <c r="O1545" s="172"/>
    </row>
    <row r="1546" spans="1:15" ht="25.5" x14ac:dyDescent="0.2">
      <c r="A1546" s="197" t="str">
        <f t="shared" si="24"/>
        <v>AqpCode_sandstone</v>
      </c>
      <c r="B1546" s="409"/>
      <c r="C1546" s="416"/>
      <c r="D1546" s="198" t="s">
        <v>22358</v>
      </c>
      <c r="E1546" s="198">
        <v>19</v>
      </c>
      <c r="F1546" s="199" t="s">
        <v>22359</v>
      </c>
      <c r="G1546" s="1" t="s">
        <v>22360</v>
      </c>
      <c r="H1546" s="1" t="s">
        <v>22361</v>
      </c>
      <c r="I1546" s="346"/>
      <c r="J1546" s="39">
        <v>119957</v>
      </c>
      <c r="K1546" s="36" t="str">
        <f>CONCATENATE(Cover!$D$6,"fdd/view?i=",J1546)</f>
        <v>https://www.dgiwg.org/FAD/fdd/view?i=119957</v>
      </c>
      <c r="L1546" s="36" t="s">
        <v>22362</v>
      </c>
      <c r="M1546" s="186"/>
      <c r="N1546" s="186"/>
      <c r="O1546" s="172"/>
    </row>
    <row r="1547" spans="1:15" ht="38.25" x14ac:dyDescent="0.2">
      <c r="A1547" s="197" t="str">
        <f t="shared" si="24"/>
        <v>AqpCode_schist</v>
      </c>
      <c r="B1547" s="409"/>
      <c r="C1547" s="416"/>
      <c r="D1547" s="198" t="s">
        <v>22363</v>
      </c>
      <c r="E1547" s="198">
        <v>15</v>
      </c>
      <c r="F1547" s="199" t="s">
        <v>22364</v>
      </c>
      <c r="G1547" s="1" t="s">
        <v>22365</v>
      </c>
      <c r="H1547" s="200"/>
      <c r="I1547" s="346"/>
      <c r="J1547" s="39">
        <v>119049</v>
      </c>
      <c r="K1547" s="36" t="str">
        <f>CONCATENATE(Cover!$D$6,"fdd/view?i=",J1547)</f>
        <v>https://www.dgiwg.org/FAD/fdd/view?i=119049</v>
      </c>
      <c r="L1547" s="36" t="s">
        <v>22366</v>
      </c>
      <c r="M1547" s="186"/>
      <c r="N1547" s="186"/>
      <c r="O1547" s="172"/>
    </row>
    <row r="1548" spans="1:15" ht="63.75" x14ac:dyDescent="0.2">
      <c r="A1548" s="197" t="str">
        <f t="shared" si="24"/>
        <v>AqpCode_semiConsolidatedVolcanicAsh</v>
      </c>
      <c r="B1548" s="409"/>
      <c r="C1548" s="416"/>
      <c r="D1548" s="198" t="s">
        <v>22367</v>
      </c>
      <c r="E1548" s="198">
        <v>17</v>
      </c>
      <c r="F1548" s="199" t="s">
        <v>22368</v>
      </c>
      <c r="G1548" s="1" t="s">
        <v>22369</v>
      </c>
      <c r="H1548" s="1" t="s">
        <v>22370</v>
      </c>
      <c r="I1548" s="346"/>
      <c r="J1548" s="39">
        <v>119051</v>
      </c>
      <c r="K1548" s="36" t="str">
        <f>CONCATENATE(Cover!$D$6,"fdd/view?i=",J1548)</f>
        <v>https://www.dgiwg.org/FAD/fdd/view?i=119051</v>
      </c>
      <c r="L1548" s="36" t="s">
        <v>22371</v>
      </c>
      <c r="M1548" s="186"/>
      <c r="N1548" s="186"/>
      <c r="O1548" s="172"/>
    </row>
    <row r="1549" spans="1:15" ht="25.5" x14ac:dyDescent="0.2">
      <c r="A1549" s="197" t="str">
        <f t="shared" si="24"/>
        <v>AqpCode_shale</v>
      </c>
      <c r="B1549" s="409"/>
      <c r="C1549" s="416"/>
      <c r="D1549" s="198" t="s">
        <v>22372</v>
      </c>
      <c r="E1549" s="198">
        <v>20</v>
      </c>
      <c r="F1549" s="199" t="s">
        <v>22373</v>
      </c>
      <c r="G1549" s="1" t="s">
        <v>22374</v>
      </c>
      <c r="H1549" s="200"/>
      <c r="I1549" s="346"/>
      <c r="J1549" s="39">
        <v>119958</v>
      </c>
      <c r="K1549" s="36" t="str">
        <f>CONCATENATE(Cover!$D$6,"fdd/view?i=",J1549)</f>
        <v>https://www.dgiwg.org/FAD/fdd/view?i=119958</v>
      </c>
      <c r="L1549" s="36" t="s">
        <v>22375</v>
      </c>
      <c r="M1549" s="186"/>
      <c r="N1549" s="186"/>
      <c r="O1549" s="172"/>
    </row>
    <row r="1550" spans="1:15" ht="38.25" x14ac:dyDescent="0.2">
      <c r="A1550" s="197" t="str">
        <f t="shared" si="24"/>
        <v>AqpCode_unconsolidated</v>
      </c>
      <c r="B1550" s="409"/>
      <c r="C1550" s="416"/>
      <c r="D1550" s="198" t="s">
        <v>22376</v>
      </c>
      <c r="E1550" s="198">
        <v>16</v>
      </c>
      <c r="F1550" s="199" t="s">
        <v>22377</v>
      </c>
      <c r="G1550" s="1" t="s">
        <v>22378</v>
      </c>
      <c r="H1550" s="1" t="s">
        <v>22379</v>
      </c>
      <c r="I1550" s="346"/>
      <c r="J1550" s="39">
        <v>119050</v>
      </c>
      <c r="K1550" s="36" t="str">
        <f>CONCATENATE(Cover!$D$6,"fdd/view?i=",J1550)</f>
        <v>https://www.dgiwg.org/FAD/fdd/view?i=119050</v>
      </c>
      <c r="L1550" s="36" t="s">
        <v>22380</v>
      </c>
      <c r="M1550" s="186"/>
      <c r="N1550" s="186"/>
      <c r="O1550" s="172"/>
    </row>
    <row r="1551" spans="1:15" ht="25.5" x14ac:dyDescent="0.2">
      <c r="A1551" s="203" t="str">
        <f t="shared" si="24"/>
        <v>AqpCode_volcanicRock</v>
      </c>
      <c r="B1551" s="410"/>
      <c r="C1551" s="417"/>
      <c r="D1551" s="204" t="s">
        <v>22381</v>
      </c>
      <c r="E1551" s="204">
        <v>18</v>
      </c>
      <c r="F1551" s="205" t="s">
        <v>22382</v>
      </c>
      <c r="G1551" s="206" t="s">
        <v>22383</v>
      </c>
      <c r="H1551" s="207"/>
      <c r="I1551" s="347"/>
      <c r="J1551" s="39">
        <v>119052</v>
      </c>
      <c r="K1551" s="36" t="str">
        <f>CONCATENATE(Cover!$D$6,"fdd/view?i=",J1551)</f>
        <v>https://www.dgiwg.org/FAD/fdd/view?i=119052</v>
      </c>
      <c r="L1551" s="36" t="s">
        <v>22384</v>
      </c>
      <c r="M1551" s="186"/>
      <c r="N1551" s="186"/>
      <c r="O1551" s="172"/>
    </row>
    <row r="1552" spans="1:15" ht="25.5" x14ac:dyDescent="0.2">
      <c r="A1552" s="190" t="str">
        <f t="shared" si="24"/>
        <v>AqoCode_basalt</v>
      </c>
      <c r="B1552" s="414" t="str">
        <f>HYPERLINK("[#]Datatypes!A178:L178","AqoCode")</f>
        <v>AqoCode</v>
      </c>
      <c r="C1552" s="415" t="s">
        <v>14732</v>
      </c>
      <c r="D1552" s="221" t="s">
        <v>22299</v>
      </c>
      <c r="E1552" s="221">
        <v>1</v>
      </c>
      <c r="F1552" s="222" t="s">
        <v>22300</v>
      </c>
      <c r="G1552" s="223" t="s">
        <v>22301</v>
      </c>
      <c r="H1552" s="224"/>
      <c r="I1552" s="345"/>
      <c r="J1552" s="39">
        <v>119015</v>
      </c>
      <c r="K1552" s="36" t="str">
        <f>CONCATENATE(Cover!$D$6,"fdd/view?i=",J1552)</f>
        <v>https://www.dgiwg.org/FAD/fdd/view?i=119015</v>
      </c>
      <c r="L1552" s="36" t="s">
        <v>22385</v>
      </c>
      <c r="M1552" s="186"/>
      <c r="N1552" s="186"/>
      <c r="O1552" s="172"/>
    </row>
    <row r="1553" spans="1:15" x14ac:dyDescent="0.2">
      <c r="A1553" s="197" t="str">
        <f t="shared" si="24"/>
        <v>AqoCode_boulders</v>
      </c>
      <c r="B1553" s="409"/>
      <c r="C1553" s="416"/>
      <c r="D1553" s="198" t="s">
        <v>22303</v>
      </c>
      <c r="E1553" s="198">
        <v>2</v>
      </c>
      <c r="F1553" s="199" t="s">
        <v>22304</v>
      </c>
      <c r="G1553" s="1" t="s">
        <v>22305</v>
      </c>
      <c r="H1553" s="200"/>
      <c r="I1553" s="346"/>
      <c r="J1553" s="39">
        <v>119016</v>
      </c>
      <c r="K1553" s="36" t="str">
        <f>CONCATENATE(Cover!$D$6,"fdd/view?i=",J1553)</f>
        <v>https://www.dgiwg.org/FAD/fdd/view?i=119016</v>
      </c>
      <c r="L1553" s="36" t="s">
        <v>22386</v>
      </c>
      <c r="M1553" s="186"/>
      <c r="N1553" s="186"/>
      <c r="O1553" s="172"/>
    </row>
    <row r="1554" spans="1:15" ht="51" x14ac:dyDescent="0.2">
      <c r="A1554" s="197" t="str">
        <f t="shared" si="24"/>
        <v>AqoCode_clay</v>
      </c>
      <c r="B1554" s="409"/>
      <c r="C1554" s="416"/>
      <c r="D1554" s="198" t="s">
        <v>19537</v>
      </c>
      <c r="E1554" s="198">
        <v>3</v>
      </c>
      <c r="F1554" s="199" t="s">
        <v>19538</v>
      </c>
      <c r="G1554" s="1" t="s">
        <v>22307</v>
      </c>
      <c r="H1554" s="1" t="s">
        <v>22308</v>
      </c>
      <c r="I1554" s="346"/>
      <c r="J1554" s="39">
        <v>119017</v>
      </c>
      <c r="K1554" s="36" t="str">
        <f>CONCATENATE(Cover!$D$6,"fdd/view?i=",J1554)</f>
        <v>https://www.dgiwg.org/FAD/fdd/view?i=119017</v>
      </c>
      <c r="L1554" s="36" t="s">
        <v>22387</v>
      </c>
      <c r="M1554" s="186"/>
      <c r="N1554" s="186"/>
      <c r="O1554" s="172"/>
    </row>
    <row r="1555" spans="1:15" ht="38.25" x14ac:dyDescent="0.2">
      <c r="A1555" s="197" t="str">
        <f t="shared" si="24"/>
        <v>AqoCode_conglomerate</v>
      </c>
      <c r="B1555" s="409"/>
      <c r="C1555" s="416"/>
      <c r="D1555" s="198" t="s">
        <v>22310</v>
      </c>
      <c r="E1555" s="198">
        <v>4</v>
      </c>
      <c r="F1555" s="199" t="s">
        <v>22311</v>
      </c>
      <c r="G1555" s="1" t="s">
        <v>22312</v>
      </c>
      <c r="H1555" s="1" t="s">
        <v>22313</v>
      </c>
      <c r="I1555" s="346"/>
      <c r="J1555" s="39">
        <v>119018</v>
      </c>
      <c r="K1555" s="36" t="str">
        <f>CONCATENATE(Cover!$D$6,"fdd/view?i=",J1555)</f>
        <v>https://www.dgiwg.org/FAD/fdd/view?i=119018</v>
      </c>
      <c r="L1555" s="36" t="s">
        <v>22388</v>
      </c>
      <c r="M1555" s="186"/>
      <c r="N1555" s="186"/>
      <c r="O1555" s="172"/>
    </row>
    <row r="1556" spans="1:15" ht="25.5" x14ac:dyDescent="0.2">
      <c r="A1556" s="197" t="str">
        <f t="shared" si="24"/>
        <v>AqoCode_dolomite</v>
      </c>
      <c r="B1556" s="409"/>
      <c r="C1556" s="416"/>
      <c r="D1556" s="198" t="s">
        <v>22315</v>
      </c>
      <c r="E1556" s="198">
        <v>5</v>
      </c>
      <c r="F1556" s="199" t="s">
        <v>22316</v>
      </c>
      <c r="G1556" s="1" t="s">
        <v>22317</v>
      </c>
      <c r="H1556" s="200"/>
      <c r="I1556" s="346"/>
      <c r="J1556" s="39">
        <v>119019</v>
      </c>
      <c r="K1556" s="36" t="str">
        <f>CONCATENATE(Cover!$D$6,"fdd/view?i=",J1556)</f>
        <v>https://www.dgiwg.org/FAD/fdd/view?i=119019</v>
      </c>
      <c r="L1556" s="36" t="s">
        <v>22389</v>
      </c>
      <c r="M1556" s="186"/>
      <c r="N1556" s="186"/>
      <c r="O1556" s="172"/>
    </row>
    <row r="1557" spans="1:15" ht="38.25" x14ac:dyDescent="0.2">
      <c r="A1557" s="197" t="str">
        <f t="shared" si="24"/>
        <v>AqoCode_granite</v>
      </c>
      <c r="B1557" s="409"/>
      <c r="C1557" s="416"/>
      <c r="D1557" s="198" t="s">
        <v>22319</v>
      </c>
      <c r="E1557" s="198">
        <v>6</v>
      </c>
      <c r="F1557" s="199" t="s">
        <v>22320</v>
      </c>
      <c r="G1557" s="1" t="s">
        <v>22321</v>
      </c>
      <c r="H1557" s="200"/>
      <c r="I1557" s="346"/>
      <c r="J1557" s="39">
        <v>119020</v>
      </c>
      <c r="K1557" s="36" t="str">
        <f>CONCATENATE(Cover!$D$6,"fdd/view?i=",J1557)</f>
        <v>https://www.dgiwg.org/FAD/fdd/view?i=119020</v>
      </c>
      <c r="L1557" s="36" t="s">
        <v>22390</v>
      </c>
      <c r="M1557" s="186"/>
      <c r="N1557" s="186"/>
      <c r="O1557" s="172"/>
    </row>
    <row r="1558" spans="1:15" ht="25.5" x14ac:dyDescent="0.2">
      <c r="A1558" s="197" t="str">
        <f t="shared" si="24"/>
        <v>AqoCode_gravel</v>
      </c>
      <c r="B1558" s="409"/>
      <c r="C1558" s="416"/>
      <c r="D1558" s="198" t="s">
        <v>19556</v>
      </c>
      <c r="E1558" s="198">
        <v>7</v>
      </c>
      <c r="F1558" s="199" t="s">
        <v>19557</v>
      </c>
      <c r="G1558" s="1" t="s">
        <v>22323</v>
      </c>
      <c r="H1558" s="1" t="s">
        <v>22324</v>
      </c>
      <c r="I1558" s="346"/>
      <c r="J1558" s="39">
        <v>119021</v>
      </c>
      <c r="K1558" s="36" t="str">
        <f>CONCATENATE(Cover!$D$6,"fdd/view?i=",J1558)</f>
        <v>https://www.dgiwg.org/FAD/fdd/view?i=119021</v>
      </c>
      <c r="L1558" s="36" t="s">
        <v>22391</v>
      </c>
      <c r="M1558" s="186"/>
      <c r="N1558" s="186"/>
      <c r="O1558" s="172"/>
    </row>
    <row r="1559" spans="1:15" ht="38.25" x14ac:dyDescent="0.2">
      <c r="A1559" s="197" t="str">
        <f t="shared" si="24"/>
        <v>AqoCode_igneousRock</v>
      </c>
      <c r="B1559" s="409"/>
      <c r="C1559" s="416"/>
      <c r="D1559" s="198" t="s">
        <v>22326</v>
      </c>
      <c r="E1559" s="198">
        <v>8</v>
      </c>
      <c r="F1559" s="199" t="s">
        <v>22327</v>
      </c>
      <c r="G1559" s="1" t="s">
        <v>22328</v>
      </c>
      <c r="H1559" s="1" t="s">
        <v>22329</v>
      </c>
      <c r="I1559" s="346"/>
      <c r="J1559" s="39">
        <v>119022</v>
      </c>
      <c r="K1559" s="36" t="str">
        <f>CONCATENATE(Cover!$D$6,"fdd/view?i=",J1559)</f>
        <v>https://www.dgiwg.org/FAD/fdd/view?i=119022</v>
      </c>
      <c r="L1559" s="36" t="s">
        <v>22392</v>
      </c>
      <c r="M1559" s="186"/>
      <c r="N1559" s="186"/>
      <c r="O1559" s="172"/>
    </row>
    <row r="1560" spans="1:15" ht="63.75" x14ac:dyDescent="0.2">
      <c r="A1560" s="197" t="str">
        <f t="shared" si="24"/>
        <v>AqoCode_karst</v>
      </c>
      <c r="B1560" s="409"/>
      <c r="C1560" s="416"/>
      <c r="D1560" s="198" t="s">
        <v>22331</v>
      </c>
      <c r="E1560" s="198">
        <v>9</v>
      </c>
      <c r="F1560" s="199" t="s">
        <v>22332</v>
      </c>
      <c r="G1560" s="1" t="s">
        <v>22333</v>
      </c>
      <c r="H1560" s="1" t="s">
        <v>22334</v>
      </c>
      <c r="I1560" s="346"/>
      <c r="J1560" s="39">
        <v>119023</v>
      </c>
      <c r="K1560" s="36" t="str">
        <f>CONCATENATE(Cover!$D$6,"fdd/view?i=",J1560)</f>
        <v>https://www.dgiwg.org/FAD/fdd/view?i=119023</v>
      </c>
      <c r="L1560" s="36" t="s">
        <v>22393</v>
      </c>
      <c r="M1560" s="186"/>
      <c r="N1560" s="186"/>
      <c r="O1560" s="172"/>
    </row>
    <row r="1561" spans="1:15" ht="38.25" x14ac:dyDescent="0.2">
      <c r="A1561" s="197" t="str">
        <f t="shared" si="24"/>
        <v>AqoCode_limestone</v>
      </c>
      <c r="B1561" s="409"/>
      <c r="C1561" s="416"/>
      <c r="D1561" s="198" t="s">
        <v>22336</v>
      </c>
      <c r="E1561" s="198">
        <v>10</v>
      </c>
      <c r="F1561" s="199" t="s">
        <v>22337</v>
      </c>
      <c r="G1561" s="1" t="s">
        <v>22338</v>
      </c>
      <c r="H1561" s="1" t="s">
        <v>22339</v>
      </c>
      <c r="I1561" s="346"/>
      <c r="J1561" s="39">
        <v>119024</v>
      </c>
      <c r="K1561" s="36" t="str">
        <f>CONCATENATE(Cover!$D$6,"fdd/view?i=",J1561)</f>
        <v>https://www.dgiwg.org/FAD/fdd/view?i=119024</v>
      </c>
      <c r="L1561" s="36" t="s">
        <v>22394</v>
      </c>
      <c r="M1561" s="186"/>
      <c r="N1561" s="186"/>
      <c r="O1561" s="172"/>
    </row>
    <row r="1562" spans="1:15" ht="38.25" x14ac:dyDescent="0.2">
      <c r="A1562" s="197" t="str">
        <f t="shared" si="24"/>
        <v>AqoCode_marl</v>
      </c>
      <c r="B1562" s="409"/>
      <c r="C1562" s="416"/>
      <c r="D1562" s="198" t="s">
        <v>22341</v>
      </c>
      <c r="E1562" s="198">
        <v>11</v>
      </c>
      <c r="F1562" s="199" t="s">
        <v>22342</v>
      </c>
      <c r="G1562" s="1" t="s">
        <v>22343</v>
      </c>
      <c r="H1562" s="1" t="s">
        <v>22344</v>
      </c>
      <c r="I1562" s="346"/>
      <c r="J1562" s="39">
        <v>119025</v>
      </c>
      <c r="K1562" s="36" t="str">
        <f>CONCATENATE(Cover!$D$6,"fdd/view?i=",J1562)</f>
        <v>https://www.dgiwg.org/FAD/fdd/view?i=119025</v>
      </c>
      <c r="L1562" s="36" t="s">
        <v>22395</v>
      </c>
      <c r="M1562" s="186"/>
      <c r="N1562" s="186"/>
      <c r="O1562" s="172"/>
    </row>
    <row r="1563" spans="1:15" ht="25.5" x14ac:dyDescent="0.2">
      <c r="A1563" s="197" t="str">
        <f t="shared" si="24"/>
        <v>AqoCode_metamorphicRock</v>
      </c>
      <c r="B1563" s="409"/>
      <c r="C1563" s="416"/>
      <c r="D1563" s="198" t="s">
        <v>22346</v>
      </c>
      <c r="E1563" s="198">
        <v>12</v>
      </c>
      <c r="F1563" s="199" t="s">
        <v>22347</v>
      </c>
      <c r="G1563" s="1" t="s">
        <v>22348</v>
      </c>
      <c r="H1563" s="1" t="s">
        <v>22349</v>
      </c>
      <c r="I1563" s="346"/>
      <c r="J1563" s="39">
        <v>119026</v>
      </c>
      <c r="K1563" s="36" t="str">
        <f>CONCATENATE(Cover!$D$6,"fdd/view?i=",J1563)</f>
        <v>https://www.dgiwg.org/FAD/fdd/view?i=119026</v>
      </c>
      <c r="L1563" s="36" t="s">
        <v>22396</v>
      </c>
      <c r="M1563" s="186"/>
      <c r="N1563" s="186"/>
      <c r="O1563" s="172"/>
    </row>
    <row r="1564" spans="1:15" ht="38.25" x14ac:dyDescent="0.2">
      <c r="A1564" s="197" t="str">
        <f t="shared" si="24"/>
        <v>AqoCode_mud</v>
      </c>
      <c r="B1564" s="409"/>
      <c r="C1564" s="416"/>
      <c r="D1564" s="198" t="s">
        <v>22351</v>
      </c>
      <c r="E1564" s="198">
        <v>13</v>
      </c>
      <c r="F1564" s="199" t="s">
        <v>22352</v>
      </c>
      <c r="G1564" s="1" t="s">
        <v>22353</v>
      </c>
      <c r="H1564" s="1" t="s">
        <v>22354</v>
      </c>
      <c r="I1564" s="346"/>
      <c r="J1564" s="39">
        <v>119027</v>
      </c>
      <c r="K1564" s="36" t="str">
        <f>CONCATENATE(Cover!$D$6,"fdd/view?i=",J1564)</f>
        <v>https://www.dgiwg.org/FAD/fdd/view?i=119027</v>
      </c>
      <c r="L1564" s="36" t="s">
        <v>22397</v>
      </c>
      <c r="M1564" s="186"/>
      <c r="N1564" s="186"/>
      <c r="O1564" s="172"/>
    </row>
    <row r="1565" spans="1:15" ht="25.5" x14ac:dyDescent="0.2">
      <c r="A1565" s="197" t="str">
        <f t="shared" si="24"/>
        <v>AqoCode_sand</v>
      </c>
      <c r="B1565" s="409"/>
      <c r="C1565" s="416"/>
      <c r="D1565" s="198" t="s">
        <v>19594</v>
      </c>
      <c r="E1565" s="198">
        <v>14</v>
      </c>
      <c r="F1565" s="199" t="s">
        <v>19595</v>
      </c>
      <c r="G1565" s="1" t="s">
        <v>22356</v>
      </c>
      <c r="H1565" s="200"/>
      <c r="I1565" s="346"/>
      <c r="J1565" s="39">
        <v>119028</v>
      </c>
      <c r="K1565" s="36" t="str">
        <f>CONCATENATE(Cover!$D$6,"fdd/view?i=",J1565)</f>
        <v>https://www.dgiwg.org/FAD/fdd/view?i=119028</v>
      </c>
      <c r="L1565" s="36" t="s">
        <v>22398</v>
      </c>
      <c r="M1565" s="186"/>
      <c r="N1565" s="186"/>
      <c r="O1565" s="172"/>
    </row>
    <row r="1566" spans="1:15" ht="25.5" x14ac:dyDescent="0.2">
      <c r="A1566" s="197" t="str">
        <f t="shared" si="24"/>
        <v>AqoCode_sandstone</v>
      </c>
      <c r="B1566" s="409"/>
      <c r="C1566" s="416"/>
      <c r="D1566" s="198" t="s">
        <v>22358</v>
      </c>
      <c r="E1566" s="198">
        <v>19</v>
      </c>
      <c r="F1566" s="199" t="s">
        <v>22359</v>
      </c>
      <c r="G1566" s="1" t="s">
        <v>22360</v>
      </c>
      <c r="H1566" s="1" t="s">
        <v>22361</v>
      </c>
      <c r="I1566" s="346"/>
      <c r="J1566" s="39">
        <v>119943</v>
      </c>
      <c r="K1566" s="36" t="str">
        <f>CONCATENATE(Cover!$D$6,"fdd/view?i=",J1566)</f>
        <v>https://www.dgiwg.org/FAD/fdd/view?i=119943</v>
      </c>
      <c r="L1566" s="36" t="s">
        <v>22399</v>
      </c>
      <c r="M1566" s="186"/>
      <c r="N1566" s="186"/>
      <c r="O1566" s="172"/>
    </row>
    <row r="1567" spans="1:15" ht="38.25" x14ac:dyDescent="0.2">
      <c r="A1567" s="197" t="str">
        <f t="shared" si="24"/>
        <v>AqoCode_schist</v>
      </c>
      <c r="B1567" s="409"/>
      <c r="C1567" s="416"/>
      <c r="D1567" s="198" t="s">
        <v>22363</v>
      </c>
      <c r="E1567" s="198">
        <v>15</v>
      </c>
      <c r="F1567" s="199" t="s">
        <v>22364</v>
      </c>
      <c r="G1567" s="1" t="s">
        <v>22365</v>
      </c>
      <c r="H1567" s="200"/>
      <c r="I1567" s="346"/>
      <c r="J1567" s="39">
        <v>119029</v>
      </c>
      <c r="K1567" s="36" t="str">
        <f>CONCATENATE(Cover!$D$6,"fdd/view?i=",J1567)</f>
        <v>https://www.dgiwg.org/FAD/fdd/view?i=119029</v>
      </c>
      <c r="L1567" s="36" t="s">
        <v>22400</v>
      </c>
      <c r="M1567" s="186"/>
      <c r="N1567" s="186"/>
      <c r="O1567" s="172"/>
    </row>
    <row r="1568" spans="1:15" ht="63.75" x14ac:dyDescent="0.2">
      <c r="A1568" s="197" t="str">
        <f t="shared" si="24"/>
        <v>AqoCode_semiConsolidatedVolcanicAsh</v>
      </c>
      <c r="B1568" s="409"/>
      <c r="C1568" s="416"/>
      <c r="D1568" s="198" t="s">
        <v>22367</v>
      </c>
      <c r="E1568" s="198">
        <v>17</v>
      </c>
      <c r="F1568" s="199" t="s">
        <v>22368</v>
      </c>
      <c r="G1568" s="1" t="s">
        <v>22369</v>
      </c>
      <c r="H1568" s="1" t="s">
        <v>22370</v>
      </c>
      <c r="I1568" s="346"/>
      <c r="J1568" s="39">
        <v>119031</v>
      </c>
      <c r="K1568" s="36" t="str">
        <f>CONCATENATE(Cover!$D$6,"fdd/view?i=",J1568)</f>
        <v>https://www.dgiwg.org/FAD/fdd/view?i=119031</v>
      </c>
      <c r="L1568" s="36" t="s">
        <v>22401</v>
      </c>
      <c r="M1568" s="186"/>
      <c r="N1568" s="186"/>
      <c r="O1568" s="172"/>
    </row>
    <row r="1569" spans="1:15" ht="25.5" x14ac:dyDescent="0.2">
      <c r="A1569" s="197" t="str">
        <f t="shared" si="24"/>
        <v>AqoCode_shale</v>
      </c>
      <c r="B1569" s="409"/>
      <c r="C1569" s="416"/>
      <c r="D1569" s="198" t="s">
        <v>22372</v>
      </c>
      <c r="E1569" s="198">
        <v>20</v>
      </c>
      <c r="F1569" s="199" t="s">
        <v>22373</v>
      </c>
      <c r="G1569" s="1" t="s">
        <v>22374</v>
      </c>
      <c r="H1569" s="200"/>
      <c r="I1569" s="346"/>
      <c r="J1569" s="39">
        <v>119956</v>
      </c>
      <c r="K1569" s="36" t="str">
        <f>CONCATENATE(Cover!$D$6,"fdd/view?i=",J1569)</f>
        <v>https://www.dgiwg.org/FAD/fdd/view?i=119956</v>
      </c>
      <c r="L1569" s="36" t="s">
        <v>22402</v>
      </c>
      <c r="M1569" s="186"/>
      <c r="N1569" s="186"/>
      <c r="O1569" s="172"/>
    </row>
    <row r="1570" spans="1:15" ht="38.25" x14ac:dyDescent="0.2">
      <c r="A1570" s="197" t="str">
        <f t="shared" si="24"/>
        <v>AqoCode_unconsolidated</v>
      </c>
      <c r="B1570" s="409"/>
      <c r="C1570" s="416"/>
      <c r="D1570" s="198" t="s">
        <v>22376</v>
      </c>
      <c r="E1570" s="198">
        <v>16</v>
      </c>
      <c r="F1570" s="199" t="s">
        <v>22377</v>
      </c>
      <c r="G1570" s="1" t="s">
        <v>22378</v>
      </c>
      <c r="H1570" s="1" t="s">
        <v>22379</v>
      </c>
      <c r="I1570" s="346"/>
      <c r="J1570" s="39">
        <v>119030</v>
      </c>
      <c r="K1570" s="36" t="str">
        <f>CONCATENATE(Cover!$D$6,"fdd/view?i=",J1570)</f>
        <v>https://www.dgiwg.org/FAD/fdd/view?i=119030</v>
      </c>
      <c r="L1570" s="36" t="s">
        <v>22403</v>
      </c>
      <c r="M1570" s="186"/>
      <c r="N1570" s="186"/>
      <c r="O1570" s="172"/>
    </row>
    <row r="1571" spans="1:15" ht="25.5" x14ac:dyDescent="0.2">
      <c r="A1571" s="203" t="str">
        <f t="shared" si="24"/>
        <v>AqoCode_volcanicRock</v>
      </c>
      <c r="B1571" s="410"/>
      <c r="C1571" s="417"/>
      <c r="D1571" s="204" t="s">
        <v>22381</v>
      </c>
      <c r="E1571" s="204">
        <v>18</v>
      </c>
      <c r="F1571" s="205" t="s">
        <v>22382</v>
      </c>
      <c r="G1571" s="206" t="s">
        <v>22383</v>
      </c>
      <c r="H1571" s="207"/>
      <c r="I1571" s="347"/>
      <c r="J1571" s="39">
        <v>119032</v>
      </c>
      <c r="K1571" s="36" t="str">
        <f>CONCATENATE(Cover!$D$6,"fdd/view?i=",J1571)</f>
        <v>https://www.dgiwg.org/FAD/fdd/view?i=119032</v>
      </c>
      <c r="L1571" s="36" t="s">
        <v>22404</v>
      </c>
      <c r="M1571" s="186"/>
      <c r="N1571" s="186"/>
      <c r="O1571" s="172"/>
    </row>
    <row r="1572" spans="1:15" ht="51" x14ac:dyDescent="0.2">
      <c r="A1572" s="190" t="str">
        <f t="shared" si="24"/>
        <v>AqcCode_high</v>
      </c>
      <c r="B1572" s="414" t="str">
        <f>HYPERLINK("[#]Datatypes!A180:L180","AqcCode")</f>
        <v>AqcCode</v>
      </c>
      <c r="C1572" s="415" t="s">
        <v>14734</v>
      </c>
      <c r="D1572" s="221" t="s">
        <v>20199</v>
      </c>
      <c r="E1572" s="221">
        <v>4</v>
      </c>
      <c r="F1572" s="222" t="s">
        <v>20200</v>
      </c>
      <c r="G1572" s="223" t="s">
        <v>22405</v>
      </c>
      <c r="H1572" s="223" t="s">
        <v>22406</v>
      </c>
      <c r="I1572" s="345"/>
      <c r="J1572" s="39">
        <v>112969</v>
      </c>
      <c r="K1572" s="36" t="str">
        <f>CONCATENATE(Cover!$D$6,"fdd/view?i=",J1572)</f>
        <v>https://www.dgiwg.org/FAD/fdd/view?i=112969</v>
      </c>
      <c r="L1572" s="36" t="s">
        <v>22407</v>
      </c>
      <c r="M1572" s="186"/>
      <c r="N1572" s="186"/>
      <c r="O1572" s="172"/>
    </row>
    <row r="1573" spans="1:15" ht="63.75" x14ac:dyDescent="0.2">
      <c r="A1573" s="197" t="str">
        <f t="shared" si="24"/>
        <v>AqcCode_low</v>
      </c>
      <c r="B1573" s="409"/>
      <c r="C1573" s="416"/>
      <c r="D1573" s="198" t="s">
        <v>20203</v>
      </c>
      <c r="E1573" s="198">
        <v>2</v>
      </c>
      <c r="F1573" s="199" t="s">
        <v>20204</v>
      </c>
      <c r="G1573" s="1" t="s">
        <v>22408</v>
      </c>
      <c r="H1573" s="1" t="s">
        <v>22409</v>
      </c>
      <c r="I1573" s="346"/>
      <c r="J1573" s="39">
        <v>112967</v>
      </c>
      <c r="K1573" s="36" t="str">
        <f>CONCATENATE(Cover!$D$6,"fdd/view?i=",J1573)</f>
        <v>https://www.dgiwg.org/FAD/fdd/view?i=112967</v>
      </c>
      <c r="L1573" s="36" t="s">
        <v>22410</v>
      </c>
      <c r="M1573" s="186"/>
      <c r="N1573" s="186"/>
      <c r="O1573" s="172"/>
    </row>
    <row r="1574" spans="1:15" x14ac:dyDescent="0.2">
      <c r="A1574" s="197" t="str">
        <f t="shared" si="24"/>
        <v>AqcCode_moderate</v>
      </c>
      <c r="B1574" s="409"/>
      <c r="C1574" s="416"/>
      <c r="D1574" s="198" t="s">
        <v>22411</v>
      </c>
      <c r="E1574" s="198">
        <v>3</v>
      </c>
      <c r="F1574" s="199" t="s">
        <v>22412</v>
      </c>
      <c r="G1574" s="1" t="s">
        <v>22413</v>
      </c>
      <c r="H1574" s="1" t="s">
        <v>22414</v>
      </c>
      <c r="I1574" s="346"/>
      <c r="J1574" s="39">
        <v>112968</v>
      </c>
      <c r="K1574" s="36" t="str">
        <f>CONCATENATE(Cover!$D$6,"fdd/view?i=",J1574)</f>
        <v>https://www.dgiwg.org/FAD/fdd/view?i=112968</v>
      </c>
      <c r="L1574" s="36" t="s">
        <v>22415</v>
      </c>
      <c r="M1574" s="186"/>
      <c r="N1574" s="186"/>
      <c r="O1574" s="172"/>
    </row>
    <row r="1575" spans="1:15" ht="51" x14ac:dyDescent="0.2">
      <c r="A1575" s="197" t="str">
        <f t="shared" si="24"/>
        <v>AqcCode_veryHigh</v>
      </c>
      <c r="B1575" s="409"/>
      <c r="C1575" s="416"/>
      <c r="D1575" s="198" t="s">
        <v>22416</v>
      </c>
      <c r="E1575" s="198">
        <v>5</v>
      </c>
      <c r="F1575" s="199" t="s">
        <v>22417</v>
      </c>
      <c r="G1575" s="1" t="s">
        <v>22418</v>
      </c>
      <c r="H1575" s="1" t="s">
        <v>22419</v>
      </c>
      <c r="I1575" s="346"/>
      <c r="J1575" s="39">
        <v>112970</v>
      </c>
      <c r="K1575" s="36" t="str">
        <f>CONCATENATE(Cover!$D$6,"fdd/view?i=",J1575)</f>
        <v>https://www.dgiwg.org/FAD/fdd/view?i=112970</v>
      </c>
      <c r="L1575" s="36" t="s">
        <v>22420</v>
      </c>
      <c r="M1575" s="186"/>
      <c r="N1575" s="186"/>
      <c r="O1575" s="172"/>
    </row>
    <row r="1576" spans="1:15" x14ac:dyDescent="0.2">
      <c r="A1576" s="203" t="str">
        <f t="shared" si="24"/>
        <v>AqcCode_veryLow</v>
      </c>
      <c r="B1576" s="410"/>
      <c r="C1576" s="417"/>
      <c r="D1576" s="204" t="s">
        <v>22421</v>
      </c>
      <c r="E1576" s="204">
        <v>1</v>
      </c>
      <c r="F1576" s="205" t="s">
        <v>22422</v>
      </c>
      <c r="G1576" s="206" t="s">
        <v>22423</v>
      </c>
      <c r="H1576" s="207"/>
      <c r="I1576" s="347"/>
      <c r="J1576" s="39">
        <v>112966</v>
      </c>
      <c r="K1576" s="36" t="str">
        <f>CONCATENATE(Cover!$D$6,"fdd/view?i=",J1576)</f>
        <v>https://www.dgiwg.org/FAD/fdd/view?i=112966</v>
      </c>
      <c r="L1576" s="36" t="s">
        <v>22424</v>
      </c>
      <c r="M1576" s="186"/>
      <c r="N1576" s="186"/>
      <c r="O1576" s="172"/>
    </row>
    <row r="1577" spans="1:15" x14ac:dyDescent="0.2">
      <c r="A1577" s="190" t="str">
        <f t="shared" si="24"/>
        <v>AgcCode_cable</v>
      </c>
      <c r="B1577" s="414" t="str">
        <f>HYPERLINK("[#]Datatypes!A182:L182","AgcCode")</f>
        <v>AgcCode</v>
      </c>
      <c r="C1577" s="415" t="s">
        <v>14736</v>
      </c>
      <c r="D1577" s="221" t="s">
        <v>22425</v>
      </c>
      <c r="E1577" s="221">
        <v>2</v>
      </c>
      <c r="F1577" s="222" t="s">
        <v>2381</v>
      </c>
      <c r="G1577" s="223" t="s">
        <v>22426</v>
      </c>
      <c r="H1577" s="224"/>
      <c r="I1577" s="345"/>
      <c r="J1577" s="39">
        <v>101675</v>
      </c>
      <c r="K1577" s="36" t="str">
        <f>CONCATENATE(Cover!$D$6,"fdd/view?i=",J1577)</f>
        <v>https://www.dgiwg.org/FAD/fdd/view?i=101675</v>
      </c>
      <c r="L1577" s="36" t="s">
        <v>22427</v>
      </c>
      <c r="M1577" s="186"/>
      <c r="N1577" s="186"/>
      <c r="O1577" s="172"/>
    </row>
    <row r="1578" spans="1:15" x14ac:dyDescent="0.2">
      <c r="A1578" s="197" t="str">
        <f t="shared" si="24"/>
        <v>AgcCode_jetBarrier</v>
      </c>
      <c r="B1578" s="409"/>
      <c r="C1578" s="416"/>
      <c r="D1578" s="198" t="s">
        <v>22428</v>
      </c>
      <c r="E1578" s="198">
        <v>6</v>
      </c>
      <c r="F1578" s="199" t="s">
        <v>22429</v>
      </c>
      <c r="G1578" s="1" t="s">
        <v>22430</v>
      </c>
      <c r="H1578" s="200"/>
      <c r="I1578" s="346"/>
      <c r="J1578" s="39">
        <v>101676</v>
      </c>
      <c r="K1578" s="36" t="str">
        <f>CONCATENATE(Cover!$D$6,"fdd/view?i=",J1578)</f>
        <v>https://www.dgiwg.org/FAD/fdd/view?i=101676</v>
      </c>
      <c r="L1578" s="36" t="s">
        <v>22431</v>
      </c>
      <c r="M1578" s="186"/>
      <c r="N1578" s="186"/>
      <c r="O1578" s="172"/>
    </row>
    <row r="1579" spans="1:15" x14ac:dyDescent="0.2">
      <c r="A1579" s="203" t="str">
        <f t="shared" si="24"/>
        <v>AgcCode_net</v>
      </c>
      <c r="B1579" s="410"/>
      <c r="C1579" s="417"/>
      <c r="D1579" s="204" t="s">
        <v>22432</v>
      </c>
      <c r="E1579" s="204">
        <v>1</v>
      </c>
      <c r="F1579" s="205" t="s">
        <v>22433</v>
      </c>
      <c r="G1579" s="206" t="s">
        <v>22434</v>
      </c>
      <c r="H1579" s="207"/>
      <c r="I1579" s="347"/>
      <c r="J1579" s="39">
        <v>101674</v>
      </c>
      <c r="K1579" s="36" t="str">
        <f>CONCATENATE(Cover!$D$6,"fdd/view?i=",J1579)</f>
        <v>https://www.dgiwg.org/FAD/fdd/view?i=101674</v>
      </c>
      <c r="L1579" s="36" t="s">
        <v>22435</v>
      </c>
      <c r="M1579" s="186"/>
      <c r="N1579" s="186"/>
      <c r="O1579" s="172"/>
    </row>
    <row r="1580" spans="1:15" ht="25.5" x14ac:dyDescent="0.2">
      <c r="A1580" s="190" t="str">
        <f t="shared" si="24"/>
        <v>AgbCode_barrierDiskSafeland</v>
      </c>
      <c r="B1580" s="414" t="str">
        <f>HYPERLINK("[#]Datatypes!A184:L184","AgbCode")</f>
        <v>AgbCode</v>
      </c>
      <c r="C1580" s="415" t="s">
        <v>14738</v>
      </c>
      <c r="D1580" s="221" t="s">
        <v>22795</v>
      </c>
      <c r="E1580" s="221">
        <v>72</v>
      </c>
      <c r="F1580" s="222" t="s">
        <v>22796</v>
      </c>
      <c r="G1580" s="223" t="s">
        <v>22797</v>
      </c>
      <c r="H1580" s="223" t="s">
        <v>22720</v>
      </c>
      <c r="I1580" s="352" t="s">
        <v>22798</v>
      </c>
      <c r="J1580" s="39">
        <v>115569</v>
      </c>
      <c r="K1580" s="36" t="str">
        <f>CONCATENATE(Cover!$D$6,"fdd/view?i=",J1580)</f>
        <v>https://www.dgiwg.org/FAD/fdd/view?i=115569</v>
      </c>
      <c r="L1580" s="36" t="s">
        <v>22799</v>
      </c>
      <c r="M1580" s="186"/>
      <c r="N1580" s="186"/>
      <c r="O1580" s="172"/>
    </row>
    <row r="1581" spans="1:15" x14ac:dyDescent="0.2">
      <c r="A1581" s="197" t="str">
        <f t="shared" si="24"/>
        <v>AgbCode_chainCHAG</v>
      </c>
      <c r="B1581" s="409"/>
      <c r="C1581" s="416"/>
      <c r="D1581" s="198" t="s">
        <v>22628</v>
      </c>
      <c r="E1581" s="198">
        <v>39</v>
      </c>
      <c r="F1581" s="199" t="s">
        <v>22629</v>
      </c>
      <c r="G1581" s="1" t="s">
        <v>22630</v>
      </c>
      <c r="H1581" s="1" t="s">
        <v>22439</v>
      </c>
      <c r="I1581" s="351" t="s">
        <v>20379</v>
      </c>
      <c r="J1581" s="39">
        <v>115536</v>
      </c>
      <c r="K1581" s="36" t="str">
        <f>CONCATENATE(Cover!$D$6,"fdd/view?i=",J1581)</f>
        <v>https://www.dgiwg.org/FAD/fdd/view?i=115536</v>
      </c>
      <c r="L1581" s="36" t="s">
        <v>22631</v>
      </c>
      <c r="M1581" s="186"/>
      <c r="N1581" s="186"/>
      <c r="O1581" s="172"/>
    </row>
    <row r="1582" spans="1:15" x14ac:dyDescent="0.2">
      <c r="A1582" s="197" t="str">
        <f t="shared" si="24"/>
        <v>AgbCode_chainE5</v>
      </c>
      <c r="B1582" s="409"/>
      <c r="C1582" s="416"/>
      <c r="D1582" s="198" t="s">
        <v>22652</v>
      </c>
      <c r="E1582" s="198">
        <v>44</v>
      </c>
      <c r="F1582" s="199" t="s">
        <v>22653</v>
      </c>
      <c r="G1582" s="1" t="s">
        <v>22654</v>
      </c>
      <c r="H1582" s="1" t="s">
        <v>22580</v>
      </c>
      <c r="I1582" s="351" t="s">
        <v>22655</v>
      </c>
      <c r="J1582" s="39">
        <v>115541</v>
      </c>
      <c r="K1582" s="36" t="str">
        <f>CONCATENATE(Cover!$D$6,"fdd/view?i=",J1582)</f>
        <v>https://www.dgiwg.org/FAD/fdd/view?i=115541</v>
      </c>
      <c r="L1582" s="36" t="s">
        <v>22656</v>
      </c>
      <c r="M1582" s="186"/>
      <c r="N1582" s="186"/>
      <c r="O1582" s="172"/>
    </row>
    <row r="1583" spans="1:15" x14ac:dyDescent="0.2">
      <c r="A1583" s="197" t="str">
        <f t="shared" si="24"/>
        <v>AgbCode_chainE5_1</v>
      </c>
      <c r="B1583" s="409"/>
      <c r="C1583" s="416"/>
      <c r="D1583" s="198" t="s">
        <v>22657</v>
      </c>
      <c r="E1583" s="198">
        <v>45</v>
      </c>
      <c r="F1583" s="199" t="s">
        <v>22658</v>
      </c>
      <c r="G1583" s="1" t="s">
        <v>22659</v>
      </c>
      <c r="H1583" s="1" t="s">
        <v>22580</v>
      </c>
      <c r="I1583" s="351" t="s">
        <v>22660</v>
      </c>
      <c r="J1583" s="39">
        <v>115542</v>
      </c>
      <c r="K1583" s="36" t="str">
        <f>CONCATENATE(Cover!$D$6,"fdd/view?i=",J1583)</f>
        <v>https://www.dgiwg.org/FAD/fdd/view?i=115542</v>
      </c>
      <c r="L1583" s="36" t="s">
        <v>22661</v>
      </c>
      <c r="M1583" s="186"/>
      <c r="N1583" s="186"/>
      <c r="O1583" s="172"/>
    </row>
    <row r="1584" spans="1:15" x14ac:dyDescent="0.2">
      <c r="A1584" s="197" t="str">
        <f t="shared" si="24"/>
        <v>AgbCode_chainE5_2</v>
      </c>
      <c r="B1584" s="409"/>
      <c r="C1584" s="416"/>
      <c r="D1584" s="198" t="s">
        <v>22662</v>
      </c>
      <c r="E1584" s="198">
        <v>46</v>
      </c>
      <c r="F1584" s="199" t="s">
        <v>22663</v>
      </c>
      <c r="G1584" s="1" t="s">
        <v>22664</v>
      </c>
      <c r="H1584" s="1" t="s">
        <v>22580</v>
      </c>
      <c r="I1584" s="351" t="s">
        <v>22665</v>
      </c>
      <c r="J1584" s="39">
        <v>115543</v>
      </c>
      <c r="K1584" s="36" t="str">
        <f>CONCATENATE(Cover!$D$6,"fdd/view?i=",J1584)</f>
        <v>https://www.dgiwg.org/FAD/fdd/view?i=115543</v>
      </c>
      <c r="L1584" s="36" t="s">
        <v>22666</v>
      </c>
      <c r="M1584" s="186"/>
      <c r="N1584" s="186"/>
      <c r="O1584" s="172"/>
    </row>
    <row r="1585" spans="1:15" x14ac:dyDescent="0.2">
      <c r="A1585" s="197" t="str">
        <f t="shared" si="24"/>
        <v>AgbCode_chainE5_3</v>
      </c>
      <c r="B1585" s="409"/>
      <c r="C1585" s="416"/>
      <c r="D1585" s="198" t="s">
        <v>22667</v>
      </c>
      <c r="E1585" s="198">
        <v>47</v>
      </c>
      <c r="F1585" s="199" t="s">
        <v>22668</v>
      </c>
      <c r="G1585" s="1" t="s">
        <v>22669</v>
      </c>
      <c r="H1585" s="1" t="s">
        <v>22580</v>
      </c>
      <c r="I1585" s="351" t="s">
        <v>22670</v>
      </c>
      <c r="J1585" s="39">
        <v>115544</v>
      </c>
      <c r="K1585" s="36" t="str">
        <f>CONCATENATE(Cover!$D$6,"fdd/view?i=",J1585)</f>
        <v>https://www.dgiwg.org/FAD/fdd/view?i=115544</v>
      </c>
      <c r="L1585" s="36" t="s">
        <v>22671</v>
      </c>
      <c r="M1585" s="186"/>
      <c r="N1585" s="186"/>
      <c r="O1585" s="172"/>
    </row>
    <row r="1586" spans="1:15" x14ac:dyDescent="0.2">
      <c r="A1586" s="197" t="str">
        <f t="shared" si="24"/>
        <v>AgbCode_chainE6</v>
      </c>
      <c r="B1586" s="409"/>
      <c r="C1586" s="416"/>
      <c r="D1586" s="198" t="s">
        <v>22672</v>
      </c>
      <c r="E1586" s="198">
        <v>48</v>
      </c>
      <c r="F1586" s="199" t="s">
        <v>22673</v>
      </c>
      <c r="G1586" s="1" t="s">
        <v>22674</v>
      </c>
      <c r="H1586" s="1" t="s">
        <v>22580</v>
      </c>
      <c r="I1586" s="351" t="s">
        <v>22675</v>
      </c>
      <c r="J1586" s="39">
        <v>115545</v>
      </c>
      <c r="K1586" s="36" t="str">
        <f>CONCATENATE(Cover!$D$6,"fdd/view?i=",J1586)</f>
        <v>https://www.dgiwg.org/FAD/fdd/view?i=115545</v>
      </c>
      <c r="L1586" s="36" t="s">
        <v>22676</v>
      </c>
      <c r="M1586" s="186"/>
      <c r="N1586" s="186"/>
      <c r="O1586" s="172"/>
    </row>
    <row r="1587" spans="1:15" ht="25.5" x14ac:dyDescent="0.2">
      <c r="A1587" s="197" t="str">
        <f t="shared" si="24"/>
        <v>AgbCode_diskBEFAB_12_3</v>
      </c>
      <c r="B1587" s="409"/>
      <c r="C1587" s="416"/>
      <c r="D1587" s="198" t="s">
        <v>22588</v>
      </c>
      <c r="E1587" s="198">
        <v>31</v>
      </c>
      <c r="F1587" s="199" t="s">
        <v>22589</v>
      </c>
      <c r="G1587" s="1" t="s">
        <v>22590</v>
      </c>
      <c r="H1587" s="1" t="s">
        <v>22439</v>
      </c>
      <c r="I1587" s="351" t="s">
        <v>22591</v>
      </c>
      <c r="J1587" s="39">
        <v>115528</v>
      </c>
      <c r="K1587" s="36" t="str">
        <f>CONCATENATE(Cover!$D$6,"fdd/view?i=",J1587)</f>
        <v>https://www.dgiwg.org/FAD/fdd/view?i=115528</v>
      </c>
      <c r="L1587" s="36" t="s">
        <v>22592</v>
      </c>
      <c r="M1587" s="186"/>
      <c r="N1587" s="186"/>
      <c r="O1587" s="172"/>
    </row>
    <row r="1588" spans="1:15" ht="25.5" x14ac:dyDescent="0.2">
      <c r="A1588" s="197" t="str">
        <f t="shared" si="24"/>
        <v>AgbCode_diskBEFAB_20_4</v>
      </c>
      <c r="B1588" s="409"/>
      <c r="C1588" s="416"/>
      <c r="D1588" s="198" t="s">
        <v>22593</v>
      </c>
      <c r="E1588" s="198">
        <v>32</v>
      </c>
      <c r="F1588" s="199" t="s">
        <v>22594</v>
      </c>
      <c r="G1588" s="1" t="s">
        <v>22595</v>
      </c>
      <c r="H1588" s="1" t="s">
        <v>22439</v>
      </c>
      <c r="I1588" s="351" t="s">
        <v>22596</v>
      </c>
      <c r="J1588" s="39">
        <v>115529</v>
      </c>
      <c r="K1588" s="36" t="str">
        <f>CONCATENATE(Cover!$D$6,"fdd/view?i=",J1588)</f>
        <v>https://www.dgiwg.org/FAD/fdd/view?i=115529</v>
      </c>
      <c r="L1588" s="36" t="s">
        <v>22597</v>
      </c>
      <c r="M1588" s="186"/>
      <c r="N1588" s="186"/>
      <c r="O1588" s="172"/>
    </row>
    <row r="1589" spans="1:15" ht="25.5" x14ac:dyDescent="0.2">
      <c r="A1589" s="197" t="str">
        <f t="shared" si="24"/>
        <v>AgbCode_diskBEFAB_21_2</v>
      </c>
      <c r="B1589" s="409"/>
      <c r="C1589" s="416"/>
      <c r="D1589" s="198" t="s">
        <v>22598</v>
      </c>
      <c r="E1589" s="198">
        <v>33</v>
      </c>
      <c r="F1589" s="199" t="s">
        <v>22599</v>
      </c>
      <c r="G1589" s="1" t="s">
        <v>22600</v>
      </c>
      <c r="H1589" s="1" t="s">
        <v>22439</v>
      </c>
      <c r="I1589" s="351" t="s">
        <v>22601</v>
      </c>
      <c r="J1589" s="39">
        <v>115530</v>
      </c>
      <c r="K1589" s="36" t="str">
        <f>CONCATENATE(Cover!$D$6,"fdd/view?i=",J1589)</f>
        <v>https://www.dgiwg.org/FAD/fdd/view?i=115530</v>
      </c>
      <c r="L1589" s="36" t="s">
        <v>22602</v>
      </c>
      <c r="M1589" s="186"/>
      <c r="N1589" s="186"/>
      <c r="O1589" s="172"/>
    </row>
    <row r="1590" spans="1:15" ht="25.5" x14ac:dyDescent="0.2">
      <c r="A1590" s="197" t="str">
        <f t="shared" si="24"/>
        <v>AgbCode_diskBEFAB_24_4</v>
      </c>
      <c r="B1590" s="409"/>
      <c r="C1590" s="416"/>
      <c r="D1590" s="198" t="s">
        <v>22603</v>
      </c>
      <c r="E1590" s="198">
        <v>34</v>
      </c>
      <c r="F1590" s="199" t="s">
        <v>22604</v>
      </c>
      <c r="G1590" s="1" t="s">
        <v>22605</v>
      </c>
      <c r="H1590" s="1" t="s">
        <v>22439</v>
      </c>
      <c r="I1590" s="351" t="s">
        <v>22606</v>
      </c>
      <c r="J1590" s="39">
        <v>115531</v>
      </c>
      <c r="K1590" s="36" t="str">
        <f>CONCATENATE(Cover!$D$6,"fdd/view?i=",J1590)</f>
        <v>https://www.dgiwg.org/FAD/fdd/view?i=115531</v>
      </c>
      <c r="L1590" s="36" t="s">
        <v>22607</v>
      </c>
      <c r="M1590" s="186"/>
      <c r="N1590" s="186"/>
      <c r="O1590" s="172"/>
    </row>
    <row r="1591" spans="1:15" ht="25.5" x14ac:dyDescent="0.2">
      <c r="A1591" s="197" t="str">
        <f t="shared" si="24"/>
        <v>AgbCode_diskBEFAB_56_2</v>
      </c>
      <c r="B1591" s="409"/>
      <c r="C1591" s="416"/>
      <c r="D1591" s="198" t="s">
        <v>22608</v>
      </c>
      <c r="E1591" s="198">
        <v>35</v>
      </c>
      <c r="F1591" s="199" t="s">
        <v>22609</v>
      </c>
      <c r="G1591" s="1" t="s">
        <v>22610</v>
      </c>
      <c r="H1591" s="1" t="s">
        <v>22439</v>
      </c>
      <c r="I1591" s="351" t="s">
        <v>22611</v>
      </c>
      <c r="J1591" s="39">
        <v>115532</v>
      </c>
      <c r="K1591" s="36" t="str">
        <f>CONCATENATE(Cover!$D$6,"fdd/view?i=",J1591)</f>
        <v>https://www.dgiwg.org/FAD/fdd/view?i=115532</v>
      </c>
      <c r="L1591" s="36" t="s">
        <v>22612</v>
      </c>
      <c r="M1591" s="186"/>
      <c r="N1591" s="186"/>
      <c r="O1591" s="172"/>
    </row>
    <row r="1592" spans="1:15" ht="25.5" x14ac:dyDescent="0.2">
      <c r="A1592" s="197" t="str">
        <f t="shared" si="24"/>
        <v>AgbCode_diskBEFAB_6_3</v>
      </c>
      <c r="B1592" s="409"/>
      <c r="C1592" s="416"/>
      <c r="D1592" s="198" t="s">
        <v>22613</v>
      </c>
      <c r="E1592" s="198">
        <v>36</v>
      </c>
      <c r="F1592" s="199" t="s">
        <v>22614</v>
      </c>
      <c r="G1592" s="1" t="s">
        <v>22615</v>
      </c>
      <c r="H1592" s="1" t="s">
        <v>22439</v>
      </c>
      <c r="I1592" s="351" t="s">
        <v>22616</v>
      </c>
      <c r="J1592" s="39">
        <v>115533</v>
      </c>
      <c r="K1592" s="36" t="str">
        <f>CONCATENATE(Cover!$D$6,"fdd/view?i=",J1592)</f>
        <v>https://www.dgiwg.org/FAD/fdd/view?i=115533</v>
      </c>
      <c r="L1592" s="36" t="s">
        <v>22617</v>
      </c>
      <c r="M1592" s="186"/>
      <c r="N1592" s="186"/>
      <c r="O1592" s="172"/>
    </row>
    <row r="1593" spans="1:15" ht="25.5" x14ac:dyDescent="0.2">
      <c r="A1593" s="197" t="str">
        <f t="shared" si="24"/>
        <v>AgbCode_diskBEFAB_60_2</v>
      </c>
      <c r="B1593" s="409"/>
      <c r="C1593" s="416"/>
      <c r="D1593" s="198" t="s">
        <v>22618</v>
      </c>
      <c r="E1593" s="198">
        <v>37</v>
      </c>
      <c r="F1593" s="199" t="s">
        <v>22619</v>
      </c>
      <c r="G1593" s="1" t="s">
        <v>22620</v>
      </c>
      <c r="H1593" s="1" t="s">
        <v>22439</v>
      </c>
      <c r="I1593" s="351" t="s">
        <v>22621</v>
      </c>
      <c r="J1593" s="39">
        <v>115534</v>
      </c>
      <c r="K1593" s="36" t="str">
        <f>CONCATENATE(Cover!$D$6,"fdd/view?i=",J1593)</f>
        <v>https://www.dgiwg.org/FAD/fdd/view?i=115534</v>
      </c>
      <c r="L1593" s="36" t="s">
        <v>22622</v>
      </c>
      <c r="M1593" s="186"/>
      <c r="N1593" s="186"/>
      <c r="O1593" s="172"/>
    </row>
    <row r="1594" spans="1:15" ht="25.5" x14ac:dyDescent="0.2">
      <c r="A1594" s="197" t="str">
        <f t="shared" si="24"/>
        <v>AgbCode_diskBEFAB_8_3</v>
      </c>
      <c r="B1594" s="409"/>
      <c r="C1594" s="416"/>
      <c r="D1594" s="198" t="s">
        <v>22623</v>
      </c>
      <c r="E1594" s="198">
        <v>38</v>
      </c>
      <c r="F1594" s="199" t="s">
        <v>22624</v>
      </c>
      <c r="G1594" s="1" t="s">
        <v>22625</v>
      </c>
      <c r="H1594" s="1" t="s">
        <v>22439</v>
      </c>
      <c r="I1594" s="351" t="s">
        <v>22626</v>
      </c>
      <c r="J1594" s="39">
        <v>115535</v>
      </c>
      <c r="K1594" s="36" t="str">
        <f>CONCATENATE(Cover!$D$6,"fdd/view?i=",J1594)</f>
        <v>https://www.dgiwg.org/FAD/fdd/view?i=115535</v>
      </c>
      <c r="L1594" s="36" t="s">
        <v>22627</v>
      </c>
      <c r="M1594" s="186"/>
      <c r="N1594" s="186"/>
      <c r="O1594" s="172"/>
    </row>
    <row r="1595" spans="1:15" ht="25.5" x14ac:dyDescent="0.2">
      <c r="A1595" s="197" t="str">
        <f t="shared" si="24"/>
        <v>AgbCode_diskRAF_MK_12A</v>
      </c>
      <c r="B1595" s="409"/>
      <c r="C1595" s="416"/>
      <c r="D1595" s="198" t="s">
        <v>22761</v>
      </c>
      <c r="E1595" s="198">
        <v>65</v>
      </c>
      <c r="F1595" s="199" t="s">
        <v>22762</v>
      </c>
      <c r="G1595" s="1" t="s">
        <v>22763</v>
      </c>
      <c r="H1595" s="1" t="s">
        <v>22720</v>
      </c>
      <c r="I1595" s="351" t="s">
        <v>22764</v>
      </c>
      <c r="J1595" s="39">
        <v>115562</v>
      </c>
      <c r="K1595" s="36" t="str">
        <f>CONCATENATE(Cover!$D$6,"fdd/view?i=",J1595)</f>
        <v>https://www.dgiwg.org/FAD/fdd/view?i=115562</v>
      </c>
      <c r="L1595" s="36" t="s">
        <v>22765</v>
      </c>
      <c r="M1595" s="186"/>
      <c r="N1595" s="186"/>
      <c r="O1595" s="172"/>
    </row>
    <row r="1596" spans="1:15" ht="25.5" x14ac:dyDescent="0.2">
      <c r="A1596" s="197" t="str">
        <f t="shared" si="24"/>
        <v>AgbCode_diskRAF_MK_6</v>
      </c>
      <c r="B1596" s="409"/>
      <c r="C1596" s="416"/>
      <c r="D1596" s="198" t="s">
        <v>22766</v>
      </c>
      <c r="E1596" s="198">
        <v>66</v>
      </c>
      <c r="F1596" s="199" t="s">
        <v>22767</v>
      </c>
      <c r="G1596" s="1" t="s">
        <v>22768</v>
      </c>
      <c r="H1596" s="1" t="s">
        <v>22439</v>
      </c>
      <c r="I1596" s="351" t="s">
        <v>22769</v>
      </c>
      <c r="J1596" s="39">
        <v>115563</v>
      </c>
      <c r="K1596" s="36" t="str">
        <f>CONCATENATE(Cover!$D$6,"fdd/view?i=",J1596)</f>
        <v>https://www.dgiwg.org/FAD/fdd/view?i=115563</v>
      </c>
      <c r="L1596" s="36" t="s">
        <v>22770</v>
      </c>
      <c r="M1596" s="186"/>
      <c r="N1596" s="186"/>
      <c r="O1596" s="172"/>
    </row>
    <row r="1597" spans="1:15" ht="25.5" x14ac:dyDescent="0.2">
      <c r="A1597" s="197" t="str">
        <f t="shared" si="24"/>
        <v>AgbCode_diskRafTypeA_BEFAB_6_3</v>
      </c>
      <c r="B1597" s="409"/>
      <c r="C1597" s="416"/>
      <c r="D1597" s="198" t="s">
        <v>22776</v>
      </c>
      <c r="E1597" s="198">
        <v>68</v>
      </c>
      <c r="F1597" s="199" t="s">
        <v>22777</v>
      </c>
      <c r="G1597" s="1" t="s">
        <v>22778</v>
      </c>
      <c r="H1597" s="1" t="s">
        <v>22720</v>
      </c>
      <c r="I1597" s="351" t="s">
        <v>22779</v>
      </c>
      <c r="J1597" s="39">
        <v>115565</v>
      </c>
      <c r="K1597" s="36" t="str">
        <f>CONCATENATE(Cover!$D$6,"fdd/view?i=",J1597)</f>
        <v>https://www.dgiwg.org/FAD/fdd/view?i=115565</v>
      </c>
      <c r="L1597" s="36" t="s">
        <v>22780</v>
      </c>
      <c r="M1597" s="186"/>
      <c r="N1597" s="186"/>
      <c r="O1597" s="172"/>
    </row>
    <row r="1598" spans="1:15" ht="25.5" x14ac:dyDescent="0.2">
      <c r="A1598" s="197" t="str">
        <f t="shared" si="24"/>
        <v>AgbCode_diskRafTypeB_BEFAB_12_3</v>
      </c>
      <c r="B1598" s="409"/>
      <c r="C1598" s="416"/>
      <c r="D1598" s="198" t="s">
        <v>22781</v>
      </c>
      <c r="E1598" s="198">
        <v>69</v>
      </c>
      <c r="F1598" s="199" t="s">
        <v>22782</v>
      </c>
      <c r="G1598" s="1" t="s">
        <v>22783</v>
      </c>
      <c r="H1598" s="1" t="s">
        <v>22720</v>
      </c>
      <c r="I1598" s="351" t="s">
        <v>7985</v>
      </c>
      <c r="J1598" s="39">
        <v>115566</v>
      </c>
      <c r="K1598" s="36" t="str">
        <f>CONCATENATE(Cover!$D$6,"fdd/view?i=",J1598)</f>
        <v>https://www.dgiwg.org/FAD/fdd/view?i=115566</v>
      </c>
      <c r="L1598" s="36" t="s">
        <v>22784</v>
      </c>
      <c r="M1598" s="186"/>
      <c r="N1598" s="186"/>
      <c r="O1598" s="172"/>
    </row>
    <row r="1599" spans="1:15" ht="38.25" x14ac:dyDescent="0.2">
      <c r="A1599" s="197" t="str">
        <f t="shared" si="24"/>
        <v>AgbCode_engMatArrestSystem</v>
      </c>
      <c r="B1599" s="409"/>
      <c r="C1599" s="416"/>
      <c r="D1599" s="198" t="s">
        <v>22677</v>
      </c>
      <c r="E1599" s="198">
        <v>74</v>
      </c>
      <c r="F1599" s="199" t="s">
        <v>22678</v>
      </c>
      <c r="G1599" s="1" t="s">
        <v>22679</v>
      </c>
      <c r="H1599" s="200"/>
      <c r="I1599" s="346"/>
      <c r="J1599" s="39">
        <v>115571</v>
      </c>
      <c r="K1599" s="36" t="str">
        <f>CONCATENATE(Cover!$D$6,"fdd/view?i=",J1599)</f>
        <v>https://www.dgiwg.org/FAD/fdd/view?i=115571</v>
      </c>
      <c r="L1599" s="36" t="s">
        <v>22680</v>
      </c>
      <c r="M1599" s="186"/>
      <c r="N1599" s="186"/>
      <c r="O1599" s="172"/>
    </row>
    <row r="1600" spans="1:15" x14ac:dyDescent="0.2">
      <c r="A1600" s="197" t="str">
        <f t="shared" si="24"/>
        <v>AgbCode_linearBAK_6</v>
      </c>
      <c r="B1600" s="409"/>
      <c r="C1600" s="416"/>
      <c r="D1600" s="198" t="s">
        <v>22577</v>
      </c>
      <c r="E1600" s="198">
        <v>29</v>
      </c>
      <c r="F1600" s="199" t="s">
        <v>22578</v>
      </c>
      <c r="G1600" s="1" t="s">
        <v>22579</v>
      </c>
      <c r="H1600" s="1" t="s">
        <v>22580</v>
      </c>
      <c r="I1600" s="351" t="s">
        <v>22581</v>
      </c>
      <c r="J1600" s="39">
        <v>115526</v>
      </c>
      <c r="K1600" s="36" t="str">
        <f>CONCATENATE(Cover!$D$6,"fdd/view?i=",J1600)</f>
        <v>https://www.dgiwg.org/FAD/fdd/view?i=115526</v>
      </c>
      <c r="L1600" s="36" t="s">
        <v>22582</v>
      </c>
      <c r="M1600" s="186"/>
      <c r="N1600" s="186"/>
      <c r="O1600" s="172"/>
    </row>
    <row r="1601" spans="1:15" ht="25.5" x14ac:dyDescent="0.2">
      <c r="A1601" s="197" t="str">
        <f t="shared" si="24"/>
        <v>AgbCode_linearSPRAG_MK_1</v>
      </c>
      <c r="B1601" s="409"/>
      <c r="C1601" s="416"/>
      <c r="D1601" s="198" t="s">
        <v>22800</v>
      </c>
      <c r="E1601" s="198">
        <v>73</v>
      </c>
      <c r="F1601" s="199" t="s">
        <v>22801</v>
      </c>
      <c r="G1601" s="1" t="s">
        <v>22802</v>
      </c>
      <c r="H1601" s="1" t="s">
        <v>22580</v>
      </c>
      <c r="I1601" s="351" t="s">
        <v>22803</v>
      </c>
      <c r="J1601" s="39">
        <v>115570</v>
      </c>
      <c r="K1601" s="36" t="str">
        <f>CONCATENATE(Cover!$D$6,"fdd/view?i=",J1601)</f>
        <v>https://www.dgiwg.org/FAD/fdd/view?i=115570</v>
      </c>
      <c r="L1601" s="36" t="s">
        <v>22804</v>
      </c>
      <c r="M1601" s="186"/>
      <c r="N1601" s="186"/>
      <c r="O1601" s="172"/>
    </row>
    <row r="1602" spans="1:15" ht="51" x14ac:dyDescent="0.2">
      <c r="A1602" s="197" t="str">
        <f t="shared" ref="A1602:A1665" si="25">HYPERLINK(K1602,L1602)</f>
        <v>AgbCode_mobileRotaryHydraulicWater</v>
      </c>
      <c r="B1602" s="409"/>
      <c r="C1602" s="416"/>
      <c r="D1602" s="198" t="s">
        <v>22752</v>
      </c>
      <c r="E1602" s="198">
        <v>63</v>
      </c>
      <c r="F1602" s="199" t="s">
        <v>22753</v>
      </c>
      <c r="G1602" s="1" t="s">
        <v>22754</v>
      </c>
      <c r="H1602" s="200"/>
      <c r="I1602" s="351" t="s">
        <v>22755</v>
      </c>
      <c r="J1602" s="39">
        <v>115560</v>
      </c>
      <c r="K1602" s="36" t="str">
        <f>CONCATENATE(Cover!$D$6,"fdd/view?i=",J1602)</f>
        <v>https://www.dgiwg.org/FAD/fdd/view?i=115560</v>
      </c>
      <c r="L1602" s="36" t="s">
        <v>22756</v>
      </c>
      <c r="M1602" s="186"/>
      <c r="N1602" s="186"/>
      <c r="O1602" s="172"/>
    </row>
    <row r="1603" spans="1:15" ht="25.5" x14ac:dyDescent="0.2">
      <c r="A1603" s="197" t="str">
        <f t="shared" si="25"/>
        <v>AgbCode_mobileRotaryM21</v>
      </c>
      <c r="B1603" s="409"/>
      <c r="C1603" s="416"/>
      <c r="D1603" s="198" t="s">
        <v>22686</v>
      </c>
      <c r="E1603" s="198">
        <v>50</v>
      </c>
      <c r="F1603" s="199" t="s">
        <v>22687</v>
      </c>
      <c r="G1603" s="1" t="s">
        <v>22688</v>
      </c>
      <c r="H1603" s="1" t="s">
        <v>22439</v>
      </c>
      <c r="I1603" s="351" t="s">
        <v>22689</v>
      </c>
      <c r="J1603" s="39">
        <v>115547</v>
      </c>
      <c r="K1603" s="36" t="str">
        <f>CONCATENATE(Cover!$D$6,"fdd/view?i=",J1603)</f>
        <v>https://www.dgiwg.org/FAD/fdd/view?i=115547</v>
      </c>
      <c r="L1603" s="36" t="s">
        <v>22690</v>
      </c>
      <c r="M1603" s="186"/>
      <c r="N1603" s="186"/>
      <c r="O1603" s="172"/>
    </row>
    <row r="1604" spans="1:15" ht="38.25" x14ac:dyDescent="0.2">
      <c r="A1604" s="197" t="str">
        <f t="shared" si="25"/>
        <v>AgbCode_mobileRotaryMAAS</v>
      </c>
      <c r="B1604" s="409"/>
      <c r="C1604" s="416"/>
      <c r="D1604" s="198" t="s">
        <v>22691</v>
      </c>
      <c r="E1604" s="198">
        <v>51</v>
      </c>
      <c r="F1604" s="199" t="s">
        <v>22692</v>
      </c>
      <c r="G1604" s="1" t="s">
        <v>22693</v>
      </c>
      <c r="H1604" s="1" t="s">
        <v>22694</v>
      </c>
      <c r="I1604" s="351" t="s">
        <v>22695</v>
      </c>
      <c r="J1604" s="39">
        <v>115548</v>
      </c>
      <c r="K1604" s="36" t="str">
        <f>CONCATENATE(Cover!$D$6,"fdd/view?i=",J1604)</f>
        <v>https://www.dgiwg.org/FAD/fdd/view?i=115548</v>
      </c>
      <c r="L1604" s="36" t="s">
        <v>22696</v>
      </c>
      <c r="M1604" s="186"/>
      <c r="N1604" s="186"/>
      <c r="O1604" s="172"/>
    </row>
    <row r="1605" spans="1:15" ht="25.5" x14ac:dyDescent="0.2">
      <c r="A1605" s="197" t="str">
        <f t="shared" si="25"/>
        <v>AgbCode_mobileRotaryMAG_I</v>
      </c>
      <c r="B1605" s="409"/>
      <c r="C1605" s="416"/>
      <c r="D1605" s="198" t="s">
        <v>22697</v>
      </c>
      <c r="E1605" s="198">
        <v>52</v>
      </c>
      <c r="F1605" s="199" t="s">
        <v>22698</v>
      </c>
      <c r="G1605" s="1" t="s">
        <v>22699</v>
      </c>
      <c r="H1605" s="1" t="s">
        <v>22580</v>
      </c>
      <c r="I1605" s="351" t="s">
        <v>22700</v>
      </c>
      <c r="J1605" s="39">
        <v>115549</v>
      </c>
      <c r="K1605" s="36" t="str">
        <f>CONCATENATE(Cover!$D$6,"fdd/view?i=",J1605)</f>
        <v>https://www.dgiwg.org/FAD/fdd/view?i=115549</v>
      </c>
      <c r="L1605" s="36" t="s">
        <v>22701</v>
      </c>
      <c r="M1605" s="186"/>
      <c r="N1605" s="186"/>
      <c r="O1605" s="172"/>
    </row>
    <row r="1606" spans="1:15" ht="25.5" x14ac:dyDescent="0.2">
      <c r="A1606" s="197" t="str">
        <f t="shared" si="25"/>
        <v>AgbCode_mobileRotaryMAG_II</v>
      </c>
      <c r="B1606" s="409"/>
      <c r="C1606" s="416"/>
      <c r="D1606" s="198" t="s">
        <v>22702</v>
      </c>
      <c r="E1606" s="198">
        <v>53</v>
      </c>
      <c r="F1606" s="199" t="s">
        <v>22703</v>
      </c>
      <c r="G1606" s="1" t="s">
        <v>22704</v>
      </c>
      <c r="H1606" s="1" t="s">
        <v>22580</v>
      </c>
      <c r="I1606" s="351" t="s">
        <v>22705</v>
      </c>
      <c r="J1606" s="39">
        <v>115550</v>
      </c>
      <c r="K1606" s="36" t="str">
        <f>CONCATENATE(Cover!$D$6,"fdd/view?i=",J1606)</f>
        <v>https://www.dgiwg.org/FAD/fdd/view?i=115550</v>
      </c>
      <c r="L1606" s="36" t="s">
        <v>22706</v>
      </c>
      <c r="M1606" s="186"/>
      <c r="N1606" s="186"/>
      <c r="O1606" s="172"/>
    </row>
    <row r="1607" spans="1:15" ht="25.5" x14ac:dyDescent="0.2">
      <c r="A1607" s="197" t="str">
        <f t="shared" si="25"/>
        <v>AgbCode_mobileRotaryMAG_III</v>
      </c>
      <c r="B1607" s="409"/>
      <c r="C1607" s="416"/>
      <c r="D1607" s="198" t="s">
        <v>22707</v>
      </c>
      <c r="E1607" s="198">
        <v>54</v>
      </c>
      <c r="F1607" s="199" t="s">
        <v>22708</v>
      </c>
      <c r="G1607" s="1" t="s">
        <v>22709</v>
      </c>
      <c r="H1607" s="1" t="s">
        <v>22580</v>
      </c>
      <c r="I1607" s="351" t="s">
        <v>22710</v>
      </c>
      <c r="J1607" s="39">
        <v>115551</v>
      </c>
      <c r="K1607" s="36" t="str">
        <f>CONCATENATE(Cover!$D$6,"fdd/view?i=",J1607)</f>
        <v>https://www.dgiwg.org/FAD/fdd/view?i=115551</v>
      </c>
      <c r="L1607" s="36" t="s">
        <v>22711</v>
      </c>
      <c r="M1607" s="186"/>
      <c r="N1607" s="186"/>
      <c r="O1607" s="172"/>
    </row>
    <row r="1608" spans="1:15" ht="25.5" x14ac:dyDescent="0.2">
      <c r="A1608" s="197" t="str">
        <f t="shared" si="25"/>
        <v>AgbCode_mobileRotaryMAG_IV</v>
      </c>
      <c r="B1608" s="409"/>
      <c r="C1608" s="416"/>
      <c r="D1608" s="198" t="s">
        <v>22712</v>
      </c>
      <c r="E1608" s="198">
        <v>55</v>
      </c>
      <c r="F1608" s="199" t="s">
        <v>22713</v>
      </c>
      <c r="G1608" s="1" t="s">
        <v>22714</v>
      </c>
      <c r="H1608" s="1" t="s">
        <v>22580</v>
      </c>
      <c r="I1608" s="351" t="s">
        <v>22715</v>
      </c>
      <c r="J1608" s="39">
        <v>115552</v>
      </c>
      <c r="K1608" s="36" t="str">
        <f>CONCATENATE(Cover!$D$6,"fdd/view?i=",J1608)</f>
        <v>https://www.dgiwg.org/FAD/fdd/view?i=115552</v>
      </c>
      <c r="L1608" s="36" t="s">
        <v>22716</v>
      </c>
      <c r="M1608" s="186"/>
      <c r="N1608" s="186"/>
      <c r="O1608" s="172"/>
    </row>
    <row r="1609" spans="1:15" ht="25.5" x14ac:dyDescent="0.2">
      <c r="A1609" s="197" t="str">
        <f t="shared" si="25"/>
        <v>AgbCode_mobileRotaryMAG_IX</v>
      </c>
      <c r="B1609" s="409"/>
      <c r="C1609" s="416"/>
      <c r="D1609" s="198" t="s">
        <v>22717</v>
      </c>
      <c r="E1609" s="198">
        <v>56</v>
      </c>
      <c r="F1609" s="199" t="s">
        <v>22718</v>
      </c>
      <c r="G1609" s="1" t="s">
        <v>22719</v>
      </c>
      <c r="H1609" s="1" t="s">
        <v>22720</v>
      </c>
      <c r="I1609" s="351" t="s">
        <v>22721</v>
      </c>
      <c r="J1609" s="39">
        <v>115553</v>
      </c>
      <c r="K1609" s="36" t="str">
        <f>CONCATENATE(Cover!$D$6,"fdd/view?i=",J1609)</f>
        <v>https://www.dgiwg.org/FAD/fdd/view?i=115553</v>
      </c>
      <c r="L1609" s="36" t="s">
        <v>22722</v>
      </c>
      <c r="M1609" s="186"/>
      <c r="N1609" s="186"/>
      <c r="O1609" s="172"/>
    </row>
    <row r="1610" spans="1:15" ht="25.5" x14ac:dyDescent="0.2">
      <c r="A1610" s="197" t="str">
        <f t="shared" si="25"/>
        <v>AgbCode_mobileRotaryMAG_VI</v>
      </c>
      <c r="B1610" s="409"/>
      <c r="C1610" s="416"/>
      <c r="D1610" s="198" t="s">
        <v>22723</v>
      </c>
      <c r="E1610" s="198">
        <v>57</v>
      </c>
      <c r="F1610" s="199" t="s">
        <v>22724</v>
      </c>
      <c r="G1610" s="1" t="s">
        <v>22725</v>
      </c>
      <c r="H1610" s="1" t="s">
        <v>22580</v>
      </c>
      <c r="I1610" s="351" t="s">
        <v>22726</v>
      </c>
      <c r="J1610" s="39">
        <v>115554</v>
      </c>
      <c r="K1610" s="36" t="str">
        <f>CONCATENATE(Cover!$D$6,"fdd/view?i=",J1610)</f>
        <v>https://www.dgiwg.org/FAD/fdd/view?i=115554</v>
      </c>
      <c r="L1610" s="36" t="s">
        <v>22727</v>
      </c>
      <c r="M1610" s="186"/>
      <c r="N1610" s="186"/>
      <c r="O1610" s="172"/>
    </row>
    <row r="1611" spans="1:15" ht="25.5" x14ac:dyDescent="0.2">
      <c r="A1611" s="197" t="str">
        <f t="shared" si="25"/>
        <v>AgbCode_mobileRotaryMAG_VII</v>
      </c>
      <c r="B1611" s="409"/>
      <c r="C1611" s="416"/>
      <c r="D1611" s="198" t="s">
        <v>22728</v>
      </c>
      <c r="E1611" s="198">
        <v>58</v>
      </c>
      <c r="F1611" s="199" t="s">
        <v>22729</v>
      </c>
      <c r="G1611" s="1" t="s">
        <v>22730</v>
      </c>
      <c r="H1611" s="1" t="s">
        <v>22720</v>
      </c>
      <c r="I1611" s="351" t="s">
        <v>22731</v>
      </c>
      <c r="J1611" s="39">
        <v>115555</v>
      </c>
      <c r="K1611" s="36" t="str">
        <f>CONCATENATE(Cover!$D$6,"fdd/view?i=",J1611)</f>
        <v>https://www.dgiwg.org/FAD/fdd/view?i=115555</v>
      </c>
      <c r="L1611" s="36" t="s">
        <v>22732</v>
      </c>
      <c r="M1611" s="186"/>
      <c r="N1611" s="186"/>
      <c r="O1611" s="172"/>
    </row>
    <row r="1612" spans="1:15" ht="25.5" x14ac:dyDescent="0.2">
      <c r="A1612" s="197" t="str">
        <f t="shared" si="25"/>
        <v>AgbCode_mobileRotaryMAG_VIII</v>
      </c>
      <c r="B1612" s="409"/>
      <c r="C1612" s="416"/>
      <c r="D1612" s="198" t="s">
        <v>22733</v>
      </c>
      <c r="E1612" s="198">
        <v>59</v>
      </c>
      <c r="F1612" s="199" t="s">
        <v>22734</v>
      </c>
      <c r="G1612" s="1" t="s">
        <v>22735</v>
      </c>
      <c r="H1612" s="1" t="s">
        <v>22580</v>
      </c>
      <c r="I1612" s="351" t="s">
        <v>22640</v>
      </c>
      <c r="J1612" s="39">
        <v>115556</v>
      </c>
      <c r="K1612" s="36" t="str">
        <f>CONCATENATE(Cover!$D$6,"fdd/view?i=",J1612)</f>
        <v>https://www.dgiwg.org/FAD/fdd/view?i=115556</v>
      </c>
      <c r="L1612" s="36" t="s">
        <v>22736</v>
      </c>
      <c r="M1612" s="186"/>
      <c r="N1612" s="186"/>
      <c r="O1612" s="172"/>
    </row>
    <row r="1613" spans="1:15" ht="25.5" x14ac:dyDescent="0.2">
      <c r="A1613" s="197" t="str">
        <f t="shared" si="25"/>
        <v>AgbCode_mobileRotaryMAG_X</v>
      </c>
      <c r="B1613" s="409"/>
      <c r="C1613" s="416"/>
      <c r="D1613" s="198" t="s">
        <v>22737</v>
      </c>
      <c r="E1613" s="198">
        <v>60</v>
      </c>
      <c r="F1613" s="199" t="s">
        <v>22738</v>
      </c>
      <c r="G1613" s="1" t="s">
        <v>22739</v>
      </c>
      <c r="H1613" s="1" t="s">
        <v>22580</v>
      </c>
      <c r="I1613" s="351" t="s">
        <v>22740</v>
      </c>
      <c r="J1613" s="39">
        <v>115557</v>
      </c>
      <c r="K1613" s="36" t="str">
        <f>CONCATENATE(Cover!$D$6,"fdd/view?i=",J1613)</f>
        <v>https://www.dgiwg.org/FAD/fdd/view?i=115557</v>
      </c>
      <c r="L1613" s="36" t="s">
        <v>22741</v>
      </c>
      <c r="M1613" s="186"/>
      <c r="N1613" s="186"/>
      <c r="O1613" s="172"/>
    </row>
    <row r="1614" spans="1:15" ht="25.5" x14ac:dyDescent="0.2">
      <c r="A1614" s="197" t="str">
        <f t="shared" si="25"/>
        <v>AgbCode_rafPortableArrestingGear</v>
      </c>
      <c r="B1614" s="409"/>
      <c r="C1614" s="416"/>
      <c r="D1614" s="198" t="s">
        <v>22771</v>
      </c>
      <c r="E1614" s="198">
        <v>67</v>
      </c>
      <c r="F1614" s="199" t="s">
        <v>22772</v>
      </c>
      <c r="G1614" s="1" t="s">
        <v>22773</v>
      </c>
      <c r="H1614" s="1" t="s">
        <v>22580</v>
      </c>
      <c r="I1614" s="351" t="s">
        <v>22774</v>
      </c>
      <c r="J1614" s="39">
        <v>115564</v>
      </c>
      <c r="K1614" s="36" t="str">
        <f>CONCATENATE(Cover!$D$6,"fdd/view?i=",J1614)</f>
        <v>https://www.dgiwg.org/FAD/fdd/view?i=115564</v>
      </c>
      <c r="L1614" s="36" t="s">
        <v>22775</v>
      </c>
      <c r="M1614" s="186"/>
      <c r="N1614" s="186"/>
      <c r="O1614" s="172"/>
    </row>
    <row r="1615" spans="1:15" x14ac:dyDescent="0.2">
      <c r="A1615" s="197" t="str">
        <f t="shared" si="25"/>
        <v>AgbCode_rotary1300</v>
      </c>
      <c r="B1615" s="409"/>
      <c r="C1615" s="416"/>
      <c r="D1615" s="198" t="s">
        <v>22436</v>
      </c>
      <c r="E1615" s="198">
        <v>1</v>
      </c>
      <c r="F1615" s="199" t="s">
        <v>22437</v>
      </c>
      <c r="G1615" s="1" t="s">
        <v>22438</v>
      </c>
      <c r="H1615" s="1" t="s">
        <v>22439</v>
      </c>
      <c r="I1615" s="351" t="s">
        <v>22440</v>
      </c>
      <c r="J1615" s="39">
        <v>115498</v>
      </c>
      <c r="K1615" s="36" t="str">
        <f>CONCATENATE(Cover!$D$6,"fdd/view?i=",J1615)</f>
        <v>https://www.dgiwg.org/FAD/fdd/view?i=115498</v>
      </c>
      <c r="L1615" s="36" t="s">
        <v>22441</v>
      </c>
      <c r="M1615" s="186"/>
      <c r="N1615" s="186"/>
      <c r="O1615" s="172"/>
    </row>
    <row r="1616" spans="1:15" x14ac:dyDescent="0.2">
      <c r="A1616" s="197" t="str">
        <f t="shared" si="25"/>
        <v>AgbCode_rotary2800</v>
      </c>
      <c r="B1616" s="409"/>
      <c r="C1616" s="416"/>
      <c r="D1616" s="198" t="s">
        <v>22442</v>
      </c>
      <c r="E1616" s="198">
        <v>2</v>
      </c>
      <c r="F1616" s="199" t="s">
        <v>22443</v>
      </c>
      <c r="G1616" s="1" t="s">
        <v>22444</v>
      </c>
      <c r="H1616" s="1" t="s">
        <v>22439</v>
      </c>
      <c r="I1616" s="351" t="s">
        <v>22445</v>
      </c>
      <c r="J1616" s="39">
        <v>115499</v>
      </c>
      <c r="K1616" s="36" t="str">
        <f>CONCATENATE(Cover!$D$6,"fdd/view?i=",J1616)</f>
        <v>https://www.dgiwg.org/FAD/fdd/view?i=115499</v>
      </c>
      <c r="L1616" s="36" t="s">
        <v>22446</v>
      </c>
      <c r="M1616" s="186"/>
      <c r="N1616" s="186"/>
      <c r="O1616" s="172"/>
    </row>
    <row r="1617" spans="1:15" ht="25.5" x14ac:dyDescent="0.2">
      <c r="A1617" s="197" t="str">
        <f t="shared" si="25"/>
        <v>AgbCode_rotary34B_1A</v>
      </c>
      <c r="B1617" s="409"/>
      <c r="C1617" s="416"/>
      <c r="D1617" s="198" t="s">
        <v>22447</v>
      </c>
      <c r="E1617" s="198">
        <v>3</v>
      </c>
      <c r="F1617" s="199" t="s">
        <v>22448</v>
      </c>
      <c r="G1617" s="1" t="s">
        <v>22449</v>
      </c>
      <c r="H1617" s="1" t="s">
        <v>22439</v>
      </c>
      <c r="I1617" s="351" t="s">
        <v>22450</v>
      </c>
      <c r="J1617" s="39">
        <v>115500</v>
      </c>
      <c r="K1617" s="36" t="str">
        <f>CONCATENATE(Cover!$D$6,"fdd/view?i=",J1617)</f>
        <v>https://www.dgiwg.org/FAD/fdd/view?i=115500</v>
      </c>
      <c r="L1617" s="36" t="s">
        <v>22451</v>
      </c>
      <c r="M1617" s="186"/>
      <c r="N1617" s="186"/>
      <c r="O1617" s="172"/>
    </row>
    <row r="1618" spans="1:15" ht="25.5" x14ac:dyDescent="0.2">
      <c r="A1618" s="197" t="str">
        <f t="shared" si="25"/>
        <v>AgbCode_rotary34B_1B</v>
      </c>
      <c r="B1618" s="409"/>
      <c r="C1618" s="416"/>
      <c r="D1618" s="198" t="s">
        <v>22452</v>
      </c>
      <c r="E1618" s="198">
        <v>4</v>
      </c>
      <c r="F1618" s="199" t="s">
        <v>22453</v>
      </c>
      <c r="G1618" s="1" t="s">
        <v>22454</v>
      </c>
      <c r="H1618" s="1" t="s">
        <v>22439</v>
      </c>
      <c r="I1618" s="351" t="s">
        <v>22455</v>
      </c>
      <c r="J1618" s="39">
        <v>115501</v>
      </c>
      <c r="K1618" s="36" t="str">
        <f>CONCATENATE(Cover!$D$6,"fdd/view?i=",J1618)</f>
        <v>https://www.dgiwg.org/FAD/fdd/view?i=115501</v>
      </c>
      <c r="L1618" s="36" t="s">
        <v>22456</v>
      </c>
      <c r="M1618" s="186"/>
      <c r="N1618" s="186"/>
      <c r="O1618" s="172"/>
    </row>
    <row r="1619" spans="1:15" ht="25.5" x14ac:dyDescent="0.2">
      <c r="A1619" s="197" t="str">
        <f t="shared" si="25"/>
        <v>AgbCode_rotary34B_1C</v>
      </c>
      <c r="B1619" s="409"/>
      <c r="C1619" s="416"/>
      <c r="D1619" s="198" t="s">
        <v>22457</v>
      </c>
      <c r="E1619" s="198">
        <v>5</v>
      </c>
      <c r="F1619" s="199" t="s">
        <v>22458</v>
      </c>
      <c r="G1619" s="1" t="s">
        <v>22459</v>
      </c>
      <c r="H1619" s="1" t="s">
        <v>22439</v>
      </c>
      <c r="I1619" s="351" t="s">
        <v>22460</v>
      </c>
      <c r="J1619" s="39">
        <v>115502</v>
      </c>
      <c r="K1619" s="36" t="str">
        <f>CONCATENATE(Cover!$D$6,"fdd/view?i=",J1619)</f>
        <v>https://www.dgiwg.org/FAD/fdd/view?i=115502</v>
      </c>
      <c r="L1619" s="36" t="s">
        <v>22461</v>
      </c>
      <c r="M1619" s="186"/>
      <c r="N1619" s="186"/>
      <c r="O1619" s="172"/>
    </row>
    <row r="1620" spans="1:15" ht="25.5" x14ac:dyDescent="0.2">
      <c r="A1620" s="197" t="str">
        <f t="shared" si="25"/>
        <v>AgbCode_rotary34D_1F</v>
      </c>
      <c r="B1620" s="409"/>
      <c r="C1620" s="416"/>
      <c r="D1620" s="198" t="s">
        <v>22462</v>
      </c>
      <c r="E1620" s="198">
        <v>6</v>
      </c>
      <c r="F1620" s="199" t="s">
        <v>22463</v>
      </c>
      <c r="G1620" s="1" t="s">
        <v>22464</v>
      </c>
      <c r="H1620" s="1" t="s">
        <v>22439</v>
      </c>
      <c r="I1620" s="351" t="s">
        <v>22465</v>
      </c>
      <c r="J1620" s="39">
        <v>115503</v>
      </c>
      <c r="K1620" s="36" t="str">
        <f>CONCATENATE(Cover!$D$6,"fdd/view?i=",J1620)</f>
        <v>https://www.dgiwg.org/FAD/fdd/view?i=115503</v>
      </c>
      <c r="L1620" s="36" t="s">
        <v>22466</v>
      </c>
      <c r="M1620" s="186"/>
      <c r="N1620" s="186"/>
      <c r="O1620" s="172"/>
    </row>
    <row r="1621" spans="1:15" ht="25.5" x14ac:dyDescent="0.2">
      <c r="A1621" s="197" t="str">
        <f t="shared" si="25"/>
        <v>AgbCode_rotary44B_2C</v>
      </c>
      <c r="B1621" s="409"/>
      <c r="C1621" s="416"/>
      <c r="D1621" s="198" t="s">
        <v>22467</v>
      </c>
      <c r="E1621" s="198">
        <v>7</v>
      </c>
      <c r="F1621" s="199" t="s">
        <v>22468</v>
      </c>
      <c r="G1621" s="1" t="s">
        <v>22469</v>
      </c>
      <c r="H1621" s="1" t="s">
        <v>22439</v>
      </c>
      <c r="I1621" s="351" t="s">
        <v>22470</v>
      </c>
      <c r="J1621" s="39">
        <v>115504</v>
      </c>
      <c r="K1621" s="36" t="str">
        <f>CONCATENATE(Cover!$D$6,"fdd/view?i=",J1621)</f>
        <v>https://www.dgiwg.org/FAD/fdd/view?i=115504</v>
      </c>
      <c r="L1621" s="36" t="s">
        <v>22471</v>
      </c>
      <c r="M1621" s="186"/>
      <c r="N1621" s="186"/>
      <c r="O1621" s="172"/>
    </row>
    <row r="1622" spans="1:15" ht="25.5" x14ac:dyDescent="0.2">
      <c r="A1622" s="197" t="str">
        <f t="shared" si="25"/>
        <v>AgbCode_rotary44B_2D</v>
      </c>
      <c r="B1622" s="409"/>
      <c r="C1622" s="416"/>
      <c r="D1622" s="198" t="s">
        <v>22472</v>
      </c>
      <c r="E1622" s="198">
        <v>8</v>
      </c>
      <c r="F1622" s="199" t="s">
        <v>22473</v>
      </c>
      <c r="G1622" s="1" t="s">
        <v>22474</v>
      </c>
      <c r="H1622" s="1" t="s">
        <v>22439</v>
      </c>
      <c r="I1622" s="351" t="s">
        <v>22475</v>
      </c>
      <c r="J1622" s="39">
        <v>115505</v>
      </c>
      <c r="K1622" s="36" t="str">
        <f>CONCATENATE(Cover!$D$6,"fdd/view?i=",J1622)</f>
        <v>https://www.dgiwg.org/FAD/fdd/view?i=115505</v>
      </c>
      <c r="L1622" s="36" t="s">
        <v>22476</v>
      </c>
      <c r="M1622" s="186"/>
      <c r="N1622" s="186"/>
      <c r="O1622" s="172"/>
    </row>
    <row r="1623" spans="1:15" ht="25.5" x14ac:dyDescent="0.2">
      <c r="A1623" s="197" t="str">
        <f t="shared" si="25"/>
        <v>AgbCode_rotary44B_2E</v>
      </c>
      <c r="B1623" s="409"/>
      <c r="C1623" s="416"/>
      <c r="D1623" s="198" t="s">
        <v>22477</v>
      </c>
      <c r="E1623" s="198">
        <v>9</v>
      </c>
      <c r="F1623" s="199" t="s">
        <v>22478</v>
      </c>
      <c r="G1623" s="1" t="s">
        <v>22479</v>
      </c>
      <c r="H1623" s="1" t="s">
        <v>22439</v>
      </c>
      <c r="I1623" s="351" t="s">
        <v>22480</v>
      </c>
      <c r="J1623" s="39">
        <v>115506</v>
      </c>
      <c r="K1623" s="36" t="str">
        <f>CONCATENATE(Cover!$D$6,"fdd/view?i=",J1623)</f>
        <v>https://www.dgiwg.org/FAD/fdd/view?i=115506</v>
      </c>
      <c r="L1623" s="36" t="s">
        <v>22481</v>
      </c>
      <c r="M1623" s="186"/>
      <c r="N1623" s="186"/>
      <c r="O1623" s="172"/>
    </row>
    <row r="1624" spans="1:15" ht="25.5" x14ac:dyDescent="0.2">
      <c r="A1624" s="197" t="str">
        <f t="shared" si="25"/>
        <v>AgbCode_rotary44B_2F</v>
      </c>
      <c r="B1624" s="409"/>
      <c r="C1624" s="416"/>
      <c r="D1624" s="198" t="s">
        <v>22482</v>
      </c>
      <c r="E1624" s="198">
        <v>10</v>
      </c>
      <c r="F1624" s="199" t="s">
        <v>22483</v>
      </c>
      <c r="G1624" s="1" t="s">
        <v>22484</v>
      </c>
      <c r="H1624" s="1" t="s">
        <v>22439</v>
      </c>
      <c r="I1624" s="351" t="s">
        <v>22485</v>
      </c>
      <c r="J1624" s="39">
        <v>115507</v>
      </c>
      <c r="K1624" s="36" t="str">
        <f>CONCATENATE(Cover!$D$6,"fdd/view?i=",J1624)</f>
        <v>https://www.dgiwg.org/FAD/fdd/view?i=115507</v>
      </c>
      <c r="L1624" s="36" t="s">
        <v>22486</v>
      </c>
      <c r="M1624" s="186"/>
      <c r="N1624" s="186"/>
      <c r="O1624" s="172"/>
    </row>
    <row r="1625" spans="1:15" ht="25.5" x14ac:dyDescent="0.2">
      <c r="A1625" s="197" t="str">
        <f t="shared" si="25"/>
        <v>AgbCode_rotary44B_2H</v>
      </c>
      <c r="B1625" s="409"/>
      <c r="C1625" s="416"/>
      <c r="D1625" s="198" t="s">
        <v>22487</v>
      </c>
      <c r="E1625" s="198">
        <v>11</v>
      </c>
      <c r="F1625" s="199" t="s">
        <v>22488</v>
      </c>
      <c r="G1625" s="1" t="s">
        <v>22489</v>
      </c>
      <c r="H1625" s="1" t="s">
        <v>22439</v>
      </c>
      <c r="I1625" s="351" t="s">
        <v>22490</v>
      </c>
      <c r="J1625" s="39">
        <v>115508</v>
      </c>
      <c r="K1625" s="36" t="str">
        <f>CONCATENATE(Cover!$D$6,"fdd/view?i=",J1625)</f>
        <v>https://www.dgiwg.org/FAD/fdd/view?i=115508</v>
      </c>
      <c r="L1625" s="36" t="s">
        <v>22491</v>
      </c>
      <c r="M1625" s="186"/>
      <c r="N1625" s="186"/>
      <c r="O1625" s="172"/>
    </row>
    <row r="1626" spans="1:15" x14ac:dyDescent="0.2">
      <c r="A1626" s="197" t="str">
        <f t="shared" si="25"/>
        <v>AgbCode_rotary44B_2I</v>
      </c>
      <c r="B1626" s="409"/>
      <c r="C1626" s="416"/>
      <c r="D1626" s="198" t="s">
        <v>22492</v>
      </c>
      <c r="E1626" s="198">
        <v>12</v>
      </c>
      <c r="F1626" s="199" t="s">
        <v>22493</v>
      </c>
      <c r="G1626" s="1" t="s">
        <v>22494</v>
      </c>
      <c r="H1626" s="1" t="s">
        <v>22439</v>
      </c>
      <c r="I1626" s="351" t="s">
        <v>22495</v>
      </c>
      <c r="J1626" s="39">
        <v>115509</v>
      </c>
      <c r="K1626" s="36" t="str">
        <f>CONCATENATE(Cover!$D$6,"fdd/view?i=",J1626)</f>
        <v>https://www.dgiwg.org/FAD/fdd/view?i=115509</v>
      </c>
      <c r="L1626" s="36" t="s">
        <v>22496</v>
      </c>
      <c r="M1626" s="186"/>
      <c r="N1626" s="186"/>
      <c r="O1626" s="172"/>
    </row>
    <row r="1627" spans="1:15" x14ac:dyDescent="0.2">
      <c r="A1627" s="197" t="str">
        <f t="shared" si="25"/>
        <v>AgbCode_rotary44B_2L</v>
      </c>
      <c r="B1627" s="409"/>
      <c r="C1627" s="416"/>
      <c r="D1627" s="198" t="s">
        <v>22497</v>
      </c>
      <c r="E1627" s="198">
        <v>13</v>
      </c>
      <c r="F1627" s="199" t="s">
        <v>22498</v>
      </c>
      <c r="G1627" s="1" t="s">
        <v>22499</v>
      </c>
      <c r="H1627" s="1" t="s">
        <v>22439</v>
      </c>
      <c r="I1627" s="351" t="s">
        <v>22500</v>
      </c>
      <c r="J1627" s="39">
        <v>115510</v>
      </c>
      <c r="K1627" s="36" t="str">
        <f>CONCATENATE(Cover!$D$6,"fdd/view?i=",J1627)</f>
        <v>https://www.dgiwg.org/FAD/fdd/view?i=115510</v>
      </c>
      <c r="L1627" s="36" t="s">
        <v>22501</v>
      </c>
      <c r="M1627" s="186"/>
      <c r="N1627" s="186"/>
      <c r="O1627" s="172"/>
    </row>
    <row r="1628" spans="1:15" ht="25.5" x14ac:dyDescent="0.2">
      <c r="A1628" s="197" t="str">
        <f t="shared" si="25"/>
        <v>AgbCode_rotary44B_3A</v>
      </c>
      <c r="B1628" s="409"/>
      <c r="C1628" s="416"/>
      <c r="D1628" s="198" t="s">
        <v>22502</v>
      </c>
      <c r="E1628" s="198">
        <v>14</v>
      </c>
      <c r="F1628" s="199" t="s">
        <v>22503</v>
      </c>
      <c r="G1628" s="1" t="s">
        <v>22504</v>
      </c>
      <c r="H1628" s="1" t="s">
        <v>22439</v>
      </c>
      <c r="I1628" s="351" t="s">
        <v>22505</v>
      </c>
      <c r="J1628" s="39">
        <v>115511</v>
      </c>
      <c r="K1628" s="36" t="str">
        <f>CONCATENATE(Cover!$D$6,"fdd/view?i=",J1628)</f>
        <v>https://www.dgiwg.org/FAD/fdd/view?i=115511</v>
      </c>
      <c r="L1628" s="36" t="s">
        <v>22506</v>
      </c>
      <c r="M1628" s="186"/>
      <c r="N1628" s="186"/>
      <c r="O1628" s="172"/>
    </row>
    <row r="1629" spans="1:15" ht="25.5" x14ac:dyDescent="0.2">
      <c r="A1629" s="197" t="str">
        <f t="shared" si="25"/>
        <v>AgbCode_rotary44B_3H</v>
      </c>
      <c r="B1629" s="409"/>
      <c r="C1629" s="416"/>
      <c r="D1629" s="198" t="s">
        <v>22507</v>
      </c>
      <c r="E1629" s="198">
        <v>15</v>
      </c>
      <c r="F1629" s="199" t="s">
        <v>22508</v>
      </c>
      <c r="G1629" s="1" t="s">
        <v>22509</v>
      </c>
      <c r="H1629" s="1" t="s">
        <v>22439</v>
      </c>
      <c r="I1629" s="351" t="s">
        <v>22510</v>
      </c>
      <c r="J1629" s="39">
        <v>115512</v>
      </c>
      <c r="K1629" s="36" t="str">
        <f>CONCATENATE(Cover!$D$6,"fdd/view?i=",J1629)</f>
        <v>https://www.dgiwg.org/FAD/fdd/view?i=115512</v>
      </c>
      <c r="L1629" s="36" t="s">
        <v>22511</v>
      </c>
      <c r="M1629" s="186"/>
      <c r="N1629" s="186"/>
      <c r="O1629" s="172"/>
    </row>
    <row r="1630" spans="1:15" x14ac:dyDescent="0.2">
      <c r="A1630" s="197" t="str">
        <f t="shared" si="25"/>
        <v>AgbCode_rotary44B_3L</v>
      </c>
      <c r="B1630" s="409"/>
      <c r="C1630" s="416"/>
      <c r="D1630" s="198" t="s">
        <v>22512</v>
      </c>
      <c r="E1630" s="198">
        <v>16</v>
      </c>
      <c r="F1630" s="199" t="s">
        <v>22513</v>
      </c>
      <c r="G1630" s="1" t="s">
        <v>22514</v>
      </c>
      <c r="H1630" s="1" t="s">
        <v>22439</v>
      </c>
      <c r="I1630" s="351" t="s">
        <v>22515</v>
      </c>
      <c r="J1630" s="39">
        <v>115513</v>
      </c>
      <c r="K1630" s="36" t="str">
        <f>CONCATENATE(Cover!$D$6,"fdd/view?i=",J1630)</f>
        <v>https://www.dgiwg.org/FAD/fdd/view?i=115513</v>
      </c>
      <c r="L1630" s="36" t="s">
        <v>22516</v>
      </c>
      <c r="M1630" s="186"/>
      <c r="N1630" s="186"/>
      <c r="O1630" s="172"/>
    </row>
    <row r="1631" spans="1:15" ht="25.5" x14ac:dyDescent="0.2">
      <c r="A1631" s="197" t="str">
        <f t="shared" si="25"/>
        <v>AgbCode_rotary44B_4C</v>
      </c>
      <c r="B1631" s="409"/>
      <c r="C1631" s="416"/>
      <c r="D1631" s="198" t="s">
        <v>22517</v>
      </c>
      <c r="E1631" s="198">
        <v>17</v>
      </c>
      <c r="F1631" s="199" t="s">
        <v>22518</v>
      </c>
      <c r="G1631" s="1" t="s">
        <v>22519</v>
      </c>
      <c r="H1631" s="1" t="s">
        <v>22439</v>
      </c>
      <c r="I1631" s="351" t="s">
        <v>22520</v>
      </c>
      <c r="J1631" s="39">
        <v>115514</v>
      </c>
      <c r="K1631" s="36" t="str">
        <f>CONCATENATE(Cover!$D$6,"fdd/view?i=",J1631)</f>
        <v>https://www.dgiwg.org/FAD/fdd/view?i=115514</v>
      </c>
      <c r="L1631" s="36" t="s">
        <v>22521</v>
      </c>
      <c r="M1631" s="186"/>
      <c r="N1631" s="186"/>
      <c r="O1631" s="172"/>
    </row>
    <row r="1632" spans="1:15" ht="25.5" x14ac:dyDescent="0.2">
      <c r="A1632" s="197" t="str">
        <f t="shared" si="25"/>
        <v>AgbCode_rotary44B_4E</v>
      </c>
      <c r="B1632" s="409"/>
      <c r="C1632" s="416"/>
      <c r="D1632" s="198" t="s">
        <v>22522</v>
      </c>
      <c r="E1632" s="198">
        <v>18</v>
      </c>
      <c r="F1632" s="199" t="s">
        <v>22523</v>
      </c>
      <c r="G1632" s="1" t="s">
        <v>22524</v>
      </c>
      <c r="H1632" s="1" t="s">
        <v>22439</v>
      </c>
      <c r="I1632" s="351" t="s">
        <v>22525</v>
      </c>
      <c r="J1632" s="39">
        <v>115515</v>
      </c>
      <c r="K1632" s="36" t="str">
        <f>CONCATENATE(Cover!$D$6,"fdd/view?i=",J1632)</f>
        <v>https://www.dgiwg.org/FAD/fdd/view?i=115515</v>
      </c>
      <c r="L1632" s="36" t="s">
        <v>22526</v>
      </c>
      <c r="M1632" s="186"/>
      <c r="N1632" s="186"/>
      <c r="O1632" s="172"/>
    </row>
    <row r="1633" spans="1:15" ht="25.5" x14ac:dyDescent="0.2">
      <c r="A1633" s="197" t="str">
        <f t="shared" si="25"/>
        <v>AgbCode_rotary44B_4H</v>
      </c>
      <c r="B1633" s="409"/>
      <c r="C1633" s="416"/>
      <c r="D1633" s="198" t="s">
        <v>22527</v>
      </c>
      <c r="E1633" s="198">
        <v>19</v>
      </c>
      <c r="F1633" s="199" t="s">
        <v>22528</v>
      </c>
      <c r="G1633" s="1" t="s">
        <v>22529</v>
      </c>
      <c r="H1633" s="1" t="s">
        <v>22439</v>
      </c>
      <c r="I1633" s="351" t="s">
        <v>22530</v>
      </c>
      <c r="J1633" s="39">
        <v>115516</v>
      </c>
      <c r="K1633" s="36" t="str">
        <f>CONCATENATE(Cover!$D$6,"fdd/view?i=",J1633)</f>
        <v>https://www.dgiwg.org/FAD/fdd/view?i=115516</v>
      </c>
      <c r="L1633" s="36" t="s">
        <v>22531</v>
      </c>
      <c r="M1633" s="186"/>
      <c r="N1633" s="186"/>
      <c r="O1633" s="172"/>
    </row>
    <row r="1634" spans="1:15" ht="25.5" x14ac:dyDescent="0.2">
      <c r="A1634" s="197" t="str">
        <f t="shared" si="25"/>
        <v>AgbCode_rotary500S</v>
      </c>
      <c r="B1634" s="409"/>
      <c r="C1634" s="416"/>
      <c r="D1634" s="198" t="s">
        <v>22532</v>
      </c>
      <c r="E1634" s="198">
        <v>20</v>
      </c>
      <c r="F1634" s="199" t="s">
        <v>22533</v>
      </c>
      <c r="G1634" s="1" t="s">
        <v>22534</v>
      </c>
      <c r="H1634" s="1" t="s">
        <v>22439</v>
      </c>
      <c r="I1634" s="351" t="s">
        <v>22535</v>
      </c>
      <c r="J1634" s="39">
        <v>115517</v>
      </c>
      <c r="K1634" s="36" t="str">
        <f>CONCATENATE(Cover!$D$6,"fdd/view?i=",J1634)</f>
        <v>https://www.dgiwg.org/FAD/fdd/view?i=115517</v>
      </c>
      <c r="L1634" s="36" t="s">
        <v>22536</v>
      </c>
      <c r="M1634" s="186"/>
      <c r="N1634" s="186"/>
      <c r="O1634" s="172"/>
    </row>
    <row r="1635" spans="1:15" ht="25.5" x14ac:dyDescent="0.2">
      <c r="A1635" s="197" t="str">
        <f t="shared" si="25"/>
        <v>AgbCode_rotary500S_4</v>
      </c>
      <c r="B1635" s="409"/>
      <c r="C1635" s="416"/>
      <c r="D1635" s="198" t="s">
        <v>22537</v>
      </c>
      <c r="E1635" s="198">
        <v>21</v>
      </c>
      <c r="F1635" s="199" t="s">
        <v>22538</v>
      </c>
      <c r="G1635" s="1" t="s">
        <v>22539</v>
      </c>
      <c r="H1635" s="1" t="s">
        <v>22439</v>
      </c>
      <c r="I1635" s="351" t="s">
        <v>22540</v>
      </c>
      <c r="J1635" s="39">
        <v>115518</v>
      </c>
      <c r="K1635" s="36" t="str">
        <f>CONCATENATE(Cover!$D$6,"fdd/view?i=",J1635)</f>
        <v>https://www.dgiwg.org/FAD/fdd/view?i=115518</v>
      </c>
      <c r="L1635" s="36" t="s">
        <v>22541</v>
      </c>
      <c r="M1635" s="186"/>
      <c r="N1635" s="186"/>
      <c r="O1635" s="172"/>
    </row>
    <row r="1636" spans="1:15" ht="25.5" x14ac:dyDescent="0.2">
      <c r="A1636" s="197" t="str">
        <f t="shared" si="25"/>
        <v>AgbCode_rotary500S_6</v>
      </c>
      <c r="B1636" s="409"/>
      <c r="C1636" s="416"/>
      <c r="D1636" s="198" t="s">
        <v>22542</v>
      </c>
      <c r="E1636" s="198">
        <v>22</v>
      </c>
      <c r="F1636" s="199" t="s">
        <v>22543</v>
      </c>
      <c r="G1636" s="1" t="s">
        <v>22544</v>
      </c>
      <c r="H1636" s="1" t="s">
        <v>22439</v>
      </c>
      <c r="I1636" s="351" t="s">
        <v>22545</v>
      </c>
      <c r="J1636" s="39">
        <v>115519</v>
      </c>
      <c r="K1636" s="36" t="str">
        <f>CONCATENATE(Cover!$D$6,"fdd/view?i=",J1636)</f>
        <v>https://www.dgiwg.org/FAD/fdd/view?i=115519</v>
      </c>
      <c r="L1636" s="36" t="s">
        <v>22546</v>
      </c>
      <c r="M1636" s="186"/>
      <c r="N1636" s="186"/>
      <c r="O1636" s="172"/>
    </row>
    <row r="1637" spans="1:15" ht="25.5" x14ac:dyDescent="0.2">
      <c r="A1637" s="197" t="str">
        <f t="shared" si="25"/>
        <v>AgbCode_rotary500S_8</v>
      </c>
      <c r="B1637" s="409"/>
      <c r="C1637" s="416"/>
      <c r="D1637" s="198" t="s">
        <v>22547</v>
      </c>
      <c r="E1637" s="198">
        <v>23</v>
      </c>
      <c r="F1637" s="199" t="s">
        <v>22548</v>
      </c>
      <c r="G1637" s="1" t="s">
        <v>22549</v>
      </c>
      <c r="H1637" s="1" t="s">
        <v>22439</v>
      </c>
      <c r="I1637" s="351" t="s">
        <v>22550</v>
      </c>
      <c r="J1637" s="39">
        <v>115520</v>
      </c>
      <c r="K1637" s="36" t="str">
        <f>CONCATENATE(Cover!$D$6,"fdd/view?i=",J1637)</f>
        <v>https://www.dgiwg.org/FAD/fdd/view?i=115520</v>
      </c>
      <c r="L1637" s="36" t="s">
        <v>22551</v>
      </c>
      <c r="M1637" s="186"/>
      <c r="N1637" s="186"/>
      <c r="O1637" s="172"/>
    </row>
    <row r="1638" spans="1:15" ht="25.5" x14ac:dyDescent="0.2">
      <c r="A1638" s="197" t="str">
        <f t="shared" si="25"/>
        <v>AgbCode_rotaryAAE_64</v>
      </c>
      <c r="B1638" s="409"/>
      <c r="C1638" s="416"/>
      <c r="D1638" s="198" t="s">
        <v>22557</v>
      </c>
      <c r="E1638" s="198">
        <v>25</v>
      </c>
      <c r="F1638" s="199" t="s">
        <v>22558</v>
      </c>
      <c r="G1638" s="1" t="s">
        <v>22559</v>
      </c>
      <c r="H1638" s="1" t="s">
        <v>22439</v>
      </c>
      <c r="I1638" s="351" t="s">
        <v>22560</v>
      </c>
      <c r="J1638" s="39">
        <v>115522</v>
      </c>
      <c r="K1638" s="36" t="str">
        <f>CONCATENATE(Cover!$D$6,"fdd/view?i=",J1638)</f>
        <v>https://www.dgiwg.org/FAD/fdd/view?i=115522</v>
      </c>
      <c r="L1638" s="36" t="s">
        <v>22561</v>
      </c>
      <c r="M1638" s="186"/>
      <c r="N1638" s="186"/>
      <c r="O1638" s="172"/>
    </row>
    <row r="1639" spans="1:15" ht="25.5" x14ac:dyDescent="0.2">
      <c r="A1639" s="197" t="str">
        <f t="shared" si="25"/>
        <v>AgbCode_rotaryBAK_12A</v>
      </c>
      <c r="B1639" s="409"/>
      <c r="C1639" s="416"/>
      <c r="D1639" s="198" t="s">
        <v>22562</v>
      </c>
      <c r="E1639" s="198">
        <v>26</v>
      </c>
      <c r="F1639" s="199" t="s">
        <v>22563</v>
      </c>
      <c r="G1639" s="1" t="s">
        <v>22564</v>
      </c>
      <c r="H1639" s="1" t="s">
        <v>22439</v>
      </c>
      <c r="I1639" s="351" t="s">
        <v>22565</v>
      </c>
      <c r="J1639" s="39">
        <v>115523</v>
      </c>
      <c r="K1639" s="36" t="str">
        <f>CONCATENATE(Cover!$D$6,"fdd/view?i=",J1639)</f>
        <v>https://www.dgiwg.org/FAD/fdd/view?i=115523</v>
      </c>
      <c r="L1639" s="36" t="s">
        <v>22566</v>
      </c>
      <c r="M1639" s="186"/>
      <c r="N1639" s="186"/>
      <c r="O1639" s="172"/>
    </row>
    <row r="1640" spans="1:15" ht="25.5" x14ac:dyDescent="0.2">
      <c r="A1640" s="197" t="str">
        <f t="shared" si="25"/>
        <v>AgbCode_rotaryBAK_12B</v>
      </c>
      <c r="B1640" s="409"/>
      <c r="C1640" s="416"/>
      <c r="D1640" s="198" t="s">
        <v>22567</v>
      </c>
      <c r="E1640" s="198">
        <v>27</v>
      </c>
      <c r="F1640" s="199" t="s">
        <v>22568</v>
      </c>
      <c r="G1640" s="1" t="s">
        <v>22569</v>
      </c>
      <c r="H1640" s="1" t="s">
        <v>22439</v>
      </c>
      <c r="I1640" s="351" t="s">
        <v>22570</v>
      </c>
      <c r="J1640" s="39">
        <v>115524</v>
      </c>
      <c r="K1640" s="36" t="str">
        <f>CONCATENATE(Cover!$D$6,"fdd/view?i=",J1640)</f>
        <v>https://www.dgiwg.org/FAD/fdd/view?i=115524</v>
      </c>
      <c r="L1640" s="36" t="s">
        <v>22571</v>
      </c>
      <c r="M1640" s="186"/>
      <c r="N1640" s="186"/>
      <c r="O1640" s="172"/>
    </row>
    <row r="1641" spans="1:15" ht="25.5" x14ac:dyDescent="0.2">
      <c r="A1641" s="197" t="str">
        <f t="shared" si="25"/>
        <v>AgbCode_rotaryBAK_13</v>
      </c>
      <c r="B1641" s="409"/>
      <c r="C1641" s="416"/>
      <c r="D1641" s="198" t="s">
        <v>22572</v>
      </c>
      <c r="E1641" s="198">
        <v>28</v>
      </c>
      <c r="F1641" s="199" t="s">
        <v>22573</v>
      </c>
      <c r="G1641" s="1" t="s">
        <v>22574</v>
      </c>
      <c r="H1641" s="1" t="s">
        <v>22439</v>
      </c>
      <c r="I1641" s="351" t="s">
        <v>22575</v>
      </c>
      <c r="J1641" s="39">
        <v>115525</v>
      </c>
      <c r="K1641" s="36" t="str">
        <f>CONCATENATE(Cover!$D$6,"fdd/view?i=",J1641)</f>
        <v>https://www.dgiwg.org/FAD/fdd/view?i=115525</v>
      </c>
      <c r="L1641" s="36" t="s">
        <v>22576</v>
      </c>
      <c r="M1641" s="186"/>
      <c r="N1641" s="186"/>
      <c r="O1641" s="172"/>
    </row>
    <row r="1642" spans="1:15" x14ac:dyDescent="0.2">
      <c r="A1642" s="197" t="str">
        <f t="shared" si="25"/>
        <v>AgbCode_rotaryBAK_9</v>
      </c>
      <c r="B1642" s="409"/>
      <c r="C1642" s="416"/>
      <c r="D1642" s="198" t="s">
        <v>22583</v>
      </c>
      <c r="E1642" s="198">
        <v>30</v>
      </c>
      <c r="F1642" s="199" t="s">
        <v>22584</v>
      </c>
      <c r="G1642" s="1" t="s">
        <v>22585</v>
      </c>
      <c r="H1642" s="1" t="s">
        <v>22439</v>
      </c>
      <c r="I1642" s="351" t="s">
        <v>22586</v>
      </c>
      <c r="J1642" s="39">
        <v>115527</v>
      </c>
      <c r="K1642" s="36" t="str">
        <f>CONCATENATE(Cover!$D$6,"fdd/view?i=",J1642)</f>
        <v>https://www.dgiwg.org/FAD/fdd/view?i=115527</v>
      </c>
      <c r="L1642" s="36" t="s">
        <v>22587</v>
      </c>
      <c r="M1642" s="186"/>
      <c r="N1642" s="186"/>
      <c r="O1642" s="172"/>
    </row>
    <row r="1643" spans="1:15" ht="25.5" x14ac:dyDescent="0.2">
      <c r="A1643" s="197" t="str">
        <f t="shared" si="25"/>
        <v>AgbCode_rotaryChainJetStop</v>
      </c>
      <c r="B1643" s="409"/>
      <c r="C1643" s="416"/>
      <c r="D1643" s="198" t="s">
        <v>22681</v>
      </c>
      <c r="E1643" s="198">
        <v>49</v>
      </c>
      <c r="F1643" s="199" t="s">
        <v>22682</v>
      </c>
      <c r="G1643" s="1" t="s">
        <v>22683</v>
      </c>
      <c r="H1643" s="1" t="s">
        <v>22439</v>
      </c>
      <c r="I1643" s="351" t="s">
        <v>22684</v>
      </c>
      <c r="J1643" s="39">
        <v>115546</v>
      </c>
      <c r="K1643" s="36" t="str">
        <f>CONCATENATE(Cover!$D$6,"fdd/view?i=",J1643)</f>
        <v>https://www.dgiwg.org/FAD/fdd/view?i=115546</v>
      </c>
      <c r="L1643" s="36" t="s">
        <v>22685</v>
      </c>
      <c r="M1643" s="186"/>
      <c r="N1643" s="186"/>
      <c r="O1643" s="172"/>
    </row>
    <row r="1644" spans="1:15" ht="25.5" x14ac:dyDescent="0.2">
      <c r="A1644" s="197" t="str">
        <f t="shared" si="25"/>
        <v>AgbCode_rotaryDualBAK_12</v>
      </c>
      <c r="B1644" s="409"/>
      <c r="C1644" s="416"/>
      <c r="D1644" s="198" t="s">
        <v>22632</v>
      </c>
      <c r="E1644" s="198">
        <v>40</v>
      </c>
      <c r="F1644" s="199" t="s">
        <v>22633</v>
      </c>
      <c r="G1644" s="1" t="s">
        <v>22634</v>
      </c>
      <c r="H1644" s="1" t="s">
        <v>22439</v>
      </c>
      <c r="I1644" s="351" t="s">
        <v>22635</v>
      </c>
      <c r="J1644" s="39">
        <v>115537</v>
      </c>
      <c r="K1644" s="36" t="str">
        <f>CONCATENATE(Cover!$D$6,"fdd/view?i=",J1644)</f>
        <v>https://www.dgiwg.org/FAD/fdd/view?i=115537</v>
      </c>
      <c r="L1644" s="36" t="s">
        <v>22636</v>
      </c>
      <c r="M1644" s="186"/>
      <c r="N1644" s="186"/>
      <c r="O1644" s="172"/>
    </row>
    <row r="1645" spans="1:15" x14ac:dyDescent="0.2">
      <c r="A1645" s="197" t="str">
        <f t="shared" si="25"/>
        <v>AgbCode_rotaryE15</v>
      </c>
      <c r="B1645" s="409"/>
      <c r="C1645" s="416"/>
      <c r="D1645" s="198" t="s">
        <v>22637</v>
      </c>
      <c r="E1645" s="198">
        <v>41</v>
      </c>
      <c r="F1645" s="199" t="s">
        <v>22638</v>
      </c>
      <c r="G1645" s="1" t="s">
        <v>22639</v>
      </c>
      <c r="H1645" s="1" t="s">
        <v>22580</v>
      </c>
      <c r="I1645" s="351" t="s">
        <v>22640</v>
      </c>
      <c r="J1645" s="39">
        <v>115538</v>
      </c>
      <c r="K1645" s="36" t="str">
        <f>CONCATENATE(Cover!$D$6,"fdd/view?i=",J1645)</f>
        <v>https://www.dgiwg.org/FAD/fdd/view?i=115538</v>
      </c>
      <c r="L1645" s="36" t="s">
        <v>22641</v>
      </c>
      <c r="M1645" s="186"/>
      <c r="N1645" s="186"/>
      <c r="O1645" s="172"/>
    </row>
    <row r="1646" spans="1:15" x14ac:dyDescent="0.2">
      <c r="A1646" s="197" t="str">
        <f t="shared" si="25"/>
        <v>AgbCode_rotaryE27</v>
      </c>
      <c r="B1646" s="409"/>
      <c r="C1646" s="416"/>
      <c r="D1646" s="198" t="s">
        <v>22642</v>
      </c>
      <c r="E1646" s="198">
        <v>42</v>
      </c>
      <c r="F1646" s="199" t="s">
        <v>22643</v>
      </c>
      <c r="G1646" s="1" t="s">
        <v>22644</v>
      </c>
      <c r="H1646" s="1" t="s">
        <v>22580</v>
      </c>
      <c r="I1646" s="351" t="s">
        <v>22645</v>
      </c>
      <c r="J1646" s="39">
        <v>115539</v>
      </c>
      <c r="K1646" s="36" t="str">
        <f>CONCATENATE(Cover!$D$6,"fdd/view?i=",J1646)</f>
        <v>https://www.dgiwg.org/FAD/fdd/view?i=115539</v>
      </c>
      <c r="L1646" s="36" t="s">
        <v>22646</v>
      </c>
      <c r="M1646" s="186"/>
      <c r="N1646" s="186"/>
      <c r="O1646" s="172"/>
    </row>
    <row r="1647" spans="1:15" x14ac:dyDescent="0.2">
      <c r="A1647" s="197" t="str">
        <f t="shared" si="25"/>
        <v>AgbCode_rotaryE28</v>
      </c>
      <c r="B1647" s="409"/>
      <c r="C1647" s="416"/>
      <c r="D1647" s="198" t="s">
        <v>22647</v>
      </c>
      <c r="E1647" s="198">
        <v>43</v>
      </c>
      <c r="F1647" s="199" t="s">
        <v>22648</v>
      </c>
      <c r="G1647" s="1" t="s">
        <v>22649</v>
      </c>
      <c r="H1647" s="1" t="s">
        <v>22439</v>
      </c>
      <c r="I1647" s="351" t="s">
        <v>22650</v>
      </c>
      <c r="J1647" s="39">
        <v>115540</v>
      </c>
      <c r="K1647" s="36" t="str">
        <f>CONCATENATE(Cover!$D$6,"fdd/view?i=",J1647)</f>
        <v>https://www.dgiwg.org/FAD/fdd/view?i=115540</v>
      </c>
      <c r="L1647" s="36" t="s">
        <v>22651</v>
      </c>
      <c r="M1647" s="186"/>
      <c r="N1647" s="186"/>
      <c r="O1647" s="172"/>
    </row>
    <row r="1648" spans="1:15" ht="38.25" x14ac:dyDescent="0.2">
      <c r="A1648" s="197" t="str">
        <f t="shared" si="25"/>
        <v>AgbCode_rotaryHydraulicWater</v>
      </c>
      <c r="B1648" s="409"/>
      <c r="C1648" s="416"/>
      <c r="D1648" s="198" t="s">
        <v>22790</v>
      </c>
      <c r="E1648" s="198">
        <v>71</v>
      </c>
      <c r="F1648" s="199" t="s">
        <v>22791</v>
      </c>
      <c r="G1648" s="1" t="s">
        <v>22792</v>
      </c>
      <c r="H1648" s="200"/>
      <c r="I1648" s="351" t="s">
        <v>22793</v>
      </c>
      <c r="J1648" s="39">
        <v>115568</v>
      </c>
      <c r="K1648" s="36" t="str">
        <f>CONCATENATE(Cover!$D$6,"fdd/view?i=",J1648)</f>
        <v>https://www.dgiwg.org/FAD/fdd/view?i=115568</v>
      </c>
      <c r="L1648" s="36" t="s">
        <v>22794</v>
      </c>
      <c r="M1648" s="186"/>
      <c r="N1648" s="186"/>
      <c r="O1648" s="172"/>
    </row>
    <row r="1649" spans="1:15" ht="25.5" x14ac:dyDescent="0.2">
      <c r="A1649" s="197" t="str">
        <f t="shared" si="25"/>
        <v>AgbCode_rotaryPUAG_MK_21</v>
      </c>
      <c r="B1649" s="409"/>
      <c r="C1649" s="416"/>
      <c r="D1649" s="198" t="s">
        <v>22757</v>
      </c>
      <c r="E1649" s="198">
        <v>64</v>
      </c>
      <c r="F1649" s="199" t="s">
        <v>22758</v>
      </c>
      <c r="G1649" s="1" t="s">
        <v>22759</v>
      </c>
      <c r="H1649" s="1" t="s">
        <v>22580</v>
      </c>
      <c r="I1649" s="351" t="s">
        <v>7980</v>
      </c>
      <c r="J1649" s="39">
        <v>115561</v>
      </c>
      <c r="K1649" s="36" t="str">
        <f>CONCATENATE(Cover!$D$6,"fdd/view?i=",J1649)</f>
        <v>https://www.dgiwg.org/FAD/fdd/view?i=115561</v>
      </c>
      <c r="L1649" s="36" t="s">
        <v>22760</v>
      </c>
      <c r="M1649" s="186"/>
      <c r="N1649" s="186"/>
      <c r="O1649" s="172"/>
    </row>
    <row r="1650" spans="1:15" ht="25.5" x14ac:dyDescent="0.2">
      <c r="A1650" s="197" t="str">
        <f t="shared" si="25"/>
        <v>AgbCode_rotaryRHAG_MK_1</v>
      </c>
      <c r="B1650" s="409"/>
      <c r="C1650" s="416"/>
      <c r="D1650" s="198" t="s">
        <v>22785</v>
      </c>
      <c r="E1650" s="198">
        <v>70</v>
      </c>
      <c r="F1650" s="199" t="s">
        <v>22786</v>
      </c>
      <c r="G1650" s="1" t="s">
        <v>22787</v>
      </c>
      <c r="H1650" s="1" t="s">
        <v>22580</v>
      </c>
      <c r="I1650" s="351" t="s">
        <v>22788</v>
      </c>
      <c r="J1650" s="39">
        <v>115567</v>
      </c>
      <c r="K1650" s="36" t="str">
        <f>CONCATENATE(Cover!$D$6,"fdd/view?i=",J1650)</f>
        <v>https://www.dgiwg.org/FAD/fdd/view?i=115567</v>
      </c>
      <c r="L1650" s="36" t="s">
        <v>22789</v>
      </c>
      <c r="M1650" s="186"/>
      <c r="N1650" s="186"/>
      <c r="O1650" s="172"/>
    </row>
    <row r="1651" spans="1:15" ht="38.25" x14ac:dyDescent="0.2">
      <c r="A1651" s="197" t="str">
        <f t="shared" si="25"/>
        <v>AgbCode_rotaryTrans500S_8</v>
      </c>
      <c r="B1651" s="409"/>
      <c r="C1651" s="416"/>
      <c r="D1651" s="198" t="s">
        <v>22552</v>
      </c>
      <c r="E1651" s="198">
        <v>24</v>
      </c>
      <c r="F1651" s="199" t="s">
        <v>22553</v>
      </c>
      <c r="G1651" s="1" t="s">
        <v>22554</v>
      </c>
      <c r="H1651" s="1" t="s">
        <v>22439</v>
      </c>
      <c r="I1651" s="351" t="s">
        <v>22555</v>
      </c>
      <c r="J1651" s="39">
        <v>115521</v>
      </c>
      <c r="K1651" s="36" t="str">
        <f>CONCATENATE(Cover!$D$6,"fdd/view?i=",J1651)</f>
        <v>https://www.dgiwg.org/FAD/fdd/view?i=115521</v>
      </c>
      <c r="L1651" s="36" t="s">
        <v>22556</v>
      </c>
      <c r="M1651" s="186"/>
      <c r="N1651" s="186"/>
      <c r="O1651" s="172"/>
    </row>
    <row r="1652" spans="1:15" ht="25.5" x14ac:dyDescent="0.2">
      <c r="A1652" s="197" t="str">
        <f t="shared" si="25"/>
        <v>AgbCode_textileMB_100</v>
      </c>
      <c r="B1652" s="409"/>
      <c r="C1652" s="416"/>
      <c r="D1652" s="198" t="s">
        <v>22742</v>
      </c>
      <c r="E1652" s="198">
        <v>61</v>
      </c>
      <c r="F1652" s="199" t="s">
        <v>22743</v>
      </c>
      <c r="G1652" s="1" t="s">
        <v>22744</v>
      </c>
      <c r="H1652" s="200"/>
      <c r="I1652" s="351" t="s">
        <v>22745</v>
      </c>
      <c r="J1652" s="39">
        <v>115558</v>
      </c>
      <c r="K1652" s="36" t="str">
        <f>CONCATENATE(Cover!$D$6,"fdd/view?i=",J1652)</f>
        <v>https://www.dgiwg.org/FAD/fdd/view?i=115558</v>
      </c>
      <c r="L1652" s="36" t="s">
        <v>22746</v>
      </c>
      <c r="M1652" s="186"/>
      <c r="N1652" s="186"/>
      <c r="O1652" s="172"/>
    </row>
    <row r="1653" spans="1:15" x14ac:dyDescent="0.2">
      <c r="A1653" s="203" t="str">
        <f t="shared" si="25"/>
        <v>AgbCode_textileMB_60</v>
      </c>
      <c r="B1653" s="410"/>
      <c r="C1653" s="417"/>
      <c r="D1653" s="204" t="s">
        <v>22747</v>
      </c>
      <c r="E1653" s="204">
        <v>62</v>
      </c>
      <c r="F1653" s="205" t="s">
        <v>22748</v>
      </c>
      <c r="G1653" s="206" t="s">
        <v>22749</v>
      </c>
      <c r="H1653" s="207"/>
      <c r="I1653" s="353" t="s">
        <v>22750</v>
      </c>
      <c r="J1653" s="39">
        <v>115559</v>
      </c>
      <c r="K1653" s="36" t="str">
        <f>CONCATENATE(Cover!$D$6,"fdd/view?i=",J1653)</f>
        <v>https://www.dgiwg.org/FAD/fdd/view?i=115559</v>
      </c>
      <c r="L1653" s="36" t="s">
        <v>22751</v>
      </c>
      <c r="M1653" s="186"/>
      <c r="N1653" s="186"/>
      <c r="O1653" s="172"/>
    </row>
    <row r="1654" spans="1:15" ht="25.5" x14ac:dyDescent="0.2">
      <c r="A1654" s="190" t="str">
        <f t="shared" si="25"/>
        <v>AgeCode_barricadeNet61QSII</v>
      </c>
      <c r="B1654" s="414" t="str">
        <f>HYPERLINK("[#]Datatypes!A186:L186","AgeCode")</f>
        <v>AgeCode</v>
      </c>
      <c r="C1654" s="415" t="s">
        <v>14740</v>
      </c>
      <c r="D1654" s="221" t="s">
        <v>22805</v>
      </c>
      <c r="E1654" s="221">
        <v>1</v>
      </c>
      <c r="F1654" s="222" t="s">
        <v>22806</v>
      </c>
      <c r="G1654" s="223" t="s">
        <v>22807</v>
      </c>
      <c r="H1654" s="224"/>
      <c r="I1654" s="345"/>
      <c r="J1654" s="39">
        <v>115572</v>
      </c>
      <c r="K1654" s="36" t="str">
        <f>CONCATENATE(Cover!$D$6,"fdd/view?i=",J1654)</f>
        <v>https://www.dgiwg.org/FAD/fdd/view?i=115572</v>
      </c>
      <c r="L1654" s="36" t="s">
        <v>22808</v>
      </c>
      <c r="M1654" s="186"/>
      <c r="N1654" s="186"/>
      <c r="O1654" s="172"/>
    </row>
    <row r="1655" spans="1:15" x14ac:dyDescent="0.2">
      <c r="A1655" s="197" t="str">
        <f t="shared" si="25"/>
        <v>AgeCode_hook63PI</v>
      </c>
      <c r="B1655" s="409"/>
      <c r="C1655" s="416"/>
      <c r="D1655" s="198" t="s">
        <v>22813</v>
      </c>
      <c r="E1655" s="198">
        <v>3</v>
      </c>
      <c r="F1655" s="199" t="s">
        <v>22814</v>
      </c>
      <c r="G1655" s="1" t="s">
        <v>22815</v>
      </c>
      <c r="H1655" s="200"/>
      <c r="I1655" s="346"/>
      <c r="J1655" s="39">
        <v>115574</v>
      </c>
      <c r="K1655" s="36" t="str">
        <f>CONCATENATE(Cover!$D$6,"fdd/view?i=",J1655)</f>
        <v>https://www.dgiwg.org/FAD/fdd/view?i=115574</v>
      </c>
      <c r="L1655" s="36" t="s">
        <v>22816</v>
      </c>
      <c r="M1655" s="186"/>
      <c r="N1655" s="186"/>
      <c r="O1655" s="172"/>
    </row>
    <row r="1656" spans="1:15" ht="25.5" x14ac:dyDescent="0.2">
      <c r="A1656" s="197" t="str">
        <f t="shared" si="25"/>
        <v>AgeCode_hookBAK_14</v>
      </c>
      <c r="B1656" s="409"/>
      <c r="C1656" s="416"/>
      <c r="D1656" s="198" t="s">
        <v>22829</v>
      </c>
      <c r="E1656" s="198">
        <v>7</v>
      </c>
      <c r="F1656" s="199" t="s">
        <v>22830</v>
      </c>
      <c r="G1656" s="1" t="s">
        <v>22831</v>
      </c>
      <c r="H1656" s="1" t="s">
        <v>22832</v>
      </c>
      <c r="I1656" s="346"/>
      <c r="J1656" s="39">
        <v>115578</v>
      </c>
      <c r="K1656" s="36" t="str">
        <f>CONCATENATE(Cover!$D$6,"fdd/view?i=",J1656)</f>
        <v>https://www.dgiwg.org/FAD/fdd/view?i=115578</v>
      </c>
      <c r="L1656" s="36" t="s">
        <v>22833</v>
      </c>
      <c r="M1656" s="186"/>
      <c r="N1656" s="186"/>
      <c r="O1656" s="172"/>
    </row>
    <row r="1657" spans="1:15" x14ac:dyDescent="0.2">
      <c r="A1657" s="197" t="str">
        <f t="shared" si="25"/>
        <v>AgeCode_hookCable</v>
      </c>
      <c r="B1657" s="409"/>
      <c r="C1657" s="416"/>
      <c r="D1657" s="198" t="s">
        <v>22842</v>
      </c>
      <c r="E1657" s="198">
        <v>10</v>
      </c>
      <c r="F1657" s="199" t="s">
        <v>22843</v>
      </c>
      <c r="G1657" s="1" t="s">
        <v>22426</v>
      </c>
      <c r="H1657" s="200"/>
      <c r="I1657" s="346"/>
      <c r="J1657" s="39">
        <v>115581</v>
      </c>
      <c r="K1657" s="36" t="str">
        <f>CONCATENATE(Cover!$D$6,"fdd/view?i=",J1657)</f>
        <v>https://www.dgiwg.org/FAD/fdd/view?i=115581</v>
      </c>
      <c r="L1657" s="36" t="s">
        <v>22844</v>
      </c>
      <c r="M1657" s="186"/>
      <c r="N1657" s="186"/>
      <c r="O1657" s="172"/>
    </row>
    <row r="1658" spans="1:15" ht="25.5" x14ac:dyDescent="0.2">
      <c r="A1658" s="197" t="str">
        <f t="shared" si="25"/>
        <v>AgeCode_hookTypeH</v>
      </c>
      <c r="B1658" s="409"/>
      <c r="C1658" s="416"/>
      <c r="D1658" s="198" t="s">
        <v>22868</v>
      </c>
      <c r="E1658" s="198">
        <v>17</v>
      </c>
      <c r="F1658" s="199" t="s">
        <v>22869</v>
      </c>
      <c r="G1658" s="1" t="s">
        <v>22831</v>
      </c>
      <c r="H1658" s="1" t="s">
        <v>22870</v>
      </c>
      <c r="I1658" s="346"/>
      <c r="J1658" s="39">
        <v>115589</v>
      </c>
      <c r="K1658" s="36" t="str">
        <f>CONCATENATE(Cover!$D$6,"fdd/view?i=",J1658)</f>
        <v>https://www.dgiwg.org/FAD/fdd/view?i=115589</v>
      </c>
      <c r="L1658" s="36" t="s">
        <v>22871</v>
      </c>
      <c r="M1658" s="186"/>
      <c r="N1658" s="186"/>
      <c r="O1658" s="172"/>
    </row>
    <row r="1659" spans="1:15" x14ac:dyDescent="0.2">
      <c r="A1659" s="197" t="str">
        <f t="shared" si="25"/>
        <v>AgeCode_hpNet</v>
      </c>
      <c r="B1659" s="409"/>
      <c r="C1659" s="416"/>
      <c r="D1659" s="198" t="s">
        <v>22845</v>
      </c>
      <c r="E1659" s="198">
        <v>11</v>
      </c>
      <c r="F1659" s="199" t="s">
        <v>22846</v>
      </c>
      <c r="G1659" s="1" t="s">
        <v>22847</v>
      </c>
      <c r="H1659" s="200"/>
      <c r="I1659" s="346"/>
      <c r="J1659" s="39">
        <v>115582</v>
      </c>
      <c r="K1659" s="36" t="str">
        <f>CONCATENATE(Cover!$D$6,"fdd/view?i=",J1659)</f>
        <v>https://www.dgiwg.org/FAD/fdd/view?i=115582</v>
      </c>
      <c r="L1659" s="36" t="s">
        <v>22848</v>
      </c>
      <c r="M1659" s="186"/>
      <c r="N1659" s="186"/>
      <c r="O1659" s="172"/>
    </row>
    <row r="1660" spans="1:15" x14ac:dyDescent="0.2">
      <c r="A1660" s="197" t="str">
        <f t="shared" si="25"/>
        <v>AgeCode_jayBar</v>
      </c>
      <c r="B1660" s="409"/>
      <c r="C1660" s="416"/>
      <c r="D1660" s="198" t="s">
        <v>22849</v>
      </c>
      <c r="E1660" s="198">
        <v>12</v>
      </c>
      <c r="F1660" s="199" t="s">
        <v>22850</v>
      </c>
      <c r="G1660" s="1" t="s">
        <v>22851</v>
      </c>
      <c r="H1660" s="200"/>
      <c r="I1660" s="346"/>
      <c r="J1660" s="39">
        <v>115583</v>
      </c>
      <c r="K1660" s="36" t="str">
        <f>CONCATENATE(Cover!$D$6,"fdd/view?i=",J1660)</f>
        <v>https://www.dgiwg.org/FAD/fdd/view?i=115583</v>
      </c>
      <c r="L1660" s="36" t="s">
        <v>22852</v>
      </c>
      <c r="M1660" s="186"/>
      <c r="N1660" s="186"/>
      <c r="O1660" s="172"/>
    </row>
    <row r="1661" spans="1:15" x14ac:dyDescent="0.2">
      <c r="A1661" s="197" t="str">
        <f t="shared" si="25"/>
        <v>AgeCode_jetBarrier</v>
      </c>
      <c r="B1661" s="409"/>
      <c r="C1661" s="416"/>
      <c r="D1661" s="198" t="s">
        <v>22428</v>
      </c>
      <c r="E1661" s="198">
        <v>18</v>
      </c>
      <c r="F1661" s="199" t="s">
        <v>22429</v>
      </c>
      <c r="G1661" s="1" t="s">
        <v>22430</v>
      </c>
      <c r="H1661" s="200"/>
      <c r="I1661" s="346"/>
      <c r="J1661" s="39">
        <v>115584</v>
      </c>
      <c r="K1661" s="36" t="str">
        <f>CONCATENATE(Cover!$D$6,"fdd/view?i=",J1661)</f>
        <v>https://www.dgiwg.org/FAD/fdd/view?i=115584</v>
      </c>
      <c r="L1661" s="36" t="s">
        <v>22853</v>
      </c>
      <c r="M1661" s="186"/>
      <c r="N1661" s="186"/>
      <c r="O1661" s="172"/>
    </row>
    <row r="1662" spans="1:15" x14ac:dyDescent="0.2">
      <c r="A1662" s="197" t="str">
        <f t="shared" si="25"/>
        <v>AgeCode_net</v>
      </c>
      <c r="B1662" s="409"/>
      <c r="C1662" s="416"/>
      <c r="D1662" s="198" t="s">
        <v>22432</v>
      </c>
      <c r="E1662" s="198">
        <v>16</v>
      </c>
      <c r="F1662" s="199" t="s">
        <v>22433</v>
      </c>
      <c r="G1662" s="1" t="s">
        <v>22866</v>
      </c>
      <c r="H1662" s="200"/>
      <c r="I1662" s="346"/>
      <c r="J1662" s="39">
        <v>115588</v>
      </c>
      <c r="K1662" s="36" t="str">
        <f>CONCATENATE(Cover!$D$6,"fdd/view?i=",J1662)</f>
        <v>https://www.dgiwg.org/FAD/fdd/view?i=115588</v>
      </c>
      <c r="L1662" s="36" t="s">
        <v>22867</v>
      </c>
      <c r="M1662" s="186"/>
      <c r="N1662" s="186"/>
      <c r="O1662" s="172"/>
    </row>
    <row r="1663" spans="1:15" x14ac:dyDescent="0.2">
      <c r="A1663" s="197" t="str">
        <f t="shared" si="25"/>
        <v>AgeCode_netA30</v>
      </c>
      <c r="B1663" s="409"/>
      <c r="C1663" s="416"/>
      <c r="D1663" s="198" t="s">
        <v>22817</v>
      </c>
      <c r="E1663" s="198">
        <v>4</v>
      </c>
      <c r="F1663" s="199" t="s">
        <v>22818</v>
      </c>
      <c r="G1663" s="1" t="s">
        <v>22819</v>
      </c>
      <c r="H1663" s="200"/>
      <c r="I1663" s="346"/>
      <c r="J1663" s="39">
        <v>115575</v>
      </c>
      <c r="K1663" s="36" t="str">
        <f>CONCATENATE(Cover!$D$6,"fdd/view?i=",J1663)</f>
        <v>https://www.dgiwg.org/FAD/fdd/view?i=115575</v>
      </c>
      <c r="L1663" s="36" t="s">
        <v>22820</v>
      </c>
      <c r="M1663" s="186"/>
      <c r="N1663" s="186"/>
      <c r="O1663" s="172"/>
    </row>
    <row r="1664" spans="1:15" x14ac:dyDescent="0.2">
      <c r="A1664" s="197" t="str">
        <f t="shared" si="25"/>
        <v>AgeCode_netA40</v>
      </c>
      <c r="B1664" s="409"/>
      <c r="C1664" s="416"/>
      <c r="D1664" s="198" t="s">
        <v>22821</v>
      </c>
      <c r="E1664" s="198">
        <v>5</v>
      </c>
      <c r="F1664" s="199" t="s">
        <v>22822</v>
      </c>
      <c r="G1664" s="1" t="s">
        <v>22823</v>
      </c>
      <c r="H1664" s="200"/>
      <c r="I1664" s="346"/>
      <c r="J1664" s="39">
        <v>115576</v>
      </c>
      <c r="K1664" s="36" t="str">
        <f>CONCATENATE(Cover!$D$6,"fdd/view?i=",J1664)</f>
        <v>https://www.dgiwg.org/FAD/fdd/view?i=115576</v>
      </c>
      <c r="L1664" s="36" t="s">
        <v>22824</v>
      </c>
      <c r="M1664" s="186"/>
      <c r="N1664" s="186"/>
      <c r="O1664" s="172"/>
    </row>
    <row r="1665" spans="1:15" x14ac:dyDescent="0.2">
      <c r="A1665" s="197" t="str">
        <f t="shared" si="25"/>
        <v>AgeCode_netMA_1</v>
      </c>
      <c r="B1665" s="409"/>
      <c r="C1665" s="416"/>
      <c r="D1665" s="198" t="s">
        <v>22854</v>
      </c>
      <c r="E1665" s="198">
        <v>13</v>
      </c>
      <c r="F1665" s="199" t="s">
        <v>22855</v>
      </c>
      <c r="G1665" s="1" t="s">
        <v>22856</v>
      </c>
      <c r="H1665" s="200"/>
      <c r="I1665" s="346"/>
      <c r="J1665" s="39">
        <v>115585</v>
      </c>
      <c r="K1665" s="36" t="str">
        <f>CONCATENATE(Cover!$D$6,"fdd/view?i=",J1665)</f>
        <v>https://www.dgiwg.org/FAD/fdd/view?i=115585</v>
      </c>
      <c r="L1665" s="36" t="s">
        <v>22857</v>
      </c>
      <c r="M1665" s="186"/>
      <c r="N1665" s="186"/>
      <c r="O1665" s="172"/>
    </row>
    <row r="1666" spans="1:15" x14ac:dyDescent="0.2">
      <c r="A1666" s="197" t="str">
        <f t="shared" ref="A1666:A1729" si="26">HYPERLINK(K1666,L1666)</f>
        <v>AgeCode_netMA_1a</v>
      </c>
      <c r="B1666" s="409"/>
      <c r="C1666" s="416"/>
      <c r="D1666" s="198" t="s">
        <v>22858</v>
      </c>
      <c r="E1666" s="198">
        <v>14</v>
      </c>
      <c r="F1666" s="199" t="s">
        <v>22859</v>
      </c>
      <c r="G1666" s="1" t="s">
        <v>22860</v>
      </c>
      <c r="H1666" s="200"/>
      <c r="I1666" s="346"/>
      <c r="J1666" s="39">
        <v>115586</v>
      </c>
      <c r="K1666" s="36" t="str">
        <f>CONCATENATE(Cover!$D$6,"fdd/view?i=",J1666)</f>
        <v>https://www.dgiwg.org/FAD/fdd/view?i=115586</v>
      </c>
      <c r="L1666" s="36" t="s">
        <v>22861</v>
      </c>
      <c r="M1666" s="186"/>
      <c r="N1666" s="186"/>
      <c r="O1666" s="172"/>
    </row>
    <row r="1667" spans="1:15" ht="25.5" x14ac:dyDescent="0.2">
      <c r="A1667" s="197" t="str">
        <f t="shared" si="26"/>
        <v>AgeCode_netWithHook62NI</v>
      </c>
      <c r="B1667" s="409"/>
      <c r="C1667" s="416"/>
      <c r="D1667" s="198" t="s">
        <v>22809</v>
      </c>
      <c r="E1667" s="198">
        <v>2</v>
      </c>
      <c r="F1667" s="199" t="s">
        <v>22810</v>
      </c>
      <c r="G1667" s="1" t="s">
        <v>22811</v>
      </c>
      <c r="H1667" s="200"/>
      <c r="I1667" s="346"/>
      <c r="J1667" s="39">
        <v>115573</v>
      </c>
      <c r="K1667" s="36" t="str">
        <f>CONCATENATE(Cover!$D$6,"fdd/view?i=",J1667)</f>
        <v>https://www.dgiwg.org/FAD/fdd/view?i=115573</v>
      </c>
      <c r="L1667" s="36" t="s">
        <v>22812</v>
      </c>
      <c r="M1667" s="186"/>
      <c r="N1667" s="186"/>
      <c r="O1667" s="172"/>
    </row>
    <row r="1668" spans="1:15" ht="25.5" x14ac:dyDescent="0.2">
      <c r="A1668" s="197" t="str">
        <f t="shared" si="26"/>
        <v>AgeCode_stanchionNetBAK_15</v>
      </c>
      <c r="B1668" s="409"/>
      <c r="C1668" s="416"/>
      <c r="D1668" s="198" t="s">
        <v>22834</v>
      </c>
      <c r="E1668" s="198">
        <v>8</v>
      </c>
      <c r="F1668" s="199" t="s">
        <v>22835</v>
      </c>
      <c r="G1668" s="1" t="s">
        <v>22836</v>
      </c>
      <c r="H1668" s="200"/>
      <c r="I1668" s="346"/>
      <c r="J1668" s="39">
        <v>115579</v>
      </c>
      <c r="K1668" s="36" t="str">
        <f>CONCATENATE(Cover!$D$6,"fdd/view?i=",J1668)</f>
        <v>https://www.dgiwg.org/FAD/fdd/view?i=115579</v>
      </c>
      <c r="L1668" s="36" t="s">
        <v>22837</v>
      </c>
      <c r="M1668" s="186"/>
      <c r="N1668" s="186"/>
      <c r="O1668" s="172"/>
    </row>
    <row r="1669" spans="1:15" x14ac:dyDescent="0.2">
      <c r="A1669" s="197" t="str">
        <f t="shared" si="26"/>
        <v>AgeCode_strutBAK_11</v>
      </c>
      <c r="B1669" s="409"/>
      <c r="C1669" s="416"/>
      <c r="D1669" s="198" t="s">
        <v>22825</v>
      </c>
      <c r="E1669" s="198">
        <v>6</v>
      </c>
      <c r="F1669" s="199" t="s">
        <v>22826</v>
      </c>
      <c r="G1669" s="1" t="s">
        <v>22827</v>
      </c>
      <c r="H1669" s="200"/>
      <c r="I1669" s="346"/>
      <c r="J1669" s="39">
        <v>115577</v>
      </c>
      <c r="K1669" s="36" t="str">
        <f>CONCATENATE(Cover!$D$6,"fdd/view?i=",J1669)</f>
        <v>https://www.dgiwg.org/FAD/fdd/view?i=115577</v>
      </c>
      <c r="L1669" s="36" t="s">
        <v>22828</v>
      </c>
      <c r="M1669" s="186"/>
      <c r="N1669" s="186"/>
      <c r="O1669" s="172"/>
    </row>
    <row r="1670" spans="1:15" ht="25.5" x14ac:dyDescent="0.2">
      <c r="A1670" s="197" t="str">
        <f t="shared" si="26"/>
        <v>AgeCode_withHookBAK_15</v>
      </c>
      <c r="B1670" s="409"/>
      <c r="C1670" s="416"/>
      <c r="D1670" s="198" t="s">
        <v>22838</v>
      </c>
      <c r="E1670" s="198">
        <v>9</v>
      </c>
      <c r="F1670" s="199" t="s">
        <v>22839</v>
      </c>
      <c r="G1670" s="1" t="s">
        <v>22840</v>
      </c>
      <c r="H1670" s="200"/>
      <c r="I1670" s="346"/>
      <c r="J1670" s="39">
        <v>115580</v>
      </c>
      <c r="K1670" s="36" t="str">
        <f>CONCATENATE(Cover!$D$6,"fdd/view?i=",J1670)</f>
        <v>https://www.dgiwg.org/FAD/fdd/view?i=115580</v>
      </c>
      <c r="L1670" s="36" t="s">
        <v>22841</v>
      </c>
      <c r="M1670" s="186"/>
      <c r="N1670" s="186"/>
      <c r="O1670" s="172"/>
    </row>
    <row r="1671" spans="1:15" ht="25.5" x14ac:dyDescent="0.2">
      <c r="A1671" s="203" t="str">
        <f t="shared" si="26"/>
        <v>AgeCode_withHookCableMA_1a</v>
      </c>
      <c r="B1671" s="410"/>
      <c r="C1671" s="417"/>
      <c r="D1671" s="204" t="s">
        <v>22862</v>
      </c>
      <c r="E1671" s="204">
        <v>15</v>
      </c>
      <c r="F1671" s="205" t="s">
        <v>22863</v>
      </c>
      <c r="G1671" s="206" t="s">
        <v>22864</v>
      </c>
      <c r="H1671" s="207"/>
      <c r="I1671" s="347"/>
      <c r="J1671" s="39">
        <v>115587</v>
      </c>
      <c r="K1671" s="36" t="str">
        <f>CONCATENATE(Cover!$D$6,"fdd/view?i=",J1671)</f>
        <v>https://www.dgiwg.org/FAD/fdd/view?i=115587</v>
      </c>
      <c r="L1671" s="36" t="s">
        <v>22865</v>
      </c>
      <c r="M1671" s="186"/>
      <c r="N1671" s="186"/>
      <c r="O1671" s="172"/>
    </row>
    <row r="1672" spans="1:15" ht="25.5" x14ac:dyDescent="0.2">
      <c r="A1672" s="190" t="str">
        <f t="shared" si="26"/>
        <v>AgdCode_bidirectional</v>
      </c>
      <c r="B1672" s="414" t="str">
        <f>HYPERLINK("[#]Datatypes!A188:L188","AgdCode")</f>
        <v>AgdCode</v>
      </c>
      <c r="C1672" s="415" t="s">
        <v>14742</v>
      </c>
      <c r="D1672" s="221" t="s">
        <v>7070</v>
      </c>
      <c r="E1672" s="221">
        <v>1</v>
      </c>
      <c r="F1672" s="222" t="s">
        <v>7072</v>
      </c>
      <c r="G1672" s="223" t="s">
        <v>22872</v>
      </c>
      <c r="H1672" s="224"/>
      <c r="I1672" s="345"/>
      <c r="J1672" s="39">
        <v>115590</v>
      </c>
      <c r="K1672" s="36" t="str">
        <f>CONCATENATE(Cover!$D$6,"fdd/view?i=",J1672)</f>
        <v>https://www.dgiwg.org/FAD/fdd/view?i=115590</v>
      </c>
      <c r="L1672" s="36" t="s">
        <v>22873</v>
      </c>
      <c r="M1672" s="186"/>
      <c r="N1672" s="186"/>
      <c r="O1672" s="172"/>
    </row>
    <row r="1673" spans="1:15" ht="25.5" x14ac:dyDescent="0.2">
      <c r="A1673" s="197" t="str">
        <f t="shared" si="26"/>
        <v>AgdCode_highEnd</v>
      </c>
      <c r="B1673" s="409"/>
      <c r="C1673" s="416"/>
      <c r="D1673" s="198" t="s">
        <v>22874</v>
      </c>
      <c r="E1673" s="198">
        <v>2</v>
      </c>
      <c r="F1673" s="199" t="s">
        <v>22875</v>
      </c>
      <c r="G1673" s="1" t="s">
        <v>22876</v>
      </c>
      <c r="H1673" s="1" t="s">
        <v>22877</v>
      </c>
      <c r="I1673" s="346"/>
      <c r="J1673" s="39">
        <v>115591</v>
      </c>
      <c r="K1673" s="36" t="str">
        <f>CONCATENATE(Cover!$D$6,"fdd/view?i=",J1673)</f>
        <v>https://www.dgiwg.org/FAD/fdd/view?i=115591</v>
      </c>
      <c r="L1673" s="36" t="s">
        <v>22878</v>
      </c>
      <c r="M1673" s="186"/>
      <c r="N1673" s="186"/>
      <c r="O1673" s="172"/>
    </row>
    <row r="1674" spans="1:15" ht="25.5" x14ac:dyDescent="0.2">
      <c r="A1674" s="203" t="str">
        <f t="shared" si="26"/>
        <v>AgdCode_lowEnd</v>
      </c>
      <c r="B1674" s="410"/>
      <c r="C1674" s="417"/>
      <c r="D1674" s="204" t="s">
        <v>22879</v>
      </c>
      <c r="E1674" s="204">
        <v>3</v>
      </c>
      <c r="F1674" s="205" t="s">
        <v>22880</v>
      </c>
      <c r="G1674" s="206" t="s">
        <v>22881</v>
      </c>
      <c r="H1674" s="206" t="s">
        <v>22877</v>
      </c>
      <c r="I1674" s="347"/>
      <c r="J1674" s="39">
        <v>115592</v>
      </c>
      <c r="K1674" s="36" t="str">
        <f>CONCATENATE(Cover!$D$6,"fdd/view?i=",J1674)</f>
        <v>https://www.dgiwg.org/FAD/fdd/view?i=115592</v>
      </c>
      <c r="L1674" s="36" t="s">
        <v>22882</v>
      </c>
      <c r="M1674" s="186"/>
      <c r="N1674" s="186"/>
      <c r="O1674" s="172"/>
    </row>
    <row r="1675" spans="1:15" ht="25.5" x14ac:dyDescent="0.2">
      <c r="A1675" s="190" t="str">
        <f t="shared" si="26"/>
        <v>AcgCode_confirmedAvailable</v>
      </c>
      <c r="B1675" s="414" t="str">
        <f>HYPERLINK("[#]Datatypes!A190:L190","AcgCode")</f>
        <v>AcgCode</v>
      </c>
      <c r="C1675" s="415" t="s">
        <v>14744</v>
      </c>
      <c r="D1675" s="221" t="s">
        <v>22883</v>
      </c>
      <c r="E1675" s="221">
        <v>2</v>
      </c>
      <c r="F1675" s="222" t="s">
        <v>22884</v>
      </c>
      <c r="G1675" s="223" t="s">
        <v>22885</v>
      </c>
      <c r="H1675" s="224"/>
      <c r="I1675" s="345"/>
      <c r="J1675" s="39">
        <v>119265</v>
      </c>
      <c r="K1675" s="36" t="str">
        <f>CONCATENATE(Cover!$D$6,"fdd/view?i=",J1675)</f>
        <v>https://www.dgiwg.org/FAD/fdd/view?i=119265</v>
      </c>
      <c r="L1675" s="36" t="s">
        <v>22886</v>
      </c>
      <c r="M1675" s="186"/>
      <c r="N1675" s="186"/>
      <c r="O1675" s="172"/>
    </row>
    <row r="1676" spans="1:15" ht="25.5" x14ac:dyDescent="0.2">
      <c r="A1676" s="197" t="str">
        <f t="shared" si="26"/>
        <v>AcgCode_notAvailable</v>
      </c>
      <c r="B1676" s="409"/>
      <c r="C1676" s="416"/>
      <c r="D1676" s="198" t="s">
        <v>22887</v>
      </c>
      <c r="E1676" s="198">
        <v>1</v>
      </c>
      <c r="F1676" s="199" t="s">
        <v>22888</v>
      </c>
      <c r="G1676" s="1" t="s">
        <v>22889</v>
      </c>
      <c r="H1676" s="200"/>
      <c r="I1676" s="346"/>
      <c r="J1676" s="39">
        <v>119264</v>
      </c>
      <c r="K1676" s="36" t="str">
        <f>CONCATENATE(Cover!$D$6,"fdd/view?i=",J1676)</f>
        <v>https://www.dgiwg.org/FAD/fdd/view?i=119264</v>
      </c>
      <c r="L1676" s="36" t="s">
        <v>22890</v>
      </c>
      <c r="M1676" s="186"/>
      <c r="N1676" s="186"/>
      <c r="O1676" s="172"/>
    </row>
    <row r="1677" spans="1:15" ht="25.5" x14ac:dyDescent="0.2">
      <c r="A1677" s="203" t="str">
        <f t="shared" si="26"/>
        <v>AcgCode_unconfirmedAvailable</v>
      </c>
      <c r="B1677" s="410"/>
      <c r="C1677" s="417"/>
      <c r="D1677" s="204" t="s">
        <v>22891</v>
      </c>
      <c r="E1677" s="204">
        <v>3</v>
      </c>
      <c r="F1677" s="205" t="s">
        <v>22892</v>
      </c>
      <c r="G1677" s="206" t="s">
        <v>22893</v>
      </c>
      <c r="H1677" s="207"/>
      <c r="I1677" s="347"/>
      <c r="J1677" s="39">
        <v>119266</v>
      </c>
      <c r="K1677" s="36" t="str">
        <f>CONCATENATE(Cover!$D$6,"fdd/view?i=",J1677)</f>
        <v>https://www.dgiwg.org/FAD/fdd/view?i=119266</v>
      </c>
      <c r="L1677" s="36" t="s">
        <v>22894</v>
      </c>
      <c r="M1677" s="186"/>
      <c r="N1677" s="186"/>
      <c r="O1677" s="172"/>
    </row>
    <row r="1678" spans="1:15" x14ac:dyDescent="0.2">
      <c r="A1678" s="190" t="str">
        <f t="shared" si="26"/>
        <v>FfaCode_aviationFuel</v>
      </c>
      <c r="B1678" s="414" t="str">
        <f>HYPERLINK("[#]Datatypes!A192:L192","FfaCode")</f>
        <v>FfaCode</v>
      </c>
      <c r="C1678" s="415" t="s">
        <v>14746</v>
      </c>
      <c r="D1678" s="221" t="s">
        <v>22895</v>
      </c>
      <c r="E1678" s="221">
        <v>2</v>
      </c>
      <c r="F1678" s="222" t="s">
        <v>22896</v>
      </c>
      <c r="G1678" s="223" t="s">
        <v>22897</v>
      </c>
      <c r="H1678" s="223" t="s">
        <v>22898</v>
      </c>
      <c r="I1678" s="345"/>
      <c r="J1678" s="39">
        <v>103634</v>
      </c>
      <c r="K1678" s="36" t="str">
        <f>CONCATENATE(Cover!$D$6,"fdd/view?i=",J1678)</f>
        <v>https://www.dgiwg.org/FAD/fdd/view?i=103634</v>
      </c>
      <c r="L1678" s="36" t="s">
        <v>22899</v>
      </c>
      <c r="M1678" s="186"/>
      <c r="N1678" s="186"/>
      <c r="O1678" s="172"/>
    </row>
    <row r="1679" spans="1:15" ht="153" x14ac:dyDescent="0.2">
      <c r="A1679" s="197" t="str">
        <f t="shared" si="26"/>
        <v>FfaCode_biodiesel</v>
      </c>
      <c r="B1679" s="409"/>
      <c r="C1679" s="416"/>
      <c r="D1679" s="198" t="s">
        <v>22900</v>
      </c>
      <c r="E1679" s="198">
        <v>16</v>
      </c>
      <c r="F1679" s="199" t="s">
        <v>22901</v>
      </c>
      <c r="G1679" s="1" t="s">
        <v>22902</v>
      </c>
      <c r="H1679" s="1" t="s">
        <v>22903</v>
      </c>
      <c r="I1679" s="346"/>
      <c r="J1679" s="39">
        <v>119367</v>
      </c>
      <c r="K1679" s="36" t="str">
        <f>CONCATENATE(Cover!$D$6,"fdd/view?i=",J1679)</f>
        <v>https://www.dgiwg.org/FAD/fdd/view?i=119367</v>
      </c>
      <c r="L1679" s="36" t="s">
        <v>22904</v>
      </c>
      <c r="M1679" s="186"/>
      <c r="N1679" s="186"/>
      <c r="O1679" s="172"/>
    </row>
    <row r="1680" spans="1:15" ht="114.75" x14ac:dyDescent="0.2">
      <c r="A1680" s="197" t="str">
        <f t="shared" si="26"/>
        <v>FfaCode_biodieselBlend</v>
      </c>
      <c r="B1680" s="409"/>
      <c r="C1680" s="416"/>
      <c r="D1680" s="198" t="s">
        <v>22905</v>
      </c>
      <c r="E1680" s="198">
        <v>22</v>
      </c>
      <c r="F1680" s="199" t="s">
        <v>22906</v>
      </c>
      <c r="G1680" s="1" t="s">
        <v>22907</v>
      </c>
      <c r="H1680" s="1" t="s">
        <v>22908</v>
      </c>
      <c r="I1680" s="346"/>
      <c r="J1680" s="39">
        <v>119392</v>
      </c>
      <c r="K1680" s="36" t="str">
        <f>CONCATENATE(Cover!$D$6,"fdd/view?i=",J1680)</f>
        <v>https://www.dgiwg.org/FAD/fdd/view?i=119392</v>
      </c>
      <c r="L1680" s="36" t="s">
        <v>22909</v>
      </c>
      <c r="M1680" s="186"/>
      <c r="N1680" s="186"/>
      <c r="O1680" s="172"/>
    </row>
    <row r="1681" spans="1:15" ht="25.5" x14ac:dyDescent="0.2">
      <c r="A1681" s="197" t="str">
        <f t="shared" si="26"/>
        <v>FfaCode_butane</v>
      </c>
      <c r="B1681" s="409"/>
      <c r="C1681" s="416"/>
      <c r="D1681" s="198" t="s">
        <v>22910</v>
      </c>
      <c r="E1681" s="198">
        <v>13</v>
      </c>
      <c r="F1681" s="199" t="s">
        <v>22911</v>
      </c>
      <c r="G1681" s="1" t="s">
        <v>22912</v>
      </c>
      <c r="H1681" s="200"/>
      <c r="I1681" s="346"/>
      <c r="J1681" s="39">
        <v>103645</v>
      </c>
      <c r="K1681" s="36" t="str">
        <f>CONCATENATE(Cover!$D$6,"fdd/view?i=",J1681)</f>
        <v>https://www.dgiwg.org/FAD/fdd/view?i=103645</v>
      </c>
      <c r="L1681" s="36" t="s">
        <v>22913</v>
      </c>
      <c r="M1681" s="186"/>
      <c r="N1681" s="186"/>
      <c r="O1681" s="172"/>
    </row>
    <row r="1682" spans="1:15" ht="25.5" x14ac:dyDescent="0.2">
      <c r="A1682" s="197" t="str">
        <f t="shared" si="26"/>
        <v>FfaCode_coal</v>
      </c>
      <c r="B1682" s="409"/>
      <c r="C1682" s="416"/>
      <c r="D1682" s="198" t="s">
        <v>22914</v>
      </c>
      <c r="E1682" s="198">
        <v>6</v>
      </c>
      <c r="F1682" s="199" t="s">
        <v>22915</v>
      </c>
      <c r="G1682" s="1" t="s">
        <v>22916</v>
      </c>
      <c r="H1682" s="1" t="s">
        <v>22917</v>
      </c>
      <c r="I1682" s="346"/>
      <c r="J1682" s="39">
        <v>103638</v>
      </c>
      <c r="K1682" s="36" t="str">
        <f>CONCATENATE(Cover!$D$6,"fdd/view?i=",J1682)</f>
        <v>https://www.dgiwg.org/FAD/fdd/view?i=103638</v>
      </c>
      <c r="L1682" s="36" t="s">
        <v>22918</v>
      </c>
      <c r="M1682" s="186"/>
      <c r="N1682" s="186"/>
      <c r="O1682" s="172"/>
    </row>
    <row r="1683" spans="1:15" ht="38.25" x14ac:dyDescent="0.2">
      <c r="A1683" s="197" t="str">
        <f t="shared" si="26"/>
        <v>FfaCode_compressedNaturalGas</v>
      </c>
      <c r="B1683" s="409"/>
      <c r="C1683" s="416"/>
      <c r="D1683" s="198" t="s">
        <v>22919</v>
      </c>
      <c r="E1683" s="198">
        <v>12</v>
      </c>
      <c r="F1683" s="199" t="s">
        <v>22920</v>
      </c>
      <c r="G1683" s="1" t="s">
        <v>22921</v>
      </c>
      <c r="H1683" s="1" t="s">
        <v>22922</v>
      </c>
      <c r="I1683" s="346"/>
      <c r="J1683" s="39">
        <v>103644</v>
      </c>
      <c r="K1683" s="36" t="str">
        <f>CONCATENATE(Cover!$D$6,"fdd/view?i=",J1683)</f>
        <v>https://www.dgiwg.org/FAD/fdd/view?i=103644</v>
      </c>
      <c r="L1683" s="36" t="s">
        <v>22923</v>
      </c>
      <c r="M1683" s="186"/>
      <c r="N1683" s="186"/>
      <c r="O1683" s="172"/>
    </row>
    <row r="1684" spans="1:15" x14ac:dyDescent="0.2">
      <c r="A1684" s="197" t="str">
        <f t="shared" si="26"/>
        <v>FfaCode_dieselOil</v>
      </c>
      <c r="B1684" s="409"/>
      <c r="C1684" s="416"/>
      <c r="D1684" s="198" t="s">
        <v>22924</v>
      </c>
      <c r="E1684" s="198">
        <v>5</v>
      </c>
      <c r="F1684" s="199" t="s">
        <v>22925</v>
      </c>
      <c r="G1684" s="1" t="s">
        <v>22926</v>
      </c>
      <c r="H1684" s="200"/>
      <c r="I1684" s="351" t="s">
        <v>22927</v>
      </c>
      <c r="J1684" s="39">
        <v>103637</v>
      </c>
      <c r="K1684" s="36" t="str">
        <f>CONCATENATE(Cover!$D$6,"fdd/view?i=",J1684)</f>
        <v>https://www.dgiwg.org/FAD/fdd/view?i=103637</v>
      </c>
      <c r="L1684" s="36" t="s">
        <v>22928</v>
      </c>
      <c r="M1684" s="186"/>
      <c r="N1684" s="186"/>
      <c r="O1684" s="172"/>
    </row>
    <row r="1685" spans="1:15" ht="25.5" x14ac:dyDescent="0.2">
      <c r="A1685" s="197" t="str">
        <f t="shared" si="26"/>
        <v>FfaCode_ethanol</v>
      </c>
      <c r="B1685" s="409"/>
      <c r="C1685" s="416"/>
      <c r="D1685" s="198" t="s">
        <v>22929</v>
      </c>
      <c r="E1685" s="198">
        <v>14</v>
      </c>
      <c r="F1685" s="199" t="s">
        <v>22930</v>
      </c>
      <c r="G1685" s="1" t="s">
        <v>22931</v>
      </c>
      <c r="H1685" s="1" t="s">
        <v>22932</v>
      </c>
      <c r="I1685" s="351" t="s">
        <v>22933</v>
      </c>
      <c r="J1685" s="39">
        <v>103646</v>
      </c>
      <c r="K1685" s="36" t="str">
        <f>CONCATENATE(Cover!$D$6,"fdd/view?i=",J1685)</f>
        <v>https://www.dgiwg.org/FAD/fdd/view?i=103646</v>
      </c>
      <c r="L1685" s="36" t="s">
        <v>22934</v>
      </c>
      <c r="M1685" s="186"/>
      <c r="N1685" s="186"/>
      <c r="O1685" s="172"/>
    </row>
    <row r="1686" spans="1:15" ht="63.75" x14ac:dyDescent="0.2">
      <c r="A1686" s="197" t="str">
        <f t="shared" si="26"/>
        <v>FfaCode_ethanol85</v>
      </c>
      <c r="B1686" s="409"/>
      <c r="C1686" s="416"/>
      <c r="D1686" s="198" t="s">
        <v>22935</v>
      </c>
      <c r="E1686" s="198">
        <v>17</v>
      </c>
      <c r="F1686" s="199" t="s">
        <v>22936</v>
      </c>
      <c r="G1686" s="1" t="s">
        <v>22937</v>
      </c>
      <c r="H1686" s="1" t="s">
        <v>22938</v>
      </c>
      <c r="I1686" s="346"/>
      <c r="J1686" s="39">
        <v>119368</v>
      </c>
      <c r="K1686" s="36" t="str">
        <f>CONCATENATE(Cover!$D$6,"fdd/view?i=",J1686)</f>
        <v>https://www.dgiwg.org/FAD/fdd/view?i=119368</v>
      </c>
      <c r="L1686" s="36" t="s">
        <v>22939</v>
      </c>
      <c r="M1686" s="186"/>
      <c r="N1686" s="186"/>
      <c r="O1686" s="172"/>
    </row>
    <row r="1687" spans="1:15" ht="38.25" x14ac:dyDescent="0.2">
      <c r="A1687" s="197" t="str">
        <f t="shared" si="26"/>
        <v>FfaCode_hydrogen</v>
      </c>
      <c r="B1687" s="409"/>
      <c r="C1687" s="416"/>
      <c r="D1687" s="198" t="s">
        <v>22940</v>
      </c>
      <c r="E1687" s="198">
        <v>18</v>
      </c>
      <c r="F1687" s="199" t="s">
        <v>22941</v>
      </c>
      <c r="G1687" s="1" t="s">
        <v>22942</v>
      </c>
      <c r="H1687" s="1" t="s">
        <v>22943</v>
      </c>
      <c r="I1687" s="346"/>
      <c r="J1687" s="39">
        <v>119369</v>
      </c>
      <c r="K1687" s="36" t="str">
        <f>CONCATENATE(Cover!$D$6,"fdd/view?i=",J1687)</f>
        <v>https://www.dgiwg.org/FAD/fdd/view?i=119369</v>
      </c>
      <c r="L1687" s="36" t="s">
        <v>22944</v>
      </c>
      <c r="M1687" s="186"/>
      <c r="N1687" s="186"/>
      <c r="O1687" s="172"/>
    </row>
    <row r="1688" spans="1:15" ht="25.5" x14ac:dyDescent="0.2">
      <c r="A1688" s="197" t="str">
        <f t="shared" si="26"/>
        <v>FfaCode_hythane</v>
      </c>
      <c r="B1688" s="409"/>
      <c r="C1688" s="416"/>
      <c r="D1688" s="198" t="s">
        <v>22945</v>
      </c>
      <c r="E1688" s="198">
        <v>19</v>
      </c>
      <c r="F1688" s="199" t="s">
        <v>22946</v>
      </c>
      <c r="G1688" s="1" t="s">
        <v>22947</v>
      </c>
      <c r="H1688" s="1" t="s">
        <v>22948</v>
      </c>
      <c r="I1688" s="351" t="s">
        <v>22949</v>
      </c>
      <c r="J1688" s="39">
        <v>119370</v>
      </c>
      <c r="K1688" s="36" t="str">
        <f>CONCATENATE(Cover!$D$6,"fdd/view?i=",J1688)</f>
        <v>https://www.dgiwg.org/FAD/fdd/view?i=119370</v>
      </c>
      <c r="L1688" s="36" t="s">
        <v>22950</v>
      </c>
      <c r="M1688" s="186"/>
      <c r="N1688" s="186"/>
      <c r="O1688" s="172"/>
    </row>
    <row r="1689" spans="1:15" ht="25.5" x14ac:dyDescent="0.2">
      <c r="A1689" s="197" t="str">
        <f t="shared" si="26"/>
        <v>FfaCode_kerosene</v>
      </c>
      <c r="B1689" s="409"/>
      <c r="C1689" s="416"/>
      <c r="D1689" s="198" t="s">
        <v>22951</v>
      </c>
      <c r="E1689" s="198">
        <v>3</v>
      </c>
      <c r="F1689" s="199" t="s">
        <v>22952</v>
      </c>
      <c r="G1689" s="1" t="s">
        <v>22953</v>
      </c>
      <c r="H1689" s="1" t="s">
        <v>22954</v>
      </c>
      <c r="I1689" s="351" t="s">
        <v>22955</v>
      </c>
      <c r="J1689" s="39">
        <v>103635</v>
      </c>
      <c r="K1689" s="36" t="str">
        <f>CONCATENATE(Cover!$D$6,"fdd/view?i=",J1689)</f>
        <v>https://www.dgiwg.org/FAD/fdd/view?i=103635</v>
      </c>
      <c r="L1689" s="36" t="s">
        <v>22956</v>
      </c>
      <c r="M1689" s="186"/>
      <c r="N1689" s="186"/>
      <c r="O1689" s="172"/>
    </row>
    <row r="1690" spans="1:15" ht="38.25" x14ac:dyDescent="0.2">
      <c r="A1690" s="197" t="str">
        <f t="shared" si="26"/>
        <v>FfaCode_liquefiedNaturalGas</v>
      </c>
      <c r="B1690" s="409"/>
      <c r="C1690" s="416"/>
      <c r="D1690" s="198" t="s">
        <v>22957</v>
      </c>
      <c r="E1690" s="198">
        <v>20</v>
      </c>
      <c r="F1690" s="199" t="s">
        <v>22958</v>
      </c>
      <c r="G1690" s="1" t="s">
        <v>22959</v>
      </c>
      <c r="H1690" s="1" t="s">
        <v>22960</v>
      </c>
      <c r="I1690" s="351" t="s">
        <v>22961</v>
      </c>
      <c r="J1690" s="39">
        <v>119371</v>
      </c>
      <c r="K1690" s="36" t="str">
        <f>CONCATENATE(Cover!$D$6,"fdd/view?i=",J1690)</f>
        <v>https://www.dgiwg.org/FAD/fdd/view?i=119371</v>
      </c>
      <c r="L1690" s="36" t="s">
        <v>22962</v>
      </c>
      <c r="M1690" s="186"/>
      <c r="N1690" s="186"/>
      <c r="O1690" s="172"/>
    </row>
    <row r="1691" spans="1:15" ht="89.25" x14ac:dyDescent="0.2">
      <c r="A1691" s="197" t="str">
        <f t="shared" si="26"/>
        <v>FfaCode_liquefiedPetroleumGas</v>
      </c>
      <c r="B1691" s="409"/>
      <c r="C1691" s="416"/>
      <c r="D1691" s="198" t="s">
        <v>22963</v>
      </c>
      <c r="E1691" s="198">
        <v>11</v>
      </c>
      <c r="F1691" s="199" t="s">
        <v>22964</v>
      </c>
      <c r="G1691" s="1" t="s">
        <v>22965</v>
      </c>
      <c r="H1691" s="1" t="s">
        <v>22966</v>
      </c>
      <c r="I1691" s="346"/>
      <c r="J1691" s="39">
        <v>103643</v>
      </c>
      <c r="K1691" s="36" t="str">
        <f>CONCATENATE(Cover!$D$6,"fdd/view?i=",J1691)</f>
        <v>https://www.dgiwg.org/FAD/fdd/view?i=103643</v>
      </c>
      <c r="L1691" s="36" t="s">
        <v>22967</v>
      </c>
      <c r="M1691" s="186"/>
      <c r="N1691" s="186"/>
      <c r="O1691" s="172"/>
    </row>
    <row r="1692" spans="1:15" x14ac:dyDescent="0.2">
      <c r="A1692" s="197" t="str">
        <f t="shared" si="26"/>
        <v>FfaCode_lubricants</v>
      </c>
      <c r="B1692" s="409"/>
      <c r="C1692" s="416"/>
      <c r="D1692" s="198" t="s">
        <v>22968</v>
      </c>
      <c r="E1692" s="198">
        <v>8</v>
      </c>
      <c r="F1692" s="199" t="s">
        <v>22969</v>
      </c>
      <c r="G1692" s="1" t="s">
        <v>22970</v>
      </c>
      <c r="H1692" s="200"/>
      <c r="I1692" s="346"/>
      <c r="J1692" s="39">
        <v>103640</v>
      </c>
      <c r="K1692" s="36" t="str">
        <f>CONCATENATE(Cover!$D$6,"fdd/view?i=",J1692)</f>
        <v>https://www.dgiwg.org/FAD/fdd/view?i=103640</v>
      </c>
      <c r="L1692" s="36" t="s">
        <v>22971</v>
      </c>
      <c r="M1692" s="186"/>
      <c r="N1692" s="186"/>
      <c r="O1692" s="172"/>
    </row>
    <row r="1693" spans="1:15" ht="38.25" x14ac:dyDescent="0.2">
      <c r="A1693" s="197" t="str">
        <f t="shared" si="26"/>
        <v>FfaCode_methane</v>
      </c>
      <c r="B1693" s="409"/>
      <c r="C1693" s="416"/>
      <c r="D1693" s="198" t="s">
        <v>22972</v>
      </c>
      <c r="E1693" s="198">
        <v>9</v>
      </c>
      <c r="F1693" s="199" t="s">
        <v>22973</v>
      </c>
      <c r="G1693" s="1" t="s">
        <v>22974</v>
      </c>
      <c r="H1693" s="1" t="s">
        <v>22975</v>
      </c>
      <c r="I1693" s="346"/>
      <c r="J1693" s="39">
        <v>103641</v>
      </c>
      <c r="K1693" s="36" t="str">
        <f>CONCATENATE(Cover!$D$6,"fdd/view?i=",J1693)</f>
        <v>https://www.dgiwg.org/FAD/fdd/view?i=103641</v>
      </c>
      <c r="L1693" s="36" t="s">
        <v>22976</v>
      </c>
      <c r="M1693" s="186"/>
      <c r="N1693" s="186"/>
      <c r="O1693" s="172"/>
    </row>
    <row r="1694" spans="1:15" ht="25.5" x14ac:dyDescent="0.2">
      <c r="A1694" s="197" t="str">
        <f t="shared" si="26"/>
        <v>FfaCode_noPolAvailable</v>
      </c>
      <c r="B1694" s="409"/>
      <c r="C1694" s="416"/>
      <c r="D1694" s="198" t="s">
        <v>22977</v>
      </c>
      <c r="E1694" s="198">
        <v>15</v>
      </c>
      <c r="F1694" s="199" t="s">
        <v>22978</v>
      </c>
      <c r="G1694" s="1" t="s">
        <v>22979</v>
      </c>
      <c r="H1694" s="200"/>
      <c r="I1694" s="346"/>
      <c r="J1694" s="39">
        <v>103647</v>
      </c>
      <c r="K1694" s="36" t="str">
        <f>CONCATENATE(Cover!$D$6,"fdd/view?i=",J1694)</f>
        <v>https://www.dgiwg.org/FAD/fdd/view?i=103647</v>
      </c>
      <c r="L1694" s="36" t="s">
        <v>22980</v>
      </c>
      <c r="M1694" s="186"/>
      <c r="N1694" s="186"/>
      <c r="O1694" s="172"/>
    </row>
    <row r="1695" spans="1:15" ht="38.25" x14ac:dyDescent="0.2">
      <c r="A1695" s="197" t="str">
        <f t="shared" si="26"/>
        <v>FfaCode_oil</v>
      </c>
      <c r="B1695" s="409"/>
      <c r="C1695" s="416"/>
      <c r="D1695" s="198" t="s">
        <v>22981</v>
      </c>
      <c r="E1695" s="198">
        <v>7</v>
      </c>
      <c r="F1695" s="199" t="s">
        <v>22982</v>
      </c>
      <c r="G1695" s="1" t="s">
        <v>22983</v>
      </c>
      <c r="H1695" s="200"/>
      <c r="I1695" s="346"/>
      <c r="J1695" s="39">
        <v>103639</v>
      </c>
      <c r="K1695" s="36" t="str">
        <f>CONCATENATE(Cover!$D$6,"fdd/view?i=",J1695)</f>
        <v>https://www.dgiwg.org/FAD/fdd/view?i=103639</v>
      </c>
      <c r="L1695" s="36" t="s">
        <v>22984</v>
      </c>
      <c r="M1695" s="186"/>
      <c r="N1695" s="186"/>
      <c r="O1695" s="172"/>
    </row>
    <row r="1696" spans="1:15" x14ac:dyDescent="0.2">
      <c r="A1696" s="197" t="str">
        <f t="shared" si="26"/>
        <v>FfaCode_petrol</v>
      </c>
      <c r="B1696" s="409"/>
      <c r="C1696" s="416"/>
      <c r="D1696" s="198" t="s">
        <v>22985</v>
      </c>
      <c r="E1696" s="198">
        <v>1</v>
      </c>
      <c r="F1696" s="199" t="s">
        <v>22986</v>
      </c>
      <c r="G1696" s="1" t="s">
        <v>22987</v>
      </c>
      <c r="H1696" s="200"/>
      <c r="I1696" s="351" t="s">
        <v>22988</v>
      </c>
      <c r="J1696" s="39">
        <v>103633</v>
      </c>
      <c r="K1696" s="36" t="str">
        <f>CONCATENATE(Cover!$D$6,"fdd/view?i=",J1696)</f>
        <v>https://www.dgiwg.org/FAD/fdd/view?i=103633</v>
      </c>
      <c r="L1696" s="36" t="s">
        <v>22989</v>
      </c>
      <c r="M1696" s="186"/>
      <c r="N1696" s="186"/>
      <c r="O1696" s="172"/>
    </row>
    <row r="1697" spans="1:15" ht="140.25" x14ac:dyDescent="0.2">
      <c r="A1697" s="197" t="str">
        <f t="shared" si="26"/>
        <v>FfaCode_propane</v>
      </c>
      <c r="B1697" s="409"/>
      <c r="C1697" s="416"/>
      <c r="D1697" s="198" t="s">
        <v>22990</v>
      </c>
      <c r="E1697" s="198">
        <v>21</v>
      </c>
      <c r="F1697" s="199" t="s">
        <v>22991</v>
      </c>
      <c r="G1697" s="1" t="s">
        <v>22992</v>
      </c>
      <c r="H1697" s="1" t="s">
        <v>22993</v>
      </c>
      <c r="I1697" s="346"/>
      <c r="J1697" s="39">
        <v>119372</v>
      </c>
      <c r="K1697" s="36" t="str">
        <f>CONCATENATE(Cover!$D$6,"fdd/view?i=",J1697)</f>
        <v>https://www.dgiwg.org/FAD/fdd/view?i=119372</v>
      </c>
      <c r="L1697" s="36" t="s">
        <v>22994</v>
      </c>
      <c r="M1697" s="186"/>
      <c r="N1697" s="186"/>
      <c r="O1697" s="172"/>
    </row>
    <row r="1698" spans="1:15" ht="38.25" x14ac:dyDescent="0.2">
      <c r="A1698" s="197" t="str">
        <f t="shared" si="26"/>
        <v>FfaCode_specialFuel</v>
      </c>
      <c r="B1698" s="409"/>
      <c r="C1698" s="416"/>
      <c r="D1698" s="198" t="s">
        <v>22995</v>
      </c>
      <c r="E1698" s="198">
        <v>10</v>
      </c>
      <c r="F1698" s="199" t="s">
        <v>22996</v>
      </c>
      <c r="G1698" s="1" t="s">
        <v>22997</v>
      </c>
      <c r="H1698" s="1" t="s">
        <v>22998</v>
      </c>
      <c r="I1698" s="346"/>
      <c r="J1698" s="39">
        <v>103642</v>
      </c>
      <c r="K1698" s="36" t="str">
        <f>CONCATENATE(Cover!$D$6,"fdd/view?i=",J1698)</f>
        <v>https://www.dgiwg.org/FAD/fdd/view?i=103642</v>
      </c>
      <c r="L1698" s="36" t="s">
        <v>22999</v>
      </c>
      <c r="M1698" s="186"/>
      <c r="N1698" s="186"/>
      <c r="O1698" s="172"/>
    </row>
    <row r="1699" spans="1:15" ht="25.5" x14ac:dyDescent="0.2">
      <c r="A1699" s="203" t="str">
        <f t="shared" si="26"/>
        <v>FfaCode_water</v>
      </c>
      <c r="B1699" s="410"/>
      <c r="C1699" s="417"/>
      <c r="D1699" s="204" t="s">
        <v>19606</v>
      </c>
      <c r="E1699" s="204">
        <v>4</v>
      </c>
      <c r="F1699" s="205" t="s">
        <v>19607</v>
      </c>
      <c r="G1699" s="206" t="s">
        <v>23000</v>
      </c>
      <c r="H1699" s="206" t="s">
        <v>23001</v>
      </c>
      <c r="I1699" s="347"/>
      <c r="J1699" s="39">
        <v>103636</v>
      </c>
      <c r="K1699" s="36" t="str">
        <f>CONCATENATE(Cover!$D$6,"fdd/view?i=",J1699)</f>
        <v>https://www.dgiwg.org/FAD/fdd/view?i=103636</v>
      </c>
      <c r="L1699" s="36" t="s">
        <v>23002</v>
      </c>
      <c r="M1699" s="186"/>
      <c r="N1699" s="186"/>
      <c r="O1699" s="172"/>
    </row>
    <row r="1700" spans="1:15" ht="25.5" x14ac:dyDescent="0.2">
      <c r="A1700" s="190" t="str">
        <f t="shared" si="26"/>
        <v>MfaCode_aircraftFabrication</v>
      </c>
      <c r="B1700" s="414" t="str">
        <f>HYPERLINK("[#]Datatypes!A194:L194","MfaCode")</f>
        <v>MfaCode</v>
      </c>
      <c r="C1700" s="415" t="s">
        <v>14748</v>
      </c>
      <c r="D1700" s="221" t="s">
        <v>23003</v>
      </c>
      <c r="E1700" s="221">
        <v>8</v>
      </c>
      <c r="F1700" s="222" t="s">
        <v>23004</v>
      </c>
      <c r="G1700" s="223" t="s">
        <v>23005</v>
      </c>
      <c r="H1700" s="224"/>
      <c r="I1700" s="345"/>
      <c r="J1700" s="39">
        <v>105616</v>
      </c>
      <c r="K1700" s="36" t="str">
        <f>CONCATENATE(Cover!$D$6,"fdd/view?i=",J1700)</f>
        <v>https://www.dgiwg.org/FAD/fdd/view?i=105616</v>
      </c>
      <c r="L1700" s="36" t="s">
        <v>23006</v>
      </c>
      <c r="M1700" s="186"/>
      <c r="N1700" s="186"/>
      <c r="O1700" s="172"/>
    </row>
    <row r="1701" spans="1:15" x14ac:dyDescent="0.2">
      <c r="A1701" s="197" t="str">
        <f t="shared" si="26"/>
        <v>MfaCode_aircraftRepair</v>
      </c>
      <c r="B1701" s="409"/>
      <c r="C1701" s="416"/>
      <c r="D1701" s="198" t="s">
        <v>21023</v>
      </c>
      <c r="E1701" s="198">
        <v>7</v>
      </c>
      <c r="F1701" s="199" t="s">
        <v>21024</v>
      </c>
      <c r="G1701" s="1" t="s">
        <v>23007</v>
      </c>
      <c r="H1701" s="200"/>
      <c r="I1701" s="346"/>
      <c r="J1701" s="39">
        <v>105615</v>
      </c>
      <c r="K1701" s="36" t="str">
        <f>CONCATENATE(Cover!$D$6,"fdd/view?i=",J1701)</f>
        <v>https://www.dgiwg.org/FAD/fdd/view?i=105615</v>
      </c>
      <c r="L1701" s="36" t="s">
        <v>23008</v>
      </c>
      <c r="M1701" s="186"/>
      <c r="N1701" s="186"/>
      <c r="O1701" s="172"/>
    </row>
    <row r="1702" spans="1:15" ht="25.5" x14ac:dyDescent="0.2">
      <c r="A1702" s="197" t="str">
        <f t="shared" si="26"/>
        <v>MfaCode_bargeFabrication</v>
      </c>
      <c r="B1702" s="409"/>
      <c r="C1702" s="416"/>
      <c r="D1702" s="198" t="s">
        <v>23009</v>
      </c>
      <c r="E1702" s="198">
        <v>4</v>
      </c>
      <c r="F1702" s="199" t="s">
        <v>23010</v>
      </c>
      <c r="G1702" s="1" t="s">
        <v>23011</v>
      </c>
      <c r="H1702" s="200"/>
      <c r="I1702" s="346"/>
      <c r="J1702" s="39">
        <v>105612</v>
      </c>
      <c r="K1702" s="36" t="str">
        <f>CONCATENATE(Cover!$D$6,"fdd/view?i=",J1702)</f>
        <v>https://www.dgiwg.org/FAD/fdd/view?i=105612</v>
      </c>
      <c r="L1702" s="36" t="s">
        <v>23012</v>
      </c>
      <c r="M1702" s="186"/>
      <c r="N1702" s="186"/>
      <c r="O1702" s="172"/>
    </row>
    <row r="1703" spans="1:15" x14ac:dyDescent="0.2">
      <c r="A1703" s="197" t="str">
        <f t="shared" si="26"/>
        <v>MfaCode_bargeRepair</v>
      </c>
      <c r="B1703" s="409"/>
      <c r="C1703" s="416"/>
      <c r="D1703" s="198" t="s">
        <v>23013</v>
      </c>
      <c r="E1703" s="198">
        <v>3</v>
      </c>
      <c r="F1703" s="199" t="s">
        <v>23014</v>
      </c>
      <c r="G1703" s="1" t="s">
        <v>23015</v>
      </c>
      <c r="H1703" s="200"/>
      <c r="I1703" s="346"/>
      <c r="J1703" s="39">
        <v>105611</v>
      </c>
      <c r="K1703" s="36" t="str">
        <f>CONCATENATE(Cover!$D$6,"fdd/view?i=",J1703)</f>
        <v>https://www.dgiwg.org/FAD/fdd/view?i=105611</v>
      </c>
      <c r="L1703" s="36" t="s">
        <v>23016</v>
      </c>
      <c r="M1703" s="186"/>
      <c r="N1703" s="186"/>
      <c r="O1703" s="172"/>
    </row>
    <row r="1704" spans="1:15" x14ac:dyDescent="0.2">
      <c r="A1704" s="197" t="str">
        <f t="shared" si="26"/>
        <v>MfaCode_boatHoist</v>
      </c>
      <c r="B1704" s="409"/>
      <c r="C1704" s="416"/>
      <c r="D1704" s="198" t="s">
        <v>23017</v>
      </c>
      <c r="E1704" s="198">
        <v>14</v>
      </c>
      <c r="F1704" s="199" t="s">
        <v>23018</v>
      </c>
      <c r="G1704" s="1" t="s">
        <v>23019</v>
      </c>
      <c r="H1704" s="200"/>
      <c r="I1704" s="346"/>
      <c r="J1704" s="39">
        <v>105622</v>
      </c>
      <c r="K1704" s="36" t="str">
        <f>CONCATENATE(Cover!$D$6,"fdd/view?i=",J1704)</f>
        <v>https://www.dgiwg.org/FAD/fdd/view?i=105622</v>
      </c>
      <c r="L1704" s="36" t="s">
        <v>23020</v>
      </c>
      <c r="M1704" s="186"/>
      <c r="N1704" s="186"/>
      <c r="O1704" s="172"/>
    </row>
    <row r="1705" spans="1:15" ht="25.5" x14ac:dyDescent="0.2">
      <c r="A1705" s="197" t="str">
        <f t="shared" si="26"/>
        <v>MfaCode_generalElecFabrication</v>
      </c>
      <c r="B1705" s="409"/>
      <c r="C1705" s="416"/>
      <c r="D1705" s="198" t="s">
        <v>23021</v>
      </c>
      <c r="E1705" s="198">
        <v>16</v>
      </c>
      <c r="F1705" s="199" t="s">
        <v>23022</v>
      </c>
      <c r="G1705" s="1" t="s">
        <v>23023</v>
      </c>
      <c r="H1705" s="200"/>
      <c r="I1705" s="346"/>
      <c r="J1705" s="39">
        <v>105624</v>
      </c>
      <c r="K1705" s="36" t="str">
        <f>CONCATENATE(Cover!$D$6,"fdd/view?i=",J1705)</f>
        <v>https://www.dgiwg.org/FAD/fdd/view?i=105624</v>
      </c>
      <c r="L1705" s="36" t="s">
        <v>23024</v>
      </c>
      <c r="M1705" s="186"/>
      <c r="N1705" s="186"/>
      <c r="O1705" s="172"/>
    </row>
    <row r="1706" spans="1:15" ht="25.5" x14ac:dyDescent="0.2">
      <c r="A1706" s="197" t="str">
        <f t="shared" si="26"/>
        <v>MfaCode_generalFabrication</v>
      </c>
      <c r="B1706" s="409"/>
      <c r="C1706" s="416"/>
      <c r="D1706" s="198" t="s">
        <v>23025</v>
      </c>
      <c r="E1706" s="198">
        <v>17</v>
      </c>
      <c r="F1706" s="199" t="s">
        <v>23026</v>
      </c>
      <c r="G1706" s="1" t="s">
        <v>23027</v>
      </c>
      <c r="H1706" s="200"/>
      <c r="I1706" s="346"/>
      <c r="J1706" s="39">
        <v>105625</v>
      </c>
      <c r="K1706" s="36" t="str">
        <f>CONCATENATE(Cover!$D$6,"fdd/view?i=",J1706)</f>
        <v>https://www.dgiwg.org/FAD/fdd/view?i=105625</v>
      </c>
      <c r="L1706" s="36" t="s">
        <v>23028</v>
      </c>
      <c r="M1706" s="186"/>
      <c r="N1706" s="186"/>
      <c r="O1706" s="172"/>
    </row>
    <row r="1707" spans="1:15" ht="25.5" x14ac:dyDescent="0.2">
      <c r="A1707" s="197" t="str">
        <f t="shared" si="26"/>
        <v>MfaCode_generalMechFabrication</v>
      </c>
      <c r="B1707" s="409"/>
      <c r="C1707" s="416"/>
      <c r="D1707" s="198" t="s">
        <v>23029</v>
      </c>
      <c r="E1707" s="198">
        <v>15</v>
      </c>
      <c r="F1707" s="199" t="s">
        <v>23030</v>
      </c>
      <c r="G1707" s="1" t="s">
        <v>23031</v>
      </c>
      <c r="H1707" s="200"/>
      <c r="I1707" s="346"/>
      <c r="J1707" s="39">
        <v>105623</v>
      </c>
      <c r="K1707" s="36" t="str">
        <f>CONCATENATE(Cover!$D$6,"fdd/view?i=",J1707)</f>
        <v>https://www.dgiwg.org/FAD/fdd/view?i=105623</v>
      </c>
      <c r="L1707" s="36" t="s">
        <v>23032</v>
      </c>
      <c r="M1707" s="186"/>
      <c r="N1707" s="186"/>
      <c r="O1707" s="172"/>
    </row>
    <row r="1708" spans="1:15" ht="25.5" x14ac:dyDescent="0.2">
      <c r="A1708" s="197" t="str">
        <f t="shared" si="26"/>
        <v>MfaCode_inspectionRamp</v>
      </c>
      <c r="B1708" s="409"/>
      <c r="C1708" s="416"/>
      <c r="D1708" s="198" t="s">
        <v>23033</v>
      </c>
      <c r="E1708" s="198">
        <v>13</v>
      </c>
      <c r="F1708" s="199" t="s">
        <v>23034</v>
      </c>
      <c r="G1708" s="1" t="s">
        <v>23035</v>
      </c>
      <c r="H1708" s="200"/>
      <c r="I1708" s="346"/>
      <c r="J1708" s="39">
        <v>105621</v>
      </c>
      <c r="K1708" s="36" t="str">
        <f>CONCATENATE(Cover!$D$6,"fdd/view?i=",J1708)</f>
        <v>https://www.dgiwg.org/FAD/fdd/view?i=105621</v>
      </c>
      <c r="L1708" s="36" t="s">
        <v>23036</v>
      </c>
      <c r="M1708" s="186"/>
      <c r="N1708" s="186"/>
      <c r="O1708" s="172"/>
    </row>
    <row r="1709" spans="1:15" ht="25.5" x14ac:dyDescent="0.2">
      <c r="A1709" s="197" t="str">
        <f t="shared" si="26"/>
        <v>MfaCode_locomotiveFabrication</v>
      </c>
      <c r="B1709" s="409"/>
      <c r="C1709" s="416"/>
      <c r="D1709" s="198" t="s">
        <v>23037</v>
      </c>
      <c r="E1709" s="198">
        <v>6</v>
      </c>
      <c r="F1709" s="199" t="s">
        <v>23038</v>
      </c>
      <c r="G1709" s="1" t="s">
        <v>23039</v>
      </c>
      <c r="H1709" s="200"/>
      <c r="I1709" s="346"/>
      <c r="J1709" s="39">
        <v>105614</v>
      </c>
      <c r="K1709" s="36" t="str">
        <f>CONCATENATE(Cover!$D$6,"fdd/view?i=",J1709)</f>
        <v>https://www.dgiwg.org/FAD/fdd/view?i=105614</v>
      </c>
      <c r="L1709" s="36" t="s">
        <v>23040</v>
      </c>
      <c r="M1709" s="186"/>
      <c r="N1709" s="186"/>
      <c r="O1709" s="172"/>
    </row>
    <row r="1710" spans="1:15" ht="25.5" x14ac:dyDescent="0.2">
      <c r="A1710" s="197" t="str">
        <f t="shared" si="26"/>
        <v>MfaCode_locomotiveRepair</v>
      </c>
      <c r="B1710" s="409"/>
      <c r="C1710" s="416"/>
      <c r="D1710" s="198" t="s">
        <v>23041</v>
      </c>
      <c r="E1710" s="198">
        <v>5</v>
      </c>
      <c r="F1710" s="199" t="s">
        <v>23042</v>
      </c>
      <c r="G1710" s="1" t="s">
        <v>23043</v>
      </c>
      <c r="H1710" s="200"/>
      <c r="I1710" s="346"/>
      <c r="J1710" s="39">
        <v>105613</v>
      </c>
      <c r="K1710" s="36" t="str">
        <f>CONCATENATE(Cover!$D$6,"fdd/view?i=",J1710)</f>
        <v>https://www.dgiwg.org/FAD/fdd/view?i=105613</v>
      </c>
      <c r="L1710" s="36" t="s">
        <v>23044</v>
      </c>
      <c r="M1710" s="186"/>
      <c r="N1710" s="186"/>
      <c r="O1710" s="172"/>
    </row>
    <row r="1711" spans="1:15" x14ac:dyDescent="0.2">
      <c r="A1711" s="197" t="str">
        <f t="shared" si="26"/>
        <v>MfaCode_noneAvailable</v>
      </c>
      <c r="B1711" s="409"/>
      <c r="C1711" s="416"/>
      <c r="D1711" s="198" t="s">
        <v>20027</v>
      </c>
      <c r="E1711" s="198">
        <v>18</v>
      </c>
      <c r="F1711" s="199" t="s">
        <v>23045</v>
      </c>
      <c r="G1711" s="1" t="s">
        <v>23046</v>
      </c>
      <c r="H1711" s="200"/>
      <c r="I1711" s="346"/>
      <c r="J1711" s="39">
        <v>105626</v>
      </c>
      <c r="K1711" s="36" t="str">
        <f>CONCATENATE(Cover!$D$6,"fdd/view?i=",J1711)</f>
        <v>https://www.dgiwg.org/FAD/fdd/view?i=105626</v>
      </c>
      <c r="L1711" s="36" t="s">
        <v>23047</v>
      </c>
      <c r="M1711" s="186"/>
      <c r="N1711" s="186"/>
      <c r="O1711" s="172"/>
    </row>
    <row r="1712" spans="1:15" ht="25.5" x14ac:dyDescent="0.2">
      <c r="A1712" s="197" t="str">
        <f t="shared" si="26"/>
        <v>MfaCode_roadVehicleFabrication</v>
      </c>
      <c r="B1712" s="409"/>
      <c r="C1712" s="416"/>
      <c r="D1712" s="198" t="s">
        <v>23048</v>
      </c>
      <c r="E1712" s="198">
        <v>10</v>
      </c>
      <c r="F1712" s="199" t="s">
        <v>23049</v>
      </c>
      <c r="G1712" s="1" t="s">
        <v>23050</v>
      </c>
      <c r="H1712" s="200"/>
      <c r="I1712" s="346"/>
      <c r="J1712" s="39">
        <v>105618</v>
      </c>
      <c r="K1712" s="36" t="str">
        <f>CONCATENATE(Cover!$D$6,"fdd/view?i=",J1712)</f>
        <v>https://www.dgiwg.org/FAD/fdd/view?i=105618</v>
      </c>
      <c r="L1712" s="36" t="s">
        <v>23051</v>
      </c>
      <c r="M1712" s="186"/>
      <c r="N1712" s="186"/>
      <c r="O1712" s="172"/>
    </row>
    <row r="1713" spans="1:15" ht="25.5" x14ac:dyDescent="0.2">
      <c r="A1713" s="197" t="str">
        <f t="shared" si="26"/>
        <v>MfaCode_roadVehicleRepair</v>
      </c>
      <c r="B1713" s="409"/>
      <c r="C1713" s="416"/>
      <c r="D1713" s="198" t="s">
        <v>23052</v>
      </c>
      <c r="E1713" s="198">
        <v>9</v>
      </c>
      <c r="F1713" s="199" t="s">
        <v>23053</v>
      </c>
      <c r="G1713" s="1" t="s">
        <v>23054</v>
      </c>
      <c r="H1713" s="200"/>
      <c r="I1713" s="346"/>
      <c r="J1713" s="39">
        <v>105617</v>
      </c>
      <c r="K1713" s="36" t="str">
        <f>CONCATENATE(Cover!$D$6,"fdd/view?i=",J1713)</f>
        <v>https://www.dgiwg.org/FAD/fdd/view?i=105617</v>
      </c>
      <c r="L1713" s="36" t="s">
        <v>23055</v>
      </c>
      <c r="M1713" s="186"/>
      <c r="N1713" s="186"/>
      <c r="O1713" s="172"/>
    </row>
    <row r="1714" spans="1:15" x14ac:dyDescent="0.2">
      <c r="A1714" s="197" t="str">
        <f t="shared" si="26"/>
        <v>MfaCode_sailmaker</v>
      </c>
      <c r="B1714" s="409"/>
      <c r="C1714" s="416"/>
      <c r="D1714" s="198" t="s">
        <v>23056</v>
      </c>
      <c r="E1714" s="198">
        <v>12</v>
      </c>
      <c r="F1714" s="199" t="s">
        <v>23057</v>
      </c>
      <c r="G1714" s="1" t="s">
        <v>23058</v>
      </c>
      <c r="H1714" s="200"/>
      <c r="I1714" s="346"/>
      <c r="J1714" s="39">
        <v>105620</v>
      </c>
      <c r="K1714" s="36" t="str">
        <f>CONCATENATE(Cover!$D$6,"fdd/view?i=",J1714)</f>
        <v>https://www.dgiwg.org/FAD/fdd/view?i=105620</v>
      </c>
      <c r="L1714" s="36" t="s">
        <v>23059</v>
      </c>
      <c r="M1714" s="186"/>
      <c r="N1714" s="186"/>
      <c r="O1714" s="172"/>
    </row>
    <row r="1715" spans="1:15" ht="25.5" x14ac:dyDescent="0.2">
      <c r="A1715" s="197" t="str">
        <f t="shared" si="26"/>
        <v>MfaCode_shipFabrication</v>
      </c>
      <c r="B1715" s="409"/>
      <c r="C1715" s="416"/>
      <c r="D1715" s="198" t="s">
        <v>23060</v>
      </c>
      <c r="E1715" s="198">
        <v>2</v>
      </c>
      <c r="F1715" s="199" t="s">
        <v>23061</v>
      </c>
      <c r="G1715" s="1" t="s">
        <v>23062</v>
      </c>
      <c r="H1715" s="200"/>
      <c r="I1715" s="346"/>
      <c r="J1715" s="39">
        <v>105610</v>
      </c>
      <c r="K1715" s="36" t="str">
        <f>CONCATENATE(Cover!$D$6,"fdd/view?i=",J1715)</f>
        <v>https://www.dgiwg.org/FAD/fdd/view?i=105610</v>
      </c>
      <c r="L1715" s="36" t="s">
        <v>23063</v>
      </c>
      <c r="M1715" s="186"/>
      <c r="N1715" s="186"/>
      <c r="O1715" s="172"/>
    </row>
    <row r="1716" spans="1:15" x14ac:dyDescent="0.2">
      <c r="A1716" s="197" t="str">
        <f t="shared" si="26"/>
        <v>MfaCode_shipRepair</v>
      </c>
      <c r="B1716" s="409"/>
      <c r="C1716" s="416"/>
      <c r="D1716" s="198" t="s">
        <v>23064</v>
      </c>
      <c r="E1716" s="198">
        <v>1</v>
      </c>
      <c r="F1716" s="199" t="s">
        <v>23065</v>
      </c>
      <c r="G1716" s="1" t="s">
        <v>23066</v>
      </c>
      <c r="H1716" s="200"/>
      <c r="I1716" s="346"/>
      <c r="J1716" s="39">
        <v>105609</v>
      </c>
      <c r="K1716" s="36" t="str">
        <f>CONCATENATE(Cover!$D$6,"fdd/view?i=",J1716)</f>
        <v>https://www.dgiwg.org/FAD/fdd/view?i=105609</v>
      </c>
      <c r="L1716" s="36" t="s">
        <v>23067</v>
      </c>
      <c r="M1716" s="186"/>
      <c r="N1716" s="186"/>
      <c r="O1716" s="172"/>
    </row>
    <row r="1717" spans="1:15" ht="25.5" x14ac:dyDescent="0.2">
      <c r="A1717" s="203" t="str">
        <f t="shared" si="26"/>
        <v>MfaCode_shipSalvage</v>
      </c>
      <c r="B1717" s="410"/>
      <c r="C1717" s="417"/>
      <c r="D1717" s="204" t="s">
        <v>23068</v>
      </c>
      <c r="E1717" s="204">
        <v>11</v>
      </c>
      <c r="F1717" s="205" t="s">
        <v>23069</v>
      </c>
      <c r="G1717" s="206" t="s">
        <v>23070</v>
      </c>
      <c r="H1717" s="207"/>
      <c r="I1717" s="347"/>
      <c r="J1717" s="39">
        <v>105619</v>
      </c>
      <c r="K1717" s="36" t="str">
        <f>CONCATENATE(Cover!$D$6,"fdd/view?i=",J1717)</f>
        <v>https://www.dgiwg.org/FAD/fdd/view?i=105619</v>
      </c>
      <c r="L1717" s="36" t="s">
        <v>23071</v>
      </c>
      <c r="M1717" s="186"/>
      <c r="N1717" s="186"/>
      <c r="O1717" s="172"/>
    </row>
    <row r="1718" spans="1:15" x14ac:dyDescent="0.2">
      <c r="A1718" s="190" t="str">
        <f t="shared" si="26"/>
        <v>AfaCode_boatHoist</v>
      </c>
      <c r="B1718" s="414" t="str">
        <f>HYPERLINK("[#]Datatypes!A196:L196","AfaCode")</f>
        <v>AfaCode</v>
      </c>
      <c r="C1718" s="415" t="s">
        <v>14750</v>
      </c>
      <c r="D1718" s="221" t="s">
        <v>23017</v>
      </c>
      <c r="E1718" s="221">
        <v>23</v>
      </c>
      <c r="F1718" s="222" t="s">
        <v>23018</v>
      </c>
      <c r="G1718" s="223" t="s">
        <v>23019</v>
      </c>
      <c r="H1718" s="224"/>
      <c r="I1718" s="345"/>
      <c r="J1718" s="39">
        <v>101641</v>
      </c>
      <c r="K1718" s="36" t="str">
        <f>CONCATENATE(Cover!$D$6,"fdd/view?i=",J1718)</f>
        <v>https://www.dgiwg.org/FAD/fdd/view?i=101641</v>
      </c>
      <c r="L1718" s="36" t="s">
        <v>23072</v>
      </c>
      <c r="M1718" s="186"/>
      <c r="N1718" s="186"/>
      <c r="O1718" s="172"/>
    </row>
    <row r="1719" spans="1:15" x14ac:dyDescent="0.2">
      <c r="A1719" s="197" t="str">
        <f t="shared" si="26"/>
        <v>AfaCode_boatPark</v>
      </c>
      <c r="B1719" s="409"/>
      <c r="C1719" s="416"/>
      <c r="D1719" s="198" t="s">
        <v>23073</v>
      </c>
      <c r="E1719" s="198">
        <v>29</v>
      </c>
      <c r="F1719" s="199" t="s">
        <v>23074</v>
      </c>
      <c r="G1719" s="1" t="s">
        <v>23075</v>
      </c>
      <c r="H1719" s="200"/>
      <c r="I1719" s="346"/>
      <c r="J1719" s="39">
        <v>101647</v>
      </c>
      <c r="K1719" s="36" t="str">
        <f>CONCATENATE(Cover!$D$6,"fdd/view?i=",J1719)</f>
        <v>https://www.dgiwg.org/FAD/fdd/view?i=101647</v>
      </c>
      <c r="L1719" s="36" t="s">
        <v>23076</v>
      </c>
      <c r="M1719" s="186"/>
      <c r="N1719" s="186"/>
      <c r="O1719" s="172"/>
    </row>
    <row r="1720" spans="1:15" x14ac:dyDescent="0.2">
      <c r="A1720" s="197" t="str">
        <f t="shared" si="26"/>
        <v>AfaCode_boatYard</v>
      </c>
      <c r="B1720" s="409"/>
      <c r="C1720" s="416"/>
      <c r="D1720" s="198" t="s">
        <v>23077</v>
      </c>
      <c r="E1720" s="198">
        <v>24</v>
      </c>
      <c r="F1720" s="199" t="s">
        <v>23078</v>
      </c>
      <c r="G1720" s="1" t="s">
        <v>23079</v>
      </c>
      <c r="H1720" s="200"/>
      <c r="I1720" s="346"/>
      <c r="J1720" s="39">
        <v>101642</v>
      </c>
      <c r="K1720" s="36" t="str">
        <f>CONCATENATE(Cover!$D$6,"fdd/view?i=",J1720)</f>
        <v>https://www.dgiwg.org/FAD/fdd/view?i=101642</v>
      </c>
      <c r="L1720" s="36" t="s">
        <v>23080</v>
      </c>
      <c r="M1720" s="186"/>
      <c r="N1720" s="186"/>
      <c r="O1720" s="172"/>
    </row>
    <row r="1721" spans="1:15" x14ac:dyDescent="0.2">
      <c r="A1721" s="197" t="str">
        <f t="shared" si="26"/>
        <v>AfaCode_bottleGas</v>
      </c>
      <c r="B1721" s="409"/>
      <c r="C1721" s="416"/>
      <c r="D1721" s="198" t="s">
        <v>23081</v>
      </c>
      <c r="E1721" s="198">
        <v>11</v>
      </c>
      <c r="F1721" s="199" t="s">
        <v>23082</v>
      </c>
      <c r="G1721" s="1" t="s">
        <v>23083</v>
      </c>
      <c r="H1721" s="1" t="s">
        <v>23084</v>
      </c>
      <c r="I1721" s="346"/>
      <c r="J1721" s="39">
        <v>101629</v>
      </c>
      <c r="K1721" s="36" t="str">
        <f>CONCATENATE(Cover!$D$6,"fdd/view?i=",J1721)</f>
        <v>https://www.dgiwg.org/FAD/fdd/view?i=101629</v>
      </c>
      <c r="L1721" s="36" t="s">
        <v>23085</v>
      </c>
      <c r="M1721" s="186"/>
      <c r="N1721" s="186"/>
      <c r="O1721" s="172"/>
    </row>
    <row r="1722" spans="1:15" x14ac:dyDescent="0.2">
      <c r="A1722" s="197" t="str">
        <f t="shared" si="26"/>
        <v>AfaCode_campingSite</v>
      </c>
      <c r="B1722" s="409"/>
      <c r="C1722" s="416"/>
      <c r="D1722" s="198" t="s">
        <v>23086</v>
      </c>
      <c r="E1722" s="198">
        <v>31</v>
      </c>
      <c r="F1722" s="199" t="s">
        <v>23087</v>
      </c>
      <c r="G1722" s="1" t="s">
        <v>23088</v>
      </c>
      <c r="H1722" s="200"/>
      <c r="I1722" s="351" t="s">
        <v>2413</v>
      </c>
      <c r="J1722" s="39">
        <v>101649</v>
      </c>
      <c r="K1722" s="36" t="str">
        <f>CONCATENATE(Cover!$D$6,"fdd/view?i=",J1722)</f>
        <v>https://www.dgiwg.org/FAD/fdd/view?i=101649</v>
      </c>
      <c r="L1722" s="36" t="s">
        <v>23089</v>
      </c>
      <c r="M1722" s="186"/>
      <c r="N1722" s="186"/>
      <c r="O1722" s="172"/>
    </row>
    <row r="1723" spans="1:15" ht="25.5" x14ac:dyDescent="0.2">
      <c r="A1723" s="197" t="str">
        <f t="shared" si="26"/>
        <v>AfaCode_caravanSite</v>
      </c>
      <c r="B1723" s="409"/>
      <c r="C1723" s="416"/>
      <c r="D1723" s="198" t="s">
        <v>23095</v>
      </c>
      <c r="E1723" s="198">
        <v>30</v>
      </c>
      <c r="F1723" s="199" t="s">
        <v>23096</v>
      </c>
      <c r="G1723" s="1" t="s">
        <v>23097</v>
      </c>
      <c r="H1723" s="200"/>
      <c r="I1723" s="351" t="s">
        <v>23098</v>
      </c>
      <c r="J1723" s="39">
        <v>101648</v>
      </c>
      <c r="K1723" s="36" t="str">
        <f>CONCATENATE(Cover!$D$6,"fdd/view?i=",J1723)</f>
        <v>https://www.dgiwg.org/FAD/fdd/view?i=101648</v>
      </c>
      <c r="L1723" s="36" t="s">
        <v>23099</v>
      </c>
      <c r="M1723" s="186"/>
      <c r="N1723" s="186"/>
      <c r="O1723" s="172"/>
    </row>
    <row r="1724" spans="1:15" x14ac:dyDescent="0.2">
      <c r="A1724" s="197" t="str">
        <f t="shared" si="26"/>
        <v>AfaCode_carPark</v>
      </c>
      <c r="B1724" s="409"/>
      <c r="C1724" s="416"/>
      <c r="D1724" s="198" t="s">
        <v>23090</v>
      </c>
      <c r="E1724" s="198">
        <v>28</v>
      </c>
      <c r="F1724" s="199" t="s">
        <v>23091</v>
      </c>
      <c r="G1724" s="1" t="s">
        <v>23092</v>
      </c>
      <c r="H1724" s="200"/>
      <c r="I1724" s="351" t="s">
        <v>23093</v>
      </c>
      <c r="J1724" s="39">
        <v>101646</v>
      </c>
      <c r="K1724" s="36" t="str">
        <f>CONCATENATE(Cover!$D$6,"fdd/view?i=",J1724)</f>
        <v>https://www.dgiwg.org/FAD/fdd/view?i=101646</v>
      </c>
      <c r="L1724" s="36" t="s">
        <v>23094</v>
      </c>
      <c r="M1724" s="186"/>
      <c r="N1724" s="186"/>
      <c r="O1724" s="172"/>
    </row>
    <row r="1725" spans="1:15" x14ac:dyDescent="0.2">
      <c r="A1725" s="197" t="str">
        <f t="shared" si="26"/>
        <v>AfaCode_chandler</v>
      </c>
      <c r="B1725" s="409"/>
      <c r="C1725" s="416"/>
      <c r="D1725" s="198" t="s">
        <v>23100</v>
      </c>
      <c r="E1725" s="198">
        <v>4</v>
      </c>
      <c r="F1725" s="199" t="s">
        <v>23101</v>
      </c>
      <c r="G1725" s="1" t="s">
        <v>23102</v>
      </c>
      <c r="H1725" s="200"/>
      <c r="I1725" s="346"/>
      <c r="J1725" s="39">
        <v>101622</v>
      </c>
      <c r="K1725" s="36" t="str">
        <f>CONCATENATE(Cover!$D$6,"fdd/view?i=",J1725)</f>
        <v>https://www.dgiwg.org/FAD/fdd/view?i=101622</v>
      </c>
      <c r="L1725" s="36" t="s">
        <v>23103</v>
      </c>
      <c r="M1725" s="186"/>
      <c r="N1725" s="186"/>
      <c r="O1725" s="172"/>
    </row>
    <row r="1726" spans="1:15" ht="25.5" x14ac:dyDescent="0.2">
      <c r="A1726" s="197" t="str">
        <f t="shared" si="26"/>
        <v>AfaCode_desalinationFacility</v>
      </c>
      <c r="B1726" s="409"/>
      <c r="C1726" s="416"/>
      <c r="D1726" s="198" t="s">
        <v>23104</v>
      </c>
      <c r="E1726" s="198">
        <v>27</v>
      </c>
      <c r="F1726" s="199" t="s">
        <v>23105</v>
      </c>
      <c r="G1726" s="1" t="s">
        <v>23106</v>
      </c>
      <c r="H1726" s="200"/>
      <c r="I1726" s="346"/>
      <c r="J1726" s="39">
        <v>101645</v>
      </c>
      <c r="K1726" s="36" t="str">
        <f>CONCATENATE(Cover!$D$6,"fdd/view?i=",J1726)</f>
        <v>https://www.dgiwg.org/FAD/fdd/view?i=101645</v>
      </c>
      <c r="L1726" s="36" t="s">
        <v>23107</v>
      </c>
      <c r="M1726" s="186"/>
      <c r="N1726" s="186"/>
      <c r="O1726" s="172"/>
    </row>
    <row r="1727" spans="1:15" ht="25.5" x14ac:dyDescent="0.2">
      <c r="A1727" s="197" t="str">
        <f t="shared" si="26"/>
        <v>AfaCode_distillationFacility</v>
      </c>
      <c r="B1727" s="409"/>
      <c r="C1727" s="416"/>
      <c r="D1727" s="198" t="s">
        <v>23108</v>
      </c>
      <c r="E1727" s="198">
        <v>39</v>
      </c>
      <c r="F1727" s="199" t="s">
        <v>23109</v>
      </c>
      <c r="G1727" s="1" t="s">
        <v>23110</v>
      </c>
      <c r="H1727" s="200"/>
      <c r="I1727" s="346"/>
      <c r="J1727" s="39">
        <v>101657</v>
      </c>
      <c r="K1727" s="36" t="str">
        <f>CONCATENATE(Cover!$D$6,"fdd/view?i=",J1727)</f>
        <v>https://www.dgiwg.org/FAD/fdd/view?i=101657</v>
      </c>
      <c r="L1727" s="36" t="s">
        <v>23111</v>
      </c>
      <c r="M1727" s="186"/>
      <c r="N1727" s="186"/>
      <c r="O1727" s="172"/>
    </row>
    <row r="1728" spans="1:15" x14ac:dyDescent="0.2">
      <c r="A1728" s="197" t="str">
        <f t="shared" si="26"/>
        <v>AfaCode_drinkingWater</v>
      </c>
      <c r="B1728" s="409"/>
      <c r="C1728" s="416"/>
      <c r="D1728" s="198" t="s">
        <v>23112</v>
      </c>
      <c r="E1728" s="198">
        <v>8</v>
      </c>
      <c r="F1728" s="199" t="s">
        <v>23113</v>
      </c>
      <c r="G1728" s="1" t="s">
        <v>23114</v>
      </c>
      <c r="H1728" s="200"/>
      <c r="I1728" s="346"/>
      <c r="J1728" s="39">
        <v>101626</v>
      </c>
      <c r="K1728" s="36" t="str">
        <f>CONCATENATE(Cover!$D$6,"fdd/view?i=",J1728)</f>
        <v>https://www.dgiwg.org/FAD/fdd/view?i=101626</v>
      </c>
      <c r="L1728" s="36" t="s">
        <v>23115</v>
      </c>
      <c r="M1728" s="186"/>
      <c r="N1728" s="186"/>
      <c r="O1728" s="172"/>
    </row>
    <row r="1729" spans="1:15" x14ac:dyDescent="0.2">
      <c r="A1729" s="197" t="str">
        <f t="shared" si="26"/>
        <v>AfaCode_electricity</v>
      </c>
      <c r="B1729" s="409"/>
      <c r="C1729" s="416"/>
      <c r="D1729" s="198" t="s">
        <v>23116</v>
      </c>
      <c r="E1729" s="198">
        <v>10</v>
      </c>
      <c r="F1729" s="199" t="s">
        <v>23117</v>
      </c>
      <c r="G1729" s="1" t="s">
        <v>23118</v>
      </c>
      <c r="H1729" s="200"/>
      <c r="I1729" s="346"/>
      <c r="J1729" s="39">
        <v>101628</v>
      </c>
      <c r="K1729" s="36" t="str">
        <f>CONCATENATE(Cover!$D$6,"fdd/view?i=",J1729)</f>
        <v>https://www.dgiwg.org/FAD/fdd/view?i=101628</v>
      </c>
      <c r="L1729" s="36" t="s">
        <v>23119</v>
      </c>
      <c r="M1729" s="186"/>
      <c r="N1729" s="186"/>
      <c r="O1729" s="172"/>
    </row>
    <row r="1730" spans="1:15" ht="25.5" x14ac:dyDescent="0.2">
      <c r="A1730" s="197" t="str">
        <f t="shared" ref="A1730:A1793" si="27">HYPERLINK(K1730,L1730)</f>
        <v>AfaCode_emergencyTelephone</v>
      </c>
      <c r="B1730" s="409"/>
      <c r="C1730" s="416"/>
      <c r="D1730" s="198" t="s">
        <v>23120</v>
      </c>
      <c r="E1730" s="198">
        <v>33</v>
      </c>
      <c r="F1730" s="199" t="s">
        <v>23121</v>
      </c>
      <c r="G1730" s="1" t="s">
        <v>23122</v>
      </c>
      <c r="H1730" s="200"/>
      <c r="I1730" s="346"/>
      <c r="J1730" s="39">
        <v>101651</v>
      </c>
      <c r="K1730" s="36" t="str">
        <f>CONCATENATE(Cover!$D$6,"fdd/view?i=",J1730)</f>
        <v>https://www.dgiwg.org/FAD/fdd/view?i=101651</v>
      </c>
      <c r="L1730" s="36" t="s">
        <v>23123</v>
      </c>
      <c r="M1730" s="186"/>
      <c r="N1730" s="186"/>
      <c r="O1730" s="172"/>
    </row>
    <row r="1731" spans="1:15" x14ac:dyDescent="0.2">
      <c r="A1731" s="197" t="str">
        <f t="shared" si="27"/>
        <v>AfaCode_fuelStation</v>
      </c>
      <c r="B1731" s="409"/>
      <c r="C1731" s="416"/>
      <c r="D1731" s="198" t="s">
        <v>23124</v>
      </c>
      <c r="E1731" s="198">
        <v>9</v>
      </c>
      <c r="F1731" s="199" t="s">
        <v>23125</v>
      </c>
      <c r="G1731" s="1" t="s">
        <v>23126</v>
      </c>
      <c r="H1731" s="200"/>
      <c r="I1731" s="346"/>
      <c r="J1731" s="39">
        <v>101627</v>
      </c>
      <c r="K1731" s="36" t="str">
        <f>CONCATENATE(Cover!$D$6,"fdd/view?i=",J1731)</f>
        <v>https://www.dgiwg.org/FAD/fdd/view?i=101627</v>
      </c>
      <c r="L1731" s="36" t="s">
        <v>23127</v>
      </c>
      <c r="M1731" s="186"/>
      <c r="N1731" s="186"/>
      <c r="O1731" s="172"/>
    </row>
    <row r="1732" spans="1:15" x14ac:dyDescent="0.2">
      <c r="A1732" s="197" t="str">
        <f t="shared" si="27"/>
        <v>AfaCode_helipad</v>
      </c>
      <c r="B1732" s="409"/>
      <c r="C1732" s="416"/>
      <c r="D1732" s="198" t="s">
        <v>23128</v>
      </c>
      <c r="E1732" s="198">
        <v>19</v>
      </c>
      <c r="F1732" s="199" t="s">
        <v>3477</v>
      </c>
      <c r="G1732" s="1" t="s">
        <v>23129</v>
      </c>
      <c r="H1732" s="200"/>
      <c r="I1732" s="346"/>
      <c r="J1732" s="39">
        <v>101637</v>
      </c>
      <c r="K1732" s="36" t="str">
        <f>CONCATENATE(Cover!$D$6,"fdd/view?i=",J1732)</f>
        <v>https://www.dgiwg.org/FAD/fdd/view?i=101637</v>
      </c>
      <c r="L1732" s="36" t="s">
        <v>23130</v>
      </c>
      <c r="M1732" s="186"/>
      <c r="N1732" s="186"/>
      <c r="O1732" s="172"/>
    </row>
    <row r="1733" spans="1:15" ht="38.25" x14ac:dyDescent="0.2">
      <c r="A1733" s="197" t="str">
        <f t="shared" si="27"/>
        <v>AfaCode_hotel</v>
      </c>
      <c r="B1733" s="409"/>
      <c r="C1733" s="416"/>
      <c r="D1733" s="198" t="s">
        <v>23131</v>
      </c>
      <c r="E1733" s="198">
        <v>25</v>
      </c>
      <c r="F1733" s="199" t="s">
        <v>23132</v>
      </c>
      <c r="G1733" s="1" t="s">
        <v>23133</v>
      </c>
      <c r="H1733" s="200"/>
      <c r="I1733" s="346"/>
      <c r="J1733" s="39">
        <v>101643</v>
      </c>
      <c r="K1733" s="36" t="str">
        <f>CONCATENATE(Cover!$D$6,"fdd/view?i=",J1733)</f>
        <v>https://www.dgiwg.org/FAD/fdd/view?i=101643</v>
      </c>
      <c r="L1733" s="36" t="s">
        <v>23134</v>
      </c>
      <c r="M1733" s="186"/>
      <c r="N1733" s="186"/>
      <c r="O1733" s="172"/>
    </row>
    <row r="1734" spans="1:15" x14ac:dyDescent="0.2">
      <c r="A1734" s="197" t="str">
        <f t="shared" si="27"/>
        <v>AfaCode_launderette</v>
      </c>
      <c r="B1734" s="409"/>
      <c r="C1734" s="416"/>
      <c r="D1734" s="198" t="s">
        <v>23135</v>
      </c>
      <c r="E1734" s="198">
        <v>13</v>
      </c>
      <c r="F1734" s="199" t="s">
        <v>23136</v>
      </c>
      <c r="G1734" s="1" t="s">
        <v>23137</v>
      </c>
      <c r="H1734" s="200"/>
      <c r="I1734" s="346"/>
      <c r="J1734" s="39">
        <v>101631</v>
      </c>
      <c r="K1734" s="36" t="str">
        <f>CONCATENATE(Cover!$D$6,"fdd/view?i=",J1734)</f>
        <v>https://www.dgiwg.org/FAD/fdd/view?i=101631</v>
      </c>
      <c r="L1734" s="36" t="s">
        <v>23138</v>
      </c>
      <c r="M1734" s="186"/>
      <c r="N1734" s="186"/>
      <c r="O1734" s="172"/>
    </row>
    <row r="1735" spans="1:15" ht="25.5" x14ac:dyDescent="0.2">
      <c r="A1735" s="197" t="str">
        <f t="shared" si="27"/>
        <v>AfaCode_mechanicsWorkshop</v>
      </c>
      <c r="B1735" s="409"/>
      <c r="C1735" s="416"/>
      <c r="D1735" s="198" t="s">
        <v>23139</v>
      </c>
      <c r="E1735" s="198">
        <v>37</v>
      </c>
      <c r="F1735" s="199" t="s">
        <v>23140</v>
      </c>
      <c r="G1735" s="1" t="s">
        <v>23141</v>
      </c>
      <c r="H1735" s="200"/>
      <c r="I1735" s="346"/>
      <c r="J1735" s="39">
        <v>101655</v>
      </c>
      <c r="K1735" s="36" t="str">
        <f>CONCATENATE(Cover!$D$6,"fdd/view?i=",J1735)</f>
        <v>https://www.dgiwg.org/FAD/fdd/view?i=101655</v>
      </c>
      <c r="L1735" s="36" t="s">
        <v>23142</v>
      </c>
      <c r="M1735" s="186"/>
      <c r="N1735" s="186"/>
      <c r="O1735" s="172"/>
    </row>
    <row r="1736" spans="1:15" x14ac:dyDescent="0.2">
      <c r="A1736" s="197" t="str">
        <f t="shared" si="27"/>
        <v>AfaCode_noneAvailable</v>
      </c>
      <c r="B1736" s="409"/>
      <c r="C1736" s="416"/>
      <c r="D1736" s="198" t="s">
        <v>20027</v>
      </c>
      <c r="E1736" s="198">
        <v>41</v>
      </c>
      <c r="F1736" s="199" t="s">
        <v>23045</v>
      </c>
      <c r="G1736" s="1" t="s">
        <v>23046</v>
      </c>
      <c r="H1736" s="200"/>
      <c r="I1736" s="346"/>
      <c r="J1736" s="39">
        <v>101659</v>
      </c>
      <c r="K1736" s="36" t="str">
        <f>CONCATENATE(Cover!$D$6,"fdd/view?i=",J1736)</f>
        <v>https://www.dgiwg.org/FAD/fdd/view?i=101659</v>
      </c>
      <c r="L1736" s="36" t="s">
        <v>23143</v>
      </c>
      <c r="M1736" s="186"/>
      <c r="N1736" s="186"/>
      <c r="O1736" s="172"/>
    </row>
    <row r="1737" spans="1:15" x14ac:dyDescent="0.2">
      <c r="A1737" s="197" t="str">
        <f t="shared" si="27"/>
        <v>AfaCode_pharmacy</v>
      </c>
      <c r="B1737" s="409"/>
      <c r="C1737" s="416"/>
      <c r="D1737" s="198" t="s">
        <v>23144</v>
      </c>
      <c r="E1737" s="198">
        <v>7</v>
      </c>
      <c r="F1737" s="199" t="s">
        <v>23145</v>
      </c>
      <c r="G1737" s="1" t="s">
        <v>23146</v>
      </c>
      <c r="H1737" s="200"/>
      <c r="I1737" s="351" t="s">
        <v>23147</v>
      </c>
      <c r="J1737" s="39">
        <v>101625</v>
      </c>
      <c r="K1737" s="36" t="str">
        <f>CONCATENATE(Cover!$D$6,"fdd/view?i=",J1737)</f>
        <v>https://www.dgiwg.org/FAD/fdd/view?i=101625</v>
      </c>
      <c r="L1737" s="36" t="s">
        <v>23148</v>
      </c>
      <c r="M1737" s="186"/>
      <c r="N1737" s="186"/>
      <c r="O1737" s="172"/>
    </row>
    <row r="1738" spans="1:15" x14ac:dyDescent="0.2">
      <c r="A1738" s="197" t="str">
        <f t="shared" si="27"/>
        <v>AfaCode_physician</v>
      </c>
      <c r="B1738" s="409"/>
      <c r="C1738" s="416"/>
      <c r="D1738" s="198" t="s">
        <v>23149</v>
      </c>
      <c r="E1738" s="198">
        <v>6</v>
      </c>
      <c r="F1738" s="199" t="s">
        <v>23150</v>
      </c>
      <c r="G1738" s="1" t="s">
        <v>23151</v>
      </c>
      <c r="H1738" s="200"/>
      <c r="I1738" s="351" t="s">
        <v>23152</v>
      </c>
      <c r="J1738" s="39">
        <v>101624</v>
      </c>
      <c r="K1738" s="36" t="str">
        <f>CONCATENATE(Cover!$D$6,"fdd/view?i=",J1738)</f>
        <v>https://www.dgiwg.org/FAD/fdd/view?i=101624</v>
      </c>
      <c r="L1738" s="36" t="s">
        <v>23153</v>
      </c>
      <c r="M1738" s="186"/>
      <c r="N1738" s="186"/>
      <c r="O1738" s="172"/>
    </row>
    <row r="1739" spans="1:15" x14ac:dyDescent="0.2">
      <c r="A1739" s="197" t="str">
        <f t="shared" si="27"/>
        <v>AfaCode_picnicArea</v>
      </c>
      <c r="B1739" s="409"/>
      <c r="C1739" s="416"/>
      <c r="D1739" s="198" t="s">
        <v>23154</v>
      </c>
      <c r="E1739" s="198">
        <v>36</v>
      </c>
      <c r="F1739" s="199" t="s">
        <v>23155</v>
      </c>
      <c r="G1739" s="1" t="s">
        <v>23156</v>
      </c>
      <c r="H1739" s="200"/>
      <c r="I1739" s="346"/>
      <c r="J1739" s="39">
        <v>101654</v>
      </c>
      <c r="K1739" s="36" t="str">
        <f>CONCATENATE(Cover!$D$6,"fdd/view?i=",J1739)</f>
        <v>https://www.dgiwg.org/FAD/fdd/view?i=101654</v>
      </c>
      <c r="L1739" s="36" t="s">
        <v>23157</v>
      </c>
      <c r="M1739" s="186"/>
      <c r="N1739" s="186"/>
      <c r="O1739" s="172"/>
    </row>
    <row r="1740" spans="1:15" x14ac:dyDescent="0.2">
      <c r="A1740" s="197" t="str">
        <f t="shared" si="27"/>
        <v>AfaCode_postBox</v>
      </c>
      <c r="B1740" s="409"/>
      <c r="C1740" s="416"/>
      <c r="D1740" s="198" t="s">
        <v>23158</v>
      </c>
      <c r="E1740" s="198">
        <v>15</v>
      </c>
      <c r="F1740" s="199" t="s">
        <v>23159</v>
      </c>
      <c r="G1740" s="1" t="s">
        <v>23160</v>
      </c>
      <c r="H1740" s="200"/>
      <c r="I1740" s="351" t="s">
        <v>23161</v>
      </c>
      <c r="J1740" s="39">
        <v>101633</v>
      </c>
      <c r="K1740" s="36" t="str">
        <f>CONCATENATE(Cover!$D$6,"fdd/view?i=",J1740)</f>
        <v>https://www.dgiwg.org/FAD/fdd/view?i=101633</v>
      </c>
      <c r="L1740" s="36" t="s">
        <v>23162</v>
      </c>
      <c r="M1740" s="186"/>
      <c r="N1740" s="186"/>
      <c r="O1740" s="172"/>
    </row>
    <row r="1741" spans="1:15" x14ac:dyDescent="0.2">
      <c r="A1741" s="197" t="str">
        <f t="shared" si="27"/>
        <v>AfaCode_provisions</v>
      </c>
      <c r="B1741" s="409"/>
      <c r="C1741" s="416"/>
      <c r="D1741" s="198" t="s">
        <v>23163</v>
      </c>
      <c r="E1741" s="198">
        <v>5</v>
      </c>
      <c r="F1741" s="199" t="s">
        <v>23164</v>
      </c>
      <c r="G1741" s="1" t="s">
        <v>23165</v>
      </c>
      <c r="H1741" s="200"/>
      <c r="I1741" s="346"/>
      <c r="J1741" s="39">
        <v>101623</v>
      </c>
      <c r="K1741" s="36" t="str">
        <f>CONCATENATE(Cover!$D$6,"fdd/view?i=",J1741)</f>
        <v>https://www.dgiwg.org/FAD/fdd/view?i=101623</v>
      </c>
      <c r="L1741" s="36" t="s">
        <v>23166</v>
      </c>
      <c r="M1741" s="186"/>
      <c r="N1741" s="186"/>
      <c r="O1741" s="172"/>
    </row>
    <row r="1742" spans="1:15" ht="25.5" x14ac:dyDescent="0.2">
      <c r="A1742" s="197" t="str">
        <f t="shared" si="27"/>
        <v>AfaCode_publicTelephone</v>
      </c>
      <c r="B1742" s="409"/>
      <c r="C1742" s="416"/>
      <c r="D1742" s="198" t="s">
        <v>23167</v>
      </c>
      <c r="E1742" s="198">
        <v>16</v>
      </c>
      <c r="F1742" s="199" t="s">
        <v>23168</v>
      </c>
      <c r="G1742" s="1" t="s">
        <v>23169</v>
      </c>
      <c r="H1742" s="200"/>
      <c r="I1742" s="346"/>
      <c r="J1742" s="39">
        <v>101634</v>
      </c>
      <c r="K1742" s="36" t="str">
        <f>CONCATENATE(Cover!$D$6,"fdd/view?i=",J1742)</f>
        <v>https://www.dgiwg.org/FAD/fdd/view?i=101634</v>
      </c>
      <c r="L1742" s="36" t="s">
        <v>23170</v>
      </c>
      <c r="M1742" s="186"/>
      <c r="N1742" s="186"/>
      <c r="O1742" s="172"/>
    </row>
    <row r="1743" spans="1:15" x14ac:dyDescent="0.2">
      <c r="A1743" s="197" t="str">
        <f t="shared" si="27"/>
        <v>AfaCode_publicToilets</v>
      </c>
      <c r="B1743" s="409"/>
      <c r="C1743" s="416"/>
      <c r="D1743" s="198" t="s">
        <v>23171</v>
      </c>
      <c r="E1743" s="198">
        <v>14</v>
      </c>
      <c r="F1743" s="199" t="s">
        <v>23172</v>
      </c>
      <c r="G1743" s="1" t="s">
        <v>23173</v>
      </c>
      <c r="H1743" s="200"/>
      <c r="I1743" s="346"/>
      <c r="J1743" s="39">
        <v>101632</v>
      </c>
      <c r="K1743" s="36" t="str">
        <f>CONCATENATE(Cover!$D$6,"fdd/view?i=",J1743)</f>
        <v>https://www.dgiwg.org/FAD/fdd/view?i=101632</v>
      </c>
      <c r="L1743" s="36" t="s">
        <v>23174</v>
      </c>
      <c r="M1743" s="186"/>
      <c r="N1743" s="186"/>
      <c r="O1743" s="172"/>
    </row>
    <row r="1744" spans="1:15" ht="38.25" x14ac:dyDescent="0.2">
      <c r="A1744" s="197" t="str">
        <f t="shared" si="27"/>
        <v>AfaCode_rampMarine</v>
      </c>
      <c r="B1744" s="409"/>
      <c r="C1744" s="416"/>
      <c r="D1744" s="198" t="s">
        <v>23175</v>
      </c>
      <c r="E1744" s="198">
        <v>34</v>
      </c>
      <c r="F1744" s="199" t="s">
        <v>23176</v>
      </c>
      <c r="G1744" s="1" t="s">
        <v>3996</v>
      </c>
      <c r="H1744" s="1" t="s">
        <v>3997</v>
      </c>
      <c r="I1744" s="346"/>
      <c r="J1744" s="39">
        <v>101652</v>
      </c>
      <c r="K1744" s="36" t="str">
        <f>CONCATENATE(Cover!$D$6,"fdd/view?i=",J1744)</f>
        <v>https://www.dgiwg.org/FAD/fdd/view?i=101652</v>
      </c>
      <c r="L1744" s="36" t="s">
        <v>23177</v>
      </c>
      <c r="M1744" s="186"/>
      <c r="N1744" s="186"/>
      <c r="O1744" s="172"/>
    </row>
    <row r="1745" spans="1:15" x14ac:dyDescent="0.2">
      <c r="A1745" s="197" t="str">
        <f t="shared" si="27"/>
        <v>AfaCode_refuseBin</v>
      </c>
      <c r="B1745" s="409"/>
      <c r="C1745" s="416"/>
      <c r="D1745" s="198" t="s">
        <v>23178</v>
      </c>
      <c r="E1745" s="198">
        <v>17</v>
      </c>
      <c r="F1745" s="199" t="s">
        <v>23179</v>
      </c>
      <c r="G1745" s="1" t="s">
        <v>23180</v>
      </c>
      <c r="H1745" s="200"/>
      <c r="I1745" s="346"/>
      <c r="J1745" s="39">
        <v>101635</v>
      </c>
      <c r="K1745" s="36" t="str">
        <f>CONCATENATE(Cover!$D$6,"fdd/view?i=",J1745)</f>
        <v>https://www.dgiwg.org/FAD/fdd/view?i=101635</v>
      </c>
      <c r="L1745" s="36" t="s">
        <v>23181</v>
      </c>
      <c r="M1745" s="186"/>
      <c r="N1745" s="186"/>
      <c r="O1745" s="172"/>
    </row>
    <row r="1746" spans="1:15" x14ac:dyDescent="0.2">
      <c r="A1746" s="197" t="str">
        <f t="shared" si="27"/>
        <v>AfaCode_restaurant</v>
      </c>
      <c r="B1746" s="409"/>
      <c r="C1746" s="416"/>
      <c r="D1746" s="198" t="s">
        <v>23182</v>
      </c>
      <c r="E1746" s="198">
        <v>26</v>
      </c>
      <c r="F1746" s="199" t="s">
        <v>23183</v>
      </c>
      <c r="G1746" s="1" t="s">
        <v>23184</v>
      </c>
      <c r="H1746" s="200"/>
      <c r="I1746" s="346"/>
      <c r="J1746" s="39">
        <v>101644</v>
      </c>
      <c r="K1746" s="36" t="str">
        <f>CONCATENATE(Cover!$D$6,"fdd/view?i=",J1746)</f>
        <v>https://www.dgiwg.org/FAD/fdd/view?i=101644</v>
      </c>
      <c r="L1746" s="36" t="s">
        <v>23185</v>
      </c>
      <c r="M1746" s="186"/>
      <c r="N1746" s="186"/>
      <c r="O1746" s="172"/>
    </row>
    <row r="1747" spans="1:15" x14ac:dyDescent="0.2">
      <c r="A1747" s="197" t="str">
        <f t="shared" si="27"/>
        <v>AfaCode_sailmaker</v>
      </c>
      <c r="B1747" s="409"/>
      <c r="C1747" s="416"/>
      <c r="D1747" s="198" t="s">
        <v>23056</v>
      </c>
      <c r="E1747" s="198">
        <v>3</v>
      </c>
      <c r="F1747" s="199" t="s">
        <v>23057</v>
      </c>
      <c r="G1747" s="1" t="s">
        <v>23058</v>
      </c>
      <c r="H1747" s="200"/>
      <c r="I1747" s="346"/>
      <c r="J1747" s="39">
        <v>101621</v>
      </c>
      <c r="K1747" s="36" t="str">
        <f>CONCATENATE(Cover!$D$6,"fdd/view?i=",J1747)</f>
        <v>https://www.dgiwg.org/FAD/fdd/view?i=101621</v>
      </c>
      <c r="L1747" s="36" t="s">
        <v>23186</v>
      </c>
      <c r="M1747" s="186"/>
      <c r="N1747" s="186"/>
      <c r="O1747" s="172"/>
    </row>
    <row r="1748" spans="1:15" ht="25.5" x14ac:dyDescent="0.2">
      <c r="A1748" s="197" t="str">
        <f t="shared" si="27"/>
        <v>AfaCode_scrubbingBerth</v>
      </c>
      <c r="B1748" s="409"/>
      <c r="C1748" s="416"/>
      <c r="D1748" s="198" t="s">
        <v>23187</v>
      </c>
      <c r="E1748" s="198">
        <v>35</v>
      </c>
      <c r="F1748" s="199" t="s">
        <v>23188</v>
      </c>
      <c r="G1748" s="1" t="s">
        <v>23189</v>
      </c>
      <c r="H1748" s="200"/>
      <c r="I1748" s="346"/>
      <c r="J1748" s="39">
        <v>101653</v>
      </c>
      <c r="K1748" s="36" t="str">
        <f>CONCATENATE(Cover!$D$6,"fdd/view?i=",J1748)</f>
        <v>https://www.dgiwg.org/FAD/fdd/view?i=101653</v>
      </c>
      <c r="L1748" s="36" t="s">
        <v>23190</v>
      </c>
      <c r="M1748" s="186"/>
      <c r="N1748" s="186"/>
      <c r="O1748" s="172"/>
    </row>
    <row r="1749" spans="1:15" ht="25.5" x14ac:dyDescent="0.2">
      <c r="A1749" s="197" t="str">
        <f t="shared" si="27"/>
        <v>AfaCode_securityService</v>
      </c>
      <c r="B1749" s="409"/>
      <c r="C1749" s="416"/>
      <c r="D1749" s="198" t="s">
        <v>23191</v>
      </c>
      <c r="E1749" s="198">
        <v>38</v>
      </c>
      <c r="F1749" s="199" t="s">
        <v>23192</v>
      </c>
      <c r="G1749" s="1" t="s">
        <v>23193</v>
      </c>
      <c r="H1749" s="200"/>
      <c r="I1749" s="351" t="s">
        <v>23194</v>
      </c>
      <c r="J1749" s="39">
        <v>101656</v>
      </c>
      <c r="K1749" s="36" t="str">
        <f>CONCATENATE(Cover!$D$6,"fdd/view?i=",J1749)</f>
        <v>https://www.dgiwg.org/FAD/fdd/view?i=101656</v>
      </c>
      <c r="L1749" s="36" t="s">
        <v>23195</v>
      </c>
      <c r="M1749" s="186"/>
      <c r="N1749" s="186"/>
      <c r="O1749" s="172"/>
    </row>
    <row r="1750" spans="1:15" ht="25.5" x14ac:dyDescent="0.2">
      <c r="A1750" s="197" t="str">
        <f t="shared" si="27"/>
        <v>AfaCode_seweragePumpOutStation</v>
      </c>
      <c r="B1750" s="409"/>
      <c r="C1750" s="416"/>
      <c r="D1750" s="198" t="s">
        <v>23196</v>
      </c>
      <c r="E1750" s="198">
        <v>32</v>
      </c>
      <c r="F1750" s="199" t="s">
        <v>23197</v>
      </c>
      <c r="G1750" s="1" t="s">
        <v>4976</v>
      </c>
      <c r="H1750" s="200"/>
      <c r="I1750" s="346"/>
      <c r="J1750" s="39">
        <v>101650</v>
      </c>
      <c r="K1750" s="36" t="str">
        <f>CONCATENATE(Cover!$D$6,"fdd/view?i=",J1750)</f>
        <v>https://www.dgiwg.org/FAD/fdd/view?i=101650</v>
      </c>
      <c r="L1750" s="36" t="s">
        <v>23198</v>
      </c>
      <c r="M1750" s="186"/>
      <c r="N1750" s="186"/>
      <c r="O1750" s="172"/>
    </row>
    <row r="1751" spans="1:15" x14ac:dyDescent="0.2">
      <c r="A1751" s="197" t="str">
        <f t="shared" si="27"/>
        <v>AfaCode_showers</v>
      </c>
      <c r="B1751" s="409"/>
      <c r="C1751" s="416"/>
      <c r="D1751" s="198" t="s">
        <v>23199</v>
      </c>
      <c r="E1751" s="198">
        <v>12</v>
      </c>
      <c r="F1751" s="199" t="s">
        <v>23200</v>
      </c>
      <c r="G1751" s="1" t="s">
        <v>23201</v>
      </c>
      <c r="H1751" s="200"/>
      <c r="I1751" s="346"/>
      <c r="J1751" s="39">
        <v>101630</v>
      </c>
      <c r="K1751" s="36" t="str">
        <f>CONCATENATE(Cover!$D$6,"fdd/view?i=",J1751)</f>
        <v>https://www.dgiwg.org/FAD/fdd/view?i=101630</v>
      </c>
      <c r="L1751" s="36" t="s">
        <v>23202</v>
      </c>
      <c r="M1751" s="186"/>
      <c r="N1751" s="186"/>
      <c r="O1751" s="172"/>
    </row>
    <row r="1752" spans="1:15" x14ac:dyDescent="0.2">
      <c r="A1752" s="197" t="str">
        <f t="shared" si="27"/>
        <v>AfaCode_visitorsBerth</v>
      </c>
      <c r="B1752" s="409"/>
      <c r="C1752" s="416"/>
      <c r="D1752" s="198" t="s">
        <v>23203</v>
      </c>
      <c r="E1752" s="198">
        <v>1</v>
      </c>
      <c r="F1752" s="199" t="s">
        <v>23204</v>
      </c>
      <c r="G1752" s="1" t="s">
        <v>23205</v>
      </c>
      <c r="H1752" s="200"/>
      <c r="I1752" s="346"/>
      <c r="J1752" s="39">
        <v>101619</v>
      </c>
      <c r="K1752" s="36" t="str">
        <f>CONCATENATE(Cover!$D$6,"fdd/view?i=",J1752)</f>
        <v>https://www.dgiwg.org/FAD/fdd/view?i=101619</v>
      </c>
      <c r="L1752" s="36" t="s">
        <v>23206</v>
      </c>
      <c r="M1752" s="186"/>
      <c r="N1752" s="186"/>
      <c r="O1752" s="172"/>
    </row>
    <row r="1753" spans="1:15" ht="25.5" x14ac:dyDescent="0.2">
      <c r="A1753" s="197" t="str">
        <f t="shared" si="27"/>
        <v>AfaCode_visitorsMooring</v>
      </c>
      <c r="B1753" s="409"/>
      <c r="C1753" s="416"/>
      <c r="D1753" s="198" t="s">
        <v>23207</v>
      </c>
      <c r="E1753" s="198">
        <v>2</v>
      </c>
      <c r="F1753" s="199" t="s">
        <v>23208</v>
      </c>
      <c r="G1753" s="1" t="s">
        <v>23209</v>
      </c>
      <c r="H1753" s="200"/>
      <c r="I1753" s="346"/>
      <c r="J1753" s="39">
        <v>101620</v>
      </c>
      <c r="K1753" s="36" t="str">
        <f>CONCATENATE(Cover!$D$6,"fdd/view?i=",J1753)</f>
        <v>https://www.dgiwg.org/FAD/fdd/view?i=101620</v>
      </c>
      <c r="L1753" s="36" t="s">
        <v>23210</v>
      </c>
      <c r="M1753" s="186"/>
      <c r="N1753" s="186"/>
      <c r="O1753" s="172"/>
    </row>
    <row r="1754" spans="1:15" ht="25.5" x14ac:dyDescent="0.2">
      <c r="A1754" s="197" t="str">
        <f t="shared" si="27"/>
        <v>AfaCode_waterPoliceStation</v>
      </c>
      <c r="B1754" s="409"/>
      <c r="C1754" s="416"/>
      <c r="D1754" s="198" t="s">
        <v>23211</v>
      </c>
      <c r="E1754" s="198">
        <v>18</v>
      </c>
      <c r="F1754" s="199" t="s">
        <v>23212</v>
      </c>
      <c r="G1754" s="1" t="s">
        <v>23213</v>
      </c>
      <c r="H1754" s="200"/>
      <c r="I1754" s="346"/>
      <c r="J1754" s="39">
        <v>101636</v>
      </c>
      <c r="K1754" s="36" t="str">
        <f>CONCATENATE(Cover!$D$6,"fdd/view?i=",J1754)</f>
        <v>https://www.dgiwg.org/FAD/fdd/view?i=101636</v>
      </c>
      <c r="L1754" s="36" t="s">
        <v>23214</v>
      </c>
      <c r="M1754" s="186"/>
      <c r="N1754" s="186"/>
      <c r="O1754" s="172"/>
    </row>
    <row r="1755" spans="1:15" x14ac:dyDescent="0.2">
      <c r="A1755" s="203" t="str">
        <f t="shared" si="27"/>
        <v>AfaCode_yachtClub</v>
      </c>
      <c r="B1755" s="410"/>
      <c r="C1755" s="417"/>
      <c r="D1755" s="204" t="s">
        <v>23215</v>
      </c>
      <c r="E1755" s="204">
        <v>22</v>
      </c>
      <c r="F1755" s="205" t="s">
        <v>23216</v>
      </c>
      <c r="G1755" s="206" t="s">
        <v>23217</v>
      </c>
      <c r="H1755" s="207"/>
      <c r="I1755" s="353" t="s">
        <v>23218</v>
      </c>
      <c r="J1755" s="39">
        <v>101640</v>
      </c>
      <c r="K1755" s="36" t="str">
        <f>CONCATENATE(Cover!$D$6,"fdd/view?i=",J1755)</f>
        <v>https://www.dgiwg.org/FAD/fdd/view?i=101640</v>
      </c>
      <c r="L1755" s="36" t="s">
        <v>23219</v>
      </c>
      <c r="M1755" s="186"/>
      <c r="N1755" s="186"/>
      <c r="O1755" s="172"/>
    </row>
    <row r="1756" spans="1:15" x14ac:dyDescent="0.2">
      <c r="A1756" s="190" t="str">
        <f t="shared" si="27"/>
        <v>AfuCode_a</v>
      </c>
      <c r="B1756" s="414" t="str">
        <f>HYPERLINK("[#]Datatypes!A198:L198","AfuCode")</f>
        <v>AfuCode</v>
      </c>
      <c r="C1756" s="415" t="s">
        <v>14752</v>
      </c>
      <c r="D1756" s="221" t="s">
        <v>23220</v>
      </c>
      <c r="E1756" s="221">
        <v>1</v>
      </c>
      <c r="F1756" s="222" t="s">
        <v>23221</v>
      </c>
      <c r="G1756" s="223" t="s">
        <v>23222</v>
      </c>
      <c r="H1756" s="224"/>
      <c r="I1756" s="345"/>
      <c r="J1756" s="39">
        <v>116219</v>
      </c>
      <c r="K1756" s="36" t="str">
        <f>CONCATENATE(Cover!$D$6,"fdd/view?i=",J1756)</f>
        <v>https://www.dgiwg.org/FAD/fdd/view?i=116219</v>
      </c>
      <c r="L1756" s="36" t="s">
        <v>23223</v>
      </c>
      <c r="M1756" s="186"/>
      <c r="N1756" s="186"/>
      <c r="O1756" s="172"/>
    </row>
    <row r="1757" spans="1:15" x14ac:dyDescent="0.2">
      <c r="A1757" s="197" t="str">
        <f t="shared" si="27"/>
        <v>AfuCode_a1</v>
      </c>
      <c r="B1757" s="409"/>
      <c r="C1757" s="416"/>
      <c r="D1757" s="198" t="s">
        <v>23224</v>
      </c>
      <c r="E1757" s="198">
        <v>2</v>
      </c>
      <c r="F1757" s="199" t="s">
        <v>23225</v>
      </c>
      <c r="G1757" s="1" t="s">
        <v>23226</v>
      </c>
      <c r="H1757" s="200"/>
      <c r="I1757" s="351" t="s">
        <v>23227</v>
      </c>
      <c r="J1757" s="39">
        <v>116220</v>
      </c>
      <c r="K1757" s="36" t="str">
        <f>CONCATENATE(Cover!$D$6,"fdd/view?i=",J1757)</f>
        <v>https://www.dgiwg.org/FAD/fdd/view?i=116220</v>
      </c>
      <c r="L1757" s="36" t="s">
        <v>23228</v>
      </c>
      <c r="M1757" s="186"/>
      <c r="N1757" s="186"/>
      <c r="O1757" s="172"/>
    </row>
    <row r="1758" spans="1:15" ht="25.5" x14ac:dyDescent="0.2">
      <c r="A1758" s="197" t="str">
        <f t="shared" si="27"/>
        <v>AfuCode_a1_Plus</v>
      </c>
      <c r="B1758" s="409"/>
      <c r="C1758" s="416"/>
      <c r="D1758" s="198" t="s">
        <v>23229</v>
      </c>
      <c r="E1758" s="198">
        <v>3</v>
      </c>
      <c r="F1758" s="199" t="s">
        <v>23230</v>
      </c>
      <c r="G1758" s="1" t="s">
        <v>23231</v>
      </c>
      <c r="H1758" s="200"/>
      <c r="I1758" s="346"/>
      <c r="J1758" s="39">
        <v>116221</v>
      </c>
      <c r="K1758" s="36" t="str">
        <f>CONCATENATE(Cover!$D$6,"fdd/view?i=",J1758)</f>
        <v>https://www.dgiwg.org/FAD/fdd/view?i=116221</v>
      </c>
      <c r="L1758" s="36" t="s">
        <v>23232</v>
      </c>
      <c r="M1758" s="186"/>
      <c r="N1758" s="186"/>
      <c r="O1758" s="172"/>
    </row>
    <row r="1759" spans="1:15" x14ac:dyDescent="0.2">
      <c r="A1759" s="197" t="str">
        <f t="shared" si="27"/>
        <v>AfuCode_all</v>
      </c>
      <c r="B1759" s="409"/>
      <c r="C1759" s="416"/>
      <c r="D1759" s="198" t="s">
        <v>23233</v>
      </c>
      <c r="E1759" s="198">
        <v>4</v>
      </c>
      <c r="F1759" s="199" t="s">
        <v>23234</v>
      </c>
      <c r="G1759" s="1" t="s">
        <v>23235</v>
      </c>
      <c r="H1759" s="200"/>
      <c r="I1759" s="346"/>
      <c r="J1759" s="39">
        <v>116222</v>
      </c>
      <c r="K1759" s="36" t="str">
        <f>CONCATENATE(Cover!$D$6,"fdd/view?i=",J1759)</f>
        <v>https://www.dgiwg.org/FAD/fdd/view?i=116222</v>
      </c>
      <c r="L1759" s="36" t="s">
        <v>23236</v>
      </c>
      <c r="M1759" s="186"/>
      <c r="N1759" s="186"/>
      <c r="O1759" s="172"/>
    </row>
    <row r="1760" spans="1:15" x14ac:dyDescent="0.2">
      <c r="A1760" s="197" t="str">
        <f t="shared" si="27"/>
        <v>AfuCode_avGas</v>
      </c>
      <c r="B1760" s="409"/>
      <c r="C1760" s="416"/>
      <c r="D1760" s="198" t="s">
        <v>23237</v>
      </c>
      <c r="E1760" s="198">
        <v>5</v>
      </c>
      <c r="F1760" s="199" t="s">
        <v>23238</v>
      </c>
      <c r="G1760" s="1" t="s">
        <v>23239</v>
      </c>
      <c r="H1760" s="200"/>
      <c r="I1760" s="346"/>
      <c r="J1760" s="39">
        <v>116223</v>
      </c>
      <c r="K1760" s="36" t="str">
        <f>CONCATENATE(Cover!$D$6,"fdd/view?i=",J1760)</f>
        <v>https://www.dgiwg.org/FAD/fdd/view?i=116223</v>
      </c>
      <c r="L1760" s="36" t="s">
        <v>23240</v>
      </c>
      <c r="M1760" s="186"/>
      <c r="N1760" s="186"/>
      <c r="O1760" s="172"/>
    </row>
    <row r="1761" spans="1:15" x14ac:dyDescent="0.2">
      <c r="A1761" s="197" t="str">
        <f t="shared" si="27"/>
        <v>AfuCode_avGas_LL</v>
      </c>
      <c r="B1761" s="409"/>
      <c r="C1761" s="416"/>
      <c r="D1761" s="198" t="s">
        <v>23241</v>
      </c>
      <c r="E1761" s="198">
        <v>6</v>
      </c>
      <c r="F1761" s="199" t="s">
        <v>23242</v>
      </c>
      <c r="G1761" s="1" t="s">
        <v>23243</v>
      </c>
      <c r="H1761" s="200"/>
      <c r="I1761" s="351" t="s">
        <v>23244</v>
      </c>
      <c r="J1761" s="39">
        <v>116224</v>
      </c>
      <c r="K1761" s="36" t="str">
        <f>CONCATENATE(Cover!$D$6,"fdd/view?i=",J1761)</f>
        <v>https://www.dgiwg.org/FAD/fdd/view?i=116224</v>
      </c>
      <c r="L1761" s="36" t="s">
        <v>23245</v>
      </c>
      <c r="M1761" s="186"/>
      <c r="N1761" s="186"/>
      <c r="O1761" s="172"/>
    </row>
    <row r="1762" spans="1:15" x14ac:dyDescent="0.2">
      <c r="A1762" s="197" t="str">
        <f t="shared" si="27"/>
        <v>AfuCode_b</v>
      </c>
      <c r="B1762" s="409"/>
      <c r="C1762" s="416"/>
      <c r="D1762" s="198" t="s">
        <v>23246</v>
      </c>
      <c r="E1762" s="198">
        <v>7</v>
      </c>
      <c r="F1762" s="199" t="s">
        <v>23247</v>
      </c>
      <c r="G1762" s="1" t="s">
        <v>23248</v>
      </c>
      <c r="H1762" s="200"/>
      <c r="I1762" s="346"/>
      <c r="J1762" s="39">
        <v>116225</v>
      </c>
      <c r="K1762" s="36" t="str">
        <f>CONCATENATE(Cover!$D$6,"fdd/view?i=",J1762)</f>
        <v>https://www.dgiwg.org/FAD/fdd/view?i=116225</v>
      </c>
      <c r="L1762" s="36" t="s">
        <v>23249</v>
      </c>
      <c r="M1762" s="186"/>
      <c r="N1762" s="186"/>
      <c r="O1762" s="172"/>
    </row>
    <row r="1763" spans="1:15" x14ac:dyDescent="0.2">
      <c r="A1763" s="197" t="str">
        <f t="shared" si="27"/>
        <v>AfuCode_b_Plus</v>
      </c>
      <c r="B1763" s="409"/>
      <c r="C1763" s="416"/>
      <c r="D1763" s="198" t="s">
        <v>23250</v>
      </c>
      <c r="E1763" s="198">
        <v>8</v>
      </c>
      <c r="F1763" s="199" t="s">
        <v>23251</v>
      </c>
      <c r="G1763" s="1" t="s">
        <v>23252</v>
      </c>
      <c r="H1763" s="200"/>
      <c r="I1763" s="346"/>
      <c r="J1763" s="39">
        <v>116226</v>
      </c>
      <c r="K1763" s="36" t="str">
        <f>CONCATENATE(Cover!$D$6,"fdd/view?i=",J1763)</f>
        <v>https://www.dgiwg.org/FAD/fdd/view?i=116226</v>
      </c>
      <c r="L1763" s="36" t="s">
        <v>23253</v>
      </c>
      <c r="M1763" s="186"/>
      <c r="N1763" s="186"/>
      <c r="O1763" s="172"/>
    </row>
    <row r="1764" spans="1:15" x14ac:dyDescent="0.2">
      <c r="A1764" s="197" t="str">
        <f t="shared" si="27"/>
        <v>AfuCode_jet</v>
      </c>
      <c r="B1764" s="409"/>
      <c r="C1764" s="416"/>
      <c r="D1764" s="198" t="s">
        <v>21723</v>
      </c>
      <c r="E1764" s="198">
        <v>9</v>
      </c>
      <c r="F1764" s="199" t="s">
        <v>21724</v>
      </c>
      <c r="G1764" s="1" t="s">
        <v>23254</v>
      </c>
      <c r="H1764" s="200"/>
      <c r="I1764" s="346"/>
      <c r="J1764" s="39">
        <v>116227</v>
      </c>
      <c r="K1764" s="36" t="str">
        <f>CONCATENATE(Cover!$D$6,"fdd/view?i=",J1764)</f>
        <v>https://www.dgiwg.org/FAD/fdd/view?i=116227</v>
      </c>
      <c r="L1764" s="36" t="s">
        <v>23255</v>
      </c>
      <c r="M1764" s="186"/>
      <c r="N1764" s="186"/>
      <c r="O1764" s="172"/>
    </row>
    <row r="1765" spans="1:15" x14ac:dyDescent="0.2">
      <c r="A1765" s="197" t="str">
        <f t="shared" si="27"/>
        <v>AfuCode_jp1</v>
      </c>
      <c r="B1765" s="409"/>
      <c r="C1765" s="416"/>
      <c r="D1765" s="198" t="s">
        <v>23256</v>
      </c>
      <c r="E1765" s="198">
        <v>10</v>
      </c>
      <c r="F1765" s="199" t="s">
        <v>23257</v>
      </c>
      <c r="G1765" s="1" t="s">
        <v>23258</v>
      </c>
      <c r="H1765" s="200"/>
      <c r="I1765" s="346"/>
      <c r="J1765" s="39">
        <v>116228</v>
      </c>
      <c r="K1765" s="36" t="str">
        <f>CONCATENATE(Cover!$D$6,"fdd/view?i=",J1765)</f>
        <v>https://www.dgiwg.org/FAD/fdd/view?i=116228</v>
      </c>
      <c r="L1765" s="36" t="s">
        <v>23259</v>
      </c>
      <c r="M1765" s="186"/>
      <c r="N1765" s="186"/>
      <c r="O1765" s="172"/>
    </row>
    <row r="1766" spans="1:15" x14ac:dyDescent="0.2">
      <c r="A1766" s="197" t="str">
        <f t="shared" si="27"/>
        <v>AfuCode_jp10</v>
      </c>
      <c r="B1766" s="409"/>
      <c r="C1766" s="416"/>
      <c r="D1766" s="198" t="s">
        <v>23260</v>
      </c>
      <c r="E1766" s="198">
        <v>11</v>
      </c>
      <c r="F1766" s="199" t="s">
        <v>23261</v>
      </c>
      <c r="G1766" s="1" t="s">
        <v>23262</v>
      </c>
      <c r="H1766" s="200"/>
      <c r="I1766" s="346"/>
      <c r="J1766" s="39">
        <v>116229</v>
      </c>
      <c r="K1766" s="36" t="str">
        <f>CONCATENATE(Cover!$D$6,"fdd/view?i=",J1766)</f>
        <v>https://www.dgiwg.org/FAD/fdd/view?i=116229</v>
      </c>
      <c r="L1766" s="36" t="s">
        <v>23263</v>
      </c>
      <c r="M1766" s="186"/>
      <c r="N1766" s="186"/>
      <c r="O1766" s="172"/>
    </row>
    <row r="1767" spans="1:15" x14ac:dyDescent="0.2">
      <c r="A1767" s="197" t="str">
        <f t="shared" si="27"/>
        <v>AfuCode_jp2</v>
      </c>
      <c r="B1767" s="409"/>
      <c r="C1767" s="416"/>
      <c r="D1767" s="198" t="s">
        <v>23264</v>
      </c>
      <c r="E1767" s="198">
        <v>12</v>
      </c>
      <c r="F1767" s="199" t="s">
        <v>23265</v>
      </c>
      <c r="G1767" s="1" t="s">
        <v>23266</v>
      </c>
      <c r="H1767" s="200"/>
      <c r="I1767" s="346"/>
      <c r="J1767" s="39">
        <v>116230</v>
      </c>
      <c r="K1767" s="36" t="str">
        <f>CONCATENATE(Cover!$D$6,"fdd/view?i=",J1767)</f>
        <v>https://www.dgiwg.org/FAD/fdd/view?i=116230</v>
      </c>
      <c r="L1767" s="36" t="s">
        <v>23267</v>
      </c>
      <c r="M1767" s="186"/>
      <c r="N1767" s="186"/>
      <c r="O1767" s="172"/>
    </row>
    <row r="1768" spans="1:15" x14ac:dyDescent="0.2">
      <c r="A1768" s="197" t="str">
        <f t="shared" si="27"/>
        <v>AfuCode_jp3</v>
      </c>
      <c r="B1768" s="409"/>
      <c r="C1768" s="416"/>
      <c r="D1768" s="198" t="s">
        <v>23268</v>
      </c>
      <c r="E1768" s="198">
        <v>13</v>
      </c>
      <c r="F1768" s="199" t="s">
        <v>23269</v>
      </c>
      <c r="G1768" s="1" t="s">
        <v>23270</v>
      </c>
      <c r="H1768" s="200"/>
      <c r="I1768" s="346"/>
      <c r="J1768" s="39">
        <v>116231</v>
      </c>
      <c r="K1768" s="36" t="str">
        <f>CONCATENATE(Cover!$D$6,"fdd/view?i=",J1768)</f>
        <v>https://www.dgiwg.org/FAD/fdd/view?i=116231</v>
      </c>
      <c r="L1768" s="36" t="s">
        <v>23271</v>
      </c>
      <c r="M1768" s="186"/>
      <c r="N1768" s="186"/>
      <c r="O1768" s="172"/>
    </row>
    <row r="1769" spans="1:15" x14ac:dyDescent="0.2">
      <c r="A1769" s="197" t="str">
        <f t="shared" si="27"/>
        <v>AfuCode_jp4</v>
      </c>
      <c r="B1769" s="409"/>
      <c r="C1769" s="416"/>
      <c r="D1769" s="198" t="s">
        <v>23272</v>
      </c>
      <c r="E1769" s="198">
        <v>14</v>
      </c>
      <c r="F1769" s="199" t="s">
        <v>23273</v>
      </c>
      <c r="G1769" s="1" t="s">
        <v>23274</v>
      </c>
      <c r="H1769" s="200"/>
      <c r="I1769" s="351" t="s">
        <v>23275</v>
      </c>
      <c r="J1769" s="39">
        <v>116232</v>
      </c>
      <c r="K1769" s="36" t="str">
        <f>CONCATENATE(Cover!$D$6,"fdd/view?i=",J1769)</f>
        <v>https://www.dgiwg.org/FAD/fdd/view?i=116232</v>
      </c>
      <c r="L1769" s="36" t="s">
        <v>23276</v>
      </c>
      <c r="M1769" s="186"/>
      <c r="N1769" s="186"/>
      <c r="O1769" s="172"/>
    </row>
    <row r="1770" spans="1:15" ht="25.5" x14ac:dyDescent="0.2">
      <c r="A1770" s="197" t="str">
        <f t="shared" si="27"/>
        <v>AfuCode_jp5</v>
      </c>
      <c r="B1770" s="409"/>
      <c r="C1770" s="416"/>
      <c r="D1770" s="198" t="s">
        <v>23277</v>
      </c>
      <c r="E1770" s="198">
        <v>15</v>
      </c>
      <c r="F1770" s="199" t="s">
        <v>23278</v>
      </c>
      <c r="G1770" s="1" t="s">
        <v>23279</v>
      </c>
      <c r="H1770" s="200"/>
      <c r="I1770" s="351" t="s">
        <v>23280</v>
      </c>
      <c r="J1770" s="39">
        <v>116233</v>
      </c>
      <c r="K1770" s="36" t="str">
        <f>CONCATENATE(Cover!$D$6,"fdd/view?i=",J1770)</f>
        <v>https://www.dgiwg.org/FAD/fdd/view?i=116233</v>
      </c>
      <c r="L1770" s="36" t="s">
        <v>23281</v>
      </c>
      <c r="M1770" s="186"/>
      <c r="N1770" s="186"/>
      <c r="O1770" s="172"/>
    </row>
    <row r="1771" spans="1:15" x14ac:dyDescent="0.2">
      <c r="A1771" s="197" t="str">
        <f t="shared" si="27"/>
        <v>AfuCode_jp6</v>
      </c>
      <c r="B1771" s="409"/>
      <c r="C1771" s="416"/>
      <c r="D1771" s="198" t="s">
        <v>23282</v>
      </c>
      <c r="E1771" s="198">
        <v>16</v>
      </c>
      <c r="F1771" s="199" t="s">
        <v>23283</v>
      </c>
      <c r="G1771" s="1" t="s">
        <v>23284</v>
      </c>
      <c r="H1771" s="200"/>
      <c r="I1771" s="346"/>
      <c r="J1771" s="39">
        <v>116234</v>
      </c>
      <c r="K1771" s="36" t="str">
        <f>CONCATENATE(Cover!$D$6,"fdd/view?i=",J1771)</f>
        <v>https://www.dgiwg.org/FAD/fdd/view?i=116234</v>
      </c>
      <c r="L1771" s="36" t="s">
        <v>23285</v>
      </c>
      <c r="M1771" s="186"/>
      <c r="N1771" s="186"/>
      <c r="O1771" s="172"/>
    </row>
    <row r="1772" spans="1:15" x14ac:dyDescent="0.2">
      <c r="A1772" s="197" t="str">
        <f t="shared" si="27"/>
        <v>AfuCode_jp7</v>
      </c>
      <c r="B1772" s="409"/>
      <c r="C1772" s="416"/>
      <c r="D1772" s="198" t="s">
        <v>23286</v>
      </c>
      <c r="E1772" s="198">
        <v>17</v>
      </c>
      <c r="F1772" s="199" t="s">
        <v>23287</v>
      </c>
      <c r="G1772" s="1" t="s">
        <v>23288</v>
      </c>
      <c r="H1772" s="1" t="s">
        <v>23289</v>
      </c>
      <c r="I1772" s="346"/>
      <c r="J1772" s="39">
        <v>116235</v>
      </c>
      <c r="K1772" s="36" t="str">
        <f>CONCATENATE(Cover!$D$6,"fdd/view?i=",J1772)</f>
        <v>https://www.dgiwg.org/FAD/fdd/view?i=116235</v>
      </c>
      <c r="L1772" s="36" t="s">
        <v>23290</v>
      </c>
      <c r="M1772" s="186"/>
      <c r="N1772" s="186"/>
      <c r="O1772" s="172"/>
    </row>
    <row r="1773" spans="1:15" x14ac:dyDescent="0.2">
      <c r="A1773" s="197" t="str">
        <f t="shared" si="27"/>
        <v>AfuCode_jp8</v>
      </c>
      <c r="B1773" s="409"/>
      <c r="C1773" s="416"/>
      <c r="D1773" s="198" t="s">
        <v>23291</v>
      </c>
      <c r="E1773" s="198">
        <v>18</v>
      </c>
      <c r="F1773" s="199" t="s">
        <v>23292</v>
      </c>
      <c r="G1773" s="1" t="s">
        <v>23293</v>
      </c>
      <c r="H1773" s="200"/>
      <c r="I1773" s="351" t="s">
        <v>23294</v>
      </c>
      <c r="J1773" s="39">
        <v>116236</v>
      </c>
      <c r="K1773" s="36" t="str">
        <f>CONCATENATE(Cover!$D$6,"fdd/view?i=",J1773)</f>
        <v>https://www.dgiwg.org/FAD/fdd/view?i=116236</v>
      </c>
      <c r="L1773" s="36" t="s">
        <v>23295</v>
      </c>
      <c r="M1773" s="186"/>
      <c r="N1773" s="186"/>
      <c r="O1773" s="172"/>
    </row>
    <row r="1774" spans="1:15" ht="38.25" x14ac:dyDescent="0.2">
      <c r="A1774" s="197" t="str">
        <f t="shared" si="27"/>
        <v>AfuCode_jp8_Plus100</v>
      </c>
      <c r="B1774" s="409"/>
      <c r="C1774" s="416"/>
      <c r="D1774" s="198" t="s">
        <v>23296</v>
      </c>
      <c r="E1774" s="198">
        <v>19</v>
      </c>
      <c r="F1774" s="199" t="s">
        <v>23297</v>
      </c>
      <c r="G1774" s="1" t="s">
        <v>23298</v>
      </c>
      <c r="H1774" s="200"/>
      <c r="I1774" s="346"/>
      <c r="J1774" s="39">
        <v>116237</v>
      </c>
      <c r="K1774" s="36" t="str">
        <f>CONCATENATE(Cover!$D$6,"fdd/view?i=",J1774)</f>
        <v>https://www.dgiwg.org/FAD/fdd/view?i=116237</v>
      </c>
      <c r="L1774" s="36" t="s">
        <v>23299</v>
      </c>
      <c r="M1774" s="186"/>
      <c r="N1774" s="186"/>
      <c r="O1774" s="172"/>
    </row>
    <row r="1775" spans="1:15" x14ac:dyDescent="0.2">
      <c r="A1775" s="197" t="str">
        <f t="shared" si="27"/>
        <v>AfuCode_jp9</v>
      </c>
      <c r="B1775" s="409"/>
      <c r="C1775" s="416"/>
      <c r="D1775" s="198" t="s">
        <v>23300</v>
      </c>
      <c r="E1775" s="198">
        <v>20</v>
      </c>
      <c r="F1775" s="199" t="s">
        <v>23301</v>
      </c>
      <c r="G1775" s="1" t="s">
        <v>23302</v>
      </c>
      <c r="H1775" s="200"/>
      <c r="I1775" s="346"/>
      <c r="J1775" s="39">
        <v>116238</v>
      </c>
      <c r="K1775" s="36" t="str">
        <f>CONCATENATE(Cover!$D$6,"fdd/view?i=",J1775)</f>
        <v>https://www.dgiwg.org/FAD/fdd/view?i=116238</v>
      </c>
      <c r="L1775" s="36" t="s">
        <v>23303</v>
      </c>
      <c r="M1775" s="186"/>
      <c r="N1775" s="186"/>
      <c r="O1775" s="172"/>
    </row>
    <row r="1776" spans="1:15" x14ac:dyDescent="0.2">
      <c r="A1776" s="197" t="str">
        <f t="shared" si="27"/>
        <v>AfuCode_mogas</v>
      </c>
      <c r="B1776" s="409"/>
      <c r="C1776" s="416"/>
      <c r="D1776" s="198" t="s">
        <v>23304</v>
      </c>
      <c r="E1776" s="198">
        <v>21</v>
      </c>
      <c r="F1776" s="199" t="s">
        <v>23305</v>
      </c>
      <c r="G1776" s="1" t="s">
        <v>23306</v>
      </c>
      <c r="H1776" s="200"/>
      <c r="I1776" s="346"/>
      <c r="J1776" s="39">
        <v>116239</v>
      </c>
      <c r="K1776" s="36" t="str">
        <f>CONCATENATE(Cover!$D$6,"fdd/view?i=",J1776)</f>
        <v>https://www.dgiwg.org/FAD/fdd/view?i=116239</v>
      </c>
      <c r="L1776" s="36" t="s">
        <v>23307</v>
      </c>
      <c r="M1776" s="186"/>
      <c r="N1776" s="186"/>
      <c r="O1776" s="172"/>
    </row>
    <row r="1777" spans="1:15" ht="25.5" x14ac:dyDescent="0.2">
      <c r="A1777" s="197" t="str">
        <f t="shared" si="27"/>
        <v>AfuCode_octane100_130</v>
      </c>
      <c r="B1777" s="409"/>
      <c r="C1777" s="416"/>
      <c r="D1777" s="198" t="s">
        <v>23308</v>
      </c>
      <c r="E1777" s="198">
        <v>22</v>
      </c>
      <c r="F1777" s="199" t="s">
        <v>23309</v>
      </c>
      <c r="G1777" s="1" t="s">
        <v>23310</v>
      </c>
      <c r="H1777" s="200"/>
      <c r="I1777" s="346"/>
      <c r="J1777" s="39">
        <v>116240</v>
      </c>
      <c r="K1777" s="36" t="str">
        <f>CONCATENATE(Cover!$D$6,"fdd/view?i=",J1777)</f>
        <v>https://www.dgiwg.org/FAD/fdd/view?i=116240</v>
      </c>
      <c r="L1777" s="36" t="s">
        <v>23311</v>
      </c>
      <c r="M1777" s="186"/>
      <c r="N1777" s="186"/>
      <c r="O1777" s="172"/>
    </row>
    <row r="1778" spans="1:15" ht="25.5" x14ac:dyDescent="0.2">
      <c r="A1778" s="197" t="str">
        <f t="shared" si="27"/>
        <v>AfuCode_octane108_135</v>
      </c>
      <c r="B1778" s="409"/>
      <c r="C1778" s="416"/>
      <c r="D1778" s="198" t="s">
        <v>23312</v>
      </c>
      <c r="E1778" s="198">
        <v>23</v>
      </c>
      <c r="F1778" s="199" t="s">
        <v>23313</v>
      </c>
      <c r="G1778" s="1" t="s">
        <v>23314</v>
      </c>
      <c r="H1778" s="200"/>
      <c r="I1778" s="346"/>
      <c r="J1778" s="39">
        <v>116241</v>
      </c>
      <c r="K1778" s="36" t="str">
        <f>CONCATENATE(Cover!$D$6,"fdd/view?i=",J1778)</f>
        <v>https://www.dgiwg.org/FAD/fdd/view?i=116241</v>
      </c>
      <c r="L1778" s="36" t="s">
        <v>23315</v>
      </c>
      <c r="M1778" s="186"/>
      <c r="N1778" s="186"/>
      <c r="O1778" s="172"/>
    </row>
    <row r="1779" spans="1:15" ht="25.5" x14ac:dyDescent="0.2">
      <c r="A1779" s="197" t="str">
        <f t="shared" si="27"/>
        <v>AfuCode_octane115_145</v>
      </c>
      <c r="B1779" s="409"/>
      <c r="C1779" s="416"/>
      <c r="D1779" s="198" t="s">
        <v>23316</v>
      </c>
      <c r="E1779" s="198">
        <v>24</v>
      </c>
      <c r="F1779" s="199" t="s">
        <v>23317</v>
      </c>
      <c r="G1779" s="1" t="s">
        <v>23318</v>
      </c>
      <c r="H1779" s="200"/>
      <c r="I1779" s="351" t="s">
        <v>23319</v>
      </c>
      <c r="J1779" s="39">
        <v>116242</v>
      </c>
      <c r="K1779" s="36" t="str">
        <f>CONCATENATE(Cover!$D$6,"fdd/view?i=",J1779)</f>
        <v>https://www.dgiwg.org/FAD/fdd/view?i=116242</v>
      </c>
      <c r="L1779" s="36" t="s">
        <v>23320</v>
      </c>
      <c r="M1779" s="186"/>
      <c r="N1779" s="186"/>
      <c r="O1779" s="172"/>
    </row>
    <row r="1780" spans="1:15" x14ac:dyDescent="0.2">
      <c r="A1780" s="197" t="str">
        <f t="shared" si="27"/>
        <v>AfuCode_octane73</v>
      </c>
      <c r="B1780" s="409"/>
      <c r="C1780" s="416"/>
      <c r="D1780" s="198" t="s">
        <v>23321</v>
      </c>
      <c r="E1780" s="198">
        <v>25</v>
      </c>
      <c r="F1780" s="199" t="s">
        <v>23322</v>
      </c>
      <c r="G1780" s="1" t="s">
        <v>23323</v>
      </c>
      <c r="H1780" s="200"/>
      <c r="I1780" s="346"/>
      <c r="J1780" s="39">
        <v>116243</v>
      </c>
      <c r="K1780" s="36" t="str">
        <f>CONCATENATE(Cover!$D$6,"fdd/view?i=",J1780)</f>
        <v>https://www.dgiwg.org/FAD/fdd/view?i=116243</v>
      </c>
      <c r="L1780" s="36" t="s">
        <v>23324</v>
      </c>
      <c r="M1780" s="186"/>
      <c r="N1780" s="186"/>
      <c r="O1780" s="172"/>
    </row>
    <row r="1781" spans="1:15" x14ac:dyDescent="0.2">
      <c r="A1781" s="197" t="str">
        <f t="shared" si="27"/>
        <v>AfuCode_octane80</v>
      </c>
      <c r="B1781" s="409"/>
      <c r="C1781" s="416"/>
      <c r="D1781" s="198" t="s">
        <v>23325</v>
      </c>
      <c r="E1781" s="198">
        <v>26</v>
      </c>
      <c r="F1781" s="199" t="s">
        <v>23326</v>
      </c>
      <c r="G1781" s="1" t="s">
        <v>23327</v>
      </c>
      <c r="H1781" s="200"/>
      <c r="I1781" s="351" t="s">
        <v>23328</v>
      </c>
      <c r="J1781" s="39">
        <v>116244</v>
      </c>
      <c r="K1781" s="36" t="str">
        <f>CONCATENATE(Cover!$D$6,"fdd/view?i=",J1781)</f>
        <v>https://www.dgiwg.org/FAD/fdd/view?i=116244</v>
      </c>
      <c r="L1781" s="36" t="s">
        <v>23329</v>
      </c>
      <c r="M1781" s="186"/>
      <c r="N1781" s="186"/>
      <c r="O1781" s="172"/>
    </row>
    <row r="1782" spans="1:15" x14ac:dyDescent="0.2">
      <c r="A1782" s="197" t="str">
        <f t="shared" si="27"/>
        <v>AfuCode_octane80_87</v>
      </c>
      <c r="B1782" s="409"/>
      <c r="C1782" s="416"/>
      <c r="D1782" s="198" t="s">
        <v>23330</v>
      </c>
      <c r="E1782" s="198">
        <v>27</v>
      </c>
      <c r="F1782" s="199" t="s">
        <v>23331</v>
      </c>
      <c r="G1782" s="1" t="s">
        <v>23332</v>
      </c>
      <c r="H1782" s="200"/>
      <c r="I1782" s="346"/>
      <c r="J1782" s="39">
        <v>116245</v>
      </c>
      <c r="K1782" s="36" t="str">
        <f>CONCATENATE(Cover!$D$6,"fdd/view?i=",J1782)</f>
        <v>https://www.dgiwg.org/FAD/fdd/view?i=116245</v>
      </c>
      <c r="L1782" s="36" t="s">
        <v>23333</v>
      </c>
      <c r="M1782" s="186"/>
      <c r="N1782" s="186"/>
      <c r="O1782" s="172"/>
    </row>
    <row r="1783" spans="1:15" ht="25.5" x14ac:dyDescent="0.2">
      <c r="A1783" s="197" t="str">
        <f t="shared" si="27"/>
        <v>AfuCode_octane82Unleaded</v>
      </c>
      <c r="B1783" s="409"/>
      <c r="C1783" s="416"/>
      <c r="D1783" s="198" t="s">
        <v>23334</v>
      </c>
      <c r="E1783" s="198">
        <v>28</v>
      </c>
      <c r="F1783" s="199" t="s">
        <v>23335</v>
      </c>
      <c r="G1783" s="1" t="s">
        <v>23336</v>
      </c>
      <c r="H1783" s="200"/>
      <c r="I1783" s="346"/>
      <c r="J1783" s="39">
        <v>116246</v>
      </c>
      <c r="K1783" s="36" t="str">
        <f>CONCATENATE(Cover!$D$6,"fdd/view?i=",J1783)</f>
        <v>https://www.dgiwg.org/FAD/fdd/view?i=116246</v>
      </c>
      <c r="L1783" s="36" t="s">
        <v>23337</v>
      </c>
      <c r="M1783" s="186"/>
      <c r="N1783" s="186"/>
      <c r="O1783" s="172"/>
    </row>
    <row r="1784" spans="1:15" x14ac:dyDescent="0.2">
      <c r="A1784" s="197" t="str">
        <f t="shared" si="27"/>
        <v>AfuCode_octane91_98</v>
      </c>
      <c r="B1784" s="409"/>
      <c r="C1784" s="416"/>
      <c r="D1784" s="198" t="s">
        <v>23338</v>
      </c>
      <c r="E1784" s="198">
        <v>29</v>
      </c>
      <c r="F1784" s="199" t="s">
        <v>23339</v>
      </c>
      <c r="G1784" s="1" t="s">
        <v>23340</v>
      </c>
      <c r="H1784" s="200"/>
      <c r="I1784" s="351" t="s">
        <v>23341</v>
      </c>
      <c r="J1784" s="39">
        <v>116247</v>
      </c>
      <c r="K1784" s="36" t="str">
        <f>CONCATENATE(Cover!$D$6,"fdd/view?i=",J1784)</f>
        <v>https://www.dgiwg.org/FAD/fdd/view?i=116247</v>
      </c>
      <c r="L1784" s="36" t="s">
        <v>23342</v>
      </c>
      <c r="M1784" s="186"/>
      <c r="N1784" s="186"/>
      <c r="O1784" s="172"/>
    </row>
    <row r="1785" spans="1:15" x14ac:dyDescent="0.2">
      <c r="A1785" s="197" t="str">
        <f t="shared" si="27"/>
        <v>AfuCode_rt</v>
      </c>
      <c r="B1785" s="409"/>
      <c r="C1785" s="416"/>
      <c r="D1785" s="198" t="s">
        <v>23343</v>
      </c>
      <c r="E1785" s="198">
        <v>30</v>
      </c>
      <c r="F1785" s="199" t="s">
        <v>23344</v>
      </c>
      <c r="G1785" s="1" t="s">
        <v>23345</v>
      </c>
      <c r="H1785" s="200"/>
      <c r="I1785" s="346"/>
      <c r="J1785" s="39">
        <v>116248</v>
      </c>
      <c r="K1785" s="36" t="str">
        <f>CONCATENATE(Cover!$D$6,"fdd/view?i=",J1785)</f>
        <v>https://www.dgiwg.org/FAD/fdd/view?i=116248</v>
      </c>
      <c r="L1785" s="36" t="s">
        <v>23346</v>
      </c>
      <c r="M1785" s="186"/>
      <c r="N1785" s="186"/>
      <c r="O1785" s="172"/>
    </row>
    <row r="1786" spans="1:15" x14ac:dyDescent="0.2">
      <c r="A1786" s="197" t="str">
        <f t="shared" si="27"/>
        <v>AfuCode_tr0</v>
      </c>
      <c r="B1786" s="409"/>
      <c r="C1786" s="416"/>
      <c r="D1786" s="198" t="s">
        <v>23347</v>
      </c>
      <c r="E1786" s="198">
        <v>31</v>
      </c>
      <c r="F1786" s="199" t="s">
        <v>23348</v>
      </c>
      <c r="G1786" s="1" t="s">
        <v>23349</v>
      </c>
      <c r="H1786" s="200"/>
      <c r="I1786" s="346"/>
      <c r="J1786" s="39">
        <v>116249</v>
      </c>
      <c r="K1786" s="36" t="str">
        <f>CONCATENATE(Cover!$D$6,"fdd/view?i=",J1786)</f>
        <v>https://www.dgiwg.org/FAD/fdd/view?i=116249</v>
      </c>
      <c r="L1786" s="36" t="s">
        <v>23350</v>
      </c>
      <c r="M1786" s="186"/>
      <c r="N1786" s="186"/>
      <c r="O1786" s="172"/>
    </row>
    <row r="1787" spans="1:15" x14ac:dyDescent="0.2">
      <c r="A1787" s="203" t="str">
        <f t="shared" si="27"/>
        <v>AfuCode_tr4</v>
      </c>
      <c r="B1787" s="410"/>
      <c r="C1787" s="417"/>
      <c r="D1787" s="204" t="s">
        <v>23351</v>
      </c>
      <c r="E1787" s="204">
        <v>32</v>
      </c>
      <c r="F1787" s="205" t="s">
        <v>23352</v>
      </c>
      <c r="G1787" s="206" t="s">
        <v>23353</v>
      </c>
      <c r="H1787" s="207"/>
      <c r="I1787" s="347"/>
      <c r="J1787" s="39">
        <v>116250</v>
      </c>
      <c r="K1787" s="36" t="str">
        <f>CONCATENATE(Cover!$D$6,"fdd/view?i=",J1787)</f>
        <v>https://www.dgiwg.org/FAD/fdd/view?i=116250</v>
      </c>
      <c r="L1787" s="36" t="s">
        <v>23354</v>
      </c>
      <c r="M1787" s="186"/>
      <c r="N1787" s="186"/>
      <c r="O1787" s="172"/>
    </row>
    <row r="1788" spans="1:15" x14ac:dyDescent="0.2">
      <c r="A1788" s="190" t="str">
        <f t="shared" si="27"/>
        <v>AhfCode_c_635</v>
      </c>
      <c r="B1788" s="414" t="str">
        <f>HYPERLINK("[#]Datatypes!A200:L200","AhfCode")</f>
        <v>AhfCode</v>
      </c>
      <c r="C1788" s="415" t="s">
        <v>14754</v>
      </c>
      <c r="D1788" s="221" t="s">
        <v>23355</v>
      </c>
      <c r="E1788" s="221">
        <v>5</v>
      </c>
      <c r="F1788" s="222" t="s">
        <v>23356</v>
      </c>
      <c r="G1788" s="223" t="s">
        <v>23357</v>
      </c>
      <c r="H1788" s="224"/>
      <c r="I1788" s="345"/>
      <c r="J1788" s="39">
        <v>116446</v>
      </c>
      <c r="K1788" s="36" t="str">
        <f>CONCATENATE(Cover!$D$6,"fdd/view?i=",J1788)</f>
        <v>https://www.dgiwg.org/FAD/fdd/view?i=116446</v>
      </c>
      <c r="L1788" s="36" t="s">
        <v>23358</v>
      </c>
      <c r="M1788" s="186"/>
      <c r="N1788" s="186"/>
      <c r="O1788" s="172"/>
    </row>
    <row r="1789" spans="1:15" x14ac:dyDescent="0.2">
      <c r="A1789" s="197" t="str">
        <f t="shared" si="27"/>
        <v>AhfCode_h_515</v>
      </c>
      <c r="B1789" s="409"/>
      <c r="C1789" s="416"/>
      <c r="D1789" s="198" t="s">
        <v>23359</v>
      </c>
      <c r="E1789" s="198">
        <v>1</v>
      </c>
      <c r="F1789" s="199" t="s">
        <v>23360</v>
      </c>
      <c r="G1789" s="1" t="s">
        <v>23357</v>
      </c>
      <c r="H1789" s="200"/>
      <c r="I1789" s="346"/>
      <c r="J1789" s="39">
        <v>116442</v>
      </c>
      <c r="K1789" s="36" t="str">
        <f>CONCATENATE(Cover!$D$6,"fdd/view?i=",J1789)</f>
        <v>https://www.dgiwg.org/FAD/fdd/view?i=116442</v>
      </c>
      <c r="L1789" s="36" t="s">
        <v>23361</v>
      </c>
      <c r="M1789" s="186"/>
      <c r="N1789" s="186"/>
      <c r="O1789" s="172"/>
    </row>
    <row r="1790" spans="1:15" x14ac:dyDescent="0.2">
      <c r="A1790" s="197" t="str">
        <f t="shared" si="27"/>
        <v>AhfCode_h_520</v>
      </c>
      <c r="B1790" s="409"/>
      <c r="C1790" s="416"/>
      <c r="D1790" s="198" t="s">
        <v>23362</v>
      </c>
      <c r="E1790" s="198">
        <v>3</v>
      </c>
      <c r="F1790" s="199" t="s">
        <v>23363</v>
      </c>
      <c r="G1790" s="1" t="s">
        <v>23357</v>
      </c>
      <c r="H1790" s="200"/>
      <c r="I1790" s="346"/>
      <c r="J1790" s="39">
        <v>116444</v>
      </c>
      <c r="K1790" s="36" t="str">
        <f>CONCATENATE(Cover!$D$6,"fdd/view?i=",J1790)</f>
        <v>https://www.dgiwg.org/FAD/fdd/view?i=116444</v>
      </c>
      <c r="L1790" s="36" t="s">
        <v>23364</v>
      </c>
      <c r="M1790" s="186"/>
      <c r="N1790" s="186"/>
      <c r="O1790" s="172"/>
    </row>
    <row r="1791" spans="1:15" x14ac:dyDescent="0.2">
      <c r="A1791" s="197" t="str">
        <f t="shared" si="27"/>
        <v>AhfCode_h_537</v>
      </c>
      <c r="B1791" s="409"/>
      <c r="C1791" s="416"/>
      <c r="D1791" s="198" t="s">
        <v>23365</v>
      </c>
      <c r="E1791" s="198">
        <v>2</v>
      </c>
      <c r="F1791" s="199" t="s">
        <v>23366</v>
      </c>
      <c r="G1791" s="1" t="s">
        <v>23367</v>
      </c>
      <c r="H1791" s="200"/>
      <c r="I1791" s="351" t="s">
        <v>23368</v>
      </c>
      <c r="J1791" s="39">
        <v>116443</v>
      </c>
      <c r="K1791" s="36" t="str">
        <f>CONCATENATE(Cover!$D$6,"fdd/view?i=",J1791)</f>
        <v>https://www.dgiwg.org/FAD/fdd/view?i=116443</v>
      </c>
      <c r="L1791" s="36" t="s">
        <v>23369</v>
      </c>
      <c r="M1791" s="186"/>
      <c r="N1791" s="186"/>
      <c r="O1791" s="172"/>
    </row>
    <row r="1792" spans="1:15" x14ac:dyDescent="0.2">
      <c r="A1792" s="197" t="str">
        <f t="shared" si="27"/>
        <v>AhfCode_h_538</v>
      </c>
      <c r="B1792" s="409"/>
      <c r="C1792" s="416"/>
      <c r="D1792" s="198" t="s">
        <v>23370</v>
      </c>
      <c r="E1792" s="198">
        <v>4</v>
      </c>
      <c r="F1792" s="199" t="s">
        <v>23371</v>
      </c>
      <c r="G1792" s="1" t="s">
        <v>23372</v>
      </c>
      <c r="H1792" s="200"/>
      <c r="I1792" s="346"/>
      <c r="J1792" s="39">
        <v>116445</v>
      </c>
      <c r="K1792" s="36" t="str">
        <f>CONCATENATE(Cover!$D$6,"fdd/view?i=",J1792)</f>
        <v>https://www.dgiwg.org/FAD/fdd/view?i=116445</v>
      </c>
      <c r="L1792" s="36" t="s">
        <v>23373</v>
      </c>
      <c r="M1792" s="186"/>
      <c r="N1792" s="186"/>
      <c r="O1792" s="172"/>
    </row>
    <row r="1793" spans="1:15" x14ac:dyDescent="0.2">
      <c r="A1793" s="197" t="str">
        <f t="shared" si="27"/>
        <v>AhfCode_h_544</v>
      </c>
      <c r="B1793" s="409"/>
      <c r="C1793" s="416"/>
      <c r="D1793" s="198" t="s">
        <v>23374</v>
      </c>
      <c r="E1793" s="198">
        <v>6</v>
      </c>
      <c r="F1793" s="199" t="s">
        <v>23375</v>
      </c>
      <c r="G1793" s="1" t="s">
        <v>23372</v>
      </c>
      <c r="H1793" s="200"/>
      <c r="I1793" s="346"/>
      <c r="J1793" s="39">
        <v>116447</v>
      </c>
      <c r="K1793" s="36" t="str">
        <f>CONCATENATE(Cover!$D$6,"fdd/view?i=",J1793)</f>
        <v>https://www.dgiwg.org/FAD/fdd/view?i=116447</v>
      </c>
      <c r="L1793" s="36" t="s">
        <v>23376</v>
      </c>
      <c r="M1793" s="186"/>
      <c r="N1793" s="186"/>
      <c r="O1793" s="172"/>
    </row>
    <row r="1794" spans="1:15" x14ac:dyDescent="0.2">
      <c r="A1794" s="203" t="str">
        <f t="shared" ref="A1794:A1857" si="28">HYPERLINK(K1794,L1794)</f>
        <v>AhfCode_skydrol</v>
      </c>
      <c r="B1794" s="410"/>
      <c r="C1794" s="417"/>
      <c r="D1794" s="204" t="s">
        <v>23377</v>
      </c>
      <c r="E1794" s="204">
        <v>7</v>
      </c>
      <c r="F1794" s="205" t="s">
        <v>23378</v>
      </c>
      <c r="G1794" s="206" t="s">
        <v>23379</v>
      </c>
      <c r="H1794" s="207"/>
      <c r="I1794" s="347"/>
      <c r="J1794" s="39">
        <v>116448</v>
      </c>
      <c r="K1794" s="36" t="str">
        <f>CONCATENATE(Cover!$D$6,"fdd/view?i=",J1794)</f>
        <v>https://www.dgiwg.org/FAD/fdd/view?i=116448</v>
      </c>
      <c r="L1794" s="36" t="s">
        <v>23380</v>
      </c>
      <c r="M1794" s="186"/>
      <c r="N1794" s="186"/>
      <c r="O1794" s="172"/>
    </row>
    <row r="1795" spans="1:15" ht="25.5" x14ac:dyDescent="0.2">
      <c r="A1795" s="190" t="str">
        <f t="shared" si="28"/>
        <v>AnsCode_bottle</v>
      </c>
      <c r="B1795" s="414" t="str">
        <f>HYPERLINK("[#]Datatypes!A202:L202","AnsCode")</f>
        <v>AnsCode</v>
      </c>
      <c r="C1795" s="415" t="s">
        <v>14756</v>
      </c>
      <c r="D1795" s="221" t="s">
        <v>23381</v>
      </c>
      <c r="E1795" s="221">
        <v>8</v>
      </c>
      <c r="F1795" s="222" t="s">
        <v>23382</v>
      </c>
      <c r="G1795" s="223" t="s">
        <v>23383</v>
      </c>
      <c r="H1795" s="224"/>
      <c r="I1795" s="345"/>
      <c r="J1795" s="39">
        <v>116148</v>
      </c>
      <c r="K1795" s="36" t="str">
        <f>CONCATENATE(Cover!$D$6,"fdd/view?i=",J1795)</f>
        <v>https://www.dgiwg.org/FAD/fdd/view?i=116148</v>
      </c>
      <c r="L1795" s="36" t="s">
        <v>23384</v>
      </c>
      <c r="M1795" s="186"/>
      <c r="N1795" s="186"/>
      <c r="O1795" s="172"/>
    </row>
    <row r="1796" spans="1:15" ht="25.5" x14ac:dyDescent="0.2">
      <c r="A1796" s="197" t="str">
        <f t="shared" si="28"/>
        <v>AnsCode_directTransfer</v>
      </c>
      <c r="B1796" s="409"/>
      <c r="C1796" s="416"/>
      <c r="D1796" s="198" t="s">
        <v>23385</v>
      </c>
      <c r="E1796" s="198">
        <v>7</v>
      </c>
      <c r="F1796" s="199" t="s">
        <v>23386</v>
      </c>
      <c r="G1796" s="1" t="s">
        <v>23387</v>
      </c>
      <c r="H1796" s="200"/>
      <c r="I1796" s="346"/>
      <c r="J1796" s="39">
        <v>116147</v>
      </c>
      <c r="K1796" s="36" t="str">
        <f>CONCATENATE(Cover!$D$6,"fdd/view?i=",J1796)</f>
        <v>https://www.dgiwg.org/FAD/fdd/view?i=116147</v>
      </c>
      <c r="L1796" s="36" t="s">
        <v>23388</v>
      </c>
      <c r="M1796" s="186"/>
      <c r="N1796" s="186"/>
      <c r="O1796" s="172"/>
    </row>
    <row r="1797" spans="1:15" ht="25.5" x14ac:dyDescent="0.2">
      <c r="A1797" s="197" t="str">
        <f t="shared" si="28"/>
        <v>AnsCode_gasDirectTransfer</v>
      </c>
      <c r="B1797" s="409"/>
      <c r="C1797" s="416"/>
      <c r="D1797" s="198" t="s">
        <v>23389</v>
      </c>
      <c r="E1797" s="198">
        <v>3</v>
      </c>
      <c r="F1797" s="199" t="s">
        <v>23390</v>
      </c>
      <c r="G1797" s="1" t="s">
        <v>23391</v>
      </c>
      <c r="H1797" s="200"/>
      <c r="I1797" s="346"/>
      <c r="J1797" s="39">
        <v>116143</v>
      </c>
      <c r="K1797" s="36" t="str">
        <f>CONCATENATE(Cover!$D$6,"fdd/view?i=",J1797)</f>
        <v>https://www.dgiwg.org/FAD/fdd/view?i=116143</v>
      </c>
      <c r="L1797" s="36" t="s">
        <v>23392</v>
      </c>
      <c r="M1797" s="186"/>
      <c r="N1797" s="186"/>
      <c r="O1797" s="172"/>
    </row>
    <row r="1798" spans="1:15" ht="25.5" x14ac:dyDescent="0.2">
      <c r="A1798" s="197" t="str">
        <f t="shared" si="28"/>
        <v>AnsCode_highPressureBottle</v>
      </c>
      <c r="B1798" s="409"/>
      <c r="C1798" s="416"/>
      <c r="D1798" s="198" t="s">
        <v>23393</v>
      </c>
      <c r="E1798" s="198">
        <v>1</v>
      </c>
      <c r="F1798" s="199" t="s">
        <v>23394</v>
      </c>
      <c r="G1798" s="1" t="s">
        <v>23395</v>
      </c>
      <c r="H1798" s="200"/>
      <c r="I1798" s="346"/>
      <c r="J1798" s="39">
        <v>116141</v>
      </c>
      <c r="K1798" s="36" t="str">
        <f>CONCATENATE(Cover!$D$6,"fdd/view?i=",J1798)</f>
        <v>https://www.dgiwg.org/FAD/fdd/view?i=116141</v>
      </c>
      <c r="L1798" s="36" t="s">
        <v>23396</v>
      </c>
      <c r="M1798" s="186"/>
      <c r="N1798" s="186"/>
      <c r="O1798" s="172"/>
    </row>
    <row r="1799" spans="1:15" ht="25.5" x14ac:dyDescent="0.2">
      <c r="A1799" s="197" t="str">
        <f t="shared" si="28"/>
        <v>AnsCode_highPressureDirectTransfer</v>
      </c>
      <c r="B1799" s="409"/>
      <c r="C1799" s="416"/>
      <c r="D1799" s="198" t="s">
        <v>23397</v>
      </c>
      <c r="E1799" s="198">
        <v>2</v>
      </c>
      <c r="F1799" s="199" t="s">
        <v>23398</v>
      </c>
      <c r="G1799" s="1" t="s">
        <v>23399</v>
      </c>
      <c r="H1799" s="200"/>
      <c r="I1799" s="346"/>
      <c r="J1799" s="39">
        <v>116142</v>
      </c>
      <c r="K1799" s="36" t="str">
        <f>CONCATENATE(Cover!$D$6,"fdd/view?i=",J1799)</f>
        <v>https://www.dgiwg.org/FAD/fdd/view?i=116142</v>
      </c>
      <c r="L1799" s="36" t="s">
        <v>23400</v>
      </c>
      <c r="M1799" s="186"/>
      <c r="N1799" s="186"/>
      <c r="O1799" s="172"/>
    </row>
    <row r="1800" spans="1:15" ht="25.5" x14ac:dyDescent="0.2">
      <c r="A1800" s="197" t="str">
        <f t="shared" si="28"/>
        <v>AnsCode_liquidDirectTransfer</v>
      </c>
      <c r="B1800" s="409"/>
      <c r="C1800" s="416"/>
      <c r="D1800" s="198" t="s">
        <v>23401</v>
      </c>
      <c r="E1800" s="198">
        <v>4</v>
      </c>
      <c r="F1800" s="199" t="s">
        <v>23402</v>
      </c>
      <c r="G1800" s="1" t="s">
        <v>23403</v>
      </c>
      <c r="H1800" s="200"/>
      <c r="I1800" s="346"/>
      <c r="J1800" s="39">
        <v>116144</v>
      </c>
      <c r="K1800" s="36" t="str">
        <f>CONCATENATE(Cover!$D$6,"fdd/view?i=",J1800)</f>
        <v>https://www.dgiwg.org/FAD/fdd/view?i=116144</v>
      </c>
      <c r="L1800" s="36" t="s">
        <v>23404</v>
      </c>
      <c r="M1800" s="186"/>
      <c r="N1800" s="186"/>
      <c r="O1800" s="172"/>
    </row>
    <row r="1801" spans="1:15" ht="25.5" x14ac:dyDescent="0.2">
      <c r="A1801" s="197" t="str">
        <f t="shared" si="28"/>
        <v>AnsCode_lowPressureBottle</v>
      </c>
      <c r="B1801" s="409"/>
      <c r="C1801" s="416"/>
      <c r="D1801" s="198" t="s">
        <v>23405</v>
      </c>
      <c r="E1801" s="198">
        <v>5</v>
      </c>
      <c r="F1801" s="199" t="s">
        <v>23406</v>
      </c>
      <c r="G1801" s="1" t="s">
        <v>23407</v>
      </c>
      <c r="H1801" s="200"/>
      <c r="I1801" s="346"/>
      <c r="J1801" s="39">
        <v>116145</v>
      </c>
      <c r="K1801" s="36" t="str">
        <f>CONCATENATE(Cover!$D$6,"fdd/view?i=",J1801)</f>
        <v>https://www.dgiwg.org/FAD/fdd/view?i=116145</v>
      </c>
      <c r="L1801" s="36" t="s">
        <v>23408</v>
      </c>
      <c r="M1801" s="186"/>
      <c r="N1801" s="186"/>
      <c r="O1801" s="172"/>
    </row>
    <row r="1802" spans="1:15" ht="25.5" x14ac:dyDescent="0.2">
      <c r="A1802" s="203" t="str">
        <f t="shared" si="28"/>
        <v>AnsCode_lowPressureDirectTransfer</v>
      </c>
      <c r="B1802" s="410"/>
      <c r="C1802" s="417"/>
      <c r="D1802" s="204" t="s">
        <v>23409</v>
      </c>
      <c r="E1802" s="204">
        <v>6</v>
      </c>
      <c r="F1802" s="205" t="s">
        <v>23410</v>
      </c>
      <c r="G1802" s="206" t="s">
        <v>23411</v>
      </c>
      <c r="H1802" s="207"/>
      <c r="I1802" s="347"/>
      <c r="J1802" s="39">
        <v>116146</v>
      </c>
      <c r="K1802" s="36" t="str">
        <f>CONCATENATE(Cover!$D$6,"fdd/view?i=",J1802)</f>
        <v>https://www.dgiwg.org/FAD/fdd/view?i=116146</v>
      </c>
      <c r="L1802" s="36" t="s">
        <v>23412</v>
      </c>
      <c r="M1802" s="186"/>
      <c r="N1802" s="186"/>
      <c r="O1802" s="172"/>
    </row>
    <row r="1803" spans="1:15" x14ac:dyDescent="0.2">
      <c r="A1803" s="190" t="str">
        <f t="shared" si="28"/>
        <v>AotCode_o_113</v>
      </c>
      <c r="B1803" s="414" t="str">
        <f>HYPERLINK("[#]Datatypes!A204:L204","AotCode")</f>
        <v>AotCode</v>
      </c>
      <c r="C1803" s="415" t="s">
        <v>14758</v>
      </c>
      <c r="D1803" s="221" t="s">
        <v>23413</v>
      </c>
      <c r="E1803" s="221">
        <v>1</v>
      </c>
      <c r="F1803" s="222" t="s">
        <v>23414</v>
      </c>
      <c r="G1803" s="223" t="s">
        <v>23415</v>
      </c>
      <c r="H1803" s="224"/>
      <c r="I1803" s="345"/>
      <c r="J1803" s="39">
        <v>116251</v>
      </c>
      <c r="K1803" s="36" t="str">
        <f>CONCATENATE(Cover!$D$6,"fdd/view?i=",J1803)</f>
        <v>https://www.dgiwg.org/FAD/fdd/view?i=116251</v>
      </c>
      <c r="L1803" s="36" t="s">
        <v>23416</v>
      </c>
      <c r="M1803" s="186"/>
      <c r="N1803" s="186"/>
      <c r="O1803" s="172"/>
    </row>
    <row r="1804" spans="1:15" x14ac:dyDescent="0.2">
      <c r="A1804" s="197" t="str">
        <f t="shared" si="28"/>
        <v>AotCode_o_117</v>
      </c>
      <c r="B1804" s="409"/>
      <c r="C1804" s="416"/>
      <c r="D1804" s="198" t="s">
        <v>23417</v>
      </c>
      <c r="E1804" s="198">
        <v>2</v>
      </c>
      <c r="F1804" s="199" t="s">
        <v>23418</v>
      </c>
      <c r="G1804" s="1" t="s">
        <v>23419</v>
      </c>
      <c r="H1804" s="200"/>
      <c r="I1804" s="346"/>
      <c r="J1804" s="39">
        <v>116252</v>
      </c>
      <c r="K1804" s="36" t="str">
        <f>CONCATENATE(Cover!$D$6,"fdd/view?i=",J1804)</f>
        <v>https://www.dgiwg.org/FAD/fdd/view?i=116252</v>
      </c>
      <c r="L1804" s="36" t="s">
        <v>23420</v>
      </c>
      <c r="M1804" s="186"/>
      <c r="N1804" s="186"/>
      <c r="O1804" s="172"/>
    </row>
    <row r="1805" spans="1:15" x14ac:dyDescent="0.2">
      <c r="A1805" s="197" t="str">
        <f t="shared" si="28"/>
        <v>AotCode_o_117Plus</v>
      </c>
      <c r="B1805" s="409"/>
      <c r="C1805" s="416"/>
      <c r="D1805" s="198" t="s">
        <v>23421</v>
      </c>
      <c r="E1805" s="198">
        <v>3</v>
      </c>
      <c r="F1805" s="199" t="s">
        <v>23422</v>
      </c>
      <c r="G1805" s="1" t="s">
        <v>23423</v>
      </c>
      <c r="H1805" s="200"/>
      <c r="I1805" s="346"/>
      <c r="J1805" s="39">
        <v>116253</v>
      </c>
      <c r="K1805" s="36" t="str">
        <f>CONCATENATE(Cover!$D$6,"fdd/view?i=",J1805)</f>
        <v>https://www.dgiwg.org/FAD/fdd/view?i=116253</v>
      </c>
      <c r="L1805" s="36" t="s">
        <v>23424</v>
      </c>
      <c r="M1805" s="186"/>
      <c r="N1805" s="186"/>
      <c r="O1805" s="172"/>
    </row>
    <row r="1806" spans="1:15" ht="25.5" x14ac:dyDescent="0.2">
      <c r="A1806" s="197" t="str">
        <f t="shared" si="28"/>
        <v>AotCode_o_123</v>
      </c>
      <c r="B1806" s="409"/>
      <c r="C1806" s="416"/>
      <c r="D1806" s="198" t="s">
        <v>23425</v>
      </c>
      <c r="E1806" s="198">
        <v>4</v>
      </c>
      <c r="F1806" s="199" t="s">
        <v>23426</v>
      </c>
      <c r="G1806" s="1" t="s">
        <v>23427</v>
      </c>
      <c r="H1806" s="200"/>
      <c r="I1806" s="346"/>
      <c r="J1806" s="39">
        <v>116254</v>
      </c>
      <c r="K1806" s="36" t="str">
        <f>CONCATENATE(Cover!$D$6,"fdd/view?i=",J1806)</f>
        <v>https://www.dgiwg.org/FAD/fdd/view?i=116254</v>
      </c>
      <c r="L1806" s="36" t="s">
        <v>23428</v>
      </c>
      <c r="M1806" s="186"/>
      <c r="N1806" s="186"/>
      <c r="O1806" s="172"/>
    </row>
    <row r="1807" spans="1:15" x14ac:dyDescent="0.2">
      <c r="A1807" s="197" t="str">
        <f t="shared" si="28"/>
        <v>AotCode_o_128</v>
      </c>
      <c r="B1807" s="409"/>
      <c r="C1807" s="416"/>
      <c r="D1807" s="198" t="s">
        <v>23429</v>
      </c>
      <c r="E1807" s="198">
        <v>5</v>
      </c>
      <c r="F1807" s="199" t="s">
        <v>23430</v>
      </c>
      <c r="G1807" s="1" t="s">
        <v>23431</v>
      </c>
      <c r="H1807" s="200"/>
      <c r="I1807" s="346"/>
      <c r="J1807" s="39">
        <v>116255</v>
      </c>
      <c r="K1807" s="36" t="str">
        <f>CONCATENATE(Cover!$D$6,"fdd/view?i=",J1807)</f>
        <v>https://www.dgiwg.org/FAD/fdd/view?i=116255</v>
      </c>
      <c r="L1807" s="36" t="s">
        <v>23432</v>
      </c>
      <c r="M1807" s="186"/>
      <c r="N1807" s="186"/>
      <c r="O1807" s="172"/>
    </row>
    <row r="1808" spans="1:15" x14ac:dyDescent="0.2">
      <c r="A1808" s="197" t="str">
        <f t="shared" si="28"/>
        <v>AotCode_o_132</v>
      </c>
      <c r="B1808" s="409"/>
      <c r="C1808" s="416"/>
      <c r="D1808" s="198" t="s">
        <v>23433</v>
      </c>
      <c r="E1808" s="198">
        <v>6</v>
      </c>
      <c r="F1808" s="199" t="s">
        <v>23434</v>
      </c>
      <c r="G1808" s="1" t="s">
        <v>23435</v>
      </c>
      <c r="H1808" s="200"/>
      <c r="I1808" s="346"/>
      <c r="J1808" s="39">
        <v>116256</v>
      </c>
      <c r="K1808" s="36" t="str">
        <f>CONCATENATE(Cover!$D$6,"fdd/view?i=",J1808)</f>
        <v>https://www.dgiwg.org/FAD/fdd/view?i=116256</v>
      </c>
      <c r="L1808" s="36" t="s">
        <v>23436</v>
      </c>
      <c r="M1808" s="186"/>
      <c r="N1808" s="186"/>
      <c r="O1808" s="172"/>
    </row>
    <row r="1809" spans="1:15" x14ac:dyDescent="0.2">
      <c r="A1809" s="197" t="str">
        <f t="shared" si="28"/>
        <v>AotCode_o_133</v>
      </c>
      <c r="B1809" s="409"/>
      <c r="C1809" s="416"/>
      <c r="D1809" s="198" t="s">
        <v>23437</v>
      </c>
      <c r="E1809" s="198">
        <v>7</v>
      </c>
      <c r="F1809" s="199" t="s">
        <v>23438</v>
      </c>
      <c r="G1809" s="1" t="s">
        <v>23439</v>
      </c>
      <c r="H1809" s="200"/>
      <c r="I1809" s="346"/>
      <c r="J1809" s="39">
        <v>116257</v>
      </c>
      <c r="K1809" s="36" t="str">
        <f>CONCATENATE(Cover!$D$6,"fdd/view?i=",J1809)</f>
        <v>https://www.dgiwg.org/FAD/fdd/view?i=116257</v>
      </c>
      <c r="L1809" s="36" t="s">
        <v>23440</v>
      </c>
      <c r="M1809" s="186"/>
      <c r="N1809" s="186"/>
      <c r="O1809" s="172"/>
    </row>
    <row r="1810" spans="1:15" x14ac:dyDescent="0.2">
      <c r="A1810" s="197" t="str">
        <f t="shared" si="28"/>
        <v>AotCode_o_135</v>
      </c>
      <c r="B1810" s="409"/>
      <c r="C1810" s="416"/>
      <c r="D1810" s="198" t="s">
        <v>23441</v>
      </c>
      <c r="E1810" s="198">
        <v>8</v>
      </c>
      <c r="F1810" s="199" t="s">
        <v>23442</v>
      </c>
      <c r="G1810" s="1" t="s">
        <v>23443</v>
      </c>
      <c r="H1810" s="200"/>
      <c r="I1810" s="346"/>
      <c r="J1810" s="39">
        <v>116258</v>
      </c>
      <c r="K1810" s="36" t="str">
        <f>CONCATENATE(Cover!$D$6,"fdd/view?i=",J1810)</f>
        <v>https://www.dgiwg.org/FAD/fdd/view?i=116258</v>
      </c>
      <c r="L1810" s="36" t="s">
        <v>23444</v>
      </c>
      <c r="M1810" s="186"/>
      <c r="N1810" s="186"/>
      <c r="O1810" s="172"/>
    </row>
    <row r="1811" spans="1:15" x14ac:dyDescent="0.2">
      <c r="A1811" s="197" t="str">
        <f t="shared" si="28"/>
        <v>AotCode_o_138</v>
      </c>
      <c r="B1811" s="409"/>
      <c r="C1811" s="416"/>
      <c r="D1811" s="198" t="s">
        <v>23445</v>
      </c>
      <c r="E1811" s="198">
        <v>9</v>
      </c>
      <c r="F1811" s="199" t="s">
        <v>23446</v>
      </c>
      <c r="G1811" s="1" t="s">
        <v>23443</v>
      </c>
      <c r="H1811" s="200"/>
      <c r="I1811" s="346"/>
      <c r="J1811" s="39">
        <v>116259</v>
      </c>
      <c r="K1811" s="36" t="str">
        <f>CONCATENATE(Cover!$D$6,"fdd/view?i=",J1811)</f>
        <v>https://www.dgiwg.org/FAD/fdd/view?i=116259</v>
      </c>
      <c r="L1811" s="36" t="s">
        <v>23447</v>
      </c>
      <c r="M1811" s="186"/>
      <c r="N1811" s="186"/>
      <c r="O1811" s="172"/>
    </row>
    <row r="1812" spans="1:15" x14ac:dyDescent="0.2">
      <c r="A1812" s="197" t="str">
        <f t="shared" si="28"/>
        <v>AotCode_o_147</v>
      </c>
      <c r="B1812" s="409"/>
      <c r="C1812" s="416"/>
      <c r="D1812" s="198" t="s">
        <v>23448</v>
      </c>
      <c r="E1812" s="198">
        <v>10</v>
      </c>
      <c r="F1812" s="199" t="s">
        <v>23449</v>
      </c>
      <c r="G1812" s="1" t="s">
        <v>23450</v>
      </c>
      <c r="H1812" s="200"/>
      <c r="I1812" s="346"/>
      <c r="J1812" s="39">
        <v>116260</v>
      </c>
      <c r="K1812" s="36" t="str">
        <f>CONCATENATE(Cover!$D$6,"fdd/view?i=",J1812)</f>
        <v>https://www.dgiwg.org/FAD/fdd/view?i=116260</v>
      </c>
      <c r="L1812" s="36" t="s">
        <v>23451</v>
      </c>
      <c r="M1812" s="186"/>
      <c r="N1812" s="186"/>
      <c r="O1812" s="172"/>
    </row>
    <row r="1813" spans="1:15" x14ac:dyDescent="0.2">
      <c r="A1813" s="197" t="str">
        <f t="shared" si="28"/>
        <v>AotCode_o_148</v>
      </c>
      <c r="B1813" s="409"/>
      <c r="C1813" s="416"/>
      <c r="D1813" s="198" t="s">
        <v>23452</v>
      </c>
      <c r="E1813" s="198">
        <v>11</v>
      </c>
      <c r="F1813" s="199" t="s">
        <v>23453</v>
      </c>
      <c r="G1813" s="1" t="s">
        <v>23454</v>
      </c>
      <c r="H1813" s="200"/>
      <c r="I1813" s="346"/>
      <c r="J1813" s="39">
        <v>116261</v>
      </c>
      <c r="K1813" s="36" t="str">
        <f>CONCATENATE(Cover!$D$6,"fdd/view?i=",J1813)</f>
        <v>https://www.dgiwg.org/FAD/fdd/view?i=116261</v>
      </c>
      <c r="L1813" s="36" t="s">
        <v>23455</v>
      </c>
      <c r="M1813" s="186"/>
      <c r="N1813" s="186"/>
      <c r="O1813" s="172"/>
    </row>
    <row r="1814" spans="1:15" x14ac:dyDescent="0.2">
      <c r="A1814" s="197" t="str">
        <f t="shared" si="28"/>
        <v>AotCode_o_149</v>
      </c>
      <c r="B1814" s="409"/>
      <c r="C1814" s="416"/>
      <c r="D1814" s="198" t="s">
        <v>23456</v>
      </c>
      <c r="E1814" s="198">
        <v>12</v>
      </c>
      <c r="F1814" s="199" t="s">
        <v>23457</v>
      </c>
      <c r="G1814" s="1" t="s">
        <v>23458</v>
      </c>
      <c r="H1814" s="200"/>
      <c r="I1814" s="346"/>
      <c r="J1814" s="39">
        <v>116262</v>
      </c>
      <c r="K1814" s="36" t="str">
        <f>CONCATENATE(Cover!$D$6,"fdd/view?i=",J1814)</f>
        <v>https://www.dgiwg.org/FAD/fdd/view?i=116262</v>
      </c>
      <c r="L1814" s="36" t="s">
        <v>23459</v>
      </c>
      <c r="M1814" s="186"/>
      <c r="N1814" s="186"/>
      <c r="O1814" s="172"/>
    </row>
    <row r="1815" spans="1:15" x14ac:dyDescent="0.2">
      <c r="A1815" s="197" t="str">
        <f t="shared" si="28"/>
        <v>AotCode_o_153</v>
      </c>
      <c r="B1815" s="409"/>
      <c r="C1815" s="416"/>
      <c r="D1815" s="198" t="s">
        <v>23460</v>
      </c>
      <c r="E1815" s="198">
        <v>13</v>
      </c>
      <c r="F1815" s="199" t="s">
        <v>23461</v>
      </c>
      <c r="G1815" s="1" t="s">
        <v>23462</v>
      </c>
      <c r="H1815" s="200"/>
      <c r="I1815" s="346"/>
      <c r="J1815" s="39">
        <v>116263</v>
      </c>
      <c r="K1815" s="36" t="str">
        <f>CONCATENATE(Cover!$D$6,"fdd/view?i=",J1815)</f>
        <v>https://www.dgiwg.org/FAD/fdd/view?i=116263</v>
      </c>
      <c r="L1815" s="36" t="s">
        <v>23463</v>
      </c>
      <c r="M1815" s="186"/>
      <c r="N1815" s="186"/>
      <c r="O1815" s="172"/>
    </row>
    <row r="1816" spans="1:15" x14ac:dyDescent="0.2">
      <c r="A1816" s="197" t="str">
        <f t="shared" si="28"/>
        <v>AotCode_o_155</v>
      </c>
      <c r="B1816" s="409"/>
      <c r="C1816" s="416"/>
      <c r="D1816" s="198" t="s">
        <v>23464</v>
      </c>
      <c r="E1816" s="198">
        <v>14</v>
      </c>
      <c r="F1816" s="199" t="s">
        <v>23465</v>
      </c>
      <c r="G1816" s="1" t="s">
        <v>23466</v>
      </c>
      <c r="H1816" s="200"/>
      <c r="I1816" s="346"/>
      <c r="J1816" s="39">
        <v>116264</v>
      </c>
      <c r="K1816" s="36" t="str">
        <f>CONCATENATE(Cover!$D$6,"fdd/view?i=",J1816)</f>
        <v>https://www.dgiwg.org/FAD/fdd/view?i=116264</v>
      </c>
      <c r="L1816" s="36" t="s">
        <v>23467</v>
      </c>
      <c r="M1816" s="186"/>
      <c r="N1816" s="186"/>
      <c r="O1816" s="172"/>
    </row>
    <row r="1817" spans="1:15" x14ac:dyDescent="0.2">
      <c r="A1817" s="197" t="str">
        <f t="shared" si="28"/>
        <v>AotCode_o_156</v>
      </c>
      <c r="B1817" s="409"/>
      <c r="C1817" s="416"/>
      <c r="D1817" s="198" t="s">
        <v>23468</v>
      </c>
      <c r="E1817" s="198">
        <v>15</v>
      </c>
      <c r="F1817" s="199" t="s">
        <v>23469</v>
      </c>
      <c r="G1817" s="1" t="s">
        <v>23470</v>
      </c>
      <c r="H1817" s="200"/>
      <c r="I1817" s="346"/>
      <c r="J1817" s="39">
        <v>116265</v>
      </c>
      <c r="K1817" s="36" t="str">
        <f>CONCATENATE(Cover!$D$6,"fdd/view?i=",J1817)</f>
        <v>https://www.dgiwg.org/FAD/fdd/view?i=116265</v>
      </c>
      <c r="L1817" s="36" t="s">
        <v>23471</v>
      </c>
      <c r="M1817" s="186"/>
      <c r="N1817" s="186"/>
      <c r="O1817" s="172"/>
    </row>
    <row r="1818" spans="1:15" x14ac:dyDescent="0.2">
      <c r="A1818" s="197" t="str">
        <f t="shared" si="28"/>
        <v>AotCode_o_160</v>
      </c>
      <c r="B1818" s="409"/>
      <c r="C1818" s="416"/>
      <c r="D1818" s="198" t="s">
        <v>23472</v>
      </c>
      <c r="E1818" s="198">
        <v>16</v>
      </c>
      <c r="F1818" s="199" t="s">
        <v>23473</v>
      </c>
      <c r="G1818" s="1" t="s">
        <v>23474</v>
      </c>
      <c r="H1818" s="200"/>
      <c r="I1818" s="346"/>
      <c r="J1818" s="39">
        <v>116266</v>
      </c>
      <c r="K1818" s="36" t="str">
        <f>CONCATENATE(Cover!$D$6,"fdd/view?i=",J1818)</f>
        <v>https://www.dgiwg.org/FAD/fdd/view?i=116266</v>
      </c>
      <c r="L1818" s="36" t="s">
        <v>23475</v>
      </c>
      <c r="M1818" s="186"/>
      <c r="N1818" s="186"/>
      <c r="O1818" s="172"/>
    </row>
    <row r="1819" spans="1:15" x14ac:dyDescent="0.2">
      <c r="A1819" s="197" t="str">
        <f t="shared" si="28"/>
        <v>AotCode_o_190</v>
      </c>
      <c r="B1819" s="409"/>
      <c r="C1819" s="416"/>
      <c r="D1819" s="198" t="s">
        <v>23476</v>
      </c>
      <c r="E1819" s="198">
        <v>17</v>
      </c>
      <c r="F1819" s="199" t="s">
        <v>23477</v>
      </c>
      <c r="G1819" s="1" t="s">
        <v>23478</v>
      </c>
      <c r="H1819" s="200"/>
      <c r="I1819" s="346"/>
      <c r="J1819" s="39">
        <v>116267</v>
      </c>
      <c r="K1819" s="36" t="str">
        <f>CONCATENATE(Cover!$D$6,"fdd/view?i=",J1819)</f>
        <v>https://www.dgiwg.org/FAD/fdd/view?i=116267</v>
      </c>
      <c r="L1819" s="36" t="s">
        <v>23479</v>
      </c>
      <c r="M1819" s="186"/>
      <c r="N1819" s="186"/>
      <c r="O1819" s="172"/>
    </row>
    <row r="1820" spans="1:15" x14ac:dyDescent="0.2">
      <c r="A1820" s="203" t="str">
        <f t="shared" si="28"/>
        <v>AotCode_o_226</v>
      </c>
      <c r="B1820" s="410"/>
      <c r="C1820" s="417"/>
      <c r="D1820" s="204" t="s">
        <v>23480</v>
      </c>
      <c r="E1820" s="204">
        <v>18</v>
      </c>
      <c r="F1820" s="205" t="s">
        <v>23481</v>
      </c>
      <c r="G1820" s="206" t="s">
        <v>23482</v>
      </c>
      <c r="H1820" s="207"/>
      <c r="I1820" s="347"/>
      <c r="J1820" s="39">
        <v>116268</v>
      </c>
      <c r="K1820" s="36" t="str">
        <f>CONCATENATE(Cover!$D$6,"fdd/view?i=",J1820)</f>
        <v>https://www.dgiwg.org/FAD/fdd/view?i=116268</v>
      </c>
      <c r="L1820" s="36" t="s">
        <v>23483</v>
      </c>
      <c r="M1820" s="186"/>
      <c r="N1820" s="186"/>
      <c r="O1820" s="172"/>
    </row>
    <row r="1821" spans="1:15" ht="25.5" x14ac:dyDescent="0.2">
      <c r="A1821" s="190" t="str">
        <f t="shared" si="28"/>
        <v>AosCode_bottle</v>
      </c>
      <c r="B1821" s="414" t="str">
        <f>HYPERLINK("[#]Datatypes!A206:L206","AosCode")</f>
        <v>AosCode</v>
      </c>
      <c r="C1821" s="415" t="s">
        <v>14760</v>
      </c>
      <c r="D1821" s="221" t="s">
        <v>23381</v>
      </c>
      <c r="E1821" s="221">
        <v>8</v>
      </c>
      <c r="F1821" s="222" t="s">
        <v>23382</v>
      </c>
      <c r="G1821" s="223" t="s">
        <v>23484</v>
      </c>
      <c r="H1821" s="224"/>
      <c r="I1821" s="352" t="s">
        <v>23485</v>
      </c>
      <c r="J1821" s="39">
        <v>116156</v>
      </c>
      <c r="K1821" s="36" t="str">
        <f>CONCATENATE(Cover!$D$6,"fdd/view?i=",J1821)</f>
        <v>https://www.dgiwg.org/FAD/fdd/view?i=116156</v>
      </c>
      <c r="L1821" s="36" t="s">
        <v>23486</v>
      </c>
      <c r="M1821" s="186"/>
      <c r="N1821" s="186"/>
      <c r="O1821" s="172"/>
    </row>
    <row r="1822" spans="1:15" ht="25.5" x14ac:dyDescent="0.2">
      <c r="A1822" s="197" t="str">
        <f t="shared" si="28"/>
        <v>AosCode_directTransfer</v>
      </c>
      <c r="B1822" s="409"/>
      <c r="C1822" s="416"/>
      <c r="D1822" s="198" t="s">
        <v>23385</v>
      </c>
      <c r="E1822" s="198">
        <v>7</v>
      </c>
      <c r="F1822" s="199" t="s">
        <v>23386</v>
      </c>
      <c r="G1822" s="1" t="s">
        <v>23487</v>
      </c>
      <c r="H1822" s="200"/>
      <c r="I1822" s="351" t="s">
        <v>23488</v>
      </c>
      <c r="J1822" s="39">
        <v>116155</v>
      </c>
      <c r="K1822" s="36" t="str">
        <f>CONCATENATE(Cover!$D$6,"fdd/view?i=",J1822)</f>
        <v>https://www.dgiwg.org/FAD/fdd/view?i=116155</v>
      </c>
      <c r="L1822" s="36" t="s">
        <v>23489</v>
      </c>
      <c r="M1822" s="186"/>
      <c r="N1822" s="186"/>
      <c r="O1822" s="172"/>
    </row>
    <row r="1823" spans="1:15" ht="25.5" x14ac:dyDescent="0.2">
      <c r="A1823" s="197" t="str">
        <f t="shared" si="28"/>
        <v>AosCode_gasDirectTransfer</v>
      </c>
      <c r="B1823" s="409"/>
      <c r="C1823" s="416"/>
      <c r="D1823" s="198" t="s">
        <v>23389</v>
      </c>
      <c r="E1823" s="198">
        <v>3</v>
      </c>
      <c r="F1823" s="199" t="s">
        <v>23390</v>
      </c>
      <c r="G1823" s="1" t="s">
        <v>23490</v>
      </c>
      <c r="H1823" s="200"/>
      <c r="I1823" s="351" t="s">
        <v>23491</v>
      </c>
      <c r="J1823" s="39">
        <v>116151</v>
      </c>
      <c r="K1823" s="36" t="str">
        <f>CONCATENATE(Cover!$D$6,"fdd/view?i=",J1823)</f>
        <v>https://www.dgiwg.org/FAD/fdd/view?i=116151</v>
      </c>
      <c r="L1823" s="36" t="s">
        <v>23492</v>
      </c>
      <c r="M1823" s="186"/>
      <c r="N1823" s="186"/>
      <c r="O1823" s="172"/>
    </row>
    <row r="1824" spans="1:15" ht="25.5" x14ac:dyDescent="0.2">
      <c r="A1824" s="197" t="str">
        <f t="shared" si="28"/>
        <v>AosCode_highPressureBottle</v>
      </c>
      <c r="B1824" s="409"/>
      <c r="C1824" s="416"/>
      <c r="D1824" s="198" t="s">
        <v>23393</v>
      </c>
      <c r="E1824" s="198">
        <v>1</v>
      </c>
      <c r="F1824" s="199" t="s">
        <v>23394</v>
      </c>
      <c r="G1824" s="1" t="s">
        <v>23493</v>
      </c>
      <c r="H1824" s="200"/>
      <c r="I1824" s="351" t="s">
        <v>23494</v>
      </c>
      <c r="J1824" s="39">
        <v>116149</v>
      </c>
      <c r="K1824" s="36" t="str">
        <f>CONCATENATE(Cover!$D$6,"fdd/view?i=",J1824)</f>
        <v>https://www.dgiwg.org/FAD/fdd/view?i=116149</v>
      </c>
      <c r="L1824" s="36" t="s">
        <v>23495</v>
      </c>
      <c r="M1824" s="186"/>
      <c r="N1824" s="186"/>
      <c r="O1824" s="172"/>
    </row>
    <row r="1825" spans="1:15" ht="25.5" x14ac:dyDescent="0.2">
      <c r="A1825" s="197" t="str">
        <f t="shared" si="28"/>
        <v>AosCode_highPressureDirectTransfer</v>
      </c>
      <c r="B1825" s="409"/>
      <c r="C1825" s="416"/>
      <c r="D1825" s="198" t="s">
        <v>23397</v>
      </c>
      <c r="E1825" s="198">
        <v>2</v>
      </c>
      <c r="F1825" s="199" t="s">
        <v>23398</v>
      </c>
      <c r="G1825" s="1" t="s">
        <v>23496</v>
      </c>
      <c r="H1825" s="200"/>
      <c r="I1825" s="351" t="s">
        <v>23497</v>
      </c>
      <c r="J1825" s="39">
        <v>116150</v>
      </c>
      <c r="K1825" s="36" t="str">
        <f>CONCATENATE(Cover!$D$6,"fdd/view?i=",J1825)</f>
        <v>https://www.dgiwg.org/FAD/fdd/view?i=116150</v>
      </c>
      <c r="L1825" s="36" t="s">
        <v>23498</v>
      </c>
      <c r="M1825" s="186"/>
      <c r="N1825" s="186"/>
      <c r="O1825" s="172"/>
    </row>
    <row r="1826" spans="1:15" ht="25.5" x14ac:dyDescent="0.2">
      <c r="A1826" s="197" t="str">
        <f t="shared" si="28"/>
        <v>AosCode_liquidDirectTransfer</v>
      </c>
      <c r="B1826" s="409"/>
      <c r="C1826" s="416"/>
      <c r="D1826" s="198" t="s">
        <v>23401</v>
      </c>
      <c r="E1826" s="198">
        <v>4</v>
      </c>
      <c r="F1826" s="199" t="s">
        <v>23402</v>
      </c>
      <c r="G1826" s="1" t="s">
        <v>23499</v>
      </c>
      <c r="H1826" s="200"/>
      <c r="I1826" s="351" t="s">
        <v>23500</v>
      </c>
      <c r="J1826" s="39">
        <v>116152</v>
      </c>
      <c r="K1826" s="36" t="str">
        <f>CONCATENATE(Cover!$D$6,"fdd/view?i=",J1826)</f>
        <v>https://www.dgiwg.org/FAD/fdd/view?i=116152</v>
      </c>
      <c r="L1826" s="36" t="s">
        <v>23501</v>
      </c>
      <c r="M1826" s="186"/>
      <c r="N1826" s="186"/>
      <c r="O1826" s="172"/>
    </row>
    <row r="1827" spans="1:15" ht="25.5" x14ac:dyDescent="0.2">
      <c r="A1827" s="197" t="str">
        <f t="shared" si="28"/>
        <v>AosCode_lowPressureBottle</v>
      </c>
      <c r="B1827" s="409"/>
      <c r="C1827" s="416"/>
      <c r="D1827" s="198" t="s">
        <v>23405</v>
      </c>
      <c r="E1827" s="198">
        <v>5</v>
      </c>
      <c r="F1827" s="199" t="s">
        <v>23406</v>
      </c>
      <c r="G1827" s="1" t="s">
        <v>23502</v>
      </c>
      <c r="H1827" s="200"/>
      <c r="I1827" s="351" t="s">
        <v>23503</v>
      </c>
      <c r="J1827" s="39">
        <v>116153</v>
      </c>
      <c r="K1827" s="36" t="str">
        <f>CONCATENATE(Cover!$D$6,"fdd/view?i=",J1827)</f>
        <v>https://www.dgiwg.org/FAD/fdd/view?i=116153</v>
      </c>
      <c r="L1827" s="36" t="s">
        <v>23504</v>
      </c>
      <c r="M1827" s="186"/>
      <c r="N1827" s="186"/>
      <c r="O1827" s="172"/>
    </row>
    <row r="1828" spans="1:15" ht="25.5" x14ac:dyDescent="0.2">
      <c r="A1828" s="203" t="str">
        <f t="shared" si="28"/>
        <v>AosCode_lowPressureDirectTransfer</v>
      </c>
      <c r="B1828" s="410"/>
      <c r="C1828" s="417"/>
      <c r="D1828" s="204" t="s">
        <v>23409</v>
      </c>
      <c r="E1828" s="204">
        <v>6</v>
      </c>
      <c r="F1828" s="205" t="s">
        <v>23410</v>
      </c>
      <c r="G1828" s="206" t="s">
        <v>23505</v>
      </c>
      <c r="H1828" s="207"/>
      <c r="I1828" s="353" t="s">
        <v>23506</v>
      </c>
      <c r="J1828" s="39">
        <v>116154</v>
      </c>
      <c r="K1828" s="36" t="str">
        <f>CONCATENATE(Cover!$D$6,"fdd/view?i=",J1828)</f>
        <v>https://www.dgiwg.org/FAD/fdd/view?i=116154</v>
      </c>
      <c r="L1828" s="36" t="s">
        <v>23507</v>
      </c>
      <c r="M1828" s="186"/>
      <c r="N1828" s="186"/>
      <c r="O1828" s="172"/>
    </row>
    <row r="1829" spans="1:15" ht="25.5" x14ac:dyDescent="0.2">
      <c r="A1829" s="190" t="str">
        <f t="shared" si="28"/>
        <v>PysCode_airportOfEntry</v>
      </c>
      <c r="B1829" s="414" t="str">
        <f>HYPERLINK("[#]Datatypes!A208:L208","PysCode")</f>
        <v>PysCode</v>
      </c>
      <c r="C1829" s="415" t="s">
        <v>14762</v>
      </c>
      <c r="D1829" s="221" t="s">
        <v>23508</v>
      </c>
      <c r="E1829" s="221">
        <v>1</v>
      </c>
      <c r="F1829" s="222" t="s">
        <v>23509</v>
      </c>
      <c r="G1829" s="223" t="s">
        <v>23510</v>
      </c>
      <c r="H1829" s="223" t="s">
        <v>23511</v>
      </c>
      <c r="I1829" s="345"/>
      <c r="J1829" s="39">
        <v>119923</v>
      </c>
      <c r="K1829" s="36" t="str">
        <f>CONCATENATE(Cover!$D$6,"fdd/view?i=",J1829)</f>
        <v>https://www.dgiwg.org/FAD/fdd/view?i=119923</v>
      </c>
      <c r="L1829" s="36" t="s">
        <v>23512</v>
      </c>
      <c r="M1829" s="186"/>
      <c r="N1829" s="186"/>
      <c r="O1829" s="172"/>
    </row>
    <row r="1830" spans="1:15" ht="51" x14ac:dyDescent="0.2">
      <c r="A1830" s="197" t="str">
        <f t="shared" si="28"/>
        <v>PysCode_airportOfEntryLandRights</v>
      </c>
      <c r="B1830" s="409"/>
      <c r="C1830" s="416"/>
      <c r="D1830" s="198" t="s">
        <v>23513</v>
      </c>
      <c r="E1830" s="198">
        <v>2</v>
      </c>
      <c r="F1830" s="199" t="s">
        <v>23514</v>
      </c>
      <c r="G1830" s="1" t="s">
        <v>23515</v>
      </c>
      <c r="H1830" s="1" t="s">
        <v>23516</v>
      </c>
      <c r="I1830" s="346"/>
      <c r="J1830" s="39">
        <v>119924</v>
      </c>
      <c r="K1830" s="36" t="str">
        <f>CONCATENATE(Cover!$D$6,"fdd/view?i=",J1830)</f>
        <v>https://www.dgiwg.org/FAD/fdd/view?i=119924</v>
      </c>
      <c r="L1830" s="36" t="s">
        <v>23517</v>
      </c>
      <c r="M1830" s="186"/>
      <c r="N1830" s="186"/>
      <c r="O1830" s="172"/>
    </row>
    <row r="1831" spans="1:15" ht="25.5" x14ac:dyDescent="0.2">
      <c r="A1831" s="197" t="str">
        <f t="shared" si="28"/>
        <v>PysCode_landingRightsAirport</v>
      </c>
      <c r="B1831" s="409"/>
      <c r="C1831" s="416"/>
      <c r="D1831" s="198" t="s">
        <v>23518</v>
      </c>
      <c r="E1831" s="198">
        <v>3</v>
      </c>
      <c r="F1831" s="199" t="s">
        <v>23519</v>
      </c>
      <c r="G1831" s="1" t="s">
        <v>23520</v>
      </c>
      <c r="H1831" s="1" t="s">
        <v>23521</v>
      </c>
      <c r="I1831" s="346"/>
      <c r="J1831" s="39">
        <v>119925</v>
      </c>
      <c r="K1831" s="36" t="str">
        <f>CONCATENATE(Cover!$D$6,"fdd/view?i=",J1831)</f>
        <v>https://www.dgiwg.org/FAD/fdd/view?i=119925</v>
      </c>
      <c r="L1831" s="36" t="s">
        <v>23522</v>
      </c>
      <c r="M1831" s="186"/>
      <c r="N1831" s="186"/>
      <c r="O1831" s="172"/>
    </row>
    <row r="1832" spans="1:15" ht="25.5" x14ac:dyDescent="0.2">
      <c r="A1832" s="197" t="str">
        <f t="shared" si="28"/>
        <v>PysCode_limitedAirportOfEntry</v>
      </c>
      <c r="B1832" s="409"/>
      <c r="C1832" s="416"/>
      <c r="D1832" s="198" t="s">
        <v>23523</v>
      </c>
      <c r="E1832" s="198">
        <v>5</v>
      </c>
      <c r="F1832" s="199" t="s">
        <v>23524</v>
      </c>
      <c r="G1832" s="1" t="s">
        <v>23525</v>
      </c>
      <c r="H1832" s="1" t="s">
        <v>23511</v>
      </c>
      <c r="I1832" s="346"/>
      <c r="J1832" s="39">
        <v>119927</v>
      </c>
      <c r="K1832" s="36" t="str">
        <f>CONCATENATE(Cover!$D$6,"fdd/view?i=",J1832)</f>
        <v>https://www.dgiwg.org/FAD/fdd/view?i=119927</v>
      </c>
      <c r="L1832" s="36" t="s">
        <v>23526</v>
      </c>
      <c r="M1832" s="186"/>
      <c r="N1832" s="186"/>
      <c r="O1832" s="172"/>
    </row>
    <row r="1833" spans="1:15" ht="25.5" x14ac:dyDescent="0.2">
      <c r="A1833" s="197" t="str">
        <f t="shared" si="28"/>
        <v>PysCode_limitedLandingRightsAirport</v>
      </c>
      <c r="B1833" s="409"/>
      <c r="C1833" s="416"/>
      <c r="D1833" s="198" t="s">
        <v>23527</v>
      </c>
      <c r="E1833" s="198">
        <v>4</v>
      </c>
      <c r="F1833" s="199" t="s">
        <v>23528</v>
      </c>
      <c r="G1833" s="1" t="s">
        <v>23529</v>
      </c>
      <c r="H1833" s="1" t="s">
        <v>23521</v>
      </c>
      <c r="I1833" s="346"/>
      <c r="J1833" s="39">
        <v>119926</v>
      </c>
      <c r="K1833" s="36" t="str">
        <f>CONCATENATE(Cover!$D$6,"fdd/view?i=",J1833)</f>
        <v>https://www.dgiwg.org/FAD/fdd/view?i=119926</v>
      </c>
      <c r="L1833" s="36" t="s">
        <v>23530</v>
      </c>
      <c r="M1833" s="186"/>
      <c r="N1833" s="186"/>
      <c r="O1833" s="172"/>
    </row>
    <row r="1834" spans="1:15" ht="38.25" x14ac:dyDescent="0.2">
      <c r="A1834" s="197" t="str">
        <f t="shared" si="28"/>
        <v>PysCode_regularAirportOfEntry</v>
      </c>
      <c r="B1834" s="409"/>
      <c r="C1834" s="416"/>
      <c r="D1834" s="198" t="s">
        <v>23531</v>
      </c>
      <c r="E1834" s="198">
        <v>6</v>
      </c>
      <c r="F1834" s="199" t="s">
        <v>23532</v>
      </c>
      <c r="G1834" s="1" t="s">
        <v>23533</v>
      </c>
      <c r="H1834" s="1" t="s">
        <v>23511</v>
      </c>
      <c r="I1834" s="346"/>
      <c r="J1834" s="39">
        <v>119928</v>
      </c>
      <c r="K1834" s="36" t="str">
        <f>CONCATENATE(Cover!$D$6,"fdd/view?i=",J1834)</f>
        <v>https://www.dgiwg.org/FAD/fdd/view?i=119928</v>
      </c>
      <c r="L1834" s="36" t="s">
        <v>23534</v>
      </c>
      <c r="M1834" s="186"/>
      <c r="N1834" s="186"/>
      <c r="O1834" s="172"/>
    </row>
    <row r="1835" spans="1:15" ht="38.25" x14ac:dyDescent="0.2">
      <c r="A1835" s="203" t="str">
        <f t="shared" si="28"/>
        <v>PysCode_regularLandingRightsAirport</v>
      </c>
      <c r="B1835" s="410"/>
      <c r="C1835" s="417"/>
      <c r="D1835" s="204" t="s">
        <v>23535</v>
      </c>
      <c r="E1835" s="204">
        <v>7</v>
      </c>
      <c r="F1835" s="205" t="s">
        <v>23536</v>
      </c>
      <c r="G1835" s="206" t="s">
        <v>23537</v>
      </c>
      <c r="H1835" s="206" t="s">
        <v>23521</v>
      </c>
      <c r="I1835" s="347"/>
      <c r="J1835" s="39">
        <v>119929</v>
      </c>
      <c r="K1835" s="36" t="str">
        <f>CONCATENATE(Cover!$D$6,"fdd/view?i=",J1835)</f>
        <v>https://www.dgiwg.org/FAD/fdd/view?i=119929</v>
      </c>
      <c r="L1835" s="36" t="s">
        <v>23538</v>
      </c>
      <c r="M1835" s="186"/>
      <c r="N1835" s="186"/>
      <c r="O1835" s="172"/>
    </row>
    <row r="1836" spans="1:15" ht="38.25" x14ac:dyDescent="0.2">
      <c r="A1836" s="190" t="str">
        <f t="shared" si="28"/>
        <v>LbuCode_no</v>
      </c>
      <c r="B1836" s="414" t="str">
        <f>HYPERLINK("[#]Datatypes!A210:L210","LbuCode")</f>
        <v>LbuCode</v>
      </c>
      <c r="C1836" s="415" t="s">
        <v>14764</v>
      </c>
      <c r="D1836" s="221" t="s">
        <v>23539</v>
      </c>
      <c r="E1836" s="221">
        <v>1</v>
      </c>
      <c r="F1836" s="222" t="s">
        <v>23540</v>
      </c>
      <c r="G1836" s="223" t="s">
        <v>23541</v>
      </c>
      <c r="H1836" s="224"/>
      <c r="I1836" s="345"/>
      <c r="J1836" s="39">
        <v>115346</v>
      </c>
      <c r="K1836" s="36" t="str">
        <f>CONCATENATE(Cover!$D$6,"fdd/view?i=",J1836)</f>
        <v>https://www.dgiwg.org/FAD/fdd/view?i=115346</v>
      </c>
      <c r="L1836" s="36" t="s">
        <v>23542</v>
      </c>
      <c r="M1836" s="186"/>
      <c r="N1836" s="186"/>
      <c r="O1836" s="13" t="s">
        <v>20669</v>
      </c>
    </row>
    <row r="1837" spans="1:15" ht="140.25" x14ac:dyDescent="0.2">
      <c r="A1837" s="197" t="str">
        <f t="shared" si="28"/>
        <v>LbuCode_restricted</v>
      </c>
      <c r="B1837" s="409"/>
      <c r="C1837" s="416"/>
      <c r="D1837" s="198" t="s">
        <v>16537</v>
      </c>
      <c r="E1837" s="198">
        <v>3</v>
      </c>
      <c r="F1837" s="199" t="s">
        <v>16538</v>
      </c>
      <c r="G1837" s="1" t="s">
        <v>23543</v>
      </c>
      <c r="H1837" s="1" t="s">
        <v>23544</v>
      </c>
      <c r="I1837" s="346"/>
      <c r="J1837" s="39">
        <v>115347</v>
      </c>
      <c r="K1837" s="36" t="str">
        <f>CONCATENATE(Cover!$D$6,"fdd/view?i=",J1837)</f>
        <v>https://www.dgiwg.org/FAD/fdd/view?i=115347</v>
      </c>
      <c r="L1837" s="36" t="s">
        <v>23545</v>
      </c>
      <c r="M1837" s="186"/>
      <c r="N1837" s="186"/>
      <c r="O1837" s="13" t="s">
        <v>20674</v>
      </c>
    </row>
    <row r="1838" spans="1:15" ht="127.5" x14ac:dyDescent="0.2">
      <c r="A1838" s="203" t="str">
        <f t="shared" si="28"/>
        <v>LbuCode_yes</v>
      </c>
      <c r="B1838" s="410"/>
      <c r="C1838" s="417"/>
      <c r="D1838" s="204" t="s">
        <v>23547</v>
      </c>
      <c r="E1838" s="204">
        <v>2</v>
      </c>
      <c r="F1838" s="205" t="s">
        <v>23548</v>
      </c>
      <c r="G1838" s="206" t="s">
        <v>23549</v>
      </c>
      <c r="H1838" s="206" t="s">
        <v>23550</v>
      </c>
      <c r="I1838" s="347"/>
      <c r="J1838" s="39">
        <v>115348</v>
      </c>
      <c r="K1838" s="36" t="str">
        <f>CONCATENATE(Cover!$D$6,"fdd/view?i=",J1838)</f>
        <v>https://www.dgiwg.org/FAD/fdd/view?i=115348</v>
      </c>
      <c r="L1838" s="36" t="s">
        <v>23551</v>
      </c>
      <c r="M1838" s="186"/>
      <c r="N1838" s="186"/>
      <c r="O1838" s="13" t="s">
        <v>23546</v>
      </c>
    </row>
    <row r="1839" spans="1:15" ht="38.25" x14ac:dyDescent="0.2">
      <c r="A1839" s="190" t="str">
        <f t="shared" si="28"/>
        <v>IboCode_indeterminate</v>
      </c>
      <c r="B1839" s="414" t="str">
        <f>HYPERLINK("[#]Datatypes!A212:L212","IboCode")</f>
        <v>IboCode</v>
      </c>
      <c r="C1839" s="415" t="s">
        <v>14766</v>
      </c>
      <c r="D1839" s="221" t="s">
        <v>23552</v>
      </c>
      <c r="E1839" s="221">
        <v>3</v>
      </c>
      <c r="F1839" s="222" t="s">
        <v>23553</v>
      </c>
      <c r="G1839" s="223" t="s">
        <v>23554</v>
      </c>
      <c r="H1839" s="224"/>
      <c r="I1839" s="345"/>
      <c r="J1839" s="39">
        <v>117925</v>
      </c>
      <c r="K1839" s="36" t="str">
        <f>CONCATENATE(Cover!$D$6,"fdd/view?i=",J1839)</f>
        <v>https://www.dgiwg.org/FAD/fdd/view?i=117925</v>
      </c>
      <c r="L1839" s="36" t="s">
        <v>23555</v>
      </c>
      <c r="M1839" s="186"/>
      <c r="N1839" s="186"/>
      <c r="O1839" s="172"/>
    </row>
    <row r="1840" spans="1:15" ht="25.5" x14ac:dyDescent="0.2">
      <c r="A1840" s="197" t="str">
        <f t="shared" si="28"/>
        <v>IboCode_left</v>
      </c>
      <c r="B1840" s="409"/>
      <c r="C1840" s="416"/>
      <c r="D1840" s="198" t="s">
        <v>23556</v>
      </c>
      <c r="E1840" s="198">
        <v>2</v>
      </c>
      <c r="F1840" s="199" t="s">
        <v>23557</v>
      </c>
      <c r="G1840" s="1" t="s">
        <v>23558</v>
      </c>
      <c r="H1840" s="1" t="s">
        <v>23559</v>
      </c>
      <c r="I1840" s="346"/>
      <c r="J1840" s="39">
        <v>117924</v>
      </c>
      <c r="K1840" s="36" t="str">
        <f>CONCATENATE(Cover!$D$6,"fdd/view?i=",J1840)</f>
        <v>https://www.dgiwg.org/FAD/fdd/view?i=117924</v>
      </c>
      <c r="L1840" s="36" t="s">
        <v>23560</v>
      </c>
      <c r="M1840" s="186"/>
      <c r="N1840" s="186"/>
      <c r="O1840" s="172"/>
    </row>
    <row r="1841" spans="1:15" ht="25.5" x14ac:dyDescent="0.2">
      <c r="A1841" s="197" t="str">
        <f t="shared" si="28"/>
        <v>IboCode_noFlow</v>
      </c>
      <c r="B1841" s="409"/>
      <c r="C1841" s="416"/>
      <c r="D1841" s="198" t="s">
        <v>23561</v>
      </c>
      <c r="E1841" s="198">
        <v>4</v>
      </c>
      <c r="F1841" s="199" t="s">
        <v>23562</v>
      </c>
      <c r="G1841" s="1" t="s">
        <v>23563</v>
      </c>
      <c r="H1841" s="200"/>
      <c r="I1841" s="346"/>
      <c r="J1841" s="39">
        <v>117926</v>
      </c>
      <c r="K1841" s="36" t="str">
        <f>CONCATENATE(Cover!$D$6,"fdd/view?i=",J1841)</f>
        <v>https://www.dgiwg.org/FAD/fdd/view?i=117926</v>
      </c>
      <c r="L1841" s="36" t="s">
        <v>23564</v>
      </c>
      <c r="M1841" s="186"/>
      <c r="N1841" s="186"/>
      <c r="O1841" s="172"/>
    </row>
    <row r="1842" spans="1:15" ht="25.5" x14ac:dyDescent="0.2">
      <c r="A1842" s="203" t="str">
        <f t="shared" si="28"/>
        <v>IboCode_right</v>
      </c>
      <c r="B1842" s="410"/>
      <c r="C1842" s="417"/>
      <c r="D1842" s="204" t="s">
        <v>23565</v>
      </c>
      <c r="E1842" s="204">
        <v>1</v>
      </c>
      <c r="F1842" s="205" t="s">
        <v>23566</v>
      </c>
      <c r="G1842" s="206" t="s">
        <v>23567</v>
      </c>
      <c r="H1842" s="206" t="s">
        <v>23568</v>
      </c>
      <c r="I1842" s="347"/>
      <c r="J1842" s="39">
        <v>117923</v>
      </c>
      <c r="K1842" s="36" t="str">
        <f>CONCATENATE(Cover!$D$6,"fdd/view?i=",J1842)</f>
        <v>https://www.dgiwg.org/FAD/fdd/view?i=117923</v>
      </c>
      <c r="L1842" s="36" t="s">
        <v>23569</v>
      </c>
      <c r="M1842" s="186"/>
      <c r="N1842" s="186"/>
      <c r="O1842" s="172"/>
    </row>
    <row r="1843" spans="1:15" ht="25.5" x14ac:dyDescent="0.2">
      <c r="A1843" s="190" t="str">
        <f t="shared" si="28"/>
        <v>BvcCode_bog</v>
      </c>
      <c r="B1843" s="414" t="str">
        <f>HYPERLINK("[#]Datatypes!A214:L214","BvcCode")</f>
        <v>BvcCode</v>
      </c>
      <c r="C1843" s="415" t="s">
        <v>14768</v>
      </c>
      <c r="D1843" s="221" t="s">
        <v>23570</v>
      </c>
      <c r="E1843" s="221">
        <v>1</v>
      </c>
      <c r="F1843" s="222" t="s">
        <v>2279</v>
      </c>
      <c r="G1843" s="223" t="s">
        <v>2281</v>
      </c>
      <c r="H1843" s="223" t="s">
        <v>23571</v>
      </c>
      <c r="I1843" s="345"/>
      <c r="J1843" s="39">
        <v>117832</v>
      </c>
      <c r="K1843" s="36" t="str">
        <f>CONCATENATE(Cover!$D$6,"fdd/view?i=",J1843)</f>
        <v>https://www.dgiwg.org/FAD/fdd/view?i=117832</v>
      </c>
      <c r="L1843" s="36" t="s">
        <v>23572</v>
      </c>
      <c r="M1843" s="186"/>
      <c r="N1843" s="186"/>
      <c r="O1843" s="172"/>
    </row>
    <row r="1844" spans="1:15" ht="38.25" x14ac:dyDescent="0.2">
      <c r="A1844" s="197" t="str">
        <f t="shared" si="28"/>
        <v>BvcCode_brush</v>
      </c>
      <c r="B1844" s="409"/>
      <c r="C1844" s="416"/>
      <c r="D1844" s="198" t="s">
        <v>23573</v>
      </c>
      <c r="E1844" s="198">
        <v>2</v>
      </c>
      <c r="F1844" s="199" t="s">
        <v>2352</v>
      </c>
      <c r="G1844" s="1" t="s">
        <v>23574</v>
      </c>
      <c r="H1844" s="1" t="s">
        <v>23575</v>
      </c>
      <c r="I1844" s="346"/>
      <c r="J1844" s="39">
        <v>117833</v>
      </c>
      <c r="K1844" s="36" t="str">
        <f>CONCATENATE(Cover!$D$6,"fdd/view?i=",J1844)</f>
        <v>https://www.dgiwg.org/FAD/fdd/view?i=117833</v>
      </c>
      <c r="L1844" s="36" t="s">
        <v>23576</v>
      </c>
      <c r="M1844" s="186"/>
      <c r="N1844" s="186"/>
      <c r="O1844" s="172"/>
    </row>
    <row r="1845" spans="1:15" x14ac:dyDescent="0.2">
      <c r="A1845" s="197" t="str">
        <f t="shared" si="28"/>
        <v>BvcCode_cropLand</v>
      </c>
      <c r="B1845" s="409"/>
      <c r="C1845" s="416"/>
      <c r="D1845" s="198" t="s">
        <v>23577</v>
      </c>
      <c r="E1845" s="198">
        <v>3</v>
      </c>
      <c r="F1845" s="199" t="s">
        <v>2667</v>
      </c>
      <c r="G1845" s="1" t="s">
        <v>2668</v>
      </c>
      <c r="H1845" s="200"/>
      <c r="I1845" s="346"/>
      <c r="J1845" s="39">
        <v>117834</v>
      </c>
      <c r="K1845" s="36" t="str">
        <f>CONCATENATE(Cover!$D$6,"fdd/view?i=",J1845)</f>
        <v>https://www.dgiwg.org/FAD/fdd/view?i=117834</v>
      </c>
      <c r="L1845" s="36" t="s">
        <v>23578</v>
      </c>
      <c r="M1845" s="186"/>
      <c r="N1845" s="186"/>
      <c r="O1845" s="172"/>
    </row>
    <row r="1846" spans="1:15" ht="25.5" x14ac:dyDescent="0.2">
      <c r="A1846" s="197" t="str">
        <f t="shared" si="28"/>
        <v>BvcCode_forestClearing</v>
      </c>
      <c r="B1846" s="409"/>
      <c r="C1846" s="416"/>
      <c r="D1846" s="198" t="s">
        <v>23579</v>
      </c>
      <c r="E1846" s="198">
        <v>4</v>
      </c>
      <c r="F1846" s="199" t="s">
        <v>3213</v>
      </c>
      <c r="G1846" s="1" t="s">
        <v>3214</v>
      </c>
      <c r="H1846" s="200"/>
      <c r="I1846" s="346"/>
      <c r="J1846" s="39">
        <v>117835</v>
      </c>
      <c r="K1846" s="36" t="str">
        <f>CONCATENATE(Cover!$D$6,"fdd/view?i=",J1846)</f>
        <v>https://www.dgiwg.org/FAD/fdd/view?i=117835</v>
      </c>
      <c r="L1846" s="36" t="s">
        <v>23580</v>
      </c>
      <c r="M1846" s="186"/>
      <c r="N1846" s="186"/>
      <c r="O1846" s="172"/>
    </row>
    <row r="1847" spans="1:15" ht="25.5" x14ac:dyDescent="0.2">
      <c r="A1847" s="197" t="str">
        <f t="shared" si="28"/>
        <v>BvcCode_grass</v>
      </c>
      <c r="B1847" s="409"/>
      <c r="C1847" s="416"/>
      <c r="D1847" s="198" t="s">
        <v>19622</v>
      </c>
      <c r="E1847" s="198">
        <v>5</v>
      </c>
      <c r="F1847" s="199" t="s">
        <v>19623</v>
      </c>
      <c r="G1847" s="1" t="s">
        <v>23581</v>
      </c>
      <c r="H1847" s="200"/>
      <c r="I1847" s="346"/>
      <c r="J1847" s="39">
        <v>117836</v>
      </c>
      <c r="K1847" s="36" t="str">
        <f>CONCATENATE(Cover!$D$6,"fdd/view?i=",J1847)</f>
        <v>https://www.dgiwg.org/FAD/fdd/view?i=117836</v>
      </c>
      <c r="L1847" s="36" t="s">
        <v>23582</v>
      </c>
      <c r="M1847" s="186"/>
      <c r="N1847" s="186"/>
      <c r="O1847" s="172"/>
    </row>
    <row r="1848" spans="1:15" ht="38.25" x14ac:dyDescent="0.2">
      <c r="A1848" s="197" t="str">
        <f t="shared" si="28"/>
        <v>BvcCode_jungle</v>
      </c>
      <c r="B1848" s="409"/>
      <c r="C1848" s="416"/>
      <c r="D1848" s="198" t="s">
        <v>23583</v>
      </c>
      <c r="E1848" s="198">
        <v>6</v>
      </c>
      <c r="F1848" s="199" t="s">
        <v>23584</v>
      </c>
      <c r="G1848" s="1" t="s">
        <v>23585</v>
      </c>
      <c r="H1848" s="1" t="s">
        <v>23586</v>
      </c>
      <c r="I1848" s="346"/>
      <c r="J1848" s="39">
        <v>117837</v>
      </c>
      <c r="K1848" s="36" t="str">
        <f>CONCATENATE(Cover!$D$6,"fdd/view?i=",J1848)</f>
        <v>https://www.dgiwg.org/FAD/fdd/view?i=117837</v>
      </c>
      <c r="L1848" s="36" t="s">
        <v>23587</v>
      </c>
      <c r="M1848" s="186"/>
      <c r="N1848" s="186"/>
      <c r="O1848" s="172"/>
    </row>
    <row r="1849" spans="1:15" ht="25.5" x14ac:dyDescent="0.2">
      <c r="A1849" s="197" t="str">
        <f t="shared" si="28"/>
        <v>BvcCode_reclaimedLand</v>
      </c>
      <c r="B1849" s="409"/>
      <c r="C1849" s="416"/>
      <c r="D1849" s="198" t="s">
        <v>23588</v>
      </c>
      <c r="E1849" s="198">
        <v>7</v>
      </c>
      <c r="F1849" s="199" t="s">
        <v>23589</v>
      </c>
      <c r="G1849" s="1" t="s">
        <v>23590</v>
      </c>
      <c r="H1849" s="1" t="s">
        <v>23591</v>
      </c>
      <c r="I1849" s="346"/>
      <c r="J1849" s="39">
        <v>117838</v>
      </c>
      <c r="K1849" s="36" t="str">
        <f>CONCATENATE(Cover!$D$6,"fdd/view?i=",J1849)</f>
        <v>https://www.dgiwg.org/FAD/fdd/view?i=117838</v>
      </c>
      <c r="L1849" s="36" t="s">
        <v>23592</v>
      </c>
      <c r="M1849" s="186"/>
      <c r="N1849" s="186"/>
      <c r="O1849" s="172"/>
    </row>
    <row r="1850" spans="1:15" ht="38.25" x14ac:dyDescent="0.2">
      <c r="A1850" s="197" t="str">
        <f t="shared" si="28"/>
        <v>BvcCode_scrubland</v>
      </c>
      <c r="B1850" s="409"/>
      <c r="C1850" s="416"/>
      <c r="D1850" s="198" t="s">
        <v>23593</v>
      </c>
      <c r="E1850" s="198">
        <v>8</v>
      </c>
      <c r="F1850" s="199" t="s">
        <v>4906</v>
      </c>
      <c r="G1850" s="1" t="s">
        <v>4908</v>
      </c>
      <c r="H1850" s="200"/>
      <c r="I1850" s="346"/>
      <c r="J1850" s="39">
        <v>117839</v>
      </c>
      <c r="K1850" s="36" t="str">
        <f>CONCATENATE(Cover!$D$6,"fdd/view?i=",J1850)</f>
        <v>https://www.dgiwg.org/FAD/fdd/view?i=117839</v>
      </c>
      <c r="L1850" s="36" t="s">
        <v>23594</v>
      </c>
      <c r="M1850" s="186"/>
      <c r="N1850" s="186"/>
      <c r="O1850" s="172"/>
    </row>
    <row r="1851" spans="1:15" ht="38.25" x14ac:dyDescent="0.2">
      <c r="A1851" s="197" t="str">
        <f t="shared" si="28"/>
        <v>BvcCode_shrub</v>
      </c>
      <c r="B1851" s="409"/>
      <c r="C1851" s="416"/>
      <c r="D1851" s="198" t="s">
        <v>23595</v>
      </c>
      <c r="E1851" s="198">
        <v>9</v>
      </c>
      <c r="F1851" s="199" t="s">
        <v>23596</v>
      </c>
      <c r="G1851" s="1" t="s">
        <v>23597</v>
      </c>
      <c r="H1851" s="200"/>
      <c r="I1851" s="346"/>
      <c r="J1851" s="39">
        <v>117840</v>
      </c>
      <c r="K1851" s="36" t="str">
        <f>CONCATENATE(Cover!$D$6,"fdd/view?i=",J1851)</f>
        <v>https://www.dgiwg.org/FAD/fdd/view?i=117840</v>
      </c>
      <c r="L1851" s="36" t="s">
        <v>23598</v>
      </c>
      <c r="M1851" s="186"/>
      <c r="N1851" s="186"/>
      <c r="O1851" s="172"/>
    </row>
    <row r="1852" spans="1:15" ht="38.25" x14ac:dyDescent="0.2">
      <c r="A1852" s="197" t="str">
        <f t="shared" si="28"/>
        <v>BvcCode_thicket</v>
      </c>
      <c r="B1852" s="409"/>
      <c r="C1852" s="416"/>
      <c r="D1852" s="198" t="s">
        <v>23599</v>
      </c>
      <c r="E1852" s="198">
        <v>10</v>
      </c>
      <c r="F1852" s="199" t="s">
        <v>5461</v>
      </c>
      <c r="G1852" s="1" t="s">
        <v>5463</v>
      </c>
      <c r="H1852" s="1" t="s">
        <v>5464</v>
      </c>
      <c r="I1852" s="346"/>
      <c r="J1852" s="39">
        <v>117841</v>
      </c>
      <c r="K1852" s="36" t="str">
        <f>CONCATENATE(Cover!$D$6,"fdd/view?i=",J1852)</f>
        <v>https://www.dgiwg.org/FAD/fdd/view?i=117841</v>
      </c>
      <c r="L1852" s="36" t="s">
        <v>23600</v>
      </c>
      <c r="M1852" s="186"/>
      <c r="N1852" s="186"/>
      <c r="O1852" s="172"/>
    </row>
    <row r="1853" spans="1:15" ht="25.5" x14ac:dyDescent="0.2">
      <c r="A1853" s="197" t="str">
        <f t="shared" si="28"/>
        <v>BvcCode_unvegetatedLand</v>
      </c>
      <c r="B1853" s="409"/>
      <c r="C1853" s="416"/>
      <c r="D1853" s="198" t="s">
        <v>23601</v>
      </c>
      <c r="E1853" s="198">
        <v>11</v>
      </c>
      <c r="F1853" s="199" t="s">
        <v>5662</v>
      </c>
      <c r="G1853" s="1" t="s">
        <v>5663</v>
      </c>
      <c r="H1853" s="200"/>
      <c r="I1853" s="346"/>
      <c r="J1853" s="39">
        <v>117842</v>
      </c>
      <c r="K1853" s="36" t="str">
        <f>CONCATENATE(Cover!$D$6,"fdd/view?i=",J1853)</f>
        <v>https://www.dgiwg.org/FAD/fdd/view?i=117842</v>
      </c>
      <c r="L1853" s="36" t="s">
        <v>23602</v>
      </c>
      <c r="M1853" s="186"/>
      <c r="N1853" s="186"/>
      <c r="O1853" s="172"/>
    </row>
    <row r="1854" spans="1:15" ht="25.5" x14ac:dyDescent="0.2">
      <c r="A1854" s="203" t="str">
        <f t="shared" si="28"/>
        <v>BvcCode_wood</v>
      </c>
      <c r="B1854" s="410"/>
      <c r="C1854" s="417"/>
      <c r="D1854" s="204" t="s">
        <v>19610</v>
      </c>
      <c r="E1854" s="204">
        <v>12</v>
      </c>
      <c r="F1854" s="205" t="s">
        <v>5911</v>
      </c>
      <c r="G1854" s="206" t="s">
        <v>5913</v>
      </c>
      <c r="H1854" s="207"/>
      <c r="I1854" s="347"/>
      <c r="J1854" s="39">
        <v>117843</v>
      </c>
      <c r="K1854" s="36" t="str">
        <f>CONCATENATE(Cover!$D$6,"fdd/view?i=",J1854)</f>
        <v>https://www.dgiwg.org/FAD/fdd/view?i=117843</v>
      </c>
      <c r="L1854" s="36" t="s">
        <v>23603</v>
      </c>
      <c r="M1854" s="186"/>
      <c r="N1854" s="186"/>
      <c r="O1854" s="172"/>
    </row>
    <row r="1855" spans="1:15" ht="25.5" x14ac:dyDescent="0.2">
      <c r="A1855" s="190" t="str">
        <f t="shared" si="28"/>
        <v>BatCode_barbedWire</v>
      </c>
      <c r="B1855" s="414" t="str">
        <f>HYPERLINK("[#]Datatypes!A216:L216","BatCode")</f>
        <v>BatCode</v>
      </c>
      <c r="C1855" s="415" t="s">
        <v>14770</v>
      </c>
      <c r="D1855" s="221" t="s">
        <v>23604</v>
      </c>
      <c r="E1855" s="221">
        <v>1</v>
      </c>
      <c r="F1855" s="222" t="s">
        <v>23605</v>
      </c>
      <c r="G1855" s="223" t="s">
        <v>23606</v>
      </c>
      <c r="H1855" s="224"/>
      <c r="I1855" s="345"/>
      <c r="J1855" s="39">
        <v>111792</v>
      </c>
      <c r="K1855" s="36" t="str">
        <f>CONCATENATE(Cover!$D$6,"fdd/view?i=",J1855)</f>
        <v>https://www.dgiwg.org/FAD/fdd/view?i=111792</v>
      </c>
      <c r="L1855" s="36" t="s">
        <v>23607</v>
      </c>
      <c r="M1855" s="186"/>
      <c r="N1855" s="186"/>
      <c r="O1855" s="172"/>
    </row>
    <row r="1856" spans="1:15" ht="25.5" x14ac:dyDescent="0.2">
      <c r="A1856" s="197" t="str">
        <f t="shared" si="28"/>
        <v>BatCode_chainLink</v>
      </c>
      <c r="B1856" s="409"/>
      <c r="C1856" s="416"/>
      <c r="D1856" s="198" t="s">
        <v>23608</v>
      </c>
      <c r="E1856" s="198">
        <v>2</v>
      </c>
      <c r="F1856" s="199" t="s">
        <v>23609</v>
      </c>
      <c r="G1856" s="1" t="s">
        <v>23610</v>
      </c>
      <c r="H1856" s="1" t="s">
        <v>23611</v>
      </c>
      <c r="I1856" s="346"/>
      <c r="J1856" s="39">
        <v>111794</v>
      </c>
      <c r="K1856" s="36" t="str">
        <f>CONCATENATE(Cover!$D$6,"fdd/view?i=",J1856)</f>
        <v>https://www.dgiwg.org/FAD/fdd/view?i=111794</v>
      </c>
      <c r="L1856" s="36" t="s">
        <v>23612</v>
      </c>
      <c r="M1856" s="186"/>
      <c r="N1856" s="186"/>
      <c r="O1856" s="172"/>
    </row>
    <row r="1857" spans="1:15" ht="38.25" x14ac:dyDescent="0.2">
      <c r="A1857" s="197" t="str">
        <f t="shared" si="28"/>
        <v>BatCode_concertinaWire</v>
      </c>
      <c r="B1857" s="409"/>
      <c r="C1857" s="416"/>
      <c r="D1857" s="198" t="s">
        <v>23613</v>
      </c>
      <c r="E1857" s="198">
        <v>3</v>
      </c>
      <c r="F1857" s="199" t="s">
        <v>23614</v>
      </c>
      <c r="G1857" s="1" t="s">
        <v>23615</v>
      </c>
      <c r="H1857" s="200"/>
      <c r="I1857" s="346"/>
      <c r="J1857" s="39">
        <v>111796</v>
      </c>
      <c r="K1857" s="36" t="str">
        <f>CONCATENATE(Cover!$D$6,"fdd/view?i=",J1857)</f>
        <v>https://www.dgiwg.org/FAD/fdd/view?i=111796</v>
      </c>
      <c r="L1857" s="36" t="s">
        <v>23616</v>
      </c>
      <c r="M1857" s="186"/>
      <c r="N1857" s="186"/>
      <c r="O1857" s="172"/>
    </row>
    <row r="1858" spans="1:15" ht="25.5" x14ac:dyDescent="0.2">
      <c r="A1858" s="197" t="str">
        <f t="shared" ref="A1858:A1921" si="29">HYPERLINK(K1858,L1858)</f>
        <v>BatCode_electricWire</v>
      </c>
      <c r="B1858" s="409"/>
      <c r="C1858" s="416"/>
      <c r="D1858" s="198" t="s">
        <v>23617</v>
      </c>
      <c r="E1858" s="198">
        <v>4</v>
      </c>
      <c r="F1858" s="199" t="s">
        <v>23618</v>
      </c>
      <c r="G1858" s="1" t="s">
        <v>23619</v>
      </c>
      <c r="H1858" s="1" t="s">
        <v>23620</v>
      </c>
      <c r="I1858" s="346"/>
      <c r="J1858" s="39">
        <v>111798</v>
      </c>
      <c r="K1858" s="36" t="str">
        <f>CONCATENATE(Cover!$D$6,"fdd/view?i=",J1858)</f>
        <v>https://www.dgiwg.org/FAD/fdd/view?i=111798</v>
      </c>
      <c r="L1858" s="36" t="s">
        <v>23621</v>
      </c>
      <c r="M1858" s="186"/>
      <c r="N1858" s="186"/>
      <c r="O1858" s="172"/>
    </row>
    <row r="1859" spans="1:15" ht="38.25" x14ac:dyDescent="0.2">
      <c r="A1859" s="203" t="str">
        <f t="shared" si="29"/>
        <v>BatCode_spiked</v>
      </c>
      <c r="B1859" s="410"/>
      <c r="C1859" s="417"/>
      <c r="D1859" s="204" t="s">
        <v>23622</v>
      </c>
      <c r="E1859" s="204">
        <v>5</v>
      </c>
      <c r="F1859" s="205" t="s">
        <v>23623</v>
      </c>
      <c r="G1859" s="206" t="s">
        <v>23624</v>
      </c>
      <c r="H1859" s="207"/>
      <c r="I1859" s="347"/>
      <c r="J1859" s="39">
        <v>111800</v>
      </c>
      <c r="K1859" s="36" t="str">
        <f>CONCATENATE(Cover!$D$6,"fdd/view?i=",J1859)</f>
        <v>https://www.dgiwg.org/FAD/fdd/view?i=111800</v>
      </c>
      <c r="L1859" s="36" t="s">
        <v>23625</v>
      </c>
      <c r="M1859" s="186"/>
      <c r="N1859" s="186"/>
      <c r="O1859" s="172"/>
    </row>
    <row r="1860" spans="1:15" ht="25.5" x14ac:dyDescent="0.2">
      <c r="A1860" s="190" t="str">
        <f t="shared" si="29"/>
        <v>BgtCode_caisson</v>
      </c>
      <c r="B1860" s="414" t="str">
        <f>HYPERLINK("[#]Datatypes!A220:L220","BgtCode")</f>
        <v>BgtCode</v>
      </c>
      <c r="C1860" s="415" t="s">
        <v>14775</v>
      </c>
      <c r="D1860" s="221" t="s">
        <v>23626</v>
      </c>
      <c r="E1860" s="221">
        <v>1</v>
      </c>
      <c r="F1860" s="222" t="s">
        <v>2888</v>
      </c>
      <c r="G1860" s="223" t="s">
        <v>23627</v>
      </c>
      <c r="H1860" s="224"/>
      <c r="I1860" s="345"/>
      <c r="J1860" s="39">
        <v>117828</v>
      </c>
      <c r="K1860" s="36" t="str">
        <f>CONCATENATE(Cover!$D$6,"fdd/view?i=",J1860)</f>
        <v>https://www.dgiwg.org/FAD/fdd/view?i=117828</v>
      </c>
      <c r="L1860" s="36" t="s">
        <v>23628</v>
      </c>
      <c r="M1860" s="186"/>
      <c r="N1860" s="186"/>
      <c r="O1860" s="172"/>
    </row>
    <row r="1861" spans="1:15" x14ac:dyDescent="0.2">
      <c r="A1861" s="197" t="str">
        <f t="shared" si="29"/>
        <v>BgtCode_lockGate</v>
      </c>
      <c r="B1861" s="409"/>
      <c r="C1861" s="416"/>
      <c r="D1861" s="198" t="s">
        <v>23629</v>
      </c>
      <c r="E1861" s="198">
        <v>2</v>
      </c>
      <c r="F1861" s="199" t="s">
        <v>3914</v>
      </c>
      <c r="G1861" s="1" t="s">
        <v>23630</v>
      </c>
      <c r="H1861" s="200"/>
      <c r="I1861" s="346"/>
      <c r="J1861" s="39">
        <v>117829</v>
      </c>
      <c r="K1861" s="36" t="str">
        <f>CONCATENATE(Cover!$D$6,"fdd/view?i=",J1861)</f>
        <v>https://www.dgiwg.org/FAD/fdd/view?i=117829</v>
      </c>
      <c r="L1861" s="36" t="s">
        <v>23631</v>
      </c>
      <c r="M1861" s="186"/>
      <c r="N1861" s="186"/>
      <c r="O1861" s="172"/>
    </row>
    <row r="1862" spans="1:15" ht="38.25" x14ac:dyDescent="0.2">
      <c r="A1862" s="203" t="str">
        <f t="shared" si="29"/>
        <v>BgtCode_tideLock</v>
      </c>
      <c r="B1862" s="410"/>
      <c r="C1862" s="417"/>
      <c r="D1862" s="204" t="s">
        <v>23632</v>
      </c>
      <c r="E1862" s="204">
        <v>3</v>
      </c>
      <c r="F1862" s="205" t="s">
        <v>23633</v>
      </c>
      <c r="G1862" s="206" t="s">
        <v>23634</v>
      </c>
      <c r="H1862" s="206" t="s">
        <v>23635</v>
      </c>
      <c r="I1862" s="347"/>
      <c r="J1862" s="39">
        <v>117830</v>
      </c>
      <c r="K1862" s="36" t="str">
        <f>CONCATENATE(Cover!$D$6,"fdd/view?i=",J1862)</f>
        <v>https://www.dgiwg.org/FAD/fdd/view?i=117830</v>
      </c>
      <c r="L1862" s="36" t="s">
        <v>23636</v>
      </c>
      <c r="M1862" s="186"/>
      <c r="N1862" s="186"/>
      <c r="O1862" s="172"/>
    </row>
    <row r="1863" spans="1:15" ht="25.5" x14ac:dyDescent="0.2">
      <c r="A1863" s="190" t="str">
        <f t="shared" si="29"/>
        <v>DkcCode_depthDoubtful</v>
      </c>
      <c r="B1863" s="414" t="str">
        <f>HYPERLINK("[#]Datatypes!A222:L222","DkcCode")</f>
        <v>DkcCode</v>
      </c>
      <c r="C1863" s="415" t="s">
        <v>14777</v>
      </c>
      <c r="D1863" s="221" t="s">
        <v>23637</v>
      </c>
      <c r="E1863" s="221">
        <v>5</v>
      </c>
      <c r="F1863" s="222" t="s">
        <v>23638</v>
      </c>
      <c r="G1863" s="223" t="s">
        <v>23639</v>
      </c>
      <c r="H1863" s="223" t="s">
        <v>23640</v>
      </c>
      <c r="I1863" s="352" t="s">
        <v>23641</v>
      </c>
      <c r="J1863" s="39">
        <v>110160</v>
      </c>
      <c r="K1863" s="36" t="str">
        <f>CONCATENATE(Cover!$D$6,"fdd/view?i=",J1863)</f>
        <v>https://www.dgiwg.org/FAD/fdd/view?i=110160</v>
      </c>
      <c r="L1863" s="36" t="s">
        <v>23642</v>
      </c>
      <c r="M1863" s="186"/>
      <c r="N1863" s="186"/>
      <c r="O1863" s="172"/>
    </row>
    <row r="1864" spans="1:15" ht="25.5" x14ac:dyDescent="0.2">
      <c r="A1864" s="197" t="str">
        <f t="shared" si="29"/>
        <v>DkcCode_depthKnown</v>
      </c>
      <c r="B1864" s="409"/>
      <c r="C1864" s="416"/>
      <c r="D1864" s="198" t="s">
        <v>23643</v>
      </c>
      <c r="E1864" s="198">
        <v>1</v>
      </c>
      <c r="F1864" s="199" t="s">
        <v>23644</v>
      </c>
      <c r="G1864" s="1" t="s">
        <v>23645</v>
      </c>
      <c r="H1864" s="1" t="s">
        <v>23646</v>
      </c>
      <c r="I1864" s="346"/>
      <c r="J1864" s="39">
        <v>103379</v>
      </c>
      <c r="K1864" s="36" t="str">
        <f>CONCATENATE(Cover!$D$6,"fdd/view?i=",J1864)</f>
        <v>https://www.dgiwg.org/FAD/fdd/view?i=103379</v>
      </c>
      <c r="L1864" s="36" t="s">
        <v>23647</v>
      </c>
      <c r="M1864" s="186"/>
      <c r="N1864" s="186"/>
      <c r="O1864" s="172"/>
    </row>
    <row r="1865" spans="1:15" ht="25.5" x14ac:dyDescent="0.2">
      <c r="A1865" s="197" t="str">
        <f t="shared" si="29"/>
        <v>DkcCode_depthUnknown</v>
      </c>
      <c r="B1865" s="409"/>
      <c r="C1865" s="416"/>
      <c r="D1865" s="198" t="s">
        <v>23648</v>
      </c>
      <c r="E1865" s="198">
        <v>4</v>
      </c>
      <c r="F1865" s="199" t="s">
        <v>23649</v>
      </c>
      <c r="G1865" s="1" t="s">
        <v>23650</v>
      </c>
      <c r="H1865" s="1" t="s">
        <v>23651</v>
      </c>
      <c r="I1865" s="346"/>
      <c r="J1865" s="39">
        <v>110159</v>
      </c>
      <c r="K1865" s="36" t="str">
        <f>CONCATENATE(Cover!$D$6,"fdd/view?i=",J1865)</f>
        <v>https://www.dgiwg.org/FAD/fdd/view?i=110159</v>
      </c>
      <c r="L1865" s="36" t="s">
        <v>23652</v>
      </c>
      <c r="M1865" s="186"/>
      <c r="N1865" s="186"/>
      <c r="O1865" s="172"/>
    </row>
    <row r="1866" spans="1:15" ht="25.5" x14ac:dyDescent="0.2">
      <c r="A1866" s="197" t="str">
        <f t="shared" si="29"/>
        <v>DkcCode_depthUnreliable</v>
      </c>
      <c r="B1866" s="409"/>
      <c r="C1866" s="416"/>
      <c r="D1866" s="198" t="s">
        <v>23653</v>
      </c>
      <c r="E1866" s="198">
        <v>6</v>
      </c>
      <c r="F1866" s="199" t="s">
        <v>23654</v>
      </c>
      <c r="G1866" s="1" t="s">
        <v>23655</v>
      </c>
      <c r="H1866" s="1" t="s">
        <v>23656</v>
      </c>
      <c r="I1866" s="351" t="s">
        <v>23657</v>
      </c>
      <c r="J1866" s="39">
        <v>110161</v>
      </c>
      <c r="K1866" s="36" t="str">
        <f>CONCATENATE(Cover!$D$6,"fdd/view?i=",J1866)</f>
        <v>https://www.dgiwg.org/FAD/fdd/view?i=110161</v>
      </c>
      <c r="L1866" s="36" t="s">
        <v>23658</v>
      </c>
      <c r="M1866" s="186"/>
      <c r="N1866" s="186"/>
      <c r="O1866" s="172"/>
    </row>
    <row r="1867" spans="1:15" x14ac:dyDescent="0.2">
      <c r="A1867" s="197" t="str">
        <f t="shared" si="29"/>
        <v>DkcCode_leastDepth</v>
      </c>
      <c r="B1867" s="409"/>
      <c r="C1867" s="416"/>
      <c r="D1867" s="198" t="s">
        <v>23659</v>
      </c>
      <c r="E1867" s="198">
        <v>8</v>
      </c>
      <c r="F1867" s="199" t="s">
        <v>23660</v>
      </c>
      <c r="G1867" s="1" t="s">
        <v>23661</v>
      </c>
      <c r="H1867" s="200"/>
      <c r="I1867" s="346"/>
      <c r="J1867" s="39">
        <v>110163</v>
      </c>
      <c r="K1867" s="36" t="str">
        <f>CONCATENATE(Cover!$D$6,"fdd/view?i=",J1867)</f>
        <v>https://www.dgiwg.org/FAD/fdd/view?i=110163</v>
      </c>
      <c r="L1867" s="36" t="s">
        <v>23662</v>
      </c>
      <c r="M1867" s="186"/>
      <c r="N1867" s="186"/>
      <c r="O1867" s="172"/>
    </row>
    <row r="1868" spans="1:15" ht="25.5" x14ac:dyDescent="0.2">
      <c r="A1868" s="197" t="str">
        <f t="shared" si="29"/>
        <v>DkcCode_maintainedDepth</v>
      </c>
      <c r="B1868" s="409"/>
      <c r="C1868" s="416"/>
      <c r="D1868" s="198" t="s">
        <v>23663</v>
      </c>
      <c r="E1868" s="198">
        <v>11</v>
      </c>
      <c r="F1868" s="199" t="s">
        <v>23664</v>
      </c>
      <c r="G1868" s="1" t="s">
        <v>23665</v>
      </c>
      <c r="H1868" s="200"/>
      <c r="I1868" s="346"/>
      <c r="J1868" s="39">
        <v>110166</v>
      </c>
      <c r="K1868" s="36" t="str">
        <f>CONCATENATE(Cover!$D$6,"fdd/view?i=",J1868)</f>
        <v>https://www.dgiwg.org/FAD/fdd/view?i=110166</v>
      </c>
      <c r="L1868" s="36" t="s">
        <v>23666</v>
      </c>
      <c r="M1868" s="186"/>
      <c r="N1868" s="186"/>
      <c r="O1868" s="172"/>
    </row>
    <row r="1869" spans="1:15" ht="25.5" x14ac:dyDescent="0.2">
      <c r="A1869" s="197" t="str">
        <f t="shared" si="29"/>
        <v>DkcCode_noBottom</v>
      </c>
      <c r="B1869" s="409"/>
      <c r="C1869" s="416"/>
      <c r="D1869" s="198" t="s">
        <v>23667</v>
      </c>
      <c r="E1869" s="198">
        <v>7</v>
      </c>
      <c r="F1869" s="199" t="s">
        <v>23668</v>
      </c>
      <c r="G1869" s="1" t="s">
        <v>23669</v>
      </c>
      <c r="H1869" s="200"/>
      <c r="I1869" s="346"/>
      <c r="J1869" s="39">
        <v>110162</v>
      </c>
      <c r="K1869" s="36" t="str">
        <f>CONCATENATE(Cover!$D$6,"fdd/view?i=",J1869)</f>
        <v>https://www.dgiwg.org/FAD/fdd/view?i=110162</v>
      </c>
      <c r="L1869" s="36" t="s">
        <v>23670</v>
      </c>
      <c r="M1869" s="186"/>
      <c r="N1869" s="186"/>
      <c r="O1869" s="172"/>
    </row>
    <row r="1870" spans="1:15" ht="25.5" x14ac:dyDescent="0.2">
      <c r="A1870" s="197" t="str">
        <f t="shared" si="29"/>
        <v>DkcCode_reportedDepth</v>
      </c>
      <c r="B1870" s="409"/>
      <c r="C1870" s="416"/>
      <c r="D1870" s="198" t="s">
        <v>23671</v>
      </c>
      <c r="E1870" s="198">
        <v>9</v>
      </c>
      <c r="F1870" s="199" t="s">
        <v>23672</v>
      </c>
      <c r="G1870" s="1" t="s">
        <v>23673</v>
      </c>
      <c r="H1870" s="1" t="s">
        <v>23674</v>
      </c>
      <c r="I1870" s="346"/>
      <c r="J1870" s="39">
        <v>110164</v>
      </c>
      <c r="K1870" s="36" t="str">
        <f>CONCATENATE(Cover!$D$6,"fdd/view?i=",J1870)</f>
        <v>https://www.dgiwg.org/FAD/fdd/view?i=110164</v>
      </c>
      <c r="L1870" s="36" t="s">
        <v>23675</v>
      </c>
      <c r="M1870" s="186"/>
      <c r="N1870" s="186"/>
      <c r="O1870" s="172"/>
    </row>
    <row r="1871" spans="1:15" ht="25.5" x14ac:dyDescent="0.2">
      <c r="A1871" s="197" t="str">
        <f t="shared" si="29"/>
        <v>DkcCode_safeClearanceKnown</v>
      </c>
      <c r="B1871" s="409"/>
      <c r="C1871" s="416"/>
      <c r="D1871" s="198" t="s">
        <v>23676</v>
      </c>
      <c r="E1871" s="198">
        <v>3</v>
      </c>
      <c r="F1871" s="199" t="s">
        <v>23677</v>
      </c>
      <c r="G1871" s="1" t="s">
        <v>23678</v>
      </c>
      <c r="H1871" s="200"/>
      <c r="I1871" s="351" t="s">
        <v>23679</v>
      </c>
      <c r="J1871" s="39">
        <v>103381</v>
      </c>
      <c r="K1871" s="36" t="str">
        <f>CONCATENATE(Cover!$D$6,"fdd/view?i=",J1871)</f>
        <v>https://www.dgiwg.org/FAD/fdd/view?i=103381</v>
      </c>
      <c r="L1871" s="36" t="s">
        <v>23680</v>
      </c>
      <c r="M1871" s="186"/>
      <c r="N1871" s="186"/>
      <c r="O1871" s="172"/>
    </row>
    <row r="1872" spans="1:15" ht="25.5" x14ac:dyDescent="0.2">
      <c r="A1872" s="197" t="str">
        <f t="shared" si="29"/>
        <v>DkcCode_unconfirmedDepth</v>
      </c>
      <c r="B1872" s="409"/>
      <c r="C1872" s="416"/>
      <c r="D1872" s="198" t="s">
        <v>23681</v>
      </c>
      <c r="E1872" s="198">
        <v>10</v>
      </c>
      <c r="F1872" s="199" t="s">
        <v>23682</v>
      </c>
      <c r="G1872" s="1" t="s">
        <v>23683</v>
      </c>
      <c r="H1872" s="1" t="s">
        <v>23684</v>
      </c>
      <c r="I1872" s="346"/>
      <c r="J1872" s="39">
        <v>110165</v>
      </c>
      <c r="K1872" s="36" t="str">
        <f>CONCATENATE(Cover!$D$6,"fdd/view?i=",J1872)</f>
        <v>https://www.dgiwg.org/FAD/fdd/view?i=110165</v>
      </c>
      <c r="L1872" s="36" t="s">
        <v>23685</v>
      </c>
      <c r="M1872" s="186"/>
      <c r="N1872" s="186"/>
      <c r="O1872" s="172"/>
    </row>
    <row r="1873" spans="1:15" ht="25.5" x14ac:dyDescent="0.2">
      <c r="A1873" s="203" t="str">
        <f t="shared" si="29"/>
        <v>DkcCode_unmaintainedDepth</v>
      </c>
      <c r="B1873" s="410"/>
      <c r="C1873" s="417"/>
      <c r="D1873" s="204" t="s">
        <v>23686</v>
      </c>
      <c r="E1873" s="204">
        <v>12</v>
      </c>
      <c r="F1873" s="205" t="s">
        <v>23687</v>
      </c>
      <c r="G1873" s="206" t="s">
        <v>23688</v>
      </c>
      <c r="H1873" s="207"/>
      <c r="I1873" s="347"/>
      <c r="J1873" s="39">
        <v>110167</v>
      </c>
      <c r="K1873" s="36" t="str">
        <f>CONCATENATE(Cover!$D$6,"fdd/view?i=",J1873)</f>
        <v>https://www.dgiwg.org/FAD/fdd/view?i=110167</v>
      </c>
      <c r="L1873" s="36" t="s">
        <v>23689</v>
      </c>
      <c r="M1873" s="186"/>
      <c r="N1873" s="186"/>
      <c r="O1873" s="172"/>
    </row>
    <row r="1874" spans="1:15" ht="25.5" x14ac:dyDescent="0.2">
      <c r="A1874" s="190" t="str">
        <f t="shared" si="29"/>
        <v>TecCode_areaSweptbySideScanSonar</v>
      </c>
      <c r="B1874" s="414" t="str">
        <f>HYPERLINK("[#]Datatypes!A224:L224","TecCode")</f>
        <v>TecCode</v>
      </c>
      <c r="C1874" s="415" t="s">
        <v>14779</v>
      </c>
      <c r="D1874" s="221" t="s">
        <v>23690</v>
      </c>
      <c r="E1874" s="221">
        <v>14</v>
      </c>
      <c r="F1874" s="222" t="s">
        <v>23691</v>
      </c>
      <c r="G1874" s="223" t="s">
        <v>23692</v>
      </c>
      <c r="H1874" s="224"/>
      <c r="I1874" s="345"/>
      <c r="J1874" s="39">
        <v>108435</v>
      </c>
      <c r="K1874" s="36" t="str">
        <f>CONCATENATE(Cover!$D$6,"fdd/view?i=",J1874)</f>
        <v>https://www.dgiwg.org/FAD/fdd/view?i=108435</v>
      </c>
      <c r="L1874" s="36" t="s">
        <v>23693</v>
      </c>
      <c r="M1874" s="186"/>
      <c r="N1874" s="186"/>
      <c r="O1874" s="172"/>
    </row>
    <row r="1875" spans="1:15" ht="51" x14ac:dyDescent="0.2">
      <c r="A1875" s="197" t="str">
        <f t="shared" si="29"/>
        <v>TecCode_areaSweptVertAcousticSys</v>
      </c>
      <c r="B1875" s="409"/>
      <c r="C1875" s="416"/>
      <c r="D1875" s="198" t="s">
        <v>23694</v>
      </c>
      <c r="E1875" s="198">
        <v>8</v>
      </c>
      <c r="F1875" s="199" t="s">
        <v>23695</v>
      </c>
      <c r="G1875" s="1" t="s">
        <v>23696</v>
      </c>
      <c r="H1875" s="200"/>
      <c r="I1875" s="346"/>
      <c r="J1875" s="39">
        <v>108429</v>
      </c>
      <c r="K1875" s="36" t="str">
        <f>CONCATENATE(Cover!$D$6,"fdd/view?i=",J1875)</f>
        <v>https://www.dgiwg.org/FAD/fdd/view?i=108429</v>
      </c>
      <c r="L1875" s="36" t="s">
        <v>23697</v>
      </c>
      <c r="M1875" s="186"/>
      <c r="N1875" s="186"/>
      <c r="O1875" s="172"/>
    </row>
    <row r="1876" spans="1:15" ht="51" x14ac:dyDescent="0.2">
      <c r="A1876" s="197" t="str">
        <f t="shared" si="29"/>
        <v>TecCode_areaSweptWireDrag</v>
      </c>
      <c r="B1876" s="409"/>
      <c r="C1876" s="416"/>
      <c r="D1876" s="198" t="s">
        <v>23698</v>
      </c>
      <c r="E1876" s="198">
        <v>6</v>
      </c>
      <c r="F1876" s="199" t="s">
        <v>23699</v>
      </c>
      <c r="G1876" s="1" t="s">
        <v>23700</v>
      </c>
      <c r="H1876" s="200"/>
      <c r="I1876" s="346"/>
      <c r="J1876" s="39">
        <v>108427</v>
      </c>
      <c r="K1876" s="36" t="str">
        <f>CONCATENATE(Cover!$D$6,"fdd/view?i=",J1876)</f>
        <v>https://www.dgiwg.org/FAD/fdd/view?i=108427</v>
      </c>
      <c r="L1876" s="36" t="s">
        <v>23701</v>
      </c>
      <c r="M1876" s="186"/>
      <c r="N1876" s="186"/>
      <c r="O1876" s="172"/>
    </row>
    <row r="1877" spans="1:15" ht="38.25" x14ac:dyDescent="0.2">
      <c r="A1877" s="197" t="str">
        <f t="shared" si="29"/>
        <v>TecCode_bathymetricLidar</v>
      </c>
      <c r="B1877" s="409"/>
      <c r="C1877" s="416"/>
      <c r="D1877" s="198" t="s">
        <v>23702</v>
      </c>
      <c r="E1877" s="198">
        <v>15</v>
      </c>
      <c r="F1877" s="199" t="s">
        <v>23703</v>
      </c>
      <c r="G1877" s="1" t="s">
        <v>23704</v>
      </c>
      <c r="H1877" s="1" t="s">
        <v>23705</v>
      </c>
      <c r="I1877" s="346"/>
      <c r="J1877" s="39">
        <v>108436</v>
      </c>
      <c r="K1877" s="36" t="str">
        <f>CONCATENATE(Cover!$D$6,"fdd/view?i=",J1877)</f>
        <v>https://www.dgiwg.org/FAD/fdd/view?i=108436</v>
      </c>
      <c r="L1877" s="36" t="s">
        <v>23706</v>
      </c>
      <c r="M1877" s="186"/>
      <c r="N1877" s="186"/>
      <c r="O1877" s="172"/>
    </row>
    <row r="1878" spans="1:15" ht="25.5" x14ac:dyDescent="0.2">
      <c r="A1878" s="197" t="str">
        <f t="shared" si="29"/>
        <v>TecCode_computerGenerated</v>
      </c>
      <c r="B1878" s="409"/>
      <c r="C1878" s="416"/>
      <c r="D1878" s="198" t="s">
        <v>23707</v>
      </c>
      <c r="E1878" s="198">
        <v>13</v>
      </c>
      <c r="F1878" s="199" t="s">
        <v>23708</v>
      </c>
      <c r="G1878" s="1" t="s">
        <v>23709</v>
      </c>
      <c r="H1878" s="200"/>
      <c r="I1878" s="346"/>
      <c r="J1878" s="39">
        <v>108434</v>
      </c>
      <c r="K1878" s="36" t="str">
        <f>CONCATENATE(Cover!$D$6,"fdd/view?i=",J1878)</f>
        <v>https://www.dgiwg.org/FAD/fdd/view?i=108434</v>
      </c>
      <c r="L1878" s="36" t="s">
        <v>23710</v>
      </c>
      <c r="M1878" s="186"/>
      <c r="N1878" s="186"/>
      <c r="O1878" s="172"/>
    </row>
    <row r="1879" spans="1:15" ht="25.5" x14ac:dyDescent="0.2">
      <c r="A1879" s="197" t="str">
        <f t="shared" si="29"/>
        <v>TecCode_diver</v>
      </c>
      <c r="B1879" s="409"/>
      <c r="C1879" s="416"/>
      <c r="D1879" s="198" t="s">
        <v>23711</v>
      </c>
      <c r="E1879" s="198">
        <v>4</v>
      </c>
      <c r="F1879" s="199" t="s">
        <v>23712</v>
      </c>
      <c r="G1879" s="1" t="s">
        <v>23713</v>
      </c>
      <c r="H1879" s="200"/>
      <c r="I1879" s="346"/>
      <c r="J1879" s="39">
        <v>108425</v>
      </c>
      <c r="K1879" s="36" t="str">
        <f>CONCATENATE(Cover!$D$6,"fdd/view?i=",J1879)</f>
        <v>https://www.dgiwg.org/FAD/fdd/view?i=108425</v>
      </c>
      <c r="L1879" s="36" t="s">
        <v>23714</v>
      </c>
      <c r="M1879" s="186"/>
      <c r="N1879" s="186"/>
      <c r="O1879" s="172"/>
    </row>
    <row r="1880" spans="1:15" ht="38.25" x14ac:dyDescent="0.2">
      <c r="A1880" s="197" t="str">
        <f t="shared" si="29"/>
        <v>TecCode_echoSounder</v>
      </c>
      <c r="B1880" s="409"/>
      <c r="C1880" s="416"/>
      <c r="D1880" s="198" t="s">
        <v>23715</v>
      </c>
      <c r="E1880" s="198">
        <v>1</v>
      </c>
      <c r="F1880" s="199" t="s">
        <v>23716</v>
      </c>
      <c r="G1880" s="1" t="s">
        <v>23717</v>
      </c>
      <c r="H1880" s="1" t="s">
        <v>23718</v>
      </c>
      <c r="I1880" s="346"/>
      <c r="J1880" s="39">
        <v>108422</v>
      </c>
      <c r="K1880" s="36" t="str">
        <f>CONCATENATE(Cover!$D$6,"fdd/view?i=",J1880)</f>
        <v>https://www.dgiwg.org/FAD/fdd/view?i=108422</v>
      </c>
      <c r="L1880" s="36" t="s">
        <v>23719</v>
      </c>
      <c r="M1880" s="186"/>
      <c r="N1880" s="186"/>
      <c r="O1880" s="172"/>
    </row>
    <row r="1881" spans="1:15" ht="25.5" x14ac:dyDescent="0.2">
      <c r="A1881" s="197" t="str">
        <f t="shared" si="29"/>
        <v>TecCode_electromagneticSensor</v>
      </c>
      <c r="B1881" s="409"/>
      <c r="C1881" s="416"/>
      <c r="D1881" s="198" t="s">
        <v>23720</v>
      </c>
      <c r="E1881" s="198">
        <v>9</v>
      </c>
      <c r="F1881" s="199" t="s">
        <v>23721</v>
      </c>
      <c r="G1881" s="1" t="s">
        <v>23722</v>
      </c>
      <c r="H1881" s="1" t="s">
        <v>23723</v>
      </c>
      <c r="I1881" s="346"/>
      <c r="J1881" s="39">
        <v>108430</v>
      </c>
      <c r="K1881" s="36" t="str">
        <f>CONCATENATE(Cover!$D$6,"fdd/view?i=",J1881)</f>
        <v>https://www.dgiwg.org/FAD/fdd/view?i=108430</v>
      </c>
      <c r="L1881" s="36" t="s">
        <v>23724</v>
      </c>
      <c r="M1881" s="186"/>
      <c r="N1881" s="186"/>
      <c r="O1881" s="172"/>
    </row>
    <row r="1882" spans="1:15" ht="25.5" x14ac:dyDescent="0.2">
      <c r="A1882" s="197" t="str">
        <f t="shared" si="29"/>
        <v>TecCode_leadLine</v>
      </c>
      <c r="B1882" s="409"/>
      <c r="C1882" s="416"/>
      <c r="D1882" s="198" t="s">
        <v>23725</v>
      </c>
      <c r="E1882" s="198">
        <v>5</v>
      </c>
      <c r="F1882" s="199" t="s">
        <v>23726</v>
      </c>
      <c r="G1882" s="1" t="s">
        <v>23727</v>
      </c>
      <c r="H1882" s="200"/>
      <c r="I1882" s="346"/>
      <c r="J1882" s="39">
        <v>108426</v>
      </c>
      <c r="K1882" s="36" t="str">
        <f>CONCATENATE(Cover!$D$6,"fdd/view?i=",J1882)</f>
        <v>https://www.dgiwg.org/FAD/fdd/view?i=108426</v>
      </c>
      <c r="L1882" s="36" t="s">
        <v>23728</v>
      </c>
      <c r="M1882" s="186"/>
      <c r="N1882" s="186"/>
      <c r="O1882" s="172"/>
    </row>
    <row r="1883" spans="1:15" ht="25.5" x14ac:dyDescent="0.2">
      <c r="A1883" s="197" t="str">
        <f t="shared" si="29"/>
        <v>TecCode_levelling</v>
      </c>
      <c r="B1883" s="409"/>
      <c r="C1883" s="416"/>
      <c r="D1883" s="198" t="s">
        <v>23729</v>
      </c>
      <c r="E1883" s="198">
        <v>12</v>
      </c>
      <c r="F1883" s="199" t="s">
        <v>23730</v>
      </c>
      <c r="G1883" s="1" t="s">
        <v>23731</v>
      </c>
      <c r="H1883" s="200"/>
      <c r="I1883" s="346"/>
      <c r="J1883" s="39">
        <v>108433</v>
      </c>
      <c r="K1883" s="36" t="str">
        <f>CONCATENATE(Cover!$D$6,"fdd/view?i=",J1883)</f>
        <v>https://www.dgiwg.org/FAD/fdd/view?i=108433</v>
      </c>
      <c r="L1883" s="36" t="s">
        <v>23732</v>
      </c>
      <c r="M1883" s="186"/>
      <c r="N1883" s="186"/>
      <c r="O1883" s="172"/>
    </row>
    <row r="1884" spans="1:15" ht="38.25" x14ac:dyDescent="0.2">
      <c r="A1884" s="197" t="str">
        <f t="shared" si="29"/>
        <v>TecCode_multiBeamEchoSounder</v>
      </c>
      <c r="B1884" s="409"/>
      <c r="C1884" s="416"/>
      <c r="D1884" s="198" t="s">
        <v>23733</v>
      </c>
      <c r="E1884" s="198">
        <v>3</v>
      </c>
      <c r="F1884" s="199" t="s">
        <v>23734</v>
      </c>
      <c r="G1884" s="1" t="s">
        <v>23735</v>
      </c>
      <c r="H1884" s="200"/>
      <c r="I1884" s="346"/>
      <c r="J1884" s="39">
        <v>108424</v>
      </c>
      <c r="K1884" s="36" t="str">
        <f>CONCATENATE(Cover!$D$6,"fdd/view?i=",J1884)</f>
        <v>https://www.dgiwg.org/FAD/fdd/view?i=108424</v>
      </c>
      <c r="L1884" s="36" t="s">
        <v>23736</v>
      </c>
      <c r="M1884" s="186"/>
      <c r="N1884" s="186"/>
      <c r="O1884" s="172"/>
    </row>
    <row r="1885" spans="1:15" ht="25.5" x14ac:dyDescent="0.2">
      <c r="A1885" s="197" t="str">
        <f t="shared" si="29"/>
        <v>TecCode_photogrammetry</v>
      </c>
      <c r="B1885" s="409"/>
      <c r="C1885" s="416"/>
      <c r="D1885" s="198" t="s">
        <v>23737</v>
      </c>
      <c r="E1885" s="198">
        <v>10</v>
      </c>
      <c r="F1885" s="199" t="s">
        <v>23738</v>
      </c>
      <c r="G1885" s="1" t="s">
        <v>23739</v>
      </c>
      <c r="H1885" s="200"/>
      <c r="I1885" s="346"/>
      <c r="J1885" s="39">
        <v>108431</v>
      </c>
      <c r="K1885" s="36" t="str">
        <f>CONCATENATE(Cover!$D$6,"fdd/view?i=",J1885)</f>
        <v>https://www.dgiwg.org/FAD/fdd/view?i=108431</v>
      </c>
      <c r="L1885" s="36" t="s">
        <v>23740</v>
      </c>
      <c r="M1885" s="186"/>
      <c r="N1885" s="186"/>
      <c r="O1885" s="172"/>
    </row>
    <row r="1886" spans="1:15" ht="25.5" x14ac:dyDescent="0.2">
      <c r="A1886" s="197" t="str">
        <f t="shared" si="29"/>
        <v>TecCode_satelliteImagery</v>
      </c>
      <c r="B1886" s="409"/>
      <c r="C1886" s="416"/>
      <c r="D1886" s="198" t="s">
        <v>23741</v>
      </c>
      <c r="E1886" s="198">
        <v>11</v>
      </c>
      <c r="F1886" s="199" t="s">
        <v>23742</v>
      </c>
      <c r="G1886" s="1" t="s">
        <v>23743</v>
      </c>
      <c r="H1886" s="200"/>
      <c r="I1886" s="346"/>
      <c r="J1886" s="39">
        <v>108432</v>
      </c>
      <c r="K1886" s="36" t="str">
        <f>CONCATENATE(Cover!$D$6,"fdd/view?i=",J1886)</f>
        <v>https://www.dgiwg.org/FAD/fdd/view?i=108432</v>
      </c>
      <c r="L1886" s="36" t="s">
        <v>23744</v>
      </c>
      <c r="M1886" s="186"/>
      <c r="N1886" s="186"/>
      <c r="O1886" s="172"/>
    </row>
    <row r="1887" spans="1:15" ht="51" x14ac:dyDescent="0.2">
      <c r="A1887" s="197" t="str">
        <f t="shared" si="29"/>
        <v>TecCode_sideScanSonar</v>
      </c>
      <c r="B1887" s="409"/>
      <c r="C1887" s="416"/>
      <c r="D1887" s="198" t="s">
        <v>23745</v>
      </c>
      <c r="E1887" s="198">
        <v>2</v>
      </c>
      <c r="F1887" s="199" t="s">
        <v>23746</v>
      </c>
      <c r="G1887" s="1" t="s">
        <v>23747</v>
      </c>
      <c r="H1887" s="200"/>
      <c r="I1887" s="346"/>
      <c r="J1887" s="39">
        <v>108423</v>
      </c>
      <c r="K1887" s="36" t="str">
        <f>CONCATENATE(Cover!$D$6,"fdd/view?i=",J1887)</f>
        <v>https://www.dgiwg.org/FAD/fdd/view?i=108423</v>
      </c>
      <c r="L1887" s="36" t="s">
        <v>23748</v>
      </c>
      <c r="M1887" s="186"/>
      <c r="N1887" s="186"/>
      <c r="O1887" s="172"/>
    </row>
    <row r="1888" spans="1:15" ht="25.5" x14ac:dyDescent="0.2">
      <c r="A1888" s="197" t="str">
        <f t="shared" si="29"/>
        <v>TecCode_singlebeam</v>
      </c>
      <c r="B1888" s="409"/>
      <c r="C1888" s="416"/>
      <c r="D1888" s="198" t="s">
        <v>23749</v>
      </c>
      <c r="E1888" s="198">
        <v>17</v>
      </c>
      <c r="F1888" s="199" t="s">
        <v>23750</v>
      </c>
      <c r="G1888" s="1" t="s">
        <v>23751</v>
      </c>
      <c r="H1888" s="200"/>
      <c r="I1888" s="346"/>
      <c r="J1888" s="39">
        <v>108438</v>
      </c>
      <c r="K1888" s="36" t="str">
        <f>CONCATENATE(Cover!$D$6,"fdd/view?i=",J1888)</f>
        <v>https://www.dgiwg.org/FAD/fdd/view?i=108438</v>
      </c>
      <c r="L1888" s="36" t="s">
        <v>23752</v>
      </c>
      <c r="M1888" s="186"/>
      <c r="N1888" s="186"/>
      <c r="O1888" s="172"/>
    </row>
    <row r="1889" spans="1:15" ht="25.5" x14ac:dyDescent="0.2">
      <c r="A1889" s="203" t="str">
        <f t="shared" si="29"/>
        <v>TecCode_underwaterUtilityVehicle</v>
      </c>
      <c r="B1889" s="410"/>
      <c r="C1889" s="417"/>
      <c r="D1889" s="204" t="s">
        <v>23753</v>
      </c>
      <c r="E1889" s="204">
        <v>18</v>
      </c>
      <c r="F1889" s="205" t="s">
        <v>23754</v>
      </c>
      <c r="G1889" s="206" t="s">
        <v>23755</v>
      </c>
      <c r="H1889" s="207"/>
      <c r="I1889" s="347"/>
      <c r="J1889" s="39">
        <v>110552</v>
      </c>
      <c r="K1889" s="36" t="str">
        <f>CONCATENATE(Cover!$D$6,"fdd/view?i=",J1889)</f>
        <v>https://www.dgiwg.org/FAD/fdd/view?i=110552</v>
      </c>
      <c r="L1889" s="36" t="s">
        <v>23756</v>
      </c>
      <c r="M1889" s="186"/>
      <c r="N1889" s="186"/>
      <c r="O1889" s="172"/>
    </row>
    <row r="1890" spans="1:15" ht="25.5" x14ac:dyDescent="0.2">
      <c r="A1890" s="190" t="str">
        <f t="shared" si="29"/>
        <v>BycCode_bay</v>
      </c>
      <c r="B1890" s="414" t="str">
        <f>HYPERLINK("[#]Datatypes!A226:L226","BycCode")</f>
        <v>BycCode</v>
      </c>
      <c r="C1890" s="415" t="s">
        <v>14781</v>
      </c>
      <c r="D1890" s="221" t="s">
        <v>23757</v>
      </c>
      <c r="E1890" s="221">
        <v>2</v>
      </c>
      <c r="F1890" s="222" t="s">
        <v>23758</v>
      </c>
      <c r="G1890" s="223" t="s">
        <v>23759</v>
      </c>
      <c r="H1890" s="223" t="s">
        <v>23760</v>
      </c>
      <c r="I1890" s="352" t="s">
        <v>23761</v>
      </c>
      <c r="J1890" s="39">
        <v>113010</v>
      </c>
      <c r="K1890" s="36" t="str">
        <f>CONCATENATE(Cover!$D$6,"fdd/view?i=",J1890)</f>
        <v>https://www.dgiwg.org/FAD/fdd/view?i=113010</v>
      </c>
      <c r="L1890" s="36" t="s">
        <v>23762</v>
      </c>
      <c r="M1890" s="186"/>
      <c r="N1890" s="186"/>
      <c r="O1890" s="172"/>
    </row>
    <row r="1891" spans="1:15" ht="38.25" x14ac:dyDescent="0.2">
      <c r="A1891" s="197" t="str">
        <f t="shared" si="29"/>
        <v>BycCode_coastalLake</v>
      </c>
      <c r="B1891" s="409"/>
      <c r="C1891" s="416"/>
      <c r="D1891" s="198" t="s">
        <v>23763</v>
      </c>
      <c r="E1891" s="198">
        <v>14</v>
      </c>
      <c r="F1891" s="199" t="s">
        <v>23764</v>
      </c>
      <c r="G1891" s="1" t="s">
        <v>23765</v>
      </c>
      <c r="H1891" s="1" t="s">
        <v>23766</v>
      </c>
      <c r="I1891" s="346"/>
      <c r="J1891" s="39">
        <v>113014</v>
      </c>
      <c r="K1891" s="36" t="str">
        <f>CONCATENATE(Cover!$D$6,"fdd/view?i=",J1891)</f>
        <v>https://www.dgiwg.org/FAD/fdd/view?i=113014</v>
      </c>
      <c r="L1891" s="36" t="s">
        <v>23767</v>
      </c>
      <c r="M1891" s="186"/>
      <c r="N1891" s="186"/>
      <c r="O1891" s="172"/>
    </row>
    <row r="1892" spans="1:15" x14ac:dyDescent="0.2">
      <c r="A1892" s="197" t="str">
        <f t="shared" si="29"/>
        <v>BycCode_dykedBay</v>
      </c>
      <c r="B1892" s="409"/>
      <c r="C1892" s="416"/>
      <c r="D1892" s="198" t="s">
        <v>23768</v>
      </c>
      <c r="E1892" s="198">
        <v>4</v>
      </c>
      <c r="F1892" s="199" t="s">
        <v>23769</v>
      </c>
      <c r="G1892" s="1" t="s">
        <v>23770</v>
      </c>
      <c r="H1892" s="200"/>
      <c r="I1892" s="346"/>
      <c r="J1892" s="39">
        <v>113011</v>
      </c>
      <c r="K1892" s="36" t="str">
        <f>CONCATENATE(Cover!$D$6,"fdd/view?i=",J1892)</f>
        <v>https://www.dgiwg.org/FAD/fdd/view?i=113011</v>
      </c>
      <c r="L1892" s="36" t="s">
        <v>23771</v>
      </c>
      <c r="M1892" s="186"/>
      <c r="N1892" s="186"/>
      <c r="O1892" s="172"/>
    </row>
    <row r="1893" spans="1:15" ht="25.5" x14ac:dyDescent="0.2">
      <c r="A1893" s="197" t="str">
        <f t="shared" si="29"/>
        <v>BycCode_fiord</v>
      </c>
      <c r="B1893" s="409"/>
      <c r="C1893" s="416"/>
      <c r="D1893" s="198" t="s">
        <v>23772</v>
      </c>
      <c r="E1893" s="198">
        <v>6</v>
      </c>
      <c r="F1893" s="199" t="s">
        <v>23773</v>
      </c>
      <c r="G1893" s="1" t="s">
        <v>23774</v>
      </c>
      <c r="H1893" s="1" t="s">
        <v>23775</v>
      </c>
      <c r="I1893" s="351" t="s">
        <v>23776</v>
      </c>
      <c r="J1893" s="39">
        <v>113012</v>
      </c>
      <c r="K1893" s="36" t="str">
        <f>CONCATENATE(Cover!$D$6,"fdd/view?i=",J1893)</f>
        <v>https://www.dgiwg.org/FAD/fdd/view?i=113012</v>
      </c>
      <c r="L1893" s="36" t="s">
        <v>23777</v>
      </c>
      <c r="M1893" s="186"/>
      <c r="N1893" s="186"/>
      <c r="O1893" s="172"/>
    </row>
    <row r="1894" spans="1:15" x14ac:dyDescent="0.2">
      <c r="A1894" s="203" t="str">
        <f t="shared" si="29"/>
        <v>BycCode_lagoon</v>
      </c>
      <c r="B1894" s="410"/>
      <c r="C1894" s="417"/>
      <c r="D1894" s="204" t="s">
        <v>23778</v>
      </c>
      <c r="E1894" s="204">
        <v>9</v>
      </c>
      <c r="F1894" s="205" t="s">
        <v>3771</v>
      </c>
      <c r="G1894" s="206" t="s">
        <v>23779</v>
      </c>
      <c r="H1894" s="207"/>
      <c r="I1894" s="347"/>
      <c r="J1894" s="39">
        <v>113013</v>
      </c>
      <c r="K1894" s="36" t="str">
        <f>CONCATENATE(Cover!$D$6,"fdd/view?i=",J1894)</f>
        <v>https://www.dgiwg.org/FAD/fdd/view?i=113013</v>
      </c>
      <c r="L1894" s="36" t="s">
        <v>23780</v>
      </c>
      <c r="M1894" s="186"/>
      <c r="N1894" s="186"/>
      <c r="O1894" s="172"/>
    </row>
    <row r="1895" spans="1:15" x14ac:dyDescent="0.2">
      <c r="A1895" s="190" t="str">
        <f t="shared" si="29"/>
        <v>BecCode_concave</v>
      </c>
      <c r="B1895" s="414" t="str">
        <f>HYPERLINK("[#]Datatypes!A228:L228","BecCode")</f>
        <v>BecCode</v>
      </c>
      <c r="C1895" s="415" t="s">
        <v>14783</v>
      </c>
      <c r="D1895" s="221" t="s">
        <v>23781</v>
      </c>
      <c r="E1895" s="221">
        <v>1</v>
      </c>
      <c r="F1895" s="222" t="s">
        <v>23782</v>
      </c>
      <c r="G1895" s="223" t="s">
        <v>23783</v>
      </c>
      <c r="H1895" s="224"/>
      <c r="I1895" s="345"/>
      <c r="J1895" s="39">
        <v>119260</v>
      </c>
      <c r="K1895" s="36" t="str">
        <f>CONCATENATE(Cover!$D$6,"fdd/view?i=",J1895)</f>
        <v>https://www.dgiwg.org/FAD/fdd/view?i=119260</v>
      </c>
      <c r="L1895" s="36" t="s">
        <v>23784</v>
      </c>
      <c r="M1895" s="186"/>
      <c r="N1895" s="186"/>
      <c r="O1895" s="172"/>
    </row>
    <row r="1896" spans="1:15" x14ac:dyDescent="0.2">
      <c r="A1896" s="197" t="str">
        <f t="shared" si="29"/>
        <v>BecCode_convex</v>
      </c>
      <c r="B1896" s="409"/>
      <c r="C1896" s="416"/>
      <c r="D1896" s="198" t="s">
        <v>23785</v>
      </c>
      <c r="E1896" s="198">
        <v>2</v>
      </c>
      <c r="F1896" s="199" t="s">
        <v>23786</v>
      </c>
      <c r="G1896" s="1" t="s">
        <v>23787</v>
      </c>
      <c r="H1896" s="200"/>
      <c r="I1896" s="346"/>
      <c r="J1896" s="39">
        <v>119261</v>
      </c>
      <c r="K1896" s="36" t="str">
        <f>CONCATENATE(Cover!$D$6,"fdd/view?i=",J1896)</f>
        <v>https://www.dgiwg.org/FAD/fdd/view?i=119261</v>
      </c>
      <c r="L1896" s="36" t="s">
        <v>23788</v>
      </c>
      <c r="M1896" s="186"/>
      <c r="N1896" s="186"/>
      <c r="O1896" s="172"/>
    </row>
    <row r="1897" spans="1:15" x14ac:dyDescent="0.2">
      <c r="A1897" s="197" t="str">
        <f t="shared" si="29"/>
        <v>BecCode_irregular</v>
      </c>
      <c r="B1897" s="409"/>
      <c r="C1897" s="416"/>
      <c r="D1897" s="198" t="s">
        <v>20235</v>
      </c>
      <c r="E1897" s="198">
        <v>3</v>
      </c>
      <c r="F1897" s="199" t="s">
        <v>20236</v>
      </c>
      <c r="G1897" s="1" t="s">
        <v>23789</v>
      </c>
      <c r="H1897" s="200"/>
      <c r="I1897" s="346"/>
      <c r="J1897" s="39">
        <v>119262</v>
      </c>
      <c r="K1897" s="36" t="str">
        <f>CONCATENATE(Cover!$D$6,"fdd/view?i=",J1897)</f>
        <v>https://www.dgiwg.org/FAD/fdd/view?i=119262</v>
      </c>
      <c r="L1897" s="36" t="s">
        <v>23790</v>
      </c>
      <c r="M1897" s="186"/>
      <c r="N1897" s="186"/>
      <c r="O1897" s="172"/>
    </row>
    <row r="1898" spans="1:15" x14ac:dyDescent="0.2">
      <c r="A1898" s="203" t="str">
        <f t="shared" si="29"/>
        <v>BecCode_straight</v>
      </c>
      <c r="B1898" s="410"/>
      <c r="C1898" s="417"/>
      <c r="D1898" s="204" t="s">
        <v>23791</v>
      </c>
      <c r="E1898" s="204">
        <v>4</v>
      </c>
      <c r="F1898" s="205" t="s">
        <v>23792</v>
      </c>
      <c r="G1898" s="206" t="s">
        <v>23793</v>
      </c>
      <c r="H1898" s="207"/>
      <c r="I1898" s="347"/>
      <c r="J1898" s="39">
        <v>119263</v>
      </c>
      <c r="K1898" s="36" t="str">
        <f>CONCATENATE(Cover!$D$6,"fdd/view?i=",J1898)</f>
        <v>https://www.dgiwg.org/FAD/fdd/view?i=119263</v>
      </c>
      <c r="L1898" s="36" t="s">
        <v>23794</v>
      </c>
      <c r="M1898" s="186"/>
      <c r="N1898" s="186"/>
      <c r="O1898" s="172"/>
    </row>
    <row r="1899" spans="1:15" x14ac:dyDescent="0.2">
      <c r="A1899" s="190" t="str">
        <f t="shared" si="29"/>
        <v>BcoCode_endangered</v>
      </c>
      <c r="B1899" s="414" t="str">
        <f>HYPERLINK("[#]Datatypes!A232:L232","BcoCode")</f>
        <v>BcoCode</v>
      </c>
      <c r="C1899" s="415" t="s">
        <v>14788</v>
      </c>
      <c r="D1899" s="221" t="s">
        <v>23795</v>
      </c>
      <c r="E1899" s="221">
        <v>3</v>
      </c>
      <c r="F1899" s="222" t="s">
        <v>23796</v>
      </c>
      <c r="G1899" s="223" t="s">
        <v>23797</v>
      </c>
      <c r="H1899" s="224"/>
      <c r="I1899" s="345"/>
      <c r="J1899" s="39">
        <v>118659</v>
      </c>
      <c r="K1899" s="36" t="str">
        <f>CONCATENATE(Cover!$D$6,"fdd/view?i=",J1899)</f>
        <v>https://www.dgiwg.org/FAD/fdd/view?i=118659</v>
      </c>
      <c r="L1899" s="36" t="s">
        <v>23798</v>
      </c>
      <c r="M1899" s="186"/>
      <c r="N1899" s="186"/>
      <c r="O1899" s="172"/>
    </row>
    <row r="1900" spans="1:15" x14ac:dyDescent="0.2">
      <c r="A1900" s="197" t="str">
        <f t="shared" si="29"/>
        <v>BcoCode_intact</v>
      </c>
      <c r="B1900" s="409"/>
      <c r="C1900" s="416"/>
      <c r="D1900" s="198" t="s">
        <v>23799</v>
      </c>
      <c r="E1900" s="198">
        <v>1</v>
      </c>
      <c r="F1900" s="199" t="s">
        <v>23800</v>
      </c>
      <c r="G1900" s="1" t="s">
        <v>23801</v>
      </c>
      <c r="H1900" s="200"/>
      <c r="I1900" s="346"/>
      <c r="J1900" s="39">
        <v>118657</v>
      </c>
      <c r="K1900" s="36" t="str">
        <f>CONCATENATE(Cover!$D$6,"fdd/view?i=",J1900)</f>
        <v>https://www.dgiwg.org/FAD/fdd/view?i=118657</v>
      </c>
      <c r="L1900" s="36" t="s">
        <v>23802</v>
      </c>
      <c r="M1900" s="186"/>
      <c r="N1900" s="186"/>
      <c r="O1900" s="172"/>
    </row>
    <row r="1901" spans="1:15" x14ac:dyDescent="0.2">
      <c r="A1901" s="203" t="str">
        <f t="shared" si="29"/>
        <v>BcoCode_vulnerable</v>
      </c>
      <c r="B1901" s="410"/>
      <c r="C1901" s="417"/>
      <c r="D1901" s="204" t="s">
        <v>23803</v>
      </c>
      <c r="E1901" s="204">
        <v>2</v>
      </c>
      <c r="F1901" s="205" t="s">
        <v>23804</v>
      </c>
      <c r="G1901" s="206" t="s">
        <v>23805</v>
      </c>
      <c r="H1901" s="207"/>
      <c r="I1901" s="347"/>
      <c r="J1901" s="39">
        <v>118658</v>
      </c>
      <c r="K1901" s="36" t="str">
        <f>CONCATENATE(Cover!$D$6,"fdd/view?i=",J1901)</f>
        <v>https://www.dgiwg.org/FAD/fdd/view?i=118658</v>
      </c>
      <c r="L1901" s="36" t="s">
        <v>23806</v>
      </c>
      <c r="M1901" s="186"/>
      <c r="N1901" s="186"/>
      <c r="O1901" s="172"/>
    </row>
    <row r="1902" spans="1:15" ht="102" x14ac:dyDescent="0.2">
      <c r="A1902" s="190" t="str">
        <f t="shared" si="29"/>
        <v>WwfCode_borealForests</v>
      </c>
      <c r="B1902" s="414" t="str">
        <f>HYPERLINK("[#]Datatypes!A234:L234","WwfCode")</f>
        <v>WwfCode</v>
      </c>
      <c r="C1902" s="415" t="s">
        <v>14790</v>
      </c>
      <c r="D1902" s="221" t="s">
        <v>23807</v>
      </c>
      <c r="E1902" s="221">
        <v>6</v>
      </c>
      <c r="F1902" s="222" t="s">
        <v>23808</v>
      </c>
      <c r="G1902" s="223" t="s">
        <v>23809</v>
      </c>
      <c r="H1902" s="223" t="s">
        <v>23810</v>
      </c>
      <c r="I1902" s="345"/>
      <c r="J1902" s="39">
        <v>118818</v>
      </c>
      <c r="K1902" s="36" t="str">
        <f>CONCATENATE(Cover!$D$6,"fdd/view?i=",J1902)</f>
        <v>https://www.dgiwg.org/FAD/fdd/view?i=118818</v>
      </c>
      <c r="L1902" s="36" t="s">
        <v>23811</v>
      </c>
      <c r="M1902" s="186"/>
      <c r="N1902" s="186"/>
      <c r="O1902" s="172"/>
    </row>
    <row r="1903" spans="1:15" ht="102" x14ac:dyDescent="0.2">
      <c r="A1903" s="197" t="str">
        <f t="shared" si="29"/>
        <v>WwfCode_desertsXericShrublands</v>
      </c>
      <c r="B1903" s="409"/>
      <c r="C1903" s="416"/>
      <c r="D1903" s="198" t="s">
        <v>23812</v>
      </c>
      <c r="E1903" s="198">
        <v>13</v>
      </c>
      <c r="F1903" s="199" t="s">
        <v>23813</v>
      </c>
      <c r="G1903" s="1" t="s">
        <v>23814</v>
      </c>
      <c r="H1903" s="1" t="s">
        <v>23815</v>
      </c>
      <c r="I1903" s="346"/>
      <c r="J1903" s="39">
        <v>118825</v>
      </c>
      <c r="K1903" s="36" t="str">
        <f>CONCATENATE(Cover!$D$6,"fdd/view?i=",J1903)</f>
        <v>https://www.dgiwg.org/FAD/fdd/view?i=118825</v>
      </c>
      <c r="L1903" s="36" t="s">
        <v>23816</v>
      </c>
      <c r="M1903" s="186"/>
      <c r="N1903" s="186"/>
      <c r="O1903" s="172"/>
    </row>
    <row r="1904" spans="1:15" ht="76.5" x14ac:dyDescent="0.2">
      <c r="A1904" s="197" t="str">
        <f t="shared" si="29"/>
        <v>WwfCode_floodedGrasslandsSavannas</v>
      </c>
      <c r="B1904" s="409"/>
      <c r="C1904" s="416"/>
      <c r="D1904" s="198" t="s">
        <v>23817</v>
      </c>
      <c r="E1904" s="198">
        <v>9</v>
      </c>
      <c r="F1904" s="199" t="s">
        <v>23818</v>
      </c>
      <c r="G1904" s="1" t="s">
        <v>23819</v>
      </c>
      <c r="H1904" s="1" t="s">
        <v>23820</v>
      </c>
      <c r="I1904" s="346"/>
      <c r="J1904" s="39">
        <v>118821</v>
      </c>
      <c r="K1904" s="36" t="str">
        <f>CONCATENATE(Cover!$D$6,"fdd/view?i=",J1904)</f>
        <v>https://www.dgiwg.org/FAD/fdd/view?i=118821</v>
      </c>
      <c r="L1904" s="36" t="s">
        <v>23821</v>
      </c>
      <c r="M1904" s="186"/>
      <c r="N1904" s="186"/>
      <c r="O1904" s="172"/>
    </row>
    <row r="1905" spans="1:15" ht="51" x14ac:dyDescent="0.2">
      <c r="A1905" s="197" t="str">
        <f t="shared" si="29"/>
        <v>WwfCode_largeLakes</v>
      </c>
      <c r="B1905" s="409"/>
      <c r="C1905" s="416"/>
      <c r="D1905" s="198" t="s">
        <v>23822</v>
      </c>
      <c r="E1905" s="198">
        <v>24</v>
      </c>
      <c r="F1905" s="199" t="s">
        <v>23823</v>
      </c>
      <c r="G1905" s="1" t="s">
        <v>23824</v>
      </c>
      <c r="H1905" s="200"/>
      <c r="I1905" s="346"/>
      <c r="J1905" s="39">
        <v>118836</v>
      </c>
      <c r="K1905" s="36" t="str">
        <f>CONCATENATE(Cover!$D$6,"fdd/view?i=",J1905)</f>
        <v>https://www.dgiwg.org/FAD/fdd/view?i=118836</v>
      </c>
      <c r="L1905" s="36" t="s">
        <v>23825</v>
      </c>
      <c r="M1905" s="186"/>
      <c r="N1905" s="186"/>
      <c r="O1905" s="172"/>
    </row>
    <row r="1906" spans="1:15" ht="76.5" x14ac:dyDescent="0.2">
      <c r="A1906" s="197" t="str">
        <f t="shared" si="29"/>
        <v>WwfCode_largeRiverDeltas</v>
      </c>
      <c r="B1906" s="409"/>
      <c r="C1906" s="416"/>
      <c r="D1906" s="198" t="s">
        <v>23826</v>
      </c>
      <c r="E1906" s="198">
        <v>22</v>
      </c>
      <c r="F1906" s="199" t="s">
        <v>23827</v>
      </c>
      <c r="G1906" s="1" t="s">
        <v>23828</v>
      </c>
      <c r="H1906" s="200"/>
      <c r="I1906" s="346"/>
      <c r="J1906" s="39">
        <v>118834</v>
      </c>
      <c r="K1906" s="36" t="str">
        <f>CONCATENATE(Cover!$D$6,"fdd/view?i=",J1906)</f>
        <v>https://www.dgiwg.org/FAD/fdd/view?i=118834</v>
      </c>
      <c r="L1906" s="36" t="s">
        <v>23829</v>
      </c>
      <c r="M1906" s="186"/>
      <c r="N1906" s="186"/>
      <c r="O1906" s="172"/>
    </row>
    <row r="1907" spans="1:15" ht="25.5" x14ac:dyDescent="0.2">
      <c r="A1907" s="197" t="str">
        <f t="shared" si="29"/>
        <v>WwfCode_largeRiverHeadwaters</v>
      </c>
      <c r="B1907" s="409"/>
      <c r="C1907" s="416"/>
      <c r="D1907" s="198" t="s">
        <v>23830</v>
      </c>
      <c r="E1907" s="198">
        <v>21</v>
      </c>
      <c r="F1907" s="199" t="s">
        <v>23831</v>
      </c>
      <c r="G1907" s="1" t="s">
        <v>23832</v>
      </c>
      <c r="H1907" s="200"/>
      <c r="I1907" s="346"/>
      <c r="J1907" s="39">
        <v>118833</v>
      </c>
      <c r="K1907" s="36" t="str">
        <f>CONCATENATE(Cover!$D$6,"fdd/view?i=",J1907)</f>
        <v>https://www.dgiwg.org/FAD/fdd/view?i=118833</v>
      </c>
      <c r="L1907" s="36" t="s">
        <v>23833</v>
      </c>
      <c r="M1907" s="186"/>
      <c r="N1907" s="186"/>
      <c r="O1907" s="172"/>
    </row>
    <row r="1908" spans="1:15" ht="51" x14ac:dyDescent="0.2">
      <c r="A1908" s="197" t="str">
        <f t="shared" si="29"/>
        <v>WwfCode_largeRivers</v>
      </c>
      <c r="B1908" s="409"/>
      <c r="C1908" s="416"/>
      <c r="D1908" s="198" t="s">
        <v>23834</v>
      </c>
      <c r="E1908" s="198">
        <v>20</v>
      </c>
      <c r="F1908" s="199" t="s">
        <v>23835</v>
      </c>
      <c r="G1908" s="1" t="s">
        <v>23836</v>
      </c>
      <c r="H1908" s="200"/>
      <c r="I1908" s="346"/>
      <c r="J1908" s="39">
        <v>118832</v>
      </c>
      <c r="K1908" s="36" t="str">
        <f>CONCATENATE(Cover!$D$6,"fdd/view?i=",J1908)</f>
        <v>https://www.dgiwg.org/FAD/fdd/view?i=118832</v>
      </c>
      <c r="L1908" s="36" t="s">
        <v>23837</v>
      </c>
      <c r="M1908" s="186"/>
      <c r="N1908" s="186"/>
      <c r="O1908" s="172"/>
    </row>
    <row r="1909" spans="1:15" ht="76.5" x14ac:dyDescent="0.2">
      <c r="A1909" s="197" t="str">
        <f t="shared" si="29"/>
        <v>WwfCode_mangroves</v>
      </c>
      <c r="B1909" s="409"/>
      <c r="C1909" s="416"/>
      <c r="D1909" s="198" t="s">
        <v>23838</v>
      </c>
      <c r="E1909" s="198">
        <v>14</v>
      </c>
      <c r="F1909" s="199" t="s">
        <v>23839</v>
      </c>
      <c r="G1909" s="1" t="s">
        <v>23840</v>
      </c>
      <c r="H1909" s="1" t="s">
        <v>23841</v>
      </c>
      <c r="I1909" s="346"/>
      <c r="J1909" s="39">
        <v>118826</v>
      </c>
      <c r="K1909" s="36" t="str">
        <f>CONCATENATE(Cover!$D$6,"fdd/view?i=",J1909)</f>
        <v>https://www.dgiwg.org/FAD/fdd/view?i=118826</v>
      </c>
      <c r="L1909" s="36" t="s">
        <v>23842</v>
      </c>
      <c r="M1909" s="186"/>
      <c r="N1909" s="186"/>
      <c r="O1909" s="172"/>
    </row>
    <row r="1910" spans="1:15" ht="140.25" x14ac:dyDescent="0.2">
      <c r="A1910" s="197" t="str">
        <f t="shared" si="29"/>
        <v>WwfCode_mediterrForWoodlandsScrub</v>
      </c>
      <c r="B1910" s="409"/>
      <c r="C1910" s="416"/>
      <c r="D1910" s="198" t="s">
        <v>23843</v>
      </c>
      <c r="E1910" s="198">
        <v>12</v>
      </c>
      <c r="F1910" s="199" t="s">
        <v>23844</v>
      </c>
      <c r="G1910" s="1" t="s">
        <v>23845</v>
      </c>
      <c r="H1910" s="1" t="s">
        <v>23846</v>
      </c>
      <c r="I1910" s="346"/>
      <c r="J1910" s="39">
        <v>118824</v>
      </c>
      <c r="K1910" s="36" t="str">
        <f>CONCATENATE(Cover!$D$6,"fdd/view?i=",J1910)</f>
        <v>https://www.dgiwg.org/FAD/fdd/view?i=118824</v>
      </c>
      <c r="L1910" s="36" t="s">
        <v>23847</v>
      </c>
      <c r="M1910" s="186"/>
      <c r="N1910" s="186"/>
      <c r="O1910" s="172"/>
    </row>
    <row r="1911" spans="1:15" ht="89.25" x14ac:dyDescent="0.2">
      <c r="A1911" s="197" t="str">
        <f t="shared" si="29"/>
        <v>WwfCode_montaneGrassShrublands</v>
      </c>
      <c r="B1911" s="409"/>
      <c r="C1911" s="416"/>
      <c r="D1911" s="198" t="s">
        <v>23848</v>
      </c>
      <c r="E1911" s="198">
        <v>10</v>
      </c>
      <c r="F1911" s="199" t="s">
        <v>23849</v>
      </c>
      <c r="G1911" s="1" t="s">
        <v>23850</v>
      </c>
      <c r="H1911" s="1" t="s">
        <v>23851</v>
      </c>
      <c r="I1911" s="346"/>
      <c r="J1911" s="39">
        <v>118822</v>
      </c>
      <c r="K1911" s="36" t="str">
        <f>CONCATENATE(Cover!$D$6,"fdd/view?i=",J1911)</f>
        <v>https://www.dgiwg.org/FAD/fdd/view?i=118822</v>
      </c>
      <c r="L1911" s="36" t="s">
        <v>23852</v>
      </c>
      <c r="M1911" s="186"/>
      <c r="N1911" s="186"/>
      <c r="O1911" s="172"/>
    </row>
    <row r="1912" spans="1:15" ht="63.75" x14ac:dyDescent="0.2">
      <c r="A1912" s="197" t="str">
        <f t="shared" si="29"/>
        <v>WwfCode_polarSeas</v>
      </c>
      <c r="B1912" s="409"/>
      <c r="C1912" s="416"/>
      <c r="D1912" s="198" t="s">
        <v>23853</v>
      </c>
      <c r="E1912" s="198">
        <v>15</v>
      </c>
      <c r="F1912" s="199" t="s">
        <v>23854</v>
      </c>
      <c r="G1912" s="1" t="s">
        <v>23855</v>
      </c>
      <c r="H1912" s="200"/>
      <c r="I1912" s="346"/>
      <c r="J1912" s="39">
        <v>118827</v>
      </c>
      <c r="K1912" s="36" t="str">
        <f>CONCATENATE(Cover!$D$6,"fdd/view?i=",J1912)</f>
        <v>https://www.dgiwg.org/FAD/fdd/view?i=118827</v>
      </c>
      <c r="L1912" s="36" t="s">
        <v>23856</v>
      </c>
      <c r="M1912" s="186"/>
      <c r="N1912" s="186"/>
      <c r="O1912" s="172"/>
    </row>
    <row r="1913" spans="1:15" ht="38.25" x14ac:dyDescent="0.2">
      <c r="A1913" s="197" t="str">
        <f t="shared" si="29"/>
        <v>WwfCode_smallLakes</v>
      </c>
      <c r="B1913" s="409"/>
      <c r="C1913" s="416"/>
      <c r="D1913" s="198" t="s">
        <v>23857</v>
      </c>
      <c r="E1913" s="198">
        <v>25</v>
      </c>
      <c r="F1913" s="199" t="s">
        <v>23858</v>
      </c>
      <c r="G1913" s="1" t="s">
        <v>23859</v>
      </c>
      <c r="H1913" s="200"/>
      <c r="I1913" s="346"/>
      <c r="J1913" s="39">
        <v>118837</v>
      </c>
      <c r="K1913" s="36" t="str">
        <f>CONCATENATE(Cover!$D$6,"fdd/view?i=",J1913)</f>
        <v>https://www.dgiwg.org/FAD/fdd/view?i=118837</v>
      </c>
      <c r="L1913" s="36" t="s">
        <v>23860</v>
      </c>
      <c r="M1913" s="186"/>
      <c r="N1913" s="186"/>
      <c r="O1913" s="172"/>
    </row>
    <row r="1914" spans="1:15" ht="51" x14ac:dyDescent="0.2">
      <c r="A1914" s="197" t="str">
        <f t="shared" si="29"/>
        <v>WwfCode_smallRivers</v>
      </c>
      <c r="B1914" s="409"/>
      <c r="C1914" s="416"/>
      <c r="D1914" s="198" t="s">
        <v>23861</v>
      </c>
      <c r="E1914" s="198">
        <v>23</v>
      </c>
      <c r="F1914" s="199" t="s">
        <v>23862</v>
      </c>
      <c r="G1914" s="1" t="s">
        <v>23863</v>
      </c>
      <c r="H1914" s="200"/>
      <c r="I1914" s="346"/>
      <c r="J1914" s="39">
        <v>118835</v>
      </c>
      <c r="K1914" s="36" t="str">
        <f>CONCATENATE(Cover!$D$6,"fdd/view?i=",J1914)</f>
        <v>https://www.dgiwg.org/FAD/fdd/view?i=118835</v>
      </c>
      <c r="L1914" s="36" t="s">
        <v>23864</v>
      </c>
      <c r="M1914" s="186"/>
      <c r="N1914" s="186"/>
      <c r="O1914" s="172"/>
    </row>
    <row r="1915" spans="1:15" ht="89.25" x14ac:dyDescent="0.2">
      <c r="A1915" s="197" t="str">
        <f t="shared" si="29"/>
        <v>WwfCode_tempBroadleafMixedForests</v>
      </c>
      <c r="B1915" s="409"/>
      <c r="C1915" s="416"/>
      <c r="D1915" s="198" t="s">
        <v>23865</v>
      </c>
      <c r="E1915" s="198">
        <v>4</v>
      </c>
      <c r="F1915" s="199" t="s">
        <v>23866</v>
      </c>
      <c r="G1915" s="1" t="s">
        <v>23867</v>
      </c>
      <c r="H1915" s="1" t="s">
        <v>23868</v>
      </c>
      <c r="I1915" s="346"/>
      <c r="J1915" s="39">
        <v>118816</v>
      </c>
      <c r="K1915" s="36" t="str">
        <f>CONCATENATE(Cover!$D$6,"fdd/view?i=",J1915)</f>
        <v>https://www.dgiwg.org/FAD/fdd/view?i=118816</v>
      </c>
      <c r="L1915" s="36" t="s">
        <v>23869</v>
      </c>
      <c r="M1915" s="186"/>
      <c r="N1915" s="186"/>
      <c r="O1915" s="172"/>
    </row>
    <row r="1916" spans="1:15" ht="63.75" x14ac:dyDescent="0.2">
      <c r="A1916" s="197" t="str">
        <f t="shared" si="29"/>
        <v>WwfCode_tempConiferousForests</v>
      </c>
      <c r="B1916" s="409"/>
      <c r="C1916" s="416"/>
      <c r="D1916" s="198" t="s">
        <v>23870</v>
      </c>
      <c r="E1916" s="198">
        <v>5</v>
      </c>
      <c r="F1916" s="199" t="s">
        <v>23871</v>
      </c>
      <c r="G1916" s="1" t="s">
        <v>23872</v>
      </c>
      <c r="H1916" s="1" t="s">
        <v>23873</v>
      </c>
      <c r="I1916" s="346"/>
      <c r="J1916" s="39">
        <v>118817</v>
      </c>
      <c r="K1916" s="36" t="str">
        <f>CONCATENATE(Cover!$D$6,"fdd/view?i=",J1916)</f>
        <v>https://www.dgiwg.org/FAD/fdd/view?i=118817</v>
      </c>
      <c r="L1916" s="36" t="s">
        <v>23874</v>
      </c>
      <c r="M1916" s="186"/>
      <c r="N1916" s="186"/>
      <c r="O1916" s="172"/>
    </row>
    <row r="1917" spans="1:15" ht="89.25" x14ac:dyDescent="0.2">
      <c r="A1917" s="197" t="str">
        <f t="shared" si="29"/>
        <v>WwfCode_temperateShelfSeas</v>
      </c>
      <c r="B1917" s="409"/>
      <c r="C1917" s="416"/>
      <c r="D1917" s="198" t="s">
        <v>23880</v>
      </c>
      <c r="E1917" s="198">
        <v>16</v>
      </c>
      <c r="F1917" s="199" t="s">
        <v>23881</v>
      </c>
      <c r="G1917" s="1" t="s">
        <v>23882</v>
      </c>
      <c r="H1917" s="200"/>
      <c r="I1917" s="346"/>
      <c r="J1917" s="39">
        <v>118828</v>
      </c>
      <c r="K1917" s="36" t="str">
        <f>CONCATENATE(Cover!$D$6,"fdd/view?i=",J1917)</f>
        <v>https://www.dgiwg.org/FAD/fdd/view?i=118828</v>
      </c>
      <c r="L1917" s="36" t="s">
        <v>23883</v>
      </c>
      <c r="M1917" s="186"/>
      <c r="N1917" s="186"/>
      <c r="O1917" s="172"/>
    </row>
    <row r="1918" spans="1:15" ht="51" x14ac:dyDescent="0.2">
      <c r="A1918" s="197" t="str">
        <f t="shared" si="29"/>
        <v>WwfCode_temperateUpwelling</v>
      </c>
      <c r="B1918" s="409"/>
      <c r="C1918" s="416"/>
      <c r="D1918" s="198" t="s">
        <v>23884</v>
      </c>
      <c r="E1918" s="198">
        <v>17</v>
      </c>
      <c r="F1918" s="199" t="s">
        <v>23885</v>
      </c>
      <c r="G1918" s="1" t="s">
        <v>23886</v>
      </c>
      <c r="H1918" s="200"/>
      <c r="I1918" s="346"/>
      <c r="J1918" s="39">
        <v>118829</v>
      </c>
      <c r="K1918" s="36" t="str">
        <f>CONCATENATE(Cover!$D$6,"fdd/view?i=",J1918)</f>
        <v>https://www.dgiwg.org/FAD/fdd/view?i=118829</v>
      </c>
      <c r="L1918" s="36" t="s">
        <v>23887</v>
      </c>
      <c r="M1918" s="186"/>
      <c r="N1918" s="186"/>
      <c r="O1918" s="172"/>
    </row>
    <row r="1919" spans="1:15" ht="89.25" x14ac:dyDescent="0.2">
      <c r="A1919" s="197" t="str">
        <f t="shared" si="29"/>
        <v>WwfCode_tempGrassSavShrub</v>
      </c>
      <c r="B1919" s="409"/>
      <c r="C1919" s="416"/>
      <c r="D1919" s="198" t="s">
        <v>23875</v>
      </c>
      <c r="E1919" s="198">
        <v>8</v>
      </c>
      <c r="F1919" s="199" t="s">
        <v>23876</v>
      </c>
      <c r="G1919" s="1" t="s">
        <v>23877</v>
      </c>
      <c r="H1919" s="1" t="s">
        <v>23878</v>
      </c>
      <c r="I1919" s="346"/>
      <c r="J1919" s="39">
        <v>118820</v>
      </c>
      <c r="K1919" s="36" t="str">
        <f>CONCATENATE(Cover!$D$6,"fdd/view?i=",J1919)</f>
        <v>https://www.dgiwg.org/FAD/fdd/view?i=118820</v>
      </c>
      <c r="L1919" s="36" t="s">
        <v>23879</v>
      </c>
      <c r="M1919" s="186"/>
      <c r="N1919" s="186"/>
      <c r="O1919" s="172"/>
    </row>
    <row r="1920" spans="1:15" ht="38.25" x14ac:dyDescent="0.2">
      <c r="A1920" s="197" t="str">
        <f t="shared" si="29"/>
        <v>WwfCode_tropicalCoral</v>
      </c>
      <c r="B1920" s="409"/>
      <c r="C1920" s="416"/>
      <c r="D1920" s="198" t="s">
        <v>23908</v>
      </c>
      <c r="E1920" s="198">
        <v>19</v>
      </c>
      <c r="F1920" s="199" t="s">
        <v>23909</v>
      </c>
      <c r="G1920" s="1" t="s">
        <v>23910</v>
      </c>
      <c r="H1920" s="200"/>
      <c r="I1920" s="346"/>
      <c r="J1920" s="39">
        <v>118831</v>
      </c>
      <c r="K1920" s="36" t="str">
        <f>CONCATENATE(Cover!$D$6,"fdd/view?i=",J1920)</f>
        <v>https://www.dgiwg.org/FAD/fdd/view?i=118831</v>
      </c>
      <c r="L1920" s="36" t="s">
        <v>23911</v>
      </c>
      <c r="M1920" s="186"/>
      <c r="N1920" s="186"/>
      <c r="O1920" s="172"/>
    </row>
    <row r="1921" spans="1:15" ht="63.75" x14ac:dyDescent="0.2">
      <c r="A1921" s="197" t="str">
        <f t="shared" si="29"/>
        <v>WwfCode_tropicalUpwelling</v>
      </c>
      <c r="B1921" s="409"/>
      <c r="C1921" s="416"/>
      <c r="D1921" s="198" t="s">
        <v>23912</v>
      </c>
      <c r="E1921" s="198">
        <v>18</v>
      </c>
      <c r="F1921" s="199" t="s">
        <v>23913</v>
      </c>
      <c r="G1921" s="1" t="s">
        <v>23914</v>
      </c>
      <c r="H1921" s="200"/>
      <c r="I1921" s="346"/>
      <c r="J1921" s="39">
        <v>118830</v>
      </c>
      <c r="K1921" s="36" t="str">
        <f>CONCATENATE(Cover!$D$6,"fdd/view?i=",J1921)</f>
        <v>https://www.dgiwg.org/FAD/fdd/view?i=118830</v>
      </c>
      <c r="L1921" s="36" t="s">
        <v>23915</v>
      </c>
      <c r="M1921" s="186"/>
      <c r="N1921" s="186"/>
      <c r="O1921" s="172"/>
    </row>
    <row r="1922" spans="1:15" ht="76.5" x14ac:dyDescent="0.2">
      <c r="A1922" s="197" t="str">
        <f t="shared" ref="A1922:A1985" si="30">HYPERLINK(K1922,L1922)</f>
        <v>WwfCode_tropSubtropDryBroadlFor</v>
      </c>
      <c r="B1922" s="409"/>
      <c r="C1922" s="416"/>
      <c r="D1922" s="198" t="s">
        <v>23888</v>
      </c>
      <c r="E1922" s="198">
        <v>2</v>
      </c>
      <c r="F1922" s="199" t="s">
        <v>23889</v>
      </c>
      <c r="G1922" s="1" t="s">
        <v>23890</v>
      </c>
      <c r="H1922" s="1" t="s">
        <v>23891</v>
      </c>
      <c r="I1922" s="346"/>
      <c r="J1922" s="39">
        <v>118814</v>
      </c>
      <c r="K1922" s="36" t="str">
        <f>CONCATENATE(Cover!$D$6,"fdd/view?i=",J1922)</f>
        <v>https://www.dgiwg.org/FAD/fdd/view?i=118814</v>
      </c>
      <c r="L1922" s="36" t="s">
        <v>23892</v>
      </c>
      <c r="M1922" s="186"/>
      <c r="N1922" s="186"/>
      <c r="O1922" s="172"/>
    </row>
    <row r="1923" spans="1:15" ht="89.25" x14ac:dyDescent="0.2">
      <c r="A1923" s="197" t="str">
        <f t="shared" si="30"/>
        <v>WwfCode_tropSubtropGrassSavShrub</v>
      </c>
      <c r="B1923" s="409"/>
      <c r="C1923" s="416"/>
      <c r="D1923" s="198" t="s">
        <v>23893</v>
      </c>
      <c r="E1923" s="198">
        <v>7</v>
      </c>
      <c r="F1923" s="199" t="s">
        <v>23894</v>
      </c>
      <c r="G1923" s="1" t="s">
        <v>23895</v>
      </c>
      <c r="H1923" s="1" t="s">
        <v>23896</v>
      </c>
      <c r="I1923" s="346"/>
      <c r="J1923" s="39">
        <v>118819</v>
      </c>
      <c r="K1923" s="36" t="str">
        <f>CONCATENATE(Cover!$D$6,"fdd/view?i=",J1923)</f>
        <v>https://www.dgiwg.org/FAD/fdd/view?i=118819</v>
      </c>
      <c r="L1923" s="36" t="s">
        <v>23897</v>
      </c>
      <c r="M1923" s="186"/>
      <c r="N1923" s="186"/>
      <c r="O1923" s="172"/>
    </row>
    <row r="1924" spans="1:15" ht="114.75" x14ac:dyDescent="0.2">
      <c r="A1924" s="197" t="str">
        <f t="shared" si="30"/>
        <v>WwfCode_tropSubtropMoistBroadlFor</v>
      </c>
      <c r="B1924" s="409"/>
      <c r="C1924" s="416"/>
      <c r="D1924" s="198" t="s">
        <v>23903</v>
      </c>
      <c r="E1924" s="198">
        <v>1</v>
      </c>
      <c r="F1924" s="199" t="s">
        <v>23904</v>
      </c>
      <c r="G1924" s="1" t="s">
        <v>23905</v>
      </c>
      <c r="H1924" s="1" t="s">
        <v>23906</v>
      </c>
      <c r="I1924" s="346"/>
      <c r="J1924" s="39">
        <v>118813</v>
      </c>
      <c r="K1924" s="36" t="str">
        <f>CONCATENATE(Cover!$D$6,"fdd/view?i=",J1924)</f>
        <v>https://www.dgiwg.org/FAD/fdd/view?i=118813</v>
      </c>
      <c r="L1924" s="36" t="s">
        <v>23907</v>
      </c>
      <c r="M1924" s="186"/>
      <c r="N1924" s="186"/>
      <c r="O1924" s="172"/>
    </row>
    <row r="1925" spans="1:15" ht="89.25" x14ac:dyDescent="0.2">
      <c r="A1925" s="197" t="str">
        <f t="shared" si="30"/>
        <v>WwfCode_tropSuptropConifForests</v>
      </c>
      <c r="B1925" s="409"/>
      <c r="C1925" s="416"/>
      <c r="D1925" s="198" t="s">
        <v>23898</v>
      </c>
      <c r="E1925" s="198">
        <v>3</v>
      </c>
      <c r="F1925" s="199" t="s">
        <v>23899</v>
      </c>
      <c r="G1925" s="1" t="s">
        <v>23900</v>
      </c>
      <c r="H1925" s="1" t="s">
        <v>23901</v>
      </c>
      <c r="I1925" s="346"/>
      <c r="J1925" s="39">
        <v>118815</v>
      </c>
      <c r="K1925" s="36" t="str">
        <f>CONCATENATE(Cover!$D$6,"fdd/view?i=",J1925)</f>
        <v>https://www.dgiwg.org/FAD/fdd/view?i=118815</v>
      </c>
      <c r="L1925" s="36" t="s">
        <v>23902</v>
      </c>
      <c r="M1925" s="186"/>
      <c r="N1925" s="186"/>
      <c r="O1925" s="172"/>
    </row>
    <row r="1926" spans="1:15" ht="89.25" x14ac:dyDescent="0.2">
      <c r="A1926" s="197" t="str">
        <f t="shared" si="30"/>
        <v>WwfCode_tundra</v>
      </c>
      <c r="B1926" s="409"/>
      <c r="C1926" s="416"/>
      <c r="D1926" s="198" t="s">
        <v>23916</v>
      </c>
      <c r="E1926" s="198">
        <v>11</v>
      </c>
      <c r="F1926" s="199" t="s">
        <v>5611</v>
      </c>
      <c r="G1926" s="1" t="s">
        <v>23917</v>
      </c>
      <c r="H1926" s="1" t="s">
        <v>23918</v>
      </c>
      <c r="I1926" s="346"/>
      <c r="J1926" s="39">
        <v>118823</v>
      </c>
      <c r="K1926" s="36" t="str">
        <f>CONCATENATE(Cover!$D$6,"fdd/view?i=",J1926)</f>
        <v>https://www.dgiwg.org/FAD/fdd/view?i=118823</v>
      </c>
      <c r="L1926" s="36" t="s">
        <v>23919</v>
      </c>
      <c r="M1926" s="186"/>
      <c r="N1926" s="186"/>
      <c r="O1926" s="172"/>
    </row>
    <row r="1927" spans="1:15" ht="51" x14ac:dyDescent="0.2">
      <c r="A1927" s="203" t="str">
        <f t="shared" si="30"/>
        <v>WwfCode_xericBasins</v>
      </c>
      <c r="B1927" s="410"/>
      <c r="C1927" s="417"/>
      <c r="D1927" s="204" t="s">
        <v>23920</v>
      </c>
      <c r="E1927" s="204">
        <v>26</v>
      </c>
      <c r="F1927" s="205" t="s">
        <v>23921</v>
      </c>
      <c r="G1927" s="206" t="s">
        <v>23922</v>
      </c>
      <c r="H1927" s="207"/>
      <c r="I1927" s="347"/>
      <c r="J1927" s="39">
        <v>118838</v>
      </c>
      <c r="K1927" s="36" t="str">
        <f>CONCATENATE(Cover!$D$6,"fdd/view?i=",J1927)</f>
        <v>https://www.dgiwg.org/FAD/fdd/view?i=118838</v>
      </c>
      <c r="L1927" s="36" t="s">
        <v>23923</v>
      </c>
      <c r="M1927" s="186"/>
      <c r="N1927" s="186"/>
      <c r="O1927" s="172"/>
    </row>
    <row r="1928" spans="1:15" ht="38.25" x14ac:dyDescent="0.2">
      <c r="A1928" s="190" t="str">
        <f t="shared" si="30"/>
        <v>BocCode_atlanticPlateauBog</v>
      </c>
      <c r="B1928" s="414" t="str">
        <f>HYPERLINK("[#]Datatypes!A236:L236","BocCode")</f>
        <v>BocCode</v>
      </c>
      <c r="C1928" s="415" t="s">
        <v>14792</v>
      </c>
      <c r="D1928" s="221" t="s">
        <v>23924</v>
      </c>
      <c r="E1928" s="221">
        <v>3</v>
      </c>
      <c r="F1928" s="222" t="s">
        <v>23925</v>
      </c>
      <c r="G1928" s="223" t="s">
        <v>23926</v>
      </c>
      <c r="H1928" s="223" t="s">
        <v>23927</v>
      </c>
      <c r="I1928" s="345"/>
      <c r="J1928" s="39">
        <v>110063</v>
      </c>
      <c r="K1928" s="36" t="str">
        <f>CONCATENATE(Cover!$D$6,"fdd/view?i=",J1928)</f>
        <v>https://www.dgiwg.org/FAD/fdd/view?i=110063</v>
      </c>
      <c r="L1928" s="36" t="s">
        <v>23928</v>
      </c>
      <c r="M1928" s="186"/>
      <c r="N1928" s="186"/>
      <c r="O1928" s="172"/>
    </row>
    <row r="1929" spans="1:15" ht="38.25" x14ac:dyDescent="0.2">
      <c r="A1929" s="197" t="str">
        <f t="shared" si="30"/>
        <v>BocCode_basinBog</v>
      </c>
      <c r="B1929" s="409"/>
      <c r="C1929" s="416"/>
      <c r="D1929" s="198" t="s">
        <v>23929</v>
      </c>
      <c r="E1929" s="198">
        <v>4</v>
      </c>
      <c r="F1929" s="199" t="s">
        <v>23930</v>
      </c>
      <c r="G1929" s="1" t="s">
        <v>23931</v>
      </c>
      <c r="H1929" s="1" t="s">
        <v>23932</v>
      </c>
      <c r="I1929" s="346"/>
      <c r="J1929" s="39">
        <v>110064</v>
      </c>
      <c r="K1929" s="36" t="str">
        <f>CONCATENATE(Cover!$D$6,"fdd/view?i=",J1929)</f>
        <v>https://www.dgiwg.org/FAD/fdd/view?i=110064</v>
      </c>
      <c r="L1929" s="36" t="s">
        <v>23933</v>
      </c>
      <c r="M1929" s="186"/>
      <c r="N1929" s="186"/>
      <c r="O1929" s="172"/>
    </row>
    <row r="1930" spans="1:15" ht="25.5" x14ac:dyDescent="0.2">
      <c r="A1930" s="197" t="str">
        <f t="shared" si="30"/>
        <v>BocCode_blanketBog</v>
      </c>
      <c r="B1930" s="409"/>
      <c r="C1930" s="416"/>
      <c r="D1930" s="198" t="s">
        <v>23934</v>
      </c>
      <c r="E1930" s="198">
        <v>6</v>
      </c>
      <c r="F1930" s="199" t="s">
        <v>23935</v>
      </c>
      <c r="G1930" s="1" t="s">
        <v>23936</v>
      </c>
      <c r="H1930" s="1" t="s">
        <v>23937</v>
      </c>
      <c r="I1930" s="346"/>
      <c r="J1930" s="39">
        <v>110065</v>
      </c>
      <c r="K1930" s="36" t="str">
        <f>CONCATENATE(Cover!$D$6,"fdd/view?i=",J1930)</f>
        <v>https://www.dgiwg.org/FAD/fdd/view?i=110065</v>
      </c>
      <c r="L1930" s="36" t="s">
        <v>23938</v>
      </c>
      <c r="M1930" s="186"/>
      <c r="N1930" s="186"/>
      <c r="O1930" s="172"/>
    </row>
    <row r="1931" spans="1:15" ht="89.25" x14ac:dyDescent="0.2">
      <c r="A1931" s="197" t="str">
        <f t="shared" si="30"/>
        <v>BocCode_cranberryBog</v>
      </c>
      <c r="B1931" s="409"/>
      <c r="C1931" s="416"/>
      <c r="D1931" s="198" t="s">
        <v>23939</v>
      </c>
      <c r="E1931" s="198">
        <v>7</v>
      </c>
      <c r="F1931" s="199" t="s">
        <v>23940</v>
      </c>
      <c r="G1931" s="1" t="s">
        <v>23941</v>
      </c>
      <c r="H1931" s="1" t="s">
        <v>23942</v>
      </c>
      <c r="I1931" s="346"/>
      <c r="J1931" s="39">
        <v>110066</v>
      </c>
      <c r="K1931" s="36" t="str">
        <f>CONCATENATE(Cover!$D$6,"fdd/view?i=",J1931)</f>
        <v>https://www.dgiwg.org/FAD/fdd/view?i=110066</v>
      </c>
      <c r="L1931" s="36" t="s">
        <v>23943</v>
      </c>
      <c r="M1931" s="186"/>
      <c r="N1931" s="186"/>
      <c r="O1931" s="172"/>
    </row>
    <row r="1932" spans="1:15" ht="63.75" x14ac:dyDescent="0.2">
      <c r="A1932" s="197" t="str">
        <f t="shared" si="30"/>
        <v>BocCode_domedBog</v>
      </c>
      <c r="B1932" s="409"/>
      <c r="C1932" s="416"/>
      <c r="D1932" s="198" t="s">
        <v>23944</v>
      </c>
      <c r="E1932" s="198">
        <v>8</v>
      </c>
      <c r="F1932" s="199" t="s">
        <v>23945</v>
      </c>
      <c r="G1932" s="1" t="s">
        <v>23946</v>
      </c>
      <c r="H1932" s="1" t="s">
        <v>23947</v>
      </c>
      <c r="I1932" s="346"/>
      <c r="J1932" s="39">
        <v>110067</v>
      </c>
      <c r="K1932" s="36" t="str">
        <f>CONCATENATE(Cover!$D$6,"fdd/view?i=",J1932)</f>
        <v>https://www.dgiwg.org/FAD/fdd/view?i=110067</v>
      </c>
      <c r="L1932" s="36" t="s">
        <v>23948</v>
      </c>
      <c r="M1932" s="186"/>
      <c r="N1932" s="186"/>
      <c r="O1932" s="172"/>
    </row>
    <row r="1933" spans="1:15" ht="38.25" x14ac:dyDescent="0.2">
      <c r="A1933" s="197" t="str">
        <f t="shared" si="30"/>
        <v>BocCode_fen</v>
      </c>
      <c r="B1933" s="409"/>
      <c r="C1933" s="416"/>
      <c r="D1933" s="198" t="s">
        <v>23949</v>
      </c>
      <c r="E1933" s="198">
        <v>9</v>
      </c>
      <c r="F1933" s="199" t="s">
        <v>23950</v>
      </c>
      <c r="G1933" s="1" t="s">
        <v>23951</v>
      </c>
      <c r="H1933" s="1" t="s">
        <v>23952</v>
      </c>
      <c r="I1933" s="346"/>
      <c r="J1933" s="39">
        <v>110068</v>
      </c>
      <c r="K1933" s="36" t="str">
        <f>CONCATENATE(Cover!$D$6,"fdd/view?i=",J1933)</f>
        <v>https://www.dgiwg.org/FAD/fdd/view?i=110068</v>
      </c>
      <c r="L1933" s="36" t="s">
        <v>23953</v>
      </c>
      <c r="M1933" s="186"/>
      <c r="N1933" s="186"/>
      <c r="O1933" s="172"/>
    </row>
    <row r="1934" spans="1:15" ht="25.5" x14ac:dyDescent="0.2">
      <c r="A1934" s="197" t="str">
        <f t="shared" si="30"/>
        <v>BocCode_flatBog</v>
      </c>
      <c r="B1934" s="409"/>
      <c r="C1934" s="416"/>
      <c r="D1934" s="198" t="s">
        <v>23954</v>
      </c>
      <c r="E1934" s="198">
        <v>10</v>
      </c>
      <c r="F1934" s="199" t="s">
        <v>23955</v>
      </c>
      <c r="G1934" s="1" t="s">
        <v>23956</v>
      </c>
      <c r="H1934" s="1" t="s">
        <v>23957</v>
      </c>
      <c r="I1934" s="346"/>
      <c r="J1934" s="39">
        <v>110069</v>
      </c>
      <c r="K1934" s="36" t="str">
        <f>CONCATENATE(Cover!$D$6,"fdd/view?i=",J1934)</f>
        <v>https://www.dgiwg.org/FAD/fdd/view?i=110069</v>
      </c>
      <c r="L1934" s="36" t="s">
        <v>23958</v>
      </c>
      <c r="M1934" s="186"/>
      <c r="N1934" s="186"/>
      <c r="O1934" s="172"/>
    </row>
    <row r="1935" spans="1:15" ht="38.25" x14ac:dyDescent="0.2">
      <c r="A1935" s="197" t="str">
        <f t="shared" si="30"/>
        <v>BocCode_horizontalFen</v>
      </c>
      <c r="B1935" s="409"/>
      <c r="C1935" s="416"/>
      <c r="D1935" s="198" t="s">
        <v>23959</v>
      </c>
      <c r="E1935" s="198">
        <v>11</v>
      </c>
      <c r="F1935" s="199" t="s">
        <v>23960</v>
      </c>
      <c r="G1935" s="1" t="s">
        <v>23961</v>
      </c>
      <c r="H1935" s="1" t="s">
        <v>23957</v>
      </c>
      <c r="I1935" s="346"/>
      <c r="J1935" s="39">
        <v>110070</v>
      </c>
      <c r="K1935" s="36" t="str">
        <f>CONCATENATE(Cover!$D$6,"fdd/view?i=",J1935)</f>
        <v>https://www.dgiwg.org/FAD/fdd/view?i=110070</v>
      </c>
      <c r="L1935" s="36" t="s">
        <v>23962</v>
      </c>
      <c r="M1935" s="186"/>
      <c r="N1935" s="186"/>
      <c r="O1935" s="172"/>
    </row>
    <row r="1936" spans="1:15" ht="38.25" x14ac:dyDescent="0.2">
      <c r="A1936" s="197" t="str">
        <f t="shared" si="30"/>
        <v>BocCode_lowlandPolygonBog</v>
      </c>
      <c r="B1936" s="409"/>
      <c r="C1936" s="416"/>
      <c r="D1936" s="198" t="s">
        <v>23963</v>
      </c>
      <c r="E1936" s="198">
        <v>12</v>
      </c>
      <c r="F1936" s="199" t="s">
        <v>23964</v>
      </c>
      <c r="G1936" s="1" t="s">
        <v>23965</v>
      </c>
      <c r="H1936" s="1" t="s">
        <v>23966</v>
      </c>
      <c r="I1936" s="346"/>
      <c r="J1936" s="39">
        <v>110071</v>
      </c>
      <c r="K1936" s="36" t="str">
        <f>CONCATENATE(Cover!$D$6,"fdd/view?i=",J1936)</f>
        <v>https://www.dgiwg.org/FAD/fdd/view?i=110071</v>
      </c>
      <c r="L1936" s="36" t="s">
        <v>23967</v>
      </c>
      <c r="M1936" s="186"/>
      <c r="N1936" s="186"/>
      <c r="O1936" s="172"/>
    </row>
    <row r="1937" spans="1:15" ht="38.25" x14ac:dyDescent="0.2">
      <c r="A1937" s="197" t="str">
        <f t="shared" si="30"/>
        <v>BocCode_northernRibbedFen</v>
      </c>
      <c r="B1937" s="409"/>
      <c r="C1937" s="416"/>
      <c r="D1937" s="198" t="s">
        <v>23968</v>
      </c>
      <c r="E1937" s="198">
        <v>13</v>
      </c>
      <c r="F1937" s="199" t="s">
        <v>23969</v>
      </c>
      <c r="G1937" s="1" t="s">
        <v>23970</v>
      </c>
      <c r="H1937" s="1" t="s">
        <v>23971</v>
      </c>
      <c r="I1937" s="346"/>
      <c r="J1937" s="39">
        <v>110072</v>
      </c>
      <c r="K1937" s="36" t="str">
        <f>CONCATENATE(Cover!$D$6,"fdd/view?i=",J1937)</f>
        <v>https://www.dgiwg.org/FAD/fdd/view?i=110072</v>
      </c>
      <c r="L1937" s="36" t="s">
        <v>23972</v>
      </c>
      <c r="M1937" s="186"/>
      <c r="N1937" s="186"/>
      <c r="O1937" s="172"/>
    </row>
    <row r="1938" spans="1:15" ht="38.25" x14ac:dyDescent="0.2">
      <c r="A1938" s="197" t="str">
        <f t="shared" si="30"/>
        <v>BocCode_palsaBog</v>
      </c>
      <c r="B1938" s="409"/>
      <c r="C1938" s="416"/>
      <c r="D1938" s="198" t="s">
        <v>23973</v>
      </c>
      <c r="E1938" s="198">
        <v>1</v>
      </c>
      <c r="F1938" s="199" t="s">
        <v>23974</v>
      </c>
      <c r="G1938" s="1" t="s">
        <v>23975</v>
      </c>
      <c r="H1938" s="1" t="s">
        <v>23976</v>
      </c>
      <c r="I1938" s="346"/>
      <c r="J1938" s="39">
        <v>102476</v>
      </c>
      <c r="K1938" s="36" t="str">
        <f>CONCATENATE(Cover!$D$6,"fdd/view?i=",J1938)</f>
        <v>https://www.dgiwg.org/FAD/fdd/view?i=102476</v>
      </c>
      <c r="L1938" s="36" t="s">
        <v>23977</v>
      </c>
      <c r="M1938" s="186"/>
      <c r="N1938" s="186"/>
      <c r="O1938" s="172"/>
    </row>
    <row r="1939" spans="1:15" ht="25.5" x14ac:dyDescent="0.2">
      <c r="A1939" s="197" t="str">
        <f t="shared" si="30"/>
        <v>BocCode_peatBog</v>
      </c>
      <c r="B1939" s="409"/>
      <c r="C1939" s="416"/>
      <c r="D1939" s="198" t="s">
        <v>23978</v>
      </c>
      <c r="E1939" s="198">
        <v>14</v>
      </c>
      <c r="F1939" s="199" t="s">
        <v>23979</v>
      </c>
      <c r="G1939" s="1" t="s">
        <v>23980</v>
      </c>
      <c r="H1939" s="200"/>
      <c r="I1939" s="346"/>
      <c r="J1939" s="39">
        <v>110073</v>
      </c>
      <c r="K1939" s="36" t="str">
        <f>CONCATENATE(Cover!$D$6,"fdd/view?i=",J1939)</f>
        <v>https://www.dgiwg.org/FAD/fdd/view?i=110073</v>
      </c>
      <c r="L1939" s="36" t="s">
        <v>23981</v>
      </c>
      <c r="M1939" s="186"/>
      <c r="N1939" s="186"/>
      <c r="O1939" s="172"/>
    </row>
    <row r="1940" spans="1:15" ht="51" x14ac:dyDescent="0.2">
      <c r="A1940" s="197" t="str">
        <f t="shared" si="30"/>
        <v>BocCode_peatPlateauBog</v>
      </c>
      <c r="B1940" s="409"/>
      <c r="C1940" s="416"/>
      <c r="D1940" s="198" t="s">
        <v>23982</v>
      </c>
      <c r="E1940" s="198">
        <v>15</v>
      </c>
      <c r="F1940" s="199" t="s">
        <v>23983</v>
      </c>
      <c r="G1940" s="1" t="s">
        <v>23984</v>
      </c>
      <c r="H1940" s="1" t="s">
        <v>23985</v>
      </c>
      <c r="I1940" s="346"/>
      <c r="J1940" s="39">
        <v>110074</v>
      </c>
      <c r="K1940" s="36" t="str">
        <f>CONCATENATE(Cover!$D$6,"fdd/view?i=",J1940)</f>
        <v>https://www.dgiwg.org/FAD/fdd/view?i=110074</v>
      </c>
      <c r="L1940" s="36" t="s">
        <v>23986</v>
      </c>
      <c r="M1940" s="186"/>
      <c r="N1940" s="186"/>
      <c r="O1940" s="172"/>
    </row>
    <row r="1941" spans="1:15" ht="38.25" x14ac:dyDescent="0.2">
      <c r="A1941" s="197" t="str">
        <f t="shared" si="30"/>
        <v>BocCode_polygonalPeatPlateauBog</v>
      </c>
      <c r="B1941" s="409"/>
      <c r="C1941" s="416"/>
      <c r="D1941" s="198" t="s">
        <v>23987</v>
      </c>
      <c r="E1941" s="198">
        <v>16</v>
      </c>
      <c r="F1941" s="199" t="s">
        <v>23988</v>
      </c>
      <c r="G1941" s="1" t="s">
        <v>23989</v>
      </c>
      <c r="H1941" s="1" t="s">
        <v>23990</v>
      </c>
      <c r="I1941" s="346"/>
      <c r="J1941" s="39">
        <v>110075</v>
      </c>
      <c r="K1941" s="36" t="str">
        <f>CONCATENATE(Cover!$D$6,"fdd/view?i=",J1941)</f>
        <v>https://www.dgiwg.org/FAD/fdd/view?i=110075</v>
      </c>
      <c r="L1941" s="36" t="s">
        <v>23991</v>
      </c>
      <c r="M1941" s="186"/>
      <c r="N1941" s="186"/>
      <c r="O1941" s="172"/>
    </row>
    <row r="1942" spans="1:15" ht="25.5" x14ac:dyDescent="0.2">
      <c r="A1942" s="197" t="str">
        <f t="shared" si="30"/>
        <v>BocCode_shoreFen</v>
      </c>
      <c r="B1942" s="409"/>
      <c r="C1942" s="416"/>
      <c r="D1942" s="198" t="s">
        <v>23992</v>
      </c>
      <c r="E1942" s="198">
        <v>17</v>
      </c>
      <c r="F1942" s="199" t="s">
        <v>23993</v>
      </c>
      <c r="G1942" s="1" t="s">
        <v>23994</v>
      </c>
      <c r="H1942" s="1" t="s">
        <v>23995</v>
      </c>
      <c r="I1942" s="346"/>
      <c r="J1942" s="39">
        <v>110076</v>
      </c>
      <c r="K1942" s="36" t="str">
        <f>CONCATENATE(Cover!$D$6,"fdd/view?i=",J1942)</f>
        <v>https://www.dgiwg.org/FAD/fdd/view?i=110076</v>
      </c>
      <c r="L1942" s="36" t="s">
        <v>23996</v>
      </c>
      <c r="M1942" s="186"/>
      <c r="N1942" s="186"/>
      <c r="O1942" s="172"/>
    </row>
    <row r="1943" spans="1:15" ht="38.25" x14ac:dyDescent="0.2">
      <c r="A1943" s="197" t="str">
        <f t="shared" si="30"/>
        <v>BocCode_slopeBog</v>
      </c>
      <c r="B1943" s="409"/>
      <c r="C1943" s="416"/>
      <c r="D1943" s="198" t="s">
        <v>23997</v>
      </c>
      <c r="E1943" s="198">
        <v>18</v>
      </c>
      <c r="F1943" s="199" t="s">
        <v>23998</v>
      </c>
      <c r="G1943" s="1" t="s">
        <v>23999</v>
      </c>
      <c r="H1943" s="1" t="s">
        <v>24000</v>
      </c>
      <c r="I1943" s="346"/>
      <c r="J1943" s="39">
        <v>110077</v>
      </c>
      <c r="K1943" s="36" t="str">
        <f>CONCATENATE(Cover!$D$6,"fdd/view?i=",J1943)</f>
        <v>https://www.dgiwg.org/FAD/fdd/view?i=110077</v>
      </c>
      <c r="L1943" s="36" t="s">
        <v>24001</v>
      </c>
      <c r="M1943" s="186"/>
      <c r="N1943" s="186"/>
      <c r="O1943" s="172"/>
    </row>
    <row r="1944" spans="1:15" ht="38.25" x14ac:dyDescent="0.2">
      <c r="A1944" s="197" t="str">
        <f t="shared" si="30"/>
        <v>BocCode_slopeFen</v>
      </c>
      <c r="B1944" s="409"/>
      <c r="C1944" s="416"/>
      <c r="D1944" s="198" t="s">
        <v>24002</v>
      </c>
      <c r="E1944" s="198">
        <v>19</v>
      </c>
      <c r="F1944" s="199" t="s">
        <v>24003</v>
      </c>
      <c r="G1944" s="1" t="s">
        <v>24004</v>
      </c>
      <c r="H1944" s="1" t="s">
        <v>23937</v>
      </c>
      <c r="I1944" s="346"/>
      <c r="J1944" s="39">
        <v>110078</v>
      </c>
      <c r="K1944" s="36" t="str">
        <f>CONCATENATE(Cover!$D$6,"fdd/view?i=",J1944)</f>
        <v>https://www.dgiwg.org/FAD/fdd/view?i=110078</v>
      </c>
      <c r="L1944" s="36" t="s">
        <v>24005</v>
      </c>
      <c r="M1944" s="186"/>
      <c r="N1944" s="186"/>
      <c r="O1944" s="172"/>
    </row>
    <row r="1945" spans="1:15" ht="51" x14ac:dyDescent="0.2">
      <c r="A1945" s="197" t="str">
        <f t="shared" si="30"/>
        <v>BocCode_stringBog</v>
      </c>
      <c r="B1945" s="409"/>
      <c r="C1945" s="416"/>
      <c r="D1945" s="198" t="s">
        <v>24006</v>
      </c>
      <c r="E1945" s="198">
        <v>2</v>
      </c>
      <c r="F1945" s="199" t="s">
        <v>24007</v>
      </c>
      <c r="G1945" s="1" t="s">
        <v>24008</v>
      </c>
      <c r="H1945" s="1" t="s">
        <v>24009</v>
      </c>
      <c r="I1945" s="346"/>
      <c r="J1945" s="39">
        <v>102477</v>
      </c>
      <c r="K1945" s="36" t="str">
        <f>CONCATENATE(Cover!$D$6,"fdd/view?i=",J1945)</f>
        <v>https://www.dgiwg.org/FAD/fdd/view?i=102477</v>
      </c>
      <c r="L1945" s="36" t="s">
        <v>24010</v>
      </c>
      <c r="M1945" s="186"/>
      <c r="N1945" s="186"/>
      <c r="O1945" s="172"/>
    </row>
    <row r="1946" spans="1:15" ht="38.25" x14ac:dyDescent="0.2">
      <c r="A1946" s="203" t="str">
        <f t="shared" si="30"/>
        <v>BocCode_veneerBog</v>
      </c>
      <c r="B1946" s="410"/>
      <c r="C1946" s="417"/>
      <c r="D1946" s="204" t="s">
        <v>24011</v>
      </c>
      <c r="E1946" s="204">
        <v>20</v>
      </c>
      <c r="F1946" s="205" t="s">
        <v>24012</v>
      </c>
      <c r="G1946" s="206" t="s">
        <v>24013</v>
      </c>
      <c r="H1946" s="206" t="s">
        <v>24014</v>
      </c>
      <c r="I1946" s="347"/>
      <c r="J1946" s="39">
        <v>110079</v>
      </c>
      <c r="K1946" s="36" t="str">
        <f>CONCATENATE(Cover!$D$6,"fdd/view?i=",J1946)</f>
        <v>https://www.dgiwg.org/FAD/fdd/view?i=110079</v>
      </c>
      <c r="L1946" s="36" t="s">
        <v>24015</v>
      </c>
      <c r="M1946" s="186"/>
      <c r="N1946" s="186"/>
      <c r="O1946" s="172"/>
    </row>
    <row r="1947" spans="1:15" ht="51" x14ac:dyDescent="0.2">
      <c r="A1947" s="190" t="str">
        <f t="shared" si="30"/>
        <v>BrdCode_mooring</v>
      </c>
      <c r="B1947" s="414" t="str">
        <f>HYPERLINK("[#]Datatypes!A238:L238","BrdCode")</f>
        <v>BrdCode</v>
      </c>
      <c r="C1947" s="415" t="s">
        <v>14794</v>
      </c>
      <c r="D1947" s="221" t="s">
        <v>24016</v>
      </c>
      <c r="E1947" s="221">
        <v>1</v>
      </c>
      <c r="F1947" s="222" t="s">
        <v>24017</v>
      </c>
      <c r="G1947" s="223" t="s">
        <v>24018</v>
      </c>
      <c r="H1947" s="223" t="s">
        <v>24019</v>
      </c>
      <c r="I1947" s="345"/>
      <c r="J1947" s="39">
        <v>119666</v>
      </c>
      <c r="K1947" s="36" t="str">
        <f>CONCATENATE(Cover!$D$6,"fdd/view?i=",J1947)</f>
        <v>https://www.dgiwg.org/FAD/fdd/view?i=119666</v>
      </c>
      <c r="L1947" s="36" t="s">
        <v>24020</v>
      </c>
      <c r="M1947" s="186"/>
      <c r="N1947" s="186"/>
      <c r="O1947" s="172"/>
    </row>
    <row r="1948" spans="1:15" ht="89.25" x14ac:dyDescent="0.2">
      <c r="A1948" s="203" t="str">
        <f t="shared" si="30"/>
        <v>BrdCode_safetySecurity</v>
      </c>
      <c r="B1948" s="410"/>
      <c r="C1948" s="417"/>
      <c r="D1948" s="204" t="s">
        <v>24021</v>
      </c>
      <c r="E1948" s="204">
        <v>2</v>
      </c>
      <c r="F1948" s="205" t="s">
        <v>24022</v>
      </c>
      <c r="G1948" s="206" t="s">
        <v>24023</v>
      </c>
      <c r="H1948" s="206" t="s">
        <v>24024</v>
      </c>
      <c r="I1948" s="347"/>
      <c r="J1948" s="39">
        <v>119667</v>
      </c>
      <c r="K1948" s="36" t="str">
        <f>CONCATENATE(Cover!$D$6,"fdd/view?i=",J1948)</f>
        <v>https://www.dgiwg.org/FAD/fdd/view?i=119667</v>
      </c>
      <c r="L1948" s="36" t="s">
        <v>24025</v>
      </c>
      <c r="M1948" s="186"/>
      <c r="N1948" s="186"/>
      <c r="O1948" s="172"/>
    </row>
    <row r="1949" spans="1:15" ht="38.25" x14ac:dyDescent="0.2">
      <c r="A1949" s="190" t="str">
        <f t="shared" si="30"/>
        <v>BryCode_bridge</v>
      </c>
      <c r="B1949" s="414" t="str">
        <f>HYPERLINK("[#]Datatypes!A242:L242","BryCode")</f>
        <v>BryCode</v>
      </c>
      <c r="C1949" s="415" t="s">
        <v>14800</v>
      </c>
      <c r="D1949" s="221" t="s">
        <v>24026</v>
      </c>
      <c r="E1949" s="221">
        <v>1</v>
      </c>
      <c r="F1949" s="222" t="s">
        <v>2332</v>
      </c>
      <c r="G1949" s="223" t="s">
        <v>24027</v>
      </c>
      <c r="H1949" s="224"/>
      <c r="I1949" s="345"/>
      <c r="J1949" s="39">
        <v>118888</v>
      </c>
      <c r="K1949" s="36" t="str">
        <f>CONCATENATE(Cover!$D$6,"fdd/view?i=",J1949)</f>
        <v>https://www.dgiwg.org/FAD/fdd/view?i=118888</v>
      </c>
      <c r="L1949" s="36" t="s">
        <v>24028</v>
      </c>
      <c r="M1949" s="186"/>
      <c r="N1949" s="186"/>
      <c r="O1949" s="172"/>
    </row>
    <row r="1950" spans="1:15" ht="38.25" x14ac:dyDescent="0.2">
      <c r="A1950" s="197" t="str">
        <f t="shared" si="30"/>
        <v>BryCode_crossing</v>
      </c>
      <c r="B1950" s="409"/>
      <c r="C1950" s="416"/>
      <c r="D1950" s="198" t="s">
        <v>24029</v>
      </c>
      <c r="E1950" s="198">
        <v>2</v>
      </c>
      <c r="F1950" s="199" t="s">
        <v>2669</v>
      </c>
      <c r="G1950" s="1" t="s">
        <v>24030</v>
      </c>
      <c r="H1950" s="1" t="s">
        <v>24031</v>
      </c>
      <c r="I1950" s="346"/>
      <c r="J1950" s="39">
        <v>118889</v>
      </c>
      <c r="K1950" s="36" t="str">
        <f>CONCATENATE(Cover!$D$6,"fdd/view?i=",J1950)</f>
        <v>https://www.dgiwg.org/FAD/fdd/view?i=118889</v>
      </c>
      <c r="L1950" s="36" t="s">
        <v>24032</v>
      </c>
      <c r="M1950" s="186"/>
      <c r="N1950" s="186"/>
      <c r="O1950" s="172"/>
    </row>
    <row r="1951" spans="1:15" ht="25.5" x14ac:dyDescent="0.2">
      <c r="A1951" s="197" t="str">
        <f t="shared" si="30"/>
        <v>BryCode_dam</v>
      </c>
      <c r="B1951" s="409"/>
      <c r="C1951" s="416"/>
      <c r="D1951" s="198" t="s">
        <v>24033</v>
      </c>
      <c r="E1951" s="198">
        <v>3</v>
      </c>
      <c r="F1951" s="199" t="s">
        <v>2717</v>
      </c>
      <c r="G1951" s="1" t="s">
        <v>24034</v>
      </c>
      <c r="H1951" s="1" t="s">
        <v>24035</v>
      </c>
      <c r="I1951" s="346"/>
      <c r="J1951" s="39">
        <v>118890</v>
      </c>
      <c r="K1951" s="36" t="str">
        <f>CONCATENATE(Cover!$D$6,"fdd/view?i=",J1951)</f>
        <v>https://www.dgiwg.org/FAD/fdd/view?i=118890</v>
      </c>
      <c r="L1951" s="36" t="s">
        <v>24036</v>
      </c>
      <c r="M1951" s="186"/>
      <c r="N1951" s="186"/>
      <c r="O1951" s="172"/>
    </row>
    <row r="1952" spans="1:15" ht="25.5" x14ac:dyDescent="0.2">
      <c r="A1952" s="197" t="str">
        <f t="shared" si="30"/>
        <v>BryCode_ferry</v>
      </c>
      <c r="B1952" s="409"/>
      <c r="C1952" s="416"/>
      <c r="D1952" s="198" t="s">
        <v>24037</v>
      </c>
      <c r="E1952" s="198">
        <v>4</v>
      </c>
      <c r="F1952" s="199" t="s">
        <v>24038</v>
      </c>
      <c r="G1952" s="1" t="s">
        <v>24039</v>
      </c>
      <c r="H1952" s="1" t="s">
        <v>24040</v>
      </c>
      <c r="I1952" s="346"/>
      <c r="J1952" s="39">
        <v>118891</v>
      </c>
      <c r="K1952" s="36" t="str">
        <f>CONCATENATE(Cover!$D$6,"fdd/view?i=",J1952)</f>
        <v>https://www.dgiwg.org/FAD/fdd/view?i=118891</v>
      </c>
      <c r="L1952" s="36" t="s">
        <v>24041</v>
      </c>
      <c r="M1952" s="186"/>
      <c r="N1952" s="186"/>
      <c r="O1952" s="172"/>
    </row>
    <row r="1953" spans="1:15" ht="51" x14ac:dyDescent="0.2">
      <c r="A1953" s="203" t="str">
        <f t="shared" si="30"/>
        <v>BryCode_tunnel</v>
      </c>
      <c r="B1953" s="410"/>
      <c r="C1953" s="417"/>
      <c r="D1953" s="204" t="s">
        <v>24042</v>
      </c>
      <c r="E1953" s="204">
        <v>5</v>
      </c>
      <c r="F1953" s="205" t="s">
        <v>5614</v>
      </c>
      <c r="G1953" s="206" t="s">
        <v>24043</v>
      </c>
      <c r="H1953" s="207"/>
      <c r="I1953" s="347"/>
      <c r="J1953" s="39">
        <v>118892</v>
      </c>
      <c r="K1953" s="36" t="str">
        <f>CONCATENATE(Cover!$D$6,"fdd/view?i=",J1953)</f>
        <v>https://www.dgiwg.org/FAD/fdd/view?i=118892</v>
      </c>
      <c r="L1953" s="36" t="s">
        <v>24044</v>
      </c>
      <c r="M1953" s="186"/>
      <c r="N1953" s="186"/>
      <c r="O1953" s="172"/>
    </row>
    <row r="1954" spans="1:15" ht="25.5" x14ac:dyDescent="0.2">
      <c r="A1954" s="190" t="str">
        <f t="shared" si="30"/>
        <v>BptCode_fences</v>
      </c>
      <c r="B1954" s="414" t="str">
        <f>HYPERLINK("[#]Datatypes!A244:L244","BptCode")</f>
        <v>BptCode</v>
      </c>
      <c r="C1954" s="415" t="s">
        <v>14802</v>
      </c>
      <c r="D1954" s="221" t="s">
        <v>24045</v>
      </c>
      <c r="E1954" s="221">
        <v>1</v>
      </c>
      <c r="F1954" s="222" t="s">
        <v>24046</v>
      </c>
      <c r="G1954" s="223" t="s">
        <v>24047</v>
      </c>
      <c r="H1954" s="224"/>
      <c r="I1954" s="345"/>
      <c r="J1954" s="39">
        <v>118839</v>
      </c>
      <c r="K1954" s="36" t="str">
        <f>CONCATENATE(Cover!$D$6,"fdd/view?i=",J1954)</f>
        <v>https://www.dgiwg.org/FAD/fdd/view?i=118839</v>
      </c>
      <c r="L1954" s="36" t="s">
        <v>24048</v>
      </c>
      <c r="M1954" s="186"/>
      <c r="N1954" s="186"/>
      <c r="O1954" s="172"/>
    </row>
    <row r="1955" spans="1:15" ht="25.5" x14ac:dyDescent="0.2">
      <c r="A1955" s="197" t="str">
        <f t="shared" si="30"/>
        <v>BptCode_mines</v>
      </c>
      <c r="B1955" s="409"/>
      <c r="C1955" s="416"/>
      <c r="D1955" s="198" t="s">
        <v>24049</v>
      </c>
      <c r="E1955" s="198">
        <v>3</v>
      </c>
      <c r="F1955" s="199" t="s">
        <v>24050</v>
      </c>
      <c r="G1955" s="1" t="s">
        <v>24051</v>
      </c>
      <c r="H1955" s="1" t="s">
        <v>24052</v>
      </c>
      <c r="I1955" s="346"/>
      <c r="J1955" s="39">
        <v>118841</v>
      </c>
      <c r="K1955" s="36" t="str">
        <f>CONCATENATE(Cover!$D$6,"fdd/view?i=",J1955)</f>
        <v>https://www.dgiwg.org/FAD/fdd/view?i=118841</v>
      </c>
      <c r="L1955" s="36" t="s">
        <v>24053</v>
      </c>
      <c r="M1955" s="186"/>
      <c r="N1955" s="186"/>
      <c r="O1955" s="172"/>
    </row>
    <row r="1956" spans="1:15" x14ac:dyDescent="0.2">
      <c r="A1956" s="197" t="str">
        <f t="shared" si="30"/>
        <v>BptCode_notProtected</v>
      </c>
      <c r="B1956" s="409"/>
      <c r="C1956" s="416"/>
      <c r="D1956" s="198" t="s">
        <v>24054</v>
      </c>
      <c r="E1956" s="198">
        <v>4</v>
      </c>
      <c r="F1956" s="199" t="s">
        <v>24055</v>
      </c>
      <c r="G1956" s="1" t="s">
        <v>24056</v>
      </c>
      <c r="H1956" s="200"/>
      <c r="I1956" s="346"/>
      <c r="J1956" s="39">
        <v>118842</v>
      </c>
      <c r="K1956" s="36" t="str">
        <f>CONCATENATE(Cover!$D$6,"fdd/view?i=",J1956)</f>
        <v>https://www.dgiwg.org/FAD/fdd/view?i=118842</v>
      </c>
      <c r="L1956" s="36" t="s">
        <v>24057</v>
      </c>
      <c r="M1956" s="186"/>
      <c r="N1956" s="186"/>
      <c r="O1956" s="172"/>
    </row>
    <row r="1957" spans="1:15" ht="25.5" x14ac:dyDescent="0.2">
      <c r="A1957" s="203" t="str">
        <f t="shared" si="30"/>
        <v>BptCode_walls</v>
      </c>
      <c r="B1957" s="410"/>
      <c r="C1957" s="417"/>
      <c r="D1957" s="204" t="s">
        <v>24058</v>
      </c>
      <c r="E1957" s="204">
        <v>2</v>
      </c>
      <c r="F1957" s="205" t="s">
        <v>24059</v>
      </c>
      <c r="G1957" s="206" t="s">
        <v>5744</v>
      </c>
      <c r="H1957" s="207"/>
      <c r="I1957" s="347"/>
      <c r="J1957" s="39">
        <v>118840</v>
      </c>
      <c r="K1957" s="36" t="str">
        <f>CONCATENATE(Cover!$D$6,"fdd/view?i=",J1957)</f>
        <v>https://www.dgiwg.org/FAD/fdd/view?i=118840</v>
      </c>
      <c r="L1957" s="36" t="s">
        <v>24060</v>
      </c>
      <c r="M1957" s="186"/>
      <c r="N1957" s="186"/>
      <c r="O1957" s="172"/>
    </row>
    <row r="1958" spans="1:15" ht="114.75" x14ac:dyDescent="0.2">
      <c r="A1958" s="190" t="str">
        <f t="shared" si="30"/>
        <v>PtdCode_cathodicProtectionWell</v>
      </c>
      <c r="B1958" s="414" t="str">
        <f>HYPERLINK("[#]Datatypes!A248:L248","PtdCode")</f>
        <v>PtdCode</v>
      </c>
      <c r="C1958" s="415" t="s">
        <v>14807</v>
      </c>
      <c r="D1958" s="221" t="s">
        <v>24061</v>
      </c>
      <c r="E1958" s="221">
        <v>5</v>
      </c>
      <c r="F1958" s="222" t="s">
        <v>24062</v>
      </c>
      <c r="G1958" s="223" t="s">
        <v>24063</v>
      </c>
      <c r="H1958" s="223" t="s">
        <v>24064</v>
      </c>
      <c r="I1958" s="345"/>
      <c r="J1958" s="39">
        <v>119122</v>
      </c>
      <c r="K1958" s="36" t="str">
        <f>CONCATENATE(Cover!$D$6,"fdd/view?i=",J1958)</f>
        <v>https://www.dgiwg.org/FAD/fdd/view?i=119122</v>
      </c>
      <c r="L1958" s="36" t="s">
        <v>24065</v>
      </c>
      <c r="M1958" s="186"/>
      <c r="N1958" s="186"/>
      <c r="O1958" s="172"/>
    </row>
    <row r="1959" spans="1:15" ht="38.25" x14ac:dyDescent="0.2">
      <c r="A1959" s="197" t="str">
        <f t="shared" si="30"/>
        <v>PtdCode_disposalWell</v>
      </c>
      <c r="B1959" s="409"/>
      <c r="C1959" s="416"/>
      <c r="D1959" s="198" t="s">
        <v>24066</v>
      </c>
      <c r="E1959" s="198">
        <v>6</v>
      </c>
      <c r="F1959" s="199" t="s">
        <v>24067</v>
      </c>
      <c r="G1959" s="1" t="s">
        <v>24068</v>
      </c>
      <c r="H1959" s="1" t="s">
        <v>24069</v>
      </c>
      <c r="I1959" s="346"/>
      <c r="J1959" s="39">
        <v>119123</v>
      </c>
      <c r="K1959" s="36" t="str">
        <f>CONCATENATE(Cover!$D$6,"fdd/view?i=",J1959)</f>
        <v>https://www.dgiwg.org/FAD/fdd/view?i=119123</v>
      </c>
      <c r="L1959" s="36" t="s">
        <v>24070</v>
      </c>
      <c r="M1959" s="186"/>
      <c r="N1959" s="186"/>
      <c r="O1959" s="172"/>
    </row>
    <row r="1960" spans="1:15" ht="102" x14ac:dyDescent="0.2">
      <c r="A1960" s="197" t="str">
        <f t="shared" si="30"/>
        <v>PtdCode_enhancedOilRecoveryWell</v>
      </c>
      <c r="B1960" s="409"/>
      <c r="C1960" s="416"/>
      <c r="D1960" s="198" t="s">
        <v>24071</v>
      </c>
      <c r="E1960" s="198">
        <v>7</v>
      </c>
      <c r="F1960" s="199" t="s">
        <v>24072</v>
      </c>
      <c r="G1960" s="1" t="s">
        <v>24073</v>
      </c>
      <c r="H1960" s="1" t="s">
        <v>24074</v>
      </c>
      <c r="I1960" s="346"/>
      <c r="J1960" s="39">
        <v>119124</v>
      </c>
      <c r="K1960" s="36" t="str">
        <f>CONCATENATE(Cover!$D$6,"fdd/view?i=",J1960)</f>
        <v>https://www.dgiwg.org/FAD/fdd/view?i=119124</v>
      </c>
      <c r="L1960" s="36" t="s">
        <v>24075</v>
      </c>
      <c r="M1960" s="186"/>
      <c r="N1960" s="186"/>
      <c r="O1960" s="172"/>
    </row>
    <row r="1961" spans="1:15" ht="114.75" x14ac:dyDescent="0.2">
      <c r="A1961" s="197" t="str">
        <f t="shared" si="30"/>
        <v>PtdCode_injectionWell</v>
      </c>
      <c r="B1961" s="409"/>
      <c r="C1961" s="416"/>
      <c r="D1961" s="198" t="s">
        <v>24076</v>
      </c>
      <c r="E1961" s="198">
        <v>8</v>
      </c>
      <c r="F1961" s="199" t="s">
        <v>24077</v>
      </c>
      <c r="G1961" s="1" t="s">
        <v>24078</v>
      </c>
      <c r="H1961" s="1" t="s">
        <v>24079</v>
      </c>
      <c r="I1961" s="346"/>
      <c r="J1961" s="39">
        <v>119125</v>
      </c>
      <c r="K1961" s="36" t="str">
        <f>CONCATENATE(Cover!$D$6,"fdd/view?i=",J1961)</f>
        <v>https://www.dgiwg.org/FAD/fdd/view?i=119125</v>
      </c>
      <c r="L1961" s="36" t="s">
        <v>24080</v>
      </c>
      <c r="M1961" s="186"/>
      <c r="N1961" s="186"/>
      <c r="O1961" s="172"/>
    </row>
    <row r="1962" spans="1:15" ht="38.25" x14ac:dyDescent="0.2">
      <c r="A1962" s="197" t="str">
        <f t="shared" si="30"/>
        <v>PtdCode_observationWell</v>
      </c>
      <c r="B1962" s="409"/>
      <c r="C1962" s="416"/>
      <c r="D1962" s="198" t="s">
        <v>24081</v>
      </c>
      <c r="E1962" s="198">
        <v>9</v>
      </c>
      <c r="F1962" s="199" t="s">
        <v>24082</v>
      </c>
      <c r="G1962" s="1" t="s">
        <v>24083</v>
      </c>
      <c r="H1962" s="1" t="s">
        <v>24084</v>
      </c>
      <c r="I1962" s="346"/>
      <c r="J1962" s="39">
        <v>119126</v>
      </c>
      <c r="K1962" s="36" t="str">
        <f>CONCATENATE(Cover!$D$6,"fdd/view?i=",J1962)</f>
        <v>https://www.dgiwg.org/FAD/fdd/view?i=119126</v>
      </c>
      <c r="L1962" s="36" t="s">
        <v>24085</v>
      </c>
      <c r="M1962" s="186"/>
      <c r="N1962" s="186"/>
      <c r="O1962" s="172"/>
    </row>
    <row r="1963" spans="1:15" ht="25.5" x14ac:dyDescent="0.2">
      <c r="A1963" s="197" t="str">
        <f t="shared" si="30"/>
        <v>PtdCode_producing</v>
      </c>
      <c r="B1963" s="409"/>
      <c r="C1963" s="416"/>
      <c r="D1963" s="198" t="s">
        <v>24086</v>
      </c>
      <c r="E1963" s="198">
        <v>1</v>
      </c>
      <c r="F1963" s="199" t="s">
        <v>24087</v>
      </c>
      <c r="G1963" s="1" t="s">
        <v>24088</v>
      </c>
      <c r="H1963" s="200"/>
      <c r="I1963" s="346"/>
      <c r="J1963" s="39">
        <v>113635</v>
      </c>
      <c r="K1963" s="36" t="str">
        <f>CONCATENATE(Cover!$D$6,"fdd/view?i=",J1963)</f>
        <v>https://www.dgiwg.org/FAD/fdd/view?i=113635</v>
      </c>
      <c r="L1963" s="36" t="s">
        <v>24089</v>
      </c>
      <c r="M1963" s="186"/>
      <c r="N1963" s="186"/>
      <c r="O1963" s="172"/>
    </row>
    <row r="1964" spans="1:15" ht="25.5" x14ac:dyDescent="0.2">
      <c r="A1964" s="197" t="str">
        <f t="shared" si="30"/>
        <v>PtdCode_prospect</v>
      </c>
      <c r="B1964" s="409"/>
      <c r="C1964" s="416"/>
      <c r="D1964" s="198" t="s">
        <v>24090</v>
      </c>
      <c r="E1964" s="198">
        <v>2</v>
      </c>
      <c r="F1964" s="199" t="s">
        <v>24091</v>
      </c>
      <c r="G1964" s="1" t="s">
        <v>24092</v>
      </c>
      <c r="H1964" s="200"/>
      <c r="I1964" s="346"/>
      <c r="J1964" s="39">
        <v>113636</v>
      </c>
      <c r="K1964" s="36" t="str">
        <f>CONCATENATE(Cover!$D$6,"fdd/view?i=",J1964)</f>
        <v>https://www.dgiwg.org/FAD/fdd/view?i=113636</v>
      </c>
      <c r="L1964" s="36" t="s">
        <v>24093</v>
      </c>
      <c r="M1964" s="186"/>
      <c r="N1964" s="186"/>
      <c r="O1964" s="172"/>
    </row>
    <row r="1965" spans="1:15" ht="127.5" x14ac:dyDescent="0.2">
      <c r="A1965" s="197" t="str">
        <f t="shared" si="30"/>
        <v>PtdCode_radioactiveHole</v>
      </c>
      <c r="B1965" s="409"/>
      <c r="C1965" s="416"/>
      <c r="D1965" s="198" t="s">
        <v>24094</v>
      </c>
      <c r="E1965" s="198">
        <v>11</v>
      </c>
      <c r="F1965" s="199" t="s">
        <v>24095</v>
      </c>
      <c r="G1965" s="1" t="s">
        <v>24096</v>
      </c>
      <c r="H1965" s="1" t="s">
        <v>24097</v>
      </c>
      <c r="I1965" s="346"/>
      <c r="J1965" s="39">
        <v>119128</v>
      </c>
      <c r="K1965" s="36" t="str">
        <f>CONCATENATE(Cover!$D$6,"fdd/view?i=",J1965)</f>
        <v>https://www.dgiwg.org/FAD/fdd/view?i=119128</v>
      </c>
      <c r="L1965" s="36" t="s">
        <v>24098</v>
      </c>
      <c r="M1965" s="186"/>
      <c r="N1965" s="186"/>
      <c r="O1965" s="172"/>
    </row>
    <row r="1966" spans="1:15" ht="25.5" x14ac:dyDescent="0.2">
      <c r="A1966" s="197" t="str">
        <f t="shared" si="30"/>
        <v>PtdCode_research</v>
      </c>
      <c r="B1966" s="409"/>
      <c r="C1966" s="416"/>
      <c r="D1966" s="198" t="s">
        <v>24099</v>
      </c>
      <c r="E1966" s="198">
        <v>3</v>
      </c>
      <c r="F1966" s="199" t="s">
        <v>24100</v>
      </c>
      <c r="G1966" s="1" t="s">
        <v>24101</v>
      </c>
      <c r="H1966" s="200"/>
      <c r="I1966" s="346"/>
      <c r="J1966" s="39">
        <v>113637</v>
      </c>
      <c r="K1966" s="36" t="str">
        <f>CONCATENATE(Cover!$D$6,"fdd/view?i=",J1966)</f>
        <v>https://www.dgiwg.org/FAD/fdd/view?i=113637</v>
      </c>
      <c r="L1966" s="36" t="s">
        <v>24102</v>
      </c>
      <c r="M1966" s="186"/>
      <c r="N1966" s="186"/>
      <c r="O1966" s="172"/>
    </row>
    <row r="1967" spans="1:15" ht="89.25" x14ac:dyDescent="0.2">
      <c r="A1967" s="197" t="str">
        <f t="shared" si="30"/>
        <v>PtdCode_serviceWell</v>
      </c>
      <c r="B1967" s="409"/>
      <c r="C1967" s="416"/>
      <c r="D1967" s="198" t="s">
        <v>24103</v>
      </c>
      <c r="E1967" s="198">
        <v>12</v>
      </c>
      <c r="F1967" s="199" t="s">
        <v>24104</v>
      </c>
      <c r="G1967" s="1" t="s">
        <v>24105</v>
      </c>
      <c r="H1967" s="1" t="s">
        <v>24106</v>
      </c>
      <c r="I1967" s="346"/>
      <c r="J1967" s="39">
        <v>119129</v>
      </c>
      <c r="K1967" s="36" t="str">
        <f>CONCATENATE(Cover!$D$6,"fdd/view?i=",J1967)</f>
        <v>https://www.dgiwg.org/FAD/fdd/view?i=119129</v>
      </c>
      <c r="L1967" s="36" t="s">
        <v>24107</v>
      </c>
      <c r="M1967" s="186"/>
      <c r="N1967" s="186"/>
      <c r="O1967" s="172"/>
    </row>
    <row r="1968" spans="1:15" ht="25.5" x14ac:dyDescent="0.2">
      <c r="A1968" s="197" t="str">
        <f t="shared" si="30"/>
        <v>PtdCode_shaft</v>
      </c>
      <c r="B1968" s="409"/>
      <c r="C1968" s="416"/>
      <c r="D1968" s="198" t="s">
        <v>24108</v>
      </c>
      <c r="E1968" s="198">
        <v>4</v>
      </c>
      <c r="F1968" s="199" t="s">
        <v>24109</v>
      </c>
      <c r="G1968" s="1" t="s">
        <v>24110</v>
      </c>
      <c r="H1968" s="200"/>
      <c r="I1968" s="346"/>
      <c r="J1968" s="39">
        <v>113638</v>
      </c>
      <c r="K1968" s="36" t="str">
        <f>CONCATENATE(Cover!$D$6,"fdd/view?i=",J1968)</f>
        <v>https://www.dgiwg.org/FAD/fdd/view?i=113638</v>
      </c>
      <c r="L1968" s="36" t="s">
        <v>24111</v>
      </c>
      <c r="M1968" s="186"/>
      <c r="N1968" s="186"/>
      <c r="O1968" s="172"/>
    </row>
    <row r="1969" spans="1:15" ht="38.25" x14ac:dyDescent="0.2">
      <c r="A1969" s="197" t="str">
        <f t="shared" si="30"/>
        <v>PtdCode_storageWell</v>
      </c>
      <c r="B1969" s="409"/>
      <c r="C1969" s="416"/>
      <c r="D1969" s="198" t="s">
        <v>24112</v>
      </c>
      <c r="E1969" s="198">
        <v>13</v>
      </c>
      <c r="F1969" s="199" t="s">
        <v>24113</v>
      </c>
      <c r="G1969" s="1" t="s">
        <v>24114</v>
      </c>
      <c r="H1969" s="200"/>
      <c r="I1969" s="346"/>
      <c r="J1969" s="39">
        <v>119130</v>
      </c>
      <c r="K1969" s="36" t="str">
        <f>CONCATENATE(Cover!$D$6,"fdd/view?i=",J1969)</f>
        <v>https://www.dgiwg.org/FAD/fdd/view?i=119130</v>
      </c>
      <c r="L1969" s="36" t="s">
        <v>24115</v>
      </c>
      <c r="M1969" s="186"/>
      <c r="N1969" s="186"/>
      <c r="O1969" s="172"/>
    </row>
    <row r="1970" spans="1:15" ht="102" x14ac:dyDescent="0.2">
      <c r="A1970" s="197" t="str">
        <f t="shared" si="30"/>
        <v>PtdCode_stratigraphicWell</v>
      </c>
      <c r="B1970" s="409"/>
      <c r="C1970" s="416"/>
      <c r="D1970" s="198" t="s">
        <v>24116</v>
      </c>
      <c r="E1970" s="198">
        <v>14</v>
      </c>
      <c r="F1970" s="199" t="s">
        <v>24117</v>
      </c>
      <c r="G1970" s="1" t="s">
        <v>24118</v>
      </c>
      <c r="H1970" s="1" t="s">
        <v>24119</v>
      </c>
      <c r="I1970" s="346"/>
      <c r="J1970" s="39">
        <v>119131</v>
      </c>
      <c r="K1970" s="36" t="str">
        <f>CONCATENATE(Cover!$D$6,"fdd/view?i=",J1970)</f>
        <v>https://www.dgiwg.org/FAD/fdd/view?i=119131</v>
      </c>
      <c r="L1970" s="36" t="s">
        <v>24120</v>
      </c>
      <c r="M1970" s="186"/>
      <c r="N1970" s="186"/>
      <c r="O1970" s="172"/>
    </row>
    <row r="1971" spans="1:15" ht="89.25" x14ac:dyDescent="0.2">
      <c r="A1971" s="203" t="str">
        <f t="shared" si="30"/>
        <v>PtdCode_weaponTest</v>
      </c>
      <c r="B1971" s="410"/>
      <c r="C1971" s="417"/>
      <c r="D1971" s="204" t="s">
        <v>24121</v>
      </c>
      <c r="E1971" s="204">
        <v>10</v>
      </c>
      <c r="F1971" s="205" t="s">
        <v>24122</v>
      </c>
      <c r="G1971" s="206" t="s">
        <v>24123</v>
      </c>
      <c r="H1971" s="206" t="s">
        <v>24124</v>
      </c>
      <c r="I1971" s="347"/>
      <c r="J1971" s="39">
        <v>119127</v>
      </c>
      <c r="K1971" s="36" t="str">
        <f>CONCATENATE(Cover!$D$6,"fdd/view?i=",J1971)</f>
        <v>https://www.dgiwg.org/FAD/fdd/view?i=119127</v>
      </c>
      <c r="L1971" s="36" t="s">
        <v>24125</v>
      </c>
      <c r="M1971" s="186"/>
      <c r="N1971" s="186"/>
      <c r="O1971" s="172"/>
    </row>
    <row r="1972" spans="1:15" ht="63.75" x14ac:dyDescent="0.2">
      <c r="A1972" s="190" t="str">
        <f t="shared" si="30"/>
        <v>BcsCode_classified</v>
      </c>
      <c r="B1972" s="414" t="str">
        <f>HYPERLINK("[#]Datatypes!A250:L250","BcsCode")</f>
        <v>BcsCode</v>
      </c>
      <c r="C1972" s="415" t="s">
        <v>14809</v>
      </c>
      <c r="D1972" s="221" t="s">
        <v>24126</v>
      </c>
      <c r="E1972" s="221">
        <v>2</v>
      </c>
      <c r="F1972" s="222" t="s">
        <v>24127</v>
      </c>
      <c r="G1972" s="223" t="s">
        <v>24128</v>
      </c>
      <c r="H1972" s="223" t="s">
        <v>24129</v>
      </c>
      <c r="I1972" s="345"/>
      <c r="J1972" s="39">
        <v>111118</v>
      </c>
      <c r="K1972" s="36" t="str">
        <f>CONCATENATE(Cover!$D$6,"fdd/view?i=",J1972)</f>
        <v>https://www.dgiwg.org/FAD/fdd/view?i=111118</v>
      </c>
      <c r="L1972" s="36" t="s">
        <v>24130</v>
      </c>
      <c r="M1972" s="186"/>
      <c r="N1972" s="186"/>
      <c r="O1972" s="172"/>
    </row>
    <row r="1973" spans="1:15" ht="38.25" x14ac:dyDescent="0.2">
      <c r="A1973" s="197" t="str">
        <f t="shared" si="30"/>
        <v>BcsCode_detected</v>
      </c>
      <c r="B1973" s="409"/>
      <c r="C1973" s="416"/>
      <c r="D1973" s="198" t="s">
        <v>24131</v>
      </c>
      <c r="E1973" s="198">
        <v>1</v>
      </c>
      <c r="F1973" s="199" t="s">
        <v>24132</v>
      </c>
      <c r="G1973" s="1" t="s">
        <v>24133</v>
      </c>
      <c r="H1973" s="1" t="s">
        <v>24134</v>
      </c>
      <c r="I1973" s="346"/>
      <c r="J1973" s="39">
        <v>111117</v>
      </c>
      <c r="K1973" s="36" t="str">
        <f>CONCATENATE(Cover!$D$6,"fdd/view?i=",J1973)</f>
        <v>https://www.dgiwg.org/FAD/fdd/view?i=111117</v>
      </c>
      <c r="L1973" s="36" t="s">
        <v>24135</v>
      </c>
      <c r="M1973" s="186"/>
      <c r="N1973" s="186"/>
      <c r="O1973" s="172"/>
    </row>
    <row r="1974" spans="1:15" ht="76.5" x14ac:dyDescent="0.2">
      <c r="A1974" s="203" t="str">
        <f t="shared" si="30"/>
        <v>BcsCode_identified</v>
      </c>
      <c r="B1974" s="410"/>
      <c r="C1974" s="417"/>
      <c r="D1974" s="204" t="s">
        <v>24136</v>
      </c>
      <c r="E1974" s="204">
        <v>3</v>
      </c>
      <c r="F1974" s="205" t="s">
        <v>24137</v>
      </c>
      <c r="G1974" s="206" t="s">
        <v>24138</v>
      </c>
      <c r="H1974" s="206" t="s">
        <v>24139</v>
      </c>
      <c r="I1974" s="347"/>
      <c r="J1974" s="39">
        <v>111119</v>
      </c>
      <c r="K1974" s="36" t="str">
        <f>CONCATENATE(Cover!$D$6,"fdd/view?i=",J1974)</f>
        <v>https://www.dgiwg.org/FAD/fdd/view?i=111119</v>
      </c>
      <c r="L1974" s="36" t="s">
        <v>24140</v>
      </c>
      <c r="M1974" s="186"/>
      <c r="N1974" s="186"/>
      <c r="O1974" s="172"/>
    </row>
    <row r="1975" spans="1:15" ht="38.25" x14ac:dyDescent="0.2">
      <c r="A1975" s="190" t="str">
        <f t="shared" si="30"/>
        <v>BmcCode_bedrock</v>
      </c>
      <c r="B1975" s="414" t="str">
        <f>HYPERLINK("[#]Datatypes!A252:L252","BmcCode")</f>
        <v>BmcCode</v>
      </c>
      <c r="C1975" s="415" t="s">
        <v>14811</v>
      </c>
      <c r="D1975" s="221" t="s">
        <v>24141</v>
      </c>
      <c r="E1975" s="221">
        <v>6</v>
      </c>
      <c r="F1975" s="222" t="s">
        <v>24142</v>
      </c>
      <c r="G1975" s="223" t="s">
        <v>24143</v>
      </c>
      <c r="H1975" s="223" t="s">
        <v>24144</v>
      </c>
      <c r="I1975" s="345"/>
      <c r="J1975" s="39">
        <v>102463</v>
      </c>
      <c r="K1975" s="36" t="str">
        <f>CONCATENATE(Cover!$D$6,"fdd/view?i=",J1975)</f>
        <v>https://www.dgiwg.org/FAD/fdd/view?i=102463</v>
      </c>
      <c r="L1975" s="36" t="s">
        <v>24145</v>
      </c>
      <c r="M1975" s="186"/>
      <c r="N1975" s="186"/>
      <c r="O1975" s="172"/>
    </row>
    <row r="1976" spans="1:15" ht="38.25" x14ac:dyDescent="0.2">
      <c r="A1976" s="197" t="str">
        <f t="shared" si="30"/>
        <v>BmcCode_claySilt</v>
      </c>
      <c r="B1976" s="409"/>
      <c r="C1976" s="416"/>
      <c r="D1976" s="198" t="s">
        <v>24146</v>
      </c>
      <c r="E1976" s="198">
        <v>1</v>
      </c>
      <c r="F1976" s="199" t="s">
        <v>24147</v>
      </c>
      <c r="G1976" s="1" t="s">
        <v>24148</v>
      </c>
      <c r="H1976" s="200"/>
      <c r="I1976" s="346"/>
      <c r="J1976" s="39">
        <v>102458</v>
      </c>
      <c r="K1976" s="36" t="str">
        <f>CONCATENATE(Cover!$D$6,"fdd/view?i=",J1976)</f>
        <v>https://www.dgiwg.org/FAD/fdd/view?i=102458</v>
      </c>
      <c r="L1976" s="36" t="s">
        <v>24149</v>
      </c>
      <c r="M1976" s="186"/>
      <c r="N1976" s="186"/>
      <c r="O1976" s="172"/>
    </row>
    <row r="1977" spans="1:15" ht="38.25" x14ac:dyDescent="0.2">
      <c r="A1977" s="197" t="str">
        <f t="shared" si="30"/>
        <v>BmcCode_concrete</v>
      </c>
      <c r="B1977" s="409"/>
      <c r="C1977" s="416"/>
      <c r="D1977" s="198" t="s">
        <v>19541</v>
      </c>
      <c r="E1977" s="198">
        <v>15</v>
      </c>
      <c r="F1977" s="199" t="s">
        <v>19542</v>
      </c>
      <c r="G1977" s="1" t="s">
        <v>24150</v>
      </c>
      <c r="H1977" s="200"/>
      <c r="I1977" s="346"/>
      <c r="J1977" s="39">
        <v>110059</v>
      </c>
      <c r="K1977" s="36" t="str">
        <f>CONCATENATE(Cover!$D$6,"fdd/view?i=",J1977)</f>
        <v>https://www.dgiwg.org/FAD/fdd/view?i=110059</v>
      </c>
      <c r="L1977" s="36" t="s">
        <v>24151</v>
      </c>
      <c r="M1977" s="186"/>
      <c r="N1977" s="186"/>
      <c r="O1977" s="172"/>
    </row>
    <row r="1978" spans="1:15" ht="38.25" x14ac:dyDescent="0.2">
      <c r="A1978" s="197" t="str">
        <f t="shared" si="30"/>
        <v>BmcCode_coral</v>
      </c>
      <c r="B1978" s="409"/>
      <c r="C1978" s="416"/>
      <c r="D1978" s="198" t="s">
        <v>19546</v>
      </c>
      <c r="E1978" s="198">
        <v>11</v>
      </c>
      <c r="F1978" s="199" t="s">
        <v>19547</v>
      </c>
      <c r="G1978" s="1" t="s">
        <v>24152</v>
      </c>
      <c r="H1978" s="1" t="s">
        <v>24153</v>
      </c>
      <c r="I1978" s="346"/>
      <c r="J1978" s="39">
        <v>102468</v>
      </c>
      <c r="K1978" s="36" t="str">
        <f>CONCATENATE(Cover!$D$6,"fdd/view?i=",J1978)</f>
        <v>https://www.dgiwg.org/FAD/fdd/view?i=102468</v>
      </c>
      <c r="L1978" s="36" t="s">
        <v>24154</v>
      </c>
      <c r="M1978" s="186"/>
      <c r="N1978" s="186"/>
      <c r="O1978" s="172"/>
    </row>
    <row r="1979" spans="1:15" ht="38.25" x14ac:dyDescent="0.2">
      <c r="A1979" s="197" t="str">
        <f t="shared" si="30"/>
        <v>BmcCode_gravelCobble</v>
      </c>
      <c r="B1979" s="409"/>
      <c r="C1979" s="416"/>
      <c r="D1979" s="198" t="s">
        <v>24155</v>
      </c>
      <c r="E1979" s="198">
        <v>4</v>
      </c>
      <c r="F1979" s="199" t="s">
        <v>24156</v>
      </c>
      <c r="G1979" s="1" t="s">
        <v>24157</v>
      </c>
      <c r="H1979" s="1" t="s">
        <v>24158</v>
      </c>
      <c r="I1979" s="346"/>
      <c r="J1979" s="39">
        <v>102461</v>
      </c>
      <c r="K1979" s="36" t="str">
        <f>CONCATENATE(Cover!$D$6,"fdd/view?i=",J1979)</f>
        <v>https://www.dgiwg.org/FAD/fdd/view?i=102461</v>
      </c>
      <c r="L1979" s="36" t="s">
        <v>24159</v>
      </c>
      <c r="M1979" s="186"/>
      <c r="N1979" s="186"/>
      <c r="O1979" s="172"/>
    </row>
    <row r="1980" spans="1:15" ht="63.75" x14ac:dyDescent="0.2">
      <c r="A1980" s="197" t="str">
        <f t="shared" si="30"/>
        <v>BmcCode_masonry</v>
      </c>
      <c r="B1980" s="409"/>
      <c r="C1980" s="416"/>
      <c r="D1980" s="198" t="s">
        <v>24160</v>
      </c>
      <c r="E1980" s="198">
        <v>16</v>
      </c>
      <c r="F1980" s="199" t="s">
        <v>24161</v>
      </c>
      <c r="G1980" s="1" t="s">
        <v>24162</v>
      </c>
      <c r="H1980" s="200"/>
      <c r="I1980" s="351" t="s">
        <v>24163</v>
      </c>
      <c r="J1980" s="39">
        <v>110060</v>
      </c>
      <c r="K1980" s="36" t="str">
        <f>CONCATENATE(Cover!$D$6,"fdd/view?i=",J1980)</f>
        <v>https://www.dgiwg.org/FAD/fdd/view?i=110060</v>
      </c>
      <c r="L1980" s="36" t="s">
        <v>24164</v>
      </c>
      <c r="M1980" s="186"/>
      <c r="N1980" s="186"/>
      <c r="O1980" s="172"/>
    </row>
    <row r="1981" spans="1:15" ht="38.25" x14ac:dyDescent="0.2">
      <c r="A1981" s="197" t="str">
        <f t="shared" si="30"/>
        <v>BmcCode_paved</v>
      </c>
      <c r="B1981" s="409"/>
      <c r="C1981" s="416"/>
      <c r="D1981" s="198" t="s">
        <v>24165</v>
      </c>
      <c r="E1981" s="198">
        <v>7</v>
      </c>
      <c r="F1981" s="199" t="s">
        <v>24166</v>
      </c>
      <c r="G1981" s="1" t="s">
        <v>24167</v>
      </c>
      <c r="H1981" s="200"/>
      <c r="I1981" s="346"/>
      <c r="J1981" s="39">
        <v>102464</v>
      </c>
      <c r="K1981" s="36" t="str">
        <f>CONCATENATE(Cover!$D$6,"fdd/view?i=",J1981)</f>
        <v>https://www.dgiwg.org/FAD/fdd/view?i=102464</v>
      </c>
      <c r="L1981" s="36" t="s">
        <v>24168</v>
      </c>
      <c r="M1981" s="186"/>
      <c r="N1981" s="186"/>
      <c r="O1981" s="172"/>
    </row>
    <row r="1982" spans="1:15" ht="25.5" x14ac:dyDescent="0.2">
      <c r="A1982" s="197" t="str">
        <f t="shared" si="30"/>
        <v>BmcCode_peat</v>
      </c>
      <c r="B1982" s="409"/>
      <c r="C1982" s="416"/>
      <c r="D1982" s="198" t="s">
        <v>24169</v>
      </c>
      <c r="E1982" s="198">
        <v>8</v>
      </c>
      <c r="F1982" s="199" t="s">
        <v>24170</v>
      </c>
      <c r="G1982" s="1" t="s">
        <v>24171</v>
      </c>
      <c r="H1982" s="200"/>
      <c r="I1982" s="346"/>
      <c r="J1982" s="39">
        <v>102465</v>
      </c>
      <c r="K1982" s="36" t="str">
        <f>CONCATENATE(Cover!$D$6,"fdd/view?i=",J1982)</f>
        <v>https://www.dgiwg.org/FAD/fdd/view?i=102465</v>
      </c>
      <c r="L1982" s="36" t="s">
        <v>24172</v>
      </c>
      <c r="M1982" s="186"/>
      <c r="N1982" s="186"/>
      <c r="O1982" s="172"/>
    </row>
    <row r="1983" spans="1:15" ht="25.5" x14ac:dyDescent="0.2">
      <c r="A1983" s="197" t="str">
        <f t="shared" si="30"/>
        <v>BmcCode_reinforcedConcrete</v>
      </c>
      <c r="B1983" s="409"/>
      <c r="C1983" s="416"/>
      <c r="D1983" s="198" t="s">
        <v>24173</v>
      </c>
      <c r="E1983" s="198">
        <v>17</v>
      </c>
      <c r="F1983" s="199" t="s">
        <v>24174</v>
      </c>
      <c r="G1983" s="1" t="s">
        <v>24175</v>
      </c>
      <c r="H1983" s="200"/>
      <c r="I1983" s="351" t="s">
        <v>24176</v>
      </c>
      <c r="J1983" s="39">
        <v>110061</v>
      </c>
      <c r="K1983" s="36" t="str">
        <f>CONCATENATE(Cover!$D$6,"fdd/view?i=",J1983)</f>
        <v>https://www.dgiwg.org/FAD/fdd/view?i=110061</v>
      </c>
      <c r="L1983" s="36" t="s">
        <v>24177</v>
      </c>
      <c r="M1983" s="186"/>
      <c r="N1983" s="186"/>
      <c r="O1983" s="172"/>
    </row>
    <row r="1984" spans="1:15" ht="25.5" x14ac:dyDescent="0.2">
      <c r="A1984" s="197" t="str">
        <f t="shared" si="30"/>
        <v>BmcCode_rocksBoulders</v>
      </c>
      <c r="B1984" s="409"/>
      <c r="C1984" s="416"/>
      <c r="D1984" s="198" t="s">
        <v>24178</v>
      </c>
      <c r="E1984" s="198">
        <v>5</v>
      </c>
      <c r="F1984" s="199" t="s">
        <v>24179</v>
      </c>
      <c r="G1984" s="1" t="s">
        <v>24180</v>
      </c>
      <c r="H1984" s="1" t="s">
        <v>24181</v>
      </c>
      <c r="I1984" s="346"/>
      <c r="J1984" s="39">
        <v>102462</v>
      </c>
      <c r="K1984" s="36" t="str">
        <f>CONCATENATE(Cover!$D$6,"fdd/view?i=",J1984)</f>
        <v>https://www.dgiwg.org/FAD/fdd/view?i=102462</v>
      </c>
      <c r="L1984" s="36" t="s">
        <v>24182</v>
      </c>
      <c r="M1984" s="186"/>
      <c r="N1984" s="186"/>
      <c r="O1984" s="172"/>
    </row>
    <row r="1985" spans="1:15" ht="76.5" x14ac:dyDescent="0.2">
      <c r="A1985" s="197" t="str">
        <f t="shared" si="30"/>
        <v>BmcCode_sand</v>
      </c>
      <c r="B1985" s="409"/>
      <c r="C1985" s="416"/>
      <c r="D1985" s="198" t="s">
        <v>19594</v>
      </c>
      <c r="E1985" s="198">
        <v>14</v>
      </c>
      <c r="F1985" s="199" t="s">
        <v>19595</v>
      </c>
      <c r="G1985" s="1" t="s">
        <v>24183</v>
      </c>
      <c r="H1985" s="1" t="s">
        <v>24184</v>
      </c>
      <c r="I1985" s="346"/>
      <c r="J1985" s="39">
        <v>102471</v>
      </c>
      <c r="K1985" s="36" t="str">
        <f>CONCATENATE(Cover!$D$6,"fdd/view?i=",J1985)</f>
        <v>https://www.dgiwg.org/FAD/fdd/view?i=102471</v>
      </c>
      <c r="L1985" s="36" t="s">
        <v>24185</v>
      </c>
      <c r="M1985" s="186"/>
      <c r="N1985" s="186"/>
      <c r="O1985" s="172"/>
    </row>
    <row r="1986" spans="1:15" ht="38.25" x14ac:dyDescent="0.2">
      <c r="A1986" s="197" t="str">
        <f t="shared" ref="A1986:A2049" si="31">HYPERLINK(K1986,L1986)</f>
        <v>BmcCode_sandGravel</v>
      </c>
      <c r="B1986" s="409"/>
      <c r="C1986" s="416"/>
      <c r="D1986" s="198" t="s">
        <v>24186</v>
      </c>
      <c r="E1986" s="198">
        <v>3</v>
      </c>
      <c r="F1986" s="199" t="s">
        <v>24187</v>
      </c>
      <c r="G1986" s="1" t="s">
        <v>24188</v>
      </c>
      <c r="H1986" s="1" t="s">
        <v>24189</v>
      </c>
      <c r="I1986" s="346"/>
      <c r="J1986" s="39">
        <v>102460</v>
      </c>
      <c r="K1986" s="36" t="str">
        <f>CONCATENATE(Cover!$D$6,"fdd/view?i=",J1986)</f>
        <v>https://www.dgiwg.org/FAD/fdd/view?i=102460</v>
      </c>
      <c r="L1986" s="36" t="s">
        <v>24190</v>
      </c>
      <c r="M1986" s="186"/>
      <c r="N1986" s="186"/>
      <c r="O1986" s="172"/>
    </row>
    <row r="1987" spans="1:15" ht="38.25" x14ac:dyDescent="0.2">
      <c r="A1987" s="197" t="str">
        <f t="shared" si="31"/>
        <v>BmcCode_sandOverMud</v>
      </c>
      <c r="B1987" s="409"/>
      <c r="C1987" s="416"/>
      <c r="D1987" s="198" t="s">
        <v>24191</v>
      </c>
      <c r="E1987" s="198">
        <v>9</v>
      </c>
      <c r="F1987" s="199" t="s">
        <v>24192</v>
      </c>
      <c r="G1987" s="1" t="s">
        <v>24193</v>
      </c>
      <c r="H1987" s="200"/>
      <c r="I1987" s="346"/>
      <c r="J1987" s="39">
        <v>102466</v>
      </c>
      <c r="K1987" s="36" t="str">
        <f>CONCATENATE(Cover!$D$6,"fdd/view?i=",J1987)</f>
        <v>https://www.dgiwg.org/FAD/fdd/view?i=102466</v>
      </c>
      <c r="L1987" s="36" t="s">
        <v>24194</v>
      </c>
      <c r="M1987" s="186"/>
      <c r="N1987" s="186"/>
      <c r="O1987" s="172"/>
    </row>
    <row r="1988" spans="1:15" ht="25.5" x14ac:dyDescent="0.2">
      <c r="A1988" s="197" t="str">
        <f t="shared" si="31"/>
        <v>BmcCode_siltySands</v>
      </c>
      <c r="B1988" s="409"/>
      <c r="C1988" s="416"/>
      <c r="D1988" s="198" t="s">
        <v>24195</v>
      </c>
      <c r="E1988" s="198">
        <v>2</v>
      </c>
      <c r="F1988" s="199" t="s">
        <v>24196</v>
      </c>
      <c r="G1988" s="1" t="s">
        <v>24197</v>
      </c>
      <c r="H1988" s="1" t="s">
        <v>24198</v>
      </c>
      <c r="I1988" s="346"/>
      <c r="J1988" s="39">
        <v>102459</v>
      </c>
      <c r="K1988" s="36" t="str">
        <f>CONCATENATE(Cover!$D$6,"fdd/view?i=",J1988)</f>
        <v>https://www.dgiwg.org/FAD/fdd/view?i=102459</v>
      </c>
      <c r="L1988" s="36" t="s">
        <v>24199</v>
      </c>
      <c r="M1988" s="186"/>
      <c r="N1988" s="186"/>
      <c r="O1988" s="172"/>
    </row>
    <row r="1989" spans="1:15" x14ac:dyDescent="0.2">
      <c r="A1989" s="197" t="str">
        <f t="shared" si="31"/>
        <v>BmcCode_slash</v>
      </c>
      <c r="B1989" s="409"/>
      <c r="C1989" s="416"/>
      <c r="D1989" s="198" t="s">
        <v>24200</v>
      </c>
      <c r="E1989" s="198">
        <v>12</v>
      </c>
      <c r="F1989" s="199" t="s">
        <v>24201</v>
      </c>
      <c r="G1989" s="1" t="s">
        <v>24202</v>
      </c>
      <c r="H1989" s="1" t="s">
        <v>24203</v>
      </c>
      <c r="I1989" s="346"/>
      <c r="J1989" s="39">
        <v>102469</v>
      </c>
      <c r="K1989" s="36" t="str">
        <f>CONCATENATE(Cover!$D$6,"fdd/view?i=",J1989)</f>
        <v>https://www.dgiwg.org/FAD/fdd/view?i=102469</v>
      </c>
      <c r="L1989" s="36" t="s">
        <v>24204</v>
      </c>
      <c r="M1989" s="186"/>
      <c r="N1989" s="186"/>
      <c r="O1989" s="172"/>
    </row>
    <row r="1990" spans="1:15" ht="38.25" x14ac:dyDescent="0.2">
      <c r="A1990" s="203" t="str">
        <f t="shared" si="31"/>
        <v>BmcCode_soil</v>
      </c>
      <c r="B1990" s="410"/>
      <c r="C1990" s="417"/>
      <c r="D1990" s="204" t="s">
        <v>24205</v>
      </c>
      <c r="E1990" s="204">
        <v>18</v>
      </c>
      <c r="F1990" s="205" t="s">
        <v>24206</v>
      </c>
      <c r="G1990" s="206" t="s">
        <v>24207</v>
      </c>
      <c r="H1990" s="207"/>
      <c r="I1990" s="347"/>
      <c r="J1990" s="39">
        <v>110062</v>
      </c>
      <c r="K1990" s="36" t="str">
        <f>CONCATENATE(Cover!$D$6,"fdd/view?i=",J1990)</f>
        <v>https://www.dgiwg.org/FAD/fdd/view?i=110062</v>
      </c>
      <c r="L1990" s="36" t="s">
        <v>24208</v>
      </c>
      <c r="M1990" s="186"/>
      <c r="N1990" s="186"/>
      <c r="O1990" s="172"/>
    </row>
    <row r="1991" spans="1:15" ht="38.25" x14ac:dyDescent="0.2">
      <c r="A1991" s="190" t="str">
        <f t="shared" si="31"/>
        <v>BobCode_anchor</v>
      </c>
      <c r="B1991" s="414" t="str">
        <f>HYPERLINK("[#]Datatypes!A254:L254","BobCode")</f>
        <v>BobCode</v>
      </c>
      <c r="C1991" s="415" t="s">
        <v>14813</v>
      </c>
      <c r="D1991" s="221" t="s">
        <v>24209</v>
      </c>
      <c r="E1991" s="221">
        <v>1</v>
      </c>
      <c r="F1991" s="222" t="s">
        <v>2055</v>
      </c>
      <c r="G1991" s="223" t="s">
        <v>24210</v>
      </c>
      <c r="H1991" s="223" t="s">
        <v>24211</v>
      </c>
      <c r="I1991" s="345"/>
      <c r="J1991" s="39">
        <v>118201</v>
      </c>
      <c r="K1991" s="36" t="str">
        <f>CONCATENATE(Cover!$D$6,"fdd/view?i=",J1991)</f>
        <v>https://www.dgiwg.org/FAD/fdd/view?i=118201</v>
      </c>
      <c r="L1991" s="36" t="s">
        <v>24212</v>
      </c>
      <c r="M1991" s="186"/>
      <c r="N1991" s="186"/>
      <c r="O1991" s="172"/>
    </row>
    <row r="1992" spans="1:15" ht="25.5" x14ac:dyDescent="0.2">
      <c r="A1992" s="197" t="str">
        <f t="shared" si="31"/>
        <v>BobCode_buoy</v>
      </c>
      <c r="B1992" s="409"/>
      <c r="C1992" s="416"/>
      <c r="D1992" s="198" t="s">
        <v>24213</v>
      </c>
      <c r="E1992" s="198">
        <v>2</v>
      </c>
      <c r="F1992" s="199" t="s">
        <v>2373</v>
      </c>
      <c r="G1992" s="1" t="s">
        <v>24214</v>
      </c>
      <c r="H1992" s="1" t="s">
        <v>24215</v>
      </c>
      <c r="I1992" s="346"/>
      <c r="J1992" s="39">
        <v>118202</v>
      </c>
      <c r="K1992" s="36" t="str">
        <f>CONCATENATE(Cover!$D$6,"fdd/view?i=",J1992)</f>
        <v>https://www.dgiwg.org/FAD/fdd/view?i=118202</v>
      </c>
      <c r="L1992" s="36" t="s">
        <v>24216</v>
      </c>
      <c r="M1992" s="186"/>
      <c r="N1992" s="186"/>
      <c r="O1992" s="172"/>
    </row>
    <row r="1993" spans="1:15" ht="38.25" x14ac:dyDescent="0.2">
      <c r="A1993" s="197" t="str">
        <f t="shared" si="31"/>
        <v>BobCode_cable</v>
      </c>
      <c r="B1993" s="409"/>
      <c r="C1993" s="416"/>
      <c r="D1993" s="198" t="s">
        <v>22425</v>
      </c>
      <c r="E1993" s="198">
        <v>3</v>
      </c>
      <c r="F1993" s="199" t="s">
        <v>2381</v>
      </c>
      <c r="G1993" s="1" t="s">
        <v>24217</v>
      </c>
      <c r="H1993" s="1" t="s">
        <v>24218</v>
      </c>
      <c r="I1993" s="346"/>
      <c r="J1993" s="39">
        <v>118203</v>
      </c>
      <c r="K1993" s="36" t="str">
        <f>CONCATENATE(Cover!$D$6,"fdd/view?i=",J1993)</f>
        <v>https://www.dgiwg.org/FAD/fdd/view?i=118203</v>
      </c>
      <c r="L1993" s="36" t="s">
        <v>24219</v>
      </c>
      <c r="M1993" s="186"/>
      <c r="N1993" s="186"/>
      <c r="O1993" s="172"/>
    </row>
    <row r="1994" spans="1:15" ht="63.75" x14ac:dyDescent="0.2">
      <c r="A1994" s="197" t="str">
        <f t="shared" si="31"/>
        <v>BobCode_caisson</v>
      </c>
      <c r="B1994" s="409"/>
      <c r="C1994" s="416"/>
      <c r="D1994" s="198" t="s">
        <v>23626</v>
      </c>
      <c r="E1994" s="198">
        <v>4</v>
      </c>
      <c r="F1994" s="199" t="s">
        <v>2888</v>
      </c>
      <c r="G1994" s="1" t="s">
        <v>24220</v>
      </c>
      <c r="H1994" s="1" t="s">
        <v>24221</v>
      </c>
      <c r="I1994" s="346"/>
      <c r="J1994" s="39">
        <v>118204</v>
      </c>
      <c r="K1994" s="36" t="str">
        <f>CONCATENATE(Cover!$D$6,"fdd/view?i=",J1994)</f>
        <v>https://www.dgiwg.org/FAD/fdd/view?i=118204</v>
      </c>
      <c r="L1994" s="36" t="s">
        <v>24222</v>
      </c>
      <c r="M1994" s="186"/>
      <c r="N1994" s="186"/>
      <c r="O1994" s="172"/>
    </row>
    <row r="1995" spans="1:15" ht="51" x14ac:dyDescent="0.2">
      <c r="A1995" s="197" t="str">
        <f t="shared" si="31"/>
        <v>BobCode_crane</v>
      </c>
      <c r="B1995" s="409"/>
      <c r="C1995" s="416"/>
      <c r="D1995" s="198" t="s">
        <v>24223</v>
      </c>
      <c r="E1995" s="198">
        <v>5</v>
      </c>
      <c r="F1995" s="199" t="s">
        <v>2641</v>
      </c>
      <c r="G1995" s="1" t="s">
        <v>24224</v>
      </c>
      <c r="H1995" s="1" t="s">
        <v>24225</v>
      </c>
      <c r="I1995" s="346"/>
      <c r="J1995" s="39">
        <v>118205</v>
      </c>
      <c r="K1995" s="36" t="str">
        <f>CONCATENATE(Cover!$D$6,"fdd/view?i=",J1995)</f>
        <v>https://www.dgiwg.org/FAD/fdd/view?i=118205</v>
      </c>
      <c r="L1995" s="36" t="s">
        <v>24226</v>
      </c>
      <c r="M1995" s="186"/>
      <c r="N1995" s="186"/>
      <c r="O1995" s="172"/>
    </row>
    <row r="1996" spans="1:15" ht="25.5" x14ac:dyDescent="0.2">
      <c r="A1996" s="197" t="str">
        <f t="shared" si="31"/>
        <v>BobCode_dryDock</v>
      </c>
      <c r="B1996" s="409"/>
      <c r="C1996" s="416"/>
      <c r="D1996" s="198" t="s">
        <v>24227</v>
      </c>
      <c r="E1996" s="198">
        <v>6</v>
      </c>
      <c r="F1996" s="199" t="s">
        <v>2876</v>
      </c>
      <c r="G1996" s="1" t="s">
        <v>24228</v>
      </c>
      <c r="H1996" s="1" t="s">
        <v>24229</v>
      </c>
      <c r="I1996" s="346"/>
      <c r="J1996" s="39">
        <v>118206</v>
      </c>
      <c r="K1996" s="36" t="str">
        <f>CONCATENATE(Cover!$D$6,"fdd/view?i=",J1996)</f>
        <v>https://www.dgiwg.org/FAD/fdd/view?i=118206</v>
      </c>
      <c r="L1996" s="36" t="s">
        <v>24230</v>
      </c>
      <c r="M1996" s="186"/>
      <c r="N1996" s="186"/>
      <c r="O1996" s="172"/>
    </row>
    <row r="1997" spans="1:15" ht="38.25" x14ac:dyDescent="0.2">
      <c r="A1997" s="203" t="str">
        <f t="shared" si="31"/>
        <v>BobCode_pilings</v>
      </c>
      <c r="B1997" s="410"/>
      <c r="C1997" s="417"/>
      <c r="D1997" s="204" t="s">
        <v>24231</v>
      </c>
      <c r="E1997" s="204">
        <v>7</v>
      </c>
      <c r="F1997" s="205" t="s">
        <v>24232</v>
      </c>
      <c r="G1997" s="206" t="s">
        <v>24233</v>
      </c>
      <c r="H1997" s="206" t="s">
        <v>24234</v>
      </c>
      <c r="I1997" s="347"/>
      <c r="J1997" s="39">
        <v>118207</v>
      </c>
      <c r="K1997" s="36" t="str">
        <f>CONCATENATE(Cover!$D$6,"fdd/view?i=",J1997)</f>
        <v>https://www.dgiwg.org/FAD/fdd/view?i=118207</v>
      </c>
      <c r="L1997" s="36" t="s">
        <v>24235</v>
      </c>
      <c r="M1997" s="186"/>
      <c r="N1997" s="186"/>
      <c r="O1997" s="172"/>
    </row>
    <row r="1998" spans="1:15" ht="51" x14ac:dyDescent="0.2">
      <c r="A1998" s="190" t="str">
        <f t="shared" si="31"/>
        <v>CftCode_anthropogeographic</v>
      </c>
      <c r="B1998" s="414" t="str">
        <f>HYPERLINK("[#]Datatypes!A256:L256","CftCode")</f>
        <v>CftCode</v>
      </c>
      <c r="C1998" s="415" t="s">
        <v>14815</v>
      </c>
      <c r="D1998" s="221" t="s">
        <v>24236</v>
      </c>
      <c r="E1998" s="221">
        <v>33</v>
      </c>
      <c r="F1998" s="222" t="s">
        <v>24237</v>
      </c>
      <c r="G1998" s="223" t="s">
        <v>24238</v>
      </c>
      <c r="H1998" s="223" t="s">
        <v>24239</v>
      </c>
      <c r="I1998" s="345"/>
      <c r="J1998" s="39">
        <v>110092</v>
      </c>
      <c r="K1998" s="36" t="str">
        <f>CONCATENATE(Cover!$D$6,"fdd/view?i=",J1998)</f>
        <v>https://www.dgiwg.org/FAD/fdd/view?i=110092</v>
      </c>
      <c r="L1998" s="36" t="s">
        <v>24240</v>
      </c>
      <c r="M1998" s="186"/>
      <c r="N1998" s="186"/>
      <c r="O1998" s="172"/>
    </row>
    <row r="1999" spans="1:15" ht="51" x14ac:dyDescent="0.2">
      <c r="A1999" s="197" t="str">
        <f t="shared" si="31"/>
        <v>CftCode_arc</v>
      </c>
      <c r="B1999" s="409"/>
      <c r="C1999" s="416"/>
      <c r="D1999" s="198" t="s">
        <v>24241</v>
      </c>
      <c r="E1999" s="198">
        <v>23</v>
      </c>
      <c r="F1999" s="199" t="s">
        <v>24242</v>
      </c>
      <c r="G1999" s="1" t="s">
        <v>24243</v>
      </c>
      <c r="H1999" s="1" t="s">
        <v>24244</v>
      </c>
      <c r="I1999" s="351" t="s">
        <v>24245</v>
      </c>
      <c r="J1999" s="39">
        <v>103013</v>
      </c>
      <c r="K1999" s="36" t="str">
        <f>CONCATENATE(Cover!$D$6,"fdd/view?i=",J1999)</f>
        <v>https://www.dgiwg.org/FAD/fdd/view?i=103013</v>
      </c>
      <c r="L1999" s="36" t="s">
        <v>24246</v>
      </c>
      <c r="M1999" s="186"/>
      <c r="N1999" s="186"/>
      <c r="O1999" s="172"/>
    </row>
    <row r="2000" spans="1:15" ht="102" x14ac:dyDescent="0.2">
      <c r="A2000" s="197" t="str">
        <f t="shared" si="31"/>
        <v>CftCode_archipelagicBaseline</v>
      </c>
      <c r="B2000" s="409"/>
      <c r="C2000" s="416"/>
      <c r="D2000" s="198" t="s">
        <v>24247</v>
      </c>
      <c r="E2000" s="198">
        <v>30</v>
      </c>
      <c r="F2000" s="199" t="s">
        <v>24248</v>
      </c>
      <c r="G2000" s="1" t="s">
        <v>24249</v>
      </c>
      <c r="H2000" s="1" t="s">
        <v>24250</v>
      </c>
      <c r="I2000" s="346"/>
      <c r="J2000" s="39">
        <v>103020</v>
      </c>
      <c r="K2000" s="36" t="str">
        <f>CONCATENATE(Cover!$D$6,"fdd/view?i=",J2000)</f>
        <v>https://www.dgiwg.org/FAD/fdd/view?i=103020</v>
      </c>
      <c r="L2000" s="36" t="s">
        <v>24251</v>
      </c>
      <c r="M2000" s="186"/>
      <c r="N2000" s="186"/>
      <c r="O2000" s="172"/>
    </row>
    <row r="2001" spans="1:15" ht="38.25" x14ac:dyDescent="0.2">
      <c r="A2001" s="197" t="str">
        <f t="shared" si="31"/>
        <v>CftCode_cadastral</v>
      </c>
      <c r="B2001" s="409"/>
      <c r="C2001" s="416"/>
      <c r="D2001" s="198" t="s">
        <v>24252</v>
      </c>
      <c r="E2001" s="198">
        <v>3</v>
      </c>
      <c r="F2001" s="199" t="s">
        <v>24253</v>
      </c>
      <c r="G2001" s="1" t="s">
        <v>24254</v>
      </c>
      <c r="H2001" s="1" t="s">
        <v>24255</v>
      </c>
      <c r="I2001" s="346"/>
      <c r="J2001" s="39">
        <v>102993</v>
      </c>
      <c r="K2001" s="36" t="str">
        <f>CONCATENATE(Cover!$D$6,"fdd/view?i=",J2001)</f>
        <v>https://www.dgiwg.org/FAD/fdd/view?i=102993</v>
      </c>
      <c r="L2001" s="36" t="s">
        <v>24256</v>
      </c>
      <c r="M2001" s="186"/>
      <c r="N2001" s="186"/>
      <c r="O2001" s="172"/>
    </row>
    <row r="2002" spans="1:15" ht="76.5" x14ac:dyDescent="0.2">
      <c r="A2002" s="197" t="str">
        <f t="shared" si="31"/>
        <v>CftCode_drainageLimit</v>
      </c>
      <c r="B2002" s="409"/>
      <c r="C2002" s="416"/>
      <c r="D2002" s="198" t="s">
        <v>24257</v>
      </c>
      <c r="E2002" s="198">
        <v>8</v>
      </c>
      <c r="F2002" s="199" t="s">
        <v>2850</v>
      </c>
      <c r="G2002" s="1" t="s">
        <v>2851</v>
      </c>
      <c r="H2002" s="1" t="s">
        <v>24258</v>
      </c>
      <c r="I2002" s="351" t="s">
        <v>24259</v>
      </c>
      <c r="J2002" s="39">
        <v>102998</v>
      </c>
      <c r="K2002" s="36" t="str">
        <f>CONCATENATE(Cover!$D$6,"fdd/view?i=",J2002)</f>
        <v>https://www.dgiwg.org/FAD/fdd/view?i=102998</v>
      </c>
      <c r="L2002" s="36" t="s">
        <v>24260</v>
      </c>
      <c r="M2002" s="186"/>
      <c r="N2002" s="186"/>
      <c r="O2002" s="172"/>
    </row>
    <row r="2003" spans="1:15" ht="51" x14ac:dyDescent="0.2">
      <c r="A2003" s="197" t="str">
        <f t="shared" si="31"/>
        <v>CftCode_drainageLine</v>
      </c>
      <c r="B2003" s="409"/>
      <c r="C2003" s="416"/>
      <c r="D2003" s="198" t="s">
        <v>24261</v>
      </c>
      <c r="E2003" s="198">
        <v>11</v>
      </c>
      <c r="F2003" s="199" t="s">
        <v>24262</v>
      </c>
      <c r="G2003" s="1" t="s">
        <v>24263</v>
      </c>
      <c r="H2003" s="200"/>
      <c r="I2003" s="346"/>
      <c r="J2003" s="39">
        <v>103001</v>
      </c>
      <c r="K2003" s="36" t="str">
        <f>CONCATENATE(Cover!$D$6,"fdd/view?i=",J2003)</f>
        <v>https://www.dgiwg.org/FAD/fdd/view?i=103001</v>
      </c>
      <c r="L2003" s="36" t="s">
        <v>24264</v>
      </c>
      <c r="M2003" s="186"/>
      <c r="N2003" s="186"/>
      <c r="O2003" s="172"/>
    </row>
    <row r="2004" spans="1:15" ht="38.25" x14ac:dyDescent="0.2">
      <c r="A2004" s="197" t="str">
        <f t="shared" si="31"/>
        <v>CftCode_economic</v>
      </c>
      <c r="B2004" s="409"/>
      <c r="C2004" s="416"/>
      <c r="D2004" s="198" t="s">
        <v>24265</v>
      </c>
      <c r="E2004" s="198">
        <v>6</v>
      </c>
      <c r="F2004" s="199" t="s">
        <v>24266</v>
      </c>
      <c r="G2004" s="1" t="s">
        <v>24267</v>
      </c>
      <c r="H2004" s="1" t="s">
        <v>24255</v>
      </c>
      <c r="I2004" s="346"/>
      <c r="J2004" s="39">
        <v>102996</v>
      </c>
      <c r="K2004" s="36" t="str">
        <f>CONCATENATE(Cover!$D$6,"fdd/view?i=",J2004)</f>
        <v>https://www.dgiwg.org/FAD/fdd/view?i=102996</v>
      </c>
      <c r="L2004" s="36" t="s">
        <v>24268</v>
      </c>
      <c r="M2004" s="186"/>
      <c r="N2004" s="186"/>
      <c r="O2004" s="172"/>
    </row>
    <row r="2005" spans="1:15" ht="25.5" x14ac:dyDescent="0.2">
      <c r="A2005" s="197" t="str">
        <f t="shared" si="31"/>
        <v>CftCode_elevationContour</v>
      </c>
      <c r="B2005" s="409"/>
      <c r="C2005" s="416"/>
      <c r="D2005" s="198" t="s">
        <v>24269</v>
      </c>
      <c r="E2005" s="198">
        <v>7</v>
      </c>
      <c r="F2005" s="199" t="s">
        <v>2943</v>
      </c>
      <c r="G2005" s="1" t="s">
        <v>24270</v>
      </c>
      <c r="H2005" s="200"/>
      <c r="I2005" s="346"/>
      <c r="J2005" s="39">
        <v>102997</v>
      </c>
      <c r="K2005" s="36" t="str">
        <f>CONCATENATE(Cover!$D$6,"fdd/view?i=",J2005)</f>
        <v>https://www.dgiwg.org/FAD/fdd/view?i=102997</v>
      </c>
      <c r="L2005" s="36" t="s">
        <v>24271</v>
      </c>
      <c r="M2005" s="186"/>
      <c r="N2005" s="186"/>
      <c r="O2005" s="172"/>
    </row>
    <row r="2006" spans="1:15" ht="38.25" x14ac:dyDescent="0.2">
      <c r="A2006" s="197" t="str">
        <f t="shared" si="31"/>
        <v>CftCode_ethnic</v>
      </c>
      <c r="B2006" s="409"/>
      <c r="C2006" s="416"/>
      <c r="D2006" s="198" t="s">
        <v>24272</v>
      </c>
      <c r="E2006" s="198">
        <v>1</v>
      </c>
      <c r="F2006" s="199" t="s">
        <v>24273</v>
      </c>
      <c r="G2006" s="1" t="s">
        <v>24274</v>
      </c>
      <c r="H2006" s="1" t="s">
        <v>24255</v>
      </c>
      <c r="I2006" s="351" t="s">
        <v>24275</v>
      </c>
      <c r="J2006" s="39">
        <v>102991</v>
      </c>
      <c r="K2006" s="36" t="str">
        <f>CONCATENATE(Cover!$D$6,"fdd/view?i=",J2006)</f>
        <v>https://www.dgiwg.org/FAD/fdd/view?i=102991</v>
      </c>
      <c r="L2006" s="36" t="s">
        <v>24276</v>
      </c>
      <c r="M2006" s="186"/>
      <c r="N2006" s="186"/>
      <c r="O2006" s="172"/>
    </row>
    <row r="2007" spans="1:15" ht="102" x14ac:dyDescent="0.2">
      <c r="A2007" s="197" t="str">
        <f t="shared" si="31"/>
        <v>CftCode_extendedContinentalShelf</v>
      </c>
      <c r="B2007" s="409"/>
      <c r="C2007" s="416"/>
      <c r="D2007" s="198" t="s">
        <v>24277</v>
      </c>
      <c r="E2007" s="198">
        <v>28</v>
      </c>
      <c r="F2007" s="199" t="s">
        <v>24278</v>
      </c>
      <c r="G2007" s="1" t="s">
        <v>24279</v>
      </c>
      <c r="H2007" s="1" t="s">
        <v>24280</v>
      </c>
      <c r="I2007" s="346"/>
      <c r="J2007" s="39">
        <v>103018</v>
      </c>
      <c r="K2007" s="36" t="str">
        <f>CONCATENATE(Cover!$D$6,"fdd/view?i=",J2007)</f>
        <v>https://www.dgiwg.org/FAD/fdd/view?i=103018</v>
      </c>
      <c r="L2007" s="36" t="s">
        <v>24281</v>
      </c>
      <c r="M2007" s="186"/>
      <c r="N2007" s="186"/>
      <c r="O2007" s="172"/>
    </row>
    <row r="2008" spans="1:15" ht="25.5" x14ac:dyDescent="0.2">
      <c r="A2008" s="197" t="str">
        <f t="shared" si="31"/>
        <v>CftCode_geodesic</v>
      </c>
      <c r="B2008" s="409"/>
      <c r="C2008" s="416"/>
      <c r="D2008" s="198" t="s">
        <v>20850</v>
      </c>
      <c r="E2008" s="198">
        <v>21</v>
      </c>
      <c r="F2008" s="199" t="s">
        <v>20851</v>
      </c>
      <c r="G2008" s="1" t="s">
        <v>24282</v>
      </c>
      <c r="H2008" s="200"/>
      <c r="I2008" s="346"/>
      <c r="J2008" s="39">
        <v>103011</v>
      </c>
      <c r="K2008" s="36" t="str">
        <f>CONCATENATE(Cover!$D$6,"fdd/view?i=",J2008)</f>
        <v>https://www.dgiwg.org/FAD/fdd/view?i=103011</v>
      </c>
      <c r="L2008" s="36" t="s">
        <v>24283</v>
      </c>
      <c r="M2008" s="186"/>
      <c r="N2008" s="186"/>
      <c r="O2008" s="172"/>
    </row>
    <row r="2009" spans="1:15" ht="25.5" x14ac:dyDescent="0.2">
      <c r="A2009" s="197" t="str">
        <f t="shared" si="31"/>
        <v>CftCode_greatCircle</v>
      </c>
      <c r="B2009" s="409"/>
      <c r="C2009" s="416"/>
      <c r="D2009" s="198" t="s">
        <v>20860</v>
      </c>
      <c r="E2009" s="198">
        <v>22</v>
      </c>
      <c r="F2009" s="199" t="s">
        <v>20861</v>
      </c>
      <c r="G2009" s="1" t="s">
        <v>24284</v>
      </c>
      <c r="H2009" s="1" t="s">
        <v>24285</v>
      </c>
      <c r="I2009" s="346"/>
      <c r="J2009" s="39">
        <v>103012</v>
      </c>
      <c r="K2009" s="36" t="str">
        <f>CONCATENATE(Cover!$D$6,"fdd/view?i=",J2009)</f>
        <v>https://www.dgiwg.org/FAD/fdd/view?i=103012</v>
      </c>
      <c r="L2009" s="36" t="s">
        <v>24286</v>
      </c>
      <c r="M2009" s="186"/>
      <c r="N2009" s="186"/>
      <c r="O2009" s="172"/>
    </row>
    <row r="2010" spans="1:15" ht="38.25" x14ac:dyDescent="0.2">
      <c r="A2010" s="197" t="str">
        <f t="shared" si="31"/>
        <v>CftCode_historic</v>
      </c>
      <c r="B2010" s="409"/>
      <c r="C2010" s="416"/>
      <c r="D2010" s="198" t="s">
        <v>24287</v>
      </c>
      <c r="E2010" s="198">
        <v>5</v>
      </c>
      <c r="F2010" s="199" t="s">
        <v>24288</v>
      </c>
      <c r="G2010" s="1" t="s">
        <v>24289</v>
      </c>
      <c r="H2010" s="1" t="s">
        <v>24255</v>
      </c>
      <c r="I2010" s="346"/>
      <c r="J2010" s="39">
        <v>102995</v>
      </c>
      <c r="K2010" s="36" t="str">
        <f>CONCATENATE(Cover!$D$6,"fdd/view?i=",J2010)</f>
        <v>https://www.dgiwg.org/FAD/fdd/view?i=102995</v>
      </c>
      <c r="L2010" s="36" t="s">
        <v>24290</v>
      </c>
      <c r="M2010" s="186"/>
      <c r="N2010" s="186"/>
      <c r="O2010" s="172"/>
    </row>
    <row r="2011" spans="1:15" ht="38.25" x14ac:dyDescent="0.2">
      <c r="A2011" s="197" t="str">
        <f t="shared" si="31"/>
        <v>CftCode_lakeTransect</v>
      </c>
      <c r="B2011" s="409"/>
      <c r="C2011" s="416"/>
      <c r="D2011" s="198" t="s">
        <v>24291</v>
      </c>
      <c r="E2011" s="198">
        <v>15</v>
      </c>
      <c r="F2011" s="199" t="s">
        <v>24292</v>
      </c>
      <c r="G2011" s="1" t="s">
        <v>24293</v>
      </c>
      <c r="H2011" s="200"/>
      <c r="I2011" s="346"/>
      <c r="J2011" s="39">
        <v>103005</v>
      </c>
      <c r="K2011" s="36" t="str">
        <f>CONCATENATE(Cover!$D$6,"fdd/view?i=",J2011)</f>
        <v>https://www.dgiwg.org/FAD/fdd/view?i=103005</v>
      </c>
      <c r="L2011" s="36" t="s">
        <v>24294</v>
      </c>
      <c r="M2011" s="186"/>
      <c r="N2011" s="186"/>
      <c r="O2011" s="172"/>
    </row>
    <row r="2012" spans="1:15" ht="38.25" x14ac:dyDescent="0.2">
      <c r="A2012" s="197" t="str">
        <f t="shared" si="31"/>
        <v>CftCode_leftBank</v>
      </c>
      <c r="B2012" s="409"/>
      <c r="C2012" s="416"/>
      <c r="D2012" s="198" t="s">
        <v>24295</v>
      </c>
      <c r="E2012" s="198">
        <v>12</v>
      </c>
      <c r="F2012" s="199" t="s">
        <v>24296</v>
      </c>
      <c r="G2012" s="1" t="s">
        <v>24297</v>
      </c>
      <c r="H2012" s="1" t="s">
        <v>24298</v>
      </c>
      <c r="I2012" s="346"/>
      <c r="J2012" s="39">
        <v>103002</v>
      </c>
      <c r="K2012" s="36" t="str">
        <f>CONCATENATE(Cover!$D$6,"fdd/view?i=",J2012)</f>
        <v>https://www.dgiwg.org/FAD/fdd/view?i=103002</v>
      </c>
      <c r="L2012" s="36" t="s">
        <v>24299</v>
      </c>
      <c r="M2012" s="186"/>
      <c r="N2012" s="186"/>
      <c r="O2012" s="172"/>
    </row>
    <row r="2013" spans="1:15" ht="25.5" x14ac:dyDescent="0.2">
      <c r="A2013" s="197" t="str">
        <f t="shared" si="31"/>
        <v>CftCode_mainChannel</v>
      </c>
      <c r="B2013" s="409"/>
      <c r="C2013" s="416"/>
      <c r="D2013" s="198" t="s">
        <v>24300</v>
      </c>
      <c r="E2013" s="198">
        <v>29</v>
      </c>
      <c r="F2013" s="199" t="s">
        <v>24301</v>
      </c>
      <c r="G2013" s="1" t="s">
        <v>24302</v>
      </c>
      <c r="H2013" s="200"/>
      <c r="I2013" s="346"/>
      <c r="J2013" s="39">
        <v>103019</v>
      </c>
      <c r="K2013" s="36" t="str">
        <f>CONCATENATE(Cover!$D$6,"fdd/view?i=",J2013)</f>
        <v>https://www.dgiwg.org/FAD/fdd/view?i=103019</v>
      </c>
      <c r="L2013" s="36" t="s">
        <v>24303</v>
      </c>
      <c r="M2013" s="186"/>
      <c r="N2013" s="186"/>
      <c r="O2013" s="172"/>
    </row>
    <row r="2014" spans="1:15" ht="63.75" x14ac:dyDescent="0.2">
      <c r="A2014" s="197" t="str">
        <f t="shared" si="31"/>
        <v>CftCode_median</v>
      </c>
      <c r="B2014" s="409"/>
      <c r="C2014" s="416"/>
      <c r="D2014" s="198" t="s">
        <v>24304</v>
      </c>
      <c r="E2014" s="198">
        <v>17</v>
      </c>
      <c r="F2014" s="199" t="s">
        <v>24305</v>
      </c>
      <c r="G2014" s="1" t="s">
        <v>24306</v>
      </c>
      <c r="H2014" s="1" t="s">
        <v>24307</v>
      </c>
      <c r="I2014" s="351" t="s">
        <v>24308</v>
      </c>
      <c r="J2014" s="39">
        <v>103007</v>
      </c>
      <c r="K2014" s="36" t="str">
        <f>CONCATENATE(Cover!$D$6,"fdd/view?i=",J2014)</f>
        <v>https://www.dgiwg.org/FAD/fdd/view?i=103007</v>
      </c>
      <c r="L2014" s="36" t="s">
        <v>24309</v>
      </c>
      <c r="M2014" s="186"/>
      <c r="N2014" s="186"/>
      <c r="O2014" s="172"/>
    </row>
    <row r="2015" spans="1:15" x14ac:dyDescent="0.2">
      <c r="A2015" s="197" t="str">
        <f t="shared" si="31"/>
        <v>CftCode_meridian</v>
      </c>
      <c r="B2015" s="409"/>
      <c r="C2015" s="416"/>
      <c r="D2015" s="198" t="s">
        <v>24310</v>
      </c>
      <c r="E2015" s="198">
        <v>16</v>
      </c>
      <c r="F2015" s="199" t="s">
        <v>24311</v>
      </c>
      <c r="G2015" s="1" t="s">
        <v>24312</v>
      </c>
      <c r="H2015" s="200"/>
      <c r="I2015" s="351" t="s">
        <v>24313</v>
      </c>
      <c r="J2015" s="39">
        <v>103006</v>
      </c>
      <c r="K2015" s="36" t="str">
        <f>CONCATENATE(Cover!$D$6,"fdd/view?i=",J2015)</f>
        <v>https://www.dgiwg.org/FAD/fdd/view?i=103006</v>
      </c>
      <c r="L2015" s="36" t="s">
        <v>24314</v>
      </c>
      <c r="M2015" s="186"/>
      <c r="N2015" s="186"/>
      <c r="O2015" s="172"/>
    </row>
    <row r="2016" spans="1:15" ht="38.25" x14ac:dyDescent="0.2">
      <c r="A2016" s="197" t="str">
        <f t="shared" si="31"/>
        <v>CftCode_militaryEngagement</v>
      </c>
      <c r="B2016" s="409"/>
      <c r="C2016" s="416"/>
      <c r="D2016" s="198" t="s">
        <v>24315</v>
      </c>
      <c r="E2016" s="198">
        <v>4</v>
      </c>
      <c r="F2016" s="199" t="s">
        <v>24316</v>
      </c>
      <c r="G2016" s="1" t="s">
        <v>24317</v>
      </c>
      <c r="H2016" s="1" t="s">
        <v>24255</v>
      </c>
      <c r="I2016" s="346"/>
      <c r="J2016" s="39">
        <v>102994</v>
      </c>
      <c r="K2016" s="36" t="str">
        <f>CONCATENATE(Cover!$D$6,"fdd/view?i=",J2016)</f>
        <v>https://www.dgiwg.org/FAD/fdd/view?i=102994</v>
      </c>
      <c r="L2016" s="36" t="s">
        <v>24318</v>
      </c>
      <c r="M2016" s="186"/>
      <c r="N2016" s="186"/>
      <c r="O2016" s="172"/>
    </row>
    <row r="2017" spans="1:15" ht="38.25" x14ac:dyDescent="0.2">
      <c r="A2017" s="197" t="str">
        <f t="shared" si="31"/>
        <v>CftCode_municipal</v>
      </c>
      <c r="B2017" s="409"/>
      <c r="C2017" s="416"/>
      <c r="D2017" s="198" t="s">
        <v>16693</v>
      </c>
      <c r="E2017" s="198">
        <v>2</v>
      </c>
      <c r="F2017" s="199" t="s">
        <v>16694</v>
      </c>
      <c r="G2017" s="1" t="s">
        <v>24319</v>
      </c>
      <c r="H2017" s="1" t="s">
        <v>24255</v>
      </c>
      <c r="I2017" s="346"/>
      <c r="J2017" s="39">
        <v>102992</v>
      </c>
      <c r="K2017" s="36" t="str">
        <f>CONCATENATE(Cover!$D$6,"fdd/view?i=",J2017)</f>
        <v>https://www.dgiwg.org/FAD/fdd/view?i=102992</v>
      </c>
      <c r="L2017" s="36" t="s">
        <v>24320</v>
      </c>
      <c r="M2017" s="186"/>
      <c r="N2017" s="186"/>
      <c r="O2017" s="172"/>
    </row>
    <row r="2018" spans="1:15" ht="76.5" x14ac:dyDescent="0.2">
      <c r="A2018" s="197" t="str">
        <f t="shared" si="31"/>
        <v>CftCode_normalBaseline</v>
      </c>
      <c r="B2018" s="409"/>
      <c r="C2018" s="416"/>
      <c r="D2018" s="198" t="s">
        <v>24321</v>
      </c>
      <c r="E2018" s="198">
        <v>24</v>
      </c>
      <c r="F2018" s="199" t="s">
        <v>24322</v>
      </c>
      <c r="G2018" s="1" t="s">
        <v>24323</v>
      </c>
      <c r="H2018" s="1" t="s">
        <v>24324</v>
      </c>
      <c r="I2018" s="346"/>
      <c r="J2018" s="39">
        <v>103014</v>
      </c>
      <c r="K2018" s="36" t="str">
        <f>CONCATENATE(Cover!$D$6,"fdd/view?i=",J2018)</f>
        <v>https://www.dgiwg.org/FAD/fdd/view?i=103014</v>
      </c>
      <c r="L2018" s="36" t="s">
        <v>24325</v>
      </c>
      <c r="M2018" s="186"/>
      <c r="N2018" s="186"/>
      <c r="O2018" s="172"/>
    </row>
    <row r="2019" spans="1:15" ht="127.5" x14ac:dyDescent="0.2">
      <c r="A2019" s="197" t="str">
        <f t="shared" si="31"/>
        <v>CftCode_normalContinentalShelf</v>
      </c>
      <c r="B2019" s="409"/>
      <c r="C2019" s="416"/>
      <c r="D2019" s="198" t="s">
        <v>24326</v>
      </c>
      <c r="E2019" s="198">
        <v>27</v>
      </c>
      <c r="F2019" s="199" t="s">
        <v>24327</v>
      </c>
      <c r="G2019" s="1" t="s">
        <v>24328</v>
      </c>
      <c r="H2019" s="1" t="s">
        <v>24329</v>
      </c>
      <c r="I2019" s="346"/>
      <c r="J2019" s="39">
        <v>103017</v>
      </c>
      <c r="K2019" s="36" t="str">
        <f>CONCATENATE(Cover!$D$6,"fdd/view?i=",J2019)</f>
        <v>https://www.dgiwg.org/FAD/fdd/view?i=103017</v>
      </c>
      <c r="L2019" s="36" t="s">
        <v>24330</v>
      </c>
      <c r="M2019" s="186"/>
      <c r="N2019" s="186"/>
      <c r="O2019" s="172"/>
    </row>
    <row r="2020" spans="1:15" x14ac:dyDescent="0.2">
      <c r="A2020" s="197" t="str">
        <f t="shared" si="31"/>
        <v>CftCode_parallel</v>
      </c>
      <c r="B2020" s="409"/>
      <c r="C2020" s="416"/>
      <c r="D2020" s="198" t="s">
        <v>21076</v>
      </c>
      <c r="E2020" s="198">
        <v>18</v>
      </c>
      <c r="F2020" s="199" t="s">
        <v>21077</v>
      </c>
      <c r="G2020" s="1" t="s">
        <v>24331</v>
      </c>
      <c r="H2020" s="200"/>
      <c r="I2020" s="351" t="s">
        <v>24332</v>
      </c>
      <c r="J2020" s="39">
        <v>103008</v>
      </c>
      <c r="K2020" s="36" t="str">
        <f>CONCATENATE(Cover!$D$6,"fdd/view?i=",J2020)</f>
        <v>https://www.dgiwg.org/FAD/fdd/view?i=103008</v>
      </c>
      <c r="L2020" s="36" t="s">
        <v>24333</v>
      </c>
      <c r="M2020" s="186"/>
      <c r="N2020" s="186"/>
      <c r="O2020" s="172"/>
    </row>
    <row r="2021" spans="1:15" ht="25.5" x14ac:dyDescent="0.2">
      <c r="A2021" s="197" t="str">
        <f t="shared" si="31"/>
        <v>CftCode_ridgeline</v>
      </c>
      <c r="B2021" s="409"/>
      <c r="C2021" s="416"/>
      <c r="D2021" s="198" t="s">
        <v>24334</v>
      </c>
      <c r="E2021" s="198">
        <v>10</v>
      </c>
      <c r="F2021" s="199" t="s">
        <v>24335</v>
      </c>
      <c r="G2021" s="1" t="s">
        <v>24336</v>
      </c>
      <c r="H2021" s="200"/>
      <c r="I2021" s="346"/>
      <c r="J2021" s="39">
        <v>103000</v>
      </c>
      <c r="K2021" s="36" t="str">
        <f>CONCATENATE(Cover!$D$6,"fdd/view?i=",J2021)</f>
        <v>https://www.dgiwg.org/FAD/fdd/view?i=103000</v>
      </c>
      <c r="L2021" s="36" t="s">
        <v>24337</v>
      </c>
      <c r="M2021" s="186"/>
      <c r="N2021" s="186"/>
      <c r="O2021" s="172"/>
    </row>
    <row r="2022" spans="1:15" ht="38.25" x14ac:dyDescent="0.2">
      <c r="A2022" s="197" t="str">
        <f t="shared" si="31"/>
        <v>CftCode_rightBank</v>
      </c>
      <c r="B2022" s="409"/>
      <c r="C2022" s="416"/>
      <c r="D2022" s="198" t="s">
        <v>24338</v>
      </c>
      <c r="E2022" s="198">
        <v>13</v>
      </c>
      <c r="F2022" s="199" t="s">
        <v>24339</v>
      </c>
      <c r="G2022" s="1" t="s">
        <v>24340</v>
      </c>
      <c r="H2022" s="1" t="s">
        <v>24341</v>
      </c>
      <c r="I2022" s="346"/>
      <c r="J2022" s="39">
        <v>103003</v>
      </c>
      <c r="K2022" s="36" t="str">
        <f>CONCATENATE(Cover!$D$6,"fdd/view?i=",J2022)</f>
        <v>https://www.dgiwg.org/FAD/fdd/view?i=103003</v>
      </c>
      <c r="L2022" s="36" t="s">
        <v>24342</v>
      </c>
      <c r="M2022" s="186"/>
      <c r="N2022" s="186"/>
      <c r="O2022" s="172"/>
    </row>
    <row r="2023" spans="1:15" ht="38.25" x14ac:dyDescent="0.2">
      <c r="A2023" s="197" t="str">
        <f t="shared" si="31"/>
        <v>CftCode_shoreline</v>
      </c>
      <c r="B2023" s="409"/>
      <c r="C2023" s="416"/>
      <c r="D2023" s="198" t="s">
        <v>24343</v>
      </c>
      <c r="E2023" s="198">
        <v>14</v>
      </c>
      <c r="F2023" s="199" t="s">
        <v>5024</v>
      </c>
      <c r="G2023" s="1" t="s">
        <v>24344</v>
      </c>
      <c r="H2023" s="1" t="s">
        <v>24345</v>
      </c>
      <c r="I2023" s="346"/>
      <c r="J2023" s="39">
        <v>103004</v>
      </c>
      <c r="K2023" s="36" t="str">
        <f>CONCATENATE(Cover!$D$6,"fdd/view?i=",J2023)</f>
        <v>https://www.dgiwg.org/FAD/fdd/view?i=103004</v>
      </c>
      <c r="L2023" s="36" t="s">
        <v>24346</v>
      </c>
      <c r="M2023" s="186"/>
      <c r="N2023" s="186"/>
      <c r="O2023" s="172"/>
    </row>
    <row r="2024" spans="1:15" ht="102" x14ac:dyDescent="0.2">
      <c r="A2024" s="197" t="str">
        <f t="shared" si="31"/>
        <v>CftCode_straight</v>
      </c>
      <c r="B2024" s="409"/>
      <c r="C2024" s="416"/>
      <c r="D2024" s="198" t="s">
        <v>23791</v>
      </c>
      <c r="E2024" s="198">
        <v>20</v>
      </c>
      <c r="F2024" s="199" t="s">
        <v>23792</v>
      </c>
      <c r="G2024" s="1" t="s">
        <v>24347</v>
      </c>
      <c r="H2024" s="1" t="s">
        <v>24348</v>
      </c>
      <c r="I2024" s="346"/>
      <c r="J2024" s="39">
        <v>103010</v>
      </c>
      <c r="K2024" s="36" t="str">
        <f>CONCATENATE(Cover!$D$6,"fdd/view?i=",J2024)</f>
        <v>https://www.dgiwg.org/FAD/fdd/view?i=103010</v>
      </c>
      <c r="L2024" s="36" t="s">
        <v>24349</v>
      </c>
      <c r="M2024" s="186"/>
      <c r="N2024" s="186"/>
      <c r="O2024" s="172"/>
    </row>
    <row r="2025" spans="1:15" ht="191.25" x14ac:dyDescent="0.2">
      <c r="A2025" s="197" t="str">
        <f t="shared" si="31"/>
        <v>CftCode_straightBaseline</v>
      </c>
      <c r="B2025" s="409"/>
      <c r="C2025" s="416"/>
      <c r="D2025" s="198" t="s">
        <v>24350</v>
      </c>
      <c r="E2025" s="198">
        <v>25</v>
      </c>
      <c r="F2025" s="199" t="s">
        <v>24351</v>
      </c>
      <c r="G2025" s="1" t="s">
        <v>24352</v>
      </c>
      <c r="H2025" s="1" t="s">
        <v>24353</v>
      </c>
      <c r="I2025" s="346"/>
      <c r="J2025" s="39">
        <v>103015</v>
      </c>
      <c r="K2025" s="36" t="str">
        <f>CONCATENATE(Cover!$D$6,"fdd/view?i=",J2025)</f>
        <v>https://www.dgiwg.org/FAD/fdd/view?i=103015</v>
      </c>
      <c r="L2025" s="36" t="s">
        <v>24354</v>
      </c>
      <c r="M2025" s="186"/>
      <c r="N2025" s="186"/>
      <c r="O2025" s="172"/>
    </row>
    <row r="2026" spans="1:15" ht="25.5" x14ac:dyDescent="0.2">
      <c r="A2026" s="197" t="str">
        <f t="shared" si="31"/>
        <v>CftCode_straightSegmented</v>
      </c>
      <c r="B2026" s="409"/>
      <c r="C2026" s="416"/>
      <c r="D2026" s="198" t="s">
        <v>24355</v>
      </c>
      <c r="E2026" s="198">
        <v>19</v>
      </c>
      <c r="F2026" s="199" t="s">
        <v>24356</v>
      </c>
      <c r="G2026" s="1" t="s">
        <v>24357</v>
      </c>
      <c r="H2026" s="200"/>
      <c r="I2026" s="351" t="s">
        <v>24358</v>
      </c>
      <c r="J2026" s="39">
        <v>103009</v>
      </c>
      <c r="K2026" s="36" t="str">
        <f>CONCATENATE(Cover!$D$6,"fdd/view?i=",J2026)</f>
        <v>https://www.dgiwg.org/FAD/fdd/view?i=103009</v>
      </c>
      <c r="L2026" s="36" t="s">
        <v>24359</v>
      </c>
      <c r="M2026" s="186"/>
      <c r="N2026" s="186"/>
      <c r="O2026" s="172"/>
    </row>
    <row r="2027" spans="1:15" ht="51" x14ac:dyDescent="0.2">
      <c r="A2027" s="197" t="str">
        <f t="shared" si="31"/>
        <v>CftCode_thalweg</v>
      </c>
      <c r="B2027" s="409"/>
      <c r="C2027" s="416"/>
      <c r="D2027" s="198" t="s">
        <v>24360</v>
      </c>
      <c r="E2027" s="198">
        <v>9</v>
      </c>
      <c r="F2027" s="199" t="s">
        <v>5453</v>
      </c>
      <c r="G2027" s="1" t="s">
        <v>24361</v>
      </c>
      <c r="H2027" s="1" t="s">
        <v>24362</v>
      </c>
      <c r="I2027" s="351" t="s">
        <v>24363</v>
      </c>
      <c r="J2027" s="39">
        <v>102999</v>
      </c>
      <c r="K2027" s="36" t="str">
        <f>CONCATENATE(Cover!$D$6,"fdd/view?i=",J2027)</f>
        <v>https://www.dgiwg.org/FAD/fdd/view?i=102999</v>
      </c>
      <c r="L2027" s="36" t="s">
        <v>24364</v>
      </c>
      <c r="M2027" s="186"/>
      <c r="N2027" s="186"/>
      <c r="O2027" s="172"/>
    </row>
    <row r="2028" spans="1:15" ht="25.5" x14ac:dyDescent="0.2">
      <c r="A2028" s="203" t="str">
        <f t="shared" si="31"/>
        <v>CftCode_thalwegToPeak</v>
      </c>
      <c r="B2028" s="410"/>
      <c r="C2028" s="417"/>
      <c r="D2028" s="204" t="s">
        <v>24365</v>
      </c>
      <c r="E2028" s="204">
        <v>32</v>
      </c>
      <c r="F2028" s="205" t="s">
        <v>24366</v>
      </c>
      <c r="G2028" s="206" t="s">
        <v>24367</v>
      </c>
      <c r="H2028" s="207"/>
      <c r="I2028" s="347"/>
      <c r="J2028" s="39">
        <v>103022</v>
      </c>
      <c r="K2028" s="36" t="str">
        <f>CONCATENATE(Cover!$D$6,"fdd/view?i=",J2028)</f>
        <v>https://www.dgiwg.org/FAD/fdd/view?i=103022</v>
      </c>
      <c r="L2028" s="36" t="s">
        <v>24368</v>
      </c>
      <c r="M2028" s="186"/>
      <c r="N2028" s="186"/>
      <c r="O2028" s="172"/>
    </row>
    <row r="2029" spans="1:15" ht="25.5" x14ac:dyDescent="0.2">
      <c r="A2029" s="190" t="str">
        <f t="shared" si="31"/>
        <v>DspCode_deFacto</v>
      </c>
      <c r="B2029" s="414" t="str">
        <f>HYPERLINK("[#]Datatypes!A258:L258","DspCode")</f>
        <v>DspCode</v>
      </c>
      <c r="C2029" s="415" t="s">
        <v>14817</v>
      </c>
      <c r="D2029" s="221" t="s">
        <v>24369</v>
      </c>
      <c r="E2029" s="221">
        <v>3</v>
      </c>
      <c r="F2029" s="222" t="s">
        <v>24370</v>
      </c>
      <c r="G2029" s="223" t="s">
        <v>24371</v>
      </c>
      <c r="H2029" s="223" t="s">
        <v>24372</v>
      </c>
      <c r="I2029" s="345"/>
      <c r="J2029" s="39">
        <v>103420</v>
      </c>
      <c r="K2029" s="36" t="str">
        <f>CONCATENATE(Cover!$D$6,"fdd/view?i=",J2029)</f>
        <v>https://www.dgiwg.org/FAD/fdd/view?i=103420</v>
      </c>
      <c r="L2029" s="36" t="s">
        <v>24373</v>
      </c>
      <c r="M2029" s="186"/>
      <c r="N2029" s="186"/>
      <c r="O2029" s="172"/>
    </row>
    <row r="2030" spans="1:15" ht="204" x14ac:dyDescent="0.2">
      <c r="A2030" s="197" t="str">
        <f t="shared" si="31"/>
        <v>DspCode_deJure</v>
      </c>
      <c r="B2030" s="409"/>
      <c r="C2030" s="416"/>
      <c r="D2030" s="198" t="s">
        <v>24374</v>
      </c>
      <c r="E2030" s="198">
        <v>4</v>
      </c>
      <c r="F2030" s="199" t="s">
        <v>24375</v>
      </c>
      <c r="G2030" s="1" t="s">
        <v>24376</v>
      </c>
      <c r="H2030" s="1" t="s">
        <v>24377</v>
      </c>
      <c r="I2030" s="346"/>
      <c r="J2030" s="39">
        <v>103421</v>
      </c>
      <c r="K2030" s="36" t="str">
        <f>CONCATENATE(Cover!$D$6,"fdd/view?i=",J2030)</f>
        <v>https://www.dgiwg.org/FAD/fdd/view?i=103421</v>
      </c>
      <c r="L2030" s="36" t="s">
        <v>24378</v>
      </c>
      <c r="M2030" s="186"/>
      <c r="N2030" s="186"/>
      <c r="O2030" s="172"/>
    </row>
    <row r="2031" spans="1:15" ht="76.5" x14ac:dyDescent="0.2">
      <c r="A2031" s="197" t="str">
        <f t="shared" si="31"/>
        <v>DspCode_inDispute</v>
      </c>
      <c r="B2031" s="409"/>
      <c r="C2031" s="416"/>
      <c r="D2031" s="198" t="s">
        <v>24379</v>
      </c>
      <c r="E2031" s="198">
        <v>1</v>
      </c>
      <c r="F2031" s="199" t="s">
        <v>24380</v>
      </c>
      <c r="G2031" s="1" t="s">
        <v>24381</v>
      </c>
      <c r="H2031" s="1" t="s">
        <v>24382</v>
      </c>
      <c r="I2031" s="351" t="s">
        <v>24383</v>
      </c>
      <c r="J2031" s="39">
        <v>103418</v>
      </c>
      <c r="K2031" s="36" t="str">
        <f>CONCATENATE(Cover!$D$6,"fdd/view?i=",J2031)</f>
        <v>https://www.dgiwg.org/FAD/fdd/view?i=103418</v>
      </c>
      <c r="L2031" s="36" t="s">
        <v>24384</v>
      </c>
      <c r="M2031" s="186"/>
      <c r="N2031" s="186"/>
      <c r="O2031" s="172"/>
    </row>
    <row r="2032" spans="1:15" x14ac:dyDescent="0.2">
      <c r="A2032" s="203" t="str">
        <f t="shared" si="31"/>
        <v>DspCode_undisputed</v>
      </c>
      <c r="B2032" s="410"/>
      <c r="C2032" s="417"/>
      <c r="D2032" s="204" t="s">
        <v>24385</v>
      </c>
      <c r="E2032" s="204">
        <v>2</v>
      </c>
      <c r="F2032" s="205" t="s">
        <v>24386</v>
      </c>
      <c r="G2032" s="206" t="s">
        <v>24387</v>
      </c>
      <c r="H2032" s="207"/>
      <c r="I2032" s="347"/>
      <c r="J2032" s="39">
        <v>103419</v>
      </c>
      <c r="K2032" s="36" t="str">
        <f>CONCATENATE(Cover!$D$6,"fdd/view?i=",J2032)</f>
        <v>https://www.dgiwg.org/FAD/fdd/view?i=103419</v>
      </c>
      <c r="L2032" s="36" t="s">
        <v>24388</v>
      </c>
      <c r="M2032" s="186"/>
      <c r="N2032" s="186"/>
      <c r="O2032" s="172"/>
    </row>
    <row r="2033" spans="1:15" ht="25.5" x14ac:dyDescent="0.2">
      <c r="A2033" s="190" t="str">
        <f t="shared" si="31"/>
        <v>RpcCode_administerAsInternational</v>
      </c>
      <c r="B2033" s="414" t="str">
        <f>HYPERLINK("[#]Datatypes!A260:L260","RpcCode")</f>
        <v>RpcCode</v>
      </c>
      <c r="C2033" s="415" t="s">
        <v>14819</v>
      </c>
      <c r="D2033" s="221" t="s">
        <v>24389</v>
      </c>
      <c r="E2033" s="221">
        <v>5</v>
      </c>
      <c r="F2033" s="222" t="s">
        <v>24390</v>
      </c>
      <c r="G2033" s="223" t="s">
        <v>24391</v>
      </c>
      <c r="H2033" s="224"/>
      <c r="I2033" s="345"/>
      <c r="J2033" s="39">
        <v>107245</v>
      </c>
      <c r="K2033" s="36" t="str">
        <f>CONCATENATE(Cover!$D$6,"fdd/view?i=",J2033)</f>
        <v>https://www.dgiwg.org/FAD/fdd/view?i=107245</v>
      </c>
      <c r="L2033" s="36" t="s">
        <v>24392</v>
      </c>
      <c r="M2033" s="186"/>
      <c r="N2033" s="186"/>
      <c r="O2033" s="172"/>
    </row>
    <row r="2034" spans="1:15" ht="38.25" x14ac:dyDescent="0.2">
      <c r="A2034" s="197" t="str">
        <f t="shared" si="31"/>
        <v>RpcCode_definite</v>
      </c>
      <c r="B2034" s="409"/>
      <c r="C2034" s="416"/>
      <c r="D2034" s="198" t="s">
        <v>24393</v>
      </c>
      <c r="E2034" s="198">
        <v>2</v>
      </c>
      <c r="F2034" s="199" t="s">
        <v>24394</v>
      </c>
      <c r="G2034" s="1" t="s">
        <v>24395</v>
      </c>
      <c r="H2034" s="1" t="s">
        <v>24396</v>
      </c>
      <c r="I2034" s="346"/>
      <c r="J2034" s="39">
        <v>107242</v>
      </c>
      <c r="K2034" s="36" t="str">
        <f>CONCATENATE(Cover!$D$6,"fdd/view?i=",J2034)</f>
        <v>https://www.dgiwg.org/FAD/fdd/view?i=107242</v>
      </c>
      <c r="L2034" s="36" t="s">
        <v>24397</v>
      </c>
      <c r="M2034" s="186"/>
      <c r="N2034" s="186"/>
      <c r="O2034" s="172"/>
    </row>
    <row r="2035" spans="1:15" ht="51" x14ac:dyDescent="0.2">
      <c r="A2035" s="197" t="str">
        <f t="shared" si="31"/>
        <v>RpcCode_indefinite</v>
      </c>
      <c r="B2035" s="409"/>
      <c r="C2035" s="416"/>
      <c r="D2035" s="198" t="s">
        <v>24401</v>
      </c>
      <c r="E2035" s="198">
        <v>3</v>
      </c>
      <c r="F2035" s="199" t="s">
        <v>24402</v>
      </c>
      <c r="G2035" s="1" t="s">
        <v>24403</v>
      </c>
      <c r="H2035" s="1" t="s">
        <v>24404</v>
      </c>
      <c r="I2035" s="346"/>
      <c r="J2035" s="39">
        <v>107243</v>
      </c>
      <c r="K2035" s="36" t="str">
        <f>CONCATENATE(Cover!$D$6,"fdd/view?i=",J2035)</f>
        <v>https://www.dgiwg.org/FAD/fdd/view?i=107243</v>
      </c>
      <c r="L2035" s="36" t="s">
        <v>24405</v>
      </c>
      <c r="M2035" s="186"/>
      <c r="N2035" s="186"/>
      <c r="O2035" s="172"/>
    </row>
    <row r="2036" spans="1:15" ht="127.5" x14ac:dyDescent="0.2">
      <c r="A2036" s="197" t="str">
        <f t="shared" si="31"/>
        <v>RpcCode_inDispute</v>
      </c>
      <c r="B2036" s="409"/>
      <c r="C2036" s="416"/>
      <c r="D2036" s="198" t="s">
        <v>24379</v>
      </c>
      <c r="E2036" s="198">
        <v>4</v>
      </c>
      <c r="F2036" s="199" t="s">
        <v>24380</v>
      </c>
      <c r="G2036" s="1" t="s">
        <v>24398</v>
      </c>
      <c r="H2036" s="1" t="s">
        <v>24399</v>
      </c>
      <c r="I2036" s="351" t="s">
        <v>24383</v>
      </c>
      <c r="J2036" s="39">
        <v>107244</v>
      </c>
      <c r="K2036" s="36" t="str">
        <f>CONCATENATE(Cover!$D$6,"fdd/view?i=",J2036)</f>
        <v>https://www.dgiwg.org/FAD/fdd/view?i=107244</v>
      </c>
      <c r="L2036" s="36" t="s">
        <v>24400</v>
      </c>
      <c r="M2036" s="186"/>
      <c r="N2036" s="186"/>
      <c r="O2036" s="172"/>
    </row>
    <row r="2037" spans="1:15" x14ac:dyDescent="0.2">
      <c r="A2037" s="203" t="str">
        <f t="shared" si="31"/>
        <v>RpcCode_showNoLine</v>
      </c>
      <c r="B2037" s="410"/>
      <c r="C2037" s="417"/>
      <c r="D2037" s="204" t="s">
        <v>24406</v>
      </c>
      <c r="E2037" s="204">
        <v>1</v>
      </c>
      <c r="F2037" s="205" t="s">
        <v>24407</v>
      </c>
      <c r="G2037" s="206" t="s">
        <v>24408</v>
      </c>
      <c r="H2037" s="207"/>
      <c r="I2037" s="347"/>
      <c r="J2037" s="39">
        <v>107241</v>
      </c>
      <c r="K2037" s="36" t="str">
        <f>CONCATENATE(Cover!$D$6,"fdd/view?i=",J2037)</f>
        <v>https://www.dgiwg.org/FAD/fdd/view?i=107241</v>
      </c>
      <c r="L2037" s="36" t="s">
        <v>24409</v>
      </c>
      <c r="M2037" s="186"/>
      <c r="N2037" s="186"/>
      <c r="O2037" s="172"/>
    </row>
    <row r="2038" spans="1:15" ht="25.5" x14ac:dyDescent="0.2">
      <c r="A2038" s="190" t="str">
        <f t="shared" si="31"/>
        <v>BstCode_changeable</v>
      </c>
      <c r="B2038" s="414" t="str">
        <f>HYPERLINK("[#]Datatypes!A262:L262","BstCode")</f>
        <v>BstCode</v>
      </c>
      <c r="C2038" s="415" t="s">
        <v>14821</v>
      </c>
      <c r="D2038" s="221" t="s">
        <v>24410</v>
      </c>
      <c r="E2038" s="221">
        <v>10</v>
      </c>
      <c r="F2038" s="222" t="s">
        <v>24411</v>
      </c>
      <c r="G2038" s="223" t="s">
        <v>24412</v>
      </c>
      <c r="H2038" s="223" t="s">
        <v>24413</v>
      </c>
      <c r="I2038" s="345"/>
      <c r="J2038" s="39">
        <v>112850</v>
      </c>
      <c r="K2038" s="36" t="str">
        <f>CONCATENATE(Cover!$D$6,"fdd/view?i=",J2038)</f>
        <v>https://www.dgiwg.org/FAD/fdd/view?i=112850</v>
      </c>
      <c r="L2038" s="36" t="s">
        <v>24414</v>
      </c>
      <c r="M2038" s="186"/>
      <c r="N2038" s="186"/>
      <c r="O2038" s="172"/>
    </row>
    <row r="2039" spans="1:15" ht="38.25" x14ac:dyDescent="0.2">
      <c r="A2039" s="197" t="str">
        <f t="shared" si="31"/>
        <v>BstCode_definite</v>
      </c>
      <c r="B2039" s="409"/>
      <c r="C2039" s="416"/>
      <c r="D2039" s="198" t="s">
        <v>24393</v>
      </c>
      <c r="E2039" s="198">
        <v>1</v>
      </c>
      <c r="F2039" s="199" t="s">
        <v>24394</v>
      </c>
      <c r="G2039" s="1" t="s">
        <v>24415</v>
      </c>
      <c r="H2039" s="1" t="s">
        <v>24416</v>
      </c>
      <c r="I2039" s="346"/>
      <c r="J2039" s="39">
        <v>102606</v>
      </c>
      <c r="K2039" s="36" t="str">
        <f>CONCATENATE(Cover!$D$6,"fdd/view?i=",J2039)</f>
        <v>https://www.dgiwg.org/FAD/fdd/view?i=102606</v>
      </c>
      <c r="L2039" s="36" t="s">
        <v>24417</v>
      </c>
      <c r="M2039" s="186"/>
      <c r="N2039" s="186"/>
      <c r="O2039" s="172"/>
    </row>
    <row r="2040" spans="1:15" ht="63.75" x14ac:dyDescent="0.2">
      <c r="A2040" s="197" t="str">
        <f t="shared" si="31"/>
        <v>BstCode_indefinite</v>
      </c>
      <c r="B2040" s="409"/>
      <c r="C2040" s="416"/>
      <c r="D2040" s="198" t="s">
        <v>24401</v>
      </c>
      <c r="E2040" s="198">
        <v>2</v>
      </c>
      <c r="F2040" s="199" t="s">
        <v>24402</v>
      </c>
      <c r="G2040" s="1" t="s">
        <v>24419</v>
      </c>
      <c r="H2040" s="1" t="s">
        <v>24420</v>
      </c>
      <c r="I2040" s="346"/>
      <c r="J2040" s="39">
        <v>102607</v>
      </c>
      <c r="K2040" s="36" t="str">
        <f>CONCATENATE(Cover!$D$6,"fdd/view?i=",J2040)</f>
        <v>https://www.dgiwg.org/FAD/fdd/view?i=102607</v>
      </c>
      <c r="L2040" s="36" t="s">
        <v>24421</v>
      </c>
      <c r="M2040" s="186"/>
      <c r="N2040" s="186"/>
      <c r="O2040" s="172"/>
    </row>
    <row r="2041" spans="1:15" ht="76.5" x14ac:dyDescent="0.2">
      <c r="A2041" s="197" t="str">
        <f t="shared" si="31"/>
        <v>BstCode_inDispute</v>
      </c>
      <c r="B2041" s="409"/>
      <c r="C2041" s="416"/>
      <c r="D2041" s="198" t="s">
        <v>24379</v>
      </c>
      <c r="E2041" s="198">
        <v>3</v>
      </c>
      <c r="F2041" s="199" t="s">
        <v>24380</v>
      </c>
      <c r="G2041" s="1" t="s">
        <v>24381</v>
      </c>
      <c r="H2041" s="1" t="s">
        <v>24382</v>
      </c>
      <c r="I2041" s="351" t="s">
        <v>24383</v>
      </c>
      <c r="J2041" s="39">
        <v>102608</v>
      </c>
      <c r="K2041" s="36" t="str">
        <f>CONCATENATE(Cover!$D$6,"fdd/view?i=",J2041)</f>
        <v>https://www.dgiwg.org/FAD/fdd/view?i=102608</v>
      </c>
      <c r="L2041" s="36" t="s">
        <v>24418</v>
      </c>
      <c r="M2041" s="186"/>
      <c r="N2041" s="186"/>
      <c r="O2041" s="172"/>
    </row>
    <row r="2042" spans="1:15" ht="25.5" x14ac:dyDescent="0.2">
      <c r="A2042" s="197" t="str">
        <f t="shared" si="31"/>
        <v>BstCode_noDefinedBoundary</v>
      </c>
      <c r="B2042" s="409"/>
      <c r="C2042" s="416"/>
      <c r="D2042" s="198" t="s">
        <v>24422</v>
      </c>
      <c r="E2042" s="198">
        <v>4</v>
      </c>
      <c r="F2042" s="199" t="s">
        <v>24423</v>
      </c>
      <c r="G2042" s="1" t="s">
        <v>24424</v>
      </c>
      <c r="H2042" s="200"/>
      <c r="I2042" s="346"/>
      <c r="J2042" s="39">
        <v>102609</v>
      </c>
      <c r="K2042" s="36" t="str">
        <f>CONCATENATE(Cover!$D$6,"fdd/view?i=",J2042)</f>
        <v>https://www.dgiwg.org/FAD/fdd/view?i=102609</v>
      </c>
      <c r="L2042" s="36" t="s">
        <v>24425</v>
      </c>
      <c r="M2042" s="186"/>
      <c r="N2042" s="186"/>
      <c r="O2042" s="172"/>
    </row>
    <row r="2043" spans="1:15" ht="25.5" x14ac:dyDescent="0.2">
      <c r="A2043" s="197" t="str">
        <f t="shared" si="31"/>
        <v>BstCode_notOfficiallyEstablished</v>
      </c>
      <c r="B2043" s="409"/>
      <c r="C2043" s="416"/>
      <c r="D2043" s="198" t="s">
        <v>24426</v>
      </c>
      <c r="E2043" s="198">
        <v>12</v>
      </c>
      <c r="F2043" s="199" t="s">
        <v>24427</v>
      </c>
      <c r="G2043" s="1" t="s">
        <v>24428</v>
      </c>
      <c r="H2043" s="1" t="s">
        <v>24429</v>
      </c>
      <c r="I2043" s="346"/>
      <c r="J2043" s="39">
        <v>112852</v>
      </c>
      <c r="K2043" s="36" t="str">
        <f>CONCATENATE(Cover!$D$6,"fdd/view?i=",J2043)</f>
        <v>https://www.dgiwg.org/FAD/fdd/view?i=112852</v>
      </c>
      <c r="L2043" s="36" t="s">
        <v>24430</v>
      </c>
      <c r="M2043" s="186"/>
      <c r="N2043" s="186"/>
      <c r="O2043" s="172"/>
    </row>
    <row r="2044" spans="1:15" ht="25.5" x14ac:dyDescent="0.2">
      <c r="A2044" s="203" t="str">
        <f t="shared" si="31"/>
        <v>BstCode_officiallyEstablished</v>
      </c>
      <c r="B2044" s="410"/>
      <c r="C2044" s="417"/>
      <c r="D2044" s="204" t="s">
        <v>24431</v>
      </c>
      <c r="E2044" s="204">
        <v>11</v>
      </c>
      <c r="F2044" s="205" t="s">
        <v>24432</v>
      </c>
      <c r="G2044" s="206" t="s">
        <v>24433</v>
      </c>
      <c r="H2044" s="207"/>
      <c r="I2044" s="347"/>
      <c r="J2044" s="39">
        <v>112851</v>
      </c>
      <c r="K2044" s="36" t="str">
        <f>CONCATENATE(Cover!$D$6,"fdd/view?i=",J2044)</f>
        <v>https://www.dgiwg.org/FAD/fdd/view?i=112851</v>
      </c>
      <c r="L2044" s="36" t="s">
        <v>24434</v>
      </c>
      <c r="M2044" s="186"/>
      <c r="N2044" s="186"/>
      <c r="O2044" s="172"/>
    </row>
    <row r="2045" spans="1:15" ht="25.5" x14ac:dyDescent="0.2">
      <c r="A2045" s="190" t="str">
        <f t="shared" si="31"/>
        <v>RsaCode_passing</v>
      </c>
      <c r="B2045" s="414" t="str">
        <f>HYPERLINK("[#]Datatypes!A264:L264","RsaCode")</f>
        <v>RsaCode</v>
      </c>
      <c r="C2045" s="415" t="s">
        <v>14823</v>
      </c>
      <c r="D2045" s="221" t="s">
        <v>24435</v>
      </c>
      <c r="E2045" s="221">
        <v>3</v>
      </c>
      <c r="F2045" s="222" t="s">
        <v>24436</v>
      </c>
      <c r="G2045" s="223" t="s">
        <v>24437</v>
      </c>
      <c r="H2045" s="224"/>
      <c r="I2045" s="345"/>
      <c r="J2045" s="39">
        <v>107291</v>
      </c>
      <c r="K2045" s="36" t="str">
        <f>CONCATENATE(Cover!$D$6,"fdd/view?i=",J2045)</f>
        <v>https://www.dgiwg.org/FAD/fdd/view?i=107291</v>
      </c>
      <c r="L2045" s="36" t="s">
        <v>24438</v>
      </c>
      <c r="M2045" s="186"/>
      <c r="N2045" s="186"/>
      <c r="O2045" s="172"/>
    </row>
    <row r="2046" spans="1:15" ht="25.5" x14ac:dyDescent="0.2">
      <c r="A2046" s="197" t="str">
        <f t="shared" si="31"/>
        <v>RsaCode_siding</v>
      </c>
      <c r="B2046" s="409"/>
      <c r="C2046" s="416"/>
      <c r="D2046" s="198" t="s">
        <v>24439</v>
      </c>
      <c r="E2046" s="198">
        <v>2</v>
      </c>
      <c r="F2046" s="199" t="s">
        <v>24440</v>
      </c>
      <c r="G2046" s="1" t="s">
        <v>24441</v>
      </c>
      <c r="H2046" s="200"/>
      <c r="I2046" s="346"/>
      <c r="J2046" s="39">
        <v>107290</v>
      </c>
      <c r="K2046" s="36" t="str">
        <f>CONCATENATE(Cover!$D$6,"fdd/view?i=",J2046)</f>
        <v>https://www.dgiwg.org/FAD/fdd/view?i=107290</v>
      </c>
      <c r="L2046" s="36" t="s">
        <v>24442</v>
      </c>
      <c r="M2046" s="186"/>
      <c r="N2046" s="186"/>
      <c r="O2046" s="172"/>
    </row>
    <row r="2047" spans="1:15" ht="25.5" x14ac:dyDescent="0.2">
      <c r="A2047" s="203" t="str">
        <f t="shared" si="31"/>
        <v>RsaCode_spur</v>
      </c>
      <c r="B2047" s="410"/>
      <c r="C2047" s="417"/>
      <c r="D2047" s="204" t="s">
        <v>24443</v>
      </c>
      <c r="E2047" s="204">
        <v>1</v>
      </c>
      <c r="F2047" s="205" t="s">
        <v>24444</v>
      </c>
      <c r="G2047" s="206" t="s">
        <v>24445</v>
      </c>
      <c r="H2047" s="206" t="s">
        <v>24446</v>
      </c>
      <c r="I2047" s="347"/>
      <c r="J2047" s="39">
        <v>107289</v>
      </c>
      <c r="K2047" s="36" t="str">
        <f>CONCATENATE(Cover!$D$6,"fdd/view?i=",J2047)</f>
        <v>https://www.dgiwg.org/FAD/fdd/view?i=107289</v>
      </c>
      <c r="L2047" s="36" t="s">
        <v>24447</v>
      </c>
      <c r="M2047" s="186"/>
      <c r="N2047" s="186"/>
      <c r="O2047" s="172"/>
    </row>
    <row r="2048" spans="1:15" ht="25.5" x14ac:dyDescent="0.2">
      <c r="A2048" s="190" t="str">
        <f t="shared" si="31"/>
        <v>RbcCode_estimated</v>
      </c>
      <c r="B2048" s="414" t="str">
        <f>HYPERLINK("[#]Datatypes!A266:L266","RbcCode")</f>
        <v>RbcCode</v>
      </c>
      <c r="C2048" s="415" t="s">
        <v>14825</v>
      </c>
      <c r="D2048" s="221" t="s">
        <v>24448</v>
      </c>
      <c r="E2048" s="221">
        <v>2</v>
      </c>
      <c r="F2048" s="222" t="s">
        <v>24449</v>
      </c>
      <c r="G2048" s="223" t="s">
        <v>24450</v>
      </c>
      <c r="H2048" s="224"/>
      <c r="I2048" s="345"/>
      <c r="J2048" s="39">
        <v>107101</v>
      </c>
      <c r="K2048" s="36" t="str">
        <f>CONCATENATE(Cover!$D$6,"fdd/view?i=",J2048)</f>
        <v>https://www.dgiwg.org/FAD/fdd/view?i=107101</v>
      </c>
      <c r="L2048" s="36" t="s">
        <v>24451</v>
      </c>
      <c r="M2048" s="186"/>
      <c r="N2048" s="186"/>
      <c r="O2048" s="172"/>
    </row>
    <row r="2049" spans="1:15" ht="25.5" x14ac:dyDescent="0.2">
      <c r="A2049" s="203" t="str">
        <f t="shared" si="31"/>
        <v>RbcCode_known</v>
      </c>
      <c r="B2049" s="410"/>
      <c r="C2049" s="417"/>
      <c r="D2049" s="204" t="s">
        <v>24452</v>
      </c>
      <c r="E2049" s="204">
        <v>1</v>
      </c>
      <c r="F2049" s="205" t="s">
        <v>24453</v>
      </c>
      <c r="G2049" s="206" t="s">
        <v>24454</v>
      </c>
      <c r="H2049" s="207"/>
      <c r="I2049" s="347"/>
      <c r="J2049" s="39">
        <v>107100</v>
      </c>
      <c r="K2049" s="36" t="str">
        <f>CONCATENATE(Cover!$D$6,"fdd/view?i=",J2049)</f>
        <v>https://www.dgiwg.org/FAD/fdd/view?i=107100</v>
      </c>
      <c r="L2049" s="36" t="s">
        <v>24455</v>
      </c>
      <c r="M2049" s="186"/>
      <c r="N2049" s="186"/>
      <c r="O2049" s="172"/>
    </row>
    <row r="2050" spans="1:15" x14ac:dyDescent="0.2">
      <c r="A2050" s="190" t="str">
        <f t="shared" ref="A2050:A2113" si="32">HYPERLINK(K2050,L2050)</f>
        <v>BotCode_bascule</v>
      </c>
      <c r="B2050" s="414" t="str">
        <f>HYPERLINK("[#]Datatypes!A268:L268","BotCode")</f>
        <v>BotCode</v>
      </c>
      <c r="C2050" s="415" t="s">
        <v>14827</v>
      </c>
      <c r="D2050" s="221" t="s">
        <v>24456</v>
      </c>
      <c r="E2050" s="221">
        <v>4</v>
      </c>
      <c r="F2050" s="222" t="s">
        <v>24457</v>
      </c>
      <c r="G2050" s="223" t="s">
        <v>24458</v>
      </c>
      <c r="H2050" s="224"/>
      <c r="I2050" s="352" t="s">
        <v>24459</v>
      </c>
      <c r="J2050" s="39">
        <v>102482</v>
      </c>
      <c r="K2050" s="36" t="str">
        <f>CONCATENATE(Cover!$D$6,"fdd/view?i=",J2050)</f>
        <v>https://www.dgiwg.org/FAD/fdd/view?i=102482</v>
      </c>
      <c r="L2050" s="36" t="s">
        <v>24460</v>
      </c>
      <c r="M2050" s="186"/>
      <c r="N2050" s="186"/>
      <c r="O2050" s="172"/>
    </row>
    <row r="2051" spans="1:15" ht="25.5" x14ac:dyDescent="0.2">
      <c r="A2051" s="197" t="str">
        <f t="shared" si="32"/>
        <v>BotCode_drawbridge</v>
      </c>
      <c r="B2051" s="409"/>
      <c r="C2051" s="416"/>
      <c r="D2051" s="198" t="s">
        <v>24461</v>
      </c>
      <c r="E2051" s="198">
        <v>15</v>
      </c>
      <c r="F2051" s="199" t="s">
        <v>24462</v>
      </c>
      <c r="G2051" s="1" t="s">
        <v>24463</v>
      </c>
      <c r="H2051" s="1" t="s">
        <v>24464</v>
      </c>
      <c r="I2051" s="346"/>
      <c r="J2051" s="39">
        <v>110080</v>
      </c>
      <c r="K2051" s="36" t="str">
        <f>CONCATENATE(Cover!$D$6,"fdd/view?i=",J2051)</f>
        <v>https://www.dgiwg.org/FAD/fdd/view?i=110080</v>
      </c>
      <c r="L2051" s="36" t="s">
        <v>24465</v>
      </c>
      <c r="M2051" s="186"/>
      <c r="N2051" s="186"/>
      <c r="O2051" s="172"/>
    </row>
    <row r="2052" spans="1:15" x14ac:dyDescent="0.2">
      <c r="A2052" s="197" t="str">
        <f t="shared" si="32"/>
        <v>BotCode_fixed</v>
      </c>
      <c r="B2052" s="409"/>
      <c r="C2052" s="416"/>
      <c r="D2052" s="198" t="s">
        <v>24466</v>
      </c>
      <c r="E2052" s="198">
        <v>17</v>
      </c>
      <c r="F2052" s="199" t="s">
        <v>24467</v>
      </c>
      <c r="G2052" s="1" t="s">
        <v>24468</v>
      </c>
      <c r="H2052" s="200"/>
      <c r="I2052" s="346"/>
      <c r="J2052" s="39">
        <v>110082</v>
      </c>
      <c r="K2052" s="36" t="str">
        <f>CONCATENATE(Cover!$D$6,"fdd/view?i=",J2052)</f>
        <v>https://www.dgiwg.org/FAD/fdd/view?i=110082</v>
      </c>
      <c r="L2052" s="36" t="s">
        <v>24469</v>
      </c>
      <c r="M2052" s="186"/>
      <c r="N2052" s="186"/>
      <c r="O2052" s="172"/>
    </row>
    <row r="2053" spans="1:15" ht="25.5" x14ac:dyDescent="0.2">
      <c r="A2053" s="197" t="str">
        <f t="shared" si="32"/>
        <v>BotCode_liftBridge</v>
      </c>
      <c r="B2053" s="409"/>
      <c r="C2053" s="416"/>
      <c r="D2053" s="198" t="s">
        <v>24470</v>
      </c>
      <c r="E2053" s="198">
        <v>11</v>
      </c>
      <c r="F2053" s="199" t="s">
        <v>24471</v>
      </c>
      <c r="G2053" s="1" t="s">
        <v>24472</v>
      </c>
      <c r="H2053" s="1" t="s">
        <v>24473</v>
      </c>
      <c r="I2053" s="346"/>
      <c r="J2053" s="39">
        <v>102484</v>
      </c>
      <c r="K2053" s="36" t="str">
        <f>CONCATENATE(Cover!$D$6,"fdd/view?i=",J2053)</f>
        <v>https://www.dgiwg.org/FAD/fdd/view?i=102484</v>
      </c>
      <c r="L2053" s="36" t="s">
        <v>24474</v>
      </c>
      <c r="M2053" s="186"/>
      <c r="N2053" s="186"/>
      <c r="O2053" s="172"/>
    </row>
    <row r="2054" spans="1:15" ht="38.25" x14ac:dyDescent="0.2">
      <c r="A2054" s="197" t="str">
        <f t="shared" si="32"/>
        <v>BotCode_opening</v>
      </c>
      <c r="B2054" s="409"/>
      <c r="C2054" s="416"/>
      <c r="D2054" s="198" t="s">
        <v>24475</v>
      </c>
      <c r="E2054" s="198">
        <v>16</v>
      </c>
      <c r="F2054" s="199" t="s">
        <v>24476</v>
      </c>
      <c r="G2054" s="1" t="s">
        <v>24477</v>
      </c>
      <c r="H2054" s="1" t="s">
        <v>24478</v>
      </c>
      <c r="I2054" s="351" t="s">
        <v>24479</v>
      </c>
      <c r="J2054" s="39">
        <v>110081</v>
      </c>
      <c r="K2054" s="36" t="str">
        <f>CONCATENATE(Cover!$D$6,"fdd/view?i=",J2054)</f>
        <v>https://www.dgiwg.org/FAD/fdd/view?i=110081</v>
      </c>
      <c r="L2054" s="36" t="s">
        <v>24480</v>
      </c>
      <c r="M2054" s="186"/>
      <c r="N2054" s="186"/>
      <c r="O2054" s="172"/>
    </row>
    <row r="2055" spans="1:15" ht="25.5" x14ac:dyDescent="0.2">
      <c r="A2055" s="197" t="str">
        <f t="shared" si="32"/>
        <v>BotCode_retractable</v>
      </c>
      <c r="B2055" s="409"/>
      <c r="C2055" s="416"/>
      <c r="D2055" s="198" t="s">
        <v>24481</v>
      </c>
      <c r="E2055" s="198">
        <v>12</v>
      </c>
      <c r="F2055" s="199" t="s">
        <v>24482</v>
      </c>
      <c r="G2055" s="1" t="s">
        <v>24483</v>
      </c>
      <c r="H2055" s="200"/>
      <c r="I2055" s="346"/>
      <c r="J2055" s="39">
        <v>102485</v>
      </c>
      <c r="K2055" s="36" t="str">
        <f>CONCATENATE(Cover!$D$6,"fdd/view?i=",J2055)</f>
        <v>https://www.dgiwg.org/FAD/fdd/view?i=102485</v>
      </c>
      <c r="L2055" s="36" t="s">
        <v>24484</v>
      </c>
      <c r="M2055" s="186"/>
      <c r="N2055" s="186"/>
      <c r="O2055" s="172"/>
    </row>
    <row r="2056" spans="1:15" ht="38.25" x14ac:dyDescent="0.2">
      <c r="A2056" s="197" t="str">
        <f t="shared" si="32"/>
        <v>BotCode_submersible</v>
      </c>
      <c r="B2056" s="409"/>
      <c r="C2056" s="416"/>
      <c r="D2056" s="198" t="s">
        <v>24485</v>
      </c>
      <c r="E2056" s="198">
        <v>14</v>
      </c>
      <c r="F2056" s="199" t="s">
        <v>24486</v>
      </c>
      <c r="G2056" s="1" t="s">
        <v>24487</v>
      </c>
      <c r="H2056" s="1" t="s">
        <v>24488</v>
      </c>
      <c r="I2056" s="346"/>
      <c r="J2056" s="39">
        <v>102487</v>
      </c>
      <c r="K2056" s="36" t="str">
        <f>CONCATENATE(Cover!$D$6,"fdd/view?i=",J2056)</f>
        <v>https://www.dgiwg.org/FAD/fdd/view?i=102487</v>
      </c>
      <c r="L2056" s="36" t="s">
        <v>24489</v>
      </c>
      <c r="M2056" s="186"/>
      <c r="N2056" s="186"/>
      <c r="O2056" s="172"/>
    </row>
    <row r="2057" spans="1:15" ht="25.5" x14ac:dyDescent="0.2">
      <c r="A2057" s="203" t="str">
        <f t="shared" si="32"/>
        <v>BotCode_swingBridge</v>
      </c>
      <c r="B2057" s="410"/>
      <c r="C2057" s="417"/>
      <c r="D2057" s="204" t="s">
        <v>24490</v>
      </c>
      <c r="E2057" s="204">
        <v>10</v>
      </c>
      <c r="F2057" s="205" t="s">
        <v>24491</v>
      </c>
      <c r="G2057" s="206" t="s">
        <v>24492</v>
      </c>
      <c r="H2057" s="207"/>
      <c r="I2057" s="347"/>
      <c r="J2057" s="39">
        <v>102483</v>
      </c>
      <c r="K2057" s="36" t="str">
        <f>CONCATENATE(Cover!$D$6,"fdd/view?i=",J2057)</f>
        <v>https://www.dgiwg.org/FAD/fdd/view?i=102483</v>
      </c>
      <c r="L2057" s="36" t="s">
        <v>24493</v>
      </c>
      <c r="M2057" s="186"/>
      <c r="N2057" s="186"/>
      <c r="O2057" s="172"/>
    </row>
    <row r="2058" spans="1:15" ht="25.5" x14ac:dyDescent="0.2">
      <c r="A2058" s="190" t="str">
        <f t="shared" si="32"/>
        <v>BscCode_arch</v>
      </c>
      <c r="B2058" s="414" t="str">
        <f>HYPERLINK("[#]Datatypes!A270:L270","BscCode")</f>
        <v>BscCode</v>
      </c>
      <c r="C2058" s="415" t="s">
        <v>14829</v>
      </c>
      <c r="D2058" s="221" t="s">
        <v>24494</v>
      </c>
      <c r="E2058" s="221">
        <v>31</v>
      </c>
      <c r="F2058" s="222" t="s">
        <v>24495</v>
      </c>
      <c r="G2058" s="223" t="s">
        <v>24496</v>
      </c>
      <c r="H2058" s="224"/>
      <c r="I2058" s="345"/>
      <c r="J2058" s="39">
        <v>110084</v>
      </c>
      <c r="K2058" s="36" t="str">
        <f>CONCATENATE(Cover!$D$6,"fdd/view?i=",J2058)</f>
        <v>https://www.dgiwg.org/FAD/fdd/view?i=110084</v>
      </c>
      <c r="L2058" s="36" t="s">
        <v>24497</v>
      </c>
      <c r="M2058" s="186"/>
      <c r="N2058" s="186"/>
      <c r="O2058" s="172"/>
    </row>
    <row r="2059" spans="1:15" ht="25.5" x14ac:dyDescent="0.2">
      <c r="A2059" s="197" t="str">
        <f t="shared" si="32"/>
        <v>BscCode_bowstringBridge</v>
      </c>
      <c r="B2059" s="409"/>
      <c r="C2059" s="416"/>
      <c r="D2059" s="198" t="s">
        <v>24498</v>
      </c>
      <c r="E2059" s="198">
        <v>19</v>
      </c>
      <c r="F2059" s="199" t="s">
        <v>24499</v>
      </c>
      <c r="G2059" s="1" t="s">
        <v>24500</v>
      </c>
      <c r="H2059" s="1" t="s">
        <v>24501</v>
      </c>
      <c r="I2059" s="351" t="s">
        <v>24502</v>
      </c>
      <c r="J2059" s="39">
        <v>102545</v>
      </c>
      <c r="K2059" s="36" t="str">
        <f>CONCATENATE(Cover!$D$6,"fdd/view?i=",J2059)</f>
        <v>https://www.dgiwg.org/FAD/fdd/view?i=102545</v>
      </c>
      <c r="L2059" s="36" t="s">
        <v>24503</v>
      </c>
      <c r="M2059" s="186"/>
      <c r="N2059" s="186"/>
      <c r="O2059" s="172"/>
    </row>
    <row r="2060" spans="1:15" ht="102" x14ac:dyDescent="0.2">
      <c r="A2060" s="197" t="str">
        <f t="shared" si="32"/>
        <v>BscCode_cableStayed</v>
      </c>
      <c r="B2060" s="409"/>
      <c r="C2060" s="416"/>
      <c r="D2060" s="198" t="s">
        <v>24504</v>
      </c>
      <c r="E2060" s="198">
        <v>27</v>
      </c>
      <c r="F2060" s="199" t="s">
        <v>24505</v>
      </c>
      <c r="G2060" s="1" t="s">
        <v>24506</v>
      </c>
      <c r="H2060" s="1" t="s">
        <v>24507</v>
      </c>
      <c r="I2060" s="346"/>
      <c r="J2060" s="39">
        <v>102553</v>
      </c>
      <c r="K2060" s="36" t="str">
        <f>CONCATENATE(Cover!$D$6,"fdd/view?i=",J2060)</f>
        <v>https://www.dgiwg.org/FAD/fdd/view?i=102553</v>
      </c>
      <c r="L2060" s="36" t="s">
        <v>24508</v>
      </c>
      <c r="M2060" s="186"/>
      <c r="N2060" s="186"/>
      <c r="O2060" s="172"/>
    </row>
    <row r="2061" spans="1:15" ht="38.25" x14ac:dyDescent="0.2">
      <c r="A2061" s="197" t="str">
        <f t="shared" si="32"/>
        <v>BscCode_cantilever</v>
      </c>
      <c r="B2061" s="409"/>
      <c r="C2061" s="416"/>
      <c r="D2061" s="198" t="s">
        <v>24509</v>
      </c>
      <c r="E2061" s="198">
        <v>2</v>
      </c>
      <c r="F2061" s="199" t="s">
        <v>24510</v>
      </c>
      <c r="G2061" s="1" t="s">
        <v>24511</v>
      </c>
      <c r="H2061" s="1" t="s">
        <v>24512</v>
      </c>
      <c r="I2061" s="346"/>
      <c r="J2061" s="39">
        <v>102528</v>
      </c>
      <c r="K2061" s="36" t="str">
        <f>CONCATENATE(Cover!$D$6,"fdd/view?i=",J2061)</f>
        <v>https://www.dgiwg.org/FAD/fdd/view?i=102528</v>
      </c>
      <c r="L2061" s="36" t="s">
        <v>24513</v>
      </c>
      <c r="M2061" s="186"/>
      <c r="N2061" s="186"/>
      <c r="O2061" s="172"/>
    </row>
    <row r="2062" spans="1:15" ht="25.5" x14ac:dyDescent="0.2">
      <c r="A2062" s="197" t="str">
        <f t="shared" si="32"/>
        <v>BscCode_closedSpandrelArch</v>
      </c>
      <c r="B2062" s="409"/>
      <c r="C2062" s="416"/>
      <c r="D2062" s="198" t="s">
        <v>24514</v>
      </c>
      <c r="E2062" s="198">
        <v>26</v>
      </c>
      <c r="F2062" s="199" t="s">
        <v>24515</v>
      </c>
      <c r="G2062" s="1" t="s">
        <v>24516</v>
      </c>
      <c r="H2062" s="200"/>
      <c r="I2062" s="346"/>
      <c r="J2062" s="39">
        <v>102552</v>
      </c>
      <c r="K2062" s="36" t="str">
        <f>CONCATENATE(Cover!$D$6,"fdd/view?i=",J2062)</f>
        <v>https://www.dgiwg.org/FAD/fdd/view?i=102552</v>
      </c>
      <c r="L2062" s="36" t="s">
        <v>24517</v>
      </c>
      <c r="M2062" s="186"/>
      <c r="N2062" s="186"/>
      <c r="O2062" s="172"/>
    </row>
    <row r="2063" spans="1:15" x14ac:dyDescent="0.2">
      <c r="A2063" s="197" t="str">
        <f t="shared" si="32"/>
        <v>BscCode_covered</v>
      </c>
      <c r="B2063" s="409"/>
      <c r="C2063" s="416"/>
      <c r="D2063" s="198" t="s">
        <v>24518</v>
      </c>
      <c r="E2063" s="198">
        <v>22</v>
      </c>
      <c r="F2063" s="199" t="s">
        <v>24519</v>
      </c>
      <c r="G2063" s="1" t="s">
        <v>24520</v>
      </c>
      <c r="H2063" s="200"/>
      <c r="I2063" s="346"/>
      <c r="J2063" s="39">
        <v>102548</v>
      </c>
      <c r="K2063" s="36" t="str">
        <f>CONCATENATE(Cover!$D$6,"fdd/view?i=",J2063)</f>
        <v>https://www.dgiwg.org/FAD/fdd/view?i=102548</v>
      </c>
      <c r="L2063" s="36" t="s">
        <v>24521</v>
      </c>
      <c r="M2063" s="186"/>
      <c r="N2063" s="186"/>
      <c r="O2063" s="172"/>
    </row>
    <row r="2064" spans="1:15" x14ac:dyDescent="0.2">
      <c r="A2064" s="197" t="str">
        <f t="shared" si="32"/>
        <v>BscCode_deck</v>
      </c>
      <c r="B2064" s="409"/>
      <c r="C2064" s="416"/>
      <c r="D2064" s="198" t="s">
        <v>24522</v>
      </c>
      <c r="E2064" s="198">
        <v>3</v>
      </c>
      <c r="F2064" s="199" t="s">
        <v>24523</v>
      </c>
      <c r="G2064" s="1" t="s">
        <v>24524</v>
      </c>
      <c r="H2064" s="200"/>
      <c r="I2064" s="346"/>
      <c r="J2064" s="39">
        <v>102529</v>
      </c>
      <c r="K2064" s="36" t="str">
        <f>CONCATENATE(Cover!$D$6,"fdd/view?i=",J2064)</f>
        <v>https://www.dgiwg.org/FAD/fdd/view?i=102529</v>
      </c>
      <c r="L2064" s="36" t="s">
        <v>24525</v>
      </c>
      <c r="M2064" s="186"/>
      <c r="N2064" s="186"/>
      <c r="O2064" s="172"/>
    </row>
    <row r="2065" spans="1:15" x14ac:dyDescent="0.2">
      <c r="A2065" s="197" t="str">
        <f t="shared" si="32"/>
        <v>BscCode_floating</v>
      </c>
      <c r="B2065" s="409"/>
      <c r="C2065" s="416"/>
      <c r="D2065" s="198" t="s">
        <v>8791</v>
      </c>
      <c r="E2065" s="198">
        <v>5</v>
      </c>
      <c r="F2065" s="199" t="s">
        <v>8793</v>
      </c>
      <c r="G2065" s="1" t="s">
        <v>24526</v>
      </c>
      <c r="H2065" s="1" t="s">
        <v>24527</v>
      </c>
      <c r="I2065" s="351" t="s">
        <v>4484</v>
      </c>
      <c r="J2065" s="39">
        <v>102531</v>
      </c>
      <c r="K2065" s="36" t="str">
        <f>CONCATENATE(Cover!$D$6,"fdd/view?i=",J2065)</f>
        <v>https://www.dgiwg.org/FAD/fdd/view?i=102531</v>
      </c>
      <c r="L2065" s="36" t="s">
        <v>24528</v>
      </c>
      <c r="M2065" s="186"/>
      <c r="N2065" s="186"/>
      <c r="O2065" s="172"/>
    </row>
    <row r="2066" spans="1:15" ht="25.5" x14ac:dyDescent="0.2">
      <c r="A2066" s="197" t="str">
        <f t="shared" si="32"/>
        <v>BscCode_girder</v>
      </c>
      <c r="B2066" s="409"/>
      <c r="C2066" s="416"/>
      <c r="D2066" s="198" t="s">
        <v>24529</v>
      </c>
      <c r="E2066" s="198">
        <v>6</v>
      </c>
      <c r="F2066" s="199" t="s">
        <v>24530</v>
      </c>
      <c r="G2066" s="1" t="s">
        <v>24531</v>
      </c>
      <c r="H2066" s="1" t="s">
        <v>24532</v>
      </c>
      <c r="I2066" s="351" t="s">
        <v>24533</v>
      </c>
      <c r="J2066" s="39">
        <v>102532</v>
      </c>
      <c r="K2066" s="36" t="str">
        <f>CONCATENATE(Cover!$D$6,"fdd/view?i=",J2066)</f>
        <v>https://www.dgiwg.org/FAD/fdd/view?i=102532</v>
      </c>
      <c r="L2066" s="36" t="s">
        <v>24534</v>
      </c>
      <c r="M2066" s="186"/>
      <c r="N2066" s="186"/>
      <c r="O2066" s="172"/>
    </row>
    <row r="2067" spans="1:15" ht="25.5" x14ac:dyDescent="0.2">
      <c r="A2067" s="197" t="str">
        <f t="shared" si="32"/>
        <v>BscCode_openSpandrelArch</v>
      </c>
      <c r="B2067" s="409"/>
      <c r="C2067" s="416"/>
      <c r="D2067" s="198" t="s">
        <v>24535</v>
      </c>
      <c r="E2067" s="198">
        <v>1</v>
      </c>
      <c r="F2067" s="199" t="s">
        <v>24536</v>
      </c>
      <c r="G2067" s="1" t="s">
        <v>24537</v>
      </c>
      <c r="H2067" s="200"/>
      <c r="I2067" s="346"/>
      <c r="J2067" s="39">
        <v>102527</v>
      </c>
      <c r="K2067" s="36" t="str">
        <f>CONCATENATE(Cover!$D$6,"fdd/view?i=",J2067)</f>
        <v>https://www.dgiwg.org/FAD/fdd/view?i=102527</v>
      </c>
      <c r="L2067" s="36" t="s">
        <v>24538</v>
      </c>
      <c r="M2067" s="186"/>
      <c r="N2067" s="186"/>
      <c r="O2067" s="172"/>
    </row>
    <row r="2068" spans="1:15" x14ac:dyDescent="0.2">
      <c r="A2068" s="197" t="str">
        <f t="shared" si="32"/>
        <v>BscCode_slab</v>
      </c>
      <c r="B2068" s="409"/>
      <c r="C2068" s="416"/>
      <c r="D2068" s="198" t="s">
        <v>24539</v>
      </c>
      <c r="E2068" s="198">
        <v>15</v>
      </c>
      <c r="F2068" s="199" t="s">
        <v>24540</v>
      </c>
      <c r="G2068" s="1" t="s">
        <v>24541</v>
      </c>
      <c r="H2068" s="200"/>
      <c r="I2068" s="346"/>
      <c r="J2068" s="39">
        <v>102541</v>
      </c>
      <c r="K2068" s="36" t="str">
        <f>CONCATENATE(Cover!$D$6,"fdd/view?i=",J2068)</f>
        <v>https://www.dgiwg.org/FAD/fdd/view?i=102541</v>
      </c>
      <c r="L2068" s="36" t="s">
        <v>24542</v>
      </c>
      <c r="M2068" s="186"/>
      <c r="N2068" s="186"/>
      <c r="O2068" s="172"/>
    </row>
    <row r="2069" spans="1:15" ht="51" x14ac:dyDescent="0.2">
      <c r="A2069" s="197" t="str">
        <f t="shared" si="32"/>
        <v>BscCode_stringerBeam</v>
      </c>
      <c r="B2069" s="409"/>
      <c r="C2069" s="416"/>
      <c r="D2069" s="198" t="s">
        <v>24543</v>
      </c>
      <c r="E2069" s="198">
        <v>16</v>
      </c>
      <c r="F2069" s="199" t="s">
        <v>24544</v>
      </c>
      <c r="G2069" s="1" t="s">
        <v>24545</v>
      </c>
      <c r="H2069" s="1" t="s">
        <v>24546</v>
      </c>
      <c r="I2069" s="346"/>
      <c r="J2069" s="39">
        <v>102542</v>
      </c>
      <c r="K2069" s="36" t="str">
        <f>CONCATENATE(Cover!$D$6,"fdd/view?i=",J2069)</f>
        <v>https://www.dgiwg.org/FAD/fdd/view?i=102542</v>
      </c>
      <c r="L2069" s="36" t="s">
        <v>24547</v>
      </c>
      <c r="M2069" s="186"/>
      <c r="N2069" s="186"/>
      <c r="O2069" s="172"/>
    </row>
    <row r="2070" spans="1:15" ht="25.5" x14ac:dyDescent="0.2">
      <c r="A2070" s="197" t="str">
        <f t="shared" si="32"/>
        <v>BscCode_submersible</v>
      </c>
      <c r="B2070" s="409"/>
      <c r="C2070" s="416"/>
      <c r="D2070" s="198" t="s">
        <v>24485</v>
      </c>
      <c r="E2070" s="198">
        <v>30</v>
      </c>
      <c r="F2070" s="199" t="s">
        <v>24486</v>
      </c>
      <c r="G2070" s="1" t="s">
        <v>24548</v>
      </c>
      <c r="H2070" s="200"/>
      <c r="I2070" s="346"/>
      <c r="J2070" s="39">
        <v>110083</v>
      </c>
      <c r="K2070" s="36" t="str">
        <f>CONCATENATE(Cover!$D$6,"fdd/view?i=",J2070)</f>
        <v>https://www.dgiwg.org/FAD/fdd/view?i=110083</v>
      </c>
      <c r="L2070" s="36" t="s">
        <v>24549</v>
      </c>
      <c r="M2070" s="186"/>
      <c r="N2070" s="186"/>
      <c r="O2070" s="172"/>
    </row>
    <row r="2071" spans="1:15" ht="25.5" x14ac:dyDescent="0.2">
      <c r="A2071" s="197" t="str">
        <f t="shared" si="32"/>
        <v>BscCode_suspension</v>
      </c>
      <c r="B2071" s="409"/>
      <c r="C2071" s="416"/>
      <c r="D2071" s="198" t="s">
        <v>24550</v>
      </c>
      <c r="E2071" s="198">
        <v>9</v>
      </c>
      <c r="F2071" s="199" t="s">
        <v>24551</v>
      </c>
      <c r="G2071" s="1" t="s">
        <v>24552</v>
      </c>
      <c r="H2071" s="1" t="s">
        <v>24553</v>
      </c>
      <c r="I2071" s="346"/>
      <c r="J2071" s="39">
        <v>102535</v>
      </c>
      <c r="K2071" s="36" t="str">
        <f>CONCATENATE(Cover!$D$6,"fdd/view?i=",J2071)</f>
        <v>https://www.dgiwg.org/FAD/fdd/view?i=102535</v>
      </c>
      <c r="L2071" s="36" t="s">
        <v>24554</v>
      </c>
      <c r="M2071" s="186"/>
      <c r="N2071" s="186"/>
      <c r="O2071" s="172"/>
    </row>
    <row r="2072" spans="1:15" ht="38.25" x14ac:dyDescent="0.2">
      <c r="A2072" s="197" t="str">
        <f t="shared" si="32"/>
        <v>BscCode_towerSuspension</v>
      </c>
      <c r="B2072" s="409"/>
      <c r="C2072" s="416"/>
      <c r="D2072" s="198" t="s">
        <v>24555</v>
      </c>
      <c r="E2072" s="198">
        <v>7</v>
      </c>
      <c r="F2072" s="199" t="s">
        <v>24556</v>
      </c>
      <c r="G2072" s="1" t="s">
        <v>24557</v>
      </c>
      <c r="H2072" s="200"/>
      <c r="I2072" s="346"/>
      <c r="J2072" s="39">
        <v>102533</v>
      </c>
      <c r="K2072" s="36" t="str">
        <f>CONCATENATE(Cover!$D$6,"fdd/view?i=",J2072)</f>
        <v>https://www.dgiwg.org/FAD/fdd/view?i=102533</v>
      </c>
      <c r="L2072" s="36" t="s">
        <v>24558</v>
      </c>
      <c r="M2072" s="186"/>
      <c r="N2072" s="186"/>
      <c r="O2072" s="172"/>
    </row>
    <row r="2073" spans="1:15" ht="25.5" x14ac:dyDescent="0.2">
      <c r="A2073" s="197" t="str">
        <f t="shared" si="32"/>
        <v>BscCode_transporter</v>
      </c>
      <c r="B2073" s="409"/>
      <c r="C2073" s="416"/>
      <c r="D2073" s="198" t="s">
        <v>24559</v>
      </c>
      <c r="E2073" s="198">
        <v>12</v>
      </c>
      <c r="F2073" s="199" t="s">
        <v>24560</v>
      </c>
      <c r="G2073" s="1" t="s">
        <v>24561</v>
      </c>
      <c r="H2073" s="200"/>
      <c r="I2073" s="351" t="s">
        <v>24562</v>
      </c>
      <c r="J2073" s="39">
        <v>102538</v>
      </c>
      <c r="K2073" s="36" t="str">
        <f>CONCATENATE(Cover!$D$6,"fdd/view?i=",J2073)</f>
        <v>https://www.dgiwg.org/FAD/fdd/view?i=102538</v>
      </c>
      <c r="L2073" s="36" t="s">
        <v>24563</v>
      </c>
      <c r="M2073" s="186"/>
      <c r="N2073" s="186"/>
      <c r="O2073" s="172"/>
    </row>
    <row r="2074" spans="1:15" ht="89.25" x14ac:dyDescent="0.2">
      <c r="A2074" s="197" t="str">
        <f t="shared" si="32"/>
        <v>BscCode_trestle</v>
      </c>
      <c r="B2074" s="409"/>
      <c r="C2074" s="416"/>
      <c r="D2074" s="198" t="s">
        <v>24564</v>
      </c>
      <c r="E2074" s="198">
        <v>32</v>
      </c>
      <c r="F2074" s="199" t="s">
        <v>24565</v>
      </c>
      <c r="G2074" s="1" t="s">
        <v>24566</v>
      </c>
      <c r="H2074" s="1" t="s">
        <v>24567</v>
      </c>
      <c r="I2074" s="346"/>
      <c r="J2074" s="39">
        <v>110085</v>
      </c>
      <c r="K2074" s="36" t="str">
        <f>CONCATENATE(Cover!$D$6,"fdd/view?i=",J2074)</f>
        <v>https://www.dgiwg.org/FAD/fdd/view?i=110085</v>
      </c>
      <c r="L2074" s="36" t="s">
        <v>24568</v>
      </c>
      <c r="M2074" s="186"/>
      <c r="N2074" s="186"/>
      <c r="O2074" s="172"/>
    </row>
    <row r="2075" spans="1:15" ht="25.5" x14ac:dyDescent="0.2">
      <c r="A2075" s="197" t="str">
        <f t="shared" si="32"/>
        <v>BscCode_truss</v>
      </c>
      <c r="B2075" s="409"/>
      <c r="C2075" s="416"/>
      <c r="D2075" s="198" t="s">
        <v>24569</v>
      </c>
      <c r="E2075" s="198">
        <v>8</v>
      </c>
      <c r="F2075" s="199" t="s">
        <v>24570</v>
      </c>
      <c r="G2075" s="1" t="s">
        <v>24571</v>
      </c>
      <c r="H2075" s="1" t="s">
        <v>24572</v>
      </c>
      <c r="I2075" s="346"/>
      <c r="J2075" s="39">
        <v>102534</v>
      </c>
      <c r="K2075" s="36" t="str">
        <f>CONCATENATE(Cover!$D$6,"fdd/view?i=",J2075)</f>
        <v>https://www.dgiwg.org/FAD/fdd/view?i=102534</v>
      </c>
      <c r="L2075" s="36" t="s">
        <v>24573</v>
      </c>
      <c r="M2075" s="186"/>
      <c r="N2075" s="186"/>
      <c r="O2075" s="172"/>
    </row>
    <row r="2076" spans="1:15" ht="25.5" x14ac:dyDescent="0.2">
      <c r="A2076" s="203" t="str">
        <f t="shared" si="32"/>
        <v>BscCode_viaduct</v>
      </c>
      <c r="B2076" s="410"/>
      <c r="C2076" s="417"/>
      <c r="D2076" s="204" t="s">
        <v>24574</v>
      </c>
      <c r="E2076" s="204">
        <v>28</v>
      </c>
      <c r="F2076" s="205" t="s">
        <v>24575</v>
      </c>
      <c r="G2076" s="206" t="s">
        <v>24576</v>
      </c>
      <c r="H2076" s="207"/>
      <c r="I2076" s="347"/>
      <c r="J2076" s="39">
        <v>102554</v>
      </c>
      <c r="K2076" s="36" t="str">
        <f>CONCATENATE(Cover!$D$6,"fdd/view?i=",J2076)</f>
        <v>https://www.dgiwg.org/FAD/fdd/view?i=102554</v>
      </c>
      <c r="L2076" s="36" t="s">
        <v>24577</v>
      </c>
      <c r="M2076" s="186"/>
      <c r="N2076" s="186"/>
      <c r="O2076" s="172"/>
    </row>
    <row r="2077" spans="1:15" x14ac:dyDescent="0.2">
      <c r="A2077" s="190" t="str">
        <f t="shared" si="32"/>
        <v>XbtCode_abutment</v>
      </c>
      <c r="B2077" s="414" t="str">
        <f>HYPERLINK("[#]Datatypes!A272:L272","XbtCode")</f>
        <v>XbtCode</v>
      </c>
      <c r="C2077" s="415" t="s">
        <v>14831</v>
      </c>
      <c r="D2077" s="221" t="s">
        <v>24578</v>
      </c>
      <c r="E2077" s="221">
        <v>1</v>
      </c>
      <c r="F2077" s="222" t="s">
        <v>24579</v>
      </c>
      <c r="G2077" s="223" t="s">
        <v>24580</v>
      </c>
      <c r="H2077" s="224"/>
      <c r="I2077" s="345"/>
      <c r="J2077" s="39">
        <v>119739</v>
      </c>
      <c r="K2077" s="36" t="str">
        <f>CONCATENATE(Cover!$D$6,"fdd/view?i=",J2077)</f>
        <v>https://www.dgiwg.org/FAD/fdd/view?i=119739</v>
      </c>
      <c r="L2077" s="36" t="s">
        <v>24581</v>
      </c>
      <c r="M2077" s="186"/>
      <c r="N2077" s="186"/>
      <c r="O2077" s="172"/>
    </row>
    <row r="2078" spans="1:15" x14ac:dyDescent="0.2">
      <c r="A2078" s="197" t="str">
        <f t="shared" si="32"/>
        <v>XbtCode_pier</v>
      </c>
      <c r="B2078" s="409"/>
      <c r="C2078" s="416"/>
      <c r="D2078" s="198" t="s">
        <v>24582</v>
      </c>
      <c r="E2078" s="198">
        <v>2</v>
      </c>
      <c r="F2078" s="199" t="s">
        <v>24583</v>
      </c>
      <c r="G2078" s="1" t="s">
        <v>24584</v>
      </c>
      <c r="H2078" s="200"/>
      <c r="I2078" s="346"/>
      <c r="J2078" s="39">
        <v>119740</v>
      </c>
      <c r="K2078" s="36" t="str">
        <f>CONCATENATE(Cover!$D$6,"fdd/view?i=",J2078)</f>
        <v>https://www.dgiwg.org/FAD/fdd/view?i=119740</v>
      </c>
      <c r="L2078" s="36" t="s">
        <v>24585</v>
      </c>
      <c r="M2078" s="186"/>
      <c r="N2078" s="186"/>
      <c r="O2078" s="172"/>
    </row>
    <row r="2079" spans="1:15" ht="25.5" x14ac:dyDescent="0.2">
      <c r="A2079" s="203" t="str">
        <f t="shared" si="32"/>
        <v>XbtCode_tower</v>
      </c>
      <c r="B2079" s="410"/>
      <c r="C2079" s="417"/>
      <c r="D2079" s="204" t="s">
        <v>24586</v>
      </c>
      <c r="E2079" s="204">
        <v>3</v>
      </c>
      <c r="F2079" s="205" t="s">
        <v>5505</v>
      </c>
      <c r="G2079" s="206" t="s">
        <v>24587</v>
      </c>
      <c r="H2079" s="207"/>
      <c r="I2079" s="347"/>
      <c r="J2079" s="39">
        <v>119741</v>
      </c>
      <c r="K2079" s="36" t="str">
        <f>CONCATENATE(Cover!$D$6,"fdd/view?i=",J2079)</f>
        <v>https://www.dgiwg.org/FAD/fdd/view?i=119741</v>
      </c>
      <c r="L2079" s="36" t="s">
        <v>24588</v>
      </c>
      <c r="M2079" s="186"/>
      <c r="N2079" s="186"/>
      <c r="O2079" s="172"/>
    </row>
    <row r="2080" spans="1:15" ht="25.5" x14ac:dyDescent="0.2">
      <c r="A2080" s="190" t="str">
        <f t="shared" si="32"/>
        <v>BovCode_awning</v>
      </c>
      <c r="B2080" s="414" t="str">
        <f>HYPERLINK("[#]Datatypes!A274:L274","BovCode")</f>
        <v>BovCode</v>
      </c>
      <c r="C2080" s="415" t="s">
        <v>14833</v>
      </c>
      <c r="D2080" s="221" t="s">
        <v>24589</v>
      </c>
      <c r="E2080" s="221">
        <v>4</v>
      </c>
      <c r="F2080" s="222" t="s">
        <v>24590</v>
      </c>
      <c r="G2080" s="223" t="s">
        <v>24591</v>
      </c>
      <c r="H2080" s="224"/>
      <c r="I2080" s="345"/>
      <c r="J2080" s="39">
        <v>118663</v>
      </c>
      <c r="K2080" s="36" t="str">
        <f>CONCATENATE(Cover!$D$6,"fdd/view?i=",J2080)</f>
        <v>https://www.dgiwg.org/FAD/fdd/view?i=118663</v>
      </c>
      <c r="L2080" s="36" t="s">
        <v>24592</v>
      </c>
      <c r="M2080" s="186"/>
      <c r="N2080" s="186"/>
      <c r="O2080" s="172"/>
    </row>
    <row r="2081" spans="1:15" ht="25.5" x14ac:dyDescent="0.2">
      <c r="A2081" s="197" t="str">
        <f t="shared" si="32"/>
        <v>BovCode_balcony</v>
      </c>
      <c r="B2081" s="409"/>
      <c r="C2081" s="416"/>
      <c r="D2081" s="198" t="s">
        <v>24593</v>
      </c>
      <c r="E2081" s="198">
        <v>1</v>
      </c>
      <c r="F2081" s="199" t="s">
        <v>24594</v>
      </c>
      <c r="G2081" s="1" t="s">
        <v>24595</v>
      </c>
      <c r="H2081" s="200"/>
      <c r="I2081" s="346"/>
      <c r="J2081" s="39">
        <v>118660</v>
      </c>
      <c r="K2081" s="36" t="str">
        <f>CONCATENATE(Cover!$D$6,"fdd/view?i=",J2081)</f>
        <v>https://www.dgiwg.org/FAD/fdd/view?i=118660</v>
      </c>
      <c r="L2081" s="36" t="s">
        <v>24596</v>
      </c>
      <c r="M2081" s="186"/>
      <c r="N2081" s="186"/>
      <c r="O2081" s="172"/>
    </row>
    <row r="2082" spans="1:15" x14ac:dyDescent="0.2">
      <c r="A2082" s="197" t="str">
        <f t="shared" si="32"/>
        <v>BovCode_flagpole</v>
      </c>
      <c r="B2082" s="409"/>
      <c r="C2082" s="416"/>
      <c r="D2082" s="198" t="s">
        <v>24597</v>
      </c>
      <c r="E2082" s="198">
        <v>5</v>
      </c>
      <c r="F2082" s="199" t="s">
        <v>3152</v>
      </c>
      <c r="G2082" s="1" t="s">
        <v>3154</v>
      </c>
      <c r="H2082" s="200"/>
      <c r="I2082" s="346"/>
      <c r="J2082" s="39">
        <v>118664</v>
      </c>
      <c r="K2082" s="36" t="str">
        <f>CONCATENATE(Cover!$D$6,"fdd/view?i=",J2082)</f>
        <v>https://www.dgiwg.org/FAD/fdd/view?i=118664</v>
      </c>
      <c r="L2082" s="36" t="s">
        <v>24598</v>
      </c>
      <c r="M2082" s="186"/>
      <c r="N2082" s="186"/>
      <c r="O2082" s="172"/>
    </row>
    <row r="2083" spans="1:15" x14ac:dyDescent="0.2">
      <c r="A2083" s="197" t="str">
        <f t="shared" si="32"/>
        <v>BovCode_jutty</v>
      </c>
      <c r="B2083" s="409"/>
      <c r="C2083" s="416"/>
      <c r="D2083" s="198" t="s">
        <v>24599</v>
      </c>
      <c r="E2083" s="198">
        <v>3</v>
      </c>
      <c r="F2083" s="199" t="s">
        <v>24600</v>
      </c>
      <c r="G2083" s="1" t="s">
        <v>24601</v>
      </c>
      <c r="H2083" s="200"/>
      <c r="I2083" s="346"/>
      <c r="J2083" s="39">
        <v>118662</v>
      </c>
      <c r="K2083" s="36" t="str">
        <f>CONCATENATE(Cover!$D$6,"fdd/view?i=",J2083)</f>
        <v>https://www.dgiwg.org/FAD/fdd/view?i=118662</v>
      </c>
      <c r="L2083" s="36" t="s">
        <v>24602</v>
      </c>
      <c r="M2083" s="186"/>
      <c r="N2083" s="186"/>
      <c r="O2083" s="172"/>
    </row>
    <row r="2084" spans="1:15" ht="25.5" x14ac:dyDescent="0.2">
      <c r="A2084" s="197" t="str">
        <f t="shared" si="32"/>
        <v>BovCode_ornamentalElements</v>
      </c>
      <c r="B2084" s="409"/>
      <c r="C2084" s="416"/>
      <c r="D2084" s="198" t="s">
        <v>24603</v>
      </c>
      <c r="E2084" s="198">
        <v>6</v>
      </c>
      <c r="F2084" s="199" t="s">
        <v>24604</v>
      </c>
      <c r="G2084" s="1" t="s">
        <v>24605</v>
      </c>
      <c r="H2084" s="200"/>
      <c r="I2084" s="346"/>
      <c r="J2084" s="39">
        <v>118665</v>
      </c>
      <c r="K2084" s="36" t="str">
        <f>CONCATENATE(Cover!$D$6,"fdd/view?i=",J2084)</f>
        <v>https://www.dgiwg.org/FAD/fdd/view?i=118665</v>
      </c>
      <c r="L2084" s="36" t="s">
        <v>24606</v>
      </c>
      <c r="M2084" s="186"/>
      <c r="N2084" s="186"/>
      <c r="O2084" s="172"/>
    </row>
    <row r="2085" spans="1:15" ht="25.5" x14ac:dyDescent="0.2">
      <c r="A2085" s="203" t="str">
        <f t="shared" si="32"/>
        <v>BovCode_projectingRoof</v>
      </c>
      <c r="B2085" s="410"/>
      <c r="C2085" s="417"/>
      <c r="D2085" s="204" t="s">
        <v>24607</v>
      </c>
      <c r="E2085" s="204">
        <v>2</v>
      </c>
      <c r="F2085" s="205" t="s">
        <v>24608</v>
      </c>
      <c r="G2085" s="206" t="s">
        <v>24609</v>
      </c>
      <c r="H2085" s="207"/>
      <c r="I2085" s="347"/>
      <c r="J2085" s="39">
        <v>118661</v>
      </c>
      <c r="K2085" s="36" t="str">
        <f>CONCATENATE(Cover!$D$6,"fdd/view?i=",J2085)</f>
        <v>https://www.dgiwg.org/FAD/fdd/view?i=118661</v>
      </c>
      <c r="L2085" s="36" t="s">
        <v>24610</v>
      </c>
      <c r="M2085" s="186"/>
      <c r="N2085" s="186"/>
      <c r="O2085" s="172"/>
    </row>
    <row r="2086" spans="1:15" ht="25.5" x14ac:dyDescent="0.2">
      <c r="A2086" s="190" t="str">
        <f t="shared" si="32"/>
        <v>BsuCode_chimney</v>
      </c>
      <c r="B2086" s="414" t="str">
        <f>HYPERLINK("[#]Datatypes!A276:L276","BsuCode")</f>
        <v>BsuCode</v>
      </c>
      <c r="C2086" s="415" t="s">
        <v>14835</v>
      </c>
      <c r="D2086" s="221" t="s">
        <v>24611</v>
      </c>
      <c r="E2086" s="221">
        <v>1</v>
      </c>
      <c r="F2086" s="222" t="s">
        <v>5116</v>
      </c>
      <c r="G2086" s="223" t="s">
        <v>24612</v>
      </c>
      <c r="H2086" s="224"/>
      <c r="I2086" s="345"/>
      <c r="J2086" s="39">
        <v>117998</v>
      </c>
      <c r="K2086" s="36" t="str">
        <f>CONCATENATE(Cover!$D$6,"fdd/view?i=",J2086)</f>
        <v>https://www.dgiwg.org/FAD/fdd/view?i=117998</v>
      </c>
      <c r="L2086" s="36" t="s">
        <v>24613</v>
      </c>
      <c r="M2086" s="186"/>
      <c r="N2086" s="186"/>
      <c r="O2086" s="172"/>
    </row>
    <row r="2087" spans="1:15" ht="25.5" x14ac:dyDescent="0.2">
      <c r="A2087" s="197" t="str">
        <f t="shared" si="32"/>
        <v>BsuCode_cupola</v>
      </c>
      <c r="B2087" s="409"/>
      <c r="C2087" s="416"/>
      <c r="D2087" s="198" t="s">
        <v>24614</v>
      </c>
      <c r="E2087" s="198">
        <v>14</v>
      </c>
      <c r="F2087" s="199" t="s">
        <v>24615</v>
      </c>
      <c r="G2087" s="1" t="s">
        <v>24616</v>
      </c>
      <c r="H2087" s="1" t="s">
        <v>24617</v>
      </c>
      <c r="I2087" s="346"/>
      <c r="J2087" s="39">
        <v>118011</v>
      </c>
      <c r="K2087" s="36" t="str">
        <f>CONCATENATE(Cover!$D$6,"fdd/view?i=",J2087)</f>
        <v>https://www.dgiwg.org/FAD/fdd/view?i=118011</v>
      </c>
      <c r="L2087" s="36" t="s">
        <v>24618</v>
      </c>
      <c r="M2087" s="186"/>
      <c r="N2087" s="186"/>
      <c r="O2087" s="172"/>
    </row>
    <row r="2088" spans="1:15" ht="38.25" x14ac:dyDescent="0.2">
      <c r="A2088" s="197" t="str">
        <f t="shared" si="32"/>
        <v>BsuCode_dome</v>
      </c>
      <c r="B2088" s="409"/>
      <c r="C2088" s="416"/>
      <c r="D2088" s="198" t="s">
        <v>24619</v>
      </c>
      <c r="E2088" s="198">
        <v>17</v>
      </c>
      <c r="F2088" s="199" t="s">
        <v>24620</v>
      </c>
      <c r="G2088" s="1" t="s">
        <v>24621</v>
      </c>
      <c r="H2088" s="1" t="s">
        <v>24622</v>
      </c>
      <c r="I2088" s="346"/>
      <c r="J2088" s="39">
        <v>118014</v>
      </c>
      <c r="K2088" s="36" t="str">
        <f>CONCATENATE(Cover!$D$6,"fdd/view?i=",J2088)</f>
        <v>https://www.dgiwg.org/FAD/fdd/view?i=118014</v>
      </c>
      <c r="L2088" s="36" t="s">
        <v>24623</v>
      </c>
      <c r="M2088" s="186"/>
      <c r="N2088" s="186"/>
      <c r="O2088" s="172"/>
    </row>
    <row r="2089" spans="1:15" ht="38.25" x14ac:dyDescent="0.2">
      <c r="A2089" s="197" t="str">
        <f t="shared" si="32"/>
        <v>BsuCode_elevatorMachineRoom</v>
      </c>
      <c r="B2089" s="409"/>
      <c r="C2089" s="416"/>
      <c r="D2089" s="198" t="s">
        <v>24624</v>
      </c>
      <c r="E2089" s="198">
        <v>2</v>
      </c>
      <c r="F2089" s="199" t="s">
        <v>24625</v>
      </c>
      <c r="G2089" s="1" t="s">
        <v>24626</v>
      </c>
      <c r="H2089" s="200"/>
      <c r="I2089" s="346"/>
      <c r="J2089" s="39">
        <v>117999</v>
      </c>
      <c r="K2089" s="36" t="str">
        <f>CONCATENATE(Cover!$D$6,"fdd/view?i=",J2089)</f>
        <v>https://www.dgiwg.org/FAD/fdd/view?i=117999</v>
      </c>
      <c r="L2089" s="36" t="s">
        <v>24627</v>
      </c>
      <c r="M2089" s="186"/>
      <c r="N2089" s="186"/>
      <c r="O2089" s="172"/>
    </row>
    <row r="2090" spans="1:15" ht="25.5" x14ac:dyDescent="0.2">
      <c r="A2090" s="197" t="str">
        <f t="shared" si="32"/>
        <v>BsuCode_hvacEquipment</v>
      </c>
      <c r="B2090" s="409"/>
      <c r="C2090" s="416"/>
      <c r="D2090" s="198" t="s">
        <v>24628</v>
      </c>
      <c r="E2090" s="198">
        <v>3</v>
      </c>
      <c r="F2090" s="199" t="s">
        <v>24629</v>
      </c>
      <c r="G2090" s="1" t="s">
        <v>24630</v>
      </c>
      <c r="H2090" s="200"/>
      <c r="I2090" s="346"/>
      <c r="J2090" s="39">
        <v>118000</v>
      </c>
      <c r="K2090" s="36" t="str">
        <f>CONCATENATE(Cover!$D$6,"fdd/view?i=",J2090)</f>
        <v>https://www.dgiwg.org/FAD/fdd/view?i=118000</v>
      </c>
      <c r="L2090" s="36" t="s">
        <v>24631</v>
      </c>
      <c r="M2090" s="186"/>
      <c r="N2090" s="186"/>
      <c r="O2090" s="172"/>
    </row>
    <row r="2091" spans="1:15" ht="38.25" x14ac:dyDescent="0.2">
      <c r="A2091" s="197" t="str">
        <f t="shared" si="32"/>
        <v>BsuCode_lightningRod</v>
      </c>
      <c r="B2091" s="409"/>
      <c r="C2091" s="416"/>
      <c r="D2091" s="198" t="s">
        <v>24632</v>
      </c>
      <c r="E2091" s="198">
        <v>4</v>
      </c>
      <c r="F2091" s="199" t="s">
        <v>24633</v>
      </c>
      <c r="G2091" s="1" t="s">
        <v>24634</v>
      </c>
      <c r="H2091" s="1" t="s">
        <v>24635</v>
      </c>
      <c r="I2091" s="346"/>
      <c r="J2091" s="39">
        <v>118001</v>
      </c>
      <c r="K2091" s="36" t="str">
        <f>CONCATENATE(Cover!$D$6,"fdd/view?i=",J2091)</f>
        <v>https://www.dgiwg.org/FAD/fdd/view?i=118001</v>
      </c>
      <c r="L2091" s="36" t="s">
        <v>24636</v>
      </c>
      <c r="M2091" s="186"/>
      <c r="N2091" s="186"/>
      <c r="O2091" s="172"/>
    </row>
    <row r="2092" spans="1:15" ht="25.5" x14ac:dyDescent="0.2">
      <c r="A2092" s="197" t="str">
        <f t="shared" si="32"/>
        <v>BsuCode_minaret</v>
      </c>
      <c r="B2092" s="409"/>
      <c r="C2092" s="416"/>
      <c r="D2092" s="198" t="s">
        <v>24637</v>
      </c>
      <c r="E2092" s="198">
        <v>5</v>
      </c>
      <c r="F2092" s="199" t="s">
        <v>24638</v>
      </c>
      <c r="G2092" s="1" t="s">
        <v>24639</v>
      </c>
      <c r="H2092" s="1" t="s">
        <v>24640</v>
      </c>
      <c r="I2092" s="346"/>
      <c r="J2092" s="39">
        <v>118002</v>
      </c>
      <c r="K2092" s="36" t="str">
        <f>CONCATENATE(Cover!$D$6,"fdd/view?i=",J2092)</f>
        <v>https://www.dgiwg.org/FAD/fdd/view?i=118002</v>
      </c>
      <c r="L2092" s="36" t="s">
        <v>24641</v>
      </c>
      <c r="M2092" s="186"/>
      <c r="N2092" s="186"/>
      <c r="O2092" s="172"/>
    </row>
    <row r="2093" spans="1:15" ht="38.25" x14ac:dyDescent="0.2">
      <c r="A2093" s="197" t="str">
        <f t="shared" si="32"/>
        <v>BsuCode_ornamentalElement</v>
      </c>
      <c r="B2093" s="409"/>
      <c r="C2093" s="416"/>
      <c r="D2093" s="198" t="s">
        <v>24642</v>
      </c>
      <c r="E2093" s="198">
        <v>6</v>
      </c>
      <c r="F2093" s="199" t="s">
        <v>24643</v>
      </c>
      <c r="G2093" s="1" t="s">
        <v>24644</v>
      </c>
      <c r="H2093" s="1" t="s">
        <v>24645</v>
      </c>
      <c r="I2093" s="346"/>
      <c r="J2093" s="39">
        <v>118003</v>
      </c>
      <c r="K2093" s="36" t="str">
        <f>CONCATENATE(Cover!$D$6,"fdd/view?i=",J2093)</f>
        <v>https://www.dgiwg.org/FAD/fdd/view?i=118003</v>
      </c>
      <c r="L2093" s="36" t="s">
        <v>24646</v>
      </c>
      <c r="M2093" s="186"/>
      <c r="N2093" s="186"/>
      <c r="O2093" s="172"/>
    </row>
    <row r="2094" spans="1:15" ht="76.5" x14ac:dyDescent="0.2">
      <c r="A2094" s="197" t="str">
        <f t="shared" si="32"/>
        <v>BsuCode_parapet</v>
      </c>
      <c r="B2094" s="409"/>
      <c r="C2094" s="416"/>
      <c r="D2094" s="198" t="s">
        <v>24647</v>
      </c>
      <c r="E2094" s="198">
        <v>7</v>
      </c>
      <c r="F2094" s="199" t="s">
        <v>24648</v>
      </c>
      <c r="G2094" s="1" t="s">
        <v>24649</v>
      </c>
      <c r="H2094" s="1" t="s">
        <v>24650</v>
      </c>
      <c r="I2094" s="346"/>
      <c r="J2094" s="39">
        <v>118004</v>
      </c>
      <c r="K2094" s="36" t="str">
        <f>CONCATENATE(Cover!$D$6,"fdd/view?i=",J2094)</f>
        <v>https://www.dgiwg.org/FAD/fdd/view?i=118004</v>
      </c>
      <c r="L2094" s="36" t="s">
        <v>24651</v>
      </c>
      <c r="M2094" s="186"/>
      <c r="N2094" s="186"/>
      <c r="O2094" s="172"/>
    </row>
    <row r="2095" spans="1:15" ht="25.5" x14ac:dyDescent="0.2">
      <c r="A2095" s="197" t="str">
        <f t="shared" si="32"/>
        <v>BsuCode_roofDeck</v>
      </c>
      <c r="B2095" s="409"/>
      <c r="C2095" s="416"/>
      <c r="D2095" s="198" t="s">
        <v>24652</v>
      </c>
      <c r="E2095" s="198">
        <v>8</v>
      </c>
      <c r="F2095" s="199" t="s">
        <v>24653</v>
      </c>
      <c r="G2095" s="1" t="s">
        <v>24654</v>
      </c>
      <c r="H2095" s="1" t="s">
        <v>24655</v>
      </c>
      <c r="I2095" s="346"/>
      <c r="J2095" s="39">
        <v>118005</v>
      </c>
      <c r="K2095" s="36" t="str">
        <f>CONCATENATE(Cover!$D$6,"fdd/view?i=",J2095)</f>
        <v>https://www.dgiwg.org/FAD/fdd/view?i=118005</v>
      </c>
      <c r="L2095" s="36" t="s">
        <v>24656</v>
      </c>
      <c r="M2095" s="186"/>
      <c r="N2095" s="186"/>
      <c r="O2095" s="172"/>
    </row>
    <row r="2096" spans="1:15" x14ac:dyDescent="0.2">
      <c r="A2096" s="197" t="str">
        <f t="shared" si="32"/>
        <v>BsuCode_roofGarden</v>
      </c>
      <c r="B2096" s="409"/>
      <c r="C2096" s="416"/>
      <c r="D2096" s="198" t="s">
        <v>24657</v>
      </c>
      <c r="E2096" s="198">
        <v>9</v>
      </c>
      <c r="F2096" s="199" t="s">
        <v>24658</v>
      </c>
      <c r="G2096" s="1" t="s">
        <v>24659</v>
      </c>
      <c r="H2096" s="1" t="s">
        <v>24660</v>
      </c>
      <c r="I2096" s="346"/>
      <c r="J2096" s="39">
        <v>118006</v>
      </c>
      <c r="K2096" s="36" t="str">
        <f>CONCATENATE(Cover!$D$6,"fdd/view?i=",J2096)</f>
        <v>https://www.dgiwg.org/FAD/fdd/view?i=118006</v>
      </c>
      <c r="L2096" s="36" t="s">
        <v>24661</v>
      </c>
      <c r="M2096" s="186"/>
      <c r="N2096" s="186"/>
      <c r="O2096" s="172"/>
    </row>
    <row r="2097" spans="1:15" ht="38.25" x14ac:dyDescent="0.2">
      <c r="A2097" s="197" t="str">
        <f t="shared" si="32"/>
        <v>BsuCode_signage</v>
      </c>
      <c r="B2097" s="409"/>
      <c r="C2097" s="416"/>
      <c r="D2097" s="198" t="s">
        <v>24662</v>
      </c>
      <c r="E2097" s="198">
        <v>10</v>
      </c>
      <c r="F2097" s="199" t="s">
        <v>24663</v>
      </c>
      <c r="G2097" s="1" t="s">
        <v>24664</v>
      </c>
      <c r="H2097" s="1" t="s">
        <v>24665</v>
      </c>
      <c r="I2097" s="346"/>
      <c r="J2097" s="39">
        <v>118007</v>
      </c>
      <c r="K2097" s="36" t="str">
        <f>CONCATENATE(Cover!$D$6,"fdd/view?i=",J2097)</f>
        <v>https://www.dgiwg.org/FAD/fdd/view?i=118007</v>
      </c>
      <c r="L2097" s="36" t="s">
        <v>24666</v>
      </c>
      <c r="M2097" s="186"/>
      <c r="N2097" s="186"/>
      <c r="O2097" s="172"/>
    </row>
    <row r="2098" spans="1:15" x14ac:dyDescent="0.2">
      <c r="A2098" s="197" t="str">
        <f t="shared" si="32"/>
        <v>BsuCode_skylight</v>
      </c>
      <c r="B2098" s="409"/>
      <c r="C2098" s="416"/>
      <c r="D2098" s="198" t="s">
        <v>24667</v>
      </c>
      <c r="E2098" s="198">
        <v>11</v>
      </c>
      <c r="F2098" s="199" t="s">
        <v>24668</v>
      </c>
      <c r="G2098" s="1" t="s">
        <v>24669</v>
      </c>
      <c r="H2098" s="200"/>
      <c r="I2098" s="346"/>
      <c r="J2098" s="39">
        <v>118008</v>
      </c>
      <c r="K2098" s="36" t="str">
        <f>CONCATENATE(Cover!$D$6,"fdd/view?i=",J2098)</f>
        <v>https://www.dgiwg.org/FAD/fdd/view?i=118008</v>
      </c>
      <c r="L2098" s="36" t="s">
        <v>24670</v>
      </c>
      <c r="M2098" s="186"/>
      <c r="N2098" s="186"/>
      <c r="O2098" s="172"/>
    </row>
    <row r="2099" spans="1:15" ht="25.5" x14ac:dyDescent="0.2">
      <c r="A2099" s="197" t="str">
        <f t="shared" si="32"/>
        <v>BsuCode_solarPanels</v>
      </c>
      <c r="B2099" s="409"/>
      <c r="C2099" s="416"/>
      <c r="D2099" s="198" t="s">
        <v>24671</v>
      </c>
      <c r="E2099" s="198">
        <v>18</v>
      </c>
      <c r="F2099" s="199" t="s">
        <v>24672</v>
      </c>
      <c r="G2099" s="1" t="s">
        <v>24673</v>
      </c>
      <c r="H2099" s="200"/>
      <c r="I2099" s="346"/>
      <c r="J2099" s="39">
        <v>118456</v>
      </c>
      <c r="K2099" s="36" t="str">
        <f>CONCATENATE(Cover!$D$6,"fdd/view?i=",J2099)</f>
        <v>https://www.dgiwg.org/FAD/fdd/view?i=118456</v>
      </c>
      <c r="L2099" s="36" t="s">
        <v>24674</v>
      </c>
      <c r="M2099" s="186"/>
      <c r="N2099" s="186"/>
      <c r="O2099" s="172"/>
    </row>
    <row r="2100" spans="1:15" ht="25.5" x14ac:dyDescent="0.2">
      <c r="A2100" s="197" t="str">
        <f t="shared" si="32"/>
        <v>BsuCode_steeple</v>
      </c>
      <c r="B2100" s="409"/>
      <c r="C2100" s="416"/>
      <c r="D2100" s="198" t="s">
        <v>24675</v>
      </c>
      <c r="E2100" s="198">
        <v>15</v>
      </c>
      <c r="F2100" s="199" t="s">
        <v>5261</v>
      </c>
      <c r="G2100" s="1" t="s">
        <v>24676</v>
      </c>
      <c r="H2100" s="1" t="s">
        <v>24677</v>
      </c>
      <c r="I2100" s="346"/>
      <c r="J2100" s="39">
        <v>118012</v>
      </c>
      <c r="K2100" s="36" t="str">
        <f>CONCATENATE(Cover!$D$6,"fdd/view?i=",J2100)</f>
        <v>https://www.dgiwg.org/FAD/fdd/view?i=118012</v>
      </c>
      <c r="L2100" s="36" t="s">
        <v>24678</v>
      </c>
      <c r="M2100" s="186"/>
      <c r="N2100" s="186"/>
      <c r="O2100" s="172"/>
    </row>
    <row r="2101" spans="1:15" ht="25.5" x14ac:dyDescent="0.2">
      <c r="A2101" s="197" t="str">
        <f t="shared" si="32"/>
        <v>BsuCode_tower</v>
      </c>
      <c r="B2101" s="409"/>
      <c r="C2101" s="416"/>
      <c r="D2101" s="198" t="s">
        <v>24586</v>
      </c>
      <c r="E2101" s="198">
        <v>13</v>
      </c>
      <c r="F2101" s="199" t="s">
        <v>5505</v>
      </c>
      <c r="G2101" s="1" t="s">
        <v>24679</v>
      </c>
      <c r="H2101" s="1" t="s">
        <v>24680</v>
      </c>
      <c r="I2101" s="346"/>
      <c r="J2101" s="39">
        <v>118010</v>
      </c>
      <c r="K2101" s="36" t="str">
        <f>CONCATENATE(Cover!$D$6,"fdd/view?i=",J2101)</f>
        <v>https://www.dgiwg.org/FAD/fdd/view?i=118010</v>
      </c>
      <c r="L2101" s="36" t="s">
        <v>24681</v>
      </c>
      <c r="M2101" s="186"/>
      <c r="N2101" s="186"/>
      <c r="O2101" s="172"/>
    </row>
    <row r="2102" spans="1:15" ht="25.5" x14ac:dyDescent="0.2">
      <c r="A2102" s="203" t="str">
        <f t="shared" si="32"/>
        <v>BsuCode_turret</v>
      </c>
      <c r="B2102" s="410"/>
      <c r="C2102" s="417"/>
      <c r="D2102" s="204" t="s">
        <v>24682</v>
      </c>
      <c r="E2102" s="204">
        <v>16</v>
      </c>
      <c r="F2102" s="205" t="s">
        <v>24683</v>
      </c>
      <c r="G2102" s="206" t="s">
        <v>24684</v>
      </c>
      <c r="H2102" s="206" t="s">
        <v>24685</v>
      </c>
      <c r="I2102" s="347"/>
      <c r="J2102" s="39">
        <v>118013</v>
      </c>
      <c r="K2102" s="36" t="str">
        <f>CONCATENATE(Cover!$D$6,"fdd/view?i=",J2102)</f>
        <v>https://www.dgiwg.org/FAD/fdd/view?i=118013</v>
      </c>
      <c r="L2102" s="36" t="s">
        <v>24686</v>
      </c>
      <c r="M2102" s="186"/>
      <c r="N2102" s="186"/>
      <c r="O2102" s="172"/>
    </row>
    <row r="2103" spans="1:15" ht="25.5" x14ac:dyDescent="0.2">
      <c r="A2103" s="190" t="str">
        <f t="shared" si="32"/>
        <v>BacCode_dense</v>
      </c>
      <c r="B2103" s="414" t="str">
        <f>HYPERLINK("[#]Datatypes!A278:L278","BacCode")</f>
        <v>BacCode</v>
      </c>
      <c r="C2103" s="415" t="s">
        <v>14837</v>
      </c>
      <c r="D2103" s="221" t="s">
        <v>24687</v>
      </c>
      <c r="E2103" s="221">
        <v>2</v>
      </c>
      <c r="F2103" s="222" t="s">
        <v>24688</v>
      </c>
      <c r="G2103" s="223" t="s">
        <v>24689</v>
      </c>
      <c r="H2103" s="223" t="s">
        <v>24690</v>
      </c>
      <c r="I2103" s="345"/>
      <c r="J2103" s="39">
        <v>102153</v>
      </c>
      <c r="K2103" s="36" t="str">
        <f>CONCATENATE(Cover!$D$6,"fdd/view?i=",J2103)</f>
        <v>https://www.dgiwg.org/FAD/fdd/view?i=102153</v>
      </c>
      <c r="L2103" s="36" t="s">
        <v>24691</v>
      </c>
      <c r="M2103" s="186"/>
      <c r="N2103" s="186"/>
      <c r="O2103" s="172"/>
    </row>
    <row r="2104" spans="1:15" ht="25.5" x14ac:dyDescent="0.2">
      <c r="A2104" s="197" t="str">
        <f t="shared" si="32"/>
        <v>BacCode_moderate</v>
      </c>
      <c r="B2104" s="409"/>
      <c r="C2104" s="416"/>
      <c r="D2104" s="198" t="s">
        <v>22411</v>
      </c>
      <c r="E2104" s="198">
        <v>3</v>
      </c>
      <c r="F2104" s="199" t="s">
        <v>22412</v>
      </c>
      <c r="G2104" s="1" t="s">
        <v>24692</v>
      </c>
      <c r="H2104" s="1" t="s">
        <v>24693</v>
      </c>
      <c r="I2104" s="346"/>
      <c r="J2104" s="39">
        <v>102154</v>
      </c>
      <c r="K2104" s="36" t="str">
        <f>CONCATENATE(Cover!$D$6,"fdd/view?i=",J2104)</f>
        <v>https://www.dgiwg.org/FAD/fdd/view?i=102154</v>
      </c>
      <c r="L2104" s="36" t="s">
        <v>24694</v>
      </c>
      <c r="M2104" s="186"/>
      <c r="N2104" s="186"/>
      <c r="O2104" s="172"/>
    </row>
    <row r="2105" spans="1:15" x14ac:dyDescent="0.2">
      <c r="A2105" s="203" t="str">
        <f t="shared" si="32"/>
        <v>BacCode_sparse</v>
      </c>
      <c r="B2105" s="410"/>
      <c r="C2105" s="417"/>
      <c r="D2105" s="204" t="s">
        <v>24695</v>
      </c>
      <c r="E2105" s="204">
        <v>1</v>
      </c>
      <c r="F2105" s="205" t="s">
        <v>24696</v>
      </c>
      <c r="G2105" s="206" t="s">
        <v>24697</v>
      </c>
      <c r="H2105" s="206" t="s">
        <v>24698</v>
      </c>
      <c r="I2105" s="347"/>
      <c r="J2105" s="39">
        <v>102152</v>
      </c>
      <c r="K2105" s="36" t="str">
        <f>CONCATENATE(Cover!$D$6,"fdd/view?i=",J2105)</f>
        <v>https://www.dgiwg.org/FAD/fdd/view?i=102152</v>
      </c>
      <c r="L2105" s="36" t="s">
        <v>24699</v>
      </c>
      <c r="M2105" s="186"/>
      <c r="N2105" s="186"/>
      <c r="O2105" s="172"/>
    </row>
    <row r="2106" spans="1:15" ht="38.25" x14ac:dyDescent="0.2">
      <c r="A2106" s="190" t="str">
        <f t="shared" si="32"/>
        <v>BufCode_controlCenterComm</v>
      </c>
      <c r="B2106" s="414" t="str">
        <f>HYPERLINK("[#]Datatypes!A280:L280","BufCode")</f>
        <v>BufCode</v>
      </c>
      <c r="C2106" s="415" t="s">
        <v>14839</v>
      </c>
      <c r="D2106" s="221" t="s">
        <v>24700</v>
      </c>
      <c r="E2106" s="221">
        <v>6</v>
      </c>
      <c r="F2106" s="222" t="s">
        <v>24701</v>
      </c>
      <c r="G2106" s="223" t="s">
        <v>24702</v>
      </c>
      <c r="H2106" s="224"/>
      <c r="I2106" s="345"/>
      <c r="J2106" s="39">
        <v>118848</v>
      </c>
      <c r="K2106" s="36" t="str">
        <f>CONCATENATE(Cover!$D$6,"fdd/view?i=",J2106)</f>
        <v>https://www.dgiwg.org/FAD/fdd/view?i=118848</v>
      </c>
      <c r="L2106" s="36" t="s">
        <v>24703</v>
      </c>
      <c r="M2106" s="186"/>
      <c r="N2106" s="186"/>
      <c r="O2106" s="172"/>
    </row>
    <row r="2107" spans="1:15" ht="25.5" x14ac:dyDescent="0.2">
      <c r="A2107" s="197" t="str">
        <f t="shared" si="32"/>
        <v>BufCode_controlCenterSupplyNet</v>
      </c>
      <c r="B2107" s="409"/>
      <c r="C2107" s="416"/>
      <c r="D2107" s="198" t="s">
        <v>24704</v>
      </c>
      <c r="E2107" s="198">
        <v>4</v>
      </c>
      <c r="F2107" s="199" t="s">
        <v>24705</v>
      </c>
      <c r="G2107" s="1" t="s">
        <v>24706</v>
      </c>
      <c r="H2107" s="1" t="s">
        <v>24707</v>
      </c>
      <c r="I2107" s="346"/>
      <c r="J2107" s="39">
        <v>118846</v>
      </c>
      <c r="K2107" s="36" t="str">
        <f>CONCATENATE(Cover!$D$6,"fdd/view?i=",J2107)</f>
        <v>https://www.dgiwg.org/FAD/fdd/view?i=118846</v>
      </c>
      <c r="L2107" s="36" t="s">
        <v>24708</v>
      </c>
      <c r="M2107" s="186"/>
      <c r="N2107" s="186"/>
      <c r="O2107" s="172"/>
    </row>
    <row r="2108" spans="1:15" ht="25.5" x14ac:dyDescent="0.2">
      <c r="A2108" s="197" t="str">
        <f t="shared" si="32"/>
        <v>BufCode_controlCenterTransport</v>
      </c>
      <c r="B2108" s="409"/>
      <c r="C2108" s="416"/>
      <c r="D2108" s="198" t="s">
        <v>24709</v>
      </c>
      <c r="E2108" s="198">
        <v>5</v>
      </c>
      <c r="F2108" s="199" t="s">
        <v>24710</v>
      </c>
      <c r="G2108" s="1" t="s">
        <v>24711</v>
      </c>
      <c r="H2108" s="200"/>
      <c r="I2108" s="346"/>
      <c r="J2108" s="39">
        <v>118847</v>
      </c>
      <c r="K2108" s="36" t="str">
        <f>CONCATENATE(Cover!$D$6,"fdd/view?i=",J2108)</f>
        <v>https://www.dgiwg.org/FAD/fdd/view?i=118847</v>
      </c>
      <c r="L2108" s="36" t="s">
        <v>24712</v>
      </c>
      <c r="M2108" s="186"/>
      <c r="N2108" s="186"/>
      <c r="O2108" s="172"/>
    </row>
    <row r="2109" spans="1:15" ht="25.5" x14ac:dyDescent="0.2">
      <c r="A2109" s="197" t="str">
        <f t="shared" si="32"/>
        <v>BufCode_defencePosition</v>
      </c>
      <c r="B2109" s="409"/>
      <c r="C2109" s="416"/>
      <c r="D2109" s="198" t="s">
        <v>24713</v>
      </c>
      <c r="E2109" s="198">
        <v>3</v>
      </c>
      <c r="F2109" s="199" t="s">
        <v>24714</v>
      </c>
      <c r="G2109" s="1" t="s">
        <v>24715</v>
      </c>
      <c r="H2109" s="1" t="s">
        <v>24716</v>
      </c>
      <c r="I2109" s="346"/>
      <c r="J2109" s="39">
        <v>118845</v>
      </c>
      <c r="K2109" s="36" t="str">
        <f>CONCATENATE(Cover!$D$6,"fdd/view?i=",J2109)</f>
        <v>https://www.dgiwg.org/FAD/fdd/view?i=118845</v>
      </c>
      <c r="L2109" s="36" t="s">
        <v>24717</v>
      </c>
      <c r="M2109" s="186"/>
      <c r="N2109" s="186"/>
      <c r="O2109" s="172"/>
    </row>
    <row r="2110" spans="1:15" ht="25.5" x14ac:dyDescent="0.2">
      <c r="A2110" s="197" t="str">
        <f t="shared" si="32"/>
        <v>BufCode_ordnanceDepot</v>
      </c>
      <c r="B2110" s="409"/>
      <c r="C2110" s="416"/>
      <c r="D2110" s="198" t="s">
        <v>24718</v>
      </c>
      <c r="E2110" s="198">
        <v>7</v>
      </c>
      <c r="F2110" s="199" t="s">
        <v>24719</v>
      </c>
      <c r="G2110" s="1" t="s">
        <v>24720</v>
      </c>
      <c r="H2110" s="200"/>
      <c r="I2110" s="346"/>
      <c r="J2110" s="39">
        <v>118849</v>
      </c>
      <c r="K2110" s="36" t="str">
        <f>CONCATENATE(Cover!$D$6,"fdd/view?i=",J2110)</f>
        <v>https://www.dgiwg.org/FAD/fdd/view?i=118849</v>
      </c>
      <c r="L2110" s="36" t="s">
        <v>24721</v>
      </c>
      <c r="M2110" s="186"/>
      <c r="N2110" s="186"/>
      <c r="O2110" s="172"/>
    </row>
    <row r="2111" spans="1:15" ht="25.5" x14ac:dyDescent="0.2">
      <c r="A2111" s="197" t="str">
        <f t="shared" si="32"/>
        <v>BufCode_ordnanceMaintenance</v>
      </c>
      <c r="B2111" s="409"/>
      <c r="C2111" s="416"/>
      <c r="D2111" s="198" t="s">
        <v>24722</v>
      </c>
      <c r="E2111" s="198">
        <v>8</v>
      </c>
      <c r="F2111" s="199" t="s">
        <v>24723</v>
      </c>
      <c r="G2111" s="1" t="s">
        <v>24724</v>
      </c>
      <c r="H2111" s="200"/>
      <c r="I2111" s="346"/>
      <c r="J2111" s="39">
        <v>118850</v>
      </c>
      <c r="K2111" s="36" t="str">
        <f>CONCATENATE(Cover!$D$6,"fdd/view?i=",J2111)</f>
        <v>https://www.dgiwg.org/FAD/fdd/view?i=118850</v>
      </c>
      <c r="L2111" s="36" t="s">
        <v>24725</v>
      </c>
      <c r="M2111" s="186"/>
      <c r="N2111" s="186"/>
      <c r="O2111" s="172"/>
    </row>
    <row r="2112" spans="1:15" ht="25.5" x14ac:dyDescent="0.2">
      <c r="A2112" s="197" t="str">
        <f t="shared" si="32"/>
        <v>BufCode_protectionPersonnel</v>
      </c>
      <c r="B2112" s="409"/>
      <c r="C2112" s="416"/>
      <c r="D2112" s="198" t="s">
        <v>24726</v>
      </c>
      <c r="E2112" s="198">
        <v>1</v>
      </c>
      <c r="F2112" s="199" t="s">
        <v>24727</v>
      </c>
      <c r="G2112" s="1" t="s">
        <v>24728</v>
      </c>
      <c r="H2112" s="200"/>
      <c r="I2112" s="346"/>
      <c r="J2112" s="39">
        <v>118843</v>
      </c>
      <c r="K2112" s="36" t="str">
        <f>CONCATENATE(Cover!$D$6,"fdd/view?i=",J2112)</f>
        <v>https://www.dgiwg.org/FAD/fdd/view?i=118843</v>
      </c>
      <c r="L2112" s="36" t="s">
        <v>24729</v>
      </c>
      <c r="M2112" s="186"/>
      <c r="N2112" s="186"/>
      <c r="O2112" s="172"/>
    </row>
    <row r="2113" spans="1:15" ht="25.5" x14ac:dyDescent="0.2">
      <c r="A2113" s="197" t="str">
        <f t="shared" si="32"/>
        <v>BufCode_storageDepot</v>
      </c>
      <c r="B2113" s="409"/>
      <c r="C2113" s="416"/>
      <c r="D2113" s="198" t="s">
        <v>24730</v>
      </c>
      <c r="E2113" s="198">
        <v>2</v>
      </c>
      <c r="F2113" s="199" t="s">
        <v>5284</v>
      </c>
      <c r="G2113" s="1" t="s">
        <v>24731</v>
      </c>
      <c r="H2113" s="1" t="s">
        <v>24732</v>
      </c>
      <c r="I2113" s="346"/>
      <c r="J2113" s="39">
        <v>118844</v>
      </c>
      <c r="K2113" s="36" t="str">
        <f>CONCATENATE(Cover!$D$6,"fdd/view?i=",J2113)</f>
        <v>https://www.dgiwg.org/FAD/fdd/view?i=118844</v>
      </c>
      <c r="L2113" s="36" t="s">
        <v>24733</v>
      </c>
      <c r="M2113" s="186"/>
      <c r="N2113" s="186"/>
      <c r="O2113" s="172"/>
    </row>
    <row r="2114" spans="1:15" x14ac:dyDescent="0.2">
      <c r="A2114" s="203" t="str">
        <f t="shared" ref="A2114:A2177" si="33">HYPERLINK(K2114,L2114)</f>
        <v>BufCode_testSite</v>
      </c>
      <c r="B2114" s="410"/>
      <c r="C2114" s="417"/>
      <c r="D2114" s="204" t="s">
        <v>24734</v>
      </c>
      <c r="E2114" s="204">
        <v>9</v>
      </c>
      <c r="F2114" s="205" t="s">
        <v>5446</v>
      </c>
      <c r="G2114" s="206" t="s">
        <v>24735</v>
      </c>
      <c r="H2114" s="207"/>
      <c r="I2114" s="347"/>
      <c r="J2114" s="39">
        <v>118851</v>
      </c>
      <c r="K2114" s="36" t="str">
        <f>CONCATENATE(Cover!$D$6,"fdd/view?i=",J2114)</f>
        <v>https://www.dgiwg.org/FAD/fdd/view?i=118851</v>
      </c>
      <c r="L2114" s="36" t="s">
        <v>24736</v>
      </c>
      <c r="M2114" s="186"/>
      <c r="N2114" s="186"/>
      <c r="O2114" s="172"/>
    </row>
    <row r="2115" spans="1:15" ht="38.25" x14ac:dyDescent="0.2">
      <c r="A2115" s="190" t="str">
        <f t="shared" si="33"/>
        <v>BusCode_barrel</v>
      </c>
      <c r="B2115" s="414" t="str">
        <f>HYPERLINK("[#]Datatypes!A282:L282","BusCode")</f>
        <v>BusCode</v>
      </c>
      <c r="C2115" s="415" t="s">
        <v>14841</v>
      </c>
      <c r="D2115" s="221" t="s">
        <v>24737</v>
      </c>
      <c r="E2115" s="221">
        <v>6</v>
      </c>
      <c r="F2115" s="222" t="s">
        <v>24738</v>
      </c>
      <c r="G2115" s="223" t="s">
        <v>24739</v>
      </c>
      <c r="H2115" s="224"/>
      <c r="I2115" s="352" t="s">
        <v>24740</v>
      </c>
      <c r="J2115" s="39">
        <v>103515</v>
      </c>
      <c r="K2115" s="36" t="str">
        <f>CONCATENATE(Cover!$D$6,"fdd/view?i=",J2115)</f>
        <v>https://www.dgiwg.org/FAD/fdd/view?i=103515</v>
      </c>
      <c r="L2115" s="36" t="s">
        <v>24741</v>
      </c>
      <c r="M2115" s="186"/>
      <c r="N2115" s="186"/>
      <c r="O2115" s="172"/>
    </row>
    <row r="2116" spans="1:15" ht="38.25" x14ac:dyDescent="0.2">
      <c r="A2116" s="197" t="str">
        <f t="shared" si="33"/>
        <v>BusCode_can</v>
      </c>
      <c r="B2116" s="409"/>
      <c r="C2116" s="416"/>
      <c r="D2116" s="198" t="s">
        <v>24742</v>
      </c>
      <c r="E2116" s="198">
        <v>2</v>
      </c>
      <c r="F2116" s="199" t="s">
        <v>24743</v>
      </c>
      <c r="G2116" s="1" t="s">
        <v>24744</v>
      </c>
      <c r="H2116" s="200"/>
      <c r="I2116" s="351" t="s">
        <v>24745</v>
      </c>
      <c r="J2116" s="39">
        <v>103498</v>
      </c>
      <c r="K2116" s="36" t="str">
        <f>CONCATENATE(Cover!$D$6,"fdd/view?i=",J2116)</f>
        <v>https://www.dgiwg.org/FAD/fdd/view?i=103498</v>
      </c>
      <c r="L2116" s="36" t="s">
        <v>24746</v>
      </c>
      <c r="M2116" s="186"/>
      <c r="N2116" s="186"/>
      <c r="O2116" s="172"/>
    </row>
    <row r="2117" spans="1:15" ht="38.25" x14ac:dyDescent="0.2">
      <c r="A2117" s="197" t="str">
        <f t="shared" si="33"/>
        <v>BusCode_conical</v>
      </c>
      <c r="B2117" s="409"/>
      <c r="C2117" s="416"/>
      <c r="D2117" s="198" t="s">
        <v>24747</v>
      </c>
      <c r="E2117" s="198">
        <v>1</v>
      </c>
      <c r="F2117" s="199" t="s">
        <v>24748</v>
      </c>
      <c r="G2117" s="1" t="s">
        <v>24749</v>
      </c>
      <c r="H2117" s="200"/>
      <c r="I2117" s="351" t="s">
        <v>24750</v>
      </c>
      <c r="J2117" s="39">
        <v>103496</v>
      </c>
      <c r="K2117" s="36" t="str">
        <f>CONCATENATE(Cover!$D$6,"fdd/view?i=",J2117)</f>
        <v>https://www.dgiwg.org/FAD/fdd/view?i=103496</v>
      </c>
      <c r="L2117" s="36" t="s">
        <v>24751</v>
      </c>
      <c r="M2117" s="186"/>
      <c r="N2117" s="186"/>
      <c r="O2117" s="172"/>
    </row>
    <row r="2118" spans="1:15" ht="25.5" x14ac:dyDescent="0.2">
      <c r="A2118" s="197" t="str">
        <f t="shared" si="33"/>
        <v>BusCode_diamond</v>
      </c>
      <c r="B2118" s="409"/>
      <c r="C2118" s="416"/>
      <c r="D2118" s="198" t="s">
        <v>24752</v>
      </c>
      <c r="E2118" s="198">
        <v>9</v>
      </c>
      <c r="F2118" s="199" t="s">
        <v>24753</v>
      </c>
      <c r="G2118" s="1" t="s">
        <v>24754</v>
      </c>
      <c r="H2118" s="200"/>
      <c r="I2118" s="346"/>
      <c r="J2118" s="39">
        <v>105364</v>
      </c>
      <c r="K2118" s="36" t="str">
        <f>CONCATENATE(Cover!$D$6,"fdd/view?i=",J2118)</f>
        <v>https://www.dgiwg.org/FAD/fdd/view?i=105364</v>
      </c>
      <c r="L2118" s="36" t="s">
        <v>24755</v>
      </c>
      <c r="M2118" s="186"/>
      <c r="N2118" s="186"/>
      <c r="O2118" s="172"/>
    </row>
    <row r="2119" spans="1:15" ht="25.5" x14ac:dyDescent="0.2">
      <c r="A2119" s="197" t="str">
        <f t="shared" si="33"/>
        <v>BusCode_icebuoy</v>
      </c>
      <c r="B2119" s="409"/>
      <c r="C2119" s="416"/>
      <c r="D2119" s="198" t="s">
        <v>24756</v>
      </c>
      <c r="E2119" s="198">
        <v>8</v>
      </c>
      <c r="F2119" s="199" t="s">
        <v>24757</v>
      </c>
      <c r="G2119" s="1" t="s">
        <v>24758</v>
      </c>
      <c r="H2119" s="200"/>
      <c r="I2119" s="346"/>
      <c r="J2119" s="39">
        <v>104988</v>
      </c>
      <c r="K2119" s="36" t="str">
        <f>CONCATENATE(Cover!$D$6,"fdd/view?i=",J2119)</f>
        <v>https://www.dgiwg.org/FAD/fdd/view?i=104988</v>
      </c>
      <c r="L2119" s="36" t="s">
        <v>24759</v>
      </c>
      <c r="M2119" s="186"/>
      <c r="N2119" s="186"/>
      <c r="O2119" s="172"/>
    </row>
    <row r="2120" spans="1:15" ht="38.25" x14ac:dyDescent="0.2">
      <c r="A2120" s="197" t="str">
        <f t="shared" si="33"/>
        <v>BusCode_pillar</v>
      </c>
      <c r="B2120" s="409"/>
      <c r="C2120" s="416"/>
      <c r="D2120" s="198" t="s">
        <v>24760</v>
      </c>
      <c r="E2120" s="198">
        <v>4</v>
      </c>
      <c r="F2120" s="199" t="s">
        <v>24761</v>
      </c>
      <c r="G2120" s="1" t="s">
        <v>24762</v>
      </c>
      <c r="H2120" s="200"/>
      <c r="I2120" s="346"/>
      <c r="J2120" s="39">
        <v>103501</v>
      </c>
      <c r="K2120" s="36" t="str">
        <f>CONCATENATE(Cover!$D$6,"fdd/view?i=",J2120)</f>
        <v>https://www.dgiwg.org/FAD/fdd/view?i=103501</v>
      </c>
      <c r="L2120" s="36" t="s">
        <v>24763</v>
      </c>
      <c r="M2120" s="186"/>
      <c r="N2120" s="186"/>
      <c r="O2120" s="172"/>
    </row>
    <row r="2121" spans="1:15" ht="38.25" x14ac:dyDescent="0.2">
      <c r="A2121" s="197" t="str">
        <f t="shared" si="33"/>
        <v>BusCode_spar</v>
      </c>
      <c r="B2121" s="409"/>
      <c r="C2121" s="416"/>
      <c r="D2121" s="198" t="s">
        <v>24764</v>
      </c>
      <c r="E2121" s="198">
        <v>5</v>
      </c>
      <c r="F2121" s="199" t="s">
        <v>24765</v>
      </c>
      <c r="G2121" s="1" t="s">
        <v>24766</v>
      </c>
      <c r="H2121" s="200"/>
      <c r="I2121" s="351" t="s">
        <v>24767</v>
      </c>
      <c r="J2121" s="39">
        <v>103510</v>
      </c>
      <c r="K2121" s="36" t="str">
        <f>CONCATENATE(Cover!$D$6,"fdd/view?i=",J2121)</f>
        <v>https://www.dgiwg.org/FAD/fdd/view?i=103510</v>
      </c>
      <c r="L2121" s="36" t="s">
        <v>24768</v>
      </c>
      <c r="M2121" s="186"/>
      <c r="N2121" s="186"/>
      <c r="O2121" s="172"/>
    </row>
    <row r="2122" spans="1:15" ht="25.5" x14ac:dyDescent="0.2">
      <c r="A2122" s="197" t="str">
        <f t="shared" si="33"/>
        <v>BusCode_spherical</v>
      </c>
      <c r="B2122" s="409"/>
      <c r="C2122" s="416"/>
      <c r="D2122" s="198" t="s">
        <v>21782</v>
      </c>
      <c r="E2122" s="198">
        <v>3</v>
      </c>
      <c r="F2122" s="199" t="s">
        <v>21783</v>
      </c>
      <c r="G2122" s="1" t="s">
        <v>24769</v>
      </c>
      <c r="H2122" s="200"/>
      <c r="I2122" s="346"/>
      <c r="J2122" s="39">
        <v>103499</v>
      </c>
      <c r="K2122" s="36" t="str">
        <f>CONCATENATE(Cover!$D$6,"fdd/view?i=",J2122)</f>
        <v>https://www.dgiwg.org/FAD/fdd/view?i=103499</v>
      </c>
      <c r="L2122" s="36" t="s">
        <v>24770</v>
      </c>
      <c r="M2122" s="186"/>
      <c r="N2122" s="186"/>
      <c r="O2122" s="172"/>
    </row>
    <row r="2123" spans="1:15" x14ac:dyDescent="0.2">
      <c r="A2123" s="203" t="str">
        <f t="shared" si="33"/>
        <v>BusCode_superBuoy</v>
      </c>
      <c r="B2123" s="410"/>
      <c r="C2123" s="417"/>
      <c r="D2123" s="204" t="s">
        <v>24771</v>
      </c>
      <c r="E2123" s="204">
        <v>7</v>
      </c>
      <c r="F2123" s="205" t="s">
        <v>24772</v>
      </c>
      <c r="G2123" s="206" t="s">
        <v>24773</v>
      </c>
      <c r="H2123" s="207"/>
      <c r="I2123" s="347"/>
      <c r="J2123" s="39">
        <v>104818</v>
      </c>
      <c r="K2123" s="36" t="str">
        <f>CONCATENATE(Cover!$D$6,"fdd/view?i=",J2123)</f>
        <v>https://www.dgiwg.org/FAD/fdd/view?i=104818</v>
      </c>
      <c r="L2123" s="36" t="s">
        <v>24774</v>
      </c>
      <c r="M2123" s="186"/>
      <c r="N2123" s="186"/>
      <c r="O2123" s="172"/>
    </row>
    <row r="2124" spans="1:15" ht="89.25" x14ac:dyDescent="0.2">
      <c r="A2124" s="190" t="str">
        <f t="shared" si="33"/>
        <v>ButCode_accelerometer</v>
      </c>
      <c r="B2124" s="414" t="str">
        <f>HYPERLINK("[#]Datatypes!A284:L284","ButCode")</f>
        <v>ButCode</v>
      </c>
      <c r="C2124" s="415" t="s">
        <v>14843</v>
      </c>
      <c r="D2124" s="221" t="s">
        <v>24775</v>
      </c>
      <c r="E2124" s="221">
        <v>100</v>
      </c>
      <c r="F2124" s="222" t="s">
        <v>24776</v>
      </c>
      <c r="G2124" s="223" t="s">
        <v>24777</v>
      </c>
      <c r="H2124" s="223" t="s">
        <v>24778</v>
      </c>
      <c r="I2124" s="352" t="s">
        <v>24779</v>
      </c>
      <c r="J2124" s="39">
        <v>102744</v>
      </c>
      <c r="K2124" s="36" t="str">
        <f>CONCATENATE(Cover!$D$6,"fdd/view?i=",J2124)</f>
        <v>https://www.dgiwg.org/FAD/fdd/view?i=102744</v>
      </c>
      <c r="L2124" s="36" t="s">
        <v>24780</v>
      </c>
      <c r="M2124" s="186"/>
      <c r="N2124" s="186"/>
      <c r="O2124" s="172"/>
    </row>
    <row r="2125" spans="1:15" ht="25.5" x14ac:dyDescent="0.2">
      <c r="A2125" s="197" t="str">
        <f t="shared" si="33"/>
        <v>ButCode_aeronauticalAnchorage</v>
      </c>
      <c r="B2125" s="409"/>
      <c r="C2125" s="416"/>
      <c r="D2125" s="198" t="s">
        <v>24781</v>
      </c>
      <c r="E2125" s="198">
        <v>31</v>
      </c>
      <c r="F2125" s="199" t="s">
        <v>24782</v>
      </c>
      <c r="G2125" s="1" t="s">
        <v>24783</v>
      </c>
      <c r="H2125" s="200"/>
      <c r="I2125" s="351" t="s">
        <v>24784</v>
      </c>
      <c r="J2125" s="39">
        <v>102716</v>
      </c>
      <c r="K2125" s="36" t="str">
        <f>CONCATENATE(Cover!$D$6,"fdd/view?i=",J2125)</f>
        <v>https://www.dgiwg.org/FAD/fdd/view?i=102716</v>
      </c>
      <c r="L2125" s="36" t="s">
        <v>24785</v>
      </c>
      <c r="M2125" s="186"/>
      <c r="N2125" s="186"/>
      <c r="O2125" s="172"/>
    </row>
    <row r="2126" spans="1:15" x14ac:dyDescent="0.2">
      <c r="A2126" s="197" t="str">
        <f t="shared" si="33"/>
        <v>ButCode_anchorage</v>
      </c>
      <c r="B2126" s="409"/>
      <c r="C2126" s="416"/>
      <c r="D2126" s="198" t="s">
        <v>24786</v>
      </c>
      <c r="E2126" s="198">
        <v>19</v>
      </c>
      <c r="F2126" s="199" t="s">
        <v>2063</v>
      </c>
      <c r="G2126" s="1" t="s">
        <v>24787</v>
      </c>
      <c r="H2126" s="200"/>
      <c r="I2126" s="351" t="s">
        <v>24788</v>
      </c>
      <c r="J2126" s="39">
        <v>102704</v>
      </c>
      <c r="K2126" s="36" t="str">
        <f>CONCATENATE(Cover!$D$6,"fdd/view?i=",J2126)</f>
        <v>https://www.dgiwg.org/FAD/fdd/view?i=102704</v>
      </c>
      <c r="L2126" s="36" t="s">
        <v>24789</v>
      </c>
      <c r="M2126" s="186"/>
      <c r="N2126" s="186"/>
      <c r="O2126" s="172"/>
    </row>
    <row r="2127" spans="1:15" ht="25.5" x14ac:dyDescent="0.2">
      <c r="A2127" s="197" t="str">
        <f t="shared" si="33"/>
        <v>ButCode_anchoringProhibited</v>
      </c>
      <c r="B2127" s="409"/>
      <c r="C2127" s="416"/>
      <c r="D2127" s="198" t="s">
        <v>24790</v>
      </c>
      <c r="E2127" s="198">
        <v>116</v>
      </c>
      <c r="F2127" s="199" t="s">
        <v>24791</v>
      </c>
      <c r="G2127" s="1" t="s">
        <v>24792</v>
      </c>
      <c r="H2127" s="200"/>
      <c r="I2127" s="351" t="s">
        <v>24793</v>
      </c>
      <c r="J2127" s="39">
        <v>102760</v>
      </c>
      <c r="K2127" s="36" t="str">
        <f>CONCATENATE(Cover!$D$6,"fdd/view?i=",J2127)</f>
        <v>https://www.dgiwg.org/FAD/fdd/view?i=102760</v>
      </c>
      <c r="L2127" s="36" t="s">
        <v>24794</v>
      </c>
      <c r="M2127" s="186"/>
      <c r="N2127" s="186"/>
      <c r="O2127" s="172"/>
    </row>
    <row r="2128" spans="1:15" ht="89.25" x14ac:dyDescent="0.2">
      <c r="A2128" s="197" t="str">
        <f t="shared" si="33"/>
        <v>ButCode_apexFloat</v>
      </c>
      <c r="B2128" s="409"/>
      <c r="C2128" s="416"/>
      <c r="D2128" s="198" t="s">
        <v>24795</v>
      </c>
      <c r="E2128" s="198">
        <v>84</v>
      </c>
      <c r="F2128" s="199" t="s">
        <v>24796</v>
      </c>
      <c r="G2128" s="1" t="s">
        <v>24797</v>
      </c>
      <c r="H2128" s="1" t="s">
        <v>24798</v>
      </c>
      <c r="I2128" s="346"/>
      <c r="J2128" s="39">
        <v>102728</v>
      </c>
      <c r="K2128" s="36" t="str">
        <f>CONCATENATE(Cover!$D$6,"fdd/view?i=",J2128)</f>
        <v>https://www.dgiwg.org/FAD/fdd/view?i=102728</v>
      </c>
      <c r="L2128" s="36" t="s">
        <v>24799</v>
      </c>
      <c r="M2128" s="186"/>
      <c r="N2128" s="186"/>
      <c r="O2128" s="172"/>
    </row>
    <row r="2129" spans="1:15" ht="51" x14ac:dyDescent="0.2">
      <c r="A2129" s="197" t="str">
        <f t="shared" si="33"/>
        <v>ButCode_articulatedLight</v>
      </c>
      <c r="B2129" s="409"/>
      <c r="C2129" s="416"/>
      <c r="D2129" s="198" t="s">
        <v>24800</v>
      </c>
      <c r="E2129" s="198">
        <v>35</v>
      </c>
      <c r="F2129" s="199" t="s">
        <v>24801</v>
      </c>
      <c r="G2129" s="1" t="s">
        <v>24802</v>
      </c>
      <c r="H2129" s="1" t="s">
        <v>24803</v>
      </c>
      <c r="I2129" s="346"/>
      <c r="J2129" s="39">
        <v>102720</v>
      </c>
      <c r="K2129" s="36" t="str">
        <f>CONCATENATE(Cover!$D$6,"fdd/view?i=",J2129)</f>
        <v>https://www.dgiwg.org/FAD/fdd/view?i=102720</v>
      </c>
      <c r="L2129" s="36" t="s">
        <v>24804</v>
      </c>
      <c r="M2129" s="186"/>
      <c r="N2129" s="186"/>
      <c r="O2129" s="172"/>
    </row>
    <row r="2130" spans="1:15" ht="25.5" x14ac:dyDescent="0.2">
      <c r="A2130" s="197" t="str">
        <f t="shared" si="33"/>
        <v>ButCode_artificialReef</v>
      </c>
      <c r="B2130" s="409"/>
      <c r="C2130" s="416"/>
      <c r="D2130" s="198" t="s">
        <v>24805</v>
      </c>
      <c r="E2130" s="198">
        <v>141</v>
      </c>
      <c r="F2130" s="199" t="s">
        <v>24806</v>
      </c>
      <c r="G2130" s="1" t="s">
        <v>24807</v>
      </c>
      <c r="H2130" s="200"/>
      <c r="I2130" s="351" t="s">
        <v>24808</v>
      </c>
      <c r="J2130" s="39">
        <v>110086</v>
      </c>
      <c r="K2130" s="36" t="str">
        <f>CONCATENATE(Cover!$D$6,"fdd/view?i=",J2130)</f>
        <v>https://www.dgiwg.org/FAD/fdd/view?i=110086</v>
      </c>
      <c r="L2130" s="36" t="s">
        <v>24809</v>
      </c>
      <c r="M2130" s="186"/>
      <c r="N2130" s="186"/>
      <c r="O2130" s="172"/>
    </row>
    <row r="2131" spans="1:15" x14ac:dyDescent="0.2">
      <c r="A2131" s="197" t="str">
        <f t="shared" si="33"/>
        <v>ButCode_barge</v>
      </c>
      <c r="B2131" s="409"/>
      <c r="C2131" s="416"/>
      <c r="D2131" s="198" t="s">
        <v>24810</v>
      </c>
      <c r="E2131" s="198">
        <v>108</v>
      </c>
      <c r="F2131" s="199" t="s">
        <v>24811</v>
      </c>
      <c r="G2131" s="1" t="s">
        <v>24812</v>
      </c>
      <c r="H2131" s="200"/>
      <c r="I2131" s="351" t="s">
        <v>24813</v>
      </c>
      <c r="J2131" s="39">
        <v>102752</v>
      </c>
      <c r="K2131" s="36" t="str">
        <f>CONCATENATE(Cover!$D$6,"fdd/view?i=",J2131)</f>
        <v>https://www.dgiwg.org/FAD/fdd/view?i=102752</v>
      </c>
      <c r="L2131" s="36" t="s">
        <v>24814</v>
      </c>
      <c r="M2131" s="186"/>
      <c r="N2131" s="186"/>
      <c r="O2131" s="172"/>
    </row>
    <row r="2132" spans="1:15" ht="25.5" x14ac:dyDescent="0.2">
      <c r="A2132" s="197" t="str">
        <f t="shared" si="33"/>
        <v>ButCode_berthingPermitted</v>
      </c>
      <c r="B2132" s="409"/>
      <c r="C2132" s="416"/>
      <c r="D2132" s="198" t="s">
        <v>24815</v>
      </c>
      <c r="E2132" s="198">
        <v>128</v>
      </c>
      <c r="F2132" s="199" t="s">
        <v>24816</v>
      </c>
      <c r="G2132" s="1" t="s">
        <v>24817</v>
      </c>
      <c r="H2132" s="200"/>
      <c r="I2132" s="351" t="s">
        <v>24818</v>
      </c>
      <c r="J2132" s="39">
        <v>102772</v>
      </c>
      <c r="K2132" s="36" t="str">
        <f>CONCATENATE(Cover!$D$6,"fdd/view?i=",J2132)</f>
        <v>https://www.dgiwg.org/FAD/fdd/view?i=102772</v>
      </c>
      <c r="L2132" s="36" t="s">
        <v>24819</v>
      </c>
      <c r="M2132" s="186"/>
      <c r="N2132" s="186"/>
      <c r="O2132" s="172"/>
    </row>
    <row r="2133" spans="1:15" ht="25.5" x14ac:dyDescent="0.2">
      <c r="A2133" s="197" t="str">
        <f t="shared" si="33"/>
        <v>ButCode_berthingProhibited</v>
      </c>
      <c r="B2133" s="409"/>
      <c r="C2133" s="416"/>
      <c r="D2133" s="198" t="s">
        <v>24820</v>
      </c>
      <c r="E2133" s="198">
        <v>117</v>
      </c>
      <c r="F2133" s="199" t="s">
        <v>24821</v>
      </c>
      <c r="G2133" s="1" t="s">
        <v>24822</v>
      </c>
      <c r="H2133" s="200"/>
      <c r="I2133" s="351" t="s">
        <v>24823</v>
      </c>
      <c r="J2133" s="39">
        <v>102761</v>
      </c>
      <c r="K2133" s="36" t="str">
        <f>CONCATENATE(Cover!$D$6,"fdd/view?i=",J2133)</f>
        <v>https://www.dgiwg.org/FAD/fdd/view?i=102761</v>
      </c>
      <c r="L2133" s="36" t="s">
        <v>24824</v>
      </c>
      <c r="M2133" s="186"/>
      <c r="N2133" s="186"/>
      <c r="O2133" s="172"/>
    </row>
    <row r="2134" spans="1:15" ht="38.25" x14ac:dyDescent="0.2">
      <c r="A2134" s="197" t="str">
        <f t="shared" si="33"/>
        <v>ButCode_bifurcation</v>
      </c>
      <c r="B2134" s="409"/>
      <c r="C2134" s="416"/>
      <c r="D2134" s="198" t="s">
        <v>24825</v>
      </c>
      <c r="E2134" s="198">
        <v>22</v>
      </c>
      <c r="F2134" s="199" t="s">
        <v>24826</v>
      </c>
      <c r="G2134" s="1" t="s">
        <v>24827</v>
      </c>
      <c r="H2134" s="200"/>
      <c r="I2134" s="346"/>
      <c r="J2134" s="39">
        <v>102707</v>
      </c>
      <c r="K2134" s="36" t="str">
        <f>CONCATENATE(Cover!$D$6,"fdd/view?i=",J2134)</f>
        <v>https://www.dgiwg.org/FAD/fdd/view?i=102707</v>
      </c>
      <c r="L2134" s="36" t="s">
        <v>24828</v>
      </c>
      <c r="M2134" s="186"/>
      <c r="N2134" s="186"/>
      <c r="O2134" s="172"/>
    </row>
    <row r="2135" spans="1:15" ht="25.5" x14ac:dyDescent="0.2">
      <c r="A2135" s="197" t="str">
        <f t="shared" si="33"/>
        <v>ButCode_cable</v>
      </c>
      <c r="B2135" s="409"/>
      <c r="C2135" s="416"/>
      <c r="D2135" s="198" t="s">
        <v>22425</v>
      </c>
      <c r="E2135" s="198">
        <v>109</v>
      </c>
      <c r="F2135" s="199" t="s">
        <v>2381</v>
      </c>
      <c r="G2135" s="1" t="s">
        <v>24829</v>
      </c>
      <c r="H2135" s="200"/>
      <c r="I2135" s="351" t="s">
        <v>24830</v>
      </c>
      <c r="J2135" s="39">
        <v>102753</v>
      </c>
      <c r="K2135" s="36" t="str">
        <f>CONCATENATE(Cover!$D$6,"fdd/view?i=",J2135)</f>
        <v>https://www.dgiwg.org/FAD/fdd/view?i=102753</v>
      </c>
      <c r="L2135" s="36" t="s">
        <v>24831</v>
      </c>
      <c r="M2135" s="186"/>
      <c r="N2135" s="186"/>
      <c r="O2135" s="172"/>
    </row>
    <row r="2136" spans="1:15" ht="51" x14ac:dyDescent="0.2">
      <c r="A2136" s="197" t="str">
        <f t="shared" si="33"/>
        <v>ButCode_cardinal</v>
      </c>
      <c r="B2136" s="409"/>
      <c r="C2136" s="416"/>
      <c r="D2136" s="198" t="s">
        <v>24832</v>
      </c>
      <c r="E2136" s="198">
        <v>1</v>
      </c>
      <c r="F2136" s="199" t="s">
        <v>24833</v>
      </c>
      <c r="G2136" s="1" t="s">
        <v>24834</v>
      </c>
      <c r="H2136" s="200"/>
      <c r="I2136" s="346"/>
      <c r="J2136" s="39">
        <v>102686</v>
      </c>
      <c r="K2136" s="36" t="str">
        <f>CONCATENATE(Cover!$D$6,"fdd/view?i=",J2136)</f>
        <v>https://www.dgiwg.org/FAD/fdd/view?i=102686</v>
      </c>
      <c r="L2136" s="36" t="s">
        <v>24835</v>
      </c>
      <c r="M2136" s="186"/>
      <c r="N2136" s="186"/>
      <c r="O2136" s="172"/>
    </row>
    <row r="2137" spans="1:15" ht="25.5" x14ac:dyDescent="0.2">
      <c r="A2137" s="197" t="str">
        <f t="shared" si="33"/>
        <v>ButCode_channelEdgeGradient</v>
      </c>
      <c r="B2137" s="409"/>
      <c r="C2137" s="416"/>
      <c r="D2137" s="198" t="s">
        <v>24836</v>
      </c>
      <c r="E2137" s="198">
        <v>130</v>
      </c>
      <c r="F2137" s="199" t="s">
        <v>24837</v>
      </c>
      <c r="G2137" s="1" t="s">
        <v>24838</v>
      </c>
      <c r="H2137" s="200"/>
      <c r="I2137" s="354" t="s">
        <v>24839</v>
      </c>
      <c r="J2137" s="39">
        <v>102774</v>
      </c>
      <c r="K2137" s="36" t="str">
        <f>CONCATENATE(Cover!$D$6,"fdd/view?i=",J2137)</f>
        <v>https://www.dgiwg.org/FAD/fdd/view?i=102774</v>
      </c>
      <c r="L2137" s="36" t="s">
        <v>24840</v>
      </c>
      <c r="M2137" s="186"/>
      <c r="N2137" s="186"/>
      <c r="O2137" s="172"/>
    </row>
    <row r="2138" spans="1:15" x14ac:dyDescent="0.2">
      <c r="A2138" s="197" t="str">
        <f t="shared" si="33"/>
        <v>ButCode_clearingLine</v>
      </c>
      <c r="B2138" s="409"/>
      <c r="C2138" s="416"/>
      <c r="D2138" s="198" t="s">
        <v>24841</v>
      </c>
      <c r="E2138" s="198">
        <v>134</v>
      </c>
      <c r="F2138" s="199" t="s">
        <v>24842</v>
      </c>
      <c r="G2138" s="1" t="s">
        <v>24843</v>
      </c>
      <c r="H2138" s="200"/>
      <c r="I2138" s="351" t="s">
        <v>24844</v>
      </c>
      <c r="J2138" s="39">
        <v>102778</v>
      </c>
      <c r="K2138" s="36" t="str">
        <f>CONCATENATE(Cover!$D$6,"fdd/view?i=",J2138)</f>
        <v>https://www.dgiwg.org/FAD/fdd/view?i=102778</v>
      </c>
      <c r="L2138" s="36" t="s">
        <v>24845</v>
      </c>
      <c r="M2138" s="186"/>
      <c r="N2138" s="186"/>
      <c r="O2138" s="172"/>
    </row>
    <row r="2139" spans="1:15" ht="25.5" x14ac:dyDescent="0.2">
      <c r="A2139" s="197" t="str">
        <f t="shared" si="33"/>
        <v>ButCode_compassAdjustment</v>
      </c>
      <c r="B2139" s="409"/>
      <c r="C2139" s="416"/>
      <c r="D2139" s="198" t="s">
        <v>24846</v>
      </c>
      <c r="E2139" s="198">
        <v>32</v>
      </c>
      <c r="F2139" s="199" t="s">
        <v>24847</v>
      </c>
      <c r="G2139" s="1" t="s">
        <v>24848</v>
      </c>
      <c r="H2139" s="200"/>
      <c r="I2139" s="351" t="s">
        <v>24849</v>
      </c>
      <c r="J2139" s="39">
        <v>102717</v>
      </c>
      <c r="K2139" s="36" t="str">
        <f>CONCATENATE(Cover!$D$6,"fdd/view?i=",J2139)</f>
        <v>https://www.dgiwg.org/FAD/fdd/view?i=102717</v>
      </c>
      <c r="L2139" s="36" t="s">
        <v>24850</v>
      </c>
      <c r="M2139" s="186"/>
      <c r="N2139" s="186"/>
      <c r="O2139" s="172"/>
    </row>
    <row r="2140" spans="1:15" ht="25.5" x14ac:dyDescent="0.2">
      <c r="A2140" s="197" t="str">
        <f t="shared" si="33"/>
        <v>ButCode_control</v>
      </c>
      <c r="B2140" s="409"/>
      <c r="C2140" s="416"/>
      <c r="D2140" s="198" t="s">
        <v>24851</v>
      </c>
      <c r="E2140" s="198">
        <v>88</v>
      </c>
      <c r="F2140" s="199" t="s">
        <v>24852</v>
      </c>
      <c r="G2140" s="1" t="s">
        <v>24853</v>
      </c>
      <c r="H2140" s="200"/>
      <c r="I2140" s="351" t="s">
        <v>24854</v>
      </c>
      <c r="J2140" s="39">
        <v>102732</v>
      </c>
      <c r="K2140" s="36" t="str">
        <f>CONCATENATE(Cover!$D$6,"fdd/view?i=",J2140)</f>
        <v>https://www.dgiwg.org/FAD/fdd/view?i=102732</v>
      </c>
      <c r="L2140" s="36" t="s">
        <v>24855</v>
      </c>
      <c r="M2140" s="186"/>
      <c r="N2140" s="186"/>
      <c r="O2140" s="172"/>
    </row>
    <row r="2141" spans="1:15" ht="25.5" x14ac:dyDescent="0.2">
      <c r="A2141" s="197" t="str">
        <f t="shared" si="33"/>
        <v>ButCode_dan</v>
      </c>
      <c r="B2141" s="409"/>
      <c r="C2141" s="416"/>
      <c r="D2141" s="198" t="s">
        <v>24856</v>
      </c>
      <c r="E2141" s="198">
        <v>37</v>
      </c>
      <c r="F2141" s="199" t="s">
        <v>24857</v>
      </c>
      <c r="G2141" s="1" t="s">
        <v>24858</v>
      </c>
      <c r="H2141" s="200"/>
      <c r="I2141" s="346"/>
      <c r="J2141" s="39">
        <v>102722</v>
      </c>
      <c r="K2141" s="36" t="str">
        <f>CONCATENATE(Cover!$D$6,"fdd/view?i=",J2141)</f>
        <v>https://www.dgiwg.org/FAD/fdd/view?i=102722</v>
      </c>
      <c r="L2141" s="36" t="s">
        <v>24859</v>
      </c>
      <c r="M2141" s="186"/>
      <c r="N2141" s="186"/>
      <c r="O2141" s="172"/>
    </row>
    <row r="2142" spans="1:15" ht="25.5" x14ac:dyDescent="0.2">
      <c r="A2142" s="197" t="str">
        <f t="shared" si="33"/>
        <v>ButCode_daybeacon</v>
      </c>
      <c r="B2142" s="409"/>
      <c r="C2142" s="416"/>
      <c r="D2142" s="198" t="s">
        <v>24860</v>
      </c>
      <c r="E2142" s="198">
        <v>90</v>
      </c>
      <c r="F2142" s="199" t="s">
        <v>24861</v>
      </c>
      <c r="G2142" s="1" t="s">
        <v>24862</v>
      </c>
      <c r="H2142" s="200"/>
      <c r="I2142" s="346"/>
      <c r="J2142" s="39">
        <v>102734</v>
      </c>
      <c r="K2142" s="36" t="str">
        <f>CONCATENATE(Cover!$D$6,"fdd/view?i=",J2142)</f>
        <v>https://www.dgiwg.org/FAD/fdd/view?i=102734</v>
      </c>
      <c r="L2142" s="36" t="s">
        <v>24863</v>
      </c>
      <c r="M2142" s="186"/>
      <c r="N2142" s="186"/>
      <c r="O2142" s="172"/>
    </row>
    <row r="2143" spans="1:15" ht="25.5" x14ac:dyDescent="0.2">
      <c r="A2143" s="197" t="str">
        <f t="shared" si="33"/>
        <v>ButCode_degaussingRange</v>
      </c>
      <c r="B2143" s="409"/>
      <c r="C2143" s="416"/>
      <c r="D2143" s="198" t="s">
        <v>24864</v>
      </c>
      <c r="E2143" s="198">
        <v>107</v>
      </c>
      <c r="F2143" s="199" t="s">
        <v>24865</v>
      </c>
      <c r="G2143" s="1" t="s">
        <v>24866</v>
      </c>
      <c r="H2143" s="200"/>
      <c r="I2143" s="351" t="s">
        <v>24867</v>
      </c>
      <c r="J2143" s="39">
        <v>102751</v>
      </c>
      <c r="K2143" s="36" t="str">
        <f>CONCATENATE(Cover!$D$6,"fdd/view?i=",J2143)</f>
        <v>https://www.dgiwg.org/FAD/fdd/view?i=102751</v>
      </c>
      <c r="L2143" s="36" t="s">
        <v>24868</v>
      </c>
      <c r="M2143" s="186"/>
      <c r="N2143" s="186"/>
      <c r="O2143" s="172"/>
    </row>
    <row r="2144" spans="1:15" ht="25.5" x14ac:dyDescent="0.2">
      <c r="A2144" s="197" t="str">
        <f t="shared" si="33"/>
        <v>ButCode_diving</v>
      </c>
      <c r="B2144" s="409"/>
      <c r="C2144" s="416"/>
      <c r="D2144" s="198" t="s">
        <v>24869</v>
      </c>
      <c r="E2144" s="198">
        <v>81</v>
      </c>
      <c r="F2144" s="199" t="s">
        <v>24870</v>
      </c>
      <c r="G2144" s="1" t="s">
        <v>24871</v>
      </c>
      <c r="H2144" s="200"/>
      <c r="I2144" s="351" t="s">
        <v>24872</v>
      </c>
      <c r="J2144" s="39">
        <v>102725</v>
      </c>
      <c r="K2144" s="36" t="str">
        <f>CONCATENATE(Cover!$D$6,"fdd/view?i=",J2144)</f>
        <v>https://www.dgiwg.org/FAD/fdd/view?i=102725</v>
      </c>
      <c r="L2144" s="36" t="s">
        <v>24873</v>
      </c>
      <c r="M2144" s="186"/>
      <c r="N2144" s="186"/>
      <c r="O2144" s="172"/>
    </row>
    <row r="2145" spans="1:15" ht="25.5" x14ac:dyDescent="0.2">
      <c r="A2145" s="197" t="str">
        <f t="shared" si="33"/>
        <v>ButCode_dndCanada</v>
      </c>
      <c r="B2145" s="409"/>
      <c r="C2145" s="416"/>
      <c r="D2145" s="198" t="s">
        <v>24874</v>
      </c>
      <c r="E2145" s="198">
        <v>83</v>
      </c>
      <c r="F2145" s="199" t="s">
        <v>24875</v>
      </c>
      <c r="G2145" s="1" t="s">
        <v>24876</v>
      </c>
      <c r="H2145" s="200"/>
      <c r="I2145" s="346"/>
      <c r="J2145" s="39">
        <v>102727</v>
      </c>
      <c r="K2145" s="36" t="str">
        <f>CONCATENATE(Cover!$D$6,"fdd/view?i=",J2145)</f>
        <v>https://www.dgiwg.org/FAD/fdd/view?i=102727</v>
      </c>
      <c r="L2145" s="36" t="s">
        <v>24877</v>
      </c>
      <c r="M2145" s="186"/>
      <c r="N2145" s="186"/>
      <c r="O2145" s="172"/>
    </row>
    <row r="2146" spans="1:15" ht="38.25" x14ac:dyDescent="0.2">
      <c r="A2146" s="197" t="str">
        <f t="shared" si="33"/>
        <v>ButCode_eastCardinal</v>
      </c>
      <c r="B2146" s="409"/>
      <c r="C2146" s="416"/>
      <c r="D2146" s="198" t="s">
        <v>24878</v>
      </c>
      <c r="E2146" s="198">
        <v>97</v>
      </c>
      <c r="F2146" s="199" t="s">
        <v>24879</v>
      </c>
      <c r="G2146" s="1" t="s">
        <v>24880</v>
      </c>
      <c r="H2146" s="200"/>
      <c r="I2146" s="351" t="s">
        <v>24881</v>
      </c>
      <c r="J2146" s="39">
        <v>102741</v>
      </c>
      <c r="K2146" s="36" t="str">
        <f>CONCATENATE(Cover!$D$6,"fdd/view?i=",J2146)</f>
        <v>https://www.dgiwg.org/FAD/fdd/view?i=102741</v>
      </c>
      <c r="L2146" s="36" t="s">
        <v>24882</v>
      </c>
      <c r="M2146" s="186"/>
      <c r="N2146" s="186"/>
      <c r="O2146" s="172"/>
    </row>
    <row r="2147" spans="1:15" ht="25.5" x14ac:dyDescent="0.2">
      <c r="A2147" s="197" t="str">
        <f t="shared" si="33"/>
        <v>ButCode_entryProhibited</v>
      </c>
      <c r="B2147" s="409"/>
      <c r="C2147" s="416"/>
      <c r="D2147" s="198" t="s">
        <v>24883</v>
      </c>
      <c r="E2147" s="198">
        <v>89</v>
      </c>
      <c r="F2147" s="199" t="s">
        <v>24884</v>
      </c>
      <c r="G2147" s="1" t="s">
        <v>24885</v>
      </c>
      <c r="H2147" s="200"/>
      <c r="I2147" s="351" t="s">
        <v>24886</v>
      </c>
      <c r="J2147" s="39">
        <v>102733</v>
      </c>
      <c r="K2147" s="36" t="str">
        <f>CONCATENATE(Cover!$D$6,"fdd/view?i=",J2147)</f>
        <v>https://www.dgiwg.org/FAD/fdd/view?i=102733</v>
      </c>
      <c r="L2147" s="36" t="s">
        <v>24887</v>
      </c>
      <c r="M2147" s="186"/>
      <c r="N2147" s="186"/>
      <c r="O2147" s="172"/>
    </row>
    <row r="2148" spans="1:15" ht="25.5" x14ac:dyDescent="0.2">
      <c r="A2148" s="197" t="str">
        <f t="shared" si="33"/>
        <v>ButCode_exerciseArea</v>
      </c>
      <c r="B2148" s="409"/>
      <c r="C2148" s="416"/>
      <c r="D2148" s="198" t="s">
        <v>24888</v>
      </c>
      <c r="E2148" s="198">
        <v>29</v>
      </c>
      <c r="F2148" s="199" t="s">
        <v>24889</v>
      </c>
      <c r="G2148" s="1" t="s">
        <v>24890</v>
      </c>
      <c r="H2148" s="200"/>
      <c r="I2148" s="351" t="s">
        <v>24891</v>
      </c>
      <c r="J2148" s="39">
        <v>102714</v>
      </c>
      <c r="K2148" s="36" t="str">
        <f>CONCATENATE(Cover!$D$6,"fdd/view?i=",J2148)</f>
        <v>https://www.dgiwg.org/FAD/fdd/view?i=102714</v>
      </c>
      <c r="L2148" s="36" t="s">
        <v>24892</v>
      </c>
      <c r="M2148" s="186"/>
      <c r="N2148" s="186"/>
      <c r="O2148" s="172"/>
    </row>
    <row r="2149" spans="1:15" ht="25.5" x14ac:dyDescent="0.2">
      <c r="A2149" s="197" t="str">
        <f t="shared" si="33"/>
        <v>ButCode_explosiveAnchorage</v>
      </c>
      <c r="B2149" s="409"/>
      <c r="C2149" s="416"/>
      <c r="D2149" s="198" t="s">
        <v>24893</v>
      </c>
      <c r="E2149" s="198">
        <v>30</v>
      </c>
      <c r="F2149" s="199" t="s">
        <v>24894</v>
      </c>
      <c r="G2149" s="1" t="s">
        <v>24895</v>
      </c>
      <c r="H2149" s="200"/>
      <c r="I2149" s="346"/>
      <c r="J2149" s="39">
        <v>102715</v>
      </c>
      <c r="K2149" s="36" t="str">
        <f>CONCATENATE(Cover!$D$6,"fdd/view?i=",J2149)</f>
        <v>https://www.dgiwg.org/FAD/fdd/view?i=102715</v>
      </c>
      <c r="L2149" s="36" t="s">
        <v>24896</v>
      </c>
      <c r="M2149" s="186"/>
      <c r="N2149" s="186"/>
      <c r="O2149" s="172"/>
    </row>
    <row r="2150" spans="1:15" ht="25.5" x14ac:dyDescent="0.2">
      <c r="A2150" s="197" t="str">
        <f t="shared" si="33"/>
        <v>ButCode_fairway</v>
      </c>
      <c r="B2150" s="409"/>
      <c r="C2150" s="416"/>
      <c r="D2150" s="198" t="s">
        <v>24897</v>
      </c>
      <c r="E2150" s="198">
        <v>20</v>
      </c>
      <c r="F2150" s="199" t="s">
        <v>24898</v>
      </c>
      <c r="G2150" s="1" t="s">
        <v>24899</v>
      </c>
      <c r="H2150" s="1" t="s">
        <v>24900</v>
      </c>
      <c r="I2150" s="346"/>
      <c r="J2150" s="39">
        <v>102705</v>
      </c>
      <c r="K2150" s="36" t="str">
        <f>CONCATENATE(Cover!$D$6,"fdd/view?i=",J2150)</f>
        <v>https://www.dgiwg.org/FAD/fdd/view?i=102705</v>
      </c>
      <c r="L2150" s="36" t="s">
        <v>24901</v>
      </c>
      <c r="M2150" s="186"/>
      <c r="N2150" s="186"/>
      <c r="O2150" s="172"/>
    </row>
    <row r="2151" spans="1:15" ht="25.5" x14ac:dyDescent="0.2">
      <c r="A2151" s="197" t="str">
        <f t="shared" si="33"/>
        <v>ButCode_ferryCrossing</v>
      </c>
      <c r="B2151" s="409"/>
      <c r="C2151" s="416"/>
      <c r="D2151" s="198" t="s">
        <v>24902</v>
      </c>
      <c r="E2151" s="198">
        <v>132</v>
      </c>
      <c r="F2151" s="199" t="s">
        <v>3068</v>
      </c>
      <c r="G2151" s="1" t="s">
        <v>24903</v>
      </c>
      <c r="H2151" s="1" t="s">
        <v>24904</v>
      </c>
      <c r="I2151" s="351" t="s">
        <v>24905</v>
      </c>
      <c r="J2151" s="39">
        <v>102776</v>
      </c>
      <c r="K2151" s="36" t="str">
        <f>CONCATENATE(Cover!$D$6,"fdd/view?i=",J2151)</f>
        <v>https://www.dgiwg.org/FAD/fdd/view?i=102776</v>
      </c>
      <c r="L2151" s="36" t="s">
        <v>24906</v>
      </c>
      <c r="M2151" s="186"/>
      <c r="N2151" s="186"/>
      <c r="O2151" s="172"/>
    </row>
    <row r="2152" spans="1:15" ht="25.5" x14ac:dyDescent="0.2">
      <c r="A2152" s="197" t="str">
        <f t="shared" si="33"/>
        <v>ButCode_firingDangerArea</v>
      </c>
      <c r="B2152" s="409"/>
      <c r="C2152" s="416"/>
      <c r="D2152" s="198" t="s">
        <v>24907</v>
      </c>
      <c r="E2152" s="198">
        <v>104</v>
      </c>
      <c r="F2152" s="199" t="s">
        <v>24908</v>
      </c>
      <c r="G2152" s="1" t="s">
        <v>24909</v>
      </c>
      <c r="H2152" s="200"/>
      <c r="I2152" s="351" t="s">
        <v>24910</v>
      </c>
      <c r="J2152" s="39">
        <v>102748</v>
      </c>
      <c r="K2152" s="36" t="str">
        <f>CONCATENATE(Cover!$D$6,"fdd/view?i=",J2152)</f>
        <v>https://www.dgiwg.org/FAD/fdd/view?i=102748</v>
      </c>
      <c r="L2152" s="36" t="s">
        <v>24911</v>
      </c>
      <c r="M2152" s="186"/>
      <c r="N2152" s="186"/>
      <c r="O2152" s="172"/>
    </row>
    <row r="2153" spans="1:15" x14ac:dyDescent="0.2">
      <c r="A2153" s="197" t="str">
        <f t="shared" si="33"/>
        <v>ButCode_fishTrap</v>
      </c>
      <c r="B2153" s="409"/>
      <c r="C2153" s="416"/>
      <c r="D2153" s="198" t="s">
        <v>24912</v>
      </c>
      <c r="E2153" s="198">
        <v>33</v>
      </c>
      <c r="F2153" s="199" t="s">
        <v>24913</v>
      </c>
      <c r="G2153" s="1" t="s">
        <v>24914</v>
      </c>
      <c r="H2153" s="200"/>
      <c r="I2153" s="346"/>
      <c r="J2153" s="39">
        <v>102718</v>
      </c>
      <c r="K2153" s="36" t="str">
        <f>CONCATENATE(Cover!$D$6,"fdd/view?i=",J2153)</f>
        <v>https://www.dgiwg.org/FAD/fdd/view?i=102718</v>
      </c>
      <c r="L2153" s="36" t="s">
        <v>24915</v>
      </c>
      <c r="M2153" s="186"/>
      <c r="N2153" s="186"/>
      <c r="O2153" s="172"/>
    </row>
    <row r="2154" spans="1:15" ht="25.5" x14ac:dyDescent="0.2">
      <c r="A2154" s="197" t="str">
        <f t="shared" si="33"/>
        <v>ButCode_float</v>
      </c>
      <c r="B2154" s="409"/>
      <c r="C2154" s="416"/>
      <c r="D2154" s="198" t="s">
        <v>24916</v>
      </c>
      <c r="E2154" s="198">
        <v>2</v>
      </c>
      <c r="F2154" s="199" t="s">
        <v>24917</v>
      </c>
      <c r="G2154" s="1" t="s">
        <v>24918</v>
      </c>
      <c r="H2154" s="1" t="s">
        <v>24919</v>
      </c>
      <c r="I2154" s="346"/>
      <c r="J2154" s="39">
        <v>102687</v>
      </c>
      <c r="K2154" s="36" t="str">
        <f>CONCATENATE(Cover!$D$6,"fdd/view?i=",J2154)</f>
        <v>https://www.dgiwg.org/FAD/fdd/view?i=102687</v>
      </c>
      <c r="L2154" s="36" t="s">
        <v>24920</v>
      </c>
      <c r="M2154" s="186"/>
      <c r="N2154" s="186"/>
      <c r="O2154" s="172"/>
    </row>
    <row r="2155" spans="1:15" ht="25.5" x14ac:dyDescent="0.2">
      <c r="A2155" s="197" t="str">
        <f t="shared" si="33"/>
        <v>ButCode_foulGround</v>
      </c>
      <c r="B2155" s="409"/>
      <c r="C2155" s="416"/>
      <c r="D2155" s="198" t="s">
        <v>24921</v>
      </c>
      <c r="E2155" s="198">
        <v>136</v>
      </c>
      <c r="F2155" s="199" t="s">
        <v>3226</v>
      </c>
      <c r="G2155" s="1" t="s">
        <v>24922</v>
      </c>
      <c r="H2155" s="200"/>
      <c r="I2155" s="351" t="s">
        <v>24923</v>
      </c>
      <c r="J2155" s="39">
        <v>102780</v>
      </c>
      <c r="K2155" s="36" t="str">
        <f>CONCATENATE(Cover!$D$6,"fdd/view?i=",J2155)</f>
        <v>https://www.dgiwg.org/FAD/fdd/view?i=102780</v>
      </c>
      <c r="L2155" s="36" t="s">
        <v>24924</v>
      </c>
      <c r="M2155" s="186"/>
      <c r="N2155" s="186"/>
      <c r="O2155" s="172"/>
    </row>
    <row r="2156" spans="1:15" ht="25.5" x14ac:dyDescent="0.2">
      <c r="A2156" s="197" t="str">
        <f t="shared" si="33"/>
        <v>ButCode_generalWarning</v>
      </c>
      <c r="B2156" s="409"/>
      <c r="C2156" s="416"/>
      <c r="D2156" s="198" t="s">
        <v>24925</v>
      </c>
      <c r="E2156" s="198">
        <v>85</v>
      </c>
      <c r="F2156" s="199" t="s">
        <v>24926</v>
      </c>
      <c r="G2156" s="1" t="s">
        <v>24927</v>
      </c>
      <c r="H2156" s="200"/>
      <c r="I2156" s="351" t="s">
        <v>24928</v>
      </c>
      <c r="J2156" s="39">
        <v>102729</v>
      </c>
      <c r="K2156" s="36" t="str">
        <f>CONCATENATE(Cover!$D$6,"fdd/view?i=",J2156)</f>
        <v>https://www.dgiwg.org/FAD/fdd/view?i=102729</v>
      </c>
      <c r="L2156" s="36" t="s">
        <v>24929</v>
      </c>
      <c r="M2156" s="186"/>
      <c r="N2156" s="186"/>
      <c r="O2156" s="172"/>
    </row>
    <row r="2157" spans="1:15" ht="25.5" x14ac:dyDescent="0.2">
      <c r="A2157" s="197" t="str">
        <f t="shared" si="33"/>
        <v>ButCode_gpsMark</v>
      </c>
      <c r="B2157" s="409"/>
      <c r="C2157" s="416"/>
      <c r="D2157" s="198" t="s">
        <v>24930</v>
      </c>
      <c r="E2157" s="198">
        <v>139</v>
      </c>
      <c r="F2157" s="199" t="s">
        <v>24931</v>
      </c>
      <c r="G2157" s="1" t="s">
        <v>24932</v>
      </c>
      <c r="H2157" s="200"/>
      <c r="I2157" s="351" t="s">
        <v>24931</v>
      </c>
      <c r="J2157" s="39">
        <v>102783</v>
      </c>
      <c r="K2157" s="36" t="str">
        <f>CONCATENATE(Cover!$D$6,"fdd/view?i=",J2157)</f>
        <v>https://www.dgiwg.org/FAD/fdd/view?i=102783</v>
      </c>
      <c r="L2157" s="36" t="s">
        <v>24933</v>
      </c>
      <c r="M2157" s="186"/>
      <c r="N2157" s="186"/>
      <c r="O2157" s="172"/>
    </row>
    <row r="2158" spans="1:15" x14ac:dyDescent="0.2">
      <c r="A2158" s="197" t="str">
        <f t="shared" si="33"/>
        <v>ButCode_heliport</v>
      </c>
      <c r="B2158" s="409"/>
      <c r="C2158" s="416"/>
      <c r="D2158" s="198" t="s">
        <v>24934</v>
      </c>
      <c r="E2158" s="198">
        <v>138</v>
      </c>
      <c r="F2158" s="199" t="s">
        <v>3482</v>
      </c>
      <c r="G2158" s="1" t="s">
        <v>24935</v>
      </c>
      <c r="H2158" s="200"/>
      <c r="I2158" s="351" t="s">
        <v>24936</v>
      </c>
      <c r="J2158" s="39">
        <v>102782</v>
      </c>
      <c r="K2158" s="36" t="str">
        <f>CONCATENATE(Cover!$D$6,"fdd/view?i=",J2158)</f>
        <v>https://www.dgiwg.org/FAD/fdd/view?i=102782</v>
      </c>
      <c r="L2158" s="36" t="s">
        <v>24937</v>
      </c>
      <c r="M2158" s="186"/>
      <c r="N2158" s="186"/>
      <c r="O2158" s="172"/>
    </row>
    <row r="2159" spans="1:15" ht="25.5" x14ac:dyDescent="0.2">
      <c r="A2159" s="197" t="str">
        <f t="shared" si="33"/>
        <v>ButCode_iceBuoy</v>
      </c>
      <c r="B2159" s="409"/>
      <c r="C2159" s="416"/>
      <c r="D2159" s="198" t="s">
        <v>24938</v>
      </c>
      <c r="E2159" s="198">
        <v>103</v>
      </c>
      <c r="F2159" s="199" t="s">
        <v>24939</v>
      </c>
      <c r="G2159" s="1" t="s">
        <v>24940</v>
      </c>
      <c r="H2159" s="200"/>
      <c r="I2159" s="346"/>
      <c r="J2159" s="39">
        <v>102747</v>
      </c>
      <c r="K2159" s="36" t="str">
        <f>CONCATENATE(Cover!$D$6,"fdd/view?i=",J2159)</f>
        <v>https://www.dgiwg.org/FAD/fdd/view?i=102747</v>
      </c>
      <c r="L2159" s="36" t="s">
        <v>24941</v>
      </c>
      <c r="M2159" s="186"/>
      <c r="N2159" s="186"/>
      <c r="O2159" s="172"/>
    </row>
    <row r="2160" spans="1:15" ht="38.25" x14ac:dyDescent="0.2">
      <c r="A2160" s="197" t="str">
        <f t="shared" si="33"/>
        <v>ButCode_illuminated</v>
      </c>
      <c r="B2160" s="409"/>
      <c r="C2160" s="416"/>
      <c r="D2160" s="198" t="s">
        <v>24942</v>
      </c>
      <c r="E2160" s="198">
        <v>38</v>
      </c>
      <c r="F2160" s="199" t="s">
        <v>24943</v>
      </c>
      <c r="G2160" s="1" t="s">
        <v>24944</v>
      </c>
      <c r="H2160" s="200"/>
      <c r="I2160" s="351" t="s">
        <v>8807</v>
      </c>
      <c r="J2160" s="39">
        <v>102723</v>
      </c>
      <c r="K2160" s="36" t="str">
        <f>CONCATENATE(Cover!$D$6,"fdd/view?i=",J2160)</f>
        <v>https://www.dgiwg.org/FAD/fdd/view?i=102723</v>
      </c>
      <c r="L2160" s="36" t="s">
        <v>24945</v>
      </c>
      <c r="M2160" s="186"/>
      <c r="N2160" s="186"/>
      <c r="O2160" s="172"/>
    </row>
    <row r="2161" spans="1:15" ht="25.5" x14ac:dyDescent="0.2">
      <c r="A2161" s="197" t="str">
        <f t="shared" si="33"/>
        <v>ButCode_installation</v>
      </c>
      <c r="B2161" s="409"/>
      <c r="C2161" s="416"/>
      <c r="D2161" s="198" t="s">
        <v>24946</v>
      </c>
      <c r="E2161" s="198">
        <v>99</v>
      </c>
      <c r="F2161" s="199" t="s">
        <v>3669</v>
      </c>
      <c r="G2161" s="1" t="s">
        <v>24947</v>
      </c>
      <c r="H2161" s="1" t="s">
        <v>24948</v>
      </c>
      <c r="I2161" s="346"/>
      <c r="J2161" s="39">
        <v>102743</v>
      </c>
      <c r="K2161" s="36" t="str">
        <f>CONCATENATE(Cover!$D$6,"fdd/view?i=",J2161)</f>
        <v>https://www.dgiwg.org/FAD/fdd/view?i=102743</v>
      </c>
      <c r="L2161" s="36" t="s">
        <v>24949</v>
      </c>
      <c r="M2161" s="186"/>
      <c r="N2161" s="186"/>
      <c r="O2161" s="172"/>
    </row>
    <row r="2162" spans="1:15" ht="25.5" x14ac:dyDescent="0.2">
      <c r="A2162" s="197" t="str">
        <f t="shared" si="33"/>
        <v>ButCode_isolatedDanger</v>
      </c>
      <c r="B2162" s="409"/>
      <c r="C2162" s="416"/>
      <c r="D2162" s="198" t="s">
        <v>24950</v>
      </c>
      <c r="E2162" s="198">
        <v>3</v>
      </c>
      <c r="F2162" s="199" t="s">
        <v>24951</v>
      </c>
      <c r="G2162" s="1" t="s">
        <v>24952</v>
      </c>
      <c r="H2162" s="200"/>
      <c r="I2162" s="351" t="s">
        <v>24953</v>
      </c>
      <c r="J2162" s="39">
        <v>102688</v>
      </c>
      <c r="K2162" s="36" t="str">
        <f>CONCATENATE(Cover!$D$6,"fdd/view?i=",J2162)</f>
        <v>https://www.dgiwg.org/FAD/fdd/view?i=102688</v>
      </c>
      <c r="L2162" s="36" t="s">
        <v>24954</v>
      </c>
      <c r="M2162" s="186"/>
      <c r="N2162" s="186"/>
      <c r="O2162" s="172"/>
    </row>
    <row r="2163" spans="1:15" ht="25.5" x14ac:dyDescent="0.2">
      <c r="A2163" s="197" t="str">
        <f t="shared" si="33"/>
        <v>ButCode_junction</v>
      </c>
      <c r="B2163" s="409"/>
      <c r="C2163" s="416"/>
      <c r="D2163" s="198" t="s">
        <v>24955</v>
      </c>
      <c r="E2163" s="198">
        <v>23</v>
      </c>
      <c r="F2163" s="199" t="s">
        <v>24956</v>
      </c>
      <c r="G2163" s="1" t="s">
        <v>24957</v>
      </c>
      <c r="H2163" s="200"/>
      <c r="I2163" s="351" t="s">
        <v>24958</v>
      </c>
      <c r="J2163" s="39">
        <v>102708</v>
      </c>
      <c r="K2163" s="36" t="str">
        <f>CONCATENATE(Cover!$D$6,"fdd/view?i=",J2163)</f>
        <v>https://www.dgiwg.org/FAD/fdd/view?i=102708</v>
      </c>
      <c r="L2163" s="36" t="s">
        <v>24959</v>
      </c>
      <c r="M2163" s="186"/>
      <c r="N2163" s="186"/>
      <c r="O2163" s="172"/>
    </row>
    <row r="2164" spans="1:15" x14ac:dyDescent="0.2">
      <c r="A2164" s="197" t="str">
        <f t="shared" si="33"/>
        <v>ButCode_landfall</v>
      </c>
      <c r="B2164" s="409"/>
      <c r="C2164" s="416"/>
      <c r="D2164" s="198" t="s">
        <v>24960</v>
      </c>
      <c r="E2164" s="198">
        <v>11</v>
      </c>
      <c r="F2164" s="199" t="s">
        <v>24961</v>
      </c>
      <c r="G2164" s="1" t="s">
        <v>24962</v>
      </c>
      <c r="H2164" s="200"/>
      <c r="I2164" s="351" t="s">
        <v>24963</v>
      </c>
      <c r="J2164" s="39">
        <v>102696</v>
      </c>
      <c r="K2164" s="36" t="str">
        <f>CONCATENATE(Cover!$D$6,"fdd/view?i=",J2164)</f>
        <v>https://www.dgiwg.org/FAD/fdd/view?i=102696</v>
      </c>
      <c r="L2164" s="36" t="s">
        <v>24964</v>
      </c>
      <c r="M2164" s="186"/>
      <c r="N2164" s="186"/>
      <c r="O2164" s="172"/>
    </row>
    <row r="2165" spans="1:15" ht="25.5" x14ac:dyDescent="0.2">
      <c r="A2165" s="197" t="str">
        <f t="shared" si="33"/>
        <v>ButCode_largeAutomaticNavBuoy</v>
      </c>
      <c r="B2165" s="409"/>
      <c r="C2165" s="416"/>
      <c r="D2165" s="198" t="s">
        <v>24965</v>
      </c>
      <c r="E2165" s="198">
        <v>4</v>
      </c>
      <c r="F2165" s="199" t="s">
        <v>24966</v>
      </c>
      <c r="G2165" s="1" t="s">
        <v>24967</v>
      </c>
      <c r="H2165" s="1" t="s">
        <v>24968</v>
      </c>
      <c r="I2165" s="346"/>
      <c r="J2165" s="39">
        <v>102689</v>
      </c>
      <c r="K2165" s="36" t="str">
        <f>CONCATENATE(Cover!$D$6,"fdd/view?i=",J2165)</f>
        <v>https://www.dgiwg.org/FAD/fdd/view?i=102689</v>
      </c>
      <c r="L2165" s="36" t="s">
        <v>24969</v>
      </c>
      <c r="M2165" s="186"/>
      <c r="N2165" s="186"/>
      <c r="O2165" s="172"/>
    </row>
    <row r="2166" spans="1:15" x14ac:dyDescent="0.2">
      <c r="A2166" s="197" t="str">
        <f t="shared" si="33"/>
        <v>ButCode_lateral</v>
      </c>
      <c r="B2166" s="409"/>
      <c r="C2166" s="416"/>
      <c r="D2166" s="198" t="s">
        <v>24970</v>
      </c>
      <c r="E2166" s="198">
        <v>5</v>
      </c>
      <c r="F2166" s="199" t="s">
        <v>24971</v>
      </c>
      <c r="G2166" s="1" t="s">
        <v>3850</v>
      </c>
      <c r="H2166" s="200"/>
      <c r="I2166" s="346"/>
      <c r="J2166" s="39">
        <v>102690</v>
      </c>
      <c r="K2166" s="36" t="str">
        <f>CONCATENATE(Cover!$D$6,"fdd/view?i=",J2166)</f>
        <v>https://www.dgiwg.org/FAD/fdd/view?i=102690</v>
      </c>
      <c r="L2166" s="36" t="s">
        <v>24972</v>
      </c>
      <c r="M2166" s="186"/>
      <c r="N2166" s="186"/>
      <c r="O2166" s="172"/>
    </row>
    <row r="2167" spans="1:15" ht="25.5" x14ac:dyDescent="0.2">
      <c r="A2167" s="197" t="str">
        <f t="shared" si="33"/>
        <v>ButCode_leadingLine</v>
      </c>
      <c r="B2167" s="409"/>
      <c r="C2167" s="416"/>
      <c r="D2167" s="198" t="s">
        <v>24973</v>
      </c>
      <c r="E2167" s="198">
        <v>113</v>
      </c>
      <c r="F2167" s="199" t="s">
        <v>3861</v>
      </c>
      <c r="G2167" s="1" t="s">
        <v>24974</v>
      </c>
      <c r="H2167" s="1" t="s">
        <v>24975</v>
      </c>
      <c r="I2167" s="351" t="s">
        <v>24976</v>
      </c>
      <c r="J2167" s="39">
        <v>102757</v>
      </c>
      <c r="K2167" s="36" t="str">
        <f>CONCATENATE(Cover!$D$6,"fdd/view?i=",J2167)</f>
        <v>https://www.dgiwg.org/FAD/fdd/view?i=102757</v>
      </c>
      <c r="L2167" s="36" t="s">
        <v>24977</v>
      </c>
      <c r="M2167" s="186"/>
      <c r="N2167" s="186"/>
      <c r="O2167" s="172"/>
    </row>
    <row r="2168" spans="1:15" ht="38.25" x14ac:dyDescent="0.2">
      <c r="A2168" s="197" t="str">
        <f t="shared" si="33"/>
        <v>ButCode_lightFloat</v>
      </c>
      <c r="B2168" s="409"/>
      <c r="C2168" s="416"/>
      <c r="D2168" s="198" t="s">
        <v>24978</v>
      </c>
      <c r="E2168" s="198">
        <v>6</v>
      </c>
      <c r="F2168" s="199" t="s">
        <v>24979</v>
      </c>
      <c r="G2168" s="1" t="s">
        <v>24980</v>
      </c>
      <c r="H2168" s="200"/>
      <c r="I2168" s="346"/>
      <c r="J2168" s="39">
        <v>102691</v>
      </c>
      <c r="K2168" s="36" t="str">
        <f>CONCATENATE(Cover!$D$6,"fdd/view?i=",J2168)</f>
        <v>https://www.dgiwg.org/FAD/fdd/view?i=102691</v>
      </c>
      <c r="L2168" s="36" t="s">
        <v>24981</v>
      </c>
      <c r="M2168" s="186"/>
      <c r="N2168" s="186"/>
      <c r="O2168" s="172"/>
    </row>
    <row r="2169" spans="1:15" ht="25.5" x14ac:dyDescent="0.2">
      <c r="A2169" s="197" t="str">
        <f t="shared" si="33"/>
        <v>ButCode_marineFarm</v>
      </c>
      <c r="B2169" s="409"/>
      <c r="C2169" s="416"/>
      <c r="D2169" s="198" t="s">
        <v>24982</v>
      </c>
      <c r="E2169" s="198">
        <v>142</v>
      </c>
      <c r="F2169" s="199" t="s">
        <v>24983</v>
      </c>
      <c r="G2169" s="1" t="s">
        <v>24984</v>
      </c>
      <c r="H2169" s="200"/>
      <c r="I2169" s="351" t="s">
        <v>24985</v>
      </c>
      <c r="J2169" s="39">
        <v>110087</v>
      </c>
      <c r="K2169" s="36" t="str">
        <f>CONCATENATE(Cover!$D$6,"fdd/view?i=",J2169)</f>
        <v>https://www.dgiwg.org/FAD/fdd/view?i=110087</v>
      </c>
      <c r="L2169" s="36" t="s">
        <v>24986</v>
      </c>
      <c r="M2169" s="186"/>
      <c r="N2169" s="186"/>
      <c r="O2169" s="172"/>
    </row>
    <row r="2170" spans="1:15" ht="25.5" x14ac:dyDescent="0.2">
      <c r="A2170" s="197" t="str">
        <f t="shared" si="33"/>
        <v>ButCode_markerShip</v>
      </c>
      <c r="B2170" s="409"/>
      <c r="C2170" s="416"/>
      <c r="D2170" s="198" t="s">
        <v>24987</v>
      </c>
      <c r="E2170" s="198">
        <v>106</v>
      </c>
      <c r="F2170" s="199" t="s">
        <v>24988</v>
      </c>
      <c r="G2170" s="1" t="s">
        <v>24989</v>
      </c>
      <c r="H2170" s="200"/>
      <c r="I2170" s="351" t="s">
        <v>24990</v>
      </c>
      <c r="J2170" s="39">
        <v>102750</v>
      </c>
      <c r="K2170" s="36" t="str">
        <f>CONCATENATE(Cover!$D$6,"fdd/view?i=",J2170)</f>
        <v>https://www.dgiwg.org/FAD/fdd/view?i=102750</v>
      </c>
      <c r="L2170" s="36" t="s">
        <v>24991</v>
      </c>
      <c r="M2170" s="186"/>
      <c r="N2170" s="186"/>
      <c r="O2170" s="172"/>
    </row>
    <row r="2171" spans="1:15" ht="38.25" x14ac:dyDescent="0.2">
      <c r="A2171" s="197" t="str">
        <f t="shared" si="33"/>
        <v>ButCode_maximumVesselsDraft</v>
      </c>
      <c r="B2171" s="409"/>
      <c r="C2171" s="416"/>
      <c r="D2171" s="198" t="s">
        <v>24992</v>
      </c>
      <c r="E2171" s="198">
        <v>125</v>
      </c>
      <c r="F2171" s="199" t="s">
        <v>24993</v>
      </c>
      <c r="G2171" s="1" t="s">
        <v>24994</v>
      </c>
      <c r="H2171" s="200"/>
      <c r="I2171" s="351" t="s">
        <v>24995</v>
      </c>
      <c r="J2171" s="39">
        <v>102769</v>
      </c>
      <c r="K2171" s="36" t="str">
        <f>CONCATENATE(Cover!$D$6,"fdd/view?i=",J2171)</f>
        <v>https://www.dgiwg.org/FAD/fdd/view?i=102769</v>
      </c>
      <c r="L2171" s="36" t="s">
        <v>24996</v>
      </c>
      <c r="M2171" s="186"/>
      <c r="N2171" s="186"/>
      <c r="O2171" s="172"/>
    </row>
    <row r="2172" spans="1:15" ht="25.5" x14ac:dyDescent="0.2">
      <c r="A2172" s="197" t="str">
        <f t="shared" si="33"/>
        <v>ButCode_measuredDistance</v>
      </c>
      <c r="B2172" s="409"/>
      <c r="C2172" s="416"/>
      <c r="D2172" s="198" t="s">
        <v>24997</v>
      </c>
      <c r="E2172" s="198">
        <v>114</v>
      </c>
      <c r="F2172" s="199" t="s">
        <v>24998</v>
      </c>
      <c r="G2172" s="1" t="s">
        <v>24999</v>
      </c>
      <c r="H2172" s="200"/>
      <c r="I2172" s="351" t="s">
        <v>25000</v>
      </c>
      <c r="J2172" s="39">
        <v>102758</v>
      </c>
      <c r="K2172" s="36" t="str">
        <f>CONCATENATE(Cover!$D$6,"fdd/view?i=",J2172)</f>
        <v>https://www.dgiwg.org/FAD/fdd/view?i=102758</v>
      </c>
      <c r="L2172" s="36" t="s">
        <v>25001</v>
      </c>
      <c r="M2172" s="186"/>
      <c r="N2172" s="186"/>
      <c r="O2172" s="172"/>
    </row>
    <row r="2173" spans="1:15" x14ac:dyDescent="0.2">
      <c r="A2173" s="197" t="str">
        <f t="shared" si="33"/>
        <v>ButCode_midChannel</v>
      </c>
      <c r="B2173" s="409"/>
      <c r="C2173" s="416"/>
      <c r="D2173" s="198" t="s">
        <v>25002</v>
      </c>
      <c r="E2173" s="198">
        <v>21</v>
      </c>
      <c r="F2173" s="199" t="s">
        <v>25003</v>
      </c>
      <c r="G2173" s="1" t="s">
        <v>25004</v>
      </c>
      <c r="H2173" s="200"/>
      <c r="I2173" s="346"/>
      <c r="J2173" s="39">
        <v>102706</v>
      </c>
      <c r="K2173" s="36" t="str">
        <f>CONCATENATE(Cover!$D$6,"fdd/view?i=",J2173)</f>
        <v>https://www.dgiwg.org/FAD/fdd/view?i=102706</v>
      </c>
      <c r="L2173" s="36" t="s">
        <v>25005</v>
      </c>
      <c r="M2173" s="186"/>
      <c r="N2173" s="186"/>
      <c r="O2173" s="172"/>
    </row>
    <row r="2174" spans="1:15" x14ac:dyDescent="0.2">
      <c r="A2174" s="197" t="str">
        <f t="shared" si="33"/>
        <v>ButCode_mooring</v>
      </c>
      <c r="B2174" s="409"/>
      <c r="C2174" s="416"/>
      <c r="D2174" s="198" t="s">
        <v>24016</v>
      </c>
      <c r="E2174" s="198">
        <v>7</v>
      </c>
      <c r="F2174" s="199" t="s">
        <v>24017</v>
      </c>
      <c r="G2174" s="1" t="s">
        <v>25006</v>
      </c>
      <c r="H2174" s="200"/>
      <c r="I2174" s="351" t="s">
        <v>25007</v>
      </c>
      <c r="J2174" s="39">
        <v>102692</v>
      </c>
      <c r="K2174" s="36" t="str">
        <f>CONCATENATE(Cover!$D$6,"fdd/view?i=",J2174)</f>
        <v>https://www.dgiwg.org/FAD/fdd/view?i=102692</v>
      </c>
      <c r="L2174" s="36" t="s">
        <v>25008</v>
      </c>
      <c r="M2174" s="186"/>
      <c r="N2174" s="186"/>
      <c r="O2174" s="172"/>
    </row>
    <row r="2175" spans="1:15" ht="38.25" x14ac:dyDescent="0.2">
      <c r="A2175" s="197" t="str">
        <f t="shared" si="33"/>
        <v>ButCode_nccbBuoy</v>
      </c>
      <c r="B2175" s="409"/>
      <c r="C2175" s="416"/>
      <c r="D2175" s="198" t="s">
        <v>25009</v>
      </c>
      <c r="E2175" s="198">
        <v>102</v>
      </c>
      <c r="F2175" s="199" t="s">
        <v>25010</v>
      </c>
      <c r="G2175" s="1" t="s">
        <v>25011</v>
      </c>
      <c r="H2175" s="200"/>
      <c r="I2175" s="346"/>
      <c r="J2175" s="39">
        <v>102746</v>
      </c>
      <c r="K2175" s="36" t="str">
        <f>CONCATENATE(Cover!$D$6,"fdd/view?i=",J2175)</f>
        <v>https://www.dgiwg.org/FAD/fdd/view?i=102746</v>
      </c>
      <c r="L2175" s="36" t="s">
        <v>25012</v>
      </c>
      <c r="M2175" s="186"/>
      <c r="N2175" s="186"/>
      <c r="O2175" s="172"/>
    </row>
    <row r="2176" spans="1:15" ht="38.25" x14ac:dyDescent="0.2">
      <c r="A2176" s="197" t="str">
        <f t="shared" si="33"/>
        <v>ButCode_northCardinal</v>
      </c>
      <c r="B2176" s="409"/>
      <c r="C2176" s="416"/>
      <c r="D2176" s="198" t="s">
        <v>25013</v>
      </c>
      <c r="E2176" s="198">
        <v>98</v>
      </c>
      <c r="F2176" s="199" t="s">
        <v>25014</v>
      </c>
      <c r="G2176" s="1" t="s">
        <v>25015</v>
      </c>
      <c r="H2176" s="200"/>
      <c r="I2176" s="351" t="s">
        <v>25016</v>
      </c>
      <c r="J2176" s="39">
        <v>102742</v>
      </c>
      <c r="K2176" s="36" t="str">
        <f>CONCATENATE(Cover!$D$6,"fdd/view?i=",J2176)</f>
        <v>https://www.dgiwg.org/FAD/fdd/view?i=102742</v>
      </c>
      <c r="L2176" s="36" t="s">
        <v>25017</v>
      </c>
      <c r="M2176" s="186"/>
      <c r="N2176" s="186"/>
      <c r="O2176" s="172"/>
    </row>
    <row r="2177" spans="1:15" x14ac:dyDescent="0.2">
      <c r="A2177" s="197" t="str">
        <f t="shared" si="33"/>
        <v>ButCode_notice</v>
      </c>
      <c r="B2177" s="409"/>
      <c r="C2177" s="416"/>
      <c r="D2177" s="198" t="s">
        <v>25018</v>
      </c>
      <c r="E2177" s="198">
        <v>82</v>
      </c>
      <c r="F2177" s="199" t="s">
        <v>25019</v>
      </c>
      <c r="G2177" s="1" t="s">
        <v>25020</v>
      </c>
      <c r="H2177" s="200"/>
      <c r="I2177" s="351" t="s">
        <v>25021</v>
      </c>
      <c r="J2177" s="39">
        <v>102726</v>
      </c>
      <c r="K2177" s="36" t="str">
        <f>CONCATENATE(Cover!$D$6,"fdd/view?i=",J2177)</f>
        <v>https://www.dgiwg.org/FAD/fdd/view?i=102726</v>
      </c>
      <c r="L2177" s="36" t="s">
        <v>25022</v>
      </c>
      <c r="M2177" s="186"/>
      <c r="N2177" s="186"/>
      <c r="O2177" s="172"/>
    </row>
    <row r="2178" spans="1:15" x14ac:dyDescent="0.2">
      <c r="A2178" s="197" t="str">
        <f t="shared" ref="A2178:A2241" si="34">HYPERLINK(K2178,L2178)</f>
        <v>ButCode_obstruction</v>
      </c>
      <c r="B2178" s="409"/>
      <c r="C2178" s="416"/>
      <c r="D2178" s="198" t="s">
        <v>20031</v>
      </c>
      <c r="E2178" s="198">
        <v>25</v>
      </c>
      <c r="F2178" s="199" t="s">
        <v>20032</v>
      </c>
      <c r="G2178" s="1" t="s">
        <v>25023</v>
      </c>
      <c r="H2178" s="200"/>
      <c r="I2178" s="346"/>
      <c r="J2178" s="39">
        <v>102710</v>
      </c>
      <c r="K2178" s="36" t="str">
        <f>CONCATENATE(Cover!$D$6,"fdd/view?i=",J2178)</f>
        <v>https://www.dgiwg.org/FAD/fdd/view?i=102710</v>
      </c>
      <c r="L2178" s="36" t="s">
        <v>25024</v>
      </c>
      <c r="M2178" s="186"/>
      <c r="N2178" s="186"/>
      <c r="O2178" s="172"/>
    </row>
    <row r="2179" spans="1:15" ht="127.5" x14ac:dyDescent="0.2">
      <c r="A2179" s="197" t="str">
        <f t="shared" si="34"/>
        <v>ButCode_odasBuoy</v>
      </c>
      <c r="B2179" s="409"/>
      <c r="C2179" s="416"/>
      <c r="D2179" s="198" t="s">
        <v>25025</v>
      </c>
      <c r="E2179" s="198">
        <v>10</v>
      </c>
      <c r="F2179" s="199" t="s">
        <v>25026</v>
      </c>
      <c r="G2179" s="1" t="s">
        <v>25027</v>
      </c>
      <c r="H2179" s="1" t="s">
        <v>25028</v>
      </c>
      <c r="I2179" s="346"/>
      <c r="J2179" s="39">
        <v>102695</v>
      </c>
      <c r="K2179" s="36" t="str">
        <f>CONCATENATE(Cover!$D$6,"fdd/view?i=",J2179)</f>
        <v>https://www.dgiwg.org/FAD/fdd/view?i=102695</v>
      </c>
      <c r="L2179" s="36" t="s">
        <v>25029</v>
      </c>
      <c r="M2179" s="186"/>
      <c r="N2179" s="186"/>
      <c r="O2179" s="172"/>
    </row>
    <row r="2180" spans="1:15" ht="25.5" x14ac:dyDescent="0.2">
      <c r="A2180" s="197" t="str">
        <f t="shared" si="34"/>
        <v>ButCode_outfall</v>
      </c>
      <c r="B2180" s="409"/>
      <c r="C2180" s="416"/>
      <c r="D2180" s="198" t="s">
        <v>25030</v>
      </c>
      <c r="E2180" s="198">
        <v>110</v>
      </c>
      <c r="F2180" s="199" t="s">
        <v>25031</v>
      </c>
      <c r="G2180" s="1" t="s">
        <v>25032</v>
      </c>
      <c r="H2180" s="200"/>
      <c r="I2180" s="351" t="s">
        <v>25033</v>
      </c>
      <c r="J2180" s="39">
        <v>102754</v>
      </c>
      <c r="K2180" s="36" t="str">
        <f>CONCATENATE(Cover!$D$6,"fdd/view?i=",J2180)</f>
        <v>https://www.dgiwg.org/FAD/fdd/view?i=102754</v>
      </c>
      <c r="L2180" s="36" t="s">
        <v>25034</v>
      </c>
      <c r="M2180" s="186"/>
      <c r="N2180" s="186"/>
      <c r="O2180" s="172"/>
    </row>
    <row r="2181" spans="1:15" ht="25.5" x14ac:dyDescent="0.2">
      <c r="A2181" s="197" t="str">
        <f t="shared" si="34"/>
        <v>ButCode_overheadPowerCable</v>
      </c>
      <c r="B2181" s="409"/>
      <c r="C2181" s="416"/>
      <c r="D2181" s="198" t="s">
        <v>25035</v>
      </c>
      <c r="E2181" s="198">
        <v>129</v>
      </c>
      <c r="F2181" s="199" t="s">
        <v>25036</v>
      </c>
      <c r="G2181" s="1" t="s">
        <v>25037</v>
      </c>
      <c r="H2181" s="200"/>
      <c r="I2181" s="351" t="s">
        <v>25038</v>
      </c>
      <c r="J2181" s="39">
        <v>102773</v>
      </c>
      <c r="K2181" s="36" t="str">
        <f>CONCATENATE(Cover!$D$6,"fdd/view?i=",J2181)</f>
        <v>https://www.dgiwg.org/FAD/fdd/view?i=102773</v>
      </c>
      <c r="L2181" s="36" t="s">
        <v>25039</v>
      </c>
      <c r="M2181" s="186"/>
      <c r="N2181" s="186"/>
      <c r="O2181" s="172"/>
    </row>
    <row r="2182" spans="1:15" ht="25.5" x14ac:dyDescent="0.2">
      <c r="A2182" s="197" t="str">
        <f t="shared" si="34"/>
        <v>ButCode_overtakingProhibited</v>
      </c>
      <c r="B2182" s="409"/>
      <c r="C2182" s="416"/>
      <c r="D2182" s="198" t="s">
        <v>25040</v>
      </c>
      <c r="E2182" s="198">
        <v>118</v>
      </c>
      <c r="F2182" s="199" t="s">
        <v>25041</v>
      </c>
      <c r="G2182" s="1" t="s">
        <v>25042</v>
      </c>
      <c r="H2182" s="200"/>
      <c r="I2182" s="351" t="s">
        <v>25043</v>
      </c>
      <c r="J2182" s="39">
        <v>102762</v>
      </c>
      <c r="K2182" s="36" t="str">
        <f>CONCATENATE(Cover!$D$6,"fdd/view?i=",J2182)</f>
        <v>https://www.dgiwg.org/FAD/fdd/view?i=102762</v>
      </c>
      <c r="L2182" s="36" t="s">
        <v>25044</v>
      </c>
      <c r="M2182" s="186"/>
      <c r="N2182" s="186"/>
      <c r="O2182" s="172"/>
    </row>
    <row r="2183" spans="1:15" ht="25.5" x14ac:dyDescent="0.2">
      <c r="A2183" s="197" t="str">
        <f t="shared" si="34"/>
        <v>ButCode_pipeline</v>
      </c>
      <c r="B2183" s="409"/>
      <c r="C2183" s="416"/>
      <c r="D2183" s="198" t="s">
        <v>25045</v>
      </c>
      <c r="E2183" s="198">
        <v>133</v>
      </c>
      <c r="F2183" s="199" t="s">
        <v>4440</v>
      </c>
      <c r="G2183" s="1" t="s">
        <v>25046</v>
      </c>
      <c r="H2183" s="200"/>
      <c r="I2183" s="351" t="s">
        <v>25047</v>
      </c>
      <c r="J2183" s="39">
        <v>102777</v>
      </c>
      <c r="K2183" s="36" t="str">
        <f>CONCATENATE(Cover!$D$6,"fdd/view?i=",J2183)</f>
        <v>https://www.dgiwg.org/FAD/fdd/view?i=102777</v>
      </c>
      <c r="L2183" s="36" t="s">
        <v>25048</v>
      </c>
      <c r="M2183" s="186"/>
      <c r="N2183" s="186"/>
      <c r="O2183" s="172"/>
    </row>
    <row r="2184" spans="1:15" ht="38.25" x14ac:dyDescent="0.2">
      <c r="A2184" s="197" t="str">
        <f t="shared" si="34"/>
        <v>ButCode_portHandEdge</v>
      </c>
      <c r="B2184" s="409"/>
      <c r="C2184" s="416"/>
      <c r="D2184" s="198" t="s">
        <v>25049</v>
      </c>
      <c r="E2184" s="198">
        <v>94</v>
      </c>
      <c r="F2184" s="199" t="s">
        <v>25050</v>
      </c>
      <c r="G2184" s="1" t="s">
        <v>25051</v>
      </c>
      <c r="H2184" s="1" t="s">
        <v>25052</v>
      </c>
      <c r="I2184" s="351" t="s">
        <v>25053</v>
      </c>
      <c r="J2184" s="39">
        <v>102738</v>
      </c>
      <c r="K2184" s="36" t="str">
        <f>CONCATENATE(Cover!$D$6,"fdd/view?i=",J2184)</f>
        <v>https://www.dgiwg.org/FAD/fdd/view?i=102738</v>
      </c>
      <c r="L2184" s="36" t="s">
        <v>25054</v>
      </c>
      <c r="M2184" s="186"/>
      <c r="N2184" s="186"/>
      <c r="O2184" s="172"/>
    </row>
    <row r="2185" spans="1:15" ht="38.25" x14ac:dyDescent="0.2">
      <c r="A2185" s="197" t="str">
        <f t="shared" si="34"/>
        <v>ButCode_preferredChannelPort</v>
      </c>
      <c r="B2185" s="409"/>
      <c r="C2185" s="416"/>
      <c r="D2185" s="198" t="s">
        <v>25055</v>
      </c>
      <c r="E2185" s="198">
        <v>91</v>
      </c>
      <c r="F2185" s="199" t="s">
        <v>25056</v>
      </c>
      <c r="G2185" s="1" t="s">
        <v>25057</v>
      </c>
      <c r="H2185" s="200"/>
      <c r="I2185" s="351" t="s">
        <v>25058</v>
      </c>
      <c r="J2185" s="39">
        <v>102735</v>
      </c>
      <c r="K2185" s="36" t="str">
        <f>CONCATENATE(Cover!$D$6,"fdd/view?i=",J2185)</f>
        <v>https://www.dgiwg.org/FAD/fdd/view?i=102735</v>
      </c>
      <c r="L2185" s="36" t="s">
        <v>25059</v>
      </c>
      <c r="M2185" s="186"/>
      <c r="N2185" s="186"/>
      <c r="O2185" s="172"/>
    </row>
    <row r="2186" spans="1:15" ht="51" x14ac:dyDescent="0.2">
      <c r="A2186" s="197" t="str">
        <f t="shared" si="34"/>
        <v>ButCode_preferredChannelStarboard</v>
      </c>
      <c r="B2186" s="409"/>
      <c r="C2186" s="416"/>
      <c r="D2186" s="198" t="s">
        <v>25060</v>
      </c>
      <c r="E2186" s="198">
        <v>92</v>
      </c>
      <c r="F2186" s="199" t="s">
        <v>25061</v>
      </c>
      <c r="G2186" s="1" t="s">
        <v>25062</v>
      </c>
      <c r="H2186" s="200"/>
      <c r="I2186" s="351" t="s">
        <v>25063</v>
      </c>
      <c r="J2186" s="39">
        <v>102736</v>
      </c>
      <c r="K2186" s="36" t="str">
        <f>CONCATENATE(Cover!$D$6,"fdd/view?i=",J2186)</f>
        <v>https://www.dgiwg.org/FAD/fdd/view?i=102736</v>
      </c>
      <c r="L2186" s="36" t="s">
        <v>25064</v>
      </c>
      <c r="M2186" s="186"/>
      <c r="N2186" s="186"/>
      <c r="O2186" s="172"/>
    </row>
    <row r="2187" spans="1:15" x14ac:dyDescent="0.2">
      <c r="A2187" s="197" t="str">
        <f t="shared" si="34"/>
        <v>ButCode_private</v>
      </c>
      <c r="B2187" s="409"/>
      <c r="C2187" s="416"/>
      <c r="D2187" s="198" t="s">
        <v>20069</v>
      </c>
      <c r="E2187" s="198">
        <v>86</v>
      </c>
      <c r="F2187" s="199" t="s">
        <v>20070</v>
      </c>
      <c r="G2187" s="1" t="s">
        <v>25065</v>
      </c>
      <c r="H2187" s="200"/>
      <c r="I2187" s="351" t="s">
        <v>25066</v>
      </c>
      <c r="J2187" s="39">
        <v>102730</v>
      </c>
      <c r="K2187" s="36" t="str">
        <f>CONCATENATE(Cover!$D$6,"fdd/view?i=",J2187)</f>
        <v>https://www.dgiwg.org/FAD/fdd/view?i=102730</v>
      </c>
      <c r="L2187" s="36" t="s">
        <v>25067</v>
      </c>
      <c r="M2187" s="186"/>
      <c r="N2187" s="186"/>
      <c r="O2187" s="172"/>
    </row>
    <row r="2188" spans="1:15" x14ac:dyDescent="0.2">
      <c r="A2188" s="197" t="str">
        <f t="shared" si="34"/>
        <v>ButCode_quarantine</v>
      </c>
      <c r="B2188" s="409"/>
      <c r="C2188" s="416"/>
      <c r="D2188" s="198" t="s">
        <v>25068</v>
      </c>
      <c r="E2188" s="198">
        <v>28</v>
      </c>
      <c r="F2188" s="199" t="s">
        <v>25069</v>
      </c>
      <c r="G2188" s="1" t="s">
        <v>25070</v>
      </c>
      <c r="H2188" s="200"/>
      <c r="I2188" s="346"/>
      <c r="J2188" s="39">
        <v>102713</v>
      </c>
      <c r="K2188" s="36" t="str">
        <f>CONCATENATE(Cover!$D$6,"fdd/view?i=",J2188)</f>
        <v>https://www.dgiwg.org/FAD/fdd/view?i=102713</v>
      </c>
      <c r="L2188" s="36" t="s">
        <v>25071</v>
      </c>
      <c r="M2188" s="186"/>
      <c r="N2188" s="186"/>
      <c r="O2188" s="172"/>
    </row>
    <row r="2189" spans="1:15" ht="25.5" x14ac:dyDescent="0.2">
      <c r="A2189" s="197" t="str">
        <f t="shared" si="34"/>
        <v>ButCode_radiobeacon</v>
      </c>
      <c r="B2189" s="409"/>
      <c r="C2189" s="416"/>
      <c r="D2189" s="198" t="s">
        <v>25072</v>
      </c>
      <c r="E2189" s="198">
        <v>36</v>
      </c>
      <c r="F2189" s="199" t="s">
        <v>25073</v>
      </c>
      <c r="G2189" s="1" t="s">
        <v>25074</v>
      </c>
      <c r="H2189" s="200"/>
      <c r="I2189" s="346"/>
      <c r="J2189" s="39">
        <v>102721</v>
      </c>
      <c r="K2189" s="36" t="str">
        <f>CONCATENATE(Cover!$D$6,"fdd/view?i=",J2189)</f>
        <v>https://www.dgiwg.org/FAD/fdd/view?i=102721</v>
      </c>
      <c r="L2189" s="36" t="s">
        <v>25075</v>
      </c>
      <c r="M2189" s="186"/>
      <c r="N2189" s="186"/>
      <c r="O2189" s="172"/>
    </row>
    <row r="2190" spans="1:15" x14ac:dyDescent="0.2">
      <c r="A2190" s="197" t="str">
        <f t="shared" si="34"/>
        <v>ButCode_recording</v>
      </c>
      <c r="B2190" s="409"/>
      <c r="C2190" s="416"/>
      <c r="D2190" s="198" t="s">
        <v>25076</v>
      </c>
      <c r="E2190" s="198">
        <v>111</v>
      </c>
      <c r="F2190" s="199" t="s">
        <v>25077</v>
      </c>
      <c r="G2190" s="1" t="s">
        <v>25078</v>
      </c>
      <c r="H2190" s="200"/>
      <c r="I2190" s="351" t="s">
        <v>25079</v>
      </c>
      <c r="J2190" s="39">
        <v>102755</v>
      </c>
      <c r="K2190" s="36" t="str">
        <f>CONCATENATE(Cover!$D$6,"fdd/view?i=",J2190)</f>
        <v>https://www.dgiwg.org/FAD/fdd/view?i=102755</v>
      </c>
      <c r="L2190" s="36" t="s">
        <v>25080</v>
      </c>
      <c r="M2190" s="186"/>
      <c r="N2190" s="186"/>
      <c r="O2190" s="172"/>
    </row>
    <row r="2191" spans="1:15" ht="25.5" x14ac:dyDescent="0.2">
      <c r="A2191" s="197" t="str">
        <f t="shared" si="34"/>
        <v>ButCode_recreationZone</v>
      </c>
      <c r="B2191" s="409"/>
      <c r="C2191" s="416"/>
      <c r="D2191" s="198" t="s">
        <v>25081</v>
      </c>
      <c r="E2191" s="198">
        <v>112</v>
      </c>
      <c r="F2191" s="199" t="s">
        <v>25082</v>
      </c>
      <c r="G2191" s="1" t="s">
        <v>25083</v>
      </c>
      <c r="H2191" s="200"/>
      <c r="I2191" s="351" t="s">
        <v>25084</v>
      </c>
      <c r="J2191" s="39">
        <v>102756</v>
      </c>
      <c r="K2191" s="36" t="str">
        <f>CONCATENATE(Cover!$D$6,"fdd/view?i=",J2191)</f>
        <v>https://www.dgiwg.org/FAD/fdd/view?i=102756</v>
      </c>
      <c r="L2191" s="36" t="s">
        <v>25085</v>
      </c>
      <c r="M2191" s="186"/>
      <c r="N2191" s="186"/>
      <c r="O2191" s="172"/>
    </row>
    <row r="2192" spans="1:15" ht="25.5" x14ac:dyDescent="0.2">
      <c r="A2192" s="197" t="str">
        <f t="shared" si="34"/>
        <v>ButCode_reducedWake</v>
      </c>
      <c r="B2192" s="409"/>
      <c r="C2192" s="416"/>
      <c r="D2192" s="198" t="s">
        <v>25086</v>
      </c>
      <c r="E2192" s="198">
        <v>120</v>
      </c>
      <c r="F2192" s="199" t="s">
        <v>25087</v>
      </c>
      <c r="G2192" s="1" t="s">
        <v>25088</v>
      </c>
      <c r="H2192" s="200"/>
      <c r="I2192" s="354" t="s">
        <v>25089</v>
      </c>
      <c r="J2192" s="39">
        <v>102764</v>
      </c>
      <c r="K2192" s="36" t="str">
        <f>CONCATENATE(Cover!$D$6,"fdd/view?i=",J2192)</f>
        <v>https://www.dgiwg.org/FAD/fdd/view?i=102764</v>
      </c>
      <c r="L2192" s="36" t="s">
        <v>25090</v>
      </c>
      <c r="M2192" s="186"/>
      <c r="N2192" s="186"/>
      <c r="O2192" s="172"/>
    </row>
    <row r="2193" spans="1:15" x14ac:dyDescent="0.2">
      <c r="A2193" s="197" t="str">
        <f t="shared" si="34"/>
        <v>ButCode_refuge</v>
      </c>
      <c r="B2193" s="409"/>
      <c r="C2193" s="416"/>
      <c r="D2193" s="198" t="s">
        <v>25091</v>
      </c>
      <c r="E2193" s="198">
        <v>135</v>
      </c>
      <c r="F2193" s="199" t="s">
        <v>25092</v>
      </c>
      <c r="G2193" s="1" t="s">
        <v>25093</v>
      </c>
      <c r="H2193" s="200"/>
      <c r="I2193" s="351" t="s">
        <v>25094</v>
      </c>
      <c r="J2193" s="39">
        <v>102779</v>
      </c>
      <c r="K2193" s="36" t="str">
        <f>CONCATENATE(Cover!$D$6,"fdd/view?i=",J2193)</f>
        <v>https://www.dgiwg.org/FAD/fdd/view?i=102779</v>
      </c>
      <c r="L2193" s="36" t="s">
        <v>25095</v>
      </c>
      <c r="M2193" s="186"/>
      <c r="N2193" s="186"/>
      <c r="O2193" s="172"/>
    </row>
    <row r="2194" spans="1:15" ht="38.25" x14ac:dyDescent="0.2">
      <c r="A2194" s="197" t="str">
        <f t="shared" si="34"/>
        <v>ButCode_restrictedHorizClearance</v>
      </c>
      <c r="B2194" s="409"/>
      <c r="C2194" s="416"/>
      <c r="D2194" s="198" t="s">
        <v>25096</v>
      </c>
      <c r="E2194" s="198">
        <v>126</v>
      </c>
      <c r="F2194" s="199" t="s">
        <v>12197</v>
      </c>
      <c r="G2194" s="1" t="s">
        <v>25097</v>
      </c>
      <c r="H2194" s="200"/>
      <c r="I2194" s="351" t="s">
        <v>25098</v>
      </c>
      <c r="J2194" s="39">
        <v>102770</v>
      </c>
      <c r="K2194" s="36" t="str">
        <f>CONCATENATE(Cover!$D$6,"fdd/view?i=",J2194)</f>
        <v>https://www.dgiwg.org/FAD/fdd/view?i=102770</v>
      </c>
      <c r="L2194" s="36" t="s">
        <v>25099</v>
      </c>
      <c r="M2194" s="186"/>
      <c r="N2194" s="186"/>
      <c r="O2194" s="172"/>
    </row>
    <row r="2195" spans="1:15" ht="38.25" x14ac:dyDescent="0.2">
      <c r="A2195" s="197" t="str">
        <f t="shared" si="34"/>
        <v>ButCode_restrictedVertClearance</v>
      </c>
      <c r="B2195" s="409"/>
      <c r="C2195" s="416"/>
      <c r="D2195" s="198" t="s">
        <v>25100</v>
      </c>
      <c r="E2195" s="198">
        <v>124</v>
      </c>
      <c r="F2195" s="199" t="s">
        <v>25101</v>
      </c>
      <c r="G2195" s="1" t="s">
        <v>25102</v>
      </c>
      <c r="H2195" s="200"/>
      <c r="I2195" s="351" t="s">
        <v>25103</v>
      </c>
      <c r="J2195" s="39">
        <v>102768</v>
      </c>
      <c r="K2195" s="36" t="str">
        <f>CONCATENATE(Cover!$D$6,"fdd/view?i=",J2195)</f>
        <v>https://www.dgiwg.org/FAD/fdd/view?i=102768</v>
      </c>
      <c r="L2195" s="36" t="s">
        <v>25104</v>
      </c>
      <c r="M2195" s="186"/>
      <c r="N2195" s="186"/>
      <c r="O2195" s="172"/>
    </row>
    <row r="2196" spans="1:15" ht="25.5" x14ac:dyDescent="0.2">
      <c r="A2196" s="197" t="str">
        <f t="shared" si="34"/>
        <v>ButCode_safeWater</v>
      </c>
      <c r="B2196" s="409"/>
      <c r="C2196" s="416"/>
      <c r="D2196" s="198" t="s">
        <v>25105</v>
      </c>
      <c r="E2196" s="198">
        <v>18</v>
      </c>
      <c r="F2196" s="199" t="s">
        <v>25106</v>
      </c>
      <c r="G2196" s="1" t="s">
        <v>25107</v>
      </c>
      <c r="H2196" s="200"/>
      <c r="I2196" s="351" t="s">
        <v>25108</v>
      </c>
      <c r="J2196" s="39">
        <v>102703</v>
      </c>
      <c r="K2196" s="36" t="str">
        <f>CONCATENATE(Cover!$D$6,"fdd/view?i=",J2196)</f>
        <v>https://www.dgiwg.org/FAD/fdd/view?i=102703</v>
      </c>
      <c r="L2196" s="36" t="s">
        <v>25109</v>
      </c>
      <c r="M2196" s="186"/>
      <c r="N2196" s="186"/>
      <c r="O2196" s="172"/>
    </row>
    <row r="2197" spans="1:15" ht="25.5" x14ac:dyDescent="0.2">
      <c r="A2197" s="197" t="str">
        <f t="shared" si="34"/>
        <v>ButCode_seaplaneLanding</v>
      </c>
      <c r="B2197" s="409"/>
      <c r="C2197" s="416"/>
      <c r="D2197" s="198" t="s">
        <v>25110</v>
      </c>
      <c r="E2197" s="198">
        <v>143</v>
      </c>
      <c r="F2197" s="199" t="s">
        <v>25111</v>
      </c>
      <c r="G2197" s="1" t="s">
        <v>25112</v>
      </c>
      <c r="H2197" s="200"/>
      <c r="I2197" s="351" t="s">
        <v>25113</v>
      </c>
      <c r="J2197" s="39">
        <v>110088</v>
      </c>
      <c r="K2197" s="36" t="str">
        <f>CONCATENATE(Cover!$D$6,"fdd/view?i=",J2197)</f>
        <v>https://www.dgiwg.org/FAD/fdd/view?i=110088</v>
      </c>
      <c r="L2197" s="36" t="s">
        <v>25114</v>
      </c>
      <c r="M2197" s="186"/>
      <c r="N2197" s="186"/>
      <c r="O2197" s="172"/>
    </row>
    <row r="2198" spans="1:15" ht="25.5" x14ac:dyDescent="0.2">
      <c r="A2198" s="197" t="str">
        <f t="shared" si="34"/>
        <v>ButCode_soundShipsSiren</v>
      </c>
      <c r="B2198" s="409"/>
      <c r="C2198" s="416"/>
      <c r="D2198" s="198" t="s">
        <v>25115</v>
      </c>
      <c r="E2198" s="198">
        <v>123</v>
      </c>
      <c r="F2198" s="199" t="s">
        <v>25116</v>
      </c>
      <c r="G2198" s="1" t="s">
        <v>25117</v>
      </c>
      <c r="H2198" s="200"/>
      <c r="I2198" s="354" t="s">
        <v>25118</v>
      </c>
      <c r="J2198" s="39">
        <v>102767</v>
      </c>
      <c r="K2198" s="36" t="str">
        <f>CONCATENATE(Cover!$D$6,"fdd/view?i=",J2198)</f>
        <v>https://www.dgiwg.org/FAD/fdd/view?i=102767</v>
      </c>
      <c r="L2198" s="36" t="s">
        <v>25119</v>
      </c>
      <c r="M2198" s="186"/>
      <c r="N2198" s="186"/>
      <c r="O2198" s="172"/>
    </row>
    <row r="2199" spans="1:15" ht="38.25" x14ac:dyDescent="0.2">
      <c r="A2199" s="197" t="str">
        <f t="shared" si="34"/>
        <v>ButCode_southCardinal</v>
      </c>
      <c r="B2199" s="409"/>
      <c r="C2199" s="416"/>
      <c r="D2199" s="198" t="s">
        <v>25120</v>
      </c>
      <c r="E2199" s="198">
        <v>96</v>
      </c>
      <c r="F2199" s="199" t="s">
        <v>25121</v>
      </c>
      <c r="G2199" s="1" t="s">
        <v>25122</v>
      </c>
      <c r="H2199" s="200"/>
      <c r="I2199" s="351" t="s">
        <v>25123</v>
      </c>
      <c r="J2199" s="39">
        <v>102740</v>
      </c>
      <c r="K2199" s="36" t="str">
        <f>CONCATENATE(Cover!$D$6,"fdd/view?i=",J2199)</f>
        <v>https://www.dgiwg.org/FAD/fdd/view?i=102740</v>
      </c>
      <c r="L2199" s="36" t="s">
        <v>25124</v>
      </c>
      <c r="M2199" s="186"/>
      <c r="N2199" s="186"/>
      <c r="O2199" s="172"/>
    </row>
    <row r="2200" spans="1:15" ht="38.25" x14ac:dyDescent="0.2">
      <c r="A2200" s="197" t="str">
        <f t="shared" si="34"/>
        <v>ButCode_special</v>
      </c>
      <c r="B2200" s="409"/>
      <c r="C2200" s="416"/>
      <c r="D2200" s="198" t="s">
        <v>25125</v>
      </c>
      <c r="E2200" s="198">
        <v>15</v>
      </c>
      <c r="F2200" s="199" t="s">
        <v>25126</v>
      </c>
      <c r="G2200" s="1" t="s">
        <v>25127</v>
      </c>
      <c r="H2200" s="200"/>
      <c r="I2200" s="351" t="s">
        <v>25128</v>
      </c>
      <c r="J2200" s="39">
        <v>102700</v>
      </c>
      <c r="K2200" s="36" t="str">
        <f>CONCATENATE(Cover!$D$6,"fdd/view?i=",J2200)</f>
        <v>https://www.dgiwg.org/FAD/fdd/view?i=102700</v>
      </c>
      <c r="L2200" s="36" t="s">
        <v>25129</v>
      </c>
      <c r="M2200" s="186"/>
      <c r="N2200" s="186"/>
      <c r="O2200" s="172"/>
    </row>
    <row r="2201" spans="1:15" ht="25.5" x14ac:dyDescent="0.2">
      <c r="A2201" s="197" t="str">
        <f t="shared" si="34"/>
        <v>ButCode_speedLimit</v>
      </c>
      <c r="B2201" s="409"/>
      <c r="C2201" s="416"/>
      <c r="D2201" s="198" t="s">
        <v>25130</v>
      </c>
      <c r="E2201" s="198">
        <v>121</v>
      </c>
      <c r="F2201" s="199" t="s">
        <v>25131</v>
      </c>
      <c r="G2201" s="1" t="s">
        <v>25132</v>
      </c>
      <c r="H2201" s="200"/>
      <c r="I2201" s="351" t="s">
        <v>25133</v>
      </c>
      <c r="J2201" s="39">
        <v>102765</v>
      </c>
      <c r="K2201" s="36" t="str">
        <f>CONCATENATE(Cover!$D$6,"fdd/view?i=",J2201)</f>
        <v>https://www.dgiwg.org/FAD/fdd/view?i=102765</v>
      </c>
      <c r="L2201" s="36" t="s">
        <v>25134</v>
      </c>
      <c r="M2201" s="186"/>
      <c r="N2201" s="186"/>
      <c r="O2201" s="172"/>
    </row>
    <row r="2202" spans="1:15" ht="25.5" x14ac:dyDescent="0.2">
      <c r="A2202" s="197" t="str">
        <f t="shared" si="34"/>
        <v>ButCode_spoilGround</v>
      </c>
      <c r="B2202" s="409"/>
      <c r="C2202" s="416"/>
      <c r="D2202" s="198" t="s">
        <v>25135</v>
      </c>
      <c r="E2202" s="198">
        <v>34</v>
      </c>
      <c r="F2202" s="199" t="s">
        <v>25136</v>
      </c>
      <c r="G2202" s="1" t="s">
        <v>25137</v>
      </c>
      <c r="H2202" s="200"/>
      <c r="I2202" s="351" t="s">
        <v>25138</v>
      </c>
      <c r="J2202" s="39">
        <v>102719</v>
      </c>
      <c r="K2202" s="36" t="str">
        <f>CONCATENATE(Cover!$D$6,"fdd/view?i=",J2202)</f>
        <v>https://www.dgiwg.org/FAD/fdd/view?i=102719</v>
      </c>
      <c r="L2202" s="36" t="s">
        <v>25139</v>
      </c>
      <c r="M2202" s="186"/>
      <c r="N2202" s="186"/>
      <c r="O2202" s="172"/>
    </row>
    <row r="2203" spans="1:15" ht="38.25" x14ac:dyDescent="0.2">
      <c r="A2203" s="197" t="str">
        <f t="shared" si="34"/>
        <v>ButCode_starboardHandEdge</v>
      </c>
      <c r="B2203" s="409"/>
      <c r="C2203" s="416"/>
      <c r="D2203" s="198" t="s">
        <v>25140</v>
      </c>
      <c r="E2203" s="198">
        <v>93</v>
      </c>
      <c r="F2203" s="199" t="s">
        <v>25141</v>
      </c>
      <c r="G2203" s="1" t="s">
        <v>25142</v>
      </c>
      <c r="H2203" s="1" t="s">
        <v>25052</v>
      </c>
      <c r="I2203" s="351" t="s">
        <v>25143</v>
      </c>
      <c r="J2203" s="39">
        <v>102737</v>
      </c>
      <c r="K2203" s="36" t="str">
        <f>CONCATENATE(Cover!$D$6,"fdd/view?i=",J2203)</f>
        <v>https://www.dgiwg.org/FAD/fdd/view?i=102737</v>
      </c>
      <c r="L2203" s="36" t="s">
        <v>25144</v>
      </c>
      <c r="M2203" s="186"/>
      <c r="N2203" s="186"/>
      <c r="O2203" s="172"/>
    </row>
    <row r="2204" spans="1:15" ht="25.5" x14ac:dyDescent="0.2">
      <c r="A2204" s="197" t="str">
        <f t="shared" si="34"/>
        <v>ButCode_stop</v>
      </c>
      <c r="B2204" s="409"/>
      <c r="C2204" s="416"/>
      <c r="D2204" s="198" t="s">
        <v>25145</v>
      </c>
      <c r="E2204" s="198">
        <v>122</v>
      </c>
      <c r="F2204" s="199" t="s">
        <v>25146</v>
      </c>
      <c r="G2204" s="1" t="s">
        <v>25147</v>
      </c>
      <c r="H2204" s="200"/>
      <c r="I2204" s="351" t="s">
        <v>25148</v>
      </c>
      <c r="J2204" s="39">
        <v>102766</v>
      </c>
      <c r="K2204" s="36" t="str">
        <f>CONCATENATE(Cover!$D$6,"fdd/view?i=",J2204)</f>
        <v>https://www.dgiwg.org/FAD/fdd/view?i=102766</v>
      </c>
      <c r="L2204" s="36" t="s">
        <v>25149</v>
      </c>
      <c r="M2204" s="186"/>
      <c r="N2204" s="186"/>
      <c r="O2204" s="172"/>
    </row>
    <row r="2205" spans="1:15" ht="25.5" x14ac:dyDescent="0.2">
      <c r="A2205" s="197" t="str">
        <f t="shared" si="34"/>
        <v>ButCode_strongCurrentWarning</v>
      </c>
      <c r="B2205" s="409"/>
      <c r="C2205" s="416"/>
      <c r="D2205" s="198" t="s">
        <v>25150</v>
      </c>
      <c r="E2205" s="198">
        <v>127</v>
      </c>
      <c r="F2205" s="199" t="s">
        <v>25151</v>
      </c>
      <c r="G2205" s="1" t="s">
        <v>25152</v>
      </c>
      <c r="H2205" s="200"/>
      <c r="I2205" s="351" t="s">
        <v>25153</v>
      </c>
      <c r="J2205" s="39">
        <v>102771</v>
      </c>
      <c r="K2205" s="36" t="str">
        <f>CONCATENATE(Cover!$D$6,"fdd/view?i=",J2205)</f>
        <v>https://www.dgiwg.org/FAD/fdd/view?i=102771</v>
      </c>
      <c r="L2205" s="36" t="s">
        <v>25154</v>
      </c>
      <c r="M2205" s="186"/>
      <c r="N2205" s="186"/>
      <c r="O2205" s="172"/>
    </row>
    <row r="2206" spans="1:15" ht="25.5" x14ac:dyDescent="0.2">
      <c r="A2206" s="197" t="str">
        <f t="shared" si="34"/>
        <v>ButCode_swim</v>
      </c>
      <c r="B2206" s="409"/>
      <c r="C2206" s="416"/>
      <c r="D2206" s="198" t="s">
        <v>25155</v>
      </c>
      <c r="E2206" s="198">
        <v>87</v>
      </c>
      <c r="F2206" s="199" t="s">
        <v>25156</v>
      </c>
      <c r="G2206" s="1" t="s">
        <v>25157</v>
      </c>
      <c r="H2206" s="200"/>
      <c r="I2206" s="346"/>
      <c r="J2206" s="39">
        <v>102731</v>
      </c>
      <c r="K2206" s="36" t="str">
        <f>CONCATENATE(Cover!$D$6,"fdd/view?i=",J2206)</f>
        <v>https://www.dgiwg.org/FAD/fdd/view?i=102731</v>
      </c>
      <c r="L2206" s="36" t="s">
        <v>25158</v>
      </c>
      <c r="M2206" s="186"/>
      <c r="N2206" s="186"/>
      <c r="O2206" s="172"/>
    </row>
    <row r="2207" spans="1:15" ht="25.5" x14ac:dyDescent="0.2">
      <c r="A2207" s="197" t="str">
        <f t="shared" si="34"/>
        <v>ButCode_target</v>
      </c>
      <c r="B2207" s="409"/>
      <c r="C2207" s="416"/>
      <c r="D2207" s="198" t="s">
        <v>25159</v>
      </c>
      <c r="E2207" s="198">
        <v>105</v>
      </c>
      <c r="F2207" s="199" t="s">
        <v>25160</v>
      </c>
      <c r="G2207" s="1" t="s">
        <v>25161</v>
      </c>
      <c r="H2207" s="200"/>
      <c r="I2207" s="351" t="s">
        <v>25162</v>
      </c>
      <c r="J2207" s="39">
        <v>102749</v>
      </c>
      <c r="K2207" s="36" t="str">
        <f>CONCATENATE(Cover!$D$6,"fdd/view?i=",J2207)</f>
        <v>https://www.dgiwg.org/FAD/fdd/view?i=102749</v>
      </c>
      <c r="L2207" s="36" t="s">
        <v>25163</v>
      </c>
      <c r="M2207" s="186"/>
      <c r="N2207" s="186"/>
      <c r="O2207" s="172"/>
    </row>
    <row r="2208" spans="1:15" ht="25.5" x14ac:dyDescent="0.2">
      <c r="A2208" s="197" t="str">
        <f t="shared" si="34"/>
        <v>ButCode_telegraphCable</v>
      </c>
      <c r="B2208" s="409"/>
      <c r="C2208" s="416"/>
      <c r="D2208" s="198" t="s">
        <v>25164</v>
      </c>
      <c r="E2208" s="198">
        <v>26</v>
      </c>
      <c r="F2208" s="199" t="s">
        <v>25165</v>
      </c>
      <c r="G2208" s="1" t="s">
        <v>25166</v>
      </c>
      <c r="H2208" s="200"/>
      <c r="I2208" s="346"/>
      <c r="J2208" s="39">
        <v>102711</v>
      </c>
      <c r="K2208" s="36" t="str">
        <f>CONCATENATE(Cover!$D$6,"fdd/view?i=",J2208)</f>
        <v>https://www.dgiwg.org/FAD/fdd/view?i=102711</v>
      </c>
      <c r="L2208" s="36" t="s">
        <v>25167</v>
      </c>
      <c r="M2208" s="186"/>
      <c r="N2208" s="186"/>
      <c r="O2208" s="172"/>
    </row>
    <row r="2209" spans="1:15" x14ac:dyDescent="0.2">
      <c r="A2209" s="197" t="str">
        <f t="shared" si="34"/>
        <v>ButCode_telephone</v>
      </c>
      <c r="B2209" s="409"/>
      <c r="C2209" s="416"/>
      <c r="D2209" s="198" t="s">
        <v>16581</v>
      </c>
      <c r="E2209" s="198">
        <v>131</v>
      </c>
      <c r="F2209" s="199" t="s">
        <v>16582</v>
      </c>
      <c r="G2209" s="1" t="s">
        <v>25168</v>
      </c>
      <c r="H2209" s="200"/>
      <c r="I2209" s="351" t="s">
        <v>25169</v>
      </c>
      <c r="J2209" s="39">
        <v>102775</v>
      </c>
      <c r="K2209" s="36" t="str">
        <f>CONCATENATE(Cover!$D$6,"fdd/view?i=",J2209)</f>
        <v>https://www.dgiwg.org/FAD/fdd/view?i=102775</v>
      </c>
      <c r="L2209" s="36" t="s">
        <v>25170</v>
      </c>
      <c r="M2209" s="186"/>
      <c r="N2209" s="186"/>
      <c r="O2209" s="172"/>
    </row>
    <row r="2210" spans="1:15" ht="25.5" x14ac:dyDescent="0.2">
      <c r="A2210" s="197" t="str">
        <f t="shared" si="34"/>
        <v>ButCode_trot</v>
      </c>
      <c r="B2210" s="409"/>
      <c r="C2210" s="416"/>
      <c r="D2210" s="198" t="s">
        <v>25171</v>
      </c>
      <c r="E2210" s="198">
        <v>39</v>
      </c>
      <c r="F2210" s="199" t="s">
        <v>25172</v>
      </c>
      <c r="G2210" s="1" t="s">
        <v>25173</v>
      </c>
      <c r="H2210" s="200"/>
      <c r="I2210" s="346"/>
      <c r="J2210" s="39">
        <v>102724</v>
      </c>
      <c r="K2210" s="36" t="str">
        <f>CONCATENATE(Cover!$D$6,"fdd/view?i=",J2210)</f>
        <v>https://www.dgiwg.org/FAD/fdd/view?i=102724</v>
      </c>
      <c r="L2210" s="36" t="s">
        <v>25174</v>
      </c>
      <c r="M2210" s="186"/>
      <c r="N2210" s="186"/>
      <c r="O2210" s="172"/>
    </row>
    <row r="2211" spans="1:15" x14ac:dyDescent="0.2">
      <c r="A2211" s="197" t="str">
        <f t="shared" si="34"/>
        <v>ButCode_tss</v>
      </c>
      <c r="B2211" s="409"/>
      <c r="C2211" s="416"/>
      <c r="D2211" s="198" t="s">
        <v>25175</v>
      </c>
      <c r="E2211" s="198">
        <v>115</v>
      </c>
      <c r="F2211" s="199" t="s">
        <v>13848</v>
      </c>
      <c r="G2211" s="1" t="s">
        <v>25176</v>
      </c>
      <c r="H2211" s="200"/>
      <c r="I2211" s="351" t="s">
        <v>25177</v>
      </c>
      <c r="J2211" s="39">
        <v>102759</v>
      </c>
      <c r="K2211" s="36" t="str">
        <f>CONCATENATE(Cover!$D$6,"fdd/view?i=",J2211)</f>
        <v>https://www.dgiwg.org/FAD/fdd/view?i=102759</v>
      </c>
      <c r="L2211" s="36" t="s">
        <v>25178</v>
      </c>
      <c r="M2211" s="186"/>
      <c r="N2211" s="186"/>
      <c r="O2211" s="172"/>
    </row>
    <row r="2212" spans="1:15" ht="25.5" x14ac:dyDescent="0.2">
      <c r="A2212" s="197" t="str">
        <f t="shared" si="34"/>
        <v>ButCode_twoWayTrafficProhibited</v>
      </c>
      <c r="B2212" s="409"/>
      <c r="C2212" s="416"/>
      <c r="D2212" s="198" t="s">
        <v>25179</v>
      </c>
      <c r="E2212" s="198">
        <v>119</v>
      </c>
      <c r="F2212" s="199" t="s">
        <v>25180</v>
      </c>
      <c r="G2212" s="1" t="s">
        <v>25181</v>
      </c>
      <c r="H2212" s="200"/>
      <c r="I2212" s="351" t="s">
        <v>25182</v>
      </c>
      <c r="J2212" s="39">
        <v>102763</v>
      </c>
      <c r="K2212" s="36" t="str">
        <f>CONCATENATE(Cover!$D$6,"fdd/view?i=",J2212)</f>
        <v>https://www.dgiwg.org/FAD/fdd/view?i=102763</v>
      </c>
      <c r="L2212" s="36" t="s">
        <v>25183</v>
      </c>
      <c r="M2212" s="186"/>
      <c r="N2212" s="186"/>
      <c r="O2212" s="172"/>
    </row>
    <row r="2213" spans="1:15" ht="25.5" x14ac:dyDescent="0.2">
      <c r="A2213" s="197" t="str">
        <f t="shared" si="34"/>
        <v>ButCode_warping</v>
      </c>
      <c r="B2213" s="409"/>
      <c r="C2213" s="416"/>
      <c r="D2213" s="198" t="s">
        <v>25184</v>
      </c>
      <c r="E2213" s="198">
        <v>27</v>
      </c>
      <c r="F2213" s="199" t="s">
        <v>25185</v>
      </c>
      <c r="G2213" s="1" t="s">
        <v>25186</v>
      </c>
      <c r="H2213" s="200"/>
      <c r="I2213" s="346"/>
      <c r="J2213" s="39">
        <v>102712</v>
      </c>
      <c r="K2213" s="36" t="str">
        <f>CONCATENATE(Cover!$D$6,"fdd/view?i=",J2213)</f>
        <v>https://www.dgiwg.org/FAD/fdd/view?i=102712</v>
      </c>
      <c r="L2213" s="36" t="s">
        <v>25187</v>
      </c>
      <c r="M2213" s="186"/>
      <c r="N2213" s="186"/>
      <c r="O2213" s="172"/>
    </row>
    <row r="2214" spans="1:15" ht="51" x14ac:dyDescent="0.2">
      <c r="A2214" s="197" t="str">
        <f t="shared" si="34"/>
        <v>ButCode_waterColumnSensor</v>
      </c>
      <c r="B2214" s="409"/>
      <c r="C2214" s="416"/>
      <c r="D2214" s="198" t="s">
        <v>25188</v>
      </c>
      <c r="E2214" s="198">
        <v>145</v>
      </c>
      <c r="F2214" s="199" t="s">
        <v>25189</v>
      </c>
      <c r="G2214" s="1" t="s">
        <v>25190</v>
      </c>
      <c r="H2214" s="1" t="s">
        <v>25191</v>
      </c>
      <c r="I2214" s="346"/>
      <c r="J2214" s="39">
        <v>117987</v>
      </c>
      <c r="K2214" s="36" t="str">
        <f>CONCATENATE(Cover!$D$6,"fdd/view?i=",J2214)</f>
        <v>https://www.dgiwg.org/FAD/fdd/view?i=117987</v>
      </c>
      <c r="L2214" s="36" t="s">
        <v>25192</v>
      </c>
      <c r="M2214" s="186"/>
      <c r="N2214" s="186"/>
      <c r="O2214" s="172"/>
    </row>
    <row r="2215" spans="1:15" ht="25.5" x14ac:dyDescent="0.2">
      <c r="A2215" s="197" t="str">
        <f t="shared" si="34"/>
        <v>ButCode_wavemeter</v>
      </c>
      <c r="B2215" s="409"/>
      <c r="C2215" s="416"/>
      <c r="D2215" s="198" t="s">
        <v>25193</v>
      </c>
      <c r="E2215" s="198">
        <v>101</v>
      </c>
      <c r="F2215" s="199" t="s">
        <v>25194</v>
      </c>
      <c r="G2215" s="1" t="s">
        <v>25195</v>
      </c>
      <c r="H2215" s="200"/>
      <c r="I2215" s="346"/>
      <c r="J2215" s="39">
        <v>102745</v>
      </c>
      <c r="K2215" s="36" t="str">
        <f>CONCATENATE(Cover!$D$6,"fdd/view?i=",J2215)</f>
        <v>https://www.dgiwg.org/FAD/fdd/view?i=102745</v>
      </c>
      <c r="L2215" s="36" t="s">
        <v>25196</v>
      </c>
      <c r="M2215" s="186"/>
      <c r="N2215" s="186"/>
      <c r="O2215" s="172"/>
    </row>
    <row r="2216" spans="1:15" ht="25.5" x14ac:dyDescent="0.2">
      <c r="A2216" s="197" t="str">
        <f t="shared" si="34"/>
        <v>ButCode_wellhead</v>
      </c>
      <c r="B2216" s="409"/>
      <c r="C2216" s="416"/>
      <c r="D2216" s="198" t="s">
        <v>25197</v>
      </c>
      <c r="E2216" s="198">
        <v>144</v>
      </c>
      <c r="F2216" s="199" t="s">
        <v>25198</v>
      </c>
      <c r="G2216" s="1" t="s">
        <v>25199</v>
      </c>
      <c r="H2216" s="200"/>
      <c r="I2216" s="351" t="s">
        <v>25200</v>
      </c>
      <c r="J2216" s="39">
        <v>110089</v>
      </c>
      <c r="K2216" s="36" t="str">
        <f>CONCATENATE(Cover!$D$6,"fdd/view?i=",J2216)</f>
        <v>https://www.dgiwg.org/FAD/fdd/view?i=110089</v>
      </c>
      <c r="L2216" s="36" t="s">
        <v>25201</v>
      </c>
      <c r="M2216" s="186"/>
      <c r="N2216" s="186"/>
      <c r="O2216" s="172"/>
    </row>
    <row r="2217" spans="1:15" ht="38.25" x14ac:dyDescent="0.2">
      <c r="A2217" s="197" t="str">
        <f t="shared" si="34"/>
        <v>ButCode_westCardinal</v>
      </c>
      <c r="B2217" s="409"/>
      <c r="C2217" s="416"/>
      <c r="D2217" s="198" t="s">
        <v>25202</v>
      </c>
      <c r="E2217" s="198">
        <v>95</v>
      </c>
      <c r="F2217" s="199" t="s">
        <v>25203</v>
      </c>
      <c r="G2217" s="1" t="s">
        <v>25204</v>
      </c>
      <c r="H2217" s="200"/>
      <c r="I2217" s="351" t="s">
        <v>25205</v>
      </c>
      <c r="J2217" s="39">
        <v>102739</v>
      </c>
      <c r="K2217" s="36" t="str">
        <f>CONCATENATE(Cover!$D$6,"fdd/view?i=",J2217)</f>
        <v>https://www.dgiwg.org/FAD/fdd/view?i=102739</v>
      </c>
      <c r="L2217" s="36" t="s">
        <v>25206</v>
      </c>
      <c r="M2217" s="186"/>
      <c r="N2217" s="186"/>
      <c r="O2217" s="172"/>
    </row>
    <row r="2218" spans="1:15" ht="25.5" x14ac:dyDescent="0.2">
      <c r="A2218" s="197" t="str">
        <f t="shared" si="34"/>
        <v>ButCode_workInProgress</v>
      </c>
      <c r="B2218" s="409"/>
      <c r="C2218" s="416"/>
      <c r="D2218" s="198" t="s">
        <v>19697</v>
      </c>
      <c r="E2218" s="198">
        <v>140</v>
      </c>
      <c r="F2218" s="199" t="s">
        <v>25207</v>
      </c>
      <c r="G2218" s="1" t="s">
        <v>25208</v>
      </c>
      <c r="H2218" s="200"/>
      <c r="I2218" s="351" t="s">
        <v>25209</v>
      </c>
      <c r="J2218" s="39">
        <v>102784</v>
      </c>
      <c r="K2218" s="36" t="str">
        <f>CONCATENATE(Cover!$D$6,"fdd/view?i=",J2218)</f>
        <v>https://www.dgiwg.org/FAD/fdd/view?i=102784</v>
      </c>
      <c r="L2218" s="36" t="s">
        <v>25210</v>
      </c>
      <c r="M2218" s="186"/>
      <c r="N2218" s="186"/>
      <c r="O2218" s="172"/>
    </row>
    <row r="2219" spans="1:15" x14ac:dyDescent="0.2">
      <c r="A2219" s="197" t="str">
        <f t="shared" si="34"/>
        <v>ButCode_wreck</v>
      </c>
      <c r="B2219" s="409"/>
      <c r="C2219" s="416"/>
      <c r="D2219" s="198" t="s">
        <v>25211</v>
      </c>
      <c r="E2219" s="198">
        <v>24</v>
      </c>
      <c r="F2219" s="199" t="s">
        <v>5920</v>
      </c>
      <c r="G2219" s="1" t="s">
        <v>25212</v>
      </c>
      <c r="H2219" s="200"/>
      <c r="I2219" s="346"/>
      <c r="J2219" s="39">
        <v>102709</v>
      </c>
      <c r="K2219" s="36" t="str">
        <f>CONCATENATE(Cover!$D$6,"fdd/view?i=",J2219)</f>
        <v>https://www.dgiwg.org/FAD/fdd/view?i=102709</v>
      </c>
      <c r="L2219" s="36" t="s">
        <v>25213</v>
      </c>
      <c r="M2219" s="186"/>
      <c r="N2219" s="186"/>
      <c r="O2219" s="172"/>
    </row>
    <row r="2220" spans="1:15" x14ac:dyDescent="0.2">
      <c r="A2220" s="203" t="str">
        <f t="shared" si="34"/>
        <v>ButCode_yachting</v>
      </c>
      <c r="B2220" s="410"/>
      <c r="C2220" s="417"/>
      <c r="D2220" s="204" t="s">
        <v>25214</v>
      </c>
      <c r="E2220" s="204">
        <v>137</v>
      </c>
      <c r="F2220" s="205" t="s">
        <v>25215</v>
      </c>
      <c r="G2220" s="206" t="s">
        <v>25216</v>
      </c>
      <c r="H2220" s="207"/>
      <c r="I2220" s="353" t="s">
        <v>25217</v>
      </c>
      <c r="J2220" s="39">
        <v>102781</v>
      </c>
      <c r="K2220" s="36" t="str">
        <f>CONCATENATE(Cover!$D$6,"fdd/view?i=",J2220)</f>
        <v>https://www.dgiwg.org/FAD/fdd/view?i=102781</v>
      </c>
      <c r="L2220" s="36" t="s">
        <v>25218</v>
      </c>
      <c r="M2220" s="186"/>
      <c r="N2220" s="186"/>
      <c r="O2220" s="172"/>
    </row>
    <row r="2221" spans="1:15" ht="25.5" x14ac:dyDescent="0.2">
      <c r="A2221" s="190" t="str">
        <f t="shared" si="34"/>
        <v>BurCode_districtHeatingCooling</v>
      </c>
      <c r="B2221" s="414" t="str">
        <f>HYPERLINK("[#]Datatypes!A286:L286","BurCode")</f>
        <v>BurCode</v>
      </c>
      <c r="C2221" s="415" t="s">
        <v>14845</v>
      </c>
      <c r="D2221" s="221" t="s">
        <v>25219</v>
      </c>
      <c r="E2221" s="221">
        <v>4</v>
      </c>
      <c r="F2221" s="222" t="s">
        <v>25220</v>
      </c>
      <c r="G2221" s="223" t="s">
        <v>25221</v>
      </c>
      <c r="H2221" s="224"/>
      <c r="I2221" s="345"/>
      <c r="J2221" s="39">
        <v>114359</v>
      </c>
      <c r="K2221" s="36" t="str">
        <f>CONCATENATE(Cover!$D$6,"fdd/view?i=",J2221)</f>
        <v>https://www.dgiwg.org/FAD/fdd/view?i=114359</v>
      </c>
      <c r="L2221" s="36" t="s">
        <v>25222</v>
      </c>
      <c r="M2221" s="186"/>
      <c r="N2221" s="186"/>
      <c r="O2221" s="172"/>
    </row>
    <row r="2222" spans="1:15" ht="25.5" x14ac:dyDescent="0.2">
      <c r="A2222" s="197" t="str">
        <f t="shared" si="34"/>
        <v>BurCode_gas</v>
      </c>
      <c r="B2222" s="409"/>
      <c r="C2222" s="416"/>
      <c r="D2222" s="198" t="s">
        <v>25223</v>
      </c>
      <c r="E2222" s="198">
        <v>2</v>
      </c>
      <c r="F2222" s="199" t="s">
        <v>25224</v>
      </c>
      <c r="G2222" s="1" t="s">
        <v>25225</v>
      </c>
      <c r="H2222" s="200"/>
      <c r="I2222" s="346"/>
      <c r="J2222" s="39">
        <v>114357</v>
      </c>
      <c r="K2222" s="36" t="str">
        <f>CONCATENATE(Cover!$D$6,"fdd/view?i=",J2222)</f>
        <v>https://www.dgiwg.org/FAD/fdd/view?i=114357</v>
      </c>
      <c r="L2222" s="36" t="s">
        <v>25226</v>
      </c>
      <c r="M2222" s="186"/>
      <c r="N2222" s="186"/>
      <c r="O2222" s="172"/>
    </row>
    <row r="2223" spans="1:15" x14ac:dyDescent="0.2">
      <c r="A2223" s="197" t="str">
        <f t="shared" si="34"/>
        <v>BurCode_power</v>
      </c>
      <c r="B2223" s="409"/>
      <c r="C2223" s="416"/>
      <c r="D2223" s="198" t="s">
        <v>311</v>
      </c>
      <c r="E2223" s="198">
        <v>1</v>
      </c>
      <c r="F2223" s="199" t="s">
        <v>312</v>
      </c>
      <c r="G2223" s="1" t="s">
        <v>25227</v>
      </c>
      <c r="H2223" s="200"/>
      <c r="I2223" s="346"/>
      <c r="J2223" s="39">
        <v>114356</v>
      </c>
      <c r="K2223" s="36" t="str">
        <f>CONCATENATE(Cover!$D$6,"fdd/view?i=",J2223)</f>
        <v>https://www.dgiwg.org/FAD/fdd/view?i=114356</v>
      </c>
      <c r="L2223" s="36" t="s">
        <v>25228</v>
      </c>
      <c r="M2223" s="186"/>
      <c r="N2223" s="186"/>
      <c r="O2223" s="172"/>
    </row>
    <row r="2224" spans="1:15" ht="25.5" x14ac:dyDescent="0.2">
      <c r="A2224" s="197" t="str">
        <f t="shared" si="34"/>
        <v>BurCode_sewage</v>
      </c>
      <c r="B2224" s="409"/>
      <c r="C2224" s="416"/>
      <c r="D2224" s="198" t="s">
        <v>16566</v>
      </c>
      <c r="E2224" s="198">
        <v>6</v>
      </c>
      <c r="F2224" s="199" t="s">
        <v>16567</v>
      </c>
      <c r="G2224" s="1" t="s">
        <v>25229</v>
      </c>
      <c r="H2224" s="200"/>
      <c r="I2224" s="346"/>
      <c r="J2224" s="39">
        <v>114361</v>
      </c>
      <c r="K2224" s="36" t="str">
        <f>CONCATENATE(Cover!$D$6,"fdd/view?i=",J2224)</f>
        <v>https://www.dgiwg.org/FAD/fdd/view?i=114361</v>
      </c>
      <c r="L2224" s="36" t="s">
        <v>25230</v>
      </c>
      <c r="M2224" s="186"/>
      <c r="N2224" s="186"/>
      <c r="O2224" s="172"/>
    </row>
    <row r="2225" spans="1:15" ht="25.5" x14ac:dyDescent="0.2">
      <c r="A2225" s="197" t="str">
        <f t="shared" si="34"/>
        <v>BurCode_telecommunication</v>
      </c>
      <c r="B2225" s="409"/>
      <c r="C2225" s="416"/>
      <c r="D2225" s="198" t="s">
        <v>25231</v>
      </c>
      <c r="E2225" s="198">
        <v>5</v>
      </c>
      <c r="F2225" s="199" t="s">
        <v>25232</v>
      </c>
      <c r="G2225" s="1" t="s">
        <v>25233</v>
      </c>
      <c r="H2225" s="1" t="s">
        <v>25234</v>
      </c>
      <c r="I2225" s="346"/>
      <c r="J2225" s="39">
        <v>114360</v>
      </c>
      <c r="K2225" s="36" t="str">
        <f>CONCATENATE(Cover!$D$6,"fdd/view?i=",J2225)</f>
        <v>https://www.dgiwg.org/FAD/fdd/view?i=114360</v>
      </c>
      <c r="L2225" s="36" t="s">
        <v>25235</v>
      </c>
      <c r="M2225" s="186"/>
      <c r="N2225" s="186"/>
      <c r="O2225" s="172"/>
    </row>
    <row r="2226" spans="1:15" x14ac:dyDescent="0.2">
      <c r="A2226" s="203" t="str">
        <f t="shared" si="34"/>
        <v>BurCode_water</v>
      </c>
      <c r="B2226" s="410"/>
      <c r="C2226" s="417"/>
      <c r="D2226" s="204" t="s">
        <v>19606</v>
      </c>
      <c r="E2226" s="204">
        <v>3</v>
      </c>
      <c r="F2226" s="205" t="s">
        <v>19607</v>
      </c>
      <c r="G2226" s="206" t="s">
        <v>25236</v>
      </c>
      <c r="H2226" s="207"/>
      <c r="I2226" s="347"/>
      <c r="J2226" s="39">
        <v>114358</v>
      </c>
      <c r="K2226" s="36" t="str">
        <f>CONCATENATE(Cover!$D$6,"fdd/view?i=",J2226)</f>
        <v>https://www.dgiwg.org/FAD/fdd/view?i=114358</v>
      </c>
      <c r="L2226" s="36" t="s">
        <v>25237</v>
      </c>
      <c r="M2226" s="186"/>
      <c r="N2226" s="186"/>
      <c r="O2226" s="172"/>
    </row>
    <row r="2227" spans="1:15" ht="25.5" x14ac:dyDescent="0.2">
      <c r="A2227" s="190" t="str">
        <f t="shared" si="34"/>
        <v>BccCode_difficult</v>
      </c>
      <c r="B2227" s="414" t="str">
        <f>HYPERLINK("[#]Datatypes!A288:L288","BccCode")</f>
        <v>BccCode</v>
      </c>
      <c r="C2227" s="415" t="s">
        <v>14847</v>
      </c>
      <c r="D2227" s="221" t="s">
        <v>25238</v>
      </c>
      <c r="E2227" s="221">
        <v>2</v>
      </c>
      <c r="F2227" s="222" t="s">
        <v>25239</v>
      </c>
      <c r="G2227" s="223" t="s">
        <v>25240</v>
      </c>
      <c r="H2227" s="224"/>
      <c r="I2227" s="345"/>
      <c r="J2227" s="39">
        <v>102160</v>
      </c>
      <c r="K2227" s="36" t="str">
        <f>CONCATENATE(Cover!$D$6,"fdd/view?i=",J2227)</f>
        <v>https://www.dgiwg.org/FAD/fdd/view?i=102160</v>
      </c>
      <c r="L2227" s="36" t="s">
        <v>25241</v>
      </c>
      <c r="M2227" s="186"/>
      <c r="N2227" s="186"/>
      <c r="O2227" s="172"/>
    </row>
    <row r="2228" spans="1:15" x14ac:dyDescent="0.2">
      <c r="A2228" s="197" t="str">
        <f t="shared" si="34"/>
        <v>BccCode_easy</v>
      </c>
      <c r="B2228" s="409"/>
      <c r="C2228" s="416"/>
      <c r="D2228" s="198" t="s">
        <v>25242</v>
      </c>
      <c r="E2228" s="198">
        <v>1</v>
      </c>
      <c r="F2228" s="199" t="s">
        <v>25243</v>
      </c>
      <c r="G2228" s="1" t="s">
        <v>25244</v>
      </c>
      <c r="H2228" s="200"/>
      <c r="I2228" s="346"/>
      <c r="J2228" s="39">
        <v>102159</v>
      </c>
      <c r="K2228" s="36" t="str">
        <f>CONCATENATE(Cover!$D$6,"fdd/view?i=",J2228)</f>
        <v>https://www.dgiwg.org/FAD/fdd/view?i=102159</v>
      </c>
      <c r="L2228" s="36" t="s">
        <v>25245</v>
      </c>
      <c r="M2228" s="186"/>
      <c r="N2228" s="186"/>
      <c r="O2228" s="172"/>
    </row>
    <row r="2229" spans="1:15" x14ac:dyDescent="0.2">
      <c r="A2229" s="203" t="str">
        <f t="shared" si="34"/>
        <v>BccCode_impossible</v>
      </c>
      <c r="B2229" s="410"/>
      <c r="C2229" s="417"/>
      <c r="D2229" s="204" t="s">
        <v>25246</v>
      </c>
      <c r="E2229" s="204">
        <v>3</v>
      </c>
      <c r="F2229" s="205" t="s">
        <v>25247</v>
      </c>
      <c r="G2229" s="206" t="s">
        <v>25248</v>
      </c>
      <c r="H2229" s="207"/>
      <c r="I2229" s="347"/>
      <c r="J2229" s="39">
        <v>102161</v>
      </c>
      <c r="K2229" s="36" t="str">
        <f>CONCATENATE(Cover!$D$6,"fdd/view?i=",J2229)</f>
        <v>https://www.dgiwg.org/FAD/fdd/view?i=102161</v>
      </c>
      <c r="L2229" s="36" t="s">
        <v>25249</v>
      </c>
      <c r="M2229" s="186"/>
      <c r="N2229" s="186"/>
      <c r="O2229" s="172"/>
    </row>
    <row r="2230" spans="1:15" x14ac:dyDescent="0.2">
      <c r="A2230" s="190" t="str">
        <f t="shared" si="34"/>
        <v>PbyCode_animalFeed</v>
      </c>
      <c r="B2230" s="414" t="str">
        <f>HYPERLINK("[#]Datatypes!A290:L290","PbyCode")</f>
        <v>PbyCode</v>
      </c>
      <c r="C2230" s="415" t="s">
        <v>14849</v>
      </c>
      <c r="D2230" s="221" t="s">
        <v>25250</v>
      </c>
      <c r="E2230" s="221">
        <v>174</v>
      </c>
      <c r="F2230" s="222" t="s">
        <v>25251</v>
      </c>
      <c r="G2230" s="223" t="s">
        <v>25252</v>
      </c>
      <c r="H2230" s="224"/>
      <c r="I2230" s="345"/>
      <c r="J2230" s="39">
        <v>114391</v>
      </c>
      <c r="K2230" s="36" t="str">
        <f>CONCATENATE(Cover!$D$6,"fdd/view?i=",J2230)</f>
        <v>https://www.dgiwg.org/FAD/fdd/view?i=114391</v>
      </c>
      <c r="L2230" s="36" t="s">
        <v>25253</v>
      </c>
      <c r="M2230" s="186"/>
      <c r="N2230" s="186"/>
      <c r="O2230" s="172"/>
    </row>
    <row r="2231" spans="1:15" ht="25.5" x14ac:dyDescent="0.2">
      <c r="A2231" s="197" t="str">
        <f t="shared" si="34"/>
        <v>PbyCode_ash</v>
      </c>
      <c r="B2231" s="409"/>
      <c r="C2231" s="416"/>
      <c r="D2231" s="198" t="s">
        <v>25254</v>
      </c>
      <c r="E2231" s="198">
        <v>1</v>
      </c>
      <c r="F2231" s="199" t="s">
        <v>25255</v>
      </c>
      <c r="G2231" s="1" t="s">
        <v>25256</v>
      </c>
      <c r="H2231" s="200"/>
      <c r="I2231" s="346"/>
      <c r="J2231" s="39">
        <v>106349</v>
      </c>
      <c r="K2231" s="36" t="str">
        <f>CONCATENATE(Cover!$D$6,"fdd/view?i=",J2231)</f>
        <v>https://www.dgiwg.org/FAD/fdd/view?i=106349</v>
      </c>
      <c r="L2231" s="36" t="s">
        <v>25257</v>
      </c>
      <c r="M2231" s="186"/>
      <c r="N2231" s="186"/>
      <c r="O2231" s="172"/>
    </row>
    <row r="2232" spans="1:15" ht="25.5" x14ac:dyDescent="0.2">
      <c r="A2232" s="197" t="str">
        <f t="shared" si="34"/>
        <v>PbyCode_cinders</v>
      </c>
      <c r="B2232" s="409"/>
      <c r="C2232" s="416"/>
      <c r="D2232" s="198" t="s">
        <v>25258</v>
      </c>
      <c r="E2232" s="198">
        <v>2</v>
      </c>
      <c r="F2232" s="199" t="s">
        <v>25259</v>
      </c>
      <c r="G2232" s="1" t="s">
        <v>25260</v>
      </c>
      <c r="H2232" s="200"/>
      <c r="I2232" s="346"/>
      <c r="J2232" s="39">
        <v>106350</v>
      </c>
      <c r="K2232" s="36" t="str">
        <f>CONCATENATE(Cover!$D$6,"fdd/view?i=",J2232)</f>
        <v>https://www.dgiwg.org/FAD/fdd/view?i=106350</v>
      </c>
      <c r="L2232" s="36" t="s">
        <v>25261</v>
      </c>
      <c r="M2232" s="186"/>
      <c r="N2232" s="186"/>
      <c r="O2232" s="172"/>
    </row>
    <row r="2233" spans="1:15" ht="25.5" x14ac:dyDescent="0.2">
      <c r="A2233" s="197" t="str">
        <f t="shared" si="34"/>
        <v>PbyCode_distilledWater</v>
      </c>
      <c r="B2233" s="409"/>
      <c r="C2233" s="416"/>
      <c r="D2233" s="198" t="s">
        <v>25262</v>
      </c>
      <c r="E2233" s="198">
        <v>20</v>
      </c>
      <c r="F2233" s="199" t="s">
        <v>25263</v>
      </c>
      <c r="G2233" s="1" t="s">
        <v>25264</v>
      </c>
      <c r="H2233" s="200"/>
      <c r="I2233" s="346"/>
      <c r="J2233" s="39">
        <v>106368</v>
      </c>
      <c r="K2233" s="36" t="str">
        <f>CONCATENATE(Cover!$D$6,"fdd/view?i=",J2233)</f>
        <v>https://www.dgiwg.org/FAD/fdd/view?i=106368</v>
      </c>
      <c r="L2233" s="36" t="s">
        <v>25265</v>
      </c>
      <c r="M2233" s="186"/>
      <c r="N2233" s="186"/>
      <c r="O2233" s="172"/>
    </row>
    <row r="2234" spans="1:15" ht="25.5" x14ac:dyDescent="0.2">
      <c r="A2234" s="197" t="str">
        <f t="shared" si="34"/>
        <v>PbyCode_gas</v>
      </c>
      <c r="B2234" s="409"/>
      <c r="C2234" s="416"/>
      <c r="D2234" s="198" t="s">
        <v>25223</v>
      </c>
      <c r="E2234" s="198">
        <v>26</v>
      </c>
      <c r="F2234" s="199" t="s">
        <v>25224</v>
      </c>
      <c r="G2234" s="1" t="s">
        <v>25266</v>
      </c>
      <c r="H2234" s="200"/>
      <c r="I2234" s="346"/>
      <c r="J2234" s="39">
        <v>118296</v>
      </c>
      <c r="K2234" s="36" t="str">
        <f>CONCATENATE(Cover!$D$6,"fdd/view?i=",J2234)</f>
        <v>https://www.dgiwg.org/FAD/fdd/view?i=118296</v>
      </c>
      <c r="L2234" s="36" t="s">
        <v>25267</v>
      </c>
      <c r="M2234" s="186"/>
      <c r="N2234" s="186"/>
      <c r="O2234" s="172"/>
    </row>
    <row r="2235" spans="1:15" ht="25.5" x14ac:dyDescent="0.2">
      <c r="A2235" s="197" t="str">
        <f t="shared" si="34"/>
        <v>PbyCode_manure</v>
      </c>
      <c r="B2235" s="409"/>
      <c r="C2235" s="416"/>
      <c r="D2235" s="198" t="s">
        <v>25268</v>
      </c>
      <c r="E2235" s="198">
        <v>191</v>
      </c>
      <c r="F2235" s="199" t="s">
        <v>25269</v>
      </c>
      <c r="G2235" s="1" t="s">
        <v>25270</v>
      </c>
      <c r="H2235" s="200"/>
      <c r="I2235" s="346"/>
      <c r="J2235" s="39">
        <v>114392</v>
      </c>
      <c r="K2235" s="36" t="str">
        <f>CONCATENATE(Cover!$D$6,"fdd/view?i=",J2235)</f>
        <v>https://www.dgiwg.org/FAD/fdd/view?i=114392</v>
      </c>
      <c r="L2235" s="36" t="s">
        <v>25271</v>
      </c>
      <c r="M2235" s="186"/>
      <c r="N2235" s="186"/>
      <c r="O2235" s="172"/>
    </row>
    <row r="2236" spans="1:15" ht="25.5" x14ac:dyDescent="0.2">
      <c r="A2236" s="197" t="str">
        <f t="shared" si="34"/>
        <v>PbyCode_matte</v>
      </c>
      <c r="B2236" s="409"/>
      <c r="C2236" s="416"/>
      <c r="D2236" s="198" t="s">
        <v>25272</v>
      </c>
      <c r="E2236" s="198">
        <v>4</v>
      </c>
      <c r="F2236" s="199" t="s">
        <v>25273</v>
      </c>
      <c r="G2236" s="1" t="s">
        <v>25274</v>
      </c>
      <c r="H2236" s="200"/>
      <c r="I2236" s="346"/>
      <c r="J2236" s="39">
        <v>106352</v>
      </c>
      <c r="K2236" s="36" t="str">
        <f>CONCATENATE(Cover!$D$6,"fdd/view?i=",J2236)</f>
        <v>https://www.dgiwg.org/FAD/fdd/view?i=106352</v>
      </c>
      <c r="L2236" s="36" t="s">
        <v>25275</v>
      </c>
      <c r="M2236" s="186"/>
      <c r="N2236" s="186"/>
      <c r="O2236" s="172"/>
    </row>
    <row r="2237" spans="1:15" ht="38.25" x14ac:dyDescent="0.2">
      <c r="A2237" s="197" t="str">
        <f t="shared" si="34"/>
        <v>PbyCode_metal</v>
      </c>
      <c r="B2237" s="409"/>
      <c r="C2237" s="416"/>
      <c r="D2237" s="198" t="s">
        <v>25276</v>
      </c>
      <c r="E2237" s="198">
        <v>21</v>
      </c>
      <c r="F2237" s="199" t="s">
        <v>25277</v>
      </c>
      <c r="G2237" s="1" t="s">
        <v>25278</v>
      </c>
      <c r="H2237" s="1" t="s">
        <v>25279</v>
      </c>
      <c r="I2237" s="346"/>
      <c r="J2237" s="39">
        <v>108632</v>
      </c>
      <c r="K2237" s="36" t="str">
        <f>CONCATENATE(Cover!$D$6,"fdd/view?i=",J2237)</f>
        <v>https://www.dgiwg.org/FAD/fdd/view?i=108632</v>
      </c>
      <c r="L2237" s="36" t="s">
        <v>25280</v>
      </c>
      <c r="M2237" s="186"/>
      <c r="N2237" s="186"/>
      <c r="O2237" s="172"/>
    </row>
    <row r="2238" spans="1:15" ht="25.5" x14ac:dyDescent="0.2">
      <c r="A2238" s="197" t="str">
        <f t="shared" si="34"/>
        <v>PbyCode_mud</v>
      </c>
      <c r="B2238" s="409"/>
      <c r="C2238" s="416"/>
      <c r="D2238" s="198" t="s">
        <v>22351</v>
      </c>
      <c r="E2238" s="198">
        <v>5</v>
      </c>
      <c r="F2238" s="199" t="s">
        <v>22352</v>
      </c>
      <c r="G2238" s="1" t="s">
        <v>25281</v>
      </c>
      <c r="H2238" s="1" t="s">
        <v>25282</v>
      </c>
      <c r="I2238" s="351" t="s">
        <v>25283</v>
      </c>
      <c r="J2238" s="39">
        <v>106353</v>
      </c>
      <c r="K2238" s="36" t="str">
        <f>CONCATENATE(Cover!$D$6,"fdd/view?i=",J2238)</f>
        <v>https://www.dgiwg.org/FAD/fdd/view?i=106353</v>
      </c>
      <c r="L2238" s="36" t="s">
        <v>25284</v>
      </c>
      <c r="M2238" s="186"/>
      <c r="N2238" s="186"/>
      <c r="O2238" s="172"/>
    </row>
    <row r="2239" spans="1:15" x14ac:dyDescent="0.2">
      <c r="A2239" s="197" t="str">
        <f t="shared" si="34"/>
        <v>PbyCode_noByproduct</v>
      </c>
      <c r="B2239" s="409"/>
      <c r="C2239" s="416"/>
      <c r="D2239" s="198" t="s">
        <v>25285</v>
      </c>
      <c r="E2239" s="198">
        <v>6</v>
      </c>
      <c r="F2239" s="199" t="s">
        <v>25286</v>
      </c>
      <c r="G2239" s="1" t="s">
        <v>25287</v>
      </c>
      <c r="H2239" s="200"/>
      <c r="I2239" s="346"/>
      <c r="J2239" s="39">
        <v>106354</v>
      </c>
      <c r="K2239" s="36" t="str">
        <f>CONCATENATE(Cover!$D$6,"fdd/view?i=",J2239)</f>
        <v>https://www.dgiwg.org/FAD/fdd/view?i=106354</v>
      </c>
      <c r="L2239" s="36" t="s">
        <v>25288</v>
      </c>
      <c r="M2239" s="186"/>
      <c r="N2239" s="186"/>
      <c r="O2239" s="172"/>
    </row>
    <row r="2240" spans="1:15" ht="38.25" x14ac:dyDescent="0.2">
      <c r="A2240" s="197" t="str">
        <f t="shared" si="34"/>
        <v>PbyCode_radioactiveMaterial</v>
      </c>
      <c r="B2240" s="409"/>
      <c r="C2240" s="416"/>
      <c r="D2240" s="198" t="s">
        <v>25289</v>
      </c>
      <c r="E2240" s="198">
        <v>7</v>
      </c>
      <c r="F2240" s="199" t="s">
        <v>25290</v>
      </c>
      <c r="G2240" s="1" t="s">
        <v>25291</v>
      </c>
      <c r="H2240" s="200"/>
      <c r="I2240" s="346"/>
      <c r="J2240" s="39">
        <v>106355</v>
      </c>
      <c r="K2240" s="36" t="str">
        <f>CONCATENATE(Cover!$D$6,"fdd/view?i=",J2240)</f>
        <v>https://www.dgiwg.org/FAD/fdd/view?i=106355</v>
      </c>
      <c r="L2240" s="36" t="s">
        <v>25292</v>
      </c>
      <c r="M2240" s="186"/>
      <c r="N2240" s="186"/>
      <c r="O2240" s="172"/>
    </row>
    <row r="2241" spans="1:15" x14ac:dyDescent="0.2">
      <c r="A2241" s="197" t="str">
        <f t="shared" si="34"/>
        <v>PbyCode_refuse</v>
      </c>
      <c r="B2241" s="409"/>
      <c r="C2241" s="416"/>
      <c r="D2241" s="198" t="s">
        <v>25293</v>
      </c>
      <c r="E2241" s="198">
        <v>8</v>
      </c>
      <c r="F2241" s="199" t="s">
        <v>25294</v>
      </c>
      <c r="G2241" s="1" t="s">
        <v>25295</v>
      </c>
      <c r="H2241" s="200"/>
      <c r="I2241" s="351" t="s">
        <v>25296</v>
      </c>
      <c r="J2241" s="39">
        <v>106356</v>
      </c>
      <c r="K2241" s="36" t="str">
        <f>CONCATENATE(Cover!$D$6,"fdd/view?i=",J2241)</f>
        <v>https://www.dgiwg.org/FAD/fdd/view?i=106356</v>
      </c>
      <c r="L2241" s="36" t="s">
        <v>25297</v>
      </c>
      <c r="M2241" s="186"/>
      <c r="N2241" s="186"/>
      <c r="O2241" s="172"/>
    </row>
    <row r="2242" spans="1:15" ht="25.5" x14ac:dyDescent="0.2">
      <c r="A2242" s="197" t="str">
        <f t="shared" ref="A2242:A2305" si="35">HYPERLINK(K2242,L2242)</f>
        <v>PbyCode_rubble</v>
      </c>
      <c r="B2242" s="409"/>
      <c r="C2242" s="416"/>
      <c r="D2242" s="198" t="s">
        <v>25298</v>
      </c>
      <c r="E2242" s="198">
        <v>9</v>
      </c>
      <c r="F2242" s="199" t="s">
        <v>25299</v>
      </c>
      <c r="G2242" s="1" t="s">
        <v>25300</v>
      </c>
      <c r="H2242" s="200"/>
      <c r="I2242" s="346"/>
      <c r="J2242" s="39">
        <v>106357</v>
      </c>
      <c r="K2242" s="36" t="str">
        <f>CONCATENATE(Cover!$D$6,"fdd/view?i=",J2242)</f>
        <v>https://www.dgiwg.org/FAD/fdd/view?i=106357</v>
      </c>
      <c r="L2242" s="36" t="s">
        <v>25301</v>
      </c>
      <c r="M2242" s="186"/>
      <c r="N2242" s="186"/>
      <c r="O2242" s="172"/>
    </row>
    <row r="2243" spans="1:15" x14ac:dyDescent="0.2">
      <c r="A2243" s="197" t="str">
        <f t="shared" si="35"/>
        <v>PbyCode_sawdust</v>
      </c>
      <c r="B2243" s="409"/>
      <c r="C2243" s="416"/>
      <c r="D2243" s="198" t="s">
        <v>25302</v>
      </c>
      <c r="E2243" s="198">
        <v>10</v>
      </c>
      <c r="F2243" s="199" t="s">
        <v>25303</v>
      </c>
      <c r="G2243" s="1" t="s">
        <v>25304</v>
      </c>
      <c r="H2243" s="200"/>
      <c r="I2243" s="346"/>
      <c r="J2243" s="39">
        <v>106358</v>
      </c>
      <c r="K2243" s="36" t="str">
        <f>CONCATENATE(Cover!$D$6,"fdd/view?i=",J2243)</f>
        <v>https://www.dgiwg.org/FAD/fdd/view?i=106358</v>
      </c>
      <c r="L2243" s="36" t="s">
        <v>25305</v>
      </c>
      <c r="M2243" s="186"/>
      <c r="N2243" s="186"/>
      <c r="O2243" s="172"/>
    </row>
    <row r="2244" spans="1:15" x14ac:dyDescent="0.2">
      <c r="A2244" s="197" t="str">
        <f t="shared" si="35"/>
        <v>PbyCode_scrapMetal</v>
      </c>
      <c r="B2244" s="409"/>
      <c r="C2244" s="416"/>
      <c r="D2244" s="198" t="s">
        <v>25306</v>
      </c>
      <c r="E2244" s="198">
        <v>12</v>
      </c>
      <c r="F2244" s="199" t="s">
        <v>25307</v>
      </c>
      <c r="G2244" s="1" t="s">
        <v>25308</v>
      </c>
      <c r="H2244" s="200"/>
      <c r="I2244" s="346"/>
      <c r="J2244" s="39">
        <v>106360</v>
      </c>
      <c r="K2244" s="36" t="str">
        <f>CONCATENATE(Cover!$D$6,"fdd/view?i=",J2244)</f>
        <v>https://www.dgiwg.org/FAD/fdd/view?i=106360</v>
      </c>
      <c r="L2244" s="36" t="s">
        <v>25309</v>
      </c>
      <c r="M2244" s="186"/>
      <c r="N2244" s="186"/>
      <c r="O2244" s="172"/>
    </row>
    <row r="2245" spans="1:15" x14ac:dyDescent="0.2">
      <c r="A2245" s="197" t="str">
        <f t="shared" si="35"/>
        <v>PbyCode_sewage</v>
      </c>
      <c r="B2245" s="409"/>
      <c r="C2245" s="416"/>
      <c r="D2245" s="198" t="s">
        <v>16566</v>
      </c>
      <c r="E2245" s="198">
        <v>13</v>
      </c>
      <c r="F2245" s="199" t="s">
        <v>16567</v>
      </c>
      <c r="G2245" s="1" t="s">
        <v>25310</v>
      </c>
      <c r="H2245" s="200"/>
      <c r="I2245" s="346"/>
      <c r="J2245" s="39">
        <v>106361</v>
      </c>
      <c r="K2245" s="36" t="str">
        <f>CONCATENATE(Cover!$D$6,"fdd/view?i=",J2245)</f>
        <v>https://www.dgiwg.org/FAD/fdd/view?i=106361</v>
      </c>
      <c r="L2245" s="36" t="s">
        <v>25311</v>
      </c>
      <c r="M2245" s="186"/>
      <c r="N2245" s="186"/>
      <c r="O2245" s="172"/>
    </row>
    <row r="2246" spans="1:15" ht="38.25" x14ac:dyDescent="0.2">
      <c r="A2246" s="197" t="str">
        <f t="shared" si="35"/>
        <v>PbyCode_silt</v>
      </c>
      <c r="B2246" s="409"/>
      <c r="C2246" s="416"/>
      <c r="D2246" s="198" t="s">
        <v>25312</v>
      </c>
      <c r="E2246" s="198">
        <v>14</v>
      </c>
      <c r="F2246" s="199" t="s">
        <v>25313</v>
      </c>
      <c r="G2246" s="1" t="s">
        <v>25314</v>
      </c>
      <c r="H2246" s="200"/>
      <c r="I2246" s="346"/>
      <c r="J2246" s="39">
        <v>106362</v>
      </c>
      <c r="K2246" s="36" t="str">
        <f>CONCATENATE(Cover!$D$6,"fdd/view?i=",J2246)</f>
        <v>https://www.dgiwg.org/FAD/fdd/view?i=106362</v>
      </c>
      <c r="L2246" s="36" t="s">
        <v>25315</v>
      </c>
      <c r="M2246" s="186"/>
      <c r="N2246" s="186"/>
      <c r="O2246" s="172"/>
    </row>
    <row r="2247" spans="1:15" ht="25.5" x14ac:dyDescent="0.2">
      <c r="A2247" s="197" t="str">
        <f t="shared" si="35"/>
        <v>PbyCode_slag</v>
      </c>
      <c r="B2247" s="409"/>
      <c r="C2247" s="416"/>
      <c r="D2247" s="198" t="s">
        <v>25316</v>
      </c>
      <c r="E2247" s="198">
        <v>15</v>
      </c>
      <c r="F2247" s="199" t="s">
        <v>25317</v>
      </c>
      <c r="G2247" s="1" t="s">
        <v>25318</v>
      </c>
      <c r="H2247" s="1" t="s">
        <v>25319</v>
      </c>
      <c r="I2247" s="346"/>
      <c r="J2247" s="39">
        <v>106363</v>
      </c>
      <c r="K2247" s="36" t="str">
        <f>CONCATENATE(Cover!$D$6,"fdd/view?i=",J2247)</f>
        <v>https://www.dgiwg.org/FAD/fdd/view?i=106363</v>
      </c>
      <c r="L2247" s="36" t="s">
        <v>25320</v>
      </c>
      <c r="M2247" s="186"/>
      <c r="N2247" s="186"/>
      <c r="O2247" s="172"/>
    </row>
    <row r="2248" spans="1:15" ht="38.25" x14ac:dyDescent="0.2">
      <c r="A2248" s="197" t="str">
        <f t="shared" si="35"/>
        <v>PbyCode_sludge</v>
      </c>
      <c r="B2248" s="409"/>
      <c r="C2248" s="416"/>
      <c r="D2248" s="198" t="s">
        <v>25321</v>
      </c>
      <c r="E2248" s="198">
        <v>16</v>
      </c>
      <c r="F2248" s="199" t="s">
        <v>25322</v>
      </c>
      <c r="G2248" s="1" t="s">
        <v>25323</v>
      </c>
      <c r="H2248" s="200"/>
      <c r="I2248" s="346"/>
      <c r="J2248" s="39">
        <v>106364</v>
      </c>
      <c r="K2248" s="36" t="str">
        <f>CONCATENATE(Cover!$D$6,"fdd/view?i=",J2248)</f>
        <v>https://www.dgiwg.org/FAD/fdd/view?i=106364</v>
      </c>
      <c r="L2248" s="36" t="s">
        <v>25324</v>
      </c>
      <c r="M2248" s="186"/>
      <c r="N2248" s="186"/>
      <c r="O2248" s="172"/>
    </row>
    <row r="2249" spans="1:15" ht="25.5" x14ac:dyDescent="0.2">
      <c r="A2249" s="197" t="str">
        <f t="shared" si="35"/>
        <v>PbyCode_spoil</v>
      </c>
      <c r="B2249" s="409"/>
      <c r="C2249" s="416"/>
      <c r="D2249" s="198" t="s">
        <v>25325</v>
      </c>
      <c r="E2249" s="198">
        <v>17</v>
      </c>
      <c r="F2249" s="199" t="s">
        <v>25326</v>
      </c>
      <c r="G2249" s="1" t="s">
        <v>25327</v>
      </c>
      <c r="H2249" s="1" t="s">
        <v>25328</v>
      </c>
      <c r="I2249" s="351" t="s">
        <v>25329</v>
      </c>
      <c r="J2249" s="39">
        <v>106365</v>
      </c>
      <c r="K2249" s="36" t="str">
        <f>CONCATENATE(Cover!$D$6,"fdd/view?i=",J2249)</f>
        <v>https://www.dgiwg.org/FAD/fdd/view?i=106365</v>
      </c>
      <c r="L2249" s="36" t="s">
        <v>25330</v>
      </c>
      <c r="M2249" s="186"/>
      <c r="N2249" s="186"/>
      <c r="O2249" s="172"/>
    </row>
    <row r="2250" spans="1:15" ht="25.5" x14ac:dyDescent="0.2">
      <c r="A2250" s="197" t="str">
        <f t="shared" si="35"/>
        <v>PbyCode_woodChips</v>
      </c>
      <c r="B2250" s="409"/>
      <c r="C2250" s="416"/>
      <c r="D2250" s="198" t="s">
        <v>25331</v>
      </c>
      <c r="E2250" s="198">
        <v>19</v>
      </c>
      <c r="F2250" s="199" t="s">
        <v>25332</v>
      </c>
      <c r="G2250" s="1" t="s">
        <v>25333</v>
      </c>
      <c r="H2250" s="1" t="s">
        <v>25334</v>
      </c>
      <c r="I2250" s="346"/>
      <c r="J2250" s="39">
        <v>106367</v>
      </c>
      <c r="K2250" s="36" t="str">
        <f>CONCATENATE(Cover!$D$6,"fdd/view?i=",J2250)</f>
        <v>https://www.dgiwg.org/FAD/fdd/view?i=106367</v>
      </c>
      <c r="L2250" s="36" t="s">
        <v>25335</v>
      </c>
      <c r="M2250" s="186"/>
      <c r="N2250" s="186"/>
      <c r="O2250" s="172"/>
    </row>
    <row r="2251" spans="1:15" ht="38.25" x14ac:dyDescent="0.2">
      <c r="A2251" s="203" t="str">
        <f t="shared" si="35"/>
        <v>PbyCode_woodFragments</v>
      </c>
      <c r="B2251" s="410"/>
      <c r="C2251" s="417"/>
      <c r="D2251" s="204" t="s">
        <v>25336</v>
      </c>
      <c r="E2251" s="204">
        <v>11</v>
      </c>
      <c r="F2251" s="205" t="s">
        <v>25337</v>
      </c>
      <c r="G2251" s="206" t="s">
        <v>25338</v>
      </c>
      <c r="H2251" s="207"/>
      <c r="I2251" s="347"/>
      <c r="J2251" s="39">
        <v>106359</v>
      </c>
      <c r="K2251" s="36" t="str">
        <f>CONCATENATE(Cover!$D$6,"fdd/view?i=",J2251)</f>
        <v>https://www.dgiwg.org/FAD/fdd/view?i=106359</v>
      </c>
      <c r="L2251" s="36" t="s">
        <v>25339</v>
      </c>
      <c r="M2251" s="186"/>
      <c r="N2251" s="186"/>
      <c r="O2251" s="172"/>
    </row>
    <row r="2252" spans="1:15" ht="38.25" x14ac:dyDescent="0.2">
      <c r="A2252" s="190" t="str">
        <f t="shared" si="35"/>
        <v>TstCode_mountainCatenary</v>
      </c>
      <c r="B2252" s="414" t="str">
        <f>HYPERLINK("[#]Datatypes!A292:L292","TstCode")</f>
        <v>TstCode</v>
      </c>
      <c r="C2252" s="415" t="s">
        <v>14851</v>
      </c>
      <c r="D2252" s="221" t="s">
        <v>25340</v>
      </c>
      <c r="E2252" s="221">
        <v>2</v>
      </c>
      <c r="F2252" s="222" t="s">
        <v>25341</v>
      </c>
      <c r="G2252" s="223" t="s">
        <v>25342</v>
      </c>
      <c r="H2252" s="224"/>
      <c r="I2252" s="345"/>
      <c r="J2252" s="39">
        <v>108769</v>
      </c>
      <c r="K2252" s="36" t="str">
        <f>CONCATENATE(Cover!$D$6,"fdd/view?i=",J2252)</f>
        <v>https://www.dgiwg.org/FAD/fdd/view?i=108769</v>
      </c>
      <c r="L2252" s="36" t="s">
        <v>25343</v>
      </c>
      <c r="M2252" s="186"/>
      <c r="N2252" s="186"/>
      <c r="O2252" s="172"/>
    </row>
    <row r="2253" spans="1:15" ht="38.25" x14ac:dyDescent="0.2">
      <c r="A2253" s="197" t="str">
        <f t="shared" si="35"/>
        <v>TstCode_overwaterCatenary</v>
      </c>
      <c r="B2253" s="409"/>
      <c r="C2253" s="416"/>
      <c r="D2253" s="198" t="s">
        <v>25344</v>
      </c>
      <c r="E2253" s="198">
        <v>3</v>
      </c>
      <c r="F2253" s="199" t="s">
        <v>25345</v>
      </c>
      <c r="G2253" s="1" t="s">
        <v>25346</v>
      </c>
      <c r="H2253" s="200"/>
      <c r="I2253" s="346"/>
      <c r="J2253" s="39">
        <v>108770</v>
      </c>
      <c r="K2253" s="36" t="str">
        <f>CONCATENATE(Cover!$D$6,"fdd/view?i=",J2253)</f>
        <v>https://www.dgiwg.org/FAD/fdd/view?i=108770</v>
      </c>
      <c r="L2253" s="36" t="s">
        <v>25347</v>
      </c>
      <c r="M2253" s="186"/>
      <c r="N2253" s="186"/>
      <c r="O2253" s="172"/>
    </row>
    <row r="2254" spans="1:15" ht="38.25" x14ac:dyDescent="0.2">
      <c r="A2254" s="203" t="str">
        <f t="shared" si="35"/>
        <v>TstCode_symmetricCatenary</v>
      </c>
      <c r="B2254" s="410"/>
      <c r="C2254" s="417"/>
      <c r="D2254" s="204" t="s">
        <v>25348</v>
      </c>
      <c r="E2254" s="204">
        <v>1</v>
      </c>
      <c r="F2254" s="205" t="s">
        <v>25349</v>
      </c>
      <c r="G2254" s="206" t="s">
        <v>25350</v>
      </c>
      <c r="H2254" s="207"/>
      <c r="I2254" s="347"/>
      <c r="J2254" s="39">
        <v>108768</v>
      </c>
      <c r="K2254" s="36" t="str">
        <f>CONCATENATE(Cover!$D$6,"fdd/view?i=",J2254)</f>
        <v>https://www.dgiwg.org/FAD/fdd/view?i=108768</v>
      </c>
      <c r="L2254" s="36" t="s">
        <v>25351</v>
      </c>
      <c r="M2254" s="186"/>
      <c r="N2254" s="186"/>
      <c r="O2254" s="172"/>
    </row>
    <row r="2255" spans="1:15" ht="191.25" x14ac:dyDescent="0.2">
      <c r="A2255" s="190" t="str">
        <f t="shared" si="35"/>
        <v>CabCode_barrier</v>
      </c>
      <c r="B2255" s="414" t="str">
        <f>HYPERLINK("[#]Datatypes!A294:L294","CabCode")</f>
        <v>CabCode</v>
      </c>
      <c r="C2255" s="415" t="s">
        <v>14853</v>
      </c>
      <c r="D2255" s="221" t="s">
        <v>25352</v>
      </c>
      <c r="E2255" s="221">
        <v>13</v>
      </c>
      <c r="F2255" s="222" t="s">
        <v>25353</v>
      </c>
      <c r="G2255" s="223" t="s">
        <v>25354</v>
      </c>
      <c r="H2255" s="223" t="s">
        <v>25355</v>
      </c>
      <c r="I2255" s="352" t="s">
        <v>25356</v>
      </c>
      <c r="J2255" s="39">
        <v>114158</v>
      </c>
      <c r="K2255" s="36" t="str">
        <f>CONCATENATE(Cover!$D$6,"fdd/view?i=",J2255)</f>
        <v>https://www.dgiwg.org/FAD/fdd/view?i=114158</v>
      </c>
      <c r="L2255" s="36" t="s">
        <v>25357</v>
      </c>
      <c r="M2255" s="186"/>
      <c r="N2255" s="186"/>
      <c r="O2255" s="172"/>
    </row>
    <row r="2256" spans="1:15" ht="25.5" x14ac:dyDescent="0.2">
      <c r="A2256" s="197" t="str">
        <f t="shared" si="35"/>
        <v>CabCode_cableway</v>
      </c>
      <c r="B2256" s="409"/>
      <c r="C2256" s="416"/>
      <c r="D2256" s="198" t="s">
        <v>25358</v>
      </c>
      <c r="E2256" s="198">
        <v>19</v>
      </c>
      <c r="F2256" s="199" t="s">
        <v>2385</v>
      </c>
      <c r="G2256" s="1" t="s">
        <v>25359</v>
      </c>
      <c r="H2256" s="1" t="s">
        <v>25360</v>
      </c>
      <c r="I2256" s="346"/>
      <c r="J2256" s="39">
        <v>119325</v>
      </c>
      <c r="K2256" s="36" t="str">
        <f>CONCATENATE(Cover!$D$6,"fdd/view?i=",J2256)</f>
        <v>https://www.dgiwg.org/FAD/fdd/view?i=119325</v>
      </c>
      <c r="L2256" s="36" t="s">
        <v>25361</v>
      </c>
      <c r="M2256" s="186"/>
      <c r="N2256" s="186"/>
      <c r="O2256" s="172"/>
    </row>
    <row r="2257" spans="1:15" ht="25.5" x14ac:dyDescent="0.2">
      <c r="A2257" s="197" t="str">
        <f t="shared" si="35"/>
        <v>CabCode_communicationLine</v>
      </c>
      <c r="B2257" s="409"/>
      <c r="C2257" s="416"/>
      <c r="D2257" s="198" t="s">
        <v>25362</v>
      </c>
      <c r="E2257" s="198">
        <v>8</v>
      </c>
      <c r="F2257" s="199" t="s">
        <v>2545</v>
      </c>
      <c r="G2257" s="1" t="s">
        <v>2546</v>
      </c>
      <c r="H2257" s="200"/>
      <c r="I2257" s="346"/>
      <c r="J2257" s="39">
        <v>102833</v>
      </c>
      <c r="K2257" s="36" t="str">
        <f>CONCATENATE(Cover!$D$6,"fdd/view?i=",J2257)</f>
        <v>https://www.dgiwg.org/FAD/fdd/view?i=102833</v>
      </c>
      <c r="L2257" s="36" t="s">
        <v>25363</v>
      </c>
      <c r="M2257" s="186"/>
      <c r="N2257" s="186"/>
      <c r="O2257" s="172"/>
    </row>
    <row r="2258" spans="1:15" ht="25.5" x14ac:dyDescent="0.2">
      <c r="A2258" s="197" t="str">
        <f t="shared" si="35"/>
        <v>CabCode_digitalCommunicationLine</v>
      </c>
      <c r="B2258" s="409"/>
      <c r="C2258" s="416"/>
      <c r="D2258" s="198" t="s">
        <v>25364</v>
      </c>
      <c r="E2258" s="198">
        <v>7</v>
      </c>
      <c r="F2258" s="199" t="s">
        <v>25365</v>
      </c>
      <c r="G2258" s="1" t="s">
        <v>25366</v>
      </c>
      <c r="H2258" s="1" t="s">
        <v>25367</v>
      </c>
      <c r="I2258" s="346"/>
      <c r="J2258" s="39">
        <v>102832</v>
      </c>
      <c r="K2258" s="36" t="str">
        <f>CONCATENATE(Cover!$D$6,"fdd/view?i=",J2258)</f>
        <v>https://www.dgiwg.org/FAD/fdd/view?i=102832</v>
      </c>
      <c r="L2258" s="36" t="s">
        <v>25368</v>
      </c>
      <c r="M2258" s="186"/>
      <c r="N2258" s="186"/>
      <c r="O2258" s="172"/>
    </row>
    <row r="2259" spans="1:15" x14ac:dyDescent="0.2">
      <c r="A2259" s="197" t="str">
        <f t="shared" si="35"/>
        <v>CabCode_fibreOptic</v>
      </c>
      <c r="B2259" s="409"/>
      <c r="C2259" s="416"/>
      <c r="D2259" s="198" t="s">
        <v>25369</v>
      </c>
      <c r="E2259" s="198">
        <v>9</v>
      </c>
      <c r="F2259" s="199" t="s">
        <v>25370</v>
      </c>
      <c r="G2259" s="1" t="s">
        <v>16551</v>
      </c>
      <c r="H2259" s="200"/>
      <c r="I2259" s="346"/>
      <c r="J2259" s="39">
        <v>102834</v>
      </c>
      <c r="K2259" s="36" t="str">
        <f>CONCATENATE(Cover!$D$6,"fdd/view?i=",J2259)</f>
        <v>https://www.dgiwg.org/FAD/fdd/view?i=102834</v>
      </c>
      <c r="L2259" s="36" t="s">
        <v>25371</v>
      </c>
      <c r="M2259" s="186"/>
      <c r="N2259" s="186"/>
      <c r="O2259" s="172"/>
    </row>
    <row r="2260" spans="1:15" ht="114.75" x14ac:dyDescent="0.2">
      <c r="A2260" s="197" t="str">
        <f t="shared" si="35"/>
        <v>CabCode_guide</v>
      </c>
      <c r="B2260" s="409"/>
      <c r="C2260" s="416"/>
      <c r="D2260" s="198" t="s">
        <v>25372</v>
      </c>
      <c r="E2260" s="198">
        <v>12</v>
      </c>
      <c r="F2260" s="199" t="s">
        <v>25373</v>
      </c>
      <c r="G2260" s="1" t="s">
        <v>25374</v>
      </c>
      <c r="H2260" s="1" t="s">
        <v>25375</v>
      </c>
      <c r="I2260" s="346"/>
      <c r="J2260" s="39">
        <v>114157</v>
      </c>
      <c r="K2260" s="36" t="str">
        <f>CONCATENATE(Cover!$D$6,"fdd/view?i=",J2260)</f>
        <v>https://www.dgiwg.org/FAD/fdd/view?i=114157</v>
      </c>
      <c r="L2260" s="36" t="s">
        <v>25376</v>
      </c>
      <c r="M2260" s="186"/>
      <c r="N2260" s="186"/>
      <c r="O2260" s="172"/>
    </row>
    <row r="2261" spans="1:15" ht="63.75" x14ac:dyDescent="0.2">
      <c r="A2261" s="197" t="str">
        <f t="shared" si="35"/>
        <v>CabCode_loadBearing</v>
      </c>
      <c r="B2261" s="409"/>
      <c r="C2261" s="416"/>
      <c r="D2261" s="198" t="s">
        <v>25377</v>
      </c>
      <c r="E2261" s="198">
        <v>11</v>
      </c>
      <c r="F2261" s="199" t="s">
        <v>25378</v>
      </c>
      <c r="G2261" s="1" t="s">
        <v>25379</v>
      </c>
      <c r="H2261" s="1" t="s">
        <v>25380</v>
      </c>
      <c r="I2261" s="346"/>
      <c r="J2261" s="39">
        <v>114156</v>
      </c>
      <c r="K2261" s="36" t="str">
        <f>CONCATENATE(Cover!$D$6,"fdd/view?i=",J2261)</f>
        <v>https://www.dgiwg.org/FAD/fdd/view?i=114156</v>
      </c>
      <c r="L2261" s="36" t="s">
        <v>25381</v>
      </c>
      <c r="M2261" s="186"/>
      <c r="N2261" s="186"/>
      <c r="O2261" s="172"/>
    </row>
    <row r="2262" spans="1:15" ht="51" x14ac:dyDescent="0.2">
      <c r="A2262" s="197" t="str">
        <f t="shared" si="35"/>
        <v>CabCode_powerDistributionLine</v>
      </c>
      <c r="B2262" s="409"/>
      <c r="C2262" s="416"/>
      <c r="D2262" s="198" t="s">
        <v>25382</v>
      </c>
      <c r="E2262" s="198">
        <v>2</v>
      </c>
      <c r="F2262" s="199" t="s">
        <v>25383</v>
      </c>
      <c r="G2262" s="1" t="s">
        <v>25384</v>
      </c>
      <c r="H2262" s="1" t="s">
        <v>25385</v>
      </c>
      <c r="I2262" s="346"/>
      <c r="J2262" s="39">
        <v>102827</v>
      </c>
      <c r="K2262" s="36" t="str">
        <f>CONCATENATE(Cover!$D$6,"fdd/view?i=",J2262)</f>
        <v>https://www.dgiwg.org/FAD/fdd/view?i=102827</v>
      </c>
      <c r="L2262" s="36" t="s">
        <v>25386</v>
      </c>
      <c r="M2262" s="186"/>
      <c r="N2262" s="186"/>
      <c r="O2262" s="172"/>
    </row>
    <row r="2263" spans="1:15" ht="76.5" x14ac:dyDescent="0.2">
      <c r="A2263" s="197" t="str">
        <f t="shared" si="35"/>
        <v>CabCode_powerTransmissionLine</v>
      </c>
      <c r="B2263" s="409"/>
      <c r="C2263" s="416"/>
      <c r="D2263" s="198" t="s">
        <v>25387</v>
      </c>
      <c r="E2263" s="198">
        <v>6</v>
      </c>
      <c r="F2263" s="199" t="s">
        <v>25388</v>
      </c>
      <c r="G2263" s="1" t="s">
        <v>25389</v>
      </c>
      <c r="H2263" s="1" t="s">
        <v>25390</v>
      </c>
      <c r="I2263" s="346"/>
      <c r="J2263" s="39">
        <v>102831</v>
      </c>
      <c r="K2263" s="36" t="str">
        <f>CONCATENATE(Cover!$D$6,"fdd/view?i=",J2263)</f>
        <v>https://www.dgiwg.org/FAD/fdd/view?i=102831</v>
      </c>
      <c r="L2263" s="36" t="s">
        <v>25391</v>
      </c>
      <c r="M2263" s="186"/>
      <c r="N2263" s="186"/>
      <c r="O2263" s="172"/>
    </row>
    <row r="2264" spans="1:15" ht="38.25" x14ac:dyDescent="0.2">
      <c r="A2264" s="197" t="str">
        <f t="shared" si="35"/>
        <v>CabCode_restraining</v>
      </c>
      <c r="B2264" s="409"/>
      <c r="C2264" s="416"/>
      <c r="D2264" s="198" t="s">
        <v>25392</v>
      </c>
      <c r="E2264" s="198">
        <v>14</v>
      </c>
      <c r="F2264" s="199" t="s">
        <v>25393</v>
      </c>
      <c r="G2264" s="1" t="s">
        <v>25394</v>
      </c>
      <c r="H2264" s="1" t="s">
        <v>25395</v>
      </c>
      <c r="I2264" s="346"/>
      <c r="J2264" s="39">
        <v>114159</v>
      </c>
      <c r="K2264" s="36" t="str">
        <f>CONCATENATE(Cover!$D$6,"fdd/view?i=",J2264)</f>
        <v>https://www.dgiwg.org/FAD/fdd/view?i=114159</v>
      </c>
      <c r="L2264" s="36" t="s">
        <v>25396</v>
      </c>
      <c r="M2264" s="186"/>
      <c r="N2264" s="186"/>
      <c r="O2264" s="172"/>
    </row>
    <row r="2265" spans="1:15" x14ac:dyDescent="0.2">
      <c r="A2265" s="197" t="str">
        <f t="shared" si="35"/>
        <v>CabCode_telegraph</v>
      </c>
      <c r="B2265" s="409"/>
      <c r="C2265" s="416"/>
      <c r="D2265" s="198" t="s">
        <v>16577</v>
      </c>
      <c r="E2265" s="198">
        <v>4</v>
      </c>
      <c r="F2265" s="199" t="s">
        <v>16578</v>
      </c>
      <c r="G2265" s="1" t="s">
        <v>25397</v>
      </c>
      <c r="H2265" s="200"/>
      <c r="I2265" s="346"/>
      <c r="J2265" s="39">
        <v>102829</v>
      </c>
      <c r="K2265" s="36" t="str">
        <f>CONCATENATE(Cover!$D$6,"fdd/view?i=",J2265)</f>
        <v>https://www.dgiwg.org/FAD/fdd/view?i=102829</v>
      </c>
      <c r="L2265" s="36" t="s">
        <v>25398</v>
      </c>
      <c r="M2265" s="186"/>
      <c r="N2265" s="186"/>
      <c r="O2265" s="172"/>
    </row>
    <row r="2266" spans="1:15" x14ac:dyDescent="0.2">
      <c r="A2266" s="197" t="str">
        <f t="shared" si="35"/>
        <v>CabCode_telephone</v>
      </c>
      <c r="B2266" s="409"/>
      <c r="C2266" s="416"/>
      <c r="D2266" s="198" t="s">
        <v>16581</v>
      </c>
      <c r="E2266" s="198">
        <v>3</v>
      </c>
      <c r="F2266" s="199" t="s">
        <v>16582</v>
      </c>
      <c r="G2266" s="1" t="s">
        <v>25399</v>
      </c>
      <c r="H2266" s="200"/>
      <c r="I2266" s="346"/>
      <c r="J2266" s="39">
        <v>102828</v>
      </c>
      <c r="K2266" s="36" t="str">
        <f>CONCATENATE(Cover!$D$6,"fdd/view?i=",J2266)</f>
        <v>https://www.dgiwg.org/FAD/fdd/view?i=102828</v>
      </c>
      <c r="L2266" s="36" t="s">
        <v>25400</v>
      </c>
      <c r="M2266" s="186"/>
      <c r="N2266" s="186"/>
      <c r="O2266" s="172"/>
    </row>
    <row r="2267" spans="1:15" ht="25.5" x14ac:dyDescent="0.2">
      <c r="A2267" s="197" t="str">
        <f t="shared" si="35"/>
        <v>CabCode_tethering</v>
      </c>
      <c r="B2267" s="409"/>
      <c r="C2267" s="416"/>
      <c r="D2267" s="198" t="s">
        <v>25401</v>
      </c>
      <c r="E2267" s="198">
        <v>10</v>
      </c>
      <c r="F2267" s="199" t="s">
        <v>25402</v>
      </c>
      <c r="G2267" s="1" t="s">
        <v>25403</v>
      </c>
      <c r="H2267" s="1" t="s">
        <v>25404</v>
      </c>
      <c r="I2267" s="346"/>
      <c r="J2267" s="39">
        <v>113625</v>
      </c>
      <c r="K2267" s="36" t="str">
        <f>CONCATENATE(Cover!$D$6,"fdd/view?i=",J2267)</f>
        <v>https://www.dgiwg.org/FAD/fdd/view?i=113625</v>
      </c>
      <c r="L2267" s="36" t="s">
        <v>25405</v>
      </c>
      <c r="M2267" s="186"/>
      <c r="N2267" s="186"/>
      <c r="O2267" s="172"/>
    </row>
    <row r="2268" spans="1:15" ht="191.25" x14ac:dyDescent="0.2">
      <c r="A2268" s="203" t="str">
        <f t="shared" si="35"/>
        <v>CabCode_towing</v>
      </c>
      <c r="B2268" s="410"/>
      <c r="C2268" s="417"/>
      <c r="D2268" s="204" t="s">
        <v>25406</v>
      </c>
      <c r="E2268" s="204">
        <v>15</v>
      </c>
      <c r="F2268" s="205" t="s">
        <v>25407</v>
      </c>
      <c r="G2268" s="206" t="s">
        <v>25408</v>
      </c>
      <c r="H2268" s="206" t="s">
        <v>25409</v>
      </c>
      <c r="I2268" s="353" t="s">
        <v>25410</v>
      </c>
      <c r="J2268" s="39">
        <v>114160</v>
      </c>
      <c r="K2268" s="36" t="str">
        <f>CONCATENATE(Cover!$D$6,"fdd/view?i=",J2268)</f>
        <v>https://www.dgiwg.org/FAD/fdd/view?i=114160</v>
      </c>
      <c r="L2268" s="36" t="s">
        <v>25411</v>
      </c>
      <c r="M2268" s="186"/>
      <c r="N2268" s="186"/>
      <c r="O2268" s="172"/>
    </row>
    <row r="2269" spans="1:15" ht="63.75" x14ac:dyDescent="0.2">
      <c r="A2269" s="190" t="str">
        <f t="shared" si="35"/>
        <v>CatCode_aerialTramway</v>
      </c>
      <c r="B2269" s="414" t="str">
        <f>HYPERLINK("[#]Datatypes!A296:L296","CatCode")</f>
        <v>CatCode</v>
      </c>
      <c r="C2269" s="415" t="s">
        <v>14855</v>
      </c>
      <c r="D2269" s="221" t="s">
        <v>25412</v>
      </c>
      <c r="E2269" s="221">
        <v>5</v>
      </c>
      <c r="F2269" s="222" t="s">
        <v>25413</v>
      </c>
      <c r="G2269" s="223" t="s">
        <v>25414</v>
      </c>
      <c r="H2269" s="223" t="s">
        <v>25415</v>
      </c>
      <c r="I2269" s="345"/>
      <c r="J2269" s="39">
        <v>110753</v>
      </c>
      <c r="K2269" s="36" t="str">
        <f>CONCATENATE(Cover!$D$6,"fdd/view?i=",J2269)</f>
        <v>https://www.dgiwg.org/FAD/fdd/view?i=110753</v>
      </c>
      <c r="L2269" s="36" t="s">
        <v>25416</v>
      </c>
      <c r="M2269" s="186"/>
      <c r="N2269" s="186"/>
      <c r="O2269" s="172"/>
    </row>
    <row r="2270" spans="1:15" ht="38.25" x14ac:dyDescent="0.2">
      <c r="A2270" s="197" t="str">
        <f t="shared" si="35"/>
        <v>CatCode_chairLift</v>
      </c>
      <c r="B2270" s="409"/>
      <c r="C2270" s="416"/>
      <c r="D2270" s="198" t="s">
        <v>25417</v>
      </c>
      <c r="E2270" s="198">
        <v>2</v>
      </c>
      <c r="F2270" s="199" t="s">
        <v>25418</v>
      </c>
      <c r="G2270" s="1" t="s">
        <v>25419</v>
      </c>
      <c r="H2270" s="1" t="s">
        <v>25420</v>
      </c>
      <c r="I2270" s="346"/>
      <c r="J2270" s="39">
        <v>106053</v>
      </c>
      <c r="K2270" s="36" t="str">
        <f>CONCATENATE(Cover!$D$6,"fdd/view?i=",J2270)</f>
        <v>https://www.dgiwg.org/FAD/fdd/view?i=106053</v>
      </c>
      <c r="L2270" s="36" t="s">
        <v>25421</v>
      </c>
      <c r="M2270" s="186"/>
      <c r="N2270" s="186"/>
      <c r="O2270" s="172"/>
    </row>
    <row r="2271" spans="1:15" ht="63.75" x14ac:dyDescent="0.2">
      <c r="A2271" s="197" t="str">
        <f t="shared" si="35"/>
        <v>CatCode_gondolaLift</v>
      </c>
      <c r="B2271" s="409"/>
      <c r="C2271" s="416"/>
      <c r="D2271" s="198" t="s">
        <v>25422</v>
      </c>
      <c r="E2271" s="198">
        <v>6</v>
      </c>
      <c r="F2271" s="199" t="s">
        <v>25423</v>
      </c>
      <c r="G2271" s="1" t="s">
        <v>25424</v>
      </c>
      <c r="H2271" s="1" t="s">
        <v>25425</v>
      </c>
      <c r="I2271" s="351" t="s">
        <v>25426</v>
      </c>
      <c r="J2271" s="39">
        <v>110754</v>
      </c>
      <c r="K2271" s="36" t="str">
        <f>CONCATENATE(Cover!$D$6,"fdd/view?i=",J2271)</f>
        <v>https://www.dgiwg.org/FAD/fdd/view?i=110754</v>
      </c>
      <c r="L2271" s="36" t="s">
        <v>25427</v>
      </c>
      <c r="M2271" s="186"/>
      <c r="N2271" s="186"/>
      <c r="O2271" s="172"/>
    </row>
    <row r="2272" spans="1:15" ht="51" x14ac:dyDescent="0.2">
      <c r="A2272" s="197" t="str">
        <f t="shared" si="35"/>
        <v>CatCode_industrialRopeway</v>
      </c>
      <c r="B2272" s="409"/>
      <c r="C2272" s="416"/>
      <c r="D2272" s="198" t="s">
        <v>25428</v>
      </c>
      <c r="E2272" s="198">
        <v>8</v>
      </c>
      <c r="F2272" s="199" t="s">
        <v>25429</v>
      </c>
      <c r="G2272" s="1" t="s">
        <v>25430</v>
      </c>
      <c r="H2272" s="200"/>
      <c r="I2272" s="346"/>
      <c r="J2272" s="39">
        <v>110756</v>
      </c>
      <c r="K2272" s="36" t="str">
        <f>CONCATENATE(Cover!$D$6,"fdd/view?i=",J2272)</f>
        <v>https://www.dgiwg.org/FAD/fdd/view?i=110756</v>
      </c>
      <c r="L2272" s="36" t="s">
        <v>25431</v>
      </c>
      <c r="M2272" s="186"/>
      <c r="N2272" s="186"/>
      <c r="O2272" s="172"/>
    </row>
    <row r="2273" spans="1:15" ht="38.25" x14ac:dyDescent="0.2">
      <c r="A2273" s="197" t="str">
        <f t="shared" si="35"/>
        <v>CatCode_materialTramway</v>
      </c>
      <c r="B2273" s="409"/>
      <c r="C2273" s="416"/>
      <c r="D2273" s="198" t="s">
        <v>25432</v>
      </c>
      <c r="E2273" s="198">
        <v>9</v>
      </c>
      <c r="F2273" s="199" t="s">
        <v>25433</v>
      </c>
      <c r="G2273" s="1" t="s">
        <v>25434</v>
      </c>
      <c r="H2273" s="200"/>
      <c r="I2273" s="346"/>
      <c r="J2273" s="39">
        <v>110757</v>
      </c>
      <c r="K2273" s="36" t="str">
        <f>CONCATENATE(Cover!$D$6,"fdd/view?i=",J2273)</f>
        <v>https://www.dgiwg.org/FAD/fdd/view?i=110757</v>
      </c>
      <c r="L2273" s="36" t="s">
        <v>25435</v>
      </c>
      <c r="M2273" s="186"/>
      <c r="N2273" s="186"/>
      <c r="O2273" s="172"/>
    </row>
    <row r="2274" spans="1:15" ht="38.25" x14ac:dyDescent="0.2">
      <c r="A2274" s="197" t="str">
        <f t="shared" si="35"/>
        <v>CatCode_skiTow</v>
      </c>
      <c r="B2274" s="409"/>
      <c r="C2274" s="416"/>
      <c r="D2274" s="198" t="s">
        <v>25436</v>
      </c>
      <c r="E2274" s="198">
        <v>3</v>
      </c>
      <c r="F2274" s="199" t="s">
        <v>25437</v>
      </c>
      <c r="G2274" s="1" t="s">
        <v>25438</v>
      </c>
      <c r="H2274" s="1" t="s">
        <v>25439</v>
      </c>
      <c r="I2274" s="351" t="s">
        <v>25440</v>
      </c>
      <c r="J2274" s="39">
        <v>106100</v>
      </c>
      <c r="K2274" s="36" t="str">
        <f>CONCATENATE(Cover!$D$6,"fdd/view?i=",J2274)</f>
        <v>https://www.dgiwg.org/FAD/fdd/view?i=106100</v>
      </c>
      <c r="L2274" s="36" t="s">
        <v>25441</v>
      </c>
      <c r="M2274" s="186"/>
      <c r="N2274" s="186"/>
      <c r="O2274" s="172"/>
    </row>
    <row r="2275" spans="1:15" ht="63.75" x14ac:dyDescent="0.2">
      <c r="A2275" s="203" t="str">
        <f t="shared" si="35"/>
        <v>CatCode_teeBarLift</v>
      </c>
      <c r="B2275" s="410"/>
      <c r="C2275" s="417"/>
      <c r="D2275" s="204" t="s">
        <v>25442</v>
      </c>
      <c r="E2275" s="204">
        <v>7</v>
      </c>
      <c r="F2275" s="205" t="s">
        <v>25443</v>
      </c>
      <c r="G2275" s="206" t="s">
        <v>25444</v>
      </c>
      <c r="H2275" s="206" t="s">
        <v>25445</v>
      </c>
      <c r="I2275" s="353" t="s">
        <v>25446</v>
      </c>
      <c r="J2275" s="39">
        <v>110755</v>
      </c>
      <c r="K2275" s="36" t="str">
        <f>CONCATENATE(Cover!$D$6,"fdd/view?i=",J2275)</f>
        <v>https://www.dgiwg.org/FAD/fdd/view?i=110755</v>
      </c>
      <c r="L2275" s="36" t="s">
        <v>25447</v>
      </c>
      <c r="M2275" s="186"/>
      <c r="N2275" s="186"/>
      <c r="O2275" s="172"/>
    </row>
    <row r="2276" spans="1:15" ht="76.5" x14ac:dyDescent="0.2">
      <c r="A2276" s="190" t="str">
        <f t="shared" si="35"/>
        <v>CdyCode_collateralEvidence</v>
      </c>
      <c r="B2276" s="414" t="str">
        <f>HYPERLINK("[#]Datatypes!A298:L298","CdyCode")</f>
        <v>CdyCode</v>
      </c>
      <c r="C2276" s="415" t="s">
        <v>14857</v>
      </c>
      <c r="D2276" s="221" t="s">
        <v>25448</v>
      </c>
      <c r="E2276" s="221">
        <v>1</v>
      </c>
      <c r="F2276" s="222" t="s">
        <v>25449</v>
      </c>
      <c r="G2276" s="223" t="s">
        <v>25450</v>
      </c>
      <c r="H2276" s="223" t="s">
        <v>25451</v>
      </c>
      <c r="I2276" s="345"/>
      <c r="J2276" s="39">
        <v>119878</v>
      </c>
      <c r="K2276" s="36" t="str">
        <f>CONCATENATE(Cover!$D$6,"fdd/view?i=",J2276)</f>
        <v>https://www.dgiwg.org/FAD/fdd/view?i=119878</v>
      </c>
      <c r="L2276" s="36" t="s">
        <v>25452</v>
      </c>
      <c r="M2276" s="186"/>
      <c r="N2276" s="186"/>
      <c r="O2276" s="172"/>
    </row>
    <row r="2277" spans="1:15" ht="38.25" x14ac:dyDescent="0.2">
      <c r="A2277" s="197" t="str">
        <f t="shared" si="35"/>
        <v>CdyCode_fieldNotes</v>
      </c>
      <c r="B2277" s="409"/>
      <c r="C2277" s="416"/>
      <c r="D2277" s="198" t="s">
        <v>25453</v>
      </c>
      <c r="E2277" s="198">
        <v>2</v>
      </c>
      <c r="F2277" s="199" t="s">
        <v>25454</v>
      </c>
      <c r="G2277" s="1" t="s">
        <v>25455</v>
      </c>
      <c r="H2277" s="1" t="s">
        <v>25456</v>
      </c>
      <c r="I2277" s="346"/>
      <c r="J2277" s="39">
        <v>119879</v>
      </c>
      <c r="K2277" s="36" t="str">
        <f>CONCATENATE(Cover!$D$6,"fdd/view?i=",J2277)</f>
        <v>https://www.dgiwg.org/FAD/fdd/view?i=119879</v>
      </c>
      <c r="L2277" s="36" t="s">
        <v>25457</v>
      </c>
      <c r="M2277" s="186"/>
      <c r="N2277" s="186"/>
      <c r="O2277" s="172"/>
    </row>
    <row r="2278" spans="1:15" ht="25.5" x14ac:dyDescent="0.2">
      <c r="A2278" s="197" t="str">
        <f t="shared" si="35"/>
        <v>CdyCode_fieldSketch</v>
      </c>
      <c r="B2278" s="409"/>
      <c r="C2278" s="416"/>
      <c r="D2278" s="198" t="s">
        <v>25458</v>
      </c>
      <c r="E2278" s="198">
        <v>3</v>
      </c>
      <c r="F2278" s="199" t="s">
        <v>25459</v>
      </c>
      <c r="G2278" s="1" t="s">
        <v>25460</v>
      </c>
      <c r="H2278" s="1" t="s">
        <v>25461</v>
      </c>
      <c r="I2278" s="346"/>
      <c r="J2278" s="39">
        <v>119880</v>
      </c>
      <c r="K2278" s="36" t="str">
        <f>CONCATENATE(Cover!$D$6,"fdd/view?i=",J2278)</f>
        <v>https://www.dgiwg.org/FAD/fdd/view?i=119880</v>
      </c>
      <c r="L2278" s="36" t="s">
        <v>25462</v>
      </c>
      <c r="M2278" s="186"/>
      <c r="N2278" s="186"/>
      <c r="O2278" s="172"/>
    </row>
    <row r="2279" spans="1:15" ht="153" x14ac:dyDescent="0.2">
      <c r="A2279" s="197" t="str">
        <f t="shared" si="35"/>
        <v>CdyCode_gnssSurvey</v>
      </c>
      <c r="B2279" s="409"/>
      <c r="C2279" s="416"/>
      <c r="D2279" s="198" t="s">
        <v>25463</v>
      </c>
      <c r="E2279" s="198">
        <v>4</v>
      </c>
      <c r="F2279" s="199" t="s">
        <v>25464</v>
      </c>
      <c r="G2279" s="1" t="s">
        <v>25465</v>
      </c>
      <c r="H2279" s="1" t="s">
        <v>25466</v>
      </c>
      <c r="I2279" s="346"/>
      <c r="J2279" s="39">
        <v>119881</v>
      </c>
      <c r="K2279" s="36" t="str">
        <f>CONCATENATE(Cover!$D$6,"fdd/view?i=",J2279)</f>
        <v>https://www.dgiwg.org/FAD/fdd/view?i=119881</v>
      </c>
      <c r="L2279" s="36" t="s">
        <v>25467</v>
      </c>
      <c r="M2279" s="186"/>
      <c r="N2279" s="186"/>
      <c r="O2279" s="172"/>
    </row>
    <row r="2280" spans="1:15" ht="38.25" x14ac:dyDescent="0.2">
      <c r="A2280" s="197" t="str">
        <f t="shared" si="35"/>
        <v>CdyCode_officialCadastralSurvey</v>
      </c>
      <c r="B2280" s="409"/>
      <c r="C2280" s="416"/>
      <c r="D2280" s="198" t="s">
        <v>25468</v>
      </c>
      <c r="E2280" s="198">
        <v>5</v>
      </c>
      <c r="F2280" s="199" t="s">
        <v>25469</v>
      </c>
      <c r="G2280" s="1" t="s">
        <v>25470</v>
      </c>
      <c r="H2280" s="200"/>
      <c r="I2280" s="346"/>
      <c r="J2280" s="39">
        <v>119882</v>
      </c>
      <c r="K2280" s="36" t="str">
        <f>CONCATENATE(Cover!$D$6,"fdd/view?i=",J2280)</f>
        <v>https://www.dgiwg.org/FAD/fdd/view?i=119882</v>
      </c>
      <c r="L2280" s="36" t="s">
        <v>25471</v>
      </c>
      <c r="M2280" s="186"/>
      <c r="N2280" s="186"/>
      <c r="O2280" s="172"/>
    </row>
    <row r="2281" spans="1:15" ht="38.25" x14ac:dyDescent="0.2">
      <c r="A2281" s="197" t="str">
        <f t="shared" si="35"/>
        <v>CdyCode_orthophoto</v>
      </c>
      <c r="B2281" s="409"/>
      <c r="C2281" s="416"/>
      <c r="D2281" s="198" t="s">
        <v>25472</v>
      </c>
      <c r="E2281" s="198">
        <v>6</v>
      </c>
      <c r="F2281" s="199" t="s">
        <v>25473</v>
      </c>
      <c r="G2281" s="1" t="s">
        <v>25474</v>
      </c>
      <c r="H2281" s="1" t="s">
        <v>25475</v>
      </c>
      <c r="I2281" s="346"/>
      <c r="J2281" s="39">
        <v>119883</v>
      </c>
      <c r="K2281" s="36" t="str">
        <f>CONCATENATE(Cover!$D$6,"fdd/view?i=",J2281)</f>
        <v>https://www.dgiwg.org/FAD/fdd/view?i=119883</v>
      </c>
      <c r="L2281" s="36" t="s">
        <v>25476</v>
      </c>
      <c r="M2281" s="186"/>
      <c r="N2281" s="186"/>
      <c r="O2281" s="172"/>
    </row>
    <row r="2282" spans="1:15" ht="102" x14ac:dyDescent="0.2">
      <c r="A2282" s="197" t="str">
        <f t="shared" si="35"/>
        <v>CdyCode_plat</v>
      </c>
      <c r="B2282" s="409"/>
      <c r="C2282" s="416"/>
      <c r="D2282" s="198" t="s">
        <v>25477</v>
      </c>
      <c r="E2282" s="198">
        <v>7</v>
      </c>
      <c r="F2282" s="199" t="s">
        <v>25478</v>
      </c>
      <c r="G2282" s="1" t="s">
        <v>25479</v>
      </c>
      <c r="H2282" s="200"/>
      <c r="I2282" s="346"/>
      <c r="J2282" s="39">
        <v>119884</v>
      </c>
      <c r="K2282" s="36" t="str">
        <f>CONCATENATE(Cover!$D$6,"fdd/view?i=",J2282)</f>
        <v>https://www.dgiwg.org/FAD/fdd/view?i=119884</v>
      </c>
      <c r="L2282" s="36" t="s">
        <v>25480</v>
      </c>
      <c r="M2282" s="186"/>
      <c r="N2282" s="186"/>
      <c r="O2282" s="172"/>
    </row>
    <row r="2283" spans="1:15" ht="76.5" x14ac:dyDescent="0.2">
      <c r="A2283" s="197" t="str">
        <f t="shared" si="35"/>
        <v>CdyCode_relativeMeasurement</v>
      </c>
      <c r="B2283" s="409"/>
      <c r="C2283" s="416"/>
      <c r="D2283" s="198" t="s">
        <v>25481</v>
      </c>
      <c r="E2283" s="198">
        <v>8</v>
      </c>
      <c r="F2283" s="199" t="s">
        <v>25482</v>
      </c>
      <c r="G2283" s="1" t="s">
        <v>25483</v>
      </c>
      <c r="H2283" s="1" t="s">
        <v>25484</v>
      </c>
      <c r="I2283" s="346"/>
      <c r="J2283" s="39">
        <v>119885</v>
      </c>
      <c r="K2283" s="36" t="str">
        <f>CONCATENATE(Cover!$D$6,"fdd/view?i=",J2283)</f>
        <v>https://www.dgiwg.org/FAD/fdd/view?i=119885</v>
      </c>
      <c r="L2283" s="36" t="s">
        <v>25485</v>
      </c>
      <c r="M2283" s="186"/>
      <c r="N2283" s="186"/>
      <c r="O2283" s="172"/>
    </row>
    <row r="2284" spans="1:15" ht="89.25" x14ac:dyDescent="0.2">
      <c r="A2284" s="197" t="str">
        <f t="shared" si="35"/>
        <v>CdyCode_resurvey</v>
      </c>
      <c r="B2284" s="409"/>
      <c r="C2284" s="416"/>
      <c r="D2284" s="198" t="s">
        <v>25486</v>
      </c>
      <c r="E2284" s="198">
        <v>9</v>
      </c>
      <c r="F2284" s="199" t="s">
        <v>25487</v>
      </c>
      <c r="G2284" s="1" t="s">
        <v>25488</v>
      </c>
      <c r="H2284" s="1" t="s">
        <v>25489</v>
      </c>
      <c r="I2284" s="346"/>
      <c r="J2284" s="39">
        <v>119886</v>
      </c>
      <c r="K2284" s="36" t="str">
        <f>CONCATENATE(Cover!$D$6,"fdd/view?i=",J2284)</f>
        <v>https://www.dgiwg.org/FAD/fdd/view?i=119886</v>
      </c>
      <c r="L2284" s="36" t="s">
        <v>25490</v>
      </c>
      <c r="M2284" s="186"/>
      <c r="N2284" s="186"/>
      <c r="O2284" s="172"/>
    </row>
    <row r="2285" spans="1:15" ht="38.25" x14ac:dyDescent="0.2">
      <c r="A2285" s="197" t="str">
        <f t="shared" si="35"/>
        <v>CdyCode_survey</v>
      </c>
      <c r="B2285" s="409"/>
      <c r="C2285" s="416"/>
      <c r="D2285" s="198" t="s">
        <v>25491</v>
      </c>
      <c r="E2285" s="198">
        <v>10</v>
      </c>
      <c r="F2285" s="199" t="s">
        <v>25492</v>
      </c>
      <c r="G2285" s="1" t="s">
        <v>25493</v>
      </c>
      <c r="H2285" s="1" t="s">
        <v>25494</v>
      </c>
      <c r="I2285" s="346"/>
      <c r="J2285" s="39">
        <v>119887</v>
      </c>
      <c r="K2285" s="36" t="str">
        <f>CONCATENATE(Cover!$D$6,"fdd/view?i=",J2285)</f>
        <v>https://www.dgiwg.org/FAD/fdd/view?i=119887</v>
      </c>
      <c r="L2285" s="36" t="s">
        <v>25495</v>
      </c>
      <c r="M2285" s="186"/>
      <c r="N2285" s="186"/>
      <c r="O2285" s="172"/>
    </row>
    <row r="2286" spans="1:15" ht="76.5" x14ac:dyDescent="0.2">
      <c r="A2286" s="197" t="str">
        <f t="shared" si="35"/>
        <v>CdyCode_tenureMap</v>
      </c>
      <c r="B2286" s="409"/>
      <c r="C2286" s="416"/>
      <c r="D2286" s="198" t="s">
        <v>25496</v>
      </c>
      <c r="E2286" s="198">
        <v>11</v>
      </c>
      <c r="F2286" s="199" t="s">
        <v>25497</v>
      </c>
      <c r="G2286" s="1" t="s">
        <v>25498</v>
      </c>
      <c r="H2286" s="1" t="s">
        <v>25499</v>
      </c>
      <c r="I2286" s="346"/>
      <c r="J2286" s="39">
        <v>119888</v>
      </c>
      <c r="K2286" s="36" t="str">
        <f>CONCATENATE(Cover!$D$6,"fdd/view?i=",J2286)</f>
        <v>https://www.dgiwg.org/FAD/fdd/view?i=119888</v>
      </c>
      <c r="L2286" s="36" t="s">
        <v>25500</v>
      </c>
      <c r="M2286" s="186"/>
      <c r="N2286" s="186"/>
      <c r="O2286" s="172"/>
    </row>
    <row r="2287" spans="1:15" ht="38.25" x14ac:dyDescent="0.2">
      <c r="A2287" s="197" t="str">
        <f t="shared" si="35"/>
        <v>CdyCode_topographicMap</v>
      </c>
      <c r="B2287" s="409"/>
      <c r="C2287" s="416"/>
      <c r="D2287" s="198" t="s">
        <v>25501</v>
      </c>
      <c r="E2287" s="198">
        <v>12</v>
      </c>
      <c r="F2287" s="199" t="s">
        <v>25502</v>
      </c>
      <c r="G2287" s="1" t="s">
        <v>25503</v>
      </c>
      <c r="H2287" s="200"/>
      <c r="I2287" s="346"/>
      <c r="J2287" s="39">
        <v>119889</v>
      </c>
      <c r="K2287" s="36" t="str">
        <f>CONCATENATE(Cover!$D$6,"fdd/view?i=",J2287)</f>
        <v>https://www.dgiwg.org/FAD/fdd/view?i=119889</v>
      </c>
      <c r="L2287" s="36" t="s">
        <v>25504</v>
      </c>
      <c r="M2287" s="186"/>
      <c r="N2287" s="186"/>
      <c r="O2287" s="172"/>
    </row>
    <row r="2288" spans="1:15" ht="51" x14ac:dyDescent="0.2">
      <c r="A2288" s="197" t="str">
        <f t="shared" si="35"/>
        <v>CdyCode_usePlat</v>
      </c>
      <c r="B2288" s="409"/>
      <c r="C2288" s="416"/>
      <c r="D2288" s="198" t="s">
        <v>25505</v>
      </c>
      <c r="E2288" s="198">
        <v>13</v>
      </c>
      <c r="F2288" s="199" t="s">
        <v>25506</v>
      </c>
      <c r="G2288" s="1" t="s">
        <v>25507</v>
      </c>
      <c r="H2288" s="200"/>
      <c r="I2288" s="346"/>
      <c r="J2288" s="39">
        <v>119890</v>
      </c>
      <c r="K2288" s="36" t="str">
        <f>CONCATENATE(Cover!$D$6,"fdd/view?i=",J2288)</f>
        <v>https://www.dgiwg.org/FAD/fdd/view?i=119890</v>
      </c>
      <c r="L2288" s="36" t="s">
        <v>25508</v>
      </c>
      <c r="M2288" s="186"/>
      <c r="N2288" s="186"/>
      <c r="O2288" s="172"/>
    </row>
    <row r="2289" spans="1:15" ht="25.5" x14ac:dyDescent="0.2">
      <c r="A2289" s="203" t="str">
        <f t="shared" si="35"/>
        <v>CdyCode_video</v>
      </c>
      <c r="B2289" s="410"/>
      <c r="C2289" s="417"/>
      <c r="D2289" s="204" t="s">
        <v>25509</v>
      </c>
      <c r="E2289" s="204">
        <v>14</v>
      </c>
      <c r="F2289" s="205" t="s">
        <v>25510</v>
      </c>
      <c r="G2289" s="206" t="s">
        <v>25511</v>
      </c>
      <c r="H2289" s="207"/>
      <c r="I2289" s="347"/>
      <c r="J2289" s="39">
        <v>119891</v>
      </c>
      <c r="K2289" s="36" t="str">
        <f>CONCATENATE(Cover!$D$6,"fdd/view?i=",J2289)</f>
        <v>https://www.dgiwg.org/FAD/fdd/view?i=119891</v>
      </c>
      <c r="L2289" s="36" t="s">
        <v>25512</v>
      </c>
      <c r="M2289" s="186"/>
      <c r="N2289" s="186"/>
      <c r="O2289" s="172"/>
    </row>
    <row r="2290" spans="1:15" ht="38.25" x14ac:dyDescent="0.2">
      <c r="A2290" s="190" t="str">
        <f t="shared" si="35"/>
        <v>CmeCode_artificial</v>
      </c>
      <c r="B2290" s="414" t="str">
        <f>HYPERLINK("[#]Datatypes!A300:L300","CmeCode")</f>
        <v>CmeCode</v>
      </c>
      <c r="C2290" s="415" t="s">
        <v>14859</v>
      </c>
      <c r="D2290" s="221" t="s">
        <v>25513</v>
      </c>
      <c r="E2290" s="221">
        <v>2</v>
      </c>
      <c r="F2290" s="222" t="s">
        <v>25514</v>
      </c>
      <c r="G2290" s="223" t="s">
        <v>25515</v>
      </c>
      <c r="H2290" s="223" t="s">
        <v>25516</v>
      </c>
      <c r="I2290" s="345"/>
      <c r="J2290" s="39">
        <v>119685</v>
      </c>
      <c r="K2290" s="36" t="str">
        <f>CONCATENATE(Cover!$D$6,"fdd/view?i=",J2290)</f>
        <v>https://www.dgiwg.org/FAD/fdd/view?i=119685</v>
      </c>
      <c r="L2290" s="36" t="s">
        <v>25517</v>
      </c>
      <c r="M2290" s="186"/>
      <c r="N2290" s="186"/>
      <c r="O2290" s="172"/>
    </row>
    <row r="2291" spans="1:15" ht="51" x14ac:dyDescent="0.2">
      <c r="A2291" s="203" t="str">
        <f t="shared" si="35"/>
        <v>CmeCode_natural</v>
      </c>
      <c r="B2291" s="410"/>
      <c r="C2291" s="417"/>
      <c r="D2291" s="204" t="s">
        <v>25518</v>
      </c>
      <c r="E2291" s="204">
        <v>1</v>
      </c>
      <c r="F2291" s="205" t="s">
        <v>25519</v>
      </c>
      <c r="G2291" s="206" t="s">
        <v>25520</v>
      </c>
      <c r="H2291" s="206" t="s">
        <v>25521</v>
      </c>
      <c r="I2291" s="347"/>
      <c r="J2291" s="39">
        <v>119684</v>
      </c>
      <c r="K2291" s="36" t="str">
        <f>CONCATENATE(Cover!$D$6,"fdd/view?i=",J2291)</f>
        <v>https://www.dgiwg.org/FAD/fdd/view?i=119684</v>
      </c>
      <c r="L2291" s="36" t="s">
        <v>25522</v>
      </c>
      <c r="M2291" s="186"/>
      <c r="N2291" s="186"/>
      <c r="O2291" s="172"/>
    </row>
    <row r="2292" spans="1:15" ht="51" x14ac:dyDescent="0.2">
      <c r="A2292" s="190" t="str">
        <f t="shared" si="35"/>
        <v>CtyCode_breakbulk</v>
      </c>
      <c r="B2292" s="414" t="str">
        <f>HYPERLINK("[#]Datatypes!A302:L302","CtyCode")</f>
        <v>CtyCode</v>
      </c>
      <c r="C2292" s="415" t="s">
        <v>14861</v>
      </c>
      <c r="D2292" s="221" t="s">
        <v>25523</v>
      </c>
      <c r="E2292" s="221">
        <v>1</v>
      </c>
      <c r="F2292" s="222" t="s">
        <v>25524</v>
      </c>
      <c r="G2292" s="223" t="s">
        <v>25525</v>
      </c>
      <c r="H2292" s="223" t="s">
        <v>25526</v>
      </c>
      <c r="I2292" s="345"/>
      <c r="J2292" s="39">
        <v>109925</v>
      </c>
      <c r="K2292" s="36" t="str">
        <f>CONCATENATE(Cover!$D$6,"fdd/view?i=",J2292)</f>
        <v>https://www.dgiwg.org/FAD/fdd/view?i=109925</v>
      </c>
      <c r="L2292" s="36" t="s">
        <v>25527</v>
      </c>
      <c r="M2292" s="186"/>
      <c r="N2292" s="186"/>
      <c r="O2292" s="172"/>
    </row>
    <row r="2293" spans="1:15" x14ac:dyDescent="0.2">
      <c r="A2293" s="197" t="str">
        <f t="shared" si="35"/>
        <v>CtyCode_bulk</v>
      </c>
      <c r="B2293" s="409"/>
      <c r="C2293" s="416"/>
      <c r="D2293" s="198" t="s">
        <v>25528</v>
      </c>
      <c r="E2293" s="198">
        <v>2</v>
      </c>
      <c r="F2293" s="199" t="s">
        <v>25529</v>
      </c>
      <c r="G2293" s="1" t="s">
        <v>25530</v>
      </c>
      <c r="H2293" s="1" t="s">
        <v>25531</v>
      </c>
      <c r="I2293" s="346"/>
      <c r="J2293" s="39">
        <v>109926</v>
      </c>
      <c r="K2293" s="36" t="str">
        <f>CONCATENATE(Cover!$D$6,"fdd/view?i=",J2293)</f>
        <v>https://www.dgiwg.org/FAD/fdd/view?i=109926</v>
      </c>
      <c r="L2293" s="36" t="s">
        <v>25532</v>
      </c>
      <c r="M2293" s="186"/>
      <c r="N2293" s="186"/>
      <c r="O2293" s="172"/>
    </row>
    <row r="2294" spans="1:15" ht="38.25" x14ac:dyDescent="0.2">
      <c r="A2294" s="197" t="str">
        <f t="shared" si="35"/>
        <v>CtyCode_container</v>
      </c>
      <c r="B2294" s="409"/>
      <c r="C2294" s="416"/>
      <c r="D2294" s="198" t="s">
        <v>25533</v>
      </c>
      <c r="E2294" s="198">
        <v>3</v>
      </c>
      <c r="F2294" s="199" t="s">
        <v>25534</v>
      </c>
      <c r="G2294" s="1" t="s">
        <v>25535</v>
      </c>
      <c r="H2294" s="200"/>
      <c r="I2294" s="346"/>
      <c r="J2294" s="39">
        <v>109927</v>
      </c>
      <c r="K2294" s="36" t="str">
        <f>CONCATENATE(Cover!$D$6,"fdd/view?i=",J2294)</f>
        <v>https://www.dgiwg.org/FAD/fdd/view?i=109927</v>
      </c>
      <c r="L2294" s="36" t="s">
        <v>25536</v>
      </c>
      <c r="M2294" s="186"/>
      <c r="N2294" s="186"/>
      <c r="O2294" s="172"/>
    </row>
    <row r="2295" spans="1:15" ht="51" x14ac:dyDescent="0.2">
      <c r="A2295" s="197" t="str">
        <f t="shared" si="35"/>
        <v>CtyCode_heavyLift</v>
      </c>
      <c r="B2295" s="409"/>
      <c r="C2295" s="416"/>
      <c r="D2295" s="198" t="s">
        <v>25537</v>
      </c>
      <c r="E2295" s="198">
        <v>4</v>
      </c>
      <c r="F2295" s="199" t="s">
        <v>25538</v>
      </c>
      <c r="G2295" s="1" t="s">
        <v>25539</v>
      </c>
      <c r="H2295" s="1" t="s">
        <v>25540</v>
      </c>
      <c r="I2295" s="346"/>
      <c r="J2295" s="39">
        <v>109928</v>
      </c>
      <c r="K2295" s="36" t="str">
        <f>CONCATENATE(Cover!$D$6,"fdd/view?i=",J2295)</f>
        <v>https://www.dgiwg.org/FAD/fdd/view?i=109928</v>
      </c>
      <c r="L2295" s="36" t="s">
        <v>25541</v>
      </c>
      <c r="M2295" s="186"/>
      <c r="N2295" s="186"/>
      <c r="O2295" s="172"/>
    </row>
    <row r="2296" spans="1:15" ht="38.25" x14ac:dyDescent="0.2">
      <c r="A2296" s="197" t="str">
        <f t="shared" si="35"/>
        <v>CtyCode_roRo</v>
      </c>
      <c r="B2296" s="409"/>
      <c r="C2296" s="416"/>
      <c r="D2296" s="198" t="s">
        <v>25542</v>
      </c>
      <c r="E2296" s="198">
        <v>5</v>
      </c>
      <c r="F2296" s="199" t="s">
        <v>25543</v>
      </c>
      <c r="G2296" s="1" t="s">
        <v>25544</v>
      </c>
      <c r="H2296" s="200"/>
      <c r="I2296" s="346"/>
      <c r="J2296" s="39">
        <v>109929</v>
      </c>
      <c r="K2296" s="36" t="str">
        <f>CONCATENATE(Cover!$D$6,"fdd/view?i=",J2296)</f>
        <v>https://www.dgiwg.org/FAD/fdd/view?i=109929</v>
      </c>
      <c r="L2296" s="36" t="s">
        <v>25545</v>
      </c>
      <c r="M2296" s="186"/>
      <c r="N2296" s="186"/>
      <c r="O2296" s="172"/>
    </row>
    <row r="2297" spans="1:15" ht="25.5" x14ac:dyDescent="0.2">
      <c r="A2297" s="203" t="str">
        <f t="shared" si="35"/>
        <v>CtyCode_tanker</v>
      </c>
      <c r="B2297" s="410"/>
      <c r="C2297" s="417"/>
      <c r="D2297" s="204" t="s">
        <v>25546</v>
      </c>
      <c r="E2297" s="204">
        <v>6</v>
      </c>
      <c r="F2297" s="205" t="s">
        <v>25547</v>
      </c>
      <c r="G2297" s="206" t="s">
        <v>25548</v>
      </c>
      <c r="H2297" s="207"/>
      <c r="I2297" s="347"/>
      <c r="J2297" s="39">
        <v>109930</v>
      </c>
      <c r="K2297" s="36" t="str">
        <f>CONCATENATE(Cover!$D$6,"fdd/view?i=",J2297)</f>
        <v>https://www.dgiwg.org/FAD/fdd/view?i=109930</v>
      </c>
      <c r="L2297" s="36" t="s">
        <v>25549</v>
      </c>
      <c r="M2297" s="186"/>
      <c r="N2297" s="186"/>
      <c r="O2297" s="172"/>
    </row>
    <row r="2298" spans="1:15" ht="25.5" x14ac:dyDescent="0.2">
      <c r="A2298" s="190" t="str">
        <f t="shared" si="35"/>
        <v>CtxCode_aeolian</v>
      </c>
      <c r="B2298" s="414" t="str">
        <f>HYPERLINK("[#]Datatypes!A304:L304","CtxCode")</f>
        <v>CtxCode</v>
      </c>
      <c r="C2298" s="415" t="s">
        <v>14863</v>
      </c>
      <c r="D2298" s="221" t="s">
        <v>25550</v>
      </c>
      <c r="E2298" s="221">
        <v>3</v>
      </c>
      <c r="F2298" s="222" t="s">
        <v>25551</v>
      </c>
      <c r="G2298" s="223" t="s">
        <v>25552</v>
      </c>
      <c r="H2298" s="224"/>
      <c r="I2298" s="345"/>
      <c r="J2298" s="39">
        <v>119319</v>
      </c>
      <c r="K2298" s="36" t="str">
        <f>CONCATENATE(Cover!$D$6,"fdd/view?i=",J2298)</f>
        <v>https://www.dgiwg.org/FAD/fdd/view?i=119319</v>
      </c>
      <c r="L2298" s="36" t="s">
        <v>25553</v>
      </c>
      <c r="M2298" s="186"/>
      <c r="N2298" s="186"/>
      <c r="O2298" s="172"/>
    </row>
    <row r="2299" spans="1:15" ht="25.5" x14ac:dyDescent="0.2">
      <c r="A2299" s="197" t="str">
        <f t="shared" si="35"/>
        <v>CtxCode_erosional</v>
      </c>
      <c r="B2299" s="409"/>
      <c r="C2299" s="416"/>
      <c r="D2299" s="198" t="s">
        <v>25554</v>
      </c>
      <c r="E2299" s="198">
        <v>2</v>
      </c>
      <c r="F2299" s="199" t="s">
        <v>25555</v>
      </c>
      <c r="G2299" s="1" t="s">
        <v>25556</v>
      </c>
      <c r="H2299" s="1" t="s">
        <v>25557</v>
      </c>
      <c r="I2299" s="346"/>
      <c r="J2299" s="39">
        <v>119318</v>
      </c>
      <c r="K2299" s="36" t="str">
        <f>CONCATENATE(Cover!$D$6,"fdd/view?i=",J2299)</f>
        <v>https://www.dgiwg.org/FAD/fdd/view?i=119318</v>
      </c>
      <c r="L2299" s="36" t="s">
        <v>25558</v>
      </c>
      <c r="M2299" s="186"/>
      <c r="N2299" s="186"/>
      <c r="O2299" s="172"/>
    </row>
    <row r="2300" spans="1:15" ht="38.25" x14ac:dyDescent="0.2">
      <c r="A2300" s="197" t="str">
        <f t="shared" si="35"/>
        <v>CtxCode_glacier</v>
      </c>
      <c r="B2300" s="409"/>
      <c r="C2300" s="416"/>
      <c r="D2300" s="198" t="s">
        <v>25559</v>
      </c>
      <c r="E2300" s="198">
        <v>5</v>
      </c>
      <c r="F2300" s="199" t="s">
        <v>3346</v>
      </c>
      <c r="G2300" s="1" t="s">
        <v>25560</v>
      </c>
      <c r="H2300" s="1" t="s">
        <v>25561</v>
      </c>
      <c r="I2300" s="346"/>
      <c r="J2300" s="39">
        <v>119321</v>
      </c>
      <c r="K2300" s="36" t="str">
        <f>CONCATENATE(Cover!$D$6,"fdd/view?i=",J2300)</f>
        <v>https://www.dgiwg.org/FAD/fdd/view?i=119321</v>
      </c>
      <c r="L2300" s="36" t="s">
        <v>25562</v>
      </c>
      <c r="M2300" s="186"/>
      <c r="N2300" s="186"/>
      <c r="O2300" s="172"/>
    </row>
    <row r="2301" spans="1:15" ht="38.25" x14ac:dyDescent="0.2">
      <c r="A2301" s="197" t="str">
        <f t="shared" si="35"/>
        <v>CtxCode_lava</v>
      </c>
      <c r="B2301" s="409"/>
      <c r="C2301" s="416"/>
      <c r="D2301" s="198" t="s">
        <v>25563</v>
      </c>
      <c r="E2301" s="198">
        <v>6</v>
      </c>
      <c r="F2301" s="199" t="s">
        <v>25564</v>
      </c>
      <c r="G2301" s="1" t="s">
        <v>25565</v>
      </c>
      <c r="H2301" s="1" t="s">
        <v>25566</v>
      </c>
      <c r="I2301" s="346"/>
      <c r="J2301" s="39">
        <v>119322</v>
      </c>
      <c r="K2301" s="36" t="str">
        <f>CONCATENATE(Cover!$D$6,"fdd/view?i=",J2301)</f>
        <v>https://www.dgiwg.org/FAD/fdd/view?i=119322</v>
      </c>
      <c r="L2301" s="36" t="s">
        <v>25567</v>
      </c>
      <c r="M2301" s="186"/>
      <c r="N2301" s="186"/>
      <c r="O2301" s="172"/>
    </row>
    <row r="2302" spans="1:15" ht="102" x14ac:dyDescent="0.2">
      <c r="A2302" s="197" t="str">
        <f t="shared" si="35"/>
        <v>CtxCode_solution</v>
      </c>
      <c r="B2302" s="409"/>
      <c r="C2302" s="416"/>
      <c r="D2302" s="198" t="s">
        <v>25568</v>
      </c>
      <c r="E2302" s="198">
        <v>1</v>
      </c>
      <c r="F2302" s="199" t="s">
        <v>25569</v>
      </c>
      <c r="G2302" s="1" t="s">
        <v>25570</v>
      </c>
      <c r="H2302" s="1" t="s">
        <v>25571</v>
      </c>
      <c r="I2302" s="346"/>
      <c r="J2302" s="39">
        <v>119317</v>
      </c>
      <c r="K2302" s="36" t="str">
        <f>CONCATENATE(Cover!$D$6,"fdd/view?i=",J2302)</f>
        <v>https://www.dgiwg.org/FAD/fdd/view?i=119317</v>
      </c>
      <c r="L2302" s="36" t="s">
        <v>25572</v>
      </c>
      <c r="M2302" s="186"/>
      <c r="N2302" s="186"/>
      <c r="O2302" s="172"/>
    </row>
    <row r="2303" spans="1:15" ht="25.5" x14ac:dyDescent="0.2">
      <c r="A2303" s="197" t="str">
        <f t="shared" si="35"/>
        <v>CtxCode_talus</v>
      </c>
      <c r="B2303" s="409"/>
      <c r="C2303" s="416"/>
      <c r="D2303" s="198" t="s">
        <v>25573</v>
      </c>
      <c r="E2303" s="198">
        <v>7</v>
      </c>
      <c r="F2303" s="199" t="s">
        <v>25574</v>
      </c>
      <c r="G2303" s="1" t="s">
        <v>25575</v>
      </c>
      <c r="H2303" s="200"/>
      <c r="I2303" s="346"/>
      <c r="J2303" s="39">
        <v>119323</v>
      </c>
      <c r="K2303" s="36" t="str">
        <f>CONCATENATE(Cover!$D$6,"fdd/view?i=",J2303)</f>
        <v>https://www.dgiwg.org/FAD/fdd/view?i=119323</v>
      </c>
      <c r="L2303" s="36" t="s">
        <v>25576</v>
      </c>
      <c r="M2303" s="186"/>
      <c r="N2303" s="186"/>
      <c r="O2303" s="172"/>
    </row>
    <row r="2304" spans="1:15" ht="38.25" x14ac:dyDescent="0.2">
      <c r="A2304" s="203" t="str">
        <f t="shared" si="35"/>
        <v>CtxCode_waterbody</v>
      </c>
      <c r="B2304" s="410"/>
      <c r="C2304" s="417"/>
      <c r="D2304" s="204" t="s">
        <v>25577</v>
      </c>
      <c r="E2304" s="204">
        <v>4</v>
      </c>
      <c r="F2304" s="205" t="s">
        <v>25578</v>
      </c>
      <c r="G2304" s="206" t="s">
        <v>25579</v>
      </c>
      <c r="H2304" s="206" t="s">
        <v>25580</v>
      </c>
      <c r="I2304" s="347"/>
      <c r="J2304" s="39">
        <v>119320</v>
      </c>
      <c r="K2304" s="36" t="str">
        <f>CONCATENATE(Cover!$D$6,"fdd/view?i=",J2304)</f>
        <v>https://www.dgiwg.org/FAD/fdd/view?i=119320</v>
      </c>
      <c r="L2304" s="36" t="s">
        <v>25581</v>
      </c>
      <c r="M2304" s="186"/>
      <c r="N2304" s="186"/>
      <c r="O2304" s="172"/>
    </row>
    <row r="2305" spans="1:15" ht="127.5" x14ac:dyDescent="0.2">
      <c r="A2305" s="190" t="str">
        <f t="shared" si="35"/>
        <v>CpsCode_fixed0r25</v>
      </c>
      <c r="B2305" s="414" t="str">
        <f>HYPERLINK("[#]Datatypes!A306:L306","CpsCode")</f>
        <v>CpsCode</v>
      </c>
      <c r="C2305" s="415" t="s">
        <v>14865</v>
      </c>
      <c r="D2305" s="221" t="s">
        <v>25582</v>
      </c>
      <c r="E2305" s="221">
        <v>4</v>
      </c>
      <c r="F2305" s="222" t="s">
        <v>25583</v>
      </c>
      <c r="G2305" s="223" t="s">
        <v>25584</v>
      </c>
      <c r="H2305" s="223" t="s">
        <v>25585</v>
      </c>
      <c r="I2305" s="345"/>
      <c r="J2305" s="39">
        <v>117886</v>
      </c>
      <c r="K2305" s="36" t="str">
        <f>CONCATENATE(Cover!$D$6,"fdd/view?i=",J2305)</f>
        <v>https://www.dgiwg.org/FAD/fdd/view?i=117886</v>
      </c>
      <c r="L2305" s="36" t="s">
        <v>25586</v>
      </c>
      <c r="M2305" s="186"/>
      <c r="N2305" s="186"/>
      <c r="O2305" s="172"/>
    </row>
    <row r="2306" spans="1:15" ht="89.25" x14ac:dyDescent="0.2">
      <c r="A2306" s="197" t="str">
        <f t="shared" ref="A2306:A2369" si="36">HYPERLINK(K2306,L2306)</f>
        <v>CpsCode_fixed0r5</v>
      </c>
      <c r="B2306" s="409"/>
      <c r="C2306" s="416"/>
      <c r="D2306" s="198" t="s">
        <v>25587</v>
      </c>
      <c r="E2306" s="198">
        <v>3</v>
      </c>
      <c r="F2306" s="199" t="s">
        <v>25588</v>
      </c>
      <c r="G2306" s="1" t="s">
        <v>25589</v>
      </c>
      <c r="H2306" s="1" t="s">
        <v>25590</v>
      </c>
      <c r="I2306" s="346"/>
      <c r="J2306" s="39">
        <v>117885</v>
      </c>
      <c r="K2306" s="36" t="str">
        <f>CONCATENATE(Cover!$D$6,"fdd/view?i=",J2306)</f>
        <v>https://www.dgiwg.org/FAD/fdd/view?i=117885</v>
      </c>
      <c r="L2306" s="36" t="s">
        <v>25591</v>
      </c>
      <c r="M2306" s="186"/>
      <c r="N2306" s="186"/>
      <c r="O2306" s="172"/>
    </row>
    <row r="2307" spans="1:15" ht="38.25" x14ac:dyDescent="0.2">
      <c r="A2307" s="197" t="str">
        <f t="shared" si="36"/>
        <v>CpsCode_fixed1r0</v>
      </c>
      <c r="B2307" s="409"/>
      <c r="C2307" s="416"/>
      <c r="D2307" s="198" t="s">
        <v>25592</v>
      </c>
      <c r="E2307" s="198">
        <v>2</v>
      </c>
      <c r="F2307" s="199" t="s">
        <v>25593</v>
      </c>
      <c r="G2307" s="1" t="s">
        <v>25594</v>
      </c>
      <c r="H2307" s="1" t="s">
        <v>25595</v>
      </c>
      <c r="I2307" s="346"/>
      <c r="J2307" s="39">
        <v>117884</v>
      </c>
      <c r="K2307" s="36" t="str">
        <f>CONCATENATE(Cover!$D$6,"fdd/view?i=",J2307)</f>
        <v>https://www.dgiwg.org/FAD/fdd/view?i=117884</v>
      </c>
      <c r="L2307" s="36" t="s">
        <v>25596</v>
      </c>
      <c r="M2307" s="186"/>
      <c r="N2307" s="186"/>
      <c r="O2307" s="172"/>
    </row>
    <row r="2308" spans="1:15" ht="25.5" x14ac:dyDescent="0.2">
      <c r="A2308" s="197" t="str">
        <f t="shared" si="36"/>
        <v>CpsCode_fixed5r0</v>
      </c>
      <c r="B2308" s="409"/>
      <c r="C2308" s="416"/>
      <c r="D2308" s="198" t="s">
        <v>25597</v>
      </c>
      <c r="E2308" s="198">
        <v>1</v>
      </c>
      <c r="F2308" s="199" t="s">
        <v>25598</v>
      </c>
      <c r="G2308" s="1" t="s">
        <v>25599</v>
      </c>
      <c r="H2308" s="1" t="s">
        <v>25600</v>
      </c>
      <c r="I2308" s="346"/>
      <c r="J2308" s="39">
        <v>117883</v>
      </c>
      <c r="K2308" s="36" t="str">
        <f>CONCATENATE(Cover!$D$6,"fdd/view?i=",J2308)</f>
        <v>https://www.dgiwg.org/FAD/fdd/view?i=117883</v>
      </c>
      <c r="L2308" s="36" t="s">
        <v>25601</v>
      </c>
      <c r="M2308" s="186"/>
      <c r="N2308" s="186"/>
      <c r="O2308" s="172"/>
    </row>
    <row r="2309" spans="1:15" ht="255" x14ac:dyDescent="0.2">
      <c r="A2309" s="203" t="str">
        <f t="shared" si="36"/>
        <v>CpsCode_variable</v>
      </c>
      <c r="B2309" s="410"/>
      <c r="C2309" s="417"/>
      <c r="D2309" s="204" t="s">
        <v>25602</v>
      </c>
      <c r="E2309" s="204">
        <v>5</v>
      </c>
      <c r="F2309" s="205" t="s">
        <v>25603</v>
      </c>
      <c r="G2309" s="206" t="s">
        <v>25604</v>
      </c>
      <c r="H2309" s="206" t="s">
        <v>25605</v>
      </c>
      <c r="I2309" s="347"/>
      <c r="J2309" s="39">
        <v>117985</v>
      </c>
      <c r="K2309" s="36" t="str">
        <f>CONCATENATE(Cover!$D$6,"fdd/view?i=",J2309)</f>
        <v>https://www.dgiwg.org/FAD/fdd/view?i=117985</v>
      </c>
      <c r="L2309" s="36" t="s">
        <v>25606</v>
      </c>
      <c r="M2309" s="186"/>
      <c r="N2309" s="186"/>
      <c r="O2309" s="172"/>
    </row>
    <row r="2310" spans="1:15" ht="25.5" x14ac:dyDescent="0.2">
      <c r="A2310" s="190" t="str">
        <f t="shared" si="36"/>
        <v>ChtCode_fairway</v>
      </c>
      <c r="B2310" s="414" t="str">
        <f>HYPERLINK("[#]Datatypes!A308:L308","ChtCode")</f>
        <v>ChtCode</v>
      </c>
      <c r="C2310" s="415" t="s">
        <v>14867</v>
      </c>
      <c r="D2310" s="221" t="s">
        <v>24897</v>
      </c>
      <c r="E2310" s="221">
        <v>4</v>
      </c>
      <c r="F2310" s="222" t="s">
        <v>24898</v>
      </c>
      <c r="G2310" s="223" t="s">
        <v>25607</v>
      </c>
      <c r="H2310" s="224"/>
      <c r="I2310" s="345"/>
      <c r="J2310" s="39">
        <v>111269</v>
      </c>
      <c r="K2310" s="36" t="str">
        <f>CONCATENATE(Cover!$D$6,"fdd/view?i=",J2310)</f>
        <v>https://www.dgiwg.org/FAD/fdd/view?i=111269</v>
      </c>
      <c r="L2310" s="36" t="s">
        <v>25608</v>
      </c>
      <c r="M2310" s="186"/>
      <c r="N2310" s="186"/>
      <c r="O2310" s="172"/>
    </row>
    <row r="2311" spans="1:15" ht="25.5" x14ac:dyDescent="0.2">
      <c r="A2311" s="197" t="str">
        <f t="shared" si="36"/>
        <v>ChtCode_lagoonalChannel</v>
      </c>
      <c r="B2311" s="409"/>
      <c r="C2311" s="416"/>
      <c r="D2311" s="198" t="s">
        <v>25609</v>
      </c>
      <c r="E2311" s="198">
        <v>1</v>
      </c>
      <c r="F2311" s="199" t="s">
        <v>25610</v>
      </c>
      <c r="G2311" s="1" t="s">
        <v>25611</v>
      </c>
      <c r="H2311" s="1" t="s">
        <v>25612</v>
      </c>
      <c r="I2311" s="346"/>
      <c r="J2311" s="39">
        <v>103090</v>
      </c>
      <c r="K2311" s="36" t="str">
        <f>CONCATENATE(Cover!$D$6,"fdd/view?i=",J2311)</f>
        <v>https://www.dgiwg.org/FAD/fdd/view?i=103090</v>
      </c>
      <c r="L2311" s="36" t="s">
        <v>25613</v>
      </c>
      <c r="M2311" s="186"/>
      <c r="N2311" s="186"/>
      <c r="O2311" s="172"/>
    </row>
    <row r="2312" spans="1:15" ht="25.5" x14ac:dyDescent="0.2">
      <c r="A2312" s="197" t="str">
        <f t="shared" si="36"/>
        <v>ChtCode_lakeChannel</v>
      </c>
      <c r="B2312" s="409"/>
      <c r="C2312" s="416"/>
      <c r="D2312" s="198" t="s">
        <v>25614</v>
      </c>
      <c r="E2312" s="198">
        <v>2</v>
      </c>
      <c r="F2312" s="199" t="s">
        <v>25615</v>
      </c>
      <c r="G2312" s="1" t="s">
        <v>25616</v>
      </c>
      <c r="H2312" s="200"/>
      <c r="I2312" s="346"/>
      <c r="J2312" s="39">
        <v>110864</v>
      </c>
      <c r="K2312" s="36" t="str">
        <f>CONCATENATE(Cover!$D$6,"fdd/view?i=",J2312)</f>
        <v>https://www.dgiwg.org/FAD/fdd/view?i=110864</v>
      </c>
      <c r="L2312" s="36" t="s">
        <v>25617</v>
      </c>
      <c r="M2312" s="186"/>
      <c r="N2312" s="186"/>
      <c r="O2312" s="172"/>
    </row>
    <row r="2313" spans="1:15" ht="38.25" x14ac:dyDescent="0.2">
      <c r="A2313" s="197" t="str">
        <f t="shared" si="36"/>
        <v>ChtCode_marineChannel</v>
      </c>
      <c r="B2313" s="409"/>
      <c r="C2313" s="416"/>
      <c r="D2313" s="198" t="s">
        <v>25618</v>
      </c>
      <c r="E2313" s="198">
        <v>3</v>
      </c>
      <c r="F2313" s="199" t="s">
        <v>25619</v>
      </c>
      <c r="G2313" s="1" t="s">
        <v>25620</v>
      </c>
      <c r="H2313" s="1" t="s">
        <v>25621</v>
      </c>
      <c r="I2313" s="346"/>
      <c r="J2313" s="39">
        <v>110865</v>
      </c>
      <c r="K2313" s="36" t="str">
        <f>CONCATENATE(Cover!$D$6,"fdd/view?i=",J2313)</f>
        <v>https://www.dgiwg.org/FAD/fdd/view?i=110865</v>
      </c>
      <c r="L2313" s="36" t="s">
        <v>25622</v>
      </c>
      <c r="M2313" s="186"/>
      <c r="N2313" s="186"/>
      <c r="O2313" s="172"/>
    </row>
    <row r="2314" spans="1:15" ht="25.5" x14ac:dyDescent="0.2">
      <c r="A2314" s="203" t="str">
        <f t="shared" si="36"/>
        <v>ChtCode_riverChannel</v>
      </c>
      <c r="B2314" s="410"/>
      <c r="C2314" s="417"/>
      <c r="D2314" s="204" t="s">
        <v>25623</v>
      </c>
      <c r="E2314" s="204">
        <v>5</v>
      </c>
      <c r="F2314" s="205" t="s">
        <v>25624</v>
      </c>
      <c r="G2314" s="206" t="s">
        <v>25625</v>
      </c>
      <c r="H2314" s="207"/>
      <c r="I2314" s="347"/>
      <c r="J2314" s="39">
        <v>114362</v>
      </c>
      <c r="K2314" s="36" t="str">
        <f>CONCATENATE(Cover!$D$6,"fdd/view?i=",J2314)</f>
        <v>https://www.dgiwg.org/FAD/fdd/view?i=114362</v>
      </c>
      <c r="L2314" s="36" t="s">
        <v>25626</v>
      </c>
      <c r="M2314" s="186"/>
      <c r="N2314" s="186"/>
      <c r="O2314" s="172"/>
    </row>
    <row r="2315" spans="1:15" ht="25.5" x14ac:dyDescent="0.2">
      <c r="A2315" s="190" t="str">
        <f t="shared" si="36"/>
        <v>BcpCode_borderCrossingOfficial</v>
      </c>
      <c r="B2315" s="414" t="str">
        <f>HYPERLINK("[#]Datatypes!A312:L312","BcpCode")</f>
        <v>BcpCode</v>
      </c>
      <c r="C2315" s="415" t="s">
        <v>14872</v>
      </c>
      <c r="D2315" s="221" t="s">
        <v>25627</v>
      </c>
      <c r="E2315" s="221">
        <v>1</v>
      </c>
      <c r="F2315" s="222" t="s">
        <v>25628</v>
      </c>
      <c r="G2315" s="223" t="s">
        <v>25629</v>
      </c>
      <c r="H2315" s="224"/>
      <c r="I2315" s="345"/>
      <c r="J2315" s="39">
        <v>118194</v>
      </c>
      <c r="K2315" s="36" t="str">
        <f>CONCATENATE(Cover!$D$6,"fdd/view?i=",J2315)</f>
        <v>https://www.dgiwg.org/FAD/fdd/view?i=118194</v>
      </c>
      <c r="L2315" s="36" t="s">
        <v>25630</v>
      </c>
      <c r="M2315" s="186"/>
      <c r="N2315" s="186"/>
      <c r="O2315" s="172"/>
    </row>
    <row r="2316" spans="1:15" ht="25.5" x14ac:dyDescent="0.2">
      <c r="A2316" s="197" t="str">
        <f t="shared" si="36"/>
        <v>BcpCode_borderCrossingUnofficial</v>
      </c>
      <c r="B2316" s="409"/>
      <c r="C2316" s="416"/>
      <c r="D2316" s="198" t="s">
        <v>25631</v>
      </c>
      <c r="E2316" s="198">
        <v>2</v>
      </c>
      <c r="F2316" s="199" t="s">
        <v>25632</v>
      </c>
      <c r="G2316" s="1" t="s">
        <v>25633</v>
      </c>
      <c r="H2316" s="200"/>
      <c r="I2316" s="346"/>
      <c r="J2316" s="39">
        <v>118195</v>
      </c>
      <c r="K2316" s="36" t="str">
        <f>CONCATENATE(Cover!$D$6,"fdd/view?i=",J2316)</f>
        <v>https://www.dgiwg.org/FAD/fdd/view?i=118195</v>
      </c>
      <c r="L2316" s="36" t="s">
        <v>25634</v>
      </c>
      <c r="M2316" s="186"/>
      <c r="N2316" s="186"/>
      <c r="O2316" s="172"/>
    </row>
    <row r="2317" spans="1:15" ht="51" x14ac:dyDescent="0.2">
      <c r="A2317" s="197" t="str">
        <f t="shared" si="36"/>
        <v>BcpCode_customsCheckpoint</v>
      </c>
      <c r="B2317" s="409"/>
      <c r="C2317" s="416"/>
      <c r="D2317" s="198" t="s">
        <v>25635</v>
      </c>
      <c r="E2317" s="198">
        <v>3</v>
      </c>
      <c r="F2317" s="199" t="s">
        <v>25636</v>
      </c>
      <c r="G2317" s="1" t="s">
        <v>25637</v>
      </c>
      <c r="H2317" s="200"/>
      <c r="I2317" s="346"/>
      <c r="J2317" s="39">
        <v>118196</v>
      </c>
      <c r="K2317" s="36" t="str">
        <f>CONCATENATE(Cover!$D$6,"fdd/view?i=",J2317)</f>
        <v>https://www.dgiwg.org/FAD/fdd/view?i=118196</v>
      </c>
      <c r="L2317" s="36" t="s">
        <v>25638</v>
      </c>
      <c r="M2317" s="186"/>
      <c r="N2317" s="186"/>
      <c r="O2317" s="172"/>
    </row>
    <row r="2318" spans="1:15" ht="25.5" x14ac:dyDescent="0.2">
      <c r="A2318" s="197" t="str">
        <f t="shared" si="36"/>
        <v>BcpCode_immigration</v>
      </c>
      <c r="B2318" s="409"/>
      <c r="C2318" s="416"/>
      <c r="D2318" s="198" t="s">
        <v>25639</v>
      </c>
      <c r="E2318" s="198">
        <v>8</v>
      </c>
      <c r="F2318" s="199" t="s">
        <v>25640</v>
      </c>
      <c r="G2318" s="1" t="s">
        <v>25641</v>
      </c>
      <c r="H2318" s="200"/>
      <c r="I2318" s="346"/>
      <c r="J2318" s="39">
        <v>119521</v>
      </c>
      <c r="K2318" s="36" t="str">
        <f>CONCATENATE(Cover!$D$6,"fdd/view?i=",J2318)</f>
        <v>https://www.dgiwg.org/FAD/fdd/view?i=119521</v>
      </c>
      <c r="L2318" s="36" t="s">
        <v>25642</v>
      </c>
      <c r="M2318" s="186"/>
      <c r="N2318" s="186"/>
      <c r="O2318" s="172"/>
    </row>
    <row r="2319" spans="1:15" ht="25.5" x14ac:dyDescent="0.2">
      <c r="A2319" s="197" t="str">
        <f t="shared" si="36"/>
        <v>BcpCode_insurgentCheckpoint</v>
      </c>
      <c r="B2319" s="409"/>
      <c r="C2319" s="416"/>
      <c r="D2319" s="198" t="s">
        <v>25643</v>
      </c>
      <c r="E2319" s="198">
        <v>6</v>
      </c>
      <c r="F2319" s="199" t="s">
        <v>25644</v>
      </c>
      <c r="G2319" s="1" t="s">
        <v>25645</v>
      </c>
      <c r="H2319" s="200"/>
      <c r="I2319" s="346"/>
      <c r="J2319" s="39">
        <v>118199</v>
      </c>
      <c r="K2319" s="36" t="str">
        <f>CONCATENATE(Cover!$D$6,"fdd/view?i=",J2319)</f>
        <v>https://www.dgiwg.org/FAD/fdd/view?i=118199</v>
      </c>
      <c r="L2319" s="36" t="s">
        <v>25646</v>
      </c>
      <c r="M2319" s="186"/>
      <c r="N2319" s="186"/>
      <c r="O2319" s="172"/>
    </row>
    <row r="2320" spans="1:15" ht="25.5" x14ac:dyDescent="0.2">
      <c r="A2320" s="197" t="str">
        <f t="shared" si="36"/>
        <v>BcpCode_nationalMilitaryCheckpoint</v>
      </c>
      <c r="B2320" s="409"/>
      <c r="C2320" s="416"/>
      <c r="D2320" s="198" t="s">
        <v>25647</v>
      </c>
      <c r="E2320" s="198">
        <v>4</v>
      </c>
      <c r="F2320" s="199" t="s">
        <v>25648</v>
      </c>
      <c r="G2320" s="1" t="s">
        <v>25649</v>
      </c>
      <c r="H2320" s="200"/>
      <c r="I2320" s="346"/>
      <c r="J2320" s="39">
        <v>118197</v>
      </c>
      <c r="K2320" s="36" t="str">
        <f>CONCATENATE(Cover!$D$6,"fdd/view?i=",J2320)</f>
        <v>https://www.dgiwg.org/FAD/fdd/view?i=118197</v>
      </c>
      <c r="L2320" s="36" t="s">
        <v>25650</v>
      </c>
      <c r="M2320" s="186"/>
      <c r="N2320" s="186"/>
      <c r="O2320" s="172"/>
    </row>
    <row r="2321" spans="1:15" ht="38.25" x14ac:dyDescent="0.2">
      <c r="A2321" s="197" t="str">
        <f t="shared" si="36"/>
        <v>BcpCode_nonMilitarySecurityForcesCheckpoint</v>
      </c>
      <c r="B2321" s="409"/>
      <c r="C2321" s="416"/>
      <c r="D2321" s="198" t="s">
        <v>25651</v>
      </c>
      <c r="E2321" s="198">
        <v>7</v>
      </c>
      <c r="F2321" s="199" t="s">
        <v>25652</v>
      </c>
      <c r="G2321" s="1" t="s">
        <v>25653</v>
      </c>
      <c r="H2321" s="200"/>
      <c r="I2321" s="346"/>
      <c r="J2321" s="39">
        <v>118200</v>
      </c>
      <c r="K2321" s="36" t="str">
        <f>CONCATENATE(Cover!$D$6,"fdd/view?i=",J2321)</f>
        <v>https://www.dgiwg.org/FAD/fdd/view?i=118200</v>
      </c>
      <c r="L2321" s="36" t="s">
        <v>25654</v>
      </c>
      <c r="M2321" s="186"/>
      <c r="N2321" s="186"/>
      <c r="O2321" s="172"/>
    </row>
    <row r="2322" spans="1:15" ht="25.5" x14ac:dyDescent="0.2">
      <c r="A2322" s="203" t="str">
        <f t="shared" si="36"/>
        <v>BcpCode_nonNatMilitaryCheckpoint</v>
      </c>
      <c r="B2322" s="410"/>
      <c r="C2322" s="417"/>
      <c r="D2322" s="204" t="s">
        <v>25655</v>
      </c>
      <c r="E2322" s="204">
        <v>5</v>
      </c>
      <c r="F2322" s="205" t="s">
        <v>25656</v>
      </c>
      <c r="G2322" s="206" t="s">
        <v>25657</v>
      </c>
      <c r="H2322" s="206" t="s">
        <v>25658</v>
      </c>
      <c r="I2322" s="347"/>
      <c r="J2322" s="39">
        <v>118198</v>
      </c>
      <c r="K2322" s="36" t="str">
        <f>CONCATENATE(Cover!$D$6,"fdd/view?i=",J2322)</f>
        <v>https://www.dgiwg.org/FAD/fdd/view?i=118198</v>
      </c>
      <c r="L2322" s="36" t="s">
        <v>25659</v>
      </c>
      <c r="M2322" s="186"/>
      <c r="N2322" s="186"/>
      <c r="O2322" s="172"/>
    </row>
    <row r="2323" spans="1:15" ht="25.5" x14ac:dyDescent="0.2">
      <c r="A2323" s="190" t="str">
        <f t="shared" si="36"/>
        <v>EleCode_aluminum</v>
      </c>
      <c r="B2323" s="414" t="str">
        <f>HYPERLINK("[#]Datatypes!A314:L314","EleCode")</f>
        <v>EleCode</v>
      </c>
      <c r="C2323" s="415" t="s">
        <v>14874</v>
      </c>
      <c r="D2323" s="221" t="s">
        <v>25660</v>
      </c>
      <c r="E2323" s="221">
        <v>13</v>
      </c>
      <c r="F2323" s="222" t="s">
        <v>25661</v>
      </c>
      <c r="G2323" s="223" t="s">
        <v>25662</v>
      </c>
      <c r="H2323" s="223" t="s">
        <v>25663</v>
      </c>
      <c r="I2323" s="345"/>
      <c r="J2323" s="39">
        <v>113143</v>
      </c>
      <c r="K2323" s="36" t="str">
        <f>CONCATENATE(Cover!$D$6,"fdd/view?i=",J2323)</f>
        <v>https://www.dgiwg.org/FAD/fdd/view?i=113143</v>
      </c>
      <c r="L2323" s="36" t="s">
        <v>25664</v>
      </c>
      <c r="M2323" s="186"/>
      <c r="N2323" s="186"/>
      <c r="O2323" s="172"/>
    </row>
    <row r="2324" spans="1:15" x14ac:dyDescent="0.2">
      <c r="A2324" s="197" t="str">
        <f t="shared" si="36"/>
        <v>EleCode_antimony</v>
      </c>
      <c r="B2324" s="409"/>
      <c r="C2324" s="416"/>
      <c r="D2324" s="198" t="s">
        <v>25665</v>
      </c>
      <c r="E2324" s="198">
        <v>51</v>
      </c>
      <c r="F2324" s="199" t="s">
        <v>25666</v>
      </c>
      <c r="G2324" s="1" t="s">
        <v>25667</v>
      </c>
      <c r="H2324" s="200"/>
      <c r="I2324" s="346"/>
      <c r="J2324" s="39">
        <v>113178</v>
      </c>
      <c r="K2324" s="36" t="str">
        <f>CONCATENATE(Cover!$D$6,"fdd/view?i=",J2324)</f>
        <v>https://www.dgiwg.org/FAD/fdd/view?i=113178</v>
      </c>
      <c r="L2324" s="36" t="s">
        <v>25668</v>
      </c>
      <c r="M2324" s="186"/>
      <c r="N2324" s="186"/>
      <c r="O2324" s="172"/>
    </row>
    <row r="2325" spans="1:15" ht="25.5" x14ac:dyDescent="0.2">
      <c r="A2325" s="197" t="str">
        <f t="shared" si="36"/>
        <v>EleCode_arsenic</v>
      </c>
      <c r="B2325" s="409"/>
      <c r="C2325" s="416"/>
      <c r="D2325" s="198" t="s">
        <v>25669</v>
      </c>
      <c r="E2325" s="198">
        <v>33</v>
      </c>
      <c r="F2325" s="199" t="s">
        <v>25670</v>
      </c>
      <c r="G2325" s="1" t="s">
        <v>25671</v>
      </c>
      <c r="H2325" s="1" t="s">
        <v>25672</v>
      </c>
      <c r="I2325" s="346"/>
      <c r="J2325" s="39">
        <v>113162</v>
      </c>
      <c r="K2325" s="36" t="str">
        <f>CONCATENATE(Cover!$D$6,"fdd/view?i=",J2325)</f>
        <v>https://www.dgiwg.org/FAD/fdd/view?i=113162</v>
      </c>
      <c r="L2325" s="36" t="s">
        <v>25673</v>
      </c>
      <c r="M2325" s="186"/>
      <c r="N2325" s="186"/>
      <c r="O2325" s="172"/>
    </row>
    <row r="2326" spans="1:15" x14ac:dyDescent="0.2">
      <c r="A2326" s="197" t="str">
        <f t="shared" si="36"/>
        <v>EleCode_barium</v>
      </c>
      <c r="B2326" s="409"/>
      <c r="C2326" s="416"/>
      <c r="D2326" s="198" t="s">
        <v>25674</v>
      </c>
      <c r="E2326" s="198">
        <v>56</v>
      </c>
      <c r="F2326" s="199" t="s">
        <v>25675</v>
      </c>
      <c r="G2326" s="1" t="s">
        <v>25676</v>
      </c>
      <c r="H2326" s="1" t="s">
        <v>25677</v>
      </c>
      <c r="I2326" s="346"/>
      <c r="J2326" s="39">
        <v>113181</v>
      </c>
      <c r="K2326" s="36" t="str">
        <f>CONCATENATE(Cover!$D$6,"fdd/view?i=",J2326)</f>
        <v>https://www.dgiwg.org/FAD/fdd/view?i=113181</v>
      </c>
      <c r="L2326" s="36" t="s">
        <v>25678</v>
      </c>
      <c r="M2326" s="186"/>
      <c r="N2326" s="186"/>
      <c r="O2326" s="172"/>
    </row>
    <row r="2327" spans="1:15" x14ac:dyDescent="0.2">
      <c r="A2327" s="197" t="str">
        <f t="shared" si="36"/>
        <v>EleCode_berylium</v>
      </c>
      <c r="B2327" s="409"/>
      <c r="C2327" s="416"/>
      <c r="D2327" s="198" t="s">
        <v>25679</v>
      </c>
      <c r="E2327" s="198">
        <v>4</v>
      </c>
      <c r="F2327" s="199" t="s">
        <v>25680</v>
      </c>
      <c r="G2327" s="1" t="s">
        <v>25681</v>
      </c>
      <c r="H2327" s="1" t="s">
        <v>25682</v>
      </c>
      <c r="I2327" s="346"/>
      <c r="J2327" s="39">
        <v>113137</v>
      </c>
      <c r="K2327" s="36" t="str">
        <f>CONCATENATE(Cover!$D$6,"fdd/view?i=",J2327)</f>
        <v>https://www.dgiwg.org/FAD/fdd/view?i=113137</v>
      </c>
      <c r="L2327" s="36" t="s">
        <v>25683</v>
      </c>
      <c r="M2327" s="186"/>
      <c r="N2327" s="186"/>
      <c r="O2327" s="172"/>
    </row>
    <row r="2328" spans="1:15" ht="38.25" x14ac:dyDescent="0.2">
      <c r="A2328" s="197" t="str">
        <f t="shared" si="36"/>
        <v>EleCode_bismuth</v>
      </c>
      <c r="B2328" s="409"/>
      <c r="C2328" s="416"/>
      <c r="D2328" s="198" t="s">
        <v>25684</v>
      </c>
      <c r="E2328" s="198">
        <v>83</v>
      </c>
      <c r="F2328" s="199" t="s">
        <v>25685</v>
      </c>
      <c r="G2328" s="1" t="s">
        <v>25686</v>
      </c>
      <c r="H2328" s="1" t="s">
        <v>25687</v>
      </c>
      <c r="I2328" s="346"/>
      <c r="J2328" s="39">
        <v>113194</v>
      </c>
      <c r="K2328" s="36" t="str">
        <f>CONCATENATE(Cover!$D$6,"fdd/view?i=",J2328)</f>
        <v>https://www.dgiwg.org/FAD/fdd/view?i=113194</v>
      </c>
      <c r="L2328" s="36" t="s">
        <v>25688</v>
      </c>
      <c r="M2328" s="186"/>
      <c r="N2328" s="186"/>
      <c r="O2328" s="172"/>
    </row>
    <row r="2329" spans="1:15" x14ac:dyDescent="0.2">
      <c r="A2329" s="197" t="str">
        <f t="shared" si="36"/>
        <v>EleCode_boron</v>
      </c>
      <c r="B2329" s="409"/>
      <c r="C2329" s="416"/>
      <c r="D2329" s="198" t="s">
        <v>25689</v>
      </c>
      <c r="E2329" s="198">
        <v>5</v>
      </c>
      <c r="F2329" s="199" t="s">
        <v>25690</v>
      </c>
      <c r="G2329" s="1" t="s">
        <v>25691</v>
      </c>
      <c r="H2329" s="200"/>
      <c r="I2329" s="346"/>
      <c r="J2329" s="39">
        <v>113138</v>
      </c>
      <c r="K2329" s="36" t="str">
        <f>CONCATENATE(Cover!$D$6,"fdd/view?i=",J2329)</f>
        <v>https://www.dgiwg.org/FAD/fdd/view?i=113138</v>
      </c>
      <c r="L2329" s="36" t="s">
        <v>25692</v>
      </c>
      <c r="M2329" s="186"/>
      <c r="N2329" s="186"/>
      <c r="O2329" s="172"/>
    </row>
    <row r="2330" spans="1:15" ht="25.5" x14ac:dyDescent="0.2">
      <c r="A2330" s="197" t="str">
        <f t="shared" si="36"/>
        <v>EleCode_bromine</v>
      </c>
      <c r="B2330" s="409"/>
      <c r="C2330" s="416"/>
      <c r="D2330" s="198" t="s">
        <v>25693</v>
      </c>
      <c r="E2330" s="198">
        <v>35</v>
      </c>
      <c r="F2330" s="199" t="s">
        <v>25694</v>
      </c>
      <c r="G2330" s="1" t="s">
        <v>25695</v>
      </c>
      <c r="H2330" s="1" t="s">
        <v>25696</v>
      </c>
      <c r="I2330" s="346"/>
      <c r="J2330" s="39">
        <v>113164</v>
      </c>
      <c r="K2330" s="36" t="str">
        <f>CONCATENATE(Cover!$D$6,"fdd/view?i=",J2330)</f>
        <v>https://www.dgiwg.org/FAD/fdd/view?i=113164</v>
      </c>
      <c r="L2330" s="36" t="s">
        <v>25697</v>
      </c>
      <c r="M2330" s="186"/>
      <c r="N2330" s="186"/>
      <c r="O2330" s="172"/>
    </row>
    <row r="2331" spans="1:15" x14ac:dyDescent="0.2">
      <c r="A2331" s="197" t="str">
        <f t="shared" si="36"/>
        <v>EleCode_cadmium</v>
      </c>
      <c r="B2331" s="409"/>
      <c r="C2331" s="416"/>
      <c r="D2331" s="198" t="s">
        <v>25698</v>
      </c>
      <c r="E2331" s="198">
        <v>48</v>
      </c>
      <c r="F2331" s="199" t="s">
        <v>25699</v>
      </c>
      <c r="G2331" s="1" t="s">
        <v>25700</v>
      </c>
      <c r="H2331" s="1" t="s">
        <v>25701</v>
      </c>
      <c r="I2331" s="346"/>
      <c r="J2331" s="39">
        <v>113175</v>
      </c>
      <c r="K2331" s="36" t="str">
        <f>CONCATENATE(Cover!$D$6,"fdd/view?i=",J2331)</f>
        <v>https://www.dgiwg.org/FAD/fdd/view?i=113175</v>
      </c>
      <c r="L2331" s="36" t="s">
        <v>25702</v>
      </c>
      <c r="M2331" s="186"/>
      <c r="N2331" s="186"/>
      <c r="O2331" s="172"/>
    </row>
    <row r="2332" spans="1:15" x14ac:dyDescent="0.2">
      <c r="A2332" s="197" t="str">
        <f t="shared" si="36"/>
        <v>EleCode_caesium</v>
      </c>
      <c r="B2332" s="409"/>
      <c r="C2332" s="416"/>
      <c r="D2332" s="198" t="s">
        <v>25703</v>
      </c>
      <c r="E2332" s="198">
        <v>55</v>
      </c>
      <c r="F2332" s="199" t="s">
        <v>25704</v>
      </c>
      <c r="G2332" s="1" t="s">
        <v>25705</v>
      </c>
      <c r="H2332" s="1" t="s">
        <v>25706</v>
      </c>
      <c r="I2332" s="346"/>
      <c r="J2332" s="39">
        <v>113180</v>
      </c>
      <c r="K2332" s="36" t="str">
        <f>CONCATENATE(Cover!$D$6,"fdd/view?i=",J2332)</f>
        <v>https://www.dgiwg.org/FAD/fdd/view?i=113180</v>
      </c>
      <c r="L2332" s="36" t="s">
        <v>25707</v>
      </c>
      <c r="M2332" s="186"/>
      <c r="N2332" s="186"/>
      <c r="O2332" s="172"/>
    </row>
    <row r="2333" spans="1:15" ht="25.5" x14ac:dyDescent="0.2">
      <c r="A2333" s="197" t="str">
        <f t="shared" si="36"/>
        <v>EleCode_calcium</v>
      </c>
      <c r="B2333" s="409"/>
      <c r="C2333" s="416"/>
      <c r="D2333" s="198" t="s">
        <v>25708</v>
      </c>
      <c r="E2333" s="198">
        <v>20</v>
      </c>
      <c r="F2333" s="199" t="s">
        <v>25709</v>
      </c>
      <c r="G2333" s="1" t="s">
        <v>25710</v>
      </c>
      <c r="H2333" s="1" t="s">
        <v>25711</v>
      </c>
      <c r="I2333" s="346"/>
      <c r="J2333" s="39">
        <v>113149</v>
      </c>
      <c r="K2333" s="36" t="str">
        <f>CONCATENATE(Cover!$D$6,"fdd/view?i=",J2333)</f>
        <v>https://www.dgiwg.org/FAD/fdd/view?i=113149</v>
      </c>
      <c r="L2333" s="36" t="s">
        <v>25712</v>
      </c>
      <c r="M2333" s="186"/>
      <c r="N2333" s="186"/>
      <c r="O2333" s="172"/>
    </row>
    <row r="2334" spans="1:15" x14ac:dyDescent="0.2">
      <c r="A2334" s="197" t="str">
        <f t="shared" si="36"/>
        <v>EleCode_carbon</v>
      </c>
      <c r="B2334" s="409"/>
      <c r="C2334" s="416"/>
      <c r="D2334" s="198" t="s">
        <v>25713</v>
      </c>
      <c r="E2334" s="198">
        <v>6</v>
      </c>
      <c r="F2334" s="199" t="s">
        <v>25714</v>
      </c>
      <c r="G2334" s="1" t="s">
        <v>25715</v>
      </c>
      <c r="H2334" s="200"/>
      <c r="I2334" s="346"/>
      <c r="J2334" s="39">
        <v>113139</v>
      </c>
      <c r="K2334" s="36" t="str">
        <f>CONCATENATE(Cover!$D$6,"fdd/view?i=",J2334)</f>
        <v>https://www.dgiwg.org/FAD/fdd/view?i=113139</v>
      </c>
      <c r="L2334" s="36" t="s">
        <v>25716</v>
      </c>
      <c r="M2334" s="186"/>
      <c r="N2334" s="186"/>
      <c r="O2334" s="172"/>
    </row>
    <row r="2335" spans="1:15" ht="25.5" x14ac:dyDescent="0.2">
      <c r="A2335" s="197" t="str">
        <f t="shared" si="36"/>
        <v>EleCode_cerium</v>
      </c>
      <c r="B2335" s="409"/>
      <c r="C2335" s="416"/>
      <c r="D2335" s="198" t="s">
        <v>25717</v>
      </c>
      <c r="E2335" s="198">
        <v>58</v>
      </c>
      <c r="F2335" s="199" t="s">
        <v>25718</v>
      </c>
      <c r="G2335" s="1" t="s">
        <v>25719</v>
      </c>
      <c r="H2335" s="1" t="s">
        <v>25720</v>
      </c>
      <c r="I2335" s="346"/>
      <c r="J2335" s="39">
        <v>113183</v>
      </c>
      <c r="K2335" s="36" t="str">
        <f>CONCATENATE(Cover!$D$6,"fdd/view?i=",J2335)</f>
        <v>https://www.dgiwg.org/FAD/fdd/view?i=113183</v>
      </c>
      <c r="L2335" s="36" t="s">
        <v>25721</v>
      </c>
      <c r="M2335" s="186"/>
      <c r="N2335" s="186"/>
      <c r="O2335" s="172"/>
    </row>
    <row r="2336" spans="1:15" x14ac:dyDescent="0.2">
      <c r="A2336" s="197" t="str">
        <f t="shared" si="36"/>
        <v>EleCode_chlorine</v>
      </c>
      <c r="B2336" s="409"/>
      <c r="C2336" s="416"/>
      <c r="D2336" s="198" t="s">
        <v>25722</v>
      </c>
      <c r="E2336" s="198">
        <v>17</v>
      </c>
      <c r="F2336" s="199" t="s">
        <v>25723</v>
      </c>
      <c r="G2336" s="1" t="s">
        <v>25724</v>
      </c>
      <c r="H2336" s="200"/>
      <c r="I2336" s="346"/>
      <c r="J2336" s="39">
        <v>113147</v>
      </c>
      <c r="K2336" s="36" t="str">
        <f>CONCATENATE(Cover!$D$6,"fdd/view?i=",J2336)</f>
        <v>https://www.dgiwg.org/FAD/fdd/view?i=113147</v>
      </c>
      <c r="L2336" s="36" t="s">
        <v>25725</v>
      </c>
      <c r="M2336" s="186"/>
      <c r="N2336" s="186"/>
      <c r="O2336" s="172"/>
    </row>
    <row r="2337" spans="1:15" x14ac:dyDescent="0.2">
      <c r="A2337" s="197" t="str">
        <f t="shared" si="36"/>
        <v>EleCode_chromium</v>
      </c>
      <c r="B2337" s="409"/>
      <c r="C2337" s="416"/>
      <c r="D2337" s="198" t="s">
        <v>25726</v>
      </c>
      <c r="E2337" s="198">
        <v>24</v>
      </c>
      <c r="F2337" s="199" t="s">
        <v>25727</v>
      </c>
      <c r="G2337" s="1" t="s">
        <v>25728</v>
      </c>
      <c r="H2337" s="200"/>
      <c r="I2337" s="346"/>
      <c r="J2337" s="39">
        <v>113153</v>
      </c>
      <c r="K2337" s="36" t="str">
        <f>CONCATENATE(Cover!$D$6,"fdd/view?i=",J2337)</f>
        <v>https://www.dgiwg.org/FAD/fdd/view?i=113153</v>
      </c>
      <c r="L2337" s="36" t="s">
        <v>25729</v>
      </c>
      <c r="M2337" s="186"/>
      <c r="N2337" s="186"/>
      <c r="O2337" s="172"/>
    </row>
    <row r="2338" spans="1:15" x14ac:dyDescent="0.2">
      <c r="A2338" s="197" t="str">
        <f t="shared" si="36"/>
        <v>EleCode_cobalt</v>
      </c>
      <c r="B2338" s="409"/>
      <c r="C2338" s="416"/>
      <c r="D2338" s="198" t="s">
        <v>25730</v>
      </c>
      <c r="E2338" s="198">
        <v>27</v>
      </c>
      <c r="F2338" s="199" t="s">
        <v>25731</v>
      </c>
      <c r="G2338" s="1" t="s">
        <v>25732</v>
      </c>
      <c r="H2338" s="200"/>
      <c r="I2338" s="346"/>
      <c r="J2338" s="39">
        <v>113156</v>
      </c>
      <c r="K2338" s="36" t="str">
        <f>CONCATENATE(Cover!$D$6,"fdd/view?i=",J2338)</f>
        <v>https://www.dgiwg.org/FAD/fdd/view?i=113156</v>
      </c>
      <c r="L2338" s="36" t="s">
        <v>25733</v>
      </c>
      <c r="M2338" s="186"/>
      <c r="N2338" s="186"/>
      <c r="O2338" s="172"/>
    </row>
    <row r="2339" spans="1:15" ht="25.5" x14ac:dyDescent="0.2">
      <c r="A2339" s="197" t="str">
        <f t="shared" si="36"/>
        <v>EleCode_copper</v>
      </c>
      <c r="B2339" s="409"/>
      <c r="C2339" s="416"/>
      <c r="D2339" s="198" t="s">
        <v>25734</v>
      </c>
      <c r="E2339" s="198">
        <v>29</v>
      </c>
      <c r="F2339" s="199" t="s">
        <v>25735</v>
      </c>
      <c r="G2339" s="1" t="s">
        <v>25736</v>
      </c>
      <c r="H2339" s="1" t="s">
        <v>25737</v>
      </c>
      <c r="I2339" s="346"/>
      <c r="J2339" s="39">
        <v>113158</v>
      </c>
      <c r="K2339" s="36" t="str">
        <f>CONCATENATE(Cover!$D$6,"fdd/view?i=",J2339)</f>
        <v>https://www.dgiwg.org/FAD/fdd/view?i=113158</v>
      </c>
      <c r="L2339" s="36" t="s">
        <v>25738</v>
      </c>
      <c r="M2339" s="186"/>
      <c r="N2339" s="186"/>
      <c r="O2339" s="172"/>
    </row>
    <row r="2340" spans="1:15" x14ac:dyDescent="0.2">
      <c r="A2340" s="197" t="str">
        <f t="shared" si="36"/>
        <v>EleCode_fluorine</v>
      </c>
      <c r="B2340" s="409"/>
      <c r="C2340" s="416"/>
      <c r="D2340" s="198" t="s">
        <v>25739</v>
      </c>
      <c r="E2340" s="198">
        <v>9</v>
      </c>
      <c r="F2340" s="199" t="s">
        <v>25740</v>
      </c>
      <c r="G2340" s="1" t="s">
        <v>25741</v>
      </c>
      <c r="H2340" s="200"/>
      <c r="I2340" s="346"/>
      <c r="J2340" s="39">
        <v>113140</v>
      </c>
      <c r="K2340" s="36" t="str">
        <f>CONCATENATE(Cover!$D$6,"fdd/view?i=",J2340)</f>
        <v>https://www.dgiwg.org/FAD/fdd/view?i=113140</v>
      </c>
      <c r="L2340" s="36" t="s">
        <v>25742</v>
      </c>
      <c r="M2340" s="186"/>
      <c r="N2340" s="186"/>
      <c r="O2340" s="172"/>
    </row>
    <row r="2341" spans="1:15" x14ac:dyDescent="0.2">
      <c r="A2341" s="197" t="str">
        <f t="shared" si="36"/>
        <v>EleCode_gallium</v>
      </c>
      <c r="B2341" s="409"/>
      <c r="C2341" s="416"/>
      <c r="D2341" s="198" t="s">
        <v>25743</v>
      </c>
      <c r="E2341" s="198">
        <v>31</v>
      </c>
      <c r="F2341" s="199" t="s">
        <v>25744</v>
      </c>
      <c r="G2341" s="1" t="s">
        <v>25745</v>
      </c>
      <c r="H2341" s="1" t="s">
        <v>25746</v>
      </c>
      <c r="I2341" s="346"/>
      <c r="J2341" s="39">
        <v>113160</v>
      </c>
      <c r="K2341" s="36" t="str">
        <f>CONCATENATE(Cover!$D$6,"fdd/view?i=",J2341)</f>
        <v>https://www.dgiwg.org/FAD/fdd/view?i=113160</v>
      </c>
      <c r="L2341" s="36" t="s">
        <v>25747</v>
      </c>
      <c r="M2341" s="186"/>
      <c r="N2341" s="186"/>
      <c r="O2341" s="172"/>
    </row>
    <row r="2342" spans="1:15" ht="25.5" x14ac:dyDescent="0.2">
      <c r="A2342" s="197" t="str">
        <f t="shared" si="36"/>
        <v>EleCode_germanium</v>
      </c>
      <c r="B2342" s="409"/>
      <c r="C2342" s="416"/>
      <c r="D2342" s="198" t="s">
        <v>25748</v>
      </c>
      <c r="E2342" s="198">
        <v>32</v>
      </c>
      <c r="F2342" s="199" t="s">
        <v>25749</v>
      </c>
      <c r="G2342" s="1" t="s">
        <v>25750</v>
      </c>
      <c r="H2342" s="1" t="s">
        <v>25751</v>
      </c>
      <c r="I2342" s="346"/>
      <c r="J2342" s="39">
        <v>113161</v>
      </c>
      <c r="K2342" s="36" t="str">
        <f>CONCATENATE(Cover!$D$6,"fdd/view?i=",J2342)</f>
        <v>https://www.dgiwg.org/FAD/fdd/view?i=113161</v>
      </c>
      <c r="L2342" s="36" t="s">
        <v>25752</v>
      </c>
      <c r="M2342" s="186"/>
      <c r="N2342" s="186"/>
      <c r="O2342" s="172"/>
    </row>
    <row r="2343" spans="1:15" x14ac:dyDescent="0.2">
      <c r="A2343" s="197" t="str">
        <f t="shared" si="36"/>
        <v>EleCode_gold</v>
      </c>
      <c r="B2343" s="409"/>
      <c r="C2343" s="416"/>
      <c r="D2343" s="198" t="s">
        <v>25753</v>
      </c>
      <c r="E2343" s="198">
        <v>79</v>
      </c>
      <c r="F2343" s="199" t="s">
        <v>25754</v>
      </c>
      <c r="G2343" s="1" t="s">
        <v>25755</v>
      </c>
      <c r="H2343" s="200"/>
      <c r="I2343" s="346"/>
      <c r="J2343" s="39">
        <v>113190</v>
      </c>
      <c r="K2343" s="36" t="str">
        <f>CONCATENATE(Cover!$D$6,"fdd/view?i=",J2343)</f>
        <v>https://www.dgiwg.org/FAD/fdd/view?i=113190</v>
      </c>
      <c r="L2343" s="36" t="s">
        <v>25756</v>
      </c>
      <c r="M2343" s="186"/>
      <c r="N2343" s="186"/>
      <c r="O2343" s="172"/>
    </row>
    <row r="2344" spans="1:15" x14ac:dyDescent="0.2">
      <c r="A2344" s="197" t="str">
        <f t="shared" si="36"/>
        <v>EleCode_indium</v>
      </c>
      <c r="B2344" s="409"/>
      <c r="C2344" s="416"/>
      <c r="D2344" s="198" t="s">
        <v>25757</v>
      </c>
      <c r="E2344" s="198">
        <v>49</v>
      </c>
      <c r="F2344" s="199" t="s">
        <v>25758</v>
      </c>
      <c r="G2344" s="1" t="s">
        <v>25759</v>
      </c>
      <c r="H2344" s="200"/>
      <c r="I2344" s="346"/>
      <c r="J2344" s="39">
        <v>113176</v>
      </c>
      <c r="K2344" s="36" t="str">
        <f>CONCATENATE(Cover!$D$6,"fdd/view?i=",J2344)</f>
        <v>https://www.dgiwg.org/FAD/fdd/view?i=113176</v>
      </c>
      <c r="L2344" s="36" t="s">
        <v>25760</v>
      </c>
      <c r="M2344" s="186"/>
      <c r="N2344" s="186"/>
      <c r="O2344" s="172"/>
    </row>
    <row r="2345" spans="1:15" x14ac:dyDescent="0.2">
      <c r="A2345" s="197" t="str">
        <f t="shared" si="36"/>
        <v>EleCode_iridium</v>
      </c>
      <c r="B2345" s="409"/>
      <c r="C2345" s="416"/>
      <c r="D2345" s="198" t="s">
        <v>25761</v>
      </c>
      <c r="E2345" s="198">
        <v>77</v>
      </c>
      <c r="F2345" s="199" t="s">
        <v>25762</v>
      </c>
      <c r="G2345" s="1" t="s">
        <v>25763</v>
      </c>
      <c r="H2345" s="1" t="s">
        <v>25764</v>
      </c>
      <c r="I2345" s="346"/>
      <c r="J2345" s="39">
        <v>113188</v>
      </c>
      <c r="K2345" s="36" t="str">
        <f>CONCATENATE(Cover!$D$6,"fdd/view?i=",J2345)</f>
        <v>https://www.dgiwg.org/FAD/fdd/view?i=113188</v>
      </c>
      <c r="L2345" s="36" t="s">
        <v>25765</v>
      </c>
      <c r="M2345" s="186"/>
      <c r="N2345" s="186"/>
      <c r="O2345" s="172"/>
    </row>
    <row r="2346" spans="1:15" x14ac:dyDescent="0.2">
      <c r="A2346" s="197" t="str">
        <f t="shared" si="36"/>
        <v>EleCode_iron</v>
      </c>
      <c r="B2346" s="409"/>
      <c r="C2346" s="416"/>
      <c r="D2346" s="198" t="s">
        <v>25766</v>
      </c>
      <c r="E2346" s="198">
        <v>26</v>
      </c>
      <c r="F2346" s="199" t="s">
        <v>25767</v>
      </c>
      <c r="G2346" s="1" t="s">
        <v>25768</v>
      </c>
      <c r="H2346" s="1" t="s">
        <v>25769</v>
      </c>
      <c r="I2346" s="346"/>
      <c r="J2346" s="39">
        <v>113155</v>
      </c>
      <c r="K2346" s="36" t="str">
        <f>CONCATENATE(Cover!$D$6,"fdd/view?i=",J2346)</f>
        <v>https://www.dgiwg.org/FAD/fdd/view?i=113155</v>
      </c>
      <c r="L2346" s="36" t="s">
        <v>25770</v>
      </c>
      <c r="M2346" s="186"/>
      <c r="N2346" s="186"/>
      <c r="O2346" s="172"/>
    </row>
    <row r="2347" spans="1:15" ht="25.5" x14ac:dyDescent="0.2">
      <c r="A2347" s="197" t="str">
        <f t="shared" si="36"/>
        <v>EleCode_lanthanum</v>
      </c>
      <c r="B2347" s="409"/>
      <c r="C2347" s="416"/>
      <c r="D2347" s="198" t="s">
        <v>25771</v>
      </c>
      <c r="E2347" s="198">
        <v>57</v>
      </c>
      <c r="F2347" s="199" t="s">
        <v>25772</v>
      </c>
      <c r="G2347" s="1" t="s">
        <v>25773</v>
      </c>
      <c r="H2347" s="1" t="s">
        <v>25774</v>
      </c>
      <c r="I2347" s="346"/>
      <c r="J2347" s="39">
        <v>113182</v>
      </c>
      <c r="K2347" s="36" t="str">
        <f>CONCATENATE(Cover!$D$6,"fdd/view?i=",J2347)</f>
        <v>https://www.dgiwg.org/FAD/fdd/view?i=113182</v>
      </c>
      <c r="L2347" s="36" t="s">
        <v>25775</v>
      </c>
      <c r="M2347" s="186"/>
      <c r="N2347" s="186"/>
      <c r="O2347" s="172"/>
    </row>
    <row r="2348" spans="1:15" x14ac:dyDescent="0.2">
      <c r="A2348" s="197" t="str">
        <f t="shared" si="36"/>
        <v>EleCode_lead</v>
      </c>
      <c r="B2348" s="409"/>
      <c r="C2348" s="416"/>
      <c r="D2348" s="198" t="s">
        <v>25776</v>
      </c>
      <c r="E2348" s="198">
        <v>82</v>
      </c>
      <c r="F2348" s="199" t="s">
        <v>25777</v>
      </c>
      <c r="G2348" s="1" t="s">
        <v>25778</v>
      </c>
      <c r="H2348" s="1" t="s">
        <v>25779</v>
      </c>
      <c r="I2348" s="346"/>
      <c r="J2348" s="39">
        <v>113193</v>
      </c>
      <c r="K2348" s="36" t="str">
        <f>CONCATENATE(Cover!$D$6,"fdd/view?i=",J2348)</f>
        <v>https://www.dgiwg.org/FAD/fdd/view?i=113193</v>
      </c>
      <c r="L2348" s="36" t="s">
        <v>25780</v>
      </c>
      <c r="M2348" s="186"/>
      <c r="N2348" s="186"/>
      <c r="O2348" s="172"/>
    </row>
    <row r="2349" spans="1:15" x14ac:dyDescent="0.2">
      <c r="A2349" s="197" t="str">
        <f t="shared" si="36"/>
        <v>EleCode_lithium</v>
      </c>
      <c r="B2349" s="409"/>
      <c r="C2349" s="416"/>
      <c r="D2349" s="198" t="s">
        <v>25781</v>
      </c>
      <c r="E2349" s="198">
        <v>3</v>
      </c>
      <c r="F2349" s="199" t="s">
        <v>25782</v>
      </c>
      <c r="G2349" s="1" t="s">
        <v>25783</v>
      </c>
      <c r="H2349" s="1" t="s">
        <v>25784</v>
      </c>
      <c r="I2349" s="346"/>
      <c r="J2349" s="39">
        <v>113136</v>
      </c>
      <c r="K2349" s="36" t="str">
        <f>CONCATENATE(Cover!$D$6,"fdd/view?i=",J2349)</f>
        <v>https://www.dgiwg.org/FAD/fdd/view?i=113136</v>
      </c>
      <c r="L2349" s="36" t="s">
        <v>25785</v>
      </c>
      <c r="M2349" s="186"/>
      <c r="N2349" s="186"/>
      <c r="O2349" s="172"/>
    </row>
    <row r="2350" spans="1:15" ht="25.5" x14ac:dyDescent="0.2">
      <c r="A2350" s="197" t="str">
        <f t="shared" si="36"/>
        <v>EleCode_magnesium</v>
      </c>
      <c r="B2350" s="409"/>
      <c r="C2350" s="416"/>
      <c r="D2350" s="198" t="s">
        <v>25786</v>
      </c>
      <c r="E2350" s="198">
        <v>12</v>
      </c>
      <c r="F2350" s="199" t="s">
        <v>25787</v>
      </c>
      <c r="G2350" s="1" t="s">
        <v>25788</v>
      </c>
      <c r="H2350" s="1" t="s">
        <v>25789</v>
      </c>
      <c r="I2350" s="346"/>
      <c r="J2350" s="39">
        <v>113142</v>
      </c>
      <c r="K2350" s="36" t="str">
        <f>CONCATENATE(Cover!$D$6,"fdd/view?i=",J2350)</f>
        <v>https://www.dgiwg.org/FAD/fdd/view?i=113142</v>
      </c>
      <c r="L2350" s="36" t="s">
        <v>25790</v>
      </c>
      <c r="M2350" s="186"/>
      <c r="N2350" s="186"/>
      <c r="O2350" s="172"/>
    </row>
    <row r="2351" spans="1:15" x14ac:dyDescent="0.2">
      <c r="A2351" s="197" t="str">
        <f t="shared" si="36"/>
        <v>EleCode_manganese</v>
      </c>
      <c r="B2351" s="409"/>
      <c r="C2351" s="416"/>
      <c r="D2351" s="198" t="s">
        <v>25791</v>
      </c>
      <c r="E2351" s="198">
        <v>25</v>
      </c>
      <c r="F2351" s="199" t="s">
        <v>25792</v>
      </c>
      <c r="G2351" s="1" t="s">
        <v>25793</v>
      </c>
      <c r="H2351" s="200"/>
      <c r="I2351" s="346"/>
      <c r="J2351" s="39">
        <v>113154</v>
      </c>
      <c r="K2351" s="36" t="str">
        <f>CONCATENATE(Cover!$D$6,"fdd/view?i=",J2351)</f>
        <v>https://www.dgiwg.org/FAD/fdd/view?i=113154</v>
      </c>
      <c r="L2351" s="36" t="s">
        <v>25794</v>
      </c>
      <c r="M2351" s="186"/>
      <c r="N2351" s="186"/>
      <c r="O2351" s="172"/>
    </row>
    <row r="2352" spans="1:15" x14ac:dyDescent="0.2">
      <c r="A2352" s="197" t="str">
        <f t="shared" si="36"/>
        <v>EleCode_mercury</v>
      </c>
      <c r="B2352" s="409"/>
      <c r="C2352" s="416"/>
      <c r="D2352" s="198" t="s">
        <v>25795</v>
      </c>
      <c r="E2352" s="198">
        <v>80</v>
      </c>
      <c r="F2352" s="199" t="s">
        <v>25796</v>
      </c>
      <c r="G2352" s="1" t="s">
        <v>25797</v>
      </c>
      <c r="H2352" s="200"/>
      <c r="I2352" s="351" t="s">
        <v>25798</v>
      </c>
      <c r="J2352" s="39">
        <v>113191</v>
      </c>
      <c r="K2352" s="36" t="str">
        <f>CONCATENATE(Cover!$D$6,"fdd/view?i=",J2352)</f>
        <v>https://www.dgiwg.org/FAD/fdd/view?i=113191</v>
      </c>
      <c r="L2352" s="36" t="s">
        <v>25799</v>
      </c>
      <c r="M2352" s="186"/>
      <c r="N2352" s="186"/>
      <c r="O2352" s="172"/>
    </row>
    <row r="2353" spans="1:15" x14ac:dyDescent="0.2">
      <c r="A2353" s="197" t="str">
        <f t="shared" si="36"/>
        <v>EleCode_molybdenum</v>
      </c>
      <c r="B2353" s="409"/>
      <c r="C2353" s="416"/>
      <c r="D2353" s="198" t="s">
        <v>25800</v>
      </c>
      <c r="E2353" s="198">
        <v>42</v>
      </c>
      <c r="F2353" s="199" t="s">
        <v>25801</v>
      </c>
      <c r="G2353" s="1" t="s">
        <v>25802</v>
      </c>
      <c r="H2353" s="200"/>
      <c r="I2353" s="346"/>
      <c r="J2353" s="39">
        <v>113170</v>
      </c>
      <c r="K2353" s="36" t="str">
        <f>CONCATENATE(Cover!$D$6,"fdd/view?i=",J2353)</f>
        <v>https://www.dgiwg.org/FAD/fdd/view?i=113170</v>
      </c>
      <c r="L2353" s="36" t="s">
        <v>25803</v>
      </c>
      <c r="M2353" s="186"/>
      <c r="N2353" s="186"/>
      <c r="O2353" s="172"/>
    </row>
    <row r="2354" spans="1:15" x14ac:dyDescent="0.2">
      <c r="A2354" s="197" t="str">
        <f t="shared" si="36"/>
        <v>EleCode_nickel</v>
      </c>
      <c r="B2354" s="409"/>
      <c r="C2354" s="416"/>
      <c r="D2354" s="198" t="s">
        <v>25804</v>
      </c>
      <c r="E2354" s="198">
        <v>28</v>
      </c>
      <c r="F2354" s="199" t="s">
        <v>25805</v>
      </c>
      <c r="G2354" s="1" t="s">
        <v>25806</v>
      </c>
      <c r="H2354" s="1" t="s">
        <v>25807</v>
      </c>
      <c r="I2354" s="346"/>
      <c r="J2354" s="39">
        <v>113157</v>
      </c>
      <c r="K2354" s="36" t="str">
        <f>CONCATENATE(Cover!$D$6,"fdd/view?i=",J2354)</f>
        <v>https://www.dgiwg.org/FAD/fdd/view?i=113157</v>
      </c>
      <c r="L2354" s="36" t="s">
        <v>25808</v>
      </c>
      <c r="M2354" s="186"/>
      <c r="N2354" s="186"/>
      <c r="O2354" s="172"/>
    </row>
    <row r="2355" spans="1:15" ht="25.5" x14ac:dyDescent="0.2">
      <c r="A2355" s="197" t="str">
        <f t="shared" si="36"/>
        <v>EleCode_niobium</v>
      </c>
      <c r="B2355" s="409"/>
      <c r="C2355" s="416"/>
      <c r="D2355" s="198" t="s">
        <v>25809</v>
      </c>
      <c r="E2355" s="198">
        <v>41</v>
      </c>
      <c r="F2355" s="199" t="s">
        <v>25810</v>
      </c>
      <c r="G2355" s="1" t="s">
        <v>25811</v>
      </c>
      <c r="H2355" s="1" t="s">
        <v>25812</v>
      </c>
      <c r="I2355" s="346"/>
      <c r="J2355" s="39">
        <v>113169</v>
      </c>
      <c r="K2355" s="36" t="str">
        <f>CONCATENATE(Cover!$D$6,"fdd/view?i=",J2355)</f>
        <v>https://www.dgiwg.org/FAD/fdd/view?i=113169</v>
      </c>
      <c r="L2355" s="36" t="s">
        <v>25813</v>
      </c>
      <c r="M2355" s="186"/>
      <c r="N2355" s="186"/>
      <c r="O2355" s="172"/>
    </row>
    <row r="2356" spans="1:15" x14ac:dyDescent="0.2">
      <c r="A2356" s="197" t="str">
        <f t="shared" si="36"/>
        <v>EleCode_osmium</v>
      </c>
      <c r="B2356" s="409"/>
      <c r="C2356" s="416"/>
      <c r="D2356" s="198" t="s">
        <v>25814</v>
      </c>
      <c r="E2356" s="198">
        <v>76</v>
      </c>
      <c r="F2356" s="199" t="s">
        <v>25815</v>
      </c>
      <c r="G2356" s="1" t="s">
        <v>25816</v>
      </c>
      <c r="H2356" s="1" t="s">
        <v>25817</v>
      </c>
      <c r="I2356" s="346"/>
      <c r="J2356" s="39">
        <v>113187</v>
      </c>
      <c r="K2356" s="36" t="str">
        <f>CONCATENATE(Cover!$D$6,"fdd/view?i=",J2356)</f>
        <v>https://www.dgiwg.org/FAD/fdd/view?i=113187</v>
      </c>
      <c r="L2356" s="36" t="s">
        <v>25818</v>
      </c>
      <c r="M2356" s="186"/>
      <c r="N2356" s="186"/>
      <c r="O2356" s="172"/>
    </row>
    <row r="2357" spans="1:15" x14ac:dyDescent="0.2">
      <c r="A2357" s="197" t="str">
        <f t="shared" si="36"/>
        <v>EleCode_palladium</v>
      </c>
      <c r="B2357" s="409"/>
      <c r="C2357" s="416"/>
      <c r="D2357" s="198" t="s">
        <v>25819</v>
      </c>
      <c r="E2357" s="198">
        <v>46</v>
      </c>
      <c r="F2357" s="199" t="s">
        <v>25820</v>
      </c>
      <c r="G2357" s="1" t="s">
        <v>25745</v>
      </c>
      <c r="H2357" s="1" t="s">
        <v>25821</v>
      </c>
      <c r="I2357" s="346"/>
      <c r="J2357" s="39">
        <v>113173</v>
      </c>
      <c r="K2357" s="36" t="str">
        <f>CONCATENATE(Cover!$D$6,"fdd/view?i=",J2357)</f>
        <v>https://www.dgiwg.org/FAD/fdd/view?i=113173</v>
      </c>
      <c r="L2357" s="36" t="s">
        <v>25822</v>
      </c>
      <c r="M2357" s="186"/>
      <c r="N2357" s="186"/>
      <c r="O2357" s="172"/>
    </row>
    <row r="2358" spans="1:15" ht="25.5" x14ac:dyDescent="0.2">
      <c r="A2358" s="197" t="str">
        <f t="shared" si="36"/>
        <v>EleCode_phosphorus</v>
      </c>
      <c r="B2358" s="409"/>
      <c r="C2358" s="416"/>
      <c r="D2358" s="198" t="s">
        <v>25823</v>
      </c>
      <c r="E2358" s="198">
        <v>15</v>
      </c>
      <c r="F2358" s="199" t="s">
        <v>25824</v>
      </c>
      <c r="G2358" s="1" t="s">
        <v>25825</v>
      </c>
      <c r="H2358" s="200"/>
      <c r="I2358" s="346"/>
      <c r="J2358" s="39">
        <v>113145</v>
      </c>
      <c r="K2358" s="36" t="str">
        <f>CONCATENATE(Cover!$D$6,"fdd/view?i=",J2358)</f>
        <v>https://www.dgiwg.org/FAD/fdd/view?i=113145</v>
      </c>
      <c r="L2358" s="36" t="s">
        <v>25826</v>
      </c>
      <c r="M2358" s="186"/>
      <c r="N2358" s="186"/>
      <c r="O2358" s="172"/>
    </row>
    <row r="2359" spans="1:15" x14ac:dyDescent="0.2">
      <c r="A2359" s="197" t="str">
        <f t="shared" si="36"/>
        <v>EleCode_platinum</v>
      </c>
      <c r="B2359" s="409"/>
      <c r="C2359" s="416"/>
      <c r="D2359" s="198" t="s">
        <v>25827</v>
      </c>
      <c r="E2359" s="198">
        <v>78</v>
      </c>
      <c r="F2359" s="199" t="s">
        <v>25828</v>
      </c>
      <c r="G2359" s="1" t="s">
        <v>25829</v>
      </c>
      <c r="H2359" s="1" t="s">
        <v>25830</v>
      </c>
      <c r="I2359" s="346"/>
      <c r="J2359" s="39">
        <v>113189</v>
      </c>
      <c r="K2359" s="36" t="str">
        <f>CONCATENATE(Cover!$D$6,"fdd/view?i=",J2359)</f>
        <v>https://www.dgiwg.org/FAD/fdd/view?i=113189</v>
      </c>
      <c r="L2359" s="36" t="s">
        <v>25831</v>
      </c>
      <c r="M2359" s="186"/>
      <c r="N2359" s="186"/>
      <c r="O2359" s="172"/>
    </row>
    <row r="2360" spans="1:15" ht="25.5" x14ac:dyDescent="0.2">
      <c r="A2360" s="197" t="str">
        <f t="shared" si="36"/>
        <v>EleCode_potassium</v>
      </c>
      <c r="B2360" s="409"/>
      <c r="C2360" s="416"/>
      <c r="D2360" s="198" t="s">
        <v>25832</v>
      </c>
      <c r="E2360" s="198">
        <v>19</v>
      </c>
      <c r="F2360" s="199" t="s">
        <v>25833</v>
      </c>
      <c r="G2360" s="1" t="s">
        <v>25834</v>
      </c>
      <c r="H2360" s="1" t="s">
        <v>25835</v>
      </c>
      <c r="I2360" s="346"/>
      <c r="J2360" s="39">
        <v>113148</v>
      </c>
      <c r="K2360" s="36" t="str">
        <f>CONCATENATE(Cover!$D$6,"fdd/view?i=",J2360)</f>
        <v>https://www.dgiwg.org/FAD/fdd/view?i=113148</v>
      </c>
      <c r="L2360" s="36" t="s">
        <v>25836</v>
      </c>
      <c r="M2360" s="186"/>
      <c r="N2360" s="186"/>
      <c r="O2360" s="172"/>
    </row>
    <row r="2361" spans="1:15" x14ac:dyDescent="0.2">
      <c r="A2361" s="197" t="str">
        <f t="shared" si="36"/>
        <v>EleCode_rhenium</v>
      </c>
      <c r="B2361" s="409"/>
      <c r="C2361" s="416"/>
      <c r="D2361" s="198" t="s">
        <v>25837</v>
      </c>
      <c r="E2361" s="198">
        <v>75</v>
      </c>
      <c r="F2361" s="199" t="s">
        <v>25838</v>
      </c>
      <c r="G2361" s="1" t="s">
        <v>25839</v>
      </c>
      <c r="H2361" s="1" t="s">
        <v>25840</v>
      </c>
      <c r="I2361" s="346"/>
      <c r="J2361" s="39">
        <v>113186</v>
      </c>
      <c r="K2361" s="36" t="str">
        <f>CONCATENATE(Cover!$D$6,"fdd/view?i=",J2361)</f>
        <v>https://www.dgiwg.org/FAD/fdd/view?i=113186</v>
      </c>
      <c r="L2361" s="36" t="s">
        <v>25841</v>
      </c>
      <c r="M2361" s="186"/>
      <c r="N2361" s="186"/>
      <c r="O2361" s="172"/>
    </row>
    <row r="2362" spans="1:15" x14ac:dyDescent="0.2">
      <c r="A2362" s="197" t="str">
        <f t="shared" si="36"/>
        <v>EleCode_rhodium</v>
      </c>
      <c r="B2362" s="409"/>
      <c r="C2362" s="416"/>
      <c r="D2362" s="198" t="s">
        <v>25842</v>
      </c>
      <c r="E2362" s="198">
        <v>45</v>
      </c>
      <c r="F2362" s="199" t="s">
        <v>25843</v>
      </c>
      <c r="G2362" s="1" t="s">
        <v>25844</v>
      </c>
      <c r="H2362" s="1" t="s">
        <v>25845</v>
      </c>
      <c r="I2362" s="346"/>
      <c r="J2362" s="39">
        <v>113172</v>
      </c>
      <c r="K2362" s="36" t="str">
        <f>CONCATENATE(Cover!$D$6,"fdd/view?i=",J2362)</f>
        <v>https://www.dgiwg.org/FAD/fdd/view?i=113172</v>
      </c>
      <c r="L2362" s="36" t="s">
        <v>25846</v>
      </c>
      <c r="M2362" s="186"/>
      <c r="N2362" s="186"/>
      <c r="O2362" s="172"/>
    </row>
    <row r="2363" spans="1:15" x14ac:dyDescent="0.2">
      <c r="A2363" s="197" t="str">
        <f t="shared" si="36"/>
        <v>EleCode_rubidium</v>
      </c>
      <c r="B2363" s="409"/>
      <c r="C2363" s="416"/>
      <c r="D2363" s="198" t="s">
        <v>25847</v>
      </c>
      <c r="E2363" s="198">
        <v>37</v>
      </c>
      <c r="F2363" s="199" t="s">
        <v>25848</v>
      </c>
      <c r="G2363" s="1" t="s">
        <v>25849</v>
      </c>
      <c r="H2363" s="1" t="s">
        <v>25850</v>
      </c>
      <c r="I2363" s="346"/>
      <c r="J2363" s="39">
        <v>113165</v>
      </c>
      <c r="K2363" s="36" t="str">
        <f>CONCATENATE(Cover!$D$6,"fdd/view?i=",J2363)</f>
        <v>https://www.dgiwg.org/FAD/fdd/view?i=113165</v>
      </c>
      <c r="L2363" s="36" t="s">
        <v>25851</v>
      </c>
      <c r="M2363" s="186"/>
      <c r="N2363" s="186"/>
      <c r="O2363" s="172"/>
    </row>
    <row r="2364" spans="1:15" x14ac:dyDescent="0.2">
      <c r="A2364" s="197" t="str">
        <f t="shared" si="36"/>
        <v>EleCode_ruthenium</v>
      </c>
      <c r="B2364" s="409"/>
      <c r="C2364" s="416"/>
      <c r="D2364" s="198" t="s">
        <v>25852</v>
      </c>
      <c r="E2364" s="198">
        <v>44</v>
      </c>
      <c r="F2364" s="199" t="s">
        <v>25853</v>
      </c>
      <c r="G2364" s="1" t="s">
        <v>25854</v>
      </c>
      <c r="H2364" s="1" t="s">
        <v>25855</v>
      </c>
      <c r="I2364" s="346"/>
      <c r="J2364" s="39">
        <v>113171</v>
      </c>
      <c r="K2364" s="36" t="str">
        <f>CONCATENATE(Cover!$D$6,"fdd/view?i=",J2364)</f>
        <v>https://www.dgiwg.org/FAD/fdd/view?i=113171</v>
      </c>
      <c r="L2364" s="36" t="s">
        <v>25856</v>
      </c>
      <c r="M2364" s="186"/>
      <c r="N2364" s="186"/>
      <c r="O2364" s="172"/>
    </row>
    <row r="2365" spans="1:15" ht="25.5" x14ac:dyDescent="0.2">
      <c r="A2365" s="197" t="str">
        <f t="shared" si="36"/>
        <v>EleCode_scandium</v>
      </c>
      <c r="B2365" s="409"/>
      <c r="C2365" s="416"/>
      <c r="D2365" s="198" t="s">
        <v>25857</v>
      </c>
      <c r="E2365" s="198">
        <v>21</v>
      </c>
      <c r="F2365" s="199" t="s">
        <v>25858</v>
      </c>
      <c r="G2365" s="1" t="s">
        <v>25859</v>
      </c>
      <c r="H2365" s="1" t="s">
        <v>25860</v>
      </c>
      <c r="I2365" s="346"/>
      <c r="J2365" s="39">
        <v>113150</v>
      </c>
      <c r="K2365" s="36" t="str">
        <f>CONCATENATE(Cover!$D$6,"fdd/view?i=",J2365)</f>
        <v>https://www.dgiwg.org/FAD/fdd/view?i=113150</v>
      </c>
      <c r="L2365" s="36" t="s">
        <v>25861</v>
      </c>
      <c r="M2365" s="186"/>
      <c r="N2365" s="186"/>
      <c r="O2365" s="172"/>
    </row>
    <row r="2366" spans="1:15" ht="25.5" x14ac:dyDescent="0.2">
      <c r="A2366" s="197" t="str">
        <f t="shared" si="36"/>
        <v>EleCode_selenium</v>
      </c>
      <c r="B2366" s="409"/>
      <c r="C2366" s="416"/>
      <c r="D2366" s="198" t="s">
        <v>25862</v>
      </c>
      <c r="E2366" s="198">
        <v>34</v>
      </c>
      <c r="F2366" s="199" t="s">
        <v>25863</v>
      </c>
      <c r="G2366" s="1" t="s">
        <v>25864</v>
      </c>
      <c r="H2366" s="1" t="s">
        <v>25865</v>
      </c>
      <c r="I2366" s="346"/>
      <c r="J2366" s="39">
        <v>113163</v>
      </c>
      <c r="K2366" s="36" t="str">
        <f>CONCATENATE(Cover!$D$6,"fdd/view?i=",J2366)</f>
        <v>https://www.dgiwg.org/FAD/fdd/view?i=113163</v>
      </c>
      <c r="L2366" s="36" t="s">
        <v>25866</v>
      </c>
      <c r="M2366" s="186"/>
      <c r="N2366" s="186"/>
      <c r="O2366" s="172"/>
    </row>
    <row r="2367" spans="1:15" x14ac:dyDescent="0.2">
      <c r="A2367" s="197" t="str">
        <f t="shared" si="36"/>
        <v>EleCode_silicon</v>
      </c>
      <c r="B2367" s="409"/>
      <c r="C2367" s="416"/>
      <c r="D2367" s="198" t="s">
        <v>25867</v>
      </c>
      <c r="E2367" s="198">
        <v>14</v>
      </c>
      <c r="F2367" s="199" t="s">
        <v>25868</v>
      </c>
      <c r="G2367" s="1" t="s">
        <v>25869</v>
      </c>
      <c r="H2367" s="200"/>
      <c r="I2367" s="346"/>
      <c r="J2367" s="39">
        <v>113144</v>
      </c>
      <c r="K2367" s="36" t="str">
        <f>CONCATENATE(Cover!$D$6,"fdd/view?i=",J2367)</f>
        <v>https://www.dgiwg.org/FAD/fdd/view?i=113144</v>
      </c>
      <c r="L2367" s="36" t="s">
        <v>25870</v>
      </c>
      <c r="M2367" s="186"/>
      <c r="N2367" s="186"/>
      <c r="O2367" s="172"/>
    </row>
    <row r="2368" spans="1:15" x14ac:dyDescent="0.2">
      <c r="A2368" s="197" t="str">
        <f t="shared" si="36"/>
        <v>EleCode_silver</v>
      </c>
      <c r="B2368" s="409"/>
      <c r="C2368" s="416"/>
      <c r="D2368" s="198" t="s">
        <v>25871</v>
      </c>
      <c r="E2368" s="198">
        <v>47</v>
      </c>
      <c r="F2368" s="199" t="s">
        <v>25872</v>
      </c>
      <c r="G2368" s="1" t="s">
        <v>25869</v>
      </c>
      <c r="H2368" s="200"/>
      <c r="I2368" s="346"/>
      <c r="J2368" s="39">
        <v>113174</v>
      </c>
      <c r="K2368" s="36" t="str">
        <f>CONCATENATE(Cover!$D$6,"fdd/view?i=",J2368)</f>
        <v>https://www.dgiwg.org/FAD/fdd/view?i=113174</v>
      </c>
      <c r="L2368" s="36" t="s">
        <v>25873</v>
      </c>
      <c r="M2368" s="186"/>
      <c r="N2368" s="186"/>
      <c r="O2368" s="172"/>
    </row>
    <row r="2369" spans="1:15" ht="25.5" x14ac:dyDescent="0.2">
      <c r="A2369" s="197" t="str">
        <f t="shared" si="36"/>
        <v>EleCode_sodium</v>
      </c>
      <c r="B2369" s="409"/>
      <c r="C2369" s="416"/>
      <c r="D2369" s="198" t="s">
        <v>25874</v>
      </c>
      <c r="E2369" s="198">
        <v>11</v>
      </c>
      <c r="F2369" s="199" t="s">
        <v>25875</v>
      </c>
      <c r="G2369" s="1" t="s">
        <v>25876</v>
      </c>
      <c r="H2369" s="1" t="s">
        <v>25877</v>
      </c>
      <c r="I2369" s="346"/>
      <c r="J2369" s="39">
        <v>113141</v>
      </c>
      <c r="K2369" s="36" t="str">
        <f>CONCATENATE(Cover!$D$6,"fdd/view?i=",J2369)</f>
        <v>https://www.dgiwg.org/FAD/fdd/view?i=113141</v>
      </c>
      <c r="L2369" s="36" t="s">
        <v>25878</v>
      </c>
      <c r="M2369" s="186"/>
      <c r="N2369" s="186"/>
      <c r="O2369" s="172"/>
    </row>
    <row r="2370" spans="1:15" x14ac:dyDescent="0.2">
      <c r="A2370" s="197" t="str">
        <f t="shared" ref="A2370:A2433" si="37">HYPERLINK(K2370,L2370)</f>
        <v>EleCode_strontium</v>
      </c>
      <c r="B2370" s="409"/>
      <c r="C2370" s="416"/>
      <c r="D2370" s="198" t="s">
        <v>25879</v>
      </c>
      <c r="E2370" s="198">
        <v>38</v>
      </c>
      <c r="F2370" s="199" t="s">
        <v>25880</v>
      </c>
      <c r="G2370" s="1" t="s">
        <v>25881</v>
      </c>
      <c r="H2370" s="1" t="s">
        <v>25882</v>
      </c>
      <c r="I2370" s="346"/>
      <c r="J2370" s="39">
        <v>113166</v>
      </c>
      <c r="K2370" s="36" t="str">
        <f>CONCATENATE(Cover!$D$6,"fdd/view?i=",J2370)</f>
        <v>https://www.dgiwg.org/FAD/fdd/view?i=113166</v>
      </c>
      <c r="L2370" s="36" t="s">
        <v>25883</v>
      </c>
      <c r="M2370" s="186"/>
      <c r="N2370" s="186"/>
      <c r="O2370" s="172"/>
    </row>
    <row r="2371" spans="1:15" x14ac:dyDescent="0.2">
      <c r="A2371" s="197" t="str">
        <f t="shared" si="37"/>
        <v>EleCode_sulphur</v>
      </c>
      <c r="B2371" s="409"/>
      <c r="C2371" s="416"/>
      <c r="D2371" s="198" t="s">
        <v>25884</v>
      </c>
      <c r="E2371" s="198">
        <v>16</v>
      </c>
      <c r="F2371" s="199" t="s">
        <v>25885</v>
      </c>
      <c r="G2371" s="1" t="s">
        <v>25886</v>
      </c>
      <c r="H2371" s="1" t="s">
        <v>25887</v>
      </c>
      <c r="I2371" s="346"/>
      <c r="J2371" s="39">
        <v>113146</v>
      </c>
      <c r="K2371" s="36" t="str">
        <f>CONCATENATE(Cover!$D$6,"fdd/view?i=",J2371)</f>
        <v>https://www.dgiwg.org/FAD/fdd/view?i=113146</v>
      </c>
      <c r="L2371" s="36" t="s">
        <v>25888</v>
      </c>
      <c r="M2371" s="186"/>
      <c r="N2371" s="186"/>
      <c r="O2371" s="172"/>
    </row>
    <row r="2372" spans="1:15" ht="38.25" x14ac:dyDescent="0.2">
      <c r="A2372" s="197" t="str">
        <f t="shared" si="37"/>
        <v>EleCode_tantalum</v>
      </c>
      <c r="B2372" s="409"/>
      <c r="C2372" s="416"/>
      <c r="D2372" s="198" t="s">
        <v>25889</v>
      </c>
      <c r="E2372" s="198">
        <v>73</v>
      </c>
      <c r="F2372" s="199" t="s">
        <v>25890</v>
      </c>
      <c r="G2372" s="1" t="s">
        <v>25891</v>
      </c>
      <c r="H2372" s="1" t="s">
        <v>25892</v>
      </c>
      <c r="I2372" s="346"/>
      <c r="J2372" s="39">
        <v>113184</v>
      </c>
      <c r="K2372" s="36" t="str">
        <f>CONCATENATE(Cover!$D$6,"fdd/view?i=",J2372)</f>
        <v>https://www.dgiwg.org/FAD/fdd/view?i=113184</v>
      </c>
      <c r="L2372" s="36" t="s">
        <v>25893</v>
      </c>
      <c r="M2372" s="186"/>
      <c r="N2372" s="186"/>
      <c r="O2372" s="172"/>
    </row>
    <row r="2373" spans="1:15" ht="38.25" x14ac:dyDescent="0.2">
      <c r="A2373" s="197" t="str">
        <f t="shared" si="37"/>
        <v>EleCode_tellurium</v>
      </c>
      <c r="B2373" s="409"/>
      <c r="C2373" s="416"/>
      <c r="D2373" s="198" t="s">
        <v>25894</v>
      </c>
      <c r="E2373" s="198">
        <v>52</v>
      </c>
      <c r="F2373" s="199" t="s">
        <v>25895</v>
      </c>
      <c r="G2373" s="1" t="s">
        <v>25896</v>
      </c>
      <c r="H2373" s="1" t="s">
        <v>25897</v>
      </c>
      <c r="I2373" s="346"/>
      <c r="J2373" s="39">
        <v>113179</v>
      </c>
      <c r="K2373" s="36" t="str">
        <f>CONCATENATE(Cover!$D$6,"fdd/view?i=",J2373)</f>
        <v>https://www.dgiwg.org/FAD/fdd/view?i=113179</v>
      </c>
      <c r="L2373" s="36" t="s">
        <v>25898</v>
      </c>
      <c r="M2373" s="186"/>
      <c r="N2373" s="186"/>
      <c r="O2373" s="172"/>
    </row>
    <row r="2374" spans="1:15" ht="25.5" x14ac:dyDescent="0.2">
      <c r="A2374" s="197" t="str">
        <f t="shared" si="37"/>
        <v>EleCode_thallium</v>
      </c>
      <c r="B2374" s="409"/>
      <c r="C2374" s="416"/>
      <c r="D2374" s="198" t="s">
        <v>25899</v>
      </c>
      <c r="E2374" s="198">
        <v>81</v>
      </c>
      <c r="F2374" s="199" t="s">
        <v>25900</v>
      </c>
      <c r="G2374" s="1" t="s">
        <v>25901</v>
      </c>
      <c r="H2374" s="1" t="s">
        <v>25902</v>
      </c>
      <c r="I2374" s="346"/>
      <c r="J2374" s="39">
        <v>113192</v>
      </c>
      <c r="K2374" s="36" t="str">
        <f>CONCATENATE(Cover!$D$6,"fdd/view?i=",J2374)</f>
        <v>https://www.dgiwg.org/FAD/fdd/view?i=113192</v>
      </c>
      <c r="L2374" s="36" t="s">
        <v>25903</v>
      </c>
      <c r="M2374" s="186"/>
      <c r="N2374" s="186"/>
      <c r="O2374" s="172"/>
    </row>
    <row r="2375" spans="1:15" x14ac:dyDescent="0.2">
      <c r="A2375" s="197" t="str">
        <f t="shared" si="37"/>
        <v>EleCode_thorium</v>
      </c>
      <c r="B2375" s="409"/>
      <c r="C2375" s="416"/>
      <c r="D2375" s="198" t="s">
        <v>25904</v>
      </c>
      <c r="E2375" s="198">
        <v>90</v>
      </c>
      <c r="F2375" s="199" t="s">
        <v>25905</v>
      </c>
      <c r="G2375" s="1" t="s">
        <v>25906</v>
      </c>
      <c r="H2375" s="1" t="s">
        <v>25907</v>
      </c>
      <c r="I2375" s="346"/>
      <c r="J2375" s="39">
        <v>113195</v>
      </c>
      <c r="K2375" s="36" t="str">
        <f>CONCATENATE(Cover!$D$6,"fdd/view?i=",J2375)</f>
        <v>https://www.dgiwg.org/FAD/fdd/view?i=113195</v>
      </c>
      <c r="L2375" s="36" t="s">
        <v>25908</v>
      </c>
      <c r="M2375" s="186"/>
      <c r="N2375" s="186"/>
      <c r="O2375" s="172"/>
    </row>
    <row r="2376" spans="1:15" ht="25.5" x14ac:dyDescent="0.2">
      <c r="A2376" s="197" t="str">
        <f t="shared" si="37"/>
        <v>EleCode_tin</v>
      </c>
      <c r="B2376" s="409"/>
      <c r="C2376" s="416"/>
      <c r="D2376" s="198" t="s">
        <v>25909</v>
      </c>
      <c r="E2376" s="198">
        <v>50</v>
      </c>
      <c r="F2376" s="199" t="s">
        <v>25910</v>
      </c>
      <c r="G2376" s="1" t="s">
        <v>25911</v>
      </c>
      <c r="H2376" s="1" t="s">
        <v>25912</v>
      </c>
      <c r="I2376" s="346"/>
      <c r="J2376" s="39">
        <v>113177</v>
      </c>
      <c r="K2376" s="36" t="str">
        <f>CONCATENATE(Cover!$D$6,"fdd/view?i=",J2376)</f>
        <v>https://www.dgiwg.org/FAD/fdd/view?i=113177</v>
      </c>
      <c r="L2376" s="36" t="s">
        <v>25913</v>
      </c>
      <c r="M2376" s="186"/>
      <c r="N2376" s="186"/>
      <c r="O2376" s="172"/>
    </row>
    <row r="2377" spans="1:15" ht="25.5" x14ac:dyDescent="0.2">
      <c r="A2377" s="197" t="str">
        <f t="shared" si="37"/>
        <v>EleCode_titanium</v>
      </c>
      <c r="B2377" s="409"/>
      <c r="C2377" s="416"/>
      <c r="D2377" s="198" t="s">
        <v>25914</v>
      </c>
      <c r="E2377" s="198">
        <v>22</v>
      </c>
      <c r="F2377" s="199" t="s">
        <v>25915</v>
      </c>
      <c r="G2377" s="1" t="s">
        <v>25916</v>
      </c>
      <c r="H2377" s="1" t="s">
        <v>25917</v>
      </c>
      <c r="I2377" s="346"/>
      <c r="J2377" s="39">
        <v>113151</v>
      </c>
      <c r="K2377" s="36" t="str">
        <f>CONCATENATE(Cover!$D$6,"fdd/view?i=",J2377)</f>
        <v>https://www.dgiwg.org/FAD/fdd/view?i=113151</v>
      </c>
      <c r="L2377" s="36" t="s">
        <v>25918</v>
      </c>
      <c r="M2377" s="186"/>
      <c r="N2377" s="186"/>
      <c r="O2377" s="172"/>
    </row>
    <row r="2378" spans="1:15" ht="25.5" x14ac:dyDescent="0.2">
      <c r="A2378" s="197" t="str">
        <f t="shared" si="37"/>
        <v>EleCode_tungsten</v>
      </c>
      <c r="B2378" s="409"/>
      <c r="C2378" s="416"/>
      <c r="D2378" s="198" t="s">
        <v>25919</v>
      </c>
      <c r="E2378" s="198">
        <v>74</v>
      </c>
      <c r="F2378" s="199" t="s">
        <v>25920</v>
      </c>
      <c r="G2378" s="1" t="s">
        <v>25921</v>
      </c>
      <c r="H2378" s="1" t="s">
        <v>25922</v>
      </c>
      <c r="I2378" s="346"/>
      <c r="J2378" s="39">
        <v>113185</v>
      </c>
      <c r="K2378" s="36" t="str">
        <f>CONCATENATE(Cover!$D$6,"fdd/view?i=",J2378)</f>
        <v>https://www.dgiwg.org/FAD/fdd/view?i=113185</v>
      </c>
      <c r="L2378" s="36" t="s">
        <v>25923</v>
      </c>
      <c r="M2378" s="186"/>
      <c r="N2378" s="186"/>
      <c r="O2378" s="172"/>
    </row>
    <row r="2379" spans="1:15" x14ac:dyDescent="0.2">
      <c r="A2379" s="197" t="str">
        <f t="shared" si="37"/>
        <v>EleCode_uranium</v>
      </c>
      <c r="B2379" s="409"/>
      <c r="C2379" s="416"/>
      <c r="D2379" s="198" t="s">
        <v>25924</v>
      </c>
      <c r="E2379" s="198">
        <v>92</v>
      </c>
      <c r="F2379" s="199" t="s">
        <v>25925</v>
      </c>
      <c r="G2379" s="1" t="s">
        <v>25926</v>
      </c>
      <c r="H2379" s="200"/>
      <c r="I2379" s="346"/>
      <c r="J2379" s="39">
        <v>113196</v>
      </c>
      <c r="K2379" s="36" t="str">
        <f>CONCATENATE(Cover!$D$6,"fdd/view?i=",J2379)</f>
        <v>https://www.dgiwg.org/FAD/fdd/view?i=113196</v>
      </c>
      <c r="L2379" s="36" t="s">
        <v>25927</v>
      </c>
      <c r="M2379" s="186"/>
      <c r="N2379" s="186"/>
      <c r="O2379" s="172"/>
    </row>
    <row r="2380" spans="1:15" x14ac:dyDescent="0.2">
      <c r="A2380" s="197" t="str">
        <f t="shared" si="37"/>
        <v>EleCode_vanadium</v>
      </c>
      <c r="B2380" s="409"/>
      <c r="C2380" s="416"/>
      <c r="D2380" s="198" t="s">
        <v>25928</v>
      </c>
      <c r="E2380" s="198">
        <v>23</v>
      </c>
      <c r="F2380" s="199" t="s">
        <v>25929</v>
      </c>
      <c r="G2380" s="1" t="s">
        <v>25930</v>
      </c>
      <c r="H2380" s="200"/>
      <c r="I2380" s="346"/>
      <c r="J2380" s="39">
        <v>113152</v>
      </c>
      <c r="K2380" s="36" t="str">
        <f>CONCATENATE(Cover!$D$6,"fdd/view?i=",J2380)</f>
        <v>https://www.dgiwg.org/FAD/fdd/view?i=113152</v>
      </c>
      <c r="L2380" s="36" t="s">
        <v>25931</v>
      </c>
      <c r="M2380" s="186"/>
      <c r="N2380" s="186"/>
      <c r="O2380" s="172"/>
    </row>
    <row r="2381" spans="1:15" ht="25.5" x14ac:dyDescent="0.2">
      <c r="A2381" s="197" t="str">
        <f t="shared" si="37"/>
        <v>EleCode_yttrium</v>
      </c>
      <c r="B2381" s="409"/>
      <c r="C2381" s="416"/>
      <c r="D2381" s="198" t="s">
        <v>25932</v>
      </c>
      <c r="E2381" s="198">
        <v>39</v>
      </c>
      <c r="F2381" s="199" t="s">
        <v>25933</v>
      </c>
      <c r="G2381" s="1" t="s">
        <v>25934</v>
      </c>
      <c r="H2381" s="1" t="s">
        <v>25935</v>
      </c>
      <c r="I2381" s="346"/>
      <c r="J2381" s="39">
        <v>113167</v>
      </c>
      <c r="K2381" s="36" t="str">
        <f>CONCATENATE(Cover!$D$6,"fdd/view?i=",J2381)</f>
        <v>https://www.dgiwg.org/FAD/fdd/view?i=113167</v>
      </c>
      <c r="L2381" s="36" t="s">
        <v>25936</v>
      </c>
      <c r="M2381" s="186"/>
      <c r="N2381" s="186"/>
      <c r="O2381" s="172"/>
    </row>
    <row r="2382" spans="1:15" x14ac:dyDescent="0.2">
      <c r="A2382" s="197" t="str">
        <f t="shared" si="37"/>
        <v>EleCode_zinc</v>
      </c>
      <c r="B2382" s="409"/>
      <c r="C2382" s="416"/>
      <c r="D2382" s="198" t="s">
        <v>25937</v>
      </c>
      <c r="E2382" s="198">
        <v>30</v>
      </c>
      <c r="F2382" s="199" t="s">
        <v>25938</v>
      </c>
      <c r="G2382" s="1" t="s">
        <v>25939</v>
      </c>
      <c r="H2382" s="200"/>
      <c r="I2382" s="346"/>
      <c r="J2382" s="39">
        <v>113159</v>
      </c>
      <c r="K2382" s="36" t="str">
        <f>CONCATENATE(Cover!$D$6,"fdd/view?i=",J2382)</f>
        <v>https://www.dgiwg.org/FAD/fdd/view?i=113159</v>
      </c>
      <c r="L2382" s="36" t="s">
        <v>25940</v>
      </c>
      <c r="M2382" s="186"/>
      <c r="N2382" s="186"/>
      <c r="O2382" s="172"/>
    </row>
    <row r="2383" spans="1:15" ht="25.5" x14ac:dyDescent="0.2">
      <c r="A2383" s="203" t="str">
        <f t="shared" si="37"/>
        <v>EleCode_zirconium</v>
      </c>
      <c r="B2383" s="410"/>
      <c r="C2383" s="417"/>
      <c r="D2383" s="204" t="s">
        <v>25941</v>
      </c>
      <c r="E2383" s="204">
        <v>40</v>
      </c>
      <c r="F2383" s="205" t="s">
        <v>25942</v>
      </c>
      <c r="G2383" s="206" t="s">
        <v>25943</v>
      </c>
      <c r="H2383" s="206" t="s">
        <v>25944</v>
      </c>
      <c r="I2383" s="347"/>
      <c r="J2383" s="39">
        <v>113168</v>
      </c>
      <c r="K2383" s="36" t="str">
        <f>CONCATENATE(Cover!$D$6,"fdd/view?i=",J2383)</f>
        <v>https://www.dgiwg.org/FAD/fdd/view?i=113168</v>
      </c>
      <c r="L2383" s="36" t="s">
        <v>25945</v>
      </c>
      <c r="M2383" s="186"/>
      <c r="N2383" s="186"/>
      <c r="O2383" s="172"/>
    </row>
    <row r="2384" spans="1:15" ht="25.5" x14ac:dyDescent="0.2">
      <c r="A2384" s="190" t="str">
        <f t="shared" si="37"/>
        <v>ChpCode_damagedRoad</v>
      </c>
      <c r="B2384" s="414" t="str">
        <f>HYPERLINK("[#]Datatypes!A316:L316","ChpCode")</f>
        <v>ChpCode</v>
      </c>
      <c r="C2384" s="415" t="s">
        <v>14876</v>
      </c>
      <c r="D2384" s="221" t="s">
        <v>25946</v>
      </c>
      <c r="E2384" s="221">
        <v>1</v>
      </c>
      <c r="F2384" s="222" t="s">
        <v>25947</v>
      </c>
      <c r="G2384" s="223" t="s">
        <v>25948</v>
      </c>
      <c r="H2384" s="224"/>
      <c r="I2384" s="345"/>
      <c r="J2384" s="39">
        <v>118209</v>
      </c>
      <c r="K2384" s="36" t="str">
        <f>CONCATENATE(Cover!$D$6,"fdd/view?i=",J2384)</f>
        <v>https://www.dgiwg.org/FAD/fdd/view?i=118209</v>
      </c>
      <c r="L2384" s="36" t="s">
        <v>25949</v>
      </c>
      <c r="M2384" s="186"/>
      <c r="N2384" s="186"/>
      <c r="O2384" s="172"/>
    </row>
    <row r="2385" spans="1:15" ht="25.5" x14ac:dyDescent="0.2">
      <c r="A2385" s="197" t="str">
        <f t="shared" si="37"/>
        <v>ChpCode_flooded</v>
      </c>
      <c r="B2385" s="409"/>
      <c r="C2385" s="416"/>
      <c r="D2385" s="198" t="s">
        <v>25950</v>
      </c>
      <c r="E2385" s="198">
        <v>2</v>
      </c>
      <c r="F2385" s="199" t="s">
        <v>25951</v>
      </c>
      <c r="G2385" s="1" t="s">
        <v>25952</v>
      </c>
      <c r="H2385" s="200"/>
      <c r="I2385" s="346"/>
      <c r="J2385" s="39">
        <v>118210</v>
      </c>
      <c r="K2385" s="36" t="str">
        <f>CONCATENATE(Cover!$D$6,"fdd/view?i=",J2385)</f>
        <v>https://www.dgiwg.org/FAD/fdd/view?i=118210</v>
      </c>
      <c r="L2385" s="36" t="s">
        <v>25953</v>
      </c>
      <c r="M2385" s="186"/>
      <c r="N2385" s="186"/>
      <c r="O2385" s="172"/>
    </row>
    <row r="2386" spans="1:15" ht="25.5" x14ac:dyDescent="0.2">
      <c r="A2386" s="197" t="str">
        <f t="shared" si="37"/>
        <v>ChpCode_gradient</v>
      </c>
      <c r="B2386" s="409"/>
      <c r="C2386" s="416"/>
      <c r="D2386" s="198" t="s">
        <v>25954</v>
      </c>
      <c r="E2386" s="198">
        <v>3</v>
      </c>
      <c r="F2386" s="199" t="s">
        <v>25955</v>
      </c>
      <c r="G2386" s="1" t="s">
        <v>25956</v>
      </c>
      <c r="H2386" s="200"/>
      <c r="I2386" s="346"/>
      <c r="J2386" s="39">
        <v>118211</v>
      </c>
      <c r="K2386" s="36" t="str">
        <f>CONCATENATE(Cover!$D$6,"fdd/view?i=",J2386)</f>
        <v>https://www.dgiwg.org/FAD/fdd/view?i=118211</v>
      </c>
      <c r="L2386" s="36" t="s">
        <v>25957</v>
      </c>
      <c r="M2386" s="186"/>
      <c r="N2386" s="186"/>
      <c r="O2386" s="172"/>
    </row>
    <row r="2387" spans="1:15" ht="25.5" x14ac:dyDescent="0.2">
      <c r="A2387" s="197" t="str">
        <f t="shared" si="37"/>
        <v>ChpCode_higherGround</v>
      </c>
      <c r="B2387" s="409"/>
      <c r="C2387" s="416"/>
      <c r="D2387" s="198" t="s">
        <v>25958</v>
      </c>
      <c r="E2387" s="198">
        <v>4</v>
      </c>
      <c r="F2387" s="199" t="s">
        <v>25959</v>
      </c>
      <c r="G2387" s="1" t="s">
        <v>25960</v>
      </c>
      <c r="H2387" s="200"/>
      <c r="I2387" s="346"/>
      <c r="J2387" s="39">
        <v>118212</v>
      </c>
      <c r="K2387" s="36" t="str">
        <f>CONCATENATE(Cover!$D$6,"fdd/view?i=",J2387)</f>
        <v>https://www.dgiwg.org/FAD/fdd/view?i=118212</v>
      </c>
      <c r="L2387" s="36" t="s">
        <v>25961</v>
      </c>
      <c r="M2387" s="186"/>
      <c r="N2387" s="186"/>
      <c r="O2387" s="172"/>
    </row>
    <row r="2388" spans="1:15" ht="25.5" x14ac:dyDescent="0.2">
      <c r="A2388" s="197" t="str">
        <f t="shared" si="37"/>
        <v>ChpCode_loamySimilarSoils</v>
      </c>
      <c r="B2388" s="409"/>
      <c r="C2388" s="416"/>
      <c r="D2388" s="198" t="s">
        <v>25962</v>
      </c>
      <c r="E2388" s="198">
        <v>5</v>
      </c>
      <c r="F2388" s="199" t="s">
        <v>25963</v>
      </c>
      <c r="G2388" s="1" t="s">
        <v>25964</v>
      </c>
      <c r="H2388" s="200"/>
      <c r="I2388" s="346"/>
      <c r="J2388" s="39">
        <v>118213</v>
      </c>
      <c r="K2388" s="36" t="str">
        <f>CONCATENATE(Cover!$D$6,"fdd/view?i=",J2388)</f>
        <v>https://www.dgiwg.org/FAD/fdd/view?i=118213</v>
      </c>
      <c r="L2388" s="36" t="s">
        <v>25965</v>
      </c>
      <c r="M2388" s="186"/>
      <c r="N2388" s="186"/>
      <c r="O2388" s="172"/>
    </row>
    <row r="2389" spans="1:15" ht="25.5" x14ac:dyDescent="0.2">
      <c r="A2389" s="197" t="str">
        <f t="shared" si="37"/>
        <v>ChpCode_narrowEscarpment</v>
      </c>
      <c r="B2389" s="409"/>
      <c r="C2389" s="416"/>
      <c r="D2389" s="198" t="s">
        <v>25966</v>
      </c>
      <c r="E2389" s="198">
        <v>6</v>
      </c>
      <c r="F2389" s="199" t="s">
        <v>25967</v>
      </c>
      <c r="G2389" s="1" t="s">
        <v>25968</v>
      </c>
      <c r="H2389" s="200"/>
      <c r="I2389" s="346"/>
      <c r="J2389" s="39">
        <v>118214</v>
      </c>
      <c r="K2389" s="36" t="str">
        <f>CONCATENATE(Cover!$D$6,"fdd/view?i=",J2389)</f>
        <v>https://www.dgiwg.org/FAD/fdd/view?i=118214</v>
      </c>
      <c r="L2389" s="36" t="s">
        <v>25969</v>
      </c>
      <c r="M2389" s="186"/>
      <c r="N2389" s="186"/>
      <c r="O2389" s="172"/>
    </row>
    <row r="2390" spans="1:15" ht="25.5" x14ac:dyDescent="0.2">
      <c r="A2390" s="197" t="str">
        <f t="shared" si="37"/>
        <v>ChpCode_poorSurfaceCondition</v>
      </c>
      <c r="B2390" s="409"/>
      <c r="C2390" s="416"/>
      <c r="D2390" s="198" t="s">
        <v>25970</v>
      </c>
      <c r="E2390" s="198">
        <v>7</v>
      </c>
      <c r="F2390" s="199" t="s">
        <v>25971</v>
      </c>
      <c r="G2390" s="1" t="s">
        <v>25972</v>
      </c>
      <c r="H2390" s="200"/>
      <c r="I2390" s="346"/>
      <c r="J2390" s="39">
        <v>118215</v>
      </c>
      <c r="K2390" s="36" t="str">
        <f>CONCATENATE(Cover!$D$6,"fdd/view?i=",J2390)</f>
        <v>https://www.dgiwg.org/FAD/fdd/view?i=118215</v>
      </c>
      <c r="L2390" s="36" t="s">
        <v>25973</v>
      </c>
      <c r="M2390" s="186"/>
      <c r="N2390" s="186"/>
      <c r="O2390" s="172"/>
    </row>
    <row r="2391" spans="1:15" ht="25.5" x14ac:dyDescent="0.2">
      <c r="A2391" s="197" t="str">
        <f t="shared" si="37"/>
        <v>ChpCode_potentialLandslideZone</v>
      </c>
      <c r="B2391" s="409"/>
      <c r="C2391" s="416"/>
      <c r="D2391" s="198" t="s">
        <v>25974</v>
      </c>
      <c r="E2391" s="198">
        <v>8</v>
      </c>
      <c r="F2391" s="199" t="s">
        <v>4499</v>
      </c>
      <c r="G2391" s="1" t="s">
        <v>25975</v>
      </c>
      <c r="H2391" s="200"/>
      <c r="I2391" s="346"/>
      <c r="J2391" s="39">
        <v>118216</v>
      </c>
      <c r="K2391" s="36" t="str">
        <f>CONCATENATE(Cover!$D$6,"fdd/view?i=",J2391)</f>
        <v>https://www.dgiwg.org/FAD/fdd/view?i=118216</v>
      </c>
      <c r="L2391" s="36" t="s">
        <v>25976</v>
      </c>
      <c r="M2391" s="186"/>
      <c r="N2391" s="186"/>
      <c r="O2391" s="172"/>
    </row>
    <row r="2392" spans="1:15" ht="25.5" x14ac:dyDescent="0.2">
      <c r="A2392" s="197" t="str">
        <f t="shared" si="37"/>
        <v>ChpCode_roadBlock</v>
      </c>
      <c r="B2392" s="409"/>
      <c r="C2392" s="416"/>
      <c r="D2392" s="198" t="s">
        <v>25977</v>
      </c>
      <c r="E2392" s="198">
        <v>9</v>
      </c>
      <c r="F2392" s="199" t="s">
        <v>25978</v>
      </c>
      <c r="G2392" s="1" t="s">
        <v>25979</v>
      </c>
      <c r="H2392" s="200"/>
      <c r="I2392" s="346"/>
      <c r="J2392" s="39">
        <v>118217</v>
      </c>
      <c r="K2392" s="36" t="str">
        <f>CONCATENATE(Cover!$D$6,"fdd/view?i=",J2392)</f>
        <v>https://www.dgiwg.org/FAD/fdd/view?i=118217</v>
      </c>
      <c r="L2392" s="36" t="s">
        <v>25980</v>
      </c>
      <c r="M2392" s="186"/>
      <c r="N2392" s="186"/>
      <c r="O2392" s="172"/>
    </row>
    <row r="2393" spans="1:15" ht="25.5" x14ac:dyDescent="0.2">
      <c r="A2393" s="197" t="str">
        <f t="shared" si="37"/>
        <v>ChpCode_snowIce</v>
      </c>
      <c r="B2393" s="409"/>
      <c r="C2393" s="416"/>
      <c r="D2393" s="198" t="s">
        <v>25981</v>
      </c>
      <c r="E2393" s="198">
        <v>10</v>
      </c>
      <c r="F2393" s="199" t="s">
        <v>25982</v>
      </c>
      <c r="G2393" s="1" t="s">
        <v>25983</v>
      </c>
      <c r="H2393" s="200"/>
      <c r="I2393" s="346"/>
      <c r="J2393" s="39">
        <v>118218</v>
      </c>
      <c r="K2393" s="36" t="str">
        <f>CONCATENATE(Cover!$D$6,"fdd/view?i=",J2393)</f>
        <v>https://www.dgiwg.org/FAD/fdd/view?i=118218</v>
      </c>
      <c r="L2393" s="36" t="s">
        <v>25984</v>
      </c>
      <c r="M2393" s="186"/>
      <c r="N2393" s="186"/>
      <c r="O2393" s="172"/>
    </row>
    <row r="2394" spans="1:15" ht="25.5" x14ac:dyDescent="0.2">
      <c r="A2394" s="197" t="str">
        <f t="shared" si="37"/>
        <v>ChpCode_tollGate</v>
      </c>
      <c r="B2394" s="409"/>
      <c r="C2394" s="416"/>
      <c r="D2394" s="198" t="s">
        <v>25985</v>
      </c>
      <c r="E2394" s="198">
        <v>11</v>
      </c>
      <c r="F2394" s="199" t="s">
        <v>25986</v>
      </c>
      <c r="G2394" s="1" t="s">
        <v>25987</v>
      </c>
      <c r="H2394" s="200"/>
      <c r="I2394" s="346"/>
      <c r="J2394" s="39">
        <v>118219</v>
      </c>
      <c r="K2394" s="36" t="str">
        <f>CONCATENATE(Cover!$D$6,"fdd/view?i=",J2394)</f>
        <v>https://www.dgiwg.org/FAD/fdd/view?i=118219</v>
      </c>
      <c r="L2394" s="36" t="s">
        <v>25988</v>
      </c>
      <c r="M2394" s="186"/>
      <c r="N2394" s="186"/>
      <c r="O2394" s="172"/>
    </row>
    <row r="2395" spans="1:15" ht="25.5" x14ac:dyDescent="0.2">
      <c r="A2395" s="203" t="str">
        <f t="shared" si="37"/>
        <v>ChpCode_trafficLight</v>
      </c>
      <c r="B2395" s="410"/>
      <c r="C2395" s="417"/>
      <c r="D2395" s="204" t="s">
        <v>16586</v>
      </c>
      <c r="E2395" s="204">
        <v>12</v>
      </c>
      <c r="F2395" s="205" t="s">
        <v>5532</v>
      </c>
      <c r="G2395" s="206" t="s">
        <v>5533</v>
      </c>
      <c r="H2395" s="207"/>
      <c r="I2395" s="347"/>
      <c r="J2395" s="39">
        <v>118220</v>
      </c>
      <c r="K2395" s="36" t="str">
        <f>CONCATENATE(Cover!$D$6,"fdd/view?i=",J2395)</f>
        <v>https://www.dgiwg.org/FAD/fdd/view?i=118220</v>
      </c>
      <c r="L2395" s="36" t="s">
        <v>25989</v>
      </c>
      <c r="M2395" s="186"/>
      <c r="N2395" s="186"/>
      <c r="O2395" s="172"/>
    </row>
    <row r="2396" spans="1:15" ht="38.25" x14ac:dyDescent="0.2">
      <c r="A2396" s="190" t="str">
        <f t="shared" si="37"/>
        <v>ClmCode_continental</v>
      </c>
      <c r="B2396" s="414" t="str">
        <f>HYPERLINK("[#]Datatypes!A320:L320","ClmCode")</f>
        <v>ClmCode</v>
      </c>
      <c r="C2396" s="415" t="s">
        <v>14881</v>
      </c>
      <c r="D2396" s="221" t="s">
        <v>25990</v>
      </c>
      <c r="E2396" s="221">
        <v>12</v>
      </c>
      <c r="F2396" s="222" t="s">
        <v>25991</v>
      </c>
      <c r="G2396" s="223" t="s">
        <v>25992</v>
      </c>
      <c r="H2396" s="224"/>
      <c r="I2396" s="345"/>
      <c r="J2396" s="39">
        <v>113039</v>
      </c>
      <c r="K2396" s="36" t="str">
        <f>CONCATENATE(Cover!$D$6,"fdd/view?i=",J2396)</f>
        <v>https://www.dgiwg.org/FAD/fdd/view?i=113039</v>
      </c>
      <c r="L2396" s="36" t="s">
        <v>25993</v>
      </c>
      <c r="M2396" s="186"/>
      <c r="N2396" s="186"/>
      <c r="O2396" s="172"/>
    </row>
    <row r="2397" spans="1:15" ht="38.25" x14ac:dyDescent="0.2">
      <c r="A2397" s="197" t="str">
        <f t="shared" si="37"/>
        <v>ClmCode_continentalBoreal</v>
      </c>
      <c r="B2397" s="409"/>
      <c r="C2397" s="416"/>
      <c r="D2397" s="198" t="s">
        <v>25994</v>
      </c>
      <c r="E2397" s="198">
        <v>6</v>
      </c>
      <c r="F2397" s="199" t="s">
        <v>25995</v>
      </c>
      <c r="G2397" s="1" t="s">
        <v>25996</v>
      </c>
      <c r="H2397" s="200"/>
      <c r="I2397" s="346"/>
      <c r="J2397" s="39">
        <v>113033</v>
      </c>
      <c r="K2397" s="36" t="str">
        <f>CONCATENATE(Cover!$D$6,"fdd/view?i=",J2397)</f>
        <v>https://www.dgiwg.org/FAD/fdd/view?i=113033</v>
      </c>
      <c r="L2397" s="36" t="s">
        <v>25997</v>
      </c>
      <c r="M2397" s="186"/>
      <c r="N2397" s="186"/>
      <c r="O2397" s="172"/>
    </row>
    <row r="2398" spans="1:15" ht="25.5" x14ac:dyDescent="0.2">
      <c r="A2398" s="197" t="str">
        <f t="shared" si="37"/>
        <v>ClmCode_dryWinterColdSteppe</v>
      </c>
      <c r="B2398" s="409"/>
      <c r="C2398" s="416"/>
      <c r="D2398" s="198" t="s">
        <v>25998</v>
      </c>
      <c r="E2398" s="198">
        <v>19</v>
      </c>
      <c r="F2398" s="199" t="s">
        <v>25999</v>
      </c>
      <c r="G2398" s="1" t="s">
        <v>26000</v>
      </c>
      <c r="H2398" s="200"/>
      <c r="I2398" s="346"/>
      <c r="J2398" s="39">
        <v>113046</v>
      </c>
      <c r="K2398" s="36" t="str">
        <f>CONCATENATE(Cover!$D$6,"fdd/view?i=",J2398)</f>
        <v>https://www.dgiwg.org/FAD/fdd/view?i=113046</v>
      </c>
      <c r="L2398" s="36" t="s">
        <v>26001</v>
      </c>
      <c r="M2398" s="186"/>
      <c r="N2398" s="186"/>
      <c r="O2398" s="172"/>
    </row>
    <row r="2399" spans="1:15" ht="25.5" x14ac:dyDescent="0.2">
      <c r="A2399" s="197" t="str">
        <f t="shared" si="37"/>
        <v>ClmCode_dryWinterSoftSteppe</v>
      </c>
      <c r="B2399" s="409"/>
      <c r="C2399" s="416"/>
      <c r="D2399" s="198" t="s">
        <v>26002</v>
      </c>
      <c r="E2399" s="198">
        <v>20</v>
      </c>
      <c r="F2399" s="199" t="s">
        <v>26003</v>
      </c>
      <c r="G2399" s="1" t="s">
        <v>26004</v>
      </c>
      <c r="H2399" s="200"/>
      <c r="I2399" s="346"/>
      <c r="J2399" s="39">
        <v>113047</v>
      </c>
      <c r="K2399" s="36" t="str">
        <f>CONCATENATE(Cover!$D$6,"fdd/view?i=",J2399)</f>
        <v>https://www.dgiwg.org/FAD/fdd/view?i=113047</v>
      </c>
      <c r="L2399" s="36" t="s">
        <v>26005</v>
      </c>
      <c r="M2399" s="186"/>
      <c r="N2399" s="186"/>
      <c r="O2399" s="172"/>
    </row>
    <row r="2400" spans="1:15" ht="25.5" x14ac:dyDescent="0.2">
      <c r="A2400" s="197" t="str">
        <f t="shared" si="37"/>
        <v>ClmCode_highContinental</v>
      </c>
      <c r="B2400" s="409"/>
      <c r="C2400" s="416"/>
      <c r="D2400" s="198" t="s">
        <v>26006</v>
      </c>
      <c r="E2400" s="198">
        <v>13</v>
      </c>
      <c r="F2400" s="199" t="s">
        <v>26007</v>
      </c>
      <c r="G2400" s="1" t="s">
        <v>26008</v>
      </c>
      <c r="H2400" s="200"/>
      <c r="I2400" s="346"/>
      <c r="J2400" s="39">
        <v>113040</v>
      </c>
      <c r="K2400" s="36" t="str">
        <f>CONCATENATE(Cover!$D$6,"fdd/view?i=",J2400)</f>
        <v>https://www.dgiwg.org/FAD/fdd/view?i=113040</v>
      </c>
      <c r="L2400" s="36" t="s">
        <v>26009</v>
      </c>
      <c r="M2400" s="186"/>
      <c r="N2400" s="186"/>
      <c r="O2400" s="172"/>
    </row>
    <row r="2401" spans="1:15" ht="25.5" x14ac:dyDescent="0.2">
      <c r="A2401" s="197" t="str">
        <f t="shared" si="37"/>
        <v>ClmCode_highContinentalBoreal</v>
      </c>
      <c r="B2401" s="409"/>
      <c r="C2401" s="416"/>
      <c r="D2401" s="198" t="s">
        <v>26010</v>
      </c>
      <c r="E2401" s="198">
        <v>7</v>
      </c>
      <c r="F2401" s="199" t="s">
        <v>26011</v>
      </c>
      <c r="G2401" s="1" t="s">
        <v>26012</v>
      </c>
      <c r="H2401" s="200"/>
      <c r="I2401" s="346"/>
      <c r="J2401" s="39">
        <v>113034</v>
      </c>
      <c r="K2401" s="36" t="str">
        <f>CONCATENATE(Cover!$D$6,"fdd/view?i=",J2401)</f>
        <v>https://www.dgiwg.org/FAD/fdd/view?i=113034</v>
      </c>
      <c r="L2401" s="36" t="s">
        <v>26013</v>
      </c>
      <c r="M2401" s="186"/>
      <c r="N2401" s="186"/>
      <c r="O2401" s="172"/>
    </row>
    <row r="2402" spans="1:15" ht="38.25" x14ac:dyDescent="0.2">
      <c r="A2402" s="197" t="str">
        <f t="shared" si="37"/>
        <v>ClmCode_highMaritimeCoastal</v>
      </c>
      <c r="B2402" s="409"/>
      <c r="C2402" s="416"/>
      <c r="D2402" s="198" t="s">
        <v>26014</v>
      </c>
      <c r="E2402" s="198">
        <v>8</v>
      </c>
      <c r="F2402" s="199" t="s">
        <v>26015</v>
      </c>
      <c r="G2402" s="1" t="s">
        <v>26016</v>
      </c>
      <c r="H2402" s="200"/>
      <c r="I2402" s="346"/>
      <c r="J2402" s="39">
        <v>113035</v>
      </c>
      <c r="K2402" s="36" t="str">
        <f>CONCATENATE(Cover!$D$6,"fdd/view?i=",J2402)</f>
        <v>https://www.dgiwg.org/FAD/fdd/view?i=113035</v>
      </c>
      <c r="L2402" s="36" t="s">
        <v>26017</v>
      </c>
      <c r="M2402" s="186"/>
      <c r="N2402" s="186"/>
      <c r="O2402" s="172"/>
    </row>
    <row r="2403" spans="1:15" x14ac:dyDescent="0.2">
      <c r="A2403" s="197" t="str">
        <f t="shared" si="37"/>
        <v>ClmCode_highPolarIce</v>
      </c>
      <c r="B2403" s="409"/>
      <c r="C2403" s="416"/>
      <c r="D2403" s="198" t="s">
        <v>26018</v>
      </c>
      <c r="E2403" s="198">
        <v>1</v>
      </c>
      <c r="F2403" s="199" t="s">
        <v>26019</v>
      </c>
      <c r="G2403" s="1" t="s">
        <v>26020</v>
      </c>
      <c r="H2403" s="200"/>
      <c r="I2403" s="346"/>
      <c r="J2403" s="39">
        <v>113028</v>
      </c>
      <c r="K2403" s="36" t="str">
        <f>CONCATENATE(Cover!$D$6,"fdd/view?i=",J2403)</f>
        <v>https://www.dgiwg.org/FAD/fdd/view?i=113028</v>
      </c>
      <c r="L2403" s="36" t="s">
        <v>26021</v>
      </c>
      <c r="M2403" s="186"/>
      <c r="N2403" s="186"/>
      <c r="O2403" s="172"/>
    </row>
    <row r="2404" spans="1:15" ht="25.5" x14ac:dyDescent="0.2">
      <c r="A2404" s="197" t="str">
        <f t="shared" si="37"/>
        <v>ClmCode_humidWinterColdSteppe</v>
      </c>
      <c r="B2404" s="409"/>
      <c r="C2404" s="416"/>
      <c r="D2404" s="198" t="s">
        <v>26022</v>
      </c>
      <c r="E2404" s="198">
        <v>17</v>
      </c>
      <c r="F2404" s="199" t="s">
        <v>26023</v>
      </c>
      <c r="G2404" s="1" t="s">
        <v>26024</v>
      </c>
      <c r="H2404" s="200"/>
      <c r="I2404" s="346"/>
      <c r="J2404" s="39">
        <v>113044</v>
      </c>
      <c r="K2404" s="36" t="str">
        <f>CONCATENATE(Cover!$D$6,"fdd/view?i=",J2404)</f>
        <v>https://www.dgiwg.org/FAD/fdd/view?i=113044</v>
      </c>
      <c r="L2404" s="36" t="s">
        <v>26025</v>
      </c>
      <c r="M2404" s="186"/>
      <c r="N2404" s="186"/>
      <c r="O2404" s="172"/>
    </row>
    <row r="2405" spans="1:15" ht="25.5" x14ac:dyDescent="0.2">
      <c r="A2405" s="197" t="str">
        <f t="shared" si="37"/>
        <v>ClmCode_humidWinterSoftSteppe</v>
      </c>
      <c r="B2405" s="409"/>
      <c r="C2405" s="416"/>
      <c r="D2405" s="198" t="s">
        <v>26026</v>
      </c>
      <c r="E2405" s="198">
        <v>18</v>
      </c>
      <c r="F2405" s="199" t="s">
        <v>26027</v>
      </c>
      <c r="G2405" s="1" t="s">
        <v>26028</v>
      </c>
      <c r="H2405" s="200"/>
      <c r="I2405" s="346"/>
      <c r="J2405" s="39">
        <v>113045</v>
      </c>
      <c r="K2405" s="36" t="str">
        <f>CONCATENATE(Cover!$D$6,"fdd/view?i=",J2405)</f>
        <v>https://www.dgiwg.org/FAD/fdd/view?i=113045</v>
      </c>
      <c r="L2405" s="36" t="s">
        <v>26029</v>
      </c>
      <c r="M2405" s="186"/>
      <c r="N2405" s="186"/>
      <c r="O2405" s="172"/>
    </row>
    <row r="2406" spans="1:15" ht="25.5" x14ac:dyDescent="0.2">
      <c r="A2406" s="197" t="str">
        <f t="shared" si="37"/>
        <v>ClmCode_longSummerHumidSteppe</v>
      </c>
      <c r="B2406" s="409"/>
      <c r="C2406" s="416"/>
      <c r="D2406" s="198" t="s">
        <v>26030</v>
      </c>
      <c r="E2406" s="198">
        <v>27</v>
      </c>
      <c r="F2406" s="199" t="s">
        <v>26031</v>
      </c>
      <c r="G2406" s="1" t="s">
        <v>26032</v>
      </c>
      <c r="H2406" s="200"/>
      <c r="I2406" s="346"/>
      <c r="J2406" s="39">
        <v>113054</v>
      </c>
      <c r="K2406" s="36" t="str">
        <f>CONCATENATE(Cover!$D$6,"fdd/view?i=",J2406)</f>
        <v>https://www.dgiwg.org/FAD/fdd/view?i=113054</v>
      </c>
      <c r="L2406" s="36" t="s">
        <v>26033</v>
      </c>
      <c r="M2406" s="186"/>
      <c r="N2406" s="186"/>
      <c r="O2406" s="172"/>
    </row>
    <row r="2407" spans="1:15" ht="38.25" x14ac:dyDescent="0.2">
      <c r="A2407" s="197" t="str">
        <f t="shared" si="37"/>
        <v>ClmCode_maritime</v>
      </c>
      <c r="B2407" s="409"/>
      <c r="C2407" s="416"/>
      <c r="D2407" s="198" t="s">
        <v>26034</v>
      </c>
      <c r="E2407" s="198">
        <v>9</v>
      </c>
      <c r="F2407" s="199" t="s">
        <v>26035</v>
      </c>
      <c r="G2407" s="1" t="s">
        <v>26036</v>
      </c>
      <c r="H2407" s="200"/>
      <c r="I2407" s="346"/>
      <c r="J2407" s="39">
        <v>113036</v>
      </c>
      <c r="K2407" s="36" t="str">
        <f>CONCATENATE(Cover!$D$6,"fdd/view?i=",J2407)</f>
        <v>https://www.dgiwg.org/FAD/fdd/view?i=113036</v>
      </c>
      <c r="L2407" s="36" t="s">
        <v>26037</v>
      </c>
      <c r="M2407" s="186"/>
      <c r="N2407" s="186"/>
      <c r="O2407" s="172"/>
    </row>
    <row r="2408" spans="1:15" ht="38.25" x14ac:dyDescent="0.2">
      <c r="A2408" s="197" t="str">
        <f t="shared" si="37"/>
        <v>ClmCode_maritimeBoreal</v>
      </c>
      <c r="B2408" s="409"/>
      <c r="C2408" s="416"/>
      <c r="D2408" s="198" t="s">
        <v>26038</v>
      </c>
      <c r="E2408" s="198">
        <v>5</v>
      </c>
      <c r="F2408" s="199" t="s">
        <v>26039</v>
      </c>
      <c r="G2408" s="1" t="s">
        <v>26040</v>
      </c>
      <c r="H2408" s="200"/>
      <c r="I2408" s="346"/>
      <c r="J2408" s="39">
        <v>113032</v>
      </c>
      <c r="K2408" s="36" t="str">
        <f>CONCATENATE(Cover!$D$6,"fdd/view?i=",J2408)</f>
        <v>https://www.dgiwg.org/FAD/fdd/view?i=113032</v>
      </c>
      <c r="L2408" s="36" t="s">
        <v>26041</v>
      </c>
      <c r="M2408" s="186"/>
      <c r="N2408" s="186"/>
      <c r="O2408" s="172"/>
    </row>
    <row r="2409" spans="1:15" ht="38.25" x14ac:dyDescent="0.2">
      <c r="A2409" s="197" t="str">
        <f t="shared" si="37"/>
        <v>ClmCode_permanentHumidGrassWood</v>
      </c>
      <c r="B2409" s="409"/>
      <c r="C2409" s="416"/>
      <c r="D2409" s="198" t="s">
        <v>26042</v>
      </c>
      <c r="E2409" s="198">
        <v>29</v>
      </c>
      <c r="F2409" s="199" t="s">
        <v>26043</v>
      </c>
      <c r="G2409" s="1" t="s">
        <v>26044</v>
      </c>
      <c r="H2409" s="200"/>
      <c r="I2409" s="346"/>
      <c r="J2409" s="39">
        <v>113056</v>
      </c>
      <c r="K2409" s="36" t="str">
        <f>CONCATENATE(Cover!$D$6,"fdd/view?i=",J2409)</f>
        <v>https://www.dgiwg.org/FAD/fdd/view?i=113056</v>
      </c>
      <c r="L2409" s="36" t="s">
        <v>26045</v>
      </c>
      <c r="M2409" s="186"/>
      <c r="N2409" s="186"/>
      <c r="O2409" s="172"/>
    </row>
    <row r="2410" spans="1:15" x14ac:dyDescent="0.2">
      <c r="A2410" s="197" t="str">
        <f t="shared" si="37"/>
        <v>ClmCode_polar</v>
      </c>
      <c r="B2410" s="409"/>
      <c r="C2410" s="416"/>
      <c r="D2410" s="198" t="s">
        <v>26046</v>
      </c>
      <c r="E2410" s="198">
        <v>2</v>
      </c>
      <c r="F2410" s="199" t="s">
        <v>26047</v>
      </c>
      <c r="G2410" s="1" t="s">
        <v>26048</v>
      </c>
      <c r="H2410" s="200"/>
      <c r="I2410" s="346"/>
      <c r="J2410" s="39">
        <v>113029</v>
      </c>
      <c r="K2410" s="36" t="str">
        <f>CONCATENATE(Cover!$D$6,"fdd/view?i=",J2410)</f>
        <v>https://www.dgiwg.org/FAD/fdd/view?i=113029</v>
      </c>
      <c r="L2410" s="36" t="s">
        <v>26049</v>
      </c>
      <c r="M2410" s="186"/>
      <c r="N2410" s="186"/>
      <c r="O2410" s="172"/>
    </row>
    <row r="2411" spans="1:15" ht="25.5" x14ac:dyDescent="0.2">
      <c r="A2411" s="197" t="str">
        <f t="shared" si="37"/>
        <v>ClmCode_semiDesertDesert</v>
      </c>
      <c r="B2411" s="409"/>
      <c r="C2411" s="416"/>
      <c r="D2411" s="198" t="s">
        <v>26050</v>
      </c>
      <c r="E2411" s="198">
        <v>28</v>
      </c>
      <c r="F2411" s="199" t="s">
        <v>26051</v>
      </c>
      <c r="G2411" s="1" t="s">
        <v>26052</v>
      </c>
      <c r="H2411" s="200"/>
      <c r="I2411" s="346"/>
      <c r="J2411" s="39">
        <v>113055</v>
      </c>
      <c r="K2411" s="36" t="str">
        <f>CONCATENATE(Cover!$D$6,"fdd/view?i=",J2411)</f>
        <v>https://www.dgiwg.org/FAD/fdd/view?i=113055</v>
      </c>
      <c r="L2411" s="36" t="s">
        <v>26053</v>
      </c>
      <c r="M2411" s="186"/>
      <c r="N2411" s="186"/>
      <c r="O2411" s="172"/>
    </row>
    <row r="2412" spans="1:15" ht="25.5" x14ac:dyDescent="0.2">
      <c r="A2412" s="197" t="str">
        <f t="shared" si="37"/>
        <v>ClmCode_shortSummerHumidSteppe</v>
      </c>
      <c r="B2412" s="409"/>
      <c r="C2412" s="416"/>
      <c r="D2412" s="198" t="s">
        <v>26054</v>
      </c>
      <c r="E2412" s="198">
        <v>26</v>
      </c>
      <c r="F2412" s="199" t="s">
        <v>26055</v>
      </c>
      <c r="G2412" s="1" t="s">
        <v>26056</v>
      </c>
      <c r="H2412" s="200"/>
      <c r="I2412" s="346"/>
      <c r="J2412" s="39">
        <v>113053</v>
      </c>
      <c r="K2412" s="36" t="str">
        <f>CONCATENATE(Cover!$D$6,"fdd/view?i=",J2412)</f>
        <v>https://www.dgiwg.org/FAD/fdd/view?i=113053</v>
      </c>
      <c r="L2412" s="36" t="s">
        <v>26057</v>
      </c>
      <c r="M2412" s="186"/>
      <c r="N2412" s="186"/>
      <c r="O2412" s="172"/>
    </row>
    <row r="2413" spans="1:15" ht="25.5" x14ac:dyDescent="0.2">
      <c r="A2413" s="197" t="str">
        <f t="shared" si="37"/>
        <v>ClmCode_subarcticTundra</v>
      </c>
      <c r="B2413" s="409"/>
      <c r="C2413" s="416"/>
      <c r="D2413" s="198" t="s">
        <v>26058</v>
      </c>
      <c r="E2413" s="198">
        <v>3</v>
      </c>
      <c r="F2413" s="199" t="s">
        <v>26059</v>
      </c>
      <c r="G2413" s="1" t="s">
        <v>26060</v>
      </c>
      <c r="H2413" s="200"/>
      <c r="I2413" s="346"/>
      <c r="J2413" s="39">
        <v>113030</v>
      </c>
      <c r="K2413" s="36" t="str">
        <f>CONCATENATE(Cover!$D$6,"fdd/view?i=",J2413)</f>
        <v>https://www.dgiwg.org/FAD/fdd/view?i=113030</v>
      </c>
      <c r="L2413" s="36" t="s">
        <v>26061</v>
      </c>
      <c r="M2413" s="186"/>
      <c r="N2413" s="186"/>
      <c r="O2413" s="172"/>
    </row>
    <row r="2414" spans="1:15" ht="25.5" x14ac:dyDescent="0.2">
      <c r="A2414" s="197" t="str">
        <f t="shared" si="37"/>
        <v>ClmCode_subcontinental</v>
      </c>
      <c r="B2414" s="409"/>
      <c r="C2414" s="416"/>
      <c r="D2414" s="198" t="s">
        <v>26062</v>
      </c>
      <c r="E2414" s="198">
        <v>11</v>
      </c>
      <c r="F2414" s="199" t="s">
        <v>26063</v>
      </c>
      <c r="G2414" s="1" t="s">
        <v>26064</v>
      </c>
      <c r="H2414" s="200"/>
      <c r="I2414" s="346"/>
      <c r="J2414" s="39">
        <v>113038</v>
      </c>
      <c r="K2414" s="36" t="str">
        <f>CONCATENATE(Cover!$D$6,"fdd/view?i=",J2414)</f>
        <v>https://www.dgiwg.org/FAD/fdd/view?i=113038</v>
      </c>
      <c r="L2414" s="36" t="s">
        <v>26065</v>
      </c>
      <c r="M2414" s="186"/>
      <c r="N2414" s="186"/>
      <c r="O2414" s="172"/>
    </row>
    <row r="2415" spans="1:15" ht="38.25" x14ac:dyDescent="0.2">
      <c r="A2415" s="197" t="str">
        <f t="shared" si="37"/>
        <v>ClmCode_submaritime</v>
      </c>
      <c r="B2415" s="409"/>
      <c r="C2415" s="416"/>
      <c r="D2415" s="198" t="s">
        <v>26066</v>
      </c>
      <c r="E2415" s="198">
        <v>10</v>
      </c>
      <c r="F2415" s="199" t="s">
        <v>26067</v>
      </c>
      <c r="G2415" s="1" t="s">
        <v>26068</v>
      </c>
      <c r="H2415" s="200"/>
      <c r="I2415" s="346"/>
      <c r="J2415" s="39">
        <v>113037</v>
      </c>
      <c r="K2415" s="36" t="str">
        <f>CONCATENATE(Cover!$D$6,"fdd/view?i=",J2415)</f>
        <v>https://www.dgiwg.org/FAD/fdd/view?i=113037</v>
      </c>
      <c r="L2415" s="36" t="s">
        <v>26069</v>
      </c>
      <c r="M2415" s="186"/>
      <c r="N2415" s="186"/>
      <c r="O2415" s="172"/>
    </row>
    <row r="2416" spans="1:15" ht="25.5" x14ac:dyDescent="0.2">
      <c r="A2416" s="197" t="str">
        <f t="shared" si="37"/>
        <v>ClmCode_subpolarHighMaritime</v>
      </c>
      <c r="B2416" s="409"/>
      <c r="C2416" s="416"/>
      <c r="D2416" s="198" t="s">
        <v>26070</v>
      </c>
      <c r="E2416" s="198">
        <v>4</v>
      </c>
      <c r="F2416" s="199" t="s">
        <v>26071</v>
      </c>
      <c r="G2416" s="1" t="s">
        <v>26072</v>
      </c>
      <c r="H2416" s="200"/>
      <c r="I2416" s="346"/>
      <c r="J2416" s="39">
        <v>113031</v>
      </c>
      <c r="K2416" s="36" t="str">
        <f>CONCATENATE(Cover!$D$6,"fdd/view?i=",J2416)</f>
        <v>https://www.dgiwg.org/FAD/fdd/view?i=113031</v>
      </c>
      <c r="L2416" s="36" t="s">
        <v>26073</v>
      </c>
      <c r="M2416" s="186"/>
      <c r="N2416" s="186"/>
      <c r="O2416" s="172"/>
    </row>
    <row r="2417" spans="1:15" ht="25.5" x14ac:dyDescent="0.2">
      <c r="A2417" s="197" t="str">
        <f t="shared" si="37"/>
        <v>ClmCode_summerHumidSteppe</v>
      </c>
      <c r="B2417" s="409"/>
      <c r="C2417" s="416"/>
      <c r="D2417" s="198" t="s">
        <v>26074</v>
      </c>
      <c r="E2417" s="198">
        <v>21</v>
      </c>
      <c r="F2417" s="199" t="s">
        <v>26075</v>
      </c>
      <c r="G2417" s="1" t="s">
        <v>26076</v>
      </c>
      <c r="H2417" s="200"/>
      <c r="I2417" s="346"/>
      <c r="J2417" s="39">
        <v>113048</v>
      </c>
      <c r="K2417" s="36" t="str">
        <f>CONCATENATE(Cover!$D$6,"fdd/view?i=",J2417)</f>
        <v>https://www.dgiwg.org/FAD/fdd/view?i=113048</v>
      </c>
      <c r="L2417" s="36" t="s">
        <v>26077</v>
      </c>
      <c r="M2417" s="186"/>
      <c r="N2417" s="186"/>
      <c r="O2417" s="172"/>
    </row>
    <row r="2418" spans="1:15" ht="38.25" x14ac:dyDescent="0.2">
      <c r="A2418" s="197" t="str">
        <f t="shared" si="37"/>
        <v>ClmCode_summerWarmPermanentHumid</v>
      </c>
      <c r="B2418" s="409"/>
      <c r="C2418" s="416"/>
      <c r="D2418" s="198" t="s">
        <v>26078</v>
      </c>
      <c r="E2418" s="198">
        <v>16</v>
      </c>
      <c r="F2418" s="199" t="s">
        <v>26079</v>
      </c>
      <c r="G2418" s="1" t="s">
        <v>26080</v>
      </c>
      <c r="H2418" s="200"/>
      <c r="I2418" s="346"/>
      <c r="J2418" s="39">
        <v>113043</v>
      </c>
      <c r="K2418" s="36" t="str">
        <f>CONCATENATE(Cover!$D$6,"fdd/view?i=",J2418)</f>
        <v>https://www.dgiwg.org/FAD/fdd/view?i=113043</v>
      </c>
      <c r="L2418" s="36" t="s">
        <v>26081</v>
      </c>
      <c r="M2418" s="186"/>
      <c r="N2418" s="186"/>
      <c r="O2418" s="172"/>
    </row>
    <row r="2419" spans="1:15" ht="25.5" x14ac:dyDescent="0.2">
      <c r="A2419" s="197" t="str">
        <f t="shared" si="37"/>
        <v>ClmCode_summerWarmSummerHumid</v>
      </c>
      <c r="B2419" s="409"/>
      <c r="C2419" s="416"/>
      <c r="D2419" s="198" t="s">
        <v>26082</v>
      </c>
      <c r="E2419" s="198">
        <v>14</v>
      </c>
      <c r="F2419" s="199" t="s">
        <v>26083</v>
      </c>
      <c r="G2419" s="1" t="s">
        <v>26084</v>
      </c>
      <c r="H2419" s="200"/>
      <c r="I2419" s="346"/>
      <c r="J2419" s="39">
        <v>113041</v>
      </c>
      <c r="K2419" s="36" t="str">
        <f>CONCATENATE(Cover!$D$6,"fdd/view?i=",J2419)</f>
        <v>https://www.dgiwg.org/FAD/fdd/view?i=113041</v>
      </c>
      <c r="L2419" s="36" t="s">
        <v>26085</v>
      </c>
      <c r="M2419" s="186"/>
      <c r="N2419" s="186"/>
      <c r="O2419" s="172"/>
    </row>
    <row r="2420" spans="1:15" ht="25.5" x14ac:dyDescent="0.2">
      <c r="A2420" s="197" t="str">
        <f t="shared" si="37"/>
        <v>ClmCode_summerWarmWinterHumid</v>
      </c>
      <c r="B2420" s="409"/>
      <c r="C2420" s="416"/>
      <c r="D2420" s="198" t="s">
        <v>26086</v>
      </c>
      <c r="E2420" s="198">
        <v>15</v>
      </c>
      <c r="F2420" s="199" t="s">
        <v>26087</v>
      </c>
      <c r="G2420" s="1" t="s">
        <v>26088</v>
      </c>
      <c r="H2420" s="200"/>
      <c r="I2420" s="346"/>
      <c r="J2420" s="39">
        <v>113042</v>
      </c>
      <c r="K2420" s="36" t="str">
        <f>CONCATENATE(Cover!$D$6,"fdd/view?i=",J2420)</f>
        <v>https://www.dgiwg.org/FAD/fdd/view?i=113042</v>
      </c>
      <c r="L2420" s="36" t="s">
        <v>26089</v>
      </c>
      <c r="M2420" s="186"/>
      <c r="N2420" s="186"/>
      <c r="O2420" s="172"/>
    </row>
    <row r="2421" spans="1:15" ht="38.25" x14ac:dyDescent="0.2">
      <c r="A2421" s="197" t="str">
        <f t="shared" si="37"/>
        <v>ClmCode_tropicalChangingHumidity</v>
      </c>
      <c r="B2421" s="409"/>
      <c r="C2421" s="416"/>
      <c r="D2421" s="198" t="s">
        <v>26106</v>
      </c>
      <c r="E2421" s="198">
        <v>32</v>
      </c>
      <c r="F2421" s="199" t="s">
        <v>26107</v>
      </c>
      <c r="G2421" s="1" t="s">
        <v>26108</v>
      </c>
      <c r="H2421" s="200"/>
      <c r="I2421" s="346"/>
      <c r="J2421" s="39">
        <v>113059</v>
      </c>
      <c r="K2421" s="36" t="str">
        <f>CONCATENATE(Cover!$D$6,"fdd/view?i=",J2421)</f>
        <v>https://www.dgiwg.org/FAD/fdd/view?i=113059</v>
      </c>
      <c r="L2421" s="36" t="s">
        <v>26109</v>
      </c>
      <c r="M2421" s="186"/>
      <c r="N2421" s="186"/>
      <c r="O2421" s="172"/>
    </row>
    <row r="2422" spans="1:15" ht="25.5" x14ac:dyDescent="0.2">
      <c r="A2422" s="197" t="str">
        <f t="shared" si="37"/>
        <v>ClmCode_tropicalDry</v>
      </c>
      <c r="B2422" s="409"/>
      <c r="C2422" s="416"/>
      <c r="D2422" s="198" t="s">
        <v>26090</v>
      </c>
      <c r="E2422" s="198">
        <v>33</v>
      </c>
      <c r="F2422" s="199" t="s">
        <v>26091</v>
      </c>
      <c r="G2422" s="1" t="s">
        <v>26092</v>
      </c>
      <c r="H2422" s="200"/>
      <c r="I2422" s="346"/>
      <c r="J2422" s="39">
        <v>113060</v>
      </c>
      <c r="K2422" s="36" t="str">
        <f>CONCATENATE(Cover!$D$6,"fdd/view?i=",J2422)</f>
        <v>https://www.dgiwg.org/FAD/fdd/view?i=113060</v>
      </c>
      <c r="L2422" s="36" t="s">
        <v>26093</v>
      </c>
      <c r="M2422" s="186"/>
      <c r="N2422" s="186"/>
      <c r="O2422" s="172"/>
    </row>
    <row r="2423" spans="1:15" ht="25.5" x14ac:dyDescent="0.2">
      <c r="A2423" s="197" t="str">
        <f t="shared" si="37"/>
        <v>ClmCode_tropicalHumid</v>
      </c>
      <c r="B2423" s="409"/>
      <c r="C2423" s="416"/>
      <c r="D2423" s="198" t="s">
        <v>26094</v>
      </c>
      <c r="E2423" s="198">
        <v>31</v>
      </c>
      <c r="F2423" s="199" t="s">
        <v>26095</v>
      </c>
      <c r="G2423" s="1" t="s">
        <v>26096</v>
      </c>
      <c r="H2423" s="200"/>
      <c r="I2423" s="346"/>
      <c r="J2423" s="39">
        <v>113058</v>
      </c>
      <c r="K2423" s="36" t="str">
        <f>CONCATENATE(Cover!$D$6,"fdd/view?i=",J2423)</f>
        <v>https://www.dgiwg.org/FAD/fdd/view?i=113058</v>
      </c>
      <c r="L2423" s="36" t="s">
        <v>26097</v>
      </c>
      <c r="M2423" s="186"/>
      <c r="N2423" s="186"/>
      <c r="O2423" s="172"/>
    </row>
    <row r="2424" spans="1:15" ht="25.5" x14ac:dyDescent="0.2">
      <c r="A2424" s="197" t="str">
        <f t="shared" si="37"/>
        <v>ClmCode_tropicalRain</v>
      </c>
      <c r="B2424" s="409"/>
      <c r="C2424" s="416"/>
      <c r="D2424" s="198" t="s">
        <v>26098</v>
      </c>
      <c r="E2424" s="198">
        <v>30</v>
      </c>
      <c r="F2424" s="199" t="s">
        <v>26099</v>
      </c>
      <c r="G2424" s="1" t="s">
        <v>26100</v>
      </c>
      <c r="H2424" s="200"/>
      <c r="I2424" s="346"/>
      <c r="J2424" s="39">
        <v>113057</v>
      </c>
      <c r="K2424" s="36" t="str">
        <f>CONCATENATE(Cover!$D$6,"fdd/view?i=",J2424)</f>
        <v>https://www.dgiwg.org/FAD/fdd/view?i=113057</v>
      </c>
      <c r="L2424" s="36" t="s">
        <v>26101</v>
      </c>
      <c r="M2424" s="186"/>
      <c r="N2424" s="186"/>
      <c r="O2424" s="172"/>
    </row>
    <row r="2425" spans="1:15" ht="25.5" x14ac:dyDescent="0.2">
      <c r="A2425" s="197" t="str">
        <f t="shared" si="37"/>
        <v>ClmCode_tropicalSemiDesertDesert</v>
      </c>
      <c r="B2425" s="409"/>
      <c r="C2425" s="416"/>
      <c r="D2425" s="198" t="s">
        <v>26102</v>
      </c>
      <c r="E2425" s="198">
        <v>34</v>
      </c>
      <c r="F2425" s="199" t="s">
        <v>26103</v>
      </c>
      <c r="G2425" s="1" t="s">
        <v>26104</v>
      </c>
      <c r="H2425" s="200"/>
      <c r="I2425" s="346"/>
      <c r="J2425" s="39">
        <v>113061</v>
      </c>
      <c r="K2425" s="36" t="str">
        <f>CONCATENATE(Cover!$D$6,"fdd/view?i=",J2425)</f>
        <v>https://www.dgiwg.org/FAD/fdd/view?i=113061</v>
      </c>
      <c r="L2425" s="36" t="s">
        <v>26105</v>
      </c>
      <c r="M2425" s="186"/>
      <c r="N2425" s="186"/>
      <c r="O2425" s="172"/>
    </row>
    <row r="2426" spans="1:15" ht="38.25" x14ac:dyDescent="0.2">
      <c r="A2426" s="197" t="str">
        <f t="shared" si="37"/>
        <v>ClmCode_winterColdSemiDesert</v>
      </c>
      <c r="B2426" s="409"/>
      <c r="C2426" s="416"/>
      <c r="D2426" s="198" t="s">
        <v>26110</v>
      </c>
      <c r="E2426" s="198">
        <v>22</v>
      </c>
      <c r="F2426" s="199" t="s">
        <v>26111</v>
      </c>
      <c r="G2426" s="1" t="s">
        <v>26112</v>
      </c>
      <c r="H2426" s="200"/>
      <c r="I2426" s="346"/>
      <c r="J2426" s="39">
        <v>113049</v>
      </c>
      <c r="K2426" s="36" t="str">
        <f>CONCATENATE(Cover!$D$6,"fdd/view?i=",J2426)</f>
        <v>https://www.dgiwg.org/FAD/fdd/view?i=113049</v>
      </c>
      <c r="L2426" s="36" t="s">
        <v>26113</v>
      </c>
      <c r="M2426" s="186"/>
      <c r="N2426" s="186"/>
      <c r="O2426" s="172"/>
    </row>
    <row r="2427" spans="1:15" ht="38.25" x14ac:dyDescent="0.2">
      <c r="A2427" s="197" t="str">
        <f t="shared" si="37"/>
        <v>ClmCode_winterHumSumDroughtSteppe</v>
      </c>
      <c r="B2427" s="409"/>
      <c r="C2427" s="416"/>
      <c r="D2427" s="198" t="s">
        <v>26114</v>
      </c>
      <c r="E2427" s="198">
        <v>25</v>
      </c>
      <c r="F2427" s="199" t="s">
        <v>26115</v>
      </c>
      <c r="G2427" s="1" t="s">
        <v>26116</v>
      </c>
      <c r="H2427" s="200"/>
      <c r="I2427" s="346"/>
      <c r="J2427" s="39">
        <v>113052</v>
      </c>
      <c r="K2427" s="36" t="str">
        <f>CONCATENATE(Cover!$D$6,"fdd/view?i=",J2427)</f>
        <v>https://www.dgiwg.org/FAD/fdd/view?i=113052</v>
      </c>
      <c r="L2427" s="36" t="s">
        <v>26117</v>
      </c>
      <c r="M2427" s="186"/>
      <c r="N2427" s="186"/>
      <c r="O2427" s="172"/>
    </row>
    <row r="2428" spans="1:15" ht="38.25" x14ac:dyDescent="0.2">
      <c r="A2428" s="197" t="str">
        <f t="shared" si="37"/>
        <v>ClmCode_winterHumSumDryMediterran</v>
      </c>
      <c r="B2428" s="409"/>
      <c r="C2428" s="416"/>
      <c r="D2428" s="198" t="s">
        <v>26118</v>
      </c>
      <c r="E2428" s="198">
        <v>24</v>
      </c>
      <c r="F2428" s="199" t="s">
        <v>26119</v>
      </c>
      <c r="G2428" s="1" t="s">
        <v>26120</v>
      </c>
      <c r="H2428" s="200"/>
      <c r="I2428" s="346"/>
      <c r="J2428" s="39">
        <v>113051</v>
      </c>
      <c r="K2428" s="36" t="str">
        <f>CONCATENATE(Cover!$D$6,"fdd/view?i=",J2428)</f>
        <v>https://www.dgiwg.org/FAD/fdd/view?i=113051</v>
      </c>
      <c r="L2428" s="36" t="s">
        <v>26121</v>
      </c>
      <c r="M2428" s="186"/>
      <c r="N2428" s="186"/>
      <c r="O2428" s="172"/>
    </row>
    <row r="2429" spans="1:15" ht="38.25" x14ac:dyDescent="0.2">
      <c r="A2429" s="203" t="str">
        <f t="shared" si="37"/>
        <v>ClmCode_winterSoftSemiDesert</v>
      </c>
      <c r="B2429" s="410"/>
      <c r="C2429" s="417"/>
      <c r="D2429" s="204" t="s">
        <v>26122</v>
      </c>
      <c r="E2429" s="204">
        <v>23</v>
      </c>
      <c r="F2429" s="205" t="s">
        <v>26123</v>
      </c>
      <c r="G2429" s="206" t="s">
        <v>26124</v>
      </c>
      <c r="H2429" s="207"/>
      <c r="I2429" s="347"/>
      <c r="J2429" s="39">
        <v>113050</v>
      </c>
      <c r="K2429" s="36" t="str">
        <f>CONCATENATE(Cover!$D$6,"fdd/view?i=",J2429)</f>
        <v>https://www.dgiwg.org/FAD/fdd/view?i=113050</v>
      </c>
      <c r="L2429" s="36" t="s">
        <v>26125</v>
      </c>
      <c r="M2429" s="186"/>
      <c r="N2429" s="186"/>
      <c r="O2429" s="172"/>
    </row>
    <row r="2430" spans="1:15" ht="25.5" x14ac:dyDescent="0.2">
      <c r="A2430" s="190" t="str">
        <f t="shared" si="37"/>
        <v>ClzCode_mountainAltitude</v>
      </c>
      <c r="B2430" s="414" t="str">
        <f>HYPERLINK("[#]Datatypes!A322:L322","ClzCode")</f>
        <v>ClzCode</v>
      </c>
      <c r="C2430" s="415" t="s">
        <v>14883</v>
      </c>
      <c r="D2430" s="221" t="s">
        <v>26126</v>
      </c>
      <c r="E2430" s="221">
        <v>7</v>
      </c>
      <c r="F2430" s="222" t="s">
        <v>26127</v>
      </c>
      <c r="G2430" s="223" t="s">
        <v>26128</v>
      </c>
      <c r="H2430" s="224"/>
      <c r="I2430" s="345"/>
      <c r="J2430" s="39">
        <v>113068</v>
      </c>
      <c r="K2430" s="36" t="str">
        <f>CONCATENATE(Cover!$D$6,"fdd/view?i=",J2430)</f>
        <v>https://www.dgiwg.org/FAD/fdd/view?i=113068</v>
      </c>
      <c r="L2430" s="36" t="s">
        <v>26129</v>
      </c>
      <c r="M2430" s="186"/>
      <c r="N2430" s="186"/>
      <c r="O2430" s="172"/>
    </row>
    <row r="2431" spans="1:15" x14ac:dyDescent="0.2">
      <c r="A2431" s="197" t="str">
        <f t="shared" si="37"/>
        <v>ClzCode_polarSubpolar</v>
      </c>
      <c r="B2431" s="409"/>
      <c r="C2431" s="416"/>
      <c r="D2431" s="198" t="s">
        <v>26130</v>
      </c>
      <c r="E2431" s="198">
        <v>1</v>
      </c>
      <c r="F2431" s="199" t="s">
        <v>26131</v>
      </c>
      <c r="G2431" s="1" t="s">
        <v>26132</v>
      </c>
      <c r="H2431" s="200"/>
      <c r="I2431" s="346"/>
      <c r="J2431" s="39">
        <v>113062</v>
      </c>
      <c r="K2431" s="36" t="str">
        <f>CONCATENATE(Cover!$D$6,"fdd/view?i=",J2431)</f>
        <v>https://www.dgiwg.org/FAD/fdd/view?i=113062</v>
      </c>
      <c r="L2431" s="36" t="s">
        <v>26133</v>
      </c>
      <c r="M2431" s="186"/>
      <c r="N2431" s="186"/>
      <c r="O2431" s="172"/>
    </row>
    <row r="2432" spans="1:15" ht="25.5" x14ac:dyDescent="0.2">
      <c r="A2432" s="197" t="str">
        <f t="shared" si="37"/>
        <v>ClzCode_seasonalHumidCoast</v>
      </c>
      <c r="B2432" s="409"/>
      <c r="C2432" s="416"/>
      <c r="D2432" s="198" t="s">
        <v>26134</v>
      </c>
      <c r="E2432" s="198">
        <v>6</v>
      </c>
      <c r="F2432" s="199" t="s">
        <v>26135</v>
      </c>
      <c r="G2432" s="1" t="s">
        <v>26136</v>
      </c>
      <c r="H2432" s="200"/>
      <c r="I2432" s="346"/>
      <c r="J2432" s="39">
        <v>113067</v>
      </c>
      <c r="K2432" s="36" t="str">
        <f>CONCATENATE(Cover!$D$6,"fdd/view?i=",J2432)</f>
        <v>https://www.dgiwg.org/FAD/fdd/view?i=113067</v>
      </c>
      <c r="L2432" s="36" t="s">
        <v>26137</v>
      </c>
      <c r="M2432" s="186"/>
      <c r="N2432" s="186"/>
      <c r="O2432" s="172"/>
    </row>
    <row r="2433" spans="1:15" ht="25.5" x14ac:dyDescent="0.2">
      <c r="A2433" s="197" t="str">
        <f t="shared" si="37"/>
        <v>ClzCode_temperateColdBoreal</v>
      </c>
      <c r="B2433" s="409"/>
      <c r="C2433" s="416"/>
      <c r="D2433" s="198" t="s">
        <v>26138</v>
      </c>
      <c r="E2433" s="198">
        <v>2</v>
      </c>
      <c r="F2433" s="199" t="s">
        <v>26139</v>
      </c>
      <c r="G2433" s="1" t="s">
        <v>26140</v>
      </c>
      <c r="H2433" s="200"/>
      <c r="I2433" s="346"/>
      <c r="J2433" s="39">
        <v>113063</v>
      </c>
      <c r="K2433" s="36" t="str">
        <f>CONCATENATE(Cover!$D$6,"fdd/view?i=",J2433)</f>
        <v>https://www.dgiwg.org/FAD/fdd/view?i=113063</v>
      </c>
      <c r="L2433" s="36" t="s">
        <v>26141</v>
      </c>
      <c r="M2433" s="186"/>
      <c r="N2433" s="186"/>
      <c r="O2433" s="172"/>
    </row>
    <row r="2434" spans="1:15" ht="25.5" x14ac:dyDescent="0.2">
      <c r="A2434" s="197" t="str">
        <f t="shared" ref="A2434:A2497" si="38">HYPERLINK(K2434,L2434)</f>
        <v>ClzCode_temperateCool</v>
      </c>
      <c r="B2434" s="409"/>
      <c r="C2434" s="416"/>
      <c r="D2434" s="198" t="s">
        <v>26142</v>
      </c>
      <c r="E2434" s="198">
        <v>3</v>
      </c>
      <c r="F2434" s="199" t="s">
        <v>26143</v>
      </c>
      <c r="G2434" s="1" t="s">
        <v>26144</v>
      </c>
      <c r="H2434" s="200"/>
      <c r="I2434" s="346"/>
      <c r="J2434" s="39">
        <v>113064</v>
      </c>
      <c r="K2434" s="36" t="str">
        <f>CONCATENATE(Cover!$D$6,"fdd/view?i=",J2434)</f>
        <v>https://www.dgiwg.org/FAD/fdd/view?i=113064</v>
      </c>
      <c r="L2434" s="36" t="s">
        <v>26145</v>
      </c>
      <c r="M2434" s="186"/>
      <c r="N2434" s="186"/>
      <c r="O2434" s="172"/>
    </row>
    <row r="2435" spans="1:15" ht="38.25" x14ac:dyDescent="0.2">
      <c r="A2435" s="197" t="str">
        <f t="shared" si="38"/>
        <v>ClzCode_temperateWarmSubtropical</v>
      </c>
      <c r="B2435" s="409"/>
      <c r="C2435" s="416"/>
      <c r="D2435" s="198" t="s">
        <v>26146</v>
      </c>
      <c r="E2435" s="198">
        <v>4</v>
      </c>
      <c r="F2435" s="199" t="s">
        <v>26147</v>
      </c>
      <c r="G2435" s="1" t="s">
        <v>26148</v>
      </c>
      <c r="H2435" s="200"/>
      <c r="I2435" s="346"/>
      <c r="J2435" s="39">
        <v>113065</v>
      </c>
      <c r="K2435" s="36" t="str">
        <f>CONCATENATE(Cover!$D$6,"fdd/view?i=",J2435)</f>
        <v>https://www.dgiwg.org/FAD/fdd/view?i=113065</v>
      </c>
      <c r="L2435" s="36" t="s">
        <v>26149</v>
      </c>
      <c r="M2435" s="186"/>
      <c r="N2435" s="186"/>
      <c r="O2435" s="172"/>
    </row>
    <row r="2436" spans="1:15" ht="25.5" x14ac:dyDescent="0.2">
      <c r="A2436" s="203" t="str">
        <f t="shared" si="38"/>
        <v>ClzCode_tropical</v>
      </c>
      <c r="B2436" s="410"/>
      <c r="C2436" s="417"/>
      <c r="D2436" s="204" t="s">
        <v>26150</v>
      </c>
      <c r="E2436" s="204">
        <v>5</v>
      </c>
      <c r="F2436" s="205" t="s">
        <v>26151</v>
      </c>
      <c r="G2436" s="206" t="s">
        <v>26152</v>
      </c>
      <c r="H2436" s="207"/>
      <c r="I2436" s="347"/>
      <c r="J2436" s="39">
        <v>113066</v>
      </c>
      <c r="K2436" s="36" t="str">
        <f>CONCATENATE(Cover!$D$6,"fdd/view?i=",J2436)</f>
        <v>https://www.dgiwg.org/FAD/fdd/view?i=113066</v>
      </c>
      <c r="L2436" s="36" t="s">
        <v>26153</v>
      </c>
      <c r="M2436" s="186"/>
      <c r="N2436" s="186"/>
      <c r="O2436" s="172"/>
    </row>
    <row r="2437" spans="1:15" ht="25.5" x14ac:dyDescent="0.2">
      <c r="A2437" s="190" t="str">
        <f t="shared" si="38"/>
        <v>ShoCode_artificial</v>
      </c>
      <c r="B2437" s="414" t="str">
        <f>HYPERLINK("[#]Datatypes!A324:L324","ShoCode")</f>
        <v>ShoCode</v>
      </c>
      <c r="C2437" s="415" t="s">
        <v>14885</v>
      </c>
      <c r="D2437" s="221" t="s">
        <v>25513</v>
      </c>
      <c r="E2437" s="221">
        <v>5</v>
      </c>
      <c r="F2437" s="222" t="s">
        <v>25514</v>
      </c>
      <c r="G2437" s="223" t="s">
        <v>26154</v>
      </c>
      <c r="H2437" s="224"/>
      <c r="I2437" s="345"/>
      <c r="J2437" s="39">
        <v>107665</v>
      </c>
      <c r="K2437" s="36" t="str">
        <f>CONCATENATE(Cover!$D$6,"fdd/view?i=",J2437)</f>
        <v>https://www.dgiwg.org/FAD/fdd/view?i=107665</v>
      </c>
      <c r="L2437" s="36" t="s">
        <v>26155</v>
      </c>
      <c r="M2437" s="186"/>
      <c r="N2437" s="186"/>
      <c r="O2437" s="172"/>
    </row>
    <row r="2438" spans="1:15" ht="25.5" x14ac:dyDescent="0.2">
      <c r="A2438" s="197" t="str">
        <f t="shared" si="38"/>
        <v>ShoCode_coralReef</v>
      </c>
      <c r="B2438" s="409"/>
      <c r="C2438" s="416"/>
      <c r="D2438" s="198" t="s">
        <v>26156</v>
      </c>
      <c r="E2438" s="198">
        <v>14</v>
      </c>
      <c r="F2438" s="199" t="s">
        <v>26157</v>
      </c>
      <c r="G2438" s="1" t="s">
        <v>26158</v>
      </c>
      <c r="H2438" s="200"/>
      <c r="I2438" s="346"/>
      <c r="J2438" s="39">
        <v>110473</v>
      </c>
      <c r="K2438" s="36" t="str">
        <f>CONCATENATE(Cover!$D$6,"fdd/view?i=",J2438)</f>
        <v>https://www.dgiwg.org/FAD/fdd/view?i=110473</v>
      </c>
      <c r="L2438" s="36" t="s">
        <v>26159</v>
      </c>
      <c r="M2438" s="186"/>
      <c r="N2438" s="186"/>
      <c r="O2438" s="172"/>
    </row>
    <row r="2439" spans="1:15" x14ac:dyDescent="0.2">
      <c r="A2439" s="197" t="str">
        <f t="shared" si="38"/>
        <v>ShoCode_flatCoast</v>
      </c>
      <c r="B2439" s="409"/>
      <c r="C2439" s="416"/>
      <c r="D2439" s="198" t="s">
        <v>26160</v>
      </c>
      <c r="E2439" s="198">
        <v>2</v>
      </c>
      <c r="F2439" s="199" t="s">
        <v>26161</v>
      </c>
      <c r="G2439" s="1" t="s">
        <v>26162</v>
      </c>
      <c r="H2439" s="200"/>
      <c r="I2439" s="346"/>
      <c r="J2439" s="39">
        <v>107662</v>
      </c>
      <c r="K2439" s="36" t="str">
        <f>CONCATENATE(Cover!$D$6,"fdd/view?i=",J2439)</f>
        <v>https://www.dgiwg.org/FAD/fdd/view?i=107662</v>
      </c>
      <c r="L2439" s="36" t="s">
        <v>26163</v>
      </c>
      <c r="M2439" s="186"/>
      <c r="N2439" s="186"/>
      <c r="O2439" s="172"/>
    </row>
    <row r="2440" spans="1:15" x14ac:dyDescent="0.2">
      <c r="A2440" s="197" t="str">
        <f t="shared" si="38"/>
        <v>ShoCode_glacier</v>
      </c>
      <c r="B2440" s="409"/>
      <c r="C2440" s="416"/>
      <c r="D2440" s="198" t="s">
        <v>25559</v>
      </c>
      <c r="E2440" s="198">
        <v>7</v>
      </c>
      <c r="F2440" s="199" t="s">
        <v>3346</v>
      </c>
      <c r="G2440" s="1" t="s">
        <v>26164</v>
      </c>
      <c r="H2440" s="200"/>
      <c r="I2440" s="351" t="s">
        <v>26165</v>
      </c>
      <c r="J2440" s="39">
        <v>107667</v>
      </c>
      <c r="K2440" s="36" t="str">
        <f>CONCATENATE(Cover!$D$6,"fdd/view?i=",J2440)</f>
        <v>https://www.dgiwg.org/FAD/fdd/view?i=107667</v>
      </c>
      <c r="L2440" s="36" t="s">
        <v>26166</v>
      </c>
      <c r="M2440" s="186"/>
      <c r="N2440" s="186"/>
      <c r="O2440" s="172"/>
    </row>
    <row r="2441" spans="1:15" ht="38.25" x14ac:dyDescent="0.2">
      <c r="A2441" s="197" t="str">
        <f t="shared" si="38"/>
        <v>ShoCode_hillocks</v>
      </c>
      <c r="B2441" s="409"/>
      <c r="C2441" s="416"/>
      <c r="D2441" s="198" t="s">
        <v>26167</v>
      </c>
      <c r="E2441" s="198">
        <v>1</v>
      </c>
      <c r="F2441" s="199" t="s">
        <v>26168</v>
      </c>
      <c r="G2441" s="1" t="s">
        <v>26169</v>
      </c>
      <c r="H2441" s="1" t="s">
        <v>26170</v>
      </c>
      <c r="I2441" s="346"/>
      <c r="J2441" s="39">
        <v>107661</v>
      </c>
      <c r="K2441" s="36" t="str">
        <f>CONCATENATE(Cover!$D$6,"fdd/view?i=",J2441)</f>
        <v>https://www.dgiwg.org/FAD/fdd/view?i=107661</v>
      </c>
      <c r="L2441" s="36" t="s">
        <v>26171</v>
      </c>
      <c r="M2441" s="186"/>
      <c r="N2441" s="186"/>
      <c r="O2441" s="172"/>
    </row>
    <row r="2442" spans="1:15" ht="25.5" x14ac:dyDescent="0.2">
      <c r="A2442" s="197" t="str">
        <f t="shared" si="38"/>
        <v>ShoCode_iceCoast</v>
      </c>
      <c r="B2442" s="409"/>
      <c r="C2442" s="416"/>
      <c r="D2442" s="198" t="s">
        <v>26172</v>
      </c>
      <c r="E2442" s="198">
        <v>8</v>
      </c>
      <c r="F2442" s="199" t="s">
        <v>26173</v>
      </c>
      <c r="G2442" s="1" t="s">
        <v>26174</v>
      </c>
      <c r="H2442" s="200"/>
      <c r="I2442" s="346"/>
      <c r="J2442" s="39">
        <v>107668</v>
      </c>
      <c r="K2442" s="36" t="str">
        <f>CONCATENATE(Cover!$D$6,"fdd/view?i=",J2442)</f>
        <v>https://www.dgiwg.org/FAD/fdd/view?i=107668</v>
      </c>
      <c r="L2442" s="36" t="s">
        <v>26175</v>
      </c>
      <c r="M2442" s="186"/>
      <c r="N2442" s="186"/>
      <c r="O2442" s="172"/>
    </row>
    <row r="2443" spans="1:15" ht="38.25" x14ac:dyDescent="0.2">
      <c r="A2443" s="197" t="str">
        <f t="shared" si="38"/>
        <v>ShoCode_mangrove</v>
      </c>
      <c r="B2443" s="409"/>
      <c r="C2443" s="416"/>
      <c r="D2443" s="198" t="s">
        <v>26176</v>
      </c>
      <c r="E2443" s="198">
        <v>12</v>
      </c>
      <c r="F2443" s="199" t="s">
        <v>26177</v>
      </c>
      <c r="G2443" s="1" t="s">
        <v>26178</v>
      </c>
      <c r="H2443" s="200"/>
      <c r="I2443" s="346"/>
      <c r="J2443" s="39">
        <v>110471</v>
      </c>
      <c r="K2443" s="36" t="str">
        <f>CONCATENATE(Cover!$D$6,"fdd/view?i=",J2443)</f>
        <v>https://www.dgiwg.org/FAD/fdd/view?i=110471</v>
      </c>
      <c r="L2443" s="36" t="s">
        <v>26179</v>
      </c>
      <c r="M2443" s="186"/>
      <c r="N2443" s="186"/>
      <c r="O2443" s="172"/>
    </row>
    <row r="2444" spans="1:15" ht="38.25" x14ac:dyDescent="0.2">
      <c r="A2444" s="197" t="str">
        <f t="shared" si="38"/>
        <v>ShoCode_marshy</v>
      </c>
      <c r="B2444" s="409"/>
      <c r="C2444" s="416"/>
      <c r="D2444" s="198" t="s">
        <v>26180</v>
      </c>
      <c r="E2444" s="198">
        <v>13</v>
      </c>
      <c r="F2444" s="199" t="s">
        <v>26181</v>
      </c>
      <c r="G2444" s="1" t="s">
        <v>26182</v>
      </c>
      <c r="H2444" s="200"/>
      <c r="I2444" s="346"/>
      <c r="J2444" s="39">
        <v>110472</v>
      </c>
      <c r="K2444" s="36" t="str">
        <f>CONCATENATE(Cover!$D$6,"fdd/view?i=",J2444)</f>
        <v>https://www.dgiwg.org/FAD/fdd/view?i=110472</v>
      </c>
      <c r="L2444" s="36" t="s">
        <v>26183</v>
      </c>
      <c r="M2444" s="186"/>
      <c r="N2444" s="186"/>
      <c r="O2444" s="172"/>
    </row>
    <row r="2445" spans="1:15" ht="38.25" x14ac:dyDescent="0.2">
      <c r="A2445" s="197" t="str">
        <f t="shared" si="38"/>
        <v>ShoCode_sandyShore</v>
      </c>
      <c r="B2445" s="409"/>
      <c r="C2445" s="416"/>
      <c r="D2445" s="198" t="s">
        <v>26184</v>
      </c>
      <c r="E2445" s="198">
        <v>3</v>
      </c>
      <c r="F2445" s="199" t="s">
        <v>26185</v>
      </c>
      <c r="G2445" s="1" t="s">
        <v>26186</v>
      </c>
      <c r="H2445" s="200"/>
      <c r="I2445" s="346"/>
      <c r="J2445" s="39">
        <v>107663</v>
      </c>
      <c r="K2445" s="36" t="str">
        <f>CONCATENATE(Cover!$D$6,"fdd/view?i=",J2445)</f>
        <v>https://www.dgiwg.org/FAD/fdd/view?i=107663</v>
      </c>
      <c r="L2445" s="36" t="s">
        <v>26187</v>
      </c>
      <c r="M2445" s="186"/>
      <c r="N2445" s="186"/>
      <c r="O2445" s="172"/>
    </row>
    <row r="2446" spans="1:15" ht="25.5" x14ac:dyDescent="0.2">
      <c r="A2446" s="197" t="str">
        <f t="shared" si="38"/>
        <v>ShoCode_shellyShore</v>
      </c>
      <c r="B2446" s="409"/>
      <c r="C2446" s="416"/>
      <c r="D2446" s="198" t="s">
        <v>26188</v>
      </c>
      <c r="E2446" s="198">
        <v>15</v>
      </c>
      <c r="F2446" s="199" t="s">
        <v>26189</v>
      </c>
      <c r="G2446" s="1" t="s">
        <v>26190</v>
      </c>
      <c r="H2446" s="200"/>
      <c r="I2446" s="346"/>
      <c r="J2446" s="39">
        <v>110474</v>
      </c>
      <c r="K2446" s="36" t="str">
        <f>CONCATENATE(Cover!$D$6,"fdd/view?i=",J2446)</f>
        <v>https://www.dgiwg.org/FAD/fdd/view?i=110474</v>
      </c>
      <c r="L2446" s="36" t="s">
        <v>26191</v>
      </c>
      <c r="M2446" s="186"/>
      <c r="N2446" s="186"/>
      <c r="O2446" s="172"/>
    </row>
    <row r="2447" spans="1:15" ht="25.5" x14ac:dyDescent="0.2">
      <c r="A2447" s="197" t="str">
        <f t="shared" si="38"/>
        <v>ShoCode_shinglyShore</v>
      </c>
      <c r="B2447" s="409"/>
      <c r="C2447" s="416"/>
      <c r="D2447" s="198" t="s">
        <v>26192</v>
      </c>
      <c r="E2447" s="198">
        <v>11</v>
      </c>
      <c r="F2447" s="199" t="s">
        <v>26193</v>
      </c>
      <c r="G2447" s="1" t="s">
        <v>26194</v>
      </c>
      <c r="H2447" s="200"/>
      <c r="I2447" s="346"/>
      <c r="J2447" s="39">
        <v>110470</v>
      </c>
      <c r="K2447" s="36" t="str">
        <f>CONCATENATE(Cover!$D$6,"fdd/view?i=",J2447)</f>
        <v>https://www.dgiwg.org/FAD/fdd/view?i=110470</v>
      </c>
      <c r="L2447" s="36" t="s">
        <v>26195</v>
      </c>
      <c r="M2447" s="186"/>
      <c r="N2447" s="186"/>
      <c r="O2447" s="172"/>
    </row>
    <row r="2448" spans="1:15" ht="38.25" x14ac:dyDescent="0.2">
      <c r="A2448" s="197" t="str">
        <f t="shared" si="38"/>
        <v>ShoCode_steepCoast</v>
      </c>
      <c r="B2448" s="409"/>
      <c r="C2448" s="416"/>
      <c r="D2448" s="198" t="s">
        <v>26196</v>
      </c>
      <c r="E2448" s="198">
        <v>9</v>
      </c>
      <c r="F2448" s="199" t="s">
        <v>26197</v>
      </c>
      <c r="G2448" s="1" t="s">
        <v>26198</v>
      </c>
      <c r="H2448" s="1" t="s">
        <v>26199</v>
      </c>
      <c r="I2448" s="346"/>
      <c r="J2448" s="39">
        <v>107669</v>
      </c>
      <c r="K2448" s="36" t="str">
        <f>CONCATENATE(Cover!$D$6,"fdd/view?i=",J2448)</f>
        <v>https://www.dgiwg.org/FAD/fdd/view?i=107669</v>
      </c>
      <c r="L2448" s="36" t="s">
        <v>26200</v>
      </c>
      <c r="M2448" s="186"/>
      <c r="N2448" s="186"/>
      <c r="O2448" s="172"/>
    </row>
    <row r="2449" spans="1:15" ht="25.5" x14ac:dyDescent="0.2">
      <c r="A2449" s="203" t="str">
        <f t="shared" si="38"/>
        <v>ShoCode_stonyShore</v>
      </c>
      <c r="B2449" s="410"/>
      <c r="C2449" s="417"/>
      <c r="D2449" s="204" t="s">
        <v>26201</v>
      </c>
      <c r="E2449" s="204">
        <v>10</v>
      </c>
      <c r="F2449" s="205" t="s">
        <v>26202</v>
      </c>
      <c r="G2449" s="206" t="s">
        <v>26203</v>
      </c>
      <c r="H2449" s="207"/>
      <c r="I2449" s="347"/>
      <c r="J2449" s="39">
        <v>110469</v>
      </c>
      <c r="K2449" s="36" t="str">
        <f>CONCATENATE(Cover!$D$6,"fdd/view?i=",J2449)</f>
        <v>https://www.dgiwg.org/FAD/fdd/view?i=110469</v>
      </c>
      <c r="L2449" s="36" t="s">
        <v>26204</v>
      </c>
      <c r="M2449" s="186"/>
      <c r="N2449" s="186"/>
      <c r="O2449" s="172"/>
    </row>
    <row r="2450" spans="1:15" ht="38.25" x14ac:dyDescent="0.2">
      <c r="A2450" s="190" t="str">
        <f t="shared" si="38"/>
        <v>WpcCode_constructionOfStructures</v>
      </c>
      <c r="B2450" s="414" t="str">
        <f>HYPERLINK("[#]Datatypes!A326:L326","WpcCode")</f>
        <v>WpcCode</v>
      </c>
      <c r="C2450" s="415" t="s">
        <v>14887</v>
      </c>
      <c r="D2450" s="221" t="s">
        <v>26205</v>
      </c>
      <c r="E2450" s="221">
        <v>2</v>
      </c>
      <c r="F2450" s="222" t="s">
        <v>26206</v>
      </c>
      <c r="G2450" s="223" t="s">
        <v>26207</v>
      </c>
      <c r="H2450" s="224"/>
      <c r="I2450" s="345"/>
      <c r="J2450" s="39">
        <v>109585</v>
      </c>
      <c r="K2450" s="36" t="str">
        <f>CONCATENATE(Cover!$D$6,"fdd/view?i=",J2450)</f>
        <v>https://www.dgiwg.org/FAD/fdd/view?i=109585</v>
      </c>
      <c r="L2450" s="36" t="s">
        <v>26208</v>
      </c>
      <c r="M2450" s="186"/>
      <c r="N2450" s="186"/>
      <c r="O2450" s="172"/>
    </row>
    <row r="2451" spans="1:15" ht="25.5" x14ac:dyDescent="0.2">
      <c r="A2451" s="203" t="str">
        <f t="shared" si="38"/>
        <v>WpcCode_landReclamation</v>
      </c>
      <c r="B2451" s="410"/>
      <c r="C2451" s="417"/>
      <c r="D2451" s="204" t="s">
        <v>26209</v>
      </c>
      <c r="E2451" s="204">
        <v>1</v>
      </c>
      <c r="F2451" s="205" t="s">
        <v>26210</v>
      </c>
      <c r="G2451" s="206" t="s">
        <v>26211</v>
      </c>
      <c r="H2451" s="207"/>
      <c r="I2451" s="347"/>
      <c r="J2451" s="39">
        <v>109584</v>
      </c>
      <c r="K2451" s="36" t="str">
        <f>CONCATENATE(Cover!$D$6,"fdd/view?i=",J2451)</f>
        <v>https://www.dgiwg.org/FAD/fdd/view?i=109584</v>
      </c>
      <c r="L2451" s="36" t="s">
        <v>26212</v>
      </c>
      <c r="M2451" s="186"/>
      <c r="N2451" s="186"/>
      <c r="O2451" s="172"/>
    </row>
    <row r="2452" spans="1:15" ht="38.25" x14ac:dyDescent="0.2">
      <c r="A2452" s="190" t="str">
        <f t="shared" si="38"/>
        <v>CptCode_borderStripe</v>
      </c>
      <c r="B2452" s="414" t="str">
        <f>HYPERLINK("[#]Datatypes!A328:L328","CptCode")</f>
        <v>CptCode</v>
      </c>
      <c r="C2452" s="415" t="s">
        <v>14889</v>
      </c>
      <c r="D2452" s="221" t="s">
        <v>26213</v>
      </c>
      <c r="E2452" s="221">
        <v>6</v>
      </c>
      <c r="F2452" s="222" t="s">
        <v>26214</v>
      </c>
      <c r="G2452" s="223" t="s">
        <v>26215</v>
      </c>
      <c r="H2452" s="223" t="s">
        <v>26216</v>
      </c>
      <c r="I2452" s="345"/>
      <c r="J2452" s="39">
        <v>110842</v>
      </c>
      <c r="K2452" s="36" t="str">
        <f>CONCATENATE(Cover!$D$6,"fdd/view?i=",J2452)</f>
        <v>https://www.dgiwg.org/FAD/fdd/view?i=110842</v>
      </c>
      <c r="L2452" s="36" t="s">
        <v>26217</v>
      </c>
      <c r="M2452" s="186"/>
      <c r="N2452" s="186"/>
      <c r="O2452" s="172"/>
    </row>
    <row r="2453" spans="1:15" ht="38.25" x14ac:dyDescent="0.2">
      <c r="A2453" s="197" t="str">
        <f t="shared" si="38"/>
        <v>CptCode_diagonalStripes</v>
      </c>
      <c r="B2453" s="409"/>
      <c r="C2453" s="416"/>
      <c r="D2453" s="198" t="s">
        <v>26218</v>
      </c>
      <c r="E2453" s="198">
        <v>3</v>
      </c>
      <c r="F2453" s="199" t="s">
        <v>26219</v>
      </c>
      <c r="G2453" s="1" t="s">
        <v>26220</v>
      </c>
      <c r="H2453" s="1" t="s">
        <v>26221</v>
      </c>
      <c r="I2453" s="346"/>
      <c r="J2453" s="39">
        <v>110839</v>
      </c>
      <c r="K2453" s="36" t="str">
        <f>CONCATENATE(Cover!$D$6,"fdd/view?i=",J2453)</f>
        <v>https://www.dgiwg.org/FAD/fdd/view?i=110839</v>
      </c>
      <c r="L2453" s="36" t="s">
        <v>26222</v>
      </c>
      <c r="M2453" s="186"/>
      <c r="N2453" s="186"/>
      <c r="O2453" s="172"/>
    </row>
    <row r="2454" spans="1:15" ht="38.25" x14ac:dyDescent="0.2">
      <c r="A2454" s="197" t="str">
        <f t="shared" si="38"/>
        <v>CptCode_horizontalStripes</v>
      </c>
      <c r="B2454" s="409"/>
      <c r="C2454" s="416"/>
      <c r="D2454" s="198" t="s">
        <v>26223</v>
      </c>
      <c r="E2454" s="198">
        <v>1</v>
      </c>
      <c r="F2454" s="199" t="s">
        <v>26224</v>
      </c>
      <c r="G2454" s="1" t="s">
        <v>26225</v>
      </c>
      <c r="H2454" s="1" t="s">
        <v>26226</v>
      </c>
      <c r="I2454" s="346"/>
      <c r="J2454" s="39">
        <v>110837</v>
      </c>
      <c r="K2454" s="36" t="str">
        <f>CONCATENATE(Cover!$D$6,"fdd/view?i=",J2454)</f>
        <v>https://www.dgiwg.org/FAD/fdd/view?i=110837</v>
      </c>
      <c r="L2454" s="36" t="s">
        <v>26227</v>
      </c>
      <c r="M2454" s="186"/>
      <c r="N2454" s="186"/>
      <c r="O2454" s="172"/>
    </row>
    <row r="2455" spans="1:15" x14ac:dyDescent="0.2">
      <c r="A2455" s="197" t="str">
        <f t="shared" si="38"/>
        <v>CptCode_singleColor</v>
      </c>
      <c r="B2455" s="409"/>
      <c r="C2455" s="416"/>
      <c r="D2455" s="198" t="s">
        <v>26228</v>
      </c>
      <c r="E2455" s="198">
        <v>7</v>
      </c>
      <c r="F2455" s="199" t="s">
        <v>26229</v>
      </c>
      <c r="G2455" s="1" t="s">
        <v>26230</v>
      </c>
      <c r="H2455" s="200"/>
      <c r="I2455" s="346"/>
      <c r="J2455" s="39">
        <v>110843</v>
      </c>
      <c r="K2455" s="36" t="str">
        <f>CONCATENATE(Cover!$D$6,"fdd/view?i=",J2455)</f>
        <v>https://www.dgiwg.org/FAD/fdd/view?i=110843</v>
      </c>
      <c r="L2455" s="36" t="s">
        <v>26231</v>
      </c>
      <c r="M2455" s="186"/>
      <c r="N2455" s="186"/>
      <c r="O2455" s="172"/>
    </row>
    <row r="2456" spans="1:15" ht="63.75" x14ac:dyDescent="0.2">
      <c r="A2456" s="197" t="str">
        <f t="shared" si="38"/>
        <v>CptCode_squared</v>
      </c>
      <c r="B2456" s="409"/>
      <c r="C2456" s="416"/>
      <c r="D2456" s="198" t="s">
        <v>26232</v>
      </c>
      <c r="E2456" s="198">
        <v>4</v>
      </c>
      <c r="F2456" s="199" t="s">
        <v>26233</v>
      </c>
      <c r="G2456" s="1" t="s">
        <v>26234</v>
      </c>
      <c r="H2456" s="1" t="s">
        <v>26235</v>
      </c>
      <c r="I2456" s="346"/>
      <c r="J2456" s="39">
        <v>110840</v>
      </c>
      <c r="K2456" s="36" t="str">
        <f>CONCATENATE(Cover!$D$6,"fdd/view?i=",J2456)</f>
        <v>https://www.dgiwg.org/FAD/fdd/view?i=110840</v>
      </c>
      <c r="L2456" s="36" t="s">
        <v>26236</v>
      </c>
      <c r="M2456" s="186"/>
      <c r="N2456" s="186"/>
      <c r="O2456" s="172"/>
    </row>
    <row r="2457" spans="1:15" ht="25.5" x14ac:dyDescent="0.2">
      <c r="A2457" s="197" t="str">
        <f t="shared" si="38"/>
        <v>CptCode_stripes</v>
      </c>
      <c r="B2457" s="409"/>
      <c r="C2457" s="416"/>
      <c r="D2457" s="198" t="s">
        <v>26237</v>
      </c>
      <c r="E2457" s="198">
        <v>5</v>
      </c>
      <c r="F2457" s="199" t="s">
        <v>26238</v>
      </c>
      <c r="G2457" s="1" t="s">
        <v>26239</v>
      </c>
      <c r="H2457" s="200"/>
      <c r="I2457" s="346"/>
      <c r="J2457" s="39">
        <v>110841</v>
      </c>
      <c r="K2457" s="36" t="str">
        <f>CONCATENATE(Cover!$D$6,"fdd/view?i=",J2457)</f>
        <v>https://www.dgiwg.org/FAD/fdd/view?i=110841</v>
      </c>
      <c r="L2457" s="36" t="s">
        <v>26240</v>
      </c>
      <c r="M2457" s="186"/>
      <c r="N2457" s="186"/>
      <c r="O2457" s="172"/>
    </row>
    <row r="2458" spans="1:15" ht="38.25" x14ac:dyDescent="0.2">
      <c r="A2458" s="203" t="str">
        <f t="shared" si="38"/>
        <v>CptCode_verticalStripes</v>
      </c>
      <c r="B2458" s="410"/>
      <c r="C2458" s="417"/>
      <c r="D2458" s="204" t="s">
        <v>26241</v>
      </c>
      <c r="E2458" s="204">
        <v>2</v>
      </c>
      <c r="F2458" s="205" t="s">
        <v>26242</v>
      </c>
      <c r="G2458" s="206" t="s">
        <v>26243</v>
      </c>
      <c r="H2458" s="206" t="s">
        <v>26244</v>
      </c>
      <c r="I2458" s="347"/>
      <c r="J2458" s="39">
        <v>110838</v>
      </c>
      <c r="K2458" s="36" t="str">
        <f>CONCATENATE(Cover!$D$6,"fdd/view?i=",J2458)</f>
        <v>https://www.dgiwg.org/FAD/fdd/view?i=110838</v>
      </c>
      <c r="L2458" s="36" t="s">
        <v>26245</v>
      </c>
      <c r="M2458" s="186"/>
      <c r="N2458" s="186"/>
      <c r="O2458" s="172"/>
    </row>
    <row r="2459" spans="1:15" ht="38.25" x14ac:dyDescent="0.2">
      <c r="A2459" s="190" t="str">
        <f t="shared" si="38"/>
        <v>CitCode_bank</v>
      </c>
      <c r="B2459" s="414" t="str">
        <f>HYPERLINK("[#]Datatypes!A330:L330","CitCode")</f>
        <v>CitCode</v>
      </c>
      <c r="C2459" s="415" t="s">
        <v>14891</v>
      </c>
      <c r="D2459" s="221" t="s">
        <v>26246</v>
      </c>
      <c r="E2459" s="221">
        <v>1</v>
      </c>
      <c r="F2459" s="222" t="s">
        <v>26247</v>
      </c>
      <c r="G2459" s="223" t="s">
        <v>26248</v>
      </c>
      <c r="H2459" s="224"/>
      <c r="I2459" s="345"/>
      <c r="J2459" s="39">
        <v>110094</v>
      </c>
      <c r="K2459" s="36" t="str">
        <f>CONCATENATE(Cover!$D$6,"fdd/view?i=",J2459)</f>
        <v>https://www.dgiwg.org/FAD/fdd/view?i=110094</v>
      </c>
      <c r="L2459" s="36" t="s">
        <v>26249</v>
      </c>
      <c r="M2459" s="186"/>
      <c r="N2459" s="186"/>
      <c r="O2459" s="172"/>
    </row>
    <row r="2460" spans="1:15" ht="38.25" x14ac:dyDescent="0.2">
      <c r="A2460" s="197" t="str">
        <f t="shared" si="38"/>
        <v>CitCode_buildingContractor</v>
      </c>
      <c r="B2460" s="409"/>
      <c r="C2460" s="416"/>
      <c r="D2460" s="198" t="s">
        <v>26250</v>
      </c>
      <c r="E2460" s="198">
        <v>2</v>
      </c>
      <c r="F2460" s="199" t="s">
        <v>26251</v>
      </c>
      <c r="G2460" s="1" t="s">
        <v>26252</v>
      </c>
      <c r="H2460" s="1" t="s">
        <v>26253</v>
      </c>
      <c r="I2460" s="346"/>
      <c r="J2460" s="39">
        <v>110095</v>
      </c>
      <c r="K2460" s="36" t="str">
        <f>CONCATENATE(Cover!$D$6,"fdd/view?i=",J2460)</f>
        <v>https://www.dgiwg.org/FAD/fdd/view?i=110095</v>
      </c>
      <c r="L2460" s="36" t="s">
        <v>26254</v>
      </c>
      <c r="M2460" s="186"/>
      <c r="N2460" s="186"/>
      <c r="O2460" s="172"/>
    </row>
    <row r="2461" spans="1:15" ht="25.5" x14ac:dyDescent="0.2">
      <c r="A2461" s="197" t="str">
        <f t="shared" si="38"/>
        <v>CitCode_carpentry</v>
      </c>
      <c r="B2461" s="409"/>
      <c r="C2461" s="416"/>
      <c r="D2461" s="198" t="s">
        <v>26255</v>
      </c>
      <c r="E2461" s="198">
        <v>3</v>
      </c>
      <c r="F2461" s="199" t="s">
        <v>26256</v>
      </c>
      <c r="G2461" s="1" t="s">
        <v>26257</v>
      </c>
      <c r="H2461" s="200"/>
      <c r="I2461" s="351" t="s">
        <v>26258</v>
      </c>
      <c r="J2461" s="39">
        <v>110096</v>
      </c>
      <c r="K2461" s="36" t="str">
        <f>CONCATENATE(Cover!$D$6,"fdd/view?i=",J2461)</f>
        <v>https://www.dgiwg.org/FAD/fdd/view?i=110096</v>
      </c>
      <c r="L2461" s="36" t="s">
        <v>26259</v>
      </c>
      <c r="M2461" s="186"/>
      <c r="N2461" s="186"/>
      <c r="O2461" s="172"/>
    </row>
    <row r="2462" spans="1:15" ht="25.5" x14ac:dyDescent="0.2">
      <c r="A2462" s="197" t="str">
        <f t="shared" si="38"/>
        <v>CitCode_civilEngineering</v>
      </c>
      <c r="B2462" s="409"/>
      <c r="C2462" s="416"/>
      <c r="D2462" s="198" t="s">
        <v>26260</v>
      </c>
      <c r="E2462" s="198">
        <v>4</v>
      </c>
      <c r="F2462" s="199" t="s">
        <v>26261</v>
      </c>
      <c r="G2462" s="1" t="s">
        <v>26262</v>
      </c>
      <c r="H2462" s="200"/>
      <c r="I2462" s="346"/>
      <c r="J2462" s="39">
        <v>110097</v>
      </c>
      <c r="K2462" s="36" t="str">
        <f>CONCATENATE(Cover!$D$6,"fdd/view?i=",J2462)</f>
        <v>https://www.dgiwg.org/FAD/fdd/view?i=110097</v>
      </c>
      <c r="L2462" s="36" t="s">
        <v>26263</v>
      </c>
      <c r="M2462" s="186"/>
      <c r="N2462" s="186"/>
      <c r="O2462" s="172"/>
    </row>
    <row r="2463" spans="1:15" x14ac:dyDescent="0.2">
      <c r="A2463" s="197" t="str">
        <f t="shared" si="38"/>
        <v>CitCode_kennel</v>
      </c>
      <c r="B2463" s="409"/>
      <c r="C2463" s="416"/>
      <c r="D2463" s="198" t="s">
        <v>26264</v>
      </c>
      <c r="E2463" s="198">
        <v>5</v>
      </c>
      <c r="F2463" s="199" t="s">
        <v>26265</v>
      </c>
      <c r="G2463" s="1" t="s">
        <v>26266</v>
      </c>
      <c r="H2463" s="200"/>
      <c r="I2463" s="346"/>
      <c r="J2463" s="39">
        <v>110098</v>
      </c>
      <c r="K2463" s="36" t="str">
        <f>CONCATENATE(Cover!$D$6,"fdd/view?i=",J2463)</f>
        <v>https://www.dgiwg.org/FAD/fdd/view?i=110098</v>
      </c>
      <c r="L2463" s="36" t="s">
        <v>26267</v>
      </c>
      <c r="M2463" s="186"/>
      <c r="N2463" s="186"/>
      <c r="O2463" s="172"/>
    </row>
    <row r="2464" spans="1:15" ht="25.5" x14ac:dyDescent="0.2">
      <c r="A2464" s="197" t="str">
        <f t="shared" si="38"/>
        <v>CitCode_market</v>
      </c>
      <c r="B2464" s="409"/>
      <c r="C2464" s="416"/>
      <c r="D2464" s="198" t="s">
        <v>26268</v>
      </c>
      <c r="E2464" s="198">
        <v>6</v>
      </c>
      <c r="F2464" s="199" t="s">
        <v>26269</v>
      </c>
      <c r="G2464" s="1" t="s">
        <v>26270</v>
      </c>
      <c r="H2464" s="200"/>
      <c r="I2464" s="346"/>
      <c r="J2464" s="39">
        <v>110099</v>
      </c>
      <c r="K2464" s="36" t="str">
        <f>CONCATENATE(Cover!$D$6,"fdd/view?i=",J2464)</f>
        <v>https://www.dgiwg.org/FAD/fdd/view?i=110099</v>
      </c>
      <c r="L2464" s="36" t="s">
        <v>26271</v>
      </c>
      <c r="M2464" s="186"/>
      <c r="N2464" s="186"/>
      <c r="O2464" s="172"/>
    </row>
    <row r="2465" spans="1:15" ht="25.5" x14ac:dyDescent="0.2">
      <c r="A2465" s="197" t="str">
        <f t="shared" si="38"/>
        <v>CitCode_newspaperPlant</v>
      </c>
      <c r="B2465" s="409"/>
      <c r="C2465" s="416"/>
      <c r="D2465" s="198" t="s">
        <v>26272</v>
      </c>
      <c r="E2465" s="198">
        <v>7</v>
      </c>
      <c r="F2465" s="199" t="s">
        <v>26273</v>
      </c>
      <c r="G2465" s="1" t="s">
        <v>26274</v>
      </c>
      <c r="H2465" s="200"/>
      <c r="I2465" s="346"/>
      <c r="J2465" s="39">
        <v>110100</v>
      </c>
      <c r="K2465" s="36" t="str">
        <f>CONCATENATE(Cover!$D$6,"fdd/view?i=",J2465)</f>
        <v>https://www.dgiwg.org/FAD/fdd/view?i=110100</v>
      </c>
      <c r="L2465" s="36" t="s">
        <v>26275</v>
      </c>
      <c r="M2465" s="186"/>
      <c r="N2465" s="186"/>
      <c r="O2465" s="172"/>
    </row>
    <row r="2466" spans="1:15" ht="25.5" x14ac:dyDescent="0.2">
      <c r="A2466" s="197" t="str">
        <f t="shared" si="38"/>
        <v>CitCode_parkingGarage</v>
      </c>
      <c r="B2466" s="409"/>
      <c r="C2466" s="416"/>
      <c r="D2466" s="198" t="s">
        <v>26276</v>
      </c>
      <c r="E2466" s="198">
        <v>8</v>
      </c>
      <c r="F2466" s="199" t="s">
        <v>4406</v>
      </c>
      <c r="G2466" s="1" t="s">
        <v>4407</v>
      </c>
      <c r="H2466" s="1" t="s">
        <v>4408</v>
      </c>
      <c r="I2466" s="346"/>
      <c r="J2466" s="39">
        <v>110101</v>
      </c>
      <c r="K2466" s="36" t="str">
        <f>CONCATENATE(Cover!$D$6,"fdd/view?i=",J2466)</f>
        <v>https://www.dgiwg.org/FAD/fdd/view?i=110101</v>
      </c>
      <c r="L2466" s="36" t="s">
        <v>26277</v>
      </c>
      <c r="M2466" s="186"/>
      <c r="N2466" s="186"/>
      <c r="O2466" s="172"/>
    </row>
    <row r="2467" spans="1:15" ht="38.25" x14ac:dyDescent="0.2">
      <c r="A2467" s="197" t="str">
        <f t="shared" si="38"/>
        <v>CitCode_printingShop</v>
      </c>
      <c r="B2467" s="409"/>
      <c r="C2467" s="416"/>
      <c r="D2467" s="198" t="s">
        <v>26278</v>
      </c>
      <c r="E2467" s="198">
        <v>20</v>
      </c>
      <c r="F2467" s="199" t="s">
        <v>26279</v>
      </c>
      <c r="G2467" s="1" t="s">
        <v>26280</v>
      </c>
      <c r="H2467" s="1" t="s">
        <v>26281</v>
      </c>
      <c r="I2467" s="346"/>
      <c r="J2467" s="39">
        <v>118463</v>
      </c>
      <c r="K2467" s="36" t="str">
        <f>CONCATENATE(Cover!$D$6,"fdd/view?i=",J2467)</f>
        <v>https://www.dgiwg.org/FAD/fdd/view?i=118463</v>
      </c>
      <c r="L2467" s="36" t="s">
        <v>26282</v>
      </c>
      <c r="M2467" s="186"/>
      <c r="N2467" s="186"/>
      <c r="O2467" s="172"/>
    </row>
    <row r="2468" spans="1:15" ht="25.5" x14ac:dyDescent="0.2">
      <c r="A2468" s="197" t="str">
        <f t="shared" si="38"/>
        <v>CitCode_repairFacility</v>
      </c>
      <c r="B2468" s="409"/>
      <c r="C2468" s="416"/>
      <c r="D2468" s="198" t="s">
        <v>26283</v>
      </c>
      <c r="E2468" s="198">
        <v>9</v>
      </c>
      <c r="F2468" s="199" t="s">
        <v>26284</v>
      </c>
      <c r="G2468" s="1" t="s">
        <v>26285</v>
      </c>
      <c r="H2468" s="200"/>
      <c r="I2468" s="346"/>
      <c r="J2468" s="39">
        <v>110102</v>
      </c>
      <c r="K2468" s="36" t="str">
        <f>CONCATENATE(Cover!$D$6,"fdd/view?i=",J2468)</f>
        <v>https://www.dgiwg.org/FAD/fdd/view?i=110102</v>
      </c>
      <c r="L2468" s="36" t="s">
        <v>26286</v>
      </c>
      <c r="M2468" s="186"/>
      <c r="N2468" s="186"/>
      <c r="O2468" s="172"/>
    </row>
    <row r="2469" spans="1:15" ht="25.5" x14ac:dyDescent="0.2">
      <c r="A2469" s="197" t="str">
        <f t="shared" si="38"/>
        <v>CitCode_shoppingCentre</v>
      </c>
      <c r="B2469" s="409"/>
      <c r="C2469" s="416"/>
      <c r="D2469" s="198" t="s">
        <v>26287</v>
      </c>
      <c r="E2469" s="198">
        <v>10</v>
      </c>
      <c r="F2469" s="199" t="s">
        <v>26288</v>
      </c>
      <c r="G2469" s="1" t="s">
        <v>26289</v>
      </c>
      <c r="H2469" s="200"/>
      <c r="I2469" s="346"/>
      <c r="J2469" s="39">
        <v>110103</v>
      </c>
      <c r="K2469" s="36" t="str">
        <f>CONCATENATE(Cover!$D$6,"fdd/view?i=",J2469)</f>
        <v>https://www.dgiwg.org/FAD/fdd/view?i=110103</v>
      </c>
      <c r="L2469" s="36" t="s">
        <v>26290</v>
      </c>
      <c r="M2469" s="186"/>
      <c r="N2469" s="186"/>
      <c r="O2469" s="172"/>
    </row>
    <row r="2470" spans="1:15" ht="38.25" x14ac:dyDescent="0.2">
      <c r="A2470" s="197" t="str">
        <f t="shared" si="38"/>
        <v>CitCode_signifNonGovBuilding</v>
      </c>
      <c r="B2470" s="409"/>
      <c r="C2470" s="416"/>
      <c r="D2470" s="198" t="s">
        <v>26291</v>
      </c>
      <c r="E2470" s="198">
        <v>11</v>
      </c>
      <c r="F2470" s="199" t="s">
        <v>26292</v>
      </c>
      <c r="G2470" s="1" t="s">
        <v>26293</v>
      </c>
      <c r="H2470" s="1" t="s">
        <v>26294</v>
      </c>
      <c r="I2470" s="346"/>
      <c r="J2470" s="39">
        <v>110104</v>
      </c>
      <c r="K2470" s="36" t="str">
        <f>CONCATENATE(Cover!$D$6,"fdd/view?i=",J2470)</f>
        <v>https://www.dgiwg.org/FAD/fdd/view?i=110104</v>
      </c>
      <c r="L2470" s="36" t="s">
        <v>26295</v>
      </c>
      <c r="M2470" s="186"/>
      <c r="N2470" s="186"/>
      <c r="O2470" s="172"/>
    </row>
    <row r="2471" spans="1:15" ht="25.5" x14ac:dyDescent="0.2">
      <c r="A2471" s="197" t="str">
        <f t="shared" si="38"/>
        <v>CitCode_stockExchange</v>
      </c>
      <c r="B2471" s="409"/>
      <c r="C2471" s="416"/>
      <c r="D2471" s="198" t="s">
        <v>26296</v>
      </c>
      <c r="E2471" s="198">
        <v>17</v>
      </c>
      <c r="F2471" s="199" t="s">
        <v>26297</v>
      </c>
      <c r="G2471" s="1" t="s">
        <v>26298</v>
      </c>
      <c r="H2471" s="200"/>
      <c r="I2471" s="346"/>
      <c r="J2471" s="39">
        <v>118461</v>
      </c>
      <c r="K2471" s="36" t="str">
        <f>CONCATENATE(Cover!$D$6,"fdd/view?i=",J2471)</f>
        <v>https://www.dgiwg.org/FAD/fdd/view?i=118461</v>
      </c>
      <c r="L2471" s="36" t="s">
        <v>26299</v>
      </c>
      <c r="M2471" s="186"/>
      <c r="N2471" s="186"/>
      <c r="O2471" s="172"/>
    </row>
    <row r="2472" spans="1:15" ht="38.25" x14ac:dyDescent="0.2">
      <c r="A2472" s="197" t="str">
        <f t="shared" si="38"/>
        <v>CitCode_supermarket</v>
      </c>
      <c r="B2472" s="409"/>
      <c r="C2472" s="416"/>
      <c r="D2472" s="198" t="s">
        <v>26300</v>
      </c>
      <c r="E2472" s="198">
        <v>18</v>
      </c>
      <c r="F2472" s="199" t="s">
        <v>26301</v>
      </c>
      <c r="G2472" s="1" t="s">
        <v>26302</v>
      </c>
      <c r="H2472" s="200"/>
      <c r="I2472" s="346"/>
      <c r="J2472" s="39">
        <v>118462</v>
      </c>
      <c r="K2472" s="36" t="str">
        <f>CONCATENATE(Cover!$D$6,"fdd/view?i=",J2472)</f>
        <v>https://www.dgiwg.org/FAD/fdd/view?i=118462</v>
      </c>
      <c r="L2472" s="36" t="s">
        <v>26303</v>
      </c>
      <c r="M2472" s="186"/>
      <c r="N2472" s="186"/>
      <c r="O2472" s="172"/>
    </row>
    <row r="2473" spans="1:15" ht="25.5" x14ac:dyDescent="0.2">
      <c r="A2473" s="197" t="str">
        <f t="shared" si="38"/>
        <v>CitCode_tradingPost</v>
      </c>
      <c r="B2473" s="409"/>
      <c r="C2473" s="416"/>
      <c r="D2473" s="198" t="s">
        <v>26304</v>
      </c>
      <c r="E2473" s="198">
        <v>12</v>
      </c>
      <c r="F2473" s="199" t="s">
        <v>26305</v>
      </c>
      <c r="G2473" s="1" t="s">
        <v>26306</v>
      </c>
      <c r="H2473" s="200"/>
      <c r="I2473" s="346"/>
      <c r="J2473" s="39">
        <v>110105</v>
      </c>
      <c r="K2473" s="36" t="str">
        <f>CONCATENATE(Cover!$D$6,"fdd/view?i=",J2473)</f>
        <v>https://www.dgiwg.org/FAD/fdd/view?i=110105</v>
      </c>
      <c r="L2473" s="36" t="s">
        <v>26307</v>
      </c>
      <c r="M2473" s="186"/>
      <c r="N2473" s="186"/>
      <c r="O2473" s="172"/>
    </row>
    <row r="2474" spans="1:15" ht="25.5" x14ac:dyDescent="0.2">
      <c r="A2474" s="203" t="str">
        <f t="shared" si="38"/>
        <v>CitCode_warehouse</v>
      </c>
      <c r="B2474" s="410"/>
      <c r="C2474" s="417"/>
      <c r="D2474" s="204" t="s">
        <v>26308</v>
      </c>
      <c r="E2474" s="204">
        <v>13</v>
      </c>
      <c r="F2474" s="205" t="s">
        <v>26309</v>
      </c>
      <c r="G2474" s="206" t="s">
        <v>26310</v>
      </c>
      <c r="H2474" s="207"/>
      <c r="I2474" s="347"/>
      <c r="J2474" s="39">
        <v>110106</v>
      </c>
      <c r="K2474" s="36" t="str">
        <f>CONCATENATE(Cover!$D$6,"fdd/view?i=",J2474)</f>
        <v>https://www.dgiwg.org/FAD/fdd/view?i=110106</v>
      </c>
      <c r="L2474" s="36" t="s">
        <v>26311</v>
      </c>
      <c r="M2474" s="186"/>
      <c r="N2474" s="186"/>
      <c r="O2474" s="172"/>
    </row>
    <row r="2475" spans="1:15" ht="25.5" x14ac:dyDescent="0.2">
      <c r="A2475" s="190" t="str">
        <f t="shared" si="38"/>
        <v>CmsCode_commissionedOnTest</v>
      </c>
      <c r="B2475" s="414" t="str">
        <f>HYPERLINK("[#]Datatypes!A332:L332","CmsCode")</f>
        <v>CmsCode</v>
      </c>
      <c r="C2475" s="415" t="s">
        <v>14893</v>
      </c>
      <c r="D2475" s="221" t="s">
        <v>26312</v>
      </c>
      <c r="E2475" s="221">
        <v>2</v>
      </c>
      <c r="F2475" s="222" t="s">
        <v>26313</v>
      </c>
      <c r="G2475" s="223" t="s">
        <v>26314</v>
      </c>
      <c r="H2475" s="224"/>
      <c r="I2475" s="345"/>
      <c r="J2475" s="39">
        <v>103118</v>
      </c>
      <c r="K2475" s="36" t="str">
        <f>CONCATENATE(Cover!$D$6,"fdd/view?i=",J2475)</f>
        <v>https://www.dgiwg.org/FAD/fdd/view?i=103118</v>
      </c>
      <c r="L2475" s="36" t="s">
        <v>26315</v>
      </c>
      <c r="M2475" s="186"/>
      <c r="N2475" s="186"/>
      <c r="O2475" s="172"/>
    </row>
    <row r="2476" spans="1:15" ht="25.5" x14ac:dyDescent="0.2">
      <c r="A2476" s="197" t="str">
        <f t="shared" si="38"/>
        <v>CmsCode_commissionedOperational</v>
      </c>
      <c r="B2476" s="409"/>
      <c r="C2476" s="416"/>
      <c r="D2476" s="198" t="s">
        <v>26316</v>
      </c>
      <c r="E2476" s="198">
        <v>1</v>
      </c>
      <c r="F2476" s="199" t="s">
        <v>26317</v>
      </c>
      <c r="G2476" s="1" t="s">
        <v>26318</v>
      </c>
      <c r="H2476" s="200"/>
      <c r="I2476" s="346"/>
      <c r="J2476" s="39">
        <v>103117</v>
      </c>
      <c r="K2476" s="36" t="str">
        <f>CONCATENATE(Cover!$D$6,"fdd/view?i=",J2476)</f>
        <v>https://www.dgiwg.org/FAD/fdd/view?i=103117</v>
      </c>
      <c r="L2476" s="36" t="s">
        <v>26319</v>
      </c>
      <c r="M2476" s="186"/>
      <c r="N2476" s="186"/>
      <c r="O2476" s="172"/>
    </row>
    <row r="2477" spans="1:15" ht="25.5" x14ac:dyDescent="0.2">
      <c r="A2477" s="197" t="str">
        <f t="shared" si="38"/>
        <v>CmsCode_commissionedOutOfService</v>
      </c>
      <c r="B2477" s="409"/>
      <c r="C2477" s="416"/>
      <c r="D2477" s="198" t="s">
        <v>26320</v>
      </c>
      <c r="E2477" s="198">
        <v>3</v>
      </c>
      <c r="F2477" s="199" t="s">
        <v>26321</v>
      </c>
      <c r="G2477" s="1" t="s">
        <v>26322</v>
      </c>
      <c r="H2477" s="200"/>
      <c r="I2477" s="346"/>
      <c r="J2477" s="39">
        <v>103119</v>
      </c>
      <c r="K2477" s="36" t="str">
        <f>CONCATENATE(Cover!$D$6,"fdd/view?i=",J2477)</f>
        <v>https://www.dgiwg.org/FAD/fdd/view?i=103119</v>
      </c>
      <c r="L2477" s="36" t="s">
        <v>26323</v>
      </c>
      <c r="M2477" s="186"/>
      <c r="N2477" s="186"/>
      <c r="O2477" s="172"/>
    </row>
    <row r="2478" spans="1:15" ht="25.5" x14ac:dyDescent="0.2">
      <c r="A2478" s="197" t="str">
        <f t="shared" si="38"/>
        <v>CmsCode_notCommissionOutOfService</v>
      </c>
      <c r="B2478" s="409"/>
      <c r="C2478" s="416"/>
      <c r="D2478" s="198" t="s">
        <v>26324</v>
      </c>
      <c r="E2478" s="198">
        <v>6</v>
      </c>
      <c r="F2478" s="199" t="s">
        <v>26325</v>
      </c>
      <c r="G2478" s="1" t="s">
        <v>26326</v>
      </c>
      <c r="H2478" s="200"/>
      <c r="I2478" s="346"/>
      <c r="J2478" s="39">
        <v>103122</v>
      </c>
      <c r="K2478" s="36" t="str">
        <f>CONCATENATE(Cover!$D$6,"fdd/view?i=",J2478)</f>
        <v>https://www.dgiwg.org/FAD/fdd/view?i=103122</v>
      </c>
      <c r="L2478" s="36" t="s">
        <v>26327</v>
      </c>
      <c r="M2478" s="186"/>
      <c r="N2478" s="186"/>
      <c r="O2478" s="172"/>
    </row>
    <row r="2479" spans="1:15" ht="25.5" x14ac:dyDescent="0.2">
      <c r="A2479" s="197" t="str">
        <f t="shared" si="38"/>
        <v>CmsCode_onTestNotCommissioned</v>
      </c>
      <c r="B2479" s="409"/>
      <c r="C2479" s="416"/>
      <c r="D2479" s="198" t="s">
        <v>26328</v>
      </c>
      <c r="E2479" s="198">
        <v>5</v>
      </c>
      <c r="F2479" s="199" t="s">
        <v>26329</v>
      </c>
      <c r="G2479" s="1" t="s">
        <v>26330</v>
      </c>
      <c r="H2479" s="200"/>
      <c r="I2479" s="346"/>
      <c r="J2479" s="39">
        <v>103121</v>
      </c>
      <c r="K2479" s="36" t="str">
        <f>CONCATENATE(Cover!$D$6,"fdd/view?i=",J2479)</f>
        <v>https://www.dgiwg.org/FAD/fdd/view?i=103121</v>
      </c>
      <c r="L2479" s="36" t="s">
        <v>26331</v>
      </c>
      <c r="M2479" s="186"/>
      <c r="N2479" s="186"/>
      <c r="O2479" s="172"/>
    </row>
    <row r="2480" spans="1:15" ht="25.5" x14ac:dyDescent="0.2">
      <c r="A2480" s="203" t="str">
        <f t="shared" si="38"/>
        <v>CmsCode_operationalNotCommissioned</v>
      </c>
      <c r="B2480" s="410"/>
      <c r="C2480" s="417"/>
      <c r="D2480" s="204" t="s">
        <v>26332</v>
      </c>
      <c r="E2480" s="204">
        <v>4</v>
      </c>
      <c r="F2480" s="205" t="s">
        <v>26333</v>
      </c>
      <c r="G2480" s="206" t="s">
        <v>26334</v>
      </c>
      <c r="H2480" s="207"/>
      <c r="I2480" s="347"/>
      <c r="J2480" s="39">
        <v>103120</v>
      </c>
      <c r="K2480" s="36" t="str">
        <f>CONCATENATE(Cover!$D$6,"fdd/view?i=",J2480)</f>
        <v>https://www.dgiwg.org/FAD/fdd/view?i=103120</v>
      </c>
      <c r="L2480" s="36" t="s">
        <v>26335</v>
      </c>
      <c r="M2480" s="186"/>
      <c r="N2480" s="186"/>
      <c r="O2480" s="172"/>
    </row>
    <row r="2481" spans="1:15" ht="25.5" x14ac:dyDescent="0.2">
      <c r="A2481" s="190" t="str">
        <f t="shared" si="38"/>
        <v>CusCode_astronomicAerial</v>
      </c>
      <c r="B2481" s="414" t="str">
        <f>HYPERLINK("[#]Datatypes!A336:L336","CusCode")</f>
        <v>CusCode</v>
      </c>
      <c r="C2481" s="415" t="s">
        <v>14898</v>
      </c>
      <c r="D2481" s="221" t="s">
        <v>26336</v>
      </c>
      <c r="E2481" s="221">
        <v>10</v>
      </c>
      <c r="F2481" s="222" t="s">
        <v>26337</v>
      </c>
      <c r="G2481" s="223" t="s">
        <v>26338</v>
      </c>
      <c r="H2481" s="224"/>
      <c r="I2481" s="345"/>
      <c r="J2481" s="39">
        <v>112859</v>
      </c>
      <c r="K2481" s="36" t="str">
        <f>CONCATENATE(Cover!$D$6,"fdd/view?i=",J2481)</f>
        <v>https://www.dgiwg.org/FAD/fdd/view?i=112859</v>
      </c>
      <c r="L2481" s="36" t="s">
        <v>26339</v>
      </c>
      <c r="M2481" s="186"/>
      <c r="N2481" s="186"/>
      <c r="O2481" s="172"/>
    </row>
    <row r="2482" spans="1:15" ht="25.5" x14ac:dyDescent="0.2">
      <c r="A2482" s="197" t="str">
        <f t="shared" si="38"/>
        <v>CusCode_broadcastingAerial</v>
      </c>
      <c r="B2482" s="409"/>
      <c r="C2482" s="416"/>
      <c r="D2482" s="198" t="s">
        <v>26344</v>
      </c>
      <c r="E2482" s="198">
        <v>9</v>
      </c>
      <c r="F2482" s="199" t="s">
        <v>26345</v>
      </c>
      <c r="G2482" s="1" t="s">
        <v>26346</v>
      </c>
      <c r="H2482" s="1" t="s">
        <v>26347</v>
      </c>
      <c r="I2482" s="346"/>
      <c r="J2482" s="39">
        <v>112863</v>
      </c>
      <c r="K2482" s="36" t="str">
        <f>CONCATENATE(Cover!$D$6,"fdd/view?i=",J2482)</f>
        <v>https://www.dgiwg.org/FAD/fdd/view?i=112863</v>
      </c>
      <c r="L2482" s="36" t="s">
        <v>26348</v>
      </c>
      <c r="M2482" s="186"/>
      <c r="N2482" s="186"/>
      <c r="O2482" s="172"/>
    </row>
    <row r="2483" spans="1:15" ht="25.5" x14ac:dyDescent="0.2">
      <c r="A2483" s="197" t="str">
        <f t="shared" si="38"/>
        <v>CusCode_broadcastingStudio</v>
      </c>
      <c r="B2483" s="409"/>
      <c r="C2483" s="416"/>
      <c r="D2483" s="198" t="s">
        <v>26349</v>
      </c>
      <c r="E2483" s="198">
        <v>1</v>
      </c>
      <c r="F2483" s="199" t="s">
        <v>26350</v>
      </c>
      <c r="G2483" s="1" t="s">
        <v>26351</v>
      </c>
      <c r="H2483" s="1" t="s">
        <v>26347</v>
      </c>
      <c r="I2483" s="346"/>
      <c r="J2483" s="39">
        <v>109916</v>
      </c>
      <c r="K2483" s="36" t="str">
        <f>CONCATENATE(Cover!$D$6,"fdd/view?i=",J2483)</f>
        <v>https://www.dgiwg.org/FAD/fdd/view?i=109916</v>
      </c>
      <c r="L2483" s="36" t="s">
        <v>26352</v>
      </c>
      <c r="M2483" s="186"/>
      <c r="N2483" s="186"/>
      <c r="O2483" s="172"/>
    </row>
    <row r="2484" spans="1:15" ht="38.25" x14ac:dyDescent="0.2">
      <c r="A2484" s="197" t="str">
        <f t="shared" si="38"/>
        <v>CusCode_broadcastRelay</v>
      </c>
      <c r="B2484" s="409"/>
      <c r="C2484" s="416"/>
      <c r="D2484" s="198" t="s">
        <v>26340</v>
      </c>
      <c r="E2484" s="198">
        <v>12</v>
      </c>
      <c r="F2484" s="199" t="s">
        <v>26341</v>
      </c>
      <c r="G2484" s="1" t="s">
        <v>26342</v>
      </c>
      <c r="H2484" s="200"/>
      <c r="I2484" s="346"/>
      <c r="J2484" s="39">
        <v>112861</v>
      </c>
      <c r="K2484" s="36" t="str">
        <f>CONCATENATE(Cover!$D$6,"fdd/view?i=",J2484)</f>
        <v>https://www.dgiwg.org/FAD/fdd/view?i=112861</v>
      </c>
      <c r="L2484" s="36" t="s">
        <v>26343</v>
      </c>
      <c r="M2484" s="186"/>
      <c r="N2484" s="186"/>
      <c r="O2484" s="172"/>
    </row>
    <row r="2485" spans="1:15" ht="25.5" x14ac:dyDescent="0.2">
      <c r="A2485" s="197" t="str">
        <f t="shared" si="38"/>
        <v>CusCode_mainTelephoneExchange</v>
      </c>
      <c r="B2485" s="409"/>
      <c r="C2485" s="416"/>
      <c r="D2485" s="198" t="s">
        <v>26353</v>
      </c>
      <c r="E2485" s="198">
        <v>3</v>
      </c>
      <c r="F2485" s="199" t="s">
        <v>26354</v>
      </c>
      <c r="G2485" s="1" t="s">
        <v>26355</v>
      </c>
      <c r="H2485" s="200"/>
      <c r="I2485" s="346"/>
      <c r="J2485" s="39">
        <v>109918</v>
      </c>
      <c r="K2485" s="36" t="str">
        <f>CONCATENATE(Cover!$D$6,"fdd/view?i=",J2485)</f>
        <v>https://www.dgiwg.org/FAD/fdd/view?i=109918</v>
      </c>
      <c r="L2485" s="36" t="s">
        <v>26356</v>
      </c>
      <c r="M2485" s="186"/>
      <c r="N2485" s="186"/>
      <c r="O2485" s="172"/>
    </row>
    <row r="2486" spans="1:15" ht="25.5" x14ac:dyDescent="0.2">
      <c r="A2486" s="197" t="str">
        <f t="shared" si="38"/>
        <v>CusCode_missionControlAerial</v>
      </c>
      <c r="B2486" s="409"/>
      <c r="C2486" s="416"/>
      <c r="D2486" s="198" t="s">
        <v>26357</v>
      </c>
      <c r="E2486" s="198">
        <v>11</v>
      </c>
      <c r="F2486" s="199" t="s">
        <v>26358</v>
      </c>
      <c r="G2486" s="1" t="s">
        <v>26359</v>
      </c>
      <c r="H2486" s="200"/>
      <c r="I2486" s="346"/>
      <c r="J2486" s="39">
        <v>112860</v>
      </c>
      <c r="K2486" s="36" t="str">
        <f>CONCATENATE(Cover!$D$6,"fdd/view?i=",J2486)</f>
        <v>https://www.dgiwg.org/FAD/fdd/view?i=112860</v>
      </c>
      <c r="L2486" s="36" t="s">
        <v>26360</v>
      </c>
      <c r="M2486" s="186"/>
      <c r="N2486" s="186"/>
      <c r="O2486" s="172"/>
    </row>
    <row r="2487" spans="1:15" ht="25.5" x14ac:dyDescent="0.2">
      <c r="A2487" s="197" t="str">
        <f t="shared" si="38"/>
        <v>CusCode_radioCommunicationStation</v>
      </c>
      <c r="B2487" s="409"/>
      <c r="C2487" s="416"/>
      <c r="D2487" s="198" t="s">
        <v>26361</v>
      </c>
      <c r="E2487" s="198">
        <v>13</v>
      </c>
      <c r="F2487" s="199" t="s">
        <v>26362</v>
      </c>
      <c r="G2487" s="1" t="s">
        <v>26363</v>
      </c>
      <c r="H2487" s="200"/>
      <c r="I2487" s="346"/>
      <c r="J2487" s="39">
        <v>112862</v>
      </c>
      <c r="K2487" s="36" t="str">
        <f>CONCATENATE(Cover!$D$6,"fdd/view?i=",J2487)</f>
        <v>https://www.dgiwg.org/FAD/fdd/view?i=112862</v>
      </c>
      <c r="L2487" s="36" t="s">
        <v>26364</v>
      </c>
      <c r="M2487" s="186"/>
      <c r="N2487" s="186"/>
      <c r="O2487" s="172"/>
    </row>
    <row r="2488" spans="1:15" ht="25.5" x14ac:dyDescent="0.2">
      <c r="A2488" s="197" t="str">
        <f t="shared" si="38"/>
        <v>CusCode_satelliteGroundStation</v>
      </c>
      <c r="B2488" s="409"/>
      <c r="C2488" s="416"/>
      <c r="D2488" s="198" t="s">
        <v>26365</v>
      </c>
      <c r="E2488" s="198">
        <v>4</v>
      </c>
      <c r="F2488" s="199" t="s">
        <v>26366</v>
      </c>
      <c r="G2488" s="1" t="s">
        <v>26367</v>
      </c>
      <c r="H2488" s="200"/>
      <c r="I2488" s="346"/>
      <c r="J2488" s="39">
        <v>109919</v>
      </c>
      <c r="K2488" s="36" t="str">
        <f>CONCATENATE(Cover!$D$6,"fdd/view?i=",J2488)</f>
        <v>https://www.dgiwg.org/FAD/fdd/view?i=109919</v>
      </c>
      <c r="L2488" s="36" t="s">
        <v>26368</v>
      </c>
      <c r="M2488" s="186"/>
      <c r="N2488" s="186"/>
      <c r="O2488" s="172"/>
    </row>
    <row r="2489" spans="1:15" x14ac:dyDescent="0.2">
      <c r="A2489" s="197" t="str">
        <f t="shared" si="38"/>
        <v>CusCode_telegraph</v>
      </c>
      <c r="B2489" s="409"/>
      <c r="C2489" s="416"/>
      <c r="D2489" s="198" t="s">
        <v>16577</v>
      </c>
      <c r="E2489" s="198">
        <v>5</v>
      </c>
      <c r="F2489" s="199" t="s">
        <v>16578</v>
      </c>
      <c r="G2489" s="1" t="s">
        <v>26369</v>
      </c>
      <c r="H2489" s="200"/>
      <c r="I2489" s="346"/>
      <c r="J2489" s="39">
        <v>109920</v>
      </c>
      <c r="K2489" s="36" t="str">
        <f>CONCATENATE(Cover!$D$6,"fdd/view?i=",J2489)</f>
        <v>https://www.dgiwg.org/FAD/fdd/view?i=109920</v>
      </c>
      <c r="L2489" s="36" t="s">
        <v>26370</v>
      </c>
      <c r="M2489" s="186"/>
      <c r="N2489" s="186"/>
      <c r="O2489" s="172"/>
    </row>
    <row r="2490" spans="1:15" x14ac:dyDescent="0.2">
      <c r="A2490" s="197" t="str">
        <f t="shared" si="38"/>
        <v>CusCode_telephone</v>
      </c>
      <c r="B2490" s="409"/>
      <c r="C2490" s="416"/>
      <c r="D2490" s="198" t="s">
        <v>16581</v>
      </c>
      <c r="E2490" s="198">
        <v>6</v>
      </c>
      <c r="F2490" s="199" t="s">
        <v>16582</v>
      </c>
      <c r="G2490" s="1" t="s">
        <v>26371</v>
      </c>
      <c r="H2490" s="200"/>
      <c r="I2490" s="346"/>
      <c r="J2490" s="39">
        <v>109921</v>
      </c>
      <c r="K2490" s="36" t="str">
        <f>CONCATENATE(Cover!$D$6,"fdd/view?i=",J2490)</f>
        <v>https://www.dgiwg.org/FAD/fdd/view?i=109921</v>
      </c>
      <c r="L2490" s="36" t="s">
        <v>26372</v>
      </c>
      <c r="M2490" s="186"/>
      <c r="N2490" s="186"/>
      <c r="O2490" s="172"/>
    </row>
    <row r="2491" spans="1:15" ht="25.5" x14ac:dyDescent="0.2">
      <c r="A2491" s="197" t="str">
        <f t="shared" si="38"/>
        <v>CusCode_telephoneSwitchStation</v>
      </c>
      <c r="B2491" s="409"/>
      <c r="C2491" s="416"/>
      <c r="D2491" s="198" t="s">
        <v>26373</v>
      </c>
      <c r="E2491" s="198">
        <v>7</v>
      </c>
      <c r="F2491" s="199" t="s">
        <v>26374</v>
      </c>
      <c r="G2491" s="1" t="s">
        <v>26375</v>
      </c>
      <c r="H2491" s="200"/>
      <c r="I2491" s="346"/>
      <c r="J2491" s="39">
        <v>109922</v>
      </c>
      <c r="K2491" s="36" t="str">
        <f>CONCATENATE(Cover!$D$6,"fdd/view?i=",J2491)</f>
        <v>https://www.dgiwg.org/FAD/fdd/view?i=109922</v>
      </c>
      <c r="L2491" s="36" t="s">
        <v>26376</v>
      </c>
      <c r="M2491" s="186"/>
      <c r="N2491" s="186"/>
      <c r="O2491" s="172"/>
    </row>
    <row r="2492" spans="1:15" ht="25.5" x14ac:dyDescent="0.2">
      <c r="A2492" s="203" t="str">
        <f t="shared" si="38"/>
        <v>CusCode_televisionStudio</v>
      </c>
      <c r="B2492" s="410"/>
      <c r="C2492" s="417"/>
      <c r="D2492" s="204" t="s">
        <v>26377</v>
      </c>
      <c r="E2492" s="204">
        <v>8</v>
      </c>
      <c r="F2492" s="205" t="s">
        <v>26378</v>
      </c>
      <c r="G2492" s="206" t="s">
        <v>26379</v>
      </c>
      <c r="H2492" s="207"/>
      <c r="I2492" s="347"/>
      <c r="J2492" s="39">
        <v>109923</v>
      </c>
      <c r="K2492" s="36" t="str">
        <f>CONCATENATE(Cover!$D$6,"fdd/view?i=",J2492)</f>
        <v>https://www.dgiwg.org/FAD/fdd/view?i=109923</v>
      </c>
      <c r="L2492" s="36" t="s">
        <v>26380</v>
      </c>
      <c r="M2492" s="186"/>
      <c r="N2492" s="186"/>
      <c r="O2492" s="172"/>
    </row>
    <row r="2493" spans="1:15" x14ac:dyDescent="0.2">
      <c r="A2493" s="190" t="str">
        <f t="shared" si="38"/>
        <v>FunCode_abandoned</v>
      </c>
      <c r="B2493" s="414" t="str">
        <f>HYPERLINK("[#]Datatypes!A340:L340","FunCode")</f>
        <v>FunCode</v>
      </c>
      <c r="C2493" s="415" t="s">
        <v>14902</v>
      </c>
      <c r="D2493" s="221" t="s">
        <v>26381</v>
      </c>
      <c r="E2493" s="221">
        <v>2</v>
      </c>
      <c r="F2493" s="222" t="s">
        <v>26382</v>
      </c>
      <c r="G2493" s="223" t="s">
        <v>26383</v>
      </c>
      <c r="H2493" s="224"/>
      <c r="I2493" s="345"/>
      <c r="J2493" s="39">
        <v>109900</v>
      </c>
      <c r="K2493" s="36" t="str">
        <f>CONCATENATE(Cover!$D$6,"fdd/view?i=",J2493)</f>
        <v>https://www.dgiwg.org/FAD/fdd/view?i=109900</v>
      </c>
      <c r="L2493" s="36" t="s">
        <v>26384</v>
      </c>
      <c r="M2493" s="186"/>
      <c r="N2493" s="186"/>
      <c r="O2493" s="172"/>
    </row>
    <row r="2494" spans="1:15" ht="25.5" x14ac:dyDescent="0.2">
      <c r="A2494" s="197" t="str">
        <f t="shared" si="38"/>
        <v>FunCode_damaged</v>
      </c>
      <c r="B2494" s="409"/>
      <c r="C2494" s="416"/>
      <c r="D2494" s="198" t="s">
        <v>19467</v>
      </c>
      <c r="E2494" s="198">
        <v>13</v>
      </c>
      <c r="F2494" s="199" t="s">
        <v>19468</v>
      </c>
      <c r="G2494" s="1" t="s">
        <v>26385</v>
      </c>
      <c r="H2494" s="200"/>
      <c r="I2494" s="346"/>
      <c r="J2494" s="39">
        <v>103815</v>
      </c>
      <c r="K2494" s="36" t="str">
        <f>CONCATENATE(Cover!$D$6,"fdd/view?i=",J2494)</f>
        <v>https://www.dgiwg.org/FAD/fdd/view?i=103815</v>
      </c>
      <c r="L2494" s="36" t="s">
        <v>26386</v>
      </c>
      <c r="M2494" s="186"/>
      <c r="N2494" s="186"/>
      <c r="O2494" s="172"/>
    </row>
    <row r="2495" spans="1:15" ht="25.5" x14ac:dyDescent="0.2">
      <c r="A2495" s="197" t="str">
        <f t="shared" si="38"/>
        <v>FunCode_destroyed</v>
      </c>
      <c r="B2495" s="409"/>
      <c r="C2495" s="416"/>
      <c r="D2495" s="198" t="s">
        <v>19471</v>
      </c>
      <c r="E2495" s="198">
        <v>3</v>
      </c>
      <c r="F2495" s="199" t="s">
        <v>19472</v>
      </c>
      <c r="G2495" s="1" t="s">
        <v>26387</v>
      </c>
      <c r="H2495" s="200"/>
      <c r="I2495" s="346"/>
      <c r="J2495" s="39">
        <v>106823</v>
      </c>
      <c r="K2495" s="36" t="str">
        <f>CONCATENATE(Cover!$D$6,"fdd/view?i=",J2495)</f>
        <v>https://www.dgiwg.org/FAD/fdd/view?i=106823</v>
      </c>
      <c r="L2495" s="36" t="s">
        <v>26388</v>
      </c>
      <c r="M2495" s="186"/>
      <c r="N2495" s="186"/>
      <c r="O2495" s="172"/>
    </row>
    <row r="2496" spans="1:15" ht="25.5" x14ac:dyDescent="0.2">
      <c r="A2496" s="197" t="str">
        <f t="shared" si="38"/>
        <v>FunCode_dismantled</v>
      </c>
      <c r="B2496" s="409"/>
      <c r="C2496" s="416"/>
      <c r="D2496" s="198" t="s">
        <v>26389</v>
      </c>
      <c r="E2496" s="198">
        <v>4</v>
      </c>
      <c r="F2496" s="199" t="s">
        <v>26390</v>
      </c>
      <c r="G2496" s="1" t="s">
        <v>26391</v>
      </c>
      <c r="H2496" s="1" t="s">
        <v>26392</v>
      </c>
      <c r="I2496" s="346"/>
      <c r="J2496" s="39">
        <v>109908</v>
      </c>
      <c r="K2496" s="36" t="str">
        <f>CONCATENATE(Cover!$D$6,"fdd/view?i=",J2496)</f>
        <v>https://www.dgiwg.org/FAD/fdd/view?i=109908</v>
      </c>
      <c r="L2496" s="36" t="s">
        <v>26393</v>
      </c>
      <c r="M2496" s="186"/>
      <c r="N2496" s="186"/>
      <c r="O2496" s="172"/>
    </row>
    <row r="2497" spans="1:15" x14ac:dyDescent="0.2">
      <c r="A2497" s="197" t="str">
        <f t="shared" si="38"/>
        <v>FunCode_disused</v>
      </c>
      <c r="B2497" s="409"/>
      <c r="C2497" s="416"/>
      <c r="D2497" s="198" t="s">
        <v>26394</v>
      </c>
      <c r="E2497" s="198">
        <v>16</v>
      </c>
      <c r="F2497" s="199" t="s">
        <v>26395</v>
      </c>
      <c r="G2497" s="1" t="s">
        <v>26396</v>
      </c>
      <c r="H2497" s="200"/>
      <c r="I2497" s="346"/>
      <c r="J2497" s="39">
        <v>109899</v>
      </c>
      <c r="K2497" s="36" t="str">
        <f>CONCATENATE(Cover!$D$6,"fdd/view?i=",J2497)</f>
        <v>https://www.dgiwg.org/FAD/fdd/view?i=109899</v>
      </c>
      <c r="L2497" s="36" t="s">
        <v>26397</v>
      </c>
      <c r="M2497" s="186"/>
      <c r="N2497" s="186"/>
      <c r="O2497" s="172"/>
    </row>
    <row r="2498" spans="1:15" ht="25.5" x14ac:dyDescent="0.2">
      <c r="A2498" s="197" t="str">
        <f t="shared" ref="A2498:A2561" si="39">HYPERLINK(K2498,L2498)</f>
        <v>FunCode_fullyFunctional</v>
      </c>
      <c r="B2498" s="409"/>
      <c r="C2498" s="416"/>
      <c r="D2498" s="198" t="s">
        <v>26398</v>
      </c>
      <c r="E2498" s="198">
        <v>6</v>
      </c>
      <c r="F2498" s="199" t="s">
        <v>26399</v>
      </c>
      <c r="G2498" s="1" t="s">
        <v>26400</v>
      </c>
      <c r="H2498" s="200"/>
      <c r="I2498" s="346"/>
      <c r="J2498" s="39">
        <v>109910</v>
      </c>
      <c r="K2498" s="36" t="str">
        <f>CONCATENATE(Cover!$D$6,"fdd/view?i=",J2498)</f>
        <v>https://www.dgiwg.org/FAD/fdd/view?i=109910</v>
      </c>
      <c r="L2498" s="36" t="s">
        <v>26401</v>
      </c>
      <c r="M2498" s="186"/>
      <c r="N2498" s="186"/>
      <c r="O2498" s="172"/>
    </row>
    <row r="2499" spans="1:15" ht="25.5" x14ac:dyDescent="0.2">
      <c r="A2499" s="197" t="str">
        <f t="shared" si="39"/>
        <v>FunCode_partiallyDestroyed</v>
      </c>
      <c r="B2499" s="409"/>
      <c r="C2499" s="416"/>
      <c r="D2499" s="198" t="s">
        <v>26402</v>
      </c>
      <c r="E2499" s="198">
        <v>11</v>
      </c>
      <c r="F2499" s="199" t="s">
        <v>26403</v>
      </c>
      <c r="G2499" s="1" t="s">
        <v>26404</v>
      </c>
      <c r="H2499" s="200"/>
      <c r="I2499" s="346"/>
      <c r="J2499" s="39">
        <v>103814</v>
      </c>
      <c r="K2499" s="36" t="str">
        <f>CONCATENATE(Cover!$D$6,"fdd/view?i=",J2499)</f>
        <v>https://www.dgiwg.org/FAD/fdd/view?i=103814</v>
      </c>
      <c r="L2499" s="36" t="s">
        <v>26405</v>
      </c>
      <c r="M2499" s="186"/>
      <c r="N2499" s="186"/>
      <c r="O2499" s="172"/>
    </row>
    <row r="2500" spans="1:15" ht="25.5" x14ac:dyDescent="0.2">
      <c r="A2500" s="197" t="str">
        <f t="shared" si="39"/>
        <v>FunCode_partiallyFunctional</v>
      </c>
      <c r="B2500" s="409"/>
      <c r="C2500" s="416"/>
      <c r="D2500" s="198" t="s">
        <v>26406</v>
      </c>
      <c r="E2500" s="198">
        <v>9</v>
      </c>
      <c r="F2500" s="199" t="s">
        <v>26407</v>
      </c>
      <c r="G2500" s="1" t="s">
        <v>26408</v>
      </c>
      <c r="H2500" s="200"/>
      <c r="I2500" s="346"/>
      <c r="J2500" s="39">
        <v>109912</v>
      </c>
      <c r="K2500" s="36" t="str">
        <f>CONCATENATE(Cover!$D$6,"fdd/view?i=",J2500)</f>
        <v>https://www.dgiwg.org/FAD/fdd/view?i=109912</v>
      </c>
      <c r="L2500" s="36" t="s">
        <v>26409</v>
      </c>
      <c r="M2500" s="186"/>
      <c r="N2500" s="186"/>
      <c r="O2500" s="172"/>
    </row>
    <row r="2501" spans="1:15" ht="25.5" x14ac:dyDescent="0.2">
      <c r="A2501" s="197" t="str">
        <f t="shared" si="39"/>
        <v>FunCode_planned</v>
      </c>
      <c r="B2501" s="409"/>
      <c r="C2501" s="416"/>
      <c r="D2501" s="198" t="s">
        <v>26410</v>
      </c>
      <c r="E2501" s="198">
        <v>17</v>
      </c>
      <c r="F2501" s="199" t="s">
        <v>26411</v>
      </c>
      <c r="G2501" s="1" t="s">
        <v>26412</v>
      </c>
      <c r="H2501" s="200"/>
      <c r="I2501" s="346"/>
      <c r="J2501" s="39">
        <v>108185</v>
      </c>
      <c r="K2501" s="36" t="str">
        <f>CONCATENATE(Cover!$D$6,"fdd/view?i=",J2501)</f>
        <v>https://www.dgiwg.org/FAD/fdd/view?i=108185</v>
      </c>
      <c r="L2501" s="36" t="s">
        <v>26413</v>
      </c>
      <c r="M2501" s="186"/>
      <c r="N2501" s="186"/>
      <c r="O2501" s="172"/>
    </row>
    <row r="2502" spans="1:15" ht="25.5" x14ac:dyDescent="0.2">
      <c r="A2502" s="197" t="str">
        <f t="shared" si="39"/>
        <v>FunCode_proposed</v>
      </c>
      <c r="B2502" s="409"/>
      <c r="C2502" s="416"/>
      <c r="D2502" s="198" t="s">
        <v>26414</v>
      </c>
      <c r="E2502" s="198">
        <v>5</v>
      </c>
      <c r="F2502" s="199" t="s">
        <v>26415</v>
      </c>
      <c r="G2502" s="1" t="s">
        <v>26416</v>
      </c>
      <c r="H2502" s="200"/>
      <c r="I2502" s="346"/>
      <c r="J2502" s="39">
        <v>109909</v>
      </c>
      <c r="K2502" s="36" t="str">
        <f>CONCATENATE(Cover!$D$6,"fdd/view?i=",J2502)</f>
        <v>https://www.dgiwg.org/FAD/fdd/view?i=109909</v>
      </c>
      <c r="L2502" s="36" t="s">
        <v>26417</v>
      </c>
      <c r="M2502" s="186"/>
      <c r="N2502" s="186"/>
      <c r="O2502" s="172"/>
    </row>
    <row r="2503" spans="1:15" ht="38.25" x14ac:dyDescent="0.2">
      <c r="A2503" s="197" t="str">
        <f t="shared" si="39"/>
        <v>FunCode_ruined</v>
      </c>
      <c r="B2503" s="409"/>
      <c r="C2503" s="416"/>
      <c r="D2503" s="198" t="s">
        <v>19488</v>
      </c>
      <c r="E2503" s="198">
        <v>7</v>
      </c>
      <c r="F2503" s="199" t="s">
        <v>19489</v>
      </c>
      <c r="G2503" s="1" t="s">
        <v>26418</v>
      </c>
      <c r="H2503" s="200"/>
      <c r="I2503" s="346"/>
      <c r="J2503" s="39">
        <v>109911</v>
      </c>
      <c r="K2503" s="36" t="str">
        <f>CONCATENATE(Cover!$D$6,"fdd/view?i=",J2503)</f>
        <v>https://www.dgiwg.org/FAD/fdd/view?i=109911</v>
      </c>
      <c r="L2503" s="36" t="s">
        <v>26419</v>
      </c>
      <c r="M2503" s="186"/>
      <c r="N2503" s="186"/>
      <c r="O2503" s="172"/>
    </row>
    <row r="2504" spans="1:15" ht="38.25" x14ac:dyDescent="0.2">
      <c r="A2504" s="197" t="str">
        <f t="shared" si="39"/>
        <v>FunCode_salvaged</v>
      </c>
      <c r="B2504" s="409"/>
      <c r="C2504" s="416"/>
      <c r="D2504" s="198" t="s">
        <v>26420</v>
      </c>
      <c r="E2504" s="198">
        <v>18</v>
      </c>
      <c r="F2504" s="199" t="s">
        <v>26421</v>
      </c>
      <c r="G2504" s="1" t="s">
        <v>26422</v>
      </c>
      <c r="H2504" s="200"/>
      <c r="I2504" s="346"/>
      <c r="J2504" s="39">
        <v>108186</v>
      </c>
      <c r="K2504" s="36" t="str">
        <f>CONCATENATE(Cover!$D$6,"fdd/view?i=",J2504)</f>
        <v>https://www.dgiwg.org/FAD/fdd/view?i=108186</v>
      </c>
      <c r="L2504" s="36" t="s">
        <v>26423</v>
      </c>
      <c r="M2504" s="186"/>
      <c r="N2504" s="186"/>
      <c r="O2504" s="172"/>
    </row>
    <row r="2505" spans="1:15" ht="25.5" x14ac:dyDescent="0.2">
      <c r="A2505" s="203" t="str">
        <f t="shared" si="39"/>
        <v>FunCode_underConstruction</v>
      </c>
      <c r="B2505" s="410"/>
      <c r="C2505" s="417"/>
      <c r="D2505" s="204" t="s">
        <v>19492</v>
      </c>
      <c r="E2505" s="204">
        <v>1</v>
      </c>
      <c r="F2505" s="205" t="s">
        <v>19493</v>
      </c>
      <c r="G2505" s="206" t="s">
        <v>26424</v>
      </c>
      <c r="H2505" s="207"/>
      <c r="I2505" s="347"/>
      <c r="J2505" s="39">
        <v>103553</v>
      </c>
      <c r="K2505" s="36" t="str">
        <f>CONCATENATE(Cover!$D$6,"fdd/view?i=",J2505)</f>
        <v>https://www.dgiwg.org/FAD/fdd/view?i=103553</v>
      </c>
      <c r="L2505" s="36" t="s">
        <v>26425</v>
      </c>
      <c r="M2505" s="186"/>
      <c r="N2505" s="186"/>
      <c r="O2505" s="172"/>
    </row>
    <row r="2506" spans="1:15" x14ac:dyDescent="0.2">
      <c r="A2506" s="190" t="str">
        <f t="shared" si="39"/>
        <v>CfuCode_economic</v>
      </c>
      <c r="B2506" s="414" t="str">
        <f>HYPERLINK("[#]Datatypes!A342:L342","CfuCode")</f>
        <v>CfuCode</v>
      </c>
      <c r="C2506" s="415" t="s">
        <v>14904</v>
      </c>
      <c r="D2506" s="221" t="s">
        <v>24265</v>
      </c>
      <c r="E2506" s="221">
        <v>2</v>
      </c>
      <c r="F2506" s="222" t="s">
        <v>24266</v>
      </c>
      <c r="G2506" s="223" t="s">
        <v>26426</v>
      </c>
      <c r="H2506" s="224"/>
      <c r="I2506" s="345"/>
      <c r="J2506" s="39">
        <v>113016</v>
      </c>
      <c r="K2506" s="36" t="str">
        <f>CONCATENATE(Cover!$D$6,"fdd/view?i=",J2506)</f>
        <v>https://www.dgiwg.org/FAD/fdd/view?i=113016</v>
      </c>
      <c r="L2506" s="36" t="s">
        <v>26427</v>
      </c>
      <c r="M2506" s="186"/>
      <c r="N2506" s="186"/>
      <c r="O2506" s="172"/>
    </row>
    <row r="2507" spans="1:15" ht="25.5" x14ac:dyDescent="0.2">
      <c r="A2507" s="197" t="str">
        <f t="shared" si="39"/>
        <v>CfuCode_ethnic</v>
      </c>
      <c r="B2507" s="409"/>
      <c r="C2507" s="416"/>
      <c r="D2507" s="198" t="s">
        <v>24272</v>
      </c>
      <c r="E2507" s="198">
        <v>1</v>
      </c>
      <c r="F2507" s="199" t="s">
        <v>24273</v>
      </c>
      <c r="G2507" s="1" t="s">
        <v>26428</v>
      </c>
      <c r="H2507" s="200"/>
      <c r="I2507" s="346"/>
      <c r="J2507" s="39">
        <v>113015</v>
      </c>
      <c r="K2507" s="36" t="str">
        <f>CONCATENATE(Cover!$D$6,"fdd/view?i=",J2507)</f>
        <v>https://www.dgiwg.org/FAD/fdd/view?i=113015</v>
      </c>
      <c r="L2507" s="36" t="s">
        <v>26429</v>
      </c>
      <c r="M2507" s="186"/>
      <c r="N2507" s="186"/>
      <c r="O2507" s="172"/>
    </row>
    <row r="2508" spans="1:15" ht="25.5" x14ac:dyDescent="0.2">
      <c r="A2508" s="197" t="str">
        <f t="shared" si="39"/>
        <v>CfuCode_political</v>
      </c>
      <c r="B2508" s="409"/>
      <c r="C2508" s="416"/>
      <c r="D2508" s="198" t="s">
        <v>26430</v>
      </c>
      <c r="E2508" s="198">
        <v>6</v>
      </c>
      <c r="F2508" s="199" t="s">
        <v>26431</v>
      </c>
      <c r="G2508" s="1" t="s">
        <v>26432</v>
      </c>
      <c r="H2508" s="200"/>
      <c r="I2508" s="346"/>
      <c r="J2508" s="39">
        <v>113020</v>
      </c>
      <c r="K2508" s="36" t="str">
        <f>CONCATENATE(Cover!$D$6,"fdd/view?i=",J2508)</f>
        <v>https://www.dgiwg.org/FAD/fdd/view?i=113020</v>
      </c>
      <c r="L2508" s="36" t="s">
        <v>26433</v>
      </c>
      <c r="M2508" s="186"/>
      <c r="N2508" s="186"/>
      <c r="O2508" s="172"/>
    </row>
    <row r="2509" spans="1:15" ht="25.5" x14ac:dyDescent="0.2">
      <c r="A2509" s="197" t="str">
        <f t="shared" si="39"/>
        <v>CfuCode_religious</v>
      </c>
      <c r="B2509" s="409"/>
      <c r="C2509" s="416"/>
      <c r="D2509" s="198" t="s">
        <v>26434</v>
      </c>
      <c r="E2509" s="198">
        <v>3</v>
      </c>
      <c r="F2509" s="199" t="s">
        <v>26435</v>
      </c>
      <c r="G2509" s="1" t="s">
        <v>26436</v>
      </c>
      <c r="H2509" s="200"/>
      <c r="I2509" s="346"/>
      <c r="J2509" s="39">
        <v>113017</v>
      </c>
      <c r="K2509" s="36" t="str">
        <f>CONCATENATE(Cover!$D$6,"fdd/view?i=",J2509)</f>
        <v>https://www.dgiwg.org/FAD/fdd/view?i=113017</v>
      </c>
      <c r="L2509" s="36" t="s">
        <v>26437</v>
      </c>
      <c r="M2509" s="186"/>
      <c r="N2509" s="186"/>
      <c r="O2509" s="172"/>
    </row>
    <row r="2510" spans="1:15" ht="25.5" x14ac:dyDescent="0.2">
      <c r="A2510" s="197" t="str">
        <f t="shared" si="39"/>
        <v>CfuCode_resources</v>
      </c>
      <c r="B2510" s="409"/>
      <c r="C2510" s="416"/>
      <c r="D2510" s="198" t="s">
        <v>26438</v>
      </c>
      <c r="E2510" s="198">
        <v>7</v>
      </c>
      <c r="F2510" s="199" t="s">
        <v>26439</v>
      </c>
      <c r="G2510" s="1" t="s">
        <v>26440</v>
      </c>
      <c r="H2510" s="200"/>
      <c r="I2510" s="346"/>
      <c r="J2510" s="39">
        <v>118460</v>
      </c>
      <c r="K2510" s="36" t="str">
        <f>CONCATENATE(Cover!$D$6,"fdd/view?i=",J2510)</f>
        <v>https://www.dgiwg.org/FAD/fdd/view?i=118460</v>
      </c>
      <c r="L2510" s="36" t="s">
        <v>26441</v>
      </c>
      <c r="M2510" s="186"/>
      <c r="N2510" s="186"/>
      <c r="O2510" s="172"/>
    </row>
    <row r="2511" spans="1:15" x14ac:dyDescent="0.2">
      <c r="A2511" s="197" t="str">
        <f t="shared" si="39"/>
        <v>CfuCode_social</v>
      </c>
      <c r="B2511" s="409"/>
      <c r="C2511" s="416"/>
      <c r="D2511" s="198" t="s">
        <v>26442</v>
      </c>
      <c r="E2511" s="198">
        <v>5</v>
      </c>
      <c r="F2511" s="199" t="s">
        <v>26443</v>
      </c>
      <c r="G2511" s="1" t="s">
        <v>26444</v>
      </c>
      <c r="H2511" s="200"/>
      <c r="I2511" s="346"/>
      <c r="J2511" s="39">
        <v>113019</v>
      </c>
      <c r="K2511" s="36" t="str">
        <f>CONCATENATE(Cover!$D$6,"fdd/view?i=",J2511)</f>
        <v>https://www.dgiwg.org/FAD/fdd/view?i=113019</v>
      </c>
      <c r="L2511" s="36" t="s">
        <v>26445</v>
      </c>
      <c r="M2511" s="186"/>
      <c r="N2511" s="186"/>
      <c r="O2511" s="172"/>
    </row>
    <row r="2512" spans="1:15" x14ac:dyDescent="0.2">
      <c r="A2512" s="203" t="str">
        <f t="shared" si="39"/>
        <v>CfuCode_territorial</v>
      </c>
      <c r="B2512" s="410"/>
      <c r="C2512" s="417"/>
      <c r="D2512" s="204" t="s">
        <v>26446</v>
      </c>
      <c r="E2512" s="204">
        <v>4</v>
      </c>
      <c r="F2512" s="205" t="s">
        <v>26447</v>
      </c>
      <c r="G2512" s="206" t="s">
        <v>26448</v>
      </c>
      <c r="H2512" s="207"/>
      <c r="I2512" s="347"/>
      <c r="J2512" s="39">
        <v>113018</v>
      </c>
      <c r="K2512" s="36" t="str">
        <f>CONCATENATE(Cover!$D$6,"fdd/view?i=",J2512)</f>
        <v>https://www.dgiwg.org/FAD/fdd/view?i=113018</v>
      </c>
      <c r="L2512" s="36" t="s">
        <v>26449</v>
      </c>
      <c r="M2512" s="186"/>
      <c r="N2512" s="186"/>
      <c r="O2512" s="172"/>
    </row>
    <row r="2513" spans="1:15" ht="38.25" x14ac:dyDescent="0.2">
      <c r="A2513" s="190" t="str">
        <f t="shared" si="39"/>
        <v>CmbCode_breedingGround</v>
      </c>
      <c r="B2513" s="414" t="str">
        <f>HYPERLINK("[#]Datatypes!A348:L348","CmbCode")</f>
        <v>CmbCode</v>
      </c>
      <c r="C2513" s="415" t="s">
        <v>14911</v>
      </c>
      <c r="D2513" s="221" t="s">
        <v>26450</v>
      </c>
      <c r="E2513" s="221">
        <v>6</v>
      </c>
      <c r="F2513" s="222" t="s">
        <v>26451</v>
      </c>
      <c r="G2513" s="223" t="s">
        <v>26452</v>
      </c>
      <c r="H2513" s="223" t="s">
        <v>26453</v>
      </c>
      <c r="I2513" s="345"/>
      <c r="J2513" s="39">
        <v>113074</v>
      </c>
      <c r="K2513" s="36" t="str">
        <f>CONCATENATE(Cover!$D$6,"fdd/view?i=",J2513)</f>
        <v>https://www.dgiwg.org/FAD/fdd/view?i=113074</v>
      </c>
      <c r="L2513" s="36" t="s">
        <v>26454</v>
      </c>
      <c r="M2513" s="186"/>
      <c r="N2513" s="186"/>
      <c r="O2513" s="172"/>
    </row>
    <row r="2514" spans="1:15" ht="51" x14ac:dyDescent="0.2">
      <c r="A2514" s="197" t="str">
        <f t="shared" si="39"/>
        <v>CmbCode_habitatSpeciesManagement</v>
      </c>
      <c r="B2514" s="409"/>
      <c r="C2514" s="416"/>
      <c r="D2514" s="198" t="s">
        <v>26455</v>
      </c>
      <c r="E2514" s="198">
        <v>5</v>
      </c>
      <c r="F2514" s="199" t="s">
        <v>26456</v>
      </c>
      <c r="G2514" s="1" t="s">
        <v>26457</v>
      </c>
      <c r="H2514" s="1" t="s">
        <v>26458</v>
      </c>
      <c r="I2514" s="346"/>
      <c r="J2514" s="39">
        <v>113073</v>
      </c>
      <c r="K2514" s="36" t="str">
        <f>CONCATENATE(Cover!$D$6,"fdd/view?i=",J2514)</f>
        <v>https://www.dgiwg.org/FAD/fdd/view?i=113073</v>
      </c>
      <c r="L2514" s="36" t="s">
        <v>26459</v>
      </c>
      <c r="M2514" s="186"/>
      <c r="N2514" s="186"/>
      <c r="O2514" s="172"/>
    </row>
    <row r="2515" spans="1:15" ht="63.75" x14ac:dyDescent="0.2">
      <c r="A2515" s="197" t="str">
        <f t="shared" si="39"/>
        <v>CmbCode_managedForestProtected</v>
      </c>
      <c r="B2515" s="409"/>
      <c r="C2515" s="416"/>
      <c r="D2515" s="198" t="s">
        <v>26460</v>
      </c>
      <c r="E2515" s="198">
        <v>9</v>
      </c>
      <c r="F2515" s="199" t="s">
        <v>26461</v>
      </c>
      <c r="G2515" s="1" t="s">
        <v>26462</v>
      </c>
      <c r="H2515" s="1" t="s">
        <v>26463</v>
      </c>
      <c r="I2515" s="346"/>
      <c r="J2515" s="39">
        <v>113077</v>
      </c>
      <c r="K2515" s="36" t="str">
        <f>CONCATENATE(Cover!$D$6,"fdd/view?i=",J2515)</f>
        <v>https://www.dgiwg.org/FAD/fdd/view?i=113077</v>
      </c>
      <c r="L2515" s="36" t="s">
        <v>26464</v>
      </c>
      <c r="M2515" s="186"/>
      <c r="N2515" s="186"/>
      <c r="O2515" s="172"/>
    </row>
    <row r="2516" spans="1:15" ht="63.75" x14ac:dyDescent="0.2">
      <c r="A2516" s="197" t="str">
        <f t="shared" si="39"/>
        <v>CmbCode_managedResourceProtected</v>
      </c>
      <c r="B2516" s="409"/>
      <c r="C2516" s="416"/>
      <c r="D2516" s="198" t="s">
        <v>26465</v>
      </c>
      <c r="E2516" s="198">
        <v>8</v>
      </c>
      <c r="F2516" s="199" t="s">
        <v>26466</v>
      </c>
      <c r="G2516" s="1" t="s">
        <v>26467</v>
      </c>
      <c r="H2516" s="1" t="s">
        <v>26468</v>
      </c>
      <c r="I2516" s="346"/>
      <c r="J2516" s="39">
        <v>113076</v>
      </c>
      <c r="K2516" s="36" t="str">
        <f>CONCATENATE(Cover!$D$6,"fdd/view?i=",J2516)</f>
        <v>https://www.dgiwg.org/FAD/fdd/view?i=113076</v>
      </c>
      <c r="L2516" s="36" t="s">
        <v>26469</v>
      </c>
      <c r="M2516" s="186"/>
      <c r="N2516" s="186"/>
      <c r="O2516" s="172"/>
    </row>
    <row r="2517" spans="1:15" ht="89.25" x14ac:dyDescent="0.2">
      <c r="A2517" s="197" t="str">
        <f t="shared" si="39"/>
        <v>CmbCode_nationalPark</v>
      </c>
      <c r="B2517" s="409"/>
      <c r="C2517" s="416"/>
      <c r="D2517" s="198" t="s">
        <v>26470</v>
      </c>
      <c r="E2517" s="198">
        <v>3</v>
      </c>
      <c r="F2517" s="199" t="s">
        <v>26471</v>
      </c>
      <c r="G2517" s="1" t="s">
        <v>26472</v>
      </c>
      <c r="H2517" s="1" t="s">
        <v>26473</v>
      </c>
      <c r="I2517" s="346"/>
      <c r="J2517" s="39">
        <v>113071</v>
      </c>
      <c r="K2517" s="36" t="str">
        <f>CONCATENATE(Cover!$D$6,"fdd/view?i=",J2517)</f>
        <v>https://www.dgiwg.org/FAD/fdd/view?i=113071</v>
      </c>
      <c r="L2517" s="36" t="s">
        <v>26474</v>
      </c>
      <c r="M2517" s="186"/>
      <c r="N2517" s="186"/>
      <c r="O2517" s="172"/>
    </row>
    <row r="2518" spans="1:15" ht="51" x14ac:dyDescent="0.2">
      <c r="A2518" s="197" t="str">
        <f t="shared" si="39"/>
        <v>CmbCode_naturalMonument</v>
      </c>
      <c r="B2518" s="409"/>
      <c r="C2518" s="416"/>
      <c r="D2518" s="198" t="s">
        <v>26475</v>
      </c>
      <c r="E2518" s="198">
        <v>4</v>
      </c>
      <c r="F2518" s="199" t="s">
        <v>26476</v>
      </c>
      <c r="G2518" s="1" t="s">
        <v>26477</v>
      </c>
      <c r="H2518" s="1" t="s">
        <v>26478</v>
      </c>
      <c r="I2518" s="346"/>
      <c r="J2518" s="39">
        <v>113072</v>
      </c>
      <c r="K2518" s="36" t="str">
        <f>CONCATENATE(Cover!$D$6,"fdd/view?i=",J2518)</f>
        <v>https://www.dgiwg.org/FAD/fdd/view?i=113072</v>
      </c>
      <c r="L2518" s="36" t="s">
        <v>26479</v>
      </c>
      <c r="M2518" s="186"/>
      <c r="N2518" s="186"/>
      <c r="O2518" s="172"/>
    </row>
    <row r="2519" spans="1:15" ht="63.75" x14ac:dyDescent="0.2">
      <c r="A2519" s="197" t="str">
        <f t="shared" si="39"/>
        <v>CmbCode_protectedLandSeascape</v>
      </c>
      <c r="B2519" s="409"/>
      <c r="C2519" s="416"/>
      <c r="D2519" s="198" t="s">
        <v>26480</v>
      </c>
      <c r="E2519" s="198">
        <v>7</v>
      </c>
      <c r="F2519" s="199" t="s">
        <v>26481</v>
      </c>
      <c r="G2519" s="1" t="s">
        <v>26482</v>
      </c>
      <c r="H2519" s="1" t="s">
        <v>26483</v>
      </c>
      <c r="I2519" s="346"/>
      <c r="J2519" s="39">
        <v>113075</v>
      </c>
      <c r="K2519" s="36" t="str">
        <f>CONCATENATE(Cover!$D$6,"fdd/view?i=",J2519)</f>
        <v>https://www.dgiwg.org/FAD/fdd/view?i=113075</v>
      </c>
      <c r="L2519" s="36" t="s">
        <v>26484</v>
      </c>
      <c r="M2519" s="186"/>
      <c r="N2519" s="186"/>
      <c r="O2519" s="172"/>
    </row>
    <row r="2520" spans="1:15" ht="51" x14ac:dyDescent="0.2">
      <c r="A2520" s="197" t="str">
        <f t="shared" si="39"/>
        <v>CmbCode_strictNatureReserve</v>
      </c>
      <c r="B2520" s="409"/>
      <c r="C2520" s="416"/>
      <c r="D2520" s="198" t="s">
        <v>26485</v>
      </c>
      <c r="E2520" s="198">
        <v>1</v>
      </c>
      <c r="F2520" s="199" t="s">
        <v>26486</v>
      </c>
      <c r="G2520" s="1" t="s">
        <v>26487</v>
      </c>
      <c r="H2520" s="1" t="s">
        <v>26488</v>
      </c>
      <c r="I2520" s="346"/>
      <c r="J2520" s="39">
        <v>113069</v>
      </c>
      <c r="K2520" s="36" t="str">
        <f>CONCATENATE(Cover!$D$6,"fdd/view?i=",J2520)</f>
        <v>https://www.dgiwg.org/FAD/fdd/view?i=113069</v>
      </c>
      <c r="L2520" s="36" t="s">
        <v>26489</v>
      </c>
      <c r="M2520" s="186"/>
      <c r="N2520" s="186"/>
      <c r="O2520" s="172"/>
    </row>
    <row r="2521" spans="1:15" ht="51" x14ac:dyDescent="0.2">
      <c r="A2521" s="203" t="str">
        <f t="shared" si="39"/>
        <v>CmbCode_wildernessArea</v>
      </c>
      <c r="B2521" s="410"/>
      <c r="C2521" s="417"/>
      <c r="D2521" s="204" t="s">
        <v>26490</v>
      </c>
      <c r="E2521" s="204">
        <v>2</v>
      </c>
      <c r="F2521" s="205" t="s">
        <v>26491</v>
      </c>
      <c r="G2521" s="206" t="s">
        <v>26492</v>
      </c>
      <c r="H2521" s="206" t="s">
        <v>26493</v>
      </c>
      <c r="I2521" s="347"/>
      <c r="J2521" s="39">
        <v>113070</v>
      </c>
      <c r="K2521" s="36" t="str">
        <f>CONCATENATE(Cover!$D$6,"fdd/view?i=",J2521)</f>
        <v>https://www.dgiwg.org/FAD/fdd/view?i=113070</v>
      </c>
      <c r="L2521" s="36" t="s">
        <v>26494</v>
      </c>
      <c r="M2521" s="186"/>
      <c r="N2521" s="186"/>
      <c r="O2521" s="172"/>
    </row>
    <row r="2522" spans="1:15" ht="38.25" x14ac:dyDescent="0.2">
      <c r="A2522" s="190" t="str">
        <f t="shared" si="39"/>
        <v>CamCode_breedingGround</v>
      </c>
      <c r="B2522" s="414" t="str">
        <f>HYPERLINK("[#]Datatypes!A350:L350","CamCode")</f>
        <v>CamCode</v>
      </c>
      <c r="C2522" s="415" t="s">
        <v>14913</v>
      </c>
      <c r="D2522" s="221" t="s">
        <v>26450</v>
      </c>
      <c r="E2522" s="221">
        <v>8</v>
      </c>
      <c r="F2522" s="222" t="s">
        <v>26451</v>
      </c>
      <c r="G2522" s="223" t="s">
        <v>26495</v>
      </c>
      <c r="H2522" s="223" t="s">
        <v>26453</v>
      </c>
      <c r="I2522" s="352" t="s">
        <v>26496</v>
      </c>
      <c r="J2522" s="39">
        <v>111307</v>
      </c>
      <c r="K2522" s="36" t="str">
        <f>CONCATENATE(Cover!$D$6,"fdd/view?i=",J2522)</f>
        <v>https://www.dgiwg.org/FAD/fdd/view?i=111307</v>
      </c>
      <c r="L2522" s="36" t="s">
        <v>26497</v>
      </c>
      <c r="M2522" s="186"/>
      <c r="N2522" s="186"/>
      <c r="O2522" s="172"/>
    </row>
    <row r="2523" spans="1:15" ht="38.25" x14ac:dyDescent="0.2">
      <c r="A2523" s="197" t="str">
        <f t="shared" si="39"/>
        <v>CamCode_habitatManagement</v>
      </c>
      <c r="B2523" s="409"/>
      <c r="C2523" s="416"/>
      <c r="D2523" s="198" t="s">
        <v>26501</v>
      </c>
      <c r="E2523" s="198">
        <v>6</v>
      </c>
      <c r="F2523" s="199" t="s">
        <v>26502</v>
      </c>
      <c r="G2523" s="1" t="s">
        <v>26503</v>
      </c>
      <c r="H2523" s="1" t="s">
        <v>26504</v>
      </c>
      <c r="I2523" s="346"/>
      <c r="J2523" s="39">
        <v>111305</v>
      </c>
      <c r="K2523" s="36" t="str">
        <f>CONCATENATE(Cover!$D$6,"fdd/view?i=",J2523)</f>
        <v>https://www.dgiwg.org/FAD/fdd/view?i=111305</v>
      </c>
      <c r="L2523" s="36" t="s">
        <v>26505</v>
      </c>
      <c r="M2523" s="186"/>
      <c r="N2523" s="186"/>
      <c r="O2523" s="172"/>
    </row>
    <row r="2524" spans="1:15" ht="38.25" x14ac:dyDescent="0.2">
      <c r="A2524" s="197" t="str">
        <f t="shared" si="39"/>
        <v>CamCode_habitatSpeciesManagement</v>
      </c>
      <c r="B2524" s="409"/>
      <c r="C2524" s="416"/>
      <c r="D2524" s="198" t="s">
        <v>26455</v>
      </c>
      <c r="E2524" s="198">
        <v>5</v>
      </c>
      <c r="F2524" s="199" t="s">
        <v>26498</v>
      </c>
      <c r="G2524" s="1" t="s">
        <v>26499</v>
      </c>
      <c r="H2524" s="1" t="s">
        <v>26458</v>
      </c>
      <c r="I2524" s="346"/>
      <c r="J2524" s="39">
        <v>111304</v>
      </c>
      <c r="K2524" s="36" t="str">
        <f>CONCATENATE(Cover!$D$6,"fdd/view?i=",J2524)</f>
        <v>https://www.dgiwg.org/FAD/fdd/view?i=111304</v>
      </c>
      <c r="L2524" s="36" t="s">
        <v>26500</v>
      </c>
      <c r="M2524" s="186"/>
      <c r="N2524" s="186"/>
      <c r="O2524" s="172"/>
    </row>
    <row r="2525" spans="1:15" ht="51" x14ac:dyDescent="0.2">
      <c r="A2525" s="197" t="str">
        <f t="shared" si="39"/>
        <v>CamCode_managedForestProtected</v>
      </c>
      <c r="B2525" s="409"/>
      <c r="C2525" s="416"/>
      <c r="D2525" s="198" t="s">
        <v>26460</v>
      </c>
      <c r="E2525" s="198">
        <v>11</v>
      </c>
      <c r="F2525" s="199" t="s">
        <v>26461</v>
      </c>
      <c r="G2525" s="1" t="s">
        <v>26506</v>
      </c>
      <c r="H2525" s="1" t="s">
        <v>26463</v>
      </c>
      <c r="I2525" s="346"/>
      <c r="J2525" s="39">
        <v>111310</v>
      </c>
      <c r="K2525" s="36" t="str">
        <f>CONCATENATE(Cover!$D$6,"fdd/view?i=",J2525)</f>
        <v>https://www.dgiwg.org/FAD/fdd/view?i=111310</v>
      </c>
      <c r="L2525" s="36" t="s">
        <v>26507</v>
      </c>
      <c r="M2525" s="186"/>
      <c r="N2525" s="186"/>
      <c r="O2525" s="172"/>
    </row>
    <row r="2526" spans="1:15" ht="51" x14ac:dyDescent="0.2">
      <c r="A2526" s="197" t="str">
        <f t="shared" si="39"/>
        <v>CamCode_managedResourceProtected</v>
      </c>
      <c r="B2526" s="409"/>
      <c r="C2526" s="416"/>
      <c r="D2526" s="198" t="s">
        <v>26465</v>
      </c>
      <c r="E2526" s="198">
        <v>10</v>
      </c>
      <c r="F2526" s="199" t="s">
        <v>26466</v>
      </c>
      <c r="G2526" s="1" t="s">
        <v>26508</v>
      </c>
      <c r="H2526" s="1" t="s">
        <v>26468</v>
      </c>
      <c r="I2526" s="346"/>
      <c r="J2526" s="39">
        <v>111309</v>
      </c>
      <c r="K2526" s="36" t="str">
        <f>CONCATENATE(Cover!$D$6,"fdd/view?i=",J2526)</f>
        <v>https://www.dgiwg.org/FAD/fdd/view?i=111309</v>
      </c>
      <c r="L2526" s="36" t="s">
        <v>26509</v>
      </c>
      <c r="M2526" s="186"/>
      <c r="N2526" s="186"/>
      <c r="O2526" s="172"/>
    </row>
    <row r="2527" spans="1:15" ht="89.25" x14ac:dyDescent="0.2">
      <c r="A2527" s="197" t="str">
        <f t="shared" si="39"/>
        <v>CamCode_nationalPark</v>
      </c>
      <c r="B2527" s="409"/>
      <c r="C2527" s="416"/>
      <c r="D2527" s="198" t="s">
        <v>26470</v>
      </c>
      <c r="E2527" s="198">
        <v>3</v>
      </c>
      <c r="F2527" s="199" t="s">
        <v>26471</v>
      </c>
      <c r="G2527" s="1" t="s">
        <v>26510</v>
      </c>
      <c r="H2527" s="1" t="s">
        <v>26473</v>
      </c>
      <c r="I2527" s="346"/>
      <c r="J2527" s="39">
        <v>111302</v>
      </c>
      <c r="K2527" s="36" t="str">
        <f>CONCATENATE(Cover!$D$6,"fdd/view?i=",J2527)</f>
        <v>https://www.dgiwg.org/FAD/fdd/view?i=111302</v>
      </c>
      <c r="L2527" s="36" t="s">
        <v>26511</v>
      </c>
      <c r="M2527" s="186"/>
      <c r="N2527" s="186"/>
      <c r="O2527" s="172"/>
    </row>
    <row r="2528" spans="1:15" ht="51" x14ac:dyDescent="0.2">
      <c r="A2528" s="197" t="str">
        <f t="shared" si="39"/>
        <v>CamCode_naturalMonument</v>
      </c>
      <c r="B2528" s="409"/>
      <c r="C2528" s="416"/>
      <c r="D2528" s="198" t="s">
        <v>26475</v>
      </c>
      <c r="E2528" s="198">
        <v>4</v>
      </c>
      <c r="F2528" s="199" t="s">
        <v>26476</v>
      </c>
      <c r="G2528" s="1" t="s">
        <v>26512</v>
      </c>
      <c r="H2528" s="1" t="s">
        <v>26478</v>
      </c>
      <c r="I2528" s="346"/>
      <c r="J2528" s="39">
        <v>111303</v>
      </c>
      <c r="K2528" s="36" t="str">
        <f>CONCATENATE(Cover!$D$6,"fdd/view?i=",J2528)</f>
        <v>https://www.dgiwg.org/FAD/fdd/view?i=111303</v>
      </c>
      <c r="L2528" s="36" t="s">
        <v>26513</v>
      </c>
      <c r="M2528" s="186"/>
      <c r="N2528" s="186"/>
      <c r="O2528" s="172"/>
    </row>
    <row r="2529" spans="1:15" ht="51" x14ac:dyDescent="0.2">
      <c r="A2529" s="197" t="str">
        <f t="shared" si="39"/>
        <v>CamCode_protectedLandSeascape</v>
      </c>
      <c r="B2529" s="409"/>
      <c r="C2529" s="416"/>
      <c r="D2529" s="198" t="s">
        <v>26480</v>
      </c>
      <c r="E2529" s="198">
        <v>9</v>
      </c>
      <c r="F2529" s="199" t="s">
        <v>26481</v>
      </c>
      <c r="G2529" s="1" t="s">
        <v>26514</v>
      </c>
      <c r="H2529" s="1" t="s">
        <v>26483</v>
      </c>
      <c r="I2529" s="346"/>
      <c r="J2529" s="39">
        <v>111308</v>
      </c>
      <c r="K2529" s="36" t="str">
        <f>CONCATENATE(Cover!$D$6,"fdd/view?i=",J2529)</f>
        <v>https://www.dgiwg.org/FAD/fdd/view?i=111308</v>
      </c>
      <c r="L2529" s="36" t="s">
        <v>26515</v>
      </c>
      <c r="M2529" s="186"/>
      <c r="N2529" s="186"/>
      <c r="O2529" s="172"/>
    </row>
    <row r="2530" spans="1:15" ht="38.25" x14ac:dyDescent="0.2">
      <c r="A2530" s="197" t="str">
        <f t="shared" si="39"/>
        <v>CamCode_speciesManagement</v>
      </c>
      <c r="B2530" s="409"/>
      <c r="C2530" s="416"/>
      <c r="D2530" s="198" t="s">
        <v>26516</v>
      </c>
      <c r="E2530" s="198">
        <v>7</v>
      </c>
      <c r="F2530" s="199" t="s">
        <v>26517</v>
      </c>
      <c r="G2530" s="1" t="s">
        <v>26518</v>
      </c>
      <c r="H2530" s="1" t="s">
        <v>26504</v>
      </c>
      <c r="I2530" s="346"/>
      <c r="J2530" s="39">
        <v>111306</v>
      </c>
      <c r="K2530" s="36" t="str">
        <f>CONCATENATE(Cover!$D$6,"fdd/view?i=",J2530)</f>
        <v>https://www.dgiwg.org/FAD/fdd/view?i=111306</v>
      </c>
      <c r="L2530" s="36" t="s">
        <v>26519</v>
      </c>
      <c r="M2530" s="186"/>
      <c r="N2530" s="186"/>
      <c r="O2530" s="172"/>
    </row>
    <row r="2531" spans="1:15" ht="51" x14ac:dyDescent="0.2">
      <c r="A2531" s="197" t="str">
        <f t="shared" si="39"/>
        <v>CamCode_strictNatureReserve</v>
      </c>
      <c r="B2531" s="409"/>
      <c r="C2531" s="416"/>
      <c r="D2531" s="198" t="s">
        <v>26485</v>
      </c>
      <c r="E2531" s="198">
        <v>1</v>
      </c>
      <c r="F2531" s="199" t="s">
        <v>26486</v>
      </c>
      <c r="G2531" s="1" t="s">
        <v>26520</v>
      </c>
      <c r="H2531" s="1" t="s">
        <v>26488</v>
      </c>
      <c r="I2531" s="346"/>
      <c r="J2531" s="39">
        <v>111300</v>
      </c>
      <c r="K2531" s="36" t="str">
        <f>CONCATENATE(Cover!$D$6,"fdd/view?i=",J2531)</f>
        <v>https://www.dgiwg.org/FAD/fdd/view?i=111300</v>
      </c>
      <c r="L2531" s="36" t="s">
        <v>26521</v>
      </c>
      <c r="M2531" s="186"/>
      <c r="N2531" s="186"/>
      <c r="O2531" s="172"/>
    </row>
    <row r="2532" spans="1:15" ht="51" x14ac:dyDescent="0.2">
      <c r="A2532" s="203" t="str">
        <f t="shared" si="39"/>
        <v>CamCode_wildernessArea</v>
      </c>
      <c r="B2532" s="410"/>
      <c r="C2532" s="417"/>
      <c r="D2532" s="204" t="s">
        <v>26490</v>
      </c>
      <c r="E2532" s="204">
        <v>2</v>
      </c>
      <c r="F2532" s="205" t="s">
        <v>26491</v>
      </c>
      <c r="G2532" s="206" t="s">
        <v>26522</v>
      </c>
      <c r="H2532" s="206" t="s">
        <v>26493</v>
      </c>
      <c r="I2532" s="347"/>
      <c r="J2532" s="39">
        <v>111301</v>
      </c>
      <c r="K2532" s="36" t="str">
        <f>CONCATENATE(Cover!$D$6,"fdd/view?i=",J2532)</f>
        <v>https://www.dgiwg.org/FAD/fdd/view?i=111301</v>
      </c>
      <c r="L2532" s="36" t="s">
        <v>26523</v>
      </c>
      <c r="M2532" s="186"/>
      <c r="N2532" s="186"/>
      <c r="O2532" s="172"/>
    </row>
    <row r="2533" spans="1:15" ht="25.5" x14ac:dyDescent="0.2">
      <c r="A2533" s="190" t="str">
        <f t="shared" si="39"/>
        <v>CoaCode_notConspicuous</v>
      </c>
      <c r="B2533" s="414" t="str">
        <f>HYPERLINK("[#]Datatypes!A352:L352","CoaCode")</f>
        <v>CoaCode</v>
      </c>
      <c r="C2533" s="415" t="s">
        <v>14915</v>
      </c>
      <c r="D2533" s="221" t="s">
        <v>26524</v>
      </c>
      <c r="E2533" s="221">
        <v>4</v>
      </c>
      <c r="F2533" s="222" t="s">
        <v>26525</v>
      </c>
      <c r="G2533" s="223" t="s">
        <v>26526</v>
      </c>
      <c r="H2533" s="224"/>
      <c r="I2533" s="345"/>
      <c r="J2533" s="39">
        <v>107387</v>
      </c>
      <c r="K2533" s="36" t="str">
        <f>CONCATENATE(Cover!$D$6,"fdd/view?i=",J2533)</f>
        <v>https://www.dgiwg.org/FAD/fdd/view?i=107387</v>
      </c>
      <c r="L2533" s="36" t="s">
        <v>26527</v>
      </c>
      <c r="M2533" s="186"/>
      <c r="N2533" s="186"/>
      <c r="O2533" s="172"/>
    </row>
    <row r="2534" spans="1:15" x14ac:dyDescent="0.2">
      <c r="A2534" s="197" t="str">
        <f t="shared" si="39"/>
        <v>CoaCode_radar</v>
      </c>
      <c r="B2534" s="409"/>
      <c r="C2534" s="416"/>
      <c r="D2534" s="198" t="s">
        <v>26528</v>
      </c>
      <c r="E2534" s="198">
        <v>3</v>
      </c>
      <c r="F2534" s="199" t="s">
        <v>26529</v>
      </c>
      <c r="G2534" s="1" t="s">
        <v>26530</v>
      </c>
      <c r="H2534" s="1" t="s">
        <v>26531</v>
      </c>
      <c r="I2534" s="346"/>
      <c r="J2534" s="39">
        <v>107386</v>
      </c>
      <c r="K2534" s="36" t="str">
        <f>CONCATENATE(Cover!$D$6,"fdd/view?i=",J2534)</f>
        <v>https://www.dgiwg.org/FAD/fdd/view?i=107386</v>
      </c>
      <c r="L2534" s="36" t="s">
        <v>26532</v>
      </c>
      <c r="M2534" s="186"/>
      <c r="N2534" s="186"/>
      <c r="O2534" s="172"/>
    </row>
    <row r="2535" spans="1:15" x14ac:dyDescent="0.2">
      <c r="A2535" s="197" t="str">
        <f t="shared" si="39"/>
        <v>CoaCode_visual</v>
      </c>
      <c r="B2535" s="409"/>
      <c r="C2535" s="416"/>
      <c r="D2535" s="198" t="s">
        <v>21963</v>
      </c>
      <c r="E2535" s="198">
        <v>2</v>
      </c>
      <c r="F2535" s="199" t="s">
        <v>21964</v>
      </c>
      <c r="G2535" s="1" t="s">
        <v>26533</v>
      </c>
      <c r="H2535" s="1" t="s">
        <v>26534</v>
      </c>
      <c r="I2535" s="346"/>
      <c r="J2535" s="39">
        <v>107206</v>
      </c>
      <c r="K2535" s="36" t="str">
        <f>CONCATENATE(Cover!$D$6,"fdd/view?i=",J2535)</f>
        <v>https://www.dgiwg.org/FAD/fdd/view?i=107206</v>
      </c>
      <c r="L2535" s="36" t="s">
        <v>26535</v>
      </c>
      <c r="M2535" s="186"/>
      <c r="N2535" s="186"/>
      <c r="O2535" s="172"/>
    </row>
    <row r="2536" spans="1:15" x14ac:dyDescent="0.2">
      <c r="A2536" s="203" t="str">
        <f t="shared" si="39"/>
        <v>CoaCode_visualRadar</v>
      </c>
      <c r="B2536" s="410"/>
      <c r="C2536" s="417"/>
      <c r="D2536" s="204" t="s">
        <v>26536</v>
      </c>
      <c r="E2536" s="204">
        <v>1</v>
      </c>
      <c r="F2536" s="205" t="s">
        <v>26537</v>
      </c>
      <c r="G2536" s="206" t="s">
        <v>26538</v>
      </c>
      <c r="H2536" s="207"/>
      <c r="I2536" s="347"/>
      <c r="J2536" s="39">
        <v>107205</v>
      </c>
      <c r="K2536" s="36" t="str">
        <f>CONCATENATE(Cover!$D$6,"fdd/view?i=",J2536)</f>
        <v>https://www.dgiwg.org/FAD/fdd/view?i=107205</v>
      </c>
      <c r="L2536" s="36" t="s">
        <v>26539</v>
      </c>
      <c r="M2536" s="186"/>
      <c r="N2536" s="186"/>
      <c r="O2536" s="172"/>
    </row>
    <row r="2537" spans="1:15" ht="25.5" x14ac:dyDescent="0.2">
      <c r="A2537" s="190" t="str">
        <f t="shared" si="39"/>
        <v>CogCode_notConspicuous</v>
      </c>
      <c r="B2537" s="414" t="str">
        <f>HYPERLINK("[#]Datatypes!A354:L354","CogCode")</f>
        <v>CogCode</v>
      </c>
      <c r="C2537" s="415" t="s">
        <v>14917</v>
      </c>
      <c r="D2537" s="221" t="s">
        <v>26524</v>
      </c>
      <c r="E2537" s="221">
        <v>4</v>
      </c>
      <c r="F2537" s="222" t="s">
        <v>26525</v>
      </c>
      <c r="G2537" s="223" t="s">
        <v>26526</v>
      </c>
      <c r="H2537" s="224"/>
      <c r="I2537" s="345"/>
      <c r="J2537" s="39">
        <v>107855</v>
      </c>
      <c r="K2537" s="36" t="str">
        <f>CONCATENATE(Cover!$D$6,"fdd/view?i=",J2537)</f>
        <v>https://www.dgiwg.org/FAD/fdd/view?i=107855</v>
      </c>
      <c r="L2537" s="36" t="s">
        <v>26540</v>
      </c>
      <c r="M2537" s="186"/>
      <c r="N2537" s="186"/>
      <c r="O2537" s="172"/>
    </row>
    <row r="2538" spans="1:15" x14ac:dyDescent="0.2">
      <c r="A2538" s="197" t="str">
        <f t="shared" si="39"/>
        <v>CogCode_radar</v>
      </c>
      <c r="B2538" s="409"/>
      <c r="C2538" s="416"/>
      <c r="D2538" s="198" t="s">
        <v>26528</v>
      </c>
      <c r="E2538" s="198">
        <v>3</v>
      </c>
      <c r="F2538" s="199" t="s">
        <v>26529</v>
      </c>
      <c r="G2538" s="1" t="s">
        <v>26530</v>
      </c>
      <c r="H2538" s="1" t="s">
        <v>26531</v>
      </c>
      <c r="I2538" s="346"/>
      <c r="J2538" s="39">
        <v>107811</v>
      </c>
      <c r="K2538" s="36" t="str">
        <f>CONCATENATE(Cover!$D$6,"fdd/view?i=",J2538)</f>
        <v>https://www.dgiwg.org/FAD/fdd/view?i=107811</v>
      </c>
      <c r="L2538" s="36" t="s">
        <v>26541</v>
      </c>
      <c r="M2538" s="186"/>
      <c r="N2538" s="186"/>
      <c r="O2538" s="172"/>
    </row>
    <row r="2539" spans="1:15" x14ac:dyDescent="0.2">
      <c r="A2539" s="197" t="str">
        <f t="shared" si="39"/>
        <v>CogCode_visual</v>
      </c>
      <c r="B2539" s="409"/>
      <c r="C2539" s="416"/>
      <c r="D2539" s="198" t="s">
        <v>21963</v>
      </c>
      <c r="E2539" s="198">
        <v>2</v>
      </c>
      <c r="F2539" s="199" t="s">
        <v>21964</v>
      </c>
      <c r="G2539" s="1" t="s">
        <v>26533</v>
      </c>
      <c r="H2539" s="1" t="s">
        <v>26534</v>
      </c>
      <c r="I2539" s="346"/>
      <c r="J2539" s="39">
        <v>107802</v>
      </c>
      <c r="K2539" s="36" t="str">
        <f>CONCATENATE(Cover!$D$6,"fdd/view?i=",J2539)</f>
        <v>https://www.dgiwg.org/FAD/fdd/view?i=107802</v>
      </c>
      <c r="L2539" s="36" t="s">
        <v>26542</v>
      </c>
      <c r="M2539" s="186"/>
      <c r="N2539" s="186"/>
      <c r="O2539" s="172"/>
    </row>
    <row r="2540" spans="1:15" x14ac:dyDescent="0.2">
      <c r="A2540" s="203" t="str">
        <f t="shared" si="39"/>
        <v>CogCode_visualRadar</v>
      </c>
      <c r="B2540" s="410"/>
      <c r="C2540" s="417"/>
      <c r="D2540" s="204" t="s">
        <v>26536</v>
      </c>
      <c r="E2540" s="204">
        <v>1</v>
      </c>
      <c r="F2540" s="205" t="s">
        <v>26537</v>
      </c>
      <c r="G2540" s="206" t="s">
        <v>26538</v>
      </c>
      <c r="H2540" s="207"/>
      <c r="I2540" s="347"/>
      <c r="J2540" s="39">
        <v>107451</v>
      </c>
      <c r="K2540" s="36" t="str">
        <f>CONCATENATE(Cover!$D$6,"fdd/view?i=",J2540)</f>
        <v>https://www.dgiwg.org/FAD/fdd/view?i=107451</v>
      </c>
      <c r="L2540" s="36" t="s">
        <v>26543</v>
      </c>
      <c r="M2540" s="186"/>
      <c r="N2540" s="186"/>
      <c r="O2540" s="172"/>
    </row>
    <row r="2541" spans="1:15" ht="25.5" x14ac:dyDescent="0.2">
      <c r="A2541" s="190" t="str">
        <f t="shared" si="39"/>
        <v>CocCode_notConspicuous</v>
      </c>
      <c r="B2541" s="414" t="str">
        <f>HYPERLINK("[#]Datatypes!A356:L356","CocCode")</f>
        <v>CocCode</v>
      </c>
      <c r="C2541" s="415" t="s">
        <v>14919</v>
      </c>
      <c r="D2541" s="221" t="s">
        <v>26524</v>
      </c>
      <c r="E2541" s="221">
        <v>4</v>
      </c>
      <c r="F2541" s="222" t="s">
        <v>26525</v>
      </c>
      <c r="G2541" s="223" t="s">
        <v>26544</v>
      </c>
      <c r="H2541" s="224"/>
      <c r="I2541" s="345"/>
      <c r="J2541" s="39">
        <v>107391</v>
      </c>
      <c r="K2541" s="36" t="str">
        <f>CONCATENATE(Cover!$D$6,"fdd/view?i=",J2541)</f>
        <v>https://www.dgiwg.org/FAD/fdd/view?i=107391</v>
      </c>
      <c r="L2541" s="36" t="s">
        <v>26545</v>
      </c>
      <c r="M2541" s="186"/>
      <c r="N2541" s="186"/>
      <c r="O2541" s="172"/>
    </row>
    <row r="2542" spans="1:15" x14ac:dyDescent="0.2">
      <c r="A2542" s="197" t="str">
        <f t="shared" si="39"/>
        <v>CocCode_radar</v>
      </c>
      <c r="B2542" s="409"/>
      <c r="C2542" s="416"/>
      <c r="D2542" s="198" t="s">
        <v>26528</v>
      </c>
      <c r="E2542" s="198">
        <v>3</v>
      </c>
      <c r="F2542" s="199" t="s">
        <v>26529</v>
      </c>
      <c r="G2542" s="1" t="s">
        <v>26530</v>
      </c>
      <c r="H2542" s="1" t="s">
        <v>26546</v>
      </c>
      <c r="I2542" s="346"/>
      <c r="J2542" s="39">
        <v>107390</v>
      </c>
      <c r="K2542" s="36" t="str">
        <f>CONCATENATE(Cover!$D$6,"fdd/view?i=",J2542)</f>
        <v>https://www.dgiwg.org/FAD/fdd/view?i=107390</v>
      </c>
      <c r="L2542" s="36" t="s">
        <v>26547</v>
      </c>
      <c r="M2542" s="186"/>
      <c r="N2542" s="186"/>
      <c r="O2542" s="172"/>
    </row>
    <row r="2543" spans="1:15" x14ac:dyDescent="0.2">
      <c r="A2543" s="197" t="str">
        <f t="shared" si="39"/>
        <v>CocCode_radarSonar</v>
      </c>
      <c r="B2543" s="409"/>
      <c r="C2543" s="416"/>
      <c r="D2543" s="198" t="s">
        <v>26548</v>
      </c>
      <c r="E2543" s="198">
        <v>7</v>
      </c>
      <c r="F2543" s="199" t="s">
        <v>26549</v>
      </c>
      <c r="G2543" s="1" t="s">
        <v>26550</v>
      </c>
      <c r="H2543" s="1" t="s">
        <v>26531</v>
      </c>
      <c r="I2543" s="346"/>
      <c r="J2543" s="39">
        <v>107448</v>
      </c>
      <c r="K2543" s="36" t="str">
        <f>CONCATENATE(Cover!$D$6,"fdd/view?i=",J2543)</f>
        <v>https://www.dgiwg.org/FAD/fdd/view?i=107448</v>
      </c>
      <c r="L2543" s="36" t="s">
        <v>26551</v>
      </c>
      <c r="M2543" s="186"/>
      <c r="N2543" s="186"/>
      <c r="O2543" s="172"/>
    </row>
    <row r="2544" spans="1:15" x14ac:dyDescent="0.2">
      <c r="A2544" s="197" t="str">
        <f t="shared" si="39"/>
        <v>CocCode_sonar</v>
      </c>
      <c r="B2544" s="409"/>
      <c r="C2544" s="416"/>
      <c r="D2544" s="198" t="s">
        <v>26552</v>
      </c>
      <c r="E2544" s="198">
        <v>8</v>
      </c>
      <c r="F2544" s="199" t="s">
        <v>26553</v>
      </c>
      <c r="G2544" s="1" t="s">
        <v>26554</v>
      </c>
      <c r="H2544" s="1" t="s">
        <v>26555</v>
      </c>
      <c r="I2544" s="346"/>
      <c r="J2544" s="39">
        <v>107450</v>
      </c>
      <c r="K2544" s="36" t="str">
        <f>CONCATENATE(Cover!$D$6,"fdd/view?i=",J2544)</f>
        <v>https://www.dgiwg.org/FAD/fdd/view?i=107450</v>
      </c>
      <c r="L2544" s="36" t="s">
        <v>26556</v>
      </c>
      <c r="M2544" s="186"/>
      <c r="N2544" s="186"/>
      <c r="O2544" s="172"/>
    </row>
    <row r="2545" spans="1:15" ht="25.5" x14ac:dyDescent="0.2">
      <c r="A2545" s="197" t="str">
        <f t="shared" si="39"/>
        <v>CocCode_visual</v>
      </c>
      <c r="B2545" s="409"/>
      <c r="C2545" s="416"/>
      <c r="D2545" s="198" t="s">
        <v>21963</v>
      </c>
      <c r="E2545" s="198">
        <v>2</v>
      </c>
      <c r="F2545" s="199" t="s">
        <v>21964</v>
      </c>
      <c r="G2545" s="1" t="s">
        <v>26533</v>
      </c>
      <c r="H2545" s="1" t="s">
        <v>26557</v>
      </c>
      <c r="I2545" s="346"/>
      <c r="J2545" s="39">
        <v>107389</v>
      </c>
      <c r="K2545" s="36" t="str">
        <f>CONCATENATE(Cover!$D$6,"fdd/view?i=",J2545)</f>
        <v>https://www.dgiwg.org/FAD/fdd/view?i=107389</v>
      </c>
      <c r="L2545" s="36" t="s">
        <v>26558</v>
      </c>
      <c r="M2545" s="186"/>
      <c r="N2545" s="186"/>
      <c r="O2545" s="172"/>
    </row>
    <row r="2546" spans="1:15" x14ac:dyDescent="0.2">
      <c r="A2546" s="197" t="str">
        <f t="shared" si="39"/>
        <v>CocCode_visualRadar</v>
      </c>
      <c r="B2546" s="409"/>
      <c r="C2546" s="416"/>
      <c r="D2546" s="198" t="s">
        <v>26536</v>
      </c>
      <c r="E2546" s="198">
        <v>1</v>
      </c>
      <c r="F2546" s="199" t="s">
        <v>26537</v>
      </c>
      <c r="G2546" s="1" t="s">
        <v>26538</v>
      </c>
      <c r="H2546" s="1" t="s">
        <v>26559</v>
      </c>
      <c r="I2546" s="346"/>
      <c r="J2546" s="39">
        <v>107388</v>
      </c>
      <c r="K2546" s="36" t="str">
        <f>CONCATENATE(Cover!$D$6,"fdd/view?i=",J2546)</f>
        <v>https://www.dgiwg.org/FAD/fdd/view?i=107388</v>
      </c>
      <c r="L2546" s="36" t="s">
        <v>26560</v>
      </c>
      <c r="M2546" s="186"/>
      <c r="N2546" s="186"/>
      <c r="O2546" s="172"/>
    </row>
    <row r="2547" spans="1:15" ht="25.5" x14ac:dyDescent="0.2">
      <c r="A2547" s="197" t="str">
        <f t="shared" si="39"/>
        <v>CocCode_visualRadarSonar</v>
      </c>
      <c r="B2547" s="409"/>
      <c r="C2547" s="416"/>
      <c r="D2547" s="198" t="s">
        <v>26565</v>
      </c>
      <c r="E2547" s="198">
        <v>5</v>
      </c>
      <c r="F2547" s="199" t="s">
        <v>26566</v>
      </c>
      <c r="G2547" s="1" t="s">
        <v>26567</v>
      </c>
      <c r="H2547" s="200"/>
      <c r="I2547" s="346"/>
      <c r="J2547" s="39">
        <v>107392</v>
      </c>
      <c r="K2547" s="36" t="str">
        <f>CONCATENATE(Cover!$D$6,"fdd/view?i=",J2547)</f>
        <v>https://www.dgiwg.org/FAD/fdd/view?i=107392</v>
      </c>
      <c r="L2547" s="36" t="s">
        <v>26568</v>
      </c>
      <c r="M2547" s="186"/>
      <c r="N2547" s="186"/>
      <c r="O2547" s="172"/>
    </row>
    <row r="2548" spans="1:15" x14ac:dyDescent="0.2">
      <c r="A2548" s="203" t="str">
        <f t="shared" si="39"/>
        <v>CocCode_visualSonar</v>
      </c>
      <c r="B2548" s="410"/>
      <c r="C2548" s="417"/>
      <c r="D2548" s="204" t="s">
        <v>26561</v>
      </c>
      <c r="E2548" s="204">
        <v>6</v>
      </c>
      <c r="F2548" s="205" t="s">
        <v>26562</v>
      </c>
      <c r="G2548" s="206" t="s">
        <v>26563</v>
      </c>
      <c r="H2548" s="206" t="s">
        <v>26534</v>
      </c>
      <c r="I2548" s="347"/>
      <c r="J2548" s="39">
        <v>107393</v>
      </c>
      <c r="K2548" s="36" t="str">
        <f>CONCATENATE(Cover!$D$6,"fdd/view?i=",J2548)</f>
        <v>https://www.dgiwg.org/FAD/fdd/view?i=107393</v>
      </c>
      <c r="L2548" s="36" t="s">
        <v>26564</v>
      </c>
      <c r="M2548" s="186"/>
      <c r="N2548" s="186"/>
      <c r="O2548" s="172"/>
    </row>
    <row r="2549" spans="1:15" ht="25.5" x14ac:dyDescent="0.2">
      <c r="A2549" s="190" t="str">
        <f t="shared" si="39"/>
        <v>ClpCode_aircraft</v>
      </c>
      <c r="B2549" s="414" t="str">
        <f>HYPERLINK("[#]Datatypes!A360:L360","ClpCode")</f>
        <v>ClpCode</v>
      </c>
      <c r="C2549" s="415" t="s">
        <v>14923</v>
      </c>
      <c r="D2549" s="221" t="s">
        <v>26569</v>
      </c>
      <c r="E2549" s="221">
        <v>2</v>
      </c>
      <c r="F2549" s="222" t="s">
        <v>26570</v>
      </c>
      <c r="G2549" s="223" t="s">
        <v>26571</v>
      </c>
      <c r="H2549" s="224"/>
      <c r="I2549" s="345"/>
      <c r="J2549" s="39">
        <v>114429</v>
      </c>
      <c r="K2549" s="36" t="str">
        <f>CONCATENATE(Cover!$D$6,"fdd/view?i=",J2549)</f>
        <v>https://www.dgiwg.org/FAD/fdd/view?i=114429</v>
      </c>
      <c r="L2549" s="36" t="s">
        <v>26572</v>
      </c>
      <c r="M2549" s="186"/>
      <c r="N2549" s="186"/>
      <c r="O2549" s="172"/>
    </row>
    <row r="2550" spans="1:15" x14ac:dyDescent="0.2">
      <c r="A2550" s="203" t="str">
        <f t="shared" si="39"/>
        <v>ClpCode_vessel</v>
      </c>
      <c r="B2550" s="410"/>
      <c r="C2550" s="417"/>
      <c r="D2550" s="204" t="s">
        <v>26573</v>
      </c>
      <c r="E2550" s="204">
        <v>1</v>
      </c>
      <c r="F2550" s="205" t="s">
        <v>26574</v>
      </c>
      <c r="G2550" s="206" t="s">
        <v>26575</v>
      </c>
      <c r="H2550" s="207"/>
      <c r="I2550" s="347"/>
      <c r="J2550" s="39">
        <v>114428</v>
      </c>
      <c r="K2550" s="36" t="str">
        <f>CONCATENATE(Cover!$D$6,"fdd/view?i=",J2550)</f>
        <v>https://www.dgiwg.org/FAD/fdd/view?i=114428</v>
      </c>
      <c r="L2550" s="36" t="s">
        <v>26576</v>
      </c>
      <c r="M2550" s="186"/>
      <c r="N2550" s="186"/>
      <c r="O2550" s="172"/>
    </row>
    <row r="2551" spans="1:15" x14ac:dyDescent="0.2">
      <c r="A2551" s="190" t="str">
        <f t="shared" si="39"/>
        <v>MicCode_direct</v>
      </c>
      <c r="B2551" s="414" t="str">
        <f>HYPERLINK("[#]Datatypes!A362:L362","MicCode")</f>
        <v>MicCode</v>
      </c>
      <c r="C2551" s="415" t="s">
        <v>14925</v>
      </c>
      <c r="D2551" s="221" t="s">
        <v>20903</v>
      </c>
      <c r="E2551" s="221">
        <v>1</v>
      </c>
      <c r="F2551" s="222" t="s">
        <v>20904</v>
      </c>
      <c r="G2551" s="223" t="s">
        <v>26577</v>
      </c>
      <c r="H2551" s="224"/>
      <c r="I2551" s="345"/>
      <c r="J2551" s="39">
        <v>105678</v>
      </c>
      <c r="K2551" s="36" t="str">
        <f>CONCATENATE(Cover!$D$6,"fdd/view?i=",J2551)</f>
        <v>https://www.dgiwg.org/FAD/fdd/view?i=105678</v>
      </c>
      <c r="L2551" s="36" t="s">
        <v>26578</v>
      </c>
      <c r="M2551" s="186"/>
      <c r="N2551" s="186"/>
      <c r="O2551" s="172"/>
    </row>
    <row r="2552" spans="1:15" ht="25.5" x14ac:dyDescent="0.2">
      <c r="A2552" s="197" t="str">
        <f t="shared" si="39"/>
        <v>MicCode_rod</v>
      </c>
      <c r="B2552" s="409"/>
      <c r="C2552" s="416"/>
      <c r="D2552" s="198" t="s">
        <v>26579</v>
      </c>
      <c r="E2552" s="198">
        <v>3</v>
      </c>
      <c r="F2552" s="199" t="s">
        <v>26580</v>
      </c>
      <c r="G2552" s="1" t="s">
        <v>26581</v>
      </c>
      <c r="H2552" s="200"/>
      <c r="I2552" s="351" t="s">
        <v>26582</v>
      </c>
      <c r="J2552" s="39">
        <v>105680</v>
      </c>
      <c r="K2552" s="36" t="str">
        <f>CONCATENATE(Cover!$D$6,"fdd/view?i=",J2552)</f>
        <v>https://www.dgiwg.org/FAD/fdd/view?i=105680</v>
      </c>
      <c r="L2552" s="36" t="s">
        <v>26583</v>
      </c>
      <c r="M2552" s="186"/>
      <c r="N2552" s="186"/>
      <c r="O2552" s="172"/>
    </row>
    <row r="2553" spans="1:15" ht="38.25" x14ac:dyDescent="0.2">
      <c r="A2553" s="203" t="str">
        <f t="shared" si="39"/>
        <v>MicCode_snagline</v>
      </c>
      <c r="B2553" s="410"/>
      <c r="C2553" s="417"/>
      <c r="D2553" s="204" t="s">
        <v>26584</v>
      </c>
      <c r="E2553" s="204">
        <v>2</v>
      </c>
      <c r="F2553" s="205" t="s">
        <v>26585</v>
      </c>
      <c r="G2553" s="206" t="s">
        <v>26586</v>
      </c>
      <c r="H2553" s="207"/>
      <c r="I2553" s="347"/>
      <c r="J2553" s="39">
        <v>105679</v>
      </c>
      <c r="K2553" s="36" t="str">
        <f>CONCATENATE(Cover!$D$6,"fdd/view?i=",J2553)</f>
        <v>https://www.dgiwg.org/FAD/fdd/view?i=105679</v>
      </c>
      <c r="L2553" s="36" t="s">
        <v>26587</v>
      </c>
      <c r="M2553" s="186"/>
      <c r="N2553" s="186"/>
      <c r="O2553" s="172"/>
    </row>
    <row r="2554" spans="1:15" ht="25.5" x14ac:dyDescent="0.2">
      <c r="A2554" s="190" t="str">
        <f t="shared" si="39"/>
        <v>SbsCode_identifiedExplosiveMine</v>
      </c>
      <c r="B2554" s="414" t="str">
        <f>HYPERLINK("[#]Datatypes!A364:L364","SbsCode")</f>
        <v>SbsCode</v>
      </c>
      <c r="C2554" s="415" t="s">
        <v>14927</v>
      </c>
      <c r="D2554" s="221" t="s">
        <v>26588</v>
      </c>
      <c r="E2554" s="221">
        <v>5</v>
      </c>
      <c r="F2554" s="222" t="s">
        <v>26589</v>
      </c>
      <c r="G2554" s="223" t="s">
        <v>26590</v>
      </c>
      <c r="H2554" s="224"/>
      <c r="I2554" s="345"/>
      <c r="J2554" s="39">
        <v>112522</v>
      </c>
      <c r="K2554" s="36" t="str">
        <f>CONCATENATE(Cover!$D$6,"fdd/view?i=",J2554)</f>
        <v>https://www.dgiwg.org/FAD/fdd/view?i=112522</v>
      </c>
      <c r="L2554" s="36" t="s">
        <v>26591</v>
      </c>
      <c r="M2554" s="186"/>
      <c r="N2554" s="186"/>
      <c r="O2554" s="172"/>
    </row>
    <row r="2555" spans="1:15" ht="25.5" x14ac:dyDescent="0.2">
      <c r="A2555" s="197" t="str">
        <f t="shared" si="39"/>
        <v>SbsCode_mineLikeContact</v>
      </c>
      <c r="B2555" s="409"/>
      <c r="C2555" s="416"/>
      <c r="D2555" s="198" t="s">
        <v>26592</v>
      </c>
      <c r="E2555" s="198">
        <v>2</v>
      </c>
      <c r="F2555" s="199" t="s">
        <v>26593</v>
      </c>
      <c r="G2555" s="1" t="s">
        <v>26594</v>
      </c>
      <c r="H2555" s="200"/>
      <c r="I2555" s="346"/>
      <c r="J2555" s="39">
        <v>112516</v>
      </c>
      <c r="K2555" s="36" t="str">
        <f>CONCATENATE(Cover!$D$6,"fdd/view?i=",J2555)</f>
        <v>https://www.dgiwg.org/FAD/fdd/view?i=112516</v>
      </c>
      <c r="L2555" s="36" t="s">
        <v>26595</v>
      </c>
      <c r="M2555" s="186"/>
      <c r="N2555" s="186"/>
      <c r="O2555" s="172"/>
    </row>
    <row r="2556" spans="1:15" ht="25.5" x14ac:dyDescent="0.2">
      <c r="A2556" s="197" t="str">
        <f t="shared" si="39"/>
        <v>SbsCode_mineLikeEcho</v>
      </c>
      <c r="B2556" s="409"/>
      <c r="C2556" s="416"/>
      <c r="D2556" s="198" t="s">
        <v>26596</v>
      </c>
      <c r="E2556" s="198">
        <v>1</v>
      </c>
      <c r="F2556" s="199" t="s">
        <v>26597</v>
      </c>
      <c r="G2556" s="1" t="s">
        <v>26598</v>
      </c>
      <c r="H2556" s="200"/>
      <c r="I2556" s="346"/>
      <c r="J2556" s="39">
        <v>112514</v>
      </c>
      <c r="K2556" s="36" t="str">
        <f>CONCATENATE(Cover!$D$6,"fdd/view?i=",J2556)</f>
        <v>https://www.dgiwg.org/FAD/fdd/view?i=112514</v>
      </c>
      <c r="L2556" s="36" t="s">
        <v>26599</v>
      </c>
      <c r="M2556" s="186"/>
      <c r="N2556" s="186"/>
      <c r="O2556" s="172"/>
    </row>
    <row r="2557" spans="1:15" ht="25.5" x14ac:dyDescent="0.2">
      <c r="A2557" s="197" t="str">
        <f t="shared" si="39"/>
        <v>SbsCode_nonMineLikeContact</v>
      </c>
      <c r="B2557" s="409"/>
      <c r="C2557" s="416"/>
      <c r="D2557" s="198" t="s">
        <v>26600</v>
      </c>
      <c r="E2557" s="198">
        <v>3</v>
      </c>
      <c r="F2557" s="199" t="s">
        <v>26601</v>
      </c>
      <c r="G2557" s="1" t="s">
        <v>26602</v>
      </c>
      <c r="H2557" s="200"/>
      <c r="I2557" s="346"/>
      <c r="J2557" s="39">
        <v>112518</v>
      </c>
      <c r="K2557" s="36" t="str">
        <f>CONCATENATE(Cover!$D$6,"fdd/view?i=",J2557)</f>
        <v>https://www.dgiwg.org/FAD/fdd/view?i=112518</v>
      </c>
      <c r="L2557" s="36" t="s">
        <v>26603</v>
      </c>
      <c r="M2557" s="186"/>
      <c r="N2557" s="186"/>
      <c r="O2557" s="172"/>
    </row>
    <row r="2558" spans="1:15" ht="38.25" x14ac:dyDescent="0.2">
      <c r="A2558" s="197" t="str">
        <f t="shared" si="39"/>
        <v>SbsCode_nonMineMineLikeBotObject</v>
      </c>
      <c r="B2558" s="409"/>
      <c r="C2558" s="416"/>
      <c r="D2558" s="198" t="s">
        <v>26604</v>
      </c>
      <c r="E2558" s="198">
        <v>4</v>
      </c>
      <c r="F2558" s="199" t="s">
        <v>26605</v>
      </c>
      <c r="G2558" s="1" t="s">
        <v>26606</v>
      </c>
      <c r="H2558" s="200"/>
      <c r="I2558" s="346"/>
      <c r="J2558" s="39">
        <v>112520</v>
      </c>
      <c r="K2558" s="36" t="str">
        <f>CONCATENATE(Cover!$D$6,"fdd/view?i=",J2558)</f>
        <v>https://www.dgiwg.org/FAD/fdd/view?i=112520</v>
      </c>
      <c r="L2558" s="36" t="s">
        <v>26607</v>
      </c>
      <c r="M2558" s="186"/>
      <c r="N2558" s="186"/>
      <c r="O2558" s="172"/>
    </row>
    <row r="2559" spans="1:15" ht="25.5" x14ac:dyDescent="0.2">
      <c r="A2559" s="203" t="str">
        <f t="shared" si="39"/>
        <v>SbsCode_unexplodedOrdnance</v>
      </c>
      <c r="B2559" s="410"/>
      <c r="C2559" s="417"/>
      <c r="D2559" s="204" t="s">
        <v>26608</v>
      </c>
      <c r="E2559" s="204">
        <v>6</v>
      </c>
      <c r="F2559" s="205" t="s">
        <v>26609</v>
      </c>
      <c r="G2559" s="206" t="s">
        <v>26610</v>
      </c>
      <c r="H2559" s="207"/>
      <c r="I2559" s="347"/>
      <c r="J2559" s="39">
        <v>112524</v>
      </c>
      <c r="K2559" s="36" t="str">
        <f>CONCATENATE(Cover!$D$6,"fdd/view?i=",J2559)</f>
        <v>https://www.dgiwg.org/FAD/fdd/view?i=112524</v>
      </c>
      <c r="L2559" s="36" t="s">
        <v>26611</v>
      </c>
      <c r="M2559" s="186"/>
      <c r="N2559" s="186"/>
      <c r="O2559" s="172"/>
    </row>
    <row r="2560" spans="1:15" ht="25.5" x14ac:dyDescent="0.2">
      <c r="A2560" s="190" t="str">
        <f t="shared" si="39"/>
        <v>CsoCode_dredging</v>
      </c>
      <c r="B2560" s="414" t="str">
        <f>HYPERLINK("[#]Datatypes!A366:L366","CsoCode")</f>
        <v>CsoCode</v>
      </c>
      <c r="C2560" s="415" t="s">
        <v>14929</v>
      </c>
      <c r="D2560" s="221" t="s">
        <v>26612</v>
      </c>
      <c r="E2560" s="221">
        <v>1</v>
      </c>
      <c r="F2560" s="222" t="s">
        <v>26613</v>
      </c>
      <c r="G2560" s="223" t="s">
        <v>26614</v>
      </c>
      <c r="H2560" s="224"/>
      <c r="I2560" s="345"/>
      <c r="J2560" s="39">
        <v>118071</v>
      </c>
      <c r="K2560" s="36" t="str">
        <f>CONCATENATE(Cover!$D$6,"fdd/view?i=",J2560)</f>
        <v>https://www.dgiwg.org/FAD/fdd/view?i=118071</v>
      </c>
      <c r="L2560" s="36" t="s">
        <v>26615</v>
      </c>
      <c r="M2560" s="186"/>
      <c r="N2560" s="186"/>
      <c r="O2560" s="172"/>
    </row>
    <row r="2561" spans="1:15" ht="25.5" x14ac:dyDescent="0.2">
      <c r="A2561" s="197" t="str">
        <f t="shared" si="39"/>
        <v>CsoCode_factories</v>
      </c>
      <c r="B2561" s="409"/>
      <c r="C2561" s="416"/>
      <c r="D2561" s="198" t="s">
        <v>26616</v>
      </c>
      <c r="E2561" s="198">
        <v>2</v>
      </c>
      <c r="F2561" s="199" t="s">
        <v>26617</v>
      </c>
      <c r="G2561" s="1" t="s">
        <v>26618</v>
      </c>
      <c r="H2561" s="1" t="s">
        <v>26619</v>
      </c>
      <c r="I2561" s="346"/>
      <c r="J2561" s="39">
        <v>118072</v>
      </c>
      <c r="K2561" s="36" t="str">
        <f>CONCATENATE(Cover!$D$6,"fdd/view?i=",J2561)</f>
        <v>https://www.dgiwg.org/FAD/fdd/view?i=118072</v>
      </c>
      <c r="L2561" s="36" t="s">
        <v>26620</v>
      </c>
      <c r="M2561" s="186"/>
      <c r="N2561" s="186"/>
      <c r="O2561" s="172"/>
    </row>
    <row r="2562" spans="1:15" ht="38.25" x14ac:dyDescent="0.2">
      <c r="A2562" s="197" t="str">
        <f t="shared" ref="A2562:A2625" si="40">HYPERLINK(K2562,L2562)</f>
        <v>CsoCode_farmRunOff</v>
      </c>
      <c r="B2562" s="409"/>
      <c r="C2562" s="416"/>
      <c r="D2562" s="198" t="s">
        <v>26621</v>
      </c>
      <c r="E2562" s="198">
        <v>3</v>
      </c>
      <c r="F2562" s="199" t="s">
        <v>26622</v>
      </c>
      <c r="G2562" s="1" t="s">
        <v>26623</v>
      </c>
      <c r="H2562" s="200"/>
      <c r="I2562" s="346"/>
      <c r="J2562" s="39">
        <v>118073</v>
      </c>
      <c r="K2562" s="36" t="str">
        <f>CONCATENATE(Cover!$D$6,"fdd/view?i=",J2562)</f>
        <v>https://www.dgiwg.org/FAD/fdd/view?i=118073</v>
      </c>
      <c r="L2562" s="36" t="s">
        <v>26624</v>
      </c>
      <c r="M2562" s="186"/>
      <c r="N2562" s="186"/>
      <c r="O2562" s="172"/>
    </row>
    <row r="2563" spans="1:15" ht="25.5" x14ac:dyDescent="0.2">
      <c r="A2563" s="197" t="str">
        <f t="shared" si="40"/>
        <v>CsoCode_militaryOperations</v>
      </c>
      <c r="B2563" s="409"/>
      <c r="C2563" s="416"/>
      <c r="D2563" s="198" t="s">
        <v>21335</v>
      </c>
      <c r="E2563" s="198">
        <v>4</v>
      </c>
      <c r="F2563" s="199" t="s">
        <v>21336</v>
      </c>
      <c r="G2563" s="1" t="s">
        <v>26625</v>
      </c>
      <c r="H2563" s="200"/>
      <c r="I2563" s="346"/>
      <c r="J2563" s="39">
        <v>118074</v>
      </c>
      <c r="K2563" s="36" t="str">
        <f>CONCATENATE(Cover!$D$6,"fdd/view?i=",J2563)</f>
        <v>https://www.dgiwg.org/FAD/fdd/view?i=118074</v>
      </c>
      <c r="L2563" s="36" t="s">
        <v>26626</v>
      </c>
      <c r="M2563" s="186"/>
      <c r="N2563" s="186"/>
      <c r="O2563" s="172"/>
    </row>
    <row r="2564" spans="1:15" ht="38.25" x14ac:dyDescent="0.2">
      <c r="A2564" s="197" t="str">
        <f t="shared" si="40"/>
        <v>CsoCode_naturallyOccurring</v>
      </c>
      <c r="B2564" s="409"/>
      <c r="C2564" s="416"/>
      <c r="D2564" s="198" t="s">
        <v>26627</v>
      </c>
      <c r="E2564" s="198">
        <v>5</v>
      </c>
      <c r="F2564" s="199" t="s">
        <v>26628</v>
      </c>
      <c r="G2564" s="1" t="s">
        <v>26629</v>
      </c>
      <c r="H2564" s="200"/>
      <c r="I2564" s="346"/>
      <c r="J2564" s="39">
        <v>118075</v>
      </c>
      <c r="K2564" s="36" t="str">
        <f>CONCATENATE(Cover!$D$6,"fdd/view?i=",J2564)</f>
        <v>https://www.dgiwg.org/FAD/fdd/view?i=118075</v>
      </c>
      <c r="L2564" s="36" t="s">
        <v>26630</v>
      </c>
      <c r="M2564" s="186"/>
      <c r="N2564" s="186"/>
      <c r="O2564" s="172"/>
    </row>
    <row r="2565" spans="1:15" ht="38.25" x14ac:dyDescent="0.2">
      <c r="A2565" s="197" t="str">
        <f t="shared" si="40"/>
        <v>CsoCode_sewers</v>
      </c>
      <c r="B2565" s="409"/>
      <c r="C2565" s="416"/>
      <c r="D2565" s="198" t="s">
        <v>26631</v>
      </c>
      <c r="E2565" s="198">
        <v>6</v>
      </c>
      <c r="F2565" s="199" t="s">
        <v>26632</v>
      </c>
      <c r="G2565" s="1" t="s">
        <v>26633</v>
      </c>
      <c r="H2565" s="200"/>
      <c r="I2565" s="346"/>
      <c r="J2565" s="39">
        <v>118076</v>
      </c>
      <c r="K2565" s="36" t="str">
        <f>CONCATENATE(Cover!$D$6,"fdd/view?i=",J2565)</f>
        <v>https://www.dgiwg.org/FAD/fdd/view?i=118076</v>
      </c>
      <c r="L2565" s="36" t="s">
        <v>26634</v>
      </c>
      <c r="M2565" s="186"/>
      <c r="N2565" s="186"/>
      <c r="O2565" s="172"/>
    </row>
    <row r="2566" spans="1:15" x14ac:dyDescent="0.2">
      <c r="A2566" s="197" t="str">
        <f t="shared" si="40"/>
        <v>CsoCode_spoil</v>
      </c>
      <c r="B2566" s="409"/>
      <c r="C2566" s="416"/>
      <c r="D2566" s="198" t="s">
        <v>25325</v>
      </c>
      <c r="E2566" s="198">
        <v>7</v>
      </c>
      <c r="F2566" s="199" t="s">
        <v>25326</v>
      </c>
      <c r="G2566" s="1" t="s">
        <v>26635</v>
      </c>
      <c r="H2566" s="200"/>
      <c r="I2566" s="346"/>
      <c r="J2566" s="39">
        <v>118077</v>
      </c>
      <c r="K2566" s="36" t="str">
        <f>CONCATENATE(Cover!$D$6,"fdd/view?i=",J2566)</f>
        <v>https://www.dgiwg.org/FAD/fdd/view?i=118077</v>
      </c>
      <c r="L2566" s="36" t="s">
        <v>26636</v>
      </c>
      <c r="M2566" s="186"/>
      <c r="N2566" s="186"/>
      <c r="O2566" s="172"/>
    </row>
    <row r="2567" spans="1:15" ht="25.5" x14ac:dyDescent="0.2">
      <c r="A2567" s="203" t="str">
        <f t="shared" si="40"/>
        <v>CsoCode_wrecks</v>
      </c>
      <c r="B2567" s="410"/>
      <c r="C2567" s="417"/>
      <c r="D2567" s="204" t="s">
        <v>26637</v>
      </c>
      <c r="E2567" s="204">
        <v>8</v>
      </c>
      <c r="F2567" s="205" t="s">
        <v>26638</v>
      </c>
      <c r="G2567" s="206" t="s">
        <v>26639</v>
      </c>
      <c r="H2567" s="207"/>
      <c r="I2567" s="347"/>
      <c r="J2567" s="39">
        <v>118078</v>
      </c>
      <c r="K2567" s="36" t="str">
        <f>CONCATENATE(Cover!$D$6,"fdd/view?i=",J2567)</f>
        <v>https://www.dgiwg.org/FAD/fdd/view?i=118078</v>
      </c>
      <c r="L2567" s="36" t="s">
        <v>26640</v>
      </c>
      <c r="M2567" s="186"/>
      <c r="N2567" s="186"/>
      <c r="O2567" s="172"/>
    </row>
    <row r="2568" spans="1:15" ht="38.25" x14ac:dyDescent="0.2">
      <c r="A2568" s="190" t="str">
        <f t="shared" si="40"/>
        <v>KelCode_formerIndustrialLocation</v>
      </c>
      <c r="B2568" s="414" t="str">
        <f>HYPERLINK("[#]Datatypes!A368:L368","KelCode")</f>
        <v>KelCode</v>
      </c>
      <c r="C2568" s="415" t="s">
        <v>14931</v>
      </c>
      <c r="D2568" s="221" t="s">
        <v>26641</v>
      </c>
      <c r="E2568" s="221">
        <v>1</v>
      </c>
      <c r="F2568" s="222" t="s">
        <v>26642</v>
      </c>
      <c r="G2568" s="223" t="s">
        <v>26643</v>
      </c>
      <c r="H2568" s="224"/>
      <c r="I2568" s="345"/>
      <c r="J2568" s="39">
        <v>113475</v>
      </c>
      <c r="K2568" s="36" t="str">
        <f>CONCATENATE(Cover!$D$6,"fdd/view?i=",J2568)</f>
        <v>https://www.dgiwg.org/FAD/fdd/view?i=113475</v>
      </c>
      <c r="L2568" s="36" t="s">
        <v>26644</v>
      </c>
      <c r="M2568" s="186"/>
      <c r="N2568" s="186"/>
      <c r="O2568" s="172"/>
    </row>
    <row r="2569" spans="1:15" ht="38.25" x14ac:dyDescent="0.2">
      <c r="A2569" s="197" t="str">
        <f t="shared" si="40"/>
        <v>KelCode_formerMilitaryFacility</v>
      </c>
      <c r="B2569" s="409"/>
      <c r="C2569" s="416"/>
      <c r="D2569" s="198" t="s">
        <v>26645</v>
      </c>
      <c r="E2569" s="198">
        <v>4</v>
      </c>
      <c r="F2569" s="199" t="s">
        <v>26646</v>
      </c>
      <c r="G2569" s="1" t="s">
        <v>26647</v>
      </c>
      <c r="H2569" s="200"/>
      <c r="I2569" s="346"/>
      <c r="J2569" s="39">
        <v>113478</v>
      </c>
      <c r="K2569" s="36" t="str">
        <f>CONCATENATE(Cover!$D$6,"fdd/view?i=",J2569)</f>
        <v>https://www.dgiwg.org/FAD/fdd/view?i=113478</v>
      </c>
      <c r="L2569" s="36" t="s">
        <v>26648</v>
      </c>
      <c r="M2569" s="186"/>
      <c r="N2569" s="186"/>
      <c r="O2569" s="172"/>
    </row>
    <row r="2570" spans="1:15" ht="38.25" x14ac:dyDescent="0.2">
      <c r="A2570" s="197" t="str">
        <f t="shared" si="40"/>
        <v>KelCode_formerWasteDisposalInst</v>
      </c>
      <c r="B2570" s="409"/>
      <c r="C2570" s="416"/>
      <c r="D2570" s="198" t="s">
        <v>26649</v>
      </c>
      <c r="E2570" s="198">
        <v>3</v>
      </c>
      <c r="F2570" s="199" t="s">
        <v>26650</v>
      </c>
      <c r="G2570" s="1" t="s">
        <v>26651</v>
      </c>
      <c r="H2570" s="200"/>
      <c r="I2570" s="346"/>
      <c r="J2570" s="39">
        <v>113477</v>
      </c>
      <c r="K2570" s="36" t="str">
        <f>CONCATENATE(Cover!$D$6,"fdd/view?i=",J2570)</f>
        <v>https://www.dgiwg.org/FAD/fdd/view?i=113477</v>
      </c>
      <c r="L2570" s="36" t="s">
        <v>26652</v>
      </c>
      <c r="M2570" s="186"/>
      <c r="N2570" s="186"/>
      <c r="O2570" s="172"/>
    </row>
    <row r="2571" spans="1:15" ht="38.25" x14ac:dyDescent="0.2">
      <c r="A2571" s="197" t="str">
        <f t="shared" si="40"/>
        <v>KelCode_formerWasteMaterialSite</v>
      </c>
      <c r="B2571" s="409"/>
      <c r="C2571" s="416"/>
      <c r="D2571" s="198" t="s">
        <v>26653</v>
      </c>
      <c r="E2571" s="198">
        <v>2</v>
      </c>
      <c r="F2571" s="199" t="s">
        <v>26654</v>
      </c>
      <c r="G2571" s="1" t="s">
        <v>26655</v>
      </c>
      <c r="H2571" s="200"/>
      <c r="I2571" s="346"/>
      <c r="J2571" s="39">
        <v>113476</v>
      </c>
      <c r="K2571" s="36" t="str">
        <f>CONCATENATE(Cover!$D$6,"fdd/view?i=",J2571)</f>
        <v>https://www.dgiwg.org/FAD/fdd/view?i=113476</v>
      </c>
      <c r="L2571" s="36" t="s">
        <v>26656</v>
      </c>
      <c r="M2571" s="186"/>
      <c r="N2571" s="186"/>
      <c r="O2571" s="172"/>
    </row>
    <row r="2572" spans="1:15" ht="38.25" x14ac:dyDescent="0.2">
      <c r="A2572" s="203" t="str">
        <f t="shared" si="40"/>
        <v>KelCode_illegalWasteDump</v>
      </c>
      <c r="B2572" s="410"/>
      <c r="C2572" s="417"/>
      <c r="D2572" s="204" t="s">
        <v>26657</v>
      </c>
      <c r="E2572" s="204">
        <v>11</v>
      </c>
      <c r="F2572" s="205" t="s">
        <v>26658</v>
      </c>
      <c r="G2572" s="206" t="s">
        <v>26659</v>
      </c>
      <c r="H2572" s="207"/>
      <c r="I2572" s="347"/>
      <c r="J2572" s="39">
        <v>113479</v>
      </c>
      <c r="K2572" s="36" t="str">
        <f>CONCATENATE(Cover!$D$6,"fdd/view?i=",J2572)</f>
        <v>https://www.dgiwg.org/FAD/fdd/view?i=113479</v>
      </c>
      <c r="L2572" s="36" t="s">
        <v>26660</v>
      </c>
      <c r="M2572" s="186"/>
      <c r="N2572" s="186"/>
      <c r="O2572" s="172"/>
    </row>
    <row r="2573" spans="1:15" x14ac:dyDescent="0.2">
      <c r="A2573" s="190" t="str">
        <f t="shared" si="40"/>
        <v>EelCode_presumed</v>
      </c>
      <c r="B2573" s="414" t="str">
        <f>HYPERLINK("[#]Datatypes!A370:L370","EelCode")</f>
        <v>EelCode</v>
      </c>
      <c r="C2573" s="415" t="s">
        <v>14933</v>
      </c>
      <c r="D2573" s="221" t="s">
        <v>26661</v>
      </c>
      <c r="E2573" s="221">
        <v>1</v>
      </c>
      <c r="F2573" s="222" t="s">
        <v>26662</v>
      </c>
      <c r="G2573" s="223" t="s">
        <v>26663</v>
      </c>
      <c r="H2573" s="224"/>
      <c r="I2573" s="345"/>
      <c r="J2573" s="39">
        <v>113134</v>
      </c>
      <c r="K2573" s="36" t="str">
        <f>CONCATENATE(Cover!$D$6,"fdd/view?i=",J2573)</f>
        <v>https://www.dgiwg.org/FAD/fdd/view?i=113134</v>
      </c>
      <c r="L2573" s="36" t="s">
        <v>26664</v>
      </c>
      <c r="M2573" s="186"/>
      <c r="N2573" s="186"/>
      <c r="O2573" s="172"/>
    </row>
    <row r="2574" spans="1:15" x14ac:dyDescent="0.2">
      <c r="A2574" s="203" t="str">
        <f t="shared" si="40"/>
        <v>EelCode_proven</v>
      </c>
      <c r="B2574" s="410"/>
      <c r="C2574" s="417"/>
      <c r="D2574" s="204" t="s">
        <v>26665</v>
      </c>
      <c r="E2574" s="204">
        <v>2</v>
      </c>
      <c r="F2574" s="205" t="s">
        <v>26666</v>
      </c>
      <c r="G2574" s="206" t="s">
        <v>26667</v>
      </c>
      <c r="H2574" s="207"/>
      <c r="I2574" s="347"/>
      <c r="J2574" s="39">
        <v>113135</v>
      </c>
      <c r="K2574" s="36" t="str">
        <f>CONCATENATE(Cover!$D$6,"fdd/view?i=",J2574)</f>
        <v>https://www.dgiwg.org/FAD/fdd/view?i=113135</v>
      </c>
      <c r="L2574" s="36" t="s">
        <v>26668</v>
      </c>
      <c r="M2574" s="186"/>
      <c r="N2574" s="186"/>
      <c r="O2574" s="172"/>
    </row>
    <row r="2575" spans="1:15" x14ac:dyDescent="0.2">
      <c r="A2575" s="190" t="str">
        <f t="shared" si="40"/>
        <v>GliCode_eq</v>
      </c>
      <c r="B2575" s="414" t="str">
        <f>HYPERLINK("[#]Datatypes!A372:L372","GliCode")</f>
        <v>GliCode</v>
      </c>
      <c r="C2575" s="415" t="s">
        <v>14935</v>
      </c>
      <c r="D2575" s="221" t="s">
        <v>26669</v>
      </c>
      <c r="E2575" s="221">
        <v>5</v>
      </c>
      <c r="F2575" s="222" t="s">
        <v>26670</v>
      </c>
      <c r="G2575" s="223" t="s">
        <v>26671</v>
      </c>
      <c r="H2575" s="224"/>
      <c r="I2575" s="345"/>
      <c r="J2575" s="39">
        <v>103879</v>
      </c>
      <c r="K2575" s="36" t="str">
        <f>CONCATENATE(Cover!$D$6,"fdd/view?i=",J2575)</f>
        <v>https://www.dgiwg.org/FAD/fdd/view?i=103879</v>
      </c>
      <c r="L2575" s="36" t="s">
        <v>26672</v>
      </c>
      <c r="M2575" s="186"/>
      <c r="N2575" s="186"/>
      <c r="O2575" s="172"/>
    </row>
    <row r="2576" spans="1:15" x14ac:dyDescent="0.2">
      <c r="A2576" s="197" t="str">
        <f t="shared" si="40"/>
        <v>GliCode_gt</v>
      </c>
      <c r="B2576" s="409"/>
      <c r="C2576" s="416"/>
      <c r="D2576" s="198" t="s">
        <v>26673</v>
      </c>
      <c r="E2576" s="198">
        <v>3</v>
      </c>
      <c r="F2576" s="199" t="s">
        <v>26674</v>
      </c>
      <c r="G2576" s="1" t="s">
        <v>26675</v>
      </c>
      <c r="H2576" s="200"/>
      <c r="I2576" s="346"/>
      <c r="J2576" s="39">
        <v>103877</v>
      </c>
      <c r="K2576" s="36" t="str">
        <f>CONCATENATE(Cover!$D$6,"fdd/view?i=",J2576)</f>
        <v>https://www.dgiwg.org/FAD/fdd/view?i=103877</v>
      </c>
      <c r="L2576" s="36" t="s">
        <v>26676</v>
      </c>
      <c r="M2576" s="186"/>
      <c r="N2576" s="186"/>
      <c r="O2576" s="172"/>
    </row>
    <row r="2577" spans="1:15" ht="25.5" x14ac:dyDescent="0.2">
      <c r="A2577" s="197" t="str">
        <f t="shared" si="40"/>
        <v>GliCode_gte</v>
      </c>
      <c r="B2577" s="409"/>
      <c r="C2577" s="416"/>
      <c r="D2577" s="198" t="s">
        <v>26677</v>
      </c>
      <c r="E2577" s="198">
        <v>1</v>
      </c>
      <c r="F2577" s="199" t="s">
        <v>26678</v>
      </c>
      <c r="G2577" s="1" t="s">
        <v>26679</v>
      </c>
      <c r="H2577" s="200"/>
      <c r="I2577" s="346"/>
      <c r="J2577" s="39">
        <v>103875</v>
      </c>
      <c r="K2577" s="36" t="str">
        <f>CONCATENATE(Cover!$D$6,"fdd/view?i=",J2577)</f>
        <v>https://www.dgiwg.org/FAD/fdd/view?i=103875</v>
      </c>
      <c r="L2577" s="36" t="s">
        <v>26680</v>
      </c>
      <c r="M2577" s="186"/>
      <c r="N2577" s="186"/>
      <c r="O2577" s="172"/>
    </row>
    <row r="2578" spans="1:15" x14ac:dyDescent="0.2">
      <c r="A2578" s="197" t="str">
        <f t="shared" si="40"/>
        <v>GliCode_lt</v>
      </c>
      <c r="B2578" s="409"/>
      <c r="C2578" s="416"/>
      <c r="D2578" s="198" t="s">
        <v>26681</v>
      </c>
      <c r="E2578" s="198">
        <v>2</v>
      </c>
      <c r="F2578" s="199" t="s">
        <v>26682</v>
      </c>
      <c r="G2578" s="1" t="s">
        <v>26683</v>
      </c>
      <c r="H2578" s="200"/>
      <c r="I2578" s="346"/>
      <c r="J2578" s="39">
        <v>103876</v>
      </c>
      <c r="K2578" s="36" t="str">
        <f>CONCATENATE(Cover!$D$6,"fdd/view?i=",J2578)</f>
        <v>https://www.dgiwg.org/FAD/fdd/view?i=103876</v>
      </c>
      <c r="L2578" s="36" t="s">
        <v>26684</v>
      </c>
      <c r="M2578" s="186"/>
      <c r="N2578" s="186"/>
      <c r="O2578" s="172"/>
    </row>
    <row r="2579" spans="1:15" ht="25.5" x14ac:dyDescent="0.2">
      <c r="A2579" s="203" t="str">
        <f t="shared" si="40"/>
        <v>GliCode_lte</v>
      </c>
      <c r="B2579" s="410"/>
      <c r="C2579" s="417"/>
      <c r="D2579" s="204" t="s">
        <v>26685</v>
      </c>
      <c r="E2579" s="204">
        <v>4</v>
      </c>
      <c r="F2579" s="205" t="s">
        <v>26686</v>
      </c>
      <c r="G2579" s="206" t="s">
        <v>26687</v>
      </c>
      <c r="H2579" s="207"/>
      <c r="I2579" s="347"/>
      <c r="J2579" s="39">
        <v>103878</v>
      </c>
      <c r="K2579" s="36" t="str">
        <f>CONCATENATE(Cover!$D$6,"fdd/view?i=",J2579)</f>
        <v>https://www.dgiwg.org/FAD/fdd/view?i=103878</v>
      </c>
      <c r="L2579" s="36" t="s">
        <v>26688</v>
      </c>
      <c r="M2579" s="186"/>
      <c r="N2579" s="186"/>
      <c r="O2579" s="172"/>
    </row>
    <row r="2580" spans="1:15" x14ac:dyDescent="0.2">
      <c r="A2580" s="190" t="str">
        <f t="shared" si="40"/>
        <v>CaaCode_civilian</v>
      </c>
      <c r="B2580" s="414" t="str">
        <f>HYPERLINK("[#]Datatypes!A374:L374","CaaCode")</f>
        <v>CaaCode</v>
      </c>
      <c r="C2580" s="415" t="s">
        <v>14937</v>
      </c>
      <c r="D2580" s="221" t="s">
        <v>26689</v>
      </c>
      <c r="E2580" s="221">
        <v>16</v>
      </c>
      <c r="F2580" s="222" t="s">
        <v>26690</v>
      </c>
      <c r="G2580" s="223" t="s">
        <v>26691</v>
      </c>
      <c r="H2580" s="224"/>
      <c r="I2580" s="345"/>
      <c r="J2580" s="39">
        <v>109904</v>
      </c>
      <c r="K2580" s="36" t="str">
        <f>CONCATENATE(Cover!$D$6,"fdd/view?i=",J2580)</f>
        <v>https://www.dgiwg.org/FAD/fdd/view?i=109904</v>
      </c>
      <c r="L2580" s="36" t="s">
        <v>26692</v>
      </c>
      <c r="M2580" s="186"/>
      <c r="N2580" s="186"/>
      <c r="O2580" s="172"/>
    </row>
    <row r="2581" spans="1:15" x14ac:dyDescent="0.2">
      <c r="A2581" s="197" t="str">
        <f t="shared" si="40"/>
        <v>CaaCode_communal</v>
      </c>
      <c r="B2581" s="409"/>
      <c r="C2581" s="416"/>
      <c r="D2581" s="198" t="s">
        <v>26693</v>
      </c>
      <c r="E2581" s="198">
        <v>14</v>
      </c>
      <c r="F2581" s="199" t="s">
        <v>26694</v>
      </c>
      <c r="G2581" s="1" t="s">
        <v>26695</v>
      </c>
      <c r="H2581" s="1" t="s">
        <v>26696</v>
      </c>
      <c r="I2581" s="346"/>
      <c r="J2581" s="39">
        <v>102818</v>
      </c>
      <c r="K2581" s="36" t="str">
        <f>CONCATENATE(Cover!$D$6,"fdd/view?i=",J2581)</f>
        <v>https://www.dgiwg.org/FAD/fdd/view?i=102818</v>
      </c>
      <c r="L2581" s="36" t="s">
        <v>26697</v>
      </c>
      <c r="M2581" s="186"/>
      <c r="N2581" s="186"/>
      <c r="O2581" s="172"/>
    </row>
    <row r="2582" spans="1:15" ht="25.5" x14ac:dyDescent="0.2">
      <c r="A2582" s="197" t="str">
        <f t="shared" si="40"/>
        <v>CaaCode_ecclesiastical</v>
      </c>
      <c r="B2582" s="409"/>
      <c r="C2582" s="416"/>
      <c r="D2582" s="198" t="s">
        <v>26698</v>
      </c>
      <c r="E2582" s="198">
        <v>21</v>
      </c>
      <c r="F2582" s="199" t="s">
        <v>26699</v>
      </c>
      <c r="G2582" s="1" t="s">
        <v>26700</v>
      </c>
      <c r="H2582" s="1" t="s">
        <v>26701</v>
      </c>
      <c r="I2582" s="346"/>
      <c r="J2582" s="39">
        <v>112854</v>
      </c>
      <c r="K2582" s="36" t="str">
        <f>CONCATENATE(Cover!$D$6,"fdd/view?i=",J2582)</f>
        <v>https://www.dgiwg.org/FAD/fdd/view?i=112854</v>
      </c>
      <c r="L2582" s="36" t="s">
        <v>26702</v>
      </c>
      <c r="M2582" s="186"/>
      <c r="N2582" s="186"/>
      <c r="O2582" s="172"/>
    </row>
    <row r="2583" spans="1:15" ht="25.5" x14ac:dyDescent="0.2">
      <c r="A2583" s="197" t="str">
        <f t="shared" si="40"/>
        <v>CaaCode_europeanUnion</v>
      </c>
      <c r="B2583" s="409"/>
      <c r="C2583" s="416"/>
      <c r="D2583" s="198" t="s">
        <v>26703</v>
      </c>
      <c r="E2583" s="198">
        <v>25</v>
      </c>
      <c r="F2583" s="199" t="s">
        <v>26704</v>
      </c>
      <c r="G2583" s="1" t="s">
        <v>26705</v>
      </c>
      <c r="H2583" s="200"/>
      <c r="I2583" s="346"/>
      <c r="J2583" s="39">
        <v>118208</v>
      </c>
      <c r="K2583" s="36" t="str">
        <f>CONCATENATE(Cover!$D$6,"fdd/view?i=",J2583)</f>
        <v>https://www.dgiwg.org/FAD/fdd/view?i=118208</v>
      </c>
      <c r="L2583" s="36" t="s">
        <v>26706</v>
      </c>
      <c r="M2583" s="186"/>
      <c r="N2583" s="186"/>
      <c r="O2583" s="172"/>
    </row>
    <row r="2584" spans="1:15" x14ac:dyDescent="0.2">
      <c r="A2584" s="197" t="str">
        <f t="shared" si="40"/>
        <v>CaaCode_insular</v>
      </c>
      <c r="B2584" s="409"/>
      <c r="C2584" s="416"/>
      <c r="D2584" s="198" t="s">
        <v>26707</v>
      </c>
      <c r="E2584" s="198">
        <v>10</v>
      </c>
      <c r="F2584" s="199" t="s">
        <v>26708</v>
      </c>
      <c r="G2584" s="1" t="s">
        <v>26709</v>
      </c>
      <c r="H2584" s="200"/>
      <c r="I2584" s="346"/>
      <c r="J2584" s="39">
        <v>102814</v>
      </c>
      <c r="K2584" s="36" t="str">
        <f>CONCATENATE(Cover!$D$6,"fdd/view?i=",J2584)</f>
        <v>https://www.dgiwg.org/FAD/fdd/view?i=102814</v>
      </c>
      <c r="L2584" s="36" t="s">
        <v>26710</v>
      </c>
      <c r="M2584" s="186"/>
      <c r="N2584" s="186"/>
      <c r="O2584" s="172"/>
    </row>
    <row r="2585" spans="1:15" ht="25.5" x14ac:dyDescent="0.2">
      <c r="A2585" s="197" t="str">
        <f t="shared" si="40"/>
        <v>CaaCode_international</v>
      </c>
      <c r="B2585" s="409"/>
      <c r="C2585" s="416"/>
      <c r="D2585" s="198" t="s">
        <v>16684</v>
      </c>
      <c r="E2585" s="198">
        <v>8</v>
      </c>
      <c r="F2585" s="199" t="s">
        <v>16685</v>
      </c>
      <c r="G2585" s="1" t="s">
        <v>26711</v>
      </c>
      <c r="H2585" s="1" t="s">
        <v>26712</v>
      </c>
      <c r="I2585" s="346"/>
      <c r="J2585" s="39">
        <v>102812</v>
      </c>
      <c r="K2585" s="36" t="str">
        <f>CONCATENATE(Cover!$D$6,"fdd/view?i=",J2585)</f>
        <v>https://www.dgiwg.org/FAD/fdd/view?i=102812</v>
      </c>
      <c r="L2585" s="36" t="s">
        <v>26713</v>
      </c>
      <c r="M2585" s="186"/>
      <c r="N2585" s="186"/>
      <c r="O2585" s="172"/>
    </row>
    <row r="2586" spans="1:15" ht="38.25" x14ac:dyDescent="0.2">
      <c r="A2586" s="197" t="str">
        <f t="shared" si="40"/>
        <v>CaaCode_interstate</v>
      </c>
      <c r="B2586" s="409"/>
      <c r="C2586" s="416"/>
      <c r="D2586" s="198" t="s">
        <v>26714</v>
      </c>
      <c r="E2586" s="198">
        <v>12</v>
      </c>
      <c r="F2586" s="199" t="s">
        <v>26715</v>
      </c>
      <c r="G2586" s="1" t="s">
        <v>26716</v>
      </c>
      <c r="H2586" s="1" t="s">
        <v>26717</v>
      </c>
      <c r="I2586" s="346"/>
      <c r="J2586" s="39">
        <v>102816</v>
      </c>
      <c r="K2586" s="36" t="str">
        <f>CONCATENATE(Cover!$D$6,"fdd/view?i=",J2586)</f>
        <v>https://www.dgiwg.org/FAD/fdd/view?i=102816</v>
      </c>
      <c r="L2586" s="36" t="s">
        <v>26718</v>
      </c>
      <c r="M2586" s="186"/>
      <c r="N2586" s="186"/>
      <c r="O2586" s="172"/>
    </row>
    <row r="2587" spans="1:15" ht="25.5" x14ac:dyDescent="0.2">
      <c r="A2587" s="197" t="str">
        <f t="shared" si="40"/>
        <v>CaaCode_jointMilitaryCivilian</v>
      </c>
      <c r="B2587" s="409"/>
      <c r="C2587" s="416"/>
      <c r="D2587" s="198" t="s">
        <v>26719</v>
      </c>
      <c r="E2587" s="198">
        <v>7</v>
      </c>
      <c r="F2587" s="199" t="s">
        <v>26720</v>
      </c>
      <c r="G2587" s="1" t="s">
        <v>26721</v>
      </c>
      <c r="H2587" s="1" t="s">
        <v>26722</v>
      </c>
      <c r="I2587" s="346"/>
      <c r="J2587" s="39">
        <v>102811</v>
      </c>
      <c r="K2587" s="36" t="str">
        <f>CONCATENATE(Cover!$D$6,"fdd/view?i=",J2587)</f>
        <v>https://www.dgiwg.org/FAD/fdd/view?i=102811</v>
      </c>
      <c r="L2587" s="36" t="s">
        <v>26723</v>
      </c>
      <c r="M2587" s="186"/>
      <c r="N2587" s="186"/>
      <c r="O2587" s="172"/>
    </row>
    <row r="2588" spans="1:15" x14ac:dyDescent="0.2">
      <c r="A2588" s="197" t="str">
        <f t="shared" si="40"/>
        <v>CaaCode_military</v>
      </c>
      <c r="B2588" s="409"/>
      <c r="C2588" s="416"/>
      <c r="D2588" s="198" t="s">
        <v>20503</v>
      </c>
      <c r="E2588" s="198">
        <v>5</v>
      </c>
      <c r="F2588" s="199" t="s">
        <v>20504</v>
      </c>
      <c r="G2588" s="1" t="s">
        <v>26724</v>
      </c>
      <c r="H2588" s="200"/>
      <c r="I2588" s="346"/>
      <c r="J2588" s="39">
        <v>102809</v>
      </c>
      <c r="K2588" s="36" t="str">
        <f>CONCATENATE(Cover!$D$6,"fdd/view?i=",J2588)</f>
        <v>https://www.dgiwg.org/FAD/fdd/view?i=102809</v>
      </c>
      <c r="L2588" s="36" t="s">
        <v>26725</v>
      </c>
      <c r="M2588" s="186"/>
      <c r="N2588" s="186"/>
      <c r="O2588" s="172"/>
    </row>
    <row r="2589" spans="1:15" ht="25.5" x14ac:dyDescent="0.2">
      <c r="A2589" s="197" t="str">
        <f t="shared" si="40"/>
        <v>CaaCode_militaryDistrict</v>
      </c>
      <c r="B2589" s="409"/>
      <c r="C2589" s="416"/>
      <c r="D2589" s="198" t="s">
        <v>26726</v>
      </c>
      <c r="E2589" s="198">
        <v>15</v>
      </c>
      <c r="F2589" s="199" t="s">
        <v>26727</v>
      </c>
      <c r="G2589" s="1" t="s">
        <v>26728</v>
      </c>
      <c r="H2589" s="1" t="s">
        <v>26729</v>
      </c>
      <c r="I2589" s="346"/>
      <c r="J2589" s="39">
        <v>102819</v>
      </c>
      <c r="K2589" s="36" t="str">
        <f>CONCATENATE(Cover!$D$6,"fdd/view?i=",J2589)</f>
        <v>https://www.dgiwg.org/FAD/fdd/view?i=102819</v>
      </c>
      <c r="L2589" s="36" t="s">
        <v>26730</v>
      </c>
      <c r="M2589" s="186"/>
      <c r="N2589" s="186"/>
      <c r="O2589" s="172"/>
    </row>
    <row r="2590" spans="1:15" ht="25.5" x14ac:dyDescent="0.2">
      <c r="A2590" s="197" t="str">
        <f t="shared" si="40"/>
        <v>CaaCode_municipal</v>
      </c>
      <c r="B2590" s="409"/>
      <c r="C2590" s="416"/>
      <c r="D2590" s="198" t="s">
        <v>16693</v>
      </c>
      <c r="E2590" s="198">
        <v>6</v>
      </c>
      <c r="F2590" s="199" t="s">
        <v>16694</v>
      </c>
      <c r="G2590" s="1" t="s">
        <v>16695</v>
      </c>
      <c r="H2590" s="1" t="s">
        <v>26731</v>
      </c>
      <c r="I2590" s="346"/>
      <c r="J2590" s="39">
        <v>102810</v>
      </c>
      <c r="K2590" s="36" t="str">
        <f>CONCATENATE(Cover!$D$6,"fdd/view?i=",J2590)</f>
        <v>https://www.dgiwg.org/FAD/fdd/view?i=102810</v>
      </c>
      <c r="L2590" s="36" t="s">
        <v>26732</v>
      </c>
      <c r="M2590" s="186"/>
      <c r="N2590" s="186"/>
      <c r="O2590" s="172"/>
    </row>
    <row r="2591" spans="1:15" x14ac:dyDescent="0.2">
      <c r="A2591" s="197" t="str">
        <f t="shared" si="40"/>
        <v>CaaCode_national</v>
      </c>
      <c r="B2591" s="409"/>
      <c r="C2591" s="416"/>
      <c r="D2591" s="198" t="s">
        <v>16698</v>
      </c>
      <c r="E2591" s="198">
        <v>1</v>
      </c>
      <c r="F2591" s="199" t="s">
        <v>16699</v>
      </c>
      <c r="G2591" s="1" t="s">
        <v>26733</v>
      </c>
      <c r="H2591" s="200"/>
      <c r="I2591" s="351" t="s">
        <v>26734</v>
      </c>
      <c r="J2591" s="39">
        <v>102805</v>
      </c>
      <c r="K2591" s="36" t="str">
        <f>CONCATENATE(Cover!$D$6,"fdd/view?i=",J2591)</f>
        <v>https://www.dgiwg.org/FAD/fdd/view?i=102805</v>
      </c>
      <c r="L2591" s="36" t="s">
        <v>26735</v>
      </c>
      <c r="M2591" s="186"/>
      <c r="N2591" s="186"/>
      <c r="O2591" s="172"/>
    </row>
    <row r="2592" spans="1:15" ht="51" x14ac:dyDescent="0.2">
      <c r="A2592" s="197" t="str">
        <f t="shared" si="40"/>
        <v>CaaCode_nato</v>
      </c>
      <c r="B2592" s="409"/>
      <c r="C2592" s="416"/>
      <c r="D2592" s="198" t="s">
        <v>26736</v>
      </c>
      <c r="E2592" s="198">
        <v>19</v>
      </c>
      <c r="F2592" s="199" t="s">
        <v>26737</v>
      </c>
      <c r="G2592" s="1" t="s">
        <v>26738</v>
      </c>
      <c r="H2592" s="200"/>
      <c r="I2592" s="346"/>
      <c r="J2592" s="39">
        <v>102821</v>
      </c>
      <c r="K2592" s="36" t="str">
        <f>CONCATENATE(Cover!$D$6,"fdd/view?i=",J2592)</f>
        <v>https://www.dgiwg.org/FAD/fdd/view?i=102821</v>
      </c>
      <c r="L2592" s="36" t="s">
        <v>26739</v>
      </c>
      <c r="M2592" s="186"/>
      <c r="N2592" s="186"/>
      <c r="O2592" s="172"/>
    </row>
    <row r="2593" spans="1:15" ht="25.5" x14ac:dyDescent="0.2">
      <c r="A2593" s="197" t="str">
        <f t="shared" si="40"/>
        <v>CaaCode_private</v>
      </c>
      <c r="B2593" s="409"/>
      <c r="C2593" s="416"/>
      <c r="D2593" s="198" t="s">
        <v>20069</v>
      </c>
      <c r="E2593" s="198">
        <v>3</v>
      </c>
      <c r="F2593" s="199" t="s">
        <v>20070</v>
      </c>
      <c r="G2593" s="1" t="s">
        <v>26740</v>
      </c>
      <c r="H2593" s="200"/>
      <c r="I2593" s="346"/>
      <c r="J2593" s="39">
        <v>102807</v>
      </c>
      <c r="K2593" s="36" t="str">
        <f>CONCATENATE(Cover!$D$6,"fdd/view?i=",J2593)</f>
        <v>https://www.dgiwg.org/FAD/fdd/view?i=102807</v>
      </c>
      <c r="L2593" s="36" t="s">
        <v>26741</v>
      </c>
      <c r="M2593" s="186"/>
      <c r="N2593" s="186"/>
      <c r="O2593" s="172"/>
    </row>
    <row r="2594" spans="1:15" ht="38.25" x14ac:dyDescent="0.2">
      <c r="A2594" s="197" t="str">
        <f t="shared" si="40"/>
        <v>CaaCode_province</v>
      </c>
      <c r="B2594" s="409"/>
      <c r="C2594" s="416"/>
      <c r="D2594" s="198" t="s">
        <v>26742</v>
      </c>
      <c r="E2594" s="198">
        <v>11</v>
      </c>
      <c r="F2594" s="199" t="s">
        <v>26743</v>
      </c>
      <c r="G2594" s="1" t="s">
        <v>26744</v>
      </c>
      <c r="H2594" s="1" t="s">
        <v>26745</v>
      </c>
      <c r="I2594" s="346"/>
      <c r="J2594" s="39">
        <v>102815</v>
      </c>
      <c r="K2594" s="36" t="str">
        <f>CONCATENATE(Cover!$D$6,"fdd/view?i=",J2594)</f>
        <v>https://www.dgiwg.org/FAD/fdd/view?i=102815</v>
      </c>
      <c r="L2594" s="36" t="s">
        <v>26746</v>
      </c>
      <c r="M2594" s="186"/>
      <c r="N2594" s="186"/>
      <c r="O2594" s="172"/>
    </row>
    <row r="2595" spans="1:15" ht="25.5" x14ac:dyDescent="0.2">
      <c r="A2595" s="197" t="str">
        <f t="shared" si="40"/>
        <v>CaaCode_public</v>
      </c>
      <c r="B2595" s="409"/>
      <c r="C2595" s="416"/>
      <c r="D2595" s="198" t="s">
        <v>26747</v>
      </c>
      <c r="E2595" s="198">
        <v>17</v>
      </c>
      <c r="F2595" s="199" t="s">
        <v>26748</v>
      </c>
      <c r="G2595" s="1" t="s">
        <v>26749</v>
      </c>
      <c r="H2595" s="200"/>
      <c r="I2595" s="346"/>
      <c r="J2595" s="39">
        <v>105373</v>
      </c>
      <c r="K2595" s="36" t="str">
        <f>CONCATENATE(Cover!$D$6,"fdd/view?i=",J2595)</f>
        <v>https://www.dgiwg.org/FAD/fdd/view?i=105373</v>
      </c>
      <c r="L2595" s="36" t="s">
        <v>26750</v>
      </c>
      <c r="M2595" s="186"/>
      <c r="N2595" s="186"/>
      <c r="O2595" s="172"/>
    </row>
    <row r="2596" spans="1:15" ht="25.5" x14ac:dyDescent="0.2">
      <c r="A2596" s="197" t="str">
        <f t="shared" si="40"/>
        <v>CaaCode_regional</v>
      </c>
      <c r="B2596" s="409"/>
      <c r="C2596" s="416"/>
      <c r="D2596" s="198" t="s">
        <v>26751</v>
      </c>
      <c r="E2596" s="198">
        <v>13</v>
      </c>
      <c r="F2596" s="199" t="s">
        <v>26752</v>
      </c>
      <c r="G2596" s="1" t="s">
        <v>26753</v>
      </c>
      <c r="H2596" s="1" t="s">
        <v>26754</v>
      </c>
      <c r="I2596" s="346"/>
      <c r="J2596" s="39">
        <v>102817</v>
      </c>
      <c r="K2596" s="36" t="str">
        <f>CONCATENATE(Cover!$D$6,"fdd/view?i=",J2596)</f>
        <v>https://www.dgiwg.org/FAD/fdd/view?i=102817</v>
      </c>
      <c r="L2596" s="36" t="s">
        <v>26755</v>
      </c>
      <c r="M2596" s="186"/>
      <c r="N2596" s="186"/>
      <c r="O2596" s="172"/>
    </row>
    <row r="2597" spans="1:15" ht="25.5" x14ac:dyDescent="0.2">
      <c r="A2597" s="197" t="str">
        <f t="shared" si="40"/>
        <v>CaaCode_state</v>
      </c>
      <c r="B2597" s="409"/>
      <c r="C2597" s="416"/>
      <c r="D2597" s="198" t="s">
        <v>26756</v>
      </c>
      <c r="E2597" s="198">
        <v>2</v>
      </c>
      <c r="F2597" s="199" t="s">
        <v>26757</v>
      </c>
      <c r="G2597" s="1" t="s">
        <v>26758</v>
      </c>
      <c r="H2597" s="200"/>
      <c r="I2597" s="346"/>
      <c r="J2597" s="39">
        <v>102806</v>
      </c>
      <c r="K2597" s="36" t="str">
        <f>CONCATENATE(Cover!$D$6,"fdd/view?i=",J2597)</f>
        <v>https://www.dgiwg.org/FAD/fdd/view?i=102806</v>
      </c>
      <c r="L2597" s="36" t="s">
        <v>26759</v>
      </c>
      <c r="M2597" s="186"/>
      <c r="N2597" s="186"/>
      <c r="O2597" s="172"/>
    </row>
    <row r="2598" spans="1:15" ht="89.25" x14ac:dyDescent="0.2">
      <c r="A2598" s="197" t="str">
        <f t="shared" si="40"/>
        <v>CaaCode_statutoryCorporation</v>
      </c>
      <c r="B2598" s="409"/>
      <c r="C2598" s="416"/>
      <c r="D2598" s="198" t="s">
        <v>26760</v>
      </c>
      <c r="E2598" s="198">
        <v>22</v>
      </c>
      <c r="F2598" s="199" t="s">
        <v>26761</v>
      </c>
      <c r="G2598" s="1" t="s">
        <v>26762</v>
      </c>
      <c r="H2598" s="1" t="s">
        <v>26763</v>
      </c>
      <c r="I2598" s="346"/>
      <c r="J2598" s="39">
        <v>112855</v>
      </c>
      <c r="K2598" s="36" t="str">
        <f>CONCATENATE(Cover!$D$6,"fdd/view?i=",J2598)</f>
        <v>https://www.dgiwg.org/FAD/fdd/view?i=112855</v>
      </c>
      <c r="L2598" s="36" t="s">
        <v>26764</v>
      </c>
      <c r="M2598" s="186"/>
      <c r="N2598" s="186"/>
      <c r="O2598" s="172"/>
    </row>
    <row r="2599" spans="1:15" ht="38.25" x14ac:dyDescent="0.2">
      <c r="A2599" s="197" t="str">
        <f t="shared" si="40"/>
        <v>CaaCode_subNational</v>
      </c>
      <c r="B2599" s="409"/>
      <c r="C2599" s="416"/>
      <c r="D2599" s="198" t="s">
        <v>26765</v>
      </c>
      <c r="E2599" s="198">
        <v>18</v>
      </c>
      <c r="F2599" s="199" t="s">
        <v>26766</v>
      </c>
      <c r="G2599" s="1" t="s">
        <v>26767</v>
      </c>
      <c r="H2599" s="1" t="s">
        <v>26768</v>
      </c>
      <c r="I2599" s="346"/>
      <c r="J2599" s="39">
        <v>106025</v>
      </c>
      <c r="K2599" s="36" t="str">
        <f>CONCATENATE(Cover!$D$6,"fdd/view?i=",J2599)</f>
        <v>https://www.dgiwg.org/FAD/fdd/view?i=106025</v>
      </c>
      <c r="L2599" s="36" t="s">
        <v>26769</v>
      </c>
      <c r="M2599" s="186"/>
      <c r="N2599" s="186"/>
      <c r="O2599" s="172"/>
    </row>
    <row r="2600" spans="1:15" ht="25.5" x14ac:dyDescent="0.2">
      <c r="A2600" s="197" t="str">
        <f t="shared" si="40"/>
        <v>CaaCode_tribal</v>
      </c>
      <c r="B2600" s="409"/>
      <c r="C2600" s="416"/>
      <c r="D2600" s="198" t="s">
        <v>26770</v>
      </c>
      <c r="E2600" s="198">
        <v>4</v>
      </c>
      <c r="F2600" s="199" t="s">
        <v>26771</v>
      </c>
      <c r="G2600" s="1" t="s">
        <v>26772</v>
      </c>
      <c r="H2600" s="1" t="s">
        <v>26773</v>
      </c>
      <c r="I2600" s="346"/>
      <c r="J2600" s="39">
        <v>102808</v>
      </c>
      <c r="K2600" s="36" t="str">
        <f>CONCATENATE(Cover!$D$6,"fdd/view?i=",J2600)</f>
        <v>https://www.dgiwg.org/FAD/fdd/view?i=102808</v>
      </c>
      <c r="L2600" s="36" t="s">
        <v>26774</v>
      </c>
      <c r="M2600" s="186"/>
      <c r="N2600" s="186"/>
      <c r="O2600" s="172"/>
    </row>
    <row r="2601" spans="1:15" ht="38.25" x14ac:dyDescent="0.2">
      <c r="A2601" s="203" t="str">
        <f t="shared" si="40"/>
        <v>CaaCode_unitedNations</v>
      </c>
      <c r="B2601" s="410"/>
      <c r="C2601" s="417"/>
      <c r="D2601" s="204" t="s">
        <v>26775</v>
      </c>
      <c r="E2601" s="204">
        <v>20</v>
      </c>
      <c r="F2601" s="205" t="s">
        <v>26776</v>
      </c>
      <c r="G2601" s="206" t="s">
        <v>26777</v>
      </c>
      <c r="H2601" s="207"/>
      <c r="I2601" s="347"/>
      <c r="J2601" s="39">
        <v>110090</v>
      </c>
      <c r="K2601" s="36" t="str">
        <f>CONCATENATE(Cover!$D$6,"fdd/view?i=",J2601)</f>
        <v>https://www.dgiwg.org/FAD/fdd/view?i=110090</v>
      </c>
      <c r="L2601" s="36" t="s">
        <v>26778</v>
      </c>
      <c r="M2601" s="186"/>
      <c r="N2601" s="186"/>
      <c r="O2601" s="172"/>
    </row>
    <row r="2602" spans="1:15" ht="51" x14ac:dyDescent="0.2">
      <c r="A2602" s="190" t="str">
        <f t="shared" si="40"/>
        <v>CvtCode_apron</v>
      </c>
      <c r="B2602" s="414" t="str">
        <f>HYPERLINK("[#]Datatypes!A376:L376","CvtCode")</f>
        <v>CvtCode</v>
      </c>
      <c r="C2602" s="415" t="s">
        <v>14939</v>
      </c>
      <c r="D2602" s="221" t="s">
        <v>26779</v>
      </c>
      <c r="E2602" s="221">
        <v>6</v>
      </c>
      <c r="F2602" s="222" t="s">
        <v>2090</v>
      </c>
      <c r="G2602" s="223" t="s">
        <v>26780</v>
      </c>
      <c r="H2602" s="223" t="s">
        <v>26781</v>
      </c>
      <c r="I2602" s="345"/>
      <c r="J2602" s="39">
        <v>119954</v>
      </c>
      <c r="K2602" s="36" t="str">
        <f>CONCATENATE(Cover!$D$6,"fdd/view?i=",J2602)</f>
        <v>https://www.dgiwg.org/FAD/fdd/view?i=119954</v>
      </c>
      <c r="L2602" s="36" t="s">
        <v>26782</v>
      </c>
      <c r="M2602" s="186"/>
      <c r="N2602" s="186"/>
      <c r="O2602" s="172"/>
    </row>
    <row r="2603" spans="1:15" ht="25.5" x14ac:dyDescent="0.2">
      <c r="A2603" s="197" t="str">
        <f t="shared" si="40"/>
        <v>CvtCode_belt</v>
      </c>
      <c r="B2603" s="409"/>
      <c r="C2603" s="416"/>
      <c r="D2603" s="198" t="s">
        <v>26783</v>
      </c>
      <c r="E2603" s="198">
        <v>2</v>
      </c>
      <c r="F2603" s="199" t="s">
        <v>26784</v>
      </c>
      <c r="G2603" s="1" t="s">
        <v>26785</v>
      </c>
      <c r="H2603" s="1" t="s">
        <v>26786</v>
      </c>
      <c r="I2603" s="346"/>
      <c r="J2603" s="39">
        <v>119950</v>
      </c>
      <c r="K2603" s="36" t="str">
        <f>CONCATENATE(Cover!$D$6,"fdd/view?i=",J2603)</f>
        <v>https://www.dgiwg.org/FAD/fdd/view?i=119950</v>
      </c>
      <c r="L2603" s="36" t="s">
        <v>26787</v>
      </c>
      <c r="M2603" s="186"/>
      <c r="N2603" s="186"/>
      <c r="O2603" s="172"/>
    </row>
    <row r="2604" spans="1:15" ht="63.75" x14ac:dyDescent="0.2">
      <c r="A2604" s="197" t="str">
        <f t="shared" si="40"/>
        <v>CvtCode_bucket</v>
      </c>
      <c r="B2604" s="409"/>
      <c r="C2604" s="416"/>
      <c r="D2604" s="198" t="s">
        <v>26788</v>
      </c>
      <c r="E2604" s="198">
        <v>4</v>
      </c>
      <c r="F2604" s="199" t="s">
        <v>26789</v>
      </c>
      <c r="G2604" s="1" t="s">
        <v>26790</v>
      </c>
      <c r="H2604" s="1" t="s">
        <v>26791</v>
      </c>
      <c r="I2604" s="346"/>
      <c r="J2604" s="39">
        <v>119952</v>
      </c>
      <c r="K2604" s="36" t="str">
        <f>CONCATENATE(Cover!$D$6,"fdd/view?i=",J2604)</f>
        <v>https://www.dgiwg.org/FAD/fdd/view?i=119952</v>
      </c>
      <c r="L2604" s="36" t="s">
        <v>26792</v>
      </c>
      <c r="M2604" s="186"/>
      <c r="N2604" s="186"/>
      <c r="O2604" s="172"/>
    </row>
    <row r="2605" spans="1:15" ht="63.75" x14ac:dyDescent="0.2">
      <c r="A2605" s="197" t="str">
        <f t="shared" si="40"/>
        <v>CvtCode_flight</v>
      </c>
      <c r="B2605" s="409"/>
      <c r="C2605" s="416"/>
      <c r="D2605" s="198" t="s">
        <v>26793</v>
      </c>
      <c r="E2605" s="198">
        <v>7</v>
      </c>
      <c r="F2605" s="199" t="s">
        <v>26794</v>
      </c>
      <c r="G2605" s="1" t="s">
        <v>26795</v>
      </c>
      <c r="H2605" s="1" t="s">
        <v>26796</v>
      </c>
      <c r="I2605" s="346"/>
      <c r="J2605" s="39">
        <v>119955</v>
      </c>
      <c r="K2605" s="36" t="str">
        <f>CONCATENATE(Cover!$D$6,"fdd/view?i=",J2605)</f>
        <v>https://www.dgiwg.org/FAD/fdd/view?i=119955</v>
      </c>
      <c r="L2605" s="36" t="s">
        <v>26797</v>
      </c>
      <c r="M2605" s="186"/>
      <c r="N2605" s="186"/>
      <c r="O2605" s="172"/>
    </row>
    <row r="2606" spans="1:15" ht="25.5" x14ac:dyDescent="0.2">
      <c r="A2606" s="197" t="str">
        <f t="shared" si="40"/>
        <v>CvtCode_notVisible</v>
      </c>
      <c r="B2606" s="409"/>
      <c r="C2606" s="416"/>
      <c r="D2606" s="198" t="s">
        <v>26798</v>
      </c>
      <c r="E2606" s="198">
        <v>1</v>
      </c>
      <c r="F2606" s="199" t="s">
        <v>26799</v>
      </c>
      <c r="G2606" s="1" t="s">
        <v>26800</v>
      </c>
      <c r="H2606" s="1" t="s">
        <v>6582</v>
      </c>
      <c r="I2606" s="346"/>
      <c r="J2606" s="39">
        <v>119949</v>
      </c>
      <c r="K2606" s="36" t="str">
        <f>CONCATENATE(Cover!$D$6,"fdd/view?i=",J2606)</f>
        <v>https://www.dgiwg.org/FAD/fdd/view?i=119949</v>
      </c>
      <c r="L2606" s="36" t="s">
        <v>26801</v>
      </c>
      <c r="M2606" s="186"/>
      <c r="N2606" s="186"/>
      <c r="O2606" s="172"/>
    </row>
    <row r="2607" spans="1:15" ht="63.75" x14ac:dyDescent="0.2">
      <c r="A2607" s="197" t="str">
        <f t="shared" si="40"/>
        <v>CvtCode_rollers</v>
      </c>
      <c r="B2607" s="409"/>
      <c r="C2607" s="416"/>
      <c r="D2607" s="198" t="s">
        <v>26802</v>
      </c>
      <c r="E2607" s="198">
        <v>3</v>
      </c>
      <c r="F2607" s="199" t="s">
        <v>26803</v>
      </c>
      <c r="G2607" s="1" t="s">
        <v>26804</v>
      </c>
      <c r="H2607" s="1" t="s">
        <v>26805</v>
      </c>
      <c r="I2607" s="346"/>
      <c r="J2607" s="39">
        <v>119951</v>
      </c>
      <c r="K2607" s="36" t="str">
        <f>CONCATENATE(Cover!$D$6,"fdd/view?i=",J2607)</f>
        <v>https://www.dgiwg.org/FAD/fdd/view?i=119951</v>
      </c>
      <c r="L2607" s="36" t="s">
        <v>26806</v>
      </c>
      <c r="M2607" s="186"/>
      <c r="N2607" s="186"/>
      <c r="O2607" s="172"/>
    </row>
    <row r="2608" spans="1:15" ht="76.5" x14ac:dyDescent="0.2">
      <c r="A2608" s="203" t="str">
        <f t="shared" si="40"/>
        <v>CvtCode_screwAuger</v>
      </c>
      <c r="B2608" s="410"/>
      <c r="C2608" s="417"/>
      <c r="D2608" s="204" t="s">
        <v>26807</v>
      </c>
      <c r="E2608" s="204">
        <v>5</v>
      </c>
      <c r="F2608" s="205" t="s">
        <v>26808</v>
      </c>
      <c r="G2608" s="206" t="s">
        <v>26809</v>
      </c>
      <c r="H2608" s="206" t="s">
        <v>26810</v>
      </c>
      <c r="I2608" s="347"/>
      <c r="J2608" s="39">
        <v>119953</v>
      </c>
      <c r="K2608" s="36" t="str">
        <f>CONCATENATE(Cover!$D$6,"fdd/view?i=",J2608)</f>
        <v>https://www.dgiwg.org/FAD/fdd/view?i=119953</v>
      </c>
      <c r="L2608" s="36" t="s">
        <v>26811</v>
      </c>
      <c r="M2608" s="186"/>
      <c r="N2608" s="186"/>
      <c r="O2608" s="172"/>
    </row>
    <row r="2609" spans="1:15" ht="25.5" x14ac:dyDescent="0.2">
      <c r="A2609" s="190" t="str">
        <f t="shared" si="40"/>
        <v>CfcCode_correctionalInstitute</v>
      </c>
      <c r="B2609" s="414" t="str">
        <f>HYPERLINK("[#]Datatypes!A378:L378","CfcCode")</f>
        <v>CfcCode</v>
      </c>
      <c r="C2609" s="415" t="s">
        <v>14941</v>
      </c>
      <c r="D2609" s="221" t="s">
        <v>26812</v>
      </c>
      <c r="E2609" s="221">
        <v>4</v>
      </c>
      <c r="F2609" s="222" t="s">
        <v>26813</v>
      </c>
      <c r="G2609" s="223" t="s">
        <v>26814</v>
      </c>
      <c r="H2609" s="224"/>
      <c r="I2609" s="345"/>
      <c r="J2609" s="39">
        <v>102986</v>
      </c>
      <c r="K2609" s="36" t="str">
        <f>CONCATENATE(Cover!$D$6,"fdd/view?i=",J2609)</f>
        <v>https://www.dgiwg.org/FAD/fdd/view?i=102986</v>
      </c>
      <c r="L2609" s="36" t="s">
        <v>26815</v>
      </c>
      <c r="M2609" s="186"/>
      <c r="N2609" s="186"/>
      <c r="O2609" s="172"/>
    </row>
    <row r="2610" spans="1:15" ht="38.25" x14ac:dyDescent="0.2">
      <c r="A2610" s="197" t="str">
        <f t="shared" si="40"/>
        <v>CfcCode_detentionFacility</v>
      </c>
      <c r="B2610" s="409"/>
      <c r="C2610" s="416"/>
      <c r="D2610" s="198" t="s">
        <v>26816</v>
      </c>
      <c r="E2610" s="198">
        <v>6</v>
      </c>
      <c r="F2610" s="199" t="s">
        <v>26817</v>
      </c>
      <c r="G2610" s="1" t="s">
        <v>26818</v>
      </c>
      <c r="H2610" s="200"/>
      <c r="I2610" s="346"/>
      <c r="J2610" s="39">
        <v>112740</v>
      </c>
      <c r="K2610" s="36" t="str">
        <f>CONCATENATE(Cover!$D$6,"fdd/view?i=",J2610)</f>
        <v>https://www.dgiwg.org/FAD/fdd/view?i=112740</v>
      </c>
      <c r="L2610" s="36" t="s">
        <v>26819</v>
      </c>
      <c r="M2610" s="186"/>
      <c r="N2610" s="186"/>
      <c r="O2610" s="172"/>
    </row>
    <row r="2611" spans="1:15" ht="51" x14ac:dyDescent="0.2">
      <c r="A2611" s="197" t="str">
        <f t="shared" si="40"/>
        <v>CfcCode_internmentCamp</v>
      </c>
      <c r="B2611" s="409"/>
      <c r="C2611" s="416"/>
      <c r="D2611" s="198" t="s">
        <v>26820</v>
      </c>
      <c r="E2611" s="198">
        <v>5</v>
      </c>
      <c r="F2611" s="199" t="s">
        <v>26821</v>
      </c>
      <c r="G2611" s="1" t="s">
        <v>26822</v>
      </c>
      <c r="H2611" s="1" t="s">
        <v>26823</v>
      </c>
      <c r="I2611" s="346"/>
      <c r="J2611" s="39">
        <v>112858</v>
      </c>
      <c r="K2611" s="36" t="str">
        <f>CONCATENATE(Cover!$D$6,"fdd/view?i=",J2611)</f>
        <v>https://www.dgiwg.org/FAD/fdd/view?i=112858</v>
      </c>
      <c r="L2611" s="36" t="s">
        <v>26824</v>
      </c>
      <c r="M2611" s="186"/>
      <c r="N2611" s="186"/>
      <c r="O2611" s="172"/>
    </row>
    <row r="2612" spans="1:15" ht="38.25" x14ac:dyDescent="0.2">
      <c r="A2612" s="197" t="str">
        <f t="shared" si="40"/>
        <v>CfcCode_jail</v>
      </c>
      <c r="B2612" s="409"/>
      <c r="C2612" s="416"/>
      <c r="D2612" s="198" t="s">
        <v>26825</v>
      </c>
      <c r="E2612" s="198">
        <v>2</v>
      </c>
      <c r="F2612" s="199" t="s">
        <v>26826</v>
      </c>
      <c r="G2612" s="1" t="s">
        <v>26827</v>
      </c>
      <c r="H2612" s="1" t="s">
        <v>26828</v>
      </c>
      <c r="I2612" s="346"/>
      <c r="J2612" s="39">
        <v>102984</v>
      </c>
      <c r="K2612" s="36" t="str">
        <f>CONCATENATE(Cover!$D$6,"fdd/view?i=",J2612)</f>
        <v>https://www.dgiwg.org/FAD/fdd/view?i=102984</v>
      </c>
      <c r="L2612" s="36" t="s">
        <v>26829</v>
      </c>
      <c r="M2612" s="186"/>
      <c r="N2612" s="186"/>
      <c r="O2612" s="172"/>
    </row>
    <row r="2613" spans="1:15" ht="25.5" x14ac:dyDescent="0.2">
      <c r="A2613" s="197" t="str">
        <f t="shared" si="40"/>
        <v>CfcCode_prison</v>
      </c>
      <c r="B2613" s="409"/>
      <c r="C2613" s="416"/>
      <c r="D2613" s="198" t="s">
        <v>26830</v>
      </c>
      <c r="E2613" s="198">
        <v>1</v>
      </c>
      <c r="F2613" s="199" t="s">
        <v>26831</v>
      </c>
      <c r="G2613" s="1" t="s">
        <v>26832</v>
      </c>
      <c r="H2613" s="1" t="s">
        <v>26833</v>
      </c>
      <c r="I2613" s="346"/>
      <c r="J2613" s="39">
        <v>102983</v>
      </c>
      <c r="K2613" s="36" t="str">
        <f>CONCATENATE(Cover!$D$6,"fdd/view?i=",J2613)</f>
        <v>https://www.dgiwg.org/FAD/fdd/view?i=102983</v>
      </c>
      <c r="L2613" s="36" t="s">
        <v>26834</v>
      </c>
      <c r="M2613" s="186"/>
      <c r="N2613" s="186"/>
      <c r="O2613" s="172"/>
    </row>
    <row r="2614" spans="1:15" ht="25.5" x14ac:dyDescent="0.2">
      <c r="A2614" s="203" t="str">
        <f t="shared" si="40"/>
        <v>CfcCode_reformatory</v>
      </c>
      <c r="B2614" s="410"/>
      <c r="C2614" s="417"/>
      <c r="D2614" s="204" t="s">
        <v>26835</v>
      </c>
      <c r="E2614" s="204">
        <v>3</v>
      </c>
      <c r="F2614" s="205" t="s">
        <v>26836</v>
      </c>
      <c r="G2614" s="206" t="s">
        <v>26837</v>
      </c>
      <c r="H2614" s="207"/>
      <c r="I2614" s="347"/>
      <c r="J2614" s="39">
        <v>102985</v>
      </c>
      <c r="K2614" s="36" t="str">
        <f>CONCATENATE(Cover!$D$6,"fdd/view?i=",J2614)</f>
        <v>https://www.dgiwg.org/FAD/fdd/view?i=102985</v>
      </c>
      <c r="L2614" s="36" t="s">
        <v>26838</v>
      </c>
      <c r="M2614" s="186"/>
      <c r="N2614" s="186"/>
      <c r="O2614" s="172"/>
    </row>
    <row r="2615" spans="1:15" ht="25.5" x14ac:dyDescent="0.2">
      <c r="A2615" s="190" t="str">
        <f t="shared" si="40"/>
        <v>CouCode_heading</v>
      </c>
      <c r="B2615" s="414" t="str">
        <f>HYPERLINK("[#]Datatypes!A382:L382","CouCode")</f>
        <v>CouCode</v>
      </c>
      <c r="C2615" s="415" t="s">
        <v>14947</v>
      </c>
      <c r="D2615" s="221" t="s">
        <v>26840</v>
      </c>
      <c r="E2615" s="221">
        <v>1</v>
      </c>
      <c r="F2615" s="222" t="s">
        <v>26841</v>
      </c>
      <c r="G2615" s="223" t="s">
        <v>26842</v>
      </c>
      <c r="H2615" s="224"/>
      <c r="I2615" s="345"/>
      <c r="J2615" s="39">
        <v>115381</v>
      </c>
      <c r="K2615" s="36" t="str">
        <f>CONCATENATE(Cover!$D$6,"fdd/view?i=",J2615)</f>
        <v>https://www.dgiwg.org/FAD/fdd/view?i=115381</v>
      </c>
      <c r="L2615" s="36" t="s">
        <v>26843</v>
      </c>
      <c r="M2615" s="186"/>
      <c r="N2615" s="186"/>
      <c r="O2615" s="13" t="s">
        <v>26839</v>
      </c>
    </row>
    <row r="2616" spans="1:15" ht="25.5" x14ac:dyDescent="0.2">
      <c r="A2616" s="197" t="str">
        <f t="shared" si="40"/>
        <v>CouCode_magneticBearing</v>
      </c>
      <c r="B2616" s="409"/>
      <c r="C2616" s="416"/>
      <c r="D2616" s="198" t="s">
        <v>10135</v>
      </c>
      <c r="E2616" s="198">
        <v>2</v>
      </c>
      <c r="F2616" s="199" t="s">
        <v>10137</v>
      </c>
      <c r="G2616" s="1" t="s">
        <v>21853</v>
      </c>
      <c r="H2616" s="200"/>
      <c r="I2616" s="346"/>
      <c r="J2616" s="39">
        <v>115382</v>
      </c>
      <c r="K2616" s="36" t="str">
        <f>CONCATENATE(Cover!$D$6,"fdd/view?i=",J2616)</f>
        <v>https://www.dgiwg.org/FAD/fdd/view?i=115382</v>
      </c>
      <c r="L2616" s="36" t="s">
        <v>26845</v>
      </c>
      <c r="M2616" s="186"/>
      <c r="N2616" s="186"/>
      <c r="O2616" s="13" t="s">
        <v>26844</v>
      </c>
    </row>
    <row r="2617" spans="1:15" ht="38.25" x14ac:dyDescent="0.2">
      <c r="A2617" s="197" t="str">
        <f t="shared" si="40"/>
        <v>CouCode_magneticTrack</v>
      </c>
      <c r="B2617" s="409"/>
      <c r="C2617" s="416"/>
      <c r="D2617" s="198" t="s">
        <v>10151</v>
      </c>
      <c r="E2617" s="198">
        <v>3</v>
      </c>
      <c r="F2617" s="199" t="s">
        <v>10153</v>
      </c>
      <c r="G2617" s="1" t="s">
        <v>26847</v>
      </c>
      <c r="H2617" s="200"/>
      <c r="I2617" s="346"/>
      <c r="J2617" s="39">
        <v>115383</v>
      </c>
      <c r="K2617" s="36" t="str">
        <f>CONCATENATE(Cover!$D$6,"fdd/view?i=",J2617)</f>
        <v>https://www.dgiwg.org/FAD/fdd/view?i=115383</v>
      </c>
      <c r="L2617" s="36" t="s">
        <v>26848</v>
      </c>
      <c r="M2617" s="186"/>
      <c r="N2617" s="186"/>
      <c r="O2617" s="13" t="s">
        <v>26846</v>
      </c>
    </row>
    <row r="2618" spans="1:15" ht="25.5" x14ac:dyDescent="0.2">
      <c r="A2618" s="197" t="str">
        <f t="shared" si="40"/>
        <v>CouCode_trueBearing</v>
      </c>
      <c r="B2618" s="409"/>
      <c r="C2618" s="416"/>
      <c r="D2618" s="198" t="s">
        <v>13826</v>
      </c>
      <c r="E2618" s="198">
        <v>4</v>
      </c>
      <c r="F2618" s="199" t="s">
        <v>13828</v>
      </c>
      <c r="G2618" s="1" t="s">
        <v>26850</v>
      </c>
      <c r="H2618" s="200"/>
      <c r="I2618" s="346"/>
      <c r="J2618" s="39">
        <v>115384</v>
      </c>
      <c r="K2618" s="36" t="str">
        <f>CONCATENATE(Cover!$D$6,"fdd/view?i=",J2618)</f>
        <v>https://www.dgiwg.org/FAD/fdd/view?i=115384</v>
      </c>
      <c r="L2618" s="36" t="s">
        <v>26851</v>
      </c>
      <c r="M2618" s="186"/>
      <c r="N2618" s="186"/>
      <c r="O2618" s="13" t="s">
        <v>26849</v>
      </c>
    </row>
    <row r="2619" spans="1:15" ht="38.25" x14ac:dyDescent="0.2">
      <c r="A2619" s="197" t="str">
        <f t="shared" si="40"/>
        <v>CouCode_trueTrack</v>
      </c>
      <c r="B2619" s="409"/>
      <c r="C2619" s="416"/>
      <c r="D2619" s="198" t="s">
        <v>13843</v>
      </c>
      <c r="E2619" s="198">
        <v>5</v>
      </c>
      <c r="F2619" s="199" t="s">
        <v>13845</v>
      </c>
      <c r="G2619" s="1" t="s">
        <v>26853</v>
      </c>
      <c r="H2619" s="200"/>
      <c r="I2619" s="346"/>
      <c r="J2619" s="39">
        <v>115385</v>
      </c>
      <c r="K2619" s="36" t="str">
        <f>CONCATENATE(Cover!$D$6,"fdd/view?i=",J2619)</f>
        <v>https://www.dgiwg.org/FAD/fdd/view?i=115385</v>
      </c>
      <c r="L2619" s="36" t="s">
        <v>26854</v>
      </c>
      <c r="M2619" s="186"/>
      <c r="N2619" s="186"/>
      <c r="O2619" s="13" t="s">
        <v>26852</v>
      </c>
    </row>
    <row r="2620" spans="1:15" ht="25.5" x14ac:dyDescent="0.2">
      <c r="A2620" s="203" t="str">
        <f t="shared" si="40"/>
        <v>CouCode_vorRadial</v>
      </c>
      <c r="B2620" s="410"/>
      <c r="C2620" s="417"/>
      <c r="D2620" s="204" t="s">
        <v>21859</v>
      </c>
      <c r="E2620" s="204">
        <v>6</v>
      </c>
      <c r="F2620" s="205" t="s">
        <v>21860</v>
      </c>
      <c r="G2620" s="206" t="s">
        <v>21861</v>
      </c>
      <c r="H2620" s="207"/>
      <c r="I2620" s="347"/>
      <c r="J2620" s="39">
        <v>115386</v>
      </c>
      <c r="K2620" s="36" t="str">
        <f>CONCATENATE(Cover!$D$6,"fdd/view?i=",J2620)</f>
        <v>https://www.dgiwg.org/FAD/fdd/view?i=115386</v>
      </c>
      <c r="L2620" s="36" t="s">
        <v>26855</v>
      </c>
      <c r="M2620" s="186"/>
      <c r="N2620" s="186"/>
      <c r="O2620" s="13" t="s">
        <v>21858</v>
      </c>
    </row>
    <row r="2621" spans="1:15" x14ac:dyDescent="0.2">
      <c r="A2621" s="190" t="str">
        <f t="shared" si="40"/>
        <v>CctCode_complete</v>
      </c>
      <c r="B2621" s="414" t="str">
        <f>HYPERLINK("[#]Datatypes!A384:L384","CctCode")</f>
        <v>CctCode</v>
      </c>
      <c r="C2621" s="415" t="s">
        <v>14949</v>
      </c>
      <c r="D2621" s="221" t="s">
        <v>26856</v>
      </c>
      <c r="E2621" s="221">
        <v>4</v>
      </c>
      <c r="F2621" s="222" t="s">
        <v>26857</v>
      </c>
      <c r="G2621" s="223" t="s">
        <v>26858</v>
      </c>
      <c r="H2621" s="224"/>
      <c r="I2621" s="352" t="s">
        <v>24519</v>
      </c>
      <c r="J2621" s="39">
        <v>106724</v>
      </c>
      <c r="K2621" s="36" t="str">
        <f>CONCATENATE(Cover!$D$6,"fdd/view?i=",J2621)</f>
        <v>https://www.dgiwg.org/FAD/fdd/view?i=106724</v>
      </c>
      <c r="L2621" s="36" t="s">
        <v>26859</v>
      </c>
      <c r="M2621" s="186"/>
      <c r="N2621" s="186"/>
      <c r="O2621" s="172"/>
    </row>
    <row r="2622" spans="1:15" ht="25.5" x14ac:dyDescent="0.2">
      <c r="A2622" s="197" t="str">
        <f t="shared" si="40"/>
        <v>CctCode_moveable</v>
      </c>
      <c r="B2622" s="409"/>
      <c r="C2622" s="416"/>
      <c r="D2622" s="198" t="s">
        <v>26860</v>
      </c>
      <c r="E2622" s="198">
        <v>3</v>
      </c>
      <c r="F2622" s="199" t="s">
        <v>24479</v>
      </c>
      <c r="G2622" s="1" t="s">
        <v>26861</v>
      </c>
      <c r="H2622" s="1" t="s">
        <v>26862</v>
      </c>
      <c r="I2622" s="346"/>
      <c r="J2622" s="39">
        <v>106715</v>
      </c>
      <c r="K2622" s="36" t="str">
        <f>CONCATENATE(Cover!$D$6,"fdd/view?i=",J2622)</f>
        <v>https://www.dgiwg.org/FAD/fdd/view?i=106715</v>
      </c>
      <c r="L2622" s="36" t="s">
        <v>26863</v>
      </c>
      <c r="M2622" s="186"/>
      <c r="N2622" s="186"/>
      <c r="O2622" s="172"/>
    </row>
    <row r="2623" spans="1:15" x14ac:dyDescent="0.2">
      <c r="A2623" s="197" t="str">
        <f t="shared" si="40"/>
        <v>CctCode_open</v>
      </c>
      <c r="B2623" s="409"/>
      <c r="C2623" s="416"/>
      <c r="D2623" s="198" t="s">
        <v>16532</v>
      </c>
      <c r="E2623" s="198">
        <v>1</v>
      </c>
      <c r="F2623" s="199" t="s">
        <v>16533</v>
      </c>
      <c r="G2623" s="1" t="s">
        <v>26864</v>
      </c>
      <c r="H2623" s="1" t="s">
        <v>26865</v>
      </c>
      <c r="I2623" s="351" t="s">
        <v>26866</v>
      </c>
      <c r="J2623" s="39">
        <v>106128</v>
      </c>
      <c r="K2623" s="36" t="str">
        <f>CONCATENATE(Cover!$D$6,"fdd/view?i=",J2623)</f>
        <v>https://www.dgiwg.org/FAD/fdd/view?i=106128</v>
      </c>
      <c r="L2623" s="36" t="s">
        <v>26867</v>
      </c>
      <c r="M2623" s="186"/>
      <c r="N2623" s="186"/>
      <c r="O2623" s="172"/>
    </row>
    <row r="2624" spans="1:15" ht="25.5" x14ac:dyDescent="0.2">
      <c r="A2624" s="203" t="str">
        <f t="shared" si="40"/>
        <v>CctCode_partial</v>
      </c>
      <c r="B2624" s="410"/>
      <c r="C2624" s="417"/>
      <c r="D2624" s="204" t="s">
        <v>26868</v>
      </c>
      <c r="E2624" s="204">
        <v>2</v>
      </c>
      <c r="F2624" s="205" t="s">
        <v>26869</v>
      </c>
      <c r="G2624" s="206" t="s">
        <v>26870</v>
      </c>
      <c r="H2624" s="207"/>
      <c r="I2624" s="347"/>
      <c r="J2624" s="39">
        <v>106326</v>
      </c>
      <c r="K2624" s="36" t="str">
        <f>CONCATENATE(Cover!$D$6,"fdd/view?i=",J2624)</f>
        <v>https://www.dgiwg.org/FAD/fdd/view?i=106326</v>
      </c>
      <c r="L2624" s="36" t="s">
        <v>26871</v>
      </c>
      <c r="M2624" s="186"/>
      <c r="N2624" s="186"/>
      <c r="O2624" s="172"/>
    </row>
    <row r="2625" spans="1:15" ht="25.5" x14ac:dyDescent="0.2">
      <c r="A2625" s="190" t="str">
        <f t="shared" si="40"/>
        <v>CrmCode_fixed</v>
      </c>
      <c r="B2625" s="414" t="str">
        <f>HYPERLINK("[#]Datatypes!A386:L386","CrmCode")</f>
        <v>CrmCode</v>
      </c>
      <c r="C2625" s="415" t="s">
        <v>14951</v>
      </c>
      <c r="D2625" s="221" t="s">
        <v>24466</v>
      </c>
      <c r="E2625" s="221">
        <v>1</v>
      </c>
      <c r="F2625" s="222" t="s">
        <v>24467</v>
      </c>
      <c r="G2625" s="223" t="s">
        <v>26872</v>
      </c>
      <c r="H2625" s="224"/>
      <c r="I2625" s="345"/>
      <c r="J2625" s="39">
        <v>103257</v>
      </c>
      <c r="K2625" s="36" t="str">
        <f>CONCATENATE(Cover!$D$6,"fdd/view?i=",J2625)</f>
        <v>https://www.dgiwg.org/FAD/fdd/view?i=103257</v>
      </c>
      <c r="L2625" s="36" t="s">
        <v>26873</v>
      </c>
      <c r="M2625" s="186"/>
      <c r="N2625" s="186"/>
      <c r="O2625" s="172"/>
    </row>
    <row r="2626" spans="1:15" ht="25.5" x14ac:dyDescent="0.2">
      <c r="A2626" s="197" t="str">
        <f t="shared" ref="A2626:A2689" si="41">HYPERLINK(K2626,L2626)</f>
        <v>CrmCode_floating</v>
      </c>
      <c r="B2626" s="409"/>
      <c r="C2626" s="416"/>
      <c r="D2626" s="198" t="s">
        <v>8791</v>
      </c>
      <c r="E2626" s="198">
        <v>3</v>
      </c>
      <c r="F2626" s="199" t="s">
        <v>8793</v>
      </c>
      <c r="G2626" s="1" t="s">
        <v>26874</v>
      </c>
      <c r="H2626" s="1" t="s">
        <v>26875</v>
      </c>
      <c r="I2626" s="346"/>
      <c r="J2626" s="39">
        <v>103259</v>
      </c>
      <c r="K2626" s="36" t="str">
        <f>CONCATENATE(Cover!$D$6,"fdd/view?i=",J2626)</f>
        <v>https://www.dgiwg.org/FAD/fdd/view?i=103259</v>
      </c>
      <c r="L2626" s="36" t="s">
        <v>26876</v>
      </c>
      <c r="M2626" s="186"/>
      <c r="N2626" s="186"/>
      <c r="O2626" s="172"/>
    </row>
    <row r="2627" spans="1:15" ht="38.25" x14ac:dyDescent="0.2">
      <c r="A2627" s="197" t="str">
        <f t="shared" si="41"/>
        <v>CrmCode_mobile</v>
      </c>
      <c r="B2627" s="409"/>
      <c r="C2627" s="416"/>
      <c r="D2627" s="198" t="s">
        <v>26877</v>
      </c>
      <c r="E2627" s="198">
        <v>4</v>
      </c>
      <c r="F2627" s="199" t="s">
        <v>26878</v>
      </c>
      <c r="G2627" s="1" t="s">
        <v>26879</v>
      </c>
      <c r="H2627" s="1" t="s">
        <v>26880</v>
      </c>
      <c r="I2627" s="346"/>
      <c r="J2627" s="39">
        <v>110110</v>
      </c>
      <c r="K2627" s="36" t="str">
        <f>CONCATENATE(Cover!$D$6,"fdd/view?i=",J2627)</f>
        <v>https://www.dgiwg.org/FAD/fdd/view?i=110110</v>
      </c>
      <c r="L2627" s="36" t="s">
        <v>26881</v>
      </c>
      <c r="M2627" s="186"/>
      <c r="N2627" s="186"/>
      <c r="O2627" s="172"/>
    </row>
    <row r="2628" spans="1:15" ht="25.5" x14ac:dyDescent="0.2">
      <c r="A2628" s="203" t="str">
        <f t="shared" si="41"/>
        <v>CrmCode_travelling</v>
      </c>
      <c r="B2628" s="410"/>
      <c r="C2628" s="417"/>
      <c r="D2628" s="204" t="s">
        <v>26882</v>
      </c>
      <c r="E2628" s="204">
        <v>2</v>
      </c>
      <c r="F2628" s="205" t="s">
        <v>26883</v>
      </c>
      <c r="G2628" s="206" t="s">
        <v>26884</v>
      </c>
      <c r="H2628" s="206" t="s">
        <v>26885</v>
      </c>
      <c r="I2628" s="353" t="s">
        <v>26886</v>
      </c>
      <c r="J2628" s="39">
        <v>103258</v>
      </c>
      <c r="K2628" s="36" t="str">
        <f>CONCATENATE(Cover!$D$6,"fdd/view?i=",J2628)</f>
        <v>https://www.dgiwg.org/FAD/fdd/view?i=103258</v>
      </c>
      <c r="L2628" s="36" t="s">
        <v>26887</v>
      </c>
      <c r="M2628" s="186"/>
      <c r="N2628" s="186"/>
      <c r="O2628" s="172"/>
    </row>
    <row r="2629" spans="1:15" ht="38.25" x14ac:dyDescent="0.2">
      <c r="A2629" s="190" t="str">
        <f t="shared" si="41"/>
        <v>CraCode_bridgeCrane</v>
      </c>
      <c r="B2629" s="414" t="str">
        <f>HYPERLINK("[#]Datatypes!A388:L388","CraCode")</f>
        <v>CraCode</v>
      </c>
      <c r="C2629" s="415" t="s">
        <v>14953</v>
      </c>
      <c r="D2629" s="221" t="s">
        <v>26888</v>
      </c>
      <c r="E2629" s="221">
        <v>2</v>
      </c>
      <c r="F2629" s="222" t="s">
        <v>26889</v>
      </c>
      <c r="G2629" s="223" t="s">
        <v>26890</v>
      </c>
      <c r="H2629" s="224"/>
      <c r="I2629" s="352" t="s">
        <v>26891</v>
      </c>
      <c r="J2629" s="39">
        <v>103239</v>
      </c>
      <c r="K2629" s="36" t="str">
        <f>CONCATENATE(Cover!$D$6,"fdd/view?i=",J2629)</f>
        <v>https://www.dgiwg.org/FAD/fdd/view?i=103239</v>
      </c>
      <c r="L2629" s="36" t="s">
        <v>26892</v>
      </c>
      <c r="M2629" s="186"/>
      <c r="N2629" s="186"/>
      <c r="O2629" s="172"/>
    </row>
    <row r="2630" spans="1:15" ht="25.5" x14ac:dyDescent="0.2">
      <c r="A2630" s="197" t="str">
        <f t="shared" si="41"/>
        <v>CraCode_containerCrane</v>
      </c>
      <c r="B2630" s="409"/>
      <c r="C2630" s="416"/>
      <c r="D2630" s="198" t="s">
        <v>26893</v>
      </c>
      <c r="E2630" s="198">
        <v>99</v>
      </c>
      <c r="F2630" s="199" t="s">
        <v>26894</v>
      </c>
      <c r="G2630" s="1" t="s">
        <v>26895</v>
      </c>
      <c r="H2630" s="200"/>
      <c r="I2630" s="346"/>
      <c r="J2630" s="39">
        <v>103245</v>
      </c>
      <c r="K2630" s="36" t="str">
        <f>CONCATENATE(Cover!$D$6,"fdd/view?i=",J2630)</f>
        <v>https://www.dgiwg.org/FAD/fdd/view?i=103245</v>
      </c>
      <c r="L2630" s="36" t="s">
        <v>26896</v>
      </c>
      <c r="M2630" s="186"/>
      <c r="N2630" s="186"/>
      <c r="O2630" s="172"/>
    </row>
    <row r="2631" spans="1:15" ht="25.5" x14ac:dyDescent="0.2">
      <c r="A2631" s="197" t="str">
        <f t="shared" si="41"/>
        <v>CraCode_rotatingCrane</v>
      </c>
      <c r="B2631" s="409"/>
      <c r="C2631" s="416"/>
      <c r="D2631" s="198" t="s">
        <v>26897</v>
      </c>
      <c r="E2631" s="198">
        <v>3</v>
      </c>
      <c r="F2631" s="199" t="s">
        <v>26898</v>
      </c>
      <c r="G2631" s="1" t="s">
        <v>26899</v>
      </c>
      <c r="H2631" s="200"/>
      <c r="I2631" s="346"/>
      <c r="J2631" s="39">
        <v>103240</v>
      </c>
      <c r="K2631" s="36" t="str">
        <f>CONCATENATE(Cover!$D$6,"fdd/view?i=",J2631)</f>
        <v>https://www.dgiwg.org/FAD/fdd/view?i=103240</v>
      </c>
      <c r="L2631" s="36" t="s">
        <v>26900</v>
      </c>
      <c r="M2631" s="186"/>
      <c r="N2631" s="186"/>
      <c r="O2631" s="172"/>
    </row>
    <row r="2632" spans="1:15" ht="38.25" x14ac:dyDescent="0.2">
      <c r="A2632" s="197" t="str">
        <f t="shared" si="41"/>
        <v>CraCode_shearLegs</v>
      </c>
      <c r="B2632" s="409"/>
      <c r="C2632" s="416"/>
      <c r="D2632" s="198" t="s">
        <v>26901</v>
      </c>
      <c r="E2632" s="198">
        <v>8</v>
      </c>
      <c r="F2632" s="199" t="s">
        <v>26902</v>
      </c>
      <c r="G2632" s="1" t="s">
        <v>5000</v>
      </c>
      <c r="H2632" s="200"/>
      <c r="I2632" s="346"/>
      <c r="J2632" s="39">
        <v>118513</v>
      </c>
      <c r="K2632" s="36" t="str">
        <f>CONCATENATE(Cover!$D$6,"fdd/view?i=",J2632)</f>
        <v>https://www.dgiwg.org/FAD/fdd/view?i=118513</v>
      </c>
      <c r="L2632" s="36" t="s">
        <v>26903</v>
      </c>
      <c r="M2632" s="186"/>
      <c r="N2632" s="186"/>
      <c r="O2632" s="172"/>
    </row>
    <row r="2633" spans="1:15" ht="25.5" x14ac:dyDescent="0.2">
      <c r="A2633" s="203" t="str">
        <f t="shared" si="41"/>
        <v>CraCode_towerCrane</v>
      </c>
      <c r="B2633" s="410"/>
      <c r="C2633" s="417"/>
      <c r="D2633" s="204" t="s">
        <v>26904</v>
      </c>
      <c r="E2633" s="204">
        <v>7</v>
      </c>
      <c r="F2633" s="205" t="s">
        <v>26905</v>
      </c>
      <c r="G2633" s="206" t="s">
        <v>26906</v>
      </c>
      <c r="H2633" s="207"/>
      <c r="I2633" s="347"/>
      <c r="J2633" s="39">
        <v>103244</v>
      </c>
      <c r="K2633" s="36" t="str">
        <f>CONCATENATE(Cover!$D$6,"fdd/view?i=",J2633)</f>
        <v>https://www.dgiwg.org/FAD/fdd/view?i=103244</v>
      </c>
      <c r="L2633" s="36" t="s">
        <v>26907</v>
      </c>
      <c r="M2633" s="186"/>
      <c r="N2633" s="186"/>
      <c r="O2633" s="172"/>
    </row>
    <row r="2634" spans="1:15" ht="38.25" x14ac:dyDescent="0.2">
      <c r="A2634" s="190" t="str">
        <f t="shared" si="41"/>
        <v>CrtCode_bomb</v>
      </c>
      <c r="B2634" s="414" t="str">
        <f>HYPERLINK("[#]Datatypes!A390:L390","CrtCode")</f>
        <v>CrtCode</v>
      </c>
      <c r="C2634" s="415" t="s">
        <v>14955</v>
      </c>
      <c r="D2634" s="221" t="s">
        <v>26908</v>
      </c>
      <c r="E2634" s="221">
        <v>3</v>
      </c>
      <c r="F2634" s="222" t="s">
        <v>26909</v>
      </c>
      <c r="G2634" s="223" t="s">
        <v>26910</v>
      </c>
      <c r="H2634" s="224"/>
      <c r="I2634" s="345"/>
      <c r="J2634" s="39">
        <v>103266</v>
      </c>
      <c r="K2634" s="36" t="str">
        <f>CONCATENATE(Cover!$D$6,"fdd/view?i=",J2634)</f>
        <v>https://www.dgiwg.org/FAD/fdd/view?i=103266</v>
      </c>
      <c r="L2634" s="36" t="s">
        <v>26911</v>
      </c>
      <c r="M2634" s="186"/>
      <c r="N2634" s="186"/>
      <c r="O2634" s="172"/>
    </row>
    <row r="2635" spans="1:15" x14ac:dyDescent="0.2">
      <c r="A2635" s="197" t="str">
        <f t="shared" si="41"/>
        <v>CrtCode_caldera</v>
      </c>
      <c r="B2635" s="409"/>
      <c r="C2635" s="416"/>
      <c r="D2635" s="198" t="s">
        <v>26912</v>
      </c>
      <c r="E2635" s="198">
        <v>1</v>
      </c>
      <c r="F2635" s="199" t="s">
        <v>26913</v>
      </c>
      <c r="G2635" s="1" t="s">
        <v>26914</v>
      </c>
      <c r="H2635" s="200"/>
      <c r="I2635" s="346"/>
      <c r="J2635" s="39">
        <v>103264</v>
      </c>
      <c r="K2635" s="36" t="str">
        <f>CONCATENATE(Cover!$D$6,"fdd/view?i=",J2635)</f>
        <v>https://www.dgiwg.org/FAD/fdd/view?i=103264</v>
      </c>
      <c r="L2635" s="36" t="s">
        <v>26915</v>
      </c>
      <c r="M2635" s="186"/>
      <c r="N2635" s="186"/>
      <c r="O2635" s="172"/>
    </row>
    <row r="2636" spans="1:15" ht="25.5" x14ac:dyDescent="0.2">
      <c r="A2636" s="197" t="str">
        <f t="shared" si="41"/>
        <v>CrtCode_collapse</v>
      </c>
      <c r="B2636" s="409"/>
      <c r="C2636" s="416"/>
      <c r="D2636" s="198" t="s">
        <v>26916</v>
      </c>
      <c r="E2636" s="198">
        <v>4</v>
      </c>
      <c r="F2636" s="199" t="s">
        <v>26917</v>
      </c>
      <c r="G2636" s="1" t="s">
        <v>26918</v>
      </c>
      <c r="H2636" s="200"/>
      <c r="I2636" s="346"/>
      <c r="J2636" s="39">
        <v>103267</v>
      </c>
      <c r="K2636" s="36" t="str">
        <f>CONCATENATE(Cover!$D$6,"fdd/view?i=",J2636)</f>
        <v>https://www.dgiwg.org/FAD/fdd/view?i=103267</v>
      </c>
      <c r="L2636" s="36" t="s">
        <v>26919</v>
      </c>
      <c r="M2636" s="186"/>
      <c r="N2636" s="186"/>
      <c r="O2636" s="172"/>
    </row>
    <row r="2637" spans="1:15" ht="25.5" x14ac:dyDescent="0.2">
      <c r="A2637" s="197" t="str">
        <f t="shared" si="41"/>
        <v>CrtCode_impact</v>
      </c>
      <c r="B2637" s="409"/>
      <c r="C2637" s="416"/>
      <c r="D2637" s="198" t="s">
        <v>26920</v>
      </c>
      <c r="E2637" s="198">
        <v>2</v>
      </c>
      <c r="F2637" s="199" t="s">
        <v>26921</v>
      </c>
      <c r="G2637" s="1" t="s">
        <v>26922</v>
      </c>
      <c r="H2637" s="200"/>
      <c r="I2637" s="346"/>
      <c r="J2637" s="39">
        <v>103265</v>
      </c>
      <c r="K2637" s="36" t="str">
        <f>CONCATENATE(Cover!$D$6,"fdd/view?i=",J2637)</f>
        <v>https://www.dgiwg.org/FAD/fdd/view?i=103265</v>
      </c>
      <c r="L2637" s="36" t="s">
        <v>26923</v>
      </c>
      <c r="M2637" s="186"/>
      <c r="N2637" s="186"/>
      <c r="O2637" s="172"/>
    </row>
    <row r="2638" spans="1:15" ht="25.5" x14ac:dyDescent="0.2">
      <c r="A2638" s="203" t="str">
        <f t="shared" si="41"/>
        <v>CrtCode_volcanicEruption</v>
      </c>
      <c r="B2638" s="410"/>
      <c r="C2638" s="417"/>
      <c r="D2638" s="204" t="s">
        <v>26924</v>
      </c>
      <c r="E2638" s="204">
        <v>5</v>
      </c>
      <c r="F2638" s="205" t="s">
        <v>26925</v>
      </c>
      <c r="G2638" s="206" t="s">
        <v>26926</v>
      </c>
      <c r="H2638" s="207"/>
      <c r="I2638" s="347"/>
      <c r="J2638" s="39">
        <v>103268</v>
      </c>
      <c r="K2638" s="36" t="str">
        <f>CONCATENATE(Cover!$D$6,"fdd/view?i=",J2638)</f>
        <v>https://www.dgiwg.org/FAD/fdd/view?i=103268</v>
      </c>
      <c r="L2638" s="36" t="s">
        <v>26927</v>
      </c>
      <c r="M2638" s="186"/>
      <c r="N2638" s="186"/>
      <c r="O2638" s="172"/>
    </row>
    <row r="2639" spans="1:15" ht="25.5" x14ac:dyDescent="0.2">
      <c r="A2639" s="190" t="str">
        <f t="shared" si="41"/>
        <v>CinCode_handToHandInjuries</v>
      </c>
      <c r="B2639" s="414" t="str">
        <f>HYPERLINK("[#]Datatypes!A394:L394","CinCode")</f>
        <v>CinCode</v>
      </c>
      <c r="C2639" s="415" t="s">
        <v>14959</v>
      </c>
      <c r="D2639" s="221" t="s">
        <v>26928</v>
      </c>
      <c r="E2639" s="221">
        <v>3</v>
      </c>
      <c r="F2639" s="222" t="s">
        <v>26929</v>
      </c>
      <c r="G2639" s="223" t="s">
        <v>26930</v>
      </c>
      <c r="H2639" s="224"/>
      <c r="I2639" s="345"/>
      <c r="J2639" s="39">
        <v>112642</v>
      </c>
      <c r="K2639" s="36" t="str">
        <f>CONCATENATE(Cover!$D$6,"fdd/view?i=",J2639)</f>
        <v>https://www.dgiwg.org/FAD/fdd/view?i=112642</v>
      </c>
      <c r="L2639" s="36" t="s">
        <v>26931</v>
      </c>
      <c r="M2639" s="186"/>
      <c r="N2639" s="186"/>
      <c r="O2639" s="172"/>
    </row>
    <row r="2640" spans="1:15" ht="25.5" x14ac:dyDescent="0.2">
      <c r="A2640" s="197" t="str">
        <f t="shared" si="41"/>
        <v>CinCode_shot</v>
      </c>
      <c r="B2640" s="409"/>
      <c r="C2640" s="416"/>
      <c r="D2640" s="198" t="s">
        <v>26932</v>
      </c>
      <c r="E2640" s="198">
        <v>2</v>
      </c>
      <c r="F2640" s="199" t="s">
        <v>26933</v>
      </c>
      <c r="G2640" s="1" t="s">
        <v>26934</v>
      </c>
      <c r="H2640" s="200"/>
      <c r="I2640" s="346"/>
      <c r="J2640" s="39">
        <v>112640</v>
      </c>
      <c r="K2640" s="36" t="str">
        <f>CONCATENATE(Cover!$D$6,"fdd/view?i=",J2640)</f>
        <v>https://www.dgiwg.org/FAD/fdd/view?i=112640</v>
      </c>
      <c r="L2640" s="36" t="s">
        <v>26935</v>
      </c>
      <c r="M2640" s="186"/>
      <c r="N2640" s="186"/>
      <c r="O2640" s="172"/>
    </row>
    <row r="2641" spans="1:15" x14ac:dyDescent="0.2">
      <c r="A2641" s="197" t="str">
        <f t="shared" si="41"/>
        <v>CinCode_stabbed</v>
      </c>
      <c r="B2641" s="409"/>
      <c r="C2641" s="416"/>
      <c r="D2641" s="198" t="s">
        <v>26936</v>
      </c>
      <c r="E2641" s="198">
        <v>1</v>
      </c>
      <c r="F2641" s="199" t="s">
        <v>26937</v>
      </c>
      <c r="G2641" s="1" t="s">
        <v>26938</v>
      </c>
      <c r="H2641" s="200"/>
      <c r="I2641" s="346"/>
      <c r="J2641" s="39">
        <v>112638</v>
      </c>
      <c r="K2641" s="36" t="str">
        <f>CONCATENATE(Cover!$D$6,"fdd/view?i=",J2641)</f>
        <v>https://www.dgiwg.org/FAD/fdd/view?i=112638</v>
      </c>
      <c r="L2641" s="36" t="s">
        <v>26939</v>
      </c>
      <c r="M2641" s="186"/>
      <c r="N2641" s="186"/>
      <c r="O2641" s="172"/>
    </row>
    <row r="2642" spans="1:15" x14ac:dyDescent="0.2">
      <c r="A2642" s="203" t="str">
        <f t="shared" si="41"/>
        <v>CinCode_unharmed</v>
      </c>
      <c r="B2642" s="410"/>
      <c r="C2642" s="417"/>
      <c r="D2642" s="204" t="s">
        <v>26940</v>
      </c>
      <c r="E2642" s="204">
        <v>4</v>
      </c>
      <c r="F2642" s="205" t="s">
        <v>26941</v>
      </c>
      <c r="G2642" s="206" t="s">
        <v>26942</v>
      </c>
      <c r="H2642" s="207"/>
      <c r="I2642" s="347"/>
      <c r="J2642" s="39">
        <v>112644</v>
      </c>
      <c r="K2642" s="36" t="str">
        <f>CONCATENATE(Cover!$D$6,"fdd/view?i=",J2642)</f>
        <v>https://www.dgiwg.org/FAD/fdd/view?i=112644</v>
      </c>
      <c r="L2642" s="36" t="s">
        <v>26943</v>
      </c>
      <c r="M2642" s="186"/>
      <c r="N2642" s="186"/>
      <c r="O2642" s="172"/>
    </row>
    <row r="2643" spans="1:15" ht="25.5" x14ac:dyDescent="0.2">
      <c r="A2643" s="190" t="str">
        <f t="shared" si="41"/>
        <v>CspCode_alfalfa</v>
      </c>
      <c r="B2643" s="414" t="str">
        <f>HYPERLINK("[#]Datatypes!A396:L396","CspCode")</f>
        <v>CspCode</v>
      </c>
      <c r="C2643" s="415" t="s">
        <v>14961</v>
      </c>
      <c r="D2643" s="221" t="s">
        <v>26944</v>
      </c>
      <c r="E2643" s="221">
        <v>49</v>
      </c>
      <c r="F2643" s="222" t="s">
        <v>26945</v>
      </c>
      <c r="G2643" s="223" t="s">
        <v>26946</v>
      </c>
      <c r="H2643" s="224"/>
      <c r="I2643" s="345"/>
      <c r="J2643" s="39">
        <v>110928</v>
      </c>
      <c r="K2643" s="36" t="str">
        <f>CONCATENATE(Cover!$D$6,"fdd/view?i=",J2643)</f>
        <v>https://www.dgiwg.org/FAD/fdd/view?i=110928</v>
      </c>
      <c r="L2643" s="36" t="s">
        <v>26947</v>
      </c>
      <c r="M2643" s="186"/>
      <c r="N2643" s="186"/>
      <c r="O2643" s="172"/>
    </row>
    <row r="2644" spans="1:15" ht="25.5" x14ac:dyDescent="0.2">
      <c r="A2644" s="197" t="str">
        <f t="shared" si="41"/>
        <v>CspCode_almond</v>
      </c>
      <c r="B2644" s="409"/>
      <c r="C2644" s="416"/>
      <c r="D2644" s="198" t="s">
        <v>26948</v>
      </c>
      <c r="E2644" s="198">
        <v>1</v>
      </c>
      <c r="F2644" s="199" t="s">
        <v>26949</v>
      </c>
      <c r="G2644" s="1" t="s">
        <v>26950</v>
      </c>
      <c r="H2644" s="1" t="s">
        <v>26951</v>
      </c>
      <c r="I2644" s="346"/>
      <c r="J2644" s="39">
        <v>110114</v>
      </c>
      <c r="K2644" s="36" t="str">
        <f>CONCATENATE(Cover!$D$6,"fdd/view?i=",J2644)</f>
        <v>https://www.dgiwg.org/FAD/fdd/view?i=110114</v>
      </c>
      <c r="L2644" s="36" t="s">
        <v>26952</v>
      </c>
      <c r="M2644" s="186"/>
      <c r="N2644" s="186"/>
      <c r="O2644" s="172"/>
    </row>
    <row r="2645" spans="1:15" ht="38.25" x14ac:dyDescent="0.2">
      <c r="A2645" s="197" t="str">
        <f t="shared" si="41"/>
        <v>CspCode_aloe</v>
      </c>
      <c r="B2645" s="409"/>
      <c r="C2645" s="416"/>
      <c r="D2645" s="198" t="s">
        <v>26953</v>
      </c>
      <c r="E2645" s="198">
        <v>50</v>
      </c>
      <c r="F2645" s="199" t="s">
        <v>26954</v>
      </c>
      <c r="G2645" s="1" t="s">
        <v>26955</v>
      </c>
      <c r="H2645" s="200"/>
      <c r="I2645" s="346"/>
      <c r="J2645" s="39">
        <v>110929</v>
      </c>
      <c r="K2645" s="36" t="str">
        <f>CONCATENATE(Cover!$D$6,"fdd/view?i=",J2645)</f>
        <v>https://www.dgiwg.org/FAD/fdd/view?i=110929</v>
      </c>
      <c r="L2645" s="36" t="s">
        <v>26956</v>
      </c>
      <c r="M2645" s="186"/>
      <c r="N2645" s="186"/>
      <c r="O2645" s="172"/>
    </row>
    <row r="2646" spans="1:15" ht="25.5" x14ac:dyDescent="0.2">
      <c r="A2646" s="197" t="str">
        <f t="shared" si="41"/>
        <v>CspCode_apple</v>
      </c>
      <c r="B2646" s="409"/>
      <c r="C2646" s="416"/>
      <c r="D2646" s="198" t="s">
        <v>26957</v>
      </c>
      <c r="E2646" s="198">
        <v>2</v>
      </c>
      <c r="F2646" s="199" t="s">
        <v>26958</v>
      </c>
      <c r="G2646" s="1" t="s">
        <v>26959</v>
      </c>
      <c r="H2646" s="1" t="s">
        <v>26960</v>
      </c>
      <c r="I2646" s="346"/>
      <c r="J2646" s="39">
        <v>110115</v>
      </c>
      <c r="K2646" s="36" t="str">
        <f>CONCATENATE(Cover!$D$6,"fdd/view?i=",J2646)</f>
        <v>https://www.dgiwg.org/FAD/fdd/view?i=110115</v>
      </c>
      <c r="L2646" s="36" t="s">
        <v>26961</v>
      </c>
      <c r="M2646" s="186"/>
      <c r="N2646" s="186"/>
      <c r="O2646" s="172"/>
    </row>
    <row r="2647" spans="1:15" ht="25.5" x14ac:dyDescent="0.2">
      <c r="A2647" s="197" t="str">
        <f t="shared" si="41"/>
        <v>CspCode_apricot</v>
      </c>
      <c r="B2647" s="409"/>
      <c r="C2647" s="416"/>
      <c r="D2647" s="198" t="s">
        <v>26962</v>
      </c>
      <c r="E2647" s="198">
        <v>51</v>
      </c>
      <c r="F2647" s="199" t="s">
        <v>26963</v>
      </c>
      <c r="G2647" s="1" t="s">
        <v>26964</v>
      </c>
      <c r="H2647" s="1" t="s">
        <v>26965</v>
      </c>
      <c r="I2647" s="346"/>
      <c r="J2647" s="39">
        <v>110930</v>
      </c>
      <c r="K2647" s="36" t="str">
        <f>CONCATENATE(Cover!$D$6,"fdd/view?i=",J2647)</f>
        <v>https://www.dgiwg.org/FAD/fdd/view?i=110930</v>
      </c>
      <c r="L2647" s="36" t="s">
        <v>26966</v>
      </c>
      <c r="M2647" s="186"/>
      <c r="N2647" s="186"/>
      <c r="O2647" s="172"/>
    </row>
    <row r="2648" spans="1:15" ht="25.5" x14ac:dyDescent="0.2">
      <c r="A2648" s="197" t="str">
        <f t="shared" si="41"/>
        <v>CspCode_artichoke</v>
      </c>
      <c r="B2648" s="409"/>
      <c r="C2648" s="416"/>
      <c r="D2648" s="198" t="s">
        <v>26967</v>
      </c>
      <c r="E2648" s="198">
        <v>52</v>
      </c>
      <c r="F2648" s="199" t="s">
        <v>26968</v>
      </c>
      <c r="G2648" s="1" t="s">
        <v>26969</v>
      </c>
      <c r="H2648" s="1" t="s">
        <v>26970</v>
      </c>
      <c r="I2648" s="346"/>
      <c r="J2648" s="39">
        <v>110931</v>
      </c>
      <c r="K2648" s="36" t="str">
        <f>CONCATENATE(Cover!$D$6,"fdd/view?i=",J2648)</f>
        <v>https://www.dgiwg.org/FAD/fdd/view?i=110931</v>
      </c>
      <c r="L2648" s="36" t="s">
        <v>26971</v>
      </c>
      <c r="M2648" s="186"/>
      <c r="N2648" s="186"/>
      <c r="O2648" s="172"/>
    </row>
    <row r="2649" spans="1:15" ht="25.5" x14ac:dyDescent="0.2">
      <c r="A2649" s="197" t="str">
        <f t="shared" si="41"/>
        <v>CspCode_asparagus</v>
      </c>
      <c r="B2649" s="409"/>
      <c r="C2649" s="416"/>
      <c r="D2649" s="198" t="s">
        <v>26972</v>
      </c>
      <c r="E2649" s="198">
        <v>53</v>
      </c>
      <c r="F2649" s="199" t="s">
        <v>26973</v>
      </c>
      <c r="G2649" s="1" t="s">
        <v>26974</v>
      </c>
      <c r="H2649" s="1" t="s">
        <v>26975</v>
      </c>
      <c r="I2649" s="346"/>
      <c r="J2649" s="39">
        <v>110932</v>
      </c>
      <c r="K2649" s="36" t="str">
        <f>CONCATENATE(Cover!$D$6,"fdd/view?i=",J2649)</f>
        <v>https://www.dgiwg.org/FAD/fdd/view?i=110932</v>
      </c>
      <c r="L2649" s="36" t="s">
        <v>26976</v>
      </c>
      <c r="M2649" s="186"/>
      <c r="N2649" s="186"/>
      <c r="O2649" s="172"/>
    </row>
    <row r="2650" spans="1:15" ht="25.5" x14ac:dyDescent="0.2">
      <c r="A2650" s="197" t="str">
        <f t="shared" si="41"/>
        <v>CspCode_avocado</v>
      </c>
      <c r="B2650" s="409"/>
      <c r="C2650" s="416"/>
      <c r="D2650" s="198" t="s">
        <v>26977</v>
      </c>
      <c r="E2650" s="198">
        <v>54</v>
      </c>
      <c r="F2650" s="199" t="s">
        <v>26978</v>
      </c>
      <c r="G2650" s="1" t="s">
        <v>26979</v>
      </c>
      <c r="H2650" s="1" t="s">
        <v>26980</v>
      </c>
      <c r="I2650" s="346"/>
      <c r="J2650" s="39">
        <v>110933</v>
      </c>
      <c r="K2650" s="36" t="str">
        <f>CONCATENATE(Cover!$D$6,"fdd/view?i=",J2650)</f>
        <v>https://www.dgiwg.org/FAD/fdd/view?i=110933</v>
      </c>
      <c r="L2650" s="36" t="s">
        <v>26981</v>
      </c>
      <c r="M2650" s="186"/>
      <c r="N2650" s="186"/>
      <c r="O2650" s="172"/>
    </row>
    <row r="2651" spans="1:15" ht="25.5" x14ac:dyDescent="0.2">
      <c r="A2651" s="197" t="str">
        <f t="shared" si="41"/>
        <v>CspCode_balsa</v>
      </c>
      <c r="B2651" s="409"/>
      <c r="C2651" s="416"/>
      <c r="D2651" s="198" t="s">
        <v>26982</v>
      </c>
      <c r="E2651" s="198">
        <v>55</v>
      </c>
      <c r="F2651" s="199" t="s">
        <v>26983</v>
      </c>
      <c r="G2651" s="1" t="s">
        <v>26984</v>
      </c>
      <c r="H2651" s="1" t="s">
        <v>26985</v>
      </c>
      <c r="I2651" s="346"/>
      <c r="J2651" s="39">
        <v>110934</v>
      </c>
      <c r="K2651" s="36" t="str">
        <f>CONCATENATE(Cover!$D$6,"fdd/view?i=",J2651)</f>
        <v>https://www.dgiwg.org/FAD/fdd/view?i=110934</v>
      </c>
      <c r="L2651" s="36" t="s">
        <v>26986</v>
      </c>
      <c r="M2651" s="186"/>
      <c r="N2651" s="186"/>
      <c r="O2651" s="172"/>
    </row>
    <row r="2652" spans="1:15" ht="25.5" x14ac:dyDescent="0.2">
      <c r="A2652" s="197" t="str">
        <f t="shared" si="41"/>
        <v>CspCode_bamboo</v>
      </c>
      <c r="B2652" s="409"/>
      <c r="C2652" s="416"/>
      <c r="D2652" s="198" t="s">
        <v>26987</v>
      </c>
      <c r="E2652" s="198">
        <v>46</v>
      </c>
      <c r="F2652" s="199" t="s">
        <v>26988</v>
      </c>
      <c r="G2652" s="1" t="s">
        <v>26989</v>
      </c>
      <c r="H2652" s="1" t="s">
        <v>26990</v>
      </c>
      <c r="I2652" s="346"/>
      <c r="J2652" s="39">
        <v>110925</v>
      </c>
      <c r="K2652" s="36" t="str">
        <f>CONCATENATE(Cover!$D$6,"fdd/view?i=",J2652)</f>
        <v>https://www.dgiwg.org/FAD/fdd/view?i=110925</v>
      </c>
      <c r="L2652" s="36" t="s">
        <v>26991</v>
      </c>
      <c r="M2652" s="186"/>
      <c r="N2652" s="186"/>
      <c r="O2652" s="172"/>
    </row>
    <row r="2653" spans="1:15" ht="38.25" x14ac:dyDescent="0.2">
      <c r="A2653" s="197" t="str">
        <f t="shared" si="41"/>
        <v>CspCode_banana</v>
      </c>
      <c r="B2653" s="409"/>
      <c r="C2653" s="416"/>
      <c r="D2653" s="198" t="s">
        <v>26992</v>
      </c>
      <c r="E2653" s="198">
        <v>41</v>
      </c>
      <c r="F2653" s="199" t="s">
        <v>26993</v>
      </c>
      <c r="G2653" s="1" t="s">
        <v>26994</v>
      </c>
      <c r="H2653" s="200"/>
      <c r="I2653" s="346"/>
      <c r="J2653" s="39">
        <v>110920</v>
      </c>
      <c r="K2653" s="36" t="str">
        <f>CONCATENATE(Cover!$D$6,"fdd/view?i=",J2653)</f>
        <v>https://www.dgiwg.org/FAD/fdd/view?i=110920</v>
      </c>
      <c r="L2653" s="36" t="s">
        <v>26995</v>
      </c>
      <c r="M2653" s="186"/>
      <c r="N2653" s="186"/>
      <c r="O2653" s="172"/>
    </row>
    <row r="2654" spans="1:15" ht="25.5" x14ac:dyDescent="0.2">
      <c r="A2654" s="197" t="str">
        <f t="shared" si="41"/>
        <v>CspCode_barley</v>
      </c>
      <c r="B2654" s="409"/>
      <c r="C2654" s="416"/>
      <c r="D2654" s="198" t="s">
        <v>26996</v>
      </c>
      <c r="E2654" s="198">
        <v>3</v>
      </c>
      <c r="F2654" s="199" t="s">
        <v>26997</v>
      </c>
      <c r="G2654" s="1" t="s">
        <v>26998</v>
      </c>
      <c r="H2654" s="1" t="s">
        <v>26999</v>
      </c>
      <c r="I2654" s="346"/>
      <c r="J2654" s="39">
        <v>110116</v>
      </c>
      <c r="K2654" s="36" t="str">
        <f>CONCATENATE(Cover!$D$6,"fdd/view?i=",J2654)</f>
        <v>https://www.dgiwg.org/FAD/fdd/view?i=110116</v>
      </c>
      <c r="L2654" s="36" t="s">
        <v>27000</v>
      </c>
      <c r="M2654" s="186"/>
      <c r="N2654" s="186"/>
      <c r="O2654" s="172"/>
    </row>
    <row r="2655" spans="1:15" ht="25.5" x14ac:dyDescent="0.2">
      <c r="A2655" s="197" t="str">
        <f t="shared" si="41"/>
        <v>CspCode_bean</v>
      </c>
      <c r="B2655" s="409"/>
      <c r="C2655" s="416"/>
      <c r="D2655" s="198" t="s">
        <v>27001</v>
      </c>
      <c r="E2655" s="198">
        <v>56</v>
      </c>
      <c r="F2655" s="199" t="s">
        <v>27002</v>
      </c>
      <c r="G2655" s="1" t="s">
        <v>27003</v>
      </c>
      <c r="H2655" s="1" t="s">
        <v>27004</v>
      </c>
      <c r="I2655" s="346"/>
      <c r="J2655" s="39">
        <v>110935</v>
      </c>
      <c r="K2655" s="36" t="str">
        <f>CONCATENATE(Cover!$D$6,"fdd/view?i=",J2655)</f>
        <v>https://www.dgiwg.org/FAD/fdd/view?i=110935</v>
      </c>
      <c r="L2655" s="36" t="s">
        <v>27005</v>
      </c>
      <c r="M2655" s="186"/>
      <c r="N2655" s="186"/>
      <c r="O2655" s="172"/>
    </row>
    <row r="2656" spans="1:15" ht="25.5" x14ac:dyDescent="0.2">
      <c r="A2656" s="197" t="str">
        <f t="shared" si="41"/>
        <v>CspCode_bellPepper</v>
      </c>
      <c r="B2656" s="409"/>
      <c r="C2656" s="416"/>
      <c r="D2656" s="198" t="s">
        <v>27006</v>
      </c>
      <c r="E2656" s="198">
        <v>57</v>
      </c>
      <c r="F2656" s="199" t="s">
        <v>27007</v>
      </c>
      <c r="G2656" s="1" t="s">
        <v>27008</v>
      </c>
      <c r="H2656" s="200"/>
      <c r="I2656" s="346"/>
      <c r="J2656" s="39">
        <v>110936</v>
      </c>
      <c r="K2656" s="36" t="str">
        <f>CONCATENATE(Cover!$D$6,"fdd/view?i=",J2656)</f>
        <v>https://www.dgiwg.org/FAD/fdd/view?i=110936</v>
      </c>
      <c r="L2656" s="36" t="s">
        <v>27009</v>
      </c>
      <c r="M2656" s="186"/>
      <c r="N2656" s="186"/>
      <c r="O2656" s="172"/>
    </row>
    <row r="2657" spans="1:15" ht="25.5" x14ac:dyDescent="0.2">
      <c r="A2657" s="197" t="str">
        <f t="shared" si="41"/>
        <v>CspCode_berry</v>
      </c>
      <c r="B2657" s="409"/>
      <c r="C2657" s="416"/>
      <c r="D2657" s="198" t="s">
        <v>27010</v>
      </c>
      <c r="E2657" s="198">
        <v>4</v>
      </c>
      <c r="F2657" s="199" t="s">
        <v>27011</v>
      </c>
      <c r="G2657" s="1" t="s">
        <v>27012</v>
      </c>
      <c r="H2657" s="1" t="s">
        <v>27013</v>
      </c>
      <c r="I2657" s="346"/>
      <c r="J2657" s="39">
        <v>110117</v>
      </c>
      <c r="K2657" s="36" t="str">
        <f>CONCATENATE(Cover!$D$6,"fdd/view?i=",J2657)</f>
        <v>https://www.dgiwg.org/FAD/fdd/view?i=110117</v>
      </c>
      <c r="L2657" s="36" t="s">
        <v>27014</v>
      </c>
      <c r="M2657" s="186"/>
      <c r="N2657" s="186"/>
      <c r="O2657" s="172"/>
    </row>
    <row r="2658" spans="1:15" ht="38.25" x14ac:dyDescent="0.2">
      <c r="A2658" s="197" t="str">
        <f t="shared" si="41"/>
        <v>CspCode_betelNut</v>
      </c>
      <c r="B2658" s="409"/>
      <c r="C2658" s="416"/>
      <c r="D2658" s="198" t="s">
        <v>27015</v>
      </c>
      <c r="E2658" s="198">
        <v>58</v>
      </c>
      <c r="F2658" s="199" t="s">
        <v>27016</v>
      </c>
      <c r="G2658" s="1" t="s">
        <v>27017</v>
      </c>
      <c r="H2658" s="1" t="s">
        <v>27018</v>
      </c>
      <c r="I2658" s="346"/>
      <c r="J2658" s="39">
        <v>110937</v>
      </c>
      <c r="K2658" s="36" t="str">
        <f>CONCATENATE(Cover!$D$6,"fdd/view?i=",J2658)</f>
        <v>https://www.dgiwg.org/FAD/fdd/view?i=110937</v>
      </c>
      <c r="L2658" s="36" t="s">
        <v>27019</v>
      </c>
      <c r="M2658" s="186"/>
      <c r="N2658" s="186"/>
      <c r="O2658" s="172"/>
    </row>
    <row r="2659" spans="1:15" ht="25.5" x14ac:dyDescent="0.2">
      <c r="A2659" s="197" t="str">
        <f t="shared" si="41"/>
        <v>CspCode_breadfruit</v>
      </c>
      <c r="B2659" s="409"/>
      <c r="C2659" s="416"/>
      <c r="D2659" s="198" t="s">
        <v>27020</v>
      </c>
      <c r="E2659" s="198">
        <v>59</v>
      </c>
      <c r="F2659" s="199" t="s">
        <v>27021</v>
      </c>
      <c r="G2659" s="1" t="s">
        <v>27022</v>
      </c>
      <c r="H2659" s="1" t="s">
        <v>27023</v>
      </c>
      <c r="I2659" s="346"/>
      <c r="J2659" s="39">
        <v>110938</v>
      </c>
      <c r="K2659" s="36" t="str">
        <f>CONCATENATE(Cover!$D$6,"fdd/view?i=",J2659)</f>
        <v>https://www.dgiwg.org/FAD/fdd/view?i=110938</v>
      </c>
      <c r="L2659" s="36" t="s">
        <v>27024</v>
      </c>
      <c r="M2659" s="186"/>
      <c r="N2659" s="186"/>
      <c r="O2659" s="172"/>
    </row>
    <row r="2660" spans="1:15" x14ac:dyDescent="0.2">
      <c r="A2660" s="197" t="str">
        <f t="shared" si="41"/>
        <v>CspCode_broccoli</v>
      </c>
      <c r="B2660" s="409"/>
      <c r="C2660" s="416"/>
      <c r="D2660" s="198" t="s">
        <v>27025</v>
      </c>
      <c r="E2660" s="198">
        <v>60</v>
      </c>
      <c r="F2660" s="199" t="s">
        <v>27026</v>
      </c>
      <c r="G2660" s="1" t="s">
        <v>27027</v>
      </c>
      <c r="H2660" s="200"/>
      <c r="I2660" s="346"/>
      <c r="J2660" s="39">
        <v>110939</v>
      </c>
      <c r="K2660" s="36" t="str">
        <f>CONCATENATE(Cover!$D$6,"fdd/view?i=",J2660)</f>
        <v>https://www.dgiwg.org/FAD/fdd/view?i=110939</v>
      </c>
      <c r="L2660" s="36" t="s">
        <v>27028</v>
      </c>
      <c r="M2660" s="186"/>
      <c r="N2660" s="186"/>
      <c r="O2660" s="172"/>
    </row>
    <row r="2661" spans="1:15" ht="25.5" x14ac:dyDescent="0.2">
      <c r="A2661" s="197" t="str">
        <f t="shared" si="41"/>
        <v>CspCode_brusselsSprout</v>
      </c>
      <c r="B2661" s="409"/>
      <c r="C2661" s="416"/>
      <c r="D2661" s="198" t="s">
        <v>27029</v>
      </c>
      <c r="E2661" s="198">
        <v>61</v>
      </c>
      <c r="F2661" s="199" t="s">
        <v>27030</v>
      </c>
      <c r="G2661" s="1" t="s">
        <v>27031</v>
      </c>
      <c r="H2661" s="1" t="s">
        <v>27032</v>
      </c>
      <c r="I2661" s="346"/>
      <c r="J2661" s="39">
        <v>110940</v>
      </c>
      <c r="K2661" s="36" t="str">
        <f>CONCATENATE(Cover!$D$6,"fdd/view?i=",J2661)</f>
        <v>https://www.dgiwg.org/FAD/fdd/view?i=110940</v>
      </c>
      <c r="L2661" s="36" t="s">
        <v>27033</v>
      </c>
      <c r="M2661" s="186"/>
      <c r="N2661" s="186"/>
      <c r="O2661" s="172"/>
    </row>
    <row r="2662" spans="1:15" ht="25.5" x14ac:dyDescent="0.2">
      <c r="A2662" s="197" t="str">
        <f t="shared" si="41"/>
        <v>CspCode_cabbage</v>
      </c>
      <c r="B2662" s="409"/>
      <c r="C2662" s="416"/>
      <c r="D2662" s="198" t="s">
        <v>27034</v>
      </c>
      <c r="E2662" s="198">
        <v>62</v>
      </c>
      <c r="F2662" s="199" t="s">
        <v>27035</v>
      </c>
      <c r="G2662" s="1" t="s">
        <v>27036</v>
      </c>
      <c r="H2662" s="1" t="s">
        <v>27037</v>
      </c>
      <c r="I2662" s="346"/>
      <c r="J2662" s="39">
        <v>110941</v>
      </c>
      <c r="K2662" s="36" t="str">
        <f>CONCATENATE(Cover!$D$6,"fdd/view?i=",J2662)</f>
        <v>https://www.dgiwg.org/FAD/fdd/view?i=110941</v>
      </c>
      <c r="L2662" s="36" t="s">
        <v>27038</v>
      </c>
      <c r="M2662" s="186"/>
      <c r="N2662" s="186"/>
      <c r="O2662" s="172"/>
    </row>
    <row r="2663" spans="1:15" ht="25.5" x14ac:dyDescent="0.2">
      <c r="A2663" s="197" t="str">
        <f t="shared" si="41"/>
        <v>CspCode_cacao</v>
      </c>
      <c r="B2663" s="409"/>
      <c r="C2663" s="416"/>
      <c r="D2663" s="198" t="s">
        <v>27039</v>
      </c>
      <c r="E2663" s="198">
        <v>9</v>
      </c>
      <c r="F2663" s="199" t="s">
        <v>27040</v>
      </c>
      <c r="G2663" s="1" t="s">
        <v>27041</v>
      </c>
      <c r="H2663" s="1" t="s">
        <v>27042</v>
      </c>
      <c r="I2663" s="346"/>
      <c r="J2663" s="39">
        <v>110122</v>
      </c>
      <c r="K2663" s="36" t="str">
        <f>CONCATENATE(Cover!$D$6,"fdd/view?i=",J2663)</f>
        <v>https://www.dgiwg.org/FAD/fdd/view?i=110122</v>
      </c>
      <c r="L2663" s="36" t="s">
        <v>27043</v>
      </c>
      <c r="M2663" s="186"/>
      <c r="N2663" s="186"/>
      <c r="O2663" s="172"/>
    </row>
    <row r="2664" spans="1:15" ht="51" x14ac:dyDescent="0.2">
      <c r="A2664" s="197" t="str">
        <f t="shared" si="41"/>
        <v>CspCode_cannabis</v>
      </c>
      <c r="B2664" s="409"/>
      <c r="C2664" s="416"/>
      <c r="D2664" s="198" t="s">
        <v>27044</v>
      </c>
      <c r="E2664" s="198">
        <v>152</v>
      </c>
      <c r="F2664" s="199" t="s">
        <v>27045</v>
      </c>
      <c r="G2664" s="1" t="s">
        <v>27046</v>
      </c>
      <c r="H2664" s="1" t="s">
        <v>27047</v>
      </c>
      <c r="I2664" s="346"/>
      <c r="J2664" s="39">
        <v>112752</v>
      </c>
      <c r="K2664" s="36" t="str">
        <f>CONCATENATE(Cover!$D$6,"fdd/view?i=",J2664)</f>
        <v>https://www.dgiwg.org/FAD/fdd/view?i=112752</v>
      </c>
      <c r="L2664" s="36" t="s">
        <v>27048</v>
      </c>
      <c r="M2664" s="186"/>
      <c r="N2664" s="186"/>
      <c r="O2664" s="172"/>
    </row>
    <row r="2665" spans="1:15" ht="25.5" x14ac:dyDescent="0.2">
      <c r="A2665" s="197" t="str">
        <f t="shared" si="41"/>
        <v>CspCode_canola</v>
      </c>
      <c r="B2665" s="409"/>
      <c r="C2665" s="416"/>
      <c r="D2665" s="198" t="s">
        <v>27049</v>
      </c>
      <c r="E2665" s="198">
        <v>64</v>
      </c>
      <c r="F2665" s="199" t="s">
        <v>27050</v>
      </c>
      <c r="G2665" s="1" t="s">
        <v>27051</v>
      </c>
      <c r="H2665" s="1" t="s">
        <v>27052</v>
      </c>
      <c r="I2665" s="346"/>
      <c r="J2665" s="39">
        <v>110943</v>
      </c>
      <c r="K2665" s="36" t="str">
        <f>CONCATENATE(Cover!$D$6,"fdd/view?i=",J2665)</f>
        <v>https://www.dgiwg.org/FAD/fdd/view?i=110943</v>
      </c>
      <c r="L2665" s="36" t="s">
        <v>27053</v>
      </c>
      <c r="M2665" s="186"/>
      <c r="N2665" s="186"/>
      <c r="O2665" s="172"/>
    </row>
    <row r="2666" spans="1:15" x14ac:dyDescent="0.2">
      <c r="A2666" s="197" t="str">
        <f t="shared" si="41"/>
        <v>CspCode_cantaloup</v>
      </c>
      <c r="B2666" s="409"/>
      <c r="C2666" s="416"/>
      <c r="D2666" s="198" t="s">
        <v>27054</v>
      </c>
      <c r="E2666" s="198">
        <v>65</v>
      </c>
      <c r="F2666" s="199" t="s">
        <v>27055</v>
      </c>
      <c r="G2666" s="1" t="s">
        <v>27056</v>
      </c>
      <c r="H2666" s="200"/>
      <c r="I2666" s="346"/>
      <c r="J2666" s="39">
        <v>110944</v>
      </c>
      <c r="K2666" s="36" t="str">
        <f>CONCATENATE(Cover!$D$6,"fdd/view?i=",J2666)</f>
        <v>https://www.dgiwg.org/FAD/fdd/view?i=110944</v>
      </c>
      <c r="L2666" s="36" t="s">
        <v>27057</v>
      </c>
      <c r="M2666" s="186"/>
      <c r="N2666" s="186"/>
      <c r="O2666" s="172"/>
    </row>
    <row r="2667" spans="1:15" ht="25.5" x14ac:dyDescent="0.2">
      <c r="A2667" s="197" t="str">
        <f t="shared" si="41"/>
        <v>CspCode_cardamom</v>
      </c>
      <c r="B2667" s="409"/>
      <c r="C2667" s="416"/>
      <c r="D2667" s="198" t="s">
        <v>27058</v>
      </c>
      <c r="E2667" s="198">
        <v>66</v>
      </c>
      <c r="F2667" s="199" t="s">
        <v>27059</v>
      </c>
      <c r="G2667" s="1" t="s">
        <v>27060</v>
      </c>
      <c r="H2667" s="200"/>
      <c r="I2667" s="346"/>
      <c r="J2667" s="39">
        <v>110945</v>
      </c>
      <c r="K2667" s="36" t="str">
        <f>CONCATENATE(Cover!$D$6,"fdd/view?i=",J2667)</f>
        <v>https://www.dgiwg.org/FAD/fdd/view?i=110945</v>
      </c>
      <c r="L2667" s="36" t="s">
        <v>27061</v>
      </c>
      <c r="M2667" s="186"/>
      <c r="N2667" s="186"/>
      <c r="O2667" s="172"/>
    </row>
    <row r="2668" spans="1:15" ht="25.5" x14ac:dyDescent="0.2">
      <c r="A2668" s="197" t="str">
        <f t="shared" si="41"/>
        <v>CspCode_carob</v>
      </c>
      <c r="B2668" s="409"/>
      <c r="C2668" s="416"/>
      <c r="D2668" s="198" t="s">
        <v>27062</v>
      </c>
      <c r="E2668" s="198">
        <v>5</v>
      </c>
      <c r="F2668" s="199" t="s">
        <v>27063</v>
      </c>
      <c r="G2668" s="1" t="s">
        <v>27064</v>
      </c>
      <c r="H2668" s="200"/>
      <c r="I2668" s="346"/>
      <c r="J2668" s="39">
        <v>110118</v>
      </c>
      <c r="K2668" s="36" t="str">
        <f>CONCATENATE(Cover!$D$6,"fdd/view?i=",J2668)</f>
        <v>https://www.dgiwg.org/FAD/fdd/view?i=110118</v>
      </c>
      <c r="L2668" s="36" t="s">
        <v>27065</v>
      </c>
      <c r="M2668" s="186"/>
      <c r="N2668" s="186"/>
      <c r="O2668" s="172"/>
    </row>
    <row r="2669" spans="1:15" ht="25.5" x14ac:dyDescent="0.2">
      <c r="A2669" s="197" t="str">
        <f t="shared" si="41"/>
        <v>CspCode_carrot</v>
      </c>
      <c r="B2669" s="409"/>
      <c r="C2669" s="416"/>
      <c r="D2669" s="198" t="s">
        <v>27066</v>
      </c>
      <c r="E2669" s="198">
        <v>67</v>
      </c>
      <c r="F2669" s="199" t="s">
        <v>27067</v>
      </c>
      <c r="G2669" s="1" t="s">
        <v>27068</v>
      </c>
      <c r="H2669" s="1" t="s">
        <v>27069</v>
      </c>
      <c r="I2669" s="346"/>
      <c r="J2669" s="39">
        <v>110946</v>
      </c>
      <c r="K2669" s="36" t="str">
        <f>CONCATENATE(Cover!$D$6,"fdd/view?i=",J2669)</f>
        <v>https://www.dgiwg.org/FAD/fdd/view?i=110946</v>
      </c>
      <c r="L2669" s="36" t="s">
        <v>27070</v>
      </c>
      <c r="M2669" s="186"/>
      <c r="N2669" s="186"/>
      <c r="O2669" s="172"/>
    </row>
    <row r="2670" spans="1:15" ht="25.5" x14ac:dyDescent="0.2">
      <c r="A2670" s="197" t="str">
        <f t="shared" si="41"/>
        <v>CspCode_cashew</v>
      </c>
      <c r="B2670" s="409"/>
      <c r="C2670" s="416"/>
      <c r="D2670" s="198" t="s">
        <v>27071</v>
      </c>
      <c r="E2670" s="198">
        <v>68</v>
      </c>
      <c r="F2670" s="199" t="s">
        <v>27072</v>
      </c>
      <c r="G2670" s="1" t="s">
        <v>27073</v>
      </c>
      <c r="H2670" s="200"/>
      <c r="I2670" s="346"/>
      <c r="J2670" s="39">
        <v>110947</v>
      </c>
      <c r="K2670" s="36" t="str">
        <f>CONCATENATE(Cover!$D$6,"fdd/view?i=",J2670)</f>
        <v>https://www.dgiwg.org/FAD/fdd/view?i=110947</v>
      </c>
      <c r="L2670" s="36" t="s">
        <v>27074</v>
      </c>
      <c r="M2670" s="186"/>
      <c r="N2670" s="186"/>
      <c r="O2670" s="172"/>
    </row>
    <row r="2671" spans="1:15" ht="51" x14ac:dyDescent="0.2">
      <c r="A2671" s="197" t="str">
        <f t="shared" si="41"/>
        <v>CspCode_cassava</v>
      </c>
      <c r="B2671" s="409"/>
      <c r="C2671" s="416"/>
      <c r="D2671" s="198" t="s">
        <v>27075</v>
      </c>
      <c r="E2671" s="198">
        <v>69</v>
      </c>
      <c r="F2671" s="199" t="s">
        <v>27076</v>
      </c>
      <c r="G2671" s="1" t="s">
        <v>27077</v>
      </c>
      <c r="H2671" s="1" t="s">
        <v>27078</v>
      </c>
      <c r="I2671" s="351" t="s">
        <v>27079</v>
      </c>
      <c r="J2671" s="39">
        <v>110948</v>
      </c>
      <c r="K2671" s="36" t="str">
        <f>CONCATENATE(Cover!$D$6,"fdd/view?i=",J2671)</f>
        <v>https://www.dgiwg.org/FAD/fdd/view?i=110948</v>
      </c>
      <c r="L2671" s="36" t="s">
        <v>27080</v>
      </c>
      <c r="M2671" s="186"/>
      <c r="N2671" s="186"/>
      <c r="O2671" s="172"/>
    </row>
    <row r="2672" spans="1:15" ht="25.5" x14ac:dyDescent="0.2">
      <c r="A2672" s="197" t="str">
        <f t="shared" si="41"/>
        <v>CspCode_cauliflower</v>
      </c>
      <c r="B2672" s="409"/>
      <c r="C2672" s="416"/>
      <c r="D2672" s="198" t="s">
        <v>27081</v>
      </c>
      <c r="E2672" s="198">
        <v>70</v>
      </c>
      <c r="F2672" s="199" t="s">
        <v>27082</v>
      </c>
      <c r="G2672" s="1" t="s">
        <v>27083</v>
      </c>
      <c r="H2672" s="1" t="s">
        <v>27084</v>
      </c>
      <c r="I2672" s="346"/>
      <c r="J2672" s="39">
        <v>110949</v>
      </c>
      <c r="K2672" s="36" t="str">
        <f>CONCATENATE(Cover!$D$6,"fdd/view?i=",J2672)</f>
        <v>https://www.dgiwg.org/FAD/fdd/view?i=110949</v>
      </c>
      <c r="L2672" s="36" t="s">
        <v>27085</v>
      </c>
      <c r="M2672" s="186"/>
      <c r="N2672" s="186"/>
      <c r="O2672" s="172"/>
    </row>
    <row r="2673" spans="1:15" ht="25.5" x14ac:dyDescent="0.2">
      <c r="A2673" s="197" t="str">
        <f t="shared" si="41"/>
        <v>CspCode_celery</v>
      </c>
      <c r="B2673" s="409"/>
      <c r="C2673" s="416"/>
      <c r="D2673" s="198" t="s">
        <v>27086</v>
      </c>
      <c r="E2673" s="198">
        <v>71</v>
      </c>
      <c r="F2673" s="199" t="s">
        <v>27087</v>
      </c>
      <c r="G2673" s="1" t="s">
        <v>27088</v>
      </c>
      <c r="H2673" s="1" t="s">
        <v>27089</v>
      </c>
      <c r="I2673" s="346"/>
      <c r="J2673" s="39">
        <v>110950</v>
      </c>
      <c r="K2673" s="36" t="str">
        <f>CONCATENATE(Cover!$D$6,"fdd/view?i=",J2673)</f>
        <v>https://www.dgiwg.org/FAD/fdd/view?i=110950</v>
      </c>
      <c r="L2673" s="36" t="s">
        <v>27090</v>
      </c>
      <c r="M2673" s="186"/>
      <c r="N2673" s="186"/>
      <c r="O2673" s="172"/>
    </row>
    <row r="2674" spans="1:15" ht="25.5" x14ac:dyDescent="0.2">
      <c r="A2674" s="197" t="str">
        <f t="shared" si="41"/>
        <v>CspCode_cereal</v>
      </c>
      <c r="B2674" s="409"/>
      <c r="C2674" s="416"/>
      <c r="D2674" s="198" t="s">
        <v>27091</v>
      </c>
      <c r="E2674" s="198">
        <v>72</v>
      </c>
      <c r="F2674" s="199" t="s">
        <v>27092</v>
      </c>
      <c r="G2674" s="1" t="s">
        <v>27093</v>
      </c>
      <c r="H2674" s="200"/>
      <c r="I2674" s="351" t="s">
        <v>27094</v>
      </c>
      <c r="J2674" s="39">
        <v>110951</v>
      </c>
      <c r="K2674" s="36" t="str">
        <f>CONCATENATE(Cover!$D$6,"fdd/view?i=",J2674)</f>
        <v>https://www.dgiwg.org/FAD/fdd/view?i=110951</v>
      </c>
      <c r="L2674" s="36" t="s">
        <v>27095</v>
      </c>
      <c r="M2674" s="186"/>
      <c r="N2674" s="186"/>
      <c r="O2674" s="172"/>
    </row>
    <row r="2675" spans="1:15" ht="38.25" x14ac:dyDescent="0.2">
      <c r="A2675" s="197" t="str">
        <f t="shared" si="41"/>
        <v>CspCode_chestnut</v>
      </c>
      <c r="B2675" s="409"/>
      <c r="C2675" s="416"/>
      <c r="D2675" s="198" t="s">
        <v>27096</v>
      </c>
      <c r="E2675" s="198">
        <v>6</v>
      </c>
      <c r="F2675" s="199" t="s">
        <v>27097</v>
      </c>
      <c r="G2675" s="1" t="s">
        <v>27098</v>
      </c>
      <c r="H2675" s="1" t="s">
        <v>27099</v>
      </c>
      <c r="I2675" s="346"/>
      <c r="J2675" s="39">
        <v>110119</v>
      </c>
      <c r="K2675" s="36" t="str">
        <f>CONCATENATE(Cover!$D$6,"fdd/view?i=",J2675)</f>
        <v>https://www.dgiwg.org/FAD/fdd/view?i=110119</v>
      </c>
      <c r="L2675" s="36" t="s">
        <v>27100</v>
      </c>
      <c r="M2675" s="186"/>
      <c r="N2675" s="186"/>
      <c r="O2675" s="172"/>
    </row>
    <row r="2676" spans="1:15" ht="25.5" x14ac:dyDescent="0.2">
      <c r="A2676" s="197" t="str">
        <f t="shared" si="41"/>
        <v>CspCode_chinchona</v>
      </c>
      <c r="B2676" s="409"/>
      <c r="C2676" s="416"/>
      <c r="D2676" s="198" t="s">
        <v>27101</v>
      </c>
      <c r="E2676" s="198">
        <v>73</v>
      </c>
      <c r="F2676" s="199" t="s">
        <v>27102</v>
      </c>
      <c r="G2676" s="1" t="s">
        <v>27103</v>
      </c>
      <c r="H2676" s="1" t="s">
        <v>27104</v>
      </c>
      <c r="I2676" s="346"/>
      <c r="J2676" s="39">
        <v>110952</v>
      </c>
      <c r="K2676" s="36" t="str">
        <f>CONCATENATE(Cover!$D$6,"fdd/view?i=",J2676)</f>
        <v>https://www.dgiwg.org/FAD/fdd/view?i=110952</v>
      </c>
      <c r="L2676" s="36" t="s">
        <v>27105</v>
      </c>
      <c r="M2676" s="186"/>
      <c r="N2676" s="186"/>
      <c r="O2676" s="172"/>
    </row>
    <row r="2677" spans="1:15" ht="25.5" x14ac:dyDescent="0.2">
      <c r="A2677" s="197" t="str">
        <f t="shared" si="41"/>
        <v>CspCode_cinnamon</v>
      </c>
      <c r="B2677" s="409"/>
      <c r="C2677" s="416"/>
      <c r="D2677" s="198" t="s">
        <v>27106</v>
      </c>
      <c r="E2677" s="198">
        <v>74</v>
      </c>
      <c r="F2677" s="199" t="s">
        <v>27107</v>
      </c>
      <c r="G2677" s="1" t="s">
        <v>27108</v>
      </c>
      <c r="H2677" s="200"/>
      <c r="I2677" s="346"/>
      <c r="J2677" s="39">
        <v>110953</v>
      </c>
      <c r="K2677" s="36" t="str">
        <f>CONCATENATE(Cover!$D$6,"fdd/view?i=",J2677)</f>
        <v>https://www.dgiwg.org/FAD/fdd/view?i=110953</v>
      </c>
      <c r="L2677" s="36" t="s">
        <v>27109</v>
      </c>
      <c r="M2677" s="186"/>
      <c r="N2677" s="186"/>
      <c r="O2677" s="172"/>
    </row>
    <row r="2678" spans="1:15" ht="25.5" x14ac:dyDescent="0.2">
      <c r="A2678" s="197" t="str">
        <f t="shared" si="41"/>
        <v>CspCode_citrus</v>
      </c>
      <c r="B2678" s="409"/>
      <c r="C2678" s="416"/>
      <c r="D2678" s="198" t="s">
        <v>27110</v>
      </c>
      <c r="E2678" s="198">
        <v>7</v>
      </c>
      <c r="F2678" s="199" t="s">
        <v>27111</v>
      </c>
      <c r="G2678" s="1" t="s">
        <v>27112</v>
      </c>
      <c r="H2678" s="1" t="s">
        <v>27113</v>
      </c>
      <c r="I2678" s="346"/>
      <c r="J2678" s="39">
        <v>110120</v>
      </c>
      <c r="K2678" s="36" t="str">
        <f>CONCATENATE(Cover!$D$6,"fdd/view?i=",J2678)</f>
        <v>https://www.dgiwg.org/FAD/fdd/view?i=110120</v>
      </c>
      <c r="L2678" s="36" t="s">
        <v>27114</v>
      </c>
      <c r="M2678" s="186"/>
      <c r="N2678" s="186"/>
      <c r="O2678" s="172"/>
    </row>
    <row r="2679" spans="1:15" ht="25.5" x14ac:dyDescent="0.2">
      <c r="A2679" s="197" t="str">
        <f t="shared" si="41"/>
        <v>CspCode_clove</v>
      </c>
      <c r="B2679" s="409"/>
      <c r="C2679" s="416"/>
      <c r="D2679" s="198" t="s">
        <v>27115</v>
      </c>
      <c r="E2679" s="198">
        <v>76</v>
      </c>
      <c r="F2679" s="199" t="s">
        <v>27116</v>
      </c>
      <c r="G2679" s="1" t="s">
        <v>27117</v>
      </c>
      <c r="H2679" s="200"/>
      <c r="I2679" s="346"/>
      <c r="J2679" s="39">
        <v>110955</v>
      </c>
      <c r="K2679" s="36" t="str">
        <f>CONCATENATE(Cover!$D$6,"fdd/view?i=",J2679)</f>
        <v>https://www.dgiwg.org/FAD/fdd/view?i=110955</v>
      </c>
      <c r="L2679" s="36" t="s">
        <v>27118</v>
      </c>
      <c r="M2679" s="186"/>
      <c r="N2679" s="186"/>
      <c r="O2679" s="172"/>
    </row>
    <row r="2680" spans="1:15" ht="25.5" x14ac:dyDescent="0.2">
      <c r="A2680" s="197" t="str">
        <f t="shared" si="41"/>
        <v>CspCode_clover</v>
      </c>
      <c r="B2680" s="409"/>
      <c r="C2680" s="416"/>
      <c r="D2680" s="198" t="s">
        <v>27119</v>
      </c>
      <c r="E2680" s="198">
        <v>77</v>
      </c>
      <c r="F2680" s="199" t="s">
        <v>27120</v>
      </c>
      <c r="G2680" s="1" t="s">
        <v>27121</v>
      </c>
      <c r="H2680" s="1" t="s">
        <v>27122</v>
      </c>
      <c r="I2680" s="346"/>
      <c r="J2680" s="39">
        <v>110956</v>
      </c>
      <c r="K2680" s="36" t="str">
        <f>CONCATENATE(Cover!$D$6,"fdd/view?i=",J2680)</f>
        <v>https://www.dgiwg.org/FAD/fdd/view?i=110956</v>
      </c>
      <c r="L2680" s="36" t="s">
        <v>27123</v>
      </c>
      <c r="M2680" s="186"/>
      <c r="N2680" s="186"/>
      <c r="O2680" s="172"/>
    </row>
    <row r="2681" spans="1:15" ht="25.5" x14ac:dyDescent="0.2">
      <c r="A2681" s="197" t="str">
        <f t="shared" si="41"/>
        <v>CspCode_coca</v>
      </c>
      <c r="B2681" s="409"/>
      <c r="C2681" s="416"/>
      <c r="D2681" s="198" t="s">
        <v>27124</v>
      </c>
      <c r="E2681" s="198">
        <v>78</v>
      </c>
      <c r="F2681" s="199" t="s">
        <v>27125</v>
      </c>
      <c r="G2681" s="1" t="s">
        <v>27126</v>
      </c>
      <c r="H2681" s="200"/>
      <c r="I2681" s="346"/>
      <c r="J2681" s="39">
        <v>110957</v>
      </c>
      <c r="K2681" s="36" t="str">
        <f>CONCATENATE(Cover!$D$6,"fdd/view?i=",J2681)</f>
        <v>https://www.dgiwg.org/FAD/fdd/view?i=110957</v>
      </c>
      <c r="L2681" s="36" t="s">
        <v>27127</v>
      </c>
      <c r="M2681" s="186"/>
      <c r="N2681" s="186"/>
      <c r="O2681" s="172"/>
    </row>
    <row r="2682" spans="1:15" ht="38.25" x14ac:dyDescent="0.2">
      <c r="A2682" s="197" t="str">
        <f t="shared" si="41"/>
        <v>CspCode_coconut</v>
      </c>
      <c r="B2682" s="409"/>
      <c r="C2682" s="416"/>
      <c r="D2682" s="198" t="s">
        <v>27128</v>
      </c>
      <c r="E2682" s="198">
        <v>43</v>
      </c>
      <c r="F2682" s="199" t="s">
        <v>27129</v>
      </c>
      <c r="G2682" s="1" t="s">
        <v>27130</v>
      </c>
      <c r="H2682" s="200"/>
      <c r="I2682" s="346"/>
      <c r="J2682" s="39">
        <v>110922</v>
      </c>
      <c r="K2682" s="36" t="str">
        <f>CONCATENATE(Cover!$D$6,"fdd/view?i=",J2682)</f>
        <v>https://www.dgiwg.org/FAD/fdd/view?i=110922</v>
      </c>
      <c r="L2682" s="36" t="s">
        <v>27131</v>
      </c>
      <c r="M2682" s="186"/>
      <c r="N2682" s="186"/>
      <c r="O2682" s="172"/>
    </row>
    <row r="2683" spans="1:15" ht="38.25" x14ac:dyDescent="0.2">
      <c r="A2683" s="197" t="str">
        <f t="shared" si="41"/>
        <v>CspCode_coffee</v>
      </c>
      <c r="B2683" s="409"/>
      <c r="C2683" s="416"/>
      <c r="D2683" s="198" t="s">
        <v>27132</v>
      </c>
      <c r="E2683" s="198">
        <v>10</v>
      </c>
      <c r="F2683" s="199" t="s">
        <v>27133</v>
      </c>
      <c r="G2683" s="1" t="s">
        <v>27134</v>
      </c>
      <c r="H2683" s="1" t="s">
        <v>27135</v>
      </c>
      <c r="I2683" s="346"/>
      <c r="J2683" s="39">
        <v>110123</v>
      </c>
      <c r="K2683" s="36" t="str">
        <f>CONCATENATE(Cover!$D$6,"fdd/view?i=",J2683)</f>
        <v>https://www.dgiwg.org/FAD/fdd/view?i=110123</v>
      </c>
      <c r="L2683" s="36" t="s">
        <v>27136</v>
      </c>
      <c r="M2683" s="186"/>
      <c r="N2683" s="186"/>
      <c r="O2683" s="172"/>
    </row>
    <row r="2684" spans="1:15" ht="25.5" x14ac:dyDescent="0.2">
      <c r="A2684" s="197" t="str">
        <f t="shared" si="41"/>
        <v>CspCode_copra</v>
      </c>
      <c r="B2684" s="409"/>
      <c r="C2684" s="416"/>
      <c r="D2684" s="198" t="s">
        <v>27137</v>
      </c>
      <c r="E2684" s="198">
        <v>79</v>
      </c>
      <c r="F2684" s="199" t="s">
        <v>27138</v>
      </c>
      <c r="G2684" s="1" t="s">
        <v>27139</v>
      </c>
      <c r="H2684" s="200"/>
      <c r="I2684" s="346"/>
      <c r="J2684" s="39">
        <v>110958</v>
      </c>
      <c r="K2684" s="36" t="str">
        <f>CONCATENATE(Cover!$D$6,"fdd/view?i=",J2684)</f>
        <v>https://www.dgiwg.org/FAD/fdd/view?i=110958</v>
      </c>
      <c r="L2684" s="36" t="s">
        <v>27140</v>
      </c>
      <c r="M2684" s="186"/>
      <c r="N2684" s="186"/>
      <c r="O2684" s="172"/>
    </row>
    <row r="2685" spans="1:15" ht="38.25" x14ac:dyDescent="0.2">
      <c r="A2685" s="197" t="str">
        <f t="shared" si="41"/>
        <v>CspCode_corkOak</v>
      </c>
      <c r="B2685" s="409"/>
      <c r="C2685" s="416"/>
      <c r="D2685" s="198" t="s">
        <v>27141</v>
      </c>
      <c r="E2685" s="198">
        <v>8</v>
      </c>
      <c r="F2685" s="199" t="s">
        <v>27142</v>
      </c>
      <c r="G2685" s="1" t="s">
        <v>27143</v>
      </c>
      <c r="H2685" s="200"/>
      <c r="I2685" s="351" t="s">
        <v>27144</v>
      </c>
      <c r="J2685" s="39">
        <v>110121</v>
      </c>
      <c r="K2685" s="36" t="str">
        <f>CONCATENATE(Cover!$D$6,"fdd/view?i=",J2685)</f>
        <v>https://www.dgiwg.org/FAD/fdd/view?i=110121</v>
      </c>
      <c r="L2685" s="36" t="s">
        <v>27145</v>
      </c>
      <c r="M2685" s="186"/>
      <c r="N2685" s="186"/>
      <c r="O2685" s="172"/>
    </row>
    <row r="2686" spans="1:15" ht="38.25" x14ac:dyDescent="0.2">
      <c r="A2686" s="197" t="str">
        <f t="shared" si="41"/>
        <v>CspCode_cotton</v>
      </c>
      <c r="B2686" s="409"/>
      <c r="C2686" s="416"/>
      <c r="D2686" s="198" t="s">
        <v>27146</v>
      </c>
      <c r="E2686" s="198">
        <v>45</v>
      </c>
      <c r="F2686" s="199" t="s">
        <v>27147</v>
      </c>
      <c r="G2686" s="1" t="s">
        <v>27148</v>
      </c>
      <c r="H2686" s="200"/>
      <c r="I2686" s="346"/>
      <c r="J2686" s="39">
        <v>110924</v>
      </c>
      <c r="K2686" s="36" t="str">
        <f>CONCATENATE(Cover!$D$6,"fdd/view?i=",J2686)</f>
        <v>https://www.dgiwg.org/FAD/fdd/view?i=110924</v>
      </c>
      <c r="L2686" s="36" t="s">
        <v>27149</v>
      </c>
      <c r="M2686" s="186"/>
      <c r="N2686" s="186"/>
      <c r="O2686" s="172"/>
    </row>
    <row r="2687" spans="1:15" ht="25.5" x14ac:dyDescent="0.2">
      <c r="A2687" s="197" t="str">
        <f t="shared" si="41"/>
        <v>CspCode_cowpea</v>
      </c>
      <c r="B2687" s="409"/>
      <c r="C2687" s="416"/>
      <c r="D2687" s="198" t="s">
        <v>27150</v>
      </c>
      <c r="E2687" s="198">
        <v>80</v>
      </c>
      <c r="F2687" s="199" t="s">
        <v>27151</v>
      </c>
      <c r="G2687" s="1" t="s">
        <v>27152</v>
      </c>
      <c r="H2687" s="200"/>
      <c r="I2687" s="346"/>
      <c r="J2687" s="39">
        <v>110959</v>
      </c>
      <c r="K2687" s="36" t="str">
        <f>CONCATENATE(Cover!$D$6,"fdd/view?i=",J2687)</f>
        <v>https://www.dgiwg.org/FAD/fdd/view?i=110959</v>
      </c>
      <c r="L2687" s="36" t="s">
        <v>27153</v>
      </c>
      <c r="M2687" s="186"/>
      <c r="N2687" s="186"/>
      <c r="O2687" s="172"/>
    </row>
    <row r="2688" spans="1:15" ht="38.25" x14ac:dyDescent="0.2">
      <c r="A2688" s="197" t="str">
        <f t="shared" si="41"/>
        <v>CspCode_cranberry</v>
      </c>
      <c r="B2688" s="409"/>
      <c r="C2688" s="416"/>
      <c r="D2688" s="198" t="s">
        <v>27154</v>
      </c>
      <c r="E2688" s="198">
        <v>12</v>
      </c>
      <c r="F2688" s="199" t="s">
        <v>27155</v>
      </c>
      <c r="G2688" s="1" t="s">
        <v>27156</v>
      </c>
      <c r="H2688" s="1" t="s">
        <v>27157</v>
      </c>
      <c r="I2688" s="346"/>
      <c r="J2688" s="39">
        <v>110125</v>
      </c>
      <c r="K2688" s="36" t="str">
        <f>CONCATENATE(Cover!$D$6,"fdd/view?i=",J2688)</f>
        <v>https://www.dgiwg.org/FAD/fdd/view?i=110125</v>
      </c>
      <c r="L2688" s="36" t="s">
        <v>27158</v>
      </c>
      <c r="M2688" s="186"/>
      <c r="N2688" s="186"/>
      <c r="O2688" s="172"/>
    </row>
    <row r="2689" spans="1:15" ht="25.5" x14ac:dyDescent="0.2">
      <c r="A2689" s="197" t="str">
        <f t="shared" si="41"/>
        <v>CspCode_cucumber</v>
      </c>
      <c r="B2689" s="409"/>
      <c r="C2689" s="416"/>
      <c r="D2689" s="198" t="s">
        <v>27159</v>
      </c>
      <c r="E2689" s="198">
        <v>81</v>
      </c>
      <c r="F2689" s="199" t="s">
        <v>27160</v>
      </c>
      <c r="G2689" s="1" t="s">
        <v>27161</v>
      </c>
      <c r="H2689" s="200"/>
      <c r="I2689" s="346"/>
      <c r="J2689" s="39">
        <v>110960</v>
      </c>
      <c r="K2689" s="36" t="str">
        <f>CONCATENATE(Cover!$D$6,"fdd/view?i=",J2689)</f>
        <v>https://www.dgiwg.org/FAD/fdd/view?i=110960</v>
      </c>
      <c r="L2689" s="36" t="s">
        <v>27162</v>
      </c>
      <c r="M2689" s="186"/>
      <c r="N2689" s="186"/>
      <c r="O2689" s="172"/>
    </row>
    <row r="2690" spans="1:15" ht="51" x14ac:dyDescent="0.2">
      <c r="A2690" s="197" t="str">
        <f t="shared" ref="A2690:A2753" si="42">HYPERLINK(K2690,L2690)</f>
        <v>CspCode_date</v>
      </c>
      <c r="B2690" s="409"/>
      <c r="C2690" s="416"/>
      <c r="D2690" s="198" t="s">
        <v>27163</v>
      </c>
      <c r="E2690" s="198">
        <v>40</v>
      </c>
      <c r="F2690" s="199" t="s">
        <v>27164</v>
      </c>
      <c r="G2690" s="1" t="s">
        <v>27165</v>
      </c>
      <c r="H2690" s="1" t="s">
        <v>27166</v>
      </c>
      <c r="I2690" s="346"/>
      <c r="J2690" s="39">
        <v>110740</v>
      </c>
      <c r="K2690" s="36" t="str">
        <f>CONCATENATE(Cover!$D$6,"fdd/view?i=",J2690)</f>
        <v>https://www.dgiwg.org/FAD/fdd/view?i=110740</v>
      </c>
      <c r="L2690" s="36" t="s">
        <v>27167</v>
      </c>
      <c r="M2690" s="186"/>
      <c r="N2690" s="186"/>
      <c r="O2690" s="172"/>
    </row>
    <row r="2691" spans="1:15" ht="25.5" x14ac:dyDescent="0.2">
      <c r="A2691" s="197" t="str">
        <f t="shared" si="42"/>
        <v>CspCode_dryCrop</v>
      </c>
      <c r="B2691" s="409"/>
      <c r="C2691" s="416"/>
      <c r="D2691" s="198" t="s">
        <v>27168</v>
      </c>
      <c r="E2691" s="198">
        <v>13</v>
      </c>
      <c r="F2691" s="199" t="s">
        <v>27169</v>
      </c>
      <c r="G2691" s="1" t="s">
        <v>27170</v>
      </c>
      <c r="H2691" s="1" t="s">
        <v>27171</v>
      </c>
      <c r="I2691" s="346"/>
      <c r="J2691" s="39">
        <v>110126</v>
      </c>
      <c r="K2691" s="36" t="str">
        <f>CONCATENATE(Cover!$D$6,"fdd/view?i=",J2691)</f>
        <v>https://www.dgiwg.org/FAD/fdd/view?i=110126</v>
      </c>
      <c r="L2691" s="36" t="s">
        <v>27172</v>
      </c>
      <c r="M2691" s="186"/>
      <c r="N2691" s="186"/>
      <c r="O2691" s="172"/>
    </row>
    <row r="2692" spans="1:15" ht="25.5" x14ac:dyDescent="0.2">
      <c r="A2692" s="197" t="str">
        <f t="shared" si="42"/>
        <v>CspCode_eggplant</v>
      </c>
      <c r="B2692" s="409"/>
      <c r="C2692" s="416"/>
      <c r="D2692" s="198" t="s">
        <v>27173</v>
      </c>
      <c r="E2692" s="198">
        <v>82</v>
      </c>
      <c r="F2692" s="199" t="s">
        <v>27174</v>
      </c>
      <c r="G2692" s="1" t="s">
        <v>27175</v>
      </c>
      <c r="H2692" s="1" t="s">
        <v>27176</v>
      </c>
      <c r="I2692" s="346"/>
      <c r="J2692" s="39">
        <v>110961</v>
      </c>
      <c r="K2692" s="36" t="str">
        <f>CONCATENATE(Cover!$D$6,"fdd/view?i=",J2692)</f>
        <v>https://www.dgiwg.org/FAD/fdd/view?i=110961</v>
      </c>
      <c r="L2692" s="36" t="s">
        <v>27177</v>
      </c>
      <c r="M2692" s="186"/>
      <c r="N2692" s="186"/>
      <c r="O2692" s="172"/>
    </row>
    <row r="2693" spans="1:15" ht="38.25" x14ac:dyDescent="0.2">
      <c r="A2693" s="197" t="str">
        <f t="shared" si="42"/>
        <v>CspCode_endive</v>
      </c>
      <c r="B2693" s="409"/>
      <c r="C2693" s="416"/>
      <c r="D2693" s="198" t="s">
        <v>27178</v>
      </c>
      <c r="E2693" s="198">
        <v>83</v>
      </c>
      <c r="F2693" s="199" t="s">
        <v>27179</v>
      </c>
      <c r="G2693" s="1" t="s">
        <v>27180</v>
      </c>
      <c r="H2693" s="200"/>
      <c r="I2693" s="346"/>
      <c r="J2693" s="39">
        <v>110962</v>
      </c>
      <c r="K2693" s="36" t="str">
        <f>CONCATENATE(Cover!$D$6,"fdd/view?i=",J2693)</f>
        <v>https://www.dgiwg.org/FAD/fdd/view?i=110962</v>
      </c>
      <c r="L2693" s="36" t="s">
        <v>27181</v>
      </c>
      <c r="M2693" s="186"/>
      <c r="N2693" s="186"/>
      <c r="O2693" s="172"/>
    </row>
    <row r="2694" spans="1:15" x14ac:dyDescent="0.2">
      <c r="A2694" s="197" t="str">
        <f t="shared" si="42"/>
        <v>CspCode_fibreCrop</v>
      </c>
      <c r="B2694" s="409"/>
      <c r="C2694" s="416"/>
      <c r="D2694" s="198" t="s">
        <v>27182</v>
      </c>
      <c r="E2694" s="198">
        <v>14</v>
      </c>
      <c r="F2694" s="199" t="s">
        <v>27183</v>
      </c>
      <c r="G2694" s="1" t="s">
        <v>27184</v>
      </c>
      <c r="H2694" s="1" t="s">
        <v>27185</v>
      </c>
      <c r="I2694" s="346"/>
      <c r="J2694" s="39">
        <v>110127</v>
      </c>
      <c r="K2694" s="36" t="str">
        <f>CONCATENATE(Cover!$D$6,"fdd/view?i=",J2694)</f>
        <v>https://www.dgiwg.org/FAD/fdd/view?i=110127</v>
      </c>
      <c r="L2694" s="36" t="s">
        <v>27186</v>
      </c>
      <c r="M2694" s="186"/>
      <c r="N2694" s="186"/>
      <c r="O2694" s="172"/>
    </row>
    <row r="2695" spans="1:15" ht="38.25" x14ac:dyDescent="0.2">
      <c r="A2695" s="197" t="str">
        <f t="shared" si="42"/>
        <v>CspCode_flax</v>
      </c>
      <c r="B2695" s="409"/>
      <c r="C2695" s="416"/>
      <c r="D2695" s="198" t="s">
        <v>27187</v>
      </c>
      <c r="E2695" s="198">
        <v>85</v>
      </c>
      <c r="F2695" s="199" t="s">
        <v>27188</v>
      </c>
      <c r="G2695" s="1" t="s">
        <v>27189</v>
      </c>
      <c r="H2695" s="200"/>
      <c r="I2695" s="346"/>
      <c r="J2695" s="39">
        <v>110964</v>
      </c>
      <c r="K2695" s="36" t="str">
        <f>CONCATENATE(Cover!$D$6,"fdd/view?i=",J2695)</f>
        <v>https://www.dgiwg.org/FAD/fdd/view?i=110964</v>
      </c>
      <c r="L2695" s="36" t="s">
        <v>27190</v>
      </c>
      <c r="M2695" s="186"/>
      <c r="N2695" s="186"/>
      <c r="O2695" s="172"/>
    </row>
    <row r="2696" spans="1:15" ht="38.25" x14ac:dyDescent="0.2">
      <c r="A2696" s="197" t="str">
        <f t="shared" si="42"/>
        <v>CspCode_flowers</v>
      </c>
      <c r="B2696" s="409"/>
      <c r="C2696" s="416"/>
      <c r="D2696" s="198" t="s">
        <v>27191</v>
      </c>
      <c r="E2696" s="198">
        <v>86</v>
      </c>
      <c r="F2696" s="199" t="s">
        <v>27192</v>
      </c>
      <c r="G2696" s="1" t="s">
        <v>27193</v>
      </c>
      <c r="H2696" s="200"/>
      <c r="I2696" s="346"/>
      <c r="J2696" s="39">
        <v>110965</v>
      </c>
      <c r="K2696" s="36" t="str">
        <f>CONCATENATE(Cover!$D$6,"fdd/view?i=",J2696)</f>
        <v>https://www.dgiwg.org/FAD/fdd/view?i=110965</v>
      </c>
      <c r="L2696" s="36" t="s">
        <v>27194</v>
      </c>
      <c r="M2696" s="186"/>
      <c r="N2696" s="186"/>
      <c r="O2696" s="172"/>
    </row>
    <row r="2697" spans="1:15" ht="25.5" x14ac:dyDescent="0.2">
      <c r="A2697" s="197" t="str">
        <f t="shared" si="42"/>
        <v>CspCode_forageCrop</v>
      </c>
      <c r="B2697" s="409"/>
      <c r="C2697" s="416"/>
      <c r="D2697" s="198" t="s">
        <v>27195</v>
      </c>
      <c r="E2697" s="198">
        <v>87</v>
      </c>
      <c r="F2697" s="199" t="s">
        <v>27196</v>
      </c>
      <c r="G2697" s="1" t="s">
        <v>27197</v>
      </c>
      <c r="H2697" s="200"/>
      <c r="I2697" s="346"/>
      <c r="J2697" s="39">
        <v>110966</v>
      </c>
      <c r="K2697" s="36" t="str">
        <f>CONCATENATE(Cover!$D$6,"fdd/view?i=",J2697)</f>
        <v>https://www.dgiwg.org/FAD/fdd/view?i=110966</v>
      </c>
      <c r="L2697" s="36" t="s">
        <v>27198</v>
      </c>
      <c r="M2697" s="186"/>
      <c r="N2697" s="186"/>
      <c r="O2697" s="172"/>
    </row>
    <row r="2698" spans="1:15" ht="25.5" x14ac:dyDescent="0.2">
      <c r="A2698" s="197" t="str">
        <f t="shared" si="42"/>
        <v>CspCode_fruitTree</v>
      </c>
      <c r="B2698" s="409"/>
      <c r="C2698" s="416"/>
      <c r="D2698" s="198" t="s">
        <v>27199</v>
      </c>
      <c r="E2698" s="198">
        <v>15</v>
      </c>
      <c r="F2698" s="199" t="s">
        <v>27200</v>
      </c>
      <c r="G2698" s="1" t="s">
        <v>27201</v>
      </c>
      <c r="H2698" s="1" t="s">
        <v>27202</v>
      </c>
      <c r="I2698" s="346"/>
      <c r="J2698" s="39">
        <v>110128</v>
      </c>
      <c r="K2698" s="36" t="str">
        <f>CONCATENATE(Cover!$D$6,"fdd/view?i=",J2698)</f>
        <v>https://www.dgiwg.org/FAD/fdd/view?i=110128</v>
      </c>
      <c r="L2698" s="36" t="s">
        <v>27203</v>
      </c>
      <c r="M2698" s="186"/>
      <c r="N2698" s="186"/>
      <c r="O2698" s="172"/>
    </row>
    <row r="2699" spans="1:15" ht="38.25" x14ac:dyDescent="0.2">
      <c r="A2699" s="197" t="str">
        <f t="shared" si="42"/>
        <v>CspCode_garlic</v>
      </c>
      <c r="B2699" s="409"/>
      <c r="C2699" s="416"/>
      <c r="D2699" s="198" t="s">
        <v>27204</v>
      </c>
      <c r="E2699" s="198">
        <v>88</v>
      </c>
      <c r="F2699" s="199" t="s">
        <v>27205</v>
      </c>
      <c r="G2699" s="1" t="s">
        <v>27206</v>
      </c>
      <c r="H2699" s="1" t="s">
        <v>27207</v>
      </c>
      <c r="I2699" s="346"/>
      <c r="J2699" s="39">
        <v>110967</v>
      </c>
      <c r="K2699" s="36" t="str">
        <f>CONCATENATE(Cover!$D$6,"fdd/view?i=",J2699)</f>
        <v>https://www.dgiwg.org/FAD/fdd/view?i=110967</v>
      </c>
      <c r="L2699" s="36" t="s">
        <v>27208</v>
      </c>
      <c r="M2699" s="186"/>
      <c r="N2699" s="186"/>
      <c r="O2699" s="172"/>
    </row>
    <row r="2700" spans="1:15" ht="38.25" x14ac:dyDescent="0.2">
      <c r="A2700" s="197" t="str">
        <f t="shared" si="42"/>
        <v>CspCode_ginger</v>
      </c>
      <c r="B2700" s="409"/>
      <c r="C2700" s="416"/>
      <c r="D2700" s="198" t="s">
        <v>27209</v>
      </c>
      <c r="E2700" s="198">
        <v>89</v>
      </c>
      <c r="F2700" s="199" t="s">
        <v>27210</v>
      </c>
      <c r="G2700" s="1" t="s">
        <v>27211</v>
      </c>
      <c r="H2700" s="1" t="s">
        <v>27212</v>
      </c>
      <c r="I2700" s="346"/>
      <c r="J2700" s="39">
        <v>110968</v>
      </c>
      <c r="K2700" s="36" t="str">
        <f>CONCATENATE(Cover!$D$6,"fdd/view?i=",J2700)</f>
        <v>https://www.dgiwg.org/FAD/fdd/view?i=110968</v>
      </c>
      <c r="L2700" s="36" t="s">
        <v>27213</v>
      </c>
      <c r="M2700" s="186"/>
      <c r="N2700" s="186"/>
      <c r="O2700" s="172"/>
    </row>
    <row r="2701" spans="1:15" ht="25.5" x14ac:dyDescent="0.2">
      <c r="A2701" s="197" t="str">
        <f t="shared" si="42"/>
        <v>CspCode_grape</v>
      </c>
      <c r="B2701" s="409"/>
      <c r="C2701" s="416"/>
      <c r="D2701" s="198" t="s">
        <v>27214</v>
      </c>
      <c r="E2701" s="198">
        <v>16</v>
      </c>
      <c r="F2701" s="199" t="s">
        <v>27215</v>
      </c>
      <c r="G2701" s="1" t="s">
        <v>27216</v>
      </c>
      <c r="H2701" s="1" t="s">
        <v>27217</v>
      </c>
      <c r="I2701" s="346"/>
      <c r="J2701" s="39">
        <v>110129</v>
      </c>
      <c r="K2701" s="36" t="str">
        <f>CONCATENATE(Cover!$D$6,"fdd/view?i=",J2701)</f>
        <v>https://www.dgiwg.org/FAD/fdd/view?i=110129</v>
      </c>
      <c r="L2701" s="36" t="s">
        <v>27218</v>
      </c>
      <c r="M2701" s="186"/>
      <c r="N2701" s="186"/>
      <c r="O2701" s="172"/>
    </row>
    <row r="2702" spans="1:15" ht="25.5" x14ac:dyDescent="0.2">
      <c r="A2702" s="197" t="str">
        <f t="shared" si="42"/>
        <v>CspCode_grapefruit</v>
      </c>
      <c r="B2702" s="409"/>
      <c r="C2702" s="416"/>
      <c r="D2702" s="198" t="s">
        <v>27219</v>
      </c>
      <c r="E2702" s="198">
        <v>90</v>
      </c>
      <c r="F2702" s="199" t="s">
        <v>27220</v>
      </c>
      <c r="G2702" s="1" t="s">
        <v>27221</v>
      </c>
      <c r="H2702" s="1" t="s">
        <v>27222</v>
      </c>
      <c r="I2702" s="346"/>
      <c r="J2702" s="39">
        <v>110969</v>
      </c>
      <c r="K2702" s="36" t="str">
        <f>CONCATENATE(Cover!$D$6,"fdd/view?i=",J2702)</f>
        <v>https://www.dgiwg.org/FAD/fdd/view?i=110969</v>
      </c>
      <c r="L2702" s="36" t="s">
        <v>27223</v>
      </c>
      <c r="M2702" s="186"/>
      <c r="N2702" s="186"/>
      <c r="O2702" s="172"/>
    </row>
    <row r="2703" spans="1:15" ht="38.25" x14ac:dyDescent="0.2">
      <c r="A2703" s="197" t="str">
        <f t="shared" si="42"/>
        <v>CspCode_greenPepper</v>
      </c>
      <c r="B2703" s="409"/>
      <c r="C2703" s="416"/>
      <c r="D2703" s="198" t="s">
        <v>27224</v>
      </c>
      <c r="E2703" s="198">
        <v>91</v>
      </c>
      <c r="F2703" s="199" t="s">
        <v>27225</v>
      </c>
      <c r="G2703" s="1" t="s">
        <v>27226</v>
      </c>
      <c r="H2703" s="1" t="s">
        <v>27227</v>
      </c>
      <c r="I2703" s="351" t="s">
        <v>27228</v>
      </c>
      <c r="J2703" s="39">
        <v>110970</v>
      </c>
      <c r="K2703" s="36" t="str">
        <f>CONCATENATE(Cover!$D$6,"fdd/view?i=",J2703)</f>
        <v>https://www.dgiwg.org/FAD/fdd/view?i=110970</v>
      </c>
      <c r="L2703" s="36" t="s">
        <v>27229</v>
      </c>
      <c r="M2703" s="186"/>
      <c r="N2703" s="186"/>
      <c r="O2703" s="172"/>
    </row>
    <row r="2704" spans="1:15" ht="25.5" x14ac:dyDescent="0.2">
      <c r="A2704" s="197" t="str">
        <f t="shared" si="42"/>
        <v>CspCode_greenVegetable</v>
      </c>
      <c r="B2704" s="409"/>
      <c r="C2704" s="416"/>
      <c r="D2704" s="198" t="s">
        <v>27230</v>
      </c>
      <c r="E2704" s="198">
        <v>92</v>
      </c>
      <c r="F2704" s="199" t="s">
        <v>27231</v>
      </c>
      <c r="G2704" s="1" t="s">
        <v>27232</v>
      </c>
      <c r="H2704" s="200"/>
      <c r="I2704" s="346"/>
      <c r="J2704" s="39">
        <v>110971</v>
      </c>
      <c r="K2704" s="36" t="str">
        <f>CONCATENATE(Cover!$D$6,"fdd/view?i=",J2704)</f>
        <v>https://www.dgiwg.org/FAD/fdd/view?i=110971</v>
      </c>
      <c r="L2704" s="36" t="s">
        <v>27233</v>
      </c>
      <c r="M2704" s="186"/>
      <c r="N2704" s="186"/>
      <c r="O2704" s="172"/>
    </row>
    <row r="2705" spans="1:15" ht="25.5" x14ac:dyDescent="0.2">
      <c r="A2705" s="197" t="str">
        <f t="shared" si="42"/>
        <v>CspCode_gumArabic</v>
      </c>
      <c r="B2705" s="409"/>
      <c r="C2705" s="416"/>
      <c r="D2705" s="198" t="s">
        <v>27234</v>
      </c>
      <c r="E2705" s="198">
        <v>93</v>
      </c>
      <c r="F2705" s="199" t="s">
        <v>27235</v>
      </c>
      <c r="G2705" s="1" t="s">
        <v>27236</v>
      </c>
      <c r="H2705" s="200"/>
      <c r="I2705" s="346"/>
      <c r="J2705" s="39">
        <v>110972</v>
      </c>
      <c r="K2705" s="36" t="str">
        <f>CONCATENATE(Cover!$D$6,"fdd/view?i=",J2705)</f>
        <v>https://www.dgiwg.org/FAD/fdd/view?i=110972</v>
      </c>
      <c r="L2705" s="36" t="s">
        <v>27237</v>
      </c>
      <c r="M2705" s="186"/>
      <c r="N2705" s="186"/>
      <c r="O2705" s="172"/>
    </row>
    <row r="2706" spans="1:15" ht="25.5" x14ac:dyDescent="0.2">
      <c r="A2706" s="197" t="str">
        <f t="shared" si="42"/>
        <v>CspCode_hardwood</v>
      </c>
      <c r="B2706" s="409"/>
      <c r="C2706" s="416"/>
      <c r="D2706" s="198" t="s">
        <v>27238</v>
      </c>
      <c r="E2706" s="198">
        <v>94</v>
      </c>
      <c r="F2706" s="199" t="s">
        <v>27239</v>
      </c>
      <c r="G2706" s="1" t="s">
        <v>27240</v>
      </c>
      <c r="H2706" s="200"/>
      <c r="I2706" s="346"/>
      <c r="J2706" s="39">
        <v>110973</v>
      </c>
      <c r="K2706" s="36" t="str">
        <f>CONCATENATE(Cover!$D$6,"fdd/view?i=",J2706)</f>
        <v>https://www.dgiwg.org/FAD/fdd/view?i=110973</v>
      </c>
      <c r="L2706" s="36" t="s">
        <v>27241</v>
      </c>
      <c r="M2706" s="186"/>
      <c r="N2706" s="186"/>
      <c r="O2706" s="172"/>
    </row>
    <row r="2707" spans="1:15" ht="38.25" x14ac:dyDescent="0.2">
      <c r="A2707" s="197" t="str">
        <f t="shared" si="42"/>
        <v>CspCode_hazelnut</v>
      </c>
      <c r="B2707" s="409"/>
      <c r="C2707" s="416"/>
      <c r="D2707" s="198" t="s">
        <v>27242</v>
      </c>
      <c r="E2707" s="198">
        <v>17</v>
      </c>
      <c r="F2707" s="199" t="s">
        <v>27243</v>
      </c>
      <c r="G2707" s="1" t="s">
        <v>27244</v>
      </c>
      <c r="H2707" s="1" t="s">
        <v>27245</v>
      </c>
      <c r="I2707" s="346"/>
      <c r="J2707" s="39">
        <v>110130</v>
      </c>
      <c r="K2707" s="36" t="str">
        <f>CONCATENATE(Cover!$D$6,"fdd/view?i=",J2707)</f>
        <v>https://www.dgiwg.org/FAD/fdd/view?i=110130</v>
      </c>
      <c r="L2707" s="36" t="s">
        <v>27246</v>
      </c>
      <c r="M2707" s="186"/>
      <c r="N2707" s="186"/>
      <c r="O2707" s="172"/>
    </row>
    <row r="2708" spans="1:15" ht="25.5" x14ac:dyDescent="0.2">
      <c r="A2708" s="197" t="str">
        <f t="shared" si="42"/>
        <v>CspCode_honeydewMelon</v>
      </c>
      <c r="B2708" s="409"/>
      <c r="C2708" s="416"/>
      <c r="D2708" s="198" t="s">
        <v>27247</v>
      </c>
      <c r="E2708" s="198">
        <v>96</v>
      </c>
      <c r="F2708" s="199" t="s">
        <v>27248</v>
      </c>
      <c r="G2708" s="1" t="s">
        <v>27249</v>
      </c>
      <c r="H2708" s="200"/>
      <c r="I2708" s="346"/>
      <c r="J2708" s="39">
        <v>110975</v>
      </c>
      <c r="K2708" s="36" t="str">
        <f>CONCATENATE(Cover!$D$6,"fdd/view?i=",J2708)</f>
        <v>https://www.dgiwg.org/FAD/fdd/view?i=110975</v>
      </c>
      <c r="L2708" s="36" t="s">
        <v>27250</v>
      </c>
      <c r="M2708" s="186"/>
      <c r="N2708" s="186"/>
      <c r="O2708" s="172"/>
    </row>
    <row r="2709" spans="1:15" ht="51" x14ac:dyDescent="0.2">
      <c r="A2709" s="197" t="str">
        <f t="shared" si="42"/>
        <v>CspCode_hop</v>
      </c>
      <c r="B2709" s="409"/>
      <c r="C2709" s="416"/>
      <c r="D2709" s="198" t="s">
        <v>27251</v>
      </c>
      <c r="E2709" s="198">
        <v>18</v>
      </c>
      <c r="F2709" s="199" t="s">
        <v>27252</v>
      </c>
      <c r="G2709" s="1" t="s">
        <v>27253</v>
      </c>
      <c r="H2709" s="1" t="s">
        <v>27254</v>
      </c>
      <c r="I2709" s="346"/>
      <c r="J2709" s="39">
        <v>110131</v>
      </c>
      <c r="K2709" s="36" t="str">
        <f>CONCATENATE(Cover!$D$6,"fdd/view?i=",J2709)</f>
        <v>https://www.dgiwg.org/FAD/fdd/view?i=110131</v>
      </c>
      <c r="L2709" s="36" t="s">
        <v>27255</v>
      </c>
      <c r="M2709" s="186"/>
      <c r="N2709" s="186"/>
      <c r="O2709" s="172"/>
    </row>
    <row r="2710" spans="1:15" ht="38.25" x14ac:dyDescent="0.2">
      <c r="A2710" s="197" t="str">
        <f t="shared" si="42"/>
        <v>CspCode_jute</v>
      </c>
      <c r="B2710" s="409"/>
      <c r="C2710" s="416"/>
      <c r="D2710" s="198" t="s">
        <v>27256</v>
      </c>
      <c r="E2710" s="198">
        <v>97</v>
      </c>
      <c r="F2710" s="199" t="s">
        <v>27257</v>
      </c>
      <c r="G2710" s="1" t="s">
        <v>27258</v>
      </c>
      <c r="H2710" s="1" t="s">
        <v>27259</v>
      </c>
      <c r="I2710" s="346"/>
      <c r="J2710" s="39">
        <v>110976</v>
      </c>
      <c r="K2710" s="36" t="str">
        <f>CONCATENATE(Cover!$D$6,"fdd/view?i=",J2710)</f>
        <v>https://www.dgiwg.org/FAD/fdd/view?i=110976</v>
      </c>
      <c r="L2710" s="36" t="s">
        <v>27260</v>
      </c>
      <c r="M2710" s="186"/>
      <c r="N2710" s="186"/>
      <c r="O2710" s="172"/>
    </row>
    <row r="2711" spans="1:15" ht="25.5" x14ac:dyDescent="0.2">
      <c r="A2711" s="197" t="str">
        <f t="shared" si="42"/>
        <v>CspCode_kentiaPalm</v>
      </c>
      <c r="B2711" s="409"/>
      <c r="C2711" s="416"/>
      <c r="D2711" s="198" t="s">
        <v>27261</v>
      </c>
      <c r="E2711" s="198">
        <v>98</v>
      </c>
      <c r="F2711" s="199" t="s">
        <v>27262</v>
      </c>
      <c r="G2711" s="1" t="s">
        <v>27263</v>
      </c>
      <c r="H2711" s="1" t="s">
        <v>27264</v>
      </c>
      <c r="I2711" s="346"/>
      <c r="J2711" s="39">
        <v>110977</v>
      </c>
      <c r="K2711" s="36" t="str">
        <f>CONCATENATE(Cover!$D$6,"fdd/view?i=",J2711)</f>
        <v>https://www.dgiwg.org/FAD/fdd/view?i=110977</v>
      </c>
      <c r="L2711" s="36" t="s">
        <v>27265</v>
      </c>
      <c r="M2711" s="186"/>
      <c r="N2711" s="186"/>
      <c r="O2711" s="172"/>
    </row>
    <row r="2712" spans="1:15" ht="25.5" x14ac:dyDescent="0.2">
      <c r="A2712" s="197" t="str">
        <f t="shared" si="42"/>
        <v>CspCode_khat</v>
      </c>
      <c r="B2712" s="409"/>
      <c r="C2712" s="416"/>
      <c r="D2712" s="198" t="s">
        <v>27266</v>
      </c>
      <c r="E2712" s="198">
        <v>99</v>
      </c>
      <c r="F2712" s="199" t="s">
        <v>27267</v>
      </c>
      <c r="G2712" s="1" t="s">
        <v>27268</v>
      </c>
      <c r="H2712" s="1" t="s">
        <v>27269</v>
      </c>
      <c r="I2712" s="346"/>
      <c r="J2712" s="39">
        <v>110978</v>
      </c>
      <c r="K2712" s="36" t="str">
        <f>CONCATENATE(Cover!$D$6,"fdd/view?i=",J2712)</f>
        <v>https://www.dgiwg.org/FAD/fdd/view?i=110978</v>
      </c>
      <c r="L2712" s="36" t="s">
        <v>27270</v>
      </c>
      <c r="M2712" s="186"/>
      <c r="N2712" s="186"/>
      <c r="O2712" s="172"/>
    </row>
    <row r="2713" spans="1:15" ht="38.25" x14ac:dyDescent="0.2">
      <c r="A2713" s="197" t="str">
        <f t="shared" si="42"/>
        <v>CspCode_kiwi</v>
      </c>
      <c r="B2713" s="409"/>
      <c r="C2713" s="416"/>
      <c r="D2713" s="198" t="s">
        <v>27271</v>
      </c>
      <c r="E2713" s="198">
        <v>100</v>
      </c>
      <c r="F2713" s="199" t="s">
        <v>27272</v>
      </c>
      <c r="G2713" s="1" t="s">
        <v>27273</v>
      </c>
      <c r="H2713" s="1" t="s">
        <v>27274</v>
      </c>
      <c r="I2713" s="346"/>
      <c r="J2713" s="39">
        <v>110979</v>
      </c>
      <c r="K2713" s="36" t="str">
        <f>CONCATENATE(Cover!$D$6,"fdd/view?i=",J2713)</f>
        <v>https://www.dgiwg.org/FAD/fdd/view?i=110979</v>
      </c>
      <c r="L2713" s="36" t="s">
        <v>27275</v>
      </c>
      <c r="M2713" s="186"/>
      <c r="N2713" s="186"/>
      <c r="O2713" s="172"/>
    </row>
    <row r="2714" spans="1:15" ht="63.75" x14ac:dyDescent="0.2">
      <c r="A2714" s="197" t="str">
        <f t="shared" si="42"/>
        <v>CspCode_lavender</v>
      </c>
      <c r="B2714" s="409"/>
      <c r="C2714" s="416"/>
      <c r="D2714" s="198" t="s">
        <v>27276</v>
      </c>
      <c r="E2714" s="198">
        <v>155</v>
      </c>
      <c r="F2714" s="199" t="s">
        <v>27277</v>
      </c>
      <c r="G2714" s="1" t="s">
        <v>27278</v>
      </c>
      <c r="H2714" s="200"/>
      <c r="I2714" s="346"/>
      <c r="J2714" s="39">
        <v>118466</v>
      </c>
      <c r="K2714" s="36" t="str">
        <f>CONCATENATE(Cover!$D$6,"fdd/view?i=",J2714)</f>
        <v>https://www.dgiwg.org/FAD/fdd/view?i=118466</v>
      </c>
      <c r="L2714" s="36" t="s">
        <v>27279</v>
      </c>
      <c r="M2714" s="186"/>
      <c r="N2714" s="186"/>
      <c r="O2714" s="172"/>
    </row>
    <row r="2715" spans="1:15" ht="25.5" x14ac:dyDescent="0.2">
      <c r="A2715" s="197" t="str">
        <f t="shared" si="42"/>
        <v>CspCode_lemon</v>
      </c>
      <c r="B2715" s="409"/>
      <c r="C2715" s="416"/>
      <c r="D2715" s="198" t="s">
        <v>27280</v>
      </c>
      <c r="E2715" s="198">
        <v>101</v>
      </c>
      <c r="F2715" s="199" t="s">
        <v>27281</v>
      </c>
      <c r="G2715" s="1" t="s">
        <v>27282</v>
      </c>
      <c r="H2715" s="1" t="s">
        <v>27283</v>
      </c>
      <c r="I2715" s="346"/>
      <c r="J2715" s="39">
        <v>110980</v>
      </c>
      <c r="K2715" s="36" t="str">
        <f>CONCATENATE(Cover!$D$6,"fdd/view?i=",J2715)</f>
        <v>https://www.dgiwg.org/FAD/fdd/view?i=110980</v>
      </c>
      <c r="L2715" s="36" t="s">
        <v>27284</v>
      </c>
      <c r="M2715" s="186"/>
      <c r="N2715" s="186"/>
      <c r="O2715" s="172"/>
    </row>
    <row r="2716" spans="1:15" ht="25.5" x14ac:dyDescent="0.2">
      <c r="A2716" s="197" t="str">
        <f t="shared" si="42"/>
        <v>CspCode_lentil</v>
      </c>
      <c r="B2716" s="409"/>
      <c r="C2716" s="416"/>
      <c r="D2716" s="198" t="s">
        <v>27285</v>
      </c>
      <c r="E2716" s="198">
        <v>102</v>
      </c>
      <c r="F2716" s="199" t="s">
        <v>27286</v>
      </c>
      <c r="G2716" s="1" t="s">
        <v>27287</v>
      </c>
      <c r="H2716" s="1" t="s">
        <v>27288</v>
      </c>
      <c r="I2716" s="346"/>
      <c r="J2716" s="39">
        <v>110981</v>
      </c>
      <c r="K2716" s="36" t="str">
        <f>CONCATENATE(Cover!$D$6,"fdd/view?i=",J2716)</f>
        <v>https://www.dgiwg.org/FAD/fdd/view?i=110981</v>
      </c>
      <c r="L2716" s="36" t="s">
        <v>27289</v>
      </c>
      <c r="M2716" s="186"/>
      <c r="N2716" s="186"/>
      <c r="O2716" s="172"/>
    </row>
    <row r="2717" spans="1:15" ht="38.25" x14ac:dyDescent="0.2">
      <c r="A2717" s="197" t="str">
        <f t="shared" si="42"/>
        <v>CspCode_lettuce</v>
      </c>
      <c r="B2717" s="409"/>
      <c r="C2717" s="416"/>
      <c r="D2717" s="198" t="s">
        <v>27290</v>
      </c>
      <c r="E2717" s="198">
        <v>103</v>
      </c>
      <c r="F2717" s="199" t="s">
        <v>27291</v>
      </c>
      <c r="G2717" s="1" t="s">
        <v>27292</v>
      </c>
      <c r="H2717" s="200"/>
      <c r="I2717" s="346"/>
      <c r="J2717" s="39">
        <v>110982</v>
      </c>
      <c r="K2717" s="36" t="str">
        <f>CONCATENATE(Cover!$D$6,"fdd/view?i=",J2717)</f>
        <v>https://www.dgiwg.org/FAD/fdd/view?i=110982</v>
      </c>
      <c r="L2717" s="36" t="s">
        <v>27293</v>
      </c>
      <c r="M2717" s="186"/>
      <c r="N2717" s="186"/>
      <c r="O2717" s="172"/>
    </row>
    <row r="2718" spans="1:15" ht="38.25" x14ac:dyDescent="0.2">
      <c r="A2718" s="197" t="str">
        <f t="shared" si="42"/>
        <v>CspCode_lime</v>
      </c>
      <c r="B2718" s="409"/>
      <c r="C2718" s="416"/>
      <c r="D2718" s="198" t="s">
        <v>27294</v>
      </c>
      <c r="E2718" s="198">
        <v>104</v>
      </c>
      <c r="F2718" s="199" t="s">
        <v>27295</v>
      </c>
      <c r="G2718" s="1" t="s">
        <v>27296</v>
      </c>
      <c r="H2718" s="200"/>
      <c r="I2718" s="346"/>
      <c r="J2718" s="39">
        <v>110983</v>
      </c>
      <c r="K2718" s="36" t="str">
        <f>CONCATENATE(Cover!$D$6,"fdd/view?i=",J2718)</f>
        <v>https://www.dgiwg.org/FAD/fdd/view?i=110983</v>
      </c>
      <c r="L2718" s="36" t="s">
        <v>27297</v>
      </c>
      <c r="M2718" s="186"/>
      <c r="N2718" s="186"/>
      <c r="O2718" s="172"/>
    </row>
    <row r="2719" spans="1:15" ht="38.25" x14ac:dyDescent="0.2">
      <c r="A2719" s="197" t="str">
        <f t="shared" si="42"/>
        <v>CspCode_macadamia</v>
      </c>
      <c r="B2719" s="409"/>
      <c r="C2719" s="416"/>
      <c r="D2719" s="198" t="s">
        <v>27298</v>
      </c>
      <c r="E2719" s="198">
        <v>105</v>
      </c>
      <c r="F2719" s="199" t="s">
        <v>27299</v>
      </c>
      <c r="G2719" s="1" t="s">
        <v>27300</v>
      </c>
      <c r="H2719" s="200"/>
      <c r="I2719" s="346"/>
      <c r="J2719" s="39">
        <v>110984</v>
      </c>
      <c r="K2719" s="36" t="str">
        <f>CONCATENATE(Cover!$D$6,"fdd/view?i=",J2719)</f>
        <v>https://www.dgiwg.org/FAD/fdd/view?i=110984</v>
      </c>
      <c r="L2719" s="36" t="s">
        <v>27301</v>
      </c>
      <c r="M2719" s="186"/>
      <c r="N2719" s="186"/>
      <c r="O2719" s="172"/>
    </row>
    <row r="2720" spans="1:15" ht="25.5" x14ac:dyDescent="0.2">
      <c r="A2720" s="197" t="str">
        <f t="shared" si="42"/>
        <v>CspCode_mace</v>
      </c>
      <c r="B2720" s="409"/>
      <c r="C2720" s="416"/>
      <c r="D2720" s="198" t="s">
        <v>27302</v>
      </c>
      <c r="E2720" s="198">
        <v>106</v>
      </c>
      <c r="F2720" s="199" t="s">
        <v>27303</v>
      </c>
      <c r="G2720" s="1" t="s">
        <v>27304</v>
      </c>
      <c r="H2720" s="200"/>
      <c r="I2720" s="346"/>
      <c r="J2720" s="39">
        <v>110985</v>
      </c>
      <c r="K2720" s="36" t="str">
        <f>CONCATENATE(Cover!$D$6,"fdd/view?i=",J2720)</f>
        <v>https://www.dgiwg.org/FAD/fdd/view?i=110985</v>
      </c>
      <c r="L2720" s="36" t="s">
        <v>27305</v>
      </c>
      <c r="M2720" s="186"/>
      <c r="N2720" s="186"/>
      <c r="O2720" s="172"/>
    </row>
    <row r="2721" spans="1:15" ht="38.25" x14ac:dyDescent="0.2">
      <c r="A2721" s="197" t="str">
        <f t="shared" si="42"/>
        <v>CspCode_maize</v>
      </c>
      <c r="B2721" s="409"/>
      <c r="C2721" s="416"/>
      <c r="D2721" s="198" t="s">
        <v>27306</v>
      </c>
      <c r="E2721" s="198">
        <v>11</v>
      </c>
      <c r="F2721" s="199" t="s">
        <v>27307</v>
      </c>
      <c r="G2721" s="1" t="s">
        <v>27308</v>
      </c>
      <c r="H2721" s="200"/>
      <c r="I2721" s="351" t="s">
        <v>27309</v>
      </c>
      <c r="J2721" s="39">
        <v>110124</v>
      </c>
      <c r="K2721" s="36" t="str">
        <f>CONCATENATE(Cover!$D$6,"fdd/view?i=",J2721)</f>
        <v>https://www.dgiwg.org/FAD/fdd/view?i=110124</v>
      </c>
      <c r="L2721" s="36" t="s">
        <v>27310</v>
      </c>
      <c r="M2721" s="186"/>
      <c r="N2721" s="186"/>
      <c r="O2721" s="172"/>
    </row>
    <row r="2722" spans="1:15" ht="25.5" x14ac:dyDescent="0.2">
      <c r="A2722" s="197" t="str">
        <f t="shared" si="42"/>
        <v>CspCode_mango</v>
      </c>
      <c r="B2722" s="409"/>
      <c r="C2722" s="416"/>
      <c r="D2722" s="198" t="s">
        <v>27311</v>
      </c>
      <c r="E2722" s="198">
        <v>107</v>
      </c>
      <c r="F2722" s="199" t="s">
        <v>27312</v>
      </c>
      <c r="G2722" s="1" t="s">
        <v>27313</v>
      </c>
      <c r="H2722" s="1" t="s">
        <v>27314</v>
      </c>
      <c r="I2722" s="346"/>
      <c r="J2722" s="39">
        <v>110986</v>
      </c>
      <c r="K2722" s="36" t="str">
        <f>CONCATENATE(Cover!$D$6,"fdd/view?i=",J2722)</f>
        <v>https://www.dgiwg.org/FAD/fdd/view?i=110986</v>
      </c>
      <c r="L2722" s="36" t="s">
        <v>27315</v>
      </c>
      <c r="M2722" s="186"/>
      <c r="N2722" s="186"/>
      <c r="O2722" s="172"/>
    </row>
    <row r="2723" spans="1:15" ht="38.25" x14ac:dyDescent="0.2">
      <c r="A2723" s="197" t="str">
        <f t="shared" si="42"/>
        <v>CspCode_maple</v>
      </c>
      <c r="B2723" s="409"/>
      <c r="C2723" s="416"/>
      <c r="D2723" s="198" t="s">
        <v>27316</v>
      </c>
      <c r="E2723" s="198">
        <v>19</v>
      </c>
      <c r="F2723" s="199" t="s">
        <v>27317</v>
      </c>
      <c r="G2723" s="1" t="s">
        <v>27318</v>
      </c>
      <c r="H2723" s="1" t="s">
        <v>27319</v>
      </c>
      <c r="I2723" s="346"/>
      <c r="J2723" s="39">
        <v>110132</v>
      </c>
      <c r="K2723" s="36" t="str">
        <f>CONCATENATE(Cover!$D$6,"fdd/view?i=",J2723)</f>
        <v>https://www.dgiwg.org/FAD/fdd/view?i=110132</v>
      </c>
      <c r="L2723" s="36" t="s">
        <v>27320</v>
      </c>
      <c r="M2723" s="186"/>
      <c r="N2723" s="186"/>
      <c r="O2723" s="172"/>
    </row>
    <row r="2724" spans="1:15" ht="25.5" x14ac:dyDescent="0.2">
      <c r="A2724" s="197" t="str">
        <f t="shared" si="42"/>
        <v>CspCode_melon</v>
      </c>
      <c r="B2724" s="409"/>
      <c r="C2724" s="416"/>
      <c r="D2724" s="198" t="s">
        <v>27321</v>
      </c>
      <c r="E2724" s="198">
        <v>108</v>
      </c>
      <c r="F2724" s="199" t="s">
        <v>27322</v>
      </c>
      <c r="G2724" s="1" t="s">
        <v>27323</v>
      </c>
      <c r="H2724" s="200"/>
      <c r="I2724" s="346"/>
      <c r="J2724" s="39">
        <v>110987</v>
      </c>
      <c r="K2724" s="36" t="str">
        <f>CONCATENATE(Cover!$D$6,"fdd/view?i=",J2724)</f>
        <v>https://www.dgiwg.org/FAD/fdd/view?i=110987</v>
      </c>
      <c r="L2724" s="36" t="s">
        <v>27324</v>
      </c>
      <c r="M2724" s="186"/>
      <c r="N2724" s="186"/>
      <c r="O2724" s="172"/>
    </row>
    <row r="2725" spans="1:15" ht="51" x14ac:dyDescent="0.2">
      <c r="A2725" s="197" t="str">
        <f t="shared" si="42"/>
        <v>CspCode_millet</v>
      </c>
      <c r="B2725" s="409"/>
      <c r="C2725" s="416"/>
      <c r="D2725" s="198" t="s">
        <v>27325</v>
      </c>
      <c r="E2725" s="198">
        <v>20</v>
      </c>
      <c r="F2725" s="199" t="s">
        <v>27326</v>
      </c>
      <c r="G2725" s="1" t="s">
        <v>27327</v>
      </c>
      <c r="H2725" s="1" t="s">
        <v>27328</v>
      </c>
      <c r="I2725" s="346"/>
      <c r="J2725" s="39">
        <v>110133</v>
      </c>
      <c r="K2725" s="36" t="str">
        <f>CONCATENATE(Cover!$D$6,"fdd/view?i=",J2725)</f>
        <v>https://www.dgiwg.org/FAD/fdd/view?i=110133</v>
      </c>
      <c r="L2725" s="36" t="s">
        <v>27329</v>
      </c>
      <c r="M2725" s="186"/>
      <c r="N2725" s="186"/>
      <c r="O2725" s="172"/>
    </row>
    <row r="2726" spans="1:15" ht="25.5" x14ac:dyDescent="0.2">
      <c r="A2726" s="197" t="str">
        <f t="shared" si="42"/>
        <v>CspCode_mint</v>
      </c>
      <c r="B2726" s="409"/>
      <c r="C2726" s="416"/>
      <c r="D2726" s="198" t="s">
        <v>27330</v>
      </c>
      <c r="E2726" s="198">
        <v>109</v>
      </c>
      <c r="F2726" s="199" t="s">
        <v>27331</v>
      </c>
      <c r="G2726" s="1" t="s">
        <v>27332</v>
      </c>
      <c r="H2726" s="1" t="s">
        <v>27333</v>
      </c>
      <c r="I2726" s="346"/>
      <c r="J2726" s="39">
        <v>110988</v>
      </c>
      <c r="K2726" s="36" t="str">
        <f>CONCATENATE(Cover!$D$6,"fdd/view?i=",J2726)</f>
        <v>https://www.dgiwg.org/FAD/fdd/view?i=110988</v>
      </c>
      <c r="L2726" s="36" t="s">
        <v>27334</v>
      </c>
      <c r="M2726" s="186"/>
      <c r="N2726" s="186"/>
      <c r="O2726" s="172"/>
    </row>
    <row r="2727" spans="1:15" ht="51" x14ac:dyDescent="0.2">
      <c r="A2727" s="197" t="str">
        <f t="shared" si="42"/>
        <v>CspCode_mulberry</v>
      </c>
      <c r="B2727" s="409"/>
      <c r="C2727" s="416"/>
      <c r="D2727" s="198" t="s">
        <v>27335</v>
      </c>
      <c r="E2727" s="198">
        <v>110</v>
      </c>
      <c r="F2727" s="199" t="s">
        <v>27336</v>
      </c>
      <c r="G2727" s="1" t="s">
        <v>27337</v>
      </c>
      <c r="H2727" s="200"/>
      <c r="I2727" s="346"/>
      <c r="J2727" s="39">
        <v>110989</v>
      </c>
      <c r="K2727" s="36" t="str">
        <f>CONCATENATE(Cover!$D$6,"fdd/view?i=",J2727)</f>
        <v>https://www.dgiwg.org/FAD/fdd/view?i=110989</v>
      </c>
      <c r="L2727" s="36" t="s">
        <v>27338</v>
      </c>
      <c r="M2727" s="186"/>
      <c r="N2727" s="186"/>
      <c r="O2727" s="172"/>
    </row>
    <row r="2728" spans="1:15" ht="51" x14ac:dyDescent="0.2">
      <c r="A2728" s="197" t="str">
        <f t="shared" si="42"/>
        <v>CspCode_mustard</v>
      </c>
      <c r="B2728" s="409"/>
      <c r="C2728" s="416"/>
      <c r="D2728" s="198" t="s">
        <v>27339</v>
      </c>
      <c r="E2728" s="198">
        <v>111</v>
      </c>
      <c r="F2728" s="199" t="s">
        <v>27340</v>
      </c>
      <c r="G2728" s="1" t="s">
        <v>27341</v>
      </c>
      <c r="H2728" s="200"/>
      <c r="I2728" s="346"/>
      <c r="J2728" s="39">
        <v>110990</v>
      </c>
      <c r="K2728" s="36" t="str">
        <f>CONCATENATE(Cover!$D$6,"fdd/view?i=",J2728)</f>
        <v>https://www.dgiwg.org/FAD/fdd/view?i=110990</v>
      </c>
      <c r="L2728" s="36" t="s">
        <v>27342</v>
      </c>
      <c r="M2728" s="186"/>
      <c r="N2728" s="186"/>
      <c r="O2728" s="172"/>
    </row>
    <row r="2729" spans="1:15" ht="51" x14ac:dyDescent="0.2">
      <c r="A2729" s="197" t="str">
        <f t="shared" si="42"/>
        <v>CspCode_narcoticsPlants</v>
      </c>
      <c r="B2729" s="409"/>
      <c r="C2729" s="416"/>
      <c r="D2729" s="198" t="s">
        <v>27343</v>
      </c>
      <c r="E2729" s="198">
        <v>153</v>
      </c>
      <c r="F2729" s="199" t="s">
        <v>27344</v>
      </c>
      <c r="G2729" s="1" t="s">
        <v>27345</v>
      </c>
      <c r="H2729" s="1" t="s">
        <v>27346</v>
      </c>
      <c r="I2729" s="346"/>
      <c r="J2729" s="39">
        <v>118464</v>
      </c>
      <c r="K2729" s="36" t="str">
        <f>CONCATENATE(Cover!$D$6,"fdd/view?i=",J2729)</f>
        <v>https://www.dgiwg.org/FAD/fdd/view?i=118464</v>
      </c>
      <c r="L2729" s="36" t="s">
        <v>27347</v>
      </c>
      <c r="M2729" s="186"/>
      <c r="N2729" s="186"/>
      <c r="O2729" s="172"/>
    </row>
    <row r="2730" spans="1:15" ht="25.5" x14ac:dyDescent="0.2">
      <c r="A2730" s="197" t="str">
        <f t="shared" si="42"/>
        <v>CspCode_nectarine</v>
      </c>
      <c r="B2730" s="409"/>
      <c r="C2730" s="416"/>
      <c r="D2730" s="198" t="s">
        <v>27348</v>
      </c>
      <c r="E2730" s="198">
        <v>112</v>
      </c>
      <c r="F2730" s="199" t="s">
        <v>27349</v>
      </c>
      <c r="G2730" s="1" t="s">
        <v>27350</v>
      </c>
      <c r="H2730" s="200"/>
      <c r="I2730" s="346"/>
      <c r="J2730" s="39">
        <v>110991</v>
      </c>
      <c r="K2730" s="36" t="str">
        <f>CONCATENATE(Cover!$D$6,"fdd/view?i=",J2730)</f>
        <v>https://www.dgiwg.org/FAD/fdd/view?i=110991</v>
      </c>
      <c r="L2730" s="36" t="s">
        <v>27351</v>
      </c>
      <c r="M2730" s="186"/>
      <c r="N2730" s="186"/>
      <c r="O2730" s="172"/>
    </row>
    <row r="2731" spans="1:15" ht="25.5" x14ac:dyDescent="0.2">
      <c r="A2731" s="197" t="str">
        <f t="shared" si="42"/>
        <v>CspCode_nut</v>
      </c>
      <c r="B2731" s="409"/>
      <c r="C2731" s="416"/>
      <c r="D2731" s="198" t="s">
        <v>27352</v>
      </c>
      <c r="E2731" s="198">
        <v>113</v>
      </c>
      <c r="F2731" s="199" t="s">
        <v>27353</v>
      </c>
      <c r="G2731" s="1" t="s">
        <v>27354</v>
      </c>
      <c r="H2731" s="200"/>
      <c r="I2731" s="346"/>
      <c r="J2731" s="39">
        <v>110992</v>
      </c>
      <c r="K2731" s="36" t="str">
        <f>CONCATENATE(Cover!$D$6,"fdd/view?i=",J2731)</f>
        <v>https://www.dgiwg.org/FAD/fdd/view?i=110992</v>
      </c>
      <c r="L2731" s="36" t="s">
        <v>27355</v>
      </c>
      <c r="M2731" s="186"/>
      <c r="N2731" s="186"/>
      <c r="O2731" s="172"/>
    </row>
    <row r="2732" spans="1:15" ht="38.25" x14ac:dyDescent="0.2">
      <c r="A2732" s="197" t="str">
        <f t="shared" si="42"/>
        <v>CspCode_nutmeg</v>
      </c>
      <c r="B2732" s="409"/>
      <c r="C2732" s="416"/>
      <c r="D2732" s="198" t="s">
        <v>27356</v>
      </c>
      <c r="E2732" s="198">
        <v>114</v>
      </c>
      <c r="F2732" s="199" t="s">
        <v>27357</v>
      </c>
      <c r="G2732" s="1" t="s">
        <v>27358</v>
      </c>
      <c r="H2732" s="1" t="s">
        <v>27359</v>
      </c>
      <c r="I2732" s="346"/>
      <c r="J2732" s="39">
        <v>110993</v>
      </c>
      <c r="K2732" s="36" t="str">
        <f>CONCATENATE(Cover!$D$6,"fdd/view?i=",J2732)</f>
        <v>https://www.dgiwg.org/FAD/fdd/view?i=110993</v>
      </c>
      <c r="L2732" s="36" t="s">
        <v>27360</v>
      </c>
      <c r="M2732" s="186"/>
      <c r="N2732" s="186"/>
      <c r="O2732" s="172"/>
    </row>
    <row r="2733" spans="1:15" ht="25.5" x14ac:dyDescent="0.2">
      <c r="A2733" s="197" t="str">
        <f t="shared" si="42"/>
        <v>CspCode_oat</v>
      </c>
      <c r="B2733" s="409"/>
      <c r="C2733" s="416"/>
      <c r="D2733" s="198" t="s">
        <v>27361</v>
      </c>
      <c r="E2733" s="198">
        <v>21</v>
      </c>
      <c r="F2733" s="199" t="s">
        <v>27362</v>
      </c>
      <c r="G2733" s="1" t="s">
        <v>27363</v>
      </c>
      <c r="H2733" s="1" t="s">
        <v>27364</v>
      </c>
      <c r="I2733" s="346"/>
      <c r="J2733" s="39">
        <v>110134</v>
      </c>
      <c r="K2733" s="36" t="str">
        <f>CONCATENATE(Cover!$D$6,"fdd/view?i=",J2733)</f>
        <v>https://www.dgiwg.org/FAD/fdd/view?i=110134</v>
      </c>
      <c r="L2733" s="36" t="s">
        <v>27365</v>
      </c>
      <c r="M2733" s="186"/>
      <c r="N2733" s="186"/>
      <c r="O2733" s="172"/>
    </row>
    <row r="2734" spans="1:15" x14ac:dyDescent="0.2">
      <c r="A2734" s="197" t="str">
        <f t="shared" si="42"/>
        <v>CspCode_oilCrop</v>
      </c>
      <c r="B2734" s="409"/>
      <c r="C2734" s="416"/>
      <c r="D2734" s="198" t="s">
        <v>27366</v>
      </c>
      <c r="E2734" s="198">
        <v>22</v>
      </c>
      <c r="F2734" s="199" t="s">
        <v>27367</v>
      </c>
      <c r="G2734" s="1" t="s">
        <v>27368</v>
      </c>
      <c r="H2734" s="1" t="s">
        <v>27369</v>
      </c>
      <c r="I2734" s="346"/>
      <c r="J2734" s="39">
        <v>110135</v>
      </c>
      <c r="K2734" s="36" t="str">
        <f>CONCATENATE(Cover!$D$6,"fdd/view?i=",J2734)</f>
        <v>https://www.dgiwg.org/FAD/fdd/view?i=110135</v>
      </c>
      <c r="L2734" s="36" t="s">
        <v>27370</v>
      </c>
      <c r="M2734" s="186"/>
      <c r="N2734" s="186"/>
      <c r="O2734" s="172"/>
    </row>
    <row r="2735" spans="1:15" ht="25.5" x14ac:dyDescent="0.2">
      <c r="A2735" s="197" t="str">
        <f t="shared" si="42"/>
        <v>CspCode_oilPalm</v>
      </c>
      <c r="B2735" s="409"/>
      <c r="C2735" s="416"/>
      <c r="D2735" s="198" t="s">
        <v>27371</v>
      </c>
      <c r="E2735" s="198">
        <v>42</v>
      </c>
      <c r="F2735" s="199" t="s">
        <v>27372</v>
      </c>
      <c r="G2735" s="1" t="s">
        <v>27373</v>
      </c>
      <c r="H2735" s="200"/>
      <c r="I2735" s="346"/>
      <c r="J2735" s="39">
        <v>110921</v>
      </c>
      <c r="K2735" s="36" t="str">
        <f>CONCATENATE(Cover!$D$6,"fdd/view?i=",J2735)</f>
        <v>https://www.dgiwg.org/FAD/fdd/view?i=110921</v>
      </c>
      <c r="L2735" s="36" t="s">
        <v>27374</v>
      </c>
      <c r="M2735" s="186"/>
      <c r="N2735" s="186"/>
      <c r="O2735" s="172"/>
    </row>
    <row r="2736" spans="1:15" ht="25.5" x14ac:dyDescent="0.2">
      <c r="A2736" s="197" t="str">
        <f t="shared" si="42"/>
        <v>CspCode_oilseed</v>
      </c>
      <c r="B2736" s="409"/>
      <c r="C2736" s="416"/>
      <c r="D2736" s="198" t="s">
        <v>27375</v>
      </c>
      <c r="E2736" s="198">
        <v>115</v>
      </c>
      <c r="F2736" s="199" t="s">
        <v>27376</v>
      </c>
      <c r="G2736" s="1" t="s">
        <v>27377</v>
      </c>
      <c r="H2736" s="200"/>
      <c r="I2736" s="346"/>
      <c r="J2736" s="39">
        <v>110994</v>
      </c>
      <c r="K2736" s="36" t="str">
        <f>CONCATENATE(Cover!$D$6,"fdd/view?i=",J2736)</f>
        <v>https://www.dgiwg.org/FAD/fdd/view?i=110994</v>
      </c>
      <c r="L2736" s="36" t="s">
        <v>27378</v>
      </c>
      <c r="M2736" s="186"/>
      <c r="N2736" s="186"/>
      <c r="O2736" s="172"/>
    </row>
    <row r="2737" spans="1:15" ht="76.5" x14ac:dyDescent="0.2">
      <c r="A2737" s="197" t="str">
        <f t="shared" si="42"/>
        <v>CspCode_olive</v>
      </c>
      <c r="B2737" s="409"/>
      <c r="C2737" s="416"/>
      <c r="D2737" s="198" t="s">
        <v>27379</v>
      </c>
      <c r="E2737" s="198">
        <v>23</v>
      </c>
      <c r="F2737" s="199" t="s">
        <v>27380</v>
      </c>
      <c r="G2737" s="1" t="s">
        <v>27381</v>
      </c>
      <c r="H2737" s="1" t="s">
        <v>27382</v>
      </c>
      <c r="I2737" s="346"/>
      <c r="J2737" s="39">
        <v>110136</v>
      </c>
      <c r="K2737" s="36" t="str">
        <f>CONCATENATE(Cover!$D$6,"fdd/view?i=",J2737)</f>
        <v>https://www.dgiwg.org/FAD/fdd/view?i=110136</v>
      </c>
      <c r="L2737" s="36" t="s">
        <v>27383</v>
      </c>
      <c r="M2737" s="186"/>
      <c r="N2737" s="186"/>
      <c r="O2737" s="172"/>
    </row>
    <row r="2738" spans="1:15" ht="38.25" x14ac:dyDescent="0.2">
      <c r="A2738" s="197" t="str">
        <f t="shared" si="42"/>
        <v>CspCode_onion</v>
      </c>
      <c r="B2738" s="409"/>
      <c r="C2738" s="416"/>
      <c r="D2738" s="198" t="s">
        <v>27384</v>
      </c>
      <c r="E2738" s="198">
        <v>116</v>
      </c>
      <c r="F2738" s="199" t="s">
        <v>27385</v>
      </c>
      <c r="G2738" s="1" t="s">
        <v>27386</v>
      </c>
      <c r="H2738" s="1" t="s">
        <v>27387</v>
      </c>
      <c r="I2738" s="346"/>
      <c r="J2738" s="39">
        <v>110995</v>
      </c>
      <c r="K2738" s="36" t="str">
        <f>CONCATENATE(Cover!$D$6,"fdd/view?i=",J2738)</f>
        <v>https://www.dgiwg.org/FAD/fdd/view?i=110995</v>
      </c>
      <c r="L2738" s="36" t="s">
        <v>27388</v>
      </c>
      <c r="M2738" s="186"/>
      <c r="N2738" s="186"/>
      <c r="O2738" s="172"/>
    </row>
    <row r="2739" spans="1:15" ht="38.25" x14ac:dyDescent="0.2">
      <c r="A2739" s="197" t="str">
        <f t="shared" si="42"/>
        <v>CspCode_opiumPoppy</v>
      </c>
      <c r="B2739" s="409"/>
      <c r="C2739" s="416"/>
      <c r="D2739" s="198" t="s">
        <v>27389</v>
      </c>
      <c r="E2739" s="198">
        <v>117</v>
      </c>
      <c r="F2739" s="199" t="s">
        <v>27390</v>
      </c>
      <c r="G2739" s="1" t="s">
        <v>27391</v>
      </c>
      <c r="H2739" s="1" t="s">
        <v>27392</v>
      </c>
      <c r="I2739" s="346"/>
      <c r="J2739" s="39">
        <v>110996</v>
      </c>
      <c r="K2739" s="36" t="str">
        <f>CONCATENATE(Cover!$D$6,"fdd/view?i=",J2739)</f>
        <v>https://www.dgiwg.org/FAD/fdd/view?i=110996</v>
      </c>
      <c r="L2739" s="36" t="s">
        <v>27393</v>
      </c>
      <c r="M2739" s="186"/>
      <c r="N2739" s="186"/>
      <c r="O2739" s="172"/>
    </row>
    <row r="2740" spans="1:15" ht="38.25" x14ac:dyDescent="0.2">
      <c r="A2740" s="197" t="str">
        <f t="shared" si="42"/>
        <v>CspCode_orange</v>
      </c>
      <c r="B2740" s="409"/>
      <c r="C2740" s="416"/>
      <c r="D2740" s="198" t="s">
        <v>27394</v>
      </c>
      <c r="E2740" s="198">
        <v>118</v>
      </c>
      <c r="F2740" s="199" t="s">
        <v>27395</v>
      </c>
      <c r="G2740" s="1" t="s">
        <v>27396</v>
      </c>
      <c r="H2740" s="1" t="s">
        <v>27397</v>
      </c>
      <c r="I2740" s="346"/>
      <c r="J2740" s="39">
        <v>110997</v>
      </c>
      <c r="K2740" s="36" t="str">
        <f>CONCATENATE(Cover!$D$6,"fdd/view?i=",J2740)</f>
        <v>https://www.dgiwg.org/FAD/fdd/view?i=110997</v>
      </c>
      <c r="L2740" s="36" t="s">
        <v>27398</v>
      </c>
      <c r="M2740" s="186"/>
      <c r="N2740" s="186"/>
      <c r="O2740" s="172"/>
    </row>
    <row r="2741" spans="1:15" ht="76.5" x14ac:dyDescent="0.2">
      <c r="A2741" s="197" t="str">
        <f t="shared" si="42"/>
        <v>CspCode_orchid</v>
      </c>
      <c r="B2741" s="409"/>
      <c r="C2741" s="416"/>
      <c r="D2741" s="198" t="s">
        <v>27399</v>
      </c>
      <c r="E2741" s="198">
        <v>119</v>
      </c>
      <c r="F2741" s="199" t="s">
        <v>27400</v>
      </c>
      <c r="G2741" s="1" t="s">
        <v>27401</v>
      </c>
      <c r="H2741" s="200"/>
      <c r="I2741" s="346"/>
      <c r="J2741" s="39">
        <v>110998</v>
      </c>
      <c r="K2741" s="36" t="str">
        <f>CONCATENATE(Cover!$D$6,"fdd/view?i=",J2741)</f>
        <v>https://www.dgiwg.org/FAD/fdd/view?i=110998</v>
      </c>
      <c r="L2741" s="36" t="s">
        <v>27402</v>
      </c>
      <c r="M2741" s="186"/>
      <c r="N2741" s="186"/>
      <c r="O2741" s="172"/>
    </row>
    <row r="2742" spans="1:15" ht="38.25" x14ac:dyDescent="0.2">
      <c r="A2742" s="197" t="str">
        <f t="shared" si="42"/>
        <v>CspCode_ornamentalCrop</v>
      </c>
      <c r="B2742" s="409"/>
      <c r="C2742" s="416"/>
      <c r="D2742" s="198" t="s">
        <v>27403</v>
      </c>
      <c r="E2742" s="198">
        <v>159</v>
      </c>
      <c r="F2742" s="199" t="s">
        <v>27404</v>
      </c>
      <c r="G2742" s="1" t="s">
        <v>27405</v>
      </c>
      <c r="H2742" s="1" t="s">
        <v>27406</v>
      </c>
      <c r="I2742" s="346"/>
      <c r="J2742" s="39">
        <v>119116</v>
      </c>
      <c r="K2742" s="36" t="str">
        <f>CONCATENATE(Cover!$D$6,"fdd/view?i=",J2742)</f>
        <v>https://www.dgiwg.org/FAD/fdd/view?i=119116</v>
      </c>
      <c r="L2742" s="36" t="s">
        <v>27407</v>
      </c>
      <c r="M2742" s="186"/>
      <c r="N2742" s="186"/>
      <c r="O2742" s="172"/>
    </row>
    <row r="2743" spans="1:15" ht="38.25" x14ac:dyDescent="0.2">
      <c r="A2743" s="197" t="str">
        <f t="shared" si="42"/>
        <v>CspCode_palm</v>
      </c>
      <c r="B2743" s="409"/>
      <c r="C2743" s="416"/>
      <c r="D2743" s="198" t="s">
        <v>27408</v>
      </c>
      <c r="E2743" s="198">
        <v>157</v>
      </c>
      <c r="F2743" s="199" t="s">
        <v>27409</v>
      </c>
      <c r="G2743" s="1" t="s">
        <v>27410</v>
      </c>
      <c r="H2743" s="1" t="s">
        <v>27411</v>
      </c>
      <c r="I2743" s="346"/>
      <c r="J2743" s="39">
        <v>118468</v>
      </c>
      <c r="K2743" s="36" t="str">
        <f>CONCATENATE(Cover!$D$6,"fdd/view?i=",J2743)</f>
        <v>https://www.dgiwg.org/FAD/fdd/view?i=118468</v>
      </c>
      <c r="L2743" s="36" t="s">
        <v>27412</v>
      </c>
      <c r="M2743" s="186"/>
      <c r="N2743" s="186"/>
      <c r="O2743" s="172"/>
    </row>
    <row r="2744" spans="1:15" ht="63.75" x14ac:dyDescent="0.2">
      <c r="A2744" s="197" t="str">
        <f t="shared" si="42"/>
        <v>CspCode_palmetto</v>
      </c>
      <c r="B2744" s="409"/>
      <c r="C2744" s="416"/>
      <c r="D2744" s="198" t="s">
        <v>27413</v>
      </c>
      <c r="E2744" s="198">
        <v>47</v>
      </c>
      <c r="F2744" s="199" t="s">
        <v>27414</v>
      </c>
      <c r="G2744" s="1" t="s">
        <v>27415</v>
      </c>
      <c r="H2744" s="1" t="s">
        <v>27416</v>
      </c>
      <c r="I2744" s="346"/>
      <c r="J2744" s="39">
        <v>110926</v>
      </c>
      <c r="K2744" s="36" t="str">
        <f>CONCATENATE(Cover!$D$6,"fdd/view?i=",J2744)</f>
        <v>https://www.dgiwg.org/FAD/fdd/view?i=110926</v>
      </c>
      <c r="L2744" s="36" t="s">
        <v>27417</v>
      </c>
      <c r="M2744" s="186"/>
      <c r="N2744" s="186"/>
      <c r="O2744" s="172"/>
    </row>
    <row r="2745" spans="1:15" ht="25.5" x14ac:dyDescent="0.2">
      <c r="A2745" s="197" t="str">
        <f t="shared" si="42"/>
        <v>CspCode_palmKernel</v>
      </c>
      <c r="B2745" s="409"/>
      <c r="C2745" s="416"/>
      <c r="D2745" s="198" t="s">
        <v>27418</v>
      </c>
      <c r="E2745" s="198">
        <v>120</v>
      </c>
      <c r="F2745" s="199" t="s">
        <v>27419</v>
      </c>
      <c r="G2745" s="1" t="s">
        <v>27420</v>
      </c>
      <c r="H2745" s="1" t="s">
        <v>27421</v>
      </c>
      <c r="I2745" s="346"/>
      <c r="J2745" s="39">
        <v>110999</v>
      </c>
      <c r="K2745" s="36" t="str">
        <f>CONCATENATE(Cover!$D$6,"fdd/view?i=",J2745)</f>
        <v>https://www.dgiwg.org/FAD/fdd/view?i=110999</v>
      </c>
      <c r="L2745" s="36" t="s">
        <v>27422</v>
      </c>
      <c r="M2745" s="186"/>
      <c r="N2745" s="186"/>
      <c r="O2745" s="172"/>
    </row>
    <row r="2746" spans="1:15" ht="51" x14ac:dyDescent="0.2">
      <c r="A2746" s="197" t="str">
        <f t="shared" si="42"/>
        <v>CspCode_papaya</v>
      </c>
      <c r="B2746" s="409"/>
      <c r="C2746" s="416"/>
      <c r="D2746" s="198" t="s">
        <v>27423</v>
      </c>
      <c r="E2746" s="198">
        <v>121</v>
      </c>
      <c r="F2746" s="199" t="s">
        <v>27424</v>
      </c>
      <c r="G2746" s="1" t="s">
        <v>27425</v>
      </c>
      <c r="H2746" s="200"/>
      <c r="I2746" s="351" t="s">
        <v>27426</v>
      </c>
      <c r="J2746" s="39">
        <v>111000</v>
      </c>
      <c r="K2746" s="36" t="str">
        <f>CONCATENATE(Cover!$D$6,"fdd/view?i=",J2746)</f>
        <v>https://www.dgiwg.org/FAD/fdd/view?i=111000</v>
      </c>
      <c r="L2746" s="36" t="s">
        <v>27427</v>
      </c>
      <c r="M2746" s="186"/>
      <c r="N2746" s="186"/>
      <c r="O2746" s="172"/>
    </row>
    <row r="2747" spans="1:15" ht="51" x14ac:dyDescent="0.2">
      <c r="A2747" s="197" t="str">
        <f t="shared" si="42"/>
        <v>CspCode_passionFruit</v>
      </c>
      <c r="B2747" s="409"/>
      <c r="C2747" s="416"/>
      <c r="D2747" s="198" t="s">
        <v>27428</v>
      </c>
      <c r="E2747" s="198">
        <v>122</v>
      </c>
      <c r="F2747" s="199" t="s">
        <v>27429</v>
      </c>
      <c r="G2747" s="1" t="s">
        <v>27430</v>
      </c>
      <c r="H2747" s="200"/>
      <c r="I2747" s="346"/>
      <c r="J2747" s="39">
        <v>111001</v>
      </c>
      <c r="K2747" s="36" t="str">
        <f>CONCATENATE(Cover!$D$6,"fdd/view?i=",J2747)</f>
        <v>https://www.dgiwg.org/FAD/fdd/view?i=111001</v>
      </c>
      <c r="L2747" s="36" t="s">
        <v>27431</v>
      </c>
      <c r="M2747" s="186"/>
      <c r="N2747" s="186"/>
      <c r="O2747" s="172"/>
    </row>
    <row r="2748" spans="1:15" ht="38.25" x14ac:dyDescent="0.2">
      <c r="A2748" s="197" t="str">
        <f t="shared" si="42"/>
        <v>CspCode_pea</v>
      </c>
      <c r="B2748" s="409"/>
      <c r="C2748" s="416"/>
      <c r="D2748" s="198" t="s">
        <v>27432</v>
      </c>
      <c r="E2748" s="198">
        <v>123</v>
      </c>
      <c r="F2748" s="199" t="s">
        <v>27433</v>
      </c>
      <c r="G2748" s="1" t="s">
        <v>27434</v>
      </c>
      <c r="H2748" s="1" t="s">
        <v>27435</v>
      </c>
      <c r="I2748" s="346"/>
      <c r="J2748" s="39">
        <v>111002</v>
      </c>
      <c r="K2748" s="36" t="str">
        <f>CONCATENATE(Cover!$D$6,"fdd/view?i=",J2748)</f>
        <v>https://www.dgiwg.org/FAD/fdd/view?i=111002</v>
      </c>
      <c r="L2748" s="36" t="s">
        <v>27436</v>
      </c>
      <c r="M2748" s="186"/>
      <c r="N2748" s="186"/>
      <c r="O2748" s="172"/>
    </row>
    <row r="2749" spans="1:15" ht="25.5" x14ac:dyDescent="0.2">
      <c r="A2749" s="197" t="str">
        <f t="shared" si="42"/>
        <v>CspCode_peach</v>
      </c>
      <c r="B2749" s="409"/>
      <c r="C2749" s="416"/>
      <c r="D2749" s="198" t="s">
        <v>27437</v>
      </c>
      <c r="E2749" s="198">
        <v>24</v>
      </c>
      <c r="F2749" s="199" t="s">
        <v>27438</v>
      </c>
      <c r="G2749" s="1" t="s">
        <v>27439</v>
      </c>
      <c r="H2749" s="200"/>
      <c r="I2749" s="346"/>
      <c r="J2749" s="39">
        <v>110137</v>
      </c>
      <c r="K2749" s="36" t="str">
        <f>CONCATENATE(Cover!$D$6,"fdd/view?i=",J2749)</f>
        <v>https://www.dgiwg.org/FAD/fdd/view?i=110137</v>
      </c>
      <c r="L2749" s="36" t="s">
        <v>27440</v>
      </c>
      <c r="M2749" s="186"/>
      <c r="N2749" s="186"/>
      <c r="O2749" s="172"/>
    </row>
    <row r="2750" spans="1:15" ht="51" x14ac:dyDescent="0.2">
      <c r="A2750" s="197" t="str">
        <f t="shared" si="42"/>
        <v>CspCode_peanut</v>
      </c>
      <c r="B2750" s="409"/>
      <c r="C2750" s="416"/>
      <c r="D2750" s="198" t="s">
        <v>27441</v>
      </c>
      <c r="E2750" s="198">
        <v>25</v>
      </c>
      <c r="F2750" s="199" t="s">
        <v>27442</v>
      </c>
      <c r="G2750" s="1" t="s">
        <v>27443</v>
      </c>
      <c r="H2750" s="1" t="s">
        <v>27444</v>
      </c>
      <c r="I2750" s="346"/>
      <c r="J2750" s="39">
        <v>110138</v>
      </c>
      <c r="K2750" s="36" t="str">
        <f>CONCATENATE(Cover!$D$6,"fdd/view?i=",J2750)</f>
        <v>https://www.dgiwg.org/FAD/fdd/view?i=110138</v>
      </c>
      <c r="L2750" s="36" t="s">
        <v>27445</v>
      </c>
      <c r="M2750" s="186"/>
      <c r="N2750" s="186"/>
      <c r="O2750" s="172"/>
    </row>
    <row r="2751" spans="1:15" ht="38.25" x14ac:dyDescent="0.2">
      <c r="A2751" s="197" t="str">
        <f t="shared" si="42"/>
        <v>CspCode_pear</v>
      </c>
      <c r="B2751" s="409"/>
      <c r="C2751" s="416"/>
      <c r="D2751" s="198" t="s">
        <v>27446</v>
      </c>
      <c r="E2751" s="198">
        <v>124</v>
      </c>
      <c r="F2751" s="199" t="s">
        <v>27447</v>
      </c>
      <c r="G2751" s="1" t="s">
        <v>27448</v>
      </c>
      <c r="H2751" s="200"/>
      <c r="I2751" s="346"/>
      <c r="J2751" s="39">
        <v>111003</v>
      </c>
      <c r="K2751" s="36" t="str">
        <f>CONCATENATE(Cover!$D$6,"fdd/view?i=",J2751)</f>
        <v>https://www.dgiwg.org/FAD/fdd/view?i=111003</v>
      </c>
      <c r="L2751" s="36" t="s">
        <v>27449</v>
      </c>
      <c r="M2751" s="186"/>
      <c r="N2751" s="186"/>
      <c r="O2751" s="172"/>
    </row>
    <row r="2752" spans="1:15" ht="38.25" x14ac:dyDescent="0.2">
      <c r="A2752" s="197" t="str">
        <f t="shared" si="42"/>
        <v>CspCode_pecan</v>
      </c>
      <c r="B2752" s="409"/>
      <c r="C2752" s="416"/>
      <c r="D2752" s="198" t="s">
        <v>27450</v>
      </c>
      <c r="E2752" s="198">
        <v>125</v>
      </c>
      <c r="F2752" s="199" t="s">
        <v>27451</v>
      </c>
      <c r="G2752" s="1" t="s">
        <v>27452</v>
      </c>
      <c r="H2752" s="200"/>
      <c r="I2752" s="346"/>
      <c r="J2752" s="39">
        <v>111004</v>
      </c>
      <c r="K2752" s="36" t="str">
        <f>CONCATENATE(Cover!$D$6,"fdd/view?i=",J2752)</f>
        <v>https://www.dgiwg.org/FAD/fdd/view?i=111004</v>
      </c>
      <c r="L2752" s="36" t="s">
        <v>27453</v>
      </c>
      <c r="M2752" s="186"/>
      <c r="N2752" s="186"/>
      <c r="O2752" s="172"/>
    </row>
    <row r="2753" spans="1:15" ht="38.25" x14ac:dyDescent="0.2">
      <c r="A2753" s="197" t="str">
        <f t="shared" si="42"/>
        <v>CspCode_pepper</v>
      </c>
      <c r="B2753" s="409"/>
      <c r="C2753" s="416"/>
      <c r="D2753" s="198" t="s">
        <v>27454</v>
      </c>
      <c r="E2753" s="198">
        <v>126</v>
      </c>
      <c r="F2753" s="199" t="s">
        <v>27455</v>
      </c>
      <c r="G2753" s="1" t="s">
        <v>27456</v>
      </c>
      <c r="H2753" s="1" t="s">
        <v>27457</v>
      </c>
      <c r="I2753" s="346"/>
      <c r="J2753" s="39">
        <v>111005</v>
      </c>
      <c r="K2753" s="36" t="str">
        <f>CONCATENATE(Cover!$D$6,"fdd/view?i=",J2753)</f>
        <v>https://www.dgiwg.org/FAD/fdd/view?i=111005</v>
      </c>
      <c r="L2753" s="36" t="s">
        <v>27458</v>
      </c>
      <c r="M2753" s="186"/>
      <c r="N2753" s="186"/>
      <c r="O2753" s="172"/>
    </row>
    <row r="2754" spans="1:15" ht="51" x14ac:dyDescent="0.2">
      <c r="A2754" s="197" t="str">
        <f t="shared" ref="A2754:A2817" si="43">HYPERLINK(K2754,L2754)</f>
        <v>CspCode_pineapple</v>
      </c>
      <c r="B2754" s="409"/>
      <c r="C2754" s="416"/>
      <c r="D2754" s="198" t="s">
        <v>27459</v>
      </c>
      <c r="E2754" s="198">
        <v>127</v>
      </c>
      <c r="F2754" s="199" t="s">
        <v>27460</v>
      </c>
      <c r="G2754" s="1" t="s">
        <v>27461</v>
      </c>
      <c r="H2754" s="200"/>
      <c r="I2754" s="346"/>
      <c r="J2754" s="39">
        <v>111006</v>
      </c>
      <c r="K2754" s="36" t="str">
        <f>CONCATENATE(Cover!$D$6,"fdd/view?i=",J2754)</f>
        <v>https://www.dgiwg.org/FAD/fdd/view?i=111006</v>
      </c>
      <c r="L2754" s="36" t="s">
        <v>27462</v>
      </c>
      <c r="M2754" s="186"/>
      <c r="N2754" s="186"/>
      <c r="O2754" s="172"/>
    </row>
    <row r="2755" spans="1:15" ht="25.5" x14ac:dyDescent="0.2">
      <c r="A2755" s="197" t="str">
        <f t="shared" si="43"/>
        <v>CspCode_pistachio</v>
      </c>
      <c r="B2755" s="409"/>
      <c r="C2755" s="416"/>
      <c r="D2755" s="198" t="s">
        <v>27463</v>
      </c>
      <c r="E2755" s="198">
        <v>128</v>
      </c>
      <c r="F2755" s="199" t="s">
        <v>27464</v>
      </c>
      <c r="G2755" s="1" t="s">
        <v>27465</v>
      </c>
      <c r="H2755" s="1" t="s">
        <v>27466</v>
      </c>
      <c r="I2755" s="346"/>
      <c r="J2755" s="39">
        <v>111007</v>
      </c>
      <c r="K2755" s="36" t="str">
        <f>CONCATENATE(Cover!$D$6,"fdd/view?i=",J2755)</f>
        <v>https://www.dgiwg.org/FAD/fdd/view?i=111007</v>
      </c>
      <c r="L2755" s="36" t="s">
        <v>27467</v>
      </c>
      <c r="M2755" s="186"/>
      <c r="N2755" s="186"/>
      <c r="O2755" s="172"/>
    </row>
    <row r="2756" spans="1:15" ht="25.5" x14ac:dyDescent="0.2">
      <c r="A2756" s="197" t="str">
        <f t="shared" si="43"/>
        <v>CspCode_plantain</v>
      </c>
      <c r="B2756" s="409"/>
      <c r="C2756" s="416"/>
      <c r="D2756" s="198" t="s">
        <v>27468</v>
      </c>
      <c r="E2756" s="198">
        <v>129</v>
      </c>
      <c r="F2756" s="199" t="s">
        <v>27469</v>
      </c>
      <c r="G2756" s="1" t="s">
        <v>27470</v>
      </c>
      <c r="H2756" s="1" t="s">
        <v>27471</v>
      </c>
      <c r="I2756" s="346"/>
      <c r="J2756" s="39">
        <v>111008</v>
      </c>
      <c r="K2756" s="36" t="str">
        <f>CONCATENATE(Cover!$D$6,"fdd/view?i=",J2756)</f>
        <v>https://www.dgiwg.org/FAD/fdd/view?i=111008</v>
      </c>
      <c r="L2756" s="36" t="s">
        <v>27472</v>
      </c>
      <c r="M2756" s="186"/>
      <c r="N2756" s="186"/>
      <c r="O2756" s="172"/>
    </row>
    <row r="2757" spans="1:15" ht="51" x14ac:dyDescent="0.2">
      <c r="A2757" s="197" t="str">
        <f t="shared" si="43"/>
        <v>CspCode_plum</v>
      </c>
      <c r="B2757" s="409"/>
      <c r="C2757" s="416"/>
      <c r="D2757" s="198" t="s">
        <v>27473</v>
      </c>
      <c r="E2757" s="198">
        <v>130</v>
      </c>
      <c r="F2757" s="199" t="s">
        <v>27474</v>
      </c>
      <c r="G2757" s="1" t="s">
        <v>27475</v>
      </c>
      <c r="H2757" s="1" t="s">
        <v>27476</v>
      </c>
      <c r="I2757" s="346"/>
      <c r="J2757" s="39">
        <v>111009</v>
      </c>
      <c r="K2757" s="36" t="str">
        <f>CONCATENATE(Cover!$D$6,"fdd/view?i=",J2757)</f>
        <v>https://www.dgiwg.org/FAD/fdd/view?i=111009</v>
      </c>
      <c r="L2757" s="36" t="s">
        <v>27477</v>
      </c>
      <c r="M2757" s="186"/>
      <c r="N2757" s="186"/>
      <c r="O2757" s="172"/>
    </row>
    <row r="2758" spans="1:15" ht="25.5" x14ac:dyDescent="0.2">
      <c r="A2758" s="197" t="str">
        <f t="shared" si="43"/>
        <v>CspCode_potato</v>
      </c>
      <c r="B2758" s="409"/>
      <c r="C2758" s="416"/>
      <c r="D2758" s="198" t="s">
        <v>27478</v>
      </c>
      <c r="E2758" s="198">
        <v>26</v>
      </c>
      <c r="F2758" s="199" t="s">
        <v>27479</v>
      </c>
      <c r="G2758" s="1" t="s">
        <v>27480</v>
      </c>
      <c r="H2758" s="200"/>
      <c r="I2758" s="346"/>
      <c r="J2758" s="39">
        <v>110139</v>
      </c>
      <c r="K2758" s="36" t="str">
        <f>CONCATENATE(Cover!$D$6,"fdd/view?i=",J2758)</f>
        <v>https://www.dgiwg.org/FAD/fdd/view?i=110139</v>
      </c>
      <c r="L2758" s="36" t="s">
        <v>27481</v>
      </c>
      <c r="M2758" s="186"/>
      <c r="N2758" s="186"/>
      <c r="O2758" s="172"/>
    </row>
    <row r="2759" spans="1:15" x14ac:dyDescent="0.2">
      <c r="A2759" s="197" t="str">
        <f t="shared" si="43"/>
        <v>CspCode_pulse</v>
      </c>
      <c r="B2759" s="409"/>
      <c r="C2759" s="416"/>
      <c r="D2759" s="198" t="s">
        <v>27482</v>
      </c>
      <c r="E2759" s="198">
        <v>27</v>
      </c>
      <c r="F2759" s="199" t="s">
        <v>27483</v>
      </c>
      <c r="G2759" s="1" t="s">
        <v>27484</v>
      </c>
      <c r="H2759" s="1" t="s">
        <v>27485</v>
      </c>
      <c r="I2759" s="351" t="s">
        <v>27486</v>
      </c>
      <c r="J2759" s="39">
        <v>110140</v>
      </c>
      <c r="K2759" s="36" t="str">
        <f>CONCATENATE(Cover!$D$6,"fdd/view?i=",J2759)</f>
        <v>https://www.dgiwg.org/FAD/fdd/view?i=110140</v>
      </c>
      <c r="L2759" s="36" t="s">
        <v>27487</v>
      </c>
      <c r="M2759" s="186"/>
      <c r="N2759" s="186"/>
      <c r="O2759" s="172"/>
    </row>
    <row r="2760" spans="1:15" ht="63.75" x14ac:dyDescent="0.2">
      <c r="A2760" s="197" t="str">
        <f t="shared" si="43"/>
        <v>CspCode_rape</v>
      </c>
      <c r="B2760" s="409"/>
      <c r="C2760" s="416"/>
      <c r="D2760" s="198" t="s">
        <v>27488</v>
      </c>
      <c r="E2760" s="198">
        <v>131</v>
      </c>
      <c r="F2760" s="199" t="s">
        <v>27489</v>
      </c>
      <c r="G2760" s="1" t="s">
        <v>27490</v>
      </c>
      <c r="H2760" s="1" t="s">
        <v>27491</v>
      </c>
      <c r="I2760" s="346"/>
      <c r="J2760" s="39">
        <v>111010</v>
      </c>
      <c r="K2760" s="36" t="str">
        <f>CONCATENATE(Cover!$D$6,"fdd/view?i=",J2760)</f>
        <v>https://www.dgiwg.org/FAD/fdd/view?i=111010</v>
      </c>
      <c r="L2760" s="36" t="s">
        <v>27492</v>
      </c>
      <c r="M2760" s="186"/>
      <c r="N2760" s="186"/>
      <c r="O2760" s="172"/>
    </row>
    <row r="2761" spans="1:15" ht="25.5" x14ac:dyDescent="0.2">
      <c r="A2761" s="197" t="str">
        <f t="shared" si="43"/>
        <v>CspCode_rice</v>
      </c>
      <c r="B2761" s="409"/>
      <c r="C2761" s="416"/>
      <c r="D2761" s="198" t="s">
        <v>27493</v>
      </c>
      <c r="E2761" s="198">
        <v>28</v>
      </c>
      <c r="F2761" s="199" t="s">
        <v>27494</v>
      </c>
      <c r="G2761" s="1" t="s">
        <v>27495</v>
      </c>
      <c r="H2761" s="1" t="s">
        <v>27496</v>
      </c>
      <c r="I2761" s="346"/>
      <c r="J2761" s="39">
        <v>110141</v>
      </c>
      <c r="K2761" s="36" t="str">
        <f>CONCATENATE(Cover!$D$6,"fdd/view?i=",J2761)</f>
        <v>https://www.dgiwg.org/FAD/fdd/view?i=110141</v>
      </c>
      <c r="L2761" s="36" t="s">
        <v>27497</v>
      </c>
      <c r="M2761" s="186"/>
      <c r="N2761" s="186"/>
      <c r="O2761" s="172"/>
    </row>
    <row r="2762" spans="1:15" ht="51" x14ac:dyDescent="0.2">
      <c r="A2762" s="197" t="str">
        <f t="shared" si="43"/>
        <v>CspCode_roses</v>
      </c>
      <c r="B2762" s="409"/>
      <c r="C2762" s="416"/>
      <c r="D2762" s="198" t="s">
        <v>27498</v>
      </c>
      <c r="E2762" s="198">
        <v>154</v>
      </c>
      <c r="F2762" s="199" t="s">
        <v>27499</v>
      </c>
      <c r="G2762" s="1" t="s">
        <v>27500</v>
      </c>
      <c r="H2762" s="200"/>
      <c r="I2762" s="346"/>
      <c r="J2762" s="39">
        <v>118465</v>
      </c>
      <c r="K2762" s="36" t="str">
        <f>CONCATENATE(Cover!$D$6,"fdd/view?i=",J2762)</f>
        <v>https://www.dgiwg.org/FAD/fdd/view?i=118465</v>
      </c>
      <c r="L2762" s="36" t="s">
        <v>27501</v>
      </c>
      <c r="M2762" s="186"/>
      <c r="N2762" s="186"/>
      <c r="O2762" s="172"/>
    </row>
    <row r="2763" spans="1:15" ht="38.25" x14ac:dyDescent="0.2">
      <c r="A2763" s="197" t="str">
        <f t="shared" si="43"/>
        <v>CspCode_rubber</v>
      </c>
      <c r="B2763" s="409"/>
      <c r="C2763" s="416"/>
      <c r="D2763" s="198" t="s">
        <v>27502</v>
      </c>
      <c r="E2763" s="198">
        <v>29</v>
      </c>
      <c r="F2763" s="199" t="s">
        <v>27503</v>
      </c>
      <c r="G2763" s="1" t="s">
        <v>27504</v>
      </c>
      <c r="H2763" s="200"/>
      <c r="I2763" s="346"/>
      <c r="J2763" s="39">
        <v>110142</v>
      </c>
      <c r="K2763" s="36" t="str">
        <f>CONCATENATE(Cover!$D$6,"fdd/view?i=",J2763)</f>
        <v>https://www.dgiwg.org/FAD/fdd/view?i=110142</v>
      </c>
      <c r="L2763" s="36" t="s">
        <v>27505</v>
      </c>
      <c r="M2763" s="186"/>
      <c r="N2763" s="186"/>
      <c r="O2763" s="172"/>
    </row>
    <row r="2764" spans="1:15" ht="25.5" x14ac:dyDescent="0.2">
      <c r="A2764" s="197" t="str">
        <f t="shared" si="43"/>
        <v>CspCode_rye</v>
      </c>
      <c r="B2764" s="409"/>
      <c r="C2764" s="416"/>
      <c r="D2764" s="198" t="s">
        <v>27506</v>
      </c>
      <c r="E2764" s="198">
        <v>30</v>
      </c>
      <c r="F2764" s="199" t="s">
        <v>27507</v>
      </c>
      <c r="G2764" s="1" t="s">
        <v>27508</v>
      </c>
      <c r="H2764" s="1" t="s">
        <v>27509</v>
      </c>
      <c r="I2764" s="346"/>
      <c r="J2764" s="39">
        <v>110143</v>
      </c>
      <c r="K2764" s="36" t="str">
        <f>CONCATENATE(Cover!$D$6,"fdd/view?i=",J2764)</f>
        <v>https://www.dgiwg.org/FAD/fdd/view?i=110143</v>
      </c>
      <c r="L2764" s="36" t="s">
        <v>27510</v>
      </c>
      <c r="M2764" s="186"/>
      <c r="N2764" s="186"/>
      <c r="O2764" s="172"/>
    </row>
    <row r="2765" spans="1:15" ht="38.25" x14ac:dyDescent="0.2">
      <c r="A2765" s="197" t="str">
        <f t="shared" si="43"/>
        <v>CspCode_safflower</v>
      </c>
      <c r="B2765" s="409"/>
      <c r="C2765" s="416"/>
      <c r="D2765" s="198" t="s">
        <v>27511</v>
      </c>
      <c r="E2765" s="198">
        <v>132</v>
      </c>
      <c r="F2765" s="199" t="s">
        <v>27512</v>
      </c>
      <c r="G2765" s="1" t="s">
        <v>27513</v>
      </c>
      <c r="H2765" s="1" t="s">
        <v>27514</v>
      </c>
      <c r="I2765" s="346"/>
      <c r="J2765" s="39">
        <v>111011</v>
      </c>
      <c r="K2765" s="36" t="str">
        <f>CONCATENATE(Cover!$D$6,"fdd/view?i=",J2765)</f>
        <v>https://www.dgiwg.org/FAD/fdd/view?i=111011</v>
      </c>
      <c r="L2765" s="36" t="s">
        <v>27515</v>
      </c>
      <c r="M2765" s="186"/>
      <c r="N2765" s="186"/>
      <c r="O2765" s="172"/>
    </row>
    <row r="2766" spans="1:15" ht="63.75" x14ac:dyDescent="0.2">
      <c r="A2766" s="197" t="str">
        <f t="shared" si="43"/>
        <v>CspCode_saffronCrocus</v>
      </c>
      <c r="B2766" s="409"/>
      <c r="C2766" s="416"/>
      <c r="D2766" s="198" t="s">
        <v>27516</v>
      </c>
      <c r="E2766" s="198">
        <v>156</v>
      </c>
      <c r="F2766" s="199" t="s">
        <v>27517</v>
      </c>
      <c r="G2766" s="1" t="s">
        <v>27518</v>
      </c>
      <c r="H2766" s="1" t="s">
        <v>27519</v>
      </c>
      <c r="I2766" s="346"/>
      <c r="J2766" s="39">
        <v>118467</v>
      </c>
      <c r="K2766" s="36" t="str">
        <f>CONCATENATE(Cover!$D$6,"fdd/view?i=",J2766)</f>
        <v>https://www.dgiwg.org/FAD/fdd/view?i=118467</v>
      </c>
      <c r="L2766" s="36" t="s">
        <v>27520</v>
      </c>
      <c r="M2766" s="186"/>
      <c r="N2766" s="186"/>
      <c r="O2766" s="172"/>
    </row>
    <row r="2767" spans="1:15" ht="38.25" x14ac:dyDescent="0.2">
      <c r="A2767" s="197" t="str">
        <f t="shared" si="43"/>
        <v>CspCode_sesame</v>
      </c>
      <c r="B2767" s="409"/>
      <c r="C2767" s="416"/>
      <c r="D2767" s="198" t="s">
        <v>27521</v>
      </c>
      <c r="E2767" s="198">
        <v>133</v>
      </c>
      <c r="F2767" s="199" t="s">
        <v>27522</v>
      </c>
      <c r="G2767" s="1" t="s">
        <v>27523</v>
      </c>
      <c r="H2767" s="200"/>
      <c r="I2767" s="346"/>
      <c r="J2767" s="39">
        <v>111012</v>
      </c>
      <c r="K2767" s="36" t="str">
        <f>CONCATENATE(Cover!$D$6,"fdd/view?i=",J2767)</f>
        <v>https://www.dgiwg.org/FAD/fdd/view?i=111012</v>
      </c>
      <c r="L2767" s="36" t="s">
        <v>27524</v>
      </c>
      <c r="M2767" s="186"/>
      <c r="N2767" s="186"/>
      <c r="O2767" s="172"/>
    </row>
    <row r="2768" spans="1:15" ht="25.5" x14ac:dyDescent="0.2">
      <c r="A2768" s="197" t="str">
        <f t="shared" si="43"/>
        <v>CspCode_sheaNut</v>
      </c>
      <c r="B2768" s="409"/>
      <c r="C2768" s="416"/>
      <c r="D2768" s="198" t="s">
        <v>27525</v>
      </c>
      <c r="E2768" s="198">
        <v>134</v>
      </c>
      <c r="F2768" s="199" t="s">
        <v>27526</v>
      </c>
      <c r="G2768" s="1" t="s">
        <v>27527</v>
      </c>
      <c r="H2768" s="200"/>
      <c r="I2768" s="346"/>
      <c r="J2768" s="39">
        <v>111013</v>
      </c>
      <c r="K2768" s="36" t="str">
        <f>CONCATENATE(Cover!$D$6,"fdd/view?i=",J2768)</f>
        <v>https://www.dgiwg.org/FAD/fdd/view?i=111013</v>
      </c>
      <c r="L2768" s="36" t="s">
        <v>27528</v>
      </c>
      <c r="M2768" s="186"/>
      <c r="N2768" s="186"/>
      <c r="O2768" s="172"/>
    </row>
    <row r="2769" spans="1:15" ht="25.5" x14ac:dyDescent="0.2">
      <c r="A2769" s="197" t="str">
        <f t="shared" si="43"/>
        <v>CspCode_sisal</v>
      </c>
      <c r="B2769" s="409"/>
      <c r="C2769" s="416"/>
      <c r="D2769" s="198" t="s">
        <v>27529</v>
      </c>
      <c r="E2769" s="198">
        <v>31</v>
      </c>
      <c r="F2769" s="199" t="s">
        <v>27530</v>
      </c>
      <c r="G2769" s="1" t="s">
        <v>27531</v>
      </c>
      <c r="H2769" s="1" t="s">
        <v>27532</v>
      </c>
      <c r="I2769" s="346"/>
      <c r="J2769" s="39">
        <v>110144</v>
      </c>
      <c r="K2769" s="36" t="str">
        <f>CONCATENATE(Cover!$D$6,"fdd/view?i=",J2769)</f>
        <v>https://www.dgiwg.org/FAD/fdd/view?i=110144</v>
      </c>
      <c r="L2769" s="36" t="s">
        <v>27533</v>
      </c>
      <c r="M2769" s="186"/>
      <c r="N2769" s="186"/>
      <c r="O2769" s="172"/>
    </row>
    <row r="2770" spans="1:15" ht="51" x14ac:dyDescent="0.2">
      <c r="A2770" s="197" t="str">
        <f t="shared" si="43"/>
        <v>CspCode_sorghum</v>
      </c>
      <c r="B2770" s="409"/>
      <c r="C2770" s="416"/>
      <c r="D2770" s="198" t="s">
        <v>27534</v>
      </c>
      <c r="E2770" s="198">
        <v>32</v>
      </c>
      <c r="F2770" s="199" t="s">
        <v>27535</v>
      </c>
      <c r="G2770" s="1" t="s">
        <v>27536</v>
      </c>
      <c r="H2770" s="1" t="s">
        <v>27537</v>
      </c>
      <c r="I2770" s="346"/>
      <c r="J2770" s="39">
        <v>110145</v>
      </c>
      <c r="K2770" s="36" t="str">
        <f>CONCATENATE(Cover!$D$6,"fdd/view?i=",J2770)</f>
        <v>https://www.dgiwg.org/FAD/fdd/view?i=110145</v>
      </c>
      <c r="L2770" s="36" t="s">
        <v>27538</v>
      </c>
      <c r="M2770" s="186"/>
      <c r="N2770" s="186"/>
      <c r="O2770" s="172"/>
    </row>
    <row r="2771" spans="1:15" ht="38.25" x14ac:dyDescent="0.2">
      <c r="A2771" s="197" t="str">
        <f t="shared" si="43"/>
        <v>CspCode_soyaBean</v>
      </c>
      <c r="B2771" s="409"/>
      <c r="C2771" s="416"/>
      <c r="D2771" s="198" t="s">
        <v>27539</v>
      </c>
      <c r="E2771" s="198">
        <v>136</v>
      </c>
      <c r="F2771" s="199" t="s">
        <v>27540</v>
      </c>
      <c r="G2771" s="1" t="s">
        <v>27541</v>
      </c>
      <c r="H2771" s="200"/>
      <c r="I2771" s="351" t="s">
        <v>27542</v>
      </c>
      <c r="J2771" s="39">
        <v>111015</v>
      </c>
      <c r="K2771" s="36" t="str">
        <f>CONCATENATE(Cover!$D$6,"fdd/view?i=",J2771)</f>
        <v>https://www.dgiwg.org/FAD/fdd/view?i=111015</v>
      </c>
      <c r="L2771" s="36" t="s">
        <v>27543</v>
      </c>
      <c r="M2771" s="186"/>
      <c r="N2771" s="186"/>
      <c r="O2771" s="172"/>
    </row>
    <row r="2772" spans="1:15" ht="25.5" x14ac:dyDescent="0.2">
      <c r="A2772" s="197" t="str">
        <f t="shared" si="43"/>
        <v>CspCode_spices</v>
      </c>
      <c r="B2772" s="409"/>
      <c r="C2772" s="416"/>
      <c r="D2772" s="198" t="s">
        <v>27544</v>
      </c>
      <c r="E2772" s="198">
        <v>137</v>
      </c>
      <c r="F2772" s="199" t="s">
        <v>27545</v>
      </c>
      <c r="G2772" s="1" t="s">
        <v>27546</v>
      </c>
      <c r="H2772" s="1" t="s">
        <v>27547</v>
      </c>
      <c r="I2772" s="346"/>
      <c r="J2772" s="39">
        <v>111016</v>
      </c>
      <c r="K2772" s="36" t="str">
        <f>CONCATENATE(Cover!$D$6,"fdd/view?i=",J2772)</f>
        <v>https://www.dgiwg.org/FAD/fdd/view?i=111016</v>
      </c>
      <c r="L2772" s="36" t="s">
        <v>27548</v>
      </c>
      <c r="M2772" s="186"/>
      <c r="N2772" s="186"/>
      <c r="O2772" s="172"/>
    </row>
    <row r="2773" spans="1:15" ht="25.5" x14ac:dyDescent="0.2">
      <c r="A2773" s="197" t="str">
        <f t="shared" si="43"/>
        <v>CspCode_spinach</v>
      </c>
      <c r="B2773" s="409"/>
      <c r="C2773" s="416"/>
      <c r="D2773" s="198" t="s">
        <v>27549</v>
      </c>
      <c r="E2773" s="198">
        <v>138</v>
      </c>
      <c r="F2773" s="199" t="s">
        <v>27550</v>
      </c>
      <c r="G2773" s="1" t="s">
        <v>27551</v>
      </c>
      <c r="H2773" s="1" t="s">
        <v>27552</v>
      </c>
      <c r="I2773" s="346"/>
      <c r="J2773" s="39">
        <v>111017</v>
      </c>
      <c r="K2773" s="36" t="str">
        <f>CONCATENATE(Cover!$D$6,"fdd/view?i=",J2773)</f>
        <v>https://www.dgiwg.org/FAD/fdd/view?i=111017</v>
      </c>
      <c r="L2773" s="36" t="s">
        <v>27553</v>
      </c>
      <c r="M2773" s="186"/>
      <c r="N2773" s="186"/>
      <c r="O2773" s="172"/>
    </row>
    <row r="2774" spans="1:15" ht="25.5" x14ac:dyDescent="0.2">
      <c r="A2774" s="197" t="str">
        <f t="shared" si="43"/>
        <v>CspCode_sprouts</v>
      </c>
      <c r="B2774" s="409"/>
      <c r="C2774" s="416"/>
      <c r="D2774" s="198" t="s">
        <v>27554</v>
      </c>
      <c r="E2774" s="198">
        <v>139</v>
      </c>
      <c r="F2774" s="199" t="s">
        <v>27555</v>
      </c>
      <c r="G2774" s="1" t="s">
        <v>27556</v>
      </c>
      <c r="H2774" s="200"/>
      <c r="I2774" s="346"/>
      <c r="J2774" s="39">
        <v>111018</v>
      </c>
      <c r="K2774" s="36" t="str">
        <f>CONCATENATE(Cover!$D$6,"fdd/view?i=",J2774)</f>
        <v>https://www.dgiwg.org/FAD/fdd/view?i=111018</v>
      </c>
      <c r="L2774" s="36" t="s">
        <v>27557</v>
      </c>
      <c r="M2774" s="186"/>
      <c r="N2774" s="186"/>
      <c r="O2774" s="172"/>
    </row>
    <row r="2775" spans="1:15" ht="63.75" x14ac:dyDescent="0.2">
      <c r="A2775" s="197" t="str">
        <f t="shared" si="43"/>
        <v>CspCode_squash</v>
      </c>
      <c r="B2775" s="409"/>
      <c r="C2775" s="416"/>
      <c r="D2775" s="198" t="s">
        <v>27558</v>
      </c>
      <c r="E2775" s="198">
        <v>140</v>
      </c>
      <c r="F2775" s="199" t="s">
        <v>27559</v>
      </c>
      <c r="G2775" s="1" t="s">
        <v>27560</v>
      </c>
      <c r="H2775" s="1" t="s">
        <v>27561</v>
      </c>
      <c r="I2775" s="346"/>
      <c r="J2775" s="39">
        <v>111019</v>
      </c>
      <c r="K2775" s="36" t="str">
        <f>CONCATENATE(Cover!$D$6,"fdd/view?i=",J2775)</f>
        <v>https://www.dgiwg.org/FAD/fdd/view?i=111019</v>
      </c>
      <c r="L2775" s="36" t="s">
        <v>27562</v>
      </c>
      <c r="M2775" s="186"/>
      <c r="N2775" s="186"/>
      <c r="O2775" s="172"/>
    </row>
    <row r="2776" spans="1:15" ht="63.75" x14ac:dyDescent="0.2">
      <c r="A2776" s="197" t="str">
        <f t="shared" si="43"/>
        <v>CspCode_strawberry</v>
      </c>
      <c r="B2776" s="409"/>
      <c r="C2776" s="416"/>
      <c r="D2776" s="198" t="s">
        <v>27563</v>
      </c>
      <c r="E2776" s="198">
        <v>141</v>
      </c>
      <c r="F2776" s="199" t="s">
        <v>27564</v>
      </c>
      <c r="G2776" s="1" t="s">
        <v>27565</v>
      </c>
      <c r="H2776" s="200"/>
      <c r="I2776" s="346"/>
      <c r="J2776" s="39">
        <v>111020</v>
      </c>
      <c r="K2776" s="36" t="str">
        <f>CONCATENATE(Cover!$D$6,"fdd/view?i=",J2776)</f>
        <v>https://www.dgiwg.org/FAD/fdd/view?i=111020</v>
      </c>
      <c r="L2776" s="36" t="s">
        <v>27566</v>
      </c>
      <c r="M2776" s="186"/>
      <c r="N2776" s="186"/>
      <c r="O2776" s="172"/>
    </row>
    <row r="2777" spans="1:15" ht="25.5" x14ac:dyDescent="0.2">
      <c r="A2777" s="197" t="str">
        <f t="shared" si="43"/>
        <v>CspCode_sugarBeet</v>
      </c>
      <c r="B2777" s="409"/>
      <c r="C2777" s="416"/>
      <c r="D2777" s="198" t="s">
        <v>27567</v>
      </c>
      <c r="E2777" s="198">
        <v>142</v>
      </c>
      <c r="F2777" s="199" t="s">
        <v>27568</v>
      </c>
      <c r="G2777" s="1" t="s">
        <v>27569</v>
      </c>
      <c r="H2777" s="200"/>
      <c r="I2777" s="346"/>
      <c r="J2777" s="39">
        <v>111021</v>
      </c>
      <c r="K2777" s="36" t="str">
        <f>CONCATENATE(Cover!$D$6,"fdd/view?i=",J2777)</f>
        <v>https://www.dgiwg.org/FAD/fdd/view?i=111021</v>
      </c>
      <c r="L2777" s="36" t="s">
        <v>27570</v>
      </c>
      <c r="M2777" s="186"/>
      <c r="N2777" s="186"/>
      <c r="O2777" s="172"/>
    </row>
    <row r="2778" spans="1:15" ht="25.5" x14ac:dyDescent="0.2">
      <c r="A2778" s="197" t="str">
        <f t="shared" si="43"/>
        <v>CspCode_sugarCane</v>
      </c>
      <c r="B2778" s="409"/>
      <c r="C2778" s="416"/>
      <c r="D2778" s="198" t="s">
        <v>27571</v>
      </c>
      <c r="E2778" s="198">
        <v>44</v>
      </c>
      <c r="F2778" s="199" t="s">
        <v>27572</v>
      </c>
      <c r="G2778" s="1" t="s">
        <v>27573</v>
      </c>
      <c r="H2778" s="200"/>
      <c r="I2778" s="346"/>
      <c r="J2778" s="39">
        <v>110923</v>
      </c>
      <c r="K2778" s="36" t="str">
        <f>CONCATENATE(Cover!$D$6,"fdd/view?i=",J2778)</f>
        <v>https://www.dgiwg.org/FAD/fdd/view?i=110923</v>
      </c>
      <c r="L2778" s="36" t="s">
        <v>27574</v>
      </c>
      <c r="M2778" s="186"/>
      <c r="N2778" s="186"/>
      <c r="O2778" s="172"/>
    </row>
    <row r="2779" spans="1:15" ht="76.5" x14ac:dyDescent="0.2">
      <c r="A2779" s="197" t="str">
        <f t="shared" si="43"/>
        <v>CspCode_sugarCrop</v>
      </c>
      <c r="B2779" s="409"/>
      <c r="C2779" s="416"/>
      <c r="D2779" s="198" t="s">
        <v>27575</v>
      </c>
      <c r="E2779" s="198">
        <v>33</v>
      </c>
      <c r="F2779" s="199" t="s">
        <v>27576</v>
      </c>
      <c r="G2779" s="1" t="s">
        <v>27577</v>
      </c>
      <c r="H2779" s="1" t="s">
        <v>27578</v>
      </c>
      <c r="I2779" s="346"/>
      <c r="J2779" s="39">
        <v>110146</v>
      </c>
      <c r="K2779" s="36" t="str">
        <f>CONCATENATE(Cover!$D$6,"fdd/view?i=",J2779)</f>
        <v>https://www.dgiwg.org/FAD/fdd/view?i=110146</v>
      </c>
      <c r="L2779" s="36" t="s">
        <v>27579</v>
      </c>
      <c r="M2779" s="186"/>
      <c r="N2779" s="186"/>
      <c r="O2779" s="172"/>
    </row>
    <row r="2780" spans="1:15" ht="51" x14ac:dyDescent="0.2">
      <c r="A2780" s="197" t="str">
        <f t="shared" si="43"/>
        <v>CspCode_sunflower</v>
      </c>
      <c r="B2780" s="409"/>
      <c r="C2780" s="416"/>
      <c r="D2780" s="198" t="s">
        <v>27580</v>
      </c>
      <c r="E2780" s="198">
        <v>143</v>
      </c>
      <c r="F2780" s="199" t="s">
        <v>27581</v>
      </c>
      <c r="G2780" s="1" t="s">
        <v>27582</v>
      </c>
      <c r="H2780" s="200"/>
      <c r="I2780" s="346"/>
      <c r="J2780" s="39">
        <v>111022</v>
      </c>
      <c r="K2780" s="36" t="str">
        <f>CONCATENATE(Cover!$D$6,"fdd/view?i=",J2780)</f>
        <v>https://www.dgiwg.org/FAD/fdd/view?i=111022</v>
      </c>
      <c r="L2780" s="36" t="s">
        <v>27583</v>
      </c>
      <c r="M2780" s="186"/>
      <c r="N2780" s="186"/>
      <c r="O2780" s="172"/>
    </row>
    <row r="2781" spans="1:15" ht="25.5" x14ac:dyDescent="0.2">
      <c r="A2781" s="197" t="str">
        <f t="shared" si="43"/>
        <v>CspCode_sweetPotato</v>
      </c>
      <c r="B2781" s="409"/>
      <c r="C2781" s="416"/>
      <c r="D2781" s="198" t="s">
        <v>27584</v>
      </c>
      <c r="E2781" s="198">
        <v>144</v>
      </c>
      <c r="F2781" s="199" t="s">
        <v>27585</v>
      </c>
      <c r="G2781" s="1" t="s">
        <v>27586</v>
      </c>
      <c r="H2781" s="1" t="s">
        <v>27587</v>
      </c>
      <c r="I2781" s="346"/>
      <c r="J2781" s="39">
        <v>111023</v>
      </c>
      <c r="K2781" s="36" t="str">
        <f>CONCATENATE(Cover!$D$6,"fdd/view?i=",J2781)</f>
        <v>https://www.dgiwg.org/FAD/fdd/view?i=111023</v>
      </c>
      <c r="L2781" s="36" t="s">
        <v>27588</v>
      </c>
      <c r="M2781" s="186"/>
      <c r="N2781" s="186"/>
      <c r="O2781" s="172"/>
    </row>
    <row r="2782" spans="1:15" ht="25.5" x14ac:dyDescent="0.2">
      <c r="A2782" s="197" t="str">
        <f t="shared" si="43"/>
        <v>CspCode_tangerine</v>
      </c>
      <c r="B2782" s="409"/>
      <c r="C2782" s="416"/>
      <c r="D2782" s="198" t="s">
        <v>27589</v>
      </c>
      <c r="E2782" s="198">
        <v>145</v>
      </c>
      <c r="F2782" s="199" t="s">
        <v>27590</v>
      </c>
      <c r="G2782" s="1" t="s">
        <v>27591</v>
      </c>
      <c r="H2782" s="200"/>
      <c r="I2782" s="346"/>
      <c r="J2782" s="39">
        <v>111024</v>
      </c>
      <c r="K2782" s="36" t="str">
        <f>CONCATENATE(Cover!$D$6,"fdd/view?i=",J2782)</f>
        <v>https://www.dgiwg.org/FAD/fdd/view?i=111024</v>
      </c>
      <c r="L2782" s="36" t="s">
        <v>27592</v>
      </c>
      <c r="M2782" s="186"/>
      <c r="N2782" s="186"/>
      <c r="O2782" s="172"/>
    </row>
    <row r="2783" spans="1:15" ht="38.25" x14ac:dyDescent="0.2">
      <c r="A2783" s="197" t="str">
        <f t="shared" si="43"/>
        <v>CspCode_taro</v>
      </c>
      <c r="B2783" s="409"/>
      <c r="C2783" s="416"/>
      <c r="D2783" s="198" t="s">
        <v>27593</v>
      </c>
      <c r="E2783" s="198">
        <v>146</v>
      </c>
      <c r="F2783" s="199" t="s">
        <v>27594</v>
      </c>
      <c r="G2783" s="1" t="s">
        <v>27595</v>
      </c>
      <c r="H2783" s="200"/>
      <c r="I2783" s="346"/>
      <c r="J2783" s="39">
        <v>111025</v>
      </c>
      <c r="K2783" s="36" t="str">
        <f>CONCATENATE(Cover!$D$6,"fdd/view?i=",J2783)</f>
        <v>https://www.dgiwg.org/FAD/fdd/view?i=111025</v>
      </c>
      <c r="L2783" s="36" t="s">
        <v>27596</v>
      </c>
      <c r="M2783" s="186"/>
      <c r="N2783" s="186"/>
      <c r="O2783" s="172"/>
    </row>
    <row r="2784" spans="1:15" ht="38.25" x14ac:dyDescent="0.2">
      <c r="A2784" s="197" t="str">
        <f t="shared" si="43"/>
        <v>CspCode_tea</v>
      </c>
      <c r="B2784" s="409"/>
      <c r="C2784" s="416"/>
      <c r="D2784" s="198" t="s">
        <v>27597</v>
      </c>
      <c r="E2784" s="198">
        <v>34</v>
      </c>
      <c r="F2784" s="199" t="s">
        <v>27598</v>
      </c>
      <c r="G2784" s="1" t="s">
        <v>27599</v>
      </c>
      <c r="H2784" s="1" t="s">
        <v>27600</v>
      </c>
      <c r="I2784" s="346"/>
      <c r="J2784" s="39">
        <v>110147</v>
      </c>
      <c r="K2784" s="36" t="str">
        <f>CONCATENATE(Cover!$D$6,"fdd/view?i=",J2784)</f>
        <v>https://www.dgiwg.org/FAD/fdd/view?i=110147</v>
      </c>
      <c r="L2784" s="36" t="s">
        <v>27601</v>
      </c>
      <c r="M2784" s="186"/>
      <c r="N2784" s="186"/>
      <c r="O2784" s="172"/>
    </row>
    <row r="2785" spans="1:15" ht="38.25" x14ac:dyDescent="0.2">
      <c r="A2785" s="197" t="str">
        <f t="shared" si="43"/>
        <v>CspCode_timber</v>
      </c>
      <c r="B2785" s="409"/>
      <c r="C2785" s="416"/>
      <c r="D2785" s="198" t="s">
        <v>27602</v>
      </c>
      <c r="E2785" s="198">
        <v>48</v>
      </c>
      <c r="F2785" s="199" t="s">
        <v>27603</v>
      </c>
      <c r="G2785" s="1" t="s">
        <v>27604</v>
      </c>
      <c r="H2785" s="200"/>
      <c r="I2785" s="346"/>
      <c r="J2785" s="39">
        <v>110927</v>
      </c>
      <c r="K2785" s="36" t="str">
        <f>CONCATENATE(Cover!$D$6,"fdd/view?i=",J2785)</f>
        <v>https://www.dgiwg.org/FAD/fdd/view?i=110927</v>
      </c>
      <c r="L2785" s="36" t="s">
        <v>27605</v>
      </c>
      <c r="M2785" s="186"/>
      <c r="N2785" s="186"/>
      <c r="O2785" s="172"/>
    </row>
    <row r="2786" spans="1:15" ht="76.5" x14ac:dyDescent="0.2">
      <c r="A2786" s="197" t="str">
        <f t="shared" si="43"/>
        <v>CspCode_tobacco</v>
      </c>
      <c r="B2786" s="409"/>
      <c r="C2786" s="416"/>
      <c r="D2786" s="198" t="s">
        <v>27606</v>
      </c>
      <c r="E2786" s="198">
        <v>35</v>
      </c>
      <c r="F2786" s="199" t="s">
        <v>27607</v>
      </c>
      <c r="G2786" s="1" t="s">
        <v>27608</v>
      </c>
      <c r="H2786" s="1" t="s">
        <v>27609</v>
      </c>
      <c r="I2786" s="346"/>
      <c r="J2786" s="39">
        <v>110148</v>
      </c>
      <c r="K2786" s="36" t="str">
        <f>CONCATENATE(Cover!$D$6,"fdd/view?i=",J2786)</f>
        <v>https://www.dgiwg.org/FAD/fdd/view?i=110148</v>
      </c>
      <c r="L2786" s="36" t="s">
        <v>27610</v>
      </c>
      <c r="M2786" s="186"/>
      <c r="N2786" s="186"/>
      <c r="O2786" s="172"/>
    </row>
    <row r="2787" spans="1:15" ht="25.5" x14ac:dyDescent="0.2">
      <c r="A2787" s="197" t="str">
        <f t="shared" si="43"/>
        <v>CspCode_tomato</v>
      </c>
      <c r="B2787" s="409"/>
      <c r="C2787" s="416"/>
      <c r="D2787" s="198" t="s">
        <v>27611</v>
      </c>
      <c r="E2787" s="198">
        <v>147</v>
      </c>
      <c r="F2787" s="199" t="s">
        <v>27612</v>
      </c>
      <c r="G2787" s="1" t="s">
        <v>27613</v>
      </c>
      <c r="H2787" s="1" t="s">
        <v>27614</v>
      </c>
      <c r="I2787" s="346"/>
      <c r="J2787" s="39">
        <v>111026</v>
      </c>
      <c r="K2787" s="36" t="str">
        <f>CONCATENATE(Cover!$D$6,"fdd/view?i=",J2787)</f>
        <v>https://www.dgiwg.org/FAD/fdd/view?i=111026</v>
      </c>
      <c r="L2787" s="36" t="s">
        <v>27615</v>
      </c>
      <c r="M2787" s="186"/>
      <c r="N2787" s="186"/>
      <c r="O2787" s="172"/>
    </row>
    <row r="2788" spans="1:15" ht="38.25" x14ac:dyDescent="0.2">
      <c r="A2788" s="197" t="str">
        <f t="shared" si="43"/>
        <v>CspCode_tuber</v>
      </c>
      <c r="B2788" s="409"/>
      <c r="C2788" s="416"/>
      <c r="D2788" s="198" t="s">
        <v>27616</v>
      </c>
      <c r="E2788" s="198">
        <v>36</v>
      </c>
      <c r="F2788" s="199" t="s">
        <v>27617</v>
      </c>
      <c r="G2788" s="1" t="s">
        <v>27618</v>
      </c>
      <c r="H2788" s="200"/>
      <c r="I2788" s="346"/>
      <c r="J2788" s="39">
        <v>110149</v>
      </c>
      <c r="K2788" s="36" t="str">
        <f>CONCATENATE(Cover!$D$6,"fdd/view?i=",J2788)</f>
        <v>https://www.dgiwg.org/FAD/fdd/view?i=110149</v>
      </c>
      <c r="L2788" s="36" t="s">
        <v>27619</v>
      </c>
      <c r="M2788" s="186"/>
      <c r="N2788" s="186"/>
      <c r="O2788" s="172"/>
    </row>
    <row r="2789" spans="1:15" ht="25.5" x14ac:dyDescent="0.2">
      <c r="A2789" s="197" t="str">
        <f t="shared" si="43"/>
        <v>CspCode_turnip</v>
      </c>
      <c r="B2789" s="409"/>
      <c r="C2789" s="416"/>
      <c r="D2789" s="198" t="s">
        <v>27620</v>
      </c>
      <c r="E2789" s="198">
        <v>148</v>
      </c>
      <c r="F2789" s="199" t="s">
        <v>27621</v>
      </c>
      <c r="G2789" s="1" t="s">
        <v>27622</v>
      </c>
      <c r="H2789" s="1" t="s">
        <v>27623</v>
      </c>
      <c r="I2789" s="346"/>
      <c r="J2789" s="39">
        <v>111027</v>
      </c>
      <c r="K2789" s="36" t="str">
        <f>CONCATENATE(Cover!$D$6,"fdd/view?i=",J2789)</f>
        <v>https://www.dgiwg.org/FAD/fdd/view?i=111027</v>
      </c>
      <c r="L2789" s="36" t="s">
        <v>27624</v>
      </c>
      <c r="M2789" s="186"/>
      <c r="N2789" s="186"/>
      <c r="O2789" s="172"/>
    </row>
    <row r="2790" spans="1:15" ht="38.25" x14ac:dyDescent="0.2">
      <c r="A2790" s="197" t="str">
        <f t="shared" si="43"/>
        <v>CspCode_vanilla</v>
      </c>
      <c r="B2790" s="409"/>
      <c r="C2790" s="416"/>
      <c r="D2790" s="198" t="s">
        <v>27625</v>
      </c>
      <c r="E2790" s="198">
        <v>149</v>
      </c>
      <c r="F2790" s="199" t="s">
        <v>27626</v>
      </c>
      <c r="G2790" s="1" t="s">
        <v>27627</v>
      </c>
      <c r="H2790" s="1" t="s">
        <v>27628</v>
      </c>
      <c r="I2790" s="346"/>
      <c r="J2790" s="39">
        <v>111028</v>
      </c>
      <c r="K2790" s="36" t="str">
        <f>CONCATENATE(Cover!$D$6,"fdd/view?i=",J2790)</f>
        <v>https://www.dgiwg.org/FAD/fdd/view?i=111028</v>
      </c>
      <c r="L2790" s="36" t="s">
        <v>27629</v>
      </c>
      <c r="M2790" s="186"/>
      <c r="N2790" s="186"/>
      <c r="O2790" s="172"/>
    </row>
    <row r="2791" spans="1:15" ht="38.25" x14ac:dyDescent="0.2">
      <c r="A2791" s="197" t="str">
        <f t="shared" si="43"/>
        <v>CspCode_vegetableCrop</v>
      </c>
      <c r="B2791" s="409"/>
      <c r="C2791" s="416"/>
      <c r="D2791" s="198" t="s">
        <v>27630</v>
      </c>
      <c r="E2791" s="198">
        <v>37</v>
      </c>
      <c r="F2791" s="199" t="s">
        <v>27631</v>
      </c>
      <c r="G2791" s="1" t="s">
        <v>27632</v>
      </c>
      <c r="H2791" s="200"/>
      <c r="I2791" s="346"/>
      <c r="J2791" s="39">
        <v>110150</v>
      </c>
      <c r="K2791" s="36" t="str">
        <f>CONCATENATE(Cover!$D$6,"fdd/view?i=",J2791)</f>
        <v>https://www.dgiwg.org/FAD/fdd/view?i=110150</v>
      </c>
      <c r="L2791" s="36" t="s">
        <v>27633</v>
      </c>
      <c r="M2791" s="186"/>
      <c r="N2791" s="186"/>
      <c r="O2791" s="172"/>
    </row>
    <row r="2792" spans="1:15" ht="51" x14ac:dyDescent="0.2">
      <c r="A2792" s="197" t="str">
        <f t="shared" si="43"/>
        <v>CspCode_walnut</v>
      </c>
      <c r="B2792" s="409"/>
      <c r="C2792" s="416"/>
      <c r="D2792" s="198" t="s">
        <v>27634</v>
      </c>
      <c r="E2792" s="198">
        <v>38</v>
      </c>
      <c r="F2792" s="199" t="s">
        <v>27635</v>
      </c>
      <c r="G2792" s="1" t="s">
        <v>27636</v>
      </c>
      <c r="H2792" s="1" t="s">
        <v>27637</v>
      </c>
      <c r="I2792" s="346"/>
      <c r="J2792" s="39">
        <v>110151</v>
      </c>
      <c r="K2792" s="36" t="str">
        <f>CONCATENATE(Cover!$D$6,"fdd/view?i=",J2792)</f>
        <v>https://www.dgiwg.org/FAD/fdd/view?i=110151</v>
      </c>
      <c r="L2792" s="36" t="s">
        <v>27638</v>
      </c>
      <c r="M2792" s="186"/>
      <c r="N2792" s="186"/>
      <c r="O2792" s="172"/>
    </row>
    <row r="2793" spans="1:15" ht="25.5" x14ac:dyDescent="0.2">
      <c r="A2793" s="197" t="str">
        <f t="shared" si="43"/>
        <v>CspCode_watermelon</v>
      </c>
      <c r="B2793" s="409"/>
      <c r="C2793" s="416"/>
      <c r="D2793" s="198" t="s">
        <v>27639</v>
      </c>
      <c r="E2793" s="198">
        <v>150</v>
      </c>
      <c r="F2793" s="199" t="s">
        <v>27640</v>
      </c>
      <c r="G2793" s="1" t="s">
        <v>27641</v>
      </c>
      <c r="H2793" s="1" t="s">
        <v>27642</v>
      </c>
      <c r="I2793" s="346"/>
      <c r="J2793" s="39">
        <v>111029</v>
      </c>
      <c r="K2793" s="36" t="str">
        <f>CONCATENATE(Cover!$D$6,"fdd/view?i=",J2793)</f>
        <v>https://www.dgiwg.org/FAD/fdd/view?i=111029</v>
      </c>
      <c r="L2793" s="36" t="s">
        <v>27643</v>
      </c>
      <c r="M2793" s="186"/>
      <c r="N2793" s="186"/>
      <c r="O2793" s="172"/>
    </row>
    <row r="2794" spans="1:15" ht="63.75" x14ac:dyDescent="0.2">
      <c r="A2794" s="197" t="str">
        <f t="shared" si="43"/>
        <v>CspCode_wheat</v>
      </c>
      <c r="B2794" s="409"/>
      <c r="C2794" s="416"/>
      <c r="D2794" s="198" t="s">
        <v>27644</v>
      </c>
      <c r="E2794" s="198">
        <v>39</v>
      </c>
      <c r="F2794" s="199" t="s">
        <v>27645</v>
      </c>
      <c r="G2794" s="1" t="s">
        <v>27646</v>
      </c>
      <c r="H2794" s="1" t="s">
        <v>27647</v>
      </c>
      <c r="I2794" s="346"/>
      <c r="J2794" s="39">
        <v>110152</v>
      </c>
      <c r="K2794" s="36" t="str">
        <f>CONCATENATE(Cover!$D$6,"fdd/view?i=",J2794)</f>
        <v>https://www.dgiwg.org/FAD/fdd/view?i=110152</v>
      </c>
      <c r="L2794" s="36" t="s">
        <v>27648</v>
      </c>
      <c r="M2794" s="186"/>
      <c r="N2794" s="186"/>
      <c r="O2794" s="172"/>
    </row>
    <row r="2795" spans="1:15" ht="38.25" x14ac:dyDescent="0.2">
      <c r="A2795" s="203" t="str">
        <f t="shared" si="43"/>
        <v>CspCode_yam</v>
      </c>
      <c r="B2795" s="410"/>
      <c r="C2795" s="417"/>
      <c r="D2795" s="204" t="s">
        <v>27649</v>
      </c>
      <c r="E2795" s="204">
        <v>151</v>
      </c>
      <c r="F2795" s="205" t="s">
        <v>27650</v>
      </c>
      <c r="G2795" s="206" t="s">
        <v>27651</v>
      </c>
      <c r="H2795" s="206" t="s">
        <v>27652</v>
      </c>
      <c r="I2795" s="347"/>
      <c r="J2795" s="39">
        <v>111030</v>
      </c>
      <c r="K2795" s="36" t="str">
        <f>CONCATENATE(Cover!$D$6,"fdd/view?i=",J2795)</f>
        <v>https://www.dgiwg.org/FAD/fdd/view?i=111030</v>
      </c>
      <c r="L2795" s="36" t="s">
        <v>27653</v>
      </c>
      <c r="M2795" s="186"/>
      <c r="N2795" s="186"/>
      <c r="O2795" s="172"/>
    </row>
    <row r="2796" spans="1:15" ht="25.5" x14ac:dyDescent="0.2">
      <c r="A2796" s="190" t="str">
        <f t="shared" si="43"/>
        <v>TcsCode_arch</v>
      </c>
      <c r="B2796" s="414" t="str">
        <f>HYPERLINK("[#]Datatypes!A398:L398","TcsCode")</f>
        <v>TcsCode</v>
      </c>
      <c r="C2796" s="415" t="s">
        <v>14963</v>
      </c>
      <c r="D2796" s="221" t="s">
        <v>24494</v>
      </c>
      <c r="E2796" s="221">
        <v>1</v>
      </c>
      <c r="F2796" s="222" t="s">
        <v>24495</v>
      </c>
      <c r="G2796" s="223" t="s">
        <v>27654</v>
      </c>
      <c r="H2796" s="224"/>
      <c r="I2796" s="345"/>
      <c r="J2796" s="39">
        <v>108415</v>
      </c>
      <c r="K2796" s="36" t="str">
        <f>CONCATENATE(Cover!$D$6,"fdd/view?i=",J2796)</f>
        <v>https://www.dgiwg.org/FAD/fdd/view?i=108415</v>
      </c>
      <c r="L2796" s="36" t="s">
        <v>27655</v>
      </c>
      <c r="M2796" s="186"/>
      <c r="N2796" s="186"/>
      <c r="O2796" s="172"/>
    </row>
    <row r="2797" spans="1:15" x14ac:dyDescent="0.2">
      <c r="A2797" s="197" t="str">
        <f t="shared" si="43"/>
        <v>TcsCode_box</v>
      </c>
      <c r="B2797" s="409"/>
      <c r="C2797" s="416"/>
      <c r="D2797" s="198" t="s">
        <v>27656</v>
      </c>
      <c r="E2797" s="198">
        <v>2</v>
      </c>
      <c r="F2797" s="199" t="s">
        <v>27657</v>
      </c>
      <c r="G2797" s="1" t="s">
        <v>27658</v>
      </c>
      <c r="H2797" s="200"/>
      <c r="I2797" s="351" t="s">
        <v>27659</v>
      </c>
      <c r="J2797" s="39">
        <v>108416</v>
      </c>
      <c r="K2797" s="36" t="str">
        <f>CONCATENATE(Cover!$D$6,"fdd/view?i=",J2797)</f>
        <v>https://www.dgiwg.org/FAD/fdd/view?i=108416</v>
      </c>
      <c r="L2797" s="36" t="s">
        <v>27660</v>
      </c>
      <c r="M2797" s="186"/>
      <c r="N2797" s="186"/>
      <c r="O2797" s="172"/>
    </row>
    <row r="2798" spans="1:15" x14ac:dyDescent="0.2">
      <c r="A2798" s="197" t="str">
        <f t="shared" si="43"/>
        <v>TcsCode_circular</v>
      </c>
      <c r="B2798" s="409"/>
      <c r="C2798" s="416"/>
      <c r="D2798" s="198" t="s">
        <v>27661</v>
      </c>
      <c r="E2798" s="198">
        <v>4</v>
      </c>
      <c r="F2798" s="199" t="s">
        <v>27662</v>
      </c>
      <c r="G2798" s="1" t="s">
        <v>27663</v>
      </c>
      <c r="H2798" s="200"/>
      <c r="I2798" s="346"/>
      <c r="J2798" s="39">
        <v>118358</v>
      </c>
      <c r="K2798" s="36" t="str">
        <f>CONCATENATE(Cover!$D$6,"fdd/view?i=",J2798)</f>
        <v>https://www.dgiwg.org/FAD/fdd/view?i=118358</v>
      </c>
      <c r="L2798" s="36" t="s">
        <v>27664</v>
      </c>
      <c r="M2798" s="186"/>
      <c r="N2798" s="186"/>
      <c r="O2798" s="172"/>
    </row>
    <row r="2799" spans="1:15" ht="38.25" x14ac:dyDescent="0.2">
      <c r="A2799" s="203" t="str">
        <f t="shared" si="43"/>
        <v>TcsCode_semicircular</v>
      </c>
      <c r="B2799" s="410"/>
      <c r="C2799" s="417"/>
      <c r="D2799" s="204" t="s">
        <v>27665</v>
      </c>
      <c r="E2799" s="204">
        <v>3</v>
      </c>
      <c r="F2799" s="205" t="s">
        <v>27666</v>
      </c>
      <c r="G2799" s="206" t="s">
        <v>27667</v>
      </c>
      <c r="H2799" s="207"/>
      <c r="I2799" s="347"/>
      <c r="J2799" s="39">
        <v>108417</v>
      </c>
      <c r="K2799" s="36" t="str">
        <f>CONCATENATE(Cover!$D$6,"fdd/view?i=",J2799)</f>
        <v>https://www.dgiwg.org/FAD/fdd/view?i=108417</v>
      </c>
      <c r="L2799" s="36" t="s">
        <v>27668</v>
      </c>
      <c r="M2799" s="186"/>
      <c r="N2799" s="186"/>
      <c r="O2799" s="172"/>
    </row>
    <row r="2800" spans="1:15" ht="25.5" x14ac:dyDescent="0.2">
      <c r="A2800" s="190" t="str">
        <f t="shared" si="43"/>
        <v>CssCode_circular</v>
      </c>
      <c r="B2800" s="414" t="str">
        <f>HYPERLINK("[#]Datatypes!A400:L400","CssCode")</f>
        <v>CssCode</v>
      </c>
      <c r="C2800" s="415" t="s">
        <v>14965</v>
      </c>
      <c r="D2800" s="221" t="s">
        <v>27661</v>
      </c>
      <c r="E2800" s="221">
        <v>4</v>
      </c>
      <c r="F2800" s="222" t="s">
        <v>27662</v>
      </c>
      <c r="G2800" s="223" t="s">
        <v>27669</v>
      </c>
      <c r="H2800" s="224"/>
      <c r="I2800" s="352" t="s">
        <v>27670</v>
      </c>
      <c r="J2800" s="39">
        <v>108103</v>
      </c>
      <c r="K2800" s="36" t="str">
        <f>CONCATENATE(Cover!$D$6,"fdd/view?i=",J2800)</f>
        <v>https://www.dgiwg.org/FAD/fdd/view?i=108103</v>
      </c>
      <c r="L2800" s="36" t="s">
        <v>27671</v>
      </c>
      <c r="M2800" s="186"/>
      <c r="N2800" s="186"/>
      <c r="O2800" s="172"/>
    </row>
    <row r="2801" spans="1:15" ht="38.25" x14ac:dyDescent="0.2">
      <c r="A2801" s="197" t="str">
        <f t="shared" si="43"/>
        <v>CssCode_elliptical</v>
      </c>
      <c r="B2801" s="409"/>
      <c r="C2801" s="416"/>
      <c r="D2801" s="198" t="s">
        <v>27672</v>
      </c>
      <c r="E2801" s="198">
        <v>2</v>
      </c>
      <c r="F2801" s="199" t="s">
        <v>27673</v>
      </c>
      <c r="G2801" s="1" t="s">
        <v>27674</v>
      </c>
      <c r="H2801" s="200"/>
      <c r="I2801" s="351" t="s">
        <v>27675</v>
      </c>
      <c r="J2801" s="39">
        <v>108096</v>
      </c>
      <c r="K2801" s="36" t="str">
        <f>CONCATENATE(Cover!$D$6,"fdd/view?i=",J2801)</f>
        <v>https://www.dgiwg.org/FAD/fdd/view?i=108096</v>
      </c>
      <c r="L2801" s="36" t="s">
        <v>27676</v>
      </c>
      <c r="M2801" s="186"/>
      <c r="N2801" s="186"/>
      <c r="O2801" s="172"/>
    </row>
    <row r="2802" spans="1:15" x14ac:dyDescent="0.2">
      <c r="A2802" s="197" t="str">
        <f t="shared" si="43"/>
        <v>CssCode_hexagonal</v>
      </c>
      <c r="B2802" s="409"/>
      <c r="C2802" s="416"/>
      <c r="D2802" s="198" t="s">
        <v>27677</v>
      </c>
      <c r="E2802" s="198">
        <v>7</v>
      </c>
      <c r="F2802" s="199" t="s">
        <v>27678</v>
      </c>
      <c r="G2802" s="1" t="s">
        <v>27679</v>
      </c>
      <c r="H2802" s="200"/>
      <c r="I2802" s="346"/>
      <c r="J2802" s="39">
        <v>119113</v>
      </c>
      <c r="K2802" s="36" t="str">
        <f>CONCATENATE(Cover!$D$6,"fdd/view?i=",J2802)</f>
        <v>https://www.dgiwg.org/FAD/fdd/view?i=119113</v>
      </c>
      <c r="L2802" s="36" t="s">
        <v>27680</v>
      </c>
      <c r="M2802" s="186"/>
      <c r="N2802" s="186"/>
      <c r="O2802" s="172"/>
    </row>
    <row r="2803" spans="1:15" x14ac:dyDescent="0.2">
      <c r="A2803" s="197" t="str">
        <f t="shared" si="43"/>
        <v>CssCode_irregular</v>
      </c>
      <c r="B2803" s="409"/>
      <c r="C2803" s="416"/>
      <c r="D2803" s="198" t="s">
        <v>20235</v>
      </c>
      <c r="E2803" s="198">
        <v>1</v>
      </c>
      <c r="F2803" s="199" t="s">
        <v>20236</v>
      </c>
      <c r="G2803" s="1" t="s">
        <v>27681</v>
      </c>
      <c r="H2803" s="200"/>
      <c r="I2803" s="346"/>
      <c r="J2803" s="39">
        <v>108094</v>
      </c>
      <c r="K2803" s="36" t="str">
        <f>CONCATENATE(Cover!$D$6,"fdd/view?i=",J2803)</f>
        <v>https://www.dgiwg.org/FAD/fdd/view?i=108094</v>
      </c>
      <c r="L2803" s="36" t="s">
        <v>27682</v>
      </c>
      <c r="M2803" s="186"/>
      <c r="N2803" s="186"/>
      <c r="O2803" s="172"/>
    </row>
    <row r="2804" spans="1:15" ht="25.5" x14ac:dyDescent="0.2">
      <c r="A2804" s="197" t="str">
        <f t="shared" si="43"/>
        <v>CssCode_octagonal</v>
      </c>
      <c r="B2804" s="409"/>
      <c r="C2804" s="416"/>
      <c r="D2804" s="198" t="s">
        <v>27683</v>
      </c>
      <c r="E2804" s="198">
        <v>9</v>
      </c>
      <c r="F2804" s="199" t="s">
        <v>27684</v>
      </c>
      <c r="G2804" s="1" t="s">
        <v>27685</v>
      </c>
      <c r="H2804" s="200"/>
      <c r="I2804" s="346"/>
      <c r="J2804" s="39">
        <v>119115</v>
      </c>
      <c r="K2804" s="36" t="str">
        <f>CONCATENATE(Cover!$D$6,"fdd/view?i=",J2804)</f>
        <v>https://www.dgiwg.org/FAD/fdd/view?i=119115</v>
      </c>
      <c r="L2804" s="36" t="s">
        <v>27686</v>
      </c>
      <c r="M2804" s="186"/>
      <c r="N2804" s="186"/>
      <c r="O2804" s="172"/>
    </row>
    <row r="2805" spans="1:15" x14ac:dyDescent="0.2">
      <c r="A2805" s="197" t="str">
        <f t="shared" si="43"/>
        <v>CssCode_pentagonal</v>
      </c>
      <c r="B2805" s="409"/>
      <c r="C2805" s="416"/>
      <c r="D2805" s="198" t="s">
        <v>27687</v>
      </c>
      <c r="E2805" s="198">
        <v>8</v>
      </c>
      <c r="F2805" s="199" t="s">
        <v>27688</v>
      </c>
      <c r="G2805" s="1" t="s">
        <v>27689</v>
      </c>
      <c r="H2805" s="200"/>
      <c r="I2805" s="346"/>
      <c r="J2805" s="39">
        <v>119114</v>
      </c>
      <c r="K2805" s="36" t="str">
        <f>CONCATENATE(Cover!$D$6,"fdd/view?i=",J2805)</f>
        <v>https://www.dgiwg.org/FAD/fdd/view?i=119114</v>
      </c>
      <c r="L2805" s="36" t="s">
        <v>27690</v>
      </c>
      <c r="M2805" s="186"/>
      <c r="N2805" s="186"/>
      <c r="O2805" s="172"/>
    </row>
    <row r="2806" spans="1:15" ht="25.5" x14ac:dyDescent="0.2">
      <c r="A2806" s="197" t="str">
        <f t="shared" si="43"/>
        <v>CssCode_rectangular</v>
      </c>
      <c r="B2806" s="409"/>
      <c r="C2806" s="416"/>
      <c r="D2806" s="198" t="s">
        <v>27691</v>
      </c>
      <c r="E2806" s="198">
        <v>3</v>
      </c>
      <c r="F2806" s="199" t="s">
        <v>27692</v>
      </c>
      <c r="G2806" s="1" t="s">
        <v>27693</v>
      </c>
      <c r="H2806" s="200"/>
      <c r="I2806" s="346"/>
      <c r="J2806" s="39">
        <v>108097</v>
      </c>
      <c r="K2806" s="36" t="str">
        <f>CONCATENATE(Cover!$D$6,"fdd/view?i=",J2806)</f>
        <v>https://www.dgiwg.org/FAD/fdd/view?i=108097</v>
      </c>
      <c r="L2806" s="36" t="s">
        <v>27694</v>
      </c>
      <c r="M2806" s="186"/>
      <c r="N2806" s="186"/>
      <c r="O2806" s="172"/>
    </row>
    <row r="2807" spans="1:15" ht="63.75" x14ac:dyDescent="0.2">
      <c r="A2807" s="197" t="str">
        <f t="shared" si="43"/>
        <v>CssCode_semicircular</v>
      </c>
      <c r="B2807" s="409"/>
      <c r="C2807" s="416"/>
      <c r="D2807" s="198" t="s">
        <v>27665</v>
      </c>
      <c r="E2807" s="198">
        <v>10</v>
      </c>
      <c r="F2807" s="199" t="s">
        <v>27666</v>
      </c>
      <c r="G2807" s="1" t="s">
        <v>27695</v>
      </c>
      <c r="H2807" s="1" t="s">
        <v>27696</v>
      </c>
      <c r="I2807" s="346"/>
      <c r="J2807" s="39">
        <v>119633</v>
      </c>
      <c r="K2807" s="36" t="str">
        <f>CONCATENATE(Cover!$D$6,"fdd/view?i=",J2807)</f>
        <v>https://www.dgiwg.org/FAD/fdd/view?i=119633</v>
      </c>
      <c r="L2807" s="36" t="s">
        <v>27697</v>
      </c>
      <c r="M2807" s="186"/>
      <c r="N2807" s="186"/>
      <c r="O2807" s="172"/>
    </row>
    <row r="2808" spans="1:15" ht="25.5" x14ac:dyDescent="0.2">
      <c r="A2808" s="197" t="str">
        <f t="shared" si="43"/>
        <v>CssCode_square</v>
      </c>
      <c r="B2808" s="409"/>
      <c r="C2808" s="416"/>
      <c r="D2808" s="198" t="s">
        <v>27698</v>
      </c>
      <c r="E2808" s="198">
        <v>5</v>
      </c>
      <c r="F2808" s="199" t="s">
        <v>27699</v>
      </c>
      <c r="G2808" s="1" t="s">
        <v>27700</v>
      </c>
      <c r="H2808" s="200"/>
      <c r="I2808" s="346"/>
      <c r="J2808" s="39">
        <v>108114</v>
      </c>
      <c r="K2808" s="36" t="str">
        <f>CONCATENATE(Cover!$D$6,"fdd/view?i=",J2808)</f>
        <v>https://www.dgiwg.org/FAD/fdd/view?i=108114</v>
      </c>
      <c r="L2808" s="36" t="s">
        <v>27701</v>
      </c>
      <c r="M2808" s="186"/>
      <c r="N2808" s="186"/>
      <c r="O2808" s="172"/>
    </row>
    <row r="2809" spans="1:15" x14ac:dyDescent="0.2">
      <c r="A2809" s="203" t="str">
        <f t="shared" si="43"/>
        <v>CssCode_triangular</v>
      </c>
      <c r="B2809" s="410"/>
      <c r="C2809" s="417"/>
      <c r="D2809" s="204" t="s">
        <v>27702</v>
      </c>
      <c r="E2809" s="204">
        <v>6</v>
      </c>
      <c r="F2809" s="205" t="s">
        <v>27703</v>
      </c>
      <c r="G2809" s="206" t="s">
        <v>27704</v>
      </c>
      <c r="H2809" s="207"/>
      <c r="I2809" s="347"/>
      <c r="J2809" s="39">
        <v>108115</v>
      </c>
      <c r="K2809" s="36" t="str">
        <f>CONCATENATE(Cover!$D$6,"fdd/view?i=",J2809)</f>
        <v>https://www.dgiwg.org/FAD/fdd/view?i=108115</v>
      </c>
      <c r="L2809" s="36" t="s">
        <v>27705</v>
      </c>
      <c r="M2809" s="186"/>
      <c r="N2809" s="186"/>
      <c r="O2809" s="172"/>
    </row>
    <row r="2810" spans="1:15" ht="25.5" x14ac:dyDescent="0.2">
      <c r="A2810" s="190" t="str">
        <f t="shared" si="43"/>
        <v>CulCode_economicSystem</v>
      </c>
      <c r="B2810" s="414" t="str">
        <f>HYPERLINK("[#]Datatypes!A402:L402","CulCode")</f>
        <v>CulCode</v>
      </c>
      <c r="C2810" s="415" t="s">
        <v>14967</v>
      </c>
      <c r="D2810" s="221" t="s">
        <v>27706</v>
      </c>
      <c r="E2810" s="221">
        <v>7</v>
      </c>
      <c r="F2810" s="222" t="s">
        <v>27707</v>
      </c>
      <c r="G2810" s="223" t="s">
        <v>27708</v>
      </c>
      <c r="H2810" s="224"/>
      <c r="I2810" s="345"/>
      <c r="J2810" s="39">
        <v>111785</v>
      </c>
      <c r="K2810" s="36" t="str">
        <f>CONCATENATE(Cover!$D$6,"fdd/view?i=",J2810)</f>
        <v>https://www.dgiwg.org/FAD/fdd/view?i=111785</v>
      </c>
      <c r="L2810" s="36" t="s">
        <v>27709</v>
      </c>
      <c r="M2810" s="186"/>
      <c r="N2810" s="186"/>
      <c r="O2810" s="172"/>
    </row>
    <row r="2811" spans="1:15" ht="63.75" x14ac:dyDescent="0.2">
      <c r="A2811" s="197" t="str">
        <f t="shared" si="43"/>
        <v>CulCode_ethnicGroup</v>
      </c>
      <c r="B2811" s="409"/>
      <c r="C2811" s="416"/>
      <c r="D2811" s="198" t="s">
        <v>27710</v>
      </c>
      <c r="E2811" s="198">
        <v>2</v>
      </c>
      <c r="F2811" s="199" t="s">
        <v>27711</v>
      </c>
      <c r="G2811" s="1" t="s">
        <v>27712</v>
      </c>
      <c r="H2811" s="1" t="s">
        <v>27713</v>
      </c>
      <c r="I2811" s="346"/>
      <c r="J2811" s="39">
        <v>111804</v>
      </c>
      <c r="K2811" s="36" t="str">
        <f>CONCATENATE(Cover!$D$6,"fdd/view?i=",J2811)</f>
        <v>https://www.dgiwg.org/FAD/fdd/view?i=111804</v>
      </c>
      <c r="L2811" s="36" t="s">
        <v>27714</v>
      </c>
      <c r="M2811" s="186"/>
      <c r="N2811" s="186"/>
      <c r="O2811" s="172"/>
    </row>
    <row r="2812" spans="1:15" ht="38.25" x14ac:dyDescent="0.2">
      <c r="A2812" s="197" t="str">
        <f t="shared" si="43"/>
        <v>CulCode_language</v>
      </c>
      <c r="B2812" s="409"/>
      <c r="C2812" s="416"/>
      <c r="D2812" s="198" t="s">
        <v>9847</v>
      </c>
      <c r="E2812" s="198">
        <v>5</v>
      </c>
      <c r="F2812" s="199" t="s">
        <v>9849</v>
      </c>
      <c r="G2812" s="1" t="s">
        <v>27715</v>
      </c>
      <c r="H2812" s="1" t="s">
        <v>27716</v>
      </c>
      <c r="I2812" s="346"/>
      <c r="J2812" s="39">
        <v>111806</v>
      </c>
      <c r="K2812" s="36" t="str">
        <f>CONCATENATE(Cover!$D$6,"fdd/view?i=",J2812)</f>
        <v>https://www.dgiwg.org/FAD/fdd/view?i=111806</v>
      </c>
      <c r="L2812" s="36" t="s">
        <v>27717</v>
      </c>
      <c r="M2812" s="186"/>
      <c r="N2812" s="186"/>
      <c r="O2812" s="172"/>
    </row>
    <row r="2813" spans="1:15" ht="63.75" x14ac:dyDescent="0.2">
      <c r="A2813" s="197" t="str">
        <f t="shared" si="43"/>
        <v>CulCode_nationalIdentity</v>
      </c>
      <c r="B2813" s="409"/>
      <c r="C2813" s="416"/>
      <c r="D2813" s="198" t="s">
        <v>27718</v>
      </c>
      <c r="E2813" s="198">
        <v>1</v>
      </c>
      <c r="F2813" s="199" t="s">
        <v>27719</v>
      </c>
      <c r="G2813" s="1" t="s">
        <v>27720</v>
      </c>
      <c r="H2813" s="200"/>
      <c r="I2813" s="346"/>
      <c r="J2813" s="39">
        <v>111802</v>
      </c>
      <c r="K2813" s="36" t="str">
        <f>CONCATENATE(Cover!$D$6,"fdd/view?i=",J2813)</f>
        <v>https://www.dgiwg.org/FAD/fdd/view?i=111802</v>
      </c>
      <c r="L2813" s="36" t="s">
        <v>27721</v>
      </c>
      <c r="M2813" s="186"/>
      <c r="N2813" s="186"/>
      <c r="O2813" s="172"/>
    </row>
    <row r="2814" spans="1:15" x14ac:dyDescent="0.2">
      <c r="A2814" s="197" t="str">
        <f t="shared" si="43"/>
        <v>CulCode_politics</v>
      </c>
      <c r="B2814" s="409"/>
      <c r="C2814" s="416"/>
      <c r="D2814" s="198" t="s">
        <v>27722</v>
      </c>
      <c r="E2814" s="198">
        <v>9</v>
      </c>
      <c r="F2814" s="199" t="s">
        <v>27723</v>
      </c>
      <c r="G2814" s="1" t="s">
        <v>27724</v>
      </c>
      <c r="H2814" s="200"/>
      <c r="I2814" s="346"/>
      <c r="J2814" s="39">
        <v>111787</v>
      </c>
      <c r="K2814" s="36" t="str">
        <f>CONCATENATE(Cover!$D$6,"fdd/view?i=",J2814)</f>
        <v>https://www.dgiwg.org/FAD/fdd/view?i=111787</v>
      </c>
      <c r="L2814" s="36" t="s">
        <v>27725</v>
      </c>
      <c r="M2814" s="186"/>
      <c r="N2814" s="186"/>
      <c r="O2814" s="172"/>
    </row>
    <row r="2815" spans="1:15" ht="63.75" x14ac:dyDescent="0.2">
      <c r="A2815" s="197" t="str">
        <f t="shared" si="43"/>
        <v>CulCode_religion</v>
      </c>
      <c r="B2815" s="409"/>
      <c r="C2815" s="416"/>
      <c r="D2815" s="198" t="s">
        <v>12122</v>
      </c>
      <c r="E2815" s="198">
        <v>6</v>
      </c>
      <c r="F2815" s="199" t="s">
        <v>12124</v>
      </c>
      <c r="G2815" s="1" t="s">
        <v>27726</v>
      </c>
      <c r="H2815" s="200"/>
      <c r="I2815" s="346"/>
      <c r="J2815" s="39">
        <v>111808</v>
      </c>
      <c r="K2815" s="36" t="str">
        <f>CONCATENATE(Cover!$D$6,"fdd/view?i=",J2815)</f>
        <v>https://www.dgiwg.org/FAD/fdd/view?i=111808</v>
      </c>
      <c r="L2815" s="36" t="s">
        <v>27727</v>
      </c>
      <c r="M2815" s="186"/>
      <c r="N2815" s="186"/>
      <c r="O2815" s="172"/>
    </row>
    <row r="2816" spans="1:15" x14ac:dyDescent="0.2">
      <c r="A2816" s="203" t="str">
        <f t="shared" si="43"/>
        <v>CulCode_territory</v>
      </c>
      <c r="B2816" s="410"/>
      <c r="C2816" s="417"/>
      <c r="D2816" s="204" t="s">
        <v>27728</v>
      </c>
      <c r="E2816" s="204">
        <v>8</v>
      </c>
      <c r="F2816" s="205" t="s">
        <v>27729</v>
      </c>
      <c r="G2816" s="206" t="s">
        <v>27730</v>
      </c>
      <c r="H2816" s="207"/>
      <c r="I2816" s="347"/>
      <c r="J2816" s="39">
        <v>111786</v>
      </c>
      <c r="K2816" s="36" t="str">
        <f>CONCATENATE(Cover!$D$6,"fdd/view?i=",J2816)</f>
        <v>https://www.dgiwg.org/FAD/fdd/view?i=111786</v>
      </c>
      <c r="L2816" s="36" t="s">
        <v>27731</v>
      </c>
      <c r="M2816" s="186"/>
      <c r="N2816" s="186"/>
      <c r="O2816" s="172"/>
    </row>
    <row r="2817" spans="1:15" x14ac:dyDescent="0.2">
      <c r="A2817" s="190" t="str">
        <f t="shared" si="43"/>
        <v>EtuCode_farming</v>
      </c>
      <c r="B2817" s="414" t="str">
        <f>HYPERLINK("[#]Datatypes!A404:L404","EtuCode")</f>
        <v>EtuCode</v>
      </c>
      <c r="C2817" s="415" t="s">
        <v>14969</v>
      </c>
      <c r="D2817" s="221" t="s">
        <v>27732</v>
      </c>
      <c r="E2817" s="221">
        <v>2</v>
      </c>
      <c r="F2817" s="222" t="s">
        <v>27733</v>
      </c>
      <c r="G2817" s="223" t="s">
        <v>27734</v>
      </c>
      <c r="H2817" s="224"/>
      <c r="I2817" s="345"/>
      <c r="J2817" s="39">
        <v>113244</v>
      </c>
      <c r="K2817" s="36" t="str">
        <f>CONCATENATE(Cover!$D$6,"fdd/view?i=",J2817)</f>
        <v>https://www.dgiwg.org/FAD/fdd/view?i=113244</v>
      </c>
      <c r="L2817" s="36" t="s">
        <v>27735</v>
      </c>
      <c r="M2817" s="186"/>
      <c r="N2817" s="186"/>
      <c r="O2817" s="172"/>
    </row>
    <row r="2818" spans="1:15" x14ac:dyDescent="0.2">
      <c r="A2818" s="197" t="str">
        <f t="shared" ref="A2818:A2881" si="44">HYPERLINK(K2818,L2818)</f>
        <v>EtuCode_fishing</v>
      </c>
      <c r="B2818" s="409"/>
      <c r="C2818" s="416"/>
      <c r="D2818" s="198" t="s">
        <v>19959</v>
      </c>
      <c r="E2818" s="198">
        <v>3</v>
      </c>
      <c r="F2818" s="199" t="s">
        <v>19960</v>
      </c>
      <c r="G2818" s="1" t="s">
        <v>27736</v>
      </c>
      <c r="H2818" s="200"/>
      <c r="I2818" s="346"/>
      <c r="J2818" s="39">
        <v>113245</v>
      </c>
      <c r="K2818" s="36" t="str">
        <f>CONCATENATE(Cover!$D$6,"fdd/view?i=",J2818)</f>
        <v>https://www.dgiwg.org/FAD/fdd/view?i=113245</v>
      </c>
      <c r="L2818" s="36" t="s">
        <v>27737</v>
      </c>
      <c r="M2818" s="186"/>
      <c r="N2818" s="186"/>
      <c r="O2818" s="172"/>
    </row>
    <row r="2819" spans="1:15" x14ac:dyDescent="0.2">
      <c r="A2819" s="197" t="str">
        <f t="shared" si="44"/>
        <v>EtuCode_handicraft</v>
      </c>
      <c r="B2819" s="409"/>
      <c r="C2819" s="416"/>
      <c r="D2819" s="198" t="s">
        <v>27738</v>
      </c>
      <c r="E2819" s="198">
        <v>4</v>
      </c>
      <c r="F2819" s="199" t="s">
        <v>27739</v>
      </c>
      <c r="G2819" s="1" t="s">
        <v>27740</v>
      </c>
      <c r="H2819" s="200"/>
      <c r="I2819" s="346"/>
      <c r="J2819" s="39">
        <v>113246</v>
      </c>
      <c r="K2819" s="36" t="str">
        <f>CONCATENATE(Cover!$D$6,"fdd/view?i=",J2819)</f>
        <v>https://www.dgiwg.org/FAD/fdd/view?i=113246</v>
      </c>
      <c r="L2819" s="36" t="s">
        <v>27741</v>
      </c>
      <c r="M2819" s="186"/>
      <c r="N2819" s="186"/>
      <c r="O2819" s="172"/>
    </row>
    <row r="2820" spans="1:15" ht="25.5" x14ac:dyDescent="0.2">
      <c r="A2820" s="197" t="str">
        <f t="shared" si="44"/>
        <v>EtuCode_huntingGathering</v>
      </c>
      <c r="B2820" s="409"/>
      <c r="C2820" s="416"/>
      <c r="D2820" s="198" t="s">
        <v>27742</v>
      </c>
      <c r="E2820" s="198">
        <v>5</v>
      </c>
      <c r="F2820" s="199" t="s">
        <v>27743</v>
      </c>
      <c r="G2820" s="1" t="s">
        <v>27744</v>
      </c>
      <c r="H2820" s="200"/>
      <c r="I2820" s="346"/>
      <c r="J2820" s="39">
        <v>113247</v>
      </c>
      <c r="K2820" s="36" t="str">
        <f>CONCATENATE(Cover!$D$6,"fdd/view?i=",J2820)</f>
        <v>https://www.dgiwg.org/FAD/fdd/view?i=113247</v>
      </c>
      <c r="L2820" s="36" t="s">
        <v>27745</v>
      </c>
      <c r="M2820" s="186"/>
      <c r="N2820" s="186"/>
      <c r="O2820" s="172"/>
    </row>
    <row r="2821" spans="1:15" ht="25.5" x14ac:dyDescent="0.2">
      <c r="A2821" s="197" t="str">
        <f t="shared" si="44"/>
        <v>EtuCode_industrialProduction</v>
      </c>
      <c r="B2821" s="409"/>
      <c r="C2821" s="416"/>
      <c r="D2821" s="198" t="s">
        <v>27746</v>
      </c>
      <c r="E2821" s="198">
        <v>6</v>
      </c>
      <c r="F2821" s="199" t="s">
        <v>27747</v>
      </c>
      <c r="G2821" s="1" t="s">
        <v>27748</v>
      </c>
      <c r="H2821" s="200"/>
      <c r="I2821" s="346"/>
      <c r="J2821" s="39">
        <v>113248</v>
      </c>
      <c r="K2821" s="36" t="str">
        <f>CONCATENATE(Cover!$D$6,"fdd/view?i=",J2821)</f>
        <v>https://www.dgiwg.org/FAD/fdd/view?i=113248</v>
      </c>
      <c r="L2821" s="36" t="s">
        <v>27749</v>
      </c>
      <c r="M2821" s="186"/>
      <c r="N2821" s="186"/>
      <c r="O2821" s="172"/>
    </row>
    <row r="2822" spans="1:15" ht="51" x14ac:dyDescent="0.2">
      <c r="A2822" s="197" t="str">
        <f t="shared" si="44"/>
        <v>EtuCode_nomadicAnimalHusbandry</v>
      </c>
      <c r="B2822" s="409"/>
      <c r="C2822" s="416"/>
      <c r="D2822" s="198" t="s">
        <v>27750</v>
      </c>
      <c r="E2822" s="198">
        <v>8</v>
      </c>
      <c r="F2822" s="199" t="s">
        <v>27751</v>
      </c>
      <c r="G2822" s="1" t="s">
        <v>27752</v>
      </c>
      <c r="H2822" s="1" t="s">
        <v>27753</v>
      </c>
      <c r="I2822" s="346"/>
      <c r="J2822" s="39">
        <v>113249</v>
      </c>
      <c r="K2822" s="36" t="str">
        <f>CONCATENATE(Cover!$D$6,"fdd/view?i=",J2822)</f>
        <v>https://www.dgiwg.org/FAD/fdd/view?i=113249</v>
      </c>
      <c r="L2822" s="36" t="s">
        <v>27754</v>
      </c>
      <c r="M2822" s="186"/>
      <c r="N2822" s="186"/>
      <c r="O2822" s="172"/>
    </row>
    <row r="2823" spans="1:15" ht="25.5" x14ac:dyDescent="0.2">
      <c r="A2823" s="197" t="str">
        <f t="shared" si="44"/>
        <v>EtuCode_nonNomadAnimalHusbandry</v>
      </c>
      <c r="B2823" s="409"/>
      <c r="C2823" s="416"/>
      <c r="D2823" s="198" t="s">
        <v>27755</v>
      </c>
      <c r="E2823" s="198">
        <v>1</v>
      </c>
      <c r="F2823" s="199" t="s">
        <v>27756</v>
      </c>
      <c r="G2823" s="1" t="s">
        <v>27757</v>
      </c>
      <c r="H2823" s="200"/>
      <c r="I2823" s="346"/>
      <c r="J2823" s="39">
        <v>113243</v>
      </c>
      <c r="K2823" s="36" t="str">
        <f>CONCATENATE(Cover!$D$6,"fdd/view?i=",J2823)</f>
        <v>https://www.dgiwg.org/FAD/fdd/view?i=113243</v>
      </c>
      <c r="L2823" s="36" t="s">
        <v>27758</v>
      </c>
      <c r="M2823" s="186"/>
      <c r="N2823" s="186"/>
      <c r="O2823" s="172"/>
    </row>
    <row r="2824" spans="1:15" ht="25.5" x14ac:dyDescent="0.2">
      <c r="A2824" s="197" t="str">
        <f t="shared" si="44"/>
        <v>EtuCode_services</v>
      </c>
      <c r="B2824" s="409"/>
      <c r="C2824" s="416"/>
      <c r="D2824" s="198" t="s">
        <v>27759</v>
      </c>
      <c r="E2824" s="198">
        <v>9</v>
      </c>
      <c r="F2824" s="199" t="s">
        <v>27760</v>
      </c>
      <c r="G2824" s="1" t="s">
        <v>27761</v>
      </c>
      <c r="H2824" s="200"/>
      <c r="I2824" s="346"/>
      <c r="J2824" s="39">
        <v>113250</v>
      </c>
      <c r="K2824" s="36" t="str">
        <f>CONCATENATE(Cover!$D$6,"fdd/view?i=",J2824)</f>
        <v>https://www.dgiwg.org/FAD/fdd/view?i=113250</v>
      </c>
      <c r="L2824" s="36" t="s">
        <v>27762</v>
      </c>
      <c r="M2824" s="186"/>
      <c r="N2824" s="186"/>
      <c r="O2824" s="172"/>
    </row>
    <row r="2825" spans="1:15" ht="63.75" x14ac:dyDescent="0.2">
      <c r="A2825" s="203" t="str">
        <f t="shared" si="44"/>
        <v>EtuCode_transhumance</v>
      </c>
      <c r="B2825" s="410"/>
      <c r="C2825" s="417"/>
      <c r="D2825" s="204" t="s">
        <v>27763</v>
      </c>
      <c r="E2825" s="204">
        <v>10</v>
      </c>
      <c r="F2825" s="205" t="s">
        <v>27764</v>
      </c>
      <c r="G2825" s="206" t="s">
        <v>27765</v>
      </c>
      <c r="H2825" s="206" t="s">
        <v>27766</v>
      </c>
      <c r="I2825" s="347"/>
      <c r="J2825" s="39">
        <v>114551</v>
      </c>
      <c r="K2825" s="36" t="str">
        <f>CONCATENATE(Cover!$D$6,"fdd/view?i=",J2825)</f>
        <v>https://www.dgiwg.org/FAD/fdd/view?i=114551</v>
      </c>
      <c r="L2825" s="36" t="s">
        <v>27767</v>
      </c>
      <c r="M2825" s="186"/>
      <c r="N2825" s="186"/>
      <c r="O2825" s="172"/>
    </row>
    <row r="2826" spans="1:15" x14ac:dyDescent="0.2">
      <c r="A2826" s="190" t="str">
        <f t="shared" si="44"/>
        <v>CefCode_auditorium</v>
      </c>
      <c r="B2826" s="414" t="str">
        <f>HYPERLINK("[#]Datatypes!A406:L406","CefCode")</f>
        <v>CefCode</v>
      </c>
      <c r="C2826" s="415" t="s">
        <v>14971</v>
      </c>
      <c r="D2826" s="221" t="s">
        <v>27768</v>
      </c>
      <c r="E2826" s="221">
        <v>6</v>
      </c>
      <c r="F2826" s="222" t="s">
        <v>27769</v>
      </c>
      <c r="G2826" s="223" t="s">
        <v>27770</v>
      </c>
      <c r="H2826" s="224"/>
      <c r="I2826" s="345"/>
      <c r="J2826" s="39">
        <v>102967</v>
      </c>
      <c r="K2826" s="36" t="str">
        <f>CONCATENATE(Cover!$D$6,"fdd/view?i=",J2826)</f>
        <v>https://www.dgiwg.org/FAD/fdd/view?i=102967</v>
      </c>
      <c r="L2826" s="36" t="s">
        <v>27771</v>
      </c>
      <c r="M2826" s="186"/>
      <c r="N2826" s="186"/>
      <c r="O2826" s="172"/>
    </row>
    <row r="2827" spans="1:15" ht="25.5" x14ac:dyDescent="0.2">
      <c r="A2827" s="197" t="str">
        <f t="shared" si="44"/>
        <v>CefCode_castle</v>
      </c>
      <c r="B2827" s="409"/>
      <c r="C2827" s="416"/>
      <c r="D2827" s="198" t="s">
        <v>27772</v>
      </c>
      <c r="E2827" s="198">
        <v>1</v>
      </c>
      <c r="F2827" s="199" t="s">
        <v>2437</v>
      </c>
      <c r="G2827" s="1" t="s">
        <v>27773</v>
      </c>
      <c r="H2827" s="200"/>
      <c r="I2827" s="346"/>
      <c r="J2827" s="39">
        <v>102962</v>
      </c>
      <c r="K2827" s="36" t="str">
        <f>CONCATENATE(Cover!$D$6,"fdd/view?i=",J2827)</f>
        <v>https://www.dgiwg.org/FAD/fdd/view?i=102962</v>
      </c>
      <c r="L2827" s="36" t="s">
        <v>27774</v>
      </c>
      <c r="M2827" s="186"/>
      <c r="N2827" s="186"/>
      <c r="O2827" s="172"/>
    </row>
    <row r="2828" spans="1:15" ht="38.25" x14ac:dyDescent="0.2">
      <c r="A2828" s="197" t="str">
        <f t="shared" si="44"/>
        <v>CefCode_communityCentre</v>
      </c>
      <c r="B2828" s="409"/>
      <c r="C2828" s="416"/>
      <c r="D2828" s="198" t="s">
        <v>27775</v>
      </c>
      <c r="E2828" s="198">
        <v>10</v>
      </c>
      <c r="F2828" s="199" t="s">
        <v>27776</v>
      </c>
      <c r="G2828" s="1" t="s">
        <v>27777</v>
      </c>
      <c r="H2828" s="200"/>
      <c r="I2828" s="346"/>
      <c r="J2828" s="39">
        <v>102970</v>
      </c>
      <c r="K2828" s="36" t="str">
        <f>CONCATENATE(Cover!$D$6,"fdd/view?i=",J2828)</f>
        <v>https://www.dgiwg.org/FAD/fdd/view?i=102970</v>
      </c>
      <c r="L2828" s="36" t="s">
        <v>27778</v>
      </c>
      <c r="M2828" s="186"/>
      <c r="N2828" s="186"/>
      <c r="O2828" s="172"/>
    </row>
    <row r="2829" spans="1:15" ht="25.5" x14ac:dyDescent="0.2">
      <c r="A2829" s="197" t="str">
        <f t="shared" si="44"/>
        <v>CefCode_indoorSwimmingPool</v>
      </c>
      <c r="B2829" s="409"/>
      <c r="C2829" s="416"/>
      <c r="D2829" s="198" t="s">
        <v>27779</v>
      </c>
      <c r="E2829" s="198">
        <v>18</v>
      </c>
      <c r="F2829" s="199" t="s">
        <v>27780</v>
      </c>
      <c r="G2829" s="1" t="s">
        <v>27781</v>
      </c>
      <c r="H2829" s="200"/>
      <c r="I2829" s="346"/>
      <c r="J2829" s="39">
        <v>118459</v>
      </c>
      <c r="K2829" s="36" t="str">
        <f>CONCATENATE(Cover!$D$6,"fdd/view?i=",J2829)</f>
        <v>https://www.dgiwg.org/FAD/fdd/view?i=118459</v>
      </c>
      <c r="L2829" s="36" t="s">
        <v>27782</v>
      </c>
      <c r="M2829" s="186"/>
      <c r="N2829" s="186"/>
      <c r="O2829" s="172"/>
    </row>
    <row r="2830" spans="1:15" ht="51" x14ac:dyDescent="0.2">
      <c r="A2830" s="197" t="str">
        <f t="shared" si="44"/>
        <v>CefCode_library</v>
      </c>
      <c r="B2830" s="409"/>
      <c r="C2830" s="416"/>
      <c r="D2830" s="198" t="s">
        <v>27783</v>
      </c>
      <c r="E2830" s="198">
        <v>12</v>
      </c>
      <c r="F2830" s="199" t="s">
        <v>27784</v>
      </c>
      <c r="G2830" s="1" t="s">
        <v>27785</v>
      </c>
      <c r="H2830" s="200"/>
      <c r="I2830" s="346"/>
      <c r="J2830" s="39">
        <v>102972</v>
      </c>
      <c r="K2830" s="36" t="str">
        <f>CONCATENATE(Cover!$D$6,"fdd/view?i=",J2830)</f>
        <v>https://www.dgiwg.org/FAD/fdd/view?i=102972</v>
      </c>
      <c r="L2830" s="36" t="s">
        <v>27786</v>
      </c>
      <c r="M2830" s="186"/>
      <c r="N2830" s="186"/>
      <c r="O2830" s="172"/>
    </row>
    <row r="2831" spans="1:15" ht="25.5" x14ac:dyDescent="0.2">
      <c r="A2831" s="197" t="str">
        <f t="shared" si="44"/>
        <v>CefCode_lyceum</v>
      </c>
      <c r="B2831" s="409"/>
      <c r="C2831" s="416"/>
      <c r="D2831" s="198" t="s">
        <v>27787</v>
      </c>
      <c r="E2831" s="198">
        <v>13</v>
      </c>
      <c r="F2831" s="199" t="s">
        <v>27788</v>
      </c>
      <c r="G2831" s="1" t="s">
        <v>27789</v>
      </c>
      <c r="H2831" s="200"/>
      <c r="I2831" s="346"/>
      <c r="J2831" s="39">
        <v>110091</v>
      </c>
      <c r="K2831" s="36" t="str">
        <f>CONCATENATE(Cover!$D$6,"fdd/view?i=",J2831)</f>
        <v>https://www.dgiwg.org/FAD/fdd/view?i=110091</v>
      </c>
      <c r="L2831" s="36" t="s">
        <v>27790</v>
      </c>
      <c r="M2831" s="186"/>
      <c r="N2831" s="186"/>
      <c r="O2831" s="172"/>
    </row>
    <row r="2832" spans="1:15" ht="38.25" x14ac:dyDescent="0.2">
      <c r="A2832" s="197" t="str">
        <f t="shared" si="44"/>
        <v>CefCode_museum</v>
      </c>
      <c r="B2832" s="409"/>
      <c r="C2832" s="416"/>
      <c r="D2832" s="198" t="s">
        <v>27791</v>
      </c>
      <c r="E2832" s="198">
        <v>2</v>
      </c>
      <c r="F2832" s="199" t="s">
        <v>27792</v>
      </c>
      <c r="G2832" s="1" t="s">
        <v>27793</v>
      </c>
      <c r="H2832" s="200"/>
      <c r="I2832" s="346"/>
      <c r="J2832" s="39">
        <v>102963</v>
      </c>
      <c r="K2832" s="36" t="str">
        <f>CONCATENATE(Cover!$D$6,"fdd/view?i=",J2832)</f>
        <v>https://www.dgiwg.org/FAD/fdd/view?i=102963</v>
      </c>
      <c r="L2832" s="36" t="s">
        <v>27794</v>
      </c>
      <c r="M2832" s="186"/>
      <c r="N2832" s="186"/>
      <c r="O2832" s="172"/>
    </row>
    <row r="2833" spans="1:15" ht="51" x14ac:dyDescent="0.2">
      <c r="A2833" s="197" t="str">
        <f t="shared" si="44"/>
        <v>CefCode_openAirMuseum</v>
      </c>
      <c r="B2833" s="409"/>
      <c r="C2833" s="416"/>
      <c r="D2833" s="198" t="s">
        <v>27795</v>
      </c>
      <c r="E2833" s="198">
        <v>15</v>
      </c>
      <c r="F2833" s="199" t="s">
        <v>27796</v>
      </c>
      <c r="G2833" s="1" t="s">
        <v>27797</v>
      </c>
      <c r="H2833" s="200"/>
      <c r="I2833" s="351" t="s">
        <v>27798</v>
      </c>
      <c r="J2833" s="39">
        <v>112857</v>
      </c>
      <c r="K2833" s="36" t="str">
        <f>CONCATENATE(Cover!$D$6,"fdd/view?i=",J2833)</f>
        <v>https://www.dgiwg.org/FAD/fdd/view?i=112857</v>
      </c>
      <c r="L2833" s="36" t="s">
        <v>27799</v>
      </c>
      <c r="M2833" s="186"/>
      <c r="N2833" s="186"/>
      <c r="O2833" s="172"/>
    </row>
    <row r="2834" spans="1:15" ht="25.5" x14ac:dyDescent="0.2">
      <c r="A2834" s="197" t="str">
        <f t="shared" si="44"/>
        <v>CefCode_openAirTheatre</v>
      </c>
      <c r="B2834" s="409"/>
      <c r="C2834" s="416"/>
      <c r="D2834" s="198" t="s">
        <v>27800</v>
      </c>
      <c r="E2834" s="198">
        <v>14</v>
      </c>
      <c r="F2834" s="199" t="s">
        <v>27801</v>
      </c>
      <c r="G2834" s="1" t="s">
        <v>27802</v>
      </c>
      <c r="H2834" s="200"/>
      <c r="I2834" s="346"/>
      <c r="J2834" s="39">
        <v>112856</v>
      </c>
      <c r="K2834" s="36" t="str">
        <f>CONCATENATE(Cover!$D$6,"fdd/view?i=",J2834)</f>
        <v>https://www.dgiwg.org/FAD/fdd/view?i=112856</v>
      </c>
      <c r="L2834" s="36" t="s">
        <v>27803</v>
      </c>
      <c r="M2834" s="186"/>
      <c r="N2834" s="186"/>
      <c r="O2834" s="172"/>
    </row>
    <row r="2835" spans="1:15" ht="25.5" x14ac:dyDescent="0.2">
      <c r="A2835" s="197" t="str">
        <f t="shared" si="44"/>
        <v>CefCode_operaHouse</v>
      </c>
      <c r="B2835" s="409"/>
      <c r="C2835" s="416"/>
      <c r="D2835" s="198" t="s">
        <v>27804</v>
      </c>
      <c r="E2835" s="198">
        <v>7</v>
      </c>
      <c r="F2835" s="199" t="s">
        <v>27805</v>
      </c>
      <c r="G2835" s="1" t="s">
        <v>27806</v>
      </c>
      <c r="H2835" s="200"/>
      <c r="I2835" s="346"/>
      <c r="J2835" s="39">
        <v>102968</v>
      </c>
      <c r="K2835" s="36" t="str">
        <f>CONCATENATE(Cover!$D$6,"fdd/view?i=",J2835)</f>
        <v>https://www.dgiwg.org/FAD/fdd/view?i=102968</v>
      </c>
      <c r="L2835" s="36" t="s">
        <v>27807</v>
      </c>
      <c r="M2835" s="186"/>
      <c r="N2835" s="186"/>
      <c r="O2835" s="172"/>
    </row>
    <row r="2836" spans="1:15" ht="38.25" x14ac:dyDescent="0.2">
      <c r="A2836" s="197" t="str">
        <f t="shared" si="44"/>
        <v>CefCode_sportsCentre</v>
      </c>
      <c r="B2836" s="409"/>
      <c r="C2836" s="416"/>
      <c r="D2836" s="198" t="s">
        <v>27808</v>
      </c>
      <c r="E2836" s="198">
        <v>9</v>
      </c>
      <c r="F2836" s="199" t="s">
        <v>27809</v>
      </c>
      <c r="G2836" s="1" t="s">
        <v>27810</v>
      </c>
      <c r="H2836" s="200"/>
      <c r="I2836" s="351" t="s">
        <v>27811</v>
      </c>
      <c r="J2836" s="39">
        <v>102969</v>
      </c>
      <c r="K2836" s="36" t="str">
        <f>CONCATENATE(Cover!$D$6,"fdd/view?i=",J2836)</f>
        <v>https://www.dgiwg.org/FAD/fdd/view?i=102969</v>
      </c>
      <c r="L2836" s="36" t="s">
        <v>27812</v>
      </c>
      <c r="M2836" s="186"/>
      <c r="N2836" s="186"/>
      <c r="O2836" s="172"/>
    </row>
    <row r="2837" spans="1:15" x14ac:dyDescent="0.2">
      <c r="A2837" s="197" t="str">
        <f t="shared" si="44"/>
        <v>CefCode_sportsHall</v>
      </c>
      <c r="B2837" s="409"/>
      <c r="C2837" s="416"/>
      <c r="D2837" s="198" t="s">
        <v>27813</v>
      </c>
      <c r="E2837" s="198">
        <v>17</v>
      </c>
      <c r="F2837" s="199" t="s">
        <v>27814</v>
      </c>
      <c r="G2837" s="1" t="s">
        <v>27815</v>
      </c>
      <c r="H2837" s="200"/>
      <c r="I2837" s="346"/>
      <c r="J2837" s="39">
        <v>118458</v>
      </c>
      <c r="K2837" s="36" t="str">
        <f>CONCATENATE(Cover!$D$6,"fdd/view?i=",J2837)</f>
        <v>https://www.dgiwg.org/FAD/fdd/view?i=118458</v>
      </c>
      <c r="L2837" s="36" t="s">
        <v>27816</v>
      </c>
      <c r="M2837" s="186"/>
      <c r="N2837" s="186"/>
      <c r="O2837" s="172"/>
    </row>
    <row r="2838" spans="1:15" ht="25.5" x14ac:dyDescent="0.2">
      <c r="A2838" s="197" t="str">
        <f t="shared" si="44"/>
        <v>CefCode_theater</v>
      </c>
      <c r="B2838" s="409"/>
      <c r="C2838" s="416"/>
      <c r="D2838" s="198" t="s">
        <v>27817</v>
      </c>
      <c r="E2838" s="198">
        <v>11</v>
      </c>
      <c r="F2838" s="199" t="s">
        <v>27818</v>
      </c>
      <c r="G2838" s="1" t="s">
        <v>27819</v>
      </c>
      <c r="H2838" s="200"/>
      <c r="I2838" s="346"/>
      <c r="J2838" s="39">
        <v>102971</v>
      </c>
      <c r="K2838" s="36" t="str">
        <f>CONCATENATE(Cover!$D$6,"fdd/view?i=",J2838)</f>
        <v>https://www.dgiwg.org/FAD/fdd/view?i=102971</v>
      </c>
      <c r="L2838" s="36" t="s">
        <v>27820</v>
      </c>
      <c r="M2838" s="186"/>
      <c r="N2838" s="186"/>
      <c r="O2838" s="172"/>
    </row>
    <row r="2839" spans="1:15" ht="38.25" x14ac:dyDescent="0.2">
      <c r="A2839" s="203" t="str">
        <f t="shared" si="44"/>
        <v>CefCode_vivarium</v>
      </c>
      <c r="B2839" s="410"/>
      <c r="C2839" s="417"/>
      <c r="D2839" s="204" t="s">
        <v>27821</v>
      </c>
      <c r="E2839" s="204">
        <v>16</v>
      </c>
      <c r="F2839" s="205" t="s">
        <v>27822</v>
      </c>
      <c r="G2839" s="206" t="s">
        <v>27823</v>
      </c>
      <c r="H2839" s="207"/>
      <c r="I2839" s="347"/>
      <c r="J2839" s="39">
        <v>118457</v>
      </c>
      <c r="K2839" s="36" t="str">
        <f>CONCATENATE(Cover!$D$6,"fdd/view?i=",J2839)</f>
        <v>https://www.dgiwg.org/FAD/fdd/view?i=118457</v>
      </c>
      <c r="L2839" s="36" t="s">
        <v>27824</v>
      </c>
      <c r="M2839" s="186"/>
      <c r="N2839" s="186"/>
      <c r="O2839" s="172"/>
    </row>
    <row r="2840" spans="1:15" ht="102" x14ac:dyDescent="0.2">
      <c r="A2840" s="190" t="str">
        <f t="shared" si="44"/>
        <v>EtvCode_modernStateForm</v>
      </c>
      <c r="B2840" s="414" t="str">
        <f>HYPERLINK("[#]Datatypes!A408:L408","EtvCode")</f>
        <v>EtvCode</v>
      </c>
      <c r="C2840" s="415" t="s">
        <v>14973</v>
      </c>
      <c r="D2840" s="221" t="s">
        <v>27825</v>
      </c>
      <c r="E2840" s="221">
        <v>4</v>
      </c>
      <c r="F2840" s="222" t="s">
        <v>27826</v>
      </c>
      <c r="G2840" s="223" t="s">
        <v>27827</v>
      </c>
      <c r="H2840" s="223" t="s">
        <v>27828</v>
      </c>
      <c r="I2840" s="345"/>
      <c r="J2840" s="39">
        <v>114555</v>
      </c>
      <c r="K2840" s="36" t="str">
        <f>CONCATENATE(Cover!$D$6,"fdd/view?i=",J2840)</f>
        <v>https://www.dgiwg.org/FAD/fdd/view?i=114555</v>
      </c>
      <c r="L2840" s="36" t="s">
        <v>27829</v>
      </c>
      <c r="M2840" s="186"/>
      <c r="N2840" s="186"/>
      <c r="O2840" s="172"/>
    </row>
    <row r="2841" spans="1:15" ht="63.75" x14ac:dyDescent="0.2">
      <c r="A2841" s="197" t="str">
        <f t="shared" si="44"/>
        <v>EtvCode_nonHierarchicalSociety</v>
      </c>
      <c r="B2841" s="409"/>
      <c r="C2841" s="416"/>
      <c r="D2841" s="198" t="s">
        <v>27830</v>
      </c>
      <c r="E2841" s="198">
        <v>1</v>
      </c>
      <c r="F2841" s="199" t="s">
        <v>27831</v>
      </c>
      <c r="G2841" s="1" t="s">
        <v>27832</v>
      </c>
      <c r="H2841" s="1" t="s">
        <v>27833</v>
      </c>
      <c r="I2841" s="346"/>
      <c r="J2841" s="39">
        <v>114552</v>
      </c>
      <c r="K2841" s="36" t="str">
        <f>CONCATENATE(Cover!$D$6,"fdd/view?i=",J2841)</f>
        <v>https://www.dgiwg.org/FAD/fdd/view?i=114552</v>
      </c>
      <c r="L2841" s="36" t="s">
        <v>27834</v>
      </c>
      <c r="M2841" s="186"/>
      <c r="N2841" s="186"/>
      <c r="O2841" s="172"/>
    </row>
    <row r="2842" spans="1:15" ht="25.5" x14ac:dyDescent="0.2">
      <c r="A2842" s="197" t="str">
        <f t="shared" si="44"/>
        <v>EtvCode_rankSociety</v>
      </c>
      <c r="B2842" s="409"/>
      <c r="C2842" s="416"/>
      <c r="D2842" s="198" t="s">
        <v>27835</v>
      </c>
      <c r="E2842" s="198">
        <v>2</v>
      </c>
      <c r="F2842" s="199" t="s">
        <v>27836</v>
      </c>
      <c r="G2842" s="1" t="s">
        <v>27837</v>
      </c>
      <c r="H2842" s="200"/>
      <c r="I2842" s="346"/>
      <c r="J2842" s="39">
        <v>114553</v>
      </c>
      <c r="K2842" s="36" t="str">
        <f>CONCATENATE(Cover!$D$6,"fdd/view?i=",J2842)</f>
        <v>https://www.dgiwg.org/FAD/fdd/view?i=114553</v>
      </c>
      <c r="L2842" s="36" t="s">
        <v>27838</v>
      </c>
      <c r="M2842" s="186"/>
      <c r="N2842" s="186"/>
      <c r="O2842" s="172"/>
    </row>
    <row r="2843" spans="1:15" ht="89.25" x14ac:dyDescent="0.2">
      <c r="A2843" s="203" t="str">
        <f t="shared" si="44"/>
        <v>EtvCode_stratifiedSociety</v>
      </c>
      <c r="B2843" s="410"/>
      <c r="C2843" s="417"/>
      <c r="D2843" s="204" t="s">
        <v>27839</v>
      </c>
      <c r="E2843" s="204">
        <v>3</v>
      </c>
      <c r="F2843" s="205" t="s">
        <v>27840</v>
      </c>
      <c r="G2843" s="206" t="s">
        <v>27841</v>
      </c>
      <c r="H2843" s="206" t="s">
        <v>27842</v>
      </c>
      <c r="I2843" s="347"/>
      <c r="J2843" s="39">
        <v>114554</v>
      </c>
      <c r="K2843" s="36" t="str">
        <f>CONCATENATE(Cover!$D$6,"fdd/view?i=",J2843)</f>
        <v>https://www.dgiwg.org/FAD/fdd/view?i=114554</v>
      </c>
      <c r="L2843" s="36" t="s">
        <v>27843</v>
      </c>
      <c r="M2843" s="186"/>
      <c r="N2843" s="186"/>
      <c r="O2843" s="172"/>
    </row>
    <row r="2844" spans="1:15" ht="25.5" x14ac:dyDescent="0.2">
      <c r="A2844" s="190" t="str">
        <f t="shared" si="44"/>
        <v>CtcCode_boxWithLoad</v>
      </c>
      <c r="B2844" s="414" t="str">
        <f>HYPERLINK("[#]Datatypes!A410:L410","CtcCode")</f>
        <v>CtcCode</v>
      </c>
      <c r="C2844" s="415" t="s">
        <v>14975</v>
      </c>
      <c r="D2844" s="221" t="s">
        <v>27844</v>
      </c>
      <c r="E2844" s="221">
        <v>3</v>
      </c>
      <c r="F2844" s="222" t="s">
        <v>27845</v>
      </c>
      <c r="G2844" s="223" t="s">
        <v>27846</v>
      </c>
      <c r="H2844" s="223" t="s">
        <v>27847</v>
      </c>
      <c r="I2844" s="345"/>
      <c r="J2844" s="39">
        <v>103310</v>
      </c>
      <c r="K2844" s="36" t="str">
        <f>CONCATENATE(Cover!$D$6,"fdd/view?i=",J2844)</f>
        <v>https://www.dgiwg.org/FAD/fdd/view?i=103310</v>
      </c>
      <c r="L2844" s="36" t="s">
        <v>27848</v>
      </c>
      <c r="M2844" s="186"/>
      <c r="N2844" s="186"/>
      <c r="O2844" s="172"/>
    </row>
    <row r="2845" spans="1:15" ht="25.5" x14ac:dyDescent="0.2">
      <c r="A2845" s="197" t="str">
        <f t="shared" si="44"/>
        <v>CtcCode_boxWithSoil</v>
      </c>
      <c r="B2845" s="409"/>
      <c r="C2845" s="416"/>
      <c r="D2845" s="198" t="s">
        <v>27849</v>
      </c>
      <c r="E2845" s="198">
        <v>2</v>
      </c>
      <c r="F2845" s="199" t="s">
        <v>27850</v>
      </c>
      <c r="G2845" s="1" t="s">
        <v>27851</v>
      </c>
      <c r="H2845" s="200"/>
      <c r="I2845" s="346"/>
      <c r="J2845" s="39">
        <v>103309</v>
      </c>
      <c r="K2845" s="36" t="str">
        <f>CONCATENATE(Cover!$D$6,"fdd/view?i=",J2845)</f>
        <v>https://www.dgiwg.org/FAD/fdd/view?i=103309</v>
      </c>
      <c r="L2845" s="36" t="s">
        <v>27852</v>
      </c>
      <c r="M2845" s="186"/>
      <c r="N2845" s="186"/>
      <c r="O2845" s="172"/>
    </row>
    <row r="2846" spans="1:15" ht="25.5" x14ac:dyDescent="0.2">
      <c r="A2846" s="203" t="str">
        <f t="shared" si="44"/>
        <v>CtcCode_regularWithSoil</v>
      </c>
      <c r="B2846" s="410"/>
      <c r="C2846" s="417"/>
      <c r="D2846" s="204" t="s">
        <v>27853</v>
      </c>
      <c r="E2846" s="204">
        <v>1</v>
      </c>
      <c r="F2846" s="205" t="s">
        <v>27854</v>
      </c>
      <c r="G2846" s="206" t="s">
        <v>27855</v>
      </c>
      <c r="H2846" s="206" t="s">
        <v>27856</v>
      </c>
      <c r="I2846" s="347"/>
      <c r="J2846" s="39">
        <v>103308</v>
      </c>
      <c r="K2846" s="36" t="str">
        <f>CONCATENATE(Cover!$D$6,"fdd/view?i=",J2846)</f>
        <v>https://www.dgiwg.org/FAD/fdd/view?i=103308</v>
      </c>
      <c r="L2846" s="36" t="s">
        <v>27857</v>
      </c>
      <c r="M2846" s="186"/>
      <c r="N2846" s="186"/>
      <c r="O2846" s="172"/>
    </row>
    <row r="2847" spans="1:15" ht="38.25" x14ac:dyDescent="0.2">
      <c r="A2847" s="190" t="str">
        <f t="shared" si="44"/>
        <v>CurCode_ebbStream</v>
      </c>
      <c r="B2847" s="414" t="str">
        <f>HYPERLINK("[#]Datatypes!A412:L412","CurCode")</f>
        <v>CurCode</v>
      </c>
      <c r="C2847" s="415" t="s">
        <v>14977</v>
      </c>
      <c r="D2847" s="221" t="s">
        <v>27858</v>
      </c>
      <c r="E2847" s="221">
        <v>1</v>
      </c>
      <c r="F2847" s="222" t="s">
        <v>27859</v>
      </c>
      <c r="G2847" s="223" t="s">
        <v>27860</v>
      </c>
      <c r="H2847" s="223" t="s">
        <v>27861</v>
      </c>
      <c r="I2847" s="352" t="s">
        <v>27862</v>
      </c>
      <c r="J2847" s="39">
        <v>103315</v>
      </c>
      <c r="K2847" s="36" t="str">
        <f>CONCATENATE(Cover!$D$6,"fdd/view?i=",J2847)</f>
        <v>https://www.dgiwg.org/FAD/fdd/view?i=103315</v>
      </c>
      <c r="L2847" s="36" t="s">
        <v>27863</v>
      </c>
      <c r="M2847" s="186"/>
      <c r="N2847" s="186"/>
      <c r="O2847" s="172"/>
    </row>
    <row r="2848" spans="1:15" ht="38.25" x14ac:dyDescent="0.2">
      <c r="A2848" s="197" t="str">
        <f t="shared" si="44"/>
        <v>CurCode_floodStream</v>
      </c>
      <c r="B2848" s="409"/>
      <c r="C2848" s="416"/>
      <c r="D2848" s="198" t="s">
        <v>27864</v>
      </c>
      <c r="E2848" s="198">
        <v>2</v>
      </c>
      <c r="F2848" s="199" t="s">
        <v>27865</v>
      </c>
      <c r="G2848" s="1" t="s">
        <v>27866</v>
      </c>
      <c r="H2848" s="1" t="s">
        <v>27867</v>
      </c>
      <c r="I2848" s="351" t="s">
        <v>27868</v>
      </c>
      <c r="J2848" s="39">
        <v>103316</v>
      </c>
      <c r="K2848" s="36" t="str">
        <f>CONCATENATE(Cover!$D$6,"fdd/view?i=",J2848)</f>
        <v>https://www.dgiwg.org/FAD/fdd/view?i=103316</v>
      </c>
      <c r="L2848" s="36" t="s">
        <v>27869</v>
      </c>
      <c r="M2848" s="186"/>
      <c r="N2848" s="186"/>
      <c r="O2848" s="172"/>
    </row>
    <row r="2849" spans="1:15" ht="38.25" x14ac:dyDescent="0.2">
      <c r="A2849" s="197" t="str">
        <f t="shared" si="44"/>
        <v>CurCode_longshore</v>
      </c>
      <c r="B2849" s="409"/>
      <c r="C2849" s="416"/>
      <c r="D2849" s="198" t="s">
        <v>27870</v>
      </c>
      <c r="E2849" s="198">
        <v>7</v>
      </c>
      <c r="F2849" s="199" t="s">
        <v>27871</v>
      </c>
      <c r="G2849" s="1" t="s">
        <v>27872</v>
      </c>
      <c r="H2849" s="1" t="s">
        <v>27873</v>
      </c>
      <c r="I2849" s="346"/>
      <c r="J2849" s="39">
        <v>103321</v>
      </c>
      <c r="K2849" s="36" t="str">
        <f>CONCATENATE(Cover!$D$6,"fdd/view?i=",J2849)</f>
        <v>https://www.dgiwg.org/FAD/fdd/view?i=103321</v>
      </c>
      <c r="L2849" s="36" t="s">
        <v>27874</v>
      </c>
      <c r="M2849" s="186"/>
      <c r="N2849" s="186"/>
      <c r="O2849" s="172"/>
    </row>
    <row r="2850" spans="1:15" ht="38.25" x14ac:dyDescent="0.2">
      <c r="A2850" s="197" t="str">
        <f t="shared" si="44"/>
        <v>CurCode_oceanCurrent</v>
      </c>
      <c r="B2850" s="409"/>
      <c r="C2850" s="416"/>
      <c r="D2850" s="198" t="s">
        <v>27875</v>
      </c>
      <c r="E2850" s="198">
        <v>5</v>
      </c>
      <c r="F2850" s="199" t="s">
        <v>27876</v>
      </c>
      <c r="G2850" s="1" t="s">
        <v>27877</v>
      </c>
      <c r="H2850" s="1" t="s">
        <v>27878</v>
      </c>
      <c r="I2850" s="351" t="s">
        <v>27879</v>
      </c>
      <c r="J2850" s="39">
        <v>103319</v>
      </c>
      <c r="K2850" s="36" t="str">
        <f>CONCATENATE(Cover!$D$6,"fdd/view?i=",J2850)</f>
        <v>https://www.dgiwg.org/FAD/fdd/view?i=103319</v>
      </c>
      <c r="L2850" s="36" t="s">
        <v>27880</v>
      </c>
      <c r="M2850" s="186"/>
      <c r="N2850" s="186"/>
      <c r="O2850" s="172"/>
    </row>
    <row r="2851" spans="1:15" ht="25.5" x14ac:dyDescent="0.2">
      <c r="A2851" s="197" t="str">
        <f t="shared" si="44"/>
        <v>CurCode_rip</v>
      </c>
      <c r="B2851" s="409"/>
      <c r="C2851" s="416"/>
      <c r="D2851" s="198" t="s">
        <v>27881</v>
      </c>
      <c r="E2851" s="198">
        <v>6</v>
      </c>
      <c r="F2851" s="199" t="s">
        <v>27882</v>
      </c>
      <c r="G2851" s="1" t="s">
        <v>27883</v>
      </c>
      <c r="H2851" s="1" t="s">
        <v>27884</v>
      </c>
      <c r="I2851" s="346"/>
      <c r="J2851" s="39">
        <v>103320</v>
      </c>
      <c r="K2851" s="36" t="str">
        <f>CONCATENATE(Cover!$D$6,"fdd/view?i=",J2851)</f>
        <v>https://www.dgiwg.org/FAD/fdd/view?i=103320</v>
      </c>
      <c r="L2851" s="36" t="s">
        <v>27885</v>
      </c>
      <c r="M2851" s="186"/>
      <c r="N2851" s="186"/>
      <c r="O2851" s="172"/>
    </row>
    <row r="2852" spans="1:15" ht="25.5" x14ac:dyDescent="0.2">
      <c r="A2852" s="197" t="str">
        <f t="shared" si="44"/>
        <v>CurCode_riverFlow</v>
      </c>
      <c r="B2852" s="409"/>
      <c r="C2852" s="416"/>
      <c r="D2852" s="198" t="s">
        <v>27886</v>
      </c>
      <c r="E2852" s="198">
        <v>4</v>
      </c>
      <c r="F2852" s="199" t="s">
        <v>27887</v>
      </c>
      <c r="G2852" s="1" t="s">
        <v>27888</v>
      </c>
      <c r="H2852" s="1" t="s">
        <v>27889</v>
      </c>
      <c r="I2852" s="346"/>
      <c r="J2852" s="39">
        <v>103318</v>
      </c>
      <c r="K2852" s="36" t="str">
        <f>CONCATENATE(Cover!$D$6,"fdd/view?i=",J2852)</f>
        <v>https://www.dgiwg.org/FAD/fdd/view?i=103318</v>
      </c>
      <c r="L2852" s="36" t="s">
        <v>27890</v>
      </c>
      <c r="M2852" s="186"/>
      <c r="N2852" s="186"/>
      <c r="O2852" s="172"/>
    </row>
    <row r="2853" spans="1:15" x14ac:dyDescent="0.2">
      <c r="A2853" s="197" t="str">
        <f t="shared" si="44"/>
        <v>CurCode_tidalFlow</v>
      </c>
      <c r="B2853" s="409"/>
      <c r="C2853" s="416"/>
      <c r="D2853" s="198" t="s">
        <v>27891</v>
      </c>
      <c r="E2853" s="198">
        <v>9</v>
      </c>
      <c r="F2853" s="199" t="s">
        <v>27892</v>
      </c>
      <c r="G2853" s="1" t="s">
        <v>27893</v>
      </c>
      <c r="H2853" s="200"/>
      <c r="I2853" s="346"/>
      <c r="J2853" s="39">
        <v>110762</v>
      </c>
      <c r="K2853" s="36" t="str">
        <f>CONCATENATE(Cover!$D$6,"fdd/view?i=",J2853)</f>
        <v>https://www.dgiwg.org/FAD/fdd/view?i=110762</v>
      </c>
      <c r="L2853" s="36" t="s">
        <v>27894</v>
      </c>
      <c r="M2853" s="186"/>
      <c r="N2853" s="186"/>
      <c r="O2853" s="172"/>
    </row>
    <row r="2854" spans="1:15" ht="25.5" x14ac:dyDescent="0.2">
      <c r="A2854" s="203" t="str">
        <f t="shared" si="44"/>
        <v>CurCode_underwaterRiverFlow</v>
      </c>
      <c r="B2854" s="410"/>
      <c r="C2854" s="417"/>
      <c r="D2854" s="204" t="s">
        <v>27895</v>
      </c>
      <c r="E2854" s="204">
        <v>8</v>
      </c>
      <c r="F2854" s="205" t="s">
        <v>27896</v>
      </c>
      <c r="G2854" s="206" t="s">
        <v>27897</v>
      </c>
      <c r="H2854" s="207"/>
      <c r="I2854" s="347"/>
      <c r="J2854" s="39">
        <v>110153</v>
      </c>
      <c r="K2854" s="36" t="str">
        <f>CONCATENATE(Cover!$D$6,"fdd/view?i=",J2854)</f>
        <v>https://www.dgiwg.org/FAD/fdd/view?i=110153</v>
      </c>
      <c r="L2854" s="36" t="s">
        <v>27898</v>
      </c>
      <c r="M2854" s="186"/>
      <c r="N2854" s="186"/>
      <c r="O2854" s="172"/>
    </row>
    <row r="2855" spans="1:15" x14ac:dyDescent="0.2">
      <c r="A2855" s="190" t="str">
        <f t="shared" si="44"/>
        <v>DftCode_slope</v>
      </c>
      <c r="B2855" s="414" t="str">
        <f>HYPERLINK("[#]Datatypes!A416:L416","DftCode")</f>
        <v>DftCode</v>
      </c>
      <c r="C2855" s="415" t="s">
        <v>14982</v>
      </c>
      <c r="D2855" s="221" t="s">
        <v>27899</v>
      </c>
      <c r="E2855" s="221">
        <v>2</v>
      </c>
      <c r="F2855" s="222" t="s">
        <v>27900</v>
      </c>
      <c r="G2855" s="223" t="s">
        <v>27901</v>
      </c>
      <c r="H2855" s="223" t="s">
        <v>27902</v>
      </c>
      <c r="I2855" s="345"/>
      <c r="J2855" s="39">
        <v>103347</v>
      </c>
      <c r="K2855" s="36" t="str">
        <f>CONCATENATE(Cover!$D$6,"fdd/view?i=",J2855)</f>
        <v>https://www.dgiwg.org/FAD/fdd/view?i=103347</v>
      </c>
      <c r="L2855" s="36" t="s">
        <v>27903</v>
      </c>
      <c r="M2855" s="186"/>
      <c r="N2855" s="186"/>
      <c r="O2855" s="172"/>
    </row>
    <row r="2856" spans="1:15" x14ac:dyDescent="0.2">
      <c r="A2856" s="203" t="str">
        <f t="shared" si="44"/>
        <v>DftCode_vertical</v>
      </c>
      <c r="B2856" s="410"/>
      <c r="C2856" s="417"/>
      <c r="D2856" s="204" t="s">
        <v>20169</v>
      </c>
      <c r="E2856" s="204">
        <v>1</v>
      </c>
      <c r="F2856" s="205" t="s">
        <v>20170</v>
      </c>
      <c r="G2856" s="206" t="s">
        <v>27904</v>
      </c>
      <c r="H2856" s="206" t="s">
        <v>27905</v>
      </c>
      <c r="I2856" s="347"/>
      <c r="J2856" s="39">
        <v>103346</v>
      </c>
      <c r="K2856" s="36" t="str">
        <f>CONCATENATE(Cover!$D$6,"fdd/view?i=",J2856)</f>
        <v>https://www.dgiwg.org/FAD/fdd/view?i=103346</v>
      </c>
      <c r="L2856" s="36" t="s">
        <v>27906</v>
      </c>
      <c r="M2856" s="186"/>
      <c r="N2856" s="186"/>
      <c r="O2856" s="172"/>
    </row>
    <row r="2857" spans="1:15" ht="38.25" x14ac:dyDescent="0.2">
      <c r="A2857" s="190" t="str">
        <f t="shared" si="44"/>
        <v>DwtCode_floodControl</v>
      </c>
      <c r="B2857" s="414" t="str">
        <f>HYPERLINK("[#]Datatypes!A418:L418","DwtCode")</f>
        <v>DwtCode</v>
      </c>
      <c r="C2857" s="415" t="s">
        <v>14984</v>
      </c>
      <c r="D2857" s="221" t="s">
        <v>27907</v>
      </c>
      <c r="E2857" s="221">
        <v>3</v>
      </c>
      <c r="F2857" s="222" t="s">
        <v>27908</v>
      </c>
      <c r="G2857" s="223" t="s">
        <v>27909</v>
      </c>
      <c r="H2857" s="223" t="s">
        <v>27910</v>
      </c>
      <c r="I2857" s="345"/>
      <c r="J2857" s="39">
        <v>108116</v>
      </c>
      <c r="K2857" s="36" t="str">
        <f>CONCATENATE(Cover!$D$6,"fdd/view?i=",J2857)</f>
        <v>https://www.dgiwg.org/FAD/fdd/view?i=108116</v>
      </c>
      <c r="L2857" s="36" t="s">
        <v>27911</v>
      </c>
      <c r="M2857" s="186"/>
      <c r="N2857" s="186"/>
      <c r="O2857" s="172"/>
    </row>
    <row r="2858" spans="1:15" ht="76.5" x14ac:dyDescent="0.2">
      <c r="A2858" s="197" t="str">
        <f t="shared" si="44"/>
        <v>DwtCode_hydroPowerGeneration</v>
      </c>
      <c r="B2858" s="409"/>
      <c r="C2858" s="416"/>
      <c r="D2858" s="198" t="s">
        <v>27912</v>
      </c>
      <c r="E2858" s="198">
        <v>4</v>
      </c>
      <c r="F2858" s="199" t="s">
        <v>27913</v>
      </c>
      <c r="G2858" s="1" t="s">
        <v>27914</v>
      </c>
      <c r="H2858" s="1" t="s">
        <v>27915</v>
      </c>
      <c r="I2858" s="346"/>
      <c r="J2858" s="39">
        <v>114363</v>
      </c>
      <c r="K2858" s="36" t="str">
        <f>CONCATENATE(Cover!$D$6,"fdd/view?i=",J2858)</f>
        <v>https://www.dgiwg.org/FAD/fdd/view?i=114363</v>
      </c>
      <c r="L2858" s="36" t="s">
        <v>27916</v>
      </c>
      <c r="M2858" s="186"/>
      <c r="N2858" s="186"/>
      <c r="O2858" s="172"/>
    </row>
    <row r="2859" spans="1:15" ht="38.25" x14ac:dyDescent="0.2">
      <c r="A2859" s="197" t="str">
        <f t="shared" si="44"/>
        <v>DwtCode_minor</v>
      </c>
      <c r="B2859" s="409"/>
      <c r="C2859" s="416"/>
      <c r="D2859" s="198" t="s">
        <v>20012</v>
      </c>
      <c r="E2859" s="198">
        <v>1</v>
      </c>
      <c r="F2859" s="199" t="s">
        <v>20013</v>
      </c>
      <c r="G2859" s="1" t="s">
        <v>27917</v>
      </c>
      <c r="H2859" s="1" t="s">
        <v>27918</v>
      </c>
      <c r="I2859" s="346"/>
      <c r="J2859" s="39">
        <v>109897</v>
      </c>
      <c r="K2859" s="36" t="str">
        <f>CONCATENATE(Cover!$D$6,"fdd/view?i=",J2859)</f>
        <v>https://www.dgiwg.org/FAD/fdd/view?i=109897</v>
      </c>
      <c r="L2859" s="36" t="s">
        <v>27919</v>
      </c>
      <c r="M2859" s="186"/>
      <c r="N2859" s="186"/>
      <c r="O2859" s="172"/>
    </row>
    <row r="2860" spans="1:15" ht="114.75" x14ac:dyDescent="0.2">
      <c r="A2860" s="197" t="str">
        <f t="shared" si="44"/>
        <v>DwtCode_navigation</v>
      </c>
      <c r="B2860" s="409"/>
      <c r="C2860" s="416"/>
      <c r="D2860" s="198" t="s">
        <v>27920</v>
      </c>
      <c r="E2860" s="198">
        <v>2</v>
      </c>
      <c r="F2860" s="199" t="s">
        <v>27921</v>
      </c>
      <c r="G2860" s="1" t="s">
        <v>27922</v>
      </c>
      <c r="H2860" s="1" t="s">
        <v>27923</v>
      </c>
      <c r="I2860" s="346"/>
      <c r="J2860" s="39">
        <v>109898</v>
      </c>
      <c r="K2860" s="36" t="str">
        <f>CONCATENATE(Cover!$D$6,"fdd/view?i=",J2860)</f>
        <v>https://www.dgiwg.org/FAD/fdd/view?i=109898</v>
      </c>
      <c r="L2860" s="36" t="s">
        <v>27924</v>
      </c>
      <c r="M2860" s="186"/>
      <c r="N2860" s="186"/>
      <c r="O2860" s="172"/>
    </row>
    <row r="2861" spans="1:15" ht="114.75" x14ac:dyDescent="0.2">
      <c r="A2861" s="203" t="str">
        <f t="shared" si="44"/>
        <v>DwtCode_weir</v>
      </c>
      <c r="B2861" s="410"/>
      <c r="C2861" s="417"/>
      <c r="D2861" s="204" t="s">
        <v>27925</v>
      </c>
      <c r="E2861" s="204">
        <v>5</v>
      </c>
      <c r="F2861" s="205" t="s">
        <v>2720</v>
      </c>
      <c r="G2861" s="206" t="s">
        <v>27926</v>
      </c>
      <c r="H2861" s="206" t="s">
        <v>27927</v>
      </c>
      <c r="I2861" s="347"/>
      <c r="J2861" s="39">
        <v>117887</v>
      </c>
      <c r="K2861" s="36" t="str">
        <f>CONCATENATE(Cover!$D$6,"fdd/view?i=",J2861)</f>
        <v>https://www.dgiwg.org/FAD/fdd/view?i=117887</v>
      </c>
      <c r="L2861" s="36" t="s">
        <v>27928</v>
      </c>
      <c r="M2861" s="186"/>
      <c r="N2861" s="186"/>
      <c r="O2861" s="172"/>
    </row>
    <row r="2862" spans="1:15" x14ac:dyDescent="0.2">
      <c r="A2862" s="190" t="str">
        <f t="shared" si="44"/>
        <v>CacCode_collected</v>
      </c>
      <c r="B2862" s="414" t="str">
        <f>HYPERLINK("[#]Datatypes!A420:L420","CacCode")</f>
        <v>CacCode</v>
      </c>
      <c r="C2862" s="415" t="s">
        <v>14986</v>
      </c>
      <c r="D2862" s="221" t="s">
        <v>27929</v>
      </c>
      <c r="E2862" s="221">
        <v>9</v>
      </c>
      <c r="F2862" s="222" t="s">
        <v>27930</v>
      </c>
      <c r="G2862" s="223" t="s">
        <v>27931</v>
      </c>
      <c r="H2862" s="224"/>
      <c r="I2862" s="345"/>
      <c r="J2862" s="39">
        <v>102847</v>
      </c>
      <c r="K2862" s="36" t="str">
        <f>CONCATENATE(Cover!$D$6,"fdd/view?i=",J2862)</f>
        <v>https://www.dgiwg.org/FAD/fdd/view?i=102847</v>
      </c>
      <c r="L2862" s="36" t="s">
        <v>27932</v>
      </c>
      <c r="M2862" s="186"/>
      <c r="N2862" s="186"/>
      <c r="O2862" s="172"/>
    </row>
    <row r="2863" spans="1:15" x14ac:dyDescent="0.2">
      <c r="A2863" s="197" t="str">
        <f t="shared" si="44"/>
        <v>CacCode_derived</v>
      </c>
      <c r="B2863" s="409"/>
      <c r="C2863" s="416"/>
      <c r="D2863" s="198" t="s">
        <v>27933</v>
      </c>
      <c r="E2863" s="198">
        <v>10</v>
      </c>
      <c r="F2863" s="199" t="s">
        <v>27934</v>
      </c>
      <c r="G2863" s="1" t="s">
        <v>27935</v>
      </c>
      <c r="H2863" s="200"/>
      <c r="I2863" s="346"/>
      <c r="J2863" s="39">
        <v>102848</v>
      </c>
      <c r="K2863" s="36" t="str">
        <f>CONCATENATE(Cover!$D$6,"fdd/view?i=",J2863)</f>
        <v>https://www.dgiwg.org/FAD/fdd/view?i=102848</v>
      </c>
      <c r="L2863" s="36" t="s">
        <v>27936</v>
      </c>
      <c r="M2863" s="186"/>
      <c r="N2863" s="186"/>
      <c r="O2863" s="172"/>
    </row>
    <row r="2864" spans="1:15" ht="25.5" x14ac:dyDescent="0.2">
      <c r="A2864" s="197" t="str">
        <f t="shared" si="44"/>
        <v>CacCode_foundationData</v>
      </c>
      <c r="B2864" s="409"/>
      <c r="C2864" s="416"/>
      <c r="D2864" s="198" t="s">
        <v>27937</v>
      </c>
      <c r="E2864" s="198">
        <v>14</v>
      </c>
      <c r="F2864" s="199" t="s">
        <v>27938</v>
      </c>
      <c r="G2864" s="1" t="s">
        <v>27939</v>
      </c>
      <c r="H2864" s="200"/>
      <c r="I2864" s="346"/>
      <c r="J2864" s="39">
        <v>102852</v>
      </c>
      <c r="K2864" s="36" t="str">
        <f>CONCATENATE(Cover!$D$6,"fdd/view?i=",J2864)</f>
        <v>https://www.dgiwg.org/FAD/fdd/view?i=102852</v>
      </c>
      <c r="L2864" s="36" t="s">
        <v>27940</v>
      </c>
      <c r="M2864" s="186"/>
      <c r="N2864" s="186"/>
      <c r="O2864" s="172"/>
    </row>
    <row r="2865" spans="1:15" x14ac:dyDescent="0.2">
      <c r="A2865" s="197" t="str">
        <f t="shared" si="44"/>
        <v>CacCode_measured</v>
      </c>
      <c r="B2865" s="409"/>
      <c r="C2865" s="416"/>
      <c r="D2865" s="198" t="s">
        <v>27941</v>
      </c>
      <c r="E2865" s="198">
        <v>11</v>
      </c>
      <c r="F2865" s="199" t="s">
        <v>27942</v>
      </c>
      <c r="G2865" s="1" t="s">
        <v>27943</v>
      </c>
      <c r="H2865" s="200"/>
      <c r="I2865" s="346"/>
      <c r="J2865" s="39">
        <v>102849</v>
      </c>
      <c r="K2865" s="36" t="str">
        <f>CONCATENATE(Cover!$D$6,"fdd/view?i=",J2865)</f>
        <v>https://www.dgiwg.org/FAD/fdd/view?i=102849</v>
      </c>
      <c r="L2865" s="36" t="s">
        <v>27944</v>
      </c>
      <c r="M2865" s="186"/>
      <c r="N2865" s="186"/>
      <c r="O2865" s="172"/>
    </row>
    <row r="2866" spans="1:15" x14ac:dyDescent="0.2">
      <c r="A2866" s="197" t="str">
        <f t="shared" si="44"/>
        <v>CacCode_rawData</v>
      </c>
      <c r="B2866" s="409"/>
      <c r="C2866" s="416"/>
      <c r="D2866" s="198" t="s">
        <v>27945</v>
      </c>
      <c r="E2866" s="198">
        <v>13</v>
      </c>
      <c r="F2866" s="199" t="s">
        <v>27946</v>
      </c>
      <c r="G2866" s="1" t="s">
        <v>27947</v>
      </c>
      <c r="H2866" s="200"/>
      <c r="I2866" s="346"/>
      <c r="J2866" s="39">
        <v>102851</v>
      </c>
      <c r="K2866" s="36" t="str">
        <f>CONCATENATE(Cover!$D$6,"fdd/view?i=",J2866)</f>
        <v>https://www.dgiwg.org/FAD/fdd/view?i=102851</v>
      </c>
      <c r="L2866" s="36" t="s">
        <v>27948</v>
      </c>
      <c r="M2866" s="186"/>
      <c r="N2866" s="186"/>
      <c r="O2866" s="172"/>
    </row>
    <row r="2867" spans="1:15" x14ac:dyDescent="0.2">
      <c r="A2867" s="203" t="str">
        <f t="shared" si="44"/>
        <v>CacCode_statistical</v>
      </c>
      <c r="B2867" s="410"/>
      <c r="C2867" s="417"/>
      <c r="D2867" s="204" t="s">
        <v>27949</v>
      </c>
      <c r="E2867" s="204">
        <v>12</v>
      </c>
      <c r="F2867" s="205" t="s">
        <v>27950</v>
      </c>
      <c r="G2867" s="206" t="s">
        <v>27951</v>
      </c>
      <c r="H2867" s="207"/>
      <c r="I2867" s="347"/>
      <c r="J2867" s="39">
        <v>102850</v>
      </c>
      <c r="K2867" s="36" t="str">
        <f>CONCATENATE(Cover!$D$6,"fdd/view?i=",J2867)</f>
        <v>https://www.dgiwg.org/FAD/fdd/view?i=102850</v>
      </c>
      <c r="L2867" s="36" t="s">
        <v>27952</v>
      </c>
      <c r="M2867" s="186"/>
      <c r="N2867" s="186"/>
      <c r="O2867" s="172"/>
    </row>
    <row r="2868" spans="1:15" x14ac:dyDescent="0.2">
      <c r="A2868" s="190" t="str">
        <f t="shared" si="44"/>
        <v>DksCode_cage</v>
      </c>
      <c r="B2868" s="414" t="str">
        <f>HYPERLINK("[#]Datatypes!A432:L432","DksCode")</f>
        <v>DksCode</v>
      </c>
      <c r="C2868" s="415" t="s">
        <v>15000</v>
      </c>
      <c r="D2868" s="221" t="s">
        <v>27953</v>
      </c>
      <c r="E2868" s="221">
        <v>4</v>
      </c>
      <c r="F2868" s="222" t="s">
        <v>27954</v>
      </c>
      <c r="G2868" s="223" t="s">
        <v>27955</v>
      </c>
      <c r="H2868" s="224"/>
      <c r="I2868" s="345"/>
      <c r="J2868" s="39">
        <v>119117</v>
      </c>
      <c r="K2868" s="36" t="str">
        <f>CONCATENATE(Cover!$D$6,"fdd/view?i=",J2868)</f>
        <v>https://www.dgiwg.org/FAD/fdd/view?i=119117</v>
      </c>
      <c r="L2868" s="36" t="s">
        <v>27956</v>
      </c>
      <c r="M2868" s="186"/>
      <c r="N2868" s="186"/>
      <c r="O2868" s="172"/>
    </row>
    <row r="2869" spans="1:15" ht="25.5" x14ac:dyDescent="0.2">
      <c r="A2869" s="197" t="str">
        <f t="shared" si="44"/>
        <v>DksCode_circular</v>
      </c>
      <c r="B2869" s="409"/>
      <c r="C2869" s="416"/>
      <c r="D2869" s="198" t="s">
        <v>27661</v>
      </c>
      <c r="E2869" s="198">
        <v>6</v>
      </c>
      <c r="F2869" s="199" t="s">
        <v>27662</v>
      </c>
      <c r="G2869" s="1" t="s">
        <v>27669</v>
      </c>
      <c r="H2869" s="200"/>
      <c r="I2869" s="346"/>
      <c r="J2869" s="39">
        <v>119119</v>
      </c>
      <c r="K2869" s="36" t="str">
        <f>CONCATENATE(Cover!$D$6,"fdd/view?i=",J2869)</f>
        <v>https://www.dgiwg.org/FAD/fdd/view?i=119119</v>
      </c>
      <c r="L2869" s="36" t="s">
        <v>27957</v>
      </c>
      <c r="M2869" s="186"/>
      <c r="N2869" s="186"/>
      <c r="O2869" s="172"/>
    </row>
    <row r="2870" spans="1:15" x14ac:dyDescent="0.2">
      <c r="A2870" s="197" t="str">
        <f t="shared" si="44"/>
        <v>DksCode_diamond</v>
      </c>
      <c r="B2870" s="409"/>
      <c r="C2870" s="416"/>
      <c r="D2870" s="198" t="s">
        <v>24752</v>
      </c>
      <c r="E2870" s="198">
        <v>5</v>
      </c>
      <c r="F2870" s="199" t="s">
        <v>24753</v>
      </c>
      <c r="G2870" s="1" t="s">
        <v>27958</v>
      </c>
      <c r="H2870" s="200"/>
      <c r="I2870" s="346"/>
      <c r="J2870" s="39">
        <v>119118</v>
      </c>
      <c r="K2870" s="36" t="str">
        <f>CONCATENATE(Cover!$D$6,"fdd/view?i=",J2870)</f>
        <v>https://www.dgiwg.org/FAD/fdd/view?i=119118</v>
      </c>
      <c r="L2870" s="36" t="s">
        <v>27959</v>
      </c>
      <c r="M2870" s="186"/>
      <c r="N2870" s="186"/>
      <c r="O2870" s="172"/>
    </row>
    <row r="2871" spans="1:15" x14ac:dyDescent="0.2">
      <c r="A2871" s="197" t="str">
        <f t="shared" si="44"/>
        <v>DksCode_rectangle</v>
      </c>
      <c r="B2871" s="409"/>
      <c r="C2871" s="416"/>
      <c r="D2871" s="198" t="s">
        <v>27960</v>
      </c>
      <c r="E2871" s="198">
        <v>1</v>
      </c>
      <c r="F2871" s="199" t="s">
        <v>27961</v>
      </c>
      <c r="G2871" s="1" t="s">
        <v>27962</v>
      </c>
      <c r="H2871" s="200"/>
      <c r="I2871" s="346"/>
      <c r="J2871" s="39">
        <v>111097</v>
      </c>
      <c r="K2871" s="36" t="str">
        <f>CONCATENATE(Cover!$D$6,"fdd/view?i=",J2871)</f>
        <v>https://www.dgiwg.org/FAD/fdd/view?i=111097</v>
      </c>
      <c r="L2871" s="36" t="s">
        <v>27963</v>
      </c>
      <c r="M2871" s="186"/>
      <c r="N2871" s="186"/>
      <c r="O2871" s="172"/>
    </row>
    <row r="2872" spans="1:15" x14ac:dyDescent="0.2">
      <c r="A2872" s="197" t="str">
        <f t="shared" si="44"/>
        <v>DksCode_square</v>
      </c>
      <c r="B2872" s="409"/>
      <c r="C2872" s="416"/>
      <c r="D2872" s="198" t="s">
        <v>27698</v>
      </c>
      <c r="E2872" s="198">
        <v>2</v>
      </c>
      <c r="F2872" s="199" t="s">
        <v>27699</v>
      </c>
      <c r="G2872" s="1" t="s">
        <v>27964</v>
      </c>
      <c r="H2872" s="200"/>
      <c r="I2872" s="346"/>
      <c r="J2872" s="39">
        <v>111098</v>
      </c>
      <c r="K2872" s="36" t="str">
        <f>CONCATENATE(Cover!$D$6,"fdd/view?i=",J2872)</f>
        <v>https://www.dgiwg.org/FAD/fdd/view?i=111098</v>
      </c>
      <c r="L2872" s="36" t="s">
        <v>27965</v>
      </c>
      <c r="M2872" s="186"/>
      <c r="N2872" s="186"/>
      <c r="O2872" s="172"/>
    </row>
    <row r="2873" spans="1:15" x14ac:dyDescent="0.2">
      <c r="A2873" s="197" t="str">
        <f t="shared" si="44"/>
        <v>DksCode_trapezoidal</v>
      </c>
      <c r="B2873" s="409"/>
      <c r="C2873" s="416"/>
      <c r="D2873" s="198" t="s">
        <v>27966</v>
      </c>
      <c r="E2873" s="198">
        <v>7</v>
      </c>
      <c r="F2873" s="199" t="s">
        <v>27967</v>
      </c>
      <c r="G2873" s="1" t="s">
        <v>27968</v>
      </c>
      <c r="H2873" s="200"/>
      <c r="I2873" s="346"/>
      <c r="J2873" s="39">
        <v>119120</v>
      </c>
      <c r="K2873" s="36" t="str">
        <f>CONCATENATE(Cover!$D$6,"fdd/view?i=",J2873)</f>
        <v>https://www.dgiwg.org/FAD/fdd/view?i=119120</v>
      </c>
      <c r="L2873" s="36" t="s">
        <v>27969</v>
      </c>
      <c r="M2873" s="186"/>
      <c r="N2873" s="186"/>
      <c r="O2873" s="172"/>
    </row>
    <row r="2874" spans="1:15" x14ac:dyDescent="0.2">
      <c r="A2874" s="203" t="str">
        <f t="shared" si="44"/>
        <v>DksCode_triangle</v>
      </c>
      <c r="B2874" s="410"/>
      <c r="C2874" s="417"/>
      <c r="D2874" s="204" t="s">
        <v>27970</v>
      </c>
      <c r="E2874" s="204">
        <v>3</v>
      </c>
      <c r="F2874" s="205" t="s">
        <v>27971</v>
      </c>
      <c r="G2874" s="206" t="s">
        <v>27972</v>
      </c>
      <c r="H2874" s="207"/>
      <c r="I2874" s="347"/>
      <c r="J2874" s="39">
        <v>111099</v>
      </c>
      <c r="K2874" s="36" t="str">
        <f>CONCATENATE(Cover!$D$6,"fdd/view?i=",J2874)</f>
        <v>https://www.dgiwg.org/FAD/fdd/view?i=111099</v>
      </c>
      <c r="L2874" s="36" t="s">
        <v>27973</v>
      </c>
      <c r="M2874" s="186"/>
      <c r="N2874" s="186"/>
      <c r="O2874" s="172"/>
    </row>
    <row r="2875" spans="1:15" ht="25.5" x14ac:dyDescent="0.2">
      <c r="A2875" s="190" t="str">
        <f t="shared" si="44"/>
        <v>EodCode_coveredGte20ButLt30Metres</v>
      </c>
      <c r="B2875" s="414" t="str">
        <f>HYPERLINK("[#]Datatypes!A436:L436","EodCode")</f>
        <v>EodCode</v>
      </c>
      <c r="C2875" s="415" t="s">
        <v>15005</v>
      </c>
      <c r="D2875" s="221" t="s">
        <v>27978</v>
      </c>
      <c r="E2875" s="221">
        <v>2</v>
      </c>
      <c r="F2875" s="222" t="s">
        <v>27979</v>
      </c>
      <c r="G2875" s="223" t="s">
        <v>27980</v>
      </c>
      <c r="H2875" s="224"/>
      <c r="I2875" s="345"/>
      <c r="J2875" s="39">
        <v>103468</v>
      </c>
      <c r="K2875" s="36" t="str">
        <f>CONCATENATE(Cover!$D$6,"fdd/view?i=",J2875)</f>
        <v>https://www.dgiwg.org/FAD/fdd/view?i=103468</v>
      </c>
      <c r="L2875" s="36" t="s">
        <v>27981</v>
      </c>
      <c r="M2875" s="186"/>
      <c r="N2875" s="186"/>
      <c r="O2875" s="172"/>
    </row>
    <row r="2876" spans="1:15" ht="25.5" x14ac:dyDescent="0.2">
      <c r="A2876" s="197" t="str">
        <f t="shared" si="44"/>
        <v>EodCode_coveredGte30Metres</v>
      </c>
      <c r="B2876" s="409"/>
      <c r="C2876" s="416"/>
      <c r="D2876" s="198" t="s">
        <v>27982</v>
      </c>
      <c r="E2876" s="198">
        <v>3</v>
      </c>
      <c r="F2876" s="199" t="s">
        <v>27983</v>
      </c>
      <c r="G2876" s="1" t="s">
        <v>27984</v>
      </c>
      <c r="H2876" s="200"/>
      <c r="I2876" s="346"/>
      <c r="J2876" s="39">
        <v>103469</v>
      </c>
      <c r="K2876" s="36" t="str">
        <f>CONCATENATE(Cover!$D$6,"fdd/view?i=",J2876)</f>
        <v>https://www.dgiwg.org/FAD/fdd/view?i=103469</v>
      </c>
      <c r="L2876" s="36" t="s">
        <v>27985</v>
      </c>
      <c r="M2876" s="186"/>
      <c r="N2876" s="186"/>
      <c r="O2876" s="172"/>
    </row>
    <row r="2877" spans="1:15" ht="25.5" x14ac:dyDescent="0.2">
      <c r="A2877" s="203" t="str">
        <f t="shared" si="44"/>
        <v>EodCode_coveredLt20Metres</v>
      </c>
      <c r="B2877" s="410"/>
      <c r="C2877" s="417"/>
      <c r="D2877" s="204" t="s">
        <v>27974</v>
      </c>
      <c r="E2877" s="204">
        <v>1</v>
      </c>
      <c r="F2877" s="205" t="s">
        <v>27975</v>
      </c>
      <c r="G2877" s="206" t="s">
        <v>27976</v>
      </c>
      <c r="H2877" s="207"/>
      <c r="I2877" s="347"/>
      <c r="J2877" s="39">
        <v>103467</v>
      </c>
      <c r="K2877" s="36" t="str">
        <f>CONCATENATE(Cover!$D$6,"fdd/view?i=",J2877)</f>
        <v>https://www.dgiwg.org/FAD/fdd/view?i=103467</v>
      </c>
      <c r="L2877" s="36" t="s">
        <v>27977</v>
      </c>
      <c r="M2877" s="186"/>
      <c r="N2877" s="186"/>
      <c r="O2877" s="172"/>
    </row>
    <row r="2878" spans="1:15" x14ac:dyDescent="0.2">
      <c r="A2878" s="190" t="str">
        <f t="shared" si="44"/>
        <v>De1Code_gravel</v>
      </c>
      <c r="B2878" s="414" t="str">
        <f>HYPERLINK("[#]Datatypes!A440:L440","De1Code")</f>
        <v>De1Code</v>
      </c>
      <c r="C2878" s="415" t="s">
        <v>15010</v>
      </c>
      <c r="D2878" s="221" t="s">
        <v>19556</v>
      </c>
      <c r="E2878" s="221">
        <v>2</v>
      </c>
      <c r="F2878" s="222" t="s">
        <v>19557</v>
      </c>
      <c r="G2878" s="223" t="s">
        <v>27986</v>
      </c>
      <c r="H2878" s="224"/>
      <c r="I2878" s="352" t="s">
        <v>27987</v>
      </c>
      <c r="J2878" s="39">
        <v>113094</v>
      </c>
      <c r="K2878" s="36" t="str">
        <f>CONCATENATE(Cover!$D$6,"fdd/view?i=",J2878)</f>
        <v>https://www.dgiwg.org/FAD/fdd/view?i=113094</v>
      </c>
      <c r="L2878" s="36" t="s">
        <v>27988</v>
      </c>
      <c r="M2878" s="186"/>
      <c r="N2878" s="186"/>
      <c r="O2878" s="172"/>
    </row>
    <row r="2879" spans="1:15" ht="25.5" x14ac:dyDescent="0.2">
      <c r="A2879" s="197" t="str">
        <f t="shared" si="44"/>
        <v>De1Code_ice</v>
      </c>
      <c r="B2879" s="409"/>
      <c r="C2879" s="416"/>
      <c r="D2879" s="198" t="s">
        <v>19560</v>
      </c>
      <c r="E2879" s="198">
        <v>5</v>
      </c>
      <c r="F2879" s="199" t="s">
        <v>19561</v>
      </c>
      <c r="G2879" s="1" t="s">
        <v>27989</v>
      </c>
      <c r="H2879" s="1" t="s">
        <v>27990</v>
      </c>
      <c r="I2879" s="351" t="s">
        <v>27991</v>
      </c>
      <c r="J2879" s="39">
        <v>113097</v>
      </c>
      <c r="K2879" s="36" t="str">
        <f>CONCATENATE(Cover!$D$6,"fdd/view?i=",J2879)</f>
        <v>https://www.dgiwg.org/FAD/fdd/view?i=113097</v>
      </c>
      <c r="L2879" s="36" t="s">
        <v>27992</v>
      </c>
      <c r="M2879" s="186"/>
      <c r="N2879" s="186"/>
      <c r="O2879" s="172"/>
    </row>
    <row r="2880" spans="1:15" x14ac:dyDescent="0.2">
      <c r="A2880" s="197" t="str">
        <f t="shared" si="44"/>
        <v>De1Code_rock</v>
      </c>
      <c r="B2880" s="409"/>
      <c r="C2880" s="416"/>
      <c r="D2880" s="198" t="s">
        <v>27993</v>
      </c>
      <c r="E2880" s="198">
        <v>1</v>
      </c>
      <c r="F2880" s="199" t="s">
        <v>27994</v>
      </c>
      <c r="G2880" s="1" t="s">
        <v>27995</v>
      </c>
      <c r="H2880" s="1" t="s">
        <v>27996</v>
      </c>
      <c r="I2880" s="346"/>
      <c r="J2880" s="39">
        <v>113093</v>
      </c>
      <c r="K2880" s="36" t="str">
        <f>CONCATENATE(Cover!$D$6,"fdd/view?i=",J2880)</f>
        <v>https://www.dgiwg.org/FAD/fdd/view?i=113093</v>
      </c>
      <c r="L2880" s="36" t="s">
        <v>27997</v>
      </c>
      <c r="M2880" s="186"/>
      <c r="N2880" s="186"/>
      <c r="O2880" s="172"/>
    </row>
    <row r="2881" spans="1:15" ht="25.5" x14ac:dyDescent="0.2">
      <c r="A2881" s="197" t="str">
        <f t="shared" si="44"/>
        <v>De1Code_salt</v>
      </c>
      <c r="B2881" s="409"/>
      <c r="C2881" s="416"/>
      <c r="D2881" s="198" t="s">
        <v>27998</v>
      </c>
      <c r="E2881" s="198">
        <v>4</v>
      </c>
      <c r="F2881" s="199" t="s">
        <v>27999</v>
      </c>
      <c r="G2881" s="1" t="s">
        <v>28000</v>
      </c>
      <c r="H2881" s="1" t="s">
        <v>28001</v>
      </c>
      <c r="I2881" s="351" t="s">
        <v>28002</v>
      </c>
      <c r="J2881" s="39">
        <v>113096</v>
      </c>
      <c r="K2881" s="36" t="str">
        <f>CONCATENATE(Cover!$D$6,"fdd/view?i=",J2881)</f>
        <v>https://www.dgiwg.org/FAD/fdd/view?i=113096</v>
      </c>
      <c r="L2881" s="36" t="s">
        <v>28003</v>
      </c>
      <c r="M2881" s="186"/>
      <c r="N2881" s="186"/>
      <c r="O2881" s="172"/>
    </row>
    <row r="2882" spans="1:15" x14ac:dyDescent="0.2">
      <c r="A2882" s="197" t="str">
        <f t="shared" ref="A2882:A2945" si="45">HYPERLINK(K2882,L2882)</f>
        <v>De1Code_sand</v>
      </c>
      <c r="B2882" s="409"/>
      <c r="C2882" s="416"/>
      <c r="D2882" s="198" t="s">
        <v>19594</v>
      </c>
      <c r="E2882" s="198">
        <v>3</v>
      </c>
      <c r="F2882" s="199" t="s">
        <v>19595</v>
      </c>
      <c r="G2882" s="1" t="s">
        <v>28004</v>
      </c>
      <c r="H2882" s="200"/>
      <c r="I2882" s="351" t="s">
        <v>630</v>
      </c>
      <c r="J2882" s="39">
        <v>113095</v>
      </c>
      <c r="K2882" s="36" t="str">
        <f>CONCATENATE(Cover!$D$6,"fdd/view?i=",J2882)</f>
        <v>https://www.dgiwg.org/FAD/fdd/view?i=113095</v>
      </c>
      <c r="L2882" s="36" t="s">
        <v>28005</v>
      </c>
      <c r="M2882" s="186"/>
      <c r="N2882" s="186"/>
      <c r="O2882" s="172"/>
    </row>
    <row r="2883" spans="1:15" x14ac:dyDescent="0.2">
      <c r="A2883" s="203" t="str">
        <f t="shared" si="45"/>
        <v>De1Code_stone</v>
      </c>
      <c r="B2883" s="410"/>
      <c r="C2883" s="417"/>
      <c r="D2883" s="204" t="s">
        <v>19602</v>
      </c>
      <c r="E2883" s="204">
        <v>6</v>
      </c>
      <c r="F2883" s="205" t="s">
        <v>19603</v>
      </c>
      <c r="G2883" s="206" t="s">
        <v>28006</v>
      </c>
      <c r="H2883" s="207"/>
      <c r="I2883" s="347"/>
      <c r="J2883" s="39">
        <v>113098</v>
      </c>
      <c r="K2883" s="36" t="str">
        <f>CONCATENATE(Cover!$D$6,"fdd/view?i=",J2883)</f>
        <v>https://www.dgiwg.org/FAD/fdd/view?i=113098</v>
      </c>
      <c r="L2883" s="36" t="s">
        <v>28007</v>
      </c>
      <c r="M2883" s="186"/>
      <c r="N2883" s="186"/>
      <c r="O2883" s="172"/>
    </row>
    <row r="2884" spans="1:15" ht="25.5" x14ac:dyDescent="0.2">
      <c r="A2884" s="190" t="str">
        <f t="shared" si="45"/>
        <v>De2Code_core</v>
      </c>
      <c r="B2884" s="414" t="str">
        <f>HYPERLINK("[#]Datatypes!A442:L442","De2Code")</f>
        <v>De2Code</v>
      </c>
      <c r="C2884" s="415" t="s">
        <v>15012</v>
      </c>
      <c r="D2884" s="221" t="s">
        <v>28008</v>
      </c>
      <c r="E2884" s="221">
        <v>1</v>
      </c>
      <c r="F2884" s="222" t="s">
        <v>28009</v>
      </c>
      <c r="G2884" s="223" t="s">
        <v>28010</v>
      </c>
      <c r="H2884" s="224"/>
      <c r="I2884" s="352" t="s">
        <v>28011</v>
      </c>
      <c r="J2884" s="39">
        <v>113099</v>
      </c>
      <c r="K2884" s="36" t="str">
        <f>CONCATENATE(Cover!$D$6,"fdd/view?i=",J2884)</f>
        <v>https://www.dgiwg.org/FAD/fdd/view?i=113099</v>
      </c>
      <c r="L2884" s="36" t="s">
        <v>28012</v>
      </c>
      <c r="M2884" s="186"/>
      <c r="N2884" s="186"/>
      <c r="O2884" s="172"/>
    </row>
    <row r="2885" spans="1:15" ht="25.5" x14ac:dyDescent="0.2">
      <c r="A2885" s="203" t="str">
        <f t="shared" si="45"/>
        <v>De2Code_marginal</v>
      </c>
      <c r="B2885" s="410"/>
      <c r="C2885" s="417"/>
      <c r="D2885" s="204" t="s">
        <v>28013</v>
      </c>
      <c r="E2885" s="204">
        <v>2</v>
      </c>
      <c r="F2885" s="205" t="s">
        <v>28014</v>
      </c>
      <c r="G2885" s="206" t="s">
        <v>28015</v>
      </c>
      <c r="H2885" s="207"/>
      <c r="I2885" s="347"/>
      <c r="J2885" s="39">
        <v>113100</v>
      </c>
      <c r="K2885" s="36" t="str">
        <f>CONCATENATE(Cover!$D$6,"fdd/view?i=",J2885)</f>
        <v>https://www.dgiwg.org/FAD/fdd/view?i=113100</v>
      </c>
      <c r="L2885" s="36" t="s">
        <v>28016</v>
      </c>
      <c r="M2885" s="186"/>
      <c r="N2885" s="186"/>
      <c r="O2885" s="172"/>
    </row>
    <row r="2886" spans="1:15" ht="25.5" x14ac:dyDescent="0.2">
      <c r="A2886" s="190" t="str">
        <f t="shared" si="45"/>
        <v>DptCode_aerodromeHeliport</v>
      </c>
      <c r="B2886" s="414" t="str">
        <f>HYPERLINK("[#]Datatypes!A446:L446","DptCode")</f>
        <v>DptCode</v>
      </c>
      <c r="C2886" s="415" t="s">
        <v>15017</v>
      </c>
      <c r="D2886" s="221" t="s">
        <v>28018</v>
      </c>
      <c r="E2886" s="221">
        <v>1</v>
      </c>
      <c r="F2886" s="222" t="s">
        <v>28019</v>
      </c>
      <c r="G2886" s="223" t="s">
        <v>28020</v>
      </c>
      <c r="H2886" s="224"/>
      <c r="I2886" s="345"/>
      <c r="J2886" s="39">
        <v>115349</v>
      </c>
      <c r="K2886" s="36" t="str">
        <f>CONCATENATE(Cover!$D$6,"fdd/view?i=",J2886)</f>
        <v>https://www.dgiwg.org/FAD/fdd/view?i=115349</v>
      </c>
      <c r="L2886" s="36" t="s">
        <v>28021</v>
      </c>
      <c r="M2886" s="186"/>
      <c r="N2886" s="186"/>
      <c r="O2886" s="13" t="s">
        <v>28017</v>
      </c>
    </row>
    <row r="2887" spans="1:15" ht="25.5" x14ac:dyDescent="0.2">
      <c r="A2887" s="197" t="str">
        <f t="shared" si="45"/>
        <v>DptCode_coordinateBased</v>
      </c>
      <c r="B2887" s="409"/>
      <c r="C2887" s="416"/>
      <c r="D2887" s="198" t="s">
        <v>28023</v>
      </c>
      <c r="E2887" s="198">
        <v>2</v>
      </c>
      <c r="F2887" s="199" t="s">
        <v>28024</v>
      </c>
      <c r="G2887" s="1" t="s">
        <v>28025</v>
      </c>
      <c r="H2887" s="200"/>
      <c r="I2887" s="346"/>
      <c r="J2887" s="39">
        <v>115350</v>
      </c>
      <c r="K2887" s="36" t="str">
        <f>CONCATENATE(Cover!$D$6,"fdd/view?i=",J2887)</f>
        <v>https://www.dgiwg.org/FAD/fdd/view?i=115350</v>
      </c>
      <c r="L2887" s="36" t="s">
        <v>28026</v>
      </c>
      <c r="M2887" s="186"/>
      <c r="N2887" s="186"/>
      <c r="O2887" s="13" t="s">
        <v>28022</v>
      </c>
    </row>
    <row r="2888" spans="1:15" ht="25.5" x14ac:dyDescent="0.2">
      <c r="A2888" s="203" t="str">
        <f t="shared" si="45"/>
        <v>DptCode_icao</v>
      </c>
      <c r="B2888" s="410"/>
      <c r="C2888" s="417"/>
      <c r="D2888" s="204" t="s">
        <v>28028</v>
      </c>
      <c r="E2888" s="204">
        <v>3</v>
      </c>
      <c r="F2888" s="205" t="s">
        <v>28029</v>
      </c>
      <c r="G2888" s="206" t="s">
        <v>28030</v>
      </c>
      <c r="H2888" s="207"/>
      <c r="I2888" s="347"/>
      <c r="J2888" s="39">
        <v>115351</v>
      </c>
      <c r="K2888" s="36" t="str">
        <f>CONCATENATE(Cover!$D$6,"fdd/view?i=",J2888)</f>
        <v>https://www.dgiwg.org/FAD/fdd/view?i=115351</v>
      </c>
      <c r="L2888" s="36" t="s">
        <v>28031</v>
      </c>
      <c r="M2888" s="186"/>
      <c r="N2888" s="186"/>
      <c r="O2888" s="13" t="s">
        <v>28027</v>
      </c>
    </row>
    <row r="2889" spans="1:15" ht="51" x14ac:dyDescent="0.2">
      <c r="A2889" s="190" t="str">
        <f t="shared" si="45"/>
        <v>DrbCode_magneticBearing</v>
      </c>
      <c r="B2889" s="414" t="str">
        <f>HYPERLINK("[#]Datatypes!A448:L448","DrbCode")</f>
        <v>DrbCode</v>
      </c>
      <c r="C2889" s="415" t="s">
        <v>15019</v>
      </c>
      <c r="D2889" s="221" t="s">
        <v>10135</v>
      </c>
      <c r="E2889" s="221">
        <v>4</v>
      </c>
      <c r="F2889" s="222" t="s">
        <v>10137</v>
      </c>
      <c r="G2889" s="223" t="s">
        <v>28032</v>
      </c>
      <c r="H2889" s="224"/>
      <c r="I2889" s="345"/>
      <c r="J2889" s="39">
        <v>119940</v>
      </c>
      <c r="K2889" s="36" t="str">
        <f>CONCATENATE(Cover!$D$6,"fdd/view?i=",J2889)</f>
        <v>https://www.dgiwg.org/FAD/fdd/view?i=119940</v>
      </c>
      <c r="L2889" s="36" t="s">
        <v>28033</v>
      </c>
      <c r="M2889" s="186"/>
      <c r="N2889" s="186"/>
      <c r="O2889" s="172"/>
    </row>
    <row r="2890" spans="1:15" ht="38.25" x14ac:dyDescent="0.2">
      <c r="A2890" s="197" t="str">
        <f t="shared" si="45"/>
        <v>DrbCode_magneticHeading</v>
      </c>
      <c r="B2890" s="409"/>
      <c r="C2890" s="416"/>
      <c r="D2890" s="198" t="s">
        <v>28034</v>
      </c>
      <c r="E2890" s="198">
        <v>3</v>
      </c>
      <c r="F2890" s="199" t="s">
        <v>28035</v>
      </c>
      <c r="G2890" s="1" t="s">
        <v>28036</v>
      </c>
      <c r="H2890" s="200"/>
      <c r="I2890" s="346"/>
      <c r="J2890" s="39">
        <v>119939</v>
      </c>
      <c r="K2890" s="36" t="str">
        <f>CONCATENATE(Cover!$D$6,"fdd/view?i=",J2890)</f>
        <v>https://www.dgiwg.org/FAD/fdd/view?i=119939</v>
      </c>
      <c r="L2890" s="36" t="s">
        <v>28037</v>
      </c>
      <c r="M2890" s="186"/>
      <c r="N2890" s="186"/>
      <c r="O2890" s="172"/>
    </row>
    <row r="2891" spans="1:15" ht="51" x14ac:dyDescent="0.2">
      <c r="A2891" s="197" t="str">
        <f t="shared" si="45"/>
        <v>DrbCode_magneticTrack</v>
      </c>
      <c r="B2891" s="409"/>
      <c r="C2891" s="416"/>
      <c r="D2891" s="198" t="s">
        <v>10151</v>
      </c>
      <c r="E2891" s="198">
        <v>5</v>
      </c>
      <c r="F2891" s="199" t="s">
        <v>10153</v>
      </c>
      <c r="G2891" s="1" t="s">
        <v>28038</v>
      </c>
      <c r="H2891" s="200"/>
      <c r="I2891" s="346"/>
      <c r="J2891" s="39">
        <v>119941</v>
      </c>
      <c r="K2891" s="36" t="str">
        <f>CONCATENATE(Cover!$D$6,"fdd/view?i=",J2891)</f>
        <v>https://www.dgiwg.org/FAD/fdd/view?i=119941</v>
      </c>
      <c r="L2891" s="36" t="s">
        <v>28039</v>
      </c>
      <c r="M2891" s="186"/>
      <c r="N2891" s="186"/>
      <c r="O2891" s="172"/>
    </row>
    <row r="2892" spans="1:15" ht="51" x14ac:dyDescent="0.2">
      <c r="A2892" s="197" t="str">
        <f t="shared" si="45"/>
        <v>DrbCode_trueBearing</v>
      </c>
      <c r="B2892" s="409"/>
      <c r="C2892" s="416"/>
      <c r="D2892" s="198" t="s">
        <v>13826</v>
      </c>
      <c r="E2892" s="198">
        <v>2</v>
      </c>
      <c r="F2892" s="199" t="s">
        <v>13828</v>
      </c>
      <c r="G2892" s="1" t="s">
        <v>28040</v>
      </c>
      <c r="H2892" s="200"/>
      <c r="I2892" s="346"/>
      <c r="J2892" s="39">
        <v>119938</v>
      </c>
      <c r="K2892" s="36" t="str">
        <f>CONCATENATE(Cover!$D$6,"fdd/view?i=",J2892)</f>
        <v>https://www.dgiwg.org/FAD/fdd/view?i=119938</v>
      </c>
      <c r="L2892" s="36" t="s">
        <v>28041</v>
      </c>
      <c r="M2892" s="186"/>
      <c r="N2892" s="186"/>
      <c r="O2892" s="172"/>
    </row>
    <row r="2893" spans="1:15" ht="38.25" x14ac:dyDescent="0.2">
      <c r="A2893" s="197" t="str">
        <f t="shared" si="45"/>
        <v>DrbCode_trueHeading</v>
      </c>
      <c r="B2893" s="409"/>
      <c r="C2893" s="416"/>
      <c r="D2893" s="198" t="s">
        <v>28042</v>
      </c>
      <c r="E2893" s="198">
        <v>1</v>
      </c>
      <c r="F2893" s="199" t="s">
        <v>28043</v>
      </c>
      <c r="G2893" s="1" t="s">
        <v>28044</v>
      </c>
      <c r="H2893" s="200"/>
      <c r="I2893" s="346"/>
      <c r="J2893" s="39">
        <v>119937</v>
      </c>
      <c r="K2893" s="36" t="str">
        <f>CONCATENATE(Cover!$D$6,"fdd/view?i=",J2893)</f>
        <v>https://www.dgiwg.org/FAD/fdd/view?i=119937</v>
      </c>
      <c r="L2893" s="36" t="s">
        <v>28045</v>
      </c>
      <c r="M2893" s="186"/>
      <c r="N2893" s="186"/>
      <c r="O2893" s="172"/>
    </row>
    <row r="2894" spans="1:15" ht="51" x14ac:dyDescent="0.2">
      <c r="A2894" s="203" t="str">
        <f t="shared" si="45"/>
        <v>DrbCode_vorOrTacanRadial</v>
      </c>
      <c r="B2894" s="410"/>
      <c r="C2894" s="417"/>
      <c r="D2894" s="204" t="s">
        <v>28046</v>
      </c>
      <c r="E2894" s="204">
        <v>6</v>
      </c>
      <c r="F2894" s="205" t="s">
        <v>28047</v>
      </c>
      <c r="G2894" s="206" t="s">
        <v>28048</v>
      </c>
      <c r="H2894" s="207"/>
      <c r="I2894" s="347"/>
      <c r="J2894" s="39">
        <v>119942</v>
      </c>
      <c r="K2894" s="36" t="str">
        <f>CONCATENATE(Cover!$D$6,"fdd/view?i=",J2894)</f>
        <v>https://www.dgiwg.org/FAD/fdd/view?i=119942</v>
      </c>
      <c r="L2894" s="36" t="s">
        <v>28049</v>
      </c>
      <c r="M2894" s="186"/>
      <c r="N2894" s="186"/>
      <c r="O2894" s="172"/>
    </row>
    <row r="2895" spans="1:15" x14ac:dyDescent="0.2">
      <c r="A2895" s="190" t="str">
        <f t="shared" si="45"/>
        <v>T03Code_bothClosed</v>
      </c>
      <c r="B2895" s="414" t="str">
        <f>HYPERLINK("[#]Datatypes!A450:L450","T03Code")</f>
        <v>T03Code</v>
      </c>
      <c r="C2895" s="415" t="s">
        <v>15021</v>
      </c>
      <c r="D2895" s="221" t="s">
        <v>28050</v>
      </c>
      <c r="E2895" s="221">
        <v>4</v>
      </c>
      <c r="F2895" s="222" t="s">
        <v>28051</v>
      </c>
      <c r="G2895" s="223" t="s">
        <v>28052</v>
      </c>
      <c r="H2895" s="224"/>
      <c r="I2895" s="345"/>
      <c r="J2895" s="39">
        <v>118914</v>
      </c>
      <c r="K2895" s="36" t="str">
        <f>CONCATENATE(Cover!$D$6,"fdd/view?i=",J2895)</f>
        <v>https://www.dgiwg.org/FAD/fdd/view?i=118914</v>
      </c>
      <c r="L2895" s="36" t="s">
        <v>28053</v>
      </c>
      <c r="M2895" s="186"/>
      <c r="N2895" s="186"/>
      <c r="O2895" s="172"/>
    </row>
    <row r="2896" spans="1:15" x14ac:dyDescent="0.2">
      <c r="A2896" s="197" t="str">
        <f t="shared" si="45"/>
        <v>T03Code_bothOpen</v>
      </c>
      <c r="B2896" s="409"/>
      <c r="C2896" s="416"/>
      <c r="D2896" s="198" t="s">
        <v>28054</v>
      </c>
      <c r="E2896" s="198">
        <v>1</v>
      </c>
      <c r="F2896" s="199" t="s">
        <v>28055</v>
      </c>
      <c r="G2896" s="1" t="s">
        <v>28056</v>
      </c>
      <c r="H2896" s="200"/>
      <c r="I2896" s="346"/>
      <c r="J2896" s="39">
        <v>118911</v>
      </c>
      <c r="K2896" s="36" t="str">
        <f>CONCATENATE(Cover!$D$6,"fdd/view?i=",J2896)</f>
        <v>https://www.dgiwg.org/FAD/fdd/view?i=118911</v>
      </c>
      <c r="L2896" s="36" t="s">
        <v>28057</v>
      </c>
      <c r="M2896" s="186"/>
      <c r="N2896" s="186"/>
      <c r="O2896" s="172"/>
    </row>
    <row r="2897" spans="1:15" ht="25.5" x14ac:dyDescent="0.2">
      <c r="A2897" s="197" t="str">
        <f t="shared" si="45"/>
        <v>T03Code_openOppositeDirection</v>
      </c>
      <c r="B2897" s="409"/>
      <c r="C2897" s="416"/>
      <c r="D2897" s="198" t="s">
        <v>28058</v>
      </c>
      <c r="E2897" s="198">
        <v>3</v>
      </c>
      <c r="F2897" s="199" t="s">
        <v>28059</v>
      </c>
      <c r="G2897" s="1" t="s">
        <v>28060</v>
      </c>
      <c r="H2897" s="200"/>
      <c r="I2897" s="346"/>
      <c r="J2897" s="39">
        <v>118913</v>
      </c>
      <c r="K2897" s="36" t="str">
        <f>CONCATENATE(Cover!$D$6,"fdd/view?i=",J2897)</f>
        <v>https://www.dgiwg.org/FAD/fdd/view?i=118913</v>
      </c>
      <c r="L2897" s="36" t="s">
        <v>28061</v>
      </c>
      <c r="M2897" s="186"/>
      <c r="N2897" s="186"/>
      <c r="O2897" s="172"/>
    </row>
    <row r="2898" spans="1:15" ht="25.5" x14ac:dyDescent="0.2">
      <c r="A2898" s="203" t="str">
        <f t="shared" si="45"/>
        <v>T03Code_openSurveyingDirection</v>
      </c>
      <c r="B2898" s="410"/>
      <c r="C2898" s="417"/>
      <c r="D2898" s="204" t="s">
        <v>28062</v>
      </c>
      <c r="E2898" s="204">
        <v>2</v>
      </c>
      <c r="F2898" s="205" t="s">
        <v>28063</v>
      </c>
      <c r="G2898" s="206" t="s">
        <v>28064</v>
      </c>
      <c r="H2898" s="207"/>
      <c r="I2898" s="347"/>
      <c r="J2898" s="39">
        <v>118912</v>
      </c>
      <c r="K2898" s="36" t="str">
        <f>CONCATENATE(Cover!$D$6,"fdd/view?i=",J2898)</f>
        <v>https://www.dgiwg.org/FAD/fdd/view?i=118912</v>
      </c>
      <c r="L2898" s="36" t="s">
        <v>28065</v>
      </c>
      <c r="M2898" s="186"/>
      <c r="N2898" s="186"/>
      <c r="O2898" s="172"/>
    </row>
    <row r="2899" spans="1:15" x14ac:dyDescent="0.2">
      <c r="A2899" s="190" t="str">
        <f t="shared" si="45"/>
        <v>DirCode_bidirectional</v>
      </c>
      <c r="B2899" s="414" t="str">
        <f>HYPERLINK("[#]Datatypes!A452:L452","DirCode")</f>
        <v>DirCode</v>
      </c>
      <c r="C2899" s="415" t="s">
        <v>15023</v>
      </c>
      <c r="D2899" s="221" t="s">
        <v>7070</v>
      </c>
      <c r="E2899" s="221">
        <v>2</v>
      </c>
      <c r="F2899" s="222" t="s">
        <v>7072</v>
      </c>
      <c r="G2899" s="223" t="s">
        <v>28066</v>
      </c>
      <c r="H2899" s="223" t="s">
        <v>28067</v>
      </c>
      <c r="I2899" s="345"/>
      <c r="J2899" s="39">
        <v>103371</v>
      </c>
      <c r="K2899" s="36" t="str">
        <f>CONCATENATE(Cover!$D$6,"fdd/view?i=",J2899)</f>
        <v>https://www.dgiwg.org/FAD/fdd/view?i=103371</v>
      </c>
      <c r="L2899" s="36" t="s">
        <v>28068</v>
      </c>
      <c r="M2899" s="186"/>
      <c r="N2899" s="186"/>
      <c r="O2899" s="172"/>
    </row>
    <row r="2900" spans="1:15" ht="38.25" x14ac:dyDescent="0.2">
      <c r="A2900" s="197" t="str">
        <f t="shared" si="45"/>
        <v>DirCode_leftUnidirectional</v>
      </c>
      <c r="B2900" s="409"/>
      <c r="C2900" s="416"/>
      <c r="D2900" s="198" t="s">
        <v>28069</v>
      </c>
      <c r="E2900" s="198">
        <v>5</v>
      </c>
      <c r="F2900" s="199" t="s">
        <v>28070</v>
      </c>
      <c r="G2900" s="1" t="s">
        <v>28071</v>
      </c>
      <c r="H2900" s="1" t="s">
        <v>28072</v>
      </c>
      <c r="I2900" s="346"/>
      <c r="J2900" s="39">
        <v>103374</v>
      </c>
      <c r="K2900" s="36" t="str">
        <f>CONCATENATE(Cover!$D$6,"fdd/view?i=",J2900)</f>
        <v>https://www.dgiwg.org/FAD/fdd/view?i=103374</v>
      </c>
      <c r="L2900" s="36" t="s">
        <v>28073</v>
      </c>
      <c r="M2900" s="186"/>
      <c r="N2900" s="186"/>
      <c r="O2900" s="172"/>
    </row>
    <row r="2901" spans="1:15" ht="25.5" x14ac:dyDescent="0.2">
      <c r="A2901" s="197" t="str">
        <f t="shared" si="45"/>
        <v>DirCode_omnidirectional</v>
      </c>
      <c r="B2901" s="409"/>
      <c r="C2901" s="416"/>
      <c r="D2901" s="198" t="s">
        <v>28074</v>
      </c>
      <c r="E2901" s="198">
        <v>3</v>
      </c>
      <c r="F2901" s="199" t="s">
        <v>28075</v>
      </c>
      <c r="G2901" s="1" t="s">
        <v>28076</v>
      </c>
      <c r="H2901" s="1" t="s">
        <v>28077</v>
      </c>
      <c r="I2901" s="346"/>
      <c r="J2901" s="39">
        <v>103372</v>
      </c>
      <c r="K2901" s="36" t="str">
        <f>CONCATENATE(Cover!$D$6,"fdd/view?i=",J2901)</f>
        <v>https://www.dgiwg.org/FAD/fdd/view?i=103372</v>
      </c>
      <c r="L2901" s="36" t="s">
        <v>28078</v>
      </c>
      <c r="M2901" s="186"/>
      <c r="N2901" s="186"/>
      <c r="O2901" s="172"/>
    </row>
    <row r="2902" spans="1:15" ht="38.25" x14ac:dyDescent="0.2">
      <c r="A2902" s="197" t="str">
        <f t="shared" si="45"/>
        <v>DirCode_rightUnidirectional</v>
      </c>
      <c r="B2902" s="409"/>
      <c r="C2902" s="416"/>
      <c r="D2902" s="198" t="s">
        <v>28079</v>
      </c>
      <c r="E2902" s="198">
        <v>4</v>
      </c>
      <c r="F2902" s="199" t="s">
        <v>28080</v>
      </c>
      <c r="G2902" s="1" t="s">
        <v>28081</v>
      </c>
      <c r="H2902" s="1" t="s">
        <v>28082</v>
      </c>
      <c r="I2902" s="346"/>
      <c r="J2902" s="39">
        <v>103373</v>
      </c>
      <c r="K2902" s="36" t="str">
        <f>CONCATENATE(Cover!$D$6,"fdd/view?i=",J2902)</f>
        <v>https://www.dgiwg.org/FAD/fdd/view?i=103373</v>
      </c>
      <c r="L2902" s="36" t="s">
        <v>28083</v>
      </c>
      <c r="M2902" s="186"/>
      <c r="N2902" s="186"/>
      <c r="O2902" s="172"/>
    </row>
    <row r="2903" spans="1:15" x14ac:dyDescent="0.2">
      <c r="A2903" s="203" t="str">
        <f t="shared" si="45"/>
        <v>DirCode_unidirectional</v>
      </c>
      <c r="B2903" s="410"/>
      <c r="C2903" s="417"/>
      <c r="D2903" s="204" t="s">
        <v>28084</v>
      </c>
      <c r="E2903" s="204">
        <v>1</v>
      </c>
      <c r="F2903" s="205" t="s">
        <v>28085</v>
      </c>
      <c r="G2903" s="206" t="s">
        <v>28086</v>
      </c>
      <c r="H2903" s="206" t="s">
        <v>28087</v>
      </c>
      <c r="I2903" s="347"/>
      <c r="J2903" s="39">
        <v>103370</v>
      </c>
      <c r="K2903" s="36" t="str">
        <f>CONCATENATE(Cover!$D$6,"fdd/view?i=",J2903)</f>
        <v>https://www.dgiwg.org/FAD/fdd/view?i=103370</v>
      </c>
      <c r="L2903" s="36" t="s">
        <v>28088</v>
      </c>
      <c r="M2903" s="186"/>
      <c r="N2903" s="186"/>
      <c r="O2903" s="172"/>
    </row>
    <row r="2904" spans="1:15" x14ac:dyDescent="0.2">
      <c r="A2904" s="190" t="str">
        <f t="shared" si="45"/>
        <v>Si1Code_endemic</v>
      </c>
      <c r="B2904" s="414" t="str">
        <f>HYPERLINK("[#]Datatypes!A454:L454","Si1Code")</f>
        <v>Si1Code</v>
      </c>
      <c r="C2904" s="415" t="s">
        <v>15025</v>
      </c>
      <c r="D2904" s="221" t="s">
        <v>28089</v>
      </c>
      <c r="E2904" s="221">
        <v>1</v>
      </c>
      <c r="F2904" s="222" t="s">
        <v>28090</v>
      </c>
      <c r="G2904" s="223" t="s">
        <v>28091</v>
      </c>
      <c r="H2904" s="224"/>
      <c r="I2904" s="345"/>
      <c r="J2904" s="39">
        <v>113763</v>
      </c>
      <c r="K2904" s="36" t="str">
        <f>CONCATENATE(Cover!$D$6,"fdd/view?i=",J2904)</f>
        <v>https://www.dgiwg.org/FAD/fdd/view?i=113763</v>
      </c>
      <c r="L2904" s="36" t="s">
        <v>28092</v>
      </c>
      <c r="M2904" s="186"/>
      <c r="N2904" s="186"/>
      <c r="O2904" s="172"/>
    </row>
    <row r="2905" spans="1:15" x14ac:dyDescent="0.2">
      <c r="A2905" s="197" t="str">
        <f t="shared" si="45"/>
        <v>Si1Code_epidemic</v>
      </c>
      <c r="B2905" s="409"/>
      <c r="C2905" s="416"/>
      <c r="D2905" s="198" t="s">
        <v>28093</v>
      </c>
      <c r="E2905" s="198">
        <v>2</v>
      </c>
      <c r="F2905" s="199" t="s">
        <v>28094</v>
      </c>
      <c r="G2905" s="1" t="s">
        <v>28095</v>
      </c>
      <c r="H2905" s="200"/>
      <c r="I2905" s="346"/>
      <c r="J2905" s="39">
        <v>113764</v>
      </c>
      <c r="K2905" s="36" t="str">
        <f>CONCATENATE(Cover!$D$6,"fdd/view?i=",J2905)</f>
        <v>https://www.dgiwg.org/FAD/fdd/view?i=113764</v>
      </c>
      <c r="L2905" s="36" t="s">
        <v>28096</v>
      </c>
      <c r="M2905" s="186"/>
      <c r="N2905" s="186"/>
      <c r="O2905" s="172"/>
    </row>
    <row r="2906" spans="1:15" x14ac:dyDescent="0.2">
      <c r="A2906" s="203" t="str">
        <f t="shared" si="45"/>
        <v>Si1Code_pandemic</v>
      </c>
      <c r="B2906" s="410"/>
      <c r="C2906" s="417"/>
      <c r="D2906" s="204" t="s">
        <v>28097</v>
      </c>
      <c r="E2906" s="204">
        <v>3</v>
      </c>
      <c r="F2906" s="205" t="s">
        <v>28098</v>
      </c>
      <c r="G2906" s="206" t="s">
        <v>28099</v>
      </c>
      <c r="H2906" s="207"/>
      <c r="I2906" s="347"/>
      <c r="J2906" s="39">
        <v>113765</v>
      </c>
      <c r="K2906" s="36" t="str">
        <f>CONCATENATE(Cover!$D$6,"fdd/view?i=",J2906)</f>
        <v>https://www.dgiwg.org/FAD/fdd/view?i=113765</v>
      </c>
      <c r="L2906" s="36" t="s">
        <v>28100</v>
      </c>
      <c r="M2906" s="186"/>
      <c r="N2906" s="186"/>
      <c r="O2906" s="172"/>
    </row>
    <row r="2907" spans="1:15" ht="38.25" x14ac:dyDescent="0.2">
      <c r="A2907" s="190" t="str">
        <f t="shared" si="45"/>
        <v>DibCode_armadillo</v>
      </c>
      <c r="B2907" s="414" t="str">
        <f>HYPERLINK("[#]Datatypes!A456:L456","DibCode")</f>
        <v>DibCode</v>
      </c>
      <c r="C2907" s="415" t="s">
        <v>15027</v>
      </c>
      <c r="D2907" s="221" t="s">
        <v>28101</v>
      </c>
      <c r="E2907" s="221">
        <v>1</v>
      </c>
      <c r="F2907" s="222" t="s">
        <v>28102</v>
      </c>
      <c r="G2907" s="223" t="s">
        <v>28103</v>
      </c>
      <c r="H2907" s="224"/>
      <c r="I2907" s="345"/>
      <c r="J2907" s="39">
        <v>118221</v>
      </c>
      <c r="K2907" s="36" t="str">
        <f>CONCATENATE(Cover!$D$6,"fdd/view?i=",J2907)</f>
        <v>https://www.dgiwg.org/FAD/fdd/view?i=118221</v>
      </c>
      <c r="L2907" s="36" t="s">
        <v>28104</v>
      </c>
      <c r="M2907" s="186"/>
      <c r="N2907" s="186"/>
      <c r="O2907" s="172"/>
    </row>
    <row r="2908" spans="1:15" ht="38.25" x14ac:dyDescent="0.2">
      <c r="A2908" s="197" t="str">
        <f t="shared" si="45"/>
        <v>DibCode_bat</v>
      </c>
      <c r="B2908" s="409"/>
      <c r="C2908" s="416"/>
      <c r="D2908" s="198" t="s">
        <v>28105</v>
      </c>
      <c r="E2908" s="198">
        <v>2</v>
      </c>
      <c r="F2908" s="199" t="s">
        <v>28106</v>
      </c>
      <c r="G2908" s="1" t="s">
        <v>28107</v>
      </c>
      <c r="H2908" s="200"/>
      <c r="I2908" s="346"/>
      <c r="J2908" s="39">
        <v>118222</v>
      </c>
      <c r="K2908" s="36" t="str">
        <f>CONCATENATE(Cover!$D$6,"fdd/view?i=",J2908)</f>
        <v>https://www.dgiwg.org/FAD/fdd/view?i=118222</v>
      </c>
      <c r="L2908" s="36" t="s">
        <v>28108</v>
      </c>
      <c r="M2908" s="186"/>
      <c r="N2908" s="186"/>
      <c r="O2908" s="172"/>
    </row>
    <row r="2909" spans="1:15" ht="38.25" x14ac:dyDescent="0.2">
      <c r="A2909" s="197" t="str">
        <f t="shared" si="45"/>
        <v>DibCode_bird</v>
      </c>
      <c r="B2909" s="409"/>
      <c r="C2909" s="416"/>
      <c r="D2909" s="198" t="s">
        <v>28109</v>
      </c>
      <c r="E2909" s="198">
        <v>3</v>
      </c>
      <c r="F2909" s="199" t="s">
        <v>28110</v>
      </c>
      <c r="G2909" s="1" t="s">
        <v>28111</v>
      </c>
      <c r="H2909" s="200"/>
      <c r="I2909" s="346"/>
      <c r="J2909" s="39">
        <v>118223</v>
      </c>
      <c r="K2909" s="36" t="str">
        <f>CONCATENATE(Cover!$D$6,"fdd/view?i=",J2909)</f>
        <v>https://www.dgiwg.org/FAD/fdd/view?i=118223</v>
      </c>
      <c r="L2909" s="36" t="s">
        <v>28112</v>
      </c>
      <c r="M2909" s="186"/>
      <c r="N2909" s="186"/>
      <c r="O2909" s="172"/>
    </row>
    <row r="2910" spans="1:15" x14ac:dyDescent="0.2">
      <c r="A2910" s="197" t="str">
        <f t="shared" si="45"/>
        <v>DibCode_cattle</v>
      </c>
      <c r="B2910" s="409"/>
      <c r="C2910" s="416"/>
      <c r="D2910" s="198" t="s">
        <v>21867</v>
      </c>
      <c r="E2910" s="198">
        <v>4</v>
      </c>
      <c r="F2910" s="199" t="s">
        <v>21868</v>
      </c>
      <c r="G2910" s="1" t="s">
        <v>28113</v>
      </c>
      <c r="H2910" s="200"/>
      <c r="I2910" s="346"/>
      <c r="J2910" s="39">
        <v>118224</v>
      </c>
      <c r="K2910" s="36" t="str">
        <f>CONCATENATE(Cover!$D$6,"fdd/view?i=",J2910)</f>
        <v>https://www.dgiwg.org/FAD/fdd/view?i=118224</v>
      </c>
      <c r="L2910" s="36" t="s">
        <v>28114</v>
      </c>
      <c r="M2910" s="186"/>
      <c r="N2910" s="186"/>
      <c r="O2910" s="172"/>
    </row>
    <row r="2911" spans="1:15" ht="38.25" x14ac:dyDescent="0.2">
      <c r="A2911" s="197" t="str">
        <f t="shared" si="45"/>
        <v>DibCode_dog</v>
      </c>
      <c r="B2911" s="409"/>
      <c r="C2911" s="416"/>
      <c r="D2911" s="198" t="s">
        <v>21871</v>
      </c>
      <c r="E2911" s="198">
        <v>5</v>
      </c>
      <c r="F2911" s="199" t="s">
        <v>21872</v>
      </c>
      <c r="G2911" s="1" t="s">
        <v>21873</v>
      </c>
      <c r="H2911" s="200"/>
      <c r="I2911" s="346"/>
      <c r="J2911" s="39">
        <v>118225</v>
      </c>
      <c r="K2911" s="36" t="str">
        <f>CONCATENATE(Cover!$D$6,"fdd/view?i=",J2911)</f>
        <v>https://www.dgiwg.org/FAD/fdd/view?i=118225</v>
      </c>
      <c r="L2911" s="36" t="s">
        <v>28115</v>
      </c>
      <c r="M2911" s="186"/>
      <c r="N2911" s="186"/>
      <c r="O2911" s="172"/>
    </row>
    <row r="2912" spans="1:15" ht="25.5" x14ac:dyDescent="0.2">
      <c r="A2912" s="197" t="str">
        <f t="shared" si="45"/>
        <v>DibCode_goat</v>
      </c>
      <c r="B2912" s="409"/>
      <c r="C2912" s="416"/>
      <c r="D2912" s="198" t="s">
        <v>21896</v>
      </c>
      <c r="E2912" s="198">
        <v>6</v>
      </c>
      <c r="F2912" s="199" t="s">
        <v>21897</v>
      </c>
      <c r="G2912" s="1" t="s">
        <v>21898</v>
      </c>
      <c r="H2912" s="200"/>
      <c r="I2912" s="346"/>
      <c r="J2912" s="39">
        <v>118226</v>
      </c>
      <c r="K2912" s="36" t="str">
        <f>CONCATENATE(Cover!$D$6,"fdd/view?i=",J2912)</f>
        <v>https://www.dgiwg.org/FAD/fdd/view?i=118226</v>
      </c>
      <c r="L2912" s="36" t="s">
        <v>28116</v>
      </c>
      <c r="M2912" s="186"/>
      <c r="N2912" s="186"/>
      <c r="O2912" s="172"/>
    </row>
    <row r="2913" spans="1:15" ht="38.25" x14ac:dyDescent="0.2">
      <c r="A2913" s="197" t="str">
        <f t="shared" si="45"/>
        <v>DibCode_hedgehog</v>
      </c>
      <c r="B2913" s="409"/>
      <c r="C2913" s="416"/>
      <c r="D2913" s="198" t="s">
        <v>28117</v>
      </c>
      <c r="E2913" s="198">
        <v>7</v>
      </c>
      <c r="F2913" s="199" t="s">
        <v>28118</v>
      </c>
      <c r="G2913" s="1" t="s">
        <v>28119</v>
      </c>
      <c r="H2913" s="200"/>
      <c r="I2913" s="346"/>
      <c r="J2913" s="39">
        <v>118227</v>
      </c>
      <c r="K2913" s="36" t="str">
        <f>CONCATENATE(Cover!$D$6,"fdd/view?i=",J2913)</f>
        <v>https://www.dgiwg.org/FAD/fdd/view?i=118227</v>
      </c>
      <c r="L2913" s="36" t="s">
        <v>28120</v>
      </c>
      <c r="M2913" s="186"/>
      <c r="N2913" s="186"/>
      <c r="O2913" s="172"/>
    </row>
    <row r="2914" spans="1:15" ht="25.5" x14ac:dyDescent="0.2">
      <c r="A2914" s="197" t="str">
        <f t="shared" si="45"/>
        <v>DibCode_herbivoreLivestock</v>
      </c>
      <c r="B2914" s="409"/>
      <c r="C2914" s="416"/>
      <c r="D2914" s="198" t="s">
        <v>28121</v>
      </c>
      <c r="E2914" s="198">
        <v>8</v>
      </c>
      <c r="F2914" s="199" t="s">
        <v>28122</v>
      </c>
      <c r="G2914" s="1" t="s">
        <v>28123</v>
      </c>
      <c r="H2914" s="200"/>
      <c r="I2914" s="346"/>
      <c r="J2914" s="39">
        <v>118228</v>
      </c>
      <c r="K2914" s="36" t="str">
        <f>CONCATENATE(Cover!$D$6,"fdd/view?i=",J2914)</f>
        <v>https://www.dgiwg.org/FAD/fdd/view?i=118228</v>
      </c>
      <c r="L2914" s="36" t="s">
        <v>28124</v>
      </c>
      <c r="M2914" s="186"/>
      <c r="N2914" s="186"/>
      <c r="O2914" s="172"/>
    </row>
    <row r="2915" spans="1:15" ht="38.25" x14ac:dyDescent="0.2">
      <c r="A2915" s="197" t="str">
        <f t="shared" si="45"/>
        <v>DibCode_horse</v>
      </c>
      <c r="B2915" s="409"/>
      <c r="C2915" s="416"/>
      <c r="D2915" s="198" t="s">
        <v>21904</v>
      </c>
      <c r="E2915" s="198">
        <v>9</v>
      </c>
      <c r="F2915" s="199" t="s">
        <v>21905</v>
      </c>
      <c r="G2915" s="1" t="s">
        <v>21906</v>
      </c>
      <c r="H2915" s="200"/>
      <c r="I2915" s="346"/>
      <c r="J2915" s="39">
        <v>118229</v>
      </c>
      <c r="K2915" s="36" t="str">
        <f>CONCATENATE(Cover!$D$6,"fdd/view?i=",J2915)</f>
        <v>https://www.dgiwg.org/FAD/fdd/view?i=118229</v>
      </c>
      <c r="L2915" s="36" t="s">
        <v>28125</v>
      </c>
      <c r="M2915" s="186"/>
      <c r="N2915" s="186"/>
      <c r="O2915" s="172"/>
    </row>
    <row r="2916" spans="1:15" ht="25.5" x14ac:dyDescent="0.2">
      <c r="A2916" s="197" t="str">
        <f t="shared" si="45"/>
        <v>DibCode_human</v>
      </c>
      <c r="B2916" s="409"/>
      <c r="C2916" s="416"/>
      <c r="D2916" s="198" t="s">
        <v>28126</v>
      </c>
      <c r="E2916" s="198">
        <v>10</v>
      </c>
      <c r="F2916" s="199" t="s">
        <v>28127</v>
      </c>
      <c r="G2916" s="1" t="s">
        <v>28128</v>
      </c>
      <c r="H2916" s="200"/>
      <c r="I2916" s="346"/>
      <c r="J2916" s="39">
        <v>118230</v>
      </c>
      <c r="K2916" s="36" t="str">
        <f>CONCATENATE(Cover!$D$6,"fdd/view?i=",J2916)</f>
        <v>https://www.dgiwg.org/FAD/fdd/view?i=118230</v>
      </c>
      <c r="L2916" s="36" t="s">
        <v>28129</v>
      </c>
      <c r="M2916" s="186"/>
      <c r="N2916" s="186"/>
      <c r="O2916" s="172"/>
    </row>
    <row r="2917" spans="1:15" ht="63.75" x14ac:dyDescent="0.2">
      <c r="A2917" s="197" t="str">
        <f t="shared" si="45"/>
        <v>DibCode_monkey</v>
      </c>
      <c r="B2917" s="409"/>
      <c r="C2917" s="416"/>
      <c r="D2917" s="198" t="s">
        <v>28130</v>
      </c>
      <c r="E2917" s="198">
        <v>11</v>
      </c>
      <c r="F2917" s="199" t="s">
        <v>28131</v>
      </c>
      <c r="G2917" s="1" t="s">
        <v>28132</v>
      </c>
      <c r="H2917" s="200"/>
      <c r="I2917" s="346"/>
      <c r="J2917" s="39">
        <v>118231</v>
      </c>
      <c r="K2917" s="36" t="str">
        <f>CONCATENATE(Cover!$D$6,"fdd/view?i=",J2917)</f>
        <v>https://www.dgiwg.org/FAD/fdd/view?i=118231</v>
      </c>
      <c r="L2917" s="36" t="s">
        <v>28133</v>
      </c>
      <c r="M2917" s="186"/>
      <c r="N2917" s="186"/>
      <c r="O2917" s="172"/>
    </row>
    <row r="2918" spans="1:15" ht="76.5" x14ac:dyDescent="0.2">
      <c r="A2918" s="197" t="str">
        <f t="shared" si="45"/>
        <v>DibCode_opossum</v>
      </c>
      <c r="B2918" s="409"/>
      <c r="C2918" s="416"/>
      <c r="D2918" s="198" t="s">
        <v>28134</v>
      </c>
      <c r="E2918" s="198">
        <v>12</v>
      </c>
      <c r="F2918" s="199" t="s">
        <v>28135</v>
      </c>
      <c r="G2918" s="1" t="s">
        <v>28136</v>
      </c>
      <c r="H2918" s="200"/>
      <c r="I2918" s="346"/>
      <c r="J2918" s="39">
        <v>118232</v>
      </c>
      <c r="K2918" s="36" t="str">
        <f>CONCATENATE(Cover!$D$6,"fdd/view?i=",J2918)</f>
        <v>https://www.dgiwg.org/FAD/fdd/view?i=118232</v>
      </c>
      <c r="L2918" s="36" t="s">
        <v>28137</v>
      </c>
      <c r="M2918" s="186"/>
      <c r="N2918" s="186"/>
      <c r="O2918" s="172"/>
    </row>
    <row r="2919" spans="1:15" x14ac:dyDescent="0.2">
      <c r="A2919" s="197" t="str">
        <f t="shared" si="45"/>
        <v>DibCode_pig</v>
      </c>
      <c r="B2919" s="409"/>
      <c r="C2919" s="416"/>
      <c r="D2919" s="198" t="s">
        <v>21917</v>
      </c>
      <c r="E2919" s="198">
        <v>13</v>
      </c>
      <c r="F2919" s="199" t="s">
        <v>21918</v>
      </c>
      <c r="G2919" s="1" t="s">
        <v>21919</v>
      </c>
      <c r="H2919" s="200"/>
      <c r="I2919" s="346"/>
      <c r="J2919" s="39">
        <v>118233</v>
      </c>
      <c r="K2919" s="36" t="str">
        <f>CONCATENATE(Cover!$D$6,"fdd/view?i=",J2919)</f>
        <v>https://www.dgiwg.org/FAD/fdd/view?i=118233</v>
      </c>
      <c r="L2919" s="36" t="s">
        <v>28138</v>
      </c>
      <c r="M2919" s="186"/>
      <c r="N2919" s="186"/>
      <c r="O2919" s="172"/>
    </row>
    <row r="2920" spans="1:15" ht="25.5" x14ac:dyDescent="0.2">
      <c r="A2920" s="197" t="str">
        <f t="shared" si="45"/>
        <v>DibCode_poultry</v>
      </c>
      <c r="B2920" s="409"/>
      <c r="C2920" s="416"/>
      <c r="D2920" s="198" t="s">
        <v>21921</v>
      </c>
      <c r="E2920" s="198">
        <v>14</v>
      </c>
      <c r="F2920" s="199" t="s">
        <v>21922</v>
      </c>
      <c r="G2920" s="1" t="s">
        <v>21923</v>
      </c>
      <c r="H2920" s="200"/>
      <c r="I2920" s="346"/>
      <c r="J2920" s="39">
        <v>118234</v>
      </c>
      <c r="K2920" s="36" t="str">
        <f>CONCATENATE(Cover!$D$6,"fdd/view?i=",J2920)</f>
        <v>https://www.dgiwg.org/FAD/fdd/view?i=118234</v>
      </c>
      <c r="L2920" s="36" t="s">
        <v>28139</v>
      </c>
      <c r="M2920" s="186"/>
      <c r="N2920" s="186"/>
      <c r="O2920" s="172"/>
    </row>
    <row r="2921" spans="1:15" ht="38.25" x14ac:dyDescent="0.2">
      <c r="A2921" s="197" t="str">
        <f t="shared" si="45"/>
        <v>DibCode_rabbit</v>
      </c>
      <c r="B2921" s="409"/>
      <c r="C2921" s="416"/>
      <c r="D2921" s="198" t="s">
        <v>28140</v>
      </c>
      <c r="E2921" s="198">
        <v>15</v>
      </c>
      <c r="F2921" s="199" t="s">
        <v>28141</v>
      </c>
      <c r="G2921" s="1" t="s">
        <v>28142</v>
      </c>
      <c r="H2921" s="200"/>
      <c r="I2921" s="346"/>
      <c r="J2921" s="39">
        <v>118235</v>
      </c>
      <c r="K2921" s="36" t="str">
        <f>CONCATENATE(Cover!$D$6,"fdd/view?i=",J2921)</f>
        <v>https://www.dgiwg.org/FAD/fdd/view?i=118235</v>
      </c>
      <c r="L2921" s="36" t="s">
        <v>28143</v>
      </c>
      <c r="M2921" s="186"/>
      <c r="N2921" s="186"/>
      <c r="O2921" s="172"/>
    </row>
    <row r="2922" spans="1:15" ht="38.25" x14ac:dyDescent="0.2">
      <c r="A2922" s="197" t="str">
        <f t="shared" si="45"/>
        <v>DibCode_rodent</v>
      </c>
      <c r="B2922" s="409"/>
      <c r="C2922" s="416"/>
      <c r="D2922" s="198" t="s">
        <v>28144</v>
      </c>
      <c r="E2922" s="198">
        <v>16</v>
      </c>
      <c r="F2922" s="199" t="s">
        <v>28145</v>
      </c>
      <c r="G2922" s="1" t="s">
        <v>28146</v>
      </c>
      <c r="H2922" s="200"/>
      <c r="I2922" s="346"/>
      <c r="J2922" s="39">
        <v>118236</v>
      </c>
      <c r="K2922" s="36" t="str">
        <f>CONCATENATE(Cover!$D$6,"fdd/view?i=",J2922)</f>
        <v>https://www.dgiwg.org/FAD/fdd/view?i=118236</v>
      </c>
      <c r="L2922" s="36" t="s">
        <v>28147</v>
      </c>
      <c r="M2922" s="186"/>
      <c r="N2922" s="186"/>
      <c r="O2922" s="172"/>
    </row>
    <row r="2923" spans="1:15" ht="25.5" x14ac:dyDescent="0.2">
      <c r="A2923" s="197" t="str">
        <f t="shared" si="45"/>
        <v>DibCode_sheep</v>
      </c>
      <c r="B2923" s="409"/>
      <c r="C2923" s="416"/>
      <c r="D2923" s="198" t="s">
        <v>21929</v>
      </c>
      <c r="E2923" s="198">
        <v>17</v>
      </c>
      <c r="F2923" s="199" t="s">
        <v>21930</v>
      </c>
      <c r="G2923" s="1" t="s">
        <v>21931</v>
      </c>
      <c r="H2923" s="200"/>
      <c r="I2923" s="346"/>
      <c r="J2923" s="39">
        <v>118237</v>
      </c>
      <c r="K2923" s="36" t="str">
        <f>CONCATENATE(Cover!$D$6,"fdd/view?i=",J2923)</f>
        <v>https://www.dgiwg.org/FAD/fdd/view?i=118237</v>
      </c>
      <c r="L2923" s="36" t="s">
        <v>28148</v>
      </c>
      <c r="M2923" s="186"/>
      <c r="N2923" s="186"/>
      <c r="O2923" s="172"/>
    </row>
    <row r="2924" spans="1:15" ht="38.25" x14ac:dyDescent="0.2">
      <c r="A2924" s="197" t="str">
        <f t="shared" si="45"/>
        <v>DibCode_soil</v>
      </c>
      <c r="B2924" s="409"/>
      <c r="C2924" s="416"/>
      <c r="D2924" s="198" t="s">
        <v>24205</v>
      </c>
      <c r="E2924" s="198">
        <v>18</v>
      </c>
      <c r="F2924" s="199" t="s">
        <v>24206</v>
      </c>
      <c r="G2924" s="1" t="s">
        <v>24207</v>
      </c>
      <c r="H2924" s="200"/>
      <c r="I2924" s="346"/>
      <c r="J2924" s="39">
        <v>118238</v>
      </c>
      <c r="K2924" s="36" t="str">
        <f>CONCATENATE(Cover!$D$6,"fdd/view?i=",J2924)</f>
        <v>https://www.dgiwg.org/FAD/fdd/view?i=118238</v>
      </c>
      <c r="L2924" s="36" t="s">
        <v>28149</v>
      </c>
      <c r="M2924" s="186"/>
      <c r="N2924" s="186"/>
      <c r="O2924" s="172"/>
    </row>
    <row r="2925" spans="1:15" ht="38.25" x14ac:dyDescent="0.2">
      <c r="A2925" s="203" t="str">
        <f t="shared" si="45"/>
        <v>DibCode_squirrel</v>
      </c>
      <c r="B2925" s="410"/>
      <c r="C2925" s="417"/>
      <c r="D2925" s="204" t="s">
        <v>28150</v>
      </c>
      <c r="E2925" s="204">
        <v>19</v>
      </c>
      <c r="F2925" s="205" t="s">
        <v>28151</v>
      </c>
      <c r="G2925" s="206" t="s">
        <v>28152</v>
      </c>
      <c r="H2925" s="207"/>
      <c r="I2925" s="347"/>
      <c r="J2925" s="39">
        <v>118239</v>
      </c>
      <c r="K2925" s="36" t="str">
        <f>CONCATENATE(Cover!$D$6,"fdd/view?i=",J2925)</f>
        <v>https://www.dgiwg.org/FAD/fdd/view?i=118239</v>
      </c>
      <c r="L2925" s="36" t="s">
        <v>28153</v>
      </c>
      <c r="M2925" s="186"/>
      <c r="N2925" s="186"/>
      <c r="O2925" s="172"/>
    </row>
    <row r="2926" spans="1:15" ht="38.25" x14ac:dyDescent="0.2">
      <c r="A2926" s="190" t="str">
        <f t="shared" si="45"/>
        <v>DicCode_bloodBodilyFluids</v>
      </c>
      <c r="B2926" s="414" t="str">
        <f>HYPERLINK("[#]Datatypes!A458:L458","DicCode")</f>
        <v>DicCode</v>
      </c>
      <c r="C2926" s="415" t="s">
        <v>15029</v>
      </c>
      <c r="D2926" s="221" t="s">
        <v>28154</v>
      </c>
      <c r="E2926" s="221">
        <v>7</v>
      </c>
      <c r="F2926" s="222" t="s">
        <v>28155</v>
      </c>
      <c r="G2926" s="223" t="s">
        <v>28156</v>
      </c>
      <c r="H2926" s="223" t="s">
        <v>28157</v>
      </c>
      <c r="I2926" s="345"/>
      <c r="J2926" s="39">
        <v>118246</v>
      </c>
      <c r="K2926" s="36" t="str">
        <f>CONCATENATE(Cover!$D$6,"fdd/view?i=",J2926)</f>
        <v>https://www.dgiwg.org/FAD/fdd/view?i=118246</v>
      </c>
      <c r="L2926" s="36" t="s">
        <v>28158</v>
      </c>
      <c r="M2926" s="186"/>
      <c r="N2926" s="186"/>
      <c r="O2926" s="172"/>
    </row>
    <row r="2927" spans="1:15" ht="25.5" x14ac:dyDescent="0.2">
      <c r="A2927" s="197" t="str">
        <f t="shared" si="45"/>
        <v>DicCode_contaminatedDustAirborne</v>
      </c>
      <c r="B2927" s="409"/>
      <c r="C2927" s="416"/>
      <c r="D2927" s="198" t="s">
        <v>28159</v>
      </c>
      <c r="E2927" s="198">
        <v>3</v>
      </c>
      <c r="F2927" s="199" t="s">
        <v>28160</v>
      </c>
      <c r="G2927" s="1" t="s">
        <v>28161</v>
      </c>
      <c r="H2927" s="1" t="s">
        <v>28162</v>
      </c>
      <c r="I2927" s="346"/>
      <c r="J2927" s="39">
        <v>118242</v>
      </c>
      <c r="K2927" s="36" t="str">
        <f>CONCATENATE(Cover!$D$6,"fdd/view?i=",J2927)</f>
        <v>https://www.dgiwg.org/FAD/fdd/view?i=118242</v>
      </c>
      <c r="L2927" s="36" t="s">
        <v>28163</v>
      </c>
      <c r="M2927" s="186"/>
      <c r="N2927" s="186"/>
      <c r="O2927" s="172"/>
    </row>
    <row r="2928" spans="1:15" ht="38.25" x14ac:dyDescent="0.2">
      <c r="A2928" s="197" t="str">
        <f t="shared" si="45"/>
        <v>DicCode_crawlingInsectsTicks</v>
      </c>
      <c r="B2928" s="409"/>
      <c r="C2928" s="416"/>
      <c r="D2928" s="198" t="s">
        <v>28164</v>
      </c>
      <c r="E2928" s="198">
        <v>2</v>
      </c>
      <c r="F2928" s="199" t="s">
        <v>28165</v>
      </c>
      <c r="G2928" s="1" t="s">
        <v>28166</v>
      </c>
      <c r="H2928" s="1" t="s">
        <v>28167</v>
      </c>
      <c r="I2928" s="346"/>
      <c r="J2928" s="39">
        <v>118241</v>
      </c>
      <c r="K2928" s="36" t="str">
        <f>CONCATENATE(Cover!$D$6,"fdd/view?i=",J2928)</f>
        <v>https://www.dgiwg.org/FAD/fdd/view?i=118241</v>
      </c>
      <c r="L2928" s="36" t="s">
        <v>28168</v>
      </c>
      <c r="M2928" s="186"/>
      <c r="N2928" s="186"/>
      <c r="O2928" s="172"/>
    </row>
    <row r="2929" spans="1:15" ht="51" x14ac:dyDescent="0.2">
      <c r="A2929" s="197" t="str">
        <f t="shared" si="45"/>
        <v>DicCode_flyingInsects</v>
      </c>
      <c r="B2929" s="409"/>
      <c r="C2929" s="416"/>
      <c r="D2929" s="198" t="s">
        <v>28169</v>
      </c>
      <c r="E2929" s="198">
        <v>1</v>
      </c>
      <c r="F2929" s="199" t="s">
        <v>28170</v>
      </c>
      <c r="G2929" s="1" t="s">
        <v>28171</v>
      </c>
      <c r="H2929" s="1" t="s">
        <v>28172</v>
      </c>
      <c r="I2929" s="346"/>
      <c r="J2929" s="39">
        <v>118240</v>
      </c>
      <c r="K2929" s="36" t="str">
        <f>CONCATENATE(Cover!$D$6,"fdd/view?i=",J2929)</f>
        <v>https://www.dgiwg.org/FAD/fdd/view?i=118240</v>
      </c>
      <c r="L2929" s="36" t="s">
        <v>28173</v>
      </c>
      <c r="M2929" s="186"/>
      <c r="N2929" s="186"/>
      <c r="O2929" s="172"/>
    </row>
    <row r="2930" spans="1:15" ht="63.75" x14ac:dyDescent="0.2">
      <c r="A2930" s="197" t="str">
        <f t="shared" si="45"/>
        <v>DicCode_mammals</v>
      </c>
      <c r="B2930" s="409"/>
      <c r="C2930" s="416"/>
      <c r="D2930" s="198" t="s">
        <v>28174</v>
      </c>
      <c r="E2930" s="198">
        <v>5</v>
      </c>
      <c r="F2930" s="199" t="s">
        <v>28175</v>
      </c>
      <c r="G2930" s="1" t="s">
        <v>28176</v>
      </c>
      <c r="H2930" s="1" t="s">
        <v>28177</v>
      </c>
      <c r="I2930" s="346"/>
      <c r="J2930" s="39">
        <v>118244</v>
      </c>
      <c r="K2930" s="36" t="str">
        <f>CONCATENATE(Cover!$D$6,"fdd/view?i=",J2930)</f>
        <v>https://www.dgiwg.org/FAD/fdd/view?i=118244</v>
      </c>
      <c r="L2930" s="36" t="s">
        <v>28178</v>
      </c>
      <c r="M2930" s="186"/>
      <c r="N2930" s="186"/>
      <c r="O2930" s="172"/>
    </row>
    <row r="2931" spans="1:15" ht="38.25" x14ac:dyDescent="0.2">
      <c r="A2931" s="197" t="str">
        <f t="shared" si="45"/>
        <v>DicCode_manAerosol</v>
      </c>
      <c r="B2931" s="409"/>
      <c r="C2931" s="416"/>
      <c r="D2931" s="198" t="s">
        <v>28179</v>
      </c>
      <c r="E2931" s="198">
        <v>8</v>
      </c>
      <c r="F2931" s="199" t="s">
        <v>28180</v>
      </c>
      <c r="G2931" s="1" t="s">
        <v>28181</v>
      </c>
      <c r="H2931" s="1" t="s">
        <v>28182</v>
      </c>
      <c r="I2931" s="346"/>
      <c r="J2931" s="39">
        <v>118247</v>
      </c>
      <c r="K2931" s="36" t="str">
        <f>CONCATENATE(Cover!$D$6,"fdd/view?i=",J2931)</f>
        <v>https://www.dgiwg.org/FAD/fdd/view?i=118247</v>
      </c>
      <c r="L2931" s="36" t="s">
        <v>28183</v>
      </c>
      <c r="M2931" s="186"/>
      <c r="N2931" s="186"/>
      <c r="O2931" s="172"/>
    </row>
    <row r="2932" spans="1:15" ht="38.25" x14ac:dyDescent="0.2">
      <c r="A2932" s="197" t="str">
        <f t="shared" si="45"/>
        <v>DicCode_rodents</v>
      </c>
      <c r="B2932" s="409"/>
      <c r="C2932" s="416"/>
      <c r="D2932" s="198" t="s">
        <v>28184</v>
      </c>
      <c r="E2932" s="198">
        <v>4</v>
      </c>
      <c r="F2932" s="199" t="s">
        <v>28185</v>
      </c>
      <c r="G2932" s="1" t="s">
        <v>28146</v>
      </c>
      <c r="H2932" s="1" t="s">
        <v>28186</v>
      </c>
      <c r="I2932" s="346"/>
      <c r="J2932" s="39">
        <v>118243</v>
      </c>
      <c r="K2932" s="36" t="str">
        <f>CONCATENATE(Cover!$D$6,"fdd/view?i=",J2932)</f>
        <v>https://www.dgiwg.org/FAD/fdd/view?i=118243</v>
      </c>
      <c r="L2932" s="36" t="s">
        <v>28187</v>
      </c>
      <c r="M2932" s="186"/>
      <c r="N2932" s="186"/>
      <c r="O2932" s="172"/>
    </row>
    <row r="2933" spans="1:15" ht="51" x14ac:dyDescent="0.2">
      <c r="A2933" s="203" t="str">
        <f t="shared" si="45"/>
        <v>DicCode_waterFood</v>
      </c>
      <c r="B2933" s="410"/>
      <c r="C2933" s="417"/>
      <c r="D2933" s="204" t="s">
        <v>28188</v>
      </c>
      <c r="E2933" s="204">
        <v>6</v>
      </c>
      <c r="F2933" s="205" t="s">
        <v>28189</v>
      </c>
      <c r="G2933" s="206" t="s">
        <v>28190</v>
      </c>
      <c r="H2933" s="206" t="s">
        <v>28191</v>
      </c>
      <c r="I2933" s="347"/>
      <c r="J2933" s="39">
        <v>118245</v>
      </c>
      <c r="K2933" s="36" t="str">
        <f>CONCATENATE(Cover!$D$6,"fdd/view?i=",J2933)</f>
        <v>https://www.dgiwg.org/FAD/fdd/view?i=118245</v>
      </c>
      <c r="L2933" s="36" t="s">
        <v>28192</v>
      </c>
      <c r="M2933" s="186"/>
      <c r="N2933" s="186"/>
      <c r="O2933" s="172"/>
    </row>
    <row r="2934" spans="1:15" ht="25.5" x14ac:dyDescent="0.2">
      <c r="A2934" s="190" t="str">
        <f t="shared" si="45"/>
        <v>DtcCode_chan001X</v>
      </c>
      <c r="B2934" s="414" t="str">
        <f>HYPERLINK("[#]Datatypes!A460:L460","DtcCode")</f>
        <v>DtcCode</v>
      </c>
      <c r="C2934" s="415" t="s">
        <v>15031</v>
      </c>
      <c r="D2934" s="221" t="s">
        <v>17204</v>
      </c>
      <c r="E2934" s="221">
        <v>1</v>
      </c>
      <c r="F2934" s="222" t="s">
        <v>17205</v>
      </c>
      <c r="G2934" s="223" t="s">
        <v>28389</v>
      </c>
      <c r="H2934" s="223" t="s">
        <v>16716</v>
      </c>
      <c r="I2934" s="345"/>
      <c r="J2934" s="39">
        <v>114767</v>
      </c>
      <c r="K2934" s="36" t="str">
        <f>CONCATENATE(Cover!$D$6,"fdd/view?i=",J2934)</f>
        <v>https://www.dgiwg.org/FAD/fdd/view?i=114767</v>
      </c>
      <c r="L2934" s="36" t="s">
        <v>28390</v>
      </c>
      <c r="M2934" s="186"/>
      <c r="N2934" s="186"/>
      <c r="O2934" s="13" t="s">
        <v>17203</v>
      </c>
    </row>
    <row r="2935" spans="1:15" ht="25.5" x14ac:dyDescent="0.2">
      <c r="A2935" s="197" t="str">
        <f t="shared" si="45"/>
        <v>DtcCode_chan001Y</v>
      </c>
      <c r="B2935" s="409"/>
      <c r="C2935" s="416"/>
      <c r="D2935" s="198" t="s">
        <v>17209</v>
      </c>
      <c r="E2935" s="198">
        <v>2</v>
      </c>
      <c r="F2935" s="199" t="s">
        <v>17210</v>
      </c>
      <c r="G2935" s="1" t="s">
        <v>28391</v>
      </c>
      <c r="H2935" s="1" t="s">
        <v>16716</v>
      </c>
      <c r="I2935" s="346"/>
      <c r="J2935" s="39">
        <v>114768</v>
      </c>
      <c r="K2935" s="36" t="str">
        <f>CONCATENATE(Cover!$D$6,"fdd/view?i=",J2935)</f>
        <v>https://www.dgiwg.org/FAD/fdd/view?i=114768</v>
      </c>
      <c r="L2935" s="36" t="s">
        <v>28392</v>
      </c>
      <c r="M2935" s="186"/>
      <c r="N2935" s="186"/>
      <c r="O2935" s="13" t="s">
        <v>17208</v>
      </c>
    </row>
    <row r="2936" spans="1:15" ht="25.5" x14ac:dyDescent="0.2">
      <c r="A2936" s="197" t="str">
        <f t="shared" si="45"/>
        <v>DtcCode_chan002X</v>
      </c>
      <c r="B2936" s="409"/>
      <c r="C2936" s="416"/>
      <c r="D2936" s="198" t="s">
        <v>17389</v>
      </c>
      <c r="E2936" s="198">
        <v>3</v>
      </c>
      <c r="F2936" s="199" t="s">
        <v>17390</v>
      </c>
      <c r="G2936" s="1" t="s">
        <v>28463</v>
      </c>
      <c r="H2936" s="1" t="s">
        <v>16716</v>
      </c>
      <c r="I2936" s="346"/>
      <c r="J2936" s="39">
        <v>114769</v>
      </c>
      <c r="K2936" s="36" t="str">
        <f>CONCATENATE(Cover!$D$6,"fdd/view?i=",J2936)</f>
        <v>https://www.dgiwg.org/FAD/fdd/view?i=114769</v>
      </c>
      <c r="L2936" s="36" t="s">
        <v>28464</v>
      </c>
      <c r="M2936" s="186"/>
      <c r="N2936" s="186"/>
      <c r="O2936" s="13" t="s">
        <v>17388</v>
      </c>
    </row>
    <row r="2937" spans="1:15" ht="25.5" x14ac:dyDescent="0.2">
      <c r="A2937" s="197" t="str">
        <f t="shared" si="45"/>
        <v>DtcCode_chan002Y</v>
      </c>
      <c r="B2937" s="409"/>
      <c r="C2937" s="416"/>
      <c r="D2937" s="198" t="s">
        <v>17394</v>
      </c>
      <c r="E2937" s="198">
        <v>4</v>
      </c>
      <c r="F2937" s="199" t="s">
        <v>17395</v>
      </c>
      <c r="G2937" s="1" t="s">
        <v>28465</v>
      </c>
      <c r="H2937" s="1" t="s">
        <v>16716</v>
      </c>
      <c r="I2937" s="346"/>
      <c r="J2937" s="39">
        <v>114770</v>
      </c>
      <c r="K2937" s="36" t="str">
        <f>CONCATENATE(Cover!$D$6,"fdd/view?i=",J2937)</f>
        <v>https://www.dgiwg.org/FAD/fdd/view?i=114770</v>
      </c>
      <c r="L2937" s="36" t="s">
        <v>28466</v>
      </c>
      <c r="M2937" s="186"/>
      <c r="N2937" s="186"/>
      <c r="O2937" s="13" t="s">
        <v>17393</v>
      </c>
    </row>
    <row r="2938" spans="1:15" ht="25.5" x14ac:dyDescent="0.2">
      <c r="A2938" s="197" t="str">
        <f t="shared" si="45"/>
        <v>DtcCode_chan003X</v>
      </c>
      <c r="B2938" s="409"/>
      <c r="C2938" s="416"/>
      <c r="D2938" s="198" t="s">
        <v>17574</v>
      </c>
      <c r="E2938" s="198">
        <v>5</v>
      </c>
      <c r="F2938" s="199" t="s">
        <v>17575</v>
      </c>
      <c r="G2938" s="1" t="s">
        <v>28537</v>
      </c>
      <c r="H2938" s="1" t="s">
        <v>16716</v>
      </c>
      <c r="I2938" s="346"/>
      <c r="J2938" s="39">
        <v>114771</v>
      </c>
      <c r="K2938" s="36" t="str">
        <f>CONCATENATE(Cover!$D$6,"fdd/view?i=",J2938)</f>
        <v>https://www.dgiwg.org/FAD/fdd/view?i=114771</v>
      </c>
      <c r="L2938" s="36" t="s">
        <v>28538</v>
      </c>
      <c r="M2938" s="186"/>
      <c r="N2938" s="186"/>
      <c r="O2938" s="13" t="s">
        <v>17573</v>
      </c>
    </row>
    <row r="2939" spans="1:15" ht="25.5" x14ac:dyDescent="0.2">
      <c r="A2939" s="197" t="str">
        <f t="shared" si="45"/>
        <v>DtcCode_chan003Y</v>
      </c>
      <c r="B2939" s="409"/>
      <c r="C2939" s="416"/>
      <c r="D2939" s="198" t="s">
        <v>17579</v>
      </c>
      <c r="E2939" s="198">
        <v>6</v>
      </c>
      <c r="F2939" s="199" t="s">
        <v>17580</v>
      </c>
      <c r="G2939" s="1" t="s">
        <v>28539</v>
      </c>
      <c r="H2939" s="1" t="s">
        <v>16716</v>
      </c>
      <c r="I2939" s="346"/>
      <c r="J2939" s="39">
        <v>114772</v>
      </c>
      <c r="K2939" s="36" t="str">
        <f>CONCATENATE(Cover!$D$6,"fdd/view?i=",J2939)</f>
        <v>https://www.dgiwg.org/FAD/fdd/view?i=114772</v>
      </c>
      <c r="L2939" s="36" t="s">
        <v>28540</v>
      </c>
      <c r="M2939" s="186"/>
      <c r="N2939" s="186"/>
      <c r="O2939" s="13" t="s">
        <v>17578</v>
      </c>
    </row>
    <row r="2940" spans="1:15" ht="25.5" x14ac:dyDescent="0.2">
      <c r="A2940" s="197" t="str">
        <f t="shared" si="45"/>
        <v>DtcCode_chan004X</v>
      </c>
      <c r="B2940" s="409"/>
      <c r="C2940" s="416"/>
      <c r="D2940" s="198" t="s">
        <v>17759</v>
      </c>
      <c r="E2940" s="198">
        <v>7</v>
      </c>
      <c r="F2940" s="199" t="s">
        <v>17760</v>
      </c>
      <c r="G2940" s="1" t="s">
        <v>28611</v>
      </c>
      <c r="H2940" s="1" t="s">
        <v>16716</v>
      </c>
      <c r="I2940" s="346"/>
      <c r="J2940" s="39">
        <v>114773</v>
      </c>
      <c r="K2940" s="36" t="str">
        <f>CONCATENATE(Cover!$D$6,"fdd/view?i=",J2940)</f>
        <v>https://www.dgiwg.org/FAD/fdd/view?i=114773</v>
      </c>
      <c r="L2940" s="36" t="s">
        <v>28612</v>
      </c>
      <c r="M2940" s="186"/>
      <c r="N2940" s="186"/>
      <c r="O2940" s="13" t="s">
        <v>17758</v>
      </c>
    </row>
    <row r="2941" spans="1:15" ht="25.5" x14ac:dyDescent="0.2">
      <c r="A2941" s="197" t="str">
        <f t="shared" si="45"/>
        <v>DtcCode_chan004Y</v>
      </c>
      <c r="B2941" s="409"/>
      <c r="C2941" s="416"/>
      <c r="D2941" s="198" t="s">
        <v>17764</v>
      </c>
      <c r="E2941" s="198">
        <v>8</v>
      </c>
      <c r="F2941" s="199" t="s">
        <v>17765</v>
      </c>
      <c r="G2941" s="1" t="s">
        <v>28613</v>
      </c>
      <c r="H2941" s="1" t="s">
        <v>16716</v>
      </c>
      <c r="I2941" s="346"/>
      <c r="J2941" s="39">
        <v>114774</v>
      </c>
      <c r="K2941" s="36" t="str">
        <f>CONCATENATE(Cover!$D$6,"fdd/view?i=",J2941)</f>
        <v>https://www.dgiwg.org/FAD/fdd/view?i=114774</v>
      </c>
      <c r="L2941" s="36" t="s">
        <v>28614</v>
      </c>
      <c r="M2941" s="186"/>
      <c r="N2941" s="186"/>
      <c r="O2941" s="13" t="s">
        <v>17763</v>
      </c>
    </row>
    <row r="2942" spans="1:15" ht="25.5" x14ac:dyDescent="0.2">
      <c r="A2942" s="197" t="str">
        <f t="shared" si="45"/>
        <v>DtcCode_chan005X</v>
      </c>
      <c r="B2942" s="409"/>
      <c r="C2942" s="416"/>
      <c r="D2942" s="198" t="s">
        <v>17924</v>
      </c>
      <c r="E2942" s="198">
        <v>9</v>
      </c>
      <c r="F2942" s="199" t="s">
        <v>17925</v>
      </c>
      <c r="G2942" s="1" t="s">
        <v>28677</v>
      </c>
      <c r="H2942" s="1" t="s">
        <v>16716</v>
      </c>
      <c r="I2942" s="346"/>
      <c r="J2942" s="39">
        <v>114775</v>
      </c>
      <c r="K2942" s="36" t="str">
        <f>CONCATENATE(Cover!$D$6,"fdd/view?i=",J2942)</f>
        <v>https://www.dgiwg.org/FAD/fdd/view?i=114775</v>
      </c>
      <c r="L2942" s="36" t="s">
        <v>28678</v>
      </c>
      <c r="M2942" s="186"/>
      <c r="N2942" s="186"/>
      <c r="O2942" s="13" t="s">
        <v>17923</v>
      </c>
    </row>
    <row r="2943" spans="1:15" ht="25.5" x14ac:dyDescent="0.2">
      <c r="A2943" s="197" t="str">
        <f t="shared" si="45"/>
        <v>DtcCode_chan005Y</v>
      </c>
      <c r="B2943" s="409"/>
      <c r="C2943" s="416"/>
      <c r="D2943" s="198" t="s">
        <v>17929</v>
      </c>
      <c r="E2943" s="198">
        <v>10</v>
      </c>
      <c r="F2943" s="199" t="s">
        <v>17930</v>
      </c>
      <c r="G2943" s="1" t="s">
        <v>28679</v>
      </c>
      <c r="H2943" s="1" t="s">
        <v>16716</v>
      </c>
      <c r="I2943" s="346"/>
      <c r="J2943" s="39">
        <v>114776</v>
      </c>
      <c r="K2943" s="36" t="str">
        <f>CONCATENATE(Cover!$D$6,"fdd/view?i=",J2943)</f>
        <v>https://www.dgiwg.org/FAD/fdd/view?i=114776</v>
      </c>
      <c r="L2943" s="36" t="s">
        <v>28680</v>
      </c>
      <c r="M2943" s="186"/>
      <c r="N2943" s="186"/>
      <c r="O2943" s="13" t="s">
        <v>17928</v>
      </c>
    </row>
    <row r="2944" spans="1:15" ht="25.5" x14ac:dyDescent="0.2">
      <c r="A2944" s="197" t="str">
        <f t="shared" si="45"/>
        <v>DtcCode_chan006X</v>
      </c>
      <c r="B2944" s="409"/>
      <c r="C2944" s="416"/>
      <c r="D2944" s="198" t="s">
        <v>18034</v>
      </c>
      <c r="E2944" s="198">
        <v>11</v>
      </c>
      <c r="F2944" s="199" t="s">
        <v>18035</v>
      </c>
      <c r="G2944" s="1" t="s">
        <v>28721</v>
      </c>
      <c r="H2944" s="1" t="s">
        <v>16716</v>
      </c>
      <c r="I2944" s="346"/>
      <c r="J2944" s="39">
        <v>114777</v>
      </c>
      <c r="K2944" s="36" t="str">
        <f>CONCATENATE(Cover!$D$6,"fdd/view?i=",J2944)</f>
        <v>https://www.dgiwg.org/FAD/fdd/view?i=114777</v>
      </c>
      <c r="L2944" s="36" t="s">
        <v>28722</v>
      </c>
      <c r="M2944" s="186"/>
      <c r="N2944" s="186"/>
      <c r="O2944" s="13" t="s">
        <v>18033</v>
      </c>
    </row>
    <row r="2945" spans="1:15" ht="25.5" x14ac:dyDescent="0.2">
      <c r="A2945" s="197" t="str">
        <f t="shared" si="45"/>
        <v>DtcCode_chan006Y</v>
      </c>
      <c r="B2945" s="409"/>
      <c r="C2945" s="416"/>
      <c r="D2945" s="198" t="s">
        <v>18039</v>
      </c>
      <c r="E2945" s="198">
        <v>12</v>
      </c>
      <c r="F2945" s="199" t="s">
        <v>18040</v>
      </c>
      <c r="G2945" s="1" t="s">
        <v>28723</v>
      </c>
      <c r="H2945" s="1" t="s">
        <v>16716</v>
      </c>
      <c r="I2945" s="346"/>
      <c r="J2945" s="39">
        <v>114778</v>
      </c>
      <c r="K2945" s="36" t="str">
        <f>CONCATENATE(Cover!$D$6,"fdd/view?i=",J2945)</f>
        <v>https://www.dgiwg.org/FAD/fdd/view?i=114778</v>
      </c>
      <c r="L2945" s="36" t="s">
        <v>28724</v>
      </c>
      <c r="M2945" s="186"/>
      <c r="N2945" s="186"/>
      <c r="O2945" s="13" t="s">
        <v>18038</v>
      </c>
    </row>
    <row r="2946" spans="1:15" ht="25.5" x14ac:dyDescent="0.2">
      <c r="A2946" s="197" t="str">
        <f t="shared" ref="A2946:A3009" si="46">HYPERLINK(K2946,L2946)</f>
        <v>DtcCode_chan007X</v>
      </c>
      <c r="B2946" s="409"/>
      <c r="C2946" s="416"/>
      <c r="D2946" s="198" t="s">
        <v>18144</v>
      </c>
      <c r="E2946" s="198">
        <v>13</v>
      </c>
      <c r="F2946" s="199" t="s">
        <v>18145</v>
      </c>
      <c r="G2946" s="1" t="s">
        <v>28765</v>
      </c>
      <c r="H2946" s="1" t="s">
        <v>16716</v>
      </c>
      <c r="I2946" s="346"/>
      <c r="J2946" s="39">
        <v>114779</v>
      </c>
      <c r="K2946" s="36" t="str">
        <f>CONCATENATE(Cover!$D$6,"fdd/view?i=",J2946)</f>
        <v>https://www.dgiwg.org/FAD/fdd/view?i=114779</v>
      </c>
      <c r="L2946" s="36" t="s">
        <v>28766</v>
      </c>
      <c r="M2946" s="186"/>
      <c r="N2946" s="186"/>
      <c r="O2946" s="13" t="s">
        <v>18143</v>
      </c>
    </row>
    <row r="2947" spans="1:15" ht="25.5" x14ac:dyDescent="0.2">
      <c r="A2947" s="197" t="str">
        <f t="shared" si="46"/>
        <v>DtcCode_chan007Y</v>
      </c>
      <c r="B2947" s="409"/>
      <c r="C2947" s="416"/>
      <c r="D2947" s="198" t="s">
        <v>18149</v>
      </c>
      <c r="E2947" s="198">
        <v>14</v>
      </c>
      <c r="F2947" s="199" t="s">
        <v>18150</v>
      </c>
      <c r="G2947" s="1" t="s">
        <v>28767</v>
      </c>
      <c r="H2947" s="1" t="s">
        <v>16716</v>
      </c>
      <c r="I2947" s="346"/>
      <c r="J2947" s="39">
        <v>114780</v>
      </c>
      <c r="K2947" s="36" t="str">
        <f>CONCATENATE(Cover!$D$6,"fdd/view?i=",J2947)</f>
        <v>https://www.dgiwg.org/FAD/fdd/view?i=114780</v>
      </c>
      <c r="L2947" s="36" t="s">
        <v>28768</v>
      </c>
      <c r="M2947" s="186"/>
      <c r="N2947" s="186"/>
      <c r="O2947" s="13" t="s">
        <v>18148</v>
      </c>
    </row>
    <row r="2948" spans="1:15" ht="25.5" x14ac:dyDescent="0.2">
      <c r="A2948" s="197" t="str">
        <f t="shared" si="46"/>
        <v>DtcCode_chan008X</v>
      </c>
      <c r="B2948" s="409"/>
      <c r="C2948" s="416"/>
      <c r="D2948" s="198" t="s">
        <v>18304</v>
      </c>
      <c r="E2948" s="198">
        <v>15</v>
      </c>
      <c r="F2948" s="199" t="s">
        <v>18305</v>
      </c>
      <c r="G2948" s="1" t="s">
        <v>28829</v>
      </c>
      <c r="H2948" s="1" t="s">
        <v>16716</v>
      </c>
      <c r="I2948" s="346"/>
      <c r="J2948" s="39">
        <v>114781</v>
      </c>
      <c r="K2948" s="36" t="str">
        <f>CONCATENATE(Cover!$D$6,"fdd/view?i=",J2948)</f>
        <v>https://www.dgiwg.org/FAD/fdd/view?i=114781</v>
      </c>
      <c r="L2948" s="36" t="s">
        <v>28830</v>
      </c>
      <c r="M2948" s="186"/>
      <c r="N2948" s="186"/>
      <c r="O2948" s="13" t="s">
        <v>18303</v>
      </c>
    </row>
    <row r="2949" spans="1:15" ht="25.5" x14ac:dyDescent="0.2">
      <c r="A2949" s="197" t="str">
        <f t="shared" si="46"/>
        <v>DtcCode_chan008Y</v>
      </c>
      <c r="B2949" s="409"/>
      <c r="C2949" s="416"/>
      <c r="D2949" s="198" t="s">
        <v>18309</v>
      </c>
      <c r="E2949" s="198">
        <v>16</v>
      </c>
      <c r="F2949" s="199" t="s">
        <v>18310</v>
      </c>
      <c r="G2949" s="1" t="s">
        <v>28831</v>
      </c>
      <c r="H2949" s="1" t="s">
        <v>16716</v>
      </c>
      <c r="I2949" s="346"/>
      <c r="J2949" s="39">
        <v>114782</v>
      </c>
      <c r="K2949" s="36" t="str">
        <f>CONCATENATE(Cover!$D$6,"fdd/view?i=",J2949)</f>
        <v>https://www.dgiwg.org/FAD/fdd/view?i=114782</v>
      </c>
      <c r="L2949" s="36" t="s">
        <v>28832</v>
      </c>
      <c r="M2949" s="186"/>
      <c r="N2949" s="186"/>
      <c r="O2949" s="13" t="s">
        <v>18308</v>
      </c>
    </row>
    <row r="2950" spans="1:15" ht="25.5" x14ac:dyDescent="0.2">
      <c r="A2950" s="197" t="str">
        <f t="shared" si="46"/>
        <v>DtcCode_chan009X</v>
      </c>
      <c r="B2950" s="409"/>
      <c r="C2950" s="416"/>
      <c r="D2950" s="198" t="s">
        <v>18464</v>
      </c>
      <c r="E2950" s="198">
        <v>17</v>
      </c>
      <c r="F2950" s="199" t="s">
        <v>18465</v>
      </c>
      <c r="G2950" s="1" t="s">
        <v>28893</v>
      </c>
      <c r="H2950" s="1" t="s">
        <v>16716</v>
      </c>
      <c r="I2950" s="346"/>
      <c r="J2950" s="39">
        <v>114783</v>
      </c>
      <c r="K2950" s="36" t="str">
        <f>CONCATENATE(Cover!$D$6,"fdd/view?i=",J2950)</f>
        <v>https://www.dgiwg.org/FAD/fdd/view?i=114783</v>
      </c>
      <c r="L2950" s="36" t="s">
        <v>28894</v>
      </c>
      <c r="M2950" s="186"/>
      <c r="N2950" s="186"/>
      <c r="O2950" s="13" t="s">
        <v>18463</v>
      </c>
    </row>
    <row r="2951" spans="1:15" ht="25.5" x14ac:dyDescent="0.2">
      <c r="A2951" s="197" t="str">
        <f t="shared" si="46"/>
        <v>DtcCode_chan009Y</v>
      </c>
      <c r="B2951" s="409"/>
      <c r="C2951" s="416"/>
      <c r="D2951" s="198" t="s">
        <v>18469</v>
      </c>
      <c r="E2951" s="198">
        <v>18</v>
      </c>
      <c r="F2951" s="199" t="s">
        <v>18470</v>
      </c>
      <c r="G2951" s="1" t="s">
        <v>28895</v>
      </c>
      <c r="H2951" s="1" t="s">
        <v>16716</v>
      </c>
      <c r="I2951" s="346"/>
      <c r="J2951" s="39">
        <v>114784</v>
      </c>
      <c r="K2951" s="36" t="str">
        <f>CONCATENATE(Cover!$D$6,"fdd/view?i=",J2951)</f>
        <v>https://www.dgiwg.org/FAD/fdd/view?i=114784</v>
      </c>
      <c r="L2951" s="36" t="s">
        <v>28896</v>
      </c>
      <c r="M2951" s="186"/>
      <c r="N2951" s="186"/>
      <c r="O2951" s="13" t="s">
        <v>18468</v>
      </c>
    </row>
    <row r="2952" spans="1:15" ht="25.5" x14ac:dyDescent="0.2">
      <c r="A2952" s="197" t="str">
        <f t="shared" si="46"/>
        <v>DtcCode_chan010X</v>
      </c>
      <c r="B2952" s="409"/>
      <c r="C2952" s="416"/>
      <c r="D2952" s="198" t="s">
        <v>16864</v>
      </c>
      <c r="E2952" s="198">
        <v>19</v>
      </c>
      <c r="F2952" s="199" t="s">
        <v>16865</v>
      </c>
      <c r="G2952" s="1" t="s">
        <v>28253</v>
      </c>
      <c r="H2952" s="1" t="s">
        <v>16716</v>
      </c>
      <c r="I2952" s="346"/>
      <c r="J2952" s="39">
        <v>114785</v>
      </c>
      <c r="K2952" s="36" t="str">
        <f>CONCATENATE(Cover!$D$6,"fdd/view?i=",J2952)</f>
        <v>https://www.dgiwg.org/FAD/fdd/view?i=114785</v>
      </c>
      <c r="L2952" s="36" t="s">
        <v>28254</v>
      </c>
      <c r="M2952" s="186"/>
      <c r="N2952" s="186"/>
      <c r="O2952" s="13" t="s">
        <v>16863</v>
      </c>
    </row>
    <row r="2953" spans="1:15" ht="25.5" x14ac:dyDescent="0.2">
      <c r="A2953" s="197" t="str">
        <f t="shared" si="46"/>
        <v>DtcCode_chan010Y</v>
      </c>
      <c r="B2953" s="409"/>
      <c r="C2953" s="416"/>
      <c r="D2953" s="198" t="s">
        <v>16869</v>
      </c>
      <c r="E2953" s="198">
        <v>20</v>
      </c>
      <c r="F2953" s="199" t="s">
        <v>16870</v>
      </c>
      <c r="G2953" s="1" t="s">
        <v>28255</v>
      </c>
      <c r="H2953" s="1" t="s">
        <v>16716</v>
      </c>
      <c r="I2953" s="346"/>
      <c r="J2953" s="39">
        <v>114786</v>
      </c>
      <c r="K2953" s="36" t="str">
        <f>CONCATENATE(Cover!$D$6,"fdd/view?i=",J2953)</f>
        <v>https://www.dgiwg.org/FAD/fdd/view?i=114786</v>
      </c>
      <c r="L2953" s="36" t="s">
        <v>28256</v>
      </c>
      <c r="M2953" s="186"/>
      <c r="N2953" s="186"/>
      <c r="O2953" s="13" t="s">
        <v>16868</v>
      </c>
    </row>
    <row r="2954" spans="1:15" ht="25.5" x14ac:dyDescent="0.2">
      <c r="A2954" s="197" t="str">
        <f t="shared" si="46"/>
        <v>DtcCode_chan011X</v>
      </c>
      <c r="B2954" s="409"/>
      <c r="C2954" s="416"/>
      <c r="D2954" s="198" t="s">
        <v>17024</v>
      </c>
      <c r="E2954" s="198">
        <v>21</v>
      </c>
      <c r="F2954" s="199" t="s">
        <v>17025</v>
      </c>
      <c r="G2954" s="1" t="s">
        <v>28317</v>
      </c>
      <c r="H2954" s="1" t="s">
        <v>16716</v>
      </c>
      <c r="I2954" s="346"/>
      <c r="J2954" s="39">
        <v>114787</v>
      </c>
      <c r="K2954" s="36" t="str">
        <f>CONCATENATE(Cover!$D$6,"fdd/view?i=",J2954)</f>
        <v>https://www.dgiwg.org/FAD/fdd/view?i=114787</v>
      </c>
      <c r="L2954" s="36" t="s">
        <v>28318</v>
      </c>
      <c r="M2954" s="186"/>
      <c r="N2954" s="186"/>
      <c r="O2954" s="13" t="s">
        <v>17023</v>
      </c>
    </row>
    <row r="2955" spans="1:15" ht="25.5" x14ac:dyDescent="0.2">
      <c r="A2955" s="197" t="str">
        <f t="shared" si="46"/>
        <v>DtcCode_chan011Y</v>
      </c>
      <c r="B2955" s="409"/>
      <c r="C2955" s="416"/>
      <c r="D2955" s="198" t="s">
        <v>17029</v>
      </c>
      <c r="E2955" s="198">
        <v>22</v>
      </c>
      <c r="F2955" s="199" t="s">
        <v>17030</v>
      </c>
      <c r="G2955" s="1" t="s">
        <v>28319</v>
      </c>
      <c r="H2955" s="1" t="s">
        <v>16716</v>
      </c>
      <c r="I2955" s="346"/>
      <c r="J2955" s="39">
        <v>114788</v>
      </c>
      <c r="K2955" s="36" t="str">
        <f>CONCATENATE(Cover!$D$6,"fdd/view?i=",J2955)</f>
        <v>https://www.dgiwg.org/FAD/fdd/view?i=114788</v>
      </c>
      <c r="L2955" s="36" t="s">
        <v>28320</v>
      </c>
      <c r="M2955" s="186"/>
      <c r="N2955" s="186"/>
      <c r="O2955" s="13" t="s">
        <v>17028</v>
      </c>
    </row>
    <row r="2956" spans="1:15" ht="25.5" x14ac:dyDescent="0.2">
      <c r="A2956" s="197" t="str">
        <f t="shared" si="46"/>
        <v>DtcCode_chan012X</v>
      </c>
      <c r="B2956" s="409"/>
      <c r="C2956" s="416"/>
      <c r="D2956" s="198" t="s">
        <v>17104</v>
      </c>
      <c r="E2956" s="198">
        <v>23</v>
      </c>
      <c r="F2956" s="199" t="s">
        <v>17105</v>
      </c>
      <c r="G2956" s="1" t="s">
        <v>28349</v>
      </c>
      <c r="H2956" s="1" t="s">
        <v>16716</v>
      </c>
      <c r="I2956" s="346"/>
      <c r="J2956" s="39">
        <v>114789</v>
      </c>
      <c r="K2956" s="36" t="str">
        <f>CONCATENATE(Cover!$D$6,"fdd/view?i=",J2956)</f>
        <v>https://www.dgiwg.org/FAD/fdd/view?i=114789</v>
      </c>
      <c r="L2956" s="36" t="s">
        <v>28350</v>
      </c>
      <c r="M2956" s="186"/>
      <c r="N2956" s="186"/>
      <c r="O2956" s="13" t="s">
        <v>17103</v>
      </c>
    </row>
    <row r="2957" spans="1:15" ht="25.5" x14ac:dyDescent="0.2">
      <c r="A2957" s="197" t="str">
        <f t="shared" si="46"/>
        <v>DtcCode_chan012Y</v>
      </c>
      <c r="B2957" s="409"/>
      <c r="C2957" s="416"/>
      <c r="D2957" s="198" t="s">
        <v>17109</v>
      </c>
      <c r="E2957" s="198">
        <v>24</v>
      </c>
      <c r="F2957" s="199" t="s">
        <v>17110</v>
      </c>
      <c r="G2957" s="1" t="s">
        <v>28351</v>
      </c>
      <c r="H2957" s="1" t="s">
        <v>16716</v>
      </c>
      <c r="I2957" s="346"/>
      <c r="J2957" s="39">
        <v>114790</v>
      </c>
      <c r="K2957" s="36" t="str">
        <f>CONCATENATE(Cover!$D$6,"fdd/view?i=",J2957)</f>
        <v>https://www.dgiwg.org/FAD/fdd/view?i=114790</v>
      </c>
      <c r="L2957" s="36" t="s">
        <v>28352</v>
      </c>
      <c r="M2957" s="186"/>
      <c r="N2957" s="186"/>
      <c r="O2957" s="13" t="s">
        <v>17108</v>
      </c>
    </row>
    <row r="2958" spans="1:15" ht="25.5" x14ac:dyDescent="0.2">
      <c r="A2958" s="197" t="str">
        <f t="shared" si="46"/>
        <v>DtcCode_chan013X</v>
      </c>
      <c r="B2958" s="409"/>
      <c r="C2958" s="416"/>
      <c r="D2958" s="198" t="s">
        <v>17114</v>
      </c>
      <c r="E2958" s="198">
        <v>25</v>
      </c>
      <c r="F2958" s="199" t="s">
        <v>17115</v>
      </c>
      <c r="G2958" s="1" t="s">
        <v>28353</v>
      </c>
      <c r="H2958" s="1" t="s">
        <v>16716</v>
      </c>
      <c r="I2958" s="346"/>
      <c r="J2958" s="39">
        <v>114791</v>
      </c>
      <c r="K2958" s="36" t="str">
        <f>CONCATENATE(Cover!$D$6,"fdd/view?i=",J2958)</f>
        <v>https://www.dgiwg.org/FAD/fdd/view?i=114791</v>
      </c>
      <c r="L2958" s="36" t="s">
        <v>28354</v>
      </c>
      <c r="M2958" s="186"/>
      <c r="N2958" s="186"/>
      <c r="O2958" s="13" t="s">
        <v>17113</v>
      </c>
    </row>
    <row r="2959" spans="1:15" ht="25.5" x14ac:dyDescent="0.2">
      <c r="A2959" s="197" t="str">
        <f t="shared" si="46"/>
        <v>DtcCode_chan013Y</v>
      </c>
      <c r="B2959" s="409"/>
      <c r="C2959" s="416"/>
      <c r="D2959" s="198" t="s">
        <v>17119</v>
      </c>
      <c r="E2959" s="198">
        <v>26</v>
      </c>
      <c r="F2959" s="199" t="s">
        <v>17120</v>
      </c>
      <c r="G2959" s="1" t="s">
        <v>28355</v>
      </c>
      <c r="H2959" s="1" t="s">
        <v>16716</v>
      </c>
      <c r="I2959" s="346"/>
      <c r="J2959" s="39">
        <v>114792</v>
      </c>
      <c r="K2959" s="36" t="str">
        <f>CONCATENATE(Cover!$D$6,"fdd/view?i=",J2959)</f>
        <v>https://www.dgiwg.org/FAD/fdd/view?i=114792</v>
      </c>
      <c r="L2959" s="36" t="s">
        <v>28356</v>
      </c>
      <c r="M2959" s="186"/>
      <c r="N2959" s="186"/>
      <c r="O2959" s="13" t="s">
        <v>17118</v>
      </c>
    </row>
    <row r="2960" spans="1:15" ht="25.5" x14ac:dyDescent="0.2">
      <c r="A2960" s="197" t="str">
        <f t="shared" si="46"/>
        <v>DtcCode_chan014X</v>
      </c>
      <c r="B2960" s="409"/>
      <c r="C2960" s="416"/>
      <c r="D2960" s="198" t="s">
        <v>17124</v>
      </c>
      <c r="E2960" s="198">
        <v>27</v>
      </c>
      <c r="F2960" s="199" t="s">
        <v>17125</v>
      </c>
      <c r="G2960" s="1" t="s">
        <v>28357</v>
      </c>
      <c r="H2960" s="1" t="s">
        <v>16716</v>
      </c>
      <c r="I2960" s="346"/>
      <c r="J2960" s="39">
        <v>114793</v>
      </c>
      <c r="K2960" s="36" t="str">
        <f>CONCATENATE(Cover!$D$6,"fdd/view?i=",J2960)</f>
        <v>https://www.dgiwg.org/FAD/fdd/view?i=114793</v>
      </c>
      <c r="L2960" s="36" t="s">
        <v>28358</v>
      </c>
      <c r="M2960" s="186"/>
      <c r="N2960" s="186"/>
      <c r="O2960" s="13" t="s">
        <v>17123</v>
      </c>
    </row>
    <row r="2961" spans="1:15" ht="25.5" x14ac:dyDescent="0.2">
      <c r="A2961" s="197" t="str">
        <f t="shared" si="46"/>
        <v>DtcCode_chan014Y</v>
      </c>
      <c r="B2961" s="409"/>
      <c r="C2961" s="416"/>
      <c r="D2961" s="198" t="s">
        <v>17129</v>
      </c>
      <c r="E2961" s="198">
        <v>28</v>
      </c>
      <c r="F2961" s="199" t="s">
        <v>17130</v>
      </c>
      <c r="G2961" s="1" t="s">
        <v>28359</v>
      </c>
      <c r="H2961" s="1" t="s">
        <v>16716</v>
      </c>
      <c r="I2961" s="346"/>
      <c r="J2961" s="39">
        <v>114794</v>
      </c>
      <c r="K2961" s="36" t="str">
        <f>CONCATENATE(Cover!$D$6,"fdd/view?i=",J2961)</f>
        <v>https://www.dgiwg.org/FAD/fdd/view?i=114794</v>
      </c>
      <c r="L2961" s="36" t="s">
        <v>28360</v>
      </c>
      <c r="M2961" s="186"/>
      <c r="N2961" s="186"/>
      <c r="O2961" s="13" t="s">
        <v>17128</v>
      </c>
    </row>
    <row r="2962" spans="1:15" ht="25.5" x14ac:dyDescent="0.2">
      <c r="A2962" s="197" t="str">
        <f t="shared" si="46"/>
        <v>DtcCode_chan015X</v>
      </c>
      <c r="B2962" s="409"/>
      <c r="C2962" s="416"/>
      <c r="D2962" s="198" t="s">
        <v>17134</v>
      </c>
      <c r="E2962" s="198">
        <v>29</v>
      </c>
      <c r="F2962" s="199" t="s">
        <v>17135</v>
      </c>
      <c r="G2962" s="1" t="s">
        <v>28361</v>
      </c>
      <c r="H2962" s="1" t="s">
        <v>16716</v>
      </c>
      <c r="I2962" s="346"/>
      <c r="J2962" s="39">
        <v>114795</v>
      </c>
      <c r="K2962" s="36" t="str">
        <f>CONCATENATE(Cover!$D$6,"fdd/view?i=",J2962)</f>
        <v>https://www.dgiwg.org/FAD/fdd/view?i=114795</v>
      </c>
      <c r="L2962" s="36" t="s">
        <v>28362</v>
      </c>
      <c r="M2962" s="186"/>
      <c r="N2962" s="186"/>
      <c r="O2962" s="13" t="s">
        <v>17133</v>
      </c>
    </row>
    <row r="2963" spans="1:15" ht="25.5" x14ac:dyDescent="0.2">
      <c r="A2963" s="197" t="str">
        <f t="shared" si="46"/>
        <v>DtcCode_chan015Y</v>
      </c>
      <c r="B2963" s="409"/>
      <c r="C2963" s="416"/>
      <c r="D2963" s="198" t="s">
        <v>17139</v>
      </c>
      <c r="E2963" s="198">
        <v>30</v>
      </c>
      <c r="F2963" s="199" t="s">
        <v>17140</v>
      </c>
      <c r="G2963" s="1" t="s">
        <v>28363</v>
      </c>
      <c r="H2963" s="1" t="s">
        <v>16716</v>
      </c>
      <c r="I2963" s="346"/>
      <c r="J2963" s="39">
        <v>114796</v>
      </c>
      <c r="K2963" s="36" t="str">
        <f>CONCATENATE(Cover!$D$6,"fdd/view?i=",J2963)</f>
        <v>https://www.dgiwg.org/FAD/fdd/view?i=114796</v>
      </c>
      <c r="L2963" s="36" t="s">
        <v>28364</v>
      </c>
      <c r="M2963" s="186"/>
      <c r="N2963" s="186"/>
      <c r="O2963" s="13" t="s">
        <v>17138</v>
      </c>
    </row>
    <row r="2964" spans="1:15" ht="25.5" x14ac:dyDescent="0.2">
      <c r="A2964" s="197" t="str">
        <f t="shared" si="46"/>
        <v>DtcCode_chan016X</v>
      </c>
      <c r="B2964" s="409"/>
      <c r="C2964" s="416"/>
      <c r="D2964" s="198" t="s">
        <v>17144</v>
      </c>
      <c r="E2964" s="198">
        <v>31</v>
      </c>
      <c r="F2964" s="199" t="s">
        <v>17145</v>
      </c>
      <c r="G2964" s="1" t="s">
        <v>28365</v>
      </c>
      <c r="H2964" s="1" t="s">
        <v>16716</v>
      </c>
      <c r="I2964" s="346"/>
      <c r="J2964" s="39">
        <v>114797</v>
      </c>
      <c r="K2964" s="36" t="str">
        <f>CONCATENATE(Cover!$D$6,"fdd/view?i=",J2964)</f>
        <v>https://www.dgiwg.org/FAD/fdd/view?i=114797</v>
      </c>
      <c r="L2964" s="36" t="s">
        <v>28366</v>
      </c>
      <c r="M2964" s="186"/>
      <c r="N2964" s="186"/>
      <c r="O2964" s="13" t="s">
        <v>17143</v>
      </c>
    </row>
    <row r="2965" spans="1:15" ht="25.5" x14ac:dyDescent="0.2">
      <c r="A2965" s="197" t="str">
        <f t="shared" si="46"/>
        <v>DtcCode_chan016Y</v>
      </c>
      <c r="B2965" s="409"/>
      <c r="C2965" s="416"/>
      <c r="D2965" s="198" t="s">
        <v>17149</v>
      </c>
      <c r="E2965" s="198">
        <v>32</v>
      </c>
      <c r="F2965" s="199" t="s">
        <v>17150</v>
      </c>
      <c r="G2965" s="1" t="s">
        <v>28367</v>
      </c>
      <c r="H2965" s="1" t="s">
        <v>16716</v>
      </c>
      <c r="I2965" s="346"/>
      <c r="J2965" s="39">
        <v>114798</v>
      </c>
      <c r="K2965" s="36" t="str">
        <f>CONCATENATE(Cover!$D$6,"fdd/view?i=",J2965)</f>
        <v>https://www.dgiwg.org/FAD/fdd/view?i=114798</v>
      </c>
      <c r="L2965" s="36" t="s">
        <v>28368</v>
      </c>
      <c r="M2965" s="186"/>
      <c r="N2965" s="186"/>
      <c r="O2965" s="13" t="s">
        <v>17148</v>
      </c>
    </row>
    <row r="2966" spans="1:15" ht="25.5" x14ac:dyDescent="0.2">
      <c r="A2966" s="197" t="str">
        <f t="shared" si="46"/>
        <v>DtcCode_chan017X</v>
      </c>
      <c r="B2966" s="409"/>
      <c r="C2966" s="416"/>
      <c r="D2966" s="198" t="s">
        <v>17154</v>
      </c>
      <c r="E2966" s="198">
        <v>33</v>
      </c>
      <c r="F2966" s="199" t="s">
        <v>17155</v>
      </c>
      <c r="G2966" s="1" t="s">
        <v>28369</v>
      </c>
      <c r="H2966" s="1" t="s">
        <v>16716</v>
      </c>
      <c r="I2966" s="346"/>
      <c r="J2966" s="39">
        <v>114799</v>
      </c>
      <c r="K2966" s="36" t="str">
        <f>CONCATENATE(Cover!$D$6,"fdd/view?i=",J2966)</f>
        <v>https://www.dgiwg.org/FAD/fdd/view?i=114799</v>
      </c>
      <c r="L2966" s="36" t="s">
        <v>28370</v>
      </c>
      <c r="M2966" s="186"/>
      <c r="N2966" s="186"/>
      <c r="O2966" s="13" t="s">
        <v>17153</v>
      </c>
    </row>
    <row r="2967" spans="1:15" ht="25.5" x14ac:dyDescent="0.2">
      <c r="A2967" s="197" t="str">
        <f t="shared" si="46"/>
        <v>DtcCode_chan017Y</v>
      </c>
      <c r="B2967" s="409"/>
      <c r="C2967" s="416"/>
      <c r="D2967" s="198" t="s">
        <v>17159</v>
      </c>
      <c r="E2967" s="198">
        <v>34</v>
      </c>
      <c r="F2967" s="199" t="s">
        <v>17160</v>
      </c>
      <c r="G2967" s="1" t="s">
        <v>28371</v>
      </c>
      <c r="H2967" s="1" t="s">
        <v>16716</v>
      </c>
      <c r="I2967" s="346"/>
      <c r="J2967" s="39">
        <v>114800</v>
      </c>
      <c r="K2967" s="36" t="str">
        <f>CONCATENATE(Cover!$D$6,"fdd/view?i=",J2967)</f>
        <v>https://www.dgiwg.org/FAD/fdd/view?i=114800</v>
      </c>
      <c r="L2967" s="36" t="s">
        <v>28372</v>
      </c>
      <c r="M2967" s="186"/>
      <c r="N2967" s="186"/>
      <c r="O2967" s="13" t="s">
        <v>17158</v>
      </c>
    </row>
    <row r="2968" spans="1:15" ht="25.5" x14ac:dyDescent="0.2">
      <c r="A2968" s="197" t="str">
        <f t="shared" si="46"/>
        <v>DtcCode_chan017Z</v>
      </c>
      <c r="B2968" s="409"/>
      <c r="C2968" s="416"/>
      <c r="D2968" s="198" t="s">
        <v>17164</v>
      </c>
      <c r="E2968" s="198">
        <v>35</v>
      </c>
      <c r="F2968" s="199" t="s">
        <v>17165</v>
      </c>
      <c r="G2968" s="1" t="s">
        <v>28373</v>
      </c>
      <c r="H2968" s="1" t="s">
        <v>16716</v>
      </c>
      <c r="I2968" s="346"/>
      <c r="J2968" s="39">
        <v>114801</v>
      </c>
      <c r="K2968" s="36" t="str">
        <f>CONCATENATE(Cover!$D$6,"fdd/view?i=",J2968)</f>
        <v>https://www.dgiwg.org/FAD/fdd/view?i=114801</v>
      </c>
      <c r="L2968" s="36" t="s">
        <v>28374</v>
      </c>
      <c r="M2968" s="186"/>
      <c r="N2968" s="186"/>
      <c r="O2968" s="13" t="s">
        <v>17163</v>
      </c>
    </row>
    <row r="2969" spans="1:15" ht="25.5" x14ac:dyDescent="0.2">
      <c r="A2969" s="197" t="str">
        <f t="shared" si="46"/>
        <v>DtcCode_chan018W</v>
      </c>
      <c r="B2969" s="409"/>
      <c r="C2969" s="416"/>
      <c r="D2969" s="198" t="s">
        <v>17169</v>
      </c>
      <c r="E2969" s="198">
        <v>36</v>
      </c>
      <c r="F2969" s="199" t="s">
        <v>17170</v>
      </c>
      <c r="G2969" s="1" t="s">
        <v>28375</v>
      </c>
      <c r="H2969" s="1" t="s">
        <v>16716</v>
      </c>
      <c r="I2969" s="346"/>
      <c r="J2969" s="39">
        <v>114802</v>
      </c>
      <c r="K2969" s="36" t="str">
        <f>CONCATENATE(Cover!$D$6,"fdd/view?i=",J2969)</f>
        <v>https://www.dgiwg.org/FAD/fdd/view?i=114802</v>
      </c>
      <c r="L2969" s="36" t="s">
        <v>28376</v>
      </c>
      <c r="M2969" s="186"/>
      <c r="N2969" s="186"/>
      <c r="O2969" s="13" t="s">
        <v>17168</v>
      </c>
    </row>
    <row r="2970" spans="1:15" ht="25.5" x14ac:dyDescent="0.2">
      <c r="A2970" s="197" t="str">
        <f t="shared" si="46"/>
        <v>DtcCode_chan018X</v>
      </c>
      <c r="B2970" s="409"/>
      <c r="C2970" s="416"/>
      <c r="D2970" s="198" t="s">
        <v>17174</v>
      </c>
      <c r="E2970" s="198">
        <v>37</v>
      </c>
      <c r="F2970" s="199" t="s">
        <v>17175</v>
      </c>
      <c r="G2970" s="1" t="s">
        <v>28377</v>
      </c>
      <c r="H2970" s="1" t="s">
        <v>16716</v>
      </c>
      <c r="I2970" s="346"/>
      <c r="J2970" s="39">
        <v>114803</v>
      </c>
      <c r="K2970" s="36" t="str">
        <f>CONCATENATE(Cover!$D$6,"fdd/view?i=",J2970)</f>
        <v>https://www.dgiwg.org/FAD/fdd/view?i=114803</v>
      </c>
      <c r="L2970" s="36" t="s">
        <v>28378</v>
      </c>
      <c r="M2970" s="186"/>
      <c r="N2970" s="186"/>
      <c r="O2970" s="13" t="s">
        <v>17173</v>
      </c>
    </row>
    <row r="2971" spans="1:15" ht="25.5" x14ac:dyDescent="0.2">
      <c r="A2971" s="197" t="str">
        <f t="shared" si="46"/>
        <v>DtcCode_chan018Y</v>
      </c>
      <c r="B2971" s="409"/>
      <c r="C2971" s="416"/>
      <c r="D2971" s="198" t="s">
        <v>17179</v>
      </c>
      <c r="E2971" s="198">
        <v>38</v>
      </c>
      <c r="F2971" s="199" t="s">
        <v>17180</v>
      </c>
      <c r="G2971" s="1" t="s">
        <v>28379</v>
      </c>
      <c r="H2971" s="1" t="s">
        <v>16716</v>
      </c>
      <c r="I2971" s="346"/>
      <c r="J2971" s="39">
        <v>114804</v>
      </c>
      <c r="K2971" s="36" t="str">
        <f>CONCATENATE(Cover!$D$6,"fdd/view?i=",J2971)</f>
        <v>https://www.dgiwg.org/FAD/fdd/view?i=114804</v>
      </c>
      <c r="L2971" s="36" t="s">
        <v>28380</v>
      </c>
      <c r="M2971" s="186"/>
      <c r="N2971" s="186"/>
      <c r="O2971" s="13" t="s">
        <v>17178</v>
      </c>
    </row>
    <row r="2972" spans="1:15" ht="25.5" x14ac:dyDescent="0.2">
      <c r="A2972" s="197" t="str">
        <f t="shared" si="46"/>
        <v>DtcCode_chan018Z</v>
      </c>
      <c r="B2972" s="409"/>
      <c r="C2972" s="416"/>
      <c r="D2972" s="198" t="s">
        <v>17184</v>
      </c>
      <c r="E2972" s="198">
        <v>39</v>
      </c>
      <c r="F2972" s="199" t="s">
        <v>17185</v>
      </c>
      <c r="G2972" s="1" t="s">
        <v>28381</v>
      </c>
      <c r="H2972" s="1" t="s">
        <v>16716</v>
      </c>
      <c r="I2972" s="346"/>
      <c r="J2972" s="39">
        <v>114805</v>
      </c>
      <c r="K2972" s="36" t="str">
        <f>CONCATENATE(Cover!$D$6,"fdd/view?i=",J2972)</f>
        <v>https://www.dgiwg.org/FAD/fdd/view?i=114805</v>
      </c>
      <c r="L2972" s="36" t="s">
        <v>28382</v>
      </c>
      <c r="M2972" s="186"/>
      <c r="N2972" s="186"/>
      <c r="O2972" s="13" t="s">
        <v>17183</v>
      </c>
    </row>
    <row r="2973" spans="1:15" ht="25.5" x14ac:dyDescent="0.2">
      <c r="A2973" s="197" t="str">
        <f t="shared" si="46"/>
        <v>DtcCode_chan019X</v>
      </c>
      <c r="B2973" s="409"/>
      <c r="C2973" s="416"/>
      <c r="D2973" s="198" t="s">
        <v>17189</v>
      </c>
      <c r="E2973" s="198">
        <v>40</v>
      </c>
      <c r="F2973" s="199" t="s">
        <v>17190</v>
      </c>
      <c r="G2973" s="1" t="s">
        <v>28383</v>
      </c>
      <c r="H2973" s="1" t="s">
        <v>16716</v>
      </c>
      <c r="I2973" s="346"/>
      <c r="J2973" s="39">
        <v>114806</v>
      </c>
      <c r="K2973" s="36" t="str">
        <f>CONCATENATE(Cover!$D$6,"fdd/view?i=",J2973)</f>
        <v>https://www.dgiwg.org/FAD/fdd/view?i=114806</v>
      </c>
      <c r="L2973" s="36" t="s">
        <v>28384</v>
      </c>
      <c r="M2973" s="186"/>
      <c r="N2973" s="186"/>
      <c r="O2973" s="13" t="s">
        <v>17188</v>
      </c>
    </row>
    <row r="2974" spans="1:15" ht="25.5" x14ac:dyDescent="0.2">
      <c r="A2974" s="197" t="str">
        <f t="shared" si="46"/>
        <v>DtcCode_chan019Y</v>
      </c>
      <c r="B2974" s="409"/>
      <c r="C2974" s="416"/>
      <c r="D2974" s="198" t="s">
        <v>17194</v>
      </c>
      <c r="E2974" s="198">
        <v>41</v>
      </c>
      <c r="F2974" s="199" t="s">
        <v>17195</v>
      </c>
      <c r="G2974" s="1" t="s">
        <v>28385</v>
      </c>
      <c r="H2974" s="1" t="s">
        <v>16716</v>
      </c>
      <c r="I2974" s="346"/>
      <c r="J2974" s="39">
        <v>114807</v>
      </c>
      <c r="K2974" s="36" t="str">
        <f>CONCATENATE(Cover!$D$6,"fdd/view?i=",J2974)</f>
        <v>https://www.dgiwg.org/FAD/fdd/view?i=114807</v>
      </c>
      <c r="L2974" s="36" t="s">
        <v>28386</v>
      </c>
      <c r="M2974" s="186"/>
      <c r="N2974" s="186"/>
      <c r="O2974" s="13" t="s">
        <v>17193</v>
      </c>
    </row>
    <row r="2975" spans="1:15" ht="25.5" x14ac:dyDescent="0.2">
      <c r="A2975" s="197" t="str">
        <f t="shared" si="46"/>
        <v>DtcCode_chan019Z</v>
      </c>
      <c r="B2975" s="409"/>
      <c r="C2975" s="416"/>
      <c r="D2975" s="198" t="s">
        <v>17199</v>
      </c>
      <c r="E2975" s="198">
        <v>42</v>
      </c>
      <c r="F2975" s="199" t="s">
        <v>17200</v>
      </c>
      <c r="G2975" s="1" t="s">
        <v>28387</v>
      </c>
      <c r="H2975" s="1" t="s">
        <v>16716</v>
      </c>
      <c r="I2975" s="346"/>
      <c r="J2975" s="39">
        <v>114808</v>
      </c>
      <c r="K2975" s="36" t="str">
        <f>CONCATENATE(Cover!$D$6,"fdd/view?i=",J2975)</f>
        <v>https://www.dgiwg.org/FAD/fdd/view?i=114808</v>
      </c>
      <c r="L2975" s="36" t="s">
        <v>28388</v>
      </c>
      <c r="M2975" s="186"/>
      <c r="N2975" s="186"/>
      <c r="O2975" s="13" t="s">
        <v>17198</v>
      </c>
    </row>
    <row r="2976" spans="1:15" ht="25.5" x14ac:dyDescent="0.2">
      <c r="A2976" s="197" t="str">
        <f t="shared" si="46"/>
        <v>DtcCode_chan020W</v>
      </c>
      <c r="B2976" s="409"/>
      <c r="C2976" s="416"/>
      <c r="D2976" s="198" t="s">
        <v>17214</v>
      </c>
      <c r="E2976" s="198">
        <v>43</v>
      </c>
      <c r="F2976" s="199" t="s">
        <v>17215</v>
      </c>
      <c r="G2976" s="1" t="s">
        <v>28393</v>
      </c>
      <c r="H2976" s="1" t="s">
        <v>16716</v>
      </c>
      <c r="I2976" s="346"/>
      <c r="J2976" s="39">
        <v>114809</v>
      </c>
      <c r="K2976" s="36" t="str">
        <f>CONCATENATE(Cover!$D$6,"fdd/view?i=",J2976)</f>
        <v>https://www.dgiwg.org/FAD/fdd/view?i=114809</v>
      </c>
      <c r="L2976" s="36" t="s">
        <v>28394</v>
      </c>
      <c r="M2976" s="186"/>
      <c r="N2976" s="186"/>
      <c r="O2976" s="13" t="s">
        <v>17213</v>
      </c>
    </row>
    <row r="2977" spans="1:15" ht="25.5" x14ac:dyDescent="0.2">
      <c r="A2977" s="197" t="str">
        <f t="shared" si="46"/>
        <v>DtcCode_chan020X</v>
      </c>
      <c r="B2977" s="409"/>
      <c r="C2977" s="416"/>
      <c r="D2977" s="198" t="s">
        <v>17219</v>
      </c>
      <c r="E2977" s="198">
        <v>44</v>
      </c>
      <c r="F2977" s="199" t="s">
        <v>17220</v>
      </c>
      <c r="G2977" s="1" t="s">
        <v>28395</v>
      </c>
      <c r="H2977" s="1" t="s">
        <v>16716</v>
      </c>
      <c r="I2977" s="346"/>
      <c r="J2977" s="39">
        <v>114810</v>
      </c>
      <c r="K2977" s="36" t="str">
        <f>CONCATENATE(Cover!$D$6,"fdd/view?i=",J2977)</f>
        <v>https://www.dgiwg.org/FAD/fdd/view?i=114810</v>
      </c>
      <c r="L2977" s="36" t="s">
        <v>28396</v>
      </c>
      <c r="M2977" s="186"/>
      <c r="N2977" s="186"/>
      <c r="O2977" s="13" t="s">
        <v>17218</v>
      </c>
    </row>
    <row r="2978" spans="1:15" ht="25.5" x14ac:dyDescent="0.2">
      <c r="A2978" s="197" t="str">
        <f t="shared" si="46"/>
        <v>DtcCode_chan020Y</v>
      </c>
      <c r="B2978" s="409"/>
      <c r="C2978" s="416"/>
      <c r="D2978" s="198" t="s">
        <v>17224</v>
      </c>
      <c r="E2978" s="198">
        <v>45</v>
      </c>
      <c r="F2978" s="199" t="s">
        <v>17225</v>
      </c>
      <c r="G2978" s="1" t="s">
        <v>28397</v>
      </c>
      <c r="H2978" s="1" t="s">
        <v>16716</v>
      </c>
      <c r="I2978" s="346"/>
      <c r="J2978" s="39">
        <v>114811</v>
      </c>
      <c r="K2978" s="36" t="str">
        <f>CONCATENATE(Cover!$D$6,"fdd/view?i=",J2978)</f>
        <v>https://www.dgiwg.org/FAD/fdd/view?i=114811</v>
      </c>
      <c r="L2978" s="36" t="s">
        <v>28398</v>
      </c>
      <c r="M2978" s="186"/>
      <c r="N2978" s="186"/>
      <c r="O2978" s="13" t="s">
        <v>17223</v>
      </c>
    </row>
    <row r="2979" spans="1:15" ht="25.5" x14ac:dyDescent="0.2">
      <c r="A2979" s="197" t="str">
        <f t="shared" si="46"/>
        <v>DtcCode_chan020Z</v>
      </c>
      <c r="B2979" s="409"/>
      <c r="C2979" s="416"/>
      <c r="D2979" s="198" t="s">
        <v>17229</v>
      </c>
      <c r="E2979" s="198">
        <v>46</v>
      </c>
      <c r="F2979" s="199" t="s">
        <v>17230</v>
      </c>
      <c r="G2979" s="1" t="s">
        <v>28399</v>
      </c>
      <c r="H2979" s="1" t="s">
        <v>16716</v>
      </c>
      <c r="I2979" s="346"/>
      <c r="J2979" s="39">
        <v>114812</v>
      </c>
      <c r="K2979" s="36" t="str">
        <f>CONCATENATE(Cover!$D$6,"fdd/view?i=",J2979)</f>
        <v>https://www.dgiwg.org/FAD/fdd/view?i=114812</v>
      </c>
      <c r="L2979" s="36" t="s">
        <v>28400</v>
      </c>
      <c r="M2979" s="186"/>
      <c r="N2979" s="186"/>
      <c r="O2979" s="13" t="s">
        <v>17228</v>
      </c>
    </row>
    <row r="2980" spans="1:15" ht="25.5" x14ac:dyDescent="0.2">
      <c r="A2980" s="197" t="str">
        <f t="shared" si="46"/>
        <v>DtcCode_chan021X</v>
      </c>
      <c r="B2980" s="409"/>
      <c r="C2980" s="416"/>
      <c r="D2980" s="198" t="s">
        <v>17234</v>
      </c>
      <c r="E2980" s="198">
        <v>47</v>
      </c>
      <c r="F2980" s="199" t="s">
        <v>17235</v>
      </c>
      <c r="G2980" s="1" t="s">
        <v>28401</v>
      </c>
      <c r="H2980" s="1" t="s">
        <v>16716</v>
      </c>
      <c r="I2980" s="346"/>
      <c r="J2980" s="39">
        <v>114813</v>
      </c>
      <c r="K2980" s="36" t="str">
        <f>CONCATENATE(Cover!$D$6,"fdd/view?i=",J2980)</f>
        <v>https://www.dgiwg.org/FAD/fdd/view?i=114813</v>
      </c>
      <c r="L2980" s="36" t="s">
        <v>28402</v>
      </c>
      <c r="M2980" s="186"/>
      <c r="N2980" s="186"/>
      <c r="O2980" s="13" t="s">
        <v>17233</v>
      </c>
    </row>
    <row r="2981" spans="1:15" ht="25.5" x14ac:dyDescent="0.2">
      <c r="A2981" s="197" t="str">
        <f t="shared" si="46"/>
        <v>DtcCode_chan021Y</v>
      </c>
      <c r="B2981" s="409"/>
      <c r="C2981" s="416"/>
      <c r="D2981" s="198" t="s">
        <v>17239</v>
      </c>
      <c r="E2981" s="198">
        <v>48</v>
      </c>
      <c r="F2981" s="199" t="s">
        <v>17240</v>
      </c>
      <c r="G2981" s="1" t="s">
        <v>28403</v>
      </c>
      <c r="H2981" s="1" t="s">
        <v>16716</v>
      </c>
      <c r="I2981" s="346"/>
      <c r="J2981" s="39">
        <v>114814</v>
      </c>
      <c r="K2981" s="36" t="str">
        <f>CONCATENATE(Cover!$D$6,"fdd/view?i=",J2981)</f>
        <v>https://www.dgiwg.org/FAD/fdd/view?i=114814</v>
      </c>
      <c r="L2981" s="36" t="s">
        <v>28404</v>
      </c>
      <c r="M2981" s="186"/>
      <c r="N2981" s="186"/>
      <c r="O2981" s="13" t="s">
        <v>17238</v>
      </c>
    </row>
    <row r="2982" spans="1:15" ht="25.5" x14ac:dyDescent="0.2">
      <c r="A2982" s="197" t="str">
        <f t="shared" si="46"/>
        <v>DtcCode_chan021Z</v>
      </c>
      <c r="B2982" s="409"/>
      <c r="C2982" s="416"/>
      <c r="D2982" s="198" t="s">
        <v>17244</v>
      </c>
      <c r="E2982" s="198">
        <v>49</v>
      </c>
      <c r="F2982" s="199" t="s">
        <v>17245</v>
      </c>
      <c r="G2982" s="1" t="s">
        <v>28405</v>
      </c>
      <c r="H2982" s="1" t="s">
        <v>16716</v>
      </c>
      <c r="I2982" s="346"/>
      <c r="J2982" s="39">
        <v>114815</v>
      </c>
      <c r="K2982" s="36" t="str">
        <f>CONCATENATE(Cover!$D$6,"fdd/view?i=",J2982)</f>
        <v>https://www.dgiwg.org/FAD/fdd/view?i=114815</v>
      </c>
      <c r="L2982" s="36" t="s">
        <v>28406</v>
      </c>
      <c r="M2982" s="186"/>
      <c r="N2982" s="186"/>
      <c r="O2982" s="13" t="s">
        <v>17243</v>
      </c>
    </row>
    <row r="2983" spans="1:15" ht="25.5" x14ac:dyDescent="0.2">
      <c r="A2983" s="197" t="str">
        <f t="shared" si="46"/>
        <v>DtcCode_chan022W</v>
      </c>
      <c r="B2983" s="409"/>
      <c r="C2983" s="416"/>
      <c r="D2983" s="198" t="s">
        <v>17249</v>
      </c>
      <c r="E2983" s="198">
        <v>50</v>
      </c>
      <c r="F2983" s="199" t="s">
        <v>17250</v>
      </c>
      <c r="G2983" s="1" t="s">
        <v>28407</v>
      </c>
      <c r="H2983" s="1" t="s">
        <v>16716</v>
      </c>
      <c r="I2983" s="346"/>
      <c r="J2983" s="39">
        <v>114816</v>
      </c>
      <c r="K2983" s="36" t="str">
        <f>CONCATENATE(Cover!$D$6,"fdd/view?i=",J2983)</f>
        <v>https://www.dgiwg.org/FAD/fdd/view?i=114816</v>
      </c>
      <c r="L2983" s="36" t="s">
        <v>28408</v>
      </c>
      <c r="M2983" s="186"/>
      <c r="N2983" s="186"/>
      <c r="O2983" s="13" t="s">
        <v>17248</v>
      </c>
    </row>
    <row r="2984" spans="1:15" ht="25.5" x14ac:dyDescent="0.2">
      <c r="A2984" s="197" t="str">
        <f t="shared" si="46"/>
        <v>DtcCode_chan022X</v>
      </c>
      <c r="B2984" s="409"/>
      <c r="C2984" s="416"/>
      <c r="D2984" s="198" t="s">
        <v>17254</v>
      </c>
      <c r="E2984" s="198">
        <v>51</v>
      </c>
      <c r="F2984" s="199" t="s">
        <v>17255</v>
      </c>
      <c r="G2984" s="1" t="s">
        <v>28409</v>
      </c>
      <c r="H2984" s="1" t="s">
        <v>16716</v>
      </c>
      <c r="I2984" s="346"/>
      <c r="J2984" s="39">
        <v>114817</v>
      </c>
      <c r="K2984" s="36" t="str">
        <f>CONCATENATE(Cover!$D$6,"fdd/view?i=",J2984)</f>
        <v>https://www.dgiwg.org/FAD/fdd/view?i=114817</v>
      </c>
      <c r="L2984" s="36" t="s">
        <v>28410</v>
      </c>
      <c r="M2984" s="186"/>
      <c r="N2984" s="186"/>
      <c r="O2984" s="13" t="s">
        <v>17253</v>
      </c>
    </row>
    <row r="2985" spans="1:15" ht="25.5" x14ac:dyDescent="0.2">
      <c r="A2985" s="197" t="str">
        <f t="shared" si="46"/>
        <v>DtcCode_chan022Y</v>
      </c>
      <c r="B2985" s="409"/>
      <c r="C2985" s="416"/>
      <c r="D2985" s="198" t="s">
        <v>17259</v>
      </c>
      <c r="E2985" s="198">
        <v>52</v>
      </c>
      <c r="F2985" s="199" t="s">
        <v>17260</v>
      </c>
      <c r="G2985" s="1" t="s">
        <v>28411</v>
      </c>
      <c r="H2985" s="1" t="s">
        <v>16716</v>
      </c>
      <c r="I2985" s="346"/>
      <c r="J2985" s="39">
        <v>114818</v>
      </c>
      <c r="K2985" s="36" t="str">
        <f>CONCATENATE(Cover!$D$6,"fdd/view?i=",J2985)</f>
        <v>https://www.dgiwg.org/FAD/fdd/view?i=114818</v>
      </c>
      <c r="L2985" s="36" t="s">
        <v>28412</v>
      </c>
      <c r="M2985" s="186"/>
      <c r="N2985" s="186"/>
      <c r="O2985" s="13" t="s">
        <v>17258</v>
      </c>
    </row>
    <row r="2986" spans="1:15" ht="25.5" x14ac:dyDescent="0.2">
      <c r="A2986" s="197" t="str">
        <f t="shared" si="46"/>
        <v>DtcCode_chan022Z</v>
      </c>
      <c r="B2986" s="409"/>
      <c r="C2986" s="416"/>
      <c r="D2986" s="198" t="s">
        <v>17264</v>
      </c>
      <c r="E2986" s="198">
        <v>53</v>
      </c>
      <c r="F2986" s="199" t="s">
        <v>17265</v>
      </c>
      <c r="G2986" s="1" t="s">
        <v>28413</v>
      </c>
      <c r="H2986" s="1" t="s">
        <v>16716</v>
      </c>
      <c r="I2986" s="346"/>
      <c r="J2986" s="39">
        <v>114819</v>
      </c>
      <c r="K2986" s="36" t="str">
        <f>CONCATENATE(Cover!$D$6,"fdd/view?i=",J2986)</f>
        <v>https://www.dgiwg.org/FAD/fdd/view?i=114819</v>
      </c>
      <c r="L2986" s="36" t="s">
        <v>28414</v>
      </c>
      <c r="M2986" s="186"/>
      <c r="N2986" s="186"/>
      <c r="O2986" s="13" t="s">
        <v>17263</v>
      </c>
    </row>
    <row r="2987" spans="1:15" ht="25.5" x14ac:dyDescent="0.2">
      <c r="A2987" s="197" t="str">
        <f t="shared" si="46"/>
        <v>DtcCode_chan023X</v>
      </c>
      <c r="B2987" s="409"/>
      <c r="C2987" s="416"/>
      <c r="D2987" s="198" t="s">
        <v>17269</v>
      </c>
      <c r="E2987" s="198">
        <v>54</v>
      </c>
      <c r="F2987" s="199" t="s">
        <v>17270</v>
      </c>
      <c r="G2987" s="1" t="s">
        <v>28415</v>
      </c>
      <c r="H2987" s="1" t="s">
        <v>16716</v>
      </c>
      <c r="I2987" s="346"/>
      <c r="J2987" s="39">
        <v>114820</v>
      </c>
      <c r="K2987" s="36" t="str">
        <f>CONCATENATE(Cover!$D$6,"fdd/view?i=",J2987)</f>
        <v>https://www.dgiwg.org/FAD/fdd/view?i=114820</v>
      </c>
      <c r="L2987" s="36" t="s">
        <v>28416</v>
      </c>
      <c r="M2987" s="186"/>
      <c r="N2987" s="186"/>
      <c r="O2987" s="13" t="s">
        <v>17268</v>
      </c>
    </row>
    <row r="2988" spans="1:15" ht="25.5" x14ac:dyDescent="0.2">
      <c r="A2988" s="197" t="str">
        <f t="shared" si="46"/>
        <v>DtcCode_chan023Y</v>
      </c>
      <c r="B2988" s="409"/>
      <c r="C2988" s="416"/>
      <c r="D2988" s="198" t="s">
        <v>17274</v>
      </c>
      <c r="E2988" s="198">
        <v>55</v>
      </c>
      <c r="F2988" s="199" t="s">
        <v>17275</v>
      </c>
      <c r="G2988" s="1" t="s">
        <v>28417</v>
      </c>
      <c r="H2988" s="1" t="s">
        <v>16716</v>
      </c>
      <c r="I2988" s="346"/>
      <c r="J2988" s="39">
        <v>114821</v>
      </c>
      <c r="K2988" s="36" t="str">
        <f>CONCATENATE(Cover!$D$6,"fdd/view?i=",J2988)</f>
        <v>https://www.dgiwg.org/FAD/fdd/view?i=114821</v>
      </c>
      <c r="L2988" s="36" t="s">
        <v>28418</v>
      </c>
      <c r="M2988" s="186"/>
      <c r="N2988" s="186"/>
      <c r="O2988" s="13" t="s">
        <v>17273</v>
      </c>
    </row>
    <row r="2989" spans="1:15" ht="25.5" x14ac:dyDescent="0.2">
      <c r="A2989" s="197" t="str">
        <f t="shared" si="46"/>
        <v>DtcCode_chan023Z</v>
      </c>
      <c r="B2989" s="409"/>
      <c r="C2989" s="416"/>
      <c r="D2989" s="198" t="s">
        <v>17279</v>
      </c>
      <c r="E2989" s="198">
        <v>56</v>
      </c>
      <c r="F2989" s="199" t="s">
        <v>17280</v>
      </c>
      <c r="G2989" s="1" t="s">
        <v>28419</v>
      </c>
      <c r="H2989" s="1" t="s">
        <v>16716</v>
      </c>
      <c r="I2989" s="346"/>
      <c r="J2989" s="39">
        <v>114822</v>
      </c>
      <c r="K2989" s="36" t="str">
        <f>CONCATENATE(Cover!$D$6,"fdd/view?i=",J2989)</f>
        <v>https://www.dgiwg.org/FAD/fdd/view?i=114822</v>
      </c>
      <c r="L2989" s="36" t="s">
        <v>28420</v>
      </c>
      <c r="M2989" s="186"/>
      <c r="N2989" s="186"/>
      <c r="O2989" s="13" t="s">
        <v>17278</v>
      </c>
    </row>
    <row r="2990" spans="1:15" ht="25.5" x14ac:dyDescent="0.2">
      <c r="A2990" s="197" t="str">
        <f t="shared" si="46"/>
        <v>DtcCode_chan024W</v>
      </c>
      <c r="B2990" s="409"/>
      <c r="C2990" s="416"/>
      <c r="D2990" s="198" t="s">
        <v>17284</v>
      </c>
      <c r="E2990" s="198">
        <v>57</v>
      </c>
      <c r="F2990" s="199" t="s">
        <v>17285</v>
      </c>
      <c r="G2990" s="1" t="s">
        <v>28421</v>
      </c>
      <c r="H2990" s="1" t="s">
        <v>16716</v>
      </c>
      <c r="I2990" s="346"/>
      <c r="J2990" s="39">
        <v>114823</v>
      </c>
      <c r="K2990" s="36" t="str">
        <f>CONCATENATE(Cover!$D$6,"fdd/view?i=",J2990)</f>
        <v>https://www.dgiwg.org/FAD/fdd/view?i=114823</v>
      </c>
      <c r="L2990" s="36" t="s">
        <v>28422</v>
      </c>
      <c r="M2990" s="186"/>
      <c r="N2990" s="186"/>
      <c r="O2990" s="13" t="s">
        <v>17283</v>
      </c>
    </row>
    <row r="2991" spans="1:15" ht="25.5" x14ac:dyDescent="0.2">
      <c r="A2991" s="197" t="str">
        <f t="shared" si="46"/>
        <v>DtcCode_chan024X</v>
      </c>
      <c r="B2991" s="409"/>
      <c r="C2991" s="416"/>
      <c r="D2991" s="198" t="s">
        <v>17289</v>
      </c>
      <c r="E2991" s="198">
        <v>58</v>
      </c>
      <c r="F2991" s="199" t="s">
        <v>17290</v>
      </c>
      <c r="G2991" s="1" t="s">
        <v>28423</v>
      </c>
      <c r="H2991" s="1" t="s">
        <v>16716</v>
      </c>
      <c r="I2991" s="346"/>
      <c r="J2991" s="39">
        <v>114824</v>
      </c>
      <c r="K2991" s="36" t="str">
        <f>CONCATENATE(Cover!$D$6,"fdd/view?i=",J2991)</f>
        <v>https://www.dgiwg.org/FAD/fdd/view?i=114824</v>
      </c>
      <c r="L2991" s="36" t="s">
        <v>28424</v>
      </c>
      <c r="M2991" s="186"/>
      <c r="N2991" s="186"/>
      <c r="O2991" s="13" t="s">
        <v>17288</v>
      </c>
    </row>
    <row r="2992" spans="1:15" ht="25.5" x14ac:dyDescent="0.2">
      <c r="A2992" s="197" t="str">
        <f t="shared" si="46"/>
        <v>DtcCode_chan024Y</v>
      </c>
      <c r="B2992" s="409"/>
      <c r="C2992" s="416"/>
      <c r="D2992" s="198" t="s">
        <v>17294</v>
      </c>
      <c r="E2992" s="198">
        <v>59</v>
      </c>
      <c r="F2992" s="199" t="s">
        <v>17295</v>
      </c>
      <c r="G2992" s="1" t="s">
        <v>28425</v>
      </c>
      <c r="H2992" s="1" t="s">
        <v>16716</v>
      </c>
      <c r="I2992" s="346"/>
      <c r="J2992" s="39">
        <v>114825</v>
      </c>
      <c r="K2992" s="36" t="str">
        <f>CONCATENATE(Cover!$D$6,"fdd/view?i=",J2992)</f>
        <v>https://www.dgiwg.org/FAD/fdd/view?i=114825</v>
      </c>
      <c r="L2992" s="36" t="s">
        <v>28426</v>
      </c>
      <c r="M2992" s="186"/>
      <c r="N2992" s="186"/>
      <c r="O2992" s="13" t="s">
        <v>17293</v>
      </c>
    </row>
    <row r="2993" spans="1:15" ht="25.5" x14ac:dyDescent="0.2">
      <c r="A2993" s="197" t="str">
        <f t="shared" si="46"/>
        <v>DtcCode_chan024Z</v>
      </c>
      <c r="B2993" s="409"/>
      <c r="C2993" s="416"/>
      <c r="D2993" s="198" t="s">
        <v>17299</v>
      </c>
      <c r="E2993" s="198">
        <v>60</v>
      </c>
      <c r="F2993" s="199" t="s">
        <v>17300</v>
      </c>
      <c r="G2993" s="1" t="s">
        <v>28427</v>
      </c>
      <c r="H2993" s="1" t="s">
        <v>16716</v>
      </c>
      <c r="I2993" s="346"/>
      <c r="J2993" s="39">
        <v>114826</v>
      </c>
      <c r="K2993" s="36" t="str">
        <f>CONCATENATE(Cover!$D$6,"fdd/view?i=",J2993)</f>
        <v>https://www.dgiwg.org/FAD/fdd/view?i=114826</v>
      </c>
      <c r="L2993" s="36" t="s">
        <v>28428</v>
      </c>
      <c r="M2993" s="186"/>
      <c r="N2993" s="186"/>
      <c r="O2993" s="13" t="s">
        <v>17298</v>
      </c>
    </row>
    <row r="2994" spans="1:15" ht="25.5" x14ac:dyDescent="0.2">
      <c r="A2994" s="197" t="str">
        <f t="shared" si="46"/>
        <v>DtcCode_chan025X</v>
      </c>
      <c r="B2994" s="409"/>
      <c r="C2994" s="416"/>
      <c r="D2994" s="198" t="s">
        <v>17304</v>
      </c>
      <c r="E2994" s="198">
        <v>61</v>
      </c>
      <c r="F2994" s="199" t="s">
        <v>17305</v>
      </c>
      <c r="G2994" s="1" t="s">
        <v>28429</v>
      </c>
      <c r="H2994" s="1" t="s">
        <v>16716</v>
      </c>
      <c r="I2994" s="346"/>
      <c r="J2994" s="39">
        <v>114827</v>
      </c>
      <c r="K2994" s="36" t="str">
        <f>CONCATENATE(Cover!$D$6,"fdd/view?i=",J2994)</f>
        <v>https://www.dgiwg.org/FAD/fdd/view?i=114827</v>
      </c>
      <c r="L2994" s="36" t="s">
        <v>28430</v>
      </c>
      <c r="M2994" s="186"/>
      <c r="N2994" s="186"/>
      <c r="O2994" s="13" t="s">
        <v>17303</v>
      </c>
    </row>
    <row r="2995" spans="1:15" ht="25.5" x14ac:dyDescent="0.2">
      <c r="A2995" s="197" t="str">
        <f t="shared" si="46"/>
        <v>DtcCode_chan025Y</v>
      </c>
      <c r="B2995" s="409"/>
      <c r="C2995" s="416"/>
      <c r="D2995" s="198" t="s">
        <v>17309</v>
      </c>
      <c r="E2995" s="198">
        <v>62</v>
      </c>
      <c r="F2995" s="199" t="s">
        <v>17310</v>
      </c>
      <c r="G2995" s="1" t="s">
        <v>28431</v>
      </c>
      <c r="H2995" s="1" t="s">
        <v>16716</v>
      </c>
      <c r="I2995" s="346"/>
      <c r="J2995" s="39">
        <v>114828</v>
      </c>
      <c r="K2995" s="36" t="str">
        <f>CONCATENATE(Cover!$D$6,"fdd/view?i=",J2995)</f>
        <v>https://www.dgiwg.org/FAD/fdd/view?i=114828</v>
      </c>
      <c r="L2995" s="36" t="s">
        <v>28432</v>
      </c>
      <c r="M2995" s="186"/>
      <c r="N2995" s="186"/>
      <c r="O2995" s="13" t="s">
        <v>17308</v>
      </c>
    </row>
    <row r="2996" spans="1:15" ht="25.5" x14ac:dyDescent="0.2">
      <c r="A2996" s="197" t="str">
        <f t="shared" si="46"/>
        <v>DtcCode_chan025Z</v>
      </c>
      <c r="B2996" s="409"/>
      <c r="C2996" s="416"/>
      <c r="D2996" s="198" t="s">
        <v>17314</v>
      </c>
      <c r="E2996" s="198">
        <v>63</v>
      </c>
      <c r="F2996" s="199" t="s">
        <v>17315</v>
      </c>
      <c r="G2996" s="1" t="s">
        <v>28433</v>
      </c>
      <c r="H2996" s="1" t="s">
        <v>16716</v>
      </c>
      <c r="I2996" s="346"/>
      <c r="J2996" s="39">
        <v>114829</v>
      </c>
      <c r="K2996" s="36" t="str">
        <f>CONCATENATE(Cover!$D$6,"fdd/view?i=",J2996)</f>
        <v>https://www.dgiwg.org/FAD/fdd/view?i=114829</v>
      </c>
      <c r="L2996" s="36" t="s">
        <v>28434</v>
      </c>
      <c r="M2996" s="186"/>
      <c r="N2996" s="186"/>
      <c r="O2996" s="13" t="s">
        <v>17313</v>
      </c>
    </row>
    <row r="2997" spans="1:15" ht="25.5" x14ac:dyDescent="0.2">
      <c r="A2997" s="197" t="str">
        <f t="shared" si="46"/>
        <v>DtcCode_chan026W</v>
      </c>
      <c r="B2997" s="409"/>
      <c r="C2997" s="416"/>
      <c r="D2997" s="198" t="s">
        <v>17319</v>
      </c>
      <c r="E2997" s="198">
        <v>64</v>
      </c>
      <c r="F2997" s="199" t="s">
        <v>17320</v>
      </c>
      <c r="G2997" s="1" t="s">
        <v>28435</v>
      </c>
      <c r="H2997" s="1" t="s">
        <v>16716</v>
      </c>
      <c r="I2997" s="346"/>
      <c r="J2997" s="39">
        <v>114830</v>
      </c>
      <c r="K2997" s="36" t="str">
        <f>CONCATENATE(Cover!$D$6,"fdd/view?i=",J2997)</f>
        <v>https://www.dgiwg.org/FAD/fdd/view?i=114830</v>
      </c>
      <c r="L2997" s="36" t="s">
        <v>28436</v>
      </c>
      <c r="M2997" s="186"/>
      <c r="N2997" s="186"/>
      <c r="O2997" s="13" t="s">
        <v>17318</v>
      </c>
    </row>
    <row r="2998" spans="1:15" ht="25.5" x14ac:dyDescent="0.2">
      <c r="A2998" s="197" t="str">
        <f t="shared" si="46"/>
        <v>DtcCode_chan026X</v>
      </c>
      <c r="B2998" s="409"/>
      <c r="C2998" s="416"/>
      <c r="D2998" s="198" t="s">
        <v>17324</v>
      </c>
      <c r="E2998" s="198">
        <v>65</v>
      </c>
      <c r="F2998" s="199" t="s">
        <v>17325</v>
      </c>
      <c r="G2998" s="1" t="s">
        <v>28437</v>
      </c>
      <c r="H2998" s="1" t="s">
        <v>16716</v>
      </c>
      <c r="I2998" s="346"/>
      <c r="J2998" s="39">
        <v>114831</v>
      </c>
      <c r="K2998" s="36" t="str">
        <f>CONCATENATE(Cover!$D$6,"fdd/view?i=",J2998)</f>
        <v>https://www.dgiwg.org/FAD/fdd/view?i=114831</v>
      </c>
      <c r="L2998" s="36" t="s">
        <v>28438</v>
      </c>
      <c r="M2998" s="186"/>
      <c r="N2998" s="186"/>
      <c r="O2998" s="13" t="s">
        <v>17323</v>
      </c>
    </row>
    <row r="2999" spans="1:15" ht="25.5" x14ac:dyDescent="0.2">
      <c r="A2999" s="197" t="str">
        <f t="shared" si="46"/>
        <v>DtcCode_chan026Y</v>
      </c>
      <c r="B2999" s="409"/>
      <c r="C2999" s="416"/>
      <c r="D2999" s="198" t="s">
        <v>17329</v>
      </c>
      <c r="E2999" s="198">
        <v>66</v>
      </c>
      <c r="F2999" s="199" t="s">
        <v>17330</v>
      </c>
      <c r="G2999" s="1" t="s">
        <v>28439</v>
      </c>
      <c r="H2999" s="1" t="s">
        <v>16716</v>
      </c>
      <c r="I2999" s="346"/>
      <c r="J2999" s="39">
        <v>114832</v>
      </c>
      <c r="K2999" s="36" t="str">
        <f>CONCATENATE(Cover!$D$6,"fdd/view?i=",J2999)</f>
        <v>https://www.dgiwg.org/FAD/fdd/view?i=114832</v>
      </c>
      <c r="L2999" s="36" t="s">
        <v>28440</v>
      </c>
      <c r="M2999" s="186"/>
      <c r="N2999" s="186"/>
      <c r="O2999" s="13" t="s">
        <v>17328</v>
      </c>
    </row>
    <row r="3000" spans="1:15" ht="25.5" x14ac:dyDescent="0.2">
      <c r="A3000" s="197" t="str">
        <f t="shared" si="46"/>
        <v>DtcCode_chan026Z</v>
      </c>
      <c r="B3000" s="409"/>
      <c r="C3000" s="416"/>
      <c r="D3000" s="198" t="s">
        <v>17334</v>
      </c>
      <c r="E3000" s="198">
        <v>67</v>
      </c>
      <c r="F3000" s="199" t="s">
        <v>17335</v>
      </c>
      <c r="G3000" s="1" t="s">
        <v>28441</v>
      </c>
      <c r="H3000" s="1" t="s">
        <v>16716</v>
      </c>
      <c r="I3000" s="346"/>
      <c r="J3000" s="39">
        <v>114833</v>
      </c>
      <c r="K3000" s="36" t="str">
        <f>CONCATENATE(Cover!$D$6,"fdd/view?i=",J3000)</f>
        <v>https://www.dgiwg.org/FAD/fdd/view?i=114833</v>
      </c>
      <c r="L3000" s="36" t="s">
        <v>28442</v>
      </c>
      <c r="M3000" s="186"/>
      <c r="N3000" s="186"/>
      <c r="O3000" s="13" t="s">
        <v>17333</v>
      </c>
    </row>
    <row r="3001" spans="1:15" ht="25.5" x14ac:dyDescent="0.2">
      <c r="A3001" s="197" t="str">
        <f t="shared" si="46"/>
        <v>DtcCode_chan027X</v>
      </c>
      <c r="B3001" s="409"/>
      <c r="C3001" s="416"/>
      <c r="D3001" s="198" t="s">
        <v>17339</v>
      </c>
      <c r="E3001" s="198">
        <v>68</v>
      </c>
      <c r="F3001" s="199" t="s">
        <v>17340</v>
      </c>
      <c r="G3001" s="1" t="s">
        <v>28443</v>
      </c>
      <c r="H3001" s="1" t="s">
        <v>16716</v>
      </c>
      <c r="I3001" s="346"/>
      <c r="J3001" s="39">
        <v>114834</v>
      </c>
      <c r="K3001" s="36" t="str">
        <f>CONCATENATE(Cover!$D$6,"fdd/view?i=",J3001)</f>
        <v>https://www.dgiwg.org/FAD/fdd/view?i=114834</v>
      </c>
      <c r="L3001" s="36" t="s">
        <v>28444</v>
      </c>
      <c r="M3001" s="186"/>
      <c r="N3001" s="186"/>
      <c r="O3001" s="13" t="s">
        <v>17338</v>
      </c>
    </row>
    <row r="3002" spans="1:15" ht="25.5" x14ac:dyDescent="0.2">
      <c r="A3002" s="197" t="str">
        <f t="shared" si="46"/>
        <v>DtcCode_chan027Y</v>
      </c>
      <c r="B3002" s="409"/>
      <c r="C3002" s="416"/>
      <c r="D3002" s="198" t="s">
        <v>17344</v>
      </c>
      <c r="E3002" s="198">
        <v>69</v>
      </c>
      <c r="F3002" s="199" t="s">
        <v>17345</v>
      </c>
      <c r="G3002" s="1" t="s">
        <v>28445</v>
      </c>
      <c r="H3002" s="1" t="s">
        <v>16716</v>
      </c>
      <c r="I3002" s="346"/>
      <c r="J3002" s="39">
        <v>114835</v>
      </c>
      <c r="K3002" s="36" t="str">
        <f>CONCATENATE(Cover!$D$6,"fdd/view?i=",J3002)</f>
        <v>https://www.dgiwg.org/FAD/fdd/view?i=114835</v>
      </c>
      <c r="L3002" s="36" t="s">
        <v>28446</v>
      </c>
      <c r="M3002" s="186"/>
      <c r="N3002" s="186"/>
      <c r="O3002" s="13" t="s">
        <v>17343</v>
      </c>
    </row>
    <row r="3003" spans="1:15" ht="25.5" x14ac:dyDescent="0.2">
      <c r="A3003" s="197" t="str">
        <f t="shared" si="46"/>
        <v>DtcCode_chan027Z</v>
      </c>
      <c r="B3003" s="409"/>
      <c r="C3003" s="416"/>
      <c r="D3003" s="198" t="s">
        <v>17349</v>
      </c>
      <c r="E3003" s="198">
        <v>70</v>
      </c>
      <c r="F3003" s="199" t="s">
        <v>17350</v>
      </c>
      <c r="G3003" s="1" t="s">
        <v>28447</v>
      </c>
      <c r="H3003" s="1" t="s">
        <v>16716</v>
      </c>
      <c r="I3003" s="346"/>
      <c r="J3003" s="39">
        <v>114836</v>
      </c>
      <c r="K3003" s="36" t="str">
        <f>CONCATENATE(Cover!$D$6,"fdd/view?i=",J3003)</f>
        <v>https://www.dgiwg.org/FAD/fdd/view?i=114836</v>
      </c>
      <c r="L3003" s="36" t="s">
        <v>28448</v>
      </c>
      <c r="M3003" s="186"/>
      <c r="N3003" s="186"/>
      <c r="O3003" s="13" t="s">
        <v>17348</v>
      </c>
    </row>
    <row r="3004" spans="1:15" ht="25.5" x14ac:dyDescent="0.2">
      <c r="A3004" s="197" t="str">
        <f t="shared" si="46"/>
        <v>DtcCode_chan028W</v>
      </c>
      <c r="B3004" s="409"/>
      <c r="C3004" s="416"/>
      <c r="D3004" s="198" t="s">
        <v>17354</v>
      </c>
      <c r="E3004" s="198">
        <v>71</v>
      </c>
      <c r="F3004" s="199" t="s">
        <v>17355</v>
      </c>
      <c r="G3004" s="1" t="s">
        <v>28449</v>
      </c>
      <c r="H3004" s="1" t="s">
        <v>16716</v>
      </c>
      <c r="I3004" s="346"/>
      <c r="J3004" s="39">
        <v>114837</v>
      </c>
      <c r="K3004" s="36" t="str">
        <f>CONCATENATE(Cover!$D$6,"fdd/view?i=",J3004)</f>
        <v>https://www.dgiwg.org/FAD/fdd/view?i=114837</v>
      </c>
      <c r="L3004" s="36" t="s">
        <v>28450</v>
      </c>
      <c r="M3004" s="186"/>
      <c r="N3004" s="186"/>
      <c r="O3004" s="13" t="s">
        <v>17353</v>
      </c>
    </row>
    <row r="3005" spans="1:15" ht="25.5" x14ac:dyDescent="0.2">
      <c r="A3005" s="197" t="str">
        <f t="shared" si="46"/>
        <v>DtcCode_chan028X</v>
      </c>
      <c r="B3005" s="409"/>
      <c r="C3005" s="416"/>
      <c r="D3005" s="198" t="s">
        <v>17359</v>
      </c>
      <c r="E3005" s="198">
        <v>72</v>
      </c>
      <c r="F3005" s="199" t="s">
        <v>17360</v>
      </c>
      <c r="G3005" s="1" t="s">
        <v>28451</v>
      </c>
      <c r="H3005" s="1" t="s">
        <v>16716</v>
      </c>
      <c r="I3005" s="346"/>
      <c r="J3005" s="39">
        <v>114838</v>
      </c>
      <c r="K3005" s="36" t="str">
        <f>CONCATENATE(Cover!$D$6,"fdd/view?i=",J3005)</f>
        <v>https://www.dgiwg.org/FAD/fdd/view?i=114838</v>
      </c>
      <c r="L3005" s="36" t="s">
        <v>28452</v>
      </c>
      <c r="M3005" s="186"/>
      <c r="N3005" s="186"/>
      <c r="O3005" s="13" t="s">
        <v>17358</v>
      </c>
    </row>
    <row r="3006" spans="1:15" ht="25.5" x14ac:dyDescent="0.2">
      <c r="A3006" s="197" t="str">
        <f t="shared" si="46"/>
        <v>DtcCode_chan028Y</v>
      </c>
      <c r="B3006" s="409"/>
      <c r="C3006" s="416"/>
      <c r="D3006" s="198" t="s">
        <v>17364</v>
      </c>
      <c r="E3006" s="198">
        <v>73</v>
      </c>
      <c r="F3006" s="199" t="s">
        <v>17365</v>
      </c>
      <c r="G3006" s="1" t="s">
        <v>28453</v>
      </c>
      <c r="H3006" s="1" t="s">
        <v>16716</v>
      </c>
      <c r="I3006" s="346"/>
      <c r="J3006" s="39">
        <v>114839</v>
      </c>
      <c r="K3006" s="36" t="str">
        <f>CONCATENATE(Cover!$D$6,"fdd/view?i=",J3006)</f>
        <v>https://www.dgiwg.org/FAD/fdd/view?i=114839</v>
      </c>
      <c r="L3006" s="36" t="s">
        <v>28454</v>
      </c>
      <c r="M3006" s="186"/>
      <c r="N3006" s="186"/>
      <c r="O3006" s="13" t="s">
        <v>17363</v>
      </c>
    </row>
    <row r="3007" spans="1:15" ht="25.5" x14ac:dyDescent="0.2">
      <c r="A3007" s="197" t="str">
        <f t="shared" si="46"/>
        <v>DtcCode_chan028Z</v>
      </c>
      <c r="B3007" s="409"/>
      <c r="C3007" s="416"/>
      <c r="D3007" s="198" t="s">
        <v>17369</v>
      </c>
      <c r="E3007" s="198">
        <v>74</v>
      </c>
      <c r="F3007" s="199" t="s">
        <v>17370</v>
      </c>
      <c r="G3007" s="1" t="s">
        <v>28455</v>
      </c>
      <c r="H3007" s="1" t="s">
        <v>16716</v>
      </c>
      <c r="I3007" s="346"/>
      <c r="J3007" s="39">
        <v>114840</v>
      </c>
      <c r="K3007" s="36" t="str">
        <f>CONCATENATE(Cover!$D$6,"fdd/view?i=",J3007)</f>
        <v>https://www.dgiwg.org/FAD/fdd/view?i=114840</v>
      </c>
      <c r="L3007" s="36" t="s">
        <v>28456</v>
      </c>
      <c r="M3007" s="186"/>
      <c r="N3007" s="186"/>
      <c r="O3007" s="13" t="s">
        <v>17368</v>
      </c>
    </row>
    <row r="3008" spans="1:15" ht="25.5" x14ac:dyDescent="0.2">
      <c r="A3008" s="197" t="str">
        <f t="shared" si="46"/>
        <v>DtcCode_chan029X</v>
      </c>
      <c r="B3008" s="409"/>
      <c r="C3008" s="416"/>
      <c r="D3008" s="198" t="s">
        <v>17374</v>
      </c>
      <c r="E3008" s="198">
        <v>75</v>
      </c>
      <c r="F3008" s="199" t="s">
        <v>17375</v>
      </c>
      <c r="G3008" s="1" t="s">
        <v>28457</v>
      </c>
      <c r="H3008" s="1" t="s">
        <v>16716</v>
      </c>
      <c r="I3008" s="346"/>
      <c r="J3008" s="39">
        <v>114841</v>
      </c>
      <c r="K3008" s="36" t="str">
        <f>CONCATENATE(Cover!$D$6,"fdd/view?i=",J3008)</f>
        <v>https://www.dgiwg.org/FAD/fdd/view?i=114841</v>
      </c>
      <c r="L3008" s="36" t="s">
        <v>28458</v>
      </c>
      <c r="M3008" s="186"/>
      <c r="N3008" s="186"/>
      <c r="O3008" s="13" t="s">
        <v>17373</v>
      </c>
    </row>
    <row r="3009" spans="1:15" ht="25.5" x14ac:dyDescent="0.2">
      <c r="A3009" s="197" t="str">
        <f t="shared" si="46"/>
        <v>DtcCode_chan029Y</v>
      </c>
      <c r="B3009" s="409"/>
      <c r="C3009" s="416"/>
      <c r="D3009" s="198" t="s">
        <v>17379</v>
      </c>
      <c r="E3009" s="198">
        <v>76</v>
      </c>
      <c r="F3009" s="199" t="s">
        <v>17380</v>
      </c>
      <c r="G3009" s="1" t="s">
        <v>28459</v>
      </c>
      <c r="H3009" s="1" t="s">
        <v>16716</v>
      </c>
      <c r="I3009" s="346"/>
      <c r="J3009" s="39">
        <v>114842</v>
      </c>
      <c r="K3009" s="36" t="str">
        <f>CONCATENATE(Cover!$D$6,"fdd/view?i=",J3009)</f>
        <v>https://www.dgiwg.org/FAD/fdd/view?i=114842</v>
      </c>
      <c r="L3009" s="36" t="s">
        <v>28460</v>
      </c>
      <c r="M3009" s="186"/>
      <c r="N3009" s="186"/>
      <c r="O3009" s="13" t="s">
        <v>17378</v>
      </c>
    </row>
    <row r="3010" spans="1:15" ht="25.5" x14ac:dyDescent="0.2">
      <c r="A3010" s="197" t="str">
        <f t="shared" ref="A3010:A3073" si="47">HYPERLINK(K3010,L3010)</f>
        <v>DtcCode_chan029Z</v>
      </c>
      <c r="B3010" s="409"/>
      <c r="C3010" s="416"/>
      <c r="D3010" s="198" t="s">
        <v>17384</v>
      </c>
      <c r="E3010" s="198">
        <v>77</v>
      </c>
      <c r="F3010" s="199" t="s">
        <v>17385</v>
      </c>
      <c r="G3010" s="1" t="s">
        <v>28461</v>
      </c>
      <c r="H3010" s="1" t="s">
        <v>16716</v>
      </c>
      <c r="I3010" s="346"/>
      <c r="J3010" s="39">
        <v>114843</v>
      </c>
      <c r="K3010" s="36" t="str">
        <f>CONCATENATE(Cover!$D$6,"fdd/view?i=",J3010)</f>
        <v>https://www.dgiwg.org/FAD/fdd/view?i=114843</v>
      </c>
      <c r="L3010" s="36" t="s">
        <v>28462</v>
      </c>
      <c r="M3010" s="186"/>
      <c r="N3010" s="186"/>
      <c r="O3010" s="13" t="s">
        <v>17383</v>
      </c>
    </row>
    <row r="3011" spans="1:15" ht="25.5" x14ac:dyDescent="0.2">
      <c r="A3011" s="197" t="str">
        <f t="shared" si="47"/>
        <v>DtcCode_chan030W</v>
      </c>
      <c r="B3011" s="409"/>
      <c r="C3011" s="416"/>
      <c r="D3011" s="198" t="s">
        <v>17399</v>
      </c>
      <c r="E3011" s="198">
        <v>78</v>
      </c>
      <c r="F3011" s="199" t="s">
        <v>17400</v>
      </c>
      <c r="G3011" s="1" t="s">
        <v>28467</v>
      </c>
      <c r="H3011" s="1" t="s">
        <v>16716</v>
      </c>
      <c r="I3011" s="346"/>
      <c r="J3011" s="39">
        <v>114844</v>
      </c>
      <c r="K3011" s="36" t="str">
        <f>CONCATENATE(Cover!$D$6,"fdd/view?i=",J3011)</f>
        <v>https://www.dgiwg.org/FAD/fdd/view?i=114844</v>
      </c>
      <c r="L3011" s="36" t="s">
        <v>28468</v>
      </c>
      <c r="M3011" s="186"/>
      <c r="N3011" s="186"/>
      <c r="O3011" s="13" t="s">
        <v>17398</v>
      </c>
    </row>
    <row r="3012" spans="1:15" ht="25.5" x14ac:dyDescent="0.2">
      <c r="A3012" s="197" t="str">
        <f t="shared" si="47"/>
        <v>DtcCode_chan030X</v>
      </c>
      <c r="B3012" s="409"/>
      <c r="C3012" s="416"/>
      <c r="D3012" s="198" t="s">
        <v>17404</v>
      </c>
      <c r="E3012" s="198">
        <v>79</v>
      </c>
      <c r="F3012" s="199" t="s">
        <v>17405</v>
      </c>
      <c r="G3012" s="1" t="s">
        <v>28469</v>
      </c>
      <c r="H3012" s="1" t="s">
        <v>16716</v>
      </c>
      <c r="I3012" s="346"/>
      <c r="J3012" s="39">
        <v>114845</v>
      </c>
      <c r="K3012" s="36" t="str">
        <f>CONCATENATE(Cover!$D$6,"fdd/view?i=",J3012)</f>
        <v>https://www.dgiwg.org/FAD/fdd/view?i=114845</v>
      </c>
      <c r="L3012" s="36" t="s">
        <v>28470</v>
      </c>
      <c r="M3012" s="186"/>
      <c r="N3012" s="186"/>
      <c r="O3012" s="13" t="s">
        <v>17403</v>
      </c>
    </row>
    <row r="3013" spans="1:15" ht="25.5" x14ac:dyDescent="0.2">
      <c r="A3013" s="197" t="str">
        <f t="shared" si="47"/>
        <v>DtcCode_chan030Y</v>
      </c>
      <c r="B3013" s="409"/>
      <c r="C3013" s="416"/>
      <c r="D3013" s="198" t="s">
        <v>17409</v>
      </c>
      <c r="E3013" s="198">
        <v>80</v>
      </c>
      <c r="F3013" s="199" t="s">
        <v>17410</v>
      </c>
      <c r="G3013" s="1" t="s">
        <v>28471</v>
      </c>
      <c r="H3013" s="1" t="s">
        <v>16716</v>
      </c>
      <c r="I3013" s="346"/>
      <c r="J3013" s="39">
        <v>114846</v>
      </c>
      <c r="K3013" s="36" t="str">
        <f>CONCATENATE(Cover!$D$6,"fdd/view?i=",J3013)</f>
        <v>https://www.dgiwg.org/FAD/fdd/view?i=114846</v>
      </c>
      <c r="L3013" s="36" t="s">
        <v>28472</v>
      </c>
      <c r="M3013" s="186"/>
      <c r="N3013" s="186"/>
      <c r="O3013" s="13" t="s">
        <v>17408</v>
      </c>
    </row>
    <row r="3014" spans="1:15" ht="25.5" x14ac:dyDescent="0.2">
      <c r="A3014" s="197" t="str">
        <f t="shared" si="47"/>
        <v>DtcCode_chan030Z</v>
      </c>
      <c r="B3014" s="409"/>
      <c r="C3014" s="416"/>
      <c r="D3014" s="198" t="s">
        <v>17414</v>
      </c>
      <c r="E3014" s="198">
        <v>81</v>
      </c>
      <c r="F3014" s="199" t="s">
        <v>17415</v>
      </c>
      <c r="G3014" s="1" t="s">
        <v>28473</v>
      </c>
      <c r="H3014" s="1" t="s">
        <v>16716</v>
      </c>
      <c r="I3014" s="346"/>
      <c r="J3014" s="39">
        <v>114847</v>
      </c>
      <c r="K3014" s="36" t="str">
        <f>CONCATENATE(Cover!$D$6,"fdd/view?i=",J3014)</f>
        <v>https://www.dgiwg.org/FAD/fdd/view?i=114847</v>
      </c>
      <c r="L3014" s="36" t="s">
        <v>28474</v>
      </c>
      <c r="M3014" s="186"/>
      <c r="N3014" s="186"/>
      <c r="O3014" s="13" t="s">
        <v>17413</v>
      </c>
    </row>
    <row r="3015" spans="1:15" ht="25.5" x14ac:dyDescent="0.2">
      <c r="A3015" s="197" t="str">
        <f t="shared" si="47"/>
        <v>DtcCode_chan031X</v>
      </c>
      <c r="B3015" s="409"/>
      <c r="C3015" s="416"/>
      <c r="D3015" s="198" t="s">
        <v>17419</v>
      </c>
      <c r="E3015" s="198">
        <v>82</v>
      </c>
      <c r="F3015" s="199" t="s">
        <v>17420</v>
      </c>
      <c r="G3015" s="1" t="s">
        <v>28475</v>
      </c>
      <c r="H3015" s="1" t="s">
        <v>16716</v>
      </c>
      <c r="I3015" s="346"/>
      <c r="J3015" s="39">
        <v>114848</v>
      </c>
      <c r="K3015" s="36" t="str">
        <f>CONCATENATE(Cover!$D$6,"fdd/view?i=",J3015)</f>
        <v>https://www.dgiwg.org/FAD/fdd/view?i=114848</v>
      </c>
      <c r="L3015" s="36" t="s">
        <v>28476</v>
      </c>
      <c r="M3015" s="186"/>
      <c r="N3015" s="186"/>
      <c r="O3015" s="13" t="s">
        <v>17418</v>
      </c>
    </row>
    <row r="3016" spans="1:15" ht="25.5" x14ac:dyDescent="0.2">
      <c r="A3016" s="197" t="str">
        <f t="shared" si="47"/>
        <v>DtcCode_chan031Y</v>
      </c>
      <c r="B3016" s="409"/>
      <c r="C3016" s="416"/>
      <c r="D3016" s="198" t="s">
        <v>17424</v>
      </c>
      <c r="E3016" s="198">
        <v>83</v>
      </c>
      <c r="F3016" s="199" t="s">
        <v>17425</v>
      </c>
      <c r="G3016" s="1" t="s">
        <v>28477</v>
      </c>
      <c r="H3016" s="1" t="s">
        <v>16716</v>
      </c>
      <c r="I3016" s="346"/>
      <c r="J3016" s="39">
        <v>114849</v>
      </c>
      <c r="K3016" s="36" t="str">
        <f>CONCATENATE(Cover!$D$6,"fdd/view?i=",J3016)</f>
        <v>https://www.dgiwg.org/FAD/fdd/view?i=114849</v>
      </c>
      <c r="L3016" s="36" t="s">
        <v>28478</v>
      </c>
      <c r="M3016" s="186"/>
      <c r="N3016" s="186"/>
      <c r="O3016" s="13" t="s">
        <v>17423</v>
      </c>
    </row>
    <row r="3017" spans="1:15" ht="25.5" x14ac:dyDescent="0.2">
      <c r="A3017" s="197" t="str">
        <f t="shared" si="47"/>
        <v>DtcCode_chan031Z</v>
      </c>
      <c r="B3017" s="409"/>
      <c r="C3017" s="416"/>
      <c r="D3017" s="198" t="s">
        <v>17429</v>
      </c>
      <c r="E3017" s="198">
        <v>84</v>
      </c>
      <c r="F3017" s="199" t="s">
        <v>17430</v>
      </c>
      <c r="G3017" s="1" t="s">
        <v>28479</v>
      </c>
      <c r="H3017" s="1" t="s">
        <v>16716</v>
      </c>
      <c r="I3017" s="346"/>
      <c r="J3017" s="39">
        <v>114850</v>
      </c>
      <c r="K3017" s="36" t="str">
        <f>CONCATENATE(Cover!$D$6,"fdd/view?i=",J3017)</f>
        <v>https://www.dgiwg.org/FAD/fdd/view?i=114850</v>
      </c>
      <c r="L3017" s="36" t="s">
        <v>28480</v>
      </c>
      <c r="M3017" s="186"/>
      <c r="N3017" s="186"/>
      <c r="O3017" s="13" t="s">
        <v>17428</v>
      </c>
    </row>
    <row r="3018" spans="1:15" ht="25.5" x14ac:dyDescent="0.2">
      <c r="A3018" s="197" t="str">
        <f t="shared" si="47"/>
        <v>DtcCode_chan032W</v>
      </c>
      <c r="B3018" s="409"/>
      <c r="C3018" s="416"/>
      <c r="D3018" s="198" t="s">
        <v>17434</v>
      </c>
      <c r="E3018" s="198">
        <v>85</v>
      </c>
      <c r="F3018" s="199" t="s">
        <v>17435</v>
      </c>
      <c r="G3018" s="1" t="s">
        <v>28481</v>
      </c>
      <c r="H3018" s="1" t="s">
        <v>16716</v>
      </c>
      <c r="I3018" s="346"/>
      <c r="J3018" s="39">
        <v>114851</v>
      </c>
      <c r="K3018" s="36" t="str">
        <f>CONCATENATE(Cover!$D$6,"fdd/view?i=",J3018)</f>
        <v>https://www.dgiwg.org/FAD/fdd/view?i=114851</v>
      </c>
      <c r="L3018" s="36" t="s">
        <v>28482</v>
      </c>
      <c r="M3018" s="186"/>
      <c r="N3018" s="186"/>
      <c r="O3018" s="13" t="s">
        <v>17433</v>
      </c>
    </row>
    <row r="3019" spans="1:15" ht="25.5" x14ac:dyDescent="0.2">
      <c r="A3019" s="197" t="str">
        <f t="shared" si="47"/>
        <v>DtcCode_chan032X</v>
      </c>
      <c r="B3019" s="409"/>
      <c r="C3019" s="416"/>
      <c r="D3019" s="198" t="s">
        <v>17439</v>
      </c>
      <c r="E3019" s="198">
        <v>86</v>
      </c>
      <c r="F3019" s="199" t="s">
        <v>17440</v>
      </c>
      <c r="G3019" s="1" t="s">
        <v>28483</v>
      </c>
      <c r="H3019" s="1" t="s">
        <v>16716</v>
      </c>
      <c r="I3019" s="346"/>
      <c r="J3019" s="39">
        <v>114852</v>
      </c>
      <c r="K3019" s="36" t="str">
        <f>CONCATENATE(Cover!$D$6,"fdd/view?i=",J3019)</f>
        <v>https://www.dgiwg.org/FAD/fdd/view?i=114852</v>
      </c>
      <c r="L3019" s="36" t="s">
        <v>28484</v>
      </c>
      <c r="M3019" s="186"/>
      <c r="N3019" s="186"/>
      <c r="O3019" s="13" t="s">
        <v>17438</v>
      </c>
    </row>
    <row r="3020" spans="1:15" ht="25.5" x14ac:dyDescent="0.2">
      <c r="A3020" s="197" t="str">
        <f t="shared" si="47"/>
        <v>DtcCode_chan032Y</v>
      </c>
      <c r="B3020" s="409"/>
      <c r="C3020" s="416"/>
      <c r="D3020" s="198" t="s">
        <v>17444</v>
      </c>
      <c r="E3020" s="198">
        <v>87</v>
      </c>
      <c r="F3020" s="199" t="s">
        <v>17445</v>
      </c>
      <c r="G3020" s="1" t="s">
        <v>28485</v>
      </c>
      <c r="H3020" s="1" t="s">
        <v>16716</v>
      </c>
      <c r="I3020" s="346"/>
      <c r="J3020" s="39">
        <v>114853</v>
      </c>
      <c r="K3020" s="36" t="str">
        <f>CONCATENATE(Cover!$D$6,"fdd/view?i=",J3020)</f>
        <v>https://www.dgiwg.org/FAD/fdd/view?i=114853</v>
      </c>
      <c r="L3020" s="36" t="s">
        <v>28486</v>
      </c>
      <c r="M3020" s="186"/>
      <c r="N3020" s="186"/>
      <c r="O3020" s="13" t="s">
        <v>17443</v>
      </c>
    </row>
    <row r="3021" spans="1:15" ht="25.5" x14ac:dyDescent="0.2">
      <c r="A3021" s="197" t="str">
        <f t="shared" si="47"/>
        <v>DtcCode_chan032Z</v>
      </c>
      <c r="B3021" s="409"/>
      <c r="C3021" s="416"/>
      <c r="D3021" s="198" t="s">
        <v>17449</v>
      </c>
      <c r="E3021" s="198">
        <v>88</v>
      </c>
      <c r="F3021" s="199" t="s">
        <v>17450</v>
      </c>
      <c r="G3021" s="1" t="s">
        <v>28487</v>
      </c>
      <c r="H3021" s="1" t="s">
        <v>16716</v>
      </c>
      <c r="I3021" s="346"/>
      <c r="J3021" s="39">
        <v>114854</v>
      </c>
      <c r="K3021" s="36" t="str">
        <f>CONCATENATE(Cover!$D$6,"fdd/view?i=",J3021)</f>
        <v>https://www.dgiwg.org/FAD/fdd/view?i=114854</v>
      </c>
      <c r="L3021" s="36" t="s">
        <v>28488</v>
      </c>
      <c r="M3021" s="186"/>
      <c r="N3021" s="186"/>
      <c r="O3021" s="13" t="s">
        <v>17448</v>
      </c>
    </row>
    <row r="3022" spans="1:15" ht="25.5" x14ac:dyDescent="0.2">
      <c r="A3022" s="197" t="str">
        <f t="shared" si="47"/>
        <v>DtcCode_chan033X</v>
      </c>
      <c r="B3022" s="409"/>
      <c r="C3022" s="416"/>
      <c r="D3022" s="198" t="s">
        <v>17454</v>
      </c>
      <c r="E3022" s="198">
        <v>89</v>
      </c>
      <c r="F3022" s="199" t="s">
        <v>17455</v>
      </c>
      <c r="G3022" s="1" t="s">
        <v>28489</v>
      </c>
      <c r="H3022" s="1" t="s">
        <v>16716</v>
      </c>
      <c r="I3022" s="346"/>
      <c r="J3022" s="39">
        <v>114855</v>
      </c>
      <c r="K3022" s="36" t="str">
        <f>CONCATENATE(Cover!$D$6,"fdd/view?i=",J3022)</f>
        <v>https://www.dgiwg.org/FAD/fdd/view?i=114855</v>
      </c>
      <c r="L3022" s="36" t="s">
        <v>28490</v>
      </c>
      <c r="M3022" s="186"/>
      <c r="N3022" s="186"/>
      <c r="O3022" s="13" t="s">
        <v>17453</v>
      </c>
    </row>
    <row r="3023" spans="1:15" ht="25.5" x14ac:dyDescent="0.2">
      <c r="A3023" s="197" t="str">
        <f t="shared" si="47"/>
        <v>DtcCode_chan033Y</v>
      </c>
      <c r="B3023" s="409"/>
      <c r="C3023" s="416"/>
      <c r="D3023" s="198" t="s">
        <v>17459</v>
      </c>
      <c r="E3023" s="198">
        <v>90</v>
      </c>
      <c r="F3023" s="199" t="s">
        <v>17460</v>
      </c>
      <c r="G3023" s="1" t="s">
        <v>28491</v>
      </c>
      <c r="H3023" s="1" t="s">
        <v>16716</v>
      </c>
      <c r="I3023" s="346"/>
      <c r="J3023" s="39">
        <v>114856</v>
      </c>
      <c r="K3023" s="36" t="str">
        <f>CONCATENATE(Cover!$D$6,"fdd/view?i=",J3023)</f>
        <v>https://www.dgiwg.org/FAD/fdd/view?i=114856</v>
      </c>
      <c r="L3023" s="36" t="s">
        <v>28492</v>
      </c>
      <c r="M3023" s="186"/>
      <c r="N3023" s="186"/>
      <c r="O3023" s="13" t="s">
        <v>17458</v>
      </c>
    </row>
    <row r="3024" spans="1:15" ht="25.5" x14ac:dyDescent="0.2">
      <c r="A3024" s="197" t="str">
        <f t="shared" si="47"/>
        <v>DtcCode_chan033Z</v>
      </c>
      <c r="B3024" s="409"/>
      <c r="C3024" s="416"/>
      <c r="D3024" s="198" t="s">
        <v>17464</v>
      </c>
      <c r="E3024" s="198">
        <v>91</v>
      </c>
      <c r="F3024" s="199" t="s">
        <v>17465</v>
      </c>
      <c r="G3024" s="1" t="s">
        <v>28493</v>
      </c>
      <c r="H3024" s="1" t="s">
        <v>16716</v>
      </c>
      <c r="I3024" s="346"/>
      <c r="J3024" s="39">
        <v>114857</v>
      </c>
      <c r="K3024" s="36" t="str">
        <f>CONCATENATE(Cover!$D$6,"fdd/view?i=",J3024)</f>
        <v>https://www.dgiwg.org/FAD/fdd/view?i=114857</v>
      </c>
      <c r="L3024" s="36" t="s">
        <v>28494</v>
      </c>
      <c r="M3024" s="186"/>
      <c r="N3024" s="186"/>
      <c r="O3024" s="13" t="s">
        <v>17463</v>
      </c>
    </row>
    <row r="3025" spans="1:15" ht="25.5" x14ac:dyDescent="0.2">
      <c r="A3025" s="197" t="str">
        <f t="shared" si="47"/>
        <v>DtcCode_chan034W</v>
      </c>
      <c r="B3025" s="409"/>
      <c r="C3025" s="416"/>
      <c r="D3025" s="198" t="s">
        <v>17469</v>
      </c>
      <c r="E3025" s="198">
        <v>92</v>
      </c>
      <c r="F3025" s="199" t="s">
        <v>17470</v>
      </c>
      <c r="G3025" s="1" t="s">
        <v>28495</v>
      </c>
      <c r="H3025" s="1" t="s">
        <v>16716</v>
      </c>
      <c r="I3025" s="346"/>
      <c r="J3025" s="39">
        <v>114858</v>
      </c>
      <c r="K3025" s="36" t="str">
        <f>CONCATENATE(Cover!$D$6,"fdd/view?i=",J3025)</f>
        <v>https://www.dgiwg.org/FAD/fdd/view?i=114858</v>
      </c>
      <c r="L3025" s="36" t="s">
        <v>28496</v>
      </c>
      <c r="M3025" s="186"/>
      <c r="N3025" s="186"/>
      <c r="O3025" s="13" t="s">
        <v>17468</v>
      </c>
    </row>
    <row r="3026" spans="1:15" ht="25.5" x14ac:dyDescent="0.2">
      <c r="A3026" s="197" t="str">
        <f t="shared" si="47"/>
        <v>DtcCode_chan034X</v>
      </c>
      <c r="B3026" s="409"/>
      <c r="C3026" s="416"/>
      <c r="D3026" s="198" t="s">
        <v>17474</v>
      </c>
      <c r="E3026" s="198">
        <v>93</v>
      </c>
      <c r="F3026" s="199" t="s">
        <v>17475</v>
      </c>
      <c r="G3026" s="1" t="s">
        <v>28497</v>
      </c>
      <c r="H3026" s="1" t="s">
        <v>16716</v>
      </c>
      <c r="I3026" s="346"/>
      <c r="J3026" s="39">
        <v>114859</v>
      </c>
      <c r="K3026" s="36" t="str">
        <f>CONCATENATE(Cover!$D$6,"fdd/view?i=",J3026)</f>
        <v>https://www.dgiwg.org/FAD/fdd/view?i=114859</v>
      </c>
      <c r="L3026" s="36" t="s">
        <v>28498</v>
      </c>
      <c r="M3026" s="186"/>
      <c r="N3026" s="186"/>
      <c r="O3026" s="13" t="s">
        <v>17473</v>
      </c>
    </row>
    <row r="3027" spans="1:15" ht="25.5" x14ac:dyDescent="0.2">
      <c r="A3027" s="197" t="str">
        <f t="shared" si="47"/>
        <v>DtcCode_chan034Y</v>
      </c>
      <c r="B3027" s="409"/>
      <c r="C3027" s="416"/>
      <c r="D3027" s="198" t="s">
        <v>17479</v>
      </c>
      <c r="E3027" s="198">
        <v>94</v>
      </c>
      <c r="F3027" s="199" t="s">
        <v>17480</v>
      </c>
      <c r="G3027" s="1" t="s">
        <v>28499</v>
      </c>
      <c r="H3027" s="1" t="s">
        <v>16716</v>
      </c>
      <c r="I3027" s="346"/>
      <c r="J3027" s="39">
        <v>114860</v>
      </c>
      <c r="K3027" s="36" t="str">
        <f>CONCATENATE(Cover!$D$6,"fdd/view?i=",J3027)</f>
        <v>https://www.dgiwg.org/FAD/fdd/view?i=114860</v>
      </c>
      <c r="L3027" s="36" t="s">
        <v>28500</v>
      </c>
      <c r="M3027" s="186"/>
      <c r="N3027" s="186"/>
      <c r="O3027" s="13" t="s">
        <v>17478</v>
      </c>
    </row>
    <row r="3028" spans="1:15" ht="25.5" x14ac:dyDescent="0.2">
      <c r="A3028" s="197" t="str">
        <f t="shared" si="47"/>
        <v>DtcCode_chan034Z</v>
      </c>
      <c r="B3028" s="409"/>
      <c r="C3028" s="416"/>
      <c r="D3028" s="198" t="s">
        <v>17484</v>
      </c>
      <c r="E3028" s="198">
        <v>95</v>
      </c>
      <c r="F3028" s="199" t="s">
        <v>17485</v>
      </c>
      <c r="G3028" s="1" t="s">
        <v>28501</v>
      </c>
      <c r="H3028" s="1" t="s">
        <v>16716</v>
      </c>
      <c r="I3028" s="346"/>
      <c r="J3028" s="39">
        <v>114861</v>
      </c>
      <c r="K3028" s="36" t="str">
        <f>CONCATENATE(Cover!$D$6,"fdd/view?i=",J3028)</f>
        <v>https://www.dgiwg.org/FAD/fdd/view?i=114861</v>
      </c>
      <c r="L3028" s="36" t="s">
        <v>28502</v>
      </c>
      <c r="M3028" s="186"/>
      <c r="N3028" s="186"/>
      <c r="O3028" s="13" t="s">
        <v>17483</v>
      </c>
    </row>
    <row r="3029" spans="1:15" ht="25.5" x14ac:dyDescent="0.2">
      <c r="A3029" s="197" t="str">
        <f t="shared" si="47"/>
        <v>DtcCode_chan035X</v>
      </c>
      <c r="B3029" s="409"/>
      <c r="C3029" s="416"/>
      <c r="D3029" s="198" t="s">
        <v>17489</v>
      </c>
      <c r="E3029" s="198">
        <v>96</v>
      </c>
      <c r="F3029" s="199" t="s">
        <v>17490</v>
      </c>
      <c r="G3029" s="1" t="s">
        <v>28503</v>
      </c>
      <c r="H3029" s="1" t="s">
        <v>16716</v>
      </c>
      <c r="I3029" s="346"/>
      <c r="J3029" s="39">
        <v>114862</v>
      </c>
      <c r="K3029" s="36" t="str">
        <f>CONCATENATE(Cover!$D$6,"fdd/view?i=",J3029)</f>
        <v>https://www.dgiwg.org/FAD/fdd/view?i=114862</v>
      </c>
      <c r="L3029" s="36" t="s">
        <v>28504</v>
      </c>
      <c r="M3029" s="186"/>
      <c r="N3029" s="186"/>
      <c r="O3029" s="13" t="s">
        <v>17488</v>
      </c>
    </row>
    <row r="3030" spans="1:15" ht="25.5" x14ac:dyDescent="0.2">
      <c r="A3030" s="197" t="str">
        <f t="shared" si="47"/>
        <v>DtcCode_chan035Y</v>
      </c>
      <c r="B3030" s="409"/>
      <c r="C3030" s="416"/>
      <c r="D3030" s="198" t="s">
        <v>17494</v>
      </c>
      <c r="E3030" s="198">
        <v>97</v>
      </c>
      <c r="F3030" s="199" t="s">
        <v>17495</v>
      </c>
      <c r="G3030" s="1" t="s">
        <v>28505</v>
      </c>
      <c r="H3030" s="1" t="s">
        <v>16716</v>
      </c>
      <c r="I3030" s="346"/>
      <c r="J3030" s="39">
        <v>114863</v>
      </c>
      <c r="K3030" s="36" t="str">
        <f>CONCATENATE(Cover!$D$6,"fdd/view?i=",J3030)</f>
        <v>https://www.dgiwg.org/FAD/fdd/view?i=114863</v>
      </c>
      <c r="L3030" s="36" t="s">
        <v>28506</v>
      </c>
      <c r="M3030" s="186"/>
      <c r="N3030" s="186"/>
      <c r="O3030" s="13" t="s">
        <v>17493</v>
      </c>
    </row>
    <row r="3031" spans="1:15" ht="25.5" x14ac:dyDescent="0.2">
      <c r="A3031" s="197" t="str">
        <f t="shared" si="47"/>
        <v>DtcCode_chan035Z</v>
      </c>
      <c r="B3031" s="409"/>
      <c r="C3031" s="416"/>
      <c r="D3031" s="198" t="s">
        <v>17499</v>
      </c>
      <c r="E3031" s="198">
        <v>98</v>
      </c>
      <c r="F3031" s="199" t="s">
        <v>17500</v>
      </c>
      <c r="G3031" s="1" t="s">
        <v>28507</v>
      </c>
      <c r="H3031" s="1" t="s">
        <v>16716</v>
      </c>
      <c r="I3031" s="346"/>
      <c r="J3031" s="39">
        <v>114864</v>
      </c>
      <c r="K3031" s="36" t="str">
        <f>CONCATENATE(Cover!$D$6,"fdd/view?i=",J3031)</f>
        <v>https://www.dgiwg.org/FAD/fdd/view?i=114864</v>
      </c>
      <c r="L3031" s="36" t="s">
        <v>28508</v>
      </c>
      <c r="M3031" s="186"/>
      <c r="N3031" s="186"/>
      <c r="O3031" s="13" t="s">
        <v>17498</v>
      </c>
    </row>
    <row r="3032" spans="1:15" ht="25.5" x14ac:dyDescent="0.2">
      <c r="A3032" s="197" t="str">
        <f t="shared" si="47"/>
        <v>DtcCode_chan036W</v>
      </c>
      <c r="B3032" s="409"/>
      <c r="C3032" s="416"/>
      <c r="D3032" s="198" t="s">
        <v>17504</v>
      </c>
      <c r="E3032" s="198">
        <v>99</v>
      </c>
      <c r="F3032" s="199" t="s">
        <v>17505</v>
      </c>
      <c r="G3032" s="1" t="s">
        <v>28509</v>
      </c>
      <c r="H3032" s="1" t="s">
        <v>16716</v>
      </c>
      <c r="I3032" s="346"/>
      <c r="J3032" s="39">
        <v>114865</v>
      </c>
      <c r="K3032" s="36" t="str">
        <f>CONCATENATE(Cover!$D$6,"fdd/view?i=",J3032)</f>
        <v>https://www.dgiwg.org/FAD/fdd/view?i=114865</v>
      </c>
      <c r="L3032" s="36" t="s">
        <v>28510</v>
      </c>
      <c r="M3032" s="186"/>
      <c r="N3032" s="186"/>
      <c r="O3032" s="13" t="s">
        <v>17503</v>
      </c>
    </row>
    <row r="3033" spans="1:15" ht="25.5" x14ac:dyDescent="0.2">
      <c r="A3033" s="197" t="str">
        <f t="shared" si="47"/>
        <v>DtcCode_chan036X</v>
      </c>
      <c r="B3033" s="409"/>
      <c r="C3033" s="416"/>
      <c r="D3033" s="198" t="s">
        <v>17509</v>
      </c>
      <c r="E3033" s="198">
        <v>100</v>
      </c>
      <c r="F3033" s="199" t="s">
        <v>17510</v>
      </c>
      <c r="G3033" s="1" t="s">
        <v>28511</v>
      </c>
      <c r="H3033" s="1" t="s">
        <v>16716</v>
      </c>
      <c r="I3033" s="346"/>
      <c r="J3033" s="39">
        <v>114866</v>
      </c>
      <c r="K3033" s="36" t="str">
        <f>CONCATENATE(Cover!$D$6,"fdd/view?i=",J3033)</f>
        <v>https://www.dgiwg.org/FAD/fdd/view?i=114866</v>
      </c>
      <c r="L3033" s="36" t="s">
        <v>28512</v>
      </c>
      <c r="M3033" s="186"/>
      <c r="N3033" s="186"/>
      <c r="O3033" s="13" t="s">
        <v>17508</v>
      </c>
    </row>
    <row r="3034" spans="1:15" ht="25.5" x14ac:dyDescent="0.2">
      <c r="A3034" s="197" t="str">
        <f t="shared" si="47"/>
        <v>DtcCode_chan036Y</v>
      </c>
      <c r="B3034" s="409"/>
      <c r="C3034" s="416"/>
      <c r="D3034" s="198" t="s">
        <v>17514</v>
      </c>
      <c r="E3034" s="198">
        <v>101</v>
      </c>
      <c r="F3034" s="199" t="s">
        <v>17515</v>
      </c>
      <c r="G3034" s="1" t="s">
        <v>28513</v>
      </c>
      <c r="H3034" s="1" t="s">
        <v>16716</v>
      </c>
      <c r="I3034" s="346"/>
      <c r="J3034" s="39">
        <v>114867</v>
      </c>
      <c r="K3034" s="36" t="str">
        <f>CONCATENATE(Cover!$D$6,"fdd/view?i=",J3034)</f>
        <v>https://www.dgiwg.org/FAD/fdd/view?i=114867</v>
      </c>
      <c r="L3034" s="36" t="s">
        <v>28514</v>
      </c>
      <c r="M3034" s="186"/>
      <c r="N3034" s="186"/>
      <c r="O3034" s="13" t="s">
        <v>17513</v>
      </c>
    </row>
    <row r="3035" spans="1:15" ht="25.5" x14ac:dyDescent="0.2">
      <c r="A3035" s="197" t="str">
        <f t="shared" si="47"/>
        <v>DtcCode_chan036Z</v>
      </c>
      <c r="B3035" s="409"/>
      <c r="C3035" s="416"/>
      <c r="D3035" s="198" t="s">
        <v>17519</v>
      </c>
      <c r="E3035" s="198">
        <v>102</v>
      </c>
      <c r="F3035" s="199" t="s">
        <v>17520</v>
      </c>
      <c r="G3035" s="1" t="s">
        <v>28515</v>
      </c>
      <c r="H3035" s="1" t="s">
        <v>16716</v>
      </c>
      <c r="I3035" s="346"/>
      <c r="J3035" s="39">
        <v>114868</v>
      </c>
      <c r="K3035" s="36" t="str">
        <f>CONCATENATE(Cover!$D$6,"fdd/view?i=",J3035)</f>
        <v>https://www.dgiwg.org/FAD/fdd/view?i=114868</v>
      </c>
      <c r="L3035" s="36" t="s">
        <v>28516</v>
      </c>
      <c r="M3035" s="186"/>
      <c r="N3035" s="186"/>
      <c r="O3035" s="13" t="s">
        <v>17518</v>
      </c>
    </row>
    <row r="3036" spans="1:15" ht="25.5" x14ac:dyDescent="0.2">
      <c r="A3036" s="197" t="str">
        <f t="shared" si="47"/>
        <v>DtcCode_chan037X</v>
      </c>
      <c r="B3036" s="409"/>
      <c r="C3036" s="416"/>
      <c r="D3036" s="198" t="s">
        <v>17524</v>
      </c>
      <c r="E3036" s="198">
        <v>103</v>
      </c>
      <c r="F3036" s="199" t="s">
        <v>17525</v>
      </c>
      <c r="G3036" s="1" t="s">
        <v>28517</v>
      </c>
      <c r="H3036" s="1" t="s">
        <v>16716</v>
      </c>
      <c r="I3036" s="346"/>
      <c r="J3036" s="39">
        <v>114869</v>
      </c>
      <c r="K3036" s="36" t="str">
        <f>CONCATENATE(Cover!$D$6,"fdd/view?i=",J3036)</f>
        <v>https://www.dgiwg.org/FAD/fdd/view?i=114869</v>
      </c>
      <c r="L3036" s="36" t="s">
        <v>28518</v>
      </c>
      <c r="M3036" s="186"/>
      <c r="N3036" s="186"/>
      <c r="O3036" s="13" t="s">
        <v>17523</v>
      </c>
    </row>
    <row r="3037" spans="1:15" ht="25.5" x14ac:dyDescent="0.2">
      <c r="A3037" s="197" t="str">
        <f t="shared" si="47"/>
        <v>DtcCode_chan037Y</v>
      </c>
      <c r="B3037" s="409"/>
      <c r="C3037" s="416"/>
      <c r="D3037" s="198" t="s">
        <v>17529</v>
      </c>
      <c r="E3037" s="198">
        <v>104</v>
      </c>
      <c r="F3037" s="199" t="s">
        <v>17530</v>
      </c>
      <c r="G3037" s="1" t="s">
        <v>28519</v>
      </c>
      <c r="H3037" s="1" t="s">
        <v>16716</v>
      </c>
      <c r="I3037" s="346"/>
      <c r="J3037" s="39">
        <v>114870</v>
      </c>
      <c r="K3037" s="36" t="str">
        <f>CONCATENATE(Cover!$D$6,"fdd/view?i=",J3037)</f>
        <v>https://www.dgiwg.org/FAD/fdd/view?i=114870</v>
      </c>
      <c r="L3037" s="36" t="s">
        <v>28520</v>
      </c>
      <c r="M3037" s="186"/>
      <c r="N3037" s="186"/>
      <c r="O3037" s="13" t="s">
        <v>17528</v>
      </c>
    </row>
    <row r="3038" spans="1:15" ht="25.5" x14ac:dyDescent="0.2">
      <c r="A3038" s="197" t="str">
        <f t="shared" si="47"/>
        <v>DtcCode_chan037Z</v>
      </c>
      <c r="B3038" s="409"/>
      <c r="C3038" s="416"/>
      <c r="D3038" s="198" t="s">
        <v>17534</v>
      </c>
      <c r="E3038" s="198">
        <v>105</v>
      </c>
      <c r="F3038" s="199" t="s">
        <v>17535</v>
      </c>
      <c r="G3038" s="1" t="s">
        <v>28521</v>
      </c>
      <c r="H3038" s="1" t="s">
        <v>16716</v>
      </c>
      <c r="I3038" s="346"/>
      <c r="J3038" s="39">
        <v>114871</v>
      </c>
      <c r="K3038" s="36" t="str">
        <f>CONCATENATE(Cover!$D$6,"fdd/view?i=",J3038)</f>
        <v>https://www.dgiwg.org/FAD/fdd/view?i=114871</v>
      </c>
      <c r="L3038" s="36" t="s">
        <v>28522</v>
      </c>
      <c r="M3038" s="186"/>
      <c r="N3038" s="186"/>
      <c r="O3038" s="13" t="s">
        <v>17533</v>
      </c>
    </row>
    <row r="3039" spans="1:15" ht="25.5" x14ac:dyDescent="0.2">
      <c r="A3039" s="197" t="str">
        <f t="shared" si="47"/>
        <v>DtcCode_chan038W</v>
      </c>
      <c r="B3039" s="409"/>
      <c r="C3039" s="416"/>
      <c r="D3039" s="198" t="s">
        <v>17539</v>
      </c>
      <c r="E3039" s="198">
        <v>106</v>
      </c>
      <c r="F3039" s="199" t="s">
        <v>17540</v>
      </c>
      <c r="G3039" s="1" t="s">
        <v>28523</v>
      </c>
      <c r="H3039" s="1" t="s">
        <v>16716</v>
      </c>
      <c r="I3039" s="346"/>
      <c r="J3039" s="39">
        <v>114872</v>
      </c>
      <c r="K3039" s="36" t="str">
        <f>CONCATENATE(Cover!$D$6,"fdd/view?i=",J3039)</f>
        <v>https://www.dgiwg.org/FAD/fdd/view?i=114872</v>
      </c>
      <c r="L3039" s="36" t="s">
        <v>28524</v>
      </c>
      <c r="M3039" s="186"/>
      <c r="N3039" s="186"/>
      <c r="O3039" s="13" t="s">
        <v>17538</v>
      </c>
    </row>
    <row r="3040" spans="1:15" ht="25.5" x14ac:dyDescent="0.2">
      <c r="A3040" s="197" t="str">
        <f t="shared" si="47"/>
        <v>DtcCode_chan038X</v>
      </c>
      <c r="B3040" s="409"/>
      <c r="C3040" s="416"/>
      <c r="D3040" s="198" t="s">
        <v>17544</v>
      </c>
      <c r="E3040" s="198">
        <v>107</v>
      </c>
      <c r="F3040" s="199" t="s">
        <v>17545</v>
      </c>
      <c r="G3040" s="1" t="s">
        <v>28525</v>
      </c>
      <c r="H3040" s="1" t="s">
        <v>16716</v>
      </c>
      <c r="I3040" s="346"/>
      <c r="J3040" s="39">
        <v>114873</v>
      </c>
      <c r="K3040" s="36" t="str">
        <f>CONCATENATE(Cover!$D$6,"fdd/view?i=",J3040)</f>
        <v>https://www.dgiwg.org/FAD/fdd/view?i=114873</v>
      </c>
      <c r="L3040" s="36" t="s">
        <v>28526</v>
      </c>
      <c r="M3040" s="186"/>
      <c r="N3040" s="186"/>
      <c r="O3040" s="13" t="s">
        <v>17543</v>
      </c>
    </row>
    <row r="3041" spans="1:15" ht="25.5" x14ac:dyDescent="0.2">
      <c r="A3041" s="197" t="str">
        <f t="shared" si="47"/>
        <v>DtcCode_chan038Y</v>
      </c>
      <c r="B3041" s="409"/>
      <c r="C3041" s="416"/>
      <c r="D3041" s="198" t="s">
        <v>17549</v>
      </c>
      <c r="E3041" s="198">
        <v>108</v>
      </c>
      <c r="F3041" s="199" t="s">
        <v>17550</v>
      </c>
      <c r="G3041" s="1" t="s">
        <v>28527</v>
      </c>
      <c r="H3041" s="1" t="s">
        <v>16716</v>
      </c>
      <c r="I3041" s="346"/>
      <c r="J3041" s="39">
        <v>114874</v>
      </c>
      <c r="K3041" s="36" t="str">
        <f>CONCATENATE(Cover!$D$6,"fdd/view?i=",J3041)</f>
        <v>https://www.dgiwg.org/FAD/fdd/view?i=114874</v>
      </c>
      <c r="L3041" s="36" t="s">
        <v>28528</v>
      </c>
      <c r="M3041" s="186"/>
      <c r="N3041" s="186"/>
      <c r="O3041" s="13" t="s">
        <v>17548</v>
      </c>
    </row>
    <row r="3042" spans="1:15" ht="25.5" x14ac:dyDescent="0.2">
      <c r="A3042" s="197" t="str">
        <f t="shared" si="47"/>
        <v>DtcCode_chan038Z</v>
      </c>
      <c r="B3042" s="409"/>
      <c r="C3042" s="416"/>
      <c r="D3042" s="198" t="s">
        <v>17554</v>
      </c>
      <c r="E3042" s="198">
        <v>109</v>
      </c>
      <c r="F3042" s="199" t="s">
        <v>17555</v>
      </c>
      <c r="G3042" s="1" t="s">
        <v>28529</v>
      </c>
      <c r="H3042" s="1" t="s">
        <v>16716</v>
      </c>
      <c r="I3042" s="346"/>
      <c r="J3042" s="39">
        <v>114875</v>
      </c>
      <c r="K3042" s="36" t="str">
        <f>CONCATENATE(Cover!$D$6,"fdd/view?i=",J3042)</f>
        <v>https://www.dgiwg.org/FAD/fdd/view?i=114875</v>
      </c>
      <c r="L3042" s="36" t="s">
        <v>28530</v>
      </c>
      <c r="M3042" s="186"/>
      <c r="N3042" s="186"/>
      <c r="O3042" s="13" t="s">
        <v>17553</v>
      </c>
    </row>
    <row r="3043" spans="1:15" ht="25.5" x14ac:dyDescent="0.2">
      <c r="A3043" s="197" t="str">
        <f t="shared" si="47"/>
        <v>DtcCode_chan039X</v>
      </c>
      <c r="B3043" s="409"/>
      <c r="C3043" s="416"/>
      <c r="D3043" s="198" t="s">
        <v>17559</v>
      </c>
      <c r="E3043" s="198">
        <v>110</v>
      </c>
      <c r="F3043" s="199" t="s">
        <v>17560</v>
      </c>
      <c r="G3043" s="1" t="s">
        <v>28531</v>
      </c>
      <c r="H3043" s="1" t="s">
        <v>16716</v>
      </c>
      <c r="I3043" s="346"/>
      <c r="J3043" s="39">
        <v>114876</v>
      </c>
      <c r="K3043" s="36" t="str">
        <f>CONCATENATE(Cover!$D$6,"fdd/view?i=",J3043)</f>
        <v>https://www.dgiwg.org/FAD/fdd/view?i=114876</v>
      </c>
      <c r="L3043" s="36" t="s">
        <v>28532</v>
      </c>
      <c r="M3043" s="186"/>
      <c r="N3043" s="186"/>
      <c r="O3043" s="13" t="s">
        <v>17558</v>
      </c>
    </row>
    <row r="3044" spans="1:15" ht="25.5" x14ac:dyDescent="0.2">
      <c r="A3044" s="197" t="str">
        <f t="shared" si="47"/>
        <v>DtcCode_chan039Y</v>
      </c>
      <c r="B3044" s="409"/>
      <c r="C3044" s="416"/>
      <c r="D3044" s="198" t="s">
        <v>17564</v>
      </c>
      <c r="E3044" s="198">
        <v>111</v>
      </c>
      <c r="F3044" s="199" t="s">
        <v>17565</v>
      </c>
      <c r="G3044" s="1" t="s">
        <v>28533</v>
      </c>
      <c r="H3044" s="1" t="s">
        <v>16716</v>
      </c>
      <c r="I3044" s="346"/>
      <c r="J3044" s="39">
        <v>114877</v>
      </c>
      <c r="K3044" s="36" t="str">
        <f>CONCATENATE(Cover!$D$6,"fdd/view?i=",J3044)</f>
        <v>https://www.dgiwg.org/FAD/fdd/view?i=114877</v>
      </c>
      <c r="L3044" s="36" t="s">
        <v>28534</v>
      </c>
      <c r="M3044" s="186"/>
      <c r="N3044" s="186"/>
      <c r="O3044" s="13" t="s">
        <v>17563</v>
      </c>
    </row>
    <row r="3045" spans="1:15" ht="25.5" x14ac:dyDescent="0.2">
      <c r="A3045" s="197" t="str">
        <f t="shared" si="47"/>
        <v>DtcCode_chan039Z</v>
      </c>
      <c r="B3045" s="409"/>
      <c r="C3045" s="416"/>
      <c r="D3045" s="198" t="s">
        <v>17569</v>
      </c>
      <c r="E3045" s="198">
        <v>112</v>
      </c>
      <c r="F3045" s="199" t="s">
        <v>17570</v>
      </c>
      <c r="G3045" s="1" t="s">
        <v>28535</v>
      </c>
      <c r="H3045" s="1" t="s">
        <v>16716</v>
      </c>
      <c r="I3045" s="346"/>
      <c r="J3045" s="39">
        <v>114878</v>
      </c>
      <c r="K3045" s="36" t="str">
        <f>CONCATENATE(Cover!$D$6,"fdd/view?i=",J3045)</f>
        <v>https://www.dgiwg.org/FAD/fdd/view?i=114878</v>
      </c>
      <c r="L3045" s="36" t="s">
        <v>28536</v>
      </c>
      <c r="M3045" s="186"/>
      <c r="N3045" s="186"/>
      <c r="O3045" s="13" t="s">
        <v>17568</v>
      </c>
    </row>
    <row r="3046" spans="1:15" ht="25.5" x14ac:dyDescent="0.2">
      <c r="A3046" s="197" t="str">
        <f t="shared" si="47"/>
        <v>DtcCode_chan040W</v>
      </c>
      <c r="B3046" s="409"/>
      <c r="C3046" s="416"/>
      <c r="D3046" s="198" t="s">
        <v>17584</v>
      </c>
      <c r="E3046" s="198">
        <v>113</v>
      </c>
      <c r="F3046" s="199" t="s">
        <v>17585</v>
      </c>
      <c r="G3046" s="1" t="s">
        <v>28541</v>
      </c>
      <c r="H3046" s="1" t="s">
        <v>16716</v>
      </c>
      <c r="I3046" s="346"/>
      <c r="J3046" s="39">
        <v>114879</v>
      </c>
      <c r="K3046" s="36" t="str">
        <f>CONCATENATE(Cover!$D$6,"fdd/view?i=",J3046)</f>
        <v>https://www.dgiwg.org/FAD/fdd/view?i=114879</v>
      </c>
      <c r="L3046" s="36" t="s">
        <v>28542</v>
      </c>
      <c r="M3046" s="186"/>
      <c r="N3046" s="186"/>
      <c r="O3046" s="13" t="s">
        <v>17583</v>
      </c>
    </row>
    <row r="3047" spans="1:15" ht="25.5" x14ac:dyDescent="0.2">
      <c r="A3047" s="197" t="str">
        <f t="shared" si="47"/>
        <v>DtcCode_chan040X</v>
      </c>
      <c r="B3047" s="409"/>
      <c r="C3047" s="416"/>
      <c r="D3047" s="198" t="s">
        <v>17589</v>
      </c>
      <c r="E3047" s="198">
        <v>114</v>
      </c>
      <c r="F3047" s="199" t="s">
        <v>17590</v>
      </c>
      <c r="G3047" s="1" t="s">
        <v>28543</v>
      </c>
      <c r="H3047" s="1" t="s">
        <v>16716</v>
      </c>
      <c r="I3047" s="346"/>
      <c r="J3047" s="39">
        <v>114880</v>
      </c>
      <c r="K3047" s="36" t="str">
        <f>CONCATENATE(Cover!$D$6,"fdd/view?i=",J3047)</f>
        <v>https://www.dgiwg.org/FAD/fdd/view?i=114880</v>
      </c>
      <c r="L3047" s="36" t="s">
        <v>28544</v>
      </c>
      <c r="M3047" s="186"/>
      <c r="N3047" s="186"/>
      <c r="O3047" s="13" t="s">
        <v>17588</v>
      </c>
    </row>
    <row r="3048" spans="1:15" ht="25.5" x14ac:dyDescent="0.2">
      <c r="A3048" s="197" t="str">
        <f t="shared" si="47"/>
        <v>DtcCode_chan040Y</v>
      </c>
      <c r="B3048" s="409"/>
      <c r="C3048" s="416"/>
      <c r="D3048" s="198" t="s">
        <v>17594</v>
      </c>
      <c r="E3048" s="198">
        <v>115</v>
      </c>
      <c r="F3048" s="199" t="s">
        <v>17595</v>
      </c>
      <c r="G3048" s="1" t="s">
        <v>28545</v>
      </c>
      <c r="H3048" s="1" t="s">
        <v>16716</v>
      </c>
      <c r="I3048" s="346"/>
      <c r="J3048" s="39">
        <v>114881</v>
      </c>
      <c r="K3048" s="36" t="str">
        <f>CONCATENATE(Cover!$D$6,"fdd/view?i=",J3048)</f>
        <v>https://www.dgiwg.org/FAD/fdd/view?i=114881</v>
      </c>
      <c r="L3048" s="36" t="s">
        <v>28546</v>
      </c>
      <c r="M3048" s="186"/>
      <c r="N3048" s="186"/>
      <c r="O3048" s="13" t="s">
        <v>17593</v>
      </c>
    </row>
    <row r="3049" spans="1:15" ht="25.5" x14ac:dyDescent="0.2">
      <c r="A3049" s="197" t="str">
        <f t="shared" si="47"/>
        <v>DtcCode_chan040Z</v>
      </c>
      <c r="B3049" s="409"/>
      <c r="C3049" s="416"/>
      <c r="D3049" s="198" t="s">
        <v>17599</v>
      </c>
      <c r="E3049" s="198">
        <v>116</v>
      </c>
      <c r="F3049" s="199" t="s">
        <v>17600</v>
      </c>
      <c r="G3049" s="1" t="s">
        <v>28547</v>
      </c>
      <c r="H3049" s="1" t="s">
        <v>16716</v>
      </c>
      <c r="I3049" s="346"/>
      <c r="J3049" s="39">
        <v>114882</v>
      </c>
      <c r="K3049" s="36" t="str">
        <f>CONCATENATE(Cover!$D$6,"fdd/view?i=",J3049)</f>
        <v>https://www.dgiwg.org/FAD/fdd/view?i=114882</v>
      </c>
      <c r="L3049" s="36" t="s">
        <v>28548</v>
      </c>
      <c r="M3049" s="186"/>
      <c r="N3049" s="186"/>
      <c r="O3049" s="13" t="s">
        <v>17598</v>
      </c>
    </row>
    <row r="3050" spans="1:15" ht="25.5" x14ac:dyDescent="0.2">
      <c r="A3050" s="197" t="str">
        <f t="shared" si="47"/>
        <v>DtcCode_chan041X</v>
      </c>
      <c r="B3050" s="409"/>
      <c r="C3050" s="416"/>
      <c r="D3050" s="198" t="s">
        <v>17604</v>
      </c>
      <c r="E3050" s="198">
        <v>117</v>
      </c>
      <c r="F3050" s="199" t="s">
        <v>17605</v>
      </c>
      <c r="G3050" s="1" t="s">
        <v>28549</v>
      </c>
      <c r="H3050" s="1" t="s">
        <v>16716</v>
      </c>
      <c r="I3050" s="346"/>
      <c r="J3050" s="39">
        <v>114883</v>
      </c>
      <c r="K3050" s="36" t="str">
        <f>CONCATENATE(Cover!$D$6,"fdd/view?i=",J3050)</f>
        <v>https://www.dgiwg.org/FAD/fdd/view?i=114883</v>
      </c>
      <c r="L3050" s="36" t="s">
        <v>28550</v>
      </c>
      <c r="M3050" s="186"/>
      <c r="N3050" s="186"/>
      <c r="O3050" s="13" t="s">
        <v>17603</v>
      </c>
    </row>
    <row r="3051" spans="1:15" ht="25.5" x14ac:dyDescent="0.2">
      <c r="A3051" s="197" t="str">
        <f t="shared" si="47"/>
        <v>DtcCode_chan041Y</v>
      </c>
      <c r="B3051" s="409"/>
      <c r="C3051" s="416"/>
      <c r="D3051" s="198" t="s">
        <v>17609</v>
      </c>
      <c r="E3051" s="198">
        <v>118</v>
      </c>
      <c r="F3051" s="199" t="s">
        <v>17610</v>
      </c>
      <c r="G3051" s="1" t="s">
        <v>28551</v>
      </c>
      <c r="H3051" s="1" t="s">
        <v>16716</v>
      </c>
      <c r="I3051" s="346"/>
      <c r="J3051" s="39">
        <v>114884</v>
      </c>
      <c r="K3051" s="36" t="str">
        <f>CONCATENATE(Cover!$D$6,"fdd/view?i=",J3051)</f>
        <v>https://www.dgiwg.org/FAD/fdd/view?i=114884</v>
      </c>
      <c r="L3051" s="36" t="s">
        <v>28552</v>
      </c>
      <c r="M3051" s="186"/>
      <c r="N3051" s="186"/>
      <c r="O3051" s="13" t="s">
        <v>17608</v>
      </c>
    </row>
    <row r="3052" spans="1:15" ht="25.5" x14ac:dyDescent="0.2">
      <c r="A3052" s="197" t="str">
        <f t="shared" si="47"/>
        <v>DtcCode_chan041Z</v>
      </c>
      <c r="B3052" s="409"/>
      <c r="C3052" s="416"/>
      <c r="D3052" s="198" t="s">
        <v>17614</v>
      </c>
      <c r="E3052" s="198">
        <v>119</v>
      </c>
      <c r="F3052" s="199" t="s">
        <v>17615</v>
      </c>
      <c r="G3052" s="1" t="s">
        <v>28553</v>
      </c>
      <c r="H3052" s="1" t="s">
        <v>16716</v>
      </c>
      <c r="I3052" s="346"/>
      <c r="J3052" s="39">
        <v>114885</v>
      </c>
      <c r="K3052" s="36" t="str">
        <f>CONCATENATE(Cover!$D$6,"fdd/view?i=",J3052)</f>
        <v>https://www.dgiwg.org/FAD/fdd/view?i=114885</v>
      </c>
      <c r="L3052" s="36" t="s">
        <v>28554</v>
      </c>
      <c r="M3052" s="186"/>
      <c r="N3052" s="186"/>
      <c r="O3052" s="13" t="s">
        <v>17613</v>
      </c>
    </row>
    <row r="3053" spans="1:15" ht="25.5" x14ac:dyDescent="0.2">
      <c r="A3053" s="197" t="str">
        <f t="shared" si="47"/>
        <v>DtcCode_chan042W</v>
      </c>
      <c r="B3053" s="409"/>
      <c r="C3053" s="416"/>
      <c r="D3053" s="198" t="s">
        <v>17619</v>
      </c>
      <c r="E3053" s="198">
        <v>120</v>
      </c>
      <c r="F3053" s="199" t="s">
        <v>17620</v>
      </c>
      <c r="G3053" s="1" t="s">
        <v>28555</v>
      </c>
      <c r="H3053" s="1" t="s">
        <v>16716</v>
      </c>
      <c r="I3053" s="346"/>
      <c r="J3053" s="39">
        <v>114886</v>
      </c>
      <c r="K3053" s="36" t="str">
        <f>CONCATENATE(Cover!$D$6,"fdd/view?i=",J3053)</f>
        <v>https://www.dgiwg.org/FAD/fdd/view?i=114886</v>
      </c>
      <c r="L3053" s="36" t="s">
        <v>28556</v>
      </c>
      <c r="M3053" s="186"/>
      <c r="N3053" s="186"/>
      <c r="O3053" s="13" t="s">
        <v>17618</v>
      </c>
    </row>
    <row r="3054" spans="1:15" ht="25.5" x14ac:dyDescent="0.2">
      <c r="A3054" s="197" t="str">
        <f t="shared" si="47"/>
        <v>DtcCode_chan042X</v>
      </c>
      <c r="B3054" s="409"/>
      <c r="C3054" s="416"/>
      <c r="D3054" s="198" t="s">
        <v>17624</v>
      </c>
      <c r="E3054" s="198">
        <v>121</v>
      </c>
      <c r="F3054" s="199" t="s">
        <v>17625</v>
      </c>
      <c r="G3054" s="1" t="s">
        <v>28557</v>
      </c>
      <c r="H3054" s="1" t="s">
        <v>16716</v>
      </c>
      <c r="I3054" s="346"/>
      <c r="J3054" s="39">
        <v>114887</v>
      </c>
      <c r="K3054" s="36" t="str">
        <f>CONCATENATE(Cover!$D$6,"fdd/view?i=",J3054)</f>
        <v>https://www.dgiwg.org/FAD/fdd/view?i=114887</v>
      </c>
      <c r="L3054" s="36" t="s">
        <v>28558</v>
      </c>
      <c r="M3054" s="186"/>
      <c r="N3054" s="186"/>
      <c r="O3054" s="13" t="s">
        <v>17623</v>
      </c>
    </row>
    <row r="3055" spans="1:15" ht="25.5" x14ac:dyDescent="0.2">
      <c r="A3055" s="197" t="str">
        <f t="shared" si="47"/>
        <v>DtcCode_chan042Y</v>
      </c>
      <c r="B3055" s="409"/>
      <c r="C3055" s="416"/>
      <c r="D3055" s="198" t="s">
        <v>17629</v>
      </c>
      <c r="E3055" s="198">
        <v>122</v>
      </c>
      <c r="F3055" s="199" t="s">
        <v>17630</v>
      </c>
      <c r="G3055" s="1" t="s">
        <v>28559</v>
      </c>
      <c r="H3055" s="1" t="s">
        <v>16716</v>
      </c>
      <c r="I3055" s="346"/>
      <c r="J3055" s="39">
        <v>114888</v>
      </c>
      <c r="K3055" s="36" t="str">
        <f>CONCATENATE(Cover!$D$6,"fdd/view?i=",J3055)</f>
        <v>https://www.dgiwg.org/FAD/fdd/view?i=114888</v>
      </c>
      <c r="L3055" s="36" t="s">
        <v>28560</v>
      </c>
      <c r="M3055" s="186"/>
      <c r="N3055" s="186"/>
      <c r="O3055" s="13" t="s">
        <v>17628</v>
      </c>
    </row>
    <row r="3056" spans="1:15" ht="25.5" x14ac:dyDescent="0.2">
      <c r="A3056" s="197" t="str">
        <f t="shared" si="47"/>
        <v>DtcCode_chan042Z</v>
      </c>
      <c r="B3056" s="409"/>
      <c r="C3056" s="416"/>
      <c r="D3056" s="198" t="s">
        <v>17634</v>
      </c>
      <c r="E3056" s="198">
        <v>123</v>
      </c>
      <c r="F3056" s="199" t="s">
        <v>17635</v>
      </c>
      <c r="G3056" s="1" t="s">
        <v>28561</v>
      </c>
      <c r="H3056" s="1" t="s">
        <v>16716</v>
      </c>
      <c r="I3056" s="346"/>
      <c r="J3056" s="39">
        <v>114889</v>
      </c>
      <c r="K3056" s="36" t="str">
        <f>CONCATENATE(Cover!$D$6,"fdd/view?i=",J3056)</f>
        <v>https://www.dgiwg.org/FAD/fdd/view?i=114889</v>
      </c>
      <c r="L3056" s="36" t="s">
        <v>28562</v>
      </c>
      <c r="M3056" s="186"/>
      <c r="N3056" s="186"/>
      <c r="O3056" s="13" t="s">
        <v>17633</v>
      </c>
    </row>
    <row r="3057" spans="1:15" ht="25.5" x14ac:dyDescent="0.2">
      <c r="A3057" s="197" t="str">
        <f t="shared" si="47"/>
        <v>DtcCode_chan043X</v>
      </c>
      <c r="B3057" s="409"/>
      <c r="C3057" s="416"/>
      <c r="D3057" s="198" t="s">
        <v>17639</v>
      </c>
      <c r="E3057" s="198">
        <v>124</v>
      </c>
      <c r="F3057" s="199" t="s">
        <v>17640</v>
      </c>
      <c r="G3057" s="1" t="s">
        <v>28563</v>
      </c>
      <c r="H3057" s="1" t="s">
        <v>16716</v>
      </c>
      <c r="I3057" s="346"/>
      <c r="J3057" s="39">
        <v>114890</v>
      </c>
      <c r="K3057" s="36" t="str">
        <f>CONCATENATE(Cover!$D$6,"fdd/view?i=",J3057)</f>
        <v>https://www.dgiwg.org/FAD/fdd/view?i=114890</v>
      </c>
      <c r="L3057" s="36" t="s">
        <v>28564</v>
      </c>
      <c r="M3057" s="186"/>
      <c r="N3057" s="186"/>
      <c r="O3057" s="13" t="s">
        <v>17638</v>
      </c>
    </row>
    <row r="3058" spans="1:15" ht="25.5" x14ac:dyDescent="0.2">
      <c r="A3058" s="197" t="str">
        <f t="shared" si="47"/>
        <v>DtcCode_chan043Y</v>
      </c>
      <c r="B3058" s="409"/>
      <c r="C3058" s="416"/>
      <c r="D3058" s="198" t="s">
        <v>17644</v>
      </c>
      <c r="E3058" s="198">
        <v>125</v>
      </c>
      <c r="F3058" s="199" t="s">
        <v>17645</v>
      </c>
      <c r="G3058" s="1" t="s">
        <v>28565</v>
      </c>
      <c r="H3058" s="1" t="s">
        <v>16716</v>
      </c>
      <c r="I3058" s="346"/>
      <c r="J3058" s="39">
        <v>114891</v>
      </c>
      <c r="K3058" s="36" t="str">
        <f>CONCATENATE(Cover!$D$6,"fdd/view?i=",J3058)</f>
        <v>https://www.dgiwg.org/FAD/fdd/view?i=114891</v>
      </c>
      <c r="L3058" s="36" t="s">
        <v>28566</v>
      </c>
      <c r="M3058" s="186"/>
      <c r="N3058" s="186"/>
      <c r="O3058" s="13" t="s">
        <v>17643</v>
      </c>
    </row>
    <row r="3059" spans="1:15" ht="25.5" x14ac:dyDescent="0.2">
      <c r="A3059" s="197" t="str">
        <f t="shared" si="47"/>
        <v>DtcCode_chan043Z</v>
      </c>
      <c r="B3059" s="409"/>
      <c r="C3059" s="416"/>
      <c r="D3059" s="198" t="s">
        <v>17649</v>
      </c>
      <c r="E3059" s="198">
        <v>126</v>
      </c>
      <c r="F3059" s="199" t="s">
        <v>17650</v>
      </c>
      <c r="G3059" s="1" t="s">
        <v>28567</v>
      </c>
      <c r="H3059" s="1" t="s">
        <v>16716</v>
      </c>
      <c r="I3059" s="346"/>
      <c r="J3059" s="39">
        <v>114892</v>
      </c>
      <c r="K3059" s="36" t="str">
        <f>CONCATENATE(Cover!$D$6,"fdd/view?i=",J3059)</f>
        <v>https://www.dgiwg.org/FAD/fdd/view?i=114892</v>
      </c>
      <c r="L3059" s="36" t="s">
        <v>28568</v>
      </c>
      <c r="M3059" s="186"/>
      <c r="N3059" s="186"/>
      <c r="O3059" s="13" t="s">
        <v>17648</v>
      </c>
    </row>
    <row r="3060" spans="1:15" ht="25.5" x14ac:dyDescent="0.2">
      <c r="A3060" s="197" t="str">
        <f t="shared" si="47"/>
        <v>DtcCode_chan044W</v>
      </c>
      <c r="B3060" s="409"/>
      <c r="C3060" s="416"/>
      <c r="D3060" s="198" t="s">
        <v>17654</v>
      </c>
      <c r="E3060" s="198">
        <v>127</v>
      </c>
      <c r="F3060" s="199" t="s">
        <v>17655</v>
      </c>
      <c r="G3060" s="1" t="s">
        <v>28569</v>
      </c>
      <c r="H3060" s="1" t="s">
        <v>16716</v>
      </c>
      <c r="I3060" s="346"/>
      <c r="J3060" s="39">
        <v>114893</v>
      </c>
      <c r="K3060" s="36" t="str">
        <f>CONCATENATE(Cover!$D$6,"fdd/view?i=",J3060)</f>
        <v>https://www.dgiwg.org/FAD/fdd/view?i=114893</v>
      </c>
      <c r="L3060" s="36" t="s">
        <v>28570</v>
      </c>
      <c r="M3060" s="186"/>
      <c r="N3060" s="186"/>
      <c r="O3060" s="13" t="s">
        <v>17653</v>
      </c>
    </row>
    <row r="3061" spans="1:15" ht="25.5" x14ac:dyDescent="0.2">
      <c r="A3061" s="197" t="str">
        <f t="shared" si="47"/>
        <v>DtcCode_chan044X</v>
      </c>
      <c r="B3061" s="409"/>
      <c r="C3061" s="416"/>
      <c r="D3061" s="198" t="s">
        <v>17659</v>
      </c>
      <c r="E3061" s="198">
        <v>128</v>
      </c>
      <c r="F3061" s="199" t="s">
        <v>17660</v>
      </c>
      <c r="G3061" s="1" t="s">
        <v>28571</v>
      </c>
      <c r="H3061" s="1" t="s">
        <v>16716</v>
      </c>
      <c r="I3061" s="346"/>
      <c r="J3061" s="39">
        <v>114894</v>
      </c>
      <c r="K3061" s="36" t="str">
        <f>CONCATENATE(Cover!$D$6,"fdd/view?i=",J3061)</f>
        <v>https://www.dgiwg.org/FAD/fdd/view?i=114894</v>
      </c>
      <c r="L3061" s="36" t="s">
        <v>28572</v>
      </c>
      <c r="M3061" s="186"/>
      <c r="N3061" s="186"/>
      <c r="O3061" s="13" t="s">
        <v>17658</v>
      </c>
    </row>
    <row r="3062" spans="1:15" ht="25.5" x14ac:dyDescent="0.2">
      <c r="A3062" s="197" t="str">
        <f t="shared" si="47"/>
        <v>DtcCode_chan044Y</v>
      </c>
      <c r="B3062" s="409"/>
      <c r="C3062" s="416"/>
      <c r="D3062" s="198" t="s">
        <v>17664</v>
      </c>
      <c r="E3062" s="198">
        <v>129</v>
      </c>
      <c r="F3062" s="199" t="s">
        <v>17665</v>
      </c>
      <c r="G3062" s="1" t="s">
        <v>28573</v>
      </c>
      <c r="H3062" s="1" t="s">
        <v>16716</v>
      </c>
      <c r="I3062" s="346"/>
      <c r="J3062" s="39">
        <v>114895</v>
      </c>
      <c r="K3062" s="36" t="str">
        <f>CONCATENATE(Cover!$D$6,"fdd/view?i=",J3062)</f>
        <v>https://www.dgiwg.org/FAD/fdd/view?i=114895</v>
      </c>
      <c r="L3062" s="36" t="s">
        <v>28574</v>
      </c>
      <c r="M3062" s="186"/>
      <c r="N3062" s="186"/>
      <c r="O3062" s="13" t="s">
        <v>17663</v>
      </c>
    </row>
    <row r="3063" spans="1:15" ht="25.5" x14ac:dyDescent="0.2">
      <c r="A3063" s="197" t="str">
        <f t="shared" si="47"/>
        <v>DtcCode_chan044Z</v>
      </c>
      <c r="B3063" s="409"/>
      <c r="C3063" s="416"/>
      <c r="D3063" s="198" t="s">
        <v>17669</v>
      </c>
      <c r="E3063" s="198">
        <v>130</v>
      </c>
      <c r="F3063" s="199" t="s">
        <v>17670</v>
      </c>
      <c r="G3063" s="1" t="s">
        <v>28575</v>
      </c>
      <c r="H3063" s="1" t="s">
        <v>16716</v>
      </c>
      <c r="I3063" s="346"/>
      <c r="J3063" s="39">
        <v>114896</v>
      </c>
      <c r="K3063" s="36" t="str">
        <f>CONCATENATE(Cover!$D$6,"fdd/view?i=",J3063)</f>
        <v>https://www.dgiwg.org/FAD/fdd/view?i=114896</v>
      </c>
      <c r="L3063" s="36" t="s">
        <v>28576</v>
      </c>
      <c r="M3063" s="186"/>
      <c r="N3063" s="186"/>
      <c r="O3063" s="13" t="s">
        <v>17668</v>
      </c>
    </row>
    <row r="3064" spans="1:15" ht="25.5" x14ac:dyDescent="0.2">
      <c r="A3064" s="197" t="str">
        <f t="shared" si="47"/>
        <v>DtcCode_chan045X</v>
      </c>
      <c r="B3064" s="409"/>
      <c r="C3064" s="416"/>
      <c r="D3064" s="198" t="s">
        <v>17674</v>
      </c>
      <c r="E3064" s="198">
        <v>131</v>
      </c>
      <c r="F3064" s="199" t="s">
        <v>17675</v>
      </c>
      <c r="G3064" s="1" t="s">
        <v>28577</v>
      </c>
      <c r="H3064" s="1" t="s">
        <v>16716</v>
      </c>
      <c r="I3064" s="346"/>
      <c r="J3064" s="39">
        <v>114897</v>
      </c>
      <c r="K3064" s="36" t="str">
        <f>CONCATENATE(Cover!$D$6,"fdd/view?i=",J3064)</f>
        <v>https://www.dgiwg.org/FAD/fdd/view?i=114897</v>
      </c>
      <c r="L3064" s="36" t="s">
        <v>28578</v>
      </c>
      <c r="M3064" s="186"/>
      <c r="N3064" s="186"/>
      <c r="O3064" s="13" t="s">
        <v>17673</v>
      </c>
    </row>
    <row r="3065" spans="1:15" ht="25.5" x14ac:dyDescent="0.2">
      <c r="A3065" s="197" t="str">
        <f t="shared" si="47"/>
        <v>DtcCode_chan045Y</v>
      </c>
      <c r="B3065" s="409"/>
      <c r="C3065" s="416"/>
      <c r="D3065" s="198" t="s">
        <v>17679</v>
      </c>
      <c r="E3065" s="198">
        <v>132</v>
      </c>
      <c r="F3065" s="199" t="s">
        <v>17680</v>
      </c>
      <c r="G3065" s="1" t="s">
        <v>28579</v>
      </c>
      <c r="H3065" s="1" t="s">
        <v>16716</v>
      </c>
      <c r="I3065" s="346"/>
      <c r="J3065" s="39">
        <v>114898</v>
      </c>
      <c r="K3065" s="36" t="str">
        <f>CONCATENATE(Cover!$D$6,"fdd/view?i=",J3065)</f>
        <v>https://www.dgiwg.org/FAD/fdd/view?i=114898</v>
      </c>
      <c r="L3065" s="36" t="s">
        <v>28580</v>
      </c>
      <c r="M3065" s="186"/>
      <c r="N3065" s="186"/>
      <c r="O3065" s="13" t="s">
        <v>17678</v>
      </c>
    </row>
    <row r="3066" spans="1:15" ht="25.5" x14ac:dyDescent="0.2">
      <c r="A3066" s="197" t="str">
        <f t="shared" si="47"/>
        <v>DtcCode_chan045Z</v>
      </c>
      <c r="B3066" s="409"/>
      <c r="C3066" s="416"/>
      <c r="D3066" s="198" t="s">
        <v>17684</v>
      </c>
      <c r="E3066" s="198">
        <v>133</v>
      </c>
      <c r="F3066" s="199" t="s">
        <v>17685</v>
      </c>
      <c r="G3066" s="1" t="s">
        <v>28581</v>
      </c>
      <c r="H3066" s="1" t="s">
        <v>16716</v>
      </c>
      <c r="I3066" s="346"/>
      <c r="J3066" s="39">
        <v>114899</v>
      </c>
      <c r="K3066" s="36" t="str">
        <f>CONCATENATE(Cover!$D$6,"fdd/view?i=",J3066)</f>
        <v>https://www.dgiwg.org/FAD/fdd/view?i=114899</v>
      </c>
      <c r="L3066" s="36" t="s">
        <v>28582</v>
      </c>
      <c r="M3066" s="186"/>
      <c r="N3066" s="186"/>
      <c r="O3066" s="13" t="s">
        <v>17683</v>
      </c>
    </row>
    <row r="3067" spans="1:15" ht="25.5" x14ac:dyDescent="0.2">
      <c r="A3067" s="197" t="str">
        <f t="shared" si="47"/>
        <v>DtcCode_chan046W</v>
      </c>
      <c r="B3067" s="409"/>
      <c r="C3067" s="416"/>
      <c r="D3067" s="198" t="s">
        <v>17689</v>
      </c>
      <c r="E3067" s="198">
        <v>134</v>
      </c>
      <c r="F3067" s="199" t="s">
        <v>17690</v>
      </c>
      <c r="G3067" s="1" t="s">
        <v>28583</v>
      </c>
      <c r="H3067" s="1" t="s">
        <v>16716</v>
      </c>
      <c r="I3067" s="346"/>
      <c r="J3067" s="39">
        <v>114900</v>
      </c>
      <c r="K3067" s="36" t="str">
        <f>CONCATENATE(Cover!$D$6,"fdd/view?i=",J3067)</f>
        <v>https://www.dgiwg.org/FAD/fdd/view?i=114900</v>
      </c>
      <c r="L3067" s="36" t="s">
        <v>28584</v>
      </c>
      <c r="M3067" s="186"/>
      <c r="N3067" s="186"/>
      <c r="O3067" s="13" t="s">
        <v>17688</v>
      </c>
    </row>
    <row r="3068" spans="1:15" ht="25.5" x14ac:dyDescent="0.2">
      <c r="A3068" s="197" t="str">
        <f t="shared" si="47"/>
        <v>DtcCode_chan046X</v>
      </c>
      <c r="B3068" s="409"/>
      <c r="C3068" s="416"/>
      <c r="D3068" s="198" t="s">
        <v>17694</v>
      </c>
      <c r="E3068" s="198">
        <v>135</v>
      </c>
      <c r="F3068" s="199" t="s">
        <v>17695</v>
      </c>
      <c r="G3068" s="1" t="s">
        <v>28585</v>
      </c>
      <c r="H3068" s="1" t="s">
        <v>16716</v>
      </c>
      <c r="I3068" s="346"/>
      <c r="J3068" s="39">
        <v>114901</v>
      </c>
      <c r="K3068" s="36" t="str">
        <f>CONCATENATE(Cover!$D$6,"fdd/view?i=",J3068)</f>
        <v>https://www.dgiwg.org/FAD/fdd/view?i=114901</v>
      </c>
      <c r="L3068" s="36" t="s">
        <v>28586</v>
      </c>
      <c r="M3068" s="186"/>
      <c r="N3068" s="186"/>
      <c r="O3068" s="13" t="s">
        <v>17693</v>
      </c>
    </row>
    <row r="3069" spans="1:15" ht="25.5" x14ac:dyDescent="0.2">
      <c r="A3069" s="197" t="str">
        <f t="shared" si="47"/>
        <v>DtcCode_chan046Y</v>
      </c>
      <c r="B3069" s="409"/>
      <c r="C3069" s="416"/>
      <c r="D3069" s="198" t="s">
        <v>17699</v>
      </c>
      <c r="E3069" s="198">
        <v>136</v>
      </c>
      <c r="F3069" s="199" t="s">
        <v>17700</v>
      </c>
      <c r="G3069" s="1" t="s">
        <v>28587</v>
      </c>
      <c r="H3069" s="1" t="s">
        <v>16716</v>
      </c>
      <c r="I3069" s="346"/>
      <c r="J3069" s="39">
        <v>114902</v>
      </c>
      <c r="K3069" s="36" t="str">
        <f>CONCATENATE(Cover!$D$6,"fdd/view?i=",J3069)</f>
        <v>https://www.dgiwg.org/FAD/fdd/view?i=114902</v>
      </c>
      <c r="L3069" s="36" t="s">
        <v>28588</v>
      </c>
      <c r="M3069" s="186"/>
      <c r="N3069" s="186"/>
      <c r="O3069" s="13" t="s">
        <v>17698</v>
      </c>
    </row>
    <row r="3070" spans="1:15" ht="25.5" x14ac:dyDescent="0.2">
      <c r="A3070" s="197" t="str">
        <f t="shared" si="47"/>
        <v>DtcCode_chan046Z</v>
      </c>
      <c r="B3070" s="409"/>
      <c r="C3070" s="416"/>
      <c r="D3070" s="198" t="s">
        <v>17704</v>
      </c>
      <c r="E3070" s="198">
        <v>137</v>
      </c>
      <c r="F3070" s="199" t="s">
        <v>17705</v>
      </c>
      <c r="G3070" s="1" t="s">
        <v>28589</v>
      </c>
      <c r="H3070" s="1" t="s">
        <v>16716</v>
      </c>
      <c r="I3070" s="346"/>
      <c r="J3070" s="39">
        <v>114903</v>
      </c>
      <c r="K3070" s="36" t="str">
        <f>CONCATENATE(Cover!$D$6,"fdd/view?i=",J3070)</f>
        <v>https://www.dgiwg.org/FAD/fdd/view?i=114903</v>
      </c>
      <c r="L3070" s="36" t="s">
        <v>28590</v>
      </c>
      <c r="M3070" s="186"/>
      <c r="N3070" s="186"/>
      <c r="O3070" s="13" t="s">
        <v>17703</v>
      </c>
    </row>
    <row r="3071" spans="1:15" ht="25.5" x14ac:dyDescent="0.2">
      <c r="A3071" s="197" t="str">
        <f t="shared" si="47"/>
        <v>DtcCode_chan047X</v>
      </c>
      <c r="B3071" s="409"/>
      <c r="C3071" s="416"/>
      <c r="D3071" s="198" t="s">
        <v>17709</v>
      </c>
      <c r="E3071" s="198">
        <v>138</v>
      </c>
      <c r="F3071" s="199" t="s">
        <v>17710</v>
      </c>
      <c r="G3071" s="1" t="s">
        <v>28591</v>
      </c>
      <c r="H3071" s="1" t="s">
        <v>16716</v>
      </c>
      <c r="I3071" s="346"/>
      <c r="J3071" s="39">
        <v>114904</v>
      </c>
      <c r="K3071" s="36" t="str">
        <f>CONCATENATE(Cover!$D$6,"fdd/view?i=",J3071)</f>
        <v>https://www.dgiwg.org/FAD/fdd/view?i=114904</v>
      </c>
      <c r="L3071" s="36" t="s">
        <v>28592</v>
      </c>
      <c r="M3071" s="186"/>
      <c r="N3071" s="186"/>
      <c r="O3071" s="13" t="s">
        <v>17708</v>
      </c>
    </row>
    <row r="3072" spans="1:15" ht="25.5" x14ac:dyDescent="0.2">
      <c r="A3072" s="197" t="str">
        <f t="shared" si="47"/>
        <v>DtcCode_chan047Y</v>
      </c>
      <c r="B3072" s="409"/>
      <c r="C3072" s="416"/>
      <c r="D3072" s="198" t="s">
        <v>17714</v>
      </c>
      <c r="E3072" s="198">
        <v>139</v>
      </c>
      <c r="F3072" s="199" t="s">
        <v>17715</v>
      </c>
      <c r="G3072" s="1" t="s">
        <v>28593</v>
      </c>
      <c r="H3072" s="1" t="s">
        <v>16716</v>
      </c>
      <c r="I3072" s="346"/>
      <c r="J3072" s="39">
        <v>114905</v>
      </c>
      <c r="K3072" s="36" t="str">
        <f>CONCATENATE(Cover!$D$6,"fdd/view?i=",J3072)</f>
        <v>https://www.dgiwg.org/FAD/fdd/view?i=114905</v>
      </c>
      <c r="L3072" s="36" t="s">
        <v>28594</v>
      </c>
      <c r="M3072" s="186"/>
      <c r="N3072" s="186"/>
      <c r="O3072" s="13" t="s">
        <v>17713</v>
      </c>
    </row>
    <row r="3073" spans="1:15" ht="25.5" x14ac:dyDescent="0.2">
      <c r="A3073" s="197" t="str">
        <f t="shared" si="47"/>
        <v>DtcCode_chan047Z</v>
      </c>
      <c r="B3073" s="409"/>
      <c r="C3073" s="416"/>
      <c r="D3073" s="198" t="s">
        <v>17719</v>
      </c>
      <c r="E3073" s="198">
        <v>140</v>
      </c>
      <c r="F3073" s="199" t="s">
        <v>17720</v>
      </c>
      <c r="G3073" s="1" t="s">
        <v>28595</v>
      </c>
      <c r="H3073" s="1" t="s">
        <v>16716</v>
      </c>
      <c r="I3073" s="346"/>
      <c r="J3073" s="39">
        <v>114906</v>
      </c>
      <c r="K3073" s="36" t="str">
        <f>CONCATENATE(Cover!$D$6,"fdd/view?i=",J3073)</f>
        <v>https://www.dgiwg.org/FAD/fdd/view?i=114906</v>
      </c>
      <c r="L3073" s="36" t="s">
        <v>28596</v>
      </c>
      <c r="M3073" s="186"/>
      <c r="N3073" s="186"/>
      <c r="O3073" s="13" t="s">
        <v>17718</v>
      </c>
    </row>
    <row r="3074" spans="1:15" ht="25.5" x14ac:dyDescent="0.2">
      <c r="A3074" s="197" t="str">
        <f t="shared" ref="A3074:A3137" si="48">HYPERLINK(K3074,L3074)</f>
        <v>DtcCode_chan048W</v>
      </c>
      <c r="B3074" s="409"/>
      <c r="C3074" s="416"/>
      <c r="D3074" s="198" t="s">
        <v>17724</v>
      </c>
      <c r="E3074" s="198">
        <v>141</v>
      </c>
      <c r="F3074" s="199" t="s">
        <v>17725</v>
      </c>
      <c r="G3074" s="1" t="s">
        <v>28597</v>
      </c>
      <c r="H3074" s="1" t="s">
        <v>16716</v>
      </c>
      <c r="I3074" s="346"/>
      <c r="J3074" s="39">
        <v>114907</v>
      </c>
      <c r="K3074" s="36" t="str">
        <f>CONCATENATE(Cover!$D$6,"fdd/view?i=",J3074)</f>
        <v>https://www.dgiwg.org/FAD/fdd/view?i=114907</v>
      </c>
      <c r="L3074" s="36" t="s">
        <v>28598</v>
      </c>
      <c r="M3074" s="186"/>
      <c r="N3074" s="186"/>
      <c r="O3074" s="13" t="s">
        <v>17723</v>
      </c>
    </row>
    <row r="3075" spans="1:15" ht="25.5" x14ac:dyDescent="0.2">
      <c r="A3075" s="197" t="str">
        <f t="shared" si="48"/>
        <v>DtcCode_chan048X</v>
      </c>
      <c r="B3075" s="409"/>
      <c r="C3075" s="416"/>
      <c r="D3075" s="198" t="s">
        <v>17729</v>
      </c>
      <c r="E3075" s="198">
        <v>142</v>
      </c>
      <c r="F3075" s="199" t="s">
        <v>17730</v>
      </c>
      <c r="G3075" s="1" t="s">
        <v>28599</v>
      </c>
      <c r="H3075" s="1" t="s">
        <v>16716</v>
      </c>
      <c r="I3075" s="346"/>
      <c r="J3075" s="39">
        <v>114908</v>
      </c>
      <c r="K3075" s="36" t="str">
        <f>CONCATENATE(Cover!$D$6,"fdd/view?i=",J3075)</f>
        <v>https://www.dgiwg.org/FAD/fdd/view?i=114908</v>
      </c>
      <c r="L3075" s="36" t="s">
        <v>28600</v>
      </c>
      <c r="M3075" s="186"/>
      <c r="N3075" s="186"/>
      <c r="O3075" s="13" t="s">
        <v>17728</v>
      </c>
    </row>
    <row r="3076" spans="1:15" ht="25.5" x14ac:dyDescent="0.2">
      <c r="A3076" s="197" t="str">
        <f t="shared" si="48"/>
        <v>DtcCode_chan048Y</v>
      </c>
      <c r="B3076" s="409"/>
      <c r="C3076" s="416"/>
      <c r="D3076" s="198" t="s">
        <v>17734</v>
      </c>
      <c r="E3076" s="198">
        <v>143</v>
      </c>
      <c r="F3076" s="199" t="s">
        <v>17735</v>
      </c>
      <c r="G3076" s="1" t="s">
        <v>28601</v>
      </c>
      <c r="H3076" s="1" t="s">
        <v>16716</v>
      </c>
      <c r="I3076" s="346"/>
      <c r="J3076" s="39">
        <v>114909</v>
      </c>
      <c r="K3076" s="36" t="str">
        <f>CONCATENATE(Cover!$D$6,"fdd/view?i=",J3076)</f>
        <v>https://www.dgiwg.org/FAD/fdd/view?i=114909</v>
      </c>
      <c r="L3076" s="36" t="s">
        <v>28602</v>
      </c>
      <c r="M3076" s="186"/>
      <c r="N3076" s="186"/>
      <c r="O3076" s="13" t="s">
        <v>17733</v>
      </c>
    </row>
    <row r="3077" spans="1:15" ht="25.5" x14ac:dyDescent="0.2">
      <c r="A3077" s="197" t="str">
        <f t="shared" si="48"/>
        <v>DtcCode_chan048Z</v>
      </c>
      <c r="B3077" s="409"/>
      <c r="C3077" s="416"/>
      <c r="D3077" s="198" t="s">
        <v>17739</v>
      </c>
      <c r="E3077" s="198">
        <v>144</v>
      </c>
      <c r="F3077" s="199" t="s">
        <v>17740</v>
      </c>
      <c r="G3077" s="1" t="s">
        <v>28603</v>
      </c>
      <c r="H3077" s="1" t="s">
        <v>16716</v>
      </c>
      <c r="I3077" s="346"/>
      <c r="J3077" s="39">
        <v>114910</v>
      </c>
      <c r="K3077" s="36" t="str">
        <f>CONCATENATE(Cover!$D$6,"fdd/view?i=",J3077)</f>
        <v>https://www.dgiwg.org/FAD/fdd/view?i=114910</v>
      </c>
      <c r="L3077" s="36" t="s">
        <v>28604</v>
      </c>
      <c r="M3077" s="186"/>
      <c r="N3077" s="186"/>
      <c r="O3077" s="13" t="s">
        <v>17738</v>
      </c>
    </row>
    <row r="3078" spans="1:15" ht="25.5" x14ac:dyDescent="0.2">
      <c r="A3078" s="197" t="str">
        <f t="shared" si="48"/>
        <v>DtcCode_chan049X</v>
      </c>
      <c r="B3078" s="409"/>
      <c r="C3078" s="416"/>
      <c r="D3078" s="198" t="s">
        <v>17744</v>
      </c>
      <c r="E3078" s="198">
        <v>145</v>
      </c>
      <c r="F3078" s="199" t="s">
        <v>17745</v>
      </c>
      <c r="G3078" s="1" t="s">
        <v>28605</v>
      </c>
      <c r="H3078" s="1" t="s">
        <v>16716</v>
      </c>
      <c r="I3078" s="346"/>
      <c r="J3078" s="39">
        <v>114911</v>
      </c>
      <c r="K3078" s="36" t="str">
        <f>CONCATENATE(Cover!$D$6,"fdd/view?i=",J3078)</f>
        <v>https://www.dgiwg.org/FAD/fdd/view?i=114911</v>
      </c>
      <c r="L3078" s="36" t="s">
        <v>28606</v>
      </c>
      <c r="M3078" s="186"/>
      <c r="N3078" s="186"/>
      <c r="O3078" s="13" t="s">
        <v>17743</v>
      </c>
    </row>
    <row r="3079" spans="1:15" ht="25.5" x14ac:dyDescent="0.2">
      <c r="A3079" s="197" t="str">
        <f t="shared" si="48"/>
        <v>DtcCode_chan049Y</v>
      </c>
      <c r="B3079" s="409"/>
      <c r="C3079" s="416"/>
      <c r="D3079" s="198" t="s">
        <v>17749</v>
      </c>
      <c r="E3079" s="198">
        <v>146</v>
      </c>
      <c r="F3079" s="199" t="s">
        <v>17750</v>
      </c>
      <c r="G3079" s="1" t="s">
        <v>28607</v>
      </c>
      <c r="H3079" s="1" t="s">
        <v>16716</v>
      </c>
      <c r="I3079" s="346"/>
      <c r="J3079" s="39">
        <v>114912</v>
      </c>
      <c r="K3079" s="36" t="str">
        <f>CONCATENATE(Cover!$D$6,"fdd/view?i=",J3079)</f>
        <v>https://www.dgiwg.org/FAD/fdd/view?i=114912</v>
      </c>
      <c r="L3079" s="36" t="s">
        <v>28608</v>
      </c>
      <c r="M3079" s="186"/>
      <c r="N3079" s="186"/>
      <c r="O3079" s="13" t="s">
        <v>17748</v>
      </c>
    </row>
    <row r="3080" spans="1:15" ht="25.5" x14ac:dyDescent="0.2">
      <c r="A3080" s="197" t="str">
        <f t="shared" si="48"/>
        <v>DtcCode_chan049Z</v>
      </c>
      <c r="B3080" s="409"/>
      <c r="C3080" s="416"/>
      <c r="D3080" s="198" t="s">
        <v>17754</v>
      </c>
      <c r="E3080" s="198">
        <v>147</v>
      </c>
      <c r="F3080" s="199" t="s">
        <v>17755</v>
      </c>
      <c r="G3080" s="1" t="s">
        <v>28609</v>
      </c>
      <c r="H3080" s="1" t="s">
        <v>16716</v>
      </c>
      <c r="I3080" s="346"/>
      <c r="J3080" s="39">
        <v>114913</v>
      </c>
      <c r="K3080" s="36" t="str">
        <f>CONCATENATE(Cover!$D$6,"fdd/view?i=",J3080)</f>
        <v>https://www.dgiwg.org/FAD/fdd/view?i=114913</v>
      </c>
      <c r="L3080" s="36" t="s">
        <v>28610</v>
      </c>
      <c r="M3080" s="186"/>
      <c r="N3080" s="186"/>
      <c r="O3080" s="13" t="s">
        <v>17753</v>
      </c>
    </row>
    <row r="3081" spans="1:15" ht="25.5" x14ac:dyDescent="0.2">
      <c r="A3081" s="197" t="str">
        <f t="shared" si="48"/>
        <v>DtcCode_chan050W</v>
      </c>
      <c r="B3081" s="409"/>
      <c r="C3081" s="416"/>
      <c r="D3081" s="198" t="s">
        <v>17769</v>
      </c>
      <c r="E3081" s="198">
        <v>148</v>
      </c>
      <c r="F3081" s="199" t="s">
        <v>17770</v>
      </c>
      <c r="G3081" s="1" t="s">
        <v>28615</v>
      </c>
      <c r="H3081" s="1" t="s">
        <v>16716</v>
      </c>
      <c r="I3081" s="346"/>
      <c r="J3081" s="39">
        <v>114914</v>
      </c>
      <c r="K3081" s="36" t="str">
        <f>CONCATENATE(Cover!$D$6,"fdd/view?i=",J3081)</f>
        <v>https://www.dgiwg.org/FAD/fdd/view?i=114914</v>
      </c>
      <c r="L3081" s="36" t="s">
        <v>28616</v>
      </c>
      <c r="M3081" s="186"/>
      <c r="N3081" s="186"/>
      <c r="O3081" s="13" t="s">
        <v>17768</v>
      </c>
    </row>
    <row r="3082" spans="1:15" ht="25.5" x14ac:dyDescent="0.2">
      <c r="A3082" s="197" t="str">
        <f t="shared" si="48"/>
        <v>DtcCode_chan050X</v>
      </c>
      <c r="B3082" s="409"/>
      <c r="C3082" s="416"/>
      <c r="D3082" s="198" t="s">
        <v>17774</v>
      </c>
      <c r="E3082" s="198">
        <v>149</v>
      </c>
      <c r="F3082" s="199" t="s">
        <v>17775</v>
      </c>
      <c r="G3082" s="1" t="s">
        <v>28617</v>
      </c>
      <c r="H3082" s="1" t="s">
        <v>16716</v>
      </c>
      <c r="I3082" s="346"/>
      <c r="J3082" s="39">
        <v>114915</v>
      </c>
      <c r="K3082" s="36" t="str">
        <f>CONCATENATE(Cover!$D$6,"fdd/view?i=",J3082)</f>
        <v>https://www.dgiwg.org/FAD/fdd/view?i=114915</v>
      </c>
      <c r="L3082" s="36" t="s">
        <v>28618</v>
      </c>
      <c r="M3082" s="186"/>
      <c r="N3082" s="186"/>
      <c r="O3082" s="13" t="s">
        <v>17773</v>
      </c>
    </row>
    <row r="3083" spans="1:15" ht="25.5" x14ac:dyDescent="0.2">
      <c r="A3083" s="197" t="str">
        <f t="shared" si="48"/>
        <v>DtcCode_chan050Y</v>
      </c>
      <c r="B3083" s="409"/>
      <c r="C3083" s="416"/>
      <c r="D3083" s="198" t="s">
        <v>17779</v>
      </c>
      <c r="E3083" s="198">
        <v>150</v>
      </c>
      <c r="F3083" s="199" t="s">
        <v>17780</v>
      </c>
      <c r="G3083" s="1" t="s">
        <v>28619</v>
      </c>
      <c r="H3083" s="1" t="s">
        <v>16716</v>
      </c>
      <c r="I3083" s="346"/>
      <c r="J3083" s="39">
        <v>114916</v>
      </c>
      <c r="K3083" s="36" t="str">
        <f>CONCATENATE(Cover!$D$6,"fdd/view?i=",J3083)</f>
        <v>https://www.dgiwg.org/FAD/fdd/view?i=114916</v>
      </c>
      <c r="L3083" s="36" t="s">
        <v>28620</v>
      </c>
      <c r="M3083" s="186"/>
      <c r="N3083" s="186"/>
      <c r="O3083" s="13" t="s">
        <v>17778</v>
      </c>
    </row>
    <row r="3084" spans="1:15" ht="25.5" x14ac:dyDescent="0.2">
      <c r="A3084" s="197" t="str">
        <f t="shared" si="48"/>
        <v>DtcCode_chan050Z</v>
      </c>
      <c r="B3084" s="409"/>
      <c r="C3084" s="416"/>
      <c r="D3084" s="198" t="s">
        <v>17784</v>
      </c>
      <c r="E3084" s="198">
        <v>151</v>
      </c>
      <c r="F3084" s="199" t="s">
        <v>17785</v>
      </c>
      <c r="G3084" s="1" t="s">
        <v>28621</v>
      </c>
      <c r="H3084" s="1" t="s">
        <v>16716</v>
      </c>
      <c r="I3084" s="346"/>
      <c r="J3084" s="39">
        <v>114917</v>
      </c>
      <c r="K3084" s="36" t="str">
        <f>CONCATENATE(Cover!$D$6,"fdd/view?i=",J3084)</f>
        <v>https://www.dgiwg.org/FAD/fdd/view?i=114917</v>
      </c>
      <c r="L3084" s="36" t="s">
        <v>28622</v>
      </c>
      <c r="M3084" s="186"/>
      <c r="N3084" s="186"/>
      <c r="O3084" s="13" t="s">
        <v>17783</v>
      </c>
    </row>
    <row r="3085" spans="1:15" ht="25.5" x14ac:dyDescent="0.2">
      <c r="A3085" s="197" t="str">
        <f t="shared" si="48"/>
        <v>DtcCode_chan051X</v>
      </c>
      <c r="B3085" s="409"/>
      <c r="C3085" s="416"/>
      <c r="D3085" s="198" t="s">
        <v>17789</v>
      </c>
      <c r="E3085" s="198">
        <v>152</v>
      </c>
      <c r="F3085" s="199" t="s">
        <v>17790</v>
      </c>
      <c r="G3085" s="1" t="s">
        <v>28623</v>
      </c>
      <c r="H3085" s="1" t="s">
        <v>16716</v>
      </c>
      <c r="I3085" s="346"/>
      <c r="J3085" s="39">
        <v>114918</v>
      </c>
      <c r="K3085" s="36" t="str">
        <f>CONCATENATE(Cover!$D$6,"fdd/view?i=",J3085)</f>
        <v>https://www.dgiwg.org/FAD/fdd/view?i=114918</v>
      </c>
      <c r="L3085" s="36" t="s">
        <v>28624</v>
      </c>
      <c r="M3085" s="186"/>
      <c r="N3085" s="186"/>
      <c r="O3085" s="13" t="s">
        <v>17788</v>
      </c>
    </row>
    <row r="3086" spans="1:15" ht="25.5" x14ac:dyDescent="0.2">
      <c r="A3086" s="197" t="str">
        <f t="shared" si="48"/>
        <v>DtcCode_chan051Y</v>
      </c>
      <c r="B3086" s="409"/>
      <c r="C3086" s="416"/>
      <c r="D3086" s="198" t="s">
        <v>17794</v>
      </c>
      <c r="E3086" s="198">
        <v>153</v>
      </c>
      <c r="F3086" s="199" t="s">
        <v>17795</v>
      </c>
      <c r="G3086" s="1" t="s">
        <v>28625</v>
      </c>
      <c r="H3086" s="1" t="s">
        <v>16716</v>
      </c>
      <c r="I3086" s="346"/>
      <c r="J3086" s="39">
        <v>114919</v>
      </c>
      <c r="K3086" s="36" t="str">
        <f>CONCATENATE(Cover!$D$6,"fdd/view?i=",J3086)</f>
        <v>https://www.dgiwg.org/FAD/fdd/view?i=114919</v>
      </c>
      <c r="L3086" s="36" t="s">
        <v>28626</v>
      </c>
      <c r="M3086" s="186"/>
      <c r="N3086" s="186"/>
      <c r="O3086" s="13" t="s">
        <v>17793</v>
      </c>
    </row>
    <row r="3087" spans="1:15" ht="25.5" x14ac:dyDescent="0.2">
      <c r="A3087" s="197" t="str">
        <f t="shared" si="48"/>
        <v>DtcCode_chan051Z</v>
      </c>
      <c r="B3087" s="409"/>
      <c r="C3087" s="416"/>
      <c r="D3087" s="198" t="s">
        <v>17799</v>
      </c>
      <c r="E3087" s="198">
        <v>154</v>
      </c>
      <c r="F3087" s="199" t="s">
        <v>17800</v>
      </c>
      <c r="G3087" s="1" t="s">
        <v>28627</v>
      </c>
      <c r="H3087" s="1" t="s">
        <v>16716</v>
      </c>
      <c r="I3087" s="346"/>
      <c r="J3087" s="39">
        <v>114920</v>
      </c>
      <c r="K3087" s="36" t="str">
        <f>CONCATENATE(Cover!$D$6,"fdd/view?i=",J3087)</f>
        <v>https://www.dgiwg.org/FAD/fdd/view?i=114920</v>
      </c>
      <c r="L3087" s="36" t="s">
        <v>28628</v>
      </c>
      <c r="M3087" s="186"/>
      <c r="N3087" s="186"/>
      <c r="O3087" s="13" t="s">
        <v>17798</v>
      </c>
    </row>
    <row r="3088" spans="1:15" ht="25.5" x14ac:dyDescent="0.2">
      <c r="A3088" s="197" t="str">
        <f t="shared" si="48"/>
        <v>DtcCode_chan052W</v>
      </c>
      <c r="B3088" s="409"/>
      <c r="C3088" s="416"/>
      <c r="D3088" s="198" t="s">
        <v>17804</v>
      </c>
      <c r="E3088" s="198">
        <v>155</v>
      </c>
      <c r="F3088" s="199" t="s">
        <v>17805</v>
      </c>
      <c r="G3088" s="1" t="s">
        <v>28629</v>
      </c>
      <c r="H3088" s="1" t="s">
        <v>16716</v>
      </c>
      <c r="I3088" s="346"/>
      <c r="J3088" s="39">
        <v>114921</v>
      </c>
      <c r="K3088" s="36" t="str">
        <f>CONCATENATE(Cover!$D$6,"fdd/view?i=",J3088)</f>
        <v>https://www.dgiwg.org/FAD/fdd/view?i=114921</v>
      </c>
      <c r="L3088" s="36" t="s">
        <v>28630</v>
      </c>
      <c r="M3088" s="186"/>
      <c r="N3088" s="186"/>
      <c r="O3088" s="13" t="s">
        <v>17803</v>
      </c>
    </row>
    <row r="3089" spans="1:15" ht="25.5" x14ac:dyDescent="0.2">
      <c r="A3089" s="197" t="str">
        <f t="shared" si="48"/>
        <v>DtcCode_chan052X</v>
      </c>
      <c r="B3089" s="409"/>
      <c r="C3089" s="416"/>
      <c r="D3089" s="198" t="s">
        <v>17809</v>
      </c>
      <c r="E3089" s="198">
        <v>156</v>
      </c>
      <c r="F3089" s="199" t="s">
        <v>17810</v>
      </c>
      <c r="G3089" s="1" t="s">
        <v>28631</v>
      </c>
      <c r="H3089" s="1" t="s">
        <v>16716</v>
      </c>
      <c r="I3089" s="346"/>
      <c r="J3089" s="39">
        <v>114922</v>
      </c>
      <c r="K3089" s="36" t="str">
        <f>CONCATENATE(Cover!$D$6,"fdd/view?i=",J3089)</f>
        <v>https://www.dgiwg.org/FAD/fdd/view?i=114922</v>
      </c>
      <c r="L3089" s="36" t="s">
        <v>28632</v>
      </c>
      <c r="M3089" s="186"/>
      <c r="N3089" s="186"/>
      <c r="O3089" s="13" t="s">
        <v>17808</v>
      </c>
    </row>
    <row r="3090" spans="1:15" ht="25.5" x14ac:dyDescent="0.2">
      <c r="A3090" s="197" t="str">
        <f t="shared" si="48"/>
        <v>DtcCode_chan052Y</v>
      </c>
      <c r="B3090" s="409"/>
      <c r="C3090" s="416"/>
      <c r="D3090" s="198" t="s">
        <v>17814</v>
      </c>
      <c r="E3090" s="198">
        <v>157</v>
      </c>
      <c r="F3090" s="199" t="s">
        <v>17815</v>
      </c>
      <c r="G3090" s="1" t="s">
        <v>28633</v>
      </c>
      <c r="H3090" s="1" t="s">
        <v>16716</v>
      </c>
      <c r="I3090" s="346"/>
      <c r="J3090" s="39">
        <v>114923</v>
      </c>
      <c r="K3090" s="36" t="str">
        <f>CONCATENATE(Cover!$D$6,"fdd/view?i=",J3090)</f>
        <v>https://www.dgiwg.org/FAD/fdd/view?i=114923</v>
      </c>
      <c r="L3090" s="36" t="s">
        <v>28634</v>
      </c>
      <c r="M3090" s="186"/>
      <c r="N3090" s="186"/>
      <c r="O3090" s="13" t="s">
        <v>17813</v>
      </c>
    </row>
    <row r="3091" spans="1:15" ht="25.5" x14ac:dyDescent="0.2">
      <c r="A3091" s="197" t="str">
        <f t="shared" si="48"/>
        <v>DtcCode_chan052Z</v>
      </c>
      <c r="B3091" s="409"/>
      <c r="C3091" s="416"/>
      <c r="D3091" s="198" t="s">
        <v>17819</v>
      </c>
      <c r="E3091" s="198">
        <v>158</v>
      </c>
      <c r="F3091" s="199" t="s">
        <v>17820</v>
      </c>
      <c r="G3091" s="1" t="s">
        <v>28635</v>
      </c>
      <c r="H3091" s="1" t="s">
        <v>16716</v>
      </c>
      <c r="I3091" s="346"/>
      <c r="J3091" s="39">
        <v>114924</v>
      </c>
      <c r="K3091" s="36" t="str">
        <f>CONCATENATE(Cover!$D$6,"fdd/view?i=",J3091)</f>
        <v>https://www.dgiwg.org/FAD/fdd/view?i=114924</v>
      </c>
      <c r="L3091" s="36" t="s">
        <v>28636</v>
      </c>
      <c r="M3091" s="186"/>
      <c r="N3091" s="186"/>
      <c r="O3091" s="13" t="s">
        <v>17818</v>
      </c>
    </row>
    <row r="3092" spans="1:15" ht="25.5" x14ac:dyDescent="0.2">
      <c r="A3092" s="197" t="str">
        <f t="shared" si="48"/>
        <v>DtcCode_chan053X</v>
      </c>
      <c r="B3092" s="409"/>
      <c r="C3092" s="416"/>
      <c r="D3092" s="198" t="s">
        <v>17824</v>
      </c>
      <c r="E3092" s="198">
        <v>159</v>
      </c>
      <c r="F3092" s="199" t="s">
        <v>17825</v>
      </c>
      <c r="G3092" s="1" t="s">
        <v>28637</v>
      </c>
      <c r="H3092" s="1" t="s">
        <v>16716</v>
      </c>
      <c r="I3092" s="346"/>
      <c r="J3092" s="39">
        <v>114925</v>
      </c>
      <c r="K3092" s="36" t="str">
        <f>CONCATENATE(Cover!$D$6,"fdd/view?i=",J3092)</f>
        <v>https://www.dgiwg.org/FAD/fdd/view?i=114925</v>
      </c>
      <c r="L3092" s="36" t="s">
        <v>28638</v>
      </c>
      <c r="M3092" s="186"/>
      <c r="N3092" s="186"/>
      <c r="O3092" s="13" t="s">
        <v>17823</v>
      </c>
    </row>
    <row r="3093" spans="1:15" ht="25.5" x14ac:dyDescent="0.2">
      <c r="A3093" s="197" t="str">
        <f t="shared" si="48"/>
        <v>DtcCode_chan053Y</v>
      </c>
      <c r="B3093" s="409"/>
      <c r="C3093" s="416"/>
      <c r="D3093" s="198" t="s">
        <v>17829</v>
      </c>
      <c r="E3093" s="198">
        <v>160</v>
      </c>
      <c r="F3093" s="199" t="s">
        <v>17830</v>
      </c>
      <c r="G3093" s="1" t="s">
        <v>28639</v>
      </c>
      <c r="H3093" s="1" t="s">
        <v>16716</v>
      </c>
      <c r="I3093" s="346"/>
      <c r="J3093" s="39">
        <v>114926</v>
      </c>
      <c r="K3093" s="36" t="str">
        <f>CONCATENATE(Cover!$D$6,"fdd/view?i=",J3093)</f>
        <v>https://www.dgiwg.org/FAD/fdd/view?i=114926</v>
      </c>
      <c r="L3093" s="36" t="s">
        <v>28640</v>
      </c>
      <c r="M3093" s="186"/>
      <c r="N3093" s="186"/>
      <c r="O3093" s="13" t="s">
        <v>17828</v>
      </c>
    </row>
    <row r="3094" spans="1:15" ht="25.5" x14ac:dyDescent="0.2">
      <c r="A3094" s="197" t="str">
        <f t="shared" si="48"/>
        <v>DtcCode_chan053Z</v>
      </c>
      <c r="B3094" s="409"/>
      <c r="C3094" s="416"/>
      <c r="D3094" s="198" t="s">
        <v>17834</v>
      </c>
      <c r="E3094" s="198">
        <v>161</v>
      </c>
      <c r="F3094" s="199" t="s">
        <v>17835</v>
      </c>
      <c r="G3094" s="1" t="s">
        <v>28641</v>
      </c>
      <c r="H3094" s="1" t="s">
        <v>16716</v>
      </c>
      <c r="I3094" s="346"/>
      <c r="J3094" s="39">
        <v>114927</v>
      </c>
      <c r="K3094" s="36" t="str">
        <f>CONCATENATE(Cover!$D$6,"fdd/view?i=",J3094)</f>
        <v>https://www.dgiwg.org/FAD/fdd/view?i=114927</v>
      </c>
      <c r="L3094" s="36" t="s">
        <v>28642</v>
      </c>
      <c r="M3094" s="186"/>
      <c r="N3094" s="186"/>
      <c r="O3094" s="13" t="s">
        <v>17833</v>
      </c>
    </row>
    <row r="3095" spans="1:15" ht="25.5" x14ac:dyDescent="0.2">
      <c r="A3095" s="197" t="str">
        <f t="shared" si="48"/>
        <v>DtcCode_chan054W</v>
      </c>
      <c r="B3095" s="409"/>
      <c r="C3095" s="416"/>
      <c r="D3095" s="198" t="s">
        <v>17839</v>
      </c>
      <c r="E3095" s="198">
        <v>162</v>
      </c>
      <c r="F3095" s="199" t="s">
        <v>17840</v>
      </c>
      <c r="G3095" s="1" t="s">
        <v>28643</v>
      </c>
      <c r="H3095" s="1" t="s">
        <v>16716</v>
      </c>
      <c r="I3095" s="346"/>
      <c r="J3095" s="39">
        <v>114928</v>
      </c>
      <c r="K3095" s="36" t="str">
        <f>CONCATENATE(Cover!$D$6,"fdd/view?i=",J3095)</f>
        <v>https://www.dgiwg.org/FAD/fdd/view?i=114928</v>
      </c>
      <c r="L3095" s="36" t="s">
        <v>28644</v>
      </c>
      <c r="M3095" s="186"/>
      <c r="N3095" s="186"/>
      <c r="O3095" s="13" t="s">
        <v>17838</v>
      </c>
    </row>
    <row r="3096" spans="1:15" ht="25.5" x14ac:dyDescent="0.2">
      <c r="A3096" s="197" t="str">
        <f t="shared" si="48"/>
        <v>DtcCode_chan054X</v>
      </c>
      <c r="B3096" s="409"/>
      <c r="C3096" s="416"/>
      <c r="D3096" s="198" t="s">
        <v>17844</v>
      </c>
      <c r="E3096" s="198">
        <v>163</v>
      </c>
      <c r="F3096" s="199" t="s">
        <v>17845</v>
      </c>
      <c r="G3096" s="1" t="s">
        <v>28645</v>
      </c>
      <c r="H3096" s="1" t="s">
        <v>16716</v>
      </c>
      <c r="I3096" s="346"/>
      <c r="J3096" s="39">
        <v>114929</v>
      </c>
      <c r="K3096" s="36" t="str">
        <f>CONCATENATE(Cover!$D$6,"fdd/view?i=",J3096)</f>
        <v>https://www.dgiwg.org/FAD/fdd/view?i=114929</v>
      </c>
      <c r="L3096" s="36" t="s">
        <v>28646</v>
      </c>
      <c r="M3096" s="186"/>
      <c r="N3096" s="186"/>
      <c r="O3096" s="13" t="s">
        <v>17843</v>
      </c>
    </row>
    <row r="3097" spans="1:15" ht="25.5" x14ac:dyDescent="0.2">
      <c r="A3097" s="197" t="str">
        <f t="shared" si="48"/>
        <v>DtcCode_chan054Y</v>
      </c>
      <c r="B3097" s="409"/>
      <c r="C3097" s="416"/>
      <c r="D3097" s="198" t="s">
        <v>17849</v>
      </c>
      <c r="E3097" s="198">
        <v>164</v>
      </c>
      <c r="F3097" s="199" t="s">
        <v>17850</v>
      </c>
      <c r="G3097" s="1" t="s">
        <v>28647</v>
      </c>
      <c r="H3097" s="1" t="s">
        <v>16716</v>
      </c>
      <c r="I3097" s="346"/>
      <c r="J3097" s="39">
        <v>114930</v>
      </c>
      <c r="K3097" s="36" t="str">
        <f>CONCATENATE(Cover!$D$6,"fdd/view?i=",J3097)</f>
        <v>https://www.dgiwg.org/FAD/fdd/view?i=114930</v>
      </c>
      <c r="L3097" s="36" t="s">
        <v>28648</v>
      </c>
      <c r="M3097" s="186"/>
      <c r="N3097" s="186"/>
      <c r="O3097" s="13" t="s">
        <v>17848</v>
      </c>
    </row>
    <row r="3098" spans="1:15" ht="25.5" x14ac:dyDescent="0.2">
      <c r="A3098" s="197" t="str">
        <f t="shared" si="48"/>
        <v>DtcCode_chan054Z</v>
      </c>
      <c r="B3098" s="409"/>
      <c r="C3098" s="416"/>
      <c r="D3098" s="198" t="s">
        <v>17854</v>
      </c>
      <c r="E3098" s="198">
        <v>165</v>
      </c>
      <c r="F3098" s="199" t="s">
        <v>17855</v>
      </c>
      <c r="G3098" s="1" t="s">
        <v>28649</v>
      </c>
      <c r="H3098" s="1" t="s">
        <v>16716</v>
      </c>
      <c r="I3098" s="346"/>
      <c r="J3098" s="39">
        <v>114931</v>
      </c>
      <c r="K3098" s="36" t="str">
        <f>CONCATENATE(Cover!$D$6,"fdd/view?i=",J3098)</f>
        <v>https://www.dgiwg.org/FAD/fdd/view?i=114931</v>
      </c>
      <c r="L3098" s="36" t="s">
        <v>28650</v>
      </c>
      <c r="M3098" s="186"/>
      <c r="N3098" s="186"/>
      <c r="O3098" s="13" t="s">
        <v>17853</v>
      </c>
    </row>
    <row r="3099" spans="1:15" ht="25.5" x14ac:dyDescent="0.2">
      <c r="A3099" s="197" t="str">
        <f t="shared" si="48"/>
        <v>DtcCode_chan055X</v>
      </c>
      <c r="B3099" s="409"/>
      <c r="C3099" s="416"/>
      <c r="D3099" s="198" t="s">
        <v>17859</v>
      </c>
      <c r="E3099" s="198">
        <v>166</v>
      </c>
      <c r="F3099" s="199" t="s">
        <v>17860</v>
      </c>
      <c r="G3099" s="1" t="s">
        <v>28651</v>
      </c>
      <c r="H3099" s="1" t="s">
        <v>16716</v>
      </c>
      <c r="I3099" s="346"/>
      <c r="J3099" s="39">
        <v>114932</v>
      </c>
      <c r="K3099" s="36" t="str">
        <f>CONCATENATE(Cover!$D$6,"fdd/view?i=",J3099)</f>
        <v>https://www.dgiwg.org/FAD/fdd/view?i=114932</v>
      </c>
      <c r="L3099" s="36" t="s">
        <v>28652</v>
      </c>
      <c r="M3099" s="186"/>
      <c r="N3099" s="186"/>
      <c r="O3099" s="13" t="s">
        <v>17858</v>
      </c>
    </row>
    <row r="3100" spans="1:15" ht="25.5" x14ac:dyDescent="0.2">
      <c r="A3100" s="197" t="str">
        <f t="shared" si="48"/>
        <v>DtcCode_chan055Y</v>
      </c>
      <c r="B3100" s="409"/>
      <c r="C3100" s="416"/>
      <c r="D3100" s="198" t="s">
        <v>17864</v>
      </c>
      <c r="E3100" s="198">
        <v>167</v>
      </c>
      <c r="F3100" s="199" t="s">
        <v>17865</v>
      </c>
      <c r="G3100" s="1" t="s">
        <v>28653</v>
      </c>
      <c r="H3100" s="1" t="s">
        <v>16716</v>
      </c>
      <c r="I3100" s="346"/>
      <c r="J3100" s="39">
        <v>114933</v>
      </c>
      <c r="K3100" s="36" t="str">
        <f>CONCATENATE(Cover!$D$6,"fdd/view?i=",J3100)</f>
        <v>https://www.dgiwg.org/FAD/fdd/view?i=114933</v>
      </c>
      <c r="L3100" s="36" t="s">
        <v>28654</v>
      </c>
      <c r="M3100" s="186"/>
      <c r="N3100" s="186"/>
      <c r="O3100" s="13" t="s">
        <v>17863</v>
      </c>
    </row>
    <row r="3101" spans="1:15" ht="25.5" x14ac:dyDescent="0.2">
      <c r="A3101" s="197" t="str">
        <f t="shared" si="48"/>
        <v>DtcCode_chan055Z</v>
      </c>
      <c r="B3101" s="409"/>
      <c r="C3101" s="416"/>
      <c r="D3101" s="198" t="s">
        <v>17869</v>
      </c>
      <c r="E3101" s="198">
        <v>168</v>
      </c>
      <c r="F3101" s="199" t="s">
        <v>17870</v>
      </c>
      <c r="G3101" s="1" t="s">
        <v>28655</v>
      </c>
      <c r="H3101" s="1" t="s">
        <v>16716</v>
      </c>
      <c r="I3101" s="346"/>
      <c r="J3101" s="39">
        <v>114934</v>
      </c>
      <c r="K3101" s="36" t="str">
        <f>CONCATENATE(Cover!$D$6,"fdd/view?i=",J3101)</f>
        <v>https://www.dgiwg.org/FAD/fdd/view?i=114934</v>
      </c>
      <c r="L3101" s="36" t="s">
        <v>28656</v>
      </c>
      <c r="M3101" s="186"/>
      <c r="N3101" s="186"/>
      <c r="O3101" s="13" t="s">
        <v>17868</v>
      </c>
    </row>
    <row r="3102" spans="1:15" ht="25.5" x14ac:dyDescent="0.2">
      <c r="A3102" s="197" t="str">
        <f t="shared" si="48"/>
        <v>DtcCode_chan056W</v>
      </c>
      <c r="B3102" s="409"/>
      <c r="C3102" s="416"/>
      <c r="D3102" s="198" t="s">
        <v>17874</v>
      </c>
      <c r="E3102" s="198">
        <v>169</v>
      </c>
      <c r="F3102" s="199" t="s">
        <v>17875</v>
      </c>
      <c r="G3102" s="1" t="s">
        <v>28657</v>
      </c>
      <c r="H3102" s="1" t="s">
        <v>16716</v>
      </c>
      <c r="I3102" s="346"/>
      <c r="J3102" s="39">
        <v>114935</v>
      </c>
      <c r="K3102" s="36" t="str">
        <f>CONCATENATE(Cover!$D$6,"fdd/view?i=",J3102)</f>
        <v>https://www.dgiwg.org/FAD/fdd/view?i=114935</v>
      </c>
      <c r="L3102" s="36" t="s">
        <v>28658</v>
      </c>
      <c r="M3102" s="186"/>
      <c r="N3102" s="186"/>
      <c r="O3102" s="13" t="s">
        <v>17873</v>
      </c>
    </row>
    <row r="3103" spans="1:15" ht="25.5" x14ac:dyDescent="0.2">
      <c r="A3103" s="197" t="str">
        <f t="shared" si="48"/>
        <v>DtcCode_chan056X</v>
      </c>
      <c r="B3103" s="409"/>
      <c r="C3103" s="416"/>
      <c r="D3103" s="198" t="s">
        <v>17879</v>
      </c>
      <c r="E3103" s="198">
        <v>170</v>
      </c>
      <c r="F3103" s="199" t="s">
        <v>17880</v>
      </c>
      <c r="G3103" s="1" t="s">
        <v>28659</v>
      </c>
      <c r="H3103" s="1" t="s">
        <v>16716</v>
      </c>
      <c r="I3103" s="346"/>
      <c r="J3103" s="39">
        <v>114936</v>
      </c>
      <c r="K3103" s="36" t="str">
        <f>CONCATENATE(Cover!$D$6,"fdd/view?i=",J3103)</f>
        <v>https://www.dgiwg.org/FAD/fdd/view?i=114936</v>
      </c>
      <c r="L3103" s="36" t="s">
        <v>28660</v>
      </c>
      <c r="M3103" s="186"/>
      <c r="N3103" s="186"/>
      <c r="O3103" s="13" t="s">
        <v>17878</v>
      </c>
    </row>
    <row r="3104" spans="1:15" ht="25.5" x14ac:dyDescent="0.2">
      <c r="A3104" s="197" t="str">
        <f t="shared" si="48"/>
        <v>DtcCode_chan056Y</v>
      </c>
      <c r="B3104" s="409"/>
      <c r="C3104" s="416"/>
      <c r="D3104" s="198" t="s">
        <v>17884</v>
      </c>
      <c r="E3104" s="198">
        <v>171</v>
      </c>
      <c r="F3104" s="199" t="s">
        <v>17885</v>
      </c>
      <c r="G3104" s="1" t="s">
        <v>28661</v>
      </c>
      <c r="H3104" s="1" t="s">
        <v>16716</v>
      </c>
      <c r="I3104" s="346"/>
      <c r="J3104" s="39">
        <v>114937</v>
      </c>
      <c r="K3104" s="36" t="str">
        <f>CONCATENATE(Cover!$D$6,"fdd/view?i=",J3104)</f>
        <v>https://www.dgiwg.org/FAD/fdd/view?i=114937</v>
      </c>
      <c r="L3104" s="36" t="s">
        <v>28662</v>
      </c>
      <c r="M3104" s="186"/>
      <c r="N3104" s="186"/>
      <c r="O3104" s="13" t="s">
        <v>17883</v>
      </c>
    </row>
    <row r="3105" spans="1:15" ht="25.5" x14ac:dyDescent="0.2">
      <c r="A3105" s="197" t="str">
        <f t="shared" si="48"/>
        <v>DtcCode_chan056Z</v>
      </c>
      <c r="B3105" s="409"/>
      <c r="C3105" s="416"/>
      <c r="D3105" s="198" t="s">
        <v>17889</v>
      </c>
      <c r="E3105" s="198">
        <v>172</v>
      </c>
      <c r="F3105" s="199" t="s">
        <v>17890</v>
      </c>
      <c r="G3105" s="1" t="s">
        <v>28663</v>
      </c>
      <c r="H3105" s="1" t="s">
        <v>16716</v>
      </c>
      <c r="I3105" s="346"/>
      <c r="J3105" s="39">
        <v>114938</v>
      </c>
      <c r="K3105" s="36" t="str">
        <f>CONCATENATE(Cover!$D$6,"fdd/view?i=",J3105)</f>
        <v>https://www.dgiwg.org/FAD/fdd/view?i=114938</v>
      </c>
      <c r="L3105" s="36" t="s">
        <v>28664</v>
      </c>
      <c r="M3105" s="186"/>
      <c r="N3105" s="186"/>
      <c r="O3105" s="13" t="s">
        <v>17888</v>
      </c>
    </row>
    <row r="3106" spans="1:15" ht="25.5" x14ac:dyDescent="0.2">
      <c r="A3106" s="197" t="str">
        <f t="shared" si="48"/>
        <v>DtcCode_chan057X</v>
      </c>
      <c r="B3106" s="409"/>
      <c r="C3106" s="416"/>
      <c r="D3106" s="198" t="s">
        <v>17894</v>
      </c>
      <c r="E3106" s="198">
        <v>173</v>
      </c>
      <c r="F3106" s="199" t="s">
        <v>17895</v>
      </c>
      <c r="G3106" s="1" t="s">
        <v>28665</v>
      </c>
      <c r="H3106" s="1" t="s">
        <v>16716</v>
      </c>
      <c r="I3106" s="346"/>
      <c r="J3106" s="39">
        <v>114939</v>
      </c>
      <c r="K3106" s="36" t="str">
        <f>CONCATENATE(Cover!$D$6,"fdd/view?i=",J3106)</f>
        <v>https://www.dgiwg.org/FAD/fdd/view?i=114939</v>
      </c>
      <c r="L3106" s="36" t="s">
        <v>28666</v>
      </c>
      <c r="M3106" s="186"/>
      <c r="N3106" s="186"/>
      <c r="O3106" s="13" t="s">
        <v>17893</v>
      </c>
    </row>
    <row r="3107" spans="1:15" ht="25.5" x14ac:dyDescent="0.2">
      <c r="A3107" s="197" t="str">
        <f t="shared" si="48"/>
        <v>DtcCode_chan057Y</v>
      </c>
      <c r="B3107" s="409"/>
      <c r="C3107" s="416"/>
      <c r="D3107" s="198" t="s">
        <v>17899</v>
      </c>
      <c r="E3107" s="198">
        <v>174</v>
      </c>
      <c r="F3107" s="199" t="s">
        <v>17900</v>
      </c>
      <c r="G3107" s="1" t="s">
        <v>28667</v>
      </c>
      <c r="H3107" s="1" t="s">
        <v>16716</v>
      </c>
      <c r="I3107" s="346"/>
      <c r="J3107" s="39">
        <v>114940</v>
      </c>
      <c r="K3107" s="36" t="str">
        <f>CONCATENATE(Cover!$D$6,"fdd/view?i=",J3107)</f>
        <v>https://www.dgiwg.org/FAD/fdd/view?i=114940</v>
      </c>
      <c r="L3107" s="36" t="s">
        <v>28668</v>
      </c>
      <c r="M3107" s="186"/>
      <c r="N3107" s="186"/>
      <c r="O3107" s="13" t="s">
        <v>17898</v>
      </c>
    </row>
    <row r="3108" spans="1:15" ht="25.5" x14ac:dyDescent="0.2">
      <c r="A3108" s="197" t="str">
        <f t="shared" si="48"/>
        <v>DtcCode_chan058X</v>
      </c>
      <c r="B3108" s="409"/>
      <c r="C3108" s="416"/>
      <c r="D3108" s="198" t="s">
        <v>17904</v>
      </c>
      <c r="E3108" s="198">
        <v>175</v>
      </c>
      <c r="F3108" s="199" t="s">
        <v>17905</v>
      </c>
      <c r="G3108" s="1" t="s">
        <v>28669</v>
      </c>
      <c r="H3108" s="1" t="s">
        <v>16716</v>
      </c>
      <c r="I3108" s="346"/>
      <c r="J3108" s="39">
        <v>114941</v>
      </c>
      <c r="K3108" s="36" t="str">
        <f>CONCATENATE(Cover!$D$6,"fdd/view?i=",J3108)</f>
        <v>https://www.dgiwg.org/FAD/fdd/view?i=114941</v>
      </c>
      <c r="L3108" s="36" t="s">
        <v>28670</v>
      </c>
      <c r="M3108" s="186"/>
      <c r="N3108" s="186"/>
      <c r="O3108" s="13" t="s">
        <v>17903</v>
      </c>
    </row>
    <row r="3109" spans="1:15" ht="25.5" x14ac:dyDescent="0.2">
      <c r="A3109" s="197" t="str">
        <f t="shared" si="48"/>
        <v>DtcCode_chan058Y</v>
      </c>
      <c r="B3109" s="409"/>
      <c r="C3109" s="416"/>
      <c r="D3109" s="198" t="s">
        <v>17909</v>
      </c>
      <c r="E3109" s="198">
        <v>176</v>
      </c>
      <c r="F3109" s="199" t="s">
        <v>17910</v>
      </c>
      <c r="G3109" s="1" t="s">
        <v>28671</v>
      </c>
      <c r="H3109" s="1" t="s">
        <v>16716</v>
      </c>
      <c r="I3109" s="346"/>
      <c r="J3109" s="39">
        <v>114942</v>
      </c>
      <c r="K3109" s="36" t="str">
        <f>CONCATENATE(Cover!$D$6,"fdd/view?i=",J3109)</f>
        <v>https://www.dgiwg.org/FAD/fdd/view?i=114942</v>
      </c>
      <c r="L3109" s="36" t="s">
        <v>28672</v>
      </c>
      <c r="M3109" s="186"/>
      <c r="N3109" s="186"/>
      <c r="O3109" s="13" t="s">
        <v>17908</v>
      </c>
    </row>
    <row r="3110" spans="1:15" ht="25.5" x14ac:dyDescent="0.2">
      <c r="A3110" s="197" t="str">
        <f t="shared" si="48"/>
        <v>DtcCode_chan059X</v>
      </c>
      <c r="B3110" s="409"/>
      <c r="C3110" s="416"/>
      <c r="D3110" s="198" t="s">
        <v>17914</v>
      </c>
      <c r="E3110" s="198">
        <v>177</v>
      </c>
      <c r="F3110" s="199" t="s">
        <v>17915</v>
      </c>
      <c r="G3110" s="1" t="s">
        <v>28673</v>
      </c>
      <c r="H3110" s="1" t="s">
        <v>16716</v>
      </c>
      <c r="I3110" s="346"/>
      <c r="J3110" s="39">
        <v>114943</v>
      </c>
      <c r="K3110" s="36" t="str">
        <f>CONCATENATE(Cover!$D$6,"fdd/view?i=",J3110)</f>
        <v>https://www.dgiwg.org/FAD/fdd/view?i=114943</v>
      </c>
      <c r="L3110" s="36" t="s">
        <v>28674</v>
      </c>
      <c r="M3110" s="186"/>
      <c r="N3110" s="186"/>
      <c r="O3110" s="13" t="s">
        <v>17913</v>
      </c>
    </row>
    <row r="3111" spans="1:15" ht="25.5" x14ac:dyDescent="0.2">
      <c r="A3111" s="197" t="str">
        <f t="shared" si="48"/>
        <v>DtcCode_chan059Y</v>
      </c>
      <c r="B3111" s="409"/>
      <c r="C3111" s="416"/>
      <c r="D3111" s="198" t="s">
        <v>17919</v>
      </c>
      <c r="E3111" s="198">
        <v>178</v>
      </c>
      <c r="F3111" s="199" t="s">
        <v>17920</v>
      </c>
      <c r="G3111" s="1" t="s">
        <v>28675</v>
      </c>
      <c r="H3111" s="1" t="s">
        <v>16716</v>
      </c>
      <c r="I3111" s="346"/>
      <c r="J3111" s="39">
        <v>114944</v>
      </c>
      <c r="K3111" s="36" t="str">
        <f>CONCATENATE(Cover!$D$6,"fdd/view?i=",J3111)</f>
        <v>https://www.dgiwg.org/FAD/fdd/view?i=114944</v>
      </c>
      <c r="L3111" s="36" t="s">
        <v>28676</v>
      </c>
      <c r="M3111" s="186"/>
      <c r="N3111" s="186"/>
      <c r="O3111" s="13" t="s">
        <v>17918</v>
      </c>
    </row>
    <row r="3112" spans="1:15" ht="25.5" x14ac:dyDescent="0.2">
      <c r="A3112" s="197" t="str">
        <f t="shared" si="48"/>
        <v>DtcCode_chan060X</v>
      </c>
      <c r="B3112" s="409"/>
      <c r="C3112" s="416"/>
      <c r="D3112" s="198" t="s">
        <v>17934</v>
      </c>
      <c r="E3112" s="198">
        <v>179</v>
      </c>
      <c r="F3112" s="199" t="s">
        <v>17935</v>
      </c>
      <c r="G3112" s="1" t="s">
        <v>28681</v>
      </c>
      <c r="H3112" s="1" t="s">
        <v>16716</v>
      </c>
      <c r="I3112" s="346"/>
      <c r="J3112" s="39">
        <v>114945</v>
      </c>
      <c r="K3112" s="36" t="str">
        <f>CONCATENATE(Cover!$D$6,"fdd/view?i=",J3112)</f>
        <v>https://www.dgiwg.org/FAD/fdd/view?i=114945</v>
      </c>
      <c r="L3112" s="36" t="s">
        <v>28682</v>
      </c>
      <c r="M3112" s="186"/>
      <c r="N3112" s="186"/>
      <c r="O3112" s="13" t="s">
        <v>17933</v>
      </c>
    </row>
    <row r="3113" spans="1:15" ht="25.5" x14ac:dyDescent="0.2">
      <c r="A3113" s="197" t="str">
        <f t="shared" si="48"/>
        <v>DtcCode_chan060Y</v>
      </c>
      <c r="B3113" s="409"/>
      <c r="C3113" s="416"/>
      <c r="D3113" s="198" t="s">
        <v>17939</v>
      </c>
      <c r="E3113" s="198">
        <v>180</v>
      </c>
      <c r="F3113" s="199" t="s">
        <v>17940</v>
      </c>
      <c r="G3113" s="1" t="s">
        <v>28683</v>
      </c>
      <c r="H3113" s="1" t="s">
        <v>16716</v>
      </c>
      <c r="I3113" s="346"/>
      <c r="J3113" s="39">
        <v>114946</v>
      </c>
      <c r="K3113" s="36" t="str">
        <f>CONCATENATE(Cover!$D$6,"fdd/view?i=",J3113)</f>
        <v>https://www.dgiwg.org/FAD/fdd/view?i=114946</v>
      </c>
      <c r="L3113" s="36" t="s">
        <v>28684</v>
      </c>
      <c r="M3113" s="186"/>
      <c r="N3113" s="186"/>
      <c r="O3113" s="13" t="s">
        <v>17938</v>
      </c>
    </row>
    <row r="3114" spans="1:15" ht="25.5" x14ac:dyDescent="0.2">
      <c r="A3114" s="197" t="str">
        <f t="shared" si="48"/>
        <v>DtcCode_chan061X</v>
      </c>
      <c r="B3114" s="409"/>
      <c r="C3114" s="416"/>
      <c r="D3114" s="198" t="s">
        <v>17944</v>
      </c>
      <c r="E3114" s="198">
        <v>181</v>
      </c>
      <c r="F3114" s="199" t="s">
        <v>17945</v>
      </c>
      <c r="G3114" s="1" t="s">
        <v>28685</v>
      </c>
      <c r="H3114" s="1" t="s">
        <v>16716</v>
      </c>
      <c r="I3114" s="346"/>
      <c r="J3114" s="39">
        <v>114947</v>
      </c>
      <c r="K3114" s="36" t="str">
        <f>CONCATENATE(Cover!$D$6,"fdd/view?i=",J3114)</f>
        <v>https://www.dgiwg.org/FAD/fdd/view?i=114947</v>
      </c>
      <c r="L3114" s="36" t="s">
        <v>28686</v>
      </c>
      <c r="M3114" s="186"/>
      <c r="N3114" s="186"/>
      <c r="O3114" s="13" t="s">
        <v>17943</v>
      </c>
    </row>
    <row r="3115" spans="1:15" ht="25.5" x14ac:dyDescent="0.2">
      <c r="A3115" s="197" t="str">
        <f t="shared" si="48"/>
        <v>DtcCode_chan061Y</v>
      </c>
      <c r="B3115" s="409"/>
      <c r="C3115" s="416"/>
      <c r="D3115" s="198" t="s">
        <v>17949</v>
      </c>
      <c r="E3115" s="198">
        <v>182</v>
      </c>
      <c r="F3115" s="199" t="s">
        <v>17950</v>
      </c>
      <c r="G3115" s="1" t="s">
        <v>28687</v>
      </c>
      <c r="H3115" s="1" t="s">
        <v>16716</v>
      </c>
      <c r="I3115" s="346"/>
      <c r="J3115" s="39">
        <v>114948</v>
      </c>
      <c r="K3115" s="36" t="str">
        <f>CONCATENATE(Cover!$D$6,"fdd/view?i=",J3115)</f>
        <v>https://www.dgiwg.org/FAD/fdd/view?i=114948</v>
      </c>
      <c r="L3115" s="36" t="s">
        <v>28688</v>
      </c>
      <c r="M3115" s="186"/>
      <c r="N3115" s="186"/>
      <c r="O3115" s="13" t="s">
        <v>17948</v>
      </c>
    </row>
    <row r="3116" spans="1:15" ht="25.5" x14ac:dyDescent="0.2">
      <c r="A3116" s="197" t="str">
        <f t="shared" si="48"/>
        <v>DtcCode_chan062X</v>
      </c>
      <c r="B3116" s="409"/>
      <c r="C3116" s="416"/>
      <c r="D3116" s="198" t="s">
        <v>17954</v>
      </c>
      <c r="E3116" s="198">
        <v>183</v>
      </c>
      <c r="F3116" s="199" t="s">
        <v>17955</v>
      </c>
      <c r="G3116" s="1" t="s">
        <v>28689</v>
      </c>
      <c r="H3116" s="1" t="s">
        <v>16716</v>
      </c>
      <c r="I3116" s="346"/>
      <c r="J3116" s="39">
        <v>114949</v>
      </c>
      <c r="K3116" s="36" t="str">
        <f>CONCATENATE(Cover!$D$6,"fdd/view?i=",J3116)</f>
        <v>https://www.dgiwg.org/FAD/fdd/view?i=114949</v>
      </c>
      <c r="L3116" s="36" t="s">
        <v>28690</v>
      </c>
      <c r="M3116" s="186"/>
      <c r="N3116" s="186"/>
      <c r="O3116" s="13" t="s">
        <v>17953</v>
      </c>
    </row>
    <row r="3117" spans="1:15" ht="25.5" x14ac:dyDescent="0.2">
      <c r="A3117" s="197" t="str">
        <f t="shared" si="48"/>
        <v>DtcCode_chan062Y</v>
      </c>
      <c r="B3117" s="409"/>
      <c r="C3117" s="416"/>
      <c r="D3117" s="198" t="s">
        <v>17959</v>
      </c>
      <c r="E3117" s="198">
        <v>184</v>
      </c>
      <c r="F3117" s="199" t="s">
        <v>17960</v>
      </c>
      <c r="G3117" s="1" t="s">
        <v>28691</v>
      </c>
      <c r="H3117" s="1" t="s">
        <v>16716</v>
      </c>
      <c r="I3117" s="346"/>
      <c r="J3117" s="39">
        <v>114950</v>
      </c>
      <c r="K3117" s="36" t="str">
        <f>CONCATENATE(Cover!$D$6,"fdd/view?i=",J3117)</f>
        <v>https://www.dgiwg.org/FAD/fdd/view?i=114950</v>
      </c>
      <c r="L3117" s="36" t="s">
        <v>28692</v>
      </c>
      <c r="M3117" s="186"/>
      <c r="N3117" s="186"/>
      <c r="O3117" s="13" t="s">
        <v>17958</v>
      </c>
    </row>
    <row r="3118" spans="1:15" ht="25.5" x14ac:dyDescent="0.2">
      <c r="A3118" s="197" t="str">
        <f t="shared" si="48"/>
        <v>DtcCode_chan063X</v>
      </c>
      <c r="B3118" s="409"/>
      <c r="C3118" s="416"/>
      <c r="D3118" s="198" t="s">
        <v>17964</v>
      </c>
      <c r="E3118" s="198">
        <v>185</v>
      </c>
      <c r="F3118" s="199" t="s">
        <v>17965</v>
      </c>
      <c r="G3118" s="1" t="s">
        <v>28693</v>
      </c>
      <c r="H3118" s="1" t="s">
        <v>16716</v>
      </c>
      <c r="I3118" s="346"/>
      <c r="J3118" s="39">
        <v>114951</v>
      </c>
      <c r="K3118" s="36" t="str">
        <f>CONCATENATE(Cover!$D$6,"fdd/view?i=",J3118)</f>
        <v>https://www.dgiwg.org/FAD/fdd/view?i=114951</v>
      </c>
      <c r="L3118" s="36" t="s">
        <v>28694</v>
      </c>
      <c r="M3118" s="186"/>
      <c r="N3118" s="186"/>
      <c r="O3118" s="13" t="s">
        <v>17963</v>
      </c>
    </row>
    <row r="3119" spans="1:15" ht="25.5" x14ac:dyDescent="0.2">
      <c r="A3119" s="197" t="str">
        <f t="shared" si="48"/>
        <v>DtcCode_chan063Y</v>
      </c>
      <c r="B3119" s="409"/>
      <c r="C3119" s="416"/>
      <c r="D3119" s="198" t="s">
        <v>17969</v>
      </c>
      <c r="E3119" s="198">
        <v>186</v>
      </c>
      <c r="F3119" s="199" t="s">
        <v>17970</v>
      </c>
      <c r="G3119" s="1" t="s">
        <v>28695</v>
      </c>
      <c r="H3119" s="1" t="s">
        <v>16716</v>
      </c>
      <c r="I3119" s="346"/>
      <c r="J3119" s="39">
        <v>114952</v>
      </c>
      <c r="K3119" s="36" t="str">
        <f>CONCATENATE(Cover!$D$6,"fdd/view?i=",J3119)</f>
        <v>https://www.dgiwg.org/FAD/fdd/view?i=114952</v>
      </c>
      <c r="L3119" s="36" t="s">
        <v>28696</v>
      </c>
      <c r="M3119" s="186"/>
      <c r="N3119" s="186"/>
      <c r="O3119" s="13" t="s">
        <v>17968</v>
      </c>
    </row>
    <row r="3120" spans="1:15" ht="25.5" x14ac:dyDescent="0.2">
      <c r="A3120" s="197" t="str">
        <f t="shared" si="48"/>
        <v>DtcCode_chan064X</v>
      </c>
      <c r="B3120" s="409"/>
      <c r="C3120" s="416"/>
      <c r="D3120" s="198" t="s">
        <v>17974</v>
      </c>
      <c r="E3120" s="198">
        <v>187</v>
      </c>
      <c r="F3120" s="199" t="s">
        <v>17975</v>
      </c>
      <c r="G3120" s="1" t="s">
        <v>28697</v>
      </c>
      <c r="H3120" s="1" t="s">
        <v>16716</v>
      </c>
      <c r="I3120" s="346"/>
      <c r="J3120" s="39">
        <v>114953</v>
      </c>
      <c r="K3120" s="36" t="str">
        <f>CONCATENATE(Cover!$D$6,"fdd/view?i=",J3120)</f>
        <v>https://www.dgiwg.org/FAD/fdd/view?i=114953</v>
      </c>
      <c r="L3120" s="36" t="s">
        <v>28698</v>
      </c>
      <c r="M3120" s="186"/>
      <c r="N3120" s="186"/>
      <c r="O3120" s="13" t="s">
        <v>17973</v>
      </c>
    </row>
    <row r="3121" spans="1:15" ht="25.5" x14ac:dyDescent="0.2">
      <c r="A3121" s="197" t="str">
        <f t="shared" si="48"/>
        <v>DtcCode_chan064Y</v>
      </c>
      <c r="B3121" s="409"/>
      <c r="C3121" s="416"/>
      <c r="D3121" s="198" t="s">
        <v>17979</v>
      </c>
      <c r="E3121" s="198">
        <v>188</v>
      </c>
      <c r="F3121" s="199" t="s">
        <v>17980</v>
      </c>
      <c r="G3121" s="1" t="s">
        <v>28699</v>
      </c>
      <c r="H3121" s="1" t="s">
        <v>16716</v>
      </c>
      <c r="I3121" s="346"/>
      <c r="J3121" s="39">
        <v>114954</v>
      </c>
      <c r="K3121" s="36" t="str">
        <f>CONCATENATE(Cover!$D$6,"fdd/view?i=",J3121)</f>
        <v>https://www.dgiwg.org/FAD/fdd/view?i=114954</v>
      </c>
      <c r="L3121" s="36" t="s">
        <v>28700</v>
      </c>
      <c r="M3121" s="186"/>
      <c r="N3121" s="186"/>
      <c r="O3121" s="13" t="s">
        <v>17978</v>
      </c>
    </row>
    <row r="3122" spans="1:15" ht="25.5" x14ac:dyDescent="0.2">
      <c r="A3122" s="197" t="str">
        <f t="shared" si="48"/>
        <v>DtcCode_chan065X</v>
      </c>
      <c r="B3122" s="409"/>
      <c r="C3122" s="416"/>
      <c r="D3122" s="198" t="s">
        <v>17984</v>
      </c>
      <c r="E3122" s="198">
        <v>189</v>
      </c>
      <c r="F3122" s="199" t="s">
        <v>17985</v>
      </c>
      <c r="G3122" s="1" t="s">
        <v>28701</v>
      </c>
      <c r="H3122" s="1" t="s">
        <v>16716</v>
      </c>
      <c r="I3122" s="346"/>
      <c r="J3122" s="39">
        <v>114955</v>
      </c>
      <c r="K3122" s="36" t="str">
        <f>CONCATENATE(Cover!$D$6,"fdd/view?i=",J3122)</f>
        <v>https://www.dgiwg.org/FAD/fdd/view?i=114955</v>
      </c>
      <c r="L3122" s="36" t="s">
        <v>28702</v>
      </c>
      <c r="M3122" s="186"/>
      <c r="N3122" s="186"/>
      <c r="O3122" s="13" t="s">
        <v>17983</v>
      </c>
    </row>
    <row r="3123" spans="1:15" ht="25.5" x14ac:dyDescent="0.2">
      <c r="A3123" s="197" t="str">
        <f t="shared" si="48"/>
        <v>DtcCode_chan065Y</v>
      </c>
      <c r="B3123" s="409"/>
      <c r="C3123" s="416"/>
      <c r="D3123" s="198" t="s">
        <v>17989</v>
      </c>
      <c r="E3123" s="198">
        <v>190</v>
      </c>
      <c r="F3123" s="199" t="s">
        <v>17990</v>
      </c>
      <c r="G3123" s="1" t="s">
        <v>28703</v>
      </c>
      <c r="H3123" s="1" t="s">
        <v>16716</v>
      </c>
      <c r="I3123" s="346"/>
      <c r="J3123" s="39">
        <v>114956</v>
      </c>
      <c r="K3123" s="36" t="str">
        <f>CONCATENATE(Cover!$D$6,"fdd/view?i=",J3123)</f>
        <v>https://www.dgiwg.org/FAD/fdd/view?i=114956</v>
      </c>
      <c r="L3123" s="36" t="s">
        <v>28704</v>
      </c>
      <c r="M3123" s="186"/>
      <c r="N3123" s="186"/>
      <c r="O3123" s="13" t="s">
        <v>17988</v>
      </c>
    </row>
    <row r="3124" spans="1:15" ht="25.5" x14ac:dyDescent="0.2">
      <c r="A3124" s="197" t="str">
        <f t="shared" si="48"/>
        <v>DtcCode_chan066X</v>
      </c>
      <c r="B3124" s="409"/>
      <c r="C3124" s="416"/>
      <c r="D3124" s="198" t="s">
        <v>17994</v>
      </c>
      <c r="E3124" s="198">
        <v>191</v>
      </c>
      <c r="F3124" s="199" t="s">
        <v>17995</v>
      </c>
      <c r="G3124" s="1" t="s">
        <v>28705</v>
      </c>
      <c r="H3124" s="1" t="s">
        <v>16716</v>
      </c>
      <c r="I3124" s="346"/>
      <c r="J3124" s="39">
        <v>114957</v>
      </c>
      <c r="K3124" s="36" t="str">
        <f>CONCATENATE(Cover!$D$6,"fdd/view?i=",J3124)</f>
        <v>https://www.dgiwg.org/FAD/fdd/view?i=114957</v>
      </c>
      <c r="L3124" s="36" t="s">
        <v>28706</v>
      </c>
      <c r="M3124" s="186"/>
      <c r="N3124" s="186"/>
      <c r="O3124" s="13" t="s">
        <v>17993</v>
      </c>
    </row>
    <row r="3125" spans="1:15" ht="25.5" x14ac:dyDescent="0.2">
      <c r="A3125" s="197" t="str">
        <f t="shared" si="48"/>
        <v>DtcCode_chan066Y</v>
      </c>
      <c r="B3125" s="409"/>
      <c r="C3125" s="416"/>
      <c r="D3125" s="198" t="s">
        <v>17999</v>
      </c>
      <c r="E3125" s="198">
        <v>192</v>
      </c>
      <c r="F3125" s="199" t="s">
        <v>18000</v>
      </c>
      <c r="G3125" s="1" t="s">
        <v>28707</v>
      </c>
      <c r="H3125" s="1" t="s">
        <v>16716</v>
      </c>
      <c r="I3125" s="346"/>
      <c r="J3125" s="39">
        <v>114958</v>
      </c>
      <c r="K3125" s="36" t="str">
        <f>CONCATENATE(Cover!$D$6,"fdd/view?i=",J3125)</f>
        <v>https://www.dgiwg.org/FAD/fdd/view?i=114958</v>
      </c>
      <c r="L3125" s="36" t="s">
        <v>28708</v>
      </c>
      <c r="M3125" s="186"/>
      <c r="N3125" s="186"/>
      <c r="O3125" s="13" t="s">
        <v>17998</v>
      </c>
    </row>
    <row r="3126" spans="1:15" ht="25.5" x14ac:dyDescent="0.2">
      <c r="A3126" s="197" t="str">
        <f t="shared" si="48"/>
        <v>DtcCode_chan067X</v>
      </c>
      <c r="B3126" s="409"/>
      <c r="C3126" s="416"/>
      <c r="D3126" s="198" t="s">
        <v>18004</v>
      </c>
      <c r="E3126" s="198">
        <v>193</v>
      </c>
      <c r="F3126" s="199" t="s">
        <v>18005</v>
      </c>
      <c r="G3126" s="1" t="s">
        <v>28709</v>
      </c>
      <c r="H3126" s="1" t="s">
        <v>16716</v>
      </c>
      <c r="I3126" s="346"/>
      <c r="J3126" s="39">
        <v>114959</v>
      </c>
      <c r="K3126" s="36" t="str">
        <f>CONCATENATE(Cover!$D$6,"fdd/view?i=",J3126)</f>
        <v>https://www.dgiwg.org/FAD/fdd/view?i=114959</v>
      </c>
      <c r="L3126" s="36" t="s">
        <v>28710</v>
      </c>
      <c r="M3126" s="186"/>
      <c r="N3126" s="186"/>
      <c r="O3126" s="13" t="s">
        <v>18003</v>
      </c>
    </row>
    <row r="3127" spans="1:15" ht="25.5" x14ac:dyDescent="0.2">
      <c r="A3127" s="197" t="str">
        <f t="shared" si="48"/>
        <v>DtcCode_chan067Y</v>
      </c>
      <c r="B3127" s="409"/>
      <c r="C3127" s="416"/>
      <c r="D3127" s="198" t="s">
        <v>18009</v>
      </c>
      <c r="E3127" s="198">
        <v>194</v>
      </c>
      <c r="F3127" s="199" t="s">
        <v>18010</v>
      </c>
      <c r="G3127" s="1" t="s">
        <v>28711</v>
      </c>
      <c r="H3127" s="1" t="s">
        <v>16716</v>
      </c>
      <c r="I3127" s="346"/>
      <c r="J3127" s="39">
        <v>114960</v>
      </c>
      <c r="K3127" s="36" t="str">
        <f>CONCATENATE(Cover!$D$6,"fdd/view?i=",J3127)</f>
        <v>https://www.dgiwg.org/FAD/fdd/view?i=114960</v>
      </c>
      <c r="L3127" s="36" t="s">
        <v>28712</v>
      </c>
      <c r="M3127" s="186"/>
      <c r="N3127" s="186"/>
      <c r="O3127" s="13" t="s">
        <v>18008</v>
      </c>
    </row>
    <row r="3128" spans="1:15" ht="25.5" x14ac:dyDescent="0.2">
      <c r="A3128" s="197" t="str">
        <f t="shared" si="48"/>
        <v>DtcCode_chan068X</v>
      </c>
      <c r="B3128" s="409"/>
      <c r="C3128" s="416"/>
      <c r="D3128" s="198" t="s">
        <v>18014</v>
      </c>
      <c r="E3128" s="198">
        <v>195</v>
      </c>
      <c r="F3128" s="199" t="s">
        <v>18015</v>
      </c>
      <c r="G3128" s="1" t="s">
        <v>28713</v>
      </c>
      <c r="H3128" s="1" t="s">
        <v>16716</v>
      </c>
      <c r="I3128" s="346"/>
      <c r="J3128" s="39">
        <v>114961</v>
      </c>
      <c r="K3128" s="36" t="str">
        <f>CONCATENATE(Cover!$D$6,"fdd/view?i=",J3128)</f>
        <v>https://www.dgiwg.org/FAD/fdd/view?i=114961</v>
      </c>
      <c r="L3128" s="36" t="s">
        <v>28714</v>
      </c>
      <c r="M3128" s="186"/>
      <c r="N3128" s="186"/>
      <c r="O3128" s="13" t="s">
        <v>18013</v>
      </c>
    </row>
    <row r="3129" spans="1:15" ht="25.5" x14ac:dyDescent="0.2">
      <c r="A3129" s="197" t="str">
        <f t="shared" si="48"/>
        <v>DtcCode_chan068Y</v>
      </c>
      <c r="B3129" s="409"/>
      <c r="C3129" s="416"/>
      <c r="D3129" s="198" t="s">
        <v>18019</v>
      </c>
      <c r="E3129" s="198">
        <v>196</v>
      </c>
      <c r="F3129" s="199" t="s">
        <v>18020</v>
      </c>
      <c r="G3129" s="1" t="s">
        <v>28715</v>
      </c>
      <c r="H3129" s="1" t="s">
        <v>16716</v>
      </c>
      <c r="I3129" s="346"/>
      <c r="J3129" s="39">
        <v>114962</v>
      </c>
      <c r="K3129" s="36" t="str">
        <f>CONCATENATE(Cover!$D$6,"fdd/view?i=",J3129)</f>
        <v>https://www.dgiwg.org/FAD/fdd/view?i=114962</v>
      </c>
      <c r="L3129" s="36" t="s">
        <v>28716</v>
      </c>
      <c r="M3129" s="186"/>
      <c r="N3129" s="186"/>
      <c r="O3129" s="13" t="s">
        <v>18018</v>
      </c>
    </row>
    <row r="3130" spans="1:15" ht="25.5" x14ac:dyDescent="0.2">
      <c r="A3130" s="197" t="str">
        <f t="shared" si="48"/>
        <v>DtcCode_chan069X</v>
      </c>
      <c r="B3130" s="409"/>
      <c r="C3130" s="416"/>
      <c r="D3130" s="198" t="s">
        <v>18024</v>
      </c>
      <c r="E3130" s="198">
        <v>197</v>
      </c>
      <c r="F3130" s="199" t="s">
        <v>18025</v>
      </c>
      <c r="G3130" s="1" t="s">
        <v>28717</v>
      </c>
      <c r="H3130" s="1" t="s">
        <v>16716</v>
      </c>
      <c r="I3130" s="346"/>
      <c r="J3130" s="39">
        <v>114963</v>
      </c>
      <c r="K3130" s="36" t="str">
        <f>CONCATENATE(Cover!$D$6,"fdd/view?i=",J3130)</f>
        <v>https://www.dgiwg.org/FAD/fdd/view?i=114963</v>
      </c>
      <c r="L3130" s="36" t="s">
        <v>28718</v>
      </c>
      <c r="M3130" s="186"/>
      <c r="N3130" s="186"/>
      <c r="O3130" s="13" t="s">
        <v>18023</v>
      </c>
    </row>
    <row r="3131" spans="1:15" ht="25.5" x14ac:dyDescent="0.2">
      <c r="A3131" s="197" t="str">
        <f t="shared" si="48"/>
        <v>DtcCode_chan069Y</v>
      </c>
      <c r="B3131" s="409"/>
      <c r="C3131" s="416"/>
      <c r="D3131" s="198" t="s">
        <v>18029</v>
      </c>
      <c r="E3131" s="198">
        <v>198</v>
      </c>
      <c r="F3131" s="199" t="s">
        <v>18030</v>
      </c>
      <c r="G3131" s="1" t="s">
        <v>28719</v>
      </c>
      <c r="H3131" s="1" t="s">
        <v>16716</v>
      </c>
      <c r="I3131" s="346"/>
      <c r="J3131" s="39">
        <v>114964</v>
      </c>
      <c r="K3131" s="36" t="str">
        <f>CONCATENATE(Cover!$D$6,"fdd/view?i=",J3131)</f>
        <v>https://www.dgiwg.org/FAD/fdd/view?i=114964</v>
      </c>
      <c r="L3131" s="36" t="s">
        <v>28720</v>
      </c>
      <c r="M3131" s="186"/>
      <c r="N3131" s="186"/>
      <c r="O3131" s="13" t="s">
        <v>18028</v>
      </c>
    </row>
    <row r="3132" spans="1:15" ht="25.5" x14ac:dyDescent="0.2">
      <c r="A3132" s="197" t="str">
        <f t="shared" si="48"/>
        <v>DtcCode_chan070X</v>
      </c>
      <c r="B3132" s="409"/>
      <c r="C3132" s="416"/>
      <c r="D3132" s="198" t="s">
        <v>18044</v>
      </c>
      <c r="E3132" s="198">
        <v>199</v>
      </c>
      <c r="F3132" s="199" t="s">
        <v>18045</v>
      </c>
      <c r="G3132" s="1" t="s">
        <v>28725</v>
      </c>
      <c r="H3132" s="1" t="s">
        <v>16716</v>
      </c>
      <c r="I3132" s="346"/>
      <c r="J3132" s="39">
        <v>114965</v>
      </c>
      <c r="K3132" s="36" t="str">
        <f>CONCATENATE(Cover!$D$6,"fdd/view?i=",J3132)</f>
        <v>https://www.dgiwg.org/FAD/fdd/view?i=114965</v>
      </c>
      <c r="L3132" s="36" t="s">
        <v>28726</v>
      </c>
      <c r="M3132" s="186"/>
      <c r="N3132" s="186"/>
      <c r="O3132" s="13" t="s">
        <v>18043</v>
      </c>
    </row>
    <row r="3133" spans="1:15" ht="25.5" x14ac:dyDescent="0.2">
      <c r="A3133" s="197" t="str">
        <f t="shared" si="48"/>
        <v>DtcCode_chan070Y</v>
      </c>
      <c r="B3133" s="409"/>
      <c r="C3133" s="416"/>
      <c r="D3133" s="198" t="s">
        <v>18049</v>
      </c>
      <c r="E3133" s="198">
        <v>200</v>
      </c>
      <c r="F3133" s="199" t="s">
        <v>18050</v>
      </c>
      <c r="G3133" s="1" t="s">
        <v>28727</v>
      </c>
      <c r="H3133" s="1" t="s">
        <v>16716</v>
      </c>
      <c r="I3133" s="346"/>
      <c r="J3133" s="39">
        <v>114966</v>
      </c>
      <c r="K3133" s="36" t="str">
        <f>CONCATENATE(Cover!$D$6,"fdd/view?i=",J3133)</f>
        <v>https://www.dgiwg.org/FAD/fdd/view?i=114966</v>
      </c>
      <c r="L3133" s="36" t="s">
        <v>28728</v>
      </c>
      <c r="M3133" s="186"/>
      <c r="N3133" s="186"/>
      <c r="O3133" s="13" t="s">
        <v>18048</v>
      </c>
    </row>
    <row r="3134" spans="1:15" ht="25.5" x14ac:dyDescent="0.2">
      <c r="A3134" s="197" t="str">
        <f t="shared" si="48"/>
        <v>DtcCode_chan071X</v>
      </c>
      <c r="B3134" s="409"/>
      <c r="C3134" s="416"/>
      <c r="D3134" s="198" t="s">
        <v>18054</v>
      </c>
      <c r="E3134" s="198">
        <v>201</v>
      </c>
      <c r="F3134" s="199" t="s">
        <v>18055</v>
      </c>
      <c r="G3134" s="1" t="s">
        <v>28729</v>
      </c>
      <c r="H3134" s="1" t="s">
        <v>16716</v>
      </c>
      <c r="I3134" s="346"/>
      <c r="J3134" s="39">
        <v>114967</v>
      </c>
      <c r="K3134" s="36" t="str">
        <f>CONCATENATE(Cover!$D$6,"fdd/view?i=",J3134)</f>
        <v>https://www.dgiwg.org/FAD/fdd/view?i=114967</v>
      </c>
      <c r="L3134" s="36" t="s">
        <v>28730</v>
      </c>
      <c r="M3134" s="186"/>
      <c r="N3134" s="186"/>
      <c r="O3134" s="13" t="s">
        <v>18053</v>
      </c>
    </row>
    <row r="3135" spans="1:15" ht="25.5" x14ac:dyDescent="0.2">
      <c r="A3135" s="197" t="str">
        <f t="shared" si="48"/>
        <v>DtcCode_chan071Y</v>
      </c>
      <c r="B3135" s="409"/>
      <c r="C3135" s="416"/>
      <c r="D3135" s="198" t="s">
        <v>18059</v>
      </c>
      <c r="E3135" s="198">
        <v>202</v>
      </c>
      <c r="F3135" s="199" t="s">
        <v>18060</v>
      </c>
      <c r="G3135" s="1" t="s">
        <v>28731</v>
      </c>
      <c r="H3135" s="1" t="s">
        <v>16716</v>
      </c>
      <c r="I3135" s="346"/>
      <c r="J3135" s="39">
        <v>114968</v>
      </c>
      <c r="K3135" s="36" t="str">
        <f>CONCATENATE(Cover!$D$6,"fdd/view?i=",J3135)</f>
        <v>https://www.dgiwg.org/FAD/fdd/view?i=114968</v>
      </c>
      <c r="L3135" s="36" t="s">
        <v>28732</v>
      </c>
      <c r="M3135" s="186"/>
      <c r="N3135" s="186"/>
      <c r="O3135" s="13" t="s">
        <v>18058</v>
      </c>
    </row>
    <row r="3136" spans="1:15" ht="25.5" x14ac:dyDescent="0.2">
      <c r="A3136" s="197" t="str">
        <f t="shared" si="48"/>
        <v>DtcCode_chan072X</v>
      </c>
      <c r="B3136" s="409"/>
      <c r="C3136" s="416"/>
      <c r="D3136" s="198" t="s">
        <v>18064</v>
      </c>
      <c r="E3136" s="198">
        <v>203</v>
      </c>
      <c r="F3136" s="199" t="s">
        <v>18065</v>
      </c>
      <c r="G3136" s="1" t="s">
        <v>28733</v>
      </c>
      <c r="H3136" s="1" t="s">
        <v>16716</v>
      </c>
      <c r="I3136" s="346"/>
      <c r="J3136" s="39">
        <v>114969</v>
      </c>
      <c r="K3136" s="36" t="str">
        <f>CONCATENATE(Cover!$D$6,"fdd/view?i=",J3136)</f>
        <v>https://www.dgiwg.org/FAD/fdd/view?i=114969</v>
      </c>
      <c r="L3136" s="36" t="s">
        <v>28734</v>
      </c>
      <c r="M3136" s="186"/>
      <c r="N3136" s="186"/>
      <c r="O3136" s="13" t="s">
        <v>18063</v>
      </c>
    </row>
    <row r="3137" spans="1:15" ht="25.5" x14ac:dyDescent="0.2">
      <c r="A3137" s="197" t="str">
        <f t="shared" si="48"/>
        <v>DtcCode_chan072Y</v>
      </c>
      <c r="B3137" s="409"/>
      <c r="C3137" s="416"/>
      <c r="D3137" s="198" t="s">
        <v>18069</v>
      </c>
      <c r="E3137" s="198">
        <v>204</v>
      </c>
      <c r="F3137" s="199" t="s">
        <v>18070</v>
      </c>
      <c r="G3137" s="1" t="s">
        <v>28735</v>
      </c>
      <c r="H3137" s="1" t="s">
        <v>16716</v>
      </c>
      <c r="I3137" s="346"/>
      <c r="J3137" s="39">
        <v>114970</v>
      </c>
      <c r="K3137" s="36" t="str">
        <f>CONCATENATE(Cover!$D$6,"fdd/view?i=",J3137)</f>
        <v>https://www.dgiwg.org/FAD/fdd/view?i=114970</v>
      </c>
      <c r="L3137" s="36" t="s">
        <v>28736</v>
      </c>
      <c r="M3137" s="186"/>
      <c r="N3137" s="186"/>
      <c r="O3137" s="13" t="s">
        <v>18068</v>
      </c>
    </row>
    <row r="3138" spans="1:15" ht="25.5" x14ac:dyDescent="0.2">
      <c r="A3138" s="197" t="str">
        <f t="shared" ref="A3138:A3201" si="49">HYPERLINK(K3138,L3138)</f>
        <v>DtcCode_chan073X</v>
      </c>
      <c r="B3138" s="409"/>
      <c r="C3138" s="416"/>
      <c r="D3138" s="198" t="s">
        <v>18074</v>
      </c>
      <c r="E3138" s="198">
        <v>205</v>
      </c>
      <c r="F3138" s="199" t="s">
        <v>18075</v>
      </c>
      <c r="G3138" s="1" t="s">
        <v>28737</v>
      </c>
      <c r="H3138" s="1" t="s">
        <v>16716</v>
      </c>
      <c r="I3138" s="346"/>
      <c r="J3138" s="39">
        <v>114971</v>
      </c>
      <c r="K3138" s="36" t="str">
        <f>CONCATENATE(Cover!$D$6,"fdd/view?i=",J3138)</f>
        <v>https://www.dgiwg.org/FAD/fdd/view?i=114971</v>
      </c>
      <c r="L3138" s="36" t="s">
        <v>28738</v>
      </c>
      <c r="M3138" s="186"/>
      <c r="N3138" s="186"/>
      <c r="O3138" s="13" t="s">
        <v>18073</v>
      </c>
    </row>
    <row r="3139" spans="1:15" ht="25.5" x14ac:dyDescent="0.2">
      <c r="A3139" s="197" t="str">
        <f t="shared" si="49"/>
        <v>DtcCode_chan073Y</v>
      </c>
      <c r="B3139" s="409"/>
      <c r="C3139" s="416"/>
      <c r="D3139" s="198" t="s">
        <v>18079</v>
      </c>
      <c r="E3139" s="198">
        <v>206</v>
      </c>
      <c r="F3139" s="199" t="s">
        <v>18080</v>
      </c>
      <c r="G3139" s="1" t="s">
        <v>28739</v>
      </c>
      <c r="H3139" s="1" t="s">
        <v>16716</v>
      </c>
      <c r="I3139" s="346"/>
      <c r="J3139" s="39">
        <v>114972</v>
      </c>
      <c r="K3139" s="36" t="str">
        <f>CONCATENATE(Cover!$D$6,"fdd/view?i=",J3139)</f>
        <v>https://www.dgiwg.org/FAD/fdd/view?i=114972</v>
      </c>
      <c r="L3139" s="36" t="s">
        <v>28740</v>
      </c>
      <c r="M3139" s="186"/>
      <c r="N3139" s="186"/>
      <c r="O3139" s="13" t="s">
        <v>18078</v>
      </c>
    </row>
    <row r="3140" spans="1:15" ht="25.5" x14ac:dyDescent="0.2">
      <c r="A3140" s="197" t="str">
        <f t="shared" si="49"/>
        <v>DtcCode_chan074X</v>
      </c>
      <c r="B3140" s="409"/>
      <c r="C3140" s="416"/>
      <c r="D3140" s="198" t="s">
        <v>18084</v>
      </c>
      <c r="E3140" s="198">
        <v>207</v>
      </c>
      <c r="F3140" s="199" t="s">
        <v>18085</v>
      </c>
      <c r="G3140" s="1" t="s">
        <v>28741</v>
      </c>
      <c r="H3140" s="1" t="s">
        <v>16716</v>
      </c>
      <c r="I3140" s="346"/>
      <c r="J3140" s="39">
        <v>114973</v>
      </c>
      <c r="K3140" s="36" t="str">
        <f>CONCATENATE(Cover!$D$6,"fdd/view?i=",J3140)</f>
        <v>https://www.dgiwg.org/FAD/fdd/view?i=114973</v>
      </c>
      <c r="L3140" s="36" t="s">
        <v>28742</v>
      </c>
      <c r="M3140" s="186"/>
      <c r="N3140" s="186"/>
      <c r="O3140" s="13" t="s">
        <v>18083</v>
      </c>
    </row>
    <row r="3141" spans="1:15" ht="25.5" x14ac:dyDescent="0.2">
      <c r="A3141" s="197" t="str">
        <f t="shared" si="49"/>
        <v>DtcCode_chan074Y</v>
      </c>
      <c r="B3141" s="409"/>
      <c r="C3141" s="416"/>
      <c r="D3141" s="198" t="s">
        <v>18089</v>
      </c>
      <c r="E3141" s="198">
        <v>208</v>
      </c>
      <c r="F3141" s="199" t="s">
        <v>18090</v>
      </c>
      <c r="G3141" s="1" t="s">
        <v>28743</v>
      </c>
      <c r="H3141" s="1" t="s">
        <v>16716</v>
      </c>
      <c r="I3141" s="346"/>
      <c r="J3141" s="39">
        <v>114974</v>
      </c>
      <c r="K3141" s="36" t="str">
        <f>CONCATENATE(Cover!$D$6,"fdd/view?i=",J3141)</f>
        <v>https://www.dgiwg.org/FAD/fdd/view?i=114974</v>
      </c>
      <c r="L3141" s="36" t="s">
        <v>28744</v>
      </c>
      <c r="M3141" s="186"/>
      <c r="N3141" s="186"/>
      <c r="O3141" s="13" t="s">
        <v>18088</v>
      </c>
    </row>
    <row r="3142" spans="1:15" ht="25.5" x14ac:dyDescent="0.2">
      <c r="A3142" s="197" t="str">
        <f t="shared" si="49"/>
        <v>DtcCode_chan075X</v>
      </c>
      <c r="B3142" s="409"/>
      <c r="C3142" s="416"/>
      <c r="D3142" s="198" t="s">
        <v>18094</v>
      </c>
      <c r="E3142" s="198">
        <v>209</v>
      </c>
      <c r="F3142" s="199" t="s">
        <v>18095</v>
      </c>
      <c r="G3142" s="1" t="s">
        <v>28745</v>
      </c>
      <c r="H3142" s="1" t="s">
        <v>16716</v>
      </c>
      <c r="I3142" s="346"/>
      <c r="J3142" s="39">
        <v>114975</v>
      </c>
      <c r="K3142" s="36" t="str">
        <f>CONCATENATE(Cover!$D$6,"fdd/view?i=",J3142)</f>
        <v>https://www.dgiwg.org/FAD/fdd/view?i=114975</v>
      </c>
      <c r="L3142" s="36" t="s">
        <v>28746</v>
      </c>
      <c r="M3142" s="186"/>
      <c r="N3142" s="186"/>
      <c r="O3142" s="13" t="s">
        <v>18093</v>
      </c>
    </row>
    <row r="3143" spans="1:15" ht="25.5" x14ac:dyDescent="0.2">
      <c r="A3143" s="197" t="str">
        <f t="shared" si="49"/>
        <v>DtcCode_chan075Y</v>
      </c>
      <c r="B3143" s="409"/>
      <c r="C3143" s="416"/>
      <c r="D3143" s="198" t="s">
        <v>18099</v>
      </c>
      <c r="E3143" s="198">
        <v>210</v>
      </c>
      <c r="F3143" s="199" t="s">
        <v>18100</v>
      </c>
      <c r="G3143" s="1" t="s">
        <v>28747</v>
      </c>
      <c r="H3143" s="1" t="s">
        <v>16716</v>
      </c>
      <c r="I3143" s="346"/>
      <c r="J3143" s="39">
        <v>114976</v>
      </c>
      <c r="K3143" s="36" t="str">
        <f>CONCATENATE(Cover!$D$6,"fdd/view?i=",J3143)</f>
        <v>https://www.dgiwg.org/FAD/fdd/view?i=114976</v>
      </c>
      <c r="L3143" s="36" t="s">
        <v>28748</v>
      </c>
      <c r="M3143" s="186"/>
      <c r="N3143" s="186"/>
      <c r="O3143" s="13" t="s">
        <v>18098</v>
      </c>
    </row>
    <row r="3144" spans="1:15" ht="25.5" x14ac:dyDescent="0.2">
      <c r="A3144" s="197" t="str">
        <f t="shared" si="49"/>
        <v>DtcCode_chan076X</v>
      </c>
      <c r="B3144" s="409"/>
      <c r="C3144" s="416"/>
      <c r="D3144" s="198" t="s">
        <v>18104</v>
      </c>
      <c r="E3144" s="198">
        <v>211</v>
      </c>
      <c r="F3144" s="199" t="s">
        <v>18105</v>
      </c>
      <c r="G3144" s="1" t="s">
        <v>28749</v>
      </c>
      <c r="H3144" s="1" t="s">
        <v>16716</v>
      </c>
      <c r="I3144" s="346"/>
      <c r="J3144" s="39">
        <v>114977</v>
      </c>
      <c r="K3144" s="36" t="str">
        <f>CONCATENATE(Cover!$D$6,"fdd/view?i=",J3144)</f>
        <v>https://www.dgiwg.org/FAD/fdd/view?i=114977</v>
      </c>
      <c r="L3144" s="36" t="s">
        <v>28750</v>
      </c>
      <c r="M3144" s="186"/>
      <c r="N3144" s="186"/>
      <c r="O3144" s="13" t="s">
        <v>18103</v>
      </c>
    </row>
    <row r="3145" spans="1:15" ht="25.5" x14ac:dyDescent="0.2">
      <c r="A3145" s="197" t="str">
        <f t="shared" si="49"/>
        <v>DtcCode_chan076Y</v>
      </c>
      <c r="B3145" s="409"/>
      <c r="C3145" s="416"/>
      <c r="D3145" s="198" t="s">
        <v>18109</v>
      </c>
      <c r="E3145" s="198">
        <v>212</v>
      </c>
      <c r="F3145" s="199" t="s">
        <v>18110</v>
      </c>
      <c r="G3145" s="1" t="s">
        <v>28751</v>
      </c>
      <c r="H3145" s="1" t="s">
        <v>16716</v>
      </c>
      <c r="I3145" s="346"/>
      <c r="J3145" s="39">
        <v>114978</v>
      </c>
      <c r="K3145" s="36" t="str">
        <f>CONCATENATE(Cover!$D$6,"fdd/view?i=",J3145)</f>
        <v>https://www.dgiwg.org/FAD/fdd/view?i=114978</v>
      </c>
      <c r="L3145" s="36" t="s">
        <v>28752</v>
      </c>
      <c r="M3145" s="186"/>
      <c r="N3145" s="186"/>
      <c r="O3145" s="13" t="s">
        <v>18108</v>
      </c>
    </row>
    <row r="3146" spans="1:15" ht="25.5" x14ac:dyDescent="0.2">
      <c r="A3146" s="197" t="str">
        <f t="shared" si="49"/>
        <v>DtcCode_chan077X</v>
      </c>
      <c r="B3146" s="409"/>
      <c r="C3146" s="416"/>
      <c r="D3146" s="198" t="s">
        <v>18114</v>
      </c>
      <c r="E3146" s="198">
        <v>213</v>
      </c>
      <c r="F3146" s="199" t="s">
        <v>18115</v>
      </c>
      <c r="G3146" s="1" t="s">
        <v>28753</v>
      </c>
      <c r="H3146" s="1" t="s">
        <v>16716</v>
      </c>
      <c r="I3146" s="346"/>
      <c r="J3146" s="39">
        <v>114979</v>
      </c>
      <c r="K3146" s="36" t="str">
        <f>CONCATENATE(Cover!$D$6,"fdd/view?i=",J3146)</f>
        <v>https://www.dgiwg.org/FAD/fdd/view?i=114979</v>
      </c>
      <c r="L3146" s="36" t="s">
        <v>28754</v>
      </c>
      <c r="M3146" s="186"/>
      <c r="N3146" s="186"/>
      <c r="O3146" s="13" t="s">
        <v>18113</v>
      </c>
    </row>
    <row r="3147" spans="1:15" ht="25.5" x14ac:dyDescent="0.2">
      <c r="A3147" s="197" t="str">
        <f t="shared" si="49"/>
        <v>DtcCode_chan077Y</v>
      </c>
      <c r="B3147" s="409"/>
      <c r="C3147" s="416"/>
      <c r="D3147" s="198" t="s">
        <v>18119</v>
      </c>
      <c r="E3147" s="198">
        <v>214</v>
      </c>
      <c r="F3147" s="199" t="s">
        <v>18120</v>
      </c>
      <c r="G3147" s="1" t="s">
        <v>28755</v>
      </c>
      <c r="H3147" s="1" t="s">
        <v>16716</v>
      </c>
      <c r="I3147" s="346"/>
      <c r="J3147" s="39">
        <v>114980</v>
      </c>
      <c r="K3147" s="36" t="str">
        <f>CONCATENATE(Cover!$D$6,"fdd/view?i=",J3147)</f>
        <v>https://www.dgiwg.org/FAD/fdd/view?i=114980</v>
      </c>
      <c r="L3147" s="36" t="s">
        <v>28756</v>
      </c>
      <c r="M3147" s="186"/>
      <c r="N3147" s="186"/>
      <c r="O3147" s="13" t="s">
        <v>18118</v>
      </c>
    </row>
    <row r="3148" spans="1:15" ht="25.5" x14ac:dyDescent="0.2">
      <c r="A3148" s="197" t="str">
        <f t="shared" si="49"/>
        <v>DtcCode_chan078X</v>
      </c>
      <c r="B3148" s="409"/>
      <c r="C3148" s="416"/>
      <c r="D3148" s="198" t="s">
        <v>18124</v>
      </c>
      <c r="E3148" s="198">
        <v>215</v>
      </c>
      <c r="F3148" s="199" t="s">
        <v>18125</v>
      </c>
      <c r="G3148" s="1" t="s">
        <v>28757</v>
      </c>
      <c r="H3148" s="1" t="s">
        <v>16716</v>
      </c>
      <c r="I3148" s="346"/>
      <c r="J3148" s="39">
        <v>114981</v>
      </c>
      <c r="K3148" s="36" t="str">
        <f>CONCATENATE(Cover!$D$6,"fdd/view?i=",J3148)</f>
        <v>https://www.dgiwg.org/FAD/fdd/view?i=114981</v>
      </c>
      <c r="L3148" s="36" t="s">
        <v>28758</v>
      </c>
      <c r="M3148" s="186"/>
      <c r="N3148" s="186"/>
      <c r="O3148" s="13" t="s">
        <v>18123</v>
      </c>
    </row>
    <row r="3149" spans="1:15" ht="25.5" x14ac:dyDescent="0.2">
      <c r="A3149" s="197" t="str">
        <f t="shared" si="49"/>
        <v>DtcCode_chan078Y</v>
      </c>
      <c r="B3149" s="409"/>
      <c r="C3149" s="416"/>
      <c r="D3149" s="198" t="s">
        <v>18129</v>
      </c>
      <c r="E3149" s="198">
        <v>216</v>
      </c>
      <c r="F3149" s="199" t="s">
        <v>18130</v>
      </c>
      <c r="G3149" s="1" t="s">
        <v>28759</v>
      </c>
      <c r="H3149" s="1" t="s">
        <v>16716</v>
      </c>
      <c r="I3149" s="346"/>
      <c r="J3149" s="39">
        <v>114982</v>
      </c>
      <c r="K3149" s="36" t="str">
        <f>CONCATENATE(Cover!$D$6,"fdd/view?i=",J3149)</f>
        <v>https://www.dgiwg.org/FAD/fdd/view?i=114982</v>
      </c>
      <c r="L3149" s="36" t="s">
        <v>28760</v>
      </c>
      <c r="M3149" s="186"/>
      <c r="N3149" s="186"/>
      <c r="O3149" s="13" t="s">
        <v>18128</v>
      </c>
    </row>
    <row r="3150" spans="1:15" ht="25.5" x14ac:dyDescent="0.2">
      <c r="A3150" s="197" t="str">
        <f t="shared" si="49"/>
        <v>DtcCode_chan079X</v>
      </c>
      <c r="B3150" s="409"/>
      <c r="C3150" s="416"/>
      <c r="D3150" s="198" t="s">
        <v>18134</v>
      </c>
      <c r="E3150" s="198">
        <v>217</v>
      </c>
      <c r="F3150" s="199" t="s">
        <v>18135</v>
      </c>
      <c r="G3150" s="1" t="s">
        <v>28761</v>
      </c>
      <c r="H3150" s="1" t="s">
        <v>16716</v>
      </c>
      <c r="I3150" s="346"/>
      <c r="J3150" s="39">
        <v>114983</v>
      </c>
      <c r="K3150" s="36" t="str">
        <f>CONCATENATE(Cover!$D$6,"fdd/view?i=",J3150)</f>
        <v>https://www.dgiwg.org/FAD/fdd/view?i=114983</v>
      </c>
      <c r="L3150" s="36" t="s">
        <v>28762</v>
      </c>
      <c r="M3150" s="186"/>
      <c r="N3150" s="186"/>
      <c r="O3150" s="13" t="s">
        <v>18133</v>
      </c>
    </row>
    <row r="3151" spans="1:15" ht="25.5" x14ac:dyDescent="0.2">
      <c r="A3151" s="197" t="str">
        <f t="shared" si="49"/>
        <v>DtcCode_chan079Y</v>
      </c>
      <c r="B3151" s="409"/>
      <c r="C3151" s="416"/>
      <c r="D3151" s="198" t="s">
        <v>18139</v>
      </c>
      <c r="E3151" s="198">
        <v>218</v>
      </c>
      <c r="F3151" s="199" t="s">
        <v>18140</v>
      </c>
      <c r="G3151" s="1" t="s">
        <v>28763</v>
      </c>
      <c r="H3151" s="1" t="s">
        <v>16716</v>
      </c>
      <c r="I3151" s="346"/>
      <c r="J3151" s="39">
        <v>114984</v>
      </c>
      <c r="K3151" s="36" t="str">
        <f>CONCATENATE(Cover!$D$6,"fdd/view?i=",J3151)</f>
        <v>https://www.dgiwg.org/FAD/fdd/view?i=114984</v>
      </c>
      <c r="L3151" s="36" t="s">
        <v>28764</v>
      </c>
      <c r="M3151" s="186"/>
      <c r="N3151" s="186"/>
      <c r="O3151" s="13" t="s">
        <v>18138</v>
      </c>
    </row>
    <row r="3152" spans="1:15" ht="25.5" x14ac:dyDescent="0.2">
      <c r="A3152" s="197" t="str">
        <f t="shared" si="49"/>
        <v>DtcCode_chan080X</v>
      </c>
      <c r="B3152" s="409"/>
      <c r="C3152" s="416"/>
      <c r="D3152" s="198" t="s">
        <v>18154</v>
      </c>
      <c r="E3152" s="198">
        <v>219</v>
      </c>
      <c r="F3152" s="199" t="s">
        <v>18155</v>
      </c>
      <c r="G3152" s="1" t="s">
        <v>28769</v>
      </c>
      <c r="H3152" s="1" t="s">
        <v>16716</v>
      </c>
      <c r="I3152" s="346"/>
      <c r="J3152" s="39">
        <v>114985</v>
      </c>
      <c r="K3152" s="36" t="str">
        <f>CONCATENATE(Cover!$D$6,"fdd/view?i=",J3152)</f>
        <v>https://www.dgiwg.org/FAD/fdd/view?i=114985</v>
      </c>
      <c r="L3152" s="36" t="s">
        <v>28770</v>
      </c>
      <c r="M3152" s="186"/>
      <c r="N3152" s="186"/>
      <c r="O3152" s="13" t="s">
        <v>18153</v>
      </c>
    </row>
    <row r="3153" spans="1:15" ht="25.5" x14ac:dyDescent="0.2">
      <c r="A3153" s="197" t="str">
        <f t="shared" si="49"/>
        <v>DtcCode_chan080Y</v>
      </c>
      <c r="B3153" s="409"/>
      <c r="C3153" s="416"/>
      <c r="D3153" s="198" t="s">
        <v>18159</v>
      </c>
      <c r="E3153" s="198">
        <v>220</v>
      </c>
      <c r="F3153" s="199" t="s">
        <v>18160</v>
      </c>
      <c r="G3153" s="1" t="s">
        <v>28771</v>
      </c>
      <c r="H3153" s="1" t="s">
        <v>16716</v>
      </c>
      <c r="I3153" s="346"/>
      <c r="J3153" s="39">
        <v>114986</v>
      </c>
      <c r="K3153" s="36" t="str">
        <f>CONCATENATE(Cover!$D$6,"fdd/view?i=",J3153)</f>
        <v>https://www.dgiwg.org/FAD/fdd/view?i=114986</v>
      </c>
      <c r="L3153" s="36" t="s">
        <v>28772</v>
      </c>
      <c r="M3153" s="186"/>
      <c r="N3153" s="186"/>
      <c r="O3153" s="13" t="s">
        <v>18158</v>
      </c>
    </row>
    <row r="3154" spans="1:15" ht="25.5" x14ac:dyDescent="0.2">
      <c r="A3154" s="197" t="str">
        <f t="shared" si="49"/>
        <v>DtcCode_chan080Z</v>
      </c>
      <c r="B3154" s="409"/>
      <c r="C3154" s="416"/>
      <c r="D3154" s="198" t="s">
        <v>18164</v>
      </c>
      <c r="E3154" s="198">
        <v>221</v>
      </c>
      <c r="F3154" s="199" t="s">
        <v>18165</v>
      </c>
      <c r="G3154" s="1" t="s">
        <v>28773</v>
      </c>
      <c r="H3154" s="1" t="s">
        <v>16716</v>
      </c>
      <c r="I3154" s="346"/>
      <c r="J3154" s="39">
        <v>114987</v>
      </c>
      <c r="K3154" s="36" t="str">
        <f>CONCATENATE(Cover!$D$6,"fdd/view?i=",J3154)</f>
        <v>https://www.dgiwg.org/FAD/fdd/view?i=114987</v>
      </c>
      <c r="L3154" s="36" t="s">
        <v>28774</v>
      </c>
      <c r="M3154" s="186"/>
      <c r="N3154" s="186"/>
      <c r="O3154" s="13" t="s">
        <v>18163</v>
      </c>
    </row>
    <row r="3155" spans="1:15" ht="25.5" x14ac:dyDescent="0.2">
      <c r="A3155" s="197" t="str">
        <f t="shared" si="49"/>
        <v>DtcCode_chan081X</v>
      </c>
      <c r="B3155" s="409"/>
      <c r="C3155" s="416"/>
      <c r="D3155" s="198" t="s">
        <v>18169</v>
      </c>
      <c r="E3155" s="198">
        <v>222</v>
      </c>
      <c r="F3155" s="199" t="s">
        <v>18170</v>
      </c>
      <c r="G3155" s="1" t="s">
        <v>28775</v>
      </c>
      <c r="H3155" s="1" t="s">
        <v>16716</v>
      </c>
      <c r="I3155" s="346"/>
      <c r="J3155" s="39">
        <v>114988</v>
      </c>
      <c r="K3155" s="36" t="str">
        <f>CONCATENATE(Cover!$D$6,"fdd/view?i=",J3155)</f>
        <v>https://www.dgiwg.org/FAD/fdd/view?i=114988</v>
      </c>
      <c r="L3155" s="36" t="s">
        <v>28776</v>
      </c>
      <c r="M3155" s="186"/>
      <c r="N3155" s="186"/>
      <c r="O3155" s="13" t="s">
        <v>18168</v>
      </c>
    </row>
    <row r="3156" spans="1:15" ht="25.5" x14ac:dyDescent="0.2">
      <c r="A3156" s="197" t="str">
        <f t="shared" si="49"/>
        <v>DtcCode_chan081Y</v>
      </c>
      <c r="B3156" s="409"/>
      <c r="C3156" s="416"/>
      <c r="D3156" s="198" t="s">
        <v>18174</v>
      </c>
      <c r="E3156" s="198">
        <v>223</v>
      </c>
      <c r="F3156" s="199" t="s">
        <v>18175</v>
      </c>
      <c r="G3156" s="1" t="s">
        <v>28777</v>
      </c>
      <c r="H3156" s="1" t="s">
        <v>16716</v>
      </c>
      <c r="I3156" s="346"/>
      <c r="J3156" s="39">
        <v>114989</v>
      </c>
      <c r="K3156" s="36" t="str">
        <f>CONCATENATE(Cover!$D$6,"fdd/view?i=",J3156)</f>
        <v>https://www.dgiwg.org/FAD/fdd/view?i=114989</v>
      </c>
      <c r="L3156" s="36" t="s">
        <v>28778</v>
      </c>
      <c r="M3156" s="186"/>
      <c r="N3156" s="186"/>
      <c r="O3156" s="13" t="s">
        <v>18173</v>
      </c>
    </row>
    <row r="3157" spans="1:15" ht="25.5" x14ac:dyDescent="0.2">
      <c r="A3157" s="197" t="str">
        <f t="shared" si="49"/>
        <v>DtcCode_chan081Z</v>
      </c>
      <c r="B3157" s="409"/>
      <c r="C3157" s="416"/>
      <c r="D3157" s="198" t="s">
        <v>18179</v>
      </c>
      <c r="E3157" s="198">
        <v>224</v>
      </c>
      <c r="F3157" s="199" t="s">
        <v>18180</v>
      </c>
      <c r="G3157" s="1" t="s">
        <v>28779</v>
      </c>
      <c r="H3157" s="1" t="s">
        <v>16716</v>
      </c>
      <c r="I3157" s="346"/>
      <c r="J3157" s="39">
        <v>114990</v>
      </c>
      <c r="K3157" s="36" t="str">
        <f>CONCATENATE(Cover!$D$6,"fdd/view?i=",J3157)</f>
        <v>https://www.dgiwg.org/FAD/fdd/view?i=114990</v>
      </c>
      <c r="L3157" s="36" t="s">
        <v>28780</v>
      </c>
      <c r="M3157" s="186"/>
      <c r="N3157" s="186"/>
      <c r="O3157" s="13" t="s">
        <v>18178</v>
      </c>
    </row>
    <row r="3158" spans="1:15" ht="25.5" x14ac:dyDescent="0.2">
      <c r="A3158" s="197" t="str">
        <f t="shared" si="49"/>
        <v>DtcCode_chan082X</v>
      </c>
      <c r="B3158" s="409"/>
      <c r="C3158" s="416"/>
      <c r="D3158" s="198" t="s">
        <v>18184</v>
      </c>
      <c r="E3158" s="198">
        <v>225</v>
      </c>
      <c r="F3158" s="199" t="s">
        <v>18185</v>
      </c>
      <c r="G3158" s="1" t="s">
        <v>28781</v>
      </c>
      <c r="H3158" s="1" t="s">
        <v>16716</v>
      </c>
      <c r="I3158" s="346"/>
      <c r="J3158" s="39">
        <v>114991</v>
      </c>
      <c r="K3158" s="36" t="str">
        <f>CONCATENATE(Cover!$D$6,"fdd/view?i=",J3158)</f>
        <v>https://www.dgiwg.org/FAD/fdd/view?i=114991</v>
      </c>
      <c r="L3158" s="36" t="s">
        <v>28782</v>
      </c>
      <c r="M3158" s="186"/>
      <c r="N3158" s="186"/>
      <c r="O3158" s="13" t="s">
        <v>18183</v>
      </c>
    </row>
    <row r="3159" spans="1:15" ht="25.5" x14ac:dyDescent="0.2">
      <c r="A3159" s="197" t="str">
        <f t="shared" si="49"/>
        <v>DtcCode_chan082Y</v>
      </c>
      <c r="B3159" s="409"/>
      <c r="C3159" s="416"/>
      <c r="D3159" s="198" t="s">
        <v>18189</v>
      </c>
      <c r="E3159" s="198">
        <v>226</v>
      </c>
      <c r="F3159" s="199" t="s">
        <v>18190</v>
      </c>
      <c r="G3159" s="1" t="s">
        <v>28783</v>
      </c>
      <c r="H3159" s="1" t="s">
        <v>16716</v>
      </c>
      <c r="I3159" s="346"/>
      <c r="J3159" s="39">
        <v>114992</v>
      </c>
      <c r="K3159" s="36" t="str">
        <f>CONCATENATE(Cover!$D$6,"fdd/view?i=",J3159)</f>
        <v>https://www.dgiwg.org/FAD/fdd/view?i=114992</v>
      </c>
      <c r="L3159" s="36" t="s">
        <v>28784</v>
      </c>
      <c r="M3159" s="186"/>
      <c r="N3159" s="186"/>
      <c r="O3159" s="13" t="s">
        <v>18188</v>
      </c>
    </row>
    <row r="3160" spans="1:15" ht="25.5" x14ac:dyDescent="0.2">
      <c r="A3160" s="197" t="str">
        <f t="shared" si="49"/>
        <v>DtcCode_chan082Z</v>
      </c>
      <c r="B3160" s="409"/>
      <c r="C3160" s="416"/>
      <c r="D3160" s="198" t="s">
        <v>18194</v>
      </c>
      <c r="E3160" s="198">
        <v>227</v>
      </c>
      <c r="F3160" s="199" t="s">
        <v>18195</v>
      </c>
      <c r="G3160" s="1" t="s">
        <v>28785</v>
      </c>
      <c r="H3160" s="1" t="s">
        <v>16716</v>
      </c>
      <c r="I3160" s="346"/>
      <c r="J3160" s="39">
        <v>114993</v>
      </c>
      <c r="K3160" s="36" t="str">
        <f>CONCATENATE(Cover!$D$6,"fdd/view?i=",J3160)</f>
        <v>https://www.dgiwg.org/FAD/fdd/view?i=114993</v>
      </c>
      <c r="L3160" s="36" t="s">
        <v>28786</v>
      </c>
      <c r="M3160" s="186"/>
      <c r="N3160" s="186"/>
      <c r="O3160" s="13" t="s">
        <v>18193</v>
      </c>
    </row>
    <row r="3161" spans="1:15" ht="25.5" x14ac:dyDescent="0.2">
      <c r="A3161" s="197" t="str">
        <f t="shared" si="49"/>
        <v>DtcCode_chan083X</v>
      </c>
      <c r="B3161" s="409"/>
      <c r="C3161" s="416"/>
      <c r="D3161" s="198" t="s">
        <v>18199</v>
      </c>
      <c r="E3161" s="198">
        <v>228</v>
      </c>
      <c r="F3161" s="199" t="s">
        <v>18200</v>
      </c>
      <c r="G3161" s="1" t="s">
        <v>28787</v>
      </c>
      <c r="H3161" s="1" t="s">
        <v>16716</v>
      </c>
      <c r="I3161" s="346"/>
      <c r="J3161" s="39">
        <v>114994</v>
      </c>
      <c r="K3161" s="36" t="str">
        <f>CONCATENATE(Cover!$D$6,"fdd/view?i=",J3161)</f>
        <v>https://www.dgiwg.org/FAD/fdd/view?i=114994</v>
      </c>
      <c r="L3161" s="36" t="s">
        <v>28788</v>
      </c>
      <c r="M3161" s="186"/>
      <c r="N3161" s="186"/>
      <c r="O3161" s="13" t="s">
        <v>18198</v>
      </c>
    </row>
    <row r="3162" spans="1:15" ht="25.5" x14ac:dyDescent="0.2">
      <c r="A3162" s="197" t="str">
        <f t="shared" si="49"/>
        <v>DtcCode_chan083Y</v>
      </c>
      <c r="B3162" s="409"/>
      <c r="C3162" s="416"/>
      <c r="D3162" s="198" t="s">
        <v>18204</v>
      </c>
      <c r="E3162" s="198">
        <v>229</v>
      </c>
      <c r="F3162" s="199" t="s">
        <v>18205</v>
      </c>
      <c r="G3162" s="1" t="s">
        <v>28789</v>
      </c>
      <c r="H3162" s="1" t="s">
        <v>16716</v>
      </c>
      <c r="I3162" s="346"/>
      <c r="J3162" s="39">
        <v>114995</v>
      </c>
      <c r="K3162" s="36" t="str">
        <f>CONCATENATE(Cover!$D$6,"fdd/view?i=",J3162)</f>
        <v>https://www.dgiwg.org/FAD/fdd/view?i=114995</v>
      </c>
      <c r="L3162" s="36" t="s">
        <v>28790</v>
      </c>
      <c r="M3162" s="186"/>
      <c r="N3162" s="186"/>
      <c r="O3162" s="13" t="s">
        <v>18203</v>
      </c>
    </row>
    <row r="3163" spans="1:15" ht="25.5" x14ac:dyDescent="0.2">
      <c r="A3163" s="197" t="str">
        <f t="shared" si="49"/>
        <v>DtcCode_chan083Z</v>
      </c>
      <c r="B3163" s="409"/>
      <c r="C3163" s="416"/>
      <c r="D3163" s="198" t="s">
        <v>18209</v>
      </c>
      <c r="E3163" s="198">
        <v>230</v>
      </c>
      <c r="F3163" s="199" t="s">
        <v>18210</v>
      </c>
      <c r="G3163" s="1" t="s">
        <v>28791</v>
      </c>
      <c r="H3163" s="1" t="s">
        <v>16716</v>
      </c>
      <c r="I3163" s="346"/>
      <c r="J3163" s="39">
        <v>114996</v>
      </c>
      <c r="K3163" s="36" t="str">
        <f>CONCATENATE(Cover!$D$6,"fdd/view?i=",J3163)</f>
        <v>https://www.dgiwg.org/FAD/fdd/view?i=114996</v>
      </c>
      <c r="L3163" s="36" t="s">
        <v>28792</v>
      </c>
      <c r="M3163" s="186"/>
      <c r="N3163" s="186"/>
      <c r="O3163" s="13" t="s">
        <v>18208</v>
      </c>
    </row>
    <row r="3164" spans="1:15" ht="25.5" x14ac:dyDescent="0.2">
      <c r="A3164" s="197" t="str">
        <f t="shared" si="49"/>
        <v>DtcCode_chan084X</v>
      </c>
      <c r="B3164" s="409"/>
      <c r="C3164" s="416"/>
      <c r="D3164" s="198" t="s">
        <v>18214</v>
      </c>
      <c r="E3164" s="198">
        <v>231</v>
      </c>
      <c r="F3164" s="199" t="s">
        <v>18215</v>
      </c>
      <c r="G3164" s="1" t="s">
        <v>28793</v>
      </c>
      <c r="H3164" s="1" t="s">
        <v>16716</v>
      </c>
      <c r="I3164" s="346"/>
      <c r="J3164" s="39">
        <v>114997</v>
      </c>
      <c r="K3164" s="36" t="str">
        <f>CONCATENATE(Cover!$D$6,"fdd/view?i=",J3164)</f>
        <v>https://www.dgiwg.org/FAD/fdd/view?i=114997</v>
      </c>
      <c r="L3164" s="36" t="s">
        <v>28794</v>
      </c>
      <c r="M3164" s="186"/>
      <c r="N3164" s="186"/>
      <c r="O3164" s="13" t="s">
        <v>18213</v>
      </c>
    </row>
    <row r="3165" spans="1:15" ht="25.5" x14ac:dyDescent="0.2">
      <c r="A3165" s="197" t="str">
        <f t="shared" si="49"/>
        <v>DtcCode_chan084Y</v>
      </c>
      <c r="B3165" s="409"/>
      <c r="C3165" s="416"/>
      <c r="D3165" s="198" t="s">
        <v>18219</v>
      </c>
      <c r="E3165" s="198">
        <v>232</v>
      </c>
      <c r="F3165" s="199" t="s">
        <v>18220</v>
      </c>
      <c r="G3165" s="1" t="s">
        <v>28795</v>
      </c>
      <c r="H3165" s="1" t="s">
        <v>16716</v>
      </c>
      <c r="I3165" s="346"/>
      <c r="J3165" s="39">
        <v>114998</v>
      </c>
      <c r="K3165" s="36" t="str">
        <f>CONCATENATE(Cover!$D$6,"fdd/view?i=",J3165)</f>
        <v>https://www.dgiwg.org/FAD/fdd/view?i=114998</v>
      </c>
      <c r="L3165" s="36" t="s">
        <v>28796</v>
      </c>
      <c r="M3165" s="186"/>
      <c r="N3165" s="186"/>
      <c r="O3165" s="13" t="s">
        <v>18218</v>
      </c>
    </row>
    <row r="3166" spans="1:15" ht="25.5" x14ac:dyDescent="0.2">
      <c r="A3166" s="197" t="str">
        <f t="shared" si="49"/>
        <v>DtcCode_chan084Z</v>
      </c>
      <c r="B3166" s="409"/>
      <c r="C3166" s="416"/>
      <c r="D3166" s="198" t="s">
        <v>18224</v>
      </c>
      <c r="E3166" s="198">
        <v>233</v>
      </c>
      <c r="F3166" s="199" t="s">
        <v>18225</v>
      </c>
      <c r="G3166" s="1" t="s">
        <v>28797</v>
      </c>
      <c r="H3166" s="1" t="s">
        <v>16716</v>
      </c>
      <c r="I3166" s="346"/>
      <c r="J3166" s="39">
        <v>114999</v>
      </c>
      <c r="K3166" s="36" t="str">
        <f>CONCATENATE(Cover!$D$6,"fdd/view?i=",J3166)</f>
        <v>https://www.dgiwg.org/FAD/fdd/view?i=114999</v>
      </c>
      <c r="L3166" s="36" t="s">
        <v>28798</v>
      </c>
      <c r="M3166" s="186"/>
      <c r="N3166" s="186"/>
      <c r="O3166" s="13" t="s">
        <v>18223</v>
      </c>
    </row>
    <row r="3167" spans="1:15" ht="25.5" x14ac:dyDescent="0.2">
      <c r="A3167" s="197" t="str">
        <f t="shared" si="49"/>
        <v>DtcCode_chan085X</v>
      </c>
      <c r="B3167" s="409"/>
      <c r="C3167" s="416"/>
      <c r="D3167" s="198" t="s">
        <v>18229</v>
      </c>
      <c r="E3167" s="198">
        <v>234</v>
      </c>
      <c r="F3167" s="199" t="s">
        <v>18230</v>
      </c>
      <c r="G3167" s="1" t="s">
        <v>28799</v>
      </c>
      <c r="H3167" s="1" t="s">
        <v>16716</v>
      </c>
      <c r="I3167" s="346"/>
      <c r="J3167" s="39">
        <v>115000</v>
      </c>
      <c r="K3167" s="36" t="str">
        <f>CONCATENATE(Cover!$D$6,"fdd/view?i=",J3167)</f>
        <v>https://www.dgiwg.org/FAD/fdd/view?i=115000</v>
      </c>
      <c r="L3167" s="36" t="s">
        <v>28800</v>
      </c>
      <c r="M3167" s="186"/>
      <c r="N3167" s="186"/>
      <c r="O3167" s="13" t="s">
        <v>18228</v>
      </c>
    </row>
    <row r="3168" spans="1:15" ht="25.5" x14ac:dyDescent="0.2">
      <c r="A3168" s="197" t="str">
        <f t="shared" si="49"/>
        <v>DtcCode_chan085Y</v>
      </c>
      <c r="B3168" s="409"/>
      <c r="C3168" s="416"/>
      <c r="D3168" s="198" t="s">
        <v>18234</v>
      </c>
      <c r="E3168" s="198">
        <v>235</v>
      </c>
      <c r="F3168" s="199" t="s">
        <v>18235</v>
      </c>
      <c r="G3168" s="1" t="s">
        <v>28801</v>
      </c>
      <c r="H3168" s="1" t="s">
        <v>16716</v>
      </c>
      <c r="I3168" s="346"/>
      <c r="J3168" s="39">
        <v>115001</v>
      </c>
      <c r="K3168" s="36" t="str">
        <f>CONCATENATE(Cover!$D$6,"fdd/view?i=",J3168)</f>
        <v>https://www.dgiwg.org/FAD/fdd/view?i=115001</v>
      </c>
      <c r="L3168" s="36" t="s">
        <v>28802</v>
      </c>
      <c r="M3168" s="186"/>
      <c r="N3168" s="186"/>
      <c r="O3168" s="13" t="s">
        <v>18233</v>
      </c>
    </row>
    <row r="3169" spans="1:15" ht="25.5" x14ac:dyDescent="0.2">
      <c r="A3169" s="197" t="str">
        <f t="shared" si="49"/>
        <v>DtcCode_chan085Z</v>
      </c>
      <c r="B3169" s="409"/>
      <c r="C3169" s="416"/>
      <c r="D3169" s="198" t="s">
        <v>18239</v>
      </c>
      <c r="E3169" s="198">
        <v>236</v>
      </c>
      <c r="F3169" s="199" t="s">
        <v>18240</v>
      </c>
      <c r="G3169" s="1" t="s">
        <v>28803</v>
      </c>
      <c r="H3169" s="1" t="s">
        <v>16716</v>
      </c>
      <c r="I3169" s="346"/>
      <c r="J3169" s="39">
        <v>115002</v>
      </c>
      <c r="K3169" s="36" t="str">
        <f>CONCATENATE(Cover!$D$6,"fdd/view?i=",J3169)</f>
        <v>https://www.dgiwg.org/FAD/fdd/view?i=115002</v>
      </c>
      <c r="L3169" s="36" t="s">
        <v>28804</v>
      </c>
      <c r="M3169" s="186"/>
      <c r="N3169" s="186"/>
      <c r="O3169" s="13" t="s">
        <v>18238</v>
      </c>
    </row>
    <row r="3170" spans="1:15" ht="25.5" x14ac:dyDescent="0.2">
      <c r="A3170" s="197" t="str">
        <f t="shared" si="49"/>
        <v>DtcCode_chan086X</v>
      </c>
      <c r="B3170" s="409"/>
      <c r="C3170" s="416"/>
      <c r="D3170" s="198" t="s">
        <v>18244</v>
      </c>
      <c r="E3170" s="198">
        <v>237</v>
      </c>
      <c r="F3170" s="199" t="s">
        <v>18245</v>
      </c>
      <c r="G3170" s="1" t="s">
        <v>28805</v>
      </c>
      <c r="H3170" s="1" t="s">
        <v>16716</v>
      </c>
      <c r="I3170" s="346"/>
      <c r="J3170" s="39">
        <v>115003</v>
      </c>
      <c r="K3170" s="36" t="str">
        <f>CONCATENATE(Cover!$D$6,"fdd/view?i=",J3170)</f>
        <v>https://www.dgiwg.org/FAD/fdd/view?i=115003</v>
      </c>
      <c r="L3170" s="36" t="s">
        <v>28806</v>
      </c>
      <c r="M3170" s="186"/>
      <c r="N3170" s="186"/>
      <c r="O3170" s="13" t="s">
        <v>18243</v>
      </c>
    </row>
    <row r="3171" spans="1:15" ht="25.5" x14ac:dyDescent="0.2">
      <c r="A3171" s="197" t="str">
        <f t="shared" si="49"/>
        <v>DtcCode_chan086Y</v>
      </c>
      <c r="B3171" s="409"/>
      <c r="C3171" s="416"/>
      <c r="D3171" s="198" t="s">
        <v>18249</v>
      </c>
      <c r="E3171" s="198">
        <v>238</v>
      </c>
      <c r="F3171" s="199" t="s">
        <v>18250</v>
      </c>
      <c r="G3171" s="1" t="s">
        <v>28807</v>
      </c>
      <c r="H3171" s="1" t="s">
        <v>16716</v>
      </c>
      <c r="I3171" s="346"/>
      <c r="J3171" s="39">
        <v>115004</v>
      </c>
      <c r="K3171" s="36" t="str">
        <f>CONCATENATE(Cover!$D$6,"fdd/view?i=",J3171)</f>
        <v>https://www.dgiwg.org/FAD/fdd/view?i=115004</v>
      </c>
      <c r="L3171" s="36" t="s">
        <v>28808</v>
      </c>
      <c r="M3171" s="186"/>
      <c r="N3171" s="186"/>
      <c r="O3171" s="13" t="s">
        <v>18248</v>
      </c>
    </row>
    <row r="3172" spans="1:15" ht="25.5" x14ac:dyDescent="0.2">
      <c r="A3172" s="197" t="str">
        <f t="shared" si="49"/>
        <v>DtcCode_chan086Z</v>
      </c>
      <c r="B3172" s="409"/>
      <c r="C3172" s="416"/>
      <c r="D3172" s="198" t="s">
        <v>18254</v>
      </c>
      <c r="E3172" s="198">
        <v>239</v>
      </c>
      <c r="F3172" s="199" t="s">
        <v>18255</v>
      </c>
      <c r="G3172" s="1" t="s">
        <v>28809</v>
      </c>
      <c r="H3172" s="1" t="s">
        <v>16716</v>
      </c>
      <c r="I3172" s="346"/>
      <c r="J3172" s="39">
        <v>115005</v>
      </c>
      <c r="K3172" s="36" t="str">
        <f>CONCATENATE(Cover!$D$6,"fdd/view?i=",J3172)</f>
        <v>https://www.dgiwg.org/FAD/fdd/view?i=115005</v>
      </c>
      <c r="L3172" s="36" t="s">
        <v>28810</v>
      </c>
      <c r="M3172" s="186"/>
      <c r="N3172" s="186"/>
      <c r="O3172" s="13" t="s">
        <v>18253</v>
      </c>
    </row>
    <row r="3173" spans="1:15" ht="25.5" x14ac:dyDescent="0.2">
      <c r="A3173" s="197" t="str">
        <f t="shared" si="49"/>
        <v>DtcCode_chan087X</v>
      </c>
      <c r="B3173" s="409"/>
      <c r="C3173" s="416"/>
      <c r="D3173" s="198" t="s">
        <v>18259</v>
      </c>
      <c r="E3173" s="198">
        <v>240</v>
      </c>
      <c r="F3173" s="199" t="s">
        <v>18260</v>
      </c>
      <c r="G3173" s="1" t="s">
        <v>28811</v>
      </c>
      <c r="H3173" s="1" t="s">
        <v>16716</v>
      </c>
      <c r="I3173" s="346"/>
      <c r="J3173" s="39">
        <v>115006</v>
      </c>
      <c r="K3173" s="36" t="str">
        <f>CONCATENATE(Cover!$D$6,"fdd/view?i=",J3173)</f>
        <v>https://www.dgiwg.org/FAD/fdd/view?i=115006</v>
      </c>
      <c r="L3173" s="36" t="s">
        <v>28812</v>
      </c>
      <c r="M3173" s="186"/>
      <c r="N3173" s="186"/>
      <c r="O3173" s="13" t="s">
        <v>18258</v>
      </c>
    </row>
    <row r="3174" spans="1:15" ht="25.5" x14ac:dyDescent="0.2">
      <c r="A3174" s="197" t="str">
        <f t="shared" si="49"/>
        <v>DtcCode_chan087Y</v>
      </c>
      <c r="B3174" s="409"/>
      <c r="C3174" s="416"/>
      <c r="D3174" s="198" t="s">
        <v>18264</v>
      </c>
      <c r="E3174" s="198">
        <v>241</v>
      </c>
      <c r="F3174" s="199" t="s">
        <v>18265</v>
      </c>
      <c r="G3174" s="1" t="s">
        <v>28813</v>
      </c>
      <c r="H3174" s="1" t="s">
        <v>16716</v>
      </c>
      <c r="I3174" s="346"/>
      <c r="J3174" s="39">
        <v>115007</v>
      </c>
      <c r="K3174" s="36" t="str">
        <f>CONCATENATE(Cover!$D$6,"fdd/view?i=",J3174)</f>
        <v>https://www.dgiwg.org/FAD/fdd/view?i=115007</v>
      </c>
      <c r="L3174" s="36" t="s">
        <v>28814</v>
      </c>
      <c r="M3174" s="186"/>
      <c r="N3174" s="186"/>
      <c r="O3174" s="13" t="s">
        <v>18263</v>
      </c>
    </row>
    <row r="3175" spans="1:15" ht="25.5" x14ac:dyDescent="0.2">
      <c r="A3175" s="197" t="str">
        <f t="shared" si="49"/>
        <v>DtcCode_chan087Z</v>
      </c>
      <c r="B3175" s="409"/>
      <c r="C3175" s="416"/>
      <c r="D3175" s="198" t="s">
        <v>18269</v>
      </c>
      <c r="E3175" s="198">
        <v>242</v>
      </c>
      <c r="F3175" s="199" t="s">
        <v>18270</v>
      </c>
      <c r="G3175" s="1" t="s">
        <v>28815</v>
      </c>
      <c r="H3175" s="1" t="s">
        <v>16716</v>
      </c>
      <c r="I3175" s="346"/>
      <c r="J3175" s="39">
        <v>115008</v>
      </c>
      <c r="K3175" s="36" t="str">
        <f>CONCATENATE(Cover!$D$6,"fdd/view?i=",J3175)</f>
        <v>https://www.dgiwg.org/FAD/fdd/view?i=115008</v>
      </c>
      <c r="L3175" s="36" t="s">
        <v>28816</v>
      </c>
      <c r="M3175" s="186"/>
      <c r="N3175" s="186"/>
      <c r="O3175" s="13" t="s">
        <v>18268</v>
      </c>
    </row>
    <row r="3176" spans="1:15" ht="25.5" x14ac:dyDescent="0.2">
      <c r="A3176" s="197" t="str">
        <f t="shared" si="49"/>
        <v>DtcCode_chan088X</v>
      </c>
      <c r="B3176" s="409"/>
      <c r="C3176" s="416"/>
      <c r="D3176" s="198" t="s">
        <v>18274</v>
      </c>
      <c r="E3176" s="198">
        <v>243</v>
      </c>
      <c r="F3176" s="199" t="s">
        <v>18275</v>
      </c>
      <c r="G3176" s="1" t="s">
        <v>28817</v>
      </c>
      <c r="H3176" s="1" t="s">
        <v>16716</v>
      </c>
      <c r="I3176" s="346"/>
      <c r="J3176" s="39">
        <v>115009</v>
      </c>
      <c r="K3176" s="36" t="str">
        <f>CONCATENATE(Cover!$D$6,"fdd/view?i=",J3176)</f>
        <v>https://www.dgiwg.org/FAD/fdd/view?i=115009</v>
      </c>
      <c r="L3176" s="36" t="s">
        <v>28818</v>
      </c>
      <c r="M3176" s="186"/>
      <c r="N3176" s="186"/>
      <c r="O3176" s="13" t="s">
        <v>18273</v>
      </c>
    </row>
    <row r="3177" spans="1:15" ht="25.5" x14ac:dyDescent="0.2">
      <c r="A3177" s="197" t="str">
        <f t="shared" si="49"/>
        <v>DtcCode_chan088Y</v>
      </c>
      <c r="B3177" s="409"/>
      <c r="C3177" s="416"/>
      <c r="D3177" s="198" t="s">
        <v>18279</v>
      </c>
      <c r="E3177" s="198">
        <v>244</v>
      </c>
      <c r="F3177" s="199" t="s">
        <v>18280</v>
      </c>
      <c r="G3177" s="1" t="s">
        <v>28819</v>
      </c>
      <c r="H3177" s="1" t="s">
        <v>16716</v>
      </c>
      <c r="I3177" s="346"/>
      <c r="J3177" s="39">
        <v>115010</v>
      </c>
      <c r="K3177" s="36" t="str">
        <f>CONCATENATE(Cover!$D$6,"fdd/view?i=",J3177)</f>
        <v>https://www.dgiwg.org/FAD/fdd/view?i=115010</v>
      </c>
      <c r="L3177" s="36" t="s">
        <v>28820</v>
      </c>
      <c r="M3177" s="186"/>
      <c r="N3177" s="186"/>
      <c r="O3177" s="13" t="s">
        <v>18278</v>
      </c>
    </row>
    <row r="3178" spans="1:15" ht="25.5" x14ac:dyDescent="0.2">
      <c r="A3178" s="197" t="str">
        <f t="shared" si="49"/>
        <v>DtcCode_chan088Z</v>
      </c>
      <c r="B3178" s="409"/>
      <c r="C3178" s="416"/>
      <c r="D3178" s="198" t="s">
        <v>18284</v>
      </c>
      <c r="E3178" s="198">
        <v>245</v>
      </c>
      <c r="F3178" s="199" t="s">
        <v>18285</v>
      </c>
      <c r="G3178" s="1" t="s">
        <v>28821</v>
      </c>
      <c r="H3178" s="1" t="s">
        <v>16716</v>
      </c>
      <c r="I3178" s="346"/>
      <c r="J3178" s="39">
        <v>115011</v>
      </c>
      <c r="K3178" s="36" t="str">
        <f>CONCATENATE(Cover!$D$6,"fdd/view?i=",J3178)</f>
        <v>https://www.dgiwg.org/FAD/fdd/view?i=115011</v>
      </c>
      <c r="L3178" s="36" t="s">
        <v>28822</v>
      </c>
      <c r="M3178" s="186"/>
      <c r="N3178" s="186"/>
      <c r="O3178" s="13" t="s">
        <v>18283</v>
      </c>
    </row>
    <row r="3179" spans="1:15" ht="25.5" x14ac:dyDescent="0.2">
      <c r="A3179" s="197" t="str">
        <f t="shared" si="49"/>
        <v>DtcCode_chan089X</v>
      </c>
      <c r="B3179" s="409"/>
      <c r="C3179" s="416"/>
      <c r="D3179" s="198" t="s">
        <v>18289</v>
      </c>
      <c r="E3179" s="198">
        <v>246</v>
      </c>
      <c r="F3179" s="199" t="s">
        <v>18290</v>
      </c>
      <c r="G3179" s="1" t="s">
        <v>28823</v>
      </c>
      <c r="H3179" s="1" t="s">
        <v>16716</v>
      </c>
      <c r="I3179" s="346"/>
      <c r="J3179" s="39">
        <v>115012</v>
      </c>
      <c r="K3179" s="36" t="str">
        <f>CONCATENATE(Cover!$D$6,"fdd/view?i=",J3179)</f>
        <v>https://www.dgiwg.org/FAD/fdd/view?i=115012</v>
      </c>
      <c r="L3179" s="36" t="s">
        <v>28824</v>
      </c>
      <c r="M3179" s="186"/>
      <c r="N3179" s="186"/>
      <c r="O3179" s="13" t="s">
        <v>18288</v>
      </c>
    </row>
    <row r="3180" spans="1:15" ht="25.5" x14ac:dyDescent="0.2">
      <c r="A3180" s="197" t="str">
        <f t="shared" si="49"/>
        <v>DtcCode_chan089Y</v>
      </c>
      <c r="B3180" s="409"/>
      <c r="C3180" s="416"/>
      <c r="D3180" s="198" t="s">
        <v>18294</v>
      </c>
      <c r="E3180" s="198">
        <v>247</v>
      </c>
      <c r="F3180" s="199" t="s">
        <v>18295</v>
      </c>
      <c r="G3180" s="1" t="s">
        <v>28825</v>
      </c>
      <c r="H3180" s="1" t="s">
        <v>16716</v>
      </c>
      <c r="I3180" s="346"/>
      <c r="J3180" s="39">
        <v>115013</v>
      </c>
      <c r="K3180" s="36" t="str">
        <f>CONCATENATE(Cover!$D$6,"fdd/view?i=",J3180)</f>
        <v>https://www.dgiwg.org/FAD/fdd/view?i=115013</v>
      </c>
      <c r="L3180" s="36" t="s">
        <v>28826</v>
      </c>
      <c r="M3180" s="186"/>
      <c r="N3180" s="186"/>
      <c r="O3180" s="13" t="s">
        <v>18293</v>
      </c>
    </row>
    <row r="3181" spans="1:15" ht="25.5" x14ac:dyDescent="0.2">
      <c r="A3181" s="197" t="str">
        <f t="shared" si="49"/>
        <v>DtcCode_chan089Z</v>
      </c>
      <c r="B3181" s="409"/>
      <c r="C3181" s="416"/>
      <c r="D3181" s="198" t="s">
        <v>18299</v>
      </c>
      <c r="E3181" s="198">
        <v>248</v>
      </c>
      <c r="F3181" s="199" t="s">
        <v>18300</v>
      </c>
      <c r="G3181" s="1" t="s">
        <v>28827</v>
      </c>
      <c r="H3181" s="1" t="s">
        <v>16716</v>
      </c>
      <c r="I3181" s="346"/>
      <c r="J3181" s="39">
        <v>115014</v>
      </c>
      <c r="K3181" s="36" t="str">
        <f>CONCATENATE(Cover!$D$6,"fdd/view?i=",J3181)</f>
        <v>https://www.dgiwg.org/FAD/fdd/view?i=115014</v>
      </c>
      <c r="L3181" s="36" t="s">
        <v>28828</v>
      </c>
      <c r="M3181" s="186"/>
      <c r="N3181" s="186"/>
      <c r="O3181" s="13" t="s">
        <v>18298</v>
      </c>
    </row>
    <row r="3182" spans="1:15" ht="25.5" x14ac:dyDescent="0.2">
      <c r="A3182" s="197" t="str">
        <f t="shared" si="49"/>
        <v>DtcCode_chan090X</v>
      </c>
      <c r="B3182" s="409"/>
      <c r="C3182" s="416"/>
      <c r="D3182" s="198" t="s">
        <v>18314</v>
      </c>
      <c r="E3182" s="198">
        <v>249</v>
      </c>
      <c r="F3182" s="199" t="s">
        <v>18315</v>
      </c>
      <c r="G3182" s="1" t="s">
        <v>28833</v>
      </c>
      <c r="H3182" s="1" t="s">
        <v>16716</v>
      </c>
      <c r="I3182" s="346"/>
      <c r="J3182" s="39">
        <v>115015</v>
      </c>
      <c r="K3182" s="36" t="str">
        <f>CONCATENATE(Cover!$D$6,"fdd/view?i=",J3182)</f>
        <v>https://www.dgiwg.org/FAD/fdd/view?i=115015</v>
      </c>
      <c r="L3182" s="36" t="s">
        <v>28834</v>
      </c>
      <c r="M3182" s="186"/>
      <c r="N3182" s="186"/>
      <c r="O3182" s="13" t="s">
        <v>18313</v>
      </c>
    </row>
    <row r="3183" spans="1:15" ht="25.5" x14ac:dyDescent="0.2">
      <c r="A3183" s="197" t="str">
        <f t="shared" si="49"/>
        <v>DtcCode_chan090Y</v>
      </c>
      <c r="B3183" s="409"/>
      <c r="C3183" s="416"/>
      <c r="D3183" s="198" t="s">
        <v>18319</v>
      </c>
      <c r="E3183" s="198">
        <v>250</v>
      </c>
      <c r="F3183" s="199" t="s">
        <v>18320</v>
      </c>
      <c r="G3183" s="1" t="s">
        <v>28835</v>
      </c>
      <c r="H3183" s="1" t="s">
        <v>16716</v>
      </c>
      <c r="I3183" s="346"/>
      <c r="J3183" s="39">
        <v>115016</v>
      </c>
      <c r="K3183" s="36" t="str">
        <f>CONCATENATE(Cover!$D$6,"fdd/view?i=",J3183)</f>
        <v>https://www.dgiwg.org/FAD/fdd/view?i=115016</v>
      </c>
      <c r="L3183" s="36" t="s">
        <v>28836</v>
      </c>
      <c r="M3183" s="186"/>
      <c r="N3183" s="186"/>
      <c r="O3183" s="13" t="s">
        <v>18318</v>
      </c>
    </row>
    <row r="3184" spans="1:15" ht="25.5" x14ac:dyDescent="0.2">
      <c r="A3184" s="197" t="str">
        <f t="shared" si="49"/>
        <v>DtcCode_chan090Z</v>
      </c>
      <c r="B3184" s="409"/>
      <c r="C3184" s="416"/>
      <c r="D3184" s="198" t="s">
        <v>18324</v>
      </c>
      <c r="E3184" s="198">
        <v>251</v>
      </c>
      <c r="F3184" s="199" t="s">
        <v>18325</v>
      </c>
      <c r="G3184" s="1" t="s">
        <v>28837</v>
      </c>
      <c r="H3184" s="1" t="s">
        <v>16716</v>
      </c>
      <c r="I3184" s="346"/>
      <c r="J3184" s="39">
        <v>115017</v>
      </c>
      <c r="K3184" s="36" t="str">
        <f>CONCATENATE(Cover!$D$6,"fdd/view?i=",J3184)</f>
        <v>https://www.dgiwg.org/FAD/fdd/view?i=115017</v>
      </c>
      <c r="L3184" s="36" t="s">
        <v>28838</v>
      </c>
      <c r="M3184" s="186"/>
      <c r="N3184" s="186"/>
      <c r="O3184" s="13" t="s">
        <v>18323</v>
      </c>
    </row>
    <row r="3185" spans="1:15" ht="25.5" x14ac:dyDescent="0.2">
      <c r="A3185" s="197" t="str">
        <f t="shared" si="49"/>
        <v>DtcCode_chan091X</v>
      </c>
      <c r="B3185" s="409"/>
      <c r="C3185" s="416"/>
      <c r="D3185" s="198" t="s">
        <v>18329</v>
      </c>
      <c r="E3185" s="198">
        <v>252</v>
      </c>
      <c r="F3185" s="199" t="s">
        <v>18330</v>
      </c>
      <c r="G3185" s="1" t="s">
        <v>28839</v>
      </c>
      <c r="H3185" s="1" t="s">
        <v>16716</v>
      </c>
      <c r="I3185" s="346"/>
      <c r="J3185" s="39">
        <v>115018</v>
      </c>
      <c r="K3185" s="36" t="str">
        <f>CONCATENATE(Cover!$D$6,"fdd/view?i=",J3185)</f>
        <v>https://www.dgiwg.org/FAD/fdd/view?i=115018</v>
      </c>
      <c r="L3185" s="36" t="s">
        <v>28840</v>
      </c>
      <c r="M3185" s="186"/>
      <c r="N3185" s="186"/>
      <c r="O3185" s="13" t="s">
        <v>18328</v>
      </c>
    </row>
    <row r="3186" spans="1:15" ht="25.5" x14ac:dyDescent="0.2">
      <c r="A3186" s="197" t="str">
        <f t="shared" si="49"/>
        <v>DtcCode_chan091Y</v>
      </c>
      <c r="B3186" s="409"/>
      <c r="C3186" s="416"/>
      <c r="D3186" s="198" t="s">
        <v>18334</v>
      </c>
      <c r="E3186" s="198">
        <v>253</v>
      </c>
      <c r="F3186" s="199" t="s">
        <v>18335</v>
      </c>
      <c r="G3186" s="1" t="s">
        <v>28841</v>
      </c>
      <c r="H3186" s="1" t="s">
        <v>16716</v>
      </c>
      <c r="I3186" s="346"/>
      <c r="J3186" s="39">
        <v>115019</v>
      </c>
      <c r="K3186" s="36" t="str">
        <f>CONCATENATE(Cover!$D$6,"fdd/view?i=",J3186)</f>
        <v>https://www.dgiwg.org/FAD/fdd/view?i=115019</v>
      </c>
      <c r="L3186" s="36" t="s">
        <v>28842</v>
      </c>
      <c r="M3186" s="186"/>
      <c r="N3186" s="186"/>
      <c r="O3186" s="13" t="s">
        <v>18333</v>
      </c>
    </row>
    <row r="3187" spans="1:15" ht="25.5" x14ac:dyDescent="0.2">
      <c r="A3187" s="197" t="str">
        <f t="shared" si="49"/>
        <v>DtcCode_chan091Z</v>
      </c>
      <c r="B3187" s="409"/>
      <c r="C3187" s="416"/>
      <c r="D3187" s="198" t="s">
        <v>18339</v>
      </c>
      <c r="E3187" s="198">
        <v>254</v>
      </c>
      <c r="F3187" s="199" t="s">
        <v>18340</v>
      </c>
      <c r="G3187" s="1" t="s">
        <v>28843</v>
      </c>
      <c r="H3187" s="1" t="s">
        <v>16716</v>
      </c>
      <c r="I3187" s="346"/>
      <c r="J3187" s="39">
        <v>115020</v>
      </c>
      <c r="K3187" s="36" t="str">
        <f>CONCATENATE(Cover!$D$6,"fdd/view?i=",J3187)</f>
        <v>https://www.dgiwg.org/FAD/fdd/view?i=115020</v>
      </c>
      <c r="L3187" s="36" t="s">
        <v>28844</v>
      </c>
      <c r="M3187" s="186"/>
      <c r="N3187" s="186"/>
      <c r="O3187" s="13" t="s">
        <v>18338</v>
      </c>
    </row>
    <row r="3188" spans="1:15" ht="25.5" x14ac:dyDescent="0.2">
      <c r="A3188" s="197" t="str">
        <f t="shared" si="49"/>
        <v>DtcCode_chan092X</v>
      </c>
      <c r="B3188" s="409"/>
      <c r="C3188" s="416"/>
      <c r="D3188" s="198" t="s">
        <v>18344</v>
      </c>
      <c r="E3188" s="198">
        <v>255</v>
      </c>
      <c r="F3188" s="199" t="s">
        <v>18345</v>
      </c>
      <c r="G3188" s="1" t="s">
        <v>28845</v>
      </c>
      <c r="H3188" s="1" t="s">
        <v>16716</v>
      </c>
      <c r="I3188" s="346"/>
      <c r="J3188" s="39">
        <v>115021</v>
      </c>
      <c r="K3188" s="36" t="str">
        <f>CONCATENATE(Cover!$D$6,"fdd/view?i=",J3188)</f>
        <v>https://www.dgiwg.org/FAD/fdd/view?i=115021</v>
      </c>
      <c r="L3188" s="36" t="s">
        <v>28846</v>
      </c>
      <c r="M3188" s="186"/>
      <c r="N3188" s="186"/>
      <c r="O3188" s="13" t="s">
        <v>18343</v>
      </c>
    </row>
    <row r="3189" spans="1:15" ht="25.5" x14ac:dyDescent="0.2">
      <c r="A3189" s="197" t="str">
        <f t="shared" si="49"/>
        <v>DtcCode_chan092Y</v>
      </c>
      <c r="B3189" s="409"/>
      <c r="C3189" s="416"/>
      <c r="D3189" s="198" t="s">
        <v>18349</v>
      </c>
      <c r="E3189" s="198">
        <v>256</v>
      </c>
      <c r="F3189" s="199" t="s">
        <v>18350</v>
      </c>
      <c r="G3189" s="1" t="s">
        <v>28847</v>
      </c>
      <c r="H3189" s="1" t="s">
        <v>16716</v>
      </c>
      <c r="I3189" s="346"/>
      <c r="J3189" s="39">
        <v>115022</v>
      </c>
      <c r="K3189" s="36" t="str">
        <f>CONCATENATE(Cover!$D$6,"fdd/view?i=",J3189)</f>
        <v>https://www.dgiwg.org/FAD/fdd/view?i=115022</v>
      </c>
      <c r="L3189" s="36" t="s">
        <v>28848</v>
      </c>
      <c r="M3189" s="186"/>
      <c r="N3189" s="186"/>
      <c r="O3189" s="13" t="s">
        <v>18348</v>
      </c>
    </row>
    <row r="3190" spans="1:15" ht="25.5" x14ac:dyDescent="0.2">
      <c r="A3190" s="197" t="str">
        <f t="shared" si="49"/>
        <v>DtcCode_chan092Z</v>
      </c>
      <c r="B3190" s="409"/>
      <c r="C3190" s="416"/>
      <c r="D3190" s="198" t="s">
        <v>18354</v>
      </c>
      <c r="E3190" s="198">
        <v>257</v>
      </c>
      <c r="F3190" s="199" t="s">
        <v>18355</v>
      </c>
      <c r="G3190" s="1" t="s">
        <v>28849</v>
      </c>
      <c r="H3190" s="1" t="s">
        <v>16716</v>
      </c>
      <c r="I3190" s="346"/>
      <c r="J3190" s="39">
        <v>115023</v>
      </c>
      <c r="K3190" s="36" t="str">
        <f>CONCATENATE(Cover!$D$6,"fdd/view?i=",J3190)</f>
        <v>https://www.dgiwg.org/FAD/fdd/view?i=115023</v>
      </c>
      <c r="L3190" s="36" t="s">
        <v>28850</v>
      </c>
      <c r="M3190" s="186"/>
      <c r="N3190" s="186"/>
      <c r="O3190" s="13" t="s">
        <v>18353</v>
      </c>
    </row>
    <row r="3191" spans="1:15" ht="25.5" x14ac:dyDescent="0.2">
      <c r="A3191" s="197" t="str">
        <f t="shared" si="49"/>
        <v>DtcCode_chan093X</v>
      </c>
      <c r="B3191" s="409"/>
      <c r="C3191" s="416"/>
      <c r="D3191" s="198" t="s">
        <v>18359</v>
      </c>
      <c r="E3191" s="198">
        <v>258</v>
      </c>
      <c r="F3191" s="199" t="s">
        <v>18360</v>
      </c>
      <c r="G3191" s="1" t="s">
        <v>28851</v>
      </c>
      <c r="H3191" s="1" t="s">
        <v>16716</v>
      </c>
      <c r="I3191" s="346"/>
      <c r="J3191" s="39">
        <v>115024</v>
      </c>
      <c r="K3191" s="36" t="str">
        <f>CONCATENATE(Cover!$D$6,"fdd/view?i=",J3191)</f>
        <v>https://www.dgiwg.org/FAD/fdd/view?i=115024</v>
      </c>
      <c r="L3191" s="36" t="s">
        <v>28852</v>
      </c>
      <c r="M3191" s="186"/>
      <c r="N3191" s="186"/>
      <c r="O3191" s="13" t="s">
        <v>18358</v>
      </c>
    </row>
    <row r="3192" spans="1:15" ht="25.5" x14ac:dyDescent="0.2">
      <c r="A3192" s="197" t="str">
        <f t="shared" si="49"/>
        <v>DtcCode_chan093Y</v>
      </c>
      <c r="B3192" s="409"/>
      <c r="C3192" s="416"/>
      <c r="D3192" s="198" t="s">
        <v>18364</v>
      </c>
      <c r="E3192" s="198">
        <v>259</v>
      </c>
      <c r="F3192" s="199" t="s">
        <v>18365</v>
      </c>
      <c r="G3192" s="1" t="s">
        <v>28853</v>
      </c>
      <c r="H3192" s="1" t="s">
        <v>16716</v>
      </c>
      <c r="I3192" s="346"/>
      <c r="J3192" s="39">
        <v>115025</v>
      </c>
      <c r="K3192" s="36" t="str">
        <f>CONCATENATE(Cover!$D$6,"fdd/view?i=",J3192)</f>
        <v>https://www.dgiwg.org/FAD/fdd/view?i=115025</v>
      </c>
      <c r="L3192" s="36" t="s">
        <v>28854</v>
      </c>
      <c r="M3192" s="186"/>
      <c r="N3192" s="186"/>
      <c r="O3192" s="13" t="s">
        <v>18363</v>
      </c>
    </row>
    <row r="3193" spans="1:15" ht="25.5" x14ac:dyDescent="0.2">
      <c r="A3193" s="197" t="str">
        <f t="shared" si="49"/>
        <v>DtcCode_chan093Z</v>
      </c>
      <c r="B3193" s="409"/>
      <c r="C3193" s="416"/>
      <c r="D3193" s="198" t="s">
        <v>18369</v>
      </c>
      <c r="E3193" s="198">
        <v>260</v>
      </c>
      <c r="F3193" s="199" t="s">
        <v>18370</v>
      </c>
      <c r="G3193" s="1" t="s">
        <v>28855</v>
      </c>
      <c r="H3193" s="1" t="s">
        <v>16716</v>
      </c>
      <c r="I3193" s="346"/>
      <c r="J3193" s="39">
        <v>115026</v>
      </c>
      <c r="K3193" s="36" t="str">
        <f>CONCATENATE(Cover!$D$6,"fdd/view?i=",J3193)</f>
        <v>https://www.dgiwg.org/FAD/fdd/view?i=115026</v>
      </c>
      <c r="L3193" s="36" t="s">
        <v>28856</v>
      </c>
      <c r="M3193" s="186"/>
      <c r="N3193" s="186"/>
      <c r="O3193" s="13" t="s">
        <v>18368</v>
      </c>
    </row>
    <row r="3194" spans="1:15" ht="25.5" x14ac:dyDescent="0.2">
      <c r="A3194" s="197" t="str">
        <f t="shared" si="49"/>
        <v>DtcCode_chan094X</v>
      </c>
      <c r="B3194" s="409"/>
      <c r="C3194" s="416"/>
      <c r="D3194" s="198" t="s">
        <v>18374</v>
      </c>
      <c r="E3194" s="198">
        <v>261</v>
      </c>
      <c r="F3194" s="199" t="s">
        <v>18375</v>
      </c>
      <c r="G3194" s="1" t="s">
        <v>28857</v>
      </c>
      <c r="H3194" s="1" t="s">
        <v>16716</v>
      </c>
      <c r="I3194" s="346"/>
      <c r="J3194" s="39">
        <v>115027</v>
      </c>
      <c r="K3194" s="36" t="str">
        <f>CONCATENATE(Cover!$D$6,"fdd/view?i=",J3194)</f>
        <v>https://www.dgiwg.org/FAD/fdd/view?i=115027</v>
      </c>
      <c r="L3194" s="36" t="s">
        <v>28858</v>
      </c>
      <c r="M3194" s="186"/>
      <c r="N3194" s="186"/>
      <c r="O3194" s="13" t="s">
        <v>18373</v>
      </c>
    </row>
    <row r="3195" spans="1:15" ht="25.5" x14ac:dyDescent="0.2">
      <c r="A3195" s="197" t="str">
        <f t="shared" si="49"/>
        <v>DtcCode_chan094Y</v>
      </c>
      <c r="B3195" s="409"/>
      <c r="C3195" s="416"/>
      <c r="D3195" s="198" t="s">
        <v>18379</v>
      </c>
      <c r="E3195" s="198">
        <v>262</v>
      </c>
      <c r="F3195" s="199" t="s">
        <v>18380</v>
      </c>
      <c r="G3195" s="1" t="s">
        <v>28859</v>
      </c>
      <c r="H3195" s="1" t="s">
        <v>16716</v>
      </c>
      <c r="I3195" s="346"/>
      <c r="J3195" s="39">
        <v>115028</v>
      </c>
      <c r="K3195" s="36" t="str">
        <f>CONCATENATE(Cover!$D$6,"fdd/view?i=",J3195)</f>
        <v>https://www.dgiwg.org/FAD/fdd/view?i=115028</v>
      </c>
      <c r="L3195" s="36" t="s">
        <v>28860</v>
      </c>
      <c r="M3195" s="186"/>
      <c r="N3195" s="186"/>
      <c r="O3195" s="13" t="s">
        <v>18378</v>
      </c>
    </row>
    <row r="3196" spans="1:15" ht="25.5" x14ac:dyDescent="0.2">
      <c r="A3196" s="197" t="str">
        <f t="shared" si="49"/>
        <v>DtcCode_chan094Z</v>
      </c>
      <c r="B3196" s="409"/>
      <c r="C3196" s="416"/>
      <c r="D3196" s="198" t="s">
        <v>18384</v>
      </c>
      <c r="E3196" s="198">
        <v>263</v>
      </c>
      <c r="F3196" s="199" t="s">
        <v>18385</v>
      </c>
      <c r="G3196" s="1" t="s">
        <v>28861</v>
      </c>
      <c r="H3196" s="1" t="s">
        <v>16716</v>
      </c>
      <c r="I3196" s="346"/>
      <c r="J3196" s="39">
        <v>115029</v>
      </c>
      <c r="K3196" s="36" t="str">
        <f>CONCATENATE(Cover!$D$6,"fdd/view?i=",J3196)</f>
        <v>https://www.dgiwg.org/FAD/fdd/view?i=115029</v>
      </c>
      <c r="L3196" s="36" t="s">
        <v>28862</v>
      </c>
      <c r="M3196" s="186"/>
      <c r="N3196" s="186"/>
      <c r="O3196" s="13" t="s">
        <v>18383</v>
      </c>
    </row>
    <row r="3197" spans="1:15" ht="25.5" x14ac:dyDescent="0.2">
      <c r="A3197" s="197" t="str">
        <f t="shared" si="49"/>
        <v>DtcCode_chan095X</v>
      </c>
      <c r="B3197" s="409"/>
      <c r="C3197" s="416"/>
      <c r="D3197" s="198" t="s">
        <v>18389</v>
      </c>
      <c r="E3197" s="198">
        <v>264</v>
      </c>
      <c r="F3197" s="199" t="s">
        <v>18390</v>
      </c>
      <c r="G3197" s="1" t="s">
        <v>28863</v>
      </c>
      <c r="H3197" s="1" t="s">
        <v>16716</v>
      </c>
      <c r="I3197" s="346"/>
      <c r="J3197" s="39">
        <v>115030</v>
      </c>
      <c r="K3197" s="36" t="str">
        <f>CONCATENATE(Cover!$D$6,"fdd/view?i=",J3197)</f>
        <v>https://www.dgiwg.org/FAD/fdd/view?i=115030</v>
      </c>
      <c r="L3197" s="36" t="s">
        <v>28864</v>
      </c>
      <c r="M3197" s="186"/>
      <c r="N3197" s="186"/>
      <c r="O3197" s="13" t="s">
        <v>18388</v>
      </c>
    </row>
    <row r="3198" spans="1:15" ht="25.5" x14ac:dyDescent="0.2">
      <c r="A3198" s="197" t="str">
        <f t="shared" si="49"/>
        <v>DtcCode_chan095Y</v>
      </c>
      <c r="B3198" s="409"/>
      <c r="C3198" s="416"/>
      <c r="D3198" s="198" t="s">
        <v>18394</v>
      </c>
      <c r="E3198" s="198">
        <v>265</v>
      </c>
      <c r="F3198" s="199" t="s">
        <v>18395</v>
      </c>
      <c r="G3198" s="1" t="s">
        <v>28865</v>
      </c>
      <c r="H3198" s="1" t="s">
        <v>16716</v>
      </c>
      <c r="I3198" s="346"/>
      <c r="J3198" s="39">
        <v>115031</v>
      </c>
      <c r="K3198" s="36" t="str">
        <f>CONCATENATE(Cover!$D$6,"fdd/view?i=",J3198)</f>
        <v>https://www.dgiwg.org/FAD/fdd/view?i=115031</v>
      </c>
      <c r="L3198" s="36" t="s">
        <v>28866</v>
      </c>
      <c r="M3198" s="186"/>
      <c r="N3198" s="186"/>
      <c r="O3198" s="13" t="s">
        <v>18393</v>
      </c>
    </row>
    <row r="3199" spans="1:15" ht="25.5" x14ac:dyDescent="0.2">
      <c r="A3199" s="197" t="str">
        <f t="shared" si="49"/>
        <v>DtcCode_chan095Z</v>
      </c>
      <c r="B3199" s="409"/>
      <c r="C3199" s="416"/>
      <c r="D3199" s="198" t="s">
        <v>18399</v>
      </c>
      <c r="E3199" s="198">
        <v>266</v>
      </c>
      <c r="F3199" s="199" t="s">
        <v>18400</v>
      </c>
      <c r="G3199" s="1" t="s">
        <v>28867</v>
      </c>
      <c r="H3199" s="1" t="s">
        <v>16716</v>
      </c>
      <c r="I3199" s="346"/>
      <c r="J3199" s="39">
        <v>115032</v>
      </c>
      <c r="K3199" s="36" t="str">
        <f>CONCATENATE(Cover!$D$6,"fdd/view?i=",J3199)</f>
        <v>https://www.dgiwg.org/FAD/fdd/view?i=115032</v>
      </c>
      <c r="L3199" s="36" t="s">
        <v>28868</v>
      </c>
      <c r="M3199" s="186"/>
      <c r="N3199" s="186"/>
      <c r="O3199" s="13" t="s">
        <v>18398</v>
      </c>
    </row>
    <row r="3200" spans="1:15" ht="25.5" x14ac:dyDescent="0.2">
      <c r="A3200" s="197" t="str">
        <f t="shared" si="49"/>
        <v>DtcCode_chan096X</v>
      </c>
      <c r="B3200" s="409"/>
      <c r="C3200" s="416"/>
      <c r="D3200" s="198" t="s">
        <v>18404</v>
      </c>
      <c r="E3200" s="198">
        <v>267</v>
      </c>
      <c r="F3200" s="199" t="s">
        <v>18405</v>
      </c>
      <c r="G3200" s="1" t="s">
        <v>28869</v>
      </c>
      <c r="H3200" s="1" t="s">
        <v>16716</v>
      </c>
      <c r="I3200" s="346"/>
      <c r="J3200" s="39">
        <v>115033</v>
      </c>
      <c r="K3200" s="36" t="str">
        <f>CONCATENATE(Cover!$D$6,"fdd/view?i=",J3200)</f>
        <v>https://www.dgiwg.org/FAD/fdd/view?i=115033</v>
      </c>
      <c r="L3200" s="36" t="s">
        <v>28870</v>
      </c>
      <c r="M3200" s="186"/>
      <c r="N3200" s="186"/>
      <c r="O3200" s="13" t="s">
        <v>18403</v>
      </c>
    </row>
    <row r="3201" spans="1:15" ht="25.5" x14ac:dyDescent="0.2">
      <c r="A3201" s="197" t="str">
        <f t="shared" si="49"/>
        <v>DtcCode_chan096Y</v>
      </c>
      <c r="B3201" s="409"/>
      <c r="C3201" s="416"/>
      <c r="D3201" s="198" t="s">
        <v>18409</v>
      </c>
      <c r="E3201" s="198">
        <v>268</v>
      </c>
      <c r="F3201" s="199" t="s">
        <v>18410</v>
      </c>
      <c r="G3201" s="1" t="s">
        <v>28871</v>
      </c>
      <c r="H3201" s="1" t="s">
        <v>16716</v>
      </c>
      <c r="I3201" s="346"/>
      <c r="J3201" s="39">
        <v>115034</v>
      </c>
      <c r="K3201" s="36" t="str">
        <f>CONCATENATE(Cover!$D$6,"fdd/view?i=",J3201)</f>
        <v>https://www.dgiwg.org/FAD/fdd/view?i=115034</v>
      </c>
      <c r="L3201" s="36" t="s">
        <v>28872</v>
      </c>
      <c r="M3201" s="186"/>
      <c r="N3201" s="186"/>
      <c r="O3201" s="13" t="s">
        <v>18408</v>
      </c>
    </row>
    <row r="3202" spans="1:15" ht="25.5" x14ac:dyDescent="0.2">
      <c r="A3202" s="197" t="str">
        <f t="shared" ref="A3202:A3265" si="50">HYPERLINK(K3202,L3202)</f>
        <v>DtcCode_chan096Z</v>
      </c>
      <c r="B3202" s="409"/>
      <c r="C3202" s="416"/>
      <c r="D3202" s="198" t="s">
        <v>18414</v>
      </c>
      <c r="E3202" s="198">
        <v>269</v>
      </c>
      <c r="F3202" s="199" t="s">
        <v>18415</v>
      </c>
      <c r="G3202" s="1" t="s">
        <v>28873</v>
      </c>
      <c r="H3202" s="1" t="s">
        <v>16716</v>
      </c>
      <c r="I3202" s="346"/>
      <c r="J3202" s="39">
        <v>115035</v>
      </c>
      <c r="K3202" s="36" t="str">
        <f>CONCATENATE(Cover!$D$6,"fdd/view?i=",J3202)</f>
        <v>https://www.dgiwg.org/FAD/fdd/view?i=115035</v>
      </c>
      <c r="L3202" s="36" t="s">
        <v>28874</v>
      </c>
      <c r="M3202" s="186"/>
      <c r="N3202" s="186"/>
      <c r="O3202" s="13" t="s">
        <v>18413</v>
      </c>
    </row>
    <row r="3203" spans="1:15" ht="25.5" x14ac:dyDescent="0.2">
      <c r="A3203" s="197" t="str">
        <f t="shared" si="50"/>
        <v>DtcCode_chan097X</v>
      </c>
      <c r="B3203" s="409"/>
      <c r="C3203" s="416"/>
      <c r="D3203" s="198" t="s">
        <v>18419</v>
      </c>
      <c r="E3203" s="198">
        <v>270</v>
      </c>
      <c r="F3203" s="199" t="s">
        <v>18420</v>
      </c>
      <c r="G3203" s="1" t="s">
        <v>28875</v>
      </c>
      <c r="H3203" s="1" t="s">
        <v>16716</v>
      </c>
      <c r="I3203" s="346"/>
      <c r="J3203" s="39">
        <v>115036</v>
      </c>
      <c r="K3203" s="36" t="str">
        <f>CONCATENATE(Cover!$D$6,"fdd/view?i=",J3203)</f>
        <v>https://www.dgiwg.org/FAD/fdd/view?i=115036</v>
      </c>
      <c r="L3203" s="36" t="s">
        <v>28876</v>
      </c>
      <c r="M3203" s="186"/>
      <c r="N3203" s="186"/>
      <c r="O3203" s="13" t="s">
        <v>18418</v>
      </c>
    </row>
    <row r="3204" spans="1:15" ht="25.5" x14ac:dyDescent="0.2">
      <c r="A3204" s="197" t="str">
        <f t="shared" si="50"/>
        <v>DtcCode_chan097Y</v>
      </c>
      <c r="B3204" s="409"/>
      <c r="C3204" s="416"/>
      <c r="D3204" s="198" t="s">
        <v>18424</v>
      </c>
      <c r="E3204" s="198">
        <v>271</v>
      </c>
      <c r="F3204" s="199" t="s">
        <v>18425</v>
      </c>
      <c r="G3204" s="1" t="s">
        <v>28877</v>
      </c>
      <c r="H3204" s="1" t="s">
        <v>16716</v>
      </c>
      <c r="I3204" s="346"/>
      <c r="J3204" s="39">
        <v>115037</v>
      </c>
      <c r="K3204" s="36" t="str">
        <f>CONCATENATE(Cover!$D$6,"fdd/view?i=",J3204)</f>
        <v>https://www.dgiwg.org/FAD/fdd/view?i=115037</v>
      </c>
      <c r="L3204" s="36" t="s">
        <v>28878</v>
      </c>
      <c r="M3204" s="186"/>
      <c r="N3204" s="186"/>
      <c r="O3204" s="13" t="s">
        <v>18423</v>
      </c>
    </row>
    <row r="3205" spans="1:15" ht="25.5" x14ac:dyDescent="0.2">
      <c r="A3205" s="197" t="str">
        <f t="shared" si="50"/>
        <v>DtcCode_chan097Z</v>
      </c>
      <c r="B3205" s="409"/>
      <c r="C3205" s="416"/>
      <c r="D3205" s="198" t="s">
        <v>18429</v>
      </c>
      <c r="E3205" s="198">
        <v>272</v>
      </c>
      <c r="F3205" s="199" t="s">
        <v>18430</v>
      </c>
      <c r="G3205" s="1" t="s">
        <v>28879</v>
      </c>
      <c r="H3205" s="1" t="s">
        <v>16716</v>
      </c>
      <c r="I3205" s="346"/>
      <c r="J3205" s="39">
        <v>115038</v>
      </c>
      <c r="K3205" s="36" t="str">
        <f>CONCATENATE(Cover!$D$6,"fdd/view?i=",J3205)</f>
        <v>https://www.dgiwg.org/FAD/fdd/view?i=115038</v>
      </c>
      <c r="L3205" s="36" t="s">
        <v>28880</v>
      </c>
      <c r="M3205" s="186"/>
      <c r="N3205" s="186"/>
      <c r="O3205" s="13" t="s">
        <v>18428</v>
      </c>
    </row>
    <row r="3206" spans="1:15" ht="25.5" x14ac:dyDescent="0.2">
      <c r="A3206" s="197" t="str">
        <f t="shared" si="50"/>
        <v>DtcCode_chan098X</v>
      </c>
      <c r="B3206" s="409"/>
      <c r="C3206" s="416"/>
      <c r="D3206" s="198" t="s">
        <v>18434</v>
      </c>
      <c r="E3206" s="198">
        <v>273</v>
      </c>
      <c r="F3206" s="199" t="s">
        <v>18435</v>
      </c>
      <c r="G3206" s="1" t="s">
        <v>28881</v>
      </c>
      <c r="H3206" s="1" t="s">
        <v>16716</v>
      </c>
      <c r="I3206" s="346"/>
      <c r="J3206" s="39">
        <v>115039</v>
      </c>
      <c r="K3206" s="36" t="str">
        <f>CONCATENATE(Cover!$D$6,"fdd/view?i=",J3206)</f>
        <v>https://www.dgiwg.org/FAD/fdd/view?i=115039</v>
      </c>
      <c r="L3206" s="36" t="s">
        <v>28882</v>
      </c>
      <c r="M3206" s="186"/>
      <c r="N3206" s="186"/>
      <c r="O3206" s="13" t="s">
        <v>18433</v>
      </c>
    </row>
    <row r="3207" spans="1:15" ht="25.5" x14ac:dyDescent="0.2">
      <c r="A3207" s="197" t="str">
        <f t="shared" si="50"/>
        <v>DtcCode_chan098Y</v>
      </c>
      <c r="B3207" s="409"/>
      <c r="C3207" s="416"/>
      <c r="D3207" s="198" t="s">
        <v>18439</v>
      </c>
      <c r="E3207" s="198">
        <v>274</v>
      </c>
      <c r="F3207" s="199" t="s">
        <v>18440</v>
      </c>
      <c r="G3207" s="1" t="s">
        <v>28883</v>
      </c>
      <c r="H3207" s="1" t="s">
        <v>16716</v>
      </c>
      <c r="I3207" s="346"/>
      <c r="J3207" s="39">
        <v>115040</v>
      </c>
      <c r="K3207" s="36" t="str">
        <f>CONCATENATE(Cover!$D$6,"fdd/view?i=",J3207)</f>
        <v>https://www.dgiwg.org/FAD/fdd/view?i=115040</v>
      </c>
      <c r="L3207" s="36" t="s">
        <v>28884</v>
      </c>
      <c r="M3207" s="186"/>
      <c r="N3207" s="186"/>
      <c r="O3207" s="13" t="s">
        <v>18438</v>
      </c>
    </row>
    <row r="3208" spans="1:15" ht="25.5" x14ac:dyDescent="0.2">
      <c r="A3208" s="197" t="str">
        <f t="shared" si="50"/>
        <v>DtcCode_chan098Z</v>
      </c>
      <c r="B3208" s="409"/>
      <c r="C3208" s="416"/>
      <c r="D3208" s="198" t="s">
        <v>18444</v>
      </c>
      <c r="E3208" s="198">
        <v>275</v>
      </c>
      <c r="F3208" s="199" t="s">
        <v>18445</v>
      </c>
      <c r="G3208" s="1" t="s">
        <v>28885</v>
      </c>
      <c r="H3208" s="1" t="s">
        <v>16716</v>
      </c>
      <c r="I3208" s="346"/>
      <c r="J3208" s="39">
        <v>115041</v>
      </c>
      <c r="K3208" s="36" t="str">
        <f>CONCATENATE(Cover!$D$6,"fdd/view?i=",J3208)</f>
        <v>https://www.dgiwg.org/FAD/fdd/view?i=115041</v>
      </c>
      <c r="L3208" s="36" t="s">
        <v>28886</v>
      </c>
      <c r="M3208" s="186"/>
      <c r="N3208" s="186"/>
      <c r="O3208" s="13" t="s">
        <v>18443</v>
      </c>
    </row>
    <row r="3209" spans="1:15" ht="25.5" x14ac:dyDescent="0.2">
      <c r="A3209" s="197" t="str">
        <f t="shared" si="50"/>
        <v>DtcCode_chan099X</v>
      </c>
      <c r="B3209" s="409"/>
      <c r="C3209" s="416"/>
      <c r="D3209" s="198" t="s">
        <v>18449</v>
      </c>
      <c r="E3209" s="198">
        <v>276</v>
      </c>
      <c r="F3209" s="199" t="s">
        <v>18450</v>
      </c>
      <c r="G3209" s="1" t="s">
        <v>28887</v>
      </c>
      <c r="H3209" s="1" t="s">
        <v>16716</v>
      </c>
      <c r="I3209" s="346"/>
      <c r="J3209" s="39">
        <v>115042</v>
      </c>
      <c r="K3209" s="36" t="str">
        <f>CONCATENATE(Cover!$D$6,"fdd/view?i=",J3209)</f>
        <v>https://www.dgiwg.org/FAD/fdd/view?i=115042</v>
      </c>
      <c r="L3209" s="36" t="s">
        <v>28888</v>
      </c>
      <c r="M3209" s="186"/>
      <c r="N3209" s="186"/>
      <c r="O3209" s="13" t="s">
        <v>18448</v>
      </c>
    </row>
    <row r="3210" spans="1:15" ht="25.5" x14ac:dyDescent="0.2">
      <c r="A3210" s="197" t="str">
        <f t="shared" si="50"/>
        <v>DtcCode_chan099Y</v>
      </c>
      <c r="B3210" s="409"/>
      <c r="C3210" s="416"/>
      <c r="D3210" s="198" t="s">
        <v>18454</v>
      </c>
      <c r="E3210" s="198">
        <v>277</v>
      </c>
      <c r="F3210" s="199" t="s">
        <v>18455</v>
      </c>
      <c r="G3210" s="1" t="s">
        <v>28889</v>
      </c>
      <c r="H3210" s="1" t="s">
        <v>16716</v>
      </c>
      <c r="I3210" s="346"/>
      <c r="J3210" s="39">
        <v>115043</v>
      </c>
      <c r="K3210" s="36" t="str">
        <f>CONCATENATE(Cover!$D$6,"fdd/view?i=",J3210)</f>
        <v>https://www.dgiwg.org/FAD/fdd/view?i=115043</v>
      </c>
      <c r="L3210" s="36" t="s">
        <v>28890</v>
      </c>
      <c r="M3210" s="186"/>
      <c r="N3210" s="186"/>
      <c r="O3210" s="13" t="s">
        <v>18453</v>
      </c>
    </row>
    <row r="3211" spans="1:15" ht="25.5" x14ac:dyDescent="0.2">
      <c r="A3211" s="197" t="str">
        <f t="shared" si="50"/>
        <v>DtcCode_chan099Z</v>
      </c>
      <c r="B3211" s="409"/>
      <c r="C3211" s="416"/>
      <c r="D3211" s="198" t="s">
        <v>18459</v>
      </c>
      <c r="E3211" s="198">
        <v>278</v>
      </c>
      <c r="F3211" s="199" t="s">
        <v>18460</v>
      </c>
      <c r="G3211" s="1" t="s">
        <v>28891</v>
      </c>
      <c r="H3211" s="1" t="s">
        <v>16716</v>
      </c>
      <c r="I3211" s="346"/>
      <c r="J3211" s="39">
        <v>115044</v>
      </c>
      <c r="K3211" s="36" t="str">
        <f>CONCATENATE(Cover!$D$6,"fdd/view?i=",J3211)</f>
        <v>https://www.dgiwg.org/FAD/fdd/view?i=115044</v>
      </c>
      <c r="L3211" s="36" t="s">
        <v>28892</v>
      </c>
      <c r="M3211" s="186"/>
      <c r="N3211" s="186"/>
      <c r="O3211" s="13" t="s">
        <v>18458</v>
      </c>
    </row>
    <row r="3212" spans="1:15" ht="25.5" x14ac:dyDescent="0.2">
      <c r="A3212" s="197" t="str">
        <f t="shared" si="50"/>
        <v>DtcCode_chan100X</v>
      </c>
      <c r="B3212" s="409"/>
      <c r="C3212" s="416"/>
      <c r="D3212" s="198" t="s">
        <v>16713</v>
      </c>
      <c r="E3212" s="198">
        <v>279</v>
      </c>
      <c r="F3212" s="199" t="s">
        <v>16714</v>
      </c>
      <c r="G3212" s="1" t="s">
        <v>28193</v>
      </c>
      <c r="H3212" s="1" t="s">
        <v>16716</v>
      </c>
      <c r="I3212" s="346"/>
      <c r="J3212" s="39">
        <v>115045</v>
      </c>
      <c r="K3212" s="36" t="str">
        <f>CONCATENATE(Cover!$D$6,"fdd/view?i=",J3212)</f>
        <v>https://www.dgiwg.org/FAD/fdd/view?i=115045</v>
      </c>
      <c r="L3212" s="36" t="s">
        <v>28194</v>
      </c>
      <c r="M3212" s="186"/>
      <c r="N3212" s="186"/>
      <c r="O3212" s="13" t="s">
        <v>16712</v>
      </c>
    </row>
    <row r="3213" spans="1:15" ht="25.5" x14ac:dyDescent="0.2">
      <c r="A3213" s="197" t="str">
        <f t="shared" si="50"/>
        <v>DtcCode_chan100Y</v>
      </c>
      <c r="B3213" s="409"/>
      <c r="C3213" s="416"/>
      <c r="D3213" s="198" t="s">
        <v>16719</v>
      </c>
      <c r="E3213" s="198">
        <v>280</v>
      </c>
      <c r="F3213" s="199" t="s">
        <v>16720</v>
      </c>
      <c r="G3213" s="1" t="s">
        <v>28195</v>
      </c>
      <c r="H3213" s="1" t="s">
        <v>16716</v>
      </c>
      <c r="I3213" s="346"/>
      <c r="J3213" s="39">
        <v>115046</v>
      </c>
      <c r="K3213" s="36" t="str">
        <f>CONCATENATE(Cover!$D$6,"fdd/view?i=",J3213)</f>
        <v>https://www.dgiwg.org/FAD/fdd/view?i=115046</v>
      </c>
      <c r="L3213" s="36" t="s">
        <v>28196</v>
      </c>
      <c r="M3213" s="186"/>
      <c r="N3213" s="186"/>
      <c r="O3213" s="13" t="s">
        <v>16718</v>
      </c>
    </row>
    <row r="3214" spans="1:15" ht="25.5" x14ac:dyDescent="0.2">
      <c r="A3214" s="197" t="str">
        <f t="shared" si="50"/>
        <v>DtcCode_chan100Z</v>
      </c>
      <c r="B3214" s="409"/>
      <c r="C3214" s="416"/>
      <c r="D3214" s="198" t="s">
        <v>16724</v>
      </c>
      <c r="E3214" s="198">
        <v>281</v>
      </c>
      <c r="F3214" s="199" t="s">
        <v>16725</v>
      </c>
      <c r="G3214" s="1" t="s">
        <v>28197</v>
      </c>
      <c r="H3214" s="1" t="s">
        <v>16716</v>
      </c>
      <c r="I3214" s="346"/>
      <c r="J3214" s="39">
        <v>115047</v>
      </c>
      <c r="K3214" s="36" t="str">
        <f>CONCATENATE(Cover!$D$6,"fdd/view?i=",J3214)</f>
        <v>https://www.dgiwg.org/FAD/fdd/view?i=115047</v>
      </c>
      <c r="L3214" s="36" t="s">
        <v>28198</v>
      </c>
      <c r="M3214" s="186"/>
      <c r="N3214" s="186"/>
      <c r="O3214" s="13" t="s">
        <v>16723</v>
      </c>
    </row>
    <row r="3215" spans="1:15" ht="25.5" x14ac:dyDescent="0.2">
      <c r="A3215" s="197" t="str">
        <f t="shared" si="50"/>
        <v>DtcCode_chan101X</v>
      </c>
      <c r="B3215" s="409"/>
      <c r="C3215" s="416"/>
      <c r="D3215" s="198" t="s">
        <v>16729</v>
      </c>
      <c r="E3215" s="198">
        <v>282</v>
      </c>
      <c r="F3215" s="199" t="s">
        <v>16730</v>
      </c>
      <c r="G3215" s="1" t="s">
        <v>28199</v>
      </c>
      <c r="H3215" s="1" t="s">
        <v>16716</v>
      </c>
      <c r="I3215" s="346"/>
      <c r="J3215" s="39">
        <v>115048</v>
      </c>
      <c r="K3215" s="36" t="str">
        <f>CONCATENATE(Cover!$D$6,"fdd/view?i=",J3215)</f>
        <v>https://www.dgiwg.org/FAD/fdd/view?i=115048</v>
      </c>
      <c r="L3215" s="36" t="s">
        <v>28200</v>
      </c>
      <c r="M3215" s="186"/>
      <c r="N3215" s="186"/>
      <c r="O3215" s="13" t="s">
        <v>16728</v>
      </c>
    </row>
    <row r="3216" spans="1:15" ht="25.5" x14ac:dyDescent="0.2">
      <c r="A3216" s="197" t="str">
        <f t="shared" si="50"/>
        <v>DtcCode_chan101Y</v>
      </c>
      <c r="B3216" s="409"/>
      <c r="C3216" s="416"/>
      <c r="D3216" s="198" t="s">
        <v>16734</v>
      </c>
      <c r="E3216" s="198">
        <v>283</v>
      </c>
      <c r="F3216" s="199" t="s">
        <v>16735</v>
      </c>
      <c r="G3216" s="1" t="s">
        <v>28201</v>
      </c>
      <c r="H3216" s="1" t="s">
        <v>16716</v>
      </c>
      <c r="I3216" s="346"/>
      <c r="J3216" s="39">
        <v>115049</v>
      </c>
      <c r="K3216" s="36" t="str">
        <f>CONCATENATE(Cover!$D$6,"fdd/view?i=",J3216)</f>
        <v>https://www.dgiwg.org/FAD/fdd/view?i=115049</v>
      </c>
      <c r="L3216" s="36" t="s">
        <v>28202</v>
      </c>
      <c r="M3216" s="186"/>
      <c r="N3216" s="186"/>
      <c r="O3216" s="13" t="s">
        <v>16733</v>
      </c>
    </row>
    <row r="3217" spans="1:15" ht="25.5" x14ac:dyDescent="0.2">
      <c r="A3217" s="197" t="str">
        <f t="shared" si="50"/>
        <v>DtcCode_chan101Z</v>
      </c>
      <c r="B3217" s="409"/>
      <c r="C3217" s="416"/>
      <c r="D3217" s="198" t="s">
        <v>16739</v>
      </c>
      <c r="E3217" s="198">
        <v>284</v>
      </c>
      <c r="F3217" s="199" t="s">
        <v>16740</v>
      </c>
      <c r="G3217" s="1" t="s">
        <v>28203</v>
      </c>
      <c r="H3217" s="1" t="s">
        <v>16716</v>
      </c>
      <c r="I3217" s="346"/>
      <c r="J3217" s="39">
        <v>115050</v>
      </c>
      <c r="K3217" s="36" t="str">
        <f>CONCATENATE(Cover!$D$6,"fdd/view?i=",J3217)</f>
        <v>https://www.dgiwg.org/FAD/fdd/view?i=115050</v>
      </c>
      <c r="L3217" s="36" t="s">
        <v>28204</v>
      </c>
      <c r="M3217" s="186"/>
      <c r="N3217" s="186"/>
      <c r="O3217" s="13" t="s">
        <v>16738</v>
      </c>
    </row>
    <row r="3218" spans="1:15" ht="25.5" x14ac:dyDescent="0.2">
      <c r="A3218" s="197" t="str">
        <f t="shared" si="50"/>
        <v>DtcCode_chan102X</v>
      </c>
      <c r="B3218" s="409"/>
      <c r="C3218" s="416"/>
      <c r="D3218" s="198" t="s">
        <v>16744</v>
      </c>
      <c r="E3218" s="198">
        <v>285</v>
      </c>
      <c r="F3218" s="199" t="s">
        <v>16745</v>
      </c>
      <c r="G3218" s="1" t="s">
        <v>28205</v>
      </c>
      <c r="H3218" s="1" t="s">
        <v>16716</v>
      </c>
      <c r="I3218" s="346"/>
      <c r="J3218" s="39">
        <v>115051</v>
      </c>
      <c r="K3218" s="36" t="str">
        <f>CONCATENATE(Cover!$D$6,"fdd/view?i=",J3218)</f>
        <v>https://www.dgiwg.org/FAD/fdd/view?i=115051</v>
      </c>
      <c r="L3218" s="36" t="s">
        <v>28206</v>
      </c>
      <c r="M3218" s="186"/>
      <c r="N3218" s="186"/>
      <c r="O3218" s="13" t="s">
        <v>16743</v>
      </c>
    </row>
    <row r="3219" spans="1:15" ht="25.5" x14ac:dyDescent="0.2">
      <c r="A3219" s="197" t="str">
        <f t="shared" si="50"/>
        <v>DtcCode_chan102Y</v>
      </c>
      <c r="B3219" s="409"/>
      <c r="C3219" s="416"/>
      <c r="D3219" s="198" t="s">
        <v>16749</v>
      </c>
      <c r="E3219" s="198">
        <v>286</v>
      </c>
      <c r="F3219" s="199" t="s">
        <v>16750</v>
      </c>
      <c r="G3219" s="1" t="s">
        <v>28207</v>
      </c>
      <c r="H3219" s="1" t="s">
        <v>16716</v>
      </c>
      <c r="I3219" s="346"/>
      <c r="J3219" s="39">
        <v>115052</v>
      </c>
      <c r="K3219" s="36" t="str">
        <f>CONCATENATE(Cover!$D$6,"fdd/view?i=",J3219)</f>
        <v>https://www.dgiwg.org/FAD/fdd/view?i=115052</v>
      </c>
      <c r="L3219" s="36" t="s">
        <v>28208</v>
      </c>
      <c r="M3219" s="186"/>
      <c r="N3219" s="186"/>
      <c r="O3219" s="13" t="s">
        <v>16748</v>
      </c>
    </row>
    <row r="3220" spans="1:15" ht="25.5" x14ac:dyDescent="0.2">
      <c r="A3220" s="197" t="str">
        <f t="shared" si="50"/>
        <v>DtcCode_chan102Z</v>
      </c>
      <c r="B3220" s="409"/>
      <c r="C3220" s="416"/>
      <c r="D3220" s="198" t="s">
        <v>16754</v>
      </c>
      <c r="E3220" s="198">
        <v>287</v>
      </c>
      <c r="F3220" s="199" t="s">
        <v>16755</v>
      </c>
      <c r="G3220" s="1" t="s">
        <v>28209</v>
      </c>
      <c r="H3220" s="1" t="s">
        <v>16716</v>
      </c>
      <c r="I3220" s="346"/>
      <c r="J3220" s="39">
        <v>115053</v>
      </c>
      <c r="K3220" s="36" t="str">
        <f>CONCATENATE(Cover!$D$6,"fdd/view?i=",J3220)</f>
        <v>https://www.dgiwg.org/FAD/fdd/view?i=115053</v>
      </c>
      <c r="L3220" s="36" t="s">
        <v>28210</v>
      </c>
      <c r="M3220" s="186"/>
      <c r="N3220" s="186"/>
      <c r="O3220" s="13" t="s">
        <v>16753</v>
      </c>
    </row>
    <row r="3221" spans="1:15" ht="25.5" x14ac:dyDescent="0.2">
      <c r="A3221" s="197" t="str">
        <f t="shared" si="50"/>
        <v>DtcCode_chan103X</v>
      </c>
      <c r="B3221" s="409"/>
      <c r="C3221" s="416"/>
      <c r="D3221" s="198" t="s">
        <v>16759</v>
      </c>
      <c r="E3221" s="198">
        <v>288</v>
      </c>
      <c r="F3221" s="199" t="s">
        <v>16760</v>
      </c>
      <c r="G3221" s="1" t="s">
        <v>28211</v>
      </c>
      <c r="H3221" s="1" t="s">
        <v>16716</v>
      </c>
      <c r="I3221" s="346"/>
      <c r="J3221" s="39">
        <v>115054</v>
      </c>
      <c r="K3221" s="36" t="str">
        <f>CONCATENATE(Cover!$D$6,"fdd/view?i=",J3221)</f>
        <v>https://www.dgiwg.org/FAD/fdd/view?i=115054</v>
      </c>
      <c r="L3221" s="36" t="s">
        <v>28212</v>
      </c>
      <c r="M3221" s="186"/>
      <c r="N3221" s="186"/>
      <c r="O3221" s="13" t="s">
        <v>16758</v>
      </c>
    </row>
    <row r="3222" spans="1:15" ht="25.5" x14ac:dyDescent="0.2">
      <c r="A3222" s="197" t="str">
        <f t="shared" si="50"/>
        <v>DtcCode_chan103Y</v>
      </c>
      <c r="B3222" s="409"/>
      <c r="C3222" s="416"/>
      <c r="D3222" s="198" t="s">
        <v>16764</v>
      </c>
      <c r="E3222" s="198">
        <v>289</v>
      </c>
      <c r="F3222" s="199" t="s">
        <v>16765</v>
      </c>
      <c r="G3222" s="1" t="s">
        <v>28213</v>
      </c>
      <c r="H3222" s="1" t="s">
        <v>16716</v>
      </c>
      <c r="I3222" s="346"/>
      <c r="J3222" s="39">
        <v>115055</v>
      </c>
      <c r="K3222" s="36" t="str">
        <f>CONCATENATE(Cover!$D$6,"fdd/view?i=",J3222)</f>
        <v>https://www.dgiwg.org/FAD/fdd/view?i=115055</v>
      </c>
      <c r="L3222" s="36" t="s">
        <v>28214</v>
      </c>
      <c r="M3222" s="186"/>
      <c r="N3222" s="186"/>
      <c r="O3222" s="13" t="s">
        <v>16763</v>
      </c>
    </row>
    <row r="3223" spans="1:15" ht="25.5" x14ac:dyDescent="0.2">
      <c r="A3223" s="197" t="str">
        <f t="shared" si="50"/>
        <v>DtcCode_chan103Z</v>
      </c>
      <c r="B3223" s="409"/>
      <c r="C3223" s="416"/>
      <c r="D3223" s="198" t="s">
        <v>16769</v>
      </c>
      <c r="E3223" s="198">
        <v>290</v>
      </c>
      <c r="F3223" s="199" t="s">
        <v>16770</v>
      </c>
      <c r="G3223" s="1" t="s">
        <v>28215</v>
      </c>
      <c r="H3223" s="1" t="s">
        <v>16716</v>
      </c>
      <c r="I3223" s="346"/>
      <c r="J3223" s="39">
        <v>115056</v>
      </c>
      <c r="K3223" s="36" t="str">
        <f>CONCATENATE(Cover!$D$6,"fdd/view?i=",J3223)</f>
        <v>https://www.dgiwg.org/FAD/fdd/view?i=115056</v>
      </c>
      <c r="L3223" s="36" t="s">
        <v>28216</v>
      </c>
      <c r="M3223" s="186"/>
      <c r="N3223" s="186"/>
      <c r="O3223" s="13" t="s">
        <v>16768</v>
      </c>
    </row>
    <row r="3224" spans="1:15" ht="25.5" x14ac:dyDescent="0.2">
      <c r="A3224" s="197" t="str">
        <f t="shared" si="50"/>
        <v>DtcCode_chan104X</v>
      </c>
      <c r="B3224" s="409"/>
      <c r="C3224" s="416"/>
      <c r="D3224" s="198" t="s">
        <v>16774</v>
      </c>
      <c r="E3224" s="198">
        <v>291</v>
      </c>
      <c r="F3224" s="199" t="s">
        <v>16775</v>
      </c>
      <c r="G3224" s="1" t="s">
        <v>28217</v>
      </c>
      <c r="H3224" s="1" t="s">
        <v>16716</v>
      </c>
      <c r="I3224" s="346"/>
      <c r="J3224" s="39">
        <v>115057</v>
      </c>
      <c r="K3224" s="36" t="str">
        <f>CONCATENATE(Cover!$D$6,"fdd/view?i=",J3224)</f>
        <v>https://www.dgiwg.org/FAD/fdd/view?i=115057</v>
      </c>
      <c r="L3224" s="36" t="s">
        <v>28218</v>
      </c>
      <c r="M3224" s="186"/>
      <c r="N3224" s="186"/>
      <c r="O3224" s="13" t="s">
        <v>16773</v>
      </c>
    </row>
    <row r="3225" spans="1:15" ht="25.5" x14ac:dyDescent="0.2">
      <c r="A3225" s="197" t="str">
        <f t="shared" si="50"/>
        <v>DtcCode_chan104Y</v>
      </c>
      <c r="B3225" s="409"/>
      <c r="C3225" s="416"/>
      <c r="D3225" s="198" t="s">
        <v>16779</v>
      </c>
      <c r="E3225" s="198">
        <v>292</v>
      </c>
      <c r="F3225" s="199" t="s">
        <v>16780</v>
      </c>
      <c r="G3225" s="1" t="s">
        <v>28219</v>
      </c>
      <c r="H3225" s="1" t="s">
        <v>16716</v>
      </c>
      <c r="I3225" s="346"/>
      <c r="J3225" s="39">
        <v>115058</v>
      </c>
      <c r="K3225" s="36" t="str">
        <f>CONCATENATE(Cover!$D$6,"fdd/view?i=",J3225)</f>
        <v>https://www.dgiwg.org/FAD/fdd/view?i=115058</v>
      </c>
      <c r="L3225" s="36" t="s">
        <v>28220</v>
      </c>
      <c r="M3225" s="186"/>
      <c r="N3225" s="186"/>
      <c r="O3225" s="13" t="s">
        <v>16778</v>
      </c>
    </row>
    <row r="3226" spans="1:15" ht="25.5" x14ac:dyDescent="0.2">
      <c r="A3226" s="197" t="str">
        <f t="shared" si="50"/>
        <v>DtcCode_chan104Z</v>
      </c>
      <c r="B3226" s="409"/>
      <c r="C3226" s="416"/>
      <c r="D3226" s="198" t="s">
        <v>16784</v>
      </c>
      <c r="E3226" s="198">
        <v>293</v>
      </c>
      <c r="F3226" s="199" t="s">
        <v>16785</v>
      </c>
      <c r="G3226" s="1" t="s">
        <v>28221</v>
      </c>
      <c r="H3226" s="1" t="s">
        <v>16716</v>
      </c>
      <c r="I3226" s="346"/>
      <c r="J3226" s="39">
        <v>115059</v>
      </c>
      <c r="K3226" s="36" t="str">
        <f>CONCATENATE(Cover!$D$6,"fdd/view?i=",J3226)</f>
        <v>https://www.dgiwg.org/FAD/fdd/view?i=115059</v>
      </c>
      <c r="L3226" s="36" t="s">
        <v>28222</v>
      </c>
      <c r="M3226" s="186"/>
      <c r="N3226" s="186"/>
      <c r="O3226" s="13" t="s">
        <v>16783</v>
      </c>
    </row>
    <row r="3227" spans="1:15" ht="25.5" x14ac:dyDescent="0.2">
      <c r="A3227" s="197" t="str">
        <f t="shared" si="50"/>
        <v>DtcCode_chan105X</v>
      </c>
      <c r="B3227" s="409"/>
      <c r="C3227" s="416"/>
      <c r="D3227" s="198" t="s">
        <v>16789</v>
      </c>
      <c r="E3227" s="198">
        <v>294</v>
      </c>
      <c r="F3227" s="199" t="s">
        <v>16790</v>
      </c>
      <c r="G3227" s="1" t="s">
        <v>28223</v>
      </c>
      <c r="H3227" s="1" t="s">
        <v>16716</v>
      </c>
      <c r="I3227" s="346"/>
      <c r="J3227" s="39">
        <v>115060</v>
      </c>
      <c r="K3227" s="36" t="str">
        <f>CONCATENATE(Cover!$D$6,"fdd/view?i=",J3227)</f>
        <v>https://www.dgiwg.org/FAD/fdd/view?i=115060</v>
      </c>
      <c r="L3227" s="36" t="s">
        <v>28224</v>
      </c>
      <c r="M3227" s="186"/>
      <c r="N3227" s="186"/>
      <c r="O3227" s="13" t="s">
        <v>16788</v>
      </c>
    </row>
    <row r="3228" spans="1:15" ht="25.5" x14ac:dyDescent="0.2">
      <c r="A3228" s="197" t="str">
        <f t="shared" si="50"/>
        <v>DtcCode_chan105Y</v>
      </c>
      <c r="B3228" s="409"/>
      <c r="C3228" s="416"/>
      <c r="D3228" s="198" t="s">
        <v>16794</v>
      </c>
      <c r="E3228" s="198">
        <v>295</v>
      </c>
      <c r="F3228" s="199" t="s">
        <v>16795</v>
      </c>
      <c r="G3228" s="1" t="s">
        <v>28225</v>
      </c>
      <c r="H3228" s="1" t="s">
        <v>16716</v>
      </c>
      <c r="I3228" s="346"/>
      <c r="J3228" s="39">
        <v>115061</v>
      </c>
      <c r="K3228" s="36" t="str">
        <f>CONCATENATE(Cover!$D$6,"fdd/view?i=",J3228)</f>
        <v>https://www.dgiwg.org/FAD/fdd/view?i=115061</v>
      </c>
      <c r="L3228" s="36" t="s">
        <v>28226</v>
      </c>
      <c r="M3228" s="186"/>
      <c r="N3228" s="186"/>
      <c r="O3228" s="13" t="s">
        <v>16793</v>
      </c>
    </row>
    <row r="3229" spans="1:15" ht="25.5" x14ac:dyDescent="0.2">
      <c r="A3229" s="197" t="str">
        <f t="shared" si="50"/>
        <v>DtcCode_chan105Z</v>
      </c>
      <c r="B3229" s="409"/>
      <c r="C3229" s="416"/>
      <c r="D3229" s="198" t="s">
        <v>16799</v>
      </c>
      <c r="E3229" s="198">
        <v>296</v>
      </c>
      <c r="F3229" s="199" t="s">
        <v>16800</v>
      </c>
      <c r="G3229" s="1" t="s">
        <v>28227</v>
      </c>
      <c r="H3229" s="1" t="s">
        <v>16716</v>
      </c>
      <c r="I3229" s="346"/>
      <c r="J3229" s="39">
        <v>115062</v>
      </c>
      <c r="K3229" s="36" t="str">
        <f>CONCATENATE(Cover!$D$6,"fdd/view?i=",J3229)</f>
        <v>https://www.dgiwg.org/FAD/fdd/view?i=115062</v>
      </c>
      <c r="L3229" s="36" t="s">
        <v>28228</v>
      </c>
      <c r="M3229" s="186"/>
      <c r="N3229" s="186"/>
      <c r="O3229" s="13" t="s">
        <v>16798</v>
      </c>
    </row>
    <row r="3230" spans="1:15" ht="25.5" x14ac:dyDescent="0.2">
      <c r="A3230" s="197" t="str">
        <f t="shared" si="50"/>
        <v>DtcCode_chan106X</v>
      </c>
      <c r="B3230" s="409"/>
      <c r="C3230" s="416"/>
      <c r="D3230" s="198" t="s">
        <v>16804</v>
      </c>
      <c r="E3230" s="198">
        <v>297</v>
      </c>
      <c r="F3230" s="199" t="s">
        <v>16805</v>
      </c>
      <c r="G3230" s="1" t="s">
        <v>28229</v>
      </c>
      <c r="H3230" s="1" t="s">
        <v>16716</v>
      </c>
      <c r="I3230" s="346"/>
      <c r="J3230" s="39">
        <v>115063</v>
      </c>
      <c r="K3230" s="36" t="str">
        <f>CONCATENATE(Cover!$D$6,"fdd/view?i=",J3230)</f>
        <v>https://www.dgiwg.org/FAD/fdd/view?i=115063</v>
      </c>
      <c r="L3230" s="36" t="s">
        <v>28230</v>
      </c>
      <c r="M3230" s="186"/>
      <c r="N3230" s="186"/>
      <c r="O3230" s="13" t="s">
        <v>16803</v>
      </c>
    </row>
    <row r="3231" spans="1:15" ht="25.5" x14ac:dyDescent="0.2">
      <c r="A3231" s="197" t="str">
        <f t="shared" si="50"/>
        <v>DtcCode_chan106Y</v>
      </c>
      <c r="B3231" s="409"/>
      <c r="C3231" s="416"/>
      <c r="D3231" s="198" t="s">
        <v>16809</v>
      </c>
      <c r="E3231" s="198">
        <v>298</v>
      </c>
      <c r="F3231" s="199" t="s">
        <v>16810</v>
      </c>
      <c r="G3231" s="1" t="s">
        <v>28231</v>
      </c>
      <c r="H3231" s="1" t="s">
        <v>16716</v>
      </c>
      <c r="I3231" s="346"/>
      <c r="J3231" s="39">
        <v>115064</v>
      </c>
      <c r="K3231" s="36" t="str">
        <f>CONCATENATE(Cover!$D$6,"fdd/view?i=",J3231)</f>
        <v>https://www.dgiwg.org/FAD/fdd/view?i=115064</v>
      </c>
      <c r="L3231" s="36" t="s">
        <v>28232</v>
      </c>
      <c r="M3231" s="186"/>
      <c r="N3231" s="186"/>
      <c r="O3231" s="13" t="s">
        <v>16808</v>
      </c>
    </row>
    <row r="3232" spans="1:15" ht="25.5" x14ac:dyDescent="0.2">
      <c r="A3232" s="197" t="str">
        <f t="shared" si="50"/>
        <v>DtcCode_chan106Z</v>
      </c>
      <c r="B3232" s="409"/>
      <c r="C3232" s="416"/>
      <c r="D3232" s="198" t="s">
        <v>16814</v>
      </c>
      <c r="E3232" s="198">
        <v>299</v>
      </c>
      <c r="F3232" s="199" t="s">
        <v>16815</v>
      </c>
      <c r="G3232" s="1" t="s">
        <v>28233</v>
      </c>
      <c r="H3232" s="1" t="s">
        <v>16716</v>
      </c>
      <c r="I3232" s="346"/>
      <c r="J3232" s="39">
        <v>115065</v>
      </c>
      <c r="K3232" s="36" t="str">
        <f>CONCATENATE(Cover!$D$6,"fdd/view?i=",J3232)</f>
        <v>https://www.dgiwg.org/FAD/fdd/view?i=115065</v>
      </c>
      <c r="L3232" s="36" t="s">
        <v>28234</v>
      </c>
      <c r="M3232" s="186"/>
      <c r="N3232" s="186"/>
      <c r="O3232" s="13" t="s">
        <v>16813</v>
      </c>
    </row>
    <row r="3233" spans="1:15" ht="25.5" x14ac:dyDescent="0.2">
      <c r="A3233" s="197" t="str">
        <f t="shared" si="50"/>
        <v>DtcCode_chan107X</v>
      </c>
      <c r="B3233" s="409"/>
      <c r="C3233" s="416"/>
      <c r="D3233" s="198" t="s">
        <v>16819</v>
      </c>
      <c r="E3233" s="198">
        <v>300</v>
      </c>
      <c r="F3233" s="199" t="s">
        <v>16820</v>
      </c>
      <c r="G3233" s="1" t="s">
        <v>28235</v>
      </c>
      <c r="H3233" s="1" t="s">
        <v>16716</v>
      </c>
      <c r="I3233" s="346"/>
      <c r="J3233" s="39">
        <v>115066</v>
      </c>
      <c r="K3233" s="36" t="str">
        <f>CONCATENATE(Cover!$D$6,"fdd/view?i=",J3233)</f>
        <v>https://www.dgiwg.org/FAD/fdd/view?i=115066</v>
      </c>
      <c r="L3233" s="36" t="s">
        <v>28236</v>
      </c>
      <c r="M3233" s="186"/>
      <c r="N3233" s="186"/>
      <c r="O3233" s="13" t="s">
        <v>16818</v>
      </c>
    </row>
    <row r="3234" spans="1:15" ht="25.5" x14ac:dyDescent="0.2">
      <c r="A3234" s="197" t="str">
        <f t="shared" si="50"/>
        <v>DtcCode_chan107Y</v>
      </c>
      <c r="B3234" s="409"/>
      <c r="C3234" s="416"/>
      <c r="D3234" s="198" t="s">
        <v>16824</v>
      </c>
      <c r="E3234" s="198">
        <v>301</v>
      </c>
      <c r="F3234" s="199" t="s">
        <v>16825</v>
      </c>
      <c r="G3234" s="1" t="s">
        <v>28237</v>
      </c>
      <c r="H3234" s="1" t="s">
        <v>16716</v>
      </c>
      <c r="I3234" s="346"/>
      <c r="J3234" s="39">
        <v>115067</v>
      </c>
      <c r="K3234" s="36" t="str">
        <f>CONCATENATE(Cover!$D$6,"fdd/view?i=",J3234)</f>
        <v>https://www.dgiwg.org/FAD/fdd/view?i=115067</v>
      </c>
      <c r="L3234" s="36" t="s">
        <v>28238</v>
      </c>
      <c r="M3234" s="186"/>
      <c r="N3234" s="186"/>
      <c r="O3234" s="13" t="s">
        <v>16823</v>
      </c>
    </row>
    <row r="3235" spans="1:15" ht="25.5" x14ac:dyDescent="0.2">
      <c r="A3235" s="197" t="str">
        <f t="shared" si="50"/>
        <v>DtcCode_chan107Z</v>
      </c>
      <c r="B3235" s="409"/>
      <c r="C3235" s="416"/>
      <c r="D3235" s="198" t="s">
        <v>16829</v>
      </c>
      <c r="E3235" s="198">
        <v>302</v>
      </c>
      <c r="F3235" s="199" t="s">
        <v>16830</v>
      </c>
      <c r="G3235" s="1" t="s">
        <v>28239</v>
      </c>
      <c r="H3235" s="1" t="s">
        <v>16716</v>
      </c>
      <c r="I3235" s="346"/>
      <c r="J3235" s="39">
        <v>115068</v>
      </c>
      <c r="K3235" s="36" t="str">
        <f>CONCATENATE(Cover!$D$6,"fdd/view?i=",J3235)</f>
        <v>https://www.dgiwg.org/FAD/fdd/view?i=115068</v>
      </c>
      <c r="L3235" s="36" t="s">
        <v>28240</v>
      </c>
      <c r="M3235" s="186"/>
      <c r="N3235" s="186"/>
      <c r="O3235" s="13" t="s">
        <v>16828</v>
      </c>
    </row>
    <row r="3236" spans="1:15" ht="25.5" x14ac:dyDescent="0.2">
      <c r="A3236" s="197" t="str">
        <f t="shared" si="50"/>
        <v>DtcCode_chan108X</v>
      </c>
      <c r="B3236" s="409"/>
      <c r="C3236" s="416"/>
      <c r="D3236" s="198" t="s">
        <v>16834</v>
      </c>
      <c r="E3236" s="198">
        <v>303</v>
      </c>
      <c r="F3236" s="199" t="s">
        <v>16835</v>
      </c>
      <c r="G3236" s="1" t="s">
        <v>28241</v>
      </c>
      <c r="H3236" s="1" t="s">
        <v>16716</v>
      </c>
      <c r="I3236" s="346"/>
      <c r="J3236" s="39">
        <v>115069</v>
      </c>
      <c r="K3236" s="36" t="str">
        <f>CONCATENATE(Cover!$D$6,"fdd/view?i=",J3236)</f>
        <v>https://www.dgiwg.org/FAD/fdd/view?i=115069</v>
      </c>
      <c r="L3236" s="36" t="s">
        <v>28242</v>
      </c>
      <c r="M3236" s="186"/>
      <c r="N3236" s="186"/>
      <c r="O3236" s="13" t="s">
        <v>16833</v>
      </c>
    </row>
    <row r="3237" spans="1:15" ht="25.5" x14ac:dyDescent="0.2">
      <c r="A3237" s="197" t="str">
        <f t="shared" si="50"/>
        <v>DtcCode_chan108Y</v>
      </c>
      <c r="B3237" s="409"/>
      <c r="C3237" s="416"/>
      <c r="D3237" s="198" t="s">
        <v>16839</v>
      </c>
      <c r="E3237" s="198">
        <v>304</v>
      </c>
      <c r="F3237" s="199" t="s">
        <v>16840</v>
      </c>
      <c r="G3237" s="1" t="s">
        <v>28243</v>
      </c>
      <c r="H3237" s="1" t="s">
        <v>16716</v>
      </c>
      <c r="I3237" s="346"/>
      <c r="J3237" s="39">
        <v>115070</v>
      </c>
      <c r="K3237" s="36" t="str">
        <f>CONCATENATE(Cover!$D$6,"fdd/view?i=",J3237)</f>
        <v>https://www.dgiwg.org/FAD/fdd/view?i=115070</v>
      </c>
      <c r="L3237" s="36" t="s">
        <v>28244</v>
      </c>
      <c r="M3237" s="186"/>
      <c r="N3237" s="186"/>
      <c r="O3237" s="13" t="s">
        <v>16838</v>
      </c>
    </row>
    <row r="3238" spans="1:15" ht="25.5" x14ac:dyDescent="0.2">
      <c r="A3238" s="197" t="str">
        <f t="shared" si="50"/>
        <v>DtcCode_chan108Z</v>
      </c>
      <c r="B3238" s="409"/>
      <c r="C3238" s="416"/>
      <c r="D3238" s="198" t="s">
        <v>16844</v>
      </c>
      <c r="E3238" s="198">
        <v>305</v>
      </c>
      <c r="F3238" s="199" t="s">
        <v>16845</v>
      </c>
      <c r="G3238" s="1" t="s">
        <v>28245</v>
      </c>
      <c r="H3238" s="1" t="s">
        <v>16716</v>
      </c>
      <c r="I3238" s="346"/>
      <c r="J3238" s="39">
        <v>115071</v>
      </c>
      <c r="K3238" s="36" t="str">
        <f>CONCATENATE(Cover!$D$6,"fdd/view?i=",J3238)</f>
        <v>https://www.dgiwg.org/FAD/fdd/view?i=115071</v>
      </c>
      <c r="L3238" s="36" t="s">
        <v>28246</v>
      </c>
      <c r="M3238" s="186"/>
      <c r="N3238" s="186"/>
      <c r="O3238" s="13" t="s">
        <v>16843</v>
      </c>
    </row>
    <row r="3239" spans="1:15" ht="25.5" x14ac:dyDescent="0.2">
      <c r="A3239" s="197" t="str">
        <f t="shared" si="50"/>
        <v>DtcCode_chan109X</v>
      </c>
      <c r="B3239" s="409"/>
      <c r="C3239" s="416"/>
      <c r="D3239" s="198" t="s">
        <v>16849</v>
      </c>
      <c r="E3239" s="198">
        <v>306</v>
      </c>
      <c r="F3239" s="199" t="s">
        <v>16850</v>
      </c>
      <c r="G3239" s="1" t="s">
        <v>28247</v>
      </c>
      <c r="H3239" s="1" t="s">
        <v>16716</v>
      </c>
      <c r="I3239" s="346"/>
      <c r="J3239" s="39">
        <v>115072</v>
      </c>
      <c r="K3239" s="36" t="str">
        <f>CONCATENATE(Cover!$D$6,"fdd/view?i=",J3239)</f>
        <v>https://www.dgiwg.org/FAD/fdd/view?i=115072</v>
      </c>
      <c r="L3239" s="36" t="s">
        <v>28248</v>
      </c>
      <c r="M3239" s="186"/>
      <c r="N3239" s="186"/>
      <c r="O3239" s="13" t="s">
        <v>16848</v>
      </c>
    </row>
    <row r="3240" spans="1:15" ht="25.5" x14ac:dyDescent="0.2">
      <c r="A3240" s="197" t="str">
        <f t="shared" si="50"/>
        <v>DtcCode_chan109Y</v>
      </c>
      <c r="B3240" s="409"/>
      <c r="C3240" s="416"/>
      <c r="D3240" s="198" t="s">
        <v>16854</v>
      </c>
      <c r="E3240" s="198">
        <v>307</v>
      </c>
      <c r="F3240" s="199" t="s">
        <v>16855</v>
      </c>
      <c r="G3240" s="1" t="s">
        <v>28249</v>
      </c>
      <c r="H3240" s="1" t="s">
        <v>16716</v>
      </c>
      <c r="I3240" s="346"/>
      <c r="J3240" s="39">
        <v>115073</v>
      </c>
      <c r="K3240" s="36" t="str">
        <f>CONCATENATE(Cover!$D$6,"fdd/view?i=",J3240)</f>
        <v>https://www.dgiwg.org/FAD/fdd/view?i=115073</v>
      </c>
      <c r="L3240" s="36" t="s">
        <v>28250</v>
      </c>
      <c r="M3240" s="186"/>
      <c r="N3240" s="186"/>
      <c r="O3240" s="13" t="s">
        <v>16853</v>
      </c>
    </row>
    <row r="3241" spans="1:15" ht="25.5" x14ac:dyDescent="0.2">
      <c r="A3241" s="197" t="str">
        <f t="shared" si="50"/>
        <v>DtcCode_chan109Z</v>
      </c>
      <c r="B3241" s="409"/>
      <c r="C3241" s="416"/>
      <c r="D3241" s="198" t="s">
        <v>16859</v>
      </c>
      <c r="E3241" s="198">
        <v>308</v>
      </c>
      <c r="F3241" s="199" t="s">
        <v>16860</v>
      </c>
      <c r="G3241" s="1" t="s">
        <v>28251</v>
      </c>
      <c r="H3241" s="1" t="s">
        <v>16716</v>
      </c>
      <c r="I3241" s="346"/>
      <c r="J3241" s="39">
        <v>115074</v>
      </c>
      <c r="K3241" s="36" t="str">
        <f>CONCATENATE(Cover!$D$6,"fdd/view?i=",J3241)</f>
        <v>https://www.dgiwg.org/FAD/fdd/view?i=115074</v>
      </c>
      <c r="L3241" s="36" t="s">
        <v>28252</v>
      </c>
      <c r="M3241" s="186"/>
      <c r="N3241" s="186"/>
      <c r="O3241" s="13" t="s">
        <v>16858</v>
      </c>
    </row>
    <row r="3242" spans="1:15" ht="25.5" x14ac:dyDescent="0.2">
      <c r="A3242" s="197" t="str">
        <f t="shared" si="50"/>
        <v>DtcCode_chan110X</v>
      </c>
      <c r="B3242" s="409"/>
      <c r="C3242" s="416"/>
      <c r="D3242" s="198" t="s">
        <v>16874</v>
      </c>
      <c r="E3242" s="198">
        <v>309</v>
      </c>
      <c r="F3242" s="199" t="s">
        <v>16875</v>
      </c>
      <c r="G3242" s="1" t="s">
        <v>28257</v>
      </c>
      <c r="H3242" s="1" t="s">
        <v>16716</v>
      </c>
      <c r="I3242" s="346"/>
      <c r="J3242" s="39">
        <v>115075</v>
      </c>
      <c r="K3242" s="36" t="str">
        <f>CONCATENATE(Cover!$D$6,"fdd/view?i=",J3242)</f>
        <v>https://www.dgiwg.org/FAD/fdd/view?i=115075</v>
      </c>
      <c r="L3242" s="36" t="s">
        <v>28258</v>
      </c>
      <c r="M3242" s="186"/>
      <c r="N3242" s="186"/>
      <c r="O3242" s="13" t="s">
        <v>16873</v>
      </c>
    </row>
    <row r="3243" spans="1:15" ht="25.5" x14ac:dyDescent="0.2">
      <c r="A3243" s="197" t="str">
        <f t="shared" si="50"/>
        <v>DtcCode_chan110Y</v>
      </c>
      <c r="B3243" s="409"/>
      <c r="C3243" s="416"/>
      <c r="D3243" s="198" t="s">
        <v>16879</v>
      </c>
      <c r="E3243" s="198">
        <v>310</v>
      </c>
      <c r="F3243" s="199" t="s">
        <v>16880</v>
      </c>
      <c r="G3243" s="1" t="s">
        <v>28259</v>
      </c>
      <c r="H3243" s="1" t="s">
        <v>16716</v>
      </c>
      <c r="I3243" s="346"/>
      <c r="J3243" s="39">
        <v>115076</v>
      </c>
      <c r="K3243" s="36" t="str">
        <f>CONCATENATE(Cover!$D$6,"fdd/view?i=",J3243)</f>
        <v>https://www.dgiwg.org/FAD/fdd/view?i=115076</v>
      </c>
      <c r="L3243" s="36" t="s">
        <v>28260</v>
      </c>
      <c r="M3243" s="186"/>
      <c r="N3243" s="186"/>
      <c r="O3243" s="13" t="s">
        <v>16878</v>
      </c>
    </row>
    <row r="3244" spans="1:15" ht="25.5" x14ac:dyDescent="0.2">
      <c r="A3244" s="197" t="str">
        <f t="shared" si="50"/>
        <v>DtcCode_chan110Z</v>
      </c>
      <c r="B3244" s="409"/>
      <c r="C3244" s="416"/>
      <c r="D3244" s="198" t="s">
        <v>16884</v>
      </c>
      <c r="E3244" s="198">
        <v>311</v>
      </c>
      <c r="F3244" s="199" t="s">
        <v>16885</v>
      </c>
      <c r="G3244" s="1" t="s">
        <v>28261</v>
      </c>
      <c r="H3244" s="1" t="s">
        <v>16716</v>
      </c>
      <c r="I3244" s="346"/>
      <c r="J3244" s="39">
        <v>115077</v>
      </c>
      <c r="K3244" s="36" t="str">
        <f>CONCATENATE(Cover!$D$6,"fdd/view?i=",J3244)</f>
        <v>https://www.dgiwg.org/FAD/fdd/view?i=115077</v>
      </c>
      <c r="L3244" s="36" t="s">
        <v>28262</v>
      </c>
      <c r="M3244" s="186"/>
      <c r="N3244" s="186"/>
      <c r="O3244" s="13" t="s">
        <v>16883</v>
      </c>
    </row>
    <row r="3245" spans="1:15" ht="25.5" x14ac:dyDescent="0.2">
      <c r="A3245" s="197" t="str">
        <f t="shared" si="50"/>
        <v>DtcCode_chan111X</v>
      </c>
      <c r="B3245" s="409"/>
      <c r="C3245" s="416"/>
      <c r="D3245" s="198" t="s">
        <v>16889</v>
      </c>
      <c r="E3245" s="198">
        <v>312</v>
      </c>
      <c r="F3245" s="199" t="s">
        <v>16890</v>
      </c>
      <c r="G3245" s="1" t="s">
        <v>28263</v>
      </c>
      <c r="H3245" s="1" t="s">
        <v>16716</v>
      </c>
      <c r="I3245" s="346"/>
      <c r="J3245" s="39">
        <v>115078</v>
      </c>
      <c r="K3245" s="36" t="str">
        <f>CONCATENATE(Cover!$D$6,"fdd/view?i=",J3245)</f>
        <v>https://www.dgiwg.org/FAD/fdd/view?i=115078</v>
      </c>
      <c r="L3245" s="36" t="s">
        <v>28264</v>
      </c>
      <c r="M3245" s="186"/>
      <c r="N3245" s="186"/>
      <c r="O3245" s="13" t="s">
        <v>16888</v>
      </c>
    </row>
    <row r="3246" spans="1:15" ht="25.5" x14ac:dyDescent="0.2">
      <c r="A3246" s="197" t="str">
        <f t="shared" si="50"/>
        <v>DtcCode_chan111Y</v>
      </c>
      <c r="B3246" s="409"/>
      <c r="C3246" s="416"/>
      <c r="D3246" s="198" t="s">
        <v>16894</v>
      </c>
      <c r="E3246" s="198">
        <v>313</v>
      </c>
      <c r="F3246" s="199" t="s">
        <v>16895</v>
      </c>
      <c r="G3246" s="1" t="s">
        <v>28265</v>
      </c>
      <c r="H3246" s="1" t="s">
        <v>16716</v>
      </c>
      <c r="I3246" s="346"/>
      <c r="J3246" s="39">
        <v>115079</v>
      </c>
      <c r="K3246" s="36" t="str">
        <f>CONCATENATE(Cover!$D$6,"fdd/view?i=",J3246)</f>
        <v>https://www.dgiwg.org/FAD/fdd/view?i=115079</v>
      </c>
      <c r="L3246" s="36" t="s">
        <v>28266</v>
      </c>
      <c r="M3246" s="186"/>
      <c r="N3246" s="186"/>
      <c r="O3246" s="13" t="s">
        <v>16893</v>
      </c>
    </row>
    <row r="3247" spans="1:15" ht="25.5" x14ac:dyDescent="0.2">
      <c r="A3247" s="197" t="str">
        <f t="shared" si="50"/>
        <v>DtcCode_chan111Z</v>
      </c>
      <c r="B3247" s="409"/>
      <c r="C3247" s="416"/>
      <c r="D3247" s="198" t="s">
        <v>16899</v>
      </c>
      <c r="E3247" s="198">
        <v>314</v>
      </c>
      <c r="F3247" s="199" t="s">
        <v>16900</v>
      </c>
      <c r="G3247" s="1" t="s">
        <v>28267</v>
      </c>
      <c r="H3247" s="1" t="s">
        <v>16716</v>
      </c>
      <c r="I3247" s="346"/>
      <c r="J3247" s="39">
        <v>115080</v>
      </c>
      <c r="K3247" s="36" t="str">
        <f>CONCATENATE(Cover!$D$6,"fdd/view?i=",J3247)</f>
        <v>https://www.dgiwg.org/FAD/fdd/view?i=115080</v>
      </c>
      <c r="L3247" s="36" t="s">
        <v>28268</v>
      </c>
      <c r="M3247" s="186"/>
      <c r="N3247" s="186"/>
      <c r="O3247" s="13" t="s">
        <v>16898</v>
      </c>
    </row>
    <row r="3248" spans="1:15" ht="25.5" x14ac:dyDescent="0.2">
      <c r="A3248" s="197" t="str">
        <f t="shared" si="50"/>
        <v>DtcCode_chan112X</v>
      </c>
      <c r="B3248" s="409"/>
      <c r="C3248" s="416"/>
      <c r="D3248" s="198" t="s">
        <v>16904</v>
      </c>
      <c r="E3248" s="198">
        <v>315</v>
      </c>
      <c r="F3248" s="199" t="s">
        <v>16905</v>
      </c>
      <c r="G3248" s="1" t="s">
        <v>28269</v>
      </c>
      <c r="H3248" s="1" t="s">
        <v>16716</v>
      </c>
      <c r="I3248" s="346"/>
      <c r="J3248" s="39">
        <v>115081</v>
      </c>
      <c r="K3248" s="36" t="str">
        <f>CONCATENATE(Cover!$D$6,"fdd/view?i=",J3248)</f>
        <v>https://www.dgiwg.org/FAD/fdd/view?i=115081</v>
      </c>
      <c r="L3248" s="36" t="s">
        <v>28270</v>
      </c>
      <c r="M3248" s="186"/>
      <c r="N3248" s="186"/>
      <c r="O3248" s="13" t="s">
        <v>16903</v>
      </c>
    </row>
    <row r="3249" spans="1:15" ht="25.5" x14ac:dyDescent="0.2">
      <c r="A3249" s="197" t="str">
        <f t="shared" si="50"/>
        <v>DtcCode_chan112Y</v>
      </c>
      <c r="B3249" s="409"/>
      <c r="C3249" s="416"/>
      <c r="D3249" s="198" t="s">
        <v>16909</v>
      </c>
      <c r="E3249" s="198">
        <v>316</v>
      </c>
      <c r="F3249" s="199" t="s">
        <v>16910</v>
      </c>
      <c r="G3249" s="1" t="s">
        <v>28271</v>
      </c>
      <c r="H3249" s="1" t="s">
        <v>16716</v>
      </c>
      <c r="I3249" s="346"/>
      <c r="J3249" s="39">
        <v>115082</v>
      </c>
      <c r="K3249" s="36" t="str">
        <f>CONCATENATE(Cover!$D$6,"fdd/view?i=",J3249)</f>
        <v>https://www.dgiwg.org/FAD/fdd/view?i=115082</v>
      </c>
      <c r="L3249" s="36" t="s">
        <v>28272</v>
      </c>
      <c r="M3249" s="186"/>
      <c r="N3249" s="186"/>
      <c r="O3249" s="13" t="s">
        <v>16908</v>
      </c>
    </row>
    <row r="3250" spans="1:15" ht="25.5" x14ac:dyDescent="0.2">
      <c r="A3250" s="197" t="str">
        <f t="shared" si="50"/>
        <v>DtcCode_chan112Z</v>
      </c>
      <c r="B3250" s="409"/>
      <c r="C3250" s="416"/>
      <c r="D3250" s="198" t="s">
        <v>16914</v>
      </c>
      <c r="E3250" s="198">
        <v>317</v>
      </c>
      <c r="F3250" s="199" t="s">
        <v>16915</v>
      </c>
      <c r="G3250" s="1" t="s">
        <v>28273</v>
      </c>
      <c r="H3250" s="1" t="s">
        <v>16716</v>
      </c>
      <c r="I3250" s="346"/>
      <c r="J3250" s="39">
        <v>115083</v>
      </c>
      <c r="K3250" s="36" t="str">
        <f>CONCATENATE(Cover!$D$6,"fdd/view?i=",J3250)</f>
        <v>https://www.dgiwg.org/FAD/fdd/view?i=115083</v>
      </c>
      <c r="L3250" s="36" t="s">
        <v>28274</v>
      </c>
      <c r="M3250" s="186"/>
      <c r="N3250" s="186"/>
      <c r="O3250" s="13" t="s">
        <v>16913</v>
      </c>
    </row>
    <row r="3251" spans="1:15" ht="25.5" x14ac:dyDescent="0.2">
      <c r="A3251" s="197" t="str">
        <f t="shared" si="50"/>
        <v>DtcCode_chan113X</v>
      </c>
      <c r="B3251" s="409"/>
      <c r="C3251" s="416"/>
      <c r="D3251" s="198" t="s">
        <v>16919</v>
      </c>
      <c r="E3251" s="198">
        <v>318</v>
      </c>
      <c r="F3251" s="199" t="s">
        <v>16920</v>
      </c>
      <c r="G3251" s="1" t="s">
        <v>28275</v>
      </c>
      <c r="H3251" s="1" t="s">
        <v>16716</v>
      </c>
      <c r="I3251" s="346"/>
      <c r="J3251" s="39">
        <v>115084</v>
      </c>
      <c r="K3251" s="36" t="str">
        <f>CONCATENATE(Cover!$D$6,"fdd/view?i=",J3251)</f>
        <v>https://www.dgiwg.org/FAD/fdd/view?i=115084</v>
      </c>
      <c r="L3251" s="36" t="s">
        <v>28276</v>
      </c>
      <c r="M3251" s="186"/>
      <c r="N3251" s="186"/>
      <c r="O3251" s="13" t="s">
        <v>16918</v>
      </c>
    </row>
    <row r="3252" spans="1:15" ht="25.5" x14ac:dyDescent="0.2">
      <c r="A3252" s="197" t="str">
        <f t="shared" si="50"/>
        <v>DtcCode_chan113Y</v>
      </c>
      <c r="B3252" s="409"/>
      <c r="C3252" s="416"/>
      <c r="D3252" s="198" t="s">
        <v>16924</v>
      </c>
      <c r="E3252" s="198">
        <v>319</v>
      </c>
      <c r="F3252" s="199" t="s">
        <v>16925</v>
      </c>
      <c r="G3252" s="1" t="s">
        <v>28277</v>
      </c>
      <c r="H3252" s="1" t="s">
        <v>16716</v>
      </c>
      <c r="I3252" s="346"/>
      <c r="J3252" s="39">
        <v>115085</v>
      </c>
      <c r="K3252" s="36" t="str">
        <f>CONCATENATE(Cover!$D$6,"fdd/view?i=",J3252)</f>
        <v>https://www.dgiwg.org/FAD/fdd/view?i=115085</v>
      </c>
      <c r="L3252" s="36" t="s">
        <v>28278</v>
      </c>
      <c r="M3252" s="186"/>
      <c r="N3252" s="186"/>
      <c r="O3252" s="13" t="s">
        <v>16923</v>
      </c>
    </row>
    <row r="3253" spans="1:15" ht="25.5" x14ac:dyDescent="0.2">
      <c r="A3253" s="197" t="str">
        <f t="shared" si="50"/>
        <v>DtcCode_chan113Z</v>
      </c>
      <c r="B3253" s="409"/>
      <c r="C3253" s="416"/>
      <c r="D3253" s="198" t="s">
        <v>16929</v>
      </c>
      <c r="E3253" s="198">
        <v>320</v>
      </c>
      <c r="F3253" s="199" t="s">
        <v>16930</v>
      </c>
      <c r="G3253" s="1" t="s">
        <v>28279</v>
      </c>
      <c r="H3253" s="1" t="s">
        <v>16716</v>
      </c>
      <c r="I3253" s="346"/>
      <c r="J3253" s="39">
        <v>115086</v>
      </c>
      <c r="K3253" s="36" t="str">
        <f>CONCATENATE(Cover!$D$6,"fdd/view?i=",J3253)</f>
        <v>https://www.dgiwg.org/FAD/fdd/view?i=115086</v>
      </c>
      <c r="L3253" s="36" t="s">
        <v>28280</v>
      </c>
      <c r="M3253" s="186"/>
      <c r="N3253" s="186"/>
      <c r="O3253" s="13" t="s">
        <v>16928</v>
      </c>
    </row>
    <row r="3254" spans="1:15" ht="25.5" x14ac:dyDescent="0.2">
      <c r="A3254" s="197" t="str">
        <f t="shared" si="50"/>
        <v>DtcCode_chan114X</v>
      </c>
      <c r="B3254" s="409"/>
      <c r="C3254" s="416"/>
      <c r="D3254" s="198" t="s">
        <v>16934</v>
      </c>
      <c r="E3254" s="198">
        <v>321</v>
      </c>
      <c r="F3254" s="199" t="s">
        <v>16935</v>
      </c>
      <c r="G3254" s="1" t="s">
        <v>28281</v>
      </c>
      <c r="H3254" s="1" t="s">
        <v>16716</v>
      </c>
      <c r="I3254" s="346"/>
      <c r="J3254" s="39">
        <v>115087</v>
      </c>
      <c r="K3254" s="36" t="str">
        <f>CONCATENATE(Cover!$D$6,"fdd/view?i=",J3254)</f>
        <v>https://www.dgiwg.org/FAD/fdd/view?i=115087</v>
      </c>
      <c r="L3254" s="36" t="s">
        <v>28282</v>
      </c>
      <c r="M3254" s="186"/>
      <c r="N3254" s="186"/>
      <c r="O3254" s="13" t="s">
        <v>16933</v>
      </c>
    </row>
    <row r="3255" spans="1:15" ht="25.5" x14ac:dyDescent="0.2">
      <c r="A3255" s="197" t="str">
        <f t="shared" si="50"/>
        <v>DtcCode_chan114Y</v>
      </c>
      <c r="B3255" s="409"/>
      <c r="C3255" s="416"/>
      <c r="D3255" s="198" t="s">
        <v>16939</v>
      </c>
      <c r="E3255" s="198">
        <v>322</v>
      </c>
      <c r="F3255" s="199" t="s">
        <v>16940</v>
      </c>
      <c r="G3255" s="1" t="s">
        <v>28283</v>
      </c>
      <c r="H3255" s="1" t="s">
        <v>16716</v>
      </c>
      <c r="I3255" s="346"/>
      <c r="J3255" s="39">
        <v>115088</v>
      </c>
      <c r="K3255" s="36" t="str">
        <f>CONCATENATE(Cover!$D$6,"fdd/view?i=",J3255)</f>
        <v>https://www.dgiwg.org/FAD/fdd/view?i=115088</v>
      </c>
      <c r="L3255" s="36" t="s">
        <v>28284</v>
      </c>
      <c r="M3255" s="186"/>
      <c r="N3255" s="186"/>
      <c r="O3255" s="13" t="s">
        <v>16938</v>
      </c>
    </row>
    <row r="3256" spans="1:15" ht="25.5" x14ac:dyDescent="0.2">
      <c r="A3256" s="197" t="str">
        <f t="shared" si="50"/>
        <v>DtcCode_chan114Z</v>
      </c>
      <c r="B3256" s="409"/>
      <c r="C3256" s="416"/>
      <c r="D3256" s="198" t="s">
        <v>16944</v>
      </c>
      <c r="E3256" s="198">
        <v>323</v>
      </c>
      <c r="F3256" s="199" t="s">
        <v>16945</v>
      </c>
      <c r="G3256" s="1" t="s">
        <v>28285</v>
      </c>
      <c r="H3256" s="1" t="s">
        <v>16716</v>
      </c>
      <c r="I3256" s="346"/>
      <c r="J3256" s="39">
        <v>115089</v>
      </c>
      <c r="K3256" s="36" t="str">
        <f>CONCATENATE(Cover!$D$6,"fdd/view?i=",J3256)</f>
        <v>https://www.dgiwg.org/FAD/fdd/view?i=115089</v>
      </c>
      <c r="L3256" s="36" t="s">
        <v>28286</v>
      </c>
      <c r="M3256" s="186"/>
      <c r="N3256" s="186"/>
      <c r="O3256" s="13" t="s">
        <v>16943</v>
      </c>
    </row>
    <row r="3257" spans="1:15" ht="25.5" x14ac:dyDescent="0.2">
      <c r="A3257" s="197" t="str">
        <f t="shared" si="50"/>
        <v>DtcCode_chan115X</v>
      </c>
      <c r="B3257" s="409"/>
      <c r="C3257" s="416"/>
      <c r="D3257" s="198" t="s">
        <v>16949</v>
      </c>
      <c r="E3257" s="198">
        <v>324</v>
      </c>
      <c r="F3257" s="199" t="s">
        <v>16950</v>
      </c>
      <c r="G3257" s="1" t="s">
        <v>28287</v>
      </c>
      <c r="H3257" s="1" t="s">
        <v>16716</v>
      </c>
      <c r="I3257" s="346"/>
      <c r="J3257" s="39">
        <v>115090</v>
      </c>
      <c r="K3257" s="36" t="str">
        <f>CONCATENATE(Cover!$D$6,"fdd/view?i=",J3257)</f>
        <v>https://www.dgiwg.org/FAD/fdd/view?i=115090</v>
      </c>
      <c r="L3257" s="36" t="s">
        <v>28288</v>
      </c>
      <c r="M3257" s="186"/>
      <c r="N3257" s="186"/>
      <c r="O3257" s="13" t="s">
        <v>16948</v>
      </c>
    </row>
    <row r="3258" spans="1:15" ht="25.5" x14ac:dyDescent="0.2">
      <c r="A3258" s="197" t="str">
        <f t="shared" si="50"/>
        <v>DtcCode_chan115Y</v>
      </c>
      <c r="B3258" s="409"/>
      <c r="C3258" s="416"/>
      <c r="D3258" s="198" t="s">
        <v>16954</v>
      </c>
      <c r="E3258" s="198">
        <v>325</v>
      </c>
      <c r="F3258" s="199" t="s">
        <v>16955</v>
      </c>
      <c r="G3258" s="1" t="s">
        <v>28289</v>
      </c>
      <c r="H3258" s="1" t="s">
        <v>16716</v>
      </c>
      <c r="I3258" s="346"/>
      <c r="J3258" s="39">
        <v>115091</v>
      </c>
      <c r="K3258" s="36" t="str">
        <f>CONCATENATE(Cover!$D$6,"fdd/view?i=",J3258)</f>
        <v>https://www.dgiwg.org/FAD/fdd/view?i=115091</v>
      </c>
      <c r="L3258" s="36" t="s">
        <v>28290</v>
      </c>
      <c r="M3258" s="186"/>
      <c r="N3258" s="186"/>
      <c r="O3258" s="13" t="s">
        <v>16953</v>
      </c>
    </row>
    <row r="3259" spans="1:15" ht="25.5" x14ac:dyDescent="0.2">
      <c r="A3259" s="197" t="str">
        <f t="shared" si="50"/>
        <v>DtcCode_chan115Z</v>
      </c>
      <c r="B3259" s="409"/>
      <c r="C3259" s="416"/>
      <c r="D3259" s="198" t="s">
        <v>16959</v>
      </c>
      <c r="E3259" s="198">
        <v>326</v>
      </c>
      <c r="F3259" s="199" t="s">
        <v>16960</v>
      </c>
      <c r="G3259" s="1" t="s">
        <v>28291</v>
      </c>
      <c r="H3259" s="1" t="s">
        <v>16716</v>
      </c>
      <c r="I3259" s="346"/>
      <c r="J3259" s="39">
        <v>115092</v>
      </c>
      <c r="K3259" s="36" t="str">
        <f>CONCATENATE(Cover!$D$6,"fdd/view?i=",J3259)</f>
        <v>https://www.dgiwg.org/FAD/fdd/view?i=115092</v>
      </c>
      <c r="L3259" s="36" t="s">
        <v>28292</v>
      </c>
      <c r="M3259" s="186"/>
      <c r="N3259" s="186"/>
      <c r="O3259" s="13" t="s">
        <v>16958</v>
      </c>
    </row>
    <row r="3260" spans="1:15" ht="25.5" x14ac:dyDescent="0.2">
      <c r="A3260" s="197" t="str">
        <f t="shared" si="50"/>
        <v>DtcCode_chan116X</v>
      </c>
      <c r="B3260" s="409"/>
      <c r="C3260" s="416"/>
      <c r="D3260" s="198" t="s">
        <v>16964</v>
      </c>
      <c r="E3260" s="198">
        <v>327</v>
      </c>
      <c r="F3260" s="199" t="s">
        <v>16965</v>
      </c>
      <c r="G3260" s="1" t="s">
        <v>28293</v>
      </c>
      <c r="H3260" s="1" t="s">
        <v>16716</v>
      </c>
      <c r="I3260" s="346"/>
      <c r="J3260" s="39">
        <v>115093</v>
      </c>
      <c r="K3260" s="36" t="str">
        <f>CONCATENATE(Cover!$D$6,"fdd/view?i=",J3260)</f>
        <v>https://www.dgiwg.org/FAD/fdd/view?i=115093</v>
      </c>
      <c r="L3260" s="36" t="s">
        <v>28294</v>
      </c>
      <c r="M3260" s="186"/>
      <c r="N3260" s="186"/>
      <c r="O3260" s="13" t="s">
        <v>16963</v>
      </c>
    </row>
    <row r="3261" spans="1:15" ht="25.5" x14ac:dyDescent="0.2">
      <c r="A3261" s="197" t="str">
        <f t="shared" si="50"/>
        <v>DtcCode_chan116Y</v>
      </c>
      <c r="B3261" s="409"/>
      <c r="C3261" s="416"/>
      <c r="D3261" s="198" t="s">
        <v>16969</v>
      </c>
      <c r="E3261" s="198">
        <v>328</v>
      </c>
      <c r="F3261" s="199" t="s">
        <v>16970</v>
      </c>
      <c r="G3261" s="1" t="s">
        <v>28295</v>
      </c>
      <c r="H3261" s="1" t="s">
        <v>16716</v>
      </c>
      <c r="I3261" s="346"/>
      <c r="J3261" s="39">
        <v>115094</v>
      </c>
      <c r="K3261" s="36" t="str">
        <f>CONCATENATE(Cover!$D$6,"fdd/view?i=",J3261)</f>
        <v>https://www.dgiwg.org/FAD/fdd/view?i=115094</v>
      </c>
      <c r="L3261" s="36" t="s">
        <v>28296</v>
      </c>
      <c r="M3261" s="186"/>
      <c r="N3261" s="186"/>
      <c r="O3261" s="13" t="s">
        <v>16968</v>
      </c>
    </row>
    <row r="3262" spans="1:15" ht="25.5" x14ac:dyDescent="0.2">
      <c r="A3262" s="197" t="str">
        <f t="shared" si="50"/>
        <v>DtcCode_chan116Z</v>
      </c>
      <c r="B3262" s="409"/>
      <c r="C3262" s="416"/>
      <c r="D3262" s="198" t="s">
        <v>16974</v>
      </c>
      <c r="E3262" s="198">
        <v>329</v>
      </c>
      <c r="F3262" s="199" t="s">
        <v>16975</v>
      </c>
      <c r="G3262" s="1" t="s">
        <v>28297</v>
      </c>
      <c r="H3262" s="1" t="s">
        <v>16716</v>
      </c>
      <c r="I3262" s="346"/>
      <c r="J3262" s="39">
        <v>115095</v>
      </c>
      <c r="K3262" s="36" t="str">
        <f>CONCATENATE(Cover!$D$6,"fdd/view?i=",J3262)</f>
        <v>https://www.dgiwg.org/FAD/fdd/view?i=115095</v>
      </c>
      <c r="L3262" s="36" t="s">
        <v>28298</v>
      </c>
      <c r="M3262" s="186"/>
      <c r="N3262" s="186"/>
      <c r="O3262" s="13" t="s">
        <v>16973</v>
      </c>
    </row>
    <row r="3263" spans="1:15" ht="25.5" x14ac:dyDescent="0.2">
      <c r="A3263" s="197" t="str">
        <f t="shared" si="50"/>
        <v>DtcCode_chan117X</v>
      </c>
      <c r="B3263" s="409"/>
      <c r="C3263" s="416"/>
      <c r="D3263" s="198" t="s">
        <v>16979</v>
      </c>
      <c r="E3263" s="198">
        <v>330</v>
      </c>
      <c r="F3263" s="199" t="s">
        <v>16980</v>
      </c>
      <c r="G3263" s="1" t="s">
        <v>28299</v>
      </c>
      <c r="H3263" s="1" t="s">
        <v>16716</v>
      </c>
      <c r="I3263" s="346"/>
      <c r="J3263" s="39">
        <v>115096</v>
      </c>
      <c r="K3263" s="36" t="str">
        <f>CONCATENATE(Cover!$D$6,"fdd/view?i=",J3263)</f>
        <v>https://www.dgiwg.org/FAD/fdd/view?i=115096</v>
      </c>
      <c r="L3263" s="36" t="s">
        <v>28300</v>
      </c>
      <c r="M3263" s="186"/>
      <c r="N3263" s="186"/>
      <c r="O3263" s="13" t="s">
        <v>16978</v>
      </c>
    </row>
    <row r="3264" spans="1:15" ht="25.5" x14ac:dyDescent="0.2">
      <c r="A3264" s="197" t="str">
        <f t="shared" si="50"/>
        <v>DtcCode_chan117Y</v>
      </c>
      <c r="B3264" s="409"/>
      <c r="C3264" s="416"/>
      <c r="D3264" s="198" t="s">
        <v>16984</v>
      </c>
      <c r="E3264" s="198">
        <v>331</v>
      </c>
      <c r="F3264" s="199" t="s">
        <v>16985</v>
      </c>
      <c r="G3264" s="1" t="s">
        <v>28301</v>
      </c>
      <c r="H3264" s="1" t="s">
        <v>16716</v>
      </c>
      <c r="I3264" s="346"/>
      <c r="J3264" s="39">
        <v>115097</v>
      </c>
      <c r="K3264" s="36" t="str">
        <f>CONCATENATE(Cover!$D$6,"fdd/view?i=",J3264)</f>
        <v>https://www.dgiwg.org/FAD/fdd/view?i=115097</v>
      </c>
      <c r="L3264" s="36" t="s">
        <v>28302</v>
      </c>
      <c r="M3264" s="186"/>
      <c r="N3264" s="186"/>
      <c r="O3264" s="13" t="s">
        <v>16983</v>
      </c>
    </row>
    <row r="3265" spans="1:15" ht="25.5" x14ac:dyDescent="0.2">
      <c r="A3265" s="197" t="str">
        <f t="shared" si="50"/>
        <v>DtcCode_chan117Z</v>
      </c>
      <c r="B3265" s="409"/>
      <c r="C3265" s="416"/>
      <c r="D3265" s="198" t="s">
        <v>16989</v>
      </c>
      <c r="E3265" s="198">
        <v>332</v>
      </c>
      <c r="F3265" s="199" t="s">
        <v>16990</v>
      </c>
      <c r="G3265" s="1" t="s">
        <v>28303</v>
      </c>
      <c r="H3265" s="1" t="s">
        <v>16716</v>
      </c>
      <c r="I3265" s="346"/>
      <c r="J3265" s="39">
        <v>115098</v>
      </c>
      <c r="K3265" s="36" t="str">
        <f>CONCATENATE(Cover!$D$6,"fdd/view?i=",J3265)</f>
        <v>https://www.dgiwg.org/FAD/fdd/view?i=115098</v>
      </c>
      <c r="L3265" s="36" t="s">
        <v>28304</v>
      </c>
      <c r="M3265" s="186"/>
      <c r="N3265" s="186"/>
      <c r="O3265" s="13" t="s">
        <v>16988</v>
      </c>
    </row>
    <row r="3266" spans="1:15" ht="25.5" x14ac:dyDescent="0.2">
      <c r="A3266" s="197" t="str">
        <f t="shared" ref="A3266:A3329" si="51">HYPERLINK(K3266,L3266)</f>
        <v>DtcCode_chan118X</v>
      </c>
      <c r="B3266" s="409"/>
      <c r="C3266" s="416"/>
      <c r="D3266" s="198" t="s">
        <v>16994</v>
      </c>
      <c r="E3266" s="198">
        <v>333</v>
      </c>
      <c r="F3266" s="199" t="s">
        <v>16995</v>
      </c>
      <c r="G3266" s="1" t="s">
        <v>28305</v>
      </c>
      <c r="H3266" s="1" t="s">
        <v>16716</v>
      </c>
      <c r="I3266" s="346"/>
      <c r="J3266" s="39">
        <v>115099</v>
      </c>
      <c r="K3266" s="36" t="str">
        <f>CONCATENATE(Cover!$D$6,"fdd/view?i=",J3266)</f>
        <v>https://www.dgiwg.org/FAD/fdd/view?i=115099</v>
      </c>
      <c r="L3266" s="36" t="s">
        <v>28306</v>
      </c>
      <c r="M3266" s="186"/>
      <c r="N3266" s="186"/>
      <c r="O3266" s="13" t="s">
        <v>16993</v>
      </c>
    </row>
    <row r="3267" spans="1:15" ht="25.5" x14ac:dyDescent="0.2">
      <c r="A3267" s="197" t="str">
        <f t="shared" si="51"/>
        <v>DtcCode_chan118Y</v>
      </c>
      <c r="B3267" s="409"/>
      <c r="C3267" s="416"/>
      <c r="D3267" s="198" t="s">
        <v>16999</v>
      </c>
      <c r="E3267" s="198">
        <v>334</v>
      </c>
      <c r="F3267" s="199" t="s">
        <v>17000</v>
      </c>
      <c r="G3267" s="1" t="s">
        <v>28307</v>
      </c>
      <c r="H3267" s="1" t="s">
        <v>16716</v>
      </c>
      <c r="I3267" s="346"/>
      <c r="J3267" s="39">
        <v>115100</v>
      </c>
      <c r="K3267" s="36" t="str">
        <f>CONCATENATE(Cover!$D$6,"fdd/view?i=",J3267)</f>
        <v>https://www.dgiwg.org/FAD/fdd/view?i=115100</v>
      </c>
      <c r="L3267" s="36" t="s">
        <v>28308</v>
      </c>
      <c r="M3267" s="186"/>
      <c r="N3267" s="186"/>
      <c r="O3267" s="13" t="s">
        <v>16998</v>
      </c>
    </row>
    <row r="3268" spans="1:15" ht="25.5" x14ac:dyDescent="0.2">
      <c r="A3268" s="197" t="str">
        <f t="shared" si="51"/>
        <v>DtcCode_chan118Z</v>
      </c>
      <c r="B3268" s="409"/>
      <c r="C3268" s="416"/>
      <c r="D3268" s="198" t="s">
        <v>17004</v>
      </c>
      <c r="E3268" s="198">
        <v>335</v>
      </c>
      <c r="F3268" s="199" t="s">
        <v>17005</v>
      </c>
      <c r="G3268" s="1" t="s">
        <v>28309</v>
      </c>
      <c r="H3268" s="1" t="s">
        <v>16716</v>
      </c>
      <c r="I3268" s="346"/>
      <c r="J3268" s="39">
        <v>115101</v>
      </c>
      <c r="K3268" s="36" t="str">
        <f>CONCATENATE(Cover!$D$6,"fdd/view?i=",J3268)</f>
        <v>https://www.dgiwg.org/FAD/fdd/view?i=115101</v>
      </c>
      <c r="L3268" s="36" t="s">
        <v>28310</v>
      </c>
      <c r="M3268" s="186"/>
      <c r="N3268" s="186"/>
      <c r="O3268" s="13" t="s">
        <v>17003</v>
      </c>
    </row>
    <row r="3269" spans="1:15" ht="25.5" x14ac:dyDescent="0.2">
      <c r="A3269" s="197" t="str">
        <f t="shared" si="51"/>
        <v>DtcCode_chan119X</v>
      </c>
      <c r="B3269" s="409"/>
      <c r="C3269" s="416"/>
      <c r="D3269" s="198" t="s">
        <v>17009</v>
      </c>
      <c r="E3269" s="198">
        <v>336</v>
      </c>
      <c r="F3269" s="199" t="s">
        <v>17010</v>
      </c>
      <c r="G3269" s="1" t="s">
        <v>28311</v>
      </c>
      <c r="H3269" s="1" t="s">
        <v>16716</v>
      </c>
      <c r="I3269" s="346"/>
      <c r="J3269" s="39">
        <v>115102</v>
      </c>
      <c r="K3269" s="36" t="str">
        <f>CONCATENATE(Cover!$D$6,"fdd/view?i=",J3269)</f>
        <v>https://www.dgiwg.org/FAD/fdd/view?i=115102</v>
      </c>
      <c r="L3269" s="36" t="s">
        <v>28312</v>
      </c>
      <c r="M3269" s="186"/>
      <c r="N3269" s="186"/>
      <c r="O3269" s="13" t="s">
        <v>17008</v>
      </c>
    </row>
    <row r="3270" spans="1:15" ht="25.5" x14ac:dyDescent="0.2">
      <c r="A3270" s="197" t="str">
        <f t="shared" si="51"/>
        <v>DtcCode_chan119Y</v>
      </c>
      <c r="B3270" s="409"/>
      <c r="C3270" s="416"/>
      <c r="D3270" s="198" t="s">
        <v>17014</v>
      </c>
      <c r="E3270" s="198">
        <v>337</v>
      </c>
      <c r="F3270" s="199" t="s">
        <v>17015</v>
      </c>
      <c r="G3270" s="1" t="s">
        <v>28313</v>
      </c>
      <c r="H3270" s="1" t="s">
        <v>16716</v>
      </c>
      <c r="I3270" s="346"/>
      <c r="J3270" s="39">
        <v>115103</v>
      </c>
      <c r="K3270" s="36" t="str">
        <f>CONCATENATE(Cover!$D$6,"fdd/view?i=",J3270)</f>
        <v>https://www.dgiwg.org/FAD/fdd/view?i=115103</v>
      </c>
      <c r="L3270" s="36" t="s">
        <v>28314</v>
      </c>
      <c r="M3270" s="186"/>
      <c r="N3270" s="186"/>
      <c r="O3270" s="13" t="s">
        <v>17013</v>
      </c>
    </row>
    <row r="3271" spans="1:15" ht="25.5" x14ac:dyDescent="0.2">
      <c r="A3271" s="197" t="str">
        <f t="shared" si="51"/>
        <v>DtcCode_chan119Z</v>
      </c>
      <c r="B3271" s="409"/>
      <c r="C3271" s="416"/>
      <c r="D3271" s="198" t="s">
        <v>17019</v>
      </c>
      <c r="E3271" s="198">
        <v>338</v>
      </c>
      <c r="F3271" s="199" t="s">
        <v>17020</v>
      </c>
      <c r="G3271" s="1" t="s">
        <v>28315</v>
      </c>
      <c r="H3271" s="1" t="s">
        <v>16716</v>
      </c>
      <c r="I3271" s="346"/>
      <c r="J3271" s="39">
        <v>115104</v>
      </c>
      <c r="K3271" s="36" t="str">
        <f>CONCATENATE(Cover!$D$6,"fdd/view?i=",J3271)</f>
        <v>https://www.dgiwg.org/FAD/fdd/view?i=115104</v>
      </c>
      <c r="L3271" s="36" t="s">
        <v>28316</v>
      </c>
      <c r="M3271" s="186"/>
      <c r="N3271" s="186"/>
      <c r="O3271" s="13" t="s">
        <v>17018</v>
      </c>
    </row>
    <row r="3272" spans="1:15" ht="25.5" x14ac:dyDescent="0.2">
      <c r="A3272" s="197" t="str">
        <f t="shared" si="51"/>
        <v>DtcCode_chan120X</v>
      </c>
      <c r="B3272" s="409"/>
      <c r="C3272" s="416"/>
      <c r="D3272" s="198" t="s">
        <v>17034</v>
      </c>
      <c r="E3272" s="198">
        <v>339</v>
      </c>
      <c r="F3272" s="199" t="s">
        <v>17035</v>
      </c>
      <c r="G3272" s="1" t="s">
        <v>28321</v>
      </c>
      <c r="H3272" s="1" t="s">
        <v>16716</v>
      </c>
      <c r="I3272" s="346"/>
      <c r="J3272" s="39">
        <v>115105</v>
      </c>
      <c r="K3272" s="36" t="str">
        <f>CONCATENATE(Cover!$D$6,"fdd/view?i=",J3272)</f>
        <v>https://www.dgiwg.org/FAD/fdd/view?i=115105</v>
      </c>
      <c r="L3272" s="36" t="s">
        <v>28322</v>
      </c>
      <c r="M3272" s="186"/>
      <c r="N3272" s="186"/>
      <c r="O3272" s="13" t="s">
        <v>17033</v>
      </c>
    </row>
    <row r="3273" spans="1:15" ht="25.5" x14ac:dyDescent="0.2">
      <c r="A3273" s="197" t="str">
        <f t="shared" si="51"/>
        <v>DtcCode_chan120Y</v>
      </c>
      <c r="B3273" s="409"/>
      <c r="C3273" s="416"/>
      <c r="D3273" s="198" t="s">
        <v>17039</v>
      </c>
      <c r="E3273" s="198">
        <v>340</v>
      </c>
      <c r="F3273" s="199" t="s">
        <v>17040</v>
      </c>
      <c r="G3273" s="1" t="s">
        <v>28323</v>
      </c>
      <c r="H3273" s="1" t="s">
        <v>16716</v>
      </c>
      <c r="I3273" s="346"/>
      <c r="J3273" s="39">
        <v>115106</v>
      </c>
      <c r="K3273" s="36" t="str">
        <f>CONCATENATE(Cover!$D$6,"fdd/view?i=",J3273)</f>
        <v>https://www.dgiwg.org/FAD/fdd/view?i=115106</v>
      </c>
      <c r="L3273" s="36" t="s">
        <v>28324</v>
      </c>
      <c r="M3273" s="186"/>
      <c r="N3273" s="186"/>
      <c r="O3273" s="13" t="s">
        <v>17038</v>
      </c>
    </row>
    <row r="3274" spans="1:15" ht="25.5" x14ac:dyDescent="0.2">
      <c r="A3274" s="197" t="str">
        <f t="shared" si="51"/>
        <v>DtcCode_chan121X</v>
      </c>
      <c r="B3274" s="409"/>
      <c r="C3274" s="416"/>
      <c r="D3274" s="198" t="s">
        <v>17044</v>
      </c>
      <c r="E3274" s="198">
        <v>341</v>
      </c>
      <c r="F3274" s="199" t="s">
        <v>17045</v>
      </c>
      <c r="G3274" s="1" t="s">
        <v>28325</v>
      </c>
      <c r="H3274" s="1" t="s">
        <v>16716</v>
      </c>
      <c r="I3274" s="346"/>
      <c r="J3274" s="39">
        <v>115107</v>
      </c>
      <c r="K3274" s="36" t="str">
        <f>CONCATENATE(Cover!$D$6,"fdd/view?i=",J3274)</f>
        <v>https://www.dgiwg.org/FAD/fdd/view?i=115107</v>
      </c>
      <c r="L3274" s="36" t="s">
        <v>28326</v>
      </c>
      <c r="M3274" s="186"/>
      <c r="N3274" s="186"/>
      <c r="O3274" s="13" t="s">
        <v>17043</v>
      </c>
    </row>
    <row r="3275" spans="1:15" ht="25.5" x14ac:dyDescent="0.2">
      <c r="A3275" s="197" t="str">
        <f t="shared" si="51"/>
        <v>DtcCode_chan121Y</v>
      </c>
      <c r="B3275" s="409"/>
      <c r="C3275" s="416"/>
      <c r="D3275" s="198" t="s">
        <v>17049</v>
      </c>
      <c r="E3275" s="198">
        <v>342</v>
      </c>
      <c r="F3275" s="199" t="s">
        <v>17050</v>
      </c>
      <c r="G3275" s="1" t="s">
        <v>28327</v>
      </c>
      <c r="H3275" s="1" t="s">
        <v>16716</v>
      </c>
      <c r="I3275" s="346"/>
      <c r="J3275" s="39">
        <v>115108</v>
      </c>
      <c r="K3275" s="36" t="str">
        <f>CONCATENATE(Cover!$D$6,"fdd/view?i=",J3275)</f>
        <v>https://www.dgiwg.org/FAD/fdd/view?i=115108</v>
      </c>
      <c r="L3275" s="36" t="s">
        <v>28328</v>
      </c>
      <c r="M3275" s="186"/>
      <c r="N3275" s="186"/>
      <c r="O3275" s="13" t="s">
        <v>17048</v>
      </c>
    </row>
    <row r="3276" spans="1:15" ht="25.5" x14ac:dyDescent="0.2">
      <c r="A3276" s="197" t="str">
        <f t="shared" si="51"/>
        <v>DtcCode_chan122X</v>
      </c>
      <c r="B3276" s="409"/>
      <c r="C3276" s="416"/>
      <c r="D3276" s="198" t="s">
        <v>17054</v>
      </c>
      <c r="E3276" s="198">
        <v>343</v>
      </c>
      <c r="F3276" s="199" t="s">
        <v>17055</v>
      </c>
      <c r="G3276" s="1" t="s">
        <v>28329</v>
      </c>
      <c r="H3276" s="1" t="s">
        <v>16716</v>
      </c>
      <c r="I3276" s="346"/>
      <c r="J3276" s="39">
        <v>115109</v>
      </c>
      <c r="K3276" s="36" t="str">
        <f>CONCATENATE(Cover!$D$6,"fdd/view?i=",J3276)</f>
        <v>https://www.dgiwg.org/FAD/fdd/view?i=115109</v>
      </c>
      <c r="L3276" s="36" t="s">
        <v>28330</v>
      </c>
      <c r="M3276" s="186"/>
      <c r="N3276" s="186"/>
      <c r="O3276" s="13" t="s">
        <v>17053</v>
      </c>
    </row>
    <row r="3277" spans="1:15" ht="25.5" x14ac:dyDescent="0.2">
      <c r="A3277" s="197" t="str">
        <f t="shared" si="51"/>
        <v>DtcCode_chan122Y</v>
      </c>
      <c r="B3277" s="409"/>
      <c r="C3277" s="416"/>
      <c r="D3277" s="198" t="s">
        <v>17059</v>
      </c>
      <c r="E3277" s="198">
        <v>344</v>
      </c>
      <c r="F3277" s="199" t="s">
        <v>17060</v>
      </c>
      <c r="G3277" s="1" t="s">
        <v>28331</v>
      </c>
      <c r="H3277" s="1" t="s">
        <v>16716</v>
      </c>
      <c r="I3277" s="346"/>
      <c r="J3277" s="39">
        <v>115110</v>
      </c>
      <c r="K3277" s="36" t="str">
        <f>CONCATENATE(Cover!$D$6,"fdd/view?i=",J3277)</f>
        <v>https://www.dgiwg.org/FAD/fdd/view?i=115110</v>
      </c>
      <c r="L3277" s="36" t="s">
        <v>28332</v>
      </c>
      <c r="M3277" s="186"/>
      <c r="N3277" s="186"/>
      <c r="O3277" s="13" t="s">
        <v>17058</v>
      </c>
    </row>
    <row r="3278" spans="1:15" ht="25.5" x14ac:dyDescent="0.2">
      <c r="A3278" s="197" t="str">
        <f t="shared" si="51"/>
        <v>DtcCode_chan123X</v>
      </c>
      <c r="B3278" s="409"/>
      <c r="C3278" s="416"/>
      <c r="D3278" s="198" t="s">
        <v>17064</v>
      </c>
      <c r="E3278" s="198">
        <v>345</v>
      </c>
      <c r="F3278" s="199" t="s">
        <v>17065</v>
      </c>
      <c r="G3278" s="1" t="s">
        <v>28333</v>
      </c>
      <c r="H3278" s="1" t="s">
        <v>16716</v>
      </c>
      <c r="I3278" s="346"/>
      <c r="J3278" s="39">
        <v>115111</v>
      </c>
      <c r="K3278" s="36" t="str">
        <f>CONCATENATE(Cover!$D$6,"fdd/view?i=",J3278)</f>
        <v>https://www.dgiwg.org/FAD/fdd/view?i=115111</v>
      </c>
      <c r="L3278" s="36" t="s">
        <v>28334</v>
      </c>
      <c r="M3278" s="186"/>
      <c r="N3278" s="186"/>
      <c r="O3278" s="13" t="s">
        <v>17063</v>
      </c>
    </row>
    <row r="3279" spans="1:15" ht="25.5" x14ac:dyDescent="0.2">
      <c r="A3279" s="197" t="str">
        <f t="shared" si="51"/>
        <v>DtcCode_chan123Y</v>
      </c>
      <c r="B3279" s="409"/>
      <c r="C3279" s="416"/>
      <c r="D3279" s="198" t="s">
        <v>17069</v>
      </c>
      <c r="E3279" s="198">
        <v>346</v>
      </c>
      <c r="F3279" s="199" t="s">
        <v>17070</v>
      </c>
      <c r="G3279" s="1" t="s">
        <v>28335</v>
      </c>
      <c r="H3279" s="1" t="s">
        <v>16716</v>
      </c>
      <c r="I3279" s="346"/>
      <c r="J3279" s="39">
        <v>115112</v>
      </c>
      <c r="K3279" s="36" t="str">
        <f>CONCATENATE(Cover!$D$6,"fdd/view?i=",J3279)</f>
        <v>https://www.dgiwg.org/FAD/fdd/view?i=115112</v>
      </c>
      <c r="L3279" s="36" t="s">
        <v>28336</v>
      </c>
      <c r="M3279" s="186"/>
      <c r="N3279" s="186"/>
      <c r="O3279" s="13" t="s">
        <v>17068</v>
      </c>
    </row>
    <row r="3280" spans="1:15" ht="25.5" x14ac:dyDescent="0.2">
      <c r="A3280" s="197" t="str">
        <f t="shared" si="51"/>
        <v>DtcCode_chan124X</v>
      </c>
      <c r="B3280" s="409"/>
      <c r="C3280" s="416"/>
      <c r="D3280" s="198" t="s">
        <v>17074</v>
      </c>
      <c r="E3280" s="198">
        <v>347</v>
      </c>
      <c r="F3280" s="199" t="s">
        <v>17075</v>
      </c>
      <c r="G3280" s="1" t="s">
        <v>28337</v>
      </c>
      <c r="H3280" s="1" t="s">
        <v>16716</v>
      </c>
      <c r="I3280" s="346"/>
      <c r="J3280" s="39">
        <v>115113</v>
      </c>
      <c r="K3280" s="36" t="str">
        <f>CONCATENATE(Cover!$D$6,"fdd/view?i=",J3280)</f>
        <v>https://www.dgiwg.org/FAD/fdd/view?i=115113</v>
      </c>
      <c r="L3280" s="36" t="s">
        <v>28338</v>
      </c>
      <c r="M3280" s="186"/>
      <c r="N3280" s="186"/>
      <c r="O3280" s="13" t="s">
        <v>17073</v>
      </c>
    </row>
    <row r="3281" spans="1:15" ht="25.5" x14ac:dyDescent="0.2">
      <c r="A3281" s="197" t="str">
        <f t="shared" si="51"/>
        <v>DtcCode_chan124Y</v>
      </c>
      <c r="B3281" s="409"/>
      <c r="C3281" s="416"/>
      <c r="D3281" s="198" t="s">
        <v>17079</v>
      </c>
      <c r="E3281" s="198">
        <v>348</v>
      </c>
      <c r="F3281" s="199" t="s">
        <v>17080</v>
      </c>
      <c r="G3281" s="1" t="s">
        <v>28339</v>
      </c>
      <c r="H3281" s="1" t="s">
        <v>16716</v>
      </c>
      <c r="I3281" s="346"/>
      <c r="J3281" s="39">
        <v>115114</v>
      </c>
      <c r="K3281" s="36" t="str">
        <f>CONCATENATE(Cover!$D$6,"fdd/view?i=",J3281)</f>
        <v>https://www.dgiwg.org/FAD/fdd/view?i=115114</v>
      </c>
      <c r="L3281" s="36" t="s">
        <v>28340</v>
      </c>
      <c r="M3281" s="186"/>
      <c r="N3281" s="186"/>
      <c r="O3281" s="13" t="s">
        <v>17078</v>
      </c>
    </row>
    <row r="3282" spans="1:15" ht="25.5" x14ac:dyDescent="0.2">
      <c r="A3282" s="197" t="str">
        <f t="shared" si="51"/>
        <v>DtcCode_chan125X</v>
      </c>
      <c r="B3282" s="409"/>
      <c r="C3282" s="416"/>
      <c r="D3282" s="198" t="s">
        <v>17084</v>
      </c>
      <c r="E3282" s="198">
        <v>349</v>
      </c>
      <c r="F3282" s="199" t="s">
        <v>17085</v>
      </c>
      <c r="G3282" s="1" t="s">
        <v>28341</v>
      </c>
      <c r="H3282" s="1" t="s">
        <v>16716</v>
      </c>
      <c r="I3282" s="346"/>
      <c r="J3282" s="39">
        <v>115115</v>
      </c>
      <c r="K3282" s="36" t="str">
        <f>CONCATENATE(Cover!$D$6,"fdd/view?i=",J3282)</f>
        <v>https://www.dgiwg.org/FAD/fdd/view?i=115115</v>
      </c>
      <c r="L3282" s="36" t="s">
        <v>28342</v>
      </c>
      <c r="M3282" s="186"/>
      <c r="N3282" s="186"/>
      <c r="O3282" s="13" t="s">
        <v>17083</v>
      </c>
    </row>
    <row r="3283" spans="1:15" ht="25.5" x14ac:dyDescent="0.2">
      <c r="A3283" s="197" t="str">
        <f t="shared" si="51"/>
        <v>DtcCode_chan125Y</v>
      </c>
      <c r="B3283" s="409"/>
      <c r="C3283" s="416"/>
      <c r="D3283" s="198" t="s">
        <v>17089</v>
      </c>
      <c r="E3283" s="198">
        <v>350</v>
      </c>
      <c r="F3283" s="199" t="s">
        <v>17090</v>
      </c>
      <c r="G3283" s="1" t="s">
        <v>28343</v>
      </c>
      <c r="H3283" s="1" t="s">
        <v>16716</v>
      </c>
      <c r="I3283" s="346"/>
      <c r="J3283" s="39">
        <v>115116</v>
      </c>
      <c r="K3283" s="36" t="str">
        <f>CONCATENATE(Cover!$D$6,"fdd/view?i=",J3283)</f>
        <v>https://www.dgiwg.org/FAD/fdd/view?i=115116</v>
      </c>
      <c r="L3283" s="36" t="s">
        <v>28344</v>
      </c>
      <c r="M3283" s="186"/>
      <c r="N3283" s="186"/>
      <c r="O3283" s="13" t="s">
        <v>17088</v>
      </c>
    </row>
    <row r="3284" spans="1:15" ht="25.5" x14ac:dyDescent="0.2">
      <c r="A3284" s="197" t="str">
        <f t="shared" si="51"/>
        <v>DtcCode_chan126X</v>
      </c>
      <c r="B3284" s="409"/>
      <c r="C3284" s="416"/>
      <c r="D3284" s="198" t="s">
        <v>17094</v>
      </c>
      <c r="E3284" s="198">
        <v>351</v>
      </c>
      <c r="F3284" s="199" t="s">
        <v>17095</v>
      </c>
      <c r="G3284" s="1" t="s">
        <v>28345</v>
      </c>
      <c r="H3284" s="1" t="s">
        <v>16716</v>
      </c>
      <c r="I3284" s="346"/>
      <c r="J3284" s="39">
        <v>115117</v>
      </c>
      <c r="K3284" s="36" t="str">
        <f>CONCATENATE(Cover!$D$6,"fdd/view?i=",J3284)</f>
        <v>https://www.dgiwg.org/FAD/fdd/view?i=115117</v>
      </c>
      <c r="L3284" s="36" t="s">
        <v>28346</v>
      </c>
      <c r="M3284" s="186"/>
      <c r="N3284" s="186"/>
      <c r="O3284" s="13" t="s">
        <v>17093</v>
      </c>
    </row>
    <row r="3285" spans="1:15" ht="25.5" x14ac:dyDescent="0.2">
      <c r="A3285" s="203" t="str">
        <f t="shared" si="51"/>
        <v>DtcCode_chan126Y</v>
      </c>
      <c r="B3285" s="410"/>
      <c r="C3285" s="417"/>
      <c r="D3285" s="204" t="s">
        <v>17099</v>
      </c>
      <c r="E3285" s="204">
        <v>352</v>
      </c>
      <c r="F3285" s="205" t="s">
        <v>17100</v>
      </c>
      <c r="G3285" s="206" t="s">
        <v>28347</v>
      </c>
      <c r="H3285" s="206" t="s">
        <v>16716</v>
      </c>
      <c r="I3285" s="347"/>
      <c r="J3285" s="39">
        <v>115118</v>
      </c>
      <c r="K3285" s="36" t="str">
        <f>CONCATENATE(Cover!$D$6,"fdd/view?i=",J3285)</f>
        <v>https://www.dgiwg.org/FAD/fdd/view?i=115118</v>
      </c>
      <c r="L3285" s="36" t="s">
        <v>28348</v>
      </c>
      <c r="M3285" s="186"/>
      <c r="N3285" s="186"/>
      <c r="O3285" s="13" t="s">
        <v>17098</v>
      </c>
    </row>
    <row r="3286" spans="1:15" ht="25.5" x14ac:dyDescent="0.2">
      <c r="A3286" s="190" t="str">
        <f t="shared" si="51"/>
        <v>DmxCode_dmeN</v>
      </c>
      <c r="B3286" s="414" t="str">
        <f>HYPERLINK("[#]Datatypes!A462:L462","DmxCode")</f>
        <v>DmxCode</v>
      </c>
      <c r="C3286" s="415" t="s">
        <v>15033</v>
      </c>
      <c r="D3286" s="221" t="s">
        <v>28897</v>
      </c>
      <c r="E3286" s="221">
        <v>1</v>
      </c>
      <c r="F3286" s="222" t="s">
        <v>28898</v>
      </c>
      <c r="G3286" s="223" t="s">
        <v>28899</v>
      </c>
      <c r="H3286" s="224"/>
      <c r="I3286" s="345"/>
      <c r="J3286" s="39">
        <v>115119</v>
      </c>
      <c r="K3286" s="36" t="str">
        <f>CONCATENATE(Cover!$D$6,"fdd/view?i=",J3286)</f>
        <v>https://www.dgiwg.org/FAD/fdd/view?i=115119</v>
      </c>
      <c r="L3286" s="36" t="s">
        <v>28900</v>
      </c>
      <c r="M3286" s="186"/>
      <c r="N3286" s="186"/>
      <c r="O3286" s="13" t="s">
        <v>20669</v>
      </c>
    </row>
    <row r="3287" spans="1:15" ht="25.5" x14ac:dyDescent="0.2">
      <c r="A3287" s="197" t="str">
        <f t="shared" si="51"/>
        <v>DmxCode_dmeP</v>
      </c>
      <c r="B3287" s="409"/>
      <c r="C3287" s="416"/>
      <c r="D3287" s="198" t="s">
        <v>28901</v>
      </c>
      <c r="E3287" s="198">
        <v>2</v>
      </c>
      <c r="F3287" s="199" t="s">
        <v>28902</v>
      </c>
      <c r="G3287" s="1" t="s">
        <v>28903</v>
      </c>
      <c r="H3287" s="200"/>
      <c r="I3287" s="346"/>
      <c r="J3287" s="39">
        <v>115120</v>
      </c>
      <c r="K3287" s="36" t="str">
        <f>CONCATENATE(Cover!$D$6,"fdd/view?i=",J3287)</f>
        <v>https://www.dgiwg.org/FAD/fdd/view?i=115120</v>
      </c>
      <c r="L3287" s="36" t="s">
        <v>28904</v>
      </c>
      <c r="M3287" s="186"/>
      <c r="N3287" s="186"/>
      <c r="O3287" s="13" t="s">
        <v>21656</v>
      </c>
    </row>
    <row r="3288" spans="1:15" ht="25.5" x14ac:dyDescent="0.2">
      <c r="A3288" s="203" t="str">
        <f t="shared" si="51"/>
        <v>DmxCode_dmeW</v>
      </c>
      <c r="B3288" s="410"/>
      <c r="C3288" s="417"/>
      <c r="D3288" s="204" t="s">
        <v>28905</v>
      </c>
      <c r="E3288" s="204">
        <v>3</v>
      </c>
      <c r="F3288" s="205" t="s">
        <v>28906</v>
      </c>
      <c r="G3288" s="206" t="s">
        <v>28907</v>
      </c>
      <c r="H3288" s="207"/>
      <c r="I3288" s="347"/>
      <c r="J3288" s="39">
        <v>115121</v>
      </c>
      <c r="K3288" s="36" t="str">
        <f>CONCATENATE(Cover!$D$6,"fdd/view?i=",J3288)</f>
        <v>https://www.dgiwg.org/FAD/fdd/view?i=115121</v>
      </c>
      <c r="L3288" s="36" t="s">
        <v>28908</v>
      </c>
      <c r="M3288" s="186"/>
      <c r="N3288" s="186"/>
      <c r="O3288" s="13" t="s">
        <v>21709</v>
      </c>
    </row>
    <row r="3289" spans="1:15" x14ac:dyDescent="0.2">
      <c r="A3289" s="190" t="str">
        <f t="shared" si="51"/>
        <v>DitCode_drainage</v>
      </c>
      <c r="B3289" s="414" t="str">
        <f>HYPERLINK("[#]Datatypes!A464:L464","DitCode")</f>
        <v>DitCode</v>
      </c>
      <c r="C3289" s="415" t="s">
        <v>15035</v>
      </c>
      <c r="D3289" s="221" t="s">
        <v>28909</v>
      </c>
      <c r="E3289" s="221">
        <v>2</v>
      </c>
      <c r="F3289" s="222" t="s">
        <v>28910</v>
      </c>
      <c r="G3289" s="223" t="s">
        <v>28911</v>
      </c>
      <c r="H3289" s="224"/>
      <c r="I3289" s="345"/>
      <c r="J3289" s="39">
        <v>111812</v>
      </c>
      <c r="K3289" s="36" t="str">
        <f>CONCATENATE(Cover!$D$6,"fdd/view?i=",J3289)</f>
        <v>https://www.dgiwg.org/FAD/fdd/view?i=111812</v>
      </c>
      <c r="L3289" s="36" t="s">
        <v>28912</v>
      </c>
      <c r="M3289" s="186"/>
      <c r="N3289" s="186"/>
      <c r="O3289" s="172"/>
    </row>
    <row r="3290" spans="1:15" x14ac:dyDescent="0.2">
      <c r="A3290" s="197" t="str">
        <f t="shared" si="51"/>
        <v>DitCode_irrigation</v>
      </c>
      <c r="B3290" s="409"/>
      <c r="C3290" s="416"/>
      <c r="D3290" s="198" t="s">
        <v>28913</v>
      </c>
      <c r="E3290" s="198">
        <v>1</v>
      </c>
      <c r="F3290" s="199" t="s">
        <v>28914</v>
      </c>
      <c r="G3290" s="1" t="s">
        <v>28915</v>
      </c>
      <c r="H3290" s="200"/>
      <c r="I3290" s="346"/>
      <c r="J3290" s="39">
        <v>111810</v>
      </c>
      <c r="K3290" s="36" t="str">
        <f>CONCATENATE(Cover!$D$6,"fdd/view?i=",J3290)</f>
        <v>https://www.dgiwg.org/FAD/fdd/view?i=111810</v>
      </c>
      <c r="L3290" s="36" t="s">
        <v>28916</v>
      </c>
      <c r="M3290" s="186"/>
      <c r="N3290" s="186"/>
      <c r="O3290" s="172"/>
    </row>
    <row r="3291" spans="1:15" x14ac:dyDescent="0.2">
      <c r="A3291" s="203" t="str">
        <f t="shared" si="51"/>
        <v>DitCode_sewage</v>
      </c>
      <c r="B3291" s="410"/>
      <c r="C3291" s="417"/>
      <c r="D3291" s="204" t="s">
        <v>16566</v>
      </c>
      <c r="E3291" s="204">
        <v>3</v>
      </c>
      <c r="F3291" s="205" t="s">
        <v>16567</v>
      </c>
      <c r="G3291" s="206" t="s">
        <v>28917</v>
      </c>
      <c r="H3291" s="207"/>
      <c r="I3291" s="347"/>
      <c r="J3291" s="39">
        <v>111814</v>
      </c>
      <c r="K3291" s="36" t="str">
        <f>CONCATENATE(Cover!$D$6,"fdd/view?i=",J3291)</f>
        <v>https://www.dgiwg.org/FAD/fdd/view?i=111814</v>
      </c>
      <c r="L3291" s="36" t="s">
        <v>28918</v>
      </c>
      <c r="M3291" s="186"/>
      <c r="N3291" s="186"/>
      <c r="O3291" s="172"/>
    </row>
    <row r="3292" spans="1:15" x14ac:dyDescent="0.2">
      <c r="A3292" s="190" t="str">
        <f t="shared" si="51"/>
        <v>DacCode_commercial</v>
      </c>
      <c r="B3292" s="414" t="str">
        <f>HYPERLINK("[#]Datatypes!A466:L466","DacCode")</f>
        <v>DacCode</v>
      </c>
      <c r="C3292" s="415" t="s">
        <v>15037</v>
      </c>
      <c r="D3292" s="221" t="s">
        <v>28919</v>
      </c>
      <c r="E3292" s="221">
        <v>1</v>
      </c>
      <c r="F3292" s="222" t="s">
        <v>28920</v>
      </c>
      <c r="G3292" s="223" t="s">
        <v>28921</v>
      </c>
      <c r="H3292" s="224"/>
      <c r="I3292" s="345"/>
      <c r="J3292" s="39">
        <v>114544</v>
      </c>
      <c r="K3292" s="36" t="str">
        <f>CONCATENATE(Cover!$D$6,"fdd/view?i=",J3292)</f>
        <v>https://www.dgiwg.org/FAD/fdd/view?i=114544</v>
      </c>
      <c r="L3292" s="36" t="s">
        <v>28922</v>
      </c>
      <c r="M3292" s="186"/>
      <c r="N3292" s="186"/>
      <c r="O3292" s="172"/>
    </row>
    <row r="3293" spans="1:15" x14ac:dyDescent="0.2">
      <c r="A3293" s="197" t="str">
        <f t="shared" si="51"/>
        <v>DacCode_sports</v>
      </c>
      <c r="B3293" s="409"/>
      <c r="C3293" s="416"/>
      <c r="D3293" s="198" t="s">
        <v>28923</v>
      </c>
      <c r="E3293" s="198">
        <v>2</v>
      </c>
      <c r="F3293" s="199" t="s">
        <v>28924</v>
      </c>
      <c r="G3293" s="1" t="s">
        <v>28925</v>
      </c>
      <c r="H3293" s="200"/>
      <c r="I3293" s="346"/>
      <c r="J3293" s="39">
        <v>114545</v>
      </c>
      <c r="K3293" s="36" t="str">
        <f>CONCATENATE(Cover!$D$6,"fdd/view?i=",J3293)</f>
        <v>https://www.dgiwg.org/FAD/fdd/view?i=114545</v>
      </c>
      <c r="L3293" s="36" t="s">
        <v>28926</v>
      </c>
      <c r="M3293" s="186"/>
      <c r="N3293" s="186"/>
      <c r="O3293" s="172"/>
    </row>
    <row r="3294" spans="1:15" x14ac:dyDescent="0.2">
      <c r="A3294" s="203" t="str">
        <f t="shared" si="51"/>
        <v>DacCode_training</v>
      </c>
      <c r="B3294" s="410"/>
      <c r="C3294" s="417"/>
      <c r="D3294" s="204" t="s">
        <v>21453</v>
      </c>
      <c r="E3294" s="204">
        <v>3</v>
      </c>
      <c r="F3294" s="205" t="s">
        <v>21454</v>
      </c>
      <c r="G3294" s="206" t="s">
        <v>28927</v>
      </c>
      <c r="H3294" s="207"/>
      <c r="I3294" s="347"/>
      <c r="J3294" s="39">
        <v>114546</v>
      </c>
      <c r="K3294" s="36" t="str">
        <f>CONCATENATE(Cover!$D$6,"fdd/view?i=",J3294)</f>
        <v>https://www.dgiwg.org/FAD/fdd/view?i=114546</v>
      </c>
      <c r="L3294" s="36" t="s">
        <v>28928</v>
      </c>
      <c r="M3294" s="186"/>
      <c r="N3294" s="186"/>
      <c r="O3294" s="172"/>
    </row>
    <row r="3295" spans="1:15" ht="38.25" x14ac:dyDescent="0.2">
      <c r="A3295" s="190" t="str">
        <f t="shared" si="51"/>
        <v>DtyCode_dryDock</v>
      </c>
      <c r="B3295" s="414" t="str">
        <f>HYPERLINK("[#]Datatypes!A468:L468","DtyCode")</f>
        <v>DtyCode</v>
      </c>
      <c r="C3295" s="415" t="s">
        <v>15039</v>
      </c>
      <c r="D3295" s="221" t="s">
        <v>24227</v>
      </c>
      <c r="E3295" s="221">
        <v>3</v>
      </c>
      <c r="F3295" s="222" t="s">
        <v>2876</v>
      </c>
      <c r="G3295" s="223" t="s">
        <v>28929</v>
      </c>
      <c r="H3295" s="224"/>
      <c r="I3295" s="345"/>
      <c r="J3295" s="39">
        <v>110910</v>
      </c>
      <c r="K3295" s="36" t="str">
        <f>CONCATENATE(Cover!$D$6,"fdd/view?i=",J3295)</f>
        <v>https://www.dgiwg.org/FAD/fdd/view?i=110910</v>
      </c>
      <c r="L3295" s="36" t="s">
        <v>28930</v>
      </c>
      <c r="M3295" s="186"/>
      <c r="N3295" s="186"/>
      <c r="O3295" s="172"/>
    </row>
    <row r="3296" spans="1:15" ht="25.5" x14ac:dyDescent="0.2">
      <c r="A3296" s="197" t="str">
        <f t="shared" si="51"/>
        <v>DtyCode_ungated</v>
      </c>
      <c r="B3296" s="409"/>
      <c r="C3296" s="416"/>
      <c r="D3296" s="198" t="s">
        <v>28931</v>
      </c>
      <c r="E3296" s="198">
        <v>1</v>
      </c>
      <c r="F3296" s="199" t="s">
        <v>28932</v>
      </c>
      <c r="G3296" s="1" t="s">
        <v>28933</v>
      </c>
      <c r="H3296" s="200"/>
      <c r="I3296" s="346"/>
      <c r="J3296" s="39">
        <v>110908</v>
      </c>
      <c r="K3296" s="36" t="str">
        <f>CONCATENATE(Cover!$D$6,"fdd/view?i=",J3296)</f>
        <v>https://www.dgiwg.org/FAD/fdd/view?i=110908</v>
      </c>
      <c r="L3296" s="36" t="s">
        <v>28934</v>
      </c>
      <c r="M3296" s="186"/>
      <c r="N3296" s="186"/>
      <c r="O3296" s="172"/>
    </row>
    <row r="3297" spans="1:15" ht="25.5" x14ac:dyDescent="0.2">
      <c r="A3297" s="203" t="str">
        <f t="shared" si="51"/>
        <v>DtyCode_wetDock</v>
      </c>
      <c r="B3297" s="410"/>
      <c r="C3297" s="417"/>
      <c r="D3297" s="204" t="s">
        <v>28935</v>
      </c>
      <c r="E3297" s="204">
        <v>2</v>
      </c>
      <c r="F3297" s="205" t="s">
        <v>28936</v>
      </c>
      <c r="G3297" s="206" t="s">
        <v>28937</v>
      </c>
      <c r="H3297" s="207"/>
      <c r="I3297" s="347"/>
      <c r="J3297" s="39">
        <v>110909</v>
      </c>
      <c r="K3297" s="36" t="str">
        <f>CONCATENATE(Cover!$D$6,"fdd/view?i=",J3297)</f>
        <v>https://www.dgiwg.org/FAD/fdd/view?i=110909</v>
      </c>
      <c r="L3297" s="36" t="s">
        <v>28938</v>
      </c>
      <c r="M3297" s="186"/>
      <c r="N3297" s="186"/>
      <c r="O3297" s="172"/>
    </row>
    <row r="3298" spans="1:15" ht="25.5" x14ac:dyDescent="0.2">
      <c r="A3298" s="190" t="str">
        <f t="shared" si="51"/>
        <v>DstCode_concreteSteelPlating</v>
      </c>
      <c r="B3298" s="414" t="str">
        <f>HYPERLINK("[#]Datatypes!A470:L470","DstCode")</f>
        <v>DstCode</v>
      </c>
      <c r="C3298" s="415" t="s">
        <v>15041</v>
      </c>
      <c r="D3298" s="221" t="s">
        <v>28939</v>
      </c>
      <c r="E3298" s="221">
        <v>1</v>
      </c>
      <c r="F3298" s="222" t="s">
        <v>28940</v>
      </c>
      <c r="G3298" s="223" t="s">
        <v>28941</v>
      </c>
      <c r="H3298" s="224"/>
      <c r="I3298" s="345"/>
      <c r="J3298" s="39">
        <v>119675</v>
      </c>
      <c r="K3298" s="36" t="str">
        <f>CONCATENATE(Cover!$D$6,"fdd/view?i=",J3298)</f>
        <v>https://www.dgiwg.org/FAD/fdd/view?i=119675</v>
      </c>
      <c r="L3298" s="36" t="s">
        <v>28942</v>
      </c>
      <c r="M3298" s="186"/>
      <c r="N3298" s="186"/>
      <c r="O3298" s="172"/>
    </row>
    <row r="3299" spans="1:15" ht="25.5" x14ac:dyDescent="0.2">
      <c r="A3299" s="197" t="str">
        <f t="shared" si="51"/>
        <v>DstCode_filledSteelShell</v>
      </c>
      <c r="B3299" s="409"/>
      <c r="C3299" s="416"/>
      <c r="D3299" s="198" t="s">
        <v>28943</v>
      </c>
      <c r="E3299" s="198">
        <v>2</v>
      </c>
      <c r="F3299" s="199" t="s">
        <v>28944</v>
      </c>
      <c r="G3299" s="1" t="s">
        <v>28945</v>
      </c>
      <c r="H3299" s="1" t="s">
        <v>28946</v>
      </c>
      <c r="I3299" s="346"/>
      <c r="J3299" s="39">
        <v>119676</v>
      </c>
      <c r="K3299" s="36" t="str">
        <f>CONCATENATE(Cover!$D$6,"fdd/view?i=",J3299)</f>
        <v>https://www.dgiwg.org/FAD/fdd/view?i=119676</v>
      </c>
      <c r="L3299" s="36" t="s">
        <v>28947</v>
      </c>
      <c r="M3299" s="186"/>
      <c r="N3299" s="186"/>
      <c r="O3299" s="172"/>
    </row>
    <row r="3300" spans="1:15" ht="25.5" x14ac:dyDescent="0.2">
      <c r="A3300" s="197" t="str">
        <f t="shared" si="51"/>
        <v>DstCode_hollowSteelShell</v>
      </c>
      <c r="B3300" s="409"/>
      <c r="C3300" s="416"/>
      <c r="D3300" s="198" t="s">
        <v>28948</v>
      </c>
      <c r="E3300" s="198">
        <v>3</v>
      </c>
      <c r="F3300" s="199" t="s">
        <v>28949</v>
      </c>
      <c r="G3300" s="1" t="s">
        <v>28950</v>
      </c>
      <c r="H3300" s="200"/>
      <c r="I3300" s="346"/>
      <c r="J3300" s="39">
        <v>119677</v>
      </c>
      <c r="K3300" s="36" t="str">
        <f>CONCATENATE(Cover!$D$6,"fdd/view?i=",J3300)</f>
        <v>https://www.dgiwg.org/FAD/fdd/view?i=119677</v>
      </c>
      <c r="L3300" s="36" t="s">
        <v>28951</v>
      </c>
      <c r="M3300" s="186"/>
      <c r="N3300" s="186"/>
      <c r="O3300" s="172"/>
    </row>
    <row r="3301" spans="1:15" x14ac:dyDescent="0.2">
      <c r="A3301" s="203" t="str">
        <f t="shared" si="51"/>
        <v>DstCode_solidSteel</v>
      </c>
      <c r="B3301" s="410"/>
      <c r="C3301" s="417"/>
      <c r="D3301" s="204" t="s">
        <v>28952</v>
      </c>
      <c r="E3301" s="204">
        <v>4</v>
      </c>
      <c r="F3301" s="205" t="s">
        <v>28953</v>
      </c>
      <c r="G3301" s="206" t="s">
        <v>28954</v>
      </c>
      <c r="H3301" s="207"/>
      <c r="I3301" s="347"/>
      <c r="J3301" s="39">
        <v>119678</v>
      </c>
      <c r="K3301" s="36" t="str">
        <f>CONCATENATE(Cover!$D$6,"fdd/view?i=",J3301)</f>
        <v>https://www.dgiwg.org/FAD/fdd/view?i=119678</v>
      </c>
      <c r="L3301" s="36" t="s">
        <v>28955</v>
      </c>
      <c r="M3301" s="186"/>
      <c r="N3301" s="186"/>
      <c r="O3301" s="172"/>
    </row>
    <row r="3302" spans="1:15" ht="63.75" x14ac:dyDescent="0.2">
      <c r="A3302" s="190" t="str">
        <f t="shared" si="51"/>
        <v>DrtCode_cutterhead</v>
      </c>
      <c r="B3302" s="414" t="str">
        <f>HYPERLINK("[#]Datatypes!A472:L472","DrtCode")</f>
        <v>DrtCode</v>
      </c>
      <c r="C3302" s="415" t="s">
        <v>15043</v>
      </c>
      <c r="D3302" s="221" t="s">
        <v>28956</v>
      </c>
      <c r="E3302" s="221">
        <v>5</v>
      </c>
      <c r="F3302" s="222" t="s">
        <v>28957</v>
      </c>
      <c r="G3302" s="223" t="s">
        <v>28958</v>
      </c>
      <c r="H3302" s="223" t="s">
        <v>28959</v>
      </c>
      <c r="I3302" s="345"/>
      <c r="J3302" s="39">
        <v>110170</v>
      </c>
      <c r="K3302" s="36" t="str">
        <f>CONCATENATE(Cover!$D$6,"fdd/view?i=",J3302)</f>
        <v>https://www.dgiwg.org/FAD/fdd/view?i=110170</v>
      </c>
      <c r="L3302" s="36" t="s">
        <v>28960</v>
      </c>
      <c r="M3302" s="186"/>
      <c r="N3302" s="186"/>
      <c r="O3302" s="172"/>
    </row>
    <row r="3303" spans="1:15" ht="153" x14ac:dyDescent="0.2">
      <c r="A3303" s="197" t="str">
        <f t="shared" si="51"/>
        <v>DrtCode_dipper</v>
      </c>
      <c r="B3303" s="409"/>
      <c r="C3303" s="416"/>
      <c r="D3303" s="198" t="s">
        <v>28961</v>
      </c>
      <c r="E3303" s="198">
        <v>3</v>
      </c>
      <c r="F3303" s="199" t="s">
        <v>28962</v>
      </c>
      <c r="G3303" s="1" t="s">
        <v>28963</v>
      </c>
      <c r="H3303" s="1" t="s">
        <v>28964</v>
      </c>
      <c r="I3303" s="346"/>
      <c r="J3303" s="39">
        <v>103406</v>
      </c>
      <c r="K3303" s="36" t="str">
        <f>CONCATENATE(Cover!$D$6,"fdd/view?i=",J3303)</f>
        <v>https://www.dgiwg.org/FAD/fdd/view?i=103406</v>
      </c>
      <c r="L3303" s="36" t="s">
        <v>28965</v>
      </c>
      <c r="M3303" s="186"/>
      <c r="N3303" s="186"/>
      <c r="O3303" s="172"/>
    </row>
    <row r="3304" spans="1:15" ht="204" x14ac:dyDescent="0.2">
      <c r="A3304" s="197" t="str">
        <f t="shared" si="51"/>
        <v>DrtCode_dragLine</v>
      </c>
      <c r="B3304" s="409"/>
      <c r="C3304" s="416"/>
      <c r="D3304" s="198" t="s">
        <v>28966</v>
      </c>
      <c r="E3304" s="198">
        <v>2</v>
      </c>
      <c r="F3304" s="199" t="s">
        <v>28967</v>
      </c>
      <c r="G3304" s="1" t="s">
        <v>28968</v>
      </c>
      <c r="H3304" s="1" t="s">
        <v>28969</v>
      </c>
      <c r="I3304" s="346"/>
      <c r="J3304" s="39">
        <v>103405</v>
      </c>
      <c r="K3304" s="36" t="str">
        <f>CONCATENATE(Cover!$D$6,"fdd/view?i=",J3304)</f>
        <v>https://www.dgiwg.org/FAD/fdd/view?i=103405</v>
      </c>
      <c r="L3304" s="36" t="s">
        <v>28970</v>
      </c>
      <c r="M3304" s="186"/>
      <c r="N3304" s="186"/>
      <c r="O3304" s="172"/>
    </row>
    <row r="3305" spans="1:15" x14ac:dyDescent="0.2">
      <c r="A3305" s="197" t="str">
        <f t="shared" si="51"/>
        <v>DrtCode_floating</v>
      </c>
      <c r="B3305" s="409"/>
      <c r="C3305" s="416"/>
      <c r="D3305" s="198" t="s">
        <v>8791</v>
      </c>
      <c r="E3305" s="198">
        <v>1</v>
      </c>
      <c r="F3305" s="199" t="s">
        <v>8793</v>
      </c>
      <c r="G3305" s="1" t="s">
        <v>28971</v>
      </c>
      <c r="H3305" s="1" t="s">
        <v>28972</v>
      </c>
      <c r="I3305" s="346"/>
      <c r="J3305" s="39">
        <v>103404</v>
      </c>
      <c r="K3305" s="36" t="str">
        <f>CONCATENATE(Cover!$D$6,"fdd/view?i=",J3305)</f>
        <v>https://www.dgiwg.org/FAD/fdd/view?i=103404</v>
      </c>
      <c r="L3305" s="36" t="s">
        <v>28973</v>
      </c>
      <c r="M3305" s="186"/>
      <c r="N3305" s="186"/>
      <c r="O3305" s="172"/>
    </row>
    <row r="3306" spans="1:15" ht="140.25" x14ac:dyDescent="0.2">
      <c r="A3306" s="203" t="str">
        <f t="shared" si="51"/>
        <v>DrtCode_hopper</v>
      </c>
      <c r="B3306" s="410"/>
      <c r="C3306" s="417"/>
      <c r="D3306" s="204" t="s">
        <v>28974</v>
      </c>
      <c r="E3306" s="204">
        <v>4</v>
      </c>
      <c r="F3306" s="205" t="s">
        <v>3523</v>
      </c>
      <c r="G3306" s="206" t="s">
        <v>28975</v>
      </c>
      <c r="H3306" s="206" t="s">
        <v>28976</v>
      </c>
      <c r="I3306" s="347"/>
      <c r="J3306" s="39">
        <v>110169</v>
      </c>
      <c r="K3306" s="36" t="str">
        <f>CONCATENATE(Cover!$D$6,"fdd/view?i=",J3306)</f>
        <v>https://www.dgiwg.org/FAD/fdd/view?i=110169</v>
      </c>
      <c r="L3306" s="36" t="s">
        <v>28977</v>
      </c>
      <c r="M3306" s="186"/>
      <c r="N3306" s="186"/>
      <c r="O3306" s="172"/>
    </row>
    <row r="3307" spans="1:15" ht="38.25" x14ac:dyDescent="0.2">
      <c r="A3307" s="190" t="str">
        <f t="shared" si="51"/>
        <v>WfcCode_core</v>
      </c>
      <c r="B3307" s="414" t="str">
        <f>HYPERLINK("[#]Datatypes!A474:L474","WfcCode")</f>
        <v>WfcCode</v>
      </c>
      <c r="C3307" s="415" t="s">
        <v>15045</v>
      </c>
      <c r="D3307" s="221" t="s">
        <v>28008</v>
      </c>
      <c r="E3307" s="221">
        <v>2</v>
      </c>
      <c r="F3307" s="222" t="s">
        <v>28009</v>
      </c>
      <c r="G3307" s="223" t="s">
        <v>28978</v>
      </c>
      <c r="H3307" s="224"/>
      <c r="I3307" s="345"/>
      <c r="J3307" s="39">
        <v>114118</v>
      </c>
      <c r="K3307" s="36" t="str">
        <f>CONCATENATE(Cover!$D$6,"fdd/view?i=",J3307)</f>
        <v>https://www.dgiwg.org/FAD/fdd/view?i=114118</v>
      </c>
      <c r="L3307" s="36" t="s">
        <v>28979</v>
      </c>
      <c r="M3307" s="186"/>
      <c r="N3307" s="186"/>
      <c r="O3307" s="172"/>
    </row>
    <row r="3308" spans="1:15" x14ac:dyDescent="0.2">
      <c r="A3308" s="203" t="str">
        <f t="shared" si="51"/>
        <v>WfcCode_percussion</v>
      </c>
      <c r="B3308" s="410"/>
      <c r="C3308" s="417"/>
      <c r="D3308" s="204" t="s">
        <v>28980</v>
      </c>
      <c r="E3308" s="204">
        <v>1</v>
      </c>
      <c r="F3308" s="205" t="s">
        <v>28981</v>
      </c>
      <c r="G3308" s="206" t="s">
        <v>28982</v>
      </c>
      <c r="H3308" s="207"/>
      <c r="I3308" s="347"/>
      <c r="J3308" s="39">
        <v>114117</v>
      </c>
      <c r="K3308" s="36" t="str">
        <f>CONCATENATE(Cover!$D$6,"fdd/view?i=",J3308)</f>
        <v>https://www.dgiwg.org/FAD/fdd/view?i=114117</v>
      </c>
      <c r="L3308" s="36" t="s">
        <v>28983</v>
      </c>
      <c r="M3308" s="186"/>
      <c r="N3308" s="186"/>
      <c r="O3308" s="172"/>
    </row>
    <row r="3309" spans="1:15" ht="25.5" x14ac:dyDescent="0.2">
      <c r="A3309" s="190" t="str">
        <f t="shared" si="51"/>
        <v>DpgCode_chemicalWaste</v>
      </c>
      <c r="B3309" s="414" t="str">
        <f>HYPERLINK("[#]Datatypes!A476:L476","DpgCode")</f>
        <v>DpgCode</v>
      </c>
      <c r="C3309" s="415" t="s">
        <v>15047</v>
      </c>
      <c r="D3309" s="221" t="s">
        <v>28984</v>
      </c>
      <c r="E3309" s="221">
        <v>2</v>
      </c>
      <c r="F3309" s="222" t="s">
        <v>28985</v>
      </c>
      <c r="G3309" s="223" t="s">
        <v>28986</v>
      </c>
      <c r="H3309" s="224"/>
      <c r="I3309" s="352" t="s">
        <v>28987</v>
      </c>
      <c r="J3309" s="39">
        <v>111144</v>
      </c>
      <c r="K3309" s="36" t="str">
        <f>CONCATENATE(Cover!$D$6,"fdd/view?i=",J3309)</f>
        <v>https://www.dgiwg.org/FAD/fdd/view?i=111144</v>
      </c>
      <c r="L3309" s="36" t="s">
        <v>28988</v>
      </c>
      <c r="M3309" s="186"/>
      <c r="N3309" s="186"/>
      <c r="O3309" s="172"/>
    </row>
    <row r="3310" spans="1:15" ht="25.5" x14ac:dyDescent="0.2">
      <c r="A3310" s="197" t="str">
        <f t="shared" si="51"/>
        <v>DpgCode_explosives</v>
      </c>
      <c r="B3310" s="409"/>
      <c r="C3310" s="416"/>
      <c r="D3310" s="198" t="s">
        <v>28989</v>
      </c>
      <c r="E3310" s="198">
        <v>4</v>
      </c>
      <c r="F3310" s="199" t="s">
        <v>28990</v>
      </c>
      <c r="G3310" s="1" t="s">
        <v>28991</v>
      </c>
      <c r="H3310" s="200"/>
      <c r="I3310" s="346"/>
      <c r="J3310" s="39">
        <v>111146</v>
      </c>
      <c r="K3310" s="36" t="str">
        <f>CONCATENATE(Cover!$D$6,"fdd/view?i=",J3310)</f>
        <v>https://www.dgiwg.org/FAD/fdd/view?i=111146</v>
      </c>
      <c r="L3310" s="36" t="s">
        <v>28992</v>
      </c>
      <c r="M3310" s="186"/>
      <c r="N3310" s="186"/>
      <c r="O3310" s="172"/>
    </row>
    <row r="3311" spans="1:15" ht="38.25" x14ac:dyDescent="0.2">
      <c r="A3311" s="197" t="str">
        <f t="shared" si="51"/>
        <v>DpgCode_hazardousMaterial</v>
      </c>
      <c r="B3311" s="409"/>
      <c r="C3311" s="416"/>
      <c r="D3311" s="198" t="s">
        <v>28993</v>
      </c>
      <c r="E3311" s="198">
        <v>1</v>
      </c>
      <c r="F3311" s="199" t="s">
        <v>28994</v>
      </c>
      <c r="G3311" s="1" t="s">
        <v>28995</v>
      </c>
      <c r="H3311" s="200"/>
      <c r="I3311" s="346"/>
      <c r="J3311" s="39">
        <v>111143</v>
      </c>
      <c r="K3311" s="36" t="str">
        <f>CONCATENATE(Cover!$D$6,"fdd/view?i=",J3311)</f>
        <v>https://www.dgiwg.org/FAD/fdd/view?i=111143</v>
      </c>
      <c r="L3311" s="36" t="s">
        <v>28996</v>
      </c>
      <c r="M3311" s="186"/>
      <c r="N3311" s="186"/>
      <c r="O3311" s="172"/>
    </row>
    <row r="3312" spans="1:15" ht="25.5" x14ac:dyDescent="0.2">
      <c r="A3312" s="197" t="str">
        <f t="shared" si="51"/>
        <v>DpgCode_nuclearWaste</v>
      </c>
      <c r="B3312" s="409"/>
      <c r="C3312" s="416"/>
      <c r="D3312" s="198" t="s">
        <v>28997</v>
      </c>
      <c r="E3312" s="198">
        <v>3</v>
      </c>
      <c r="F3312" s="199" t="s">
        <v>28998</v>
      </c>
      <c r="G3312" s="1" t="s">
        <v>28999</v>
      </c>
      <c r="H3312" s="200"/>
      <c r="I3312" s="346"/>
      <c r="J3312" s="39">
        <v>111145</v>
      </c>
      <c r="K3312" s="36" t="str">
        <f>CONCATENATE(Cover!$D$6,"fdd/view?i=",J3312)</f>
        <v>https://www.dgiwg.org/FAD/fdd/view?i=111145</v>
      </c>
      <c r="L3312" s="36" t="s">
        <v>29000</v>
      </c>
      <c r="M3312" s="186"/>
      <c r="N3312" s="186"/>
      <c r="O3312" s="172"/>
    </row>
    <row r="3313" spans="1:15" x14ac:dyDescent="0.2">
      <c r="A3313" s="197" t="str">
        <f t="shared" si="51"/>
        <v>DpgCode_spoil</v>
      </c>
      <c r="B3313" s="409"/>
      <c r="C3313" s="416"/>
      <c r="D3313" s="198" t="s">
        <v>25325</v>
      </c>
      <c r="E3313" s="198">
        <v>5</v>
      </c>
      <c r="F3313" s="199" t="s">
        <v>25326</v>
      </c>
      <c r="G3313" s="1" t="s">
        <v>29001</v>
      </c>
      <c r="H3313" s="200"/>
      <c r="I3313" s="351" t="s">
        <v>29002</v>
      </c>
      <c r="J3313" s="39">
        <v>111147</v>
      </c>
      <c r="K3313" s="36" t="str">
        <f>CONCATENATE(Cover!$D$6,"fdd/view?i=",J3313)</f>
        <v>https://www.dgiwg.org/FAD/fdd/view?i=111147</v>
      </c>
      <c r="L3313" s="36" t="s">
        <v>29003</v>
      </c>
      <c r="M3313" s="186"/>
      <c r="N3313" s="186"/>
      <c r="O3313" s="172"/>
    </row>
    <row r="3314" spans="1:15" x14ac:dyDescent="0.2">
      <c r="A3314" s="203" t="str">
        <f t="shared" si="51"/>
        <v>DpgCode_vessels</v>
      </c>
      <c r="B3314" s="410"/>
      <c r="C3314" s="417"/>
      <c r="D3314" s="204" t="s">
        <v>29004</v>
      </c>
      <c r="E3314" s="204">
        <v>6</v>
      </c>
      <c r="F3314" s="205" t="s">
        <v>29005</v>
      </c>
      <c r="G3314" s="206" t="s">
        <v>29006</v>
      </c>
      <c r="H3314" s="207"/>
      <c r="I3314" s="347"/>
      <c r="J3314" s="39">
        <v>111148</v>
      </c>
      <c r="K3314" s="36" t="str">
        <f>CONCATENATE(Cover!$D$6,"fdd/view?i=",J3314)</f>
        <v>https://www.dgiwg.org/FAD/fdd/view?i=111148</v>
      </c>
      <c r="L3314" s="36" t="s">
        <v>29007</v>
      </c>
      <c r="M3314" s="186"/>
      <c r="N3314" s="186"/>
      <c r="O3314" s="172"/>
    </row>
    <row r="3315" spans="1:15" ht="25.5" x14ac:dyDescent="0.2">
      <c r="A3315" s="190" t="str">
        <f t="shared" si="51"/>
        <v>DdcCode_apartment</v>
      </c>
      <c r="B3315" s="414" t="str">
        <f>HYPERLINK("[#]Datatypes!A480:L480","DdcCode")</f>
        <v>DdcCode</v>
      </c>
      <c r="C3315" s="415" t="s">
        <v>15051</v>
      </c>
      <c r="D3315" s="221" t="s">
        <v>29008</v>
      </c>
      <c r="E3315" s="221">
        <v>8</v>
      </c>
      <c r="F3315" s="222" t="s">
        <v>29009</v>
      </c>
      <c r="G3315" s="223" t="s">
        <v>29010</v>
      </c>
      <c r="H3315" s="224"/>
      <c r="I3315" s="345"/>
      <c r="J3315" s="39">
        <v>103339</v>
      </c>
      <c r="K3315" s="36" t="str">
        <f>CONCATENATE(Cover!$D$6,"fdd/view?i=",J3315)</f>
        <v>https://www.dgiwg.org/FAD/fdd/view?i=103339</v>
      </c>
      <c r="L3315" s="36" t="s">
        <v>29011</v>
      </c>
      <c r="M3315" s="186"/>
      <c r="N3315" s="186"/>
      <c r="O3315" s="172"/>
    </row>
    <row r="3316" spans="1:15" ht="25.5" x14ac:dyDescent="0.2">
      <c r="A3316" s="197" t="str">
        <f t="shared" si="51"/>
        <v>DdcCode_caravan</v>
      </c>
      <c r="B3316" s="409"/>
      <c r="C3316" s="416"/>
      <c r="D3316" s="198" t="s">
        <v>29012</v>
      </c>
      <c r="E3316" s="198">
        <v>3</v>
      </c>
      <c r="F3316" s="199" t="s">
        <v>29013</v>
      </c>
      <c r="G3316" s="1" t="s">
        <v>29014</v>
      </c>
      <c r="H3316" s="200"/>
      <c r="I3316" s="346"/>
      <c r="J3316" s="39">
        <v>103334</v>
      </c>
      <c r="K3316" s="36" t="str">
        <f>CONCATENATE(Cover!$D$6,"fdd/view?i=",J3316)</f>
        <v>https://www.dgiwg.org/FAD/fdd/view?i=103334</v>
      </c>
      <c r="L3316" s="36" t="s">
        <v>29015</v>
      </c>
      <c r="M3316" s="186"/>
      <c r="N3316" s="186"/>
      <c r="O3316" s="172"/>
    </row>
    <row r="3317" spans="1:15" ht="25.5" x14ac:dyDescent="0.2">
      <c r="A3317" s="197" t="str">
        <f t="shared" si="51"/>
        <v>DdcCode_dormitory</v>
      </c>
      <c r="B3317" s="409"/>
      <c r="C3317" s="416"/>
      <c r="D3317" s="198" t="s">
        <v>29016</v>
      </c>
      <c r="E3317" s="198">
        <v>5</v>
      </c>
      <c r="F3317" s="199" t="s">
        <v>29017</v>
      </c>
      <c r="G3317" s="1" t="s">
        <v>29018</v>
      </c>
      <c r="H3317" s="200"/>
      <c r="I3317" s="346"/>
      <c r="J3317" s="39">
        <v>103336</v>
      </c>
      <c r="K3317" s="36" t="str">
        <f>CONCATENATE(Cover!$D$6,"fdd/view?i=",J3317)</f>
        <v>https://www.dgiwg.org/FAD/fdd/view?i=103336</v>
      </c>
      <c r="L3317" s="36" t="s">
        <v>29019</v>
      </c>
      <c r="M3317" s="186"/>
      <c r="N3317" s="186"/>
      <c r="O3317" s="172"/>
    </row>
    <row r="3318" spans="1:15" ht="25.5" x14ac:dyDescent="0.2">
      <c r="A3318" s="197" t="str">
        <f t="shared" si="51"/>
        <v>DdcCode_dwellingCommerceBuilding</v>
      </c>
      <c r="B3318" s="409"/>
      <c r="C3318" s="416"/>
      <c r="D3318" s="198" t="s">
        <v>29020</v>
      </c>
      <c r="E3318" s="198">
        <v>13</v>
      </c>
      <c r="F3318" s="199" t="s">
        <v>29021</v>
      </c>
      <c r="G3318" s="1" t="s">
        <v>29022</v>
      </c>
      <c r="H3318" s="200"/>
      <c r="I3318" s="346"/>
      <c r="J3318" s="39">
        <v>112866</v>
      </c>
      <c r="K3318" s="36" t="str">
        <f>CONCATENATE(Cover!$D$6,"fdd/view?i=",J3318)</f>
        <v>https://www.dgiwg.org/FAD/fdd/view?i=112866</v>
      </c>
      <c r="L3318" s="36" t="s">
        <v>29023</v>
      </c>
      <c r="M3318" s="186"/>
      <c r="N3318" s="186"/>
      <c r="O3318" s="172"/>
    </row>
    <row r="3319" spans="1:15" ht="25.5" x14ac:dyDescent="0.2">
      <c r="A3319" s="197" t="str">
        <f t="shared" si="51"/>
        <v>DdcCode_emergencyShelter</v>
      </c>
      <c r="B3319" s="409"/>
      <c r="C3319" s="416"/>
      <c r="D3319" s="198" t="s">
        <v>29024</v>
      </c>
      <c r="E3319" s="198">
        <v>14</v>
      </c>
      <c r="F3319" s="199" t="s">
        <v>29025</v>
      </c>
      <c r="G3319" s="1" t="s">
        <v>29026</v>
      </c>
      <c r="H3319" s="200"/>
      <c r="I3319" s="346"/>
      <c r="J3319" s="39">
        <v>112867</v>
      </c>
      <c r="K3319" s="36" t="str">
        <f>CONCATENATE(Cover!$D$6,"fdd/view?i=",J3319)</f>
        <v>https://www.dgiwg.org/FAD/fdd/view?i=112867</v>
      </c>
      <c r="L3319" s="36" t="s">
        <v>29027</v>
      </c>
      <c r="M3319" s="186"/>
      <c r="N3319" s="186"/>
      <c r="O3319" s="172"/>
    </row>
    <row r="3320" spans="1:15" x14ac:dyDescent="0.2">
      <c r="A3320" s="197" t="str">
        <f t="shared" si="51"/>
        <v>DdcCode_farmhouse</v>
      </c>
      <c r="B3320" s="409"/>
      <c r="C3320" s="416"/>
      <c r="D3320" s="198" t="s">
        <v>20534</v>
      </c>
      <c r="E3320" s="198">
        <v>15</v>
      </c>
      <c r="F3320" s="199" t="s">
        <v>20535</v>
      </c>
      <c r="G3320" s="1" t="s">
        <v>20536</v>
      </c>
      <c r="H3320" s="1" t="s">
        <v>20537</v>
      </c>
      <c r="I3320" s="346"/>
      <c r="J3320" s="39">
        <v>112742</v>
      </c>
      <c r="K3320" s="36" t="str">
        <f>CONCATENATE(Cover!$D$6,"fdd/view?i=",J3320)</f>
        <v>https://www.dgiwg.org/FAD/fdd/view?i=112742</v>
      </c>
      <c r="L3320" s="36" t="s">
        <v>29028</v>
      </c>
      <c r="M3320" s="186"/>
      <c r="N3320" s="186"/>
      <c r="O3320" s="172"/>
    </row>
    <row r="3321" spans="1:15" ht="25.5" x14ac:dyDescent="0.2">
      <c r="A3321" s="197" t="str">
        <f t="shared" si="51"/>
        <v>DdcCode_house</v>
      </c>
      <c r="B3321" s="409"/>
      <c r="C3321" s="416"/>
      <c r="D3321" s="198" t="s">
        <v>29029</v>
      </c>
      <c r="E3321" s="198">
        <v>1</v>
      </c>
      <c r="F3321" s="199" t="s">
        <v>29030</v>
      </c>
      <c r="G3321" s="1" t="s">
        <v>29031</v>
      </c>
      <c r="H3321" s="200"/>
      <c r="I3321" s="346"/>
      <c r="J3321" s="39">
        <v>103332</v>
      </c>
      <c r="K3321" s="36" t="str">
        <f>CONCATENATE(Cover!$D$6,"fdd/view?i=",J3321)</f>
        <v>https://www.dgiwg.org/FAD/fdd/view?i=103332</v>
      </c>
      <c r="L3321" s="36" t="s">
        <v>29032</v>
      </c>
      <c r="M3321" s="186"/>
      <c r="N3321" s="186"/>
      <c r="O3321" s="172"/>
    </row>
    <row r="3322" spans="1:15" x14ac:dyDescent="0.2">
      <c r="A3322" s="197" t="str">
        <f t="shared" si="51"/>
        <v>DdcCode_hut</v>
      </c>
      <c r="B3322" s="409"/>
      <c r="C3322" s="416"/>
      <c r="D3322" s="198" t="s">
        <v>29033</v>
      </c>
      <c r="E3322" s="198">
        <v>6</v>
      </c>
      <c r="F3322" s="199" t="s">
        <v>3546</v>
      </c>
      <c r="G3322" s="1" t="s">
        <v>29034</v>
      </c>
      <c r="H3322" s="200"/>
      <c r="I3322" s="346"/>
      <c r="J3322" s="39">
        <v>103337</v>
      </c>
      <c r="K3322" s="36" t="str">
        <f>CONCATENATE(Cover!$D$6,"fdd/view?i=",J3322)</f>
        <v>https://www.dgiwg.org/FAD/fdd/view?i=103337</v>
      </c>
      <c r="L3322" s="36" t="s">
        <v>29035</v>
      </c>
      <c r="M3322" s="186"/>
      <c r="N3322" s="186"/>
      <c r="O3322" s="172"/>
    </row>
    <row r="3323" spans="1:15" ht="25.5" x14ac:dyDescent="0.2">
      <c r="A3323" s="197" t="str">
        <f t="shared" si="51"/>
        <v>DdcCode_hutWithBeds</v>
      </c>
      <c r="B3323" s="409"/>
      <c r="C3323" s="416"/>
      <c r="D3323" s="198" t="s">
        <v>29036</v>
      </c>
      <c r="E3323" s="198">
        <v>12</v>
      </c>
      <c r="F3323" s="199" t="s">
        <v>29037</v>
      </c>
      <c r="G3323" s="1" t="s">
        <v>29038</v>
      </c>
      <c r="H3323" s="200"/>
      <c r="I3323" s="346"/>
      <c r="J3323" s="39">
        <v>112865</v>
      </c>
      <c r="K3323" s="36" t="str">
        <f>CONCATENATE(Cover!$D$6,"fdd/view?i=",J3323)</f>
        <v>https://www.dgiwg.org/FAD/fdd/view?i=112865</v>
      </c>
      <c r="L3323" s="36" t="s">
        <v>29039</v>
      </c>
      <c r="M3323" s="186"/>
      <c r="N3323" s="186"/>
      <c r="O3323" s="172"/>
    </row>
    <row r="3324" spans="1:15" x14ac:dyDescent="0.2">
      <c r="A3324" s="197" t="str">
        <f t="shared" si="51"/>
        <v>DdcCode_multiUnit</v>
      </c>
      <c r="B3324" s="409"/>
      <c r="C3324" s="416"/>
      <c r="D3324" s="198" t="s">
        <v>29040</v>
      </c>
      <c r="E3324" s="198">
        <v>2</v>
      </c>
      <c r="F3324" s="199" t="s">
        <v>29041</v>
      </c>
      <c r="G3324" s="1" t="s">
        <v>29042</v>
      </c>
      <c r="H3324" s="200"/>
      <c r="I3324" s="346"/>
      <c r="J3324" s="39">
        <v>103333</v>
      </c>
      <c r="K3324" s="36" t="str">
        <f>CONCATENATE(Cover!$D$6,"fdd/view?i=",J3324)</f>
        <v>https://www.dgiwg.org/FAD/fdd/view?i=103333</v>
      </c>
      <c r="L3324" s="36" t="s">
        <v>29043</v>
      </c>
      <c r="M3324" s="186"/>
      <c r="N3324" s="186"/>
      <c r="O3324" s="172"/>
    </row>
    <row r="3325" spans="1:15" ht="38.25" x14ac:dyDescent="0.2">
      <c r="A3325" s="197" t="str">
        <f t="shared" si="51"/>
        <v>DdcCode_residentialHotel</v>
      </c>
      <c r="B3325" s="409"/>
      <c r="C3325" s="416"/>
      <c r="D3325" s="198" t="s">
        <v>29044</v>
      </c>
      <c r="E3325" s="198">
        <v>9</v>
      </c>
      <c r="F3325" s="199" t="s">
        <v>29045</v>
      </c>
      <c r="G3325" s="1" t="s">
        <v>29046</v>
      </c>
      <c r="H3325" s="200"/>
      <c r="I3325" s="351" t="s">
        <v>29047</v>
      </c>
      <c r="J3325" s="39">
        <v>103340</v>
      </c>
      <c r="K3325" s="36" t="str">
        <f>CONCATENATE(Cover!$D$6,"fdd/view?i=",J3325)</f>
        <v>https://www.dgiwg.org/FAD/fdd/view?i=103340</v>
      </c>
      <c r="L3325" s="36" t="s">
        <v>29048</v>
      </c>
      <c r="M3325" s="186"/>
      <c r="N3325" s="186"/>
      <c r="O3325" s="172"/>
    </row>
    <row r="3326" spans="1:15" ht="25.5" x14ac:dyDescent="0.2">
      <c r="A3326" s="197" t="str">
        <f t="shared" si="51"/>
        <v>DdcCode_seniorCitizensHome</v>
      </c>
      <c r="B3326" s="409"/>
      <c r="C3326" s="416"/>
      <c r="D3326" s="198" t="s">
        <v>29049</v>
      </c>
      <c r="E3326" s="198">
        <v>4</v>
      </c>
      <c r="F3326" s="199" t="s">
        <v>29050</v>
      </c>
      <c r="G3326" s="1" t="s">
        <v>29051</v>
      </c>
      <c r="H3326" s="200"/>
      <c r="I3326" s="346"/>
      <c r="J3326" s="39">
        <v>103335</v>
      </c>
      <c r="K3326" s="36" t="str">
        <f>CONCATENATE(Cover!$D$6,"fdd/view?i=",J3326)</f>
        <v>https://www.dgiwg.org/FAD/fdd/view?i=103335</v>
      </c>
      <c r="L3326" s="36" t="s">
        <v>29052</v>
      </c>
      <c r="M3326" s="186"/>
      <c r="N3326" s="186"/>
      <c r="O3326" s="172"/>
    </row>
    <row r="3327" spans="1:15" ht="25.5" x14ac:dyDescent="0.2">
      <c r="A3327" s="197" t="str">
        <f t="shared" si="51"/>
        <v>DdcCode_vacationCottage</v>
      </c>
      <c r="B3327" s="409"/>
      <c r="C3327" s="416"/>
      <c r="D3327" s="198" t="s">
        <v>29053</v>
      </c>
      <c r="E3327" s="198">
        <v>7</v>
      </c>
      <c r="F3327" s="199" t="s">
        <v>29054</v>
      </c>
      <c r="G3327" s="1" t="s">
        <v>29055</v>
      </c>
      <c r="H3327" s="200"/>
      <c r="I3327" s="346"/>
      <c r="J3327" s="39">
        <v>103338</v>
      </c>
      <c r="K3327" s="36" t="str">
        <f>CONCATENATE(Cover!$D$6,"fdd/view?i=",J3327)</f>
        <v>https://www.dgiwg.org/FAD/fdd/view?i=103338</v>
      </c>
      <c r="L3327" s="36" t="s">
        <v>29056</v>
      </c>
      <c r="M3327" s="186"/>
      <c r="N3327" s="186"/>
      <c r="O3327" s="172"/>
    </row>
    <row r="3328" spans="1:15" ht="25.5" x14ac:dyDescent="0.2">
      <c r="A3328" s="203" t="str">
        <f t="shared" si="51"/>
        <v>DdcCode_youthHostel</v>
      </c>
      <c r="B3328" s="410"/>
      <c r="C3328" s="417"/>
      <c r="D3328" s="204" t="s">
        <v>29057</v>
      </c>
      <c r="E3328" s="204">
        <v>10</v>
      </c>
      <c r="F3328" s="205" t="s">
        <v>29058</v>
      </c>
      <c r="G3328" s="206" t="s">
        <v>29059</v>
      </c>
      <c r="H3328" s="207"/>
      <c r="I3328" s="347"/>
      <c r="J3328" s="39">
        <v>112864</v>
      </c>
      <c r="K3328" s="36" t="str">
        <f>CONCATENATE(Cover!$D$6,"fdd/view?i=",J3328)</f>
        <v>https://www.dgiwg.org/FAD/fdd/view?i=112864</v>
      </c>
      <c r="L3328" s="36" t="s">
        <v>29060</v>
      </c>
      <c r="M3328" s="186"/>
      <c r="N3328" s="186"/>
      <c r="O3328" s="172"/>
    </row>
    <row r="3329" spans="1:15" ht="38.25" x14ac:dyDescent="0.2">
      <c r="A3329" s="190" t="str">
        <f t="shared" si="51"/>
        <v>Es1Code_avalanche</v>
      </c>
      <c r="B3329" s="414" t="str">
        <f>HYPERLINK("[#]Datatypes!A484:L484","Es1Code")</f>
        <v>Es1Code</v>
      </c>
      <c r="C3329" s="415" t="s">
        <v>15055</v>
      </c>
      <c r="D3329" s="221" t="s">
        <v>29061</v>
      </c>
      <c r="E3329" s="221">
        <v>1</v>
      </c>
      <c r="F3329" s="222" t="s">
        <v>29062</v>
      </c>
      <c r="G3329" s="223" t="s">
        <v>29063</v>
      </c>
      <c r="H3329" s="224"/>
      <c r="I3329" s="345"/>
      <c r="J3329" s="39">
        <v>113211</v>
      </c>
      <c r="K3329" s="36" t="str">
        <f>CONCATENATE(Cover!$D$6,"fdd/view?i=",J3329)</f>
        <v>https://www.dgiwg.org/FAD/fdd/view?i=113211</v>
      </c>
      <c r="L3329" s="36" t="s">
        <v>29064</v>
      </c>
      <c r="M3329" s="186"/>
      <c r="N3329" s="186"/>
      <c r="O3329" s="172"/>
    </row>
    <row r="3330" spans="1:15" ht="25.5" x14ac:dyDescent="0.2">
      <c r="A3330" s="197" t="str">
        <f t="shared" ref="A3330:A3393" si="52">HYPERLINK(K3330,L3330)</f>
        <v>Es1Code_damBreak</v>
      </c>
      <c r="B3330" s="409"/>
      <c r="C3330" s="416"/>
      <c r="D3330" s="198" t="s">
        <v>29065</v>
      </c>
      <c r="E3330" s="198">
        <v>2</v>
      </c>
      <c r="F3330" s="199" t="s">
        <v>29066</v>
      </c>
      <c r="G3330" s="1" t="s">
        <v>29067</v>
      </c>
      <c r="H3330" s="200"/>
      <c r="I3330" s="346"/>
      <c r="J3330" s="39">
        <v>113212</v>
      </c>
      <c r="K3330" s="36" t="str">
        <f>CONCATENATE(Cover!$D$6,"fdd/view?i=",J3330)</f>
        <v>https://www.dgiwg.org/FAD/fdd/view?i=113212</v>
      </c>
      <c r="L3330" s="36" t="s">
        <v>29068</v>
      </c>
      <c r="M3330" s="186"/>
      <c r="N3330" s="186"/>
      <c r="O3330" s="172"/>
    </row>
    <row r="3331" spans="1:15" ht="25.5" x14ac:dyDescent="0.2">
      <c r="A3331" s="197" t="str">
        <f t="shared" si="52"/>
        <v>Es1Code_fire</v>
      </c>
      <c r="B3331" s="409"/>
      <c r="C3331" s="416"/>
      <c r="D3331" s="198" t="s">
        <v>29069</v>
      </c>
      <c r="E3331" s="198">
        <v>4</v>
      </c>
      <c r="F3331" s="199" t="s">
        <v>29070</v>
      </c>
      <c r="G3331" s="1" t="s">
        <v>29071</v>
      </c>
      <c r="H3331" s="200"/>
      <c r="I3331" s="346"/>
      <c r="J3331" s="39">
        <v>113214</v>
      </c>
      <c r="K3331" s="36" t="str">
        <f>CONCATENATE(Cover!$D$6,"fdd/view?i=",J3331)</f>
        <v>https://www.dgiwg.org/FAD/fdd/view?i=113214</v>
      </c>
      <c r="L3331" s="36" t="s">
        <v>29072</v>
      </c>
      <c r="M3331" s="186"/>
      <c r="N3331" s="186"/>
      <c r="O3331" s="172"/>
    </row>
    <row r="3332" spans="1:15" ht="25.5" x14ac:dyDescent="0.2">
      <c r="A3332" s="197" t="str">
        <f t="shared" si="52"/>
        <v>Es1Code_flood</v>
      </c>
      <c r="B3332" s="409"/>
      <c r="C3332" s="416"/>
      <c r="D3332" s="198" t="s">
        <v>29073</v>
      </c>
      <c r="E3332" s="198">
        <v>6</v>
      </c>
      <c r="F3332" s="199" t="s">
        <v>29074</v>
      </c>
      <c r="G3332" s="1" t="s">
        <v>29075</v>
      </c>
      <c r="H3332" s="200"/>
      <c r="I3332" s="351" t="s">
        <v>29076</v>
      </c>
      <c r="J3332" s="39">
        <v>113216</v>
      </c>
      <c r="K3332" s="36" t="str">
        <f>CONCATENATE(Cover!$D$6,"fdd/view?i=",J3332)</f>
        <v>https://www.dgiwg.org/FAD/fdd/view?i=113216</v>
      </c>
      <c r="L3332" s="36" t="s">
        <v>29077</v>
      </c>
      <c r="M3332" s="186"/>
      <c r="N3332" s="186"/>
      <c r="O3332" s="172"/>
    </row>
    <row r="3333" spans="1:15" ht="38.25" x14ac:dyDescent="0.2">
      <c r="A3333" s="197" t="str">
        <f t="shared" si="52"/>
        <v>Es1Code_landslide</v>
      </c>
      <c r="B3333" s="409"/>
      <c r="C3333" s="416"/>
      <c r="D3333" s="198" t="s">
        <v>29078</v>
      </c>
      <c r="E3333" s="198">
        <v>3</v>
      </c>
      <c r="F3333" s="199" t="s">
        <v>29079</v>
      </c>
      <c r="G3333" s="1" t="s">
        <v>29080</v>
      </c>
      <c r="H3333" s="200"/>
      <c r="I3333" s="346"/>
      <c r="J3333" s="39">
        <v>113213</v>
      </c>
      <c r="K3333" s="36" t="str">
        <f>CONCATENATE(Cover!$D$6,"fdd/view?i=",J3333)</f>
        <v>https://www.dgiwg.org/FAD/fdd/view?i=113213</v>
      </c>
      <c r="L3333" s="36" t="s">
        <v>29081</v>
      </c>
      <c r="M3333" s="186"/>
      <c r="N3333" s="186"/>
      <c r="O3333" s="172"/>
    </row>
    <row r="3334" spans="1:15" ht="25.5" x14ac:dyDescent="0.2">
      <c r="A3334" s="197" t="str">
        <f t="shared" si="52"/>
        <v>Es1Code_mudFlow</v>
      </c>
      <c r="B3334" s="409"/>
      <c r="C3334" s="416"/>
      <c r="D3334" s="198" t="s">
        <v>29082</v>
      </c>
      <c r="E3334" s="198">
        <v>5</v>
      </c>
      <c r="F3334" s="199" t="s">
        <v>29083</v>
      </c>
      <c r="G3334" s="1" t="s">
        <v>29084</v>
      </c>
      <c r="H3334" s="200"/>
      <c r="I3334" s="346"/>
      <c r="J3334" s="39">
        <v>113215</v>
      </c>
      <c r="K3334" s="36" t="str">
        <f>CONCATENATE(Cover!$D$6,"fdd/view?i=",J3334)</f>
        <v>https://www.dgiwg.org/FAD/fdd/view?i=113215</v>
      </c>
      <c r="L3334" s="36" t="s">
        <v>29085</v>
      </c>
      <c r="M3334" s="186"/>
      <c r="N3334" s="186"/>
      <c r="O3334" s="172"/>
    </row>
    <row r="3335" spans="1:15" x14ac:dyDescent="0.2">
      <c r="A3335" s="197" t="str">
        <f t="shared" si="52"/>
        <v>Es1Code_rockFall</v>
      </c>
      <c r="B3335" s="409"/>
      <c r="C3335" s="416"/>
      <c r="D3335" s="198" t="s">
        <v>29086</v>
      </c>
      <c r="E3335" s="198">
        <v>7</v>
      </c>
      <c r="F3335" s="199" t="s">
        <v>29087</v>
      </c>
      <c r="G3335" s="1" t="s">
        <v>29088</v>
      </c>
      <c r="H3335" s="200"/>
      <c r="I3335" s="346"/>
      <c r="J3335" s="39">
        <v>113217</v>
      </c>
      <c r="K3335" s="36" t="str">
        <f>CONCATENATE(Cover!$D$6,"fdd/view?i=",J3335)</f>
        <v>https://www.dgiwg.org/FAD/fdd/view?i=113217</v>
      </c>
      <c r="L3335" s="36" t="s">
        <v>29089</v>
      </c>
      <c r="M3335" s="186"/>
      <c r="N3335" s="186"/>
      <c r="O3335" s="172"/>
    </row>
    <row r="3336" spans="1:15" x14ac:dyDescent="0.2">
      <c r="A3336" s="203" t="str">
        <f t="shared" si="52"/>
        <v>Es1Code_tsunami</v>
      </c>
      <c r="B3336" s="410"/>
      <c r="C3336" s="417"/>
      <c r="D3336" s="204" t="s">
        <v>29090</v>
      </c>
      <c r="E3336" s="204">
        <v>8</v>
      </c>
      <c r="F3336" s="205" t="s">
        <v>29091</v>
      </c>
      <c r="G3336" s="206" t="s">
        <v>29092</v>
      </c>
      <c r="H3336" s="207"/>
      <c r="I3336" s="347"/>
      <c r="J3336" s="39">
        <v>113218</v>
      </c>
      <c r="K3336" s="36" t="str">
        <f>CONCATENATE(Cover!$D$6,"fdd/view?i=",J3336)</f>
        <v>https://www.dgiwg.org/FAD/fdd/view?i=113218</v>
      </c>
      <c r="L3336" s="36" t="s">
        <v>29093</v>
      </c>
      <c r="M3336" s="186"/>
      <c r="N3336" s="186"/>
      <c r="O3336" s="172"/>
    </row>
    <row r="3337" spans="1:15" ht="165.75" x14ac:dyDescent="0.2">
      <c r="A3337" s="190" t="str">
        <f t="shared" si="52"/>
        <v>EmtCode_bodyWaveMagnitude</v>
      </c>
      <c r="B3337" s="414" t="str">
        <f>HYPERLINK("[#]Datatypes!A486:L486","EmtCode")</f>
        <v>EmtCode</v>
      </c>
      <c r="C3337" s="415" t="s">
        <v>15057</v>
      </c>
      <c r="D3337" s="221" t="s">
        <v>7089</v>
      </c>
      <c r="E3337" s="221">
        <v>2</v>
      </c>
      <c r="F3337" s="222" t="s">
        <v>7091</v>
      </c>
      <c r="G3337" s="223" t="s">
        <v>29094</v>
      </c>
      <c r="H3337" s="223" t="s">
        <v>29095</v>
      </c>
      <c r="I3337" s="345"/>
      <c r="J3337" s="39">
        <v>118675</v>
      </c>
      <c r="K3337" s="36" t="str">
        <f>CONCATENATE(Cover!$D$6,"fdd/view?i=",J3337)</f>
        <v>https://www.dgiwg.org/FAD/fdd/view?i=118675</v>
      </c>
      <c r="L3337" s="36" t="s">
        <v>29096</v>
      </c>
      <c r="M3337" s="186"/>
      <c r="N3337" s="186"/>
      <c r="O3337" s="172"/>
    </row>
    <row r="3338" spans="1:15" ht="102" x14ac:dyDescent="0.2">
      <c r="A3338" s="197" t="str">
        <f t="shared" si="52"/>
        <v>EmtCode_durationMagnitude</v>
      </c>
      <c r="B3338" s="409"/>
      <c r="C3338" s="416"/>
      <c r="D3338" s="198" t="s">
        <v>29097</v>
      </c>
      <c r="E3338" s="198">
        <v>7</v>
      </c>
      <c r="F3338" s="199" t="s">
        <v>29098</v>
      </c>
      <c r="G3338" s="1" t="s">
        <v>29099</v>
      </c>
      <c r="H3338" s="1" t="s">
        <v>29100</v>
      </c>
      <c r="I3338" s="346"/>
      <c r="J3338" s="39">
        <v>118680</v>
      </c>
      <c r="K3338" s="36" t="str">
        <f>CONCATENATE(Cover!$D$6,"fdd/view?i=",J3338)</f>
        <v>https://www.dgiwg.org/FAD/fdd/view?i=118680</v>
      </c>
      <c r="L3338" s="36" t="s">
        <v>29101</v>
      </c>
      <c r="M3338" s="186"/>
      <c r="N3338" s="186"/>
      <c r="O3338" s="172"/>
    </row>
    <row r="3339" spans="1:15" ht="178.5" x14ac:dyDescent="0.2">
      <c r="A3339" s="197" t="str">
        <f t="shared" si="52"/>
        <v>EmtCode_energyMagnitude</v>
      </c>
      <c r="B3339" s="409"/>
      <c r="C3339" s="416"/>
      <c r="D3339" s="198" t="s">
        <v>29102</v>
      </c>
      <c r="E3339" s="198">
        <v>4</v>
      </c>
      <c r="F3339" s="199" t="s">
        <v>29103</v>
      </c>
      <c r="G3339" s="1" t="s">
        <v>29104</v>
      </c>
      <c r="H3339" s="1" t="s">
        <v>29105</v>
      </c>
      <c r="I3339" s="346"/>
      <c r="J3339" s="39">
        <v>118677</v>
      </c>
      <c r="K3339" s="36" t="str">
        <f>CONCATENATE(Cover!$D$6,"fdd/view?i=",J3339)</f>
        <v>https://www.dgiwg.org/FAD/fdd/view?i=118677</v>
      </c>
      <c r="L3339" s="36" t="s">
        <v>29106</v>
      </c>
      <c r="M3339" s="186"/>
      <c r="N3339" s="186"/>
      <c r="O3339" s="172"/>
    </row>
    <row r="3340" spans="1:15" ht="102" x14ac:dyDescent="0.2">
      <c r="A3340" s="197" t="str">
        <f t="shared" si="52"/>
        <v>EmtCode_feltAreaMagnitude</v>
      </c>
      <c r="B3340" s="409"/>
      <c r="C3340" s="416"/>
      <c r="D3340" s="198" t="s">
        <v>29107</v>
      </c>
      <c r="E3340" s="198">
        <v>8</v>
      </c>
      <c r="F3340" s="199" t="s">
        <v>29108</v>
      </c>
      <c r="G3340" s="1" t="s">
        <v>29109</v>
      </c>
      <c r="H3340" s="1" t="s">
        <v>29110</v>
      </c>
      <c r="I3340" s="346"/>
      <c r="J3340" s="39">
        <v>118681</v>
      </c>
      <c r="K3340" s="36" t="str">
        <f>CONCATENATE(Cover!$D$6,"fdd/view?i=",J3340)</f>
        <v>https://www.dgiwg.org/FAD/fdd/view?i=118681</v>
      </c>
      <c r="L3340" s="36" t="s">
        <v>29111</v>
      </c>
      <c r="M3340" s="186"/>
      <c r="N3340" s="186"/>
      <c r="O3340" s="172"/>
    </row>
    <row r="3341" spans="1:15" ht="165.75" x14ac:dyDescent="0.2">
      <c r="A3341" s="197" t="str">
        <f t="shared" si="52"/>
        <v>EmtCode_localMagnitude</v>
      </c>
      <c r="B3341" s="409"/>
      <c r="C3341" s="416"/>
      <c r="D3341" s="198" t="s">
        <v>29112</v>
      </c>
      <c r="E3341" s="198">
        <v>5</v>
      </c>
      <c r="F3341" s="199" t="s">
        <v>29113</v>
      </c>
      <c r="G3341" s="1" t="s">
        <v>29114</v>
      </c>
      <c r="H3341" s="1" t="s">
        <v>29115</v>
      </c>
      <c r="I3341" s="351" t="s">
        <v>29116</v>
      </c>
      <c r="J3341" s="39">
        <v>118678</v>
      </c>
      <c r="K3341" s="36" t="str">
        <f>CONCATENATE(Cover!$D$6,"fdd/view?i=",J3341)</f>
        <v>https://www.dgiwg.org/FAD/fdd/view?i=118678</v>
      </c>
      <c r="L3341" s="36" t="s">
        <v>29117</v>
      </c>
      <c r="M3341" s="186"/>
      <c r="N3341" s="186"/>
      <c r="O3341" s="172"/>
    </row>
    <row r="3342" spans="1:15" ht="114.75" x14ac:dyDescent="0.2">
      <c r="A3342" s="197" t="str">
        <f t="shared" si="52"/>
        <v>EmtCode_localRegionalMagnitude</v>
      </c>
      <c r="B3342" s="409"/>
      <c r="C3342" s="416"/>
      <c r="D3342" s="198" t="s">
        <v>29118</v>
      </c>
      <c r="E3342" s="198">
        <v>6</v>
      </c>
      <c r="F3342" s="199" t="s">
        <v>29119</v>
      </c>
      <c r="G3342" s="1" t="s">
        <v>29120</v>
      </c>
      <c r="H3342" s="1" t="s">
        <v>29121</v>
      </c>
      <c r="I3342" s="346"/>
      <c r="J3342" s="39">
        <v>118679</v>
      </c>
      <c r="K3342" s="36" t="str">
        <f>CONCATENATE(Cover!$D$6,"fdd/view?i=",J3342)</f>
        <v>https://www.dgiwg.org/FAD/fdd/view?i=118679</v>
      </c>
      <c r="L3342" s="36" t="s">
        <v>29122</v>
      </c>
      <c r="M3342" s="186"/>
      <c r="N3342" s="186"/>
      <c r="O3342" s="172"/>
    </row>
    <row r="3343" spans="1:15" ht="114.75" x14ac:dyDescent="0.2">
      <c r="A3343" s="197" t="str">
        <f t="shared" si="52"/>
        <v>EmtCode_momentMagnitude</v>
      </c>
      <c r="B3343" s="409"/>
      <c r="C3343" s="416"/>
      <c r="D3343" s="198" t="s">
        <v>29123</v>
      </c>
      <c r="E3343" s="198">
        <v>3</v>
      </c>
      <c r="F3343" s="199" t="s">
        <v>29124</v>
      </c>
      <c r="G3343" s="1" t="s">
        <v>29125</v>
      </c>
      <c r="H3343" s="1" t="s">
        <v>29126</v>
      </c>
      <c r="I3343" s="346"/>
      <c r="J3343" s="39">
        <v>118676</v>
      </c>
      <c r="K3343" s="36" t="str">
        <f>CONCATENATE(Cover!$D$6,"fdd/view?i=",J3343)</f>
        <v>https://www.dgiwg.org/FAD/fdd/view?i=118676</v>
      </c>
      <c r="L3343" s="36" t="s">
        <v>29127</v>
      </c>
      <c r="M3343" s="186"/>
      <c r="N3343" s="186"/>
      <c r="O3343" s="172"/>
    </row>
    <row r="3344" spans="1:15" ht="204" x14ac:dyDescent="0.2">
      <c r="A3344" s="203" t="str">
        <f t="shared" si="52"/>
        <v>EmtCode_surfaceWaveMagnitude</v>
      </c>
      <c r="B3344" s="410"/>
      <c r="C3344" s="417"/>
      <c r="D3344" s="204" t="s">
        <v>13185</v>
      </c>
      <c r="E3344" s="204">
        <v>1</v>
      </c>
      <c r="F3344" s="205" t="s">
        <v>13187</v>
      </c>
      <c r="G3344" s="206" t="s">
        <v>29128</v>
      </c>
      <c r="H3344" s="206" t="s">
        <v>29129</v>
      </c>
      <c r="I3344" s="347"/>
      <c r="J3344" s="39">
        <v>118674</v>
      </c>
      <c r="K3344" s="36" t="str">
        <f>CONCATENATE(Cover!$D$6,"fdd/view?i=",J3344)</f>
        <v>https://www.dgiwg.org/FAD/fdd/view?i=118674</v>
      </c>
      <c r="L3344" s="36" t="s">
        <v>29130</v>
      </c>
      <c r="M3344" s="186"/>
      <c r="N3344" s="186"/>
      <c r="O3344" s="172"/>
    </row>
    <row r="3345" spans="1:15" ht="25.5" x14ac:dyDescent="0.2">
      <c r="A3345" s="190" t="str">
        <f t="shared" si="52"/>
        <v>Ed1Code_horizontalDisplacement</v>
      </c>
      <c r="B3345" s="414" t="str">
        <f>HYPERLINK("[#]Datatypes!A488:L488","Ed1Code")</f>
        <v>Ed1Code</v>
      </c>
      <c r="C3345" s="415" t="s">
        <v>15059</v>
      </c>
      <c r="D3345" s="221" t="s">
        <v>29131</v>
      </c>
      <c r="E3345" s="221">
        <v>1</v>
      </c>
      <c r="F3345" s="222" t="s">
        <v>29132</v>
      </c>
      <c r="G3345" s="223" t="s">
        <v>29133</v>
      </c>
      <c r="H3345" s="224"/>
      <c r="I3345" s="345"/>
      <c r="J3345" s="39">
        <v>113130</v>
      </c>
      <c r="K3345" s="36" t="str">
        <f>CONCATENATE(Cover!$D$6,"fdd/view?i=",J3345)</f>
        <v>https://www.dgiwg.org/FAD/fdd/view?i=113130</v>
      </c>
      <c r="L3345" s="36" t="s">
        <v>29134</v>
      </c>
      <c r="M3345" s="186"/>
      <c r="N3345" s="186"/>
      <c r="O3345" s="172"/>
    </row>
    <row r="3346" spans="1:15" ht="38.25" x14ac:dyDescent="0.2">
      <c r="A3346" s="197" t="str">
        <f t="shared" si="52"/>
        <v>Ed1Code_soilCompaction</v>
      </c>
      <c r="B3346" s="409"/>
      <c r="C3346" s="416"/>
      <c r="D3346" s="198" t="s">
        <v>29135</v>
      </c>
      <c r="E3346" s="198">
        <v>2</v>
      </c>
      <c r="F3346" s="199" t="s">
        <v>29136</v>
      </c>
      <c r="G3346" s="1" t="s">
        <v>29137</v>
      </c>
      <c r="H3346" s="200"/>
      <c r="I3346" s="351" t="s">
        <v>29138</v>
      </c>
      <c r="J3346" s="39">
        <v>113131</v>
      </c>
      <c r="K3346" s="36" t="str">
        <f>CONCATENATE(Cover!$D$6,"fdd/view?i=",J3346)</f>
        <v>https://www.dgiwg.org/FAD/fdd/view?i=113131</v>
      </c>
      <c r="L3346" s="36" t="s">
        <v>29139</v>
      </c>
      <c r="M3346" s="186"/>
      <c r="N3346" s="186"/>
      <c r="O3346" s="172"/>
    </row>
    <row r="3347" spans="1:15" ht="25.5" x14ac:dyDescent="0.2">
      <c r="A3347" s="197" t="str">
        <f t="shared" si="52"/>
        <v>Ed1Code_soilLiquefaction</v>
      </c>
      <c r="B3347" s="409"/>
      <c r="C3347" s="416"/>
      <c r="D3347" s="198" t="s">
        <v>29140</v>
      </c>
      <c r="E3347" s="198">
        <v>3</v>
      </c>
      <c r="F3347" s="199" t="s">
        <v>29141</v>
      </c>
      <c r="G3347" s="1" t="s">
        <v>29142</v>
      </c>
      <c r="H3347" s="1" t="s">
        <v>29143</v>
      </c>
      <c r="I3347" s="346"/>
      <c r="J3347" s="39">
        <v>113132</v>
      </c>
      <c r="K3347" s="36" t="str">
        <f>CONCATENATE(Cover!$D$6,"fdd/view?i=",J3347)</f>
        <v>https://www.dgiwg.org/FAD/fdd/view?i=113132</v>
      </c>
      <c r="L3347" s="36" t="s">
        <v>29144</v>
      </c>
      <c r="M3347" s="186"/>
      <c r="N3347" s="186"/>
      <c r="O3347" s="172"/>
    </row>
    <row r="3348" spans="1:15" ht="25.5" x14ac:dyDescent="0.2">
      <c r="A3348" s="203" t="str">
        <f t="shared" si="52"/>
        <v>Ed1Code_verticalDisplacement</v>
      </c>
      <c r="B3348" s="410"/>
      <c r="C3348" s="417"/>
      <c r="D3348" s="204" t="s">
        <v>29145</v>
      </c>
      <c r="E3348" s="204">
        <v>4</v>
      </c>
      <c r="F3348" s="205" t="s">
        <v>29146</v>
      </c>
      <c r="G3348" s="206" t="s">
        <v>29147</v>
      </c>
      <c r="H3348" s="207"/>
      <c r="I3348" s="347"/>
      <c r="J3348" s="39">
        <v>113133</v>
      </c>
      <c r="K3348" s="36" t="str">
        <f>CONCATENATE(Cover!$D$6,"fdd/view?i=",J3348)</f>
        <v>https://www.dgiwg.org/FAD/fdd/view?i=113133</v>
      </c>
      <c r="L3348" s="36" t="s">
        <v>29148</v>
      </c>
      <c r="M3348" s="186"/>
      <c r="N3348" s="186"/>
      <c r="O3348" s="172"/>
    </row>
    <row r="3349" spans="1:15" x14ac:dyDescent="0.2">
      <c r="A3349" s="190" t="str">
        <f t="shared" si="52"/>
        <v>ErbCode_agricultural</v>
      </c>
      <c r="B3349" s="414" t="str">
        <f>HYPERLINK("[#]Datatypes!A490:L490","ErbCode")</f>
        <v>ErbCode</v>
      </c>
      <c r="C3349" s="415" t="s">
        <v>15061</v>
      </c>
      <c r="D3349" s="221" t="s">
        <v>29149</v>
      </c>
      <c r="E3349" s="221">
        <v>1</v>
      </c>
      <c r="F3349" s="222" t="s">
        <v>29150</v>
      </c>
      <c r="G3349" s="223" t="s">
        <v>29151</v>
      </c>
      <c r="H3349" s="224"/>
      <c r="I3349" s="345"/>
      <c r="J3349" s="39">
        <v>111816</v>
      </c>
      <c r="K3349" s="36" t="str">
        <f>CONCATENATE(Cover!$D$6,"fdd/view?i=",J3349)</f>
        <v>https://www.dgiwg.org/FAD/fdd/view?i=111816</v>
      </c>
      <c r="L3349" s="36" t="s">
        <v>29152</v>
      </c>
      <c r="M3349" s="186"/>
      <c r="N3349" s="186"/>
      <c r="O3349" s="172"/>
    </row>
    <row r="3350" spans="1:15" x14ac:dyDescent="0.2">
      <c r="A3350" s="197" t="str">
        <f t="shared" si="52"/>
        <v>ErbCode_hunting</v>
      </c>
      <c r="B3350" s="409"/>
      <c r="C3350" s="416"/>
      <c r="D3350" s="198" t="s">
        <v>29153</v>
      </c>
      <c r="E3350" s="198">
        <v>2</v>
      </c>
      <c r="F3350" s="199" t="s">
        <v>29154</v>
      </c>
      <c r="G3350" s="1" t="s">
        <v>29155</v>
      </c>
      <c r="H3350" s="200"/>
      <c r="I3350" s="346"/>
      <c r="J3350" s="39">
        <v>111818</v>
      </c>
      <c r="K3350" s="36" t="str">
        <f>CONCATENATE(Cover!$D$6,"fdd/view?i=",J3350)</f>
        <v>https://www.dgiwg.org/FAD/fdd/view?i=111818</v>
      </c>
      <c r="L3350" s="36" t="s">
        <v>29156</v>
      </c>
      <c r="M3350" s="186"/>
      <c r="N3350" s="186"/>
      <c r="O3350" s="172"/>
    </row>
    <row r="3351" spans="1:15" x14ac:dyDescent="0.2">
      <c r="A3351" s="203" t="str">
        <f t="shared" si="52"/>
        <v>ErbCode_palmTree</v>
      </c>
      <c r="B3351" s="410"/>
      <c r="C3351" s="417"/>
      <c r="D3351" s="204" t="s">
        <v>29157</v>
      </c>
      <c r="E3351" s="204">
        <v>3</v>
      </c>
      <c r="F3351" s="205" t="s">
        <v>29158</v>
      </c>
      <c r="G3351" s="206" t="s">
        <v>29159</v>
      </c>
      <c r="H3351" s="207"/>
      <c r="I3351" s="347"/>
      <c r="J3351" s="39">
        <v>111820</v>
      </c>
      <c r="K3351" s="36" t="str">
        <f>CONCATENATE(Cover!$D$6,"fdd/view?i=",J3351)</f>
        <v>https://www.dgiwg.org/FAD/fdd/view?i=111820</v>
      </c>
      <c r="L3351" s="36" t="s">
        <v>29160</v>
      </c>
      <c r="M3351" s="186"/>
      <c r="N3351" s="186"/>
      <c r="O3351" s="172"/>
    </row>
    <row r="3352" spans="1:15" x14ac:dyDescent="0.2">
      <c r="A3352" s="190" t="str">
        <f t="shared" si="52"/>
        <v>EcoCode_afrotropic</v>
      </c>
      <c r="B3352" s="414" t="str">
        <f>HYPERLINK("[#]Datatypes!A492:L492","EcoCode")</f>
        <v>EcoCode</v>
      </c>
      <c r="C3352" s="415" t="s">
        <v>15063</v>
      </c>
      <c r="D3352" s="221" t="s">
        <v>29161</v>
      </c>
      <c r="E3352" s="221">
        <v>1</v>
      </c>
      <c r="F3352" s="222" t="s">
        <v>29162</v>
      </c>
      <c r="G3352" s="223" t="s">
        <v>29163</v>
      </c>
      <c r="H3352" s="224"/>
      <c r="I3352" s="345"/>
      <c r="J3352" s="39">
        <v>118666</v>
      </c>
      <c r="K3352" s="36" t="str">
        <f>CONCATENATE(Cover!$D$6,"fdd/view?i=",J3352)</f>
        <v>https://www.dgiwg.org/FAD/fdd/view?i=118666</v>
      </c>
      <c r="L3352" s="36" t="s">
        <v>29164</v>
      </c>
      <c r="M3352" s="186"/>
      <c r="N3352" s="186"/>
      <c r="O3352" s="172"/>
    </row>
    <row r="3353" spans="1:15" x14ac:dyDescent="0.2">
      <c r="A3353" s="197" t="str">
        <f t="shared" si="52"/>
        <v>EcoCode_antarctic</v>
      </c>
      <c r="B3353" s="409"/>
      <c r="C3353" s="416"/>
      <c r="D3353" s="198" t="s">
        <v>29165</v>
      </c>
      <c r="E3353" s="198">
        <v>2</v>
      </c>
      <c r="F3353" s="199" t="s">
        <v>29166</v>
      </c>
      <c r="G3353" s="1" t="s">
        <v>29167</v>
      </c>
      <c r="H3353" s="200"/>
      <c r="I3353" s="346"/>
      <c r="J3353" s="39">
        <v>118667</v>
      </c>
      <c r="K3353" s="36" t="str">
        <f>CONCATENATE(Cover!$D$6,"fdd/view?i=",J3353)</f>
        <v>https://www.dgiwg.org/FAD/fdd/view?i=118667</v>
      </c>
      <c r="L3353" s="36" t="s">
        <v>29168</v>
      </c>
      <c r="M3353" s="186"/>
      <c r="N3353" s="186"/>
      <c r="O3353" s="172"/>
    </row>
    <row r="3354" spans="1:15" x14ac:dyDescent="0.2">
      <c r="A3354" s="197" t="str">
        <f t="shared" si="52"/>
        <v>EcoCode_australasia</v>
      </c>
      <c r="B3354" s="409"/>
      <c r="C3354" s="416"/>
      <c r="D3354" s="198" t="s">
        <v>29169</v>
      </c>
      <c r="E3354" s="198">
        <v>3</v>
      </c>
      <c r="F3354" s="199" t="s">
        <v>29170</v>
      </c>
      <c r="G3354" s="1" t="s">
        <v>29171</v>
      </c>
      <c r="H3354" s="200"/>
      <c r="I3354" s="346"/>
      <c r="J3354" s="39">
        <v>118668</v>
      </c>
      <c r="K3354" s="36" t="str">
        <f>CONCATENATE(Cover!$D$6,"fdd/view?i=",J3354)</f>
        <v>https://www.dgiwg.org/FAD/fdd/view?i=118668</v>
      </c>
      <c r="L3354" s="36" t="s">
        <v>29172</v>
      </c>
      <c r="M3354" s="186"/>
      <c r="N3354" s="186"/>
      <c r="O3354" s="172"/>
    </row>
    <row r="3355" spans="1:15" x14ac:dyDescent="0.2">
      <c r="A3355" s="197" t="str">
        <f t="shared" si="52"/>
        <v>EcoCode_indoMalayan</v>
      </c>
      <c r="B3355" s="409"/>
      <c r="C3355" s="416"/>
      <c r="D3355" s="198" t="s">
        <v>29173</v>
      </c>
      <c r="E3355" s="198">
        <v>4</v>
      </c>
      <c r="F3355" s="199" t="s">
        <v>29174</v>
      </c>
      <c r="G3355" s="1" t="s">
        <v>29175</v>
      </c>
      <c r="H3355" s="200"/>
      <c r="I3355" s="346"/>
      <c r="J3355" s="39">
        <v>118669</v>
      </c>
      <c r="K3355" s="36" t="str">
        <f>CONCATENATE(Cover!$D$6,"fdd/view?i=",J3355)</f>
        <v>https://www.dgiwg.org/FAD/fdd/view?i=118669</v>
      </c>
      <c r="L3355" s="36" t="s">
        <v>29176</v>
      </c>
      <c r="M3355" s="186"/>
      <c r="N3355" s="186"/>
      <c r="O3355" s="172"/>
    </row>
    <row r="3356" spans="1:15" x14ac:dyDescent="0.2">
      <c r="A3356" s="197" t="str">
        <f t="shared" si="52"/>
        <v>EcoCode_nearctic</v>
      </c>
      <c r="B3356" s="409"/>
      <c r="C3356" s="416"/>
      <c r="D3356" s="198" t="s">
        <v>29177</v>
      </c>
      <c r="E3356" s="198">
        <v>5</v>
      </c>
      <c r="F3356" s="199" t="s">
        <v>29178</v>
      </c>
      <c r="G3356" s="1" t="s">
        <v>29179</v>
      </c>
      <c r="H3356" s="200"/>
      <c r="I3356" s="346"/>
      <c r="J3356" s="39">
        <v>118670</v>
      </c>
      <c r="K3356" s="36" t="str">
        <f>CONCATENATE(Cover!$D$6,"fdd/view?i=",J3356)</f>
        <v>https://www.dgiwg.org/FAD/fdd/view?i=118670</v>
      </c>
      <c r="L3356" s="36" t="s">
        <v>29180</v>
      </c>
      <c r="M3356" s="186"/>
      <c r="N3356" s="186"/>
      <c r="O3356" s="172"/>
    </row>
    <row r="3357" spans="1:15" x14ac:dyDescent="0.2">
      <c r="A3357" s="197" t="str">
        <f t="shared" si="52"/>
        <v>EcoCode_neotropic</v>
      </c>
      <c r="B3357" s="409"/>
      <c r="C3357" s="416"/>
      <c r="D3357" s="198" t="s">
        <v>29181</v>
      </c>
      <c r="E3357" s="198">
        <v>6</v>
      </c>
      <c r="F3357" s="199" t="s">
        <v>29182</v>
      </c>
      <c r="G3357" s="1" t="s">
        <v>29183</v>
      </c>
      <c r="H3357" s="200"/>
      <c r="I3357" s="346"/>
      <c r="J3357" s="39">
        <v>118671</v>
      </c>
      <c r="K3357" s="36" t="str">
        <f>CONCATENATE(Cover!$D$6,"fdd/view?i=",J3357)</f>
        <v>https://www.dgiwg.org/FAD/fdd/view?i=118671</v>
      </c>
      <c r="L3357" s="36" t="s">
        <v>29184</v>
      </c>
      <c r="M3357" s="186"/>
      <c r="N3357" s="186"/>
      <c r="O3357" s="172"/>
    </row>
    <row r="3358" spans="1:15" x14ac:dyDescent="0.2">
      <c r="A3358" s="197" t="str">
        <f t="shared" si="52"/>
        <v>EcoCode_oceania</v>
      </c>
      <c r="B3358" s="409"/>
      <c r="C3358" s="416"/>
      <c r="D3358" s="198" t="s">
        <v>29185</v>
      </c>
      <c r="E3358" s="198">
        <v>7</v>
      </c>
      <c r="F3358" s="199" t="s">
        <v>29186</v>
      </c>
      <c r="G3358" s="1" t="s">
        <v>29187</v>
      </c>
      <c r="H3358" s="200"/>
      <c r="I3358" s="346"/>
      <c r="J3358" s="39">
        <v>118672</v>
      </c>
      <c r="K3358" s="36" t="str">
        <f>CONCATENATE(Cover!$D$6,"fdd/view?i=",J3358)</f>
        <v>https://www.dgiwg.org/FAD/fdd/view?i=118672</v>
      </c>
      <c r="L3358" s="36" t="s">
        <v>29188</v>
      </c>
      <c r="M3358" s="186"/>
      <c r="N3358" s="186"/>
      <c r="O3358" s="172"/>
    </row>
    <row r="3359" spans="1:15" x14ac:dyDescent="0.2">
      <c r="A3359" s="203" t="str">
        <f t="shared" si="52"/>
        <v>EcoCode_palearctic</v>
      </c>
      <c r="B3359" s="410"/>
      <c r="C3359" s="417"/>
      <c r="D3359" s="204" t="s">
        <v>29189</v>
      </c>
      <c r="E3359" s="204">
        <v>8</v>
      </c>
      <c r="F3359" s="205" t="s">
        <v>29190</v>
      </c>
      <c r="G3359" s="206" t="s">
        <v>29191</v>
      </c>
      <c r="H3359" s="207"/>
      <c r="I3359" s="347"/>
      <c r="J3359" s="39">
        <v>118673</v>
      </c>
      <c r="K3359" s="36" t="str">
        <f>CONCATENATE(Cover!$D$6,"fdd/view?i=",J3359)</f>
        <v>https://www.dgiwg.org/FAD/fdd/view?i=118673</v>
      </c>
      <c r="L3359" s="36" t="s">
        <v>29192</v>
      </c>
      <c r="M3359" s="186"/>
      <c r="N3359" s="186"/>
      <c r="O3359" s="172"/>
    </row>
    <row r="3360" spans="1:15" ht="25.5" x14ac:dyDescent="0.2">
      <c r="A3360" s="190" t="str">
        <f t="shared" si="52"/>
        <v>EbtCode_academy</v>
      </c>
      <c r="B3360" s="414" t="str">
        <f>HYPERLINK("[#]Datatypes!A494:L494","EbtCode")</f>
        <v>EbtCode</v>
      </c>
      <c r="C3360" s="415" t="s">
        <v>15065</v>
      </c>
      <c r="D3360" s="221" t="s">
        <v>29193</v>
      </c>
      <c r="E3360" s="221">
        <v>1</v>
      </c>
      <c r="F3360" s="222" t="s">
        <v>29194</v>
      </c>
      <c r="G3360" s="223" t="s">
        <v>29195</v>
      </c>
      <c r="H3360" s="223" t="s">
        <v>29196</v>
      </c>
      <c r="I3360" s="345"/>
      <c r="J3360" s="39">
        <v>103448</v>
      </c>
      <c r="K3360" s="36" t="str">
        <f>CONCATENATE(Cover!$D$6,"fdd/view?i=",J3360)</f>
        <v>https://www.dgiwg.org/FAD/fdd/view?i=103448</v>
      </c>
      <c r="L3360" s="36" t="s">
        <v>29197</v>
      </c>
      <c r="M3360" s="186"/>
      <c r="N3360" s="186"/>
      <c r="O3360" s="172"/>
    </row>
    <row r="3361" spans="1:15" ht="89.25" x14ac:dyDescent="0.2">
      <c r="A3361" s="197" t="str">
        <f t="shared" si="52"/>
        <v>EbtCode_college</v>
      </c>
      <c r="B3361" s="409"/>
      <c r="C3361" s="416"/>
      <c r="D3361" s="198" t="s">
        <v>29198</v>
      </c>
      <c r="E3361" s="198">
        <v>2</v>
      </c>
      <c r="F3361" s="199" t="s">
        <v>29199</v>
      </c>
      <c r="G3361" s="1" t="s">
        <v>29200</v>
      </c>
      <c r="H3361" s="200"/>
      <c r="I3361" s="346"/>
      <c r="J3361" s="39">
        <v>103449</v>
      </c>
      <c r="K3361" s="36" t="str">
        <f>CONCATENATE(Cover!$D$6,"fdd/view?i=",J3361)</f>
        <v>https://www.dgiwg.org/FAD/fdd/view?i=103449</v>
      </c>
      <c r="L3361" s="36" t="s">
        <v>29201</v>
      </c>
      <c r="M3361" s="186"/>
      <c r="N3361" s="186"/>
      <c r="O3361" s="172"/>
    </row>
    <row r="3362" spans="1:15" ht="38.25" x14ac:dyDescent="0.2">
      <c r="A3362" s="197" t="str">
        <f t="shared" si="52"/>
        <v>EbtCode_collegiate</v>
      </c>
      <c r="B3362" s="409"/>
      <c r="C3362" s="416"/>
      <c r="D3362" s="198" t="s">
        <v>29202</v>
      </c>
      <c r="E3362" s="198">
        <v>7</v>
      </c>
      <c r="F3362" s="199" t="s">
        <v>29203</v>
      </c>
      <c r="G3362" s="1" t="s">
        <v>29204</v>
      </c>
      <c r="H3362" s="200"/>
      <c r="I3362" s="351" t="s">
        <v>29205</v>
      </c>
      <c r="J3362" s="39">
        <v>103454</v>
      </c>
      <c r="K3362" s="36" t="str">
        <f>CONCATENATE(Cover!$D$6,"fdd/view?i=",J3362)</f>
        <v>https://www.dgiwg.org/FAD/fdd/view?i=103454</v>
      </c>
      <c r="L3362" s="36" t="s">
        <v>29206</v>
      </c>
      <c r="M3362" s="186"/>
      <c r="N3362" s="186"/>
      <c r="O3362" s="172"/>
    </row>
    <row r="3363" spans="1:15" ht="25.5" x14ac:dyDescent="0.2">
      <c r="A3363" s="197" t="str">
        <f t="shared" si="52"/>
        <v>EbtCode_educationalCentre</v>
      </c>
      <c r="B3363" s="409"/>
      <c r="C3363" s="416"/>
      <c r="D3363" s="198" t="s">
        <v>29207</v>
      </c>
      <c r="E3363" s="198">
        <v>3</v>
      </c>
      <c r="F3363" s="199" t="s">
        <v>29208</v>
      </c>
      <c r="G3363" s="1" t="s">
        <v>29209</v>
      </c>
      <c r="H3363" s="200"/>
      <c r="I3363" s="346"/>
      <c r="J3363" s="39">
        <v>103450</v>
      </c>
      <c r="K3363" s="36" t="str">
        <f>CONCATENATE(Cover!$D$6,"fdd/view?i=",J3363)</f>
        <v>https://www.dgiwg.org/FAD/fdd/view?i=103450</v>
      </c>
      <c r="L3363" s="36" t="s">
        <v>29210</v>
      </c>
      <c r="M3363" s="186"/>
      <c r="N3363" s="186"/>
      <c r="O3363" s="172"/>
    </row>
    <row r="3364" spans="1:15" x14ac:dyDescent="0.2">
      <c r="A3364" s="197" t="str">
        <f t="shared" si="52"/>
        <v>EbtCode_school</v>
      </c>
      <c r="B3364" s="409"/>
      <c r="C3364" s="416"/>
      <c r="D3364" s="198" t="s">
        <v>29211</v>
      </c>
      <c r="E3364" s="198">
        <v>9</v>
      </c>
      <c r="F3364" s="199" t="s">
        <v>29212</v>
      </c>
      <c r="G3364" s="1" t="s">
        <v>29213</v>
      </c>
      <c r="H3364" s="200"/>
      <c r="I3364" s="346"/>
      <c r="J3364" s="39">
        <v>103456</v>
      </c>
      <c r="K3364" s="36" t="str">
        <f>CONCATENATE(Cover!$D$6,"fdd/view?i=",J3364)</f>
        <v>https://www.dgiwg.org/FAD/fdd/view?i=103456</v>
      </c>
      <c r="L3364" s="36" t="s">
        <v>29214</v>
      </c>
      <c r="M3364" s="186"/>
      <c r="N3364" s="186"/>
      <c r="O3364" s="172"/>
    </row>
    <row r="3365" spans="1:15" ht="25.5" x14ac:dyDescent="0.2">
      <c r="A3365" s="197" t="str">
        <f t="shared" si="52"/>
        <v>EbtCode_seminary</v>
      </c>
      <c r="B3365" s="409"/>
      <c r="C3365" s="416"/>
      <c r="D3365" s="198" t="s">
        <v>29215</v>
      </c>
      <c r="E3365" s="198">
        <v>6</v>
      </c>
      <c r="F3365" s="199" t="s">
        <v>29216</v>
      </c>
      <c r="G3365" s="1" t="s">
        <v>29217</v>
      </c>
      <c r="H3365" s="200"/>
      <c r="I3365" s="346"/>
      <c r="J3365" s="39">
        <v>103453</v>
      </c>
      <c r="K3365" s="36" t="str">
        <f>CONCATENATE(Cover!$D$6,"fdd/view?i=",J3365)</f>
        <v>https://www.dgiwg.org/FAD/fdd/view?i=103453</v>
      </c>
      <c r="L3365" s="36" t="s">
        <v>29218</v>
      </c>
      <c r="M3365" s="186"/>
      <c r="N3365" s="186"/>
      <c r="O3365" s="172"/>
    </row>
    <row r="3366" spans="1:15" ht="51" x14ac:dyDescent="0.2">
      <c r="A3366" s="203" t="str">
        <f t="shared" si="52"/>
        <v>EbtCode_university</v>
      </c>
      <c r="B3366" s="410"/>
      <c r="C3366" s="417"/>
      <c r="D3366" s="204" t="s">
        <v>29219</v>
      </c>
      <c r="E3366" s="204">
        <v>5</v>
      </c>
      <c r="F3366" s="205" t="s">
        <v>29220</v>
      </c>
      <c r="G3366" s="206" t="s">
        <v>29221</v>
      </c>
      <c r="H3366" s="207"/>
      <c r="I3366" s="347"/>
      <c r="J3366" s="39">
        <v>103452</v>
      </c>
      <c r="K3366" s="36" t="str">
        <f>CONCATENATE(Cover!$D$6,"fdd/view?i=",J3366)</f>
        <v>https://www.dgiwg.org/FAD/fdd/view?i=103452</v>
      </c>
      <c r="L3366" s="36" t="s">
        <v>29222</v>
      </c>
      <c r="M3366" s="186"/>
      <c r="N3366" s="186"/>
      <c r="O3366" s="172"/>
    </row>
    <row r="3367" spans="1:15" x14ac:dyDescent="0.2">
      <c r="A3367" s="190" t="str">
        <f t="shared" si="52"/>
        <v>ElaCode_accurate</v>
      </c>
      <c r="B3367" s="414" t="str">
        <f>HYPERLINK("[#]Datatypes!A496:L496","ElaCode")</f>
        <v>ElaCode</v>
      </c>
      <c r="C3367" s="415" t="s">
        <v>15067</v>
      </c>
      <c r="D3367" s="221" t="s">
        <v>29223</v>
      </c>
      <c r="E3367" s="221">
        <v>1</v>
      </c>
      <c r="F3367" s="222" t="s">
        <v>29224</v>
      </c>
      <c r="G3367" s="223" t="s">
        <v>29225</v>
      </c>
      <c r="H3367" s="224"/>
      <c r="I3367" s="345"/>
      <c r="J3367" s="39">
        <v>103461</v>
      </c>
      <c r="K3367" s="36" t="str">
        <f>CONCATENATE(Cover!$D$6,"fdd/view?i=",J3367)</f>
        <v>https://www.dgiwg.org/FAD/fdd/view?i=103461</v>
      </c>
      <c r="L3367" s="36" t="s">
        <v>29226</v>
      </c>
      <c r="M3367" s="186"/>
      <c r="N3367" s="186"/>
      <c r="O3367" s="172"/>
    </row>
    <row r="3368" spans="1:15" ht="25.5" x14ac:dyDescent="0.2">
      <c r="A3368" s="203" t="str">
        <f t="shared" si="52"/>
        <v>ElaCode_approximate</v>
      </c>
      <c r="B3368" s="410"/>
      <c r="C3368" s="417"/>
      <c r="D3368" s="204" t="s">
        <v>29227</v>
      </c>
      <c r="E3368" s="204">
        <v>2</v>
      </c>
      <c r="F3368" s="205" t="s">
        <v>29228</v>
      </c>
      <c r="G3368" s="206" t="s">
        <v>29229</v>
      </c>
      <c r="H3368" s="207"/>
      <c r="I3368" s="347"/>
      <c r="J3368" s="39">
        <v>103462</v>
      </c>
      <c r="K3368" s="36" t="str">
        <f>CONCATENATE(Cover!$D$6,"fdd/view?i=",J3368)</f>
        <v>https://www.dgiwg.org/FAD/fdd/view?i=103462</v>
      </c>
      <c r="L3368" s="36" t="s">
        <v>29230</v>
      </c>
      <c r="M3368" s="186"/>
      <c r="N3368" s="186"/>
      <c r="O3368" s="172"/>
    </row>
    <row r="3369" spans="1:15" ht="25.5" x14ac:dyDescent="0.2">
      <c r="A3369" s="190" t="str">
        <f t="shared" si="52"/>
        <v>EscCode_inlandWater</v>
      </c>
      <c r="B3369" s="414" t="str">
        <f>HYPERLINK("[#]Datatypes!A498:L498","EscCode")</f>
        <v>EscCode</v>
      </c>
      <c r="C3369" s="415" t="s">
        <v>15069</v>
      </c>
      <c r="D3369" s="221" t="s">
        <v>29231</v>
      </c>
      <c r="E3369" s="221">
        <v>5</v>
      </c>
      <c r="F3369" s="222" t="s">
        <v>3649</v>
      </c>
      <c r="G3369" s="223" t="s">
        <v>29232</v>
      </c>
      <c r="H3369" s="223" t="s">
        <v>29233</v>
      </c>
      <c r="I3369" s="345"/>
      <c r="J3369" s="39">
        <v>111830</v>
      </c>
      <c r="K3369" s="36" t="str">
        <f>CONCATENATE(Cover!$D$6,"fdd/view?i=",J3369)</f>
        <v>https://www.dgiwg.org/FAD/fdd/view?i=111830</v>
      </c>
      <c r="L3369" s="36" t="s">
        <v>29234</v>
      </c>
      <c r="M3369" s="186"/>
      <c r="N3369" s="186"/>
      <c r="O3369" s="172"/>
    </row>
    <row r="3370" spans="1:15" ht="25.5" x14ac:dyDescent="0.2">
      <c r="A3370" s="197" t="str">
        <f t="shared" si="52"/>
        <v>EscCode_land</v>
      </c>
      <c r="B3370" s="409"/>
      <c r="C3370" s="416"/>
      <c r="D3370" s="198" t="s">
        <v>29235</v>
      </c>
      <c r="E3370" s="198">
        <v>1</v>
      </c>
      <c r="F3370" s="199" t="s">
        <v>29236</v>
      </c>
      <c r="G3370" s="1" t="s">
        <v>29237</v>
      </c>
      <c r="H3370" s="1" t="s">
        <v>29238</v>
      </c>
      <c r="I3370" s="346"/>
      <c r="J3370" s="39">
        <v>111822</v>
      </c>
      <c r="K3370" s="36" t="str">
        <f>CONCATENATE(Cover!$D$6,"fdd/view?i=",J3370)</f>
        <v>https://www.dgiwg.org/FAD/fdd/view?i=111822</v>
      </c>
      <c r="L3370" s="36" t="s">
        <v>29239</v>
      </c>
      <c r="M3370" s="186"/>
      <c r="N3370" s="186"/>
      <c r="O3370" s="172"/>
    </row>
    <row r="3371" spans="1:15" ht="25.5" x14ac:dyDescent="0.2">
      <c r="A3371" s="197" t="str">
        <f t="shared" si="52"/>
        <v>EscCode_snowIceField</v>
      </c>
      <c r="B3371" s="409"/>
      <c r="C3371" s="416"/>
      <c r="D3371" s="198" t="s">
        <v>29240</v>
      </c>
      <c r="E3371" s="198">
        <v>2</v>
      </c>
      <c r="F3371" s="199" t="s">
        <v>5124</v>
      </c>
      <c r="G3371" s="1" t="s">
        <v>29241</v>
      </c>
      <c r="H3371" s="1" t="s">
        <v>29242</v>
      </c>
      <c r="I3371" s="346"/>
      <c r="J3371" s="39">
        <v>111824</v>
      </c>
      <c r="K3371" s="36" t="str">
        <f>CONCATENATE(Cover!$D$6,"fdd/view?i=",J3371)</f>
        <v>https://www.dgiwg.org/FAD/fdd/view?i=111824</v>
      </c>
      <c r="L3371" s="36" t="s">
        <v>29243</v>
      </c>
      <c r="M3371" s="186"/>
      <c r="N3371" s="186"/>
      <c r="O3371" s="172"/>
    </row>
    <row r="3372" spans="1:15" ht="25.5" x14ac:dyDescent="0.2">
      <c r="A3372" s="197" t="str">
        <f t="shared" si="52"/>
        <v>EscCode_tidalWater</v>
      </c>
      <c r="B3372" s="409"/>
      <c r="C3372" s="416"/>
      <c r="D3372" s="198" t="s">
        <v>29244</v>
      </c>
      <c r="E3372" s="198">
        <v>6</v>
      </c>
      <c r="F3372" s="199" t="s">
        <v>5474</v>
      </c>
      <c r="G3372" s="1" t="s">
        <v>29245</v>
      </c>
      <c r="H3372" s="1" t="s">
        <v>29246</v>
      </c>
      <c r="I3372" s="346"/>
      <c r="J3372" s="39">
        <v>119717</v>
      </c>
      <c r="K3372" s="36" t="str">
        <f>CONCATENATE(Cover!$D$6,"fdd/view?i=",J3372)</f>
        <v>https://www.dgiwg.org/FAD/fdd/view?i=119717</v>
      </c>
      <c r="L3372" s="36" t="s">
        <v>29247</v>
      </c>
      <c r="M3372" s="186"/>
      <c r="N3372" s="186"/>
      <c r="O3372" s="172"/>
    </row>
    <row r="3373" spans="1:15" ht="38.25" x14ac:dyDescent="0.2">
      <c r="A3373" s="197" t="str">
        <f t="shared" si="52"/>
        <v>EscCode_vegetation</v>
      </c>
      <c r="B3373" s="409"/>
      <c r="C3373" s="416"/>
      <c r="D3373" s="198" t="s">
        <v>29248</v>
      </c>
      <c r="E3373" s="198">
        <v>4</v>
      </c>
      <c r="F3373" s="199" t="s">
        <v>29249</v>
      </c>
      <c r="G3373" s="1" t="s">
        <v>29250</v>
      </c>
      <c r="H3373" s="1" t="s">
        <v>29251</v>
      </c>
      <c r="I3373" s="346"/>
      <c r="J3373" s="39">
        <v>111828</v>
      </c>
      <c r="K3373" s="36" t="str">
        <f>CONCATENATE(Cover!$D$6,"fdd/view?i=",J3373)</f>
        <v>https://www.dgiwg.org/FAD/fdd/view?i=111828</v>
      </c>
      <c r="L3373" s="36" t="s">
        <v>29252</v>
      </c>
      <c r="M3373" s="186"/>
      <c r="N3373" s="186"/>
      <c r="O3373" s="172"/>
    </row>
    <row r="3374" spans="1:15" x14ac:dyDescent="0.2">
      <c r="A3374" s="203" t="str">
        <f t="shared" si="52"/>
        <v>EscCode_water</v>
      </c>
      <c r="B3374" s="410"/>
      <c r="C3374" s="417"/>
      <c r="D3374" s="204" t="s">
        <v>19606</v>
      </c>
      <c r="E3374" s="204">
        <v>3</v>
      </c>
      <c r="F3374" s="205" t="s">
        <v>19607</v>
      </c>
      <c r="G3374" s="206" t="s">
        <v>29253</v>
      </c>
      <c r="H3374" s="206" t="s">
        <v>29254</v>
      </c>
      <c r="I3374" s="347"/>
      <c r="J3374" s="39">
        <v>111826</v>
      </c>
      <c r="K3374" s="36" t="str">
        <f>CONCATENATE(Cover!$D$6,"fdd/view?i=",J3374)</f>
        <v>https://www.dgiwg.org/FAD/fdd/view?i=111826</v>
      </c>
      <c r="L3374" s="36" t="s">
        <v>29255</v>
      </c>
      <c r="M3374" s="186"/>
      <c r="N3374" s="186"/>
      <c r="O3374" s="172"/>
    </row>
    <row r="3375" spans="1:15" ht="25.5" x14ac:dyDescent="0.2">
      <c r="A3375" s="190" t="str">
        <f t="shared" si="52"/>
        <v>FicCode_causewaySupport</v>
      </c>
      <c r="B3375" s="414" t="str">
        <f>HYPERLINK("[#]Datatypes!A500:L500","FicCode")</f>
        <v>FicCode</v>
      </c>
      <c r="C3375" s="415" t="s">
        <v>15071</v>
      </c>
      <c r="D3375" s="221" t="s">
        <v>29256</v>
      </c>
      <c r="E3375" s="221">
        <v>4</v>
      </c>
      <c r="F3375" s="222" t="s">
        <v>29257</v>
      </c>
      <c r="G3375" s="223" t="s">
        <v>29258</v>
      </c>
      <c r="H3375" s="223" t="s">
        <v>29259</v>
      </c>
      <c r="I3375" s="345"/>
      <c r="J3375" s="39">
        <v>108119</v>
      </c>
      <c r="K3375" s="36" t="str">
        <f>CONCATENATE(Cover!$D$6,"fdd/view?i=",J3375)</f>
        <v>https://www.dgiwg.org/FAD/fdd/view?i=108119</v>
      </c>
      <c r="L3375" s="36" t="s">
        <v>29260</v>
      </c>
      <c r="M3375" s="186"/>
      <c r="N3375" s="186"/>
      <c r="O3375" s="172"/>
    </row>
    <row r="3376" spans="1:15" ht="25.5" x14ac:dyDescent="0.2">
      <c r="A3376" s="197" t="str">
        <f t="shared" si="52"/>
        <v>FicCode_divider</v>
      </c>
      <c r="B3376" s="409"/>
      <c r="C3376" s="416"/>
      <c r="D3376" s="198" t="s">
        <v>29261</v>
      </c>
      <c r="E3376" s="198">
        <v>6</v>
      </c>
      <c r="F3376" s="199" t="s">
        <v>29262</v>
      </c>
      <c r="G3376" s="1" t="s">
        <v>29263</v>
      </c>
      <c r="H3376" s="200"/>
      <c r="I3376" s="346"/>
      <c r="J3376" s="39">
        <v>118038</v>
      </c>
      <c r="K3376" s="36" t="str">
        <f>CONCATENATE(Cover!$D$6,"fdd/view?i=",J3376)</f>
        <v>https://www.dgiwg.org/FAD/fdd/view?i=118038</v>
      </c>
      <c r="L3376" s="36" t="s">
        <v>29264</v>
      </c>
      <c r="M3376" s="186"/>
      <c r="N3376" s="186"/>
      <c r="O3376" s="172"/>
    </row>
    <row r="3377" spans="1:15" x14ac:dyDescent="0.2">
      <c r="A3377" s="197" t="str">
        <f t="shared" si="52"/>
        <v>FicCode_dyke</v>
      </c>
      <c r="B3377" s="409"/>
      <c r="C3377" s="416"/>
      <c r="D3377" s="198" t="s">
        <v>29265</v>
      </c>
      <c r="E3377" s="198">
        <v>3</v>
      </c>
      <c r="F3377" s="199" t="s">
        <v>2906</v>
      </c>
      <c r="G3377" s="1" t="s">
        <v>29266</v>
      </c>
      <c r="H3377" s="200"/>
      <c r="I3377" s="351" t="s">
        <v>2909</v>
      </c>
      <c r="J3377" s="39">
        <v>108117</v>
      </c>
      <c r="K3377" s="36" t="str">
        <f>CONCATENATE(Cover!$D$6,"fdd/view?i=",J3377)</f>
        <v>https://www.dgiwg.org/FAD/fdd/view?i=108117</v>
      </c>
      <c r="L3377" s="36" t="s">
        <v>29267</v>
      </c>
      <c r="M3377" s="186"/>
      <c r="N3377" s="186"/>
      <c r="O3377" s="172"/>
    </row>
    <row r="3378" spans="1:15" ht="38.25" x14ac:dyDescent="0.2">
      <c r="A3378" s="197" t="str">
        <f t="shared" si="52"/>
        <v>FicCode_fill</v>
      </c>
      <c r="B3378" s="409"/>
      <c r="C3378" s="416"/>
      <c r="D3378" s="198" t="s">
        <v>29268</v>
      </c>
      <c r="E3378" s="198">
        <v>2</v>
      </c>
      <c r="F3378" s="199" t="s">
        <v>2952</v>
      </c>
      <c r="G3378" s="1" t="s">
        <v>29269</v>
      </c>
      <c r="H3378" s="1" t="s">
        <v>29270</v>
      </c>
      <c r="I3378" s="346"/>
      <c r="J3378" s="39">
        <v>103691</v>
      </c>
      <c r="K3378" s="36" t="str">
        <f>CONCATENATE(Cover!$D$6,"fdd/view?i=",J3378)</f>
        <v>https://www.dgiwg.org/FAD/fdd/view?i=103691</v>
      </c>
      <c r="L3378" s="36" t="s">
        <v>29271</v>
      </c>
      <c r="M3378" s="186"/>
      <c r="N3378" s="186"/>
      <c r="O3378" s="172"/>
    </row>
    <row r="3379" spans="1:15" ht="38.25" x14ac:dyDescent="0.2">
      <c r="A3379" s="197" t="str">
        <f t="shared" si="52"/>
        <v>FicCode_levee</v>
      </c>
      <c r="B3379" s="409"/>
      <c r="C3379" s="416"/>
      <c r="D3379" s="198" t="s">
        <v>29272</v>
      </c>
      <c r="E3379" s="198">
        <v>5</v>
      </c>
      <c r="F3379" s="199" t="s">
        <v>29273</v>
      </c>
      <c r="G3379" s="1" t="s">
        <v>29274</v>
      </c>
      <c r="H3379" s="200"/>
      <c r="I3379" s="346"/>
      <c r="J3379" s="39">
        <v>112732</v>
      </c>
      <c r="K3379" s="36" t="str">
        <f>CONCATENATE(Cover!$D$6,"fdd/view?i=",J3379)</f>
        <v>https://www.dgiwg.org/FAD/fdd/view?i=112732</v>
      </c>
      <c r="L3379" s="36" t="s">
        <v>29275</v>
      </c>
      <c r="M3379" s="186"/>
      <c r="N3379" s="186"/>
      <c r="O3379" s="172"/>
    </row>
    <row r="3380" spans="1:15" x14ac:dyDescent="0.2">
      <c r="A3380" s="203" t="str">
        <f t="shared" si="52"/>
        <v>FicCode_mound</v>
      </c>
      <c r="B3380" s="410"/>
      <c r="C3380" s="417"/>
      <c r="D3380" s="204" t="s">
        <v>29276</v>
      </c>
      <c r="E3380" s="204">
        <v>1</v>
      </c>
      <c r="F3380" s="205" t="s">
        <v>29277</v>
      </c>
      <c r="G3380" s="206" t="s">
        <v>29278</v>
      </c>
      <c r="H3380" s="206" t="s">
        <v>29279</v>
      </c>
      <c r="I3380" s="347"/>
      <c r="J3380" s="39">
        <v>103690</v>
      </c>
      <c r="K3380" s="36" t="str">
        <f>CONCATENATE(Cover!$D$6,"fdd/view?i=",J3380)</f>
        <v>https://www.dgiwg.org/FAD/fdd/view?i=103690</v>
      </c>
      <c r="L3380" s="36" t="s">
        <v>29280</v>
      </c>
      <c r="M3380" s="186"/>
      <c r="N3380" s="186"/>
      <c r="O3380" s="172"/>
    </row>
    <row r="3381" spans="1:15" x14ac:dyDescent="0.2">
      <c r="A3381" s="190" t="str">
        <f t="shared" si="52"/>
        <v>ApoCode_atmosphere</v>
      </c>
      <c r="B3381" s="414" t="str">
        <f>HYPERLINK("[#]Datatypes!A502:L502","ApoCode")</f>
        <v>ApoCode</v>
      </c>
      <c r="C3381" s="415" t="s">
        <v>15073</v>
      </c>
      <c r="D3381" s="221" t="s">
        <v>29281</v>
      </c>
      <c r="E3381" s="221">
        <v>4</v>
      </c>
      <c r="F3381" s="222" t="s">
        <v>29282</v>
      </c>
      <c r="G3381" s="223" t="s">
        <v>29283</v>
      </c>
      <c r="H3381" s="224"/>
      <c r="I3381" s="345"/>
      <c r="J3381" s="39">
        <v>112958</v>
      </c>
      <c r="K3381" s="36" t="str">
        <f>CONCATENATE(Cover!$D$6,"fdd/view?i=",J3381)</f>
        <v>https://www.dgiwg.org/FAD/fdd/view?i=112958</v>
      </c>
      <c r="L3381" s="36" t="s">
        <v>29284</v>
      </c>
      <c r="M3381" s="186"/>
      <c r="N3381" s="186"/>
      <c r="O3381" s="172"/>
    </row>
    <row r="3382" spans="1:15" x14ac:dyDescent="0.2">
      <c r="A3382" s="197" t="str">
        <f t="shared" si="52"/>
        <v>ApoCode_fauna</v>
      </c>
      <c r="B3382" s="409"/>
      <c r="C3382" s="416"/>
      <c r="D3382" s="198" t="s">
        <v>29285</v>
      </c>
      <c r="E3382" s="198">
        <v>5</v>
      </c>
      <c r="F3382" s="199" t="s">
        <v>29286</v>
      </c>
      <c r="G3382" s="1" t="s">
        <v>29287</v>
      </c>
      <c r="H3382" s="200"/>
      <c r="I3382" s="346"/>
      <c r="J3382" s="39">
        <v>112959</v>
      </c>
      <c r="K3382" s="36" t="str">
        <f>CONCATENATE(Cover!$D$6,"fdd/view?i=",J3382)</f>
        <v>https://www.dgiwg.org/FAD/fdd/view?i=112959</v>
      </c>
      <c r="L3382" s="36" t="s">
        <v>29288</v>
      </c>
      <c r="M3382" s="186"/>
      <c r="N3382" s="186"/>
      <c r="O3382" s="172"/>
    </row>
    <row r="3383" spans="1:15" x14ac:dyDescent="0.2">
      <c r="A3383" s="197" t="str">
        <f t="shared" si="52"/>
        <v>ApoCode_flora</v>
      </c>
      <c r="B3383" s="409"/>
      <c r="C3383" s="416"/>
      <c r="D3383" s="198" t="s">
        <v>29289</v>
      </c>
      <c r="E3383" s="198">
        <v>6</v>
      </c>
      <c r="F3383" s="199" t="s">
        <v>29290</v>
      </c>
      <c r="G3383" s="1" t="s">
        <v>29291</v>
      </c>
      <c r="H3383" s="200"/>
      <c r="I3383" s="346"/>
      <c r="J3383" s="39">
        <v>112960</v>
      </c>
      <c r="K3383" s="36" t="str">
        <f>CONCATENATE(Cover!$D$6,"fdd/view?i=",J3383)</f>
        <v>https://www.dgiwg.org/FAD/fdd/view?i=112960</v>
      </c>
      <c r="L3383" s="36" t="s">
        <v>29292</v>
      </c>
      <c r="M3383" s="186"/>
      <c r="N3383" s="186"/>
      <c r="O3383" s="172"/>
    </row>
    <row r="3384" spans="1:15" ht="25.5" x14ac:dyDescent="0.2">
      <c r="A3384" s="197" t="str">
        <f t="shared" si="52"/>
        <v>ApoCode_groundWater</v>
      </c>
      <c r="B3384" s="409"/>
      <c r="C3384" s="416"/>
      <c r="D3384" s="198" t="s">
        <v>29293</v>
      </c>
      <c r="E3384" s="198">
        <v>3</v>
      </c>
      <c r="F3384" s="199" t="s">
        <v>29294</v>
      </c>
      <c r="G3384" s="1" t="s">
        <v>29295</v>
      </c>
      <c r="H3384" s="200"/>
      <c r="I3384" s="346"/>
      <c r="J3384" s="39">
        <v>112957</v>
      </c>
      <c r="K3384" s="36" t="str">
        <f>CONCATENATE(Cover!$D$6,"fdd/view?i=",J3384)</f>
        <v>https://www.dgiwg.org/FAD/fdd/view?i=112957</v>
      </c>
      <c r="L3384" s="36" t="s">
        <v>29296</v>
      </c>
      <c r="M3384" s="186"/>
      <c r="N3384" s="186"/>
      <c r="O3384" s="172"/>
    </row>
    <row r="3385" spans="1:15" ht="25.5" x14ac:dyDescent="0.2">
      <c r="A3385" s="197" t="str">
        <f t="shared" si="52"/>
        <v>ApoCode_soil</v>
      </c>
      <c r="B3385" s="409"/>
      <c r="C3385" s="416"/>
      <c r="D3385" s="198" t="s">
        <v>24205</v>
      </c>
      <c r="E3385" s="198">
        <v>1</v>
      </c>
      <c r="F3385" s="199" t="s">
        <v>24206</v>
      </c>
      <c r="G3385" s="1" t="s">
        <v>29297</v>
      </c>
      <c r="H3385" s="200"/>
      <c r="I3385" s="346"/>
      <c r="J3385" s="39">
        <v>112955</v>
      </c>
      <c r="K3385" s="36" t="str">
        <f>CONCATENATE(Cover!$D$6,"fdd/view?i=",J3385)</f>
        <v>https://www.dgiwg.org/FAD/fdd/view?i=112955</v>
      </c>
      <c r="L3385" s="36" t="s">
        <v>29298</v>
      </c>
      <c r="M3385" s="186"/>
      <c r="N3385" s="186"/>
      <c r="O3385" s="172"/>
    </row>
    <row r="3386" spans="1:15" x14ac:dyDescent="0.2">
      <c r="A3386" s="203" t="str">
        <f t="shared" si="52"/>
        <v>ApoCode_water</v>
      </c>
      <c r="B3386" s="410"/>
      <c r="C3386" s="417"/>
      <c r="D3386" s="204" t="s">
        <v>19606</v>
      </c>
      <c r="E3386" s="204">
        <v>2</v>
      </c>
      <c r="F3386" s="205" t="s">
        <v>19607</v>
      </c>
      <c r="G3386" s="206" t="s">
        <v>29299</v>
      </c>
      <c r="H3386" s="207"/>
      <c r="I3386" s="347"/>
      <c r="J3386" s="39">
        <v>112956</v>
      </c>
      <c r="K3386" s="36" t="str">
        <f>CONCATENATE(Cover!$D$6,"fdd/view?i=",J3386)</f>
        <v>https://www.dgiwg.org/FAD/fdd/view?i=112956</v>
      </c>
      <c r="L3386" s="36" t="s">
        <v>29300</v>
      </c>
      <c r="M3386" s="186"/>
      <c r="N3386" s="186"/>
      <c r="O3386" s="172"/>
    </row>
    <row r="3387" spans="1:15" ht="38.25" x14ac:dyDescent="0.2">
      <c r="A3387" s="190" t="str">
        <f t="shared" si="52"/>
        <v>ErmCode_anthraciteCoal</v>
      </c>
      <c r="B3387" s="414" t="str">
        <f>HYPERLINK("[#]Datatypes!A504:L504","ErmCode")</f>
        <v>ErmCode</v>
      </c>
      <c r="C3387" s="415" t="s">
        <v>15075</v>
      </c>
      <c r="D3387" s="221" t="s">
        <v>29301</v>
      </c>
      <c r="E3387" s="221">
        <v>10</v>
      </c>
      <c r="F3387" s="222" t="s">
        <v>29302</v>
      </c>
      <c r="G3387" s="223" t="s">
        <v>29303</v>
      </c>
      <c r="H3387" s="223" t="s">
        <v>29304</v>
      </c>
      <c r="I3387" s="352" t="s">
        <v>29305</v>
      </c>
      <c r="J3387" s="39">
        <v>113210</v>
      </c>
      <c r="K3387" s="36" t="str">
        <f>CONCATENATE(Cover!$D$6,"fdd/view?i=",J3387)</f>
        <v>https://www.dgiwg.org/FAD/fdd/view?i=113210</v>
      </c>
      <c r="L3387" s="36" t="s">
        <v>29306</v>
      </c>
      <c r="M3387" s="186"/>
      <c r="N3387" s="186"/>
      <c r="O3387" s="172"/>
    </row>
    <row r="3388" spans="1:15" ht="25.5" x14ac:dyDescent="0.2">
      <c r="A3388" s="197" t="str">
        <f t="shared" si="52"/>
        <v>ErmCode_asphalt</v>
      </c>
      <c r="B3388" s="409"/>
      <c r="C3388" s="416"/>
      <c r="D3388" s="198" t="s">
        <v>19519</v>
      </c>
      <c r="E3388" s="198">
        <v>1</v>
      </c>
      <c r="F3388" s="199" t="s">
        <v>19520</v>
      </c>
      <c r="G3388" s="1" t="s">
        <v>29307</v>
      </c>
      <c r="H3388" s="1" t="s">
        <v>29308</v>
      </c>
      <c r="I3388" s="346"/>
      <c r="J3388" s="39">
        <v>113202</v>
      </c>
      <c r="K3388" s="36" t="str">
        <f>CONCATENATE(Cover!$D$6,"fdd/view?i=",J3388)</f>
        <v>https://www.dgiwg.org/FAD/fdd/view?i=113202</v>
      </c>
      <c r="L3388" s="36" t="s">
        <v>29309</v>
      </c>
      <c r="M3388" s="186"/>
      <c r="N3388" s="186"/>
      <c r="O3388" s="172"/>
    </row>
    <row r="3389" spans="1:15" ht="25.5" x14ac:dyDescent="0.2">
      <c r="A3389" s="197" t="str">
        <f t="shared" si="52"/>
        <v>ErmCode_bituminousCoal</v>
      </c>
      <c r="B3389" s="409"/>
      <c r="C3389" s="416"/>
      <c r="D3389" s="198" t="s">
        <v>29310</v>
      </c>
      <c r="E3389" s="198">
        <v>2</v>
      </c>
      <c r="F3389" s="199" t="s">
        <v>29311</v>
      </c>
      <c r="G3389" s="1" t="s">
        <v>29312</v>
      </c>
      <c r="H3389" s="1" t="s">
        <v>29313</v>
      </c>
      <c r="I3389" s="346"/>
      <c r="J3389" s="39">
        <v>113203</v>
      </c>
      <c r="K3389" s="36" t="str">
        <f>CONCATENATE(Cover!$D$6,"fdd/view?i=",J3389)</f>
        <v>https://www.dgiwg.org/FAD/fdd/view?i=113203</v>
      </c>
      <c r="L3389" s="36" t="s">
        <v>29314</v>
      </c>
      <c r="M3389" s="186"/>
      <c r="N3389" s="186"/>
      <c r="O3389" s="172"/>
    </row>
    <row r="3390" spans="1:15" ht="25.5" x14ac:dyDescent="0.2">
      <c r="A3390" s="197" t="str">
        <f t="shared" si="52"/>
        <v>ErmCode_brownCoal</v>
      </c>
      <c r="B3390" s="409"/>
      <c r="C3390" s="416"/>
      <c r="D3390" s="198" t="s">
        <v>29315</v>
      </c>
      <c r="E3390" s="198">
        <v>3</v>
      </c>
      <c r="F3390" s="199" t="s">
        <v>29316</v>
      </c>
      <c r="G3390" s="1" t="s">
        <v>29317</v>
      </c>
      <c r="H3390" s="1" t="s">
        <v>29318</v>
      </c>
      <c r="I3390" s="346"/>
      <c r="J3390" s="39">
        <v>113204</v>
      </c>
      <c r="K3390" s="36" t="str">
        <f>CONCATENATE(Cover!$D$6,"fdd/view?i=",J3390)</f>
        <v>https://www.dgiwg.org/FAD/fdd/view?i=113204</v>
      </c>
      <c r="L3390" s="36" t="s">
        <v>29319</v>
      </c>
      <c r="M3390" s="186"/>
      <c r="N3390" s="186"/>
      <c r="O3390" s="172"/>
    </row>
    <row r="3391" spans="1:15" x14ac:dyDescent="0.2">
      <c r="A3391" s="197" t="str">
        <f t="shared" si="52"/>
        <v>ErmCode_naturalGas</v>
      </c>
      <c r="B3391" s="409"/>
      <c r="C3391" s="416"/>
      <c r="D3391" s="198" t="s">
        <v>29320</v>
      </c>
      <c r="E3391" s="198">
        <v>5</v>
      </c>
      <c r="F3391" s="199" t="s">
        <v>29321</v>
      </c>
      <c r="G3391" s="1" t="s">
        <v>29322</v>
      </c>
      <c r="H3391" s="200"/>
      <c r="I3391" s="346"/>
      <c r="J3391" s="39">
        <v>113206</v>
      </c>
      <c r="K3391" s="36" t="str">
        <f>CONCATENATE(Cover!$D$6,"fdd/view?i=",J3391)</f>
        <v>https://www.dgiwg.org/FAD/fdd/view?i=113206</v>
      </c>
      <c r="L3391" s="36" t="s">
        <v>29323</v>
      </c>
      <c r="M3391" s="186"/>
      <c r="N3391" s="186"/>
      <c r="O3391" s="172"/>
    </row>
    <row r="3392" spans="1:15" ht="25.5" x14ac:dyDescent="0.2">
      <c r="A3392" s="197" t="str">
        <f t="shared" si="52"/>
        <v>ErmCode_oilSandstone</v>
      </c>
      <c r="B3392" s="409"/>
      <c r="C3392" s="416"/>
      <c r="D3392" s="198" t="s">
        <v>29324</v>
      </c>
      <c r="E3392" s="198">
        <v>7</v>
      </c>
      <c r="F3392" s="199" t="s">
        <v>29325</v>
      </c>
      <c r="G3392" s="1" t="s">
        <v>29326</v>
      </c>
      <c r="H3392" s="200"/>
      <c r="I3392" s="346"/>
      <c r="J3392" s="39">
        <v>113208</v>
      </c>
      <c r="K3392" s="36" t="str">
        <f>CONCATENATE(Cover!$D$6,"fdd/view?i=",J3392)</f>
        <v>https://www.dgiwg.org/FAD/fdd/view?i=113208</v>
      </c>
      <c r="L3392" s="36" t="s">
        <v>29327</v>
      </c>
      <c r="M3392" s="186"/>
      <c r="N3392" s="186"/>
      <c r="O3392" s="172"/>
    </row>
    <row r="3393" spans="1:15" ht="38.25" x14ac:dyDescent="0.2">
      <c r="A3393" s="197" t="str">
        <f t="shared" si="52"/>
        <v>ErmCode_oilShale</v>
      </c>
      <c r="B3393" s="409"/>
      <c r="C3393" s="416"/>
      <c r="D3393" s="198" t="s">
        <v>29328</v>
      </c>
      <c r="E3393" s="198">
        <v>6</v>
      </c>
      <c r="F3393" s="199" t="s">
        <v>29329</v>
      </c>
      <c r="G3393" s="1" t="s">
        <v>29330</v>
      </c>
      <c r="H3393" s="200"/>
      <c r="I3393" s="351" t="s">
        <v>29331</v>
      </c>
      <c r="J3393" s="39">
        <v>113207</v>
      </c>
      <c r="K3393" s="36" t="str">
        <f>CONCATENATE(Cover!$D$6,"fdd/view?i=",J3393)</f>
        <v>https://www.dgiwg.org/FAD/fdd/view?i=113207</v>
      </c>
      <c r="L3393" s="36" t="s">
        <v>29332</v>
      </c>
      <c r="M3393" s="186"/>
      <c r="N3393" s="186"/>
      <c r="O3393" s="172"/>
    </row>
    <row r="3394" spans="1:15" ht="25.5" x14ac:dyDescent="0.2">
      <c r="A3394" s="197" t="str">
        <f t="shared" ref="A3394:A3457" si="53">HYPERLINK(K3394,L3394)</f>
        <v>ErmCode_petroleum</v>
      </c>
      <c r="B3394" s="409"/>
      <c r="C3394" s="416"/>
      <c r="D3394" s="198" t="s">
        <v>29333</v>
      </c>
      <c r="E3394" s="198">
        <v>4</v>
      </c>
      <c r="F3394" s="199" t="s">
        <v>29334</v>
      </c>
      <c r="G3394" s="1" t="s">
        <v>29335</v>
      </c>
      <c r="H3394" s="1" t="s">
        <v>29336</v>
      </c>
      <c r="I3394" s="351" t="s">
        <v>29337</v>
      </c>
      <c r="J3394" s="39">
        <v>113205</v>
      </c>
      <c r="K3394" s="36" t="str">
        <f>CONCATENATE(Cover!$D$6,"fdd/view?i=",J3394)</f>
        <v>https://www.dgiwg.org/FAD/fdd/view?i=113205</v>
      </c>
      <c r="L3394" s="36" t="s">
        <v>29338</v>
      </c>
      <c r="M3394" s="186"/>
      <c r="N3394" s="186"/>
      <c r="O3394" s="172"/>
    </row>
    <row r="3395" spans="1:15" ht="38.25" x14ac:dyDescent="0.2">
      <c r="A3395" s="203" t="str">
        <f t="shared" si="53"/>
        <v>ErmCode_tarSandstone</v>
      </c>
      <c r="B3395" s="410"/>
      <c r="C3395" s="417"/>
      <c r="D3395" s="204" t="s">
        <v>29339</v>
      </c>
      <c r="E3395" s="204">
        <v>8</v>
      </c>
      <c r="F3395" s="205" t="s">
        <v>29340</v>
      </c>
      <c r="G3395" s="206" t="s">
        <v>29341</v>
      </c>
      <c r="H3395" s="207"/>
      <c r="I3395" s="347"/>
      <c r="J3395" s="39">
        <v>113209</v>
      </c>
      <c r="K3395" s="36" t="str">
        <f>CONCATENATE(Cover!$D$6,"fdd/view?i=",J3395)</f>
        <v>https://www.dgiwg.org/FAD/fdd/view?i=113209</v>
      </c>
      <c r="L3395" s="36" t="s">
        <v>29342</v>
      </c>
      <c r="M3395" s="186"/>
      <c r="N3395" s="186"/>
      <c r="O3395" s="172"/>
    </row>
    <row r="3396" spans="1:15" ht="140.25" x14ac:dyDescent="0.2">
      <c r="A3396" s="190" t="str">
        <f t="shared" si="53"/>
        <v>EtyCode_jetEngineDismounted</v>
      </c>
      <c r="B3396" s="414" t="str">
        <f>HYPERLINK("[#]Datatypes!A506:L506","EtyCode")</f>
        <v>EtyCode</v>
      </c>
      <c r="C3396" s="415" t="s">
        <v>15077</v>
      </c>
      <c r="D3396" s="221" t="s">
        <v>29343</v>
      </c>
      <c r="E3396" s="221">
        <v>1</v>
      </c>
      <c r="F3396" s="222" t="s">
        <v>29344</v>
      </c>
      <c r="G3396" s="223" t="s">
        <v>29345</v>
      </c>
      <c r="H3396" s="223" t="s">
        <v>29346</v>
      </c>
      <c r="I3396" s="345"/>
      <c r="J3396" s="39">
        <v>117981</v>
      </c>
      <c r="K3396" s="36" t="str">
        <f>CONCATENATE(Cover!$D$6,"fdd/view?i=",J3396)</f>
        <v>https://www.dgiwg.org/FAD/fdd/view?i=117981</v>
      </c>
      <c r="L3396" s="36" t="s">
        <v>29347</v>
      </c>
      <c r="M3396" s="186"/>
      <c r="N3396" s="186"/>
      <c r="O3396" s="172"/>
    </row>
    <row r="3397" spans="1:15" ht="140.25" x14ac:dyDescent="0.2">
      <c r="A3397" s="197" t="str">
        <f t="shared" si="53"/>
        <v>EtyCode_jetEngineMounted</v>
      </c>
      <c r="B3397" s="409"/>
      <c r="C3397" s="416"/>
      <c r="D3397" s="198" t="s">
        <v>29348</v>
      </c>
      <c r="E3397" s="198">
        <v>2</v>
      </c>
      <c r="F3397" s="199" t="s">
        <v>29349</v>
      </c>
      <c r="G3397" s="1" t="s">
        <v>29350</v>
      </c>
      <c r="H3397" s="1" t="s">
        <v>29351</v>
      </c>
      <c r="I3397" s="346"/>
      <c r="J3397" s="39">
        <v>117982</v>
      </c>
      <c r="K3397" s="36" t="str">
        <f>CONCATENATE(Cover!$D$6,"fdd/view?i=",J3397)</f>
        <v>https://www.dgiwg.org/FAD/fdd/view?i=117982</v>
      </c>
      <c r="L3397" s="36" t="s">
        <v>29352</v>
      </c>
      <c r="M3397" s="186"/>
      <c r="N3397" s="186"/>
      <c r="O3397" s="172"/>
    </row>
    <row r="3398" spans="1:15" ht="114.75" x14ac:dyDescent="0.2">
      <c r="A3398" s="197" t="str">
        <f t="shared" si="53"/>
        <v>EtyCode_rocketEngineHorizontal</v>
      </c>
      <c r="B3398" s="409"/>
      <c r="C3398" s="416"/>
      <c r="D3398" s="198" t="s">
        <v>29353</v>
      </c>
      <c r="E3398" s="198">
        <v>4</v>
      </c>
      <c r="F3398" s="199" t="s">
        <v>29354</v>
      </c>
      <c r="G3398" s="1" t="s">
        <v>29355</v>
      </c>
      <c r="H3398" s="1" t="s">
        <v>29356</v>
      </c>
      <c r="I3398" s="346"/>
      <c r="J3398" s="39">
        <v>117984</v>
      </c>
      <c r="K3398" s="36" t="str">
        <f>CONCATENATE(Cover!$D$6,"fdd/view?i=",J3398)</f>
        <v>https://www.dgiwg.org/FAD/fdd/view?i=117984</v>
      </c>
      <c r="L3398" s="36" t="s">
        <v>29357</v>
      </c>
      <c r="M3398" s="186"/>
      <c r="N3398" s="186"/>
      <c r="O3398" s="172"/>
    </row>
    <row r="3399" spans="1:15" ht="76.5" x14ac:dyDescent="0.2">
      <c r="A3399" s="203" t="str">
        <f t="shared" si="53"/>
        <v>EtyCode_rocketEngineUpright</v>
      </c>
      <c r="B3399" s="410"/>
      <c r="C3399" s="417"/>
      <c r="D3399" s="204" t="s">
        <v>29358</v>
      </c>
      <c r="E3399" s="204">
        <v>3</v>
      </c>
      <c r="F3399" s="205" t="s">
        <v>29359</v>
      </c>
      <c r="G3399" s="206" t="s">
        <v>29360</v>
      </c>
      <c r="H3399" s="206" t="s">
        <v>29361</v>
      </c>
      <c r="I3399" s="347"/>
      <c r="J3399" s="39">
        <v>117983</v>
      </c>
      <c r="K3399" s="36" t="str">
        <f>CONCATENATE(Cover!$D$6,"fdd/view?i=",J3399)</f>
        <v>https://www.dgiwg.org/FAD/fdd/view?i=117983</v>
      </c>
      <c r="L3399" s="36" t="s">
        <v>29362</v>
      </c>
      <c r="M3399" s="186"/>
      <c r="N3399" s="186"/>
      <c r="O3399" s="172"/>
    </row>
    <row r="3400" spans="1:15" ht="25.5" x14ac:dyDescent="0.2">
      <c r="A3400" s="190" t="str">
        <f t="shared" si="53"/>
        <v>EetCode_battery</v>
      </c>
      <c r="B3400" s="414" t="str">
        <f>HYPERLINK("[#]Datatypes!A508:L508","EetCode")</f>
        <v>EetCode</v>
      </c>
      <c r="C3400" s="415" t="s">
        <v>15079</v>
      </c>
      <c r="D3400" s="221" t="s">
        <v>29363</v>
      </c>
      <c r="E3400" s="221">
        <v>1</v>
      </c>
      <c r="F3400" s="222" t="s">
        <v>29364</v>
      </c>
      <c r="G3400" s="223" t="s">
        <v>29365</v>
      </c>
      <c r="H3400" s="224"/>
      <c r="I3400" s="345"/>
      <c r="J3400" s="39">
        <v>118016</v>
      </c>
      <c r="K3400" s="36" t="str">
        <f>CONCATENATE(Cover!$D$6,"fdd/view?i=",J3400)</f>
        <v>https://www.dgiwg.org/FAD/fdd/view?i=118016</v>
      </c>
      <c r="L3400" s="36" t="s">
        <v>29366</v>
      </c>
      <c r="M3400" s="186"/>
      <c r="N3400" s="186"/>
      <c r="O3400" s="172"/>
    </row>
    <row r="3401" spans="1:15" ht="38.25" x14ac:dyDescent="0.2">
      <c r="A3401" s="197" t="str">
        <f t="shared" si="53"/>
        <v>EetCode_militaryParapet</v>
      </c>
      <c r="B3401" s="409"/>
      <c r="C3401" s="416"/>
      <c r="D3401" s="198" t="s">
        <v>29367</v>
      </c>
      <c r="E3401" s="198">
        <v>2</v>
      </c>
      <c r="F3401" s="199" t="s">
        <v>29368</v>
      </c>
      <c r="G3401" s="1" t="s">
        <v>29369</v>
      </c>
      <c r="H3401" s="200"/>
      <c r="I3401" s="346"/>
      <c r="J3401" s="39">
        <v>118017</v>
      </c>
      <c r="K3401" s="36" t="str">
        <f>CONCATENATE(Cover!$D$6,"fdd/view?i=",J3401)</f>
        <v>https://www.dgiwg.org/FAD/fdd/view?i=118017</v>
      </c>
      <c r="L3401" s="36" t="s">
        <v>29370</v>
      </c>
      <c r="M3401" s="186"/>
      <c r="N3401" s="186"/>
      <c r="O3401" s="172"/>
    </row>
    <row r="3402" spans="1:15" ht="38.25" x14ac:dyDescent="0.2">
      <c r="A3402" s="197" t="str">
        <f t="shared" si="53"/>
        <v>EetCode_militaryTrench</v>
      </c>
      <c r="B3402" s="409"/>
      <c r="C3402" s="416"/>
      <c r="D3402" s="198" t="s">
        <v>29371</v>
      </c>
      <c r="E3402" s="198">
        <v>3</v>
      </c>
      <c r="F3402" s="199" t="s">
        <v>4127</v>
      </c>
      <c r="G3402" s="1" t="s">
        <v>4128</v>
      </c>
      <c r="H3402" s="1" t="s">
        <v>29372</v>
      </c>
      <c r="I3402" s="346"/>
      <c r="J3402" s="39">
        <v>118018</v>
      </c>
      <c r="K3402" s="36" t="str">
        <f>CONCATENATE(Cover!$D$6,"fdd/view?i=",J3402)</f>
        <v>https://www.dgiwg.org/FAD/fdd/view?i=118018</v>
      </c>
      <c r="L3402" s="36" t="s">
        <v>29373</v>
      </c>
      <c r="M3402" s="186"/>
      <c r="N3402" s="186"/>
      <c r="O3402" s="172"/>
    </row>
    <row r="3403" spans="1:15" ht="25.5" x14ac:dyDescent="0.2">
      <c r="A3403" s="197" t="str">
        <f t="shared" si="53"/>
        <v>EetCode_rampart</v>
      </c>
      <c r="B3403" s="409"/>
      <c r="C3403" s="416"/>
      <c r="D3403" s="198" t="s">
        <v>29374</v>
      </c>
      <c r="E3403" s="198">
        <v>4</v>
      </c>
      <c r="F3403" s="199" t="s">
        <v>29375</v>
      </c>
      <c r="G3403" s="1" t="s">
        <v>29376</v>
      </c>
      <c r="H3403" s="200"/>
      <c r="I3403" s="346"/>
      <c r="J3403" s="39">
        <v>118019</v>
      </c>
      <c r="K3403" s="36" t="str">
        <f>CONCATENATE(Cover!$D$6,"fdd/view?i=",J3403)</f>
        <v>https://www.dgiwg.org/FAD/fdd/view?i=118019</v>
      </c>
      <c r="L3403" s="36" t="s">
        <v>29377</v>
      </c>
      <c r="M3403" s="186"/>
      <c r="N3403" s="186"/>
      <c r="O3403" s="172"/>
    </row>
    <row r="3404" spans="1:15" ht="38.25" x14ac:dyDescent="0.2">
      <c r="A3404" s="203" t="str">
        <f t="shared" si="53"/>
        <v>EetCode_redoubt</v>
      </c>
      <c r="B3404" s="410"/>
      <c r="C3404" s="417"/>
      <c r="D3404" s="204" t="s">
        <v>29378</v>
      </c>
      <c r="E3404" s="204">
        <v>5</v>
      </c>
      <c r="F3404" s="205" t="s">
        <v>29379</v>
      </c>
      <c r="G3404" s="206" t="s">
        <v>29380</v>
      </c>
      <c r="H3404" s="206" t="s">
        <v>29381</v>
      </c>
      <c r="I3404" s="347"/>
      <c r="J3404" s="39">
        <v>118020</v>
      </c>
      <c r="K3404" s="36" t="str">
        <f>CONCATENATE(Cover!$D$6,"fdd/view?i=",J3404)</f>
        <v>https://www.dgiwg.org/FAD/fdd/view?i=118020</v>
      </c>
      <c r="L3404" s="36" t="s">
        <v>29382</v>
      </c>
      <c r="M3404" s="186"/>
      <c r="N3404" s="186"/>
      <c r="O3404" s="172"/>
    </row>
    <row r="3405" spans="1:15" ht="76.5" x14ac:dyDescent="0.2">
      <c r="A3405" s="190" t="str">
        <f t="shared" si="53"/>
        <v>FteCode_considerableDamage_EF2</v>
      </c>
      <c r="B3405" s="414" t="str">
        <f>HYPERLINK("[#]Datatypes!A510:L510","FteCode")</f>
        <v>FteCode</v>
      </c>
      <c r="C3405" s="415" t="s">
        <v>15081</v>
      </c>
      <c r="D3405" s="221" t="s">
        <v>29392</v>
      </c>
      <c r="E3405" s="221">
        <v>3</v>
      </c>
      <c r="F3405" s="222" t="s">
        <v>29393</v>
      </c>
      <c r="G3405" s="223" t="s">
        <v>29394</v>
      </c>
      <c r="H3405" s="223" t="s">
        <v>29386</v>
      </c>
      <c r="I3405" s="345"/>
      <c r="J3405" s="39">
        <v>119059</v>
      </c>
      <c r="K3405" s="36" t="str">
        <f>CONCATENATE(Cover!$D$6,"fdd/view?i=",J3405)</f>
        <v>https://www.dgiwg.org/FAD/fdd/view?i=119059</v>
      </c>
      <c r="L3405" s="36" t="s">
        <v>29395</v>
      </c>
      <c r="M3405" s="186"/>
      <c r="N3405" s="186"/>
      <c r="O3405" s="172"/>
    </row>
    <row r="3406" spans="1:15" ht="76.5" x14ac:dyDescent="0.2">
      <c r="A3406" s="197" t="str">
        <f t="shared" si="53"/>
        <v>FteCode_devastatingDamage_EF4</v>
      </c>
      <c r="B3406" s="409"/>
      <c r="C3406" s="416"/>
      <c r="D3406" s="198" t="s">
        <v>29400</v>
      </c>
      <c r="E3406" s="198">
        <v>5</v>
      </c>
      <c r="F3406" s="199" t="s">
        <v>29401</v>
      </c>
      <c r="G3406" s="1" t="s">
        <v>29402</v>
      </c>
      <c r="H3406" s="1" t="s">
        <v>29386</v>
      </c>
      <c r="I3406" s="346"/>
      <c r="J3406" s="39">
        <v>119061</v>
      </c>
      <c r="K3406" s="36" t="str">
        <f>CONCATENATE(Cover!$D$6,"fdd/view?i=",J3406)</f>
        <v>https://www.dgiwg.org/FAD/fdd/view?i=119061</v>
      </c>
      <c r="L3406" s="36" t="s">
        <v>29403</v>
      </c>
      <c r="M3406" s="186"/>
      <c r="N3406" s="186"/>
      <c r="O3406" s="172"/>
    </row>
    <row r="3407" spans="1:15" ht="76.5" x14ac:dyDescent="0.2">
      <c r="A3407" s="197" t="str">
        <f t="shared" si="53"/>
        <v>FteCode_incredibleDamage_EF5</v>
      </c>
      <c r="B3407" s="409"/>
      <c r="C3407" s="416"/>
      <c r="D3407" s="198" t="s">
        <v>29404</v>
      </c>
      <c r="E3407" s="198">
        <v>6</v>
      </c>
      <c r="F3407" s="199" t="s">
        <v>29405</v>
      </c>
      <c r="G3407" s="1" t="s">
        <v>29406</v>
      </c>
      <c r="H3407" s="1" t="s">
        <v>29386</v>
      </c>
      <c r="I3407" s="346"/>
      <c r="J3407" s="39">
        <v>119062</v>
      </c>
      <c r="K3407" s="36" t="str">
        <f>CONCATENATE(Cover!$D$6,"fdd/view?i=",J3407)</f>
        <v>https://www.dgiwg.org/FAD/fdd/view?i=119062</v>
      </c>
      <c r="L3407" s="36" t="s">
        <v>29407</v>
      </c>
      <c r="M3407" s="186"/>
      <c r="N3407" s="186"/>
      <c r="O3407" s="172"/>
    </row>
    <row r="3408" spans="1:15" ht="76.5" x14ac:dyDescent="0.2">
      <c r="A3408" s="197" t="str">
        <f t="shared" si="53"/>
        <v>FteCode_lightDamage_EF0</v>
      </c>
      <c r="B3408" s="409"/>
      <c r="C3408" s="416"/>
      <c r="D3408" s="198" t="s">
        <v>29383</v>
      </c>
      <c r="E3408" s="198">
        <v>1</v>
      </c>
      <c r="F3408" s="199" t="s">
        <v>29384</v>
      </c>
      <c r="G3408" s="1" t="s">
        <v>29385</v>
      </c>
      <c r="H3408" s="1" t="s">
        <v>29386</v>
      </c>
      <c r="I3408" s="346"/>
      <c r="J3408" s="39">
        <v>119057</v>
      </c>
      <c r="K3408" s="36" t="str">
        <f>CONCATENATE(Cover!$D$6,"fdd/view?i=",J3408)</f>
        <v>https://www.dgiwg.org/FAD/fdd/view?i=119057</v>
      </c>
      <c r="L3408" s="36" t="s">
        <v>29387</v>
      </c>
      <c r="M3408" s="186"/>
      <c r="N3408" s="186"/>
      <c r="O3408" s="172"/>
    </row>
    <row r="3409" spans="1:15" ht="76.5" x14ac:dyDescent="0.2">
      <c r="A3409" s="197" t="str">
        <f t="shared" si="53"/>
        <v>FteCode_moderateDamage_EF1</v>
      </c>
      <c r="B3409" s="409"/>
      <c r="C3409" s="416"/>
      <c r="D3409" s="198" t="s">
        <v>29388</v>
      </c>
      <c r="E3409" s="198">
        <v>2</v>
      </c>
      <c r="F3409" s="199" t="s">
        <v>29389</v>
      </c>
      <c r="G3409" s="1" t="s">
        <v>29390</v>
      </c>
      <c r="H3409" s="1" t="s">
        <v>29386</v>
      </c>
      <c r="I3409" s="346"/>
      <c r="J3409" s="39">
        <v>119058</v>
      </c>
      <c r="K3409" s="36" t="str">
        <f>CONCATENATE(Cover!$D$6,"fdd/view?i=",J3409)</f>
        <v>https://www.dgiwg.org/FAD/fdd/view?i=119058</v>
      </c>
      <c r="L3409" s="36" t="s">
        <v>29391</v>
      </c>
      <c r="M3409" s="186"/>
      <c r="N3409" s="186"/>
      <c r="O3409" s="172"/>
    </row>
    <row r="3410" spans="1:15" ht="76.5" x14ac:dyDescent="0.2">
      <c r="A3410" s="203" t="str">
        <f t="shared" si="53"/>
        <v>FteCode_severeDamage_EF3</v>
      </c>
      <c r="B3410" s="410"/>
      <c r="C3410" s="417"/>
      <c r="D3410" s="204" t="s">
        <v>29396</v>
      </c>
      <c r="E3410" s="204">
        <v>4</v>
      </c>
      <c r="F3410" s="205" t="s">
        <v>29397</v>
      </c>
      <c r="G3410" s="206" t="s">
        <v>29398</v>
      </c>
      <c r="H3410" s="206" t="s">
        <v>29386</v>
      </c>
      <c r="I3410" s="347"/>
      <c r="J3410" s="39">
        <v>119060</v>
      </c>
      <c r="K3410" s="36" t="str">
        <f>CONCATENATE(Cover!$D$6,"fdd/view?i=",J3410)</f>
        <v>https://www.dgiwg.org/FAD/fdd/view?i=119060</v>
      </c>
      <c r="L3410" s="36" t="s">
        <v>29399</v>
      </c>
      <c r="M3410" s="186"/>
      <c r="N3410" s="186"/>
      <c r="O3410" s="172"/>
    </row>
    <row r="3411" spans="1:15" ht="38.25" x14ac:dyDescent="0.2">
      <c r="A3411" s="190" t="str">
        <f t="shared" si="53"/>
        <v>EitCode_gidiFeatureIdentifier</v>
      </c>
      <c r="B3411" s="414" t="str">
        <f>HYPERLINK("[#]Datatypes!A512:L512","EitCode")</f>
        <v>EitCode</v>
      </c>
      <c r="C3411" s="415" t="s">
        <v>15083</v>
      </c>
      <c r="D3411" s="221" t="s">
        <v>29408</v>
      </c>
      <c r="E3411" s="221">
        <v>1</v>
      </c>
      <c r="F3411" s="222" t="s">
        <v>29409</v>
      </c>
      <c r="G3411" s="223" t="s">
        <v>29410</v>
      </c>
      <c r="H3411" s="224"/>
      <c r="I3411" s="345"/>
      <c r="J3411" s="39">
        <v>114262</v>
      </c>
      <c r="K3411" s="36" t="str">
        <f>CONCATENATE(Cover!$D$6,"fdd/view?i=",J3411)</f>
        <v>https://www.dgiwg.org/FAD/fdd/view?i=114262</v>
      </c>
      <c r="L3411" s="36" t="s">
        <v>29411</v>
      </c>
      <c r="M3411" s="186"/>
      <c r="N3411" s="186"/>
      <c r="O3411" s="172"/>
    </row>
    <row r="3412" spans="1:15" ht="63.75" x14ac:dyDescent="0.2">
      <c r="A3412" s="197" t="str">
        <f t="shared" si="53"/>
        <v>EitCode_marginNumber</v>
      </c>
      <c r="B3412" s="409"/>
      <c r="C3412" s="416"/>
      <c r="D3412" s="198" t="s">
        <v>29412</v>
      </c>
      <c r="E3412" s="198">
        <v>2</v>
      </c>
      <c r="F3412" s="199" t="s">
        <v>29413</v>
      </c>
      <c r="G3412" s="1" t="s">
        <v>29414</v>
      </c>
      <c r="H3412" s="1" t="s">
        <v>29415</v>
      </c>
      <c r="I3412" s="346"/>
      <c r="J3412" s="39">
        <v>114263</v>
      </c>
      <c r="K3412" s="36" t="str">
        <f>CONCATENATE(Cover!$D$6,"fdd/view?i=",J3412)</f>
        <v>https://www.dgiwg.org/FAD/fdd/view?i=114263</v>
      </c>
      <c r="L3412" s="36" t="s">
        <v>29416</v>
      </c>
      <c r="M3412" s="186"/>
      <c r="N3412" s="186"/>
      <c r="O3412" s="172"/>
    </row>
    <row r="3413" spans="1:15" ht="51" x14ac:dyDescent="0.2">
      <c r="A3413" s="197" t="str">
        <f t="shared" si="53"/>
        <v>EitCode_namedFeatureIdentifier</v>
      </c>
      <c r="B3413" s="409"/>
      <c r="C3413" s="416"/>
      <c r="D3413" s="198" t="s">
        <v>10902</v>
      </c>
      <c r="E3413" s="198">
        <v>3</v>
      </c>
      <c r="F3413" s="199" t="s">
        <v>10904</v>
      </c>
      <c r="G3413" s="1" t="s">
        <v>10905</v>
      </c>
      <c r="H3413" s="1" t="s">
        <v>10906</v>
      </c>
      <c r="I3413" s="346"/>
      <c r="J3413" s="39">
        <v>114264</v>
      </c>
      <c r="K3413" s="36" t="str">
        <f>CONCATENATE(Cover!$D$6,"fdd/view?i=",J3413)</f>
        <v>https://www.dgiwg.org/FAD/fdd/view?i=114264</v>
      </c>
      <c r="L3413" s="36" t="s">
        <v>29417</v>
      </c>
      <c r="M3413" s="186"/>
      <c r="N3413" s="186"/>
      <c r="O3413" s="172"/>
    </row>
    <row r="3414" spans="1:15" ht="38.25" x14ac:dyDescent="0.2">
      <c r="A3414" s="197" t="str">
        <f t="shared" si="53"/>
        <v>EitCode_numericFeatureIdentifier</v>
      </c>
      <c r="B3414" s="409"/>
      <c r="C3414" s="416"/>
      <c r="D3414" s="198" t="s">
        <v>11116</v>
      </c>
      <c r="E3414" s="198">
        <v>4</v>
      </c>
      <c r="F3414" s="199" t="s">
        <v>11118</v>
      </c>
      <c r="G3414" s="1" t="s">
        <v>29418</v>
      </c>
      <c r="H3414" s="1" t="s">
        <v>11120</v>
      </c>
      <c r="I3414" s="346"/>
      <c r="J3414" s="39">
        <v>114265</v>
      </c>
      <c r="K3414" s="36" t="str">
        <f>CONCATENATE(Cover!$D$6,"fdd/view?i=",J3414)</f>
        <v>https://www.dgiwg.org/FAD/fdd/view?i=114265</v>
      </c>
      <c r="L3414" s="36" t="s">
        <v>29419</v>
      </c>
      <c r="M3414" s="186"/>
      <c r="N3414" s="186"/>
      <c r="O3414" s="172"/>
    </row>
    <row r="3415" spans="1:15" ht="127.5" x14ac:dyDescent="0.2">
      <c r="A3415" s="197" t="str">
        <f t="shared" si="53"/>
        <v>EitCode_uniqueEntityIdentifier</v>
      </c>
      <c r="B3415" s="409"/>
      <c r="C3415" s="416"/>
      <c r="D3415" s="198" t="s">
        <v>13903</v>
      </c>
      <c r="E3415" s="198">
        <v>5</v>
      </c>
      <c r="F3415" s="199" t="s">
        <v>13905</v>
      </c>
      <c r="G3415" s="1" t="s">
        <v>13906</v>
      </c>
      <c r="H3415" s="1" t="s">
        <v>13907</v>
      </c>
      <c r="I3415" s="346"/>
      <c r="J3415" s="39">
        <v>114266</v>
      </c>
      <c r="K3415" s="36" t="str">
        <f>CONCATENATE(Cover!$D$6,"fdd/view?i=",J3415)</f>
        <v>https://www.dgiwg.org/FAD/fdd/view?i=114266</v>
      </c>
      <c r="L3415" s="36" t="s">
        <v>29420</v>
      </c>
      <c r="M3415" s="186"/>
      <c r="N3415" s="186"/>
      <c r="O3415" s="172"/>
    </row>
    <row r="3416" spans="1:15" ht="89.25" x14ac:dyDescent="0.2">
      <c r="A3416" s="203" t="str">
        <f t="shared" si="53"/>
        <v>EitCode_verticalObstIdentifier</v>
      </c>
      <c r="B3416" s="410"/>
      <c r="C3416" s="417"/>
      <c r="D3416" s="204" t="s">
        <v>29421</v>
      </c>
      <c r="E3416" s="204">
        <v>6</v>
      </c>
      <c r="F3416" s="205" t="s">
        <v>14060</v>
      </c>
      <c r="G3416" s="206" t="s">
        <v>14061</v>
      </c>
      <c r="H3416" s="206" t="s">
        <v>16281</v>
      </c>
      <c r="I3416" s="347"/>
      <c r="J3416" s="39">
        <v>114267</v>
      </c>
      <c r="K3416" s="36" t="str">
        <f>CONCATENATE(Cover!$D$6,"fdd/view?i=",J3416)</f>
        <v>https://www.dgiwg.org/FAD/fdd/view?i=114267</v>
      </c>
      <c r="L3416" s="36" t="s">
        <v>29422</v>
      </c>
      <c r="M3416" s="186"/>
      <c r="N3416" s="186"/>
      <c r="O3416" s="172"/>
    </row>
    <row r="3417" spans="1:15" ht="38.25" x14ac:dyDescent="0.2">
      <c r="A3417" s="190" t="str">
        <f t="shared" si="53"/>
        <v>EcmCode_curtainVerticalLift</v>
      </c>
      <c r="B3417" s="414" t="str">
        <f>HYPERLINK("[#]Datatypes!A514:L514","EcmCode")</f>
        <v>EcmCode</v>
      </c>
      <c r="C3417" s="415" t="s">
        <v>15085</v>
      </c>
      <c r="D3417" s="221" t="s">
        <v>29423</v>
      </c>
      <c r="E3417" s="221">
        <v>4</v>
      </c>
      <c r="F3417" s="222" t="s">
        <v>29424</v>
      </c>
      <c r="G3417" s="223" t="s">
        <v>29425</v>
      </c>
      <c r="H3417" s="223" t="s">
        <v>29426</v>
      </c>
      <c r="I3417" s="345"/>
      <c r="J3417" s="39">
        <v>119671</v>
      </c>
      <c r="K3417" s="36" t="str">
        <f>CONCATENATE(Cover!$D$6,"fdd/view?i=",J3417)</f>
        <v>https://www.dgiwg.org/FAD/fdd/view?i=119671</v>
      </c>
      <c r="L3417" s="36" t="s">
        <v>29427</v>
      </c>
      <c r="M3417" s="186"/>
      <c r="N3417" s="186"/>
      <c r="O3417" s="172"/>
    </row>
    <row r="3418" spans="1:15" ht="25.5" x14ac:dyDescent="0.2">
      <c r="A3418" s="197" t="str">
        <f t="shared" si="53"/>
        <v>EcmCode_hinged</v>
      </c>
      <c r="B3418" s="409"/>
      <c r="C3418" s="416"/>
      <c r="D3418" s="198" t="s">
        <v>29428</v>
      </c>
      <c r="E3418" s="198">
        <v>1</v>
      </c>
      <c r="F3418" s="199" t="s">
        <v>29429</v>
      </c>
      <c r="G3418" s="1" t="s">
        <v>29430</v>
      </c>
      <c r="H3418" s="200"/>
      <c r="I3418" s="346"/>
      <c r="J3418" s="39">
        <v>119668</v>
      </c>
      <c r="K3418" s="36" t="str">
        <f>CONCATENATE(Cover!$D$6,"fdd/view?i=",J3418)</f>
        <v>https://www.dgiwg.org/FAD/fdd/view?i=119668</v>
      </c>
      <c r="L3418" s="36" t="s">
        <v>29431</v>
      </c>
      <c r="M3418" s="186"/>
      <c r="N3418" s="186"/>
      <c r="O3418" s="172"/>
    </row>
    <row r="3419" spans="1:15" ht="25.5" x14ac:dyDescent="0.2">
      <c r="A3419" s="197" t="str">
        <f t="shared" si="53"/>
        <v>EcmCode_sliding</v>
      </c>
      <c r="B3419" s="409"/>
      <c r="C3419" s="416"/>
      <c r="D3419" s="198" t="s">
        <v>29432</v>
      </c>
      <c r="E3419" s="198">
        <v>3</v>
      </c>
      <c r="F3419" s="199" t="s">
        <v>29433</v>
      </c>
      <c r="G3419" s="1" t="s">
        <v>29434</v>
      </c>
      <c r="H3419" s="200"/>
      <c r="I3419" s="346"/>
      <c r="J3419" s="39">
        <v>119670</v>
      </c>
      <c r="K3419" s="36" t="str">
        <f>CONCATENATE(Cover!$D$6,"fdd/view?i=",J3419)</f>
        <v>https://www.dgiwg.org/FAD/fdd/view?i=119670</v>
      </c>
      <c r="L3419" s="36" t="s">
        <v>29435</v>
      </c>
      <c r="M3419" s="186"/>
      <c r="N3419" s="186"/>
      <c r="O3419" s="172"/>
    </row>
    <row r="3420" spans="1:15" ht="25.5" x14ac:dyDescent="0.2">
      <c r="A3420" s="203" t="str">
        <f t="shared" si="53"/>
        <v>EcmCode_swing</v>
      </c>
      <c r="B3420" s="410"/>
      <c r="C3420" s="417"/>
      <c r="D3420" s="204" t="s">
        <v>29436</v>
      </c>
      <c r="E3420" s="204">
        <v>2</v>
      </c>
      <c r="F3420" s="205" t="s">
        <v>29437</v>
      </c>
      <c r="G3420" s="206" t="s">
        <v>29438</v>
      </c>
      <c r="H3420" s="207"/>
      <c r="I3420" s="347"/>
      <c r="J3420" s="39">
        <v>119669</v>
      </c>
      <c r="K3420" s="36" t="str">
        <f>CONCATENATE(Cover!$D$6,"fdd/view?i=",J3420)</f>
        <v>https://www.dgiwg.org/FAD/fdd/view?i=119669</v>
      </c>
      <c r="L3420" s="36" t="s">
        <v>29439</v>
      </c>
      <c r="M3420" s="186"/>
      <c r="N3420" s="186"/>
      <c r="O3420" s="172"/>
    </row>
    <row r="3421" spans="1:15" ht="76.5" x14ac:dyDescent="0.2">
      <c r="A3421" s="190" t="str">
        <f t="shared" si="53"/>
        <v>EecCode_aditMouth</v>
      </c>
      <c r="B3421" s="414" t="str">
        <f>HYPERLINK("[#]Datatypes!A516:L516","EecCode")</f>
        <v>EecCode</v>
      </c>
      <c r="C3421" s="415" t="s">
        <v>15087</v>
      </c>
      <c r="D3421" s="221" t="s">
        <v>29440</v>
      </c>
      <c r="E3421" s="221">
        <v>1</v>
      </c>
      <c r="F3421" s="222" t="s">
        <v>29441</v>
      </c>
      <c r="G3421" s="223" t="s">
        <v>29442</v>
      </c>
      <c r="H3421" s="223" t="s">
        <v>29443</v>
      </c>
      <c r="I3421" s="345"/>
      <c r="J3421" s="39">
        <v>111312</v>
      </c>
      <c r="K3421" s="36" t="str">
        <f>CONCATENATE(Cover!$D$6,"fdd/view?i=",J3421)</f>
        <v>https://www.dgiwg.org/FAD/fdd/view?i=111312</v>
      </c>
      <c r="L3421" s="36" t="s">
        <v>29444</v>
      </c>
      <c r="M3421" s="186"/>
      <c r="N3421" s="186"/>
      <c r="O3421" s="172"/>
    </row>
    <row r="3422" spans="1:15" ht="38.25" x14ac:dyDescent="0.2">
      <c r="A3422" s="197" t="str">
        <f t="shared" si="53"/>
        <v>EecCode_bunkerEntrance</v>
      </c>
      <c r="B3422" s="409"/>
      <c r="C3422" s="416"/>
      <c r="D3422" s="198" t="s">
        <v>29445</v>
      </c>
      <c r="E3422" s="198">
        <v>2</v>
      </c>
      <c r="F3422" s="199" t="s">
        <v>29446</v>
      </c>
      <c r="G3422" s="1" t="s">
        <v>29447</v>
      </c>
      <c r="H3422" s="1" t="s">
        <v>29448</v>
      </c>
      <c r="I3422" s="346"/>
      <c r="J3422" s="39">
        <v>111313</v>
      </c>
      <c r="K3422" s="36" t="str">
        <f>CONCATENATE(Cover!$D$6,"fdd/view?i=",J3422)</f>
        <v>https://www.dgiwg.org/FAD/fdd/view?i=111313</v>
      </c>
      <c r="L3422" s="36" t="s">
        <v>29449</v>
      </c>
      <c r="M3422" s="186"/>
      <c r="N3422" s="186"/>
      <c r="O3422" s="172"/>
    </row>
    <row r="3423" spans="1:15" ht="38.25" x14ac:dyDescent="0.2">
      <c r="A3423" s="197" t="str">
        <f t="shared" si="53"/>
        <v>EecCode_caveMouth</v>
      </c>
      <c r="B3423" s="409"/>
      <c r="C3423" s="416"/>
      <c r="D3423" s="198" t="s">
        <v>29450</v>
      </c>
      <c r="E3423" s="198">
        <v>6</v>
      </c>
      <c r="F3423" s="199" t="s">
        <v>2471</v>
      </c>
      <c r="G3423" s="1" t="s">
        <v>29451</v>
      </c>
      <c r="H3423" s="1" t="s">
        <v>29452</v>
      </c>
      <c r="I3423" s="346"/>
      <c r="J3423" s="39">
        <v>111317</v>
      </c>
      <c r="K3423" s="36" t="str">
        <f>CONCATENATE(Cover!$D$6,"fdd/view?i=",J3423)</f>
        <v>https://www.dgiwg.org/FAD/fdd/view?i=111317</v>
      </c>
      <c r="L3423" s="36" t="s">
        <v>29453</v>
      </c>
      <c r="M3423" s="186"/>
      <c r="N3423" s="186"/>
      <c r="O3423" s="172"/>
    </row>
    <row r="3424" spans="1:15" ht="25.5" x14ac:dyDescent="0.2">
      <c r="A3424" s="197" t="str">
        <f t="shared" si="53"/>
        <v>EecCode_cellarEntrance</v>
      </c>
      <c r="B3424" s="409"/>
      <c r="C3424" s="416"/>
      <c r="D3424" s="198" t="s">
        <v>29454</v>
      </c>
      <c r="E3424" s="198">
        <v>3</v>
      </c>
      <c r="F3424" s="199" t="s">
        <v>29455</v>
      </c>
      <c r="G3424" s="1" t="s">
        <v>29456</v>
      </c>
      <c r="H3424" s="1" t="s">
        <v>29457</v>
      </c>
      <c r="I3424" s="346"/>
      <c r="J3424" s="39">
        <v>111314</v>
      </c>
      <c r="K3424" s="36" t="str">
        <f>CONCATENATE(Cover!$D$6,"fdd/view?i=",J3424)</f>
        <v>https://www.dgiwg.org/FAD/fdd/view?i=111314</v>
      </c>
      <c r="L3424" s="36" t="s">
        <v>29458</v>
      </c>
      <c r="M3424" s="186"/>
      <c r="N3424" s="186"/>
      <c r="O3424" s="172"/>
    </row>
    <row r="3425" spans="1:15" ht="25.5" x14ac:dyDescent="0.2">
      <c r="A3425" s="197" t="str">
        <f t="shared" si="53"/>
        <v>EecCode_designatedEmergencyExit</v>
      </c>
      <c r="B3425" s="409"/>
      <c r="C3425" s="416"/>
      <c r="D3425" s="198" t="s">
        <v>29459</v>
      </c>
      <c r="E3425" s="198">
        <v>10</v>
      </c>
      <c r="F3425" s="199" t="s">
        <v>29460</v>
      </c>
      <c r="G3425" s="1" t="s">
        <v>29461</v>
      </c>
      <c r="H3425" s="200"/>
      <c r="I3425" s="346"/>
      <c r="J3425" s="39">
        <v>118248</v>
      </c>
      <c r="K3425" s="36" t="str">
        <f>CONCATENATE(Cover!$D$6,"fdd/view?i=",J3425)</f>
        <v>https://www.dgiwg.org/FAD/fdd/view?i=118248</v>
      </c>
      <c r="L3425" s="36" t="s">
        <v>29462</v>
      </c>
      <c r="M3425" s="186"/>
      <c r="N3425" s="186"/>
      <c r="O3425" s="172"/>
    </row>
    <row r="3426" spans="1:15" ht="25.5" x14ac:dyDescent="0.2">
      <c r="A3426" s="197" t="str">
        <f t="shared" si="53"/>
        <v>EecCode_doorway</v>
      </c>
      <c r="B3426" s="409"/>
      <c r="C3426" s="416"/>
      <c r="D3426" s="198" t="s">
        <v>29463</v>
      </c>
      <c r="E3426" s="198">
        <v>7</v>
      </c>
      <c r="F3426" s="199" t="s">
        <v>29464</v>
      </c>
      <c r="G3426" s="1" t="s">
        <v>29465</v>
      </c>
      <c r="H3426" s="1" t="s">
        <v>29466</v>
      </c>
      <c r="I3426" s="346"/>
      <c r="J3426" s="39">
        <v>111318</v>
      </c>
      <c r="K3426" s="36" t="str">
        <f>CONCATENATE(Cover!$D$6,"fdd/view?i=",J3426)</f>
        <v>https://www.dgiwg.org/FAD/fdd/view?i=111318</v>
      </c>
      <c r="L3426" s="36" t="s">
        <v>29467</v>
      </c>
      <c r="M3426" s="186"/>
      <c r="N3426" s="186"/>
      <c r="O3426" s="172"/>
    </row>
    <row r="3427" spans="1:15" ht="25.5" x14ac:dyDescent="0.2">
      <c r="A3427" s="197" t="str">
        <f t="shared" si="53"/>
        <v>EecCode_interTubeAccess</v>
      </c>
      <c r="B3427" s="409"/>
      <c r="C3427" s="416"/>
      <c r="D3427" s="198" t="s">
        <v>29468</v>
      </c>
      <c r="E3427" s="198">
        <v>11</v>
      </c>
      <c r="F3427" s="199" t="s">
        <v>29469</v>
      </c>
      <c r="G3427" s="1" t="s">
        <v>29470</v>
      </c>
      <c r="H3427" s="200"/>
      <c r="I3427" s="346"/>
      <c r="J3427" s="39">
        <v>118249</v>
      </c>
      <c r="K3427" s="36" t="str">
        <f>CONCATENATE(Cover!$D$6,"fdd/view?i=",J3427)</f>
        <v>https://www.dgiwg.org/FAD/fdd/view?i=118249</v>
      </c>
      <c r="L3427" s="36" t="s">
        <v>29471</v>
      </c>
      <c r="M3427" s="186"/>
      <c r="N3427" s="186"/>
      <c r="O3427" s="172"/>
    </row>
    <row r="3428" spans="1:15" ht="76.5" x14ac:dyDescent="0.2">
      <c r="A3428" s="197" t="str">
        <f t="shared" si="53"/>
        <v>EecCode_mineShaftOpening</v>
      </c>
      <c r="B3428" s="409"/>
      <c r="C3428" s="416"/>
      <c r="D3428" s="198" t="s">
        <v>29472</v>
      </c>
      <c r="E3428" s="198">
        <v>4</v>
      </c>
      <c r="F3428" s="199" t="s">
        <v>29473</v>
      </c>
      <c r="G3428" s="1" t="s">
        <v>29474</v>
      </c>
      <c r="H3428" s="1" t="s">
        <v>29475</v>
      </c>
      <c r="I3428" s="346"/>
      <c r="J3428" s="39">
        <v>111315</v>
      </c>
      <c r="K3428" s="36" t="str">
        <f>CONCATENATE(Cover!$D$6,"fdd/view?i=",J3428)</f>
        <v>https://www.dgiwg.org/FAD/fdd/view?i=111315</v>
      </c>
      <c r="L3428" s="36" t="s">
        <v>29476</v>
      </c>
      <c r="M3428" s="186"/>
      <c r="N3428" s="186"/>
      <c r="O3428" s="172"/>
    </row>
    <row r="3429" spans="1:15" ht="63.75" x14ac:dyDescent="0.2">
      <c r="A3429" s="197" t="str">
        <f t="shared" si="53"/>
        <v>EecCode_tunnelMouth</v>
      </c>
      <c r="B3429" s="409"/>
      <c r="C3429" s="416"/>
      <c r="D3429" s="198" t="s">
        <v>29477</v>
      </c>
      <c r="E3429" s="198">
        <v>5</v>
      </c>
      <c r="F3429" s="199" t="s">
        <v>5620</v>
      </c>
      <c r="G3429" s="1" t="s">
        <v>29478</v>
      </c>
      <c r="H3429" s="1" t="s">
        <v>5622</v>
      </c>
      <c r="I3429" s="346"/>
      <c r="J3429" s="39">
        <v>111316</v>
      </c>
      <c r="K3429" s="36" t="str">
        <f>CONCATENATE(Cover!$D$6,"fdd/view?i=",J3429)</f>
        <v>https://www.dgiwg.org/FAD/fdd/view?i=111316</v>
      </c>
      <c r="L3429" s="36" t="s">
        <v>29479</v>
      </c>
      <c r="M3429" s="186"/>
      <c r="N3429" s="186"/>
      <c r="O3429" s="172"/>
    </row>
    <row r="3430" spans="1:15" ht="25.5" x14ac:dyDescent="0.2">
      <c r="A3430" s="203" t="str">
        <f t="shared" si="53"/>
        <v>EecCode_undergroundRailwayAccess</v>
      </c>
      <c r="B3430" s="410"/>
      <c r="C3430" s="417"/>
      <c r="D3430" s="204" t="s">
        <v>29480</v>
      </c>
      <c r="E3430" s="204">
        <v>13</v>
      </c>
      <c r="F3430" s="205" t="s">
        <v>29481</v>
      </c>
      <c r="G3430" s="206" t="s">
        <v>29482</v>
      </c>
      <c r="H3430" s="207"/>
      <c r="I3430" s="347"/>
      <c r="J3430" s="39">
        <v>119716</v>
      </c>
      <c r="K3430" s="36" t="str">
        <f>CONCATENATE(Cover!$D$6,"fdd/view?i=",J3430)</f>
        <v>https://www.dgiwg.org/FAD/fdd/view?i=119716</v>
      </c>
      <c r="L3430" s="36" t="s">
        <v>29483</v>
      </c>
      <c r="M3430" s="186"/>
      <c r="N3430" s="186"/>
      <c r="O3430" s="172"/>
    </row>
    <row r="3431" spans="1:15" x14ac:dyDescent="0.2">
      <c r="A3431" s="190" t="str">
        <f t="shared" si="53"/>
        <v>Kd1Code_acidRain</v>
      </c>
      <c r="B3431" s="414" t="str">
        <f>HYPERLINK("[#]Datatypes!A518:L518","Kd1Code")</f>
        <v>Kd1Code</v>
      </c>
      <c r="C3431" s="415" t="s">
        <v>15089</v>
      </c>
      <c r="D3431" s="221" t="s">
        <v>29484</v>
      </c>
      <c r="E3431" s="221">
        <v>7</v>
      </c>
      <c r="F3431" s="222" t="s">
        <v>29485</v>
      </c>
      <c r="G3431" s="223" t="s">
        <v>29486</v>
      </c>
      <c r="H3431" s="224"/>
      <c r="I3431" s="345"/>
      <c r="J3431" s="39">
        <v>113442</v>
      </c>
      <c r="K3431" s="36" t="str">
        <f>CONCATENATE(Cover!$D$6,"fdd/view?i=",J3431)</f>
        <v>https://www.dgiwg.org/FAD/fdd/view?i=113442</v>
      </c>
      <c r="L3431" s="36" t="s">
        <v>29487</v>
      </c>
      <c r="M3431" s="186"/>
      <c r="N3431" s="186"/>
      <c r="O3431" s="172"/>
    </row>
    <row r="3432" spans="1:15" ht="25.5" x14ac:dyDescent="0.2">
      <c r="A3432" s="197" t="str">
        <f t="shared" si="53"/>
        <v>Kd1Code_burningOil</v>
      </c>
      <c r="B3432" s="409"/>
      <c r="C3432" s="416"/>
      <c r="D3432" s="198" t="s">
        <v>29488</v>
      </c>
      <c r="E3432" s="198">
        <v>2</v>
      </c>
      <c r="F3432" s="199" t="s">
        <v>29489</v>
      </c>
      <c r="G3432" s="1" t="s">
        <v>29490</v>
      </c>
      <c r="H3432" s="200"/>
      <c r="I3432" s="346"/>
      <c r="J3432" s="39">
        <v>113437</v>
      </c>
      <c r="K3432" s="36" t="str">
        <f>CONCATENATE(Cover!$D$6,"fdd/view?i=",J3432)</f>
        <v>https://www.dgiwg.org/FAD/fdd/view?i=113437</v>
      </c>
      <c r="L3432" s="36" t="s">
        <v>29491</v>
      </c>
      <c r="M3432" s="186"/>
      <c r="N3432" s="186"/>
      <c r="O3432" s="172"/>
    </row>
    <row r="3433" spans="1:15" ht="25.5" x14ac:dyDescent="0.2">
      <c r="A3433" s="197" t="str">
        <f t="shared" si="53"/>
        <v>Kd1Code_deforestation</v>
      </c>
      <c r="B3433" s="409"/>
      <c r="C3433" s="416"/>
      <c r="D3433" s="198" t="s">
        <v>29492</v>
      </c>
      <c r="E3433" s="198">
        <v>8</v>
      </c>
      <c r="F3433" s="199" t="s">
        <v>29493</v>
      </c>
      <c r="G3433" s="1" t="s">
        <v>29494</v>
      </c>
      <c r="H3433" s="200"/>
      <c r="I3433" s="346"/>
      <c r="J3433" s="39">
        <v>113443</v>
      </c>
      <c r="K3433" s="36" t="str">
        <f>CONCATENATE(Cover!$D$6,"fdd/view?i=",J3433)</f>
        <v>https://www.dgiwg.org/FAD/fdd/view?i=113443</v>
      </c>
      <c r="L3433" s="36" t="s">
        <v>29495</v>
      </c>
      <c r="M3433" s="186"/>
      <c r="N3433" s="186"/>
      <c r="O3433" s="172"/>
    </row>
    <row r="3434" spans="1:15" ht="38.25" x14ac:dyDescent="0.2">
      <c r="A3434" s="197" t="str">
        <f t="shared" si="53"/>
        <v>Kd1Code_erosion</v>
      </c>
      <c r="B3434" s="409"/>
      <c r="C3434" s="416"/>
      <c r="D3434" s="198" t="s">
        <v>29496</v>
      </c>
      <c r="E3434" s="198">
        <v>15</v>
      </c>
      <c r="F3434" s="199" t="s">
        <v>29497</v>
      </c>
      <c r="G3434" s="1" t="s">
        <v>29498</v>
      </c>
      <c r="H3434" s="1" t="s">
        <v>29499</v>
      </c>
      <c r="I3434" s="346"/>
      <c r="J3434" s="39">
        <v>118292</v>
      </c>
      <c r="K3434" s="36" t="str">
        <f>CONCATENATE(Cover!$D$6,"fdd/view?i=",J3434)</f>
        <v>https://www.dgiwg.org/FAD/fdd/view?i=118292</v>
      </c>
      <c r="L3434" s="36" t="s">
        <v>29500</v>
      </c>
      <c r="M3434" s="186"/>
      <c r="N3434" s="186"/>
      <c r="O3434" s="172"/>
    </row>
    <row r="3435" spans="1:15" x14ac:dyDescent="0.2">
      <c r="A3435" s="197" t="str">
        <f t="shared" si="53"/>
        <v>Kd1Code_forestFire</v>
      </c>
      <c r="B3435" s="409"/>
      <c r="C3435" s="416"/>
      <c r="D3435" s="198" t="s">
        <v>29501</v>
      </c>
      <c r="E3435" s="198">
        <v>3</v>
      </c>
      <c r="F3435" s="199" t="s">
        <v>29502</v>
      </c>
      <c r="G3435" s="1" t="s">
        <v>29503</v>
      </c>
      <c r="H3435" s="200"/>
      <c r="I3435" s="346"/>
      <c r="J3435" s="39">
        <v>113438</v>
      </c>
      <c r="K3435" s="36" t="str">
        <f>CONCATENATE(Cover!$D$6,"fdd/view?i=",J3435)</f>
        <v>https://www.dgiwg.org/FAD/fdd/view?i=113438</v>
      </c>
      <c r="L3435" s="36" t="s">
        <v>29504</v>
      </c>
      <c r="M3435" s="186"/>
      <c r="N3435" s="186"/>
      <c r="O3435" s="172"/>
    </row>
    <row r="3436" spans="1:15" ht="25.5" x14ac:dyDescent="0.2">
      <c r="A3436" s="197" t="str">
        <f t="shared" si="53"/>
        <v>Kd1Code_heavyMetalContamination</v>
      </c>
      <c r="B3436" s="409"/>
      <c r="C3436" s="416"/>
      <c r="D3436" s="198" t="s">
        <v>29505</v>
      </c>
      <c r="E3436" s="198">
        <v>9</v>
      </c>
      <c r="F3436" s="199" t="s">
        <v>29506</v>
      </c>
      <c r="G3436" s="1" t="s">
        <v>29507</v>
      </c>
      <c r="H3436" s="200"/>
      <c r="I3436" s="346"/>
      <c r="J3436" s="39">
        <v>113444</v>
      </c>
      <c r="K3436" s="36" t="str">
        <f>CONCATENATE(Cover!$D$6,"fdd/view?i=",J3436)</f>
        <v>https://www.dgiwg.org/FAD/fdd/view?i=113444</v>
      </c>
      <c r="L3436" s="36" t="s">
        <v>29508</v>
      </c>
      <c r="M3436" s="186"/>
      <c r="N3436" s="186"/>
      <c r="O3436" s="172"/>
    </row>
    <row r="3437" spans="1:15" ht="25.5" x14ac:dyDescent="0.2">
      <c r="A3437" s="197" t="str">
        <f t="shared" si="53"/>
        <v>Kd1Code_landMine</v>
      </c>
      <c r="B3437" s="409"/>
      <c r="C3437" s="416"/>
      <c r="D3437" s="198" t="s">
        <v>29509</v>
      </c>
      <c r="E3437" s="198">
        <v>12</v>
      </c>
      <c r="F3437" s="199" t="s">
        <v>29510</v>
      </c>
      <c r="G3437" s="1" t="s">
        <v>29511</v>
      </c>
      <c r="H3437" s="200"/>
      <c r="I3437" s="346"/>
      <c r="J3437" s="39">
        <v>113447</v>
      </c>
      <c r="K3437" s="36" t="str">
        <f>CONCATENATE(Cover!$D$6,"fdd/view?i=",J3437)</f>
        <v>https://www.dgiwg.org/FAD/fdd/view?i=113447</v>
      </c>
      <c r="L3437" s="36" t="s">
        <v>29512</v>
      </c>
      <c r="M3437" s="186"/>
      <c r="N3437" s="186"/>
      <c r="O3437" s="172"/>
    </row>
    <row r="3438" spans="1:15" ht="38.25" x14ac:dyDescent="0.2">
      <c r="A3438" s="197" t="str">
        <f t="shared" si="53"/>
        <v>Kd1Code_landslide</v>
      </c>
      <c r="B3438" s="409"/>
      <c r="C3438" s="416"/>
      <c r="D3438" s="198" t="s">
        <v>29078</v>
      </c>
      <c r="E3438" s="198">
        <v>16</v>
      </c>
      <c r="F3438" s="199" t="s">
        <v>29079</v>
      </c>
      <c r="G3438" s="1" t="s">
        <v>29513</v>
      </c>
      <c r="H3438" s="200"/>
      <c r="I3438" s="346"/>
      <c r="J3438" s="39">
        <v>118293</v>
      </c>
      <c r="K3438" s="36" t="str">
        <f>CONCATENATE(Cover!$D$6,"fdd/view?i=",J3438)</f>
        <v>https://www.dgiwg.org/FAD/fdd/view?i=118293</v>
      </c>
      <c r="L3438" s="36" t="s">
        <v>29514</v>
      </c>
      <c r="M3438" s="186"/>
      <c r="N3438" s="186"/>
      <c r="O3438" s="172"/>
    </row>
    <row r="3439" spans="1:15" ht="25.5" x14ac:dyDescent="0.2">
      <c r="A3439" s="197" t="str">
        <f t="shared" si="53"/>
        <v>Kd1Code_maximumCredibleAccident</v>
      </c>
      <c r="B3439" s="409"/>
      <c r="C3439" s="416"/>
      <c r="D3439" s="198" t="s">
        <v>29515</v>
      </c>
      <c r="E3439" s="198">
        <v>5</v>
      </c>
      <c r="F3439" s="199" t="s">
        <v>29516</v>
      </c>
      <c r="G3439" s="1" t="s">
        <v>29517</v>
      </c>
      <c r="H3439" s="200"/>
      <c r="I3439" s="346"/>
      <c r="J3439" s="39">
        <v>113440</v>
      </c>
      <c r="K3439" s="36" t="str">
        <f>CONCATENATE(Cover!$D$6,"fdd/view?i=",J3439)</f>
        <v>https://www.dgiwg.org/FAD/fdd/view?i=113440</v>
      </c>
      <c r="L3439" s="36" t="s">
        <v>29518</v>
      </c>
      <c r="M3439" s="186"/>
      <c r="N3439" s="186"/>
      <c r="O3439" s="172"/>
    </row>
    <row r="3440" spans="1:15" ht="38.25" x14ac:dyDescent="0.2">
      <c r="A3440" s="197" t="str">
        <f t="shared" si="53"/>
        <v>Kd1Code_nuclearWaste</v>
      </c>
      <c r="B3440" s="409"/>
      <c r="C3440" s="416"/>
      <c r="D3440" s="198" t="s">
        <v>28997</v>
      </c>
      <c r="E3440" s="198">
        <v>6</v>
      </c>
      <c r="F3440" s="199" t="s">
        <v>28998</v>
      </c>
      <c r="G3440" s="1" t="s">
        <v>29519</v>
      </c>
      <c r="H3440" s="200"/>
      <c r="I3440" s="346"/>
      <c r="J3440" s="39">
        <v>113441</v>
      </c>
      <c r="K3440" s="36" t="str">
        <f>CONCATENATE(Cover!$D$6,"fdd/view?i=",J3440)</f>
        <v>https://www.dgiwg.org/FAD/fdd/view?i=113441</v>
      </c>
      <c r="L3440" s="36" t="s">
        <v>29520</v>
      </c>
      <c r="M3440" s="186"/>
      <c r="N3440" s="186"/>
      <c r="O3440" s="172"/>
    </row>
    <row r="3441" spans="1:15" ht="25.5" x14ac:dyDescent="0.2">
      <c r="A3441" s="197" t="str">
        <f t="shared" si="53"/>
        <v>Kd1Code_oilSpill</v>
      </c>
      <c r="B3441" s="409"/>
      <c r="C3441" s="416"/>
      <c r="D3441" s="198" t="s">
        <v>29521</v>
      </c>
      <c r="E3441" s="198">
        <v>1</v>
      </c>
      <c r="F3441" s="199" t="s">
        <v>29522</v>
      </c>
      <c r="G3441" s="1" t="s">
        <v>29523</v>
      </c>
      <c r="H3441" s="200"/>
      <c r="I3441" s="346"/>
      <c r="J3441" s="39">
        <v>113436</v>
      </c>
      <c r="K3441" s="36" t="str">
        <f>CONCATENATE(Cover!$D$6,"fdd/view?i=",J3441)</f>
        <v>https://www.dgiwg.org/FAD/fdd/view?i=113436</v>
      </c>
      <c r="L3441" s="36" t="s">
        <v>29524</v>
      </c>
      <c r="M3441" s="186"/>
      <c r="N3441" s="186"/>
      <c r="O3441" s="172"/>
    </row>
    <row r="3442" spans="1:15" x14ac:dyDescent="0.2">
      <c r="A3442" s="197" t="str">
        <f t="shared" si="53"/>
        <v>Kd1Code_ozoneHole</v>
      </c>
      <c r="B3442" s="409"/>
      <c r="C3442" s="416"/>
      <c r="D3442" s="198" t="s">
        <v>29525</v>
      </c>
      <c r="E3442" s="198">
        <v>11</v>
      </c>
      <c r="F3442" s="199" t="s">
        <v>29526</v>
      </c>
      <c r="G3442" s="1" t="s">
        <v>29527</v>
      </c>
      <c r="H3442" s="200"/>
      <c r="I3442" s="346"/>
      <c r="J3442" s="39">
        <v>113446</v>
      </c>
      <c r="K3442" s="36" t="str">
        <f>CONCATENATE(Cover!$D$6,"fdd/view?i=",J3442)</f>
        <v>https://www.dgiwg.org/FAD/fdd/view?i=113446</v>
      </c>
      <c r="L3442" s="36" t="s">
        <v>29528</v>
      </c>
      <c r="M3442" s="186"/>
      <c r="N3442" s="186"/>
      <c r="O3442" s="172"/>
    </row>
    <row r="3443" spans="1:15" ht="25.5" x14ac:dyDescent="0.2">
      <c r="A3443" s="197" t="str">
        <f t="shared" si="53"/>
        <v>Kd1Code_stormDamage</v>
      </c>
      <c r="B3443" s="409"/>
      <c r="C3443" s="416"/>
      <c r="D3443" s="198" t="s">
        <v>29529</v>
      </c>
      <c r="E3443" s="198">
        <v>14</v>
      </c>
      <c r="F3443" s="199" t="s">
        <v>29530</v>
      </c>
      <c r="G3443" s="1" t="s">
        <v>29531</v>
      </c>
      <c r="H3443" s="200"/>
      <c r="I3443" s="346"/>
      <c r="J3443" s="39">
        <v>114563</v>
      </c>
      <c r="K3443" s="36" t="str">
        <f>CONCATENATE(Cover!$D$6,"fdd/view?i=",J3443)</f>
        <v>https://www.dgiwg.org/FAD/fdd/view?i=114563</v>
      </c>
      <c r="L3443" s="36" t="s">
        <v>29532</v>
      </c>
      <c r="M3443" s="186"/>
      <c r="N3443" s="186"/>
      <c r="O3443" s="172"/>
    </row>
    <row r="3444" spans="1:15" ht="25.5" x14ac:dyDescent="0.2">
      <c r="A3444" s="197" t="str">
        <f t="shared" si="53"/>
        <v>Kd1Code_unexplodedOrdnance</v>
      </c>
      <c r="B3444" s="409"/>
      <c r="C3444" s="416"/>
      <c r="D3444" s="198" t="s">
        <v>26608</v>
      </c>
      <c r="E3444" s="198">
        <v>13</v>
      </c>
      <c r="F3444" s="199" t="s">
        <v>29533</v>
      </c>
      <c r="G3444" s="1" t="s">
        <v>29534</v>
      </c>
      <c r="H3444" s="200"/>
      <c r="I3444" s="351" t="s">
        <v>29535</v>
      </c>
      <c r="J3444" s="39">
        <v>113448</v>
      </c>
      <c r="K3444" s="36" t="str">
        <f>CONCATENATE(Cover!$D$6,"fdd/view?i=",J3444)</f>
        <v>https://www.dgiwg.org/FAD/fdd/view?i=113448</v>
      </c>
      <c r="L3444" s="36" t="s">
        <v>29536</v>
      </c>
      <c r="M3444" s="186"/>
      <c r="N3444" s="186"/>
      <c r="O3444" s="172"/>
    </row>
    <row r="3445" spans="1:15" ht="25.5" x14ac:dyDescent="0.2">
      <c r="A3445" s="197" t="str">
        <f t="shared" si="53"/>
        <v>Kd1Code_wasteWater</v>
      </c>
      <c r="B3445" s="409"/>
      <c r="C3445" s="416"/>
      <c r="D3445" s="198" t="s">
        <v>29537</v>
      </c>
      <c r="E3445" s="198">
        <v>4</v>
      </c>
      <c r="F3445" s="199" t="s">
        <v>29538</v>
      </c>
      <c r="G3445" s="1" t="s">
        <v>29539</v>
      </c>
      <c r="H3445" s="200"/>
      <c r="I3445" s="346"/>
      <c r="J3445" s="39">
        <v>113439</v>
      </c>
      <c r="K3445" s="36" t="str">
        <f>CONCATENATE(Cover!$D$6,"fdd/view?i=",J3445)</f>
        <v>https://www.dgiwg.org/FAD/fdd/view?i=113439</v>
      </c>
      <c r="L3445" s="36" t="s">
        <v>29540</v>
      </c>
      <c r="M3445" s="186"/>
      <c r="N3445" s="186"/>
      <c r="O3445" s="172"/>
    </row>
    <row r="3446" spans="1:15" ht="25.5" x14ac:dyDescent="0.2">
      <c r="A3446" s="203" t="str">
        <f t="shared" si="53"/>
        <v>Kd1Code_waterBodyExtinction</v>
      </c>
      <c r="B3446" s="410"/>
      <c r="C3446" s="417"/>
      <c r="D3446" s="204" t="s">
        <v>29541</v>
      </c>
      <c r="E3446" s="204">
        <v>10</v>
      </c>
      <c r="F3446" s="205" t="s">
        <v>29542</v>
      </c>
      <c r="G3446" s="206" t="s">
        <v>29543</v>
      </c>
      <c r="H3446" s="207"/>
      <c r="I3446" s="347"/>
      <c r="J3446" s="39">
        <v>113445</v>
      </c>
      <c r="K3446" s="36" t="str">
        <f>CONCATENATE(Cover!$D$6,"fdd/view?i=",J3446)</f>
        <v>https://www.dgiwg.org/FAD/fdd/view?i=113445</v>
      </c>
      <c r="L3446" s="36" t="s">
        <v>29544</v>
      </c>
      <c r="M3446" s="186"/>
      <c r="N3446" s="186"/>
      <c r="O3446" s="172"/>
    </row>
    <row r="3447" spans="1:15" ht="25.5" x14ac:dyDescent="0.2">
      <c r="A3447" s="190" t="str">
        <f t="shared" si="53"/>
        <v>Ke1Code_anthrax</v>
      </c>
      <c r="B3447" s="414" t="str">
        <f>HYPERLINK("[#]Datatypes!A520:L520","Ke1Code")</f>
        <v>Ke1Code</v>
      </c>
      <c r="C3447" s="415" t="s">
        <v>15091</v>
      </c>
      <c r="D3447" s="221" t="s">
        <v>29545</v>
      </c>
      <c r="E3447" s="221">
        <v>9</v>
      </c>
      <c r="F3447" s="222" t="s">
        <v>29546</v>
      </c>
      <c r="G3447" s="223" t="s">
        <v>29547</v>
      </c>
      <c r="H3447" s="224"/>
      <c r="I3447" s="345"/>
      <c r="J3447" s="39">
        <v>113457</v>
      </c>
      <c r="K3447" s="36" t="str">
        <f>CONCATENATE(Cover!$D$6,"fdd/view?i=",J3447)</f>
        <v>https://www.dgiwg.org/FAD/fdd/view?i=113457</v>
      </c>
      <c r="L3447" s="36" t="s">
        <v>29548</v>
      </c>
      <c r="M3447" s="186"/>
      <c r="N3447" s="186"/>
      <c r="O3447" s="172"/>
    </row>
    <row r="3448" spans="1:15" ht="25.5" x14ac:dyDescent="0.2">
      <c r="A3448" s="197" t="str">
        <f t="shared" si="53"/>
        <v>Ke1Code_avianInfluenza</v>
      </c>
      <c r="B3448" s="409"/>
      <c r="C3448" s="416"/>
      <c r="D3448" s="198" t="s">
        <v>29549</v>
      </c>
      <c r="E3448" s="198">
        <v>23</v>
      </c>
      <c r="F3448" s="199" t="s">
        <v>29550</v>
      </c>
      <c r="G3448" s="1" t="s">
        <v>29551</v>
      </c>
      <c r="H3448" s="200"/>
      <c r="I3448" s="351" t="s">
        <v>29552</v>
      </c>
      <c r="J3448" s="39">
        <v>113471</v>
      </c>
      <c r="K3448" s="36" t="str">
        <f>CONCATENATE(Cover!$D$6,"fdd/view?i=",J3448)</f>
        <v>https://www.dgiwg.org/FAD/fdd/view?i=113471</v>
      </c>
      <c r="L3448" s="36" t="s">
        <v>29553</v>
      </c>
      <c r="M3448" s="186"/>
      <c r="N3448" s="186"/>
      <c r="O3448" s="172"/>
    </row>
    <row r="3449" spans="1:15" ht="25.5" x14ac:dyDescent="0.2">
      <c r="A3449" s="197" t="str">
        <f t="shared" si="53"/>
        <v>Ke1Code_bilharzia</v>
      </c>
      <c r="B3449" s="409"/>
      <c r="C3449" s="416"/>
      <c r="D3449" s="198" t="s">
        <v>29554</v>
      </c>
      <c r="E3449" s="198">
        <v>12</v>
      </c>
      <c r="F3449" s="199" t="s">
        <v>29555</v>
      </c>
      <c r="G3449" s="1" t="s">
        <v>29556</v>
      </c>
      <c r="H3449" s="200"/>
      <c r="I3449" s="346"/>
      <c r="J3449" s="39">
        <v>113460</v>
      </c>
      <c r="K3449" s="36" t="str">
        <f>CONCATENATE(Cover!$D$6,"fdd/view?i=",J3449)</f>
        <v>https://www.dgiwg.org/FAD/fdd/view?i=113460</v>
      </c>
      <c r="L3449" s="36" t="s">
        <v>29557</v>
      </c>
      <c r="M3449" s="186"/>
      <c r="N3449" s="186"/>
      <c r="O3449" s="172"/>
    </row>
    <row r="3450" spans="1:15" ht="25.5" x14ac:dyDescent="0.2">
      <c r="A3450" s="197" t="str">
        <f t="shared" si="53"/>
        <v>Ke1Code_bubonicPlague</v>
      </c>
      <c r="B3450" s="409"/>
      <c r="C3450" s="416"/>
      <c r="D3450" s="198" t="s">
        <v>29558</v>
      </c>
      <c r="E3450" s="198">
        <v>5</v>
      </c>
      <c r="F3450" s="199" t="s">
        <v>29559</v>
      </c>
      <c r="G3450" s="1" t="s">
        <v>29560</v>
      </c>
      <c r="H3450" s="200"/>
      <c r="I3450" s="346"/>
      <c r="J3450" s="39">
        <v>113453</v>
      </c>
      <c r="K3450" s="36" t="str">
        <f>CONCATENATE(Cover!$D$6,"fdd/view?i=",J3450)</f>
        <v>https://www.dgiwg.org/FAD/fdd/view?i=113453</v>
      </c>
      <c r="L3450" s="36" t="s">
        <v>29561</v>
      </c>
      <c r="M3450" s="186"/>
      <c r="N3450" s="186"/>
      <c r="O3450" s="172"/>
    </row>
    <row r="3451" spans="1:15" ht="38.25" x14ac:dyDescent="0.2">
      <c r="A3451" s="197" t="str">
        <f t="shared" si="53"/>
        <v>Ke1Code_chagas</v>
      </c>
      <c r="B3451" s="409"/>
      <c r="C3451" s="416"/>
      <c r="D3451" s="198" t="s">
        <v>29562</v>
      </c>
      <c r="E3451" s="198">
        <v>3</v>
      </c>
      <c r="F3451" s="199" t="s">
        <v>29563</v>
      </c>
      <c r="G3451" s="1" t="s">
        <v>29564</v>
      </c>
      <c r="H3451" s="200"/>
      <c r="I3451" s="346"/>
      <c r="J3451" s="39">
        <v>113451</v>
      </c>
      <c r="K3451" s="36" t="str">
        <f>CONCATENATE(Cover!$D$6,"fdd/view?i=",J3451)</f>
        <v>https://www.dgiwg.org/FAD/fdd/view?i=113451</v>
      </c>
      <c r="L3451" s="36" t="s">
        <v>29565</v>
      </c>
      <c r="M3451" s="186"/>
      <c r="N3451" s="186"/>
      <c r="O3451" s="172"/>
    </row>
    <row r="3452" spans="1:15" ht="25.5" x14ac:dyDescent="0.2">
      <c r="A3452" s="197" t="str">
        <f t="shared" si="53"/>
        <v>Ke1Code_cholera</v>
      </c>
      <c r="B3452" s="409"/>
      <c r="C3452" s="416"/>
      <c r="D3452" s="198" t="s">
        <v>29566</v>
      </c>
      <c r="E3452" s="198">
        <v>6</v>
      </c>
      <c r="F3452" s="199" t="s">
        <v>29567</v>
      </c>
      <c r="G3452" s="1" t="s">
        <v>29568</v>
      </c>
      <c r="H3452" s="200"/>
      <c r="I3452" s="346"/>
      <c r="J3452" s="39">
        <v>113454</v>
      </c>
      <c r="K3452" s="36" t="str">
        <f>CONCATENATE(Cover!$D$6,"fdd/view?i=",J3452)</f>
        <v>https://www.dgiwg.org/FAD/fdd/view?i=113454</v>
      </c>
      <c r="L3452" s="36" t="s">
        <v>29569</v>
      </c>
      <c r="M3452" s="186"/>
      <c r="N3452" s="186"/>
      <c r="O3452" s="172"/>
    </row>
    <row r="3453" spans="1:15" ht="38.25" x14ac:dyDescent="0.2">
      <c r="A3453" s="197" t="str">
        <f t="shared" si="53"/>
        <v>Ke1Code_diphteria</v>
      </c>
      <c r="B3453" s="409"/>
      <c r="C3453" s="416"/>
      <c r="D3453" s="198" t="s">
        <v>29570</v>
      </c>
      <c r="E3453" s="198">
        <v>25</v>
      </c>
      <c r="F3453" s="199" t="s">
        <v>29571</v>
      </c>
      <c r="G3453" s="1" t="s">
        <v>29572</v>
      </c>
      <c r="H3453" s="200"/>
      <c r="I3453" s="346"/>
      <c r="J3453" s="39">
        <v>113473</v>
      </c>
      <c r="K3453" s="36" t="str">
        <f>CONCATENATE(Cover!$D$6,"fdd/view?i=",J3453)</f>
        <v>https://www.dgiwg.org/FAD/fdd/view?i=113473</v>
      </c>
      <c r="L3453" s="36" t="s">
        <v>29573</v>
      </c>
      <c r="M3453" s="186"/>
      <c r="N3453" s="186"/>
      <c r="O3453" s="172"/>
    </row>
    <row r="3454" spans="1:15" ht="25.5" x14ac:dyDescent="0.2">
      <c r="A3454" s="197" t="str">
        <f t="shared" si="53"/>
        <v>Ke1Code_dysentery</v>
      </c>
      <c r="B3454" s="409"/>
      <c r="C3454" s="416"/>
      <c r="D3454" s="198" t="s">
        <v>29574</v>
      </c>
      <c r="E3454" s="198">
        <v>13</v>
      </c>
      <c r="F3454" s="199" t="s">
        <v>29575</v>
      </c>
      <c r="G3454" s="1" t="s">
        <v>29576</v>
      </c>
      <c r="H3454" s="200"/>
      <c r="I3454" s="346"/>
      <c r="J3454" s="39">
        <v>113461</v>
      </c>
      <c r="K3454" s="36" t="str">
        <f>CONCATENATE(Cover!$D$6,"fdd/view?i=",J3454)</f>
        <v>https://www.dgiwg.org/FAD/fdd/view?i=113461</v>
      </c>
      <c r="L3454" s="36" t="s">
        <v>29577</v>
      </c>
      <c r="M3454" s="186"/>
      <c r="N3454" s="186"/>
      <c r="O3454" s="172"/>
    </row>
    <row r="3455" spans="1:15" ht="25.5" x14ac:dyDescent="0.2">
      <c r="A3455" s="197" t="str">
        <f t="shared" si="53"/>
        <v>Ke1Code_ebolaHemorrhagicFever</v>
      </c>
      <c r="B3455" s="409"/>
      <c r="C3455" s="416"/>
      <c r="D3455" s="198" t="s">
        <v>29578</v>
      </c>
      <c r="E3455" s="198">
        <v>19</v>
      </c>
      <c r="F3455" s="199" t="s">
        <v>29579</v>
      </c>
      <c r="G3455" s="1" t="s">
        <v>29580</v>
      </c>
      <c r="H3455" s="200"/>
      <c r="I3455" s="346"/>
      <c r="J3455" s="39">
        <v>113467</v>
      </c>
      <c r="K3455" s="36" t="str">
        <f>CONCATENATE(Cover!$D$6,"fdd/view?i=",J3455)</f>
        <v>https://www.dgiwg.org/FAD/fdd/view?i=113467</v>
      </c>
      <c r="L3455" s="36" t="s">
        <v>29581</v>
      </c>
      <c r="M3455" s="186"/>
      <c r="N3455" s="186"/>
      <c r="O3455" s="172"/>
    </row>
    <row r="3456" spans="1:15" ht="25.5" x14ac:dyDescent="0.2">
      <c r="A3456" s="197" t="str">
        <f t="shared" si="53"/>
        <v>Ke1Code_epizooticDisease</v>
      </c>
      <c r="B3456" s="409"/>
      <c r="C3456" s="416"/>
      <c r="D3456" s="198" t="s">
        <v>29582</v>
      </c>
      <c r="E3456" s="198">
        <v>18</v>
      </c>
      <c r="F3456" s="199" t="s">
        <v>29583</v>
      </c>
      <c r="G3456" s="1" t="s">
        <v>29584</v>
      </c>
      <c r="H3456" s="1" t="s">
        <v>29585</v>
      </c>
      <c r="I3456" s="346"/>
      <c r="J3456" s="39">
        <v>113466</v>
      </c>
      <c r="K3456" s="36" t="str">
        <f>CONCATENATE(Cover!$D$6,"fdd/view?i=",J3456)</f>
        <v>https://www.dgiwg.org/FAD/fdd/view?i=113466</v>
      </c>
      <c r="L3456" s="36" t="s">
        <v>29586</v>
      </c>
      <c r="M3456" s="186"/>
      <c r="N3456" s="186"/>
      <c r="O3456" s="172"/>
    </row>
    <row r="3457" spans="1:15" ht="25.5" x14ac:dyDescent="0.2">
      <c r="A3457" s="197" t="str">
        <f t="shared" si="53"/>
        <v>Ke1Code_hemorrhagicFever</v>
      </c>
      <c r="B3457" s="409"/>
      <c r="C3457" s="416"/>
      <c r="D3457" s="198" t="s">
        <v>29587</v>
      </c>
      <c r="E3457" s="198">
        <v>26</v>
      </c>
      <c r="F3457" s="199" t="s">
        <v>29588</v>
      </c>
      <c r="G3457" s="1" t="s">
        <v>29589</v>
      </c>
      <c r="H3457" s="200"/>
      <c r="I3457" s="346"/>
      <c r="J3457" s="39">
        <v>113474</v>
      </c>
      <c r="K3457" s="36" t="str">
        <f>CONCATENATE(Cover!$D$6,"fdd/view?i=",J3457)</f>
        <v>https://www.dgiwg.org/FAD/fdd/view?i=113474</v>
      </c>
      <c r="L3457" s="36" t="s">
        <v>29590</v>
      </c>
      <c r="M3457" s="186"/>
      <c r="N3457" s="186"/>
      <c r="O3457" s="172"/>
    </row>
    <row r="3458" spans="1:15" ht="38.25" x14ac:dyDescent="0.2">
      <c r="A3458" s="197" t="str">
        <f t="shared" ref="A3458:A3521" si="54">HYPERLINK(K3458,L3458)</f>
        <v>Ke1Code_humanImmunodeficiencyVirus</v>
      </c>
      <c r="B3458" s="409"/>
      <c r="C3458" s="416"/>
      <c r="D3458" s="198" t="s">
        <v>29591</v>
      </c>
      <c r="E3458" s="198">
        <v>21</v>
      </c>
      <c r="F3458" s="199" t="s">
        <v>29592</v>
      </c>
      <c r="G3458" s="1" t="s">
        <v>29593</v>
      </c>
      <c r="H3458" s="200"/>
      <c r="I3458" s="346"/>
      <c r="J3458" s="39">
        <v>113469</v>
      </c>
      <c r="K3458" s="36" t="str">
        <f>CONCATENATE(Cover!$D$6,"fdd/view?i=",J3458)</f>
        <v>https://www.dgiwg.org/FAD/fdd/view?i=113469</v>
      </c>
      <c r="L3458" s="36" t="s">
        <v>29594</v>
      </c>
      <c r="M3458" s="186"/>
      <c r="N3458" s="186"/>
      <c r="O3458" s="172"/>
    </row>
    <row r="3459" spans="1:15" ht="25.5" x14ac:dyDescent="0.2">
      <c r="A3459" s="197" t="str">
        <f t="shared" si="54"/>
        <v>Ke1Code_lassaFever</v>
      </c>
      <c r="B3459" s="409"/>
      <c r="C3459" s="416"/>
      <c r="D3459" s="198" t="s">
        <v>29595</v>
      </c>
      <c r="E3459" s="198">
        <v>20</v>
      </c>
      <c r="F3459" s="199" t="s">
        <v>29596</v>
      </c>
      <c r="G3459" s="1" t="s">
        <v>29597</v>
      </c>
      <c r="H3459" s="200"/>
      <c r="I3459" s="346"/>
      <c r="J3459" s="39">
        <v>113468</v>
      </c>
      <c r="K3459" s="36" t="str">
        <f>CONCATENATE(Cover!$D$6,"fdd/view?i=",J3459)</f>
        <v>https://www.dgiwg.org/FAD/fdd/view?i=113468</v>
      </c>
      <c r="L3459" s="36" t="s">
        <v>29598</v>
      </c>
      <c r="M3459" s="186"/>
      <c r="N3459" s="186"/>
      <c r="O3459" s="172"/>
    </row>
    <row r="3460" spans="1:15" ht="38.25" x14ac:dyDescent="0.2">
      <c r="A3460" s="197" t="str">
        <f t="shared" si="54"/>
        <v>Ke1Code_leprosy</v>
      </c>
      <c r="B3460" s="409"/>
      <c r="C3460" s="416"/>
      <c r="D3460" s="198" t="s">
        <v>29599</v>
      </c>
      <c r="E3460" s="198">
        <v>10</v>
      </c>
      <c r="F3460" s="199" t="s">
        <v>29600</v>
      </c>
      <c r="G3460" s="1" t="s">
        <v>29601</v>
      </c>
      <c r="H3460" s="200"/>
      <c r="I3460" s="346"/>
      <c r="J3460" s="39">
        <v>113458</v>
      </c>
      <c r="K3460" s="36" t="str">
        <f>CONCATENATE(Cover!$D$6,"fdd/view?i=",J3460)</f>
        <v>https://www.dgiwg.org/FAD/fdd/view?i=113458</v>
      </c>
      <c r="L3460" s="36" t="s">
        <v>29602</v>
      </c>
      <c r="M3460" s="186"/>
      <c r="N3460" s="186"/>
      <c r="O3460" s="172"/>
    </row>
    <row r="3461" spans="1:15" x14ac:dyDescent="0.2">
      <c r="A3461" s="197" t="str">
        <f t="shared" si="54"/>
        <v>Ke1Code_malaria</v>
      </c>
      <c r="B3461" s="409"/>
      <c r="C3461" s="416"/>
      <c r="D3461" s="198" t="s">
        <v>29603</v>
      </c>
      <c r="E3461" s="198">
        <v>4</v>
      </c>
      <c r="F3461" s="199" t="s">
        <v>29604</v>
      </c>
      <c r="G3461" s="1" t="s">
        <v>29605</v>
      </c>
      <c r="H3461" s="200"/>
      <c r="I3461" s="346"/>
      <c r="J3461" s="39">
        <v>113452</v>
      </c>
      <c r="K3461" s="36" t="str">
        <f>CONCATENATE(Cover!$D$6,"fdd/view?i=",J3461)</f>
        <v>https://www.dgiwg.org/FAD/fdd/view?i=113452</v>
      </c>
      <c r="L3461" s="36" t="s">
        <v>29606</v>
      </c>
      <c r="M3461" s="186"/>
      <c r="N3461" s="186"/>
      <c r="O3461" s="172"/>
    </row>
    <row r="3462" spans="1:15" ht="25.5" x14ac:dyDescent="0.2">
      <c r="A3462" s="197" t="str">
        <f t="shared" si="54"/>
        <v>Ke1Code_naganaPest</v>
      </c>
      <c r="B3462" s="409"/>
      <c r="C3462" s="416"/>
      <c r="D3462" s="198" t="s">
        <v>29607</v>
      </c>
      <c r="E3462" s="198">
        <v>2</v>
      </c>
      <c r="F3462" s="199" t="s">
        <v>29608</v>
      </c>
      <c r="G3462" s="1" t="s">
        <v>29609</v>
      </c>
      <c r="H3462" s="200"/>
      <c r="I3462" s="346"/>
      <c r="J3462" s="39">
        <v>113450</v>
      </c>
      <c r="K3462" s="36" t="str">
        <f>CONCATENATE(Cover!$D$6,"fdd/view?i=",J3462)</f>
        <v>https://www.dgiwg.org/FAD/fdd/view?i=113450</v>
      </c>
      <c r="L3462" s="36" t="s">
        <v>29610</v>
      </c>
      <c r="M3462" s="186"/>
      <c r="N3462" s="186"/>
      <c r="O3462" s="172"/>
    </row>
    <row r="3463" spans="1:15" x14ac:dyDescent="0.2">
      <c r="A3463" s="197" t="str">
        <f t="shared" si="54"/>
        <v>Ke1Code_ornithose</v>
      </c>
      <c r="B3463" s="409"/>
      <c r="C3463" s="416"/>
      <c r="D3463" s="198" t="s">
        <v>29611</v>
      </c>
      <c r="E3463" s="198">
        <v>15</v>
      </c>
      <c r="F3463" s="199" t="s">
        <v>29612</v>
      </c>
      <c r="G3463" s="1" t="s">
        <v>29613</v>
      </c>
      <c r="H3463" s="200"/>
      <c r="I3463" s="346"/>
      <c r="J3463" s="39">
        <v>113463</v>
      </c>
      <c r="K3463" s="36" t="str">
        <f>CONCATENATE(Cover!$D$6,"fdd/view?i=",J3463)</f>
        <v>https://www.dgiwg.org/FAD/fdd/view?i=113463</v>
      </c>
      <c r="L3463" s="36" t="s">
        <v>29614</v>
      </c>
      <c r="M3463" s="186"/>
      <c r="N3463" s="186"/>
      <c r="O3463" s="172"/>
    </row>
    <row r="3464" spans="1:15" ht="25.5" x14ac:dyDescent="0.2">
      <c r="A3464" s="197" t="str">
        <f t="shared" si="54"/>
        <v>Ke1Code_paratyphoidFever</v>
      </c>
      <c r="B3464" s="409"/>
      <c r="C3464" s="416"/>
      <c r="D3464" s="198" t="s">
        <v>29615</v>
      </c>
      <c r="E3464" s="198">
        <v>8</v>
      </c>
      <c r="F3464" s="199" t="s">
        <v>29616</v>
      </c>
      <c r="G3464" s="1" t="s">
        <v>29617</v>
      </c>
      <c r="H3464" s="1" t="s">
        <v>29618</v>
      </c>
      <c r="I3464" s="346"/>
      <c r="J3464" s="39">
        <v>113456</v>
      </c>
      <c r="K3464" s="36" t="str">
        <f>CONCATENATE(Cover!$D$6,"fdd/view?i=",J3464)</f>
        <v>https://www.dgiwg.org/FAD/fdd/view?i=113456</v>
      </c>
      <c r="L3464" s="36" t="s">
        <v>29619</v>
      </c>
      <c r="M3464" s="186"/>
      <c r="N3464" s="186"/>
      <c r="O3464" s="172"/>
    </row>
    <row r="3465" spans="1:15" ht="38.25" x14ac:dyDescent="0.2">
      <c r="A3465" s="197" t="str">
        <f t="shared" si="54"/>
        <v>Ke1Code_poliomyelitis</v>
      </c>
      <c r="B3465" s="409"/>
      <c r="C3465" s="416"/>
      <c r="D3465" s="198" t="s">
        <v>29620</v>
      </c>
      <c r="E3465" s="198">
        <v>16</v>
      </c>
      <c r="F3465" s="199" t="s">
        <v>29621</v>
      </c>
      <c r="G3465" s="1" t="s">
        <v>29622</v>
      </c>
      <c r="H3465" s="200"/>
      <c r="I3465" s="351" t="s">
        <v>29623</v>
      </c>
      <c r="J3465" s="39">
        <v>113464</v>
      </c>
      <c r="K3465" s="36" t="str">
        <f>CONCATENATE(Cover!$D$6,"fdd/view?i=",J3465)</f>
        <v>https://www.dgiwg.org/FAD/fdd/view?i=113464</v>
      </c>
      <c r="L3465" s="36" t="s">
        <v>29624</v>
      </c>
      <c r="M3465" s="186"/>
      <c r="N3465" s="186"/>
      <c r="O3465" s="172"/>
    </row>
    <row r="3466" spans="1:15" x14ac:dyDescent="0.2">
      <c r="A3466" s="197" t="str">
        <f t="shared" si="54"/>
        <v>Ke1Code_psittacosis</v>
      </c>
      <c r="B3466" s="409"/>
      <c r="C3466" s="416"/>
      <c r="D3466" s="198" t="s">
        <v>29625</v>
      </c>
      <c r="E3466" s="198">
        <v>14</v>
      </c>
      <c r="F3466" s="199" t="s">
        <v>29626</v>
      </c>
      <c r="G3466" s="1" t="s">
        <v>29627</v>
      </c>
      <c r="H3466" s="200"/>
      <c r="I3466" s="346"/>
      <c r="J3466" s="39">
        <v>113462</v>
      </c>
      <c r="K3466" s="36" t="str">
        <f>CONCATENATE(Cover!$D$6,"fdd/view?i=",J3466)</f>
        <v>https://www.dgiwg.org/FAD/fdd/view?i=113462</v>
      </c>
      <c r="L3466" s="36" t="s">
        <v>29628</v>
      </c>
      <c r="M3466" s="186"/>
      <c r="N3466" s="186"/>
      <c r="O3466" s="172"/>
    </row>
    <row r="3467" spans="1:15" ht="25.5" x14ac:dyDescent="0.2">
      <c r="A3467" s="197" t="str">
        <f t="shared" si="54"/>
        <v>Ke1Code_relapsingFever</v>
      </c>
      <c r="B3467" s="409"/>
      <c r="C3467" s="416"/>
      <c r="D3467" s="198" t="s">
        <v>29629</v>
      </c>
      <c r="E3467" s="198">
        <v>17</v>
      </c>
      <c r="F3467" s="199" t="s">
        <v>29630</v>
      </c>
      <c r="G3467" s="1" t="s">
        <v>29631</v>
      </c>
      <c r="H3467" s="200"/>
      <c r="I3467" s="346"/>
      <c r="J3467" s="39">
        <v>113465</v>
      </c>
      <c r="K3467" s="36" t="str">
        <f>CONCATENATE(Cover!$D$6,"fdd/view?i=",J3467)</f>
        <v>https://www.dgiwg.org/FAD/fdd/view?i=113465</v>
      </c>
      <c r="L3467" s="36" t="s">
        <v>29632</v>
      </c>
      <c r="M3467" s="186"/>
      <c r="N3467" s="186"/>
      <c r="O3467" s="172"/>
    </row>
    <row r="3468" spans="1:15" ht="38.25" x14ac:dyDescent="0.2">
      <c r="A3468" s="197" t="str">
        <f t="shared" si="54"/>
        <v>Ke1Code_severeAcuteRespiratorySyn</v>
      </c>
      <c r="B3468" s="409"/>
      <c r="C3468" s="416"/>
      <c r="D3468" s="198" t="s">
        <v>29633</v>
      </c>
      <c r="E3468" s="198">
        <v>22</v>
      </c>
      <c r="F3468" s="199" t="s">
        <v>29634</v>
      </c>
      <c r="G3468" s="1" t="s">
        <v>29635</v>
      </c>
      <c r="H3468" s="200"/>
      <c r="I3468" s="346"/>
      <c r="J3468" s="39">
        <v>113470</v>
      </c>
      <c r="K3468" s="36" t="str">
        <f>CONCATENATE(Cover!$D$6,"fdd/view?i=",J3468)</f>
        <v>https://www.dgiwg.org/FAD/fdd/view?i=113470</v>
      </c>
      <c r="L3468" s="36" t="s">
        <v>29636</v>
      </c>
      <c r="M3468" s="186"/>
      <c r="N3468" s="186"/>
      <c r="O3468" s="172"/>
    </row>
    <row r="3469" spans="1:15" ht="25.5" x14ac:dyDescent="0.2">
      <c r="A3469" s="197" t="str">
        <f t="shared" si="54"/>
        <v>Ke1Code_smallpox</v>
      </c>
      <c r="B3469" s="409"/>
      <c r="C3469" s="416"/>
      <c r="D3469" s="198" t="s">
        <v>29637</v>
      </c>
      <c r="E3469" s="198">
        <v>11</v>
      </c>
      <c r="F3469" s="199" t="s">
        <v>29638</v>
      </c>
      <c r="G3469" s="1" t="s">
        <v>29639</v>
      </c>
      <c r="H3469" s="200"/>
      <c r="I3469" s="346"/>
      <c r="J3469" s="39">
        <v>113459</v>
      </c>
      <c r="K3469" s="36" t="str">
        <f>CONCATENATE(Cover!$D$6,"fdd/view?i=",J3469)</f>
        <v>https://www.dgiwg.org/FAD/fdd/view?i=113459</v>
      </c>
      <c r="L3469" s="36" t="s">
        <v>29640</v>
      </c>
      <c r="M3469" s="186"/>
      <c r="N3469" s="186"/>
      <c r="O3469" s="172"/>
    </row>
    <row r="3470" spans="1:15" ht="38.25" x14ac:dyDescent="0.2">
      <c r="A3470" s="197" t="str">
        <f t="shared" si="54"/>
        <v>Ke1Code_trypanosomiasis</v>
      </c>
      <c r="B3470" s="409"/>
      <c r="C3470" s="416"/>
      <c r="D3470" s="198" t="s">
        <v>29641</v>
      </c>
      <c r="E3470" s="198">
        <v>1</v>
      </c>
      <c r="F3470" s="199" t="s">
        <v>29642</v>
      </c>
      <c r="G3470" s="1" t="s">
        <v>29643</v>
      </c>
      <c r="H3470" s="1" t="s">
        <v>29644</v>
      </c>
      <c r="I3470" s="351" t="s">
        <v>29645</v>
      </c>
      <c r="J3470" s="39">
        <v>113449</v>
      </c>
      <c r="K3470" s="36" t="str">
        <f>CONCATENATE(Cover!$D$6,"fdd/view?i=",J3470)</f>
        <v>https://www.dgiwg.org/FAD/fdd/view?i=113449</v>
      </c>
      <c r="L3470" s="36" t="s">
        <v>29646</v>
      </c>
      <c r="M3470" s="186"/>
      <c r="N3470" s="186"/>
      <c r="O3470" s="172"/>
    </row>
    <row r="3471" spans="1:15" ht="38.25" x14ac:dyDescent="0.2">
      <c r="A3471" s="197" t="str">
        <f t="shared" si="54"/>
        <v>Ke1Code_typhoidFever</v>
      </c>
      <c r="B3471" s="409"/>
      <c r="C3471" s="416"/>
      <c r="D3471" s="198" t="s">
        <v>29647</v>
      </c>
      <c r="E3471" s="198">
        <v>7</v>
      </c>
      <c r="F3471" s="199" t="s">
        <v>29648</v>
      </c>
      <c r="G3471" s="1" t="s">
        <v>29649</v>
      </c>
      <c r="H3471" s="200"/>
      <c r="I3471" s="346"/>
      <c r="J3471" s="39">
        <v>113455</v>
      </c>
      <c r="K3471" s="36" t="str">
        <f>CONCATENATE(Cover!$D$6,"fdd/view?i=",J3471)</f>
        <v>https://www.dgiwg.org/FAD/fdd/view?i=113455</v>
      </c>
      <c r="L3471" s="36" t="s">
        <v>29650</v>
      </c>
      <c r="M3471" s="186"/>
      <c r="N3471" s="186"/>
      <c r="O3471" s="172"/>
    </row>
    <row r="3472" spans="1:15" ht="25.5" x14ac:dyDescent="0.2">
      <c r="A3472" s="203" t="str">
        <f t="shared" si="54"/>
        <v>Ke1Code_yellowFever</v>
      </c>
      <c r="B3472" s="410"/>
      <c r="C3472" s="417"/>
      <c r="D3472" s="204" t="s">
        <v>29651</v>
      </c>
      <c r="E3472" s="204">
        <v>24</v>
      </c>
      <c r="F3472" s="205" t="s">
        <v>29652</v>
      </c>
      <c r="G3472" s="206" t="s">
        <v>29653</v>
      </c>
      <c r="H3472" s="207"/>
      <c r="I3472" s="347"/>
      <c r="J3472" s="39">
        <v>113472</v>
      </c>
      <c r="K3472" s="36" t="str">
        <f>CONCATENATE(Cover!$D$6,"fdd/view?i=",J3472)</f>
        <v>https://www.dgiwg.org/FAD/fdd/view?i=113472</v>
      </c>
      <c r="L3472" s="36" t="s">
        <v>29654</v>
      </c>
      <c r="M3472" s="186"/>
      <c r="N3472" s="186"/>
      <c r="O3472" s="172"/>
    </row>
    <row r="3473" spans="1:15" x14ac:dyDescent="0.2">
      <c r="A3473" s="190" t="str">
        <f t="shared" si="54"/>
        <v>EqcCode_scale100k</v>
      </c>
      <c r="B3473" s="414" t="str">
        <f>HYPERLINK("[#]Datatypes!A522:L522","EqcCode")</f>
        <v>EqcCode</v>
      </c>
      <c r="C3473" s="415" t="s">
        <v>15093</v>
      </c>
      <c r="D3473" s="221" t="s">
        <v>29659</v>
      </c>
      <c r="E3473" s="221">
        <v>6</v>
      </c>
      <c r="F3473" s="222" t="s">
        <v>29660</v>
      </c>
      <c r="G3473" s="223" t="s">
        <v>29661</v>
      </c>
      <c r="H3473" s="224"/>
      <c r="I3473" s="345"/>
      <c r="J3473" s="39">
        <v>118255</v>
      </c>
      <c r="K3473" s="36" t="str">
        <f>CONCATENATE(Cover!$D$6,"fdd/view?i=",J3473)</f>
        <v>https://www.dgiwg.org/FAD/fdd/view?i=118255</v>
      </c>
      <c r="L3473" s="36" t="s">
        <v>29662</v>
      </c>
      <c r="M3473" s="186"/>
      <c r="N3473" s="186"/>
      <c r="O3473" s="172"/>
    </row>
    <row r="3474" spans="1:15" x14ac:dyDescent="0.2">
      <c r="A3474" s="197" t="str">
        <f t="shared" si="54"/>
        <v>EqcCode_scale12r5k</v>
      </c>
      <c r="B3474" s="409"/>
      <c r="C3474" s="416"/>
      <c r="D3474" s="198" t="s">
        <v>29663</v>
      </c>
      <c r="E3474" s="198">
        <v>9</v>
      </c>
      <c r="F3474" s="199" t="s">
        <v>29664</v>
      </c>
      <c r="G3474" s="1" t="s">
        <v>29665</v>
      </c>
      <c r="H3474" s="200"/>
      <c r="I3474" s="346"/>
      <c r="J3474" s="39">
        <v>118258</v>
      </c>
      <c r="K3474" s="36" t="str">
        <f>CONCATENATE(Cover!$D$6,"fdd/view?i=",J3474)</f>
        <v>https://www.dgiwg.org/FAD/fdd/view?i=118258</v>
      </c>
      <c r="L3474" s="36" t="s">
        <v>29666</v>
      </c>
      <c r="M3474" s="186"/>
      <c r="N3474" s="186"/>
      <c r="O3474" s="172"/>
    </row>
    <row r="3475" spans="1:15" x14ac:dyDescent="0.2">
      <c r="A3475" s="197" t="str">
        <f t="shared" si="54"/>
        <v>EqcCode_scale1m</v>
      </c>
      <c r="B3475" s="409"/>
      <c r="C3475" s="416"/>
      <c r="D3475" s="198" t="s">
        <v>29655</v>
      </c>
      <c r="E3475" s="198">
        <v>3</v>
      </c>
      <c r="F3475" s="199" t="s">
        <v>29656</v>
      </c>
      <c r="G3475" s="1" t="s">
        <v>29657</v>
      </c>
      <c r="H3475" s="200"/>
      <c r="I3475" s="346"/>
      <c r="J3475" s="39">
        <v>118252</v>
      </c>
      <c r="K3475" s="36" t="str">
        <f>CONCATENATE(Cover!$D$6,"fdd/view?i=",J3475)</f>
        <v>https://www.dgiwg.org/FAD/fdd/view?i=118252</v>
      </c>
      <c r="L3475" s="36" t="s">
        <v>29658</v>
      </c>
      <c r="M3475" s="186"/>
      <c r="N3475" s="186"/>
      <c r="O3475" s="172"/>
    </row>
    <row r="3476" spans="1:15" x14ac:dyDescent="0.2">
      <c r="A3476" s="197" t="str">
        <f t="shared" si="54"/>
        <v>EqcCode_scale250k</v>
      </c>
      <c r="B3476" s="409"/>
      <c r="C3476" s="416"/>
      <c r="D3476" s="198" t="s">
        <v>29675</v>
      </c>
      <c r="E3476" s="198">
        <v>5</v>
      </c>
      <c r="F3476" s="199" t="s">
        <v>29676</v>
      </c>
      <c r="G3476" s="1" t="s">
        <v>29677</v>
      </c>
      <c r="H3476" s="200"/>
      <c r="I3476" s="346"/>
      <c r="J3476" s="39">
        <v>118254</v>
      </c>
      <c r="K3476" s="36" t="str">
        <f>CONCATENATE(Cover!$D$6,"fdd/view?i=",J3476)</f>
        <v>https://www.dgiwg.org/FAD/fdd/view?i=118254</v>
      </c>
      <c r="L3476" s="36" t="s">
        <v>29678</v>
      </c>
      <c r="M3476" s="186"/>
      <c r="N3476" s="186"/>
      <c r="O3476" s="172"/>
    </row>
    <row r="3477" spans="1:15" x14ac:dyDescent="0.2">
      <c r="A3477" s="197" t="str">
        <f t="shared" si="54"/>
        <v>EqcCode_scale25k</v>
      </c>
      <c r="B3477" s="409"/>
      <c r="C3477" s="416"/>
      <c r="D3477" s="198" t="s">
        <v>29671</v>
      </c>
      <c r="E3477" s="198">
        <v>8</v>
      </c>
      <c r="F3477" s="199" t="s">
        <v>29672</v>
      </c>
      <c r="G3477" s="1" t="s">
        <v>29673</v>
      </c>
      <c r="H3477" s="200"/>
      <c r="I3477" s="346"/>
      <c r="J3477" s="39">
        <v>118257</v>
      </c>
      <c r="K3477" s="36" t="str">
        <f>CONCATENATE(Cover!$D$6,"fdd/view?i=",J3477)</f>
        <v>https://www.dgiwg.org/FAD/fdd/view?i=118257</v>
      </c>
      <c r="L3477" s="36" t="s">
        <v>29674</v>
      </c>
      <c r="M3477" s="186"/>
      <c r="N3477" s="186"/>
      <c r="O3477" s="172"/>
    </row>
    <row r="3478" spans="1:15" x14ac:dyDescent="0.2">
      <c r="A3478" s="197" t="str">
        <f t="shared" si="54"/>
        <v>EqcCode_scale2m</v>
      </c>
      <c r="B3478" s="409"/>
      <c r="C3478" s="416"/>
      <c r="D3478" s="198" t="s">
        <v>29667</v>
      </c>
      <c r="E3478" s="198">
        <v>2</v>
      </c>
      <c r="F3478" s="199" t="s">
        <v>29668</v>
      </c>
      <c r="G3478" s="1" t="s">
        <v>29669</v>
      </c>
      <c r="H3478" s="200"/>
      <c r="I3478" s="346"/>
      <c r="J3478" s="39">
        <v>118251</v>
      </c>
      <c r="K3478" s="36" t="str">
        <f>CONCATENATE(Cover!$D$6,"fdd/view?i=",J3478)</f>
        <v>https://www.dgiwg.org/FAD/fdd/view?i=118251</v>
      </c>
      <c r="L3478" s="36" t="s">
        <v>29670</v>
      </c>
      <c r="M3478" s="186"/>
      <c r="N3478" s="186"/>
      <c r="O3478" s="172"/>
    </row>
    <row r="3479" spans="1:15" x14ac:dyDescent="0.2">
      <c r="A3479" s="197" t="str">
        <f t="shared" si="54"/>
        <v>EqcCode_scale500k</v>
      </c>
      <c r="B3479" s="409"/>
      <c r="C3479" s="416"/>
      <c r="D3479" s="198" t="s">
        <v>29691</v>
      </c>
      <c r="E3479" s="198">
        <v>4</v>
      </c>
      <c r="F3479" s="199" t="s">
        <v>29692</v>
      </c>
      <c r="G3479" s="1" t="s">
        <v>29693</v>
      </c>
      <c r="H3479" s="200"/>
      <c r="I3479" s="346"/>
      <c r="J3479" s="39">
        <v>118253</v>
      </c>
      <c r="K3479" s="36" t="str">
        <f>CONCATENATE(Cover!$D$6,"fdd/view?i=",J3479)</f>
        <v>https://www.dgiwg.org/FAD/fdd/view?i=118253</v>
      </c>
      <c r="L3479" s="36" t="s">
        <v>29694</v>
      </c>
      <c r="M3479" s="186"/>
      <c r="N3479" s="186"/>
      <c r="O3479" s="172"/>
    </row>
    <row r="3480" spans="1:15" x14ac:dyDescent="0.2">
      <c r="A3480" s="197" t="str">
        <f t="shared" si="54"/>
        <v>EqcCode_scale50k</v>
      </c>
      <c r="B3480" s="409"/>
      <c r="C3480" s="416"/>
      <c r="D3480" s="198" t="s">
        <v>29687</v>
      </c>
      <c r="E3480" s="198">
        <v>7</v>
      </c>
      <c r="F3480" s="199" t="s">
        <v>29688</v>
      </c>
      <c r="G3480" s="1" t="s">
        <v>29689</v>
      </c>
      <c r="H3480" s="200"/>
      <c r="I3480" s="346"/>
      <c r="J3480" s="39">
        <v>118256</v>
      </c>
      <c r="K3480" s="36" t="str">
        <f>CONCATENATE(Cover!$D$6,"fdd/view?i=",J3480)</f>
        <v>https://www.dgiwg.org/FAD/fdd/view?i=118256</v>
      </c>
      <c r="L3480" s="36" t="s">
        <v>29690</v>
      </c>
      <c r="M3480" s="186"/>
      <c r="N3480" s="186"/>
      <c r="O3480" s="172"/>
    </row>
    <row r="3481" spans="1:15" x14ac:dyDescent="0.2">
      <c r="A3481" s="197" t="str">
        <f t="shared" si="54"/>
        <v>EqcCode_scale5k</v>
      </c>
      <c r="B3481" s="409"/>
      <c r="C3481" s="416"/>
      <c r="D3481" s="198" t="s">
        <v>29679</v>
      </c>
      <c r="E3481" s="198">
        <v>10</v>
      </c>
      <c r="F3481" s="199" t="s">
        <v>29680</v>
      </c>
      <c r="G3481" s="1" t="s">
        <v>29681</v>
      </c>
      <c r="H3481" s="200"/>
      <c r="I3481" s="346"/>
      <c r="J3481" s="39">
        <v>118259</v>
      </c>
      <c r="K3481" s="36" t="str">
        <f>CONCATENATE(Cover!$D$6,"fdd/view?i=",J3481)</f>
        <v>https://www.dgiwg.org/FAD/fdd/view?i=118259</v>
      </c>
      <c r="L3481" s="36" t="s">
        <v>29682</v>
      </c>
      <c r="M3481" s="186"/>
      <c r="N3481" s="186"/>
      <c r="O3481" s="172"/>
    </row>
    <row r="3482" spans="1:15" x14ac:dyDescent="0.2">
      <c r="A3482" s="203" t="str">
        <f t="shared" si="54"/>
        <v>EqcCode_scale5m</v>
      </c>
      <c r="B3482" s="410"/>
      <c r="C3482" s="417"/>
      <c r="D3482" s="204" t="s">
        <v>29683</v>
      </c>
      <c r="E3482" s="204">
        <v>1</v>
      </c>
      <c r="F3482" s="205" t="s">
        <v>29684</v>
      </c>
      <c r="G3482" s="206" t="s">
        <v>29685</v>
      </c>
      <c r="H3482" s="207"/>
      <c r="I3482" s="347"/>
      <c r="J3482" s="39">
        <v>118250</v>
      </c>
      <c r="K3482" s="36" t="str">
        <f>CONCATENATE(Cover!$D$6,"fdd/view?i=",J3482)</f>
        <v>https://www.dgiwg.org/FAD/fdd/view?i=118250</v>
      </c>
      <c r="L3482" s="36" t="s">
        <v>29686</v>
      </c>
      <c r="M3482" s="186"/>
      <c r="N3482" s="186"/>
      <c r="O3482" s="172"/>
    </row>
    <row r="3483" spans="1:15" ht="38.25" x14ac:dyDescent="0.2">
      <c r="A3483" s="190" t="str">
        <f t="shared" si="54"/>
        <v>EtcCode_clan</v>
      </c>
      <c r="B3483" s="414" t="str">
        <f>HYPERLINK("[#]Datatypes!A524:L524","EtcCode")</f>
        <v>EtcCode</v>
      </c>
      <c r="C3483" s="415" t="s">
        <v>15095</v>
      </c>
      <c r="D3483" s="221" t="s">
        <v>29695</v>
      </c>
      <c r="E3483" s="221">
        <v>6</v>
      </c>
      <c r="F3483" s="222" t="s">
        <v>29696</v>
      </c>
      <c r="G3483" s="223" t="s">
        <v>29697</v>
      </c>
      <c r="H3483" s="224"/>
      <c r="I3483" s="345"/>
      <c r="J3483" s="39">
        <v>113224</v>
      </c>
      <c r="K3483" s="36" t="str">
        <f>CONCATENATE(Cover!$D$6,"fdd/view?i=",J3483)</f>
        <v>https://www.dgiwg.org/FAD/fdd/view?i=113224</v>
      </c>
      <c r="L3483" s="36" t="s">
        <v>29698</v>
      </c>
      <c r="M3483" s="186"/>
      <c r="N3483" s="186"/>
      <c r="O3483" s="172"/>
    </row>
    <row r="3484" spans="1:15" ht="25.5" x14ac:dyDescent="0.2">
      <c r="A3484" s="197" t="str">
        <f t="shared" si="54"/>
        <v>EtcCode_combinedGroup</v>
      </c>
      <c r="B3484" s="409"/>
      <c r="C3484" s="416"/>
      <c r="D3484" s="198" t="s">
        <v>29699</v>
      </c>
      <c r="E3484" s="198">
        <v>1</v>
      </c>
      <c r="F3484" s="199" t="s">
        <v>29700</v>
      </c>
      <c r="G3484" s="1" t="s">
        <v>29701</v>
      </c>
      <c r="H3484" s="200"/>
      <c r="I3484" s="346"/>
      <c r="J3484" s="39">
        <v>113219</v>
      </c>
      <c r="K3484" s="36" t="str">
        <f>CONCATENATE(Cover!$D$6,"fdd/view?i=",J3484)</f>
        <v>https://www.dgiwg.org/FAD/fdd/view?i=113219</v>
      </c>
      <c r="L3484" s="36" t="s">
        <v>29702</v>
      </c>
      <c r="M3484" s="186"/>
      <c r="N3484" s="186"/>
      <c r="O3484" s="172"/>
    </row>
    <row r="3485" spans="1:15" ht="38.25" x14ac:dyDescent="0.2">
      <c r="A3485" s="197" t="str">
        <f t="shared" si="54"/>
        <v>EtcCode_lineage</v>
      </c>
      <c r="B3485" s="409"/>
      <c r="C3485" s="416"/>
      <c r="D3485" s="198" t="s">
        <v>29703</v>
      </c>
      <c r="E3485" s="198">
        <v>8</v>
      </c>
      <c r="F3485" s="199" t="s">
        <v>29704</v>
      </c>
      <c r="G3485" s="1" t="s">
        <v>29705</v>
      </c>
      <c r="H3485" s="200"/>
      <c r="I3485" s="346"/>
      <c r="J3485" s="39">
        <v>113226</v>
      </c>
      <c r="K3485" s="36" t="str">
        <f>CONCATENATE(Cover!$D$6,"fdd/view?i=",J3485)</f>
        <v>https://www.dgiwg.org/FAD/fdd/view?i=113226</v>
      </c>
      <c r="L3485" s="36" t="s">
        <v>29706</v>
      </c>
      <c r="M3485" s="186"/>
      <c r="N3485" s="186"/>
      <c r="O3485" s="172"/>
    </row>
    <row r="3486" spans="1:15" ht="25.5" x14ac:dyDescent="0.2">
      <c r="A3486" s="197" t="str">
        <f t="shared" si="54"/>
        <v>EtcCode_people</v>
      </c>
      <c r="B3486" s="409"/>
      <c r="C3486" s="416"/>
      <c r="D3486" s="198" t="s">
        <v>29707</v>
      </c>
      <c r="E3486" s="198">
        <v>2</v>
      </c>
      <c r="F3486" s="199" t="s">
        <v>29708</v>
      </c>
      <c r="G3486" s="1" t="s">
        <v>29709</v>
      </c>
      <c r="H3486" s="1" t="s">
        <v>29710</v>
      </c>
      <c r="I3486" s="346"/>
      <c r="J3486" s="39">
        <v>113220</v>
      </c>
      <c r="K3486" s="36" t="str">
        <f>CONCATENATE(Cover!$D$6,"fdd/view?i=",J3486)</f>
        <v>https://www.dgiwg.org/FAD/fdd/view?i=113220</v>
      </c>
      <c r="L3486" s="36" t="s">
        <v>29711</v>
      </c>
      <c r="M3486" s="186"/>
      <c r="N3486" s="186"/>
      <c r="O3486" s="172"/>
    </row>
    <row r="3487" spans="1:15" x14ac:dyDescent="0.2">
      <c r="A3487" s="197" t="str">
        <f t="shared" si="54"/>
        <v>EtcCode_subclan</v>
      </c>
      <c r="B3487" s="409"/>
      <c r="C3487" s="416"/>
      <c r="D3487" s="198" t="s">
        <v>29712</v>
      </c>
      <c r="E3487" s="198">
        <v>7</v>
      </c>
      <c r="F3487" s="199" t="s">
        <v>29713</v>
      </c>
      <c r="G3487" s="1" t="s">
        <v>29714</v>
      </c>
      <c r="H3487" s="200"/>
      <c r="I3487" s="346"/>
      <c r="J3487" s="39">
        <v>113225</v>
      </c>
      <c r="K3487" s="36" t="str">
        <f>CONCATENATE(Cover!$D$6,"fdd/view?i=",J3487)</f>
        <v>https://www.dgiwg.org/FAD/fdd/view?i=113225</v>
      </c>
      <c r="L3487" s="36" t="s">
        <v>29715</v>
      </c>
      <c r="M3487" s="186"/>
      <c r="N3487" s="186"/>
      <c r="O3487" s="172"/>
    </row>
    <row r="3488" spans="1:15" ht="25.5" x14ac:dyDescent="0.2">
      <c r="A3488" s="197" t="str">
        <f t="shared" si="54"/>
        <v>EtcCode_subtribe</v>
      </c>
      <c r="B3488" s="409"/>
      <c r="C3488" s="416"/>
      <c r="D3488" s="198" t="s">
        <v>29716</v>
      </c>
      <c r="E3488" s="198">
        <v>5</v>
      </c>
      <c r="F3488" s="199" t="s">
        <v>29717</v>
      </c>
      <c r="G3488" s="1" t="s">
        <v>29718</v>
      </c>
      <c r="H3488" s="1" t="s">
        <v>29719</v>
      </c>
      <c r="I3488" s="346"/>
      <c r="J3488" s="39">
        <v>113223</v>
      </c>
      <c r="K3488" s="36" t="str">
        <f>CONCATENATE(Cover!$D$6,"fdd/view?i=",J3488)</f>
        <v>https://www.dgiwg.org/FAD/fdd/view?i=113223</v>
      </c>
      <c r="L3488" s="36" t="s">
        <v>29720</v>
      </c>
      <c r="M3488" s="186"/>
      <c r="N3488" s="186"/>
      <c r="O3488" s="172"/>
    </row>
    <row r="3489" spans="1:15" ht="25.5" x14ac:dyDescent="0.2">
      <c r="A3489" s="197" t="str">
        <f t="shared" si="54"/>
        <v>EtcCode_tribalAssociation</v>
      </c>
      <c r="B3489" s="409"/>
      <c r="C3489" s="416"/>
      <c r="D3489" s="198" t="s">
        <v>29721</v>
      </c>
      <c r="E3489" s="198">
        <v>3</v>
      </c>
      <c r="F3489" s="199" t="s">
        <v>29722</v>
      </c>
      <c r="G3489" s="1" t="s">
        <v>29723</v>
      </c>
      <c r="H3489" s="1" t="s">
        <v>29724</v>
      </c>
      <c r="I3489" s="346"/>
      <c r="J3489" s="39">
        <v>113221</v>
      </c>
      <c r="K3489" s="36" t="str">
        <f>CONCATENATE(Cover!$D$6,"fdd/view?i=",J3489)</f>
        <v>https://www.dgiwg.org/FAD/fdd/view?i=113221</v>
      </c>
      <c r="L3489" s="36" t="s">
        <v>29725</v>
      </c>
      <c r="M3489" s="186"/>
      <c r="N3489" s="186"/>
      <c r="O3489" s="172"/>
    </row>
    <row r="3490" spans="1:15" ht="38.25" x14ac:dyDescent="0.2">
      <c r="A3490" s="197" t="str">
        <f t="shared" si="54"/>
        <v>EtcCode_tribe</v>
      </c>
      <c r="B3490" s="409"/>
      <c r="C3490" s="416"/>
      <c r="D3490" s="198" t="s">
        <v>29726</v>
      </c>
      <c r="E3490" s="198">
        <v>4</v>
      </c>
      <c r="F3490" s="199" t="s">
        <v>29727</v>
      </c>
      <c r="G3490" s="1" t="s">
        <v>20525</v>
      </c>
      <c r="H3490" s="1" t="s">
        <v>29728</v>
      </c>
      <c r="I3490" s="346"/>
      <c r="J3490" s="39">
        <v>113222</v>
      </c>
      <c r="K3490" s="36" t="str">
        <f>CONCATENATE(Cover!$D$6,"fdd/view?i=",J3490)</f>
        <v>https://www.dgiwg.org/FAD/fdd/view?i=113222</v>
      </c>
      <c r="L3490" s="36" t="s">
        <v>29729</v>
      </c>
      <c r="M3490" s="186"/>
      <c r="N3490" s="186"/>
      <c r="O3490" s="172"/>
    </row>
    <row r="3491" spans="1:15" ht="25.5" x14ac:dyDescent="0.2">
      <c r="A3491" s="203" t="str">
        <f t="shared" si="54"/>
        <v>EtcCode_unspecifiedGroup</v>
      </c>
      <c r="B3491" s="410"/>
      <c r="C3491" s="417"/>
      <c r="D3491" s="204" t="s">
        <v>29730</v>
      </c>
      <c r="E3491" s="204">
        <v>9</v>
      </c>
      <c r="F3491" s="205" t="s">
        <v>29731</v>
      </c>
      <c r="G3491" s="206" t="s">
        <v>29732</v>
      </c>
      <c r="H3491" s="207"/>
      <c r="I3491" s="347"/>
      <c r="J3491" s="39">
        <v>113227</v>
      </c>
      <c r="K3491" s="36" t="str">
        <f>CONCATENATE(Cover!$D$6,"fdd/view?i=",J3491)</f>
        <v>https://www.dgiwg.org/FAD/fdd/view?i=113227</v>
      </c>
      <c r="L3491" s="36" t="s">
        <v>29733</v>
      </c>
      <c r="M3491" s="186"/>
      <c r="N3491" s="186"/>
      <c r="O3491" s="172"/>
    </row>
    <row r="3492" spans="1:15" ht="127.5" x14ac:dyDescent="0.2">
      <c r="A3492" s="190" t="str">
        <f t="shared" si="54"/>
        <v>EruCode_coastalStorm</v>
      </c>
      <c r="B3492" s="414" t="str">
        <f>HYPERLINK("[#]Datatypes!A526:L526","EruCode")</f>
        <v>EruCode</v>
      </c>
      <c r="C3492" s="415" t="s">
        <v>15097</v>
      </c>
      <c r="D3492" s="221" t="s">
        <v>29734</v>
      </c>
      <c r="E3492" s="221">
        <v>3</v>
      </c>
      <c r="F3492" s="222" t="s">
        <v>29735</v>
      </c>
      <c r="G3492" s="223" t="s">
        <v>29736</v>
      </c>
      <c r="H3492" s="223" t="s">
        <v>29737</v>
      </c>
      <c r="I3492" s="352" t="s">
        <v>29738</v>
      </c>
      <c r="J3492" s="39">
        <v>119150</v>
      </c>
      <c r="K3492" s="36" t="str">
        <f>CONCATENATE(Cover!$D$6,"fdd/view?i=",J3492)</f>
        <v>https://www.dgiwg.org/FAD/fdd/view?i=119150</v>
      </c>
      <c r="L3492" s="36" t="s">
        <v>29739</v>
      </c>
      <c r="M3492" s="186"/>
      <c r="N3492" s="186"/>
      <c r="O3492" s="172"/>
    </row>
    <row r="3493" spans="1:15" ht="114.75" x14ac:dyDescent="0.2">
      <c r="A3493" s="197" t="str">
        <f t="shared" si="54"/>
        <v>EruCode_fire</v>
      </c>
      <c r="B3493" s="409"/>
      <c r="C3493" s="416"/>
      <c r="D3493" s="198" t="s">
        <v>29069</v>
      </c>
      <c r="E3493" s="198">
        <v>2</v>
      </c>
      <c r="F3493" s="199" t="s">
        <v>29070</v>
      </c>
      <c r="G3493" s="1" t="s">
        <v>29740</v>
      </c>
      <c r="H3493" s="1" t="s">
        <v>29741</v>
      </c>
      <c r="I3493" s="346"/>
      <c r="J3493" s="39">
        <v>119149</v>
      </c>
      <c r="K3493" s="36" t="str">
        <f>CONCATENATE(Cover!$D$6,"fdd/view?i=",J3493)</f>
        <v>https://www.dgiwg.org/FAD/fdd/view?i=119149</v>
      </c>
      <c r="L3493" s="36" t="s">
        <v>29742</v>
      </c>
      <c r="M3493" s="186"/>
      <c r="N3493" s="186"/>
      <c r="O3493" s="172"/>
    </row>
    <row r="3494" spans="1:15" ht="38.25" x14ac:dyDescent="0.2">
      <c r="A3494" s="197" t="str">
        <f t="shared" si="54"/>
        <v>EruCode_flood</v>
      </c>
      <c r="B3494" s="409"/>
      <c r="C3494" s="416"/>
      <c r="D3494" s="198" t="s">
        <v>29073</v>
      </c>
      <c r="E3494" s="198">
        <v>1</v>
      </c>
      <c r="F3494" s="199" t="s">
        <v>29074</v>
      </c>
      <c r="G3494" s="1" t="s">
        <v>29743</v>
      </c>
      <c r="H3494" s="1" t="s">
        <v>29744</v>
      </c>
      <c r="I3494" s="346"/>
      <c r="J3494" s="39">
        <v>119148</v>
      </c>
      <c r="K3494" s="36" t="str">
        <f>CONCATENATE(Cover!$D$6,"fdd/view?i=",J3494)</f>
        <v>https://www.dgiwg.org/FAD/fdd/view?i=119148</v>
      </c>
      <c r="L3494" s="36" t="s">
        <v>29745</v>
      </c>
      <c r="M3494" s="186"/>
      <c r="N3494" s="186"/>
      <c r="O3494" s="172"/>
    </row>
    <row r="3495" spans="1:15" ht="63.75" x14ac:dyDescent="0.2">
      <c r="A3495" s="203" t="str">
        <f t="shared" si="54"/>
        <v>EruCode_nuclear</v>
      </c>
      <c r="B3495" s="410"/>
      <c r="C3495" s="417"/>
      <c r="D3495" s="204" t="s">
        <v>29746</v>
      </c>
      <c r="E3495" s="204">
        <v>4</v>
      </c>
      <c r="F3495" s="205" t="s">
        <v>29747</v>
      </c>
      <c r="G3495" s="206" t="s">
        <v>29748</v>
      </c>
      <c r="H3495" s="206" t="s">
        <v>29749</v>
      </c>
      <c r="I3495" s="347"/>
      <c r="J3495" s="39">
        <v>119151</v>
      </c>
      <c r="K3495" s="36" t="str">
        <f>CONCATENATE(Cover!$D$6,"fdd/view?i=",J3495)</f>
        <v>https://www.dgiwg.org/FAD/fdd/view?i=119151</v>
      </c>
      <c r="L3495" s="36" t="s">
        <v>29750</v>
      </c>
      <c r="M3495" s="186"/>
      <c r="N3495" s="186"/>
      <c r="O3495" s="172"/>
    </row>
    <row r="3496" spans="1:15" ht="25.5" x14ac:dyDescent="0.2">
      <c r="A3496" s="190" t="str">
        <f t="shared" si="54"/>
        <v>CdpCode_aerialPhotography</v>
      </c>
      <c r="B3496" s="414" t="str">
        <f>HYPERLINK("[#]Datatypes!A532:L532","CdpCode")</f>
        <v>CdpCode</v>
      </c>
      <c r="C3496" s="415" t="s">
        <v>15103</v>
      </c>
      <c r="D3496" s="221" t="s">
        <v>29751</v>
      </c>
      <c r="E3496" s="221">
        <v>1</v>
      </c>
      <c r="F3496" s="222" t="s">
        <v>29752</v>
      </c>
      <c r="G3496" s="224"/>
      <c r="H3496" s="224"/>
      <c r="I3496" s="345"/>
      <c r="J3496" s="39">
        <v>102927</v>
      </c>
      <c r="K3496" s="36" t="str">
        <f>CONCATENATE(Cover!$D$6,"fdd/view?i=",J3496)</f>
        <v>https://www.dgiwg.org/FAD/fdd/view?i=102927</v>
      </c>
      <c r="L3496" s="36" t="s">
        <v>29753</v>
      </c>
      <c r="M3496" s="186"/>
      <c r="N3496" s="186"/>
      <c r="O3496" s="172"/>
    </row>
    <row r="3497" spans="1:15" x14ac:dyDescent="0.2">
      <c r="A3497" s="197" t="str">
        <f t="shared" si="54"/>
        <v>CdpCode_airInformation</v>
      </c>
      <c r="B3497" s="409"/>
      <c r="C3497" s="416"/>
      <c r="D3497" s="198" t="s">
        <v>29754</v>
      </c>
      <c r="E3497" s="198">
        <v>2</v>
      </c>
      <c r="F3497" s="199" t="s">
        <v>29755</v>
      </c>
      <c r="G3497" s="200"/>
      <c r="H3497" s="200"/>
      <c r="I3497" s="346"/>
      <c r="J3497" s="39">
        <v>102928</v>
      </c>
      <c r="K3497" s="36" t="str">
        <f>CONCATENATE(Cover!$D$6,"fdd/view?i=",J3497)</f>
        <v>https://www.dgiwg.org/FAD/fdd/view?i=102928</v>
      </c>
      <c r="L3497" s="36" t="s">
        <v>29756</v>
      </c>
      <c r="M3497" s="186"/>
      <c r="N3497" s="186"/>
      <c r="O3497" s="172"/>
    </row>
    <row r="3498" spans="1:15" x14ac:dyDescent="0.2">
      <c r="A3498" s="197" t="str">
        <f t="shared" si="54"/>
        <v>CdpCode_approximate</v>
      </c>
      <c r="B3498" s="409"/>
      <c r="C3498" s="416"/>
      <c r="D3498" s="198" t="s">
        <v>29227</v>
      </c>
      <c r="E3498" s="198">
        <v>3</v>
      </c>
      <c r="F3498" s="199" t="s">
        <v>29228</v>
      </c>
      <c r="G3498" s="200"/>
      <c r="H3498" s="200"/>
      <c r="I3498" s="346"/>
      <c r="J3498" s="39">
        <v>102929</v>
      </c>
      <c r="K3498" s="36" t="str">
        <f>CONCATENATE(Cover!$D$6,"fdd/view?i=",J3498)</f>
        <v>https://www.dgiwg.org/FAD/fdd/view?i=102929</v>
      </c>
      <c r="L3498" s="36" t="s">
        <v>29757</v>
      </c>
      <c r="M3498" s="186"/>
      <c r="N3498" s="186"/>
      <c r="O3498" s="172"/>
    </row>
    <row r="3499" spans="1:15" x14ac:dyDescent="0.2">
      <c r="A3499" s="197" t="str">
        <f t="shared" si="54"/>
        <v>CdpCode_compilation</v>
      </c>
      <c r="B3499" s="409"/>
      <c r="C3499" s="416"/>
      <c r="D3499" s="198" t="s">
        <v>29758</v>
      </c>
      <c r="E3499" s="198">
        <v>5</v>
      </c>
      <c r="F3499" s="199" t="s">
        <v>29759</v>
      </c>
      <c r="G3499" s="200"/>
      <c r="H3499" s="200"/>
      <c r="I3499" s="346"/>
      <c r="J3499" s="39">
        <v>102931</v>
      </c>
      <c r="K3499" s="36" t="str">
        <f>CONCATENATE(Cover!$D$6,"fdd/view?i=",J3499)</f>
        <v>https://www.dgiwg.org/FAD/fdd/view?i=102931</v>
      </c>
      <c r="L3499" s="36" t="s">
        <v>29760</v>
      </c>
      <c r="M3499" s="186"/>
      <c r="N3499" s="186"/>
      <c r="O3499" s="172"/>
    </row>
    <row r="3500" spans="1:15" x14ac:dyDescent="0.2">
      <c r="A3500" s="197" t="str">
        <f t="shared" si="54"/>
        <v>CdpCode_copyright</v>
      </c>
      <c r="B3500" s="409"/>
      <c r="C3500" s="416"/>
      <c r="D3500" s="198" t="s">
        <v>29761</v>
      </c>
      <c r="E3500" s="198">
        <v>6</v>
      </c>
      <c r="F3500" s="199" t="s">
        <v>29762</v>
      </c>
      <c r="G3500" s="200"/>
      <c r="H3500" s="200"/>
      <c r="I3500" s="346"/>
      <c r="J3500" s="39">
        <v>102932</v>
      </c>
      <c r="K3500" s="36" t="str">
        <f>CONCATENATE(Cover!$D$6,"fdd/view?i=",J3500)</f>
        <v>https://www.dgiwg.org/FAD/fdd/view?i=102932</v>
      </c>
      <c r="L3500" s="36" t="s">
        <v>29763</v>
      </c>
      <c r="M3500" s="186"/>
      <c r="N3500" s="186"/>
      <c r="O3500" s="172"/>
    </row>
    <row r="3501" spans="1:15" x14ac:dyDescent="0.2">
      <c r="A3501" s="197" t="str">
        <f t="shared" si="54"/>
        <v>CdpCode_creation</v>
      </c>
      <c r="B3501" s="409"/>
      <c r="C3501" s="416"/>
      <c r="D3501" s="198" t="s">
        <v>29764</v>
      </c>
      <c r="E3501" s="198">
        <v>7</v>
      </c>
      <c r="F3501" s="199" t="s">
        <v>29765</v>
      </c>
      <c r="G3501" s="1" t="s">
        <v>29766</v>
      </c>
      <c r="H3501" s="200"/>
      <c r="I3501" s="346"/>
      <c r="J3501" s="39">
        <v>102933</v>
      </c>
      <c r="K3501" s="36" t="str">
        <f>CONCATENATE(Cover!$D$6,"fdd/view?i=",J3501)</f>
        <v>https://www.dgiwg.org/FAD/fdd/view?i=102933</v>
      </c>
      <c r="L3501" s="36" t="s">
        <v>29767</v>
      </c>
      <c r="M3501" s="186"/>
      <c r="N3501" s="186"/>
      <c r="O3501" s="172"/>
    </row>
    <row r="3502" spans="1:15" x14ac:dyDescent="0.2">
      <c r="A3502" s="197" t="str">
        <f t="shared" si="54"/>
        <v>CdpCode_cycleDate</v>
      </c>
      <c r="B3502" s="409"/>
      <c r="C3502" s="416"/>
      <c r="D3502" s="198" t="s">
        <v>29768</v>
      </c>
      <c r="E3502" s="198">
        <v>28</v>
      </c>
      <c r="F3502" s="199" t="s">
        <v>29769</v>
      </c>
      <c r="G3502" s="200"/>
      <c r="H3502" s="200"/>
      <c r="I3502" s="346"/>
      <c r="J3502" s="39">
        <v>102954</v>
      </c>
      <c r="K3502" s="36" t="str">
        <f>CONCATENATE(Cover!$D$6,"fdd/view?i=",J3502)</f>
        <v>https://www.dgiwg.org/FAD/fdd/view?i=102954</v>
      </c>
      <c r="L3502" s="36" t="s">
        <v>29770</v>
      </c>
      <c r="M3502" s="186"/>
      <c r="N3502" s="186"/>
      <c r="O3502" s="172"/>
    </row>
    <row r="3503" spans="1:15" ht="25.5" x14ac:dyDescent="0.2">
      <c r="A3503" s="197" t="str">
        <f t="shared" si="54"/>
        <v>CdpCode_dateInterpretable</v>
      </c>
      <c r="B3503" s="409"/>
      <c r="C3503" s="416"/>
      <c r="D3503" s="198" t="s">
        <v>29771</v>
      </c>
      <c r="E3503" s="198">
        <v>15</v>
      </c>
      <c r="F3503" s="199" t="s">
        <v>29772</v>
      </c>
      <c r="G3503" s="200"/>
      <c r="H3503" s="200"/>
      <c r="I3503" s="346"/>
      <c r="J3503" s="39">
        <v>102941</v>
      </c>
      <c r="K3503" s="36" t="str">
        <f>CONCATENATE(Cover!$D$6,"fdd/view?i=",J3503)</f>
        <v>https://www.dgiwg.org/FAD/fdd/view?i=102941</v>
      </c>
      <c r="L3503" s="36" t="s">
        <v>29773</v>
      </c>
      <c r="M3503" s="186"/>
      <c r="N3503" s="186"/>
      <c r="O3503" s="172"/>
    </row>
    <row r="3504" spans="1:15" ht="25.5" x14ac:dyDescent="0.2">
      <c r="A3504" s="197" t="str">
        <f t="shared" si="54"/>
        <v>CdpCode_dateMagneticInformation</v>
      </c>
      <c r="B3504" s="409"/>
      <c r="C3504" s="416"/>
      <c r="D3504" s="198" t="s">
        <v>29774</v>
      </c>
      <c r="E3504" s="198">
        <v>30</v>
      </c>
      <c r="F3504" s="199" t="s">
        <v>29775</v>
      </c>
      <c r="G3504" s="200"/>
      <c r="H3504" s="200"/>
      <c r="I3504" s="346"/>
      <c r="J3504" s="39">
        <v>102956</v>
      </c>
      <c r="K3504" s="36" t="str">
        <f>CONCATENATE(Cover!$D$6,"fdd/view?i=",J3504)</f>
        <v>https://www.dgiwg.org/FAD/fdd/view?i=102956</v>
      </c>
      <c r="L3504" s="36" t="s">
        <v>29776</v>
      </c>
      <c r="M3504" s="186"/>
      <c r="N3504" s="186"/>
      <c r="O3504" s="172"/>
    </row>
    <row r="3505" spans="1:15" x14ac:dyDescent="0.2">
      <c r="A3505" s="197" t="str">
        <f t="shared" si="54"/>
        <v>CdpCode_digitizing</v>
      </c>
      <c r="B3505" s="409"/>
      <c r="C3505" s="416"/>
      <c r="D3505" s="198" t="s">
        <v>29777</v>
      </c>
      <c r="E3505" s="198">
        <v>8</v>
      </c>
      <c r="F3505" s="199" t="s">
        <v>29778</v>
      </c>
      <c r="G3505" s="200"/>
      <c r="H3505" s="200"/>
      <c r="I3505" s="346"/>
      <c r="J3505" s="39">
        <v>102934</v>
      </c>
      <c r="K3505" s="36" t="str">
        <f>CONCATENATE(Cover!$D$6,"fdd/view?i=",J3505)</f>
        <v>https://www.dgiwg.org/FAD/fdd/view?i=102934</v>
      </c>
      <c r="L3505" s="36" t="s">
        <v>29779</v>
      </c>
      <c r="M3505" s="186"/>
      <c r="N3505" s="186"/>
      <c r="O3505" s="172"/>
    </row>
    <row r="3506" spans="1:15" ht="25.5" x14ac:dyDescent="0.2">
      <c r="A3506" s="197" t="str">
        <f t="shared" si="54"/>
        <v>CdpCode_distributionDispatching</v>
      </c>
      <c r="B3506" s="409"/>
      <c r="C3506" s="416"/>
      <c r="D3506" s="198" t="s">
        <v>29780</v>
      </c>
      <c r="E3506" s="198">
        <v>9</v>
      </c>
      <c r="F3506" s="199" t="s">
        <v>29781</v>
      </c>
      <c r="G3506" s="200"/>
      <c r="H3506" s="200"/>
      <c r="I3506" s="346"/>
      <c r="J3506" s="39">
        <v>102935</v>
      </c>
      <c r="K3506" s="36" t="str">
        <f>CONCATENATE(Cover!$D$6,"fdd/view?i=",J3506)</f>
        <v>https://www.dgiwg.org/FAD/fdd/view?i=102935</v>
      </c>
      <c r="L3506" s="36" t="s">
        <v>29782</v>
      </c>
      <c r="M3506" s="186"/>
      <c r="N3506" s="186"/>
      <c r="O3506" s="172"/>
    </row>
    <row r="3507" spans="1:15" x14ac:dyDescent="0.2">
      <c r="A3507" s="197" t="str">
        <f t="shared" si="54"/>
        <v>CdpCode_downgrading</v>
      </c>
      <c r="B3507" s="409"/>
      <c r="C3507" s="416"/>
      <c r="D3507" s="198" t="s">
        <v>29783</v>
      </c>
      <c r="E3507" s="198">
        <v>10</v>
      </c>
      <c r="F3507" s="199" t="s">
        <v>29784</v>
      </c>
      <c r="G3507" s="200"/>
      <c r="H3507" s="200"/>
      <c r="I3507" s="346"/>
      <c r="J3507" s="39">
        <v>102936</v>
      </c>
      <c r="K3507" s="36" t="str">
        <f>CONCATENATE(Cover!$D$6,"fdd/view?i=",J3507)</f>
        <v>https://www.dgiwg.org/FAD/fdd/view?i=102936</v>
      </c>
      <c r="L3507" s="36" t="s">
        <v>29785</v>
      </c>
      <c r="M3507" s="186"/>
      <c r="N3507" s="186"/>
      <c r="O3507" s="172"/>
    </row>
    <row r="3508" spans="1:15" ht="25.5" x14ac:dyDescent="0.2">
      <c r="A3508" s="197" t="str">
        <f t="shared" si="54"/>
        <v>CdpCode_draftingScribingDrawing</v>
      </c>
      <c r="B3508" s="409"/>
      <c r="C3508" s="416"/>
      <c r="D3508" s="198" t="s">
        <v>29786</v>
      </c>
      <c r="E3508" s="198">
        <v>11</v>
      </c>
      <c r="F3508" s="199" t="s">
        <v>29787</v>
      </c>
      <c r="G3508" s="200"/>
      <c r="H3508" s="200"/>
      <c r="I3508" s="346"/>
      <c r="J3508" s="39">
        <v>102937</v>
      </c>
      <c r="K3508" s="36" t="str">
        <f>CONCATENATE(Cover!$D$6,"fdd/view?i=",J3508)</f>
        <v>https://www.dgiwg.org/FAD/fdd/view?i=102937</v>
      </c>
      <c r="L3508" s="36" t="s">
        <v>29788</v>
      </c>
      <c r="M3508" s="186"/>
      <c r="N3508" s="186"/>
      <c r="O3508" s="172"/>
    </row>
    <row r="3509" spans="1:15" ht="25.5" x14ac:dyDescent="0.2">
      <c r="A3509" s="197" t="str">
        <f t="shared" si="54"/>
        <v>CdpCode_earliestDateSource</v>
      </c>
      <c r="B3509" s="409"/>
      <c r="C3509" s="416"/>
      <c r="D3509" s="198" t="s">
        <v>29789</v>
      </c>
      <c r="E3509" s="198">
        <v>20</v>
      </c>
      <c r="F3509" s="199" t="s">
        <v>29790</v>
      </c>
      <c r="G3509" s="200"/>
      <c r="H3509" s="200"/>
      <c r="I3509" s="346"/>
      <c r="J3509" s="39">
        <v>102946</v>
      </c>
      <c r="K3509" s="36" t="str">
        <f>CONCATENATE(Cover!$D$6,"fdd/view?i=",J3509)</f>
        <v>https://www.dgiwg.org/FAD/fdd/view?i=102946</v>
      </c>
      <c r="L3509" s="36" t="s">
        <v>29791</v>
      </c>
      <c r="M3509" s="186"/>
      <c r="N3509" s="186"/>
      <c r="O3509" s="172"/>
    </row>
    <row r="3510" spans="1:15" x14ac:dyDescent="0.2">
      <c r="A3510" s="197" t="str">
        <f t="shared" si="54"/>
        <v>CdpCode_edition</v>
      </c>
      <c r="B3510" s="409"/>
      <c r="C3510" s="416"/>
      <c r="D3510" s="198" t="s">
        <v>29792</v>
      </c>
      <c r="E3510" s="198">
        <v>12</v>
      </c>
      <c r="F3510" s="199" t="s">
        <v>29793</v>
      </c>
      <c r="G3510" s="200"/>
      <c r="H3510" s="200"/>
      <c r="I3510" s="346"/>
      <c r="J3510" s="39">
        <v>102938</v>
      </c>
      <c r="K3510" s="36" t="str">
        <f>CONCATENATE(Cover!$D$6,"fdd/view?i=",J3510)</f>
        <v>https://www.dgiwg.org/FAD/fdd/view?i=102938</v>
      </c>
      <c r="L3510" s="36" t="s">
        <v>29794</v>
      </c>
      <c r="M3510" s="186"/>
      <c r="N3510" s="186"/>
      <c r="O3510" s="172"/>
    </row>
    <row r="3511" spans="1:15" ht="25.5" x14ac:dyDescent="0.2">
      <c r="A3511" s="197" t="str">
        <f t="shared" si="54"/>
        <v>CdpCode_fieldClassification</v>
      </c>
      <c r="B3511" s="409"/>
      <c r="C3511" s="416"/>
      <c r="D3511" s="198" t="s">
        <v>29795</v>
      </c>
      <c r="E3511" s="198">
        <v>4</v>
      </c>
      <c r="F3511" s="199" t="s">
        <v>29796</v>
      </c>
      <c r="G3511" s="200"/>
      <c r="H3511" s="200"/>
      <c r="I3511" s="346"/>
      <c r="J3511" s="39">
        <v>102930</v>
      </c>
      <c r="K3511" s="36" t="str">
        <f>CONCATENATE(Cover!$D$6,"fdd/view?i=",J3511)</f>
        <v>https://www.dgiwg.org/FAD/fdd/view?i=102930</v>
      </c>
      <c r="L3511" s="36" t="s">
        <v>29797</v>
      </c>
      <c r="M3511" s="186"/>
      <c r="N3511" s="186"/>
      <c r="O3511" s="172"/>
    </row>
    <row r="3512" spans="1:15" ht="25.5" x14ac:dyDescent="0.2">
      <c r="A3512" s="197" t="str">
        <f t="shared" si="54"/>
        <v>CdpCode_fieldExamination</v>
      </c>
      <c r="B3512" s="409"/>
      <c r="C3512" s="416"/>
      <c r="D3512" s="198" t="s">
        <v>29798</v>
      </c>
      <c r="E3512" s="198">
        <v>13</v>
      </c>
      <c r="F3512" s="199" t="s">
        <v>29799</v>
      </c>
      <c r="G3512" s="200"/>
      <c r="H3512" s="200"/>
      <c r="I3512" s="346"/>
      <c r="J3512" s="39">
        <v>102939</v>
      </c>
      <c r="K3512" s="36" t="str">
        <f>CONCATENATE(Cover!$D$6,"fdd/view?i=",J3512)</f>
        <v>https://www.dgiwg.org/FAD/fdd/view?i=102939</v>
      </c>
      <c r="L3512" s="36" t="s">
        <v>29800</v>
      </c>
      <c r="M3512" s="186"/>
      <c r="N3512" s="186"/>
      <c r="O3512" s="172"/>
    </row>
    <row r="3513" spans="1:15" ht="25.5" x14ac:dyDescent="0.2">
      <c r="A3513" s="197" t="str">
        <f t="shared" si="54"/>
        <v>CdpCode_informationAsOf</v>
      </c>
      <c r="B3513" s="409"/>
      <c r="C3513" s="416"/>
      <c r="D3513" s="198" t="s">
        <v>29801</v>
      </c>
      <c r="E3513" s="198">
        <v>26</v>
      </c>
      <c r="F3513" s="199" t="s">
        <v>29802</v>
      </c>
      <c r="G3513" s="200"/>
      <c r="H3513" s="200"/>
      <c r="I3513" s="346"/>
      <c r="J3513" s="39">
        <v>102952</v>
      </c>
      <c r="K3513" s="36" t="str">
        <f>CONCATENATE(Cover!$D$6,"fdd/view?i=",J3513)</f>
        <v>https://www.dgiwg.org/FAD/fdd/view?i=102952</v>
      </c>
      <c r="L3513" s="36" t="s">
        <v>29803</v>
      </c>
      <c r="M3513" s="186"/>
      <c r="N3513" s="186"/>
      <c r="O3513" s="172"/>
    </row>
    <row r="3514" spans="1:15" x14ac:dyDescent="0.2">
      <c r="A3514" s="197" t="str">
        <f t="shared" si="54"/>
        <v>CdpCode_intelligence</v>
      </c>
      <c r="B3514" s="409"/>
      <c r="C3514" s="416"/>
      <c r="D3514" s="198" t="s">
        <v>29804</v>
      </c>
      <c r="E3514" s="198">
        <v>14</v>
      </c>
      <c r="F3514" s="199" t="s">
        <v>29805</v>
      </c>
      <c r="G3514" s="200"/>
      <c r="H3514" s="200"/>
      <c r="I3514" s="346"/>
      <c r="J3514" s="39">
        <v>102940</v>
      </c>
      <c r="K3514" s="36" t="str">
        <f>CONCATENATE(Cover!$D$6,"fdd/view?i=",J3514)</f>
        <v>https://www.dgiwg.org/FAD/fdd/view?i=102940</v>
      </c>
      <c r="L3514" s="36" t="s">
        <v>29806</v>
      </c>
      <c r="M3514" s="186"/>
      <c r="N3514" s="186"/>
      <c r="O3514" s="172"/>
    </row>
    <row r="3515" spans="1:15" ht="25.5" x14ac:dyDescent="0.2">
      <c r="A3515" s="197" t="str">
        <f t="shared" si="54"/>
        <v>CdpCode_latestDateSource</v>
      </c>
      <c r="B3515" s="409"/>
      <c r="C3515" s="416"/>
      <c r="D3515" s="198" t="s">
        <v>29807</v>
      </c>
      <c r="E3515" s="198">
        <v>21</v>
      </c>
      <c r="F3515" s="199" t="s">
        <v>29808</v>
      </c>
      <c r="G3515" s="200"/>
      <c r="H3515" s="200"/>
      <c r="I3515" s="346"/>
      <c r="J3515" s="39">
        <v>102947</v>
      </c>
      <c r="K3515" s="36" t="str">
        <f>CONCATENATE(Cover!$D$6,"fdd/view?i=",J3515)</f>
        <v>https://www.dgiwg.org/FAD/fdd/view?i=102947</v>
      </c>
      <c r="L3515" s="36" t="s">
        <v>29809</v>
      </c>
      <c r="M3515" s="186"/>
      <c r="N3515" s="186"/>
      <c r="O3515" s="172"/>
    </row>
    <row r="3516" spans="1:15" x14ac:dyDescent="0.2">
      <c r="A3516" s="197" t="str">
        <f t="shared" si="54"/>
        <v>CdpCode_mapEdit</v>
      </c>
      <c r="B3516" s="409"/>
      <c r="C3516" s="416"/>
      <c r="D3516" s="198" t="s">
        <v>29810</v>
      </c>
      <c r="E3516" s="198">
        <v>25</v>
      </c>
      <c r="F3516" s="199" t="s">
        <v>29811</v>
      </c>
      <c r="G3516" s="200"/>
      <c r="H3516" s="200"/>
      <c r="I3516" s="346"/>
      <c r="J3516" s="39">
        <v>102951</v>
      </c>
      <c r="K3516" s="36" t="str">
        <f>CONCATENATE(Cover!$D$6,"fdd/view?i=",J3516)</f>
        <v>https://www.dgiwg.org/FAD/fdd/view?i=102951</v>
      </c>
      <c r="L3516" s="36" t="s">
        <v>29812</v>
      </c>
      <c r="M3516" s="186"/>
      <c r="N3516" s="186"/>
      <c r="O3516" s="172"/>
    </row>
    <row r="3517" spans="1:15" ht="25.5" x14ac:dyDescent="0.2">
      <c r="A3517" s="197" t="str">
        <f t="shared" si="54"/>
        <v>CdpCode_noticetoMariners</v>
      </c>
      <c r="B3517" s="409"/>
      <c r="C3517" s="416"/>
      <c r="D3517" s="198" t="s">
        <v>29813</v>
      </c>
      <c r="E3517" s="198">
        <v>31</v>
      </c>
      <c r="F3517" s="199" t="s">
        <v>29814</v>
      </c>
      <c r="G3517" s="200"/>
      <c r="H3517" s="200"/>
      <c r="I3517" s="346"/>
      <c r="J3517" s="39">
        <v>102957</v>
      </c>
      <c r="K3517" s="36" t="str">
        <f>CONCATENATE(Cover!$D$6,"fdd/view?i=",J3517)</f>
        <v>https://www.dgiwg.org/FAD/fdd/view?i=102957</v>
      </c>
      <c r="L3517" s="36" t="s">
        <v>29815</v>
      </c>
      <c r="M3517" s="186"/>
      <c r="N3517" s="186"/>
      <c r="O3517" s="172"/>
    </row>
    <row r="3518" spans="1:15" ht="25.5" x14ac:dyDescent="0.2">
      <c r="A3518" s="197" t="str">
        <f t="shared" si="54"/>
        <v>CdpCode_perishableInfoDate</v>
      </c>
      <c r="B3518" s="409"/>
      <c r="C3518" s="416"/>
      <c r="D3518" s="198" t="s">
        <v>29816</v>
      </c>
      <c r="E3518" s="198">
        <v>27</v>
      </c>
      <c r="F3518" s="199" t="s">
        <v>29817</v>
      </c>
      <c r="G3518" s="200"/>
      <c r="H3518" s="200"/>
      <c r="I3518" s="346"/>
      <c r="J3518" s="39">
        <v>102953</v>
      </c>
      <c r="K3518" s="36" t="str">
        <f>CONCATENATE(Cover!$D$6,"fdd/view?i=",J3518)</f>
        <v>https://www.dgiwg.org/FAD/fdd/view?i=102953</v>
      </c>
      <c r="L3518" s="36" t="s">
        <v>29818</v>
      </c>
      <c r="M3518" s="186"/>
      <c r="N3518" s="186"/>
      <c r="O3518" s="172"/>
    </row>
    <row r="3519" spans="1:15" ht="25.5" x14ac:dyDescent="0.2">
      <c r="A3519" s="197" t="str">
        <f t="shared" si="54"/>
        <v>CdpCode_printPublication</v>
      </c>
      <c r="B3519" s="409"/>
      <c r="C3519" s="416"/>
      <c r="D3519" s="198" t="s">
        <v>29819</v>
      </c>
      <c r="E3519" s="198">
        <v>17</v>
      </c>
      <c r="F3519" s="199" t="s">
        <v>29820</v>
      </c>
      <c r="G3519" s="200"/>
      <c r="H3519" s="200"/>
      <c r="I3519" s="346"/>
      <c r="J3519" s="39">
        <v>102943</v>
      </c>
      <c r="K3519" s="36" t="str">
        <f>CONCATENATE(Cover!$D$6,"fdd/view?i=",J3519)</f>
        <v>https://www.dgiwg.org/FAD/fdd/view?i=102943</v>
      </c>
      <c r="L3519" s="36" t="s">
        <v>29821</v>
      </c>
      <c r="M3519" s="186"/>
      <c r="N3519" s="186"/>
      <c r="O3519" s="172"/>
    </row>
    <row r="3520" spans="1:15" x14ac:dyDescent="0.2">
      <c r="A3520" s="197" t="str">
        <f t="shared" si="54"/>
        <v>CdpCode_processing</v>
      </c>
      <c r="B3520" s="409"/>
      <c r="C3520" s="416"/>
      <c r="D3520" s="198" t="s">
        <v>29822</v>
      </c>
      <c r="E3520" s="198">
        <v>16</v>
      </c>
      <c r="F3520" s="199" t="s">
        <v>29823</v>
      </c>
      <c r="G3520" s="200"/>
      <c r="H3520" s="200"/>
      <c r="I3520" s="346"/>
      <c r="J3520" s="39">
        <v>102942</v>
      </c>
      <c r="K3520" s="36" t="str">
        <f>CONCATENATE(Cover!$D$6,"fdd/view?i=",J3520)</f>
        <v>https://www.dgiwg.org/FAD/fdd/view?i=102942</v>
      </c>
      <c r="L3520" s="36" t="s">
        <v>29824</v>
      </c>
      <c r="M3520" s="186"/>
      <c r="N3520" s="186"/>
      <c r="O3520" s="172"/>
    </row>
    <row r="3521" spans="1:15" x14ac:dyDescent="0.2">
      <c r="A3521" s="197" t="str">
        <f t="shared" si="54"/>
        <v>CdpCode_receipt</v>
      </c>
      <c r="B3521" s="409"/>
      <c r="C3521" s="416"/>
      <c r="D3521" s="198" t="s">
        <v>29825</v>
      </c>
      <c r="E3521" s="198">
        <v>18</v>
      </c>
      <c r="F3521" s="199" t="s">
        <v>29826</v>
      </c>
      <c r="G3521" s="1" t="s">
        <v>29827</v>
      </c>
      <c r="H3521" s="200"/>
      <c r="I3521" s="346"/>
      <c r="J3521" s="39">
        <v>102944</v>
      </c>
      <c r="K3521" s="36" t="str">
        <f>CONCATENATE(Cover!$D$6,"fdd/view?i=",J3521)</f>
        <v>https://www.dgiwg.org/FAD/fdd/view?i=102944</v>
      </c>
      <c r="L3521" s="36" t="s">
        <v>29828</v>
      </c>
      <c r="M3521" s="186"/>
      <c r="N3521" s="186"/>
      <c r="O3521" s="172"/>
    </row>
    <row r="3522" spans="1:15" x14ac:dyDescent="0.2">
      <c r="A3522" s="197" t="str">
        <f t="shared" ref="A3522:A3585" si="55">HYPERLINK(K3522,L3522)</f>
        <v>CdpCode_revision</v>
      </c>
      <c r="B3522" s="409"/>
      <c r="C3522" s="416"/>
      <c r="D3522" s="198" t="s">
        <v>29829</v>
      </c>
      <c r="E3522" s="198">
        <v>24</v>
      </c>
      <c r="F3522" s="199" t="s">
        <v>29830</v>
      </c>
      <c r="G3522" s="1" t="s">
        <v>29831</v>
      </c>
      <c r="H3522" s="200"/>
      <c r="I3522" s="346"/>
      <c r="J3522" s="39">
        <v>102950</v>
      </c>
      <c r="K3522" s="36" t="str">
        <f>CONCATENATE(Cover!$D$6,"fdd/view?i=",J3522)</f>
        <v>https://www.dgiwg.org/FAD/fdd/view?i=102950</v>
      </c>
      <c r="L3522" s="36" t="s">
        <v>29832</v>
      </c>
      <c r="M3522" s="186"/>
      <c r="N3522" s="186"/>
      <c r="O3522" s="172"/>
    </row>
    <row r="3523" spans="1:15" ht="25.5" x14ac:dyDescent="0.2">
      <c r="A3523" s="197" t="str">
        <f t="shared" si="55"/>
        <v>CdpCode_significantDate</v>
      </c>
      <c r="B3523" s="409"/>
      <c r="C3523" s="416"/>
      <c r="D3523" s="198" t="s">
        <v>29833</v>
      </c>
      <c r="E3523" s="198">
        <v>29</v>
      </c>
      <c r="F3523" s="199" t="s">
        <v>29834</v>
      </c>
      <c r="G3523" s="200"/>
      <c r="H3523" s="200"/>
      <c r="I3523" s="346"/>
      <c r="J3523" s="39">
        <v>102955</v>
      </c>
      <c r="K3523" s="36" t="str">
        <f>CONCATENATE(Cover!$D$6,"fdd/view?i=",J3523)</f>
        <v>https://www.dgiwg.org/FAD/fdd/view?i=102955</v>
      </c>
      <c r="L3523" s="36" t="s">
        <v>29835</v>
      </c>
      <c r="M3523" s="186"/>
      <c r="N3523" s="186"/>
      <c r="O3523" s="172"/>
    </row>
    <row r="3524" spans="1:15" ht="25.5" x14ac:dyDescent="0.2">
      <c r="A3524" s="197" t="str">
        <f t="shared" si="55"/>
        <v>CdpCode_source</v>
      </c>
      <c r="B3524" s="409"/>
      <c r="C3524" s="416"/>
      <c r="D3524" s="198" t="s">
        <v>29836</v>
      </c>
      <c r="E3524" s="198">
        <v>19</v>
      </c>
      <c r="F3524" s="199" t="s">
        <v>134</v>
      </c>
      <c r="G3524" s="1" t="s">
        <v>29837</v>
      </c>
      <c r="H3524" s="200"/>
      <c r="I3524" s="346"/>
      <c r="J3524" s="39">
        <v>102945</v>
      </c>
      <c r="K3524" s="36" t="str">
        <f>CONCATENATE(Cover!$D$6,"fdd/view?i=",J3524)</f>
        <v>https://www.dgiwg.org/FAD/fdd/view?i=102945</v>
      </c>
      <c r="L3524" s="36" t="s">
        <v>29838</v>
      </c>
      <c r="M3524" s="186"/>
      <c r="N3524" s="186"/>
      <c r="O3524" s="172"/>
    </row>
    <row r="3525" spans="1:15" ht="25.5" x14ac:dyDescent="0.2">
      <c r="A3525" s="197" t="str">
        <f t="shared" si="55"/>
        <v>CdpCode_specifications</v>
      </c>
      <c r="B3525" s="409"/>
      <c r="C3525" s="416"/>
      <c r="D3525" s="198" t="s">
        <v>29839</v>
      </c>
      <c r="E3525" s="198">
        <v>22</v>
      </c>
      <c r="F3525" s="199" t="s">
        <v>29840</v>
      </c>
      <c r="G3525" s="200"/>
      <c r="H3525" s="200"/>
      <c r="I3525" s="346"/>
      <c r="J3525" s="39">
        <v>102948</v>
      </c>
      <c r="K3525" s="36" t="str">
        <f>CONCATENATE(Cover!$D$6,"fdd/view?i=",J3525)</f>
        <v>https://www.dgiwg.org/FAD/fdd/view?i=102948</v>
      </c>
      <c r="L3525" s="36" t="s">
        <v>29841</v>
      </c>
      <c r="M3525" s="186"/>
      <c r="N3525" s="186"/>
      <c r="O3525" s="172"/>
    </row>
    <row r="3526" spans="1:15" x14ac:dyDescent="0.2">
      <c r="A3526" s="203" t="str">
        <f t="shared" si="55"/>
        <v>CdpCode_survey</v>
      </c>
      <c r="B3526" s="410"/>
      <c r="C3526" s="417"/>
      <c r="D3526" s="204" t="s">
        <v>25491</v>
      </c>
      <c r="E3526" s="204">
        <v>23</v>
      </c>
      <c r="F3526" s="205" t="s">
        <v>25492</v>
      </c>
      <c r="G3526" s="207"/>
      <c r="H3526" s="207"/>
      <c r="I3526" s="347"/>
      <c r="J3526" s="39">
        <v>102949</v>
      </c>
      <c r="K3526" s="36" t="str">
        <f>CONCATENATE(Cover!$D$6,"fdd/view?i=",J3526)</f>
        <v>https://www.dgiwg.org/FAD/fdd/view?i=102949</v>
      </c>
      <c r="L3526" s="36" t="s">
        <v>29842</v>
      </c>
      <c r="M3526" s="186"/>
      <c r="N3526" s="186"/>
      <c r="O3526" s="172"/>
    </row>
    <row r="3527" spans="1:15" ht="25.5" x14ac:dyDescent="0.2">
      <c r="A3527" s="190" t="str">
        <f t="shared" si="55"/>
        <v>CoeCode_definite</v>
      </c>
      <c r="B3527" s="414" t="str">
        <f>HYPERLINK("[#]Datatypes!A534:L534","CoeCode")</f>
        <v>CoeCode</v>
      </c>
      <c r="C3527" s="415" t="s">
        <v>15105</v>
      </c>
      <c r="D3527" s="221" t="s">
        <v>24393</v>
      </c>
      <c r="E3527" s="221">
        <v>1</v>
      </c>
      <c r="F3527" s="222" t="s">
        <v>24394</v>
      </c>
      <c r="G3527" s="223" t="s">
        <v>29843</v>
      </c>
      <c r="H3527" s="224"/>
      <c r="I3527" s="345"/>
      <c r="J3527" s="39">
        <v>103154</v>
      </c>
      <c r="K3527" s="36" t="str">
        <f>CONCATENATE(Cover!$D$6,"fdd/view?i=",J3527)</f>
        <v>https://www.dgiwg.org/FAD/fdd/view?i=103154</v>
      </c>
      <c r="L3527" s="36" t="s">
        <v>29844</v>
      </c>
      <c r="M3527" s="186"/>
      <c r="N3527" s="186"/>
      <c r="O3527" s="172"/>
    </row>
    <row r="3528" spans="1:15" ht="38.25" x14ac:dyDescent="0.2">
      <c r="A3528" s="197" t="str">
        <f t="shared" si="55"/>
        <v>CoeCode_doubtful</v>
      </c>
      <c r="B3528" s="409"/>
      <c r="C3528" s="416"/>
      <c r="D3528" s="198" t="s">
        <v>29845</v>
      </c>
      <c r="E3528" s="198">
        <v>2</v>
      </c>
      <c r="F3528" s="199" t="s">
        <v>29846</v>
      </c>
      <c r="G3528" s="1" t="s">
        <v>29847</v>
      </c>
      <c r="H3528" s="200"/>
      <c r="I3528" s="346"/>
      <c r="J3528" s="39">
        <v>103155</v>
      </c>
      <c r="K3528" s="36" t="str">
        <f>CONCATENATE(Cover!$D$6,"fdd/view?i=",J3528)</f>
        <v>https://www.dgiwg.org/FAD/fdd/view?i=103155</v>
      </c>
      <c r="L3528" s="36" t="s">
        <v>29848</v>
      </c>
      <c r="M3528" s="186"/>
      <c r="N3528" s="186"/>
      <c r="O3528" s="172"/>
    </row>
    <row r="3529" spans="1:15" x14ac:dyDescent="0.2">
      <c r="A3529" s="203" t="str">
        <f t="shared" si="55"/>
        <v>CoeCode_reported</v>
      </c>
      <c r="B3529" s="410"/>
      <c r="C3529" s="417"/>
      <c r="D3529" s="204" t="s">
        <v>29849</v>
      </c>
      <c r="E3529" s="204">
        <v>3</v>
      </c>
      <c r="F3529" s="205" t="s">
        <v>29850</v>
      </c>
      <c r="G3529" s="206" t="s">
        <v>29851</v>
      </c>
      <c r="H3529" s="207"/>
      <c r="I3529" s="347"/>
      <c r="J3529" s="39">
        <v>103156</v>
      </c>
      <c r="K3529" s="36" t="str">
        <f>CONCATENATE(Cover!$D$6,"fdd/view?i=",J3529)</f>
        <v>https://www.dgiwg.org/FAD/fdd/view?i=103156</v>
      </c>
      <c r="L3529" s="36" t="s">
        <v>29852</v>
      </c>
      <c r="M3529" s="186"/>
      <c r="N3529" s="186"/>
      <c r="O3529" s="172"/>
    </row>
    <row r="3530" spans="1:15" ht="25.5" x14ac:dyDescent="0.2">
      <c r="A3530" s="190" t="str">
        <f t="shared" si="55"/>
        <v>ExuCode_excellent</v>
      </c>
      <c r="B3530" s="414" t="str">
        <f>HYPERLINK("[#]Datatypes!A536:L536","ExuCode")</f>
        <v>ExuCode</v>
      </c>
      <c r="C3530" s="415" t="s">
        <v>15107</v>
      </c>
      <c r="D3530" s="221" t="s">
        <v>19650</v>
      </c>
      <c r="E3530" s="221">
        <v>1</v>
      </c>
      <c r="F3530" s="222" t="s">
        <v>19651</v>
      </c>
      <c r="G3530" s="223" t="s">
        <v>29853</v>
      </c>
      <c r="H3530" s="224"/>
      <c r="I3530" s="345"/>
      <c r="J3530" s="39">
        <v>114438</v>
      </c>
      <c r="K3530" s="36" t="str">
        <f>CONCATENATE(Cover!$D$6,"fdd/view?i=",J3530)</f>
        <v>https://www.dgiwg.org/FAD/fdd/view?i=114438</v>
      </c>
      <c r="L3530" s="36" t="s">
        <v>29854</v>
      </c>
      <c r="M3530" s="186"/>
      <c r="N3530" s="186"/>
      <c r="O3530" s="172"/>
    </row>
    <row r="3531" spans="1:15" ht="38.25" x14ac:dyDescent="0.2">
      <c r="A3531" s="197" t="str">
        <f t="shared" si="55"/>
        <v>ExuCode_fair</v>
      </c>
      <c r="B3531" s="409"/>
      <c r="C3531" s="416"/>
      <c r="D3531" s="198" t="s">
        <v>19480</v>
      </c>
      <c r="E3531" s="198">
        <v>3</v>
      </c>
      <c r="F3531" s="199" t="s">
        <v>19481</v>
      </c>
      <c r="G3531" s="1" t="s">
        <v>29855</v>
      </c>
      <c r="H3531" s="1" t="s">
        <v>29856</v>
      </c>
      <c r="I3531" s="346"/>
      <c r="J3531" s="39">
        <v>114440</v>
      </c>
      <c r="K3531" s="36" t="str">
        <f>CONCATENATE(Cover!$D$6,"fdd/view?i=",J3531)</f>
        <v>https://www.dgiwg.org/FAD/fdd/view?i=114440</v>
      </c>
      <c r="L3531" s="36" t="s">
        <v>29857</v>
      </c>
      <c r="M3531" s="186"/>
      <c r="N3531" s="186"/>
      <c r="O3531" s="172"/>
    </row>
    <row r="3532" spans="1:15" ht="25.5" x14ac:dyDescent="0.2">
      <c r="A3532" s="197" t="str">
        <f t="shared" si="55"/>
        <v>ExuCode_good</v>
      </c>
      <c r="B3532" s="409"/>
      <c r="C3532" s="416"/>
      <c r="D3532" s="198" t="s">
        <v>19484</v>
      </c>
      <c r="E3532" s="198">
        <v>2</v>
      </c>
      <c r="F3532" s="199" t="s">
        <v>19485</v>
      </c>
      <c r="G3532" s="1" t="s">
        <v>29858</v>
      </c>
      <c r="H3532" s="1" t="s">
        <v>29859</v>
      </c>
      <c r="I3532" s="346"/>
      <c r="J3532" s="39">
        <v>114439</v>
      </c>
      <c r="K3532" s="36" t="str">
        <f>CONCATENATE(Cover!$D$6,"fdd/view?i=",J3532)</f>
        <v>https://www.dgiwg.org/FAD/fdd/view?i=114439</v>
      </c>
      <c r="L3532" s="36" t="s">
        <v>29860</v>
      </c>
      <c r="M3532" s="186"/>
      <c r="N3532" s="186"/>
      <c r="O3532" s="172"/>
    </row>
    <row r="3533" spans="1:15" ht="25.5" x14ac:dyDescent="0.2">
      <c r="A3533" s="203" t="str">
        <f t="shared" si="55"/>
        <v>ExuCode_poor</v>
      </c>
      <c r="B3533" s="410"/>
      <c r="C3533" s="417"/>
      <c r="D3533" s="204" t="s">
        <v>19671</v>
      </c>
      <c r="E3533" s="204">
        <v>4</v>
      </c>
      <c r="F3533" s="205" t="s">
        <v>19672</v>
      </c>
      <c r="G3533" s="206" t="s">
        <v>29861</v>
      </c>
      <c r="H3533" s="207"/>
      <c r="I3533" s="347"/>
      <c r="J3533" s="39">
        <v>114441</v>
      </c>
      <c r="K3533" s="36" t="str">
        <f>CONCATENATE(Cover!$D$6,"fdd/view?i=",J3533)</f>
        <v>https://www.dgiwg.org/FAD/fdd/view?i=114441</v>
      </c>
      <c r="L3533" s="36" t="s">
        <v>29862</v>
      </c>
      <c r="M3533" s="186"/>
      <c r="N3533" s="186"/>
      <c r="O3533" s="172"/>
    </row>
    <row r="3534" spans="1:15" ht="140.25" x14ac:dyDescent="0.2">
      <c r="A3534" s="190" t="str">
        <f t="shared" si="55"/>
        <v>MznCode_areaStripMine</v>
      </c>
      <c r="B3534" s="414" t="str">
        <f>HYPERLINK("[#]Datatypes!A538:L538","MznCode")</f>
        <v>MznCode</v>
      </c>
      <c r="C3534" s="415" t="s">
        <v>15109</v>
      </c>
      <c r="D3534" s="221" t="s">
        <v>29863</v>
      </c>
      <c r="E3534" s="221">
        <v>6</v>
      </c>
      <c r="F3534" s="222" t="s">
        <v>29864</v>
      </c>
      <c r="G3534" s="223" t="s">
        <v>29865</v>
      </c>
      <c r="H3534" s="223" t="s">
        <v>29866</v>
      </c>
      <c r="I3534" s="345"/>
      <c r="J3534" s="39">
        <v>118934</v>
      </c>
      <c r="K3534" s="36" t="str">
        <f>CONCATENATE(Cover!$D$6,"fdd/view?i=",J3534)</f>
        <v>https://www.dgiwg.org/FAD/fdd/view?i=118934</v>
      </c>
      <c r="L3534" s="36" t="s">
        <v>29867</v>
      </c>
      <c r="M3534" s="186"/>
      <c r="N3534" s="186"/>
      <c r="O3534" s="172"/>
    </row>
    <row r="3535" spans="1:15" ht="25.5" x14ac:dyDescent="0.2">
      <c r="A3535" s="197" t="str">
        <f t="shared" si="55"/>
        <v>MznCode_belowSurface</v>
      </c>
      <c r="B3535" s="409"/>
      <c r="C3535" s="416"/>
      <c r="D3535" s="198" t="s">
        <v>29868</v>
      </c>
      <c r="E3535" s="198">
        <v>9</v>
      </c>
      <c r="F3535" s="199" t="s">
        <v>29869</v>
      </c>
      <c r="G3535" s="1" t="s">
        <v>29870</v>
      </c>
      <c r="H3535" s="1" t="s">
        <v>29871</v>
      </c>
      <c r="I3535" s="346"/>
      <c r="J3535" s="39">
        <v>118936</v>
      </c>
      <c r="K3535" s="36" t="str">
        <f>CONCATENATE(Cover!$D$6,"fdd/view?i=",J3535)</f>
        <v>https://www.dgiwg.org/FAD/fdd/view?i=118936</v>
      </c>
      <c r="L3535" s="36" t="s">
        <v>29872</v>
      </c>
      <c r="M3535" s="186"/>
      <c r="N3535" s="186"/>
      <c r="O3535" s="172"/>
    </row>
    <row r="3536" spans="1:15" ht="25.5" x14ac:dyDescent="0.2">
      <c r="A3536" s="197" t="str">
        <f t="shared" si="55"/>
        <v>MznCode_borrowPit</v>
      </c>
      <c r="B3536" s="409"/>
      <c r="C3536" s="416"/>
      <c r="D3536" s="198" t="s">
        <v>29873</v>
      </c>
      <c r="E3536" s="198">
        <v>1</v>
      </c>
      <c r="F3536" s="199" t="s">
        <v>29874</v>
      </c>
      <c r="G3536" s="1" t="s">
        <v>29875</v>
      </c>
      <c r="H3536" s="200"/>
      <c r="I3536" s="346"/>
      <c r="J3536" s="39">
        <v>118930</v>
      </c>
      <c r="K3536" s="36" t="str">
        <f>CONCATENATE(Cover!$D$6,"fdd/view?i=",J3536)</f>
        <v>https://www.dgiwg.org/FAD/fdd/view?i=118930</v>
      </c>
      <c r="L3536" s="36" t="s">
        <v>29876</v>
      </c>
      <c r="M3536" s="186"/>
      <c r="N3536" s="186"/>
      <c r="O3536" s="172"/>
    </row>
    <row r="3537" spans="1:15" ht="191.25" x14ac:dyDescent="0.2">
      <c r="A3537" s="197" t="str">
        <f t="shared" si="55"/>
        <v>MznCode_contourStripMine</v>
      </c>
      <c r="B3537" s="409"/>
      <c r="C3537" s="416"/>
      <c r="D3537" s="198" t="s">
        <v>29877</v>
      </c>
      <c r="E3537" s="198">
        <v>11</v>
      </c>
      <c r="F3537" s="199" t="s">
        <v>29878</v>
      </c>
      <c r="G3537" s="1" t="s">
        <v>29879</v>
      </c>
      <c r="H3537" s="1" t="s">
        <v>29880</v>
      </c>
      <c r="I3537" s="346"/>
      <c r="J3537" s="39">
        <v>118938</v>
      </c>
      <c r="K3537" s="36" t="str">
        <f>CONCATENATE(Cover!$D$6,"fdd/view?i=",J3537)</f>
        <v>https://www.dgiwg.org/FAD/fdd/view?i=118938</v>
      </c>
      <c r="L3537" s="36" t="s">
        <v>29881</v>
      </c>
      <c r="M3537" s="186"/>
      <c r="N3537" s="186"/>
      <c r="O3537" s="172"/>
    </row>
    <row r="3538" spans="1:15" ht="25.5" x14ac:dyDescent="0.2">
      <c r="A3538" s="197" t="str">
        <f t="shared" si="55"/>
        <v>MznCode_opencast</v>
      </c>
      <c r="B3538" s="409"/>
      <c r="C3538" s="416"/>
      <c r="D3538" s="198" t="s">
        <v>29882</v>
      </c>
      <c r="E3538" s="198">
        <v>3</v>
      </c>
      <c r="F3538" s="199" t="s">
        <v>29883</v>
      </c>
      <c r="G3538" s="1" t="s">
        <v>29884</v>
      </c>
      <c r="H3538" s="200"/>
      <c r="I3538" s="351" t="s">
        <v>29885</v>
      </c>
      <c r="J3538" s="39">
        <v>118931</v>
      </c>
      <c r="K3538" s="36" t="str">
        <f>CONCATENATE(Cover!$D$6,"fdd/view?i=",J3538)</f>
        <v>https://www.dgiwg.org/FAD/fdd/view?i=118931</v>
      </c>
      <c r="L3538" s="36" t="s">
        <v>29886</v>
      </c>
      <c r="M3538" s="186"/>
      <c r="N3538" s="186"/>
      <c r="O3538" s="172"/>
    </row>
    <row r="3539" spans="1:15" x14ac:dyDescent="0.2">
      <c r="A3539" s="197" t="str">
        <f t="shared" si="55"/>
        <v>MznCode_peatery</v>
      </c>
      <c r="B3539" s="409"/>
      <c r="C3539" s="416"/>
      <c r="D3539" s="198" t="s">
        <v>29887</v>
      </c>
      <c r="E3539" s="198">
        <v>8</v>
      </c>
      <c r="F3539" s="199" t="s">
        <v>29888</v>
      </c>
      <c r="G3539" s="1" t="s">
        <v>29889</v>
      </c>
      <c r="H3539" s="200"/>
      <c r="I3539" s="346"/>
      <c r="J3539" s="39">
        <v>118935</v>
      </c>
      <c r="K3539" s="36" t="str">
        <f>CONCATENATE(Cover!$D$6,"fdd/view?i=",J3539)</f>
        <v>https://www.dgiwg.org/FAD/fdd/view?i=118935</v>
      </c>
      <c r="L3539" s="36" t="s">
        <v>29890</v>
      </c>
      <c r="M3539" s="186"/>
      <c r="N3539" s="186"/>
      <c r="O3539" s="172"/>
    </row>
    <row r="3540" spans="1:15" ht="51" x14ac:dyDescent="0.2">
      <c r="A3540" s="197" t="str">
        <f t="shared" si="55"/>
        <v>MznCode_placer</v>
      </c>
      <c r="B3540" s="409"/>
      <c r="C3540" s="416"/>
      <c r="D3540" s="198" t="s">
        <v>29891</v>
      </c>
      <c r="E3540" s="198">
        <v>4</v>
      </c>
      <c r="F3540" s="199" t="s">
        <v>29892</v>
      </c>
      <c r="G3540" s="1" t="s">
        <v>29893</v>
      </c>
      <c r="H3540" s="1" t="s">
        <v>29894</v>
      </c>
      <c r="I3540" s="346"/>
      <c r="J3540" s="39">
        <v>118932</v>
      </c>
      <c r="K3540" s="36" t="str">
        <f>CONCATENATE(Cover!$D$6,"fdd/view?i=",J3540)</f>
        <v>https://www.dgiwg.org/FAD/fdd/view?i=118932</v>
      </c>
      <c r="L3540" s="36" t="s">
        <v>29895</v>
      </c>
      <c r="M3540" s="186"/>
      <c r="N3540" s="186"/>
      <c r="O3540" s="172"/>
    </row>
    <row r="3541" spans="1:15" ht="25.5" x14ac:dyDescent="0.2">
      <c r="A3541" s="197" t="str">
        <f t="shared" si="55"/>
        <v>MznCode_prospect</v>
      </c>
      <c r="B3541" s="409"/>
      <c r="C3541" s="416"/>
      <c r="D3541" s="198" t="s">
        <v>24090</v>
      </c>
      <c r="E3541" s="198">
        <v>5</v>
      </c>
      <c r="F3541" s="199" t="s">
        <v>24091</v>
      </c>
      <c r="G3541" s="1" t="s">
        <v>29896</v>
      </c>
      <c r="H3541" s="200"/>
      <c r="I3541" s="346"/>
      <c r="J3541" s="39">
        <v>118933</v>
      </c>
      <c r="K3541" s="36" t="str">
        <f>CONCATENATE(Cover!$D$6,"fdd/view?i=",J3541)</f>
        <v>https://www.dgiwg.org/FAD/fdd/view?i=118933</v>
      </c>
      <c r="L3541" s="36" t="s">
        <v>29897</v>
      </c>
      <c r="M3541" s="186"/>
      <c r="N3541" s="186"/>
      <c r="O3541" s="172"/>
    </row>
    <row r="3542" spans="1:15" ht="25.5" x14ac:dyDescent="0.2">
      <c r="A3542" s="203" t="str">
        <f t="shared" si="55"/>
        <v>MznCode_quarry</v>
      </c>
      <c r="B3542" s="410"/>
      <c r="C3542" s="417"/>
      <c r="D3542" s="204" t="s">
        <v>29898</v>
      </c>
      <c r="E3542" s="204">
        <v>10</v>
      </c>
      <c r="F3542" s="205" t="s">
        <v>4588</v>
      </c>
      <c r="G3542" s="206" t="s">
        <v>29899</v>
      </c>
      <c r="H3542" s="207"/>
      <c r="I3542" s="347"/>
      <c r="J3542" s="39">
        <v>118937</v>
      </c>
      <c r="K3542" s="36" t="str">
        <f>CONCATENATE(Cover!$D$6,"fdd/view?i=",J3542)</f>
        <v>https://www.dgiwg.org/FAD/fdd/view?i=118937</v>
      </c>
      <c r="L3542" s="36" t="s">
        <v>29900</v>
      </c>
      <c r="M3542" s="186"/>
      <c r="N3542" s="186"/>
      <c r="O3542" s="172"/>
    </row>
    <row r="3543" spans="1:15" x14ac:dyDescent="0.2">
      <c r="A3543" s="190" t="str">
        <f t="shared" si="55"/>
        <v>EtsCode_atc</v>
      </c>
      <c r="B3543" s="414" t="str">
        <f>HYPERLINK("[#]Datatypes!A540:L540","EtsCode")</f>
        <v>EtsCode</v>
      </c>
      <c r="C3543" s="415" t="s">
        <v>15111</v>
      </c>
      <c r="D3543" s="221" t="s">
        <v>30001</v>
      </c>
      <c r="E3543" s="221">
        <v>26</v>
      </c>
      <c r="F3543" s="222" t="s">
        <v>30002</v>
      </c>
      <c r="G3543" s="223" t="s">
        <v>30003</v>
      </c>
      <c r="H3543" s="224"/>
      <c r="I3543" s="345"/>
      <c r="J3543" s="39">
        <v>114293</v>
      </c>
      <c r="K3543" s="36" t="str">
        <f>CONCATENATE(Cover!$D$6,"fdd/view?i=",J3543)</f>
        <v>https://www.dgiwg.org/FAD/fdd/view?i=114293</v>
      </c>
      <c r="L3543" s="36" t="s">
        <v>30004</v>
      </c>
      <c r="M3543" s="186"/>
      <c r="N3543" s="186"/>
      <c r="O3543" s="172"/>
    </row>
    <row r="3544" spans="1:15" x14ac:dyDescent="0.2">
      <c r="A3544" s="197" t="str">
        <f t="shared" si="55"/>
        <v>EtsCode_combat</v>
      </c>
      <c r="B3544" s="409"/>
      <c r="C3544" s="416"/>
      <c r="D3544" s="198" t="s">
        <v>29965</v>
      </c>
      <c r="E3544" s="198">
        <v>17</v>
      </c>
      <c r="F3544" s="199" t="s">
        <v>29966</v>
      </c>
      <c r="G3544" s="1" t="s">
        <v>29967</v>
      </c>
      <c r="H3544" s="200"/>
      <c r="I3544" s="346"/>
      <c r="J3544" s="39">
        <v>114284</v>
      </c>
      <c r="K3544" s="36" t="str">
        <f>CONCATENATE(Cover!$D$6,"fdd/view?i=",J3544)</f>
        <v>https://www.dgiwg.org/FAD/fdd/view?i=114284</v>
      </c>
      <c r="L3544" s="36" t="s">
        <v>29968</v>
      </c>
      <c r="M3544" s="186"/>
      <c r="N3544" s="186"/>
      <c r="O3544" s="172"/>
    </row>
    <row r="3545" spans="1:15" ht="25.5" x14ac:dyDescent="0.2">
      <c r="A3545" s="197" t="str">
        <f t="shared" si="55"/>
        <v>EtsCode_dfad1</v>
      </c>
      <c r="B3545" s="409"/>
      <c r="C3545" s="416"/>
      <c r="D3545" s="198" t="s">
        <v>29917</v>
      </c>
      <c r="E3545" s="198">
        <v>5</v>
      </c>
      <c r="F3545" s="199" t="s">
        <v>29918</v>
      </c>
      <c r="G3545" s="1" t="s">
        <v>29919</v>
      </c>
      <c r="H3545" s="200"/>
      <c r="I3545" s="346"/>
      <c r="J3545" s="39">
        <v>114272</v>
      </c>
      <c r="K3545" s="36" t="str">
        <f>CONCATENATE(Cover!$D$6,"fdd/view?i=",J3545)</f>
        <v>https://www.dgiwg.org/FAD/fdd/view?i=114272</v>
      </c>
      <c r="L3545" s="36" t="s">
        <v>29920</v>
      </c>
      <c r="M3545" s="186"/>
      <c r="N3545" s="186"/>
      <c r="O3545" s="172"/>
    </row>
    <row r="3546" spans="1:15" ht="25.5" x14ac:dyDescent="0.2">
      <c r="A3546" s="197" t="str">
        <f t="shared" si="55"/>
        <v>EtsCode_dfad2</v>
      </c>
      <c r="B3546" s="409"/>
      <c r="C3546" s="416"/>
      <c r="D3546" s="198" t="s">
        <v>29925</v>
      </c>
      <c r="E3546" s="198">
        <v>7</v>
      </c>
      <c r="F3546" s="199" t="s">
        <v>29926</v>
      </c>
      <c r="G3546" s="1" t="s">
        <v>29927</v>
      </c>
      <c r="H3546" s="200"/>
      <c r="I3546" s="346"/>
      <c r="J3546" s="39">
        <v>114274</v>
      </c>
      <c r="K3546" s="36" t="str">
        <f>CONCATENATE(Cover!$D$6,"fdd/view?i=",J3546)</f>
        <v>https://www.dgiwg.org/FAD/fdd/view?i=114274</v>
      </c>
      <c r="L3546" s="36" t="s">
        <v>29928</v>
      </c>
      <c r="M3546" s="186"/>
      <c r="N3546" s="186"/>
      <c r="O3546" s="172"/>
    </row>
    <row r="3547" spans="1:15" x14ac:dyDescent="0.2">
      <c r="A3547" s="197" t="str">
        <f t="shared" si="55"/>
        <v>EtsCode_digitalFeg</v>
      </c>
      <c r="B3547" s="409"/>
      <c r="C3547" s="416"/>
      <c r="D3547" s="198" t="s">
        <v>30025</v>
      </c>
      <c r="E3547" s="198">
        <v>56</v>
      </c>
      <c r="F3547" s="199" t="s">
        <v>30026</v>
      </c>
      <c r="G3547" s="1" t="s">
        <v>30027</v>
      </c>
      <c r="H3547" s="200"/>
      <c r="I3547" s="346"/>
      <c r="J3547" s="39">
        <v>117889</v>
      </c>
      <c r="K3547" s="36" t="str">
        <f>CONCATENATE(Cover!$D$6,"fdd/view?i=",J3547)</f>
        <v>https://www.dgiwg.org/FAD/fdd/view?i=117889</v>
      </c>
      <c r="L3547" s="36" t="s">
        <v>30028</v>
      </c>
      <c r="M3547" s="186"/>
      <c r="N3547" s="186"/>
      <c r="O3547" s="172"/>
    </row>
    <row r="3548" spans="1:15" x14ac:dyDescent="0.2">
      <c r="A3548" s="197" t="str">
        <f t="shared" si="55"/>
        <v>EtsCode_dnc</v>
      </c>
      <c r="B3548" s="409"/>
      <c r="C3548" s="416"/>
      <c r="D3548" s="198" t="s">
        <v>30029</v>
      </c>
      <c r="E3548" s="198">
        <v>43</v>
      </c>
      <c r="F3548" s="199" t="s">
        <v>30030</v>
      </c>
      <c r="G3548" s="1" t="s">
        <v>30031</v>
      </c>
      <c r="H3548" s="200"/>
      <c r="I3548" s="346"/>
      <c r="J3548" s="39">
        <v>114299</v>
      </c>
      <c r="K3548" s="36" t="str">
        <f>CONCATENATE(Cover!$D$6,"fdd/view?i=",J3548)</f>
        <v>https://www.dgiwg.org/FAD/fdd/view?i=114299</v>
      </c>
      <c r="L3548" s="36" t="s">
        <v>30032</v>
      </c>
      <c r="M3548" s="186"/>
      <c r="N3548" s="186"/>
      <c r="O3548" s="172"/>
    </row>
    <row r="3549" spans="1:15" x14ac:dyDescent="0.2">
      <c r="A3549" s="197" t="str">
        <f t="shared" si="55"/>
        <v>EtsCode_dted1</v>
      </c>
      <c r="B3549" s="409"/>
      <c r="C3549" s="416"/>
      <c r="D3549" s="198" t="s">
        <v>29913</v>
      </c>
      <c r="E3549" s="198">
        <v>4</v>
      </c>
      <c r="F3549" s="199" t="s">
        <v>29914</v>
      </c>
      <c r="G3549" s="1" t="s">
        <v>29915</v>
      </c>
      <c r="H3549" s="200"/>
      <c r="I3549" s="346"/>
      <c r="J3549" s="39">
        <v>114271</v>
      </c>
      <c r="K3549" s="36" t="str">
        <f>CONCATENATE(Cover!$D$6,"fdd/view?i=",J3549)</f>
        <v>https://www.dgiwg.org/FAD/fdd/view?i=114271</v>
      </c>
      <c r="L3549" s="36" t="s">
        <v>29916</v>
      </c>
      <c r="M3549" s="186"/>
      <c r="N3549" s="186"/>
      <c r="O3549" s="172"/>
    </row>
    <row r="3550" spans="1:15" x14ac:dyDescent="0.2">
      <c r="A3550" s="197" t="str">
        <f t="shared" si="55"/>
        <v>EtsCode_dted2</v>
      </c>
      <c r="B3550" s="409"/>
      <c r="C3550" s="416"/>
      <c r="D3550" s="198" t="s">
        <v>29921</v>
      </c>
      <c r="E3550" s="198">
        <v>6</v>
      </c>
      <c r="F3550" s="199" t="s">
        <v>29922</v>
      </c>
      <c r="G3550" s="1" t="s">
        <v>29923</v>
      </c>
      <c r="H3550" s="200"/>
      <c r="I3550" s="346"/>
      <c r="J3550" s="39">
        <v>114273</v>
      </c>
      <c r="K3550" s="36" t="str">
        <f>CONCATENATE(Cover!$D$6,"fdd/view?i=",J3550)</f>
        <v>https://www.dgiwg.org/FAD/fdd/view?i=114273</v>
      </c>
      <c r="L3550" s="36" t="s">
        <v>29924</v>
      </c>
      <c r="M3550" s="186"/>
      <c r="N3550" s="186"/>
      <c r="O3550" s="172"/>
    </row>
    <row r="3551" spans="1:15" x14ac:dyDescent="0.2">
      <c r="A3551" s="197" t="str">
        <f t="shared" si="55"/>
        <v>EtsCode_dtop</v>
      </c>
      <c r="B3551" s="409"/>
      <c r="C3551" s="416"/>
      <c r="D3551" s="198" t="s">
        <v>29981</v>
      </c>
      <c r="E3551" s="198">
        <v>21</v>
      </c>
      <c r="F3551" s="199" t="s">
        <v>29982</v>
      </c>
      <c r="G3551" s="1" t="s">
        <v>29983</v>
      </c>
      <c r="H3551" s="200"/>
      <c r="I3551" s="346"/>
      <c r="J3551" s="39">
        <v>114288</v>
      </c>
      <c r="K3551" s="36" t="str">
        <f>CONCATENATE(Cover!$D$6,"fdd/view?i=",J3551)</f>
        <v>https://www.dgiwg.org/FAD/fdd/view?i=114288</v>
      </c>
      <c r="L3551" s="36" t="s">
        <v>29984</v>
      </c>
      <c r="M3551" s="186"/>
      <c r="N3551" s="186"/>
      <c r="O3551" s="172"/>
    </row>
    <row r="3552" spans="1:15" x14ac:dyDescent="0.2">
      <c r="A3552" s="197" t="str">
        <f t="shared" si="55"/>
        <v>EtsCode_ffd</v>
      </c>
      <c r="B3552" s="409"/>
      <c r="C3552" s="416"/>
      <c r="D3552" s="198" t="s">
        <v>30021</v>
      </c>
      <c r="E3552" s="198">
        <v>31</v>
      </c>
      <c r="F3552" s="199" t="s">
        <v>30022</v>
      </c>
      <c r="G3552" s="1" t="s">
        <v>30023</v>
      </c>
      <c r="H3552" s="200"/>
      <c r="I3552" s="346"/>
      <c r="J3552" s="39">
        <v>114298</v>
      </c>
      <c r="K3552" s="36" t="str">
        <f>CONCATENATE(Cover!$D$6,"fdd/view?i=",J3552)</f>
        <v>https://www.dgiwg.org/FAD/fdd/view?i=114298</v>
      </c>
      <c r="L3552" s="36" t="s">
        <v>30024</v>
      </c>
      <c r="M3552" s="186"/>
      <c r="N3552" s="186"/>
      <c r="O3552" s="172"/>
    </row>
    <row r="3553" spans="1:15" x14ac:dyDescent="0.2">
      <c r="A3553" s="197" t="str">
        <f t="shared" si="55"/>
        <v>EtsCode_globalTdsEg</v>
      </c>
      <c r="B3553" s="409"/>
      <c r="C3553" s="416"/>
      <c r="D3553" s="198" t="s">
        <v>30033</v>
      </c>
      <c r="E3553" s="198">
        <v>57</v>
      </c>
      <c r="F3553" s="199" t="s">
        <v>30034</v>
      </c>
      <c r="G3553" s="1" t="s">
        <v>30035</v>
      </c>
      <c r="H3553" s="200"/>
      <c r="I3553" s="346"/>
      <c r="J3553" s="39">
        <v>117890</v>
      </c>
      <c r="K3553" s="36" t="str">
        <f>CONCATENATE(Cover!$D$6,"fdd/view?i=",J3553)</f>
        <v>https://www.dgiwg.org/FAD/fdd/view?i=117890</v>
      </c>
      <c r="L3553" s="36" t="s">
        <v>30036</v>
      </c>
      <c r="M3553" s="186"/>
      <c r="N3553" s="186"/>
      <c r="O3553" s="172"/>
    </row>
    <row r="3554" spans="1:15" ht="25.5" x14ac:dyDescent="0.2">
      <c r="A3554" s="197" t="str">
        <f t="shared" si="55"/>
        <v>EtsCode_hac1</v>
      </c>
      <c r="B3554" s="409"/>
      <c r="C3554" s="416"/>
      <c r="D3554" s="198" t="s">
        <v>29929</v>
      </c>
      <c r="E3554" s="198">
        <v>8</v>
      </c>
      <c r="F3554" s="199" t="s">
        <v>29930</v>
      </c>
      <c r="G3554" s="1" t="s">
        <v>29931</v>
      </c>
      <c r="H3554" s="200"/>
      <c r="I3554" s="346"/>
      <c r="J3554" s="39">
        <v>114275</v>
      </c>
      <c r="K3554" s="36" t="str">
        <f>CONCATENATE(Cover!$D$6,"fdd/view?i=",J3554)</f>
        <v>https://www.dgiwg.org/FAD/fdd/view?i=114275</v>
      </c>
      <c r="L3554" s="36" t="s">
        <v>29932</v>
      </c>
      <c r="M3554" s="186"/>
      <c r="N3554" s="186"/>
      <c r="O3554" s="172"/>
    </row>
    <row r="3555" spans="1:15" ht="25.5" x14ac:dyDescent="0.2">
      <c r="A3555" s="197" t="str">
        <f t="shared" si="55"/>
        <v>EtsCode_hac2</v>
      </c>
      <c r="B3555" s="409"/>
      <c r="C3555" s="416"/>
      <c r="D3555" s="198" t="s">
        <v>29933</v>
      </c>
      <c r="E3555" s="198">
        <v>9</v>
      </c>
      <c r="F3555" s="199" t="s">
        <v>29934</v>
      </c>
      <c r="G3555" s="1" t="s">
        <v>29935</v>
      </c>
      <c r="H3555" s="200"/>
      <c r="I3555" s="346"/>
      <c r="J3555" s="39">
        <v>114276</v>
      </c>
      <c r="K3555" s="36" t="str">
        <f>CONCATENATE(Cover!$D$6,"fdd/view?i=",J3555)</f>
        <v>https://www.dgiwg.org/FAD/fdd/view?i=114276</v>
      </c>
      <c r="L3555" s="36" t="s">
        <v>29936</v>
      </c>
      <c r="M3555" s="186"/>
      <c r="N3555" s="186"/>
      <c r="O3555" s="172"/>
    </row>
    <row r="3556" spans="1:15" ht="25.5" x14ac:dyDescent="0.2">
      <c r="A3556" s="197" t="str">
        <f t="shared" si="55"/>
        <v>EtsCode_hac3</v>
      </c>
      <c r="B3556" s="409"/>
      <c r="C3556" s="416"/>
      <c r="D3556" s="198" t="s">
        <v>29937</v>
      </c>
      <c r="E3556" s="198">
        <v>10</v>
      </c>
      <c r="F3556" s="199" t="s">
        <v>29938</v>
      </c>
      <c r="G3556" s="1" t="s">
        <v>29939</v>
      </c>
      <c r="H3556" s="200"/>
      <c r="I3556" s="346"/>
      <c r="J3556" s="39">
        <v>114277</v>
      </c>
      <c r="K3556" s="36" t="str">
        <f>CONCATENATE(Cover!$D$6,"fdd/view?i=",J3556)</f>
        <v>https://www.dgiwg.org/FAD/fdd/view?i=114277</v>
      </c>
      <c r="L3556" s="36" t="s">
        <v>29940</v>
      </c>
      <c r="M3556" s="186"/>
      <c r="N3556" s="186"/>
      <c r="O3556" s="172"/>
    </row>
    <row r="3557" spans="1:15" ht="25.5" x14ac:dyDescent="0.2">
      <c r="A3557" s="197" t="str">
        <f t="shared" si="55"/>
        <v>EtsCode_hac4</v>
      </c>
      <c r="B3557" s="409"/>
      <c r="C3557" s="416"/>
      <c r="D3557" s="198" t="s">
        <v>29941</v>
      </c>
      <c r="E3557" s="198">
        <v>11</v>
      </c>
      <c r="F3557" s="199" t="s">
        <v>29942</v>
      </c>
      <c r="G3557" s="1" t="s">
        <v>29943</v>
      </c>
      <c r="H3557" s="200"/>
      <c r="I3557" s="346"/>
      <c r="J3557" s="39">
        <v>114278</v>
      </c>
      <c r="K3557" s="36" t="str">
        <f>CONCATENATE(Cover!$D$6,"fdd/view?i=",J3557)</f>
        <v>https://www.dgiwg.org/FAD/fdd/view?i=114278</v>
      </c>
      <c r="L3557" s="36" t="s">
        <v>29944</v>
      </c>
      <c r="M3557" s="186"/>
      <c r="N3557" s="186"/>
      <c r="O3557" s="172"/>
    </row>
    <row r="3558" spans="1:15" ht="25.5" x14ac:dyDescent="0.2">
      <c r="A3558" s="197" t="str">
        <f t="shared" si="55"/>
        <v>EtsCode_hac5</v>
      </c>
      <c r="B3558" s="409"/>
      <c r="C3558" s="416"/>
      <c r="D3558" s="198" t="s">
        <v>29945</v>
      </c>
      <c r="E3558" s="198">
        <v>12</v>
      </c>
      <c r="F3558" s="199" t="s">
        <v>29946</v>
      </c>
      <c r="G3558" s="1" t="s">
        <v>29947</v>
      </c>
      <c r="H3558" s="200"/>
      <c r="I3558" s="346"/>
      <c r="J3558" s="39">
        <v>114279</v>
      </c>
      <c r="K3558" s="36" t="str">
        <f>CONCATENATE(Cover!$D$6,"fdd/view?i=",J3558)</f>
        <v>https://www.dgiwg.org/FAD/fdd/view?i=114279</v>
      </c>
      <c r="L3558" s="36" t="s">
        <v>29948</v>
      </c>
      <c r="M3558" s="186"/>
      <c r="N3558" s="186"/>
      <c r="O3558" s="172"/>
    </row>
    <row r="3559" spans="1:15" ht="25.5" x14ac:dyDescent="0.2">
      <c r="A3559" s="197" t="str">
        <f t="shared" si="55"/>
        <v>EtsCode_hac6</v>
      </c>
      <c r="B3559" s="409"/>
      <c r="C3559" s="416"/>
      <c r="D3559" s="198" t="s">
        <v>29949</v>
      </c>
      <c r="E3559" s="198">
        <v>13</v>
      </c>
      <c r="F3559" s="199" t="s">
        <v>29950</v>
      </c>
      <c r="G3559" s="1" t="s">
        <v>29951</v>
      </c>
      <c r="H3559" s="200"/>
      <c r="I3559" s="346"/>
      <c r="J3559" s="39">
        <v>114280</v>
      </c>
      <c r="K3559" s="36" t="str">
        <f>CONCATENATE(Cover!$D$6,"fdd/view?i=",J3559)</f>
        <v>https://www.dgiwg.org/FAD/fdd/view?i=114280</v>
      </c>
      <c r="L3559" s="36" t="s">
        <v>29952</v>
      </c>
      <c r="M3559" s="186"/>
      <c r="N3559" s="186"/>
      <c r="O3559" s="172"/>
    </row>
    <row r="3560" spans="1:15" ht="25.5" x14ac:dyDescent="0.2">
      <c r="A3560" s="197" t="str">
        <f t="shared" si="55"/>
        <v>EtsCode_hac7</v>
      </c>
      <c r="B3560" s="409"/>
      <c r="C3560" s="416"/>
      <c r="D3560" s="198" t="s">
        <v>29953</v>
      </c>
      <c r="E3560" s="198">
        <v>14</v>
      </c>
      <c r="F3560" s="199" t="s">
        <v>29954</v>
      </c>
      <c r="G3560" s="1" t="s">
        <v>29955</v>
      </c>
      <c r="H3560" s="200"/>
      <c r="I3560" s="346"/>
      <c r="J3560" s="39">
        <v>114281</v>
      </c>
      <c r="K3560" s="36" t="str">
        <f>CONCATENATE(Cover!$D$6,"fdd/view?i=",J3560)</f>
        <v>https://www.dgiwg.org/FAD/fdd/view?i=114281</v>
      </c>
      <c r="L3560" s="36" t="s">
        <v>29956</v>
      </c>
      <c r="M3560" s="186"/>
      <c r="N3560" s="186"/>
      <c r="O3560" s="172"/>
    </row>
    <row r="3561" spans="1:15" ht="25.5" x14ac:dyDescent="0.2">
      <c r="A3561" s="197" t="str">
        <f t="shared" si="55"/>
        <v>EtsCode_hac8</v>
      </c>
      <c r="B3561" s="409"/>
      <c r="C3561" s="416"/>
      <c r="D3561" s="198" t="s">
        <v>29957</v>
      </c>
      <c r="E3561" s="198">
        <v>15</v>
      </c>
      <c r="F3561" s="199" t="s">
        <v>29958</v>
      </c>
      <c r="G3561" s="1" t="s">
        <v>29959</v>
      </c>
      <c r="H3561" s="200"/>
      <c r="I3561" s="346"/>
      <c r="J3561" s="39">
        <v>114282</v>
      </c>
      <c r="K3561" s="36" t="str">
        <f>CONCATENATE(Cover!$D$6,"fdd/view?i=",J3561)</f>
        <v>https://www.dgiwg.org/FAD/fdd/view?i=114282</v>
      </c>
      <c r="L3561" s="36" t="s">
        <v>29960</v>
      </c>
      <c r="M3561" s="186"/>
      <c r="N3561" s="186"/>
      <c r="O3561" s="172"/>
    </row>
    <row r="3562" spans="1:15" ht="25.5" x14ac:dyDescent="0.2">
      <c r="A3562" s="197" t="str">
        <f t="shared" si="55"/>
        <v>EtsCode_hac9</v>
      </c>
      <c r="B3562" s="409"/>
      <c r="C3562" s="416"/>
      <c r="D3562" s="198" t="s">
        <v>29961</v>
      </c>
      <c r="E3562" s="198">
        <v>16</v>
      </c>
      <c r="F3562" s="199" t="s">
        <v>29962</v>
      </c>
      <c r="G3562" s="1" t="s">
        <v>29963</v>
      </c>
      <c r="H3562" s="200"/>
      <c r="I3562" s="346"/>
      <c r="J3562" s="39">
        <v>114283</v>
      </c>
      <c r="K3562" s="36" t="str">
        <f>CONCATENATE(Cover!$D$6,"fdd/view?i=",J3562)</f>
        <v>https://www.dgiwg.org/FAD/fdd/view?i=114283</v>
      </c>
      <c r="L3562" s="36" t="s">
        <v>29964</v>
      </c>
      <c r="M3562" s="186"/>
      <c r="N3562" s="186"/>
      <c r="O3562" s="172"/>
    </row>
    <row r="3563" spans="1:15" ht="25.5" x14ac:dyDescent="0.2">
      <c r="A3563" s="197" t="str">
        <f t="shared" si="55"/>
        <v>EtsCode_jogAirGround</v>
      </c>
      <c r="B3563" s="409"/>
      <c r="C3563" s="416"/>
      <c r="D3563" s="198" t="s">
        <v>29909</v>
      </c>
      <c r="E3563" s="198">
        <v>3</v>
      </c>
      <c r="F3563" s="199" t="s">
        <v>29910</v>
      </c>
      <c r="G3563" s="1" t="s">
        <v>29911</v>
      </c>
      <c r="H3563" s="200"/>
      <c r="I3563" s="346"/>
      <c r="J3563" s="39">
        <v>114270</v>
      </c>
      <c r="K3563" s="36" t="str">
        <f>CONCATENATE(Cover!$D$6,"fdd/view?i=",J3563)</f>
        <v>https://www.dgiwg.org/FAD/fdd/view?i=114270</v>
      </c>
      <c r="L3563" s="36" t="s">
        <v>29912</v>
      </c>
      <c r="M3563" s="186"/>
      <c r="N3563" s="186"/>
      <c r="O3563" s="172"/>
    </row>
    <row r="3564" spans="1:15" x14ac:dyDescent="0.2">
      <c r="A3564" s="197" t="str">
        <f t="shared" si="55"/>
        <v>EtsCode_jogRadar</v>
      </c>
      <c r="B3564" s="409"/>
      <c r="C3564" s="416"/>
      <c r="D3564" s="198" t="s">
        <v>30005</v>
      </c>
      <c r="E3564" s="198">
        <v>27</v>
      </c>
      <c r="F3564" s="199" t="s">
        <v>30006</v>
      </c>
      <c r="G3564" s="1" t="s">
        <v>30007</v>
      </c>
      <c r="H3564" s="200"/>
      <c r="I3564" s="346"/>
      <c r="J3564" s="39">
        <v>114294</v>
      </c>
      <c r="K3564" s="36" t="str">
        <f>CONCATENATE(Cover!$D$6,"fdd/view?i=",J3564)</f>
        <v>https://www.dgiwg.org/FAD/fdd/view?i=114294</v>
      </c>
      <c r="L3564" s="36" t="s">
        <v>30008</v>
      </c>
      <c r="M3564" s="186"/>
      <c r="N3564" s="186"/>
      <c r="O3564" s="172"/>
    </row>
    <row r="3565" spans="1:15" x14ac:dyDescent="0.2">
      <c r="A3565" s="197" t="str">
        <f t="shared" si="55"/>
        <v>EtsCode_localTdsEg</v>
      </c>
      <c r="B3565" s="409"/>
      <c r="C3565" s="416"/>
      <c r="D3565" s="198" t="s">
        <v>30037</v>
      </c>
      <c r="E3565" s="198">
        <v>59</v>
      </c>
      <c r="F3565" s="199" t="s">
        <v>30038</v>
      </c>
      <c r="G3565" s="1" t="s">
        <v>30039</v>
      </c>
      <c r="H3565" s="200"/>
      <c r="I3565" s="346"/>
      <c r="J3565" s="39">
        <v>117892</v>
      </c>
      <c r="K3565" s="36" t="str">
        <f>CONCATENATE(Cover!$D$6,"fdd/view?i=",J3565)</f>
        <v>https://www.dgiwg.org/FAD/fdd/view?i=117892</v>
      </c>
      <c r="L3565" s="36" t="s">
        <v>30040</v>
      </c>
      <c r="M3565" s="186"/>
      <c r="N3565" s="186"/>
      <c r="O3565" s="172"/>
    </row>
    <row r="3566" spans="1:15" ht="25.5" x14ac:dyDescent="0.2">
      <c r="A3566" s="197" t="str">
        <f t="shared" si="55"/>
        <v>EtsCode_mgcpTrd1</v>
      </c>
      <c r="B3566" s="409"/>
      <c r="C3566" s="416"/>
      <c r="D3566" s="198" t="s">
        <v>30041</v>
      </c>
      <c r="E3566" s="198">
        <v>54</v>
      </c>
      <c r="F3566" s="199" t="s">
        <v>30042</v>
      </c>
      <c r="G3566" s="1" t="s">
        <v>30043</v>
      </c>
      <c r="H3566" s="200"/>
      <c r="I3566" s="346"/>
      <c r="J3566" s="39">
        <v>114310</v>
      </c>
      <c r="K3566" s="36" t="str">
        <f>CONCATENATE(Cover!$D$6,"fdd/view?i=",J3566)</f>
        <v>https://www.dgiwg.org/FAD/fdd/view?i=114310</v>
      </c>
      <c r="L3566" s="36" t="s">
        <v>30044</v>
      </c>
      <c r="M3566" s="186"/>
      <c r="N3566" s="186"/>
      <c r="O3566" s="172"/>
    </row>
    <row r="3567" spans="1:15" ht="25.5" x14ac:dyDescent="0.2">
      <c r="A3567" s="197" t="str">
        <f t="shared" si="55"/>
        <v>EtsCode_mgcpTrd2</v>
      </c>
      <c r="B3567" s="409"/>
      <c r="C3567" s="416"/>
      <c r="D3567" s="198" t="s">
        <v>30045</v>
      </c>
      <c r="E3567" s="198">
        <v>55</v>
      </c>
      <c r="F3567" s="199" t="s">
        <v>30046</v>
      </c>
      <c r="G3567" s="1" t="s">
        <v>30047</v>
      </c>
      <c r="H3567" s="200"/>
      <c r="I3567" s="346"/>
      <c r="J3567" s="39">
        <v>117888</v>
      </c>
      <c r="K3567" s="36" t="str">
        <f>CONCATENATE(Cover!$D$6,"fdd/view?i=",J3567)</f>
        <v>https://www.dgiwg.org/FAD/fdd/view?i=117888</v>
      </c>
      <c r="L3567" s="36" t="s">
        <v>30048</v>
      </c>
      <c r="M3567" s="186"/>
      <c r="N3567" s="186"/>
      <c r="O3567" s="172"/>
    </row>
    <row r="3568" spans="1:15" ht="25.5" x14ac:dyDescent="0.2">
      <c r="A3568" s="197" t="str">
        <f t="shared" si="55"/>
        <v>EtsCode_mgcpTrd3</v>
      </c>
      <c r="B3568" s="409"/>
      <c r="C3568" s="416"/>
      <c r="D3568" s="198" t="s">
        <v>30049</v>
      </c>
      <c r="E3568" s="198">
        <v>61</v>
      </c>
      <c r="F3568" s="199" t="s">
        <v>30050</v>
      </c>
      <c r="G3568" s="1" t="s">
        <v>30051</v>
      </c>
      <c r="H3568" s="200"/>
      <c r="I3568" s="346"/>
      <c r="J3568" s="39">
        <v>119079</v>
      </c>
      <c r="K3568" s="36" t="str">
        <f>CONCATENATE(Cover!$D$6,"fdd/view?i=",J3568)</f>
        <v>https://www.dgiwg.org/FAD/fdd/view?i=119079</v>
      </c>
      <c r="L3568" s="36" t="s">
        <v>30052</v>
      </c>
      <c r="M3568" s="186"/>
      <c r="N3568" s="186"/>
      <c r="O3568" s="172"/>
    </row>
    <row r="3569" spans="1:15" ht="25.5" x14ac:dyDescent="0.2">
      <c r="A3569" s="197" t="str">
        <f t="shared" si="55"/>
        <v>EtsCode_mgcpTrd4</v>
      </c>
      <c r="B3569" s="409"/>
      <c r="C3569" s="416"/>
      <c r="D3569" s="198" t="s">
        <v>30053</v>
      </c>
      <c r="E3569" s="198">
        <v>62</v>
      </c>
      <c r="F3569" s="199" t="s">
        <v>30054</v>
      </c>
      <c r="G3569" s="1" t="s">
        <v>30055</v>
      </c>
      <c r="H3569" s="200"/>
      <c r="I3569" s="346"/>
      <c r="J3569" s="39">
        <v>119391</v>
      </c>
      <c r="K3569" s="36" t="str">
        <f>CONCATENATE(Cover!$D$6,"fdd/view?i=",J3569)</f>
        <v>https://www.dgiwg.org/FAD/fdd/view?i=119391</v>
      </c>
      <c r="L3569" s="36" t="s">
        <v>30056</v>
      </c>
      <c r="M3569" s="186"/>
      <c r="N3569" s="186"/>
      <c r="O3569" s="172"/>
    </row>
    <row r="3570" spans="1:15" x14ac:dyDescent="0.2">
      <c r="A3570" s="197" t="str">
        <f t="shared" si="55"/>
        <v>EtsCode_msd1</v>
      </c>
      <c r="B3570" s="409"/>
      <c r="C3570" s="416"/>
      <c r="D3570" s="198" t="s">
        <v>30057</v>
      </c>
      <c r="E3570" s="198">
        <v>44</v>
      </c>
      <c r="F3570" s="199" t="s">
        <v>30058</v>
      </c>
      <c r="G3570" s="1" t="s">
        <v>30059</v>
      </c>
      <c r="H3570" s="200"/>
      <c r="I3570" s="346"/>
      <c r="J3570" s="39">
        <v>114300</v>
      </c>
      <c r="K3570" s="36" t="str">
        <f>CONCATENATE(Cover!$D$6,"fdd/view?i=",J3570)</f>
        <v>https://www.dgiwg.org/FAD/fdd/view?i=114300</v>
      </c>
      <c r="L3570" s="36" t="s">
        <v>30060</v>
      </c>
      <c r="M3570" s="186"/>
      <c r="N3570" s="186"/>
      <c r="O3570" s="172"/>
    </row>
    <row r="3571" spans="1:15" x14ac:dyDescent="0.2">
      <c r="A3571" s="197" t="str">
        <f t="shared" si="55"/>
        <v>EtsCode_msd2</v>
      </c>
      <c r="B3571" s="409"/>
      <c r="C3571" s="416"/>
      <c r="D3571" s="198" t="s">
        <v>30061</v>
      </c>
      <c r="E3571" s="198">
        <v>45</v>
      </c>
      <c r="F3571" s="199" t="s">
        <v>30062</v>
      </c>
      <c r="G3571" s="1" t="s">
        <v>30063</v>
      </c>
      <c r="H3571" s="200"/>
      <c r="I3571" s="346"/>
      <c r="J3571" s="39">
        <v>114301</v>
      </c>
      <c r="K3571" s="36" t="str">
        <f>CONCATENATE(Cover!$D$6,"fdd/view?i=",J3571)</f>
        <v>https://www.dgiwg.org/FAD/fdd/view?i=114301</v>
      </c>
      <c r="L3571" s="36" t="s">
        <v>30064</v>
      </c>
      <c r="M3571" s="186"/>
      <c r="N3571" s="186"/>
      <c r="O3571" s="172"/>
    </row>
    <row r="3572" spans="1:15" x14ac:dyDescent="0.2">
      <c r="A3572" s="197" t="str">
        <f t="shared" si="55"/>
        <v>EtsCode_msd3</v>
      </c>
      <c r="B3572" s="409"/>
      <c r="C3572" s="416"/>
      <c r="D3572" s="198" t="s">
        <v>30065</v>
      </c>
      <c r="E3572" s="198">
        <v>46</v>
      </c>
      <c r="F3572" s="199" t="s">
        <v>30066</v>
      </c>
      <c r="G3572" s="1" t="s">
        <v>30067</v>
      </c>
      <c r="H3572" s="200"/>
      <c r="I3572" s="346"/>
      <c r="J3572" s="39">
        <v>114302</v>
      </c>
      <c r="K3572" s="36" t="str">
        <f>CONCATENATE(Cover!$D$6,"fdd/view?i=",J3572)</f>
        <v>https://www.dgiwg.org/FAD/fdd/view?i=114302</v>
      </c>
      <c r="L3572" s="36" t="s">
        <v>30068</v>
      </c>
      <c r="M3572" s="186"/>
      <c r="N3572" s="186"/>
      <c r="O3572" s="172"/>
    </row>
    <row r="3573" spans="1:15" x14ac:dyDescent="0.2">
      <c r="A3573" s="197" t="str">
        <f t="shared" si="55"/>
        <v>EtsCode_msd4</v>
      </c>
      <c r="B3573" s="409"/>
      <c r="C3573" s="416"/>
      <c r="D3573" s="198" t="s">
        <v>30069</v>
      </c>
      <c r="E3573" s="198">
        <v>47</v>
      </c>
      <c r="F3573" s="199" t="s">
        <v>30070</v>
      </c>
      <c r="G3573" s="1" t="s">
        <v>30071</v>
      </c>
      <c r="H3573" s="200"/>
      <c r="I3573" s="346"/>
      <c r="J3573" s="39">
        <v>114303</v>
      </c>
      <c r="K3573" s="36" t="str">
        <f>CONCATENATE(Cover!$D$6,"fdd/view?i=",J3573)</f>
        <v>https://www.dgiwg.org/FAD/fdd/view?i=114303</v>
      </c>
      <c r="L3573" s="36" t="s">
        <v>30072</v>
      </c>
      <c r="M3573" s="186"/>
      <c r="N3573" s="186"/>
      <c r="O3573" s="172"/>
    </row>
    <row r="3574" spans="1:15" x14ac:dyDescent="0.2">
      <c r="A3574" s="197" t="str">
        <f t="shared" si="55"/>
        <v>EtsCode_msd5</v>
      </c>
      <c r="B3574" s="409"/>
      <c r="C3574" s="416"/>
      <c r="D3574" s="198" t="s">
        <v>30073</v>
      </c>
      <c r="E3574" s="198">
        <v>48</v>
      </c>
      <c r="F3574" s="199" t="s">
        <v>30074</v>
      </c>
      <c r="G3574" s="1" t="s">
        <v>30075</v>
      </c>
      <c r="H3574" s="200"/>
      <c r="I3574" s="346"/>
      <c r="J3574" s="39">
        <v>114304</v>
      </c>
      <c r="K3574" s="36" t="str">
        <f>CONCATENATE(Cover!$D$6,"fdd/view?i=",J3574)</f>
        <v>https://www.dgiwg.org/FAD/fdd/view?i=114304</v>
      </c>
      <c r="L3574" s="36" t="s">
        <v>30076</v>
      </c>
      <c r="M3574" s="186"/>
      <c r="N3574" s="186"/>
      <c r="O3574" s="172"/>
    </row>
    <row r="3575" spans="1:15" x14ac:dyDescent="0.2">
      <c r="A3575" s="197" t="str">
        <f t="shared" si="55"/>
        <v>EtsCode_onc</v>
      </c>
      <c r="B3575" s="409"/>
      <c r="C3575" s="416"/>
      <c r="D3575" s="198" t="s">
        <v>29905</v>
      </c>
      <c r="E3575" s="198">
        <v>2</v>
      </c>
      <c r="F3575" s="199" t="s">
        <v>29906</v>
      </c>
      <c r="G3575" s="1" t="s">
        <v>29907</v>
      </c>
      <c r="H3575" s="200"/>
      <c r="I3575" s="346"/>
      <c r="J3575" s="39">
        <v>114269</v>
      </c>
      <c r="K3575" s="36" t="str">
        <f>CONCATENATE(Cover!$D$6,"fdd/view?i=",J3575)</f>
        <v>https://www.dgiwg.org/FAD/fdd/view?i=114269</v>
      </c>
      <c r="L3575" s="36" t="s">
        <v>29908</v>
      </c>
      <c r="M3575" s="186"/>
      <c r="N3575" s="186"/>
      <c r="O3575" s="172"/>
    </row>
    <row r="3576" spans="1:15" ht="25.5" x14ac:dyDescent="0.2">
      <c r="A3576" s="197" t="str">
        <f t="shared" si="55"/>
        <v>EtsCode_regionalTdsEg</v>
      </c>
      <c r="B3576" s="409"/>
      <c r="C3576" s="416"/>
      <c r="D3576" s="198" t="s">
        <v>30077</v>
      </c>
      <c r="E3576" s="198">
        <v>58</v>
      </c>
      <c r="F3576" s="199" t="s">
        <v>30078</v>
      </c>
      <c r="G3576" s="1" t="s">
        <v>30079</v>
      </c>
      <c r="H3576" s="200"/>
      <c r="I3576" s="346"/>
      <c r="J3576" s="39">
        <v>117891</v>
      </c>
      <c r="K3576" s="36" t="str">
        <f>CONCATENATE(Cover!$D$6,"fdd/view?i=",J3576)</f>
        <v>https://www.dgiwg.org/FAD/fdd/view?i=117891</v>
      </c>
      <c r="L3576" s="36" t="s">
        <v>30080</v>
      </c>
      <c r="M3576" s="186"/>
      <c r="N3576" s="186"/>
      <c r="O3576" s="172"/>
    </row>
    <row r="3577" spans="1:15" ht="25.5" x14ac:dyDescent="0.2">
      <c r="A3577" s="197" t="str">
        <f t="shared" si="55"/>
        <v>EtsCode_specUrbanTdsEg</v>
      </c>
      <c r="B3577" s="409"/>
      <c r="C3577" s="416"/>
      <c r="D3577" s="198" t="s">
        <v>30081</v>
      </c>
      <c r="E3577" s="198">
        <v>60</v>
      </c>
      <c r="F3577" s="199" t="s">
        <v>30082</v>
      </c>
      <c r="G3577" s="1" t="s">
        <v>30083</v>
      </c>
      <c r="H3577" s="200"/>
      <c r="I3577" s="346"/>
      <c r="J3577" s="39">
        <v>117893</v>
      </c>
      <c r="K3577" s="36" t="str">
        <f>CONCATENATE(Cover!$D$6,"fdd/view?i=",J3577)</f>
        <v>https://www.dgiwg.org/FAD/fdd/view?i=117893</v>
      </c>
      <c r="L3577" s="36" t="s">
        <v>30084</v>
      </c>
      <c r="M3577" s="186"/>
      <c r="N3577" s="186"/>
      <c r="O3577" s="172"/>
    </row>
    <row r="3578" spans="1:15" x14ac:dyDescent="0.2">
      <c r="A3578" s="197" t="str">
        <f t="shared" si="55"/>
        <v>EtsCode_tercomE</v>
      </c>
      <c r="B3578" s="409"/>
      <c r="C3578" s="416"/>
      <c r="D3578" s="198" t="s">
        <v>30013</v>
      </c>
      <c r="E3578" s="198">
        <v>29</v>
      </c>
      <c r="F3578" s="199" t="s">
        <v>30014</v>
      </c>
      <c r="G3578" s="1" t="s">
        <v>30015</v>
      </c>
      <c r="H3578" s="200"/>
      <c r="I3578" s="346"/>
      <c r="J3578" s="39">
        <v>114296</v>
      </c>
      <c r="K3578" s="36" t="str">
        <f>CONCATENATE(Cover!$D$6,"fdd/view?i=",J3578)</f>
        <v>https://www.dgiwg.org/FAD/fdd/view?i=114296</v>
      </c>
      <c r="L3578" s="36" t="s">
        <v>30016</v>
      </c>
      <c r="M3578" s="186"/>
      <c r="N3578" s="186"/>
      <c r="O3578" s="172"/>
    </row>
    <row r="3579" spans="1:15" x14ac:dyDescent="0.2">
      <c r="A3579" s="197" t="str">
        <f t="shared" si="55"/>
        <v>EtsCode_tercomL</v>
      </c>
      <c r="B3579" s="409"/>
      <c r="C3579" s="416"/>
      <c r="D3579" s="198" t="s">
        <v>30009</v>
      </c>
      <c r="E3579" s="198">
        <v>28</v>
      </c>
      <c r="F3579" s="199" t="s">
        <v>30010</v>
      </c>
      <c r="G3579" s="1" t="s">
        <v>30011</v>
      </c>
      <c r="H3579" s="200"/>
      <c r="I3579" s="346"/>
      <c r="J3579" s="39">
        <v>114295</v>
      </c>
      <c r="K3579" s="36" t="str">
        <f>CONCATENATE(Cover!$D$6,"fdd/view?i=",J3579)</f>
        <v>https://www.dgiwg.org/FAD/fdd/view?i=114295</v>
      </c>
      <c r="L3579" s="36" t="s">
        <v>30012</v>
      </c>
      <c r="M3579" s="186"/>
      <c r="N3579" s="186"/>
      <c r="O3579" s="172"/>
    </row>
    <row r="3580" spans="1:15" x14ac:dyDescent="0.2">
      <c r="A3580" s="197" t="str">
        <f t="shared" si="55"/>
        <v>EtsCode_tercomT</v>
      </c>
      <c r="B3580" s="409"/>
      <c r="C3580" s="416"/>
      <c r="D3580" s="198" t="s">
        <v>30017</v>
      </c>
      <c r="E3580" s="198">
        <v>30</v>
      </c>
      <c r="F3580" s="199" t="s">
        <v>30018</v>
      </c>
      <c r="G3580" s="1" t="s">
        <v>30019</v>
      </c>
      <c r="H3580" s="200"/>
      <c r="I3580" s="346"/>
      <c r="J3580" s="39">
        <v>114297</v>
      </c>
      <c r="K3580" s="36" t="str">
        <f>CONCATENATE(Cover!$D$6,"fdd/view?i=",J3580)</f>
        <v>https://www.dgiwg.org/FAD/fdd/view?i=114297</v>
      </c>
      <c r="L3580" s="36" t="s">
        <v>30020</v>
      </c>
      <c r="M3580" s="186"/>
      <c r="N3580" s="186"/>
      <c r="O3580" s="172"/>
    </row>
    <row r="3581" spans="1:15" x14ac:dyDescent="0.2">
      <c r="A3581" s="197" t="str">
        <f t="shared" si="55"/>
        <v>EtsCode_tlm100</v>
      </c>
      <c r="B3581" s="409"/>
      <c r="C3581" s="416"/>
      <c r="D3581" s="198" t="s">
        <v>29973</v>
      </c>
      <c r="E3581" s="198">
        <v>19</v>
      </c>
      <c r="F3581" s="199" t="s">
        <v>29974</v>
      </c>
      <c r="G3581" s="1" t="s">
        <v>29975</v>
      </c>
      <c r="H3581" s="200"/>
      <c r="I3581" s="346"/>
      <c r="J3581" s="39">
        <v>114286</v>
      </c>
      <c r="K3581" s="36" t="str">
        <f>CONCATENATE(Cover!$D$6,"fdd/view?i=",J3581)</f>
        <v>https://www.dgiwg.org/FAD/fdd/view?i=114286</v>
      </c>
      <c r="L3581" s="36" t="s">
        <v>29976</v>
      </c>
      <c r="M3581" s="186"/>
      <c r="N3581" s="186"/>
      <c r="O3581" s="172"/>
    </row>
    <row r="3582" spans="1:15" x14ac:dyDescent="0.2">
      <c r="A3582" s="197" t="str">
        <f t="shared" si="55"/>
        <v>EtsCode_tlm50</v>
      </c>
      <c r="B3582" s="409"/>
      <c r="C3582" s="416"/>
      <c r="D3582" s="198" t="s">
        <v>29969</v>
      </c>
      <c r="E3582" s="198">
        <v>18</v>
      </c>
      <c r="F3582" s="199" t="s">
        <v>29970</v>
      </c>
      <c r="G3582" s="1" t="s">
        <v>29971</v>
      </c>
      <c r="H3582" s="200"/>
      <c r="I3582" s="346"/>
      <c r="J3582" s="39">
        <v>114285</v>
      </c>
      <c r="K3582" s="36" t="str">
        <f>CONCATENATE(Cover!$D$6,"fdd/view?i=",J3582)</f>
        <v>https://www.dgiwg.org/FAD/fdd/view?i=114285</v>
      </c>
      <c r="L3582" s="36" t="s">
        <v>29972</v>
      </c>
      <c r="M3582" s="186"/>
      <c r="N3582" s="186"/>
      <c r="O3582" s="172"/>
    </row>
    <row r="3583" spans="1:15" x14ac:dyDescent="0.2">
      <c r="A3583" s="197" t="str">
        <f t="shared" si="55"/>
        <v>EtsCode_tod0</v>
      </c>
      <c r="B3583" s="409"/>
      <c r="C3583" s="416"/>
      <c r="D3583" s="198" t="s">
        <v>30085</v>
      </c>
      <c r="E3583" s="198">
        <v>49</v>
      </c>
      <c r="F3583" s="199" t="s">
        <v>30086</v>
      </c>
      <c r="G3583" s="1" t="s">
        <v>30087</v>
      </c>
      <c r="H3583" s="200"/>
      <c r="I3583" s="346"/>
      <c r="J3583" s="39">
        <v>114305</v>
      </c>
      <c r="K3583" s="36" t="str">
        <f>CONCATENATE(Cover!$D$6,"fdd/view?i=",J3583)</f>
        <v>https://www.dgiwg.org/FAD/fdd/view?i=114305</v>
      </c>
      <c r="L3583" s="36" t="s">
        <v>30088</v>
      </c>
      <c r="M3583" s="186"/>
      <c r="N3583" s="186"/>
      <c r="O3583" s="172"/>
    </row>
    <row r="3584" spans="1:15" x14ac:dyDescent="0.2">
      <c r="A3584" s="197" t="str">
        <f t="shared" si="55"/>
        <v>EtsCode_tod1</v>
      </c>
      <c r="B3584" s="409"/>
      <c r="C3584" s="416"/>
      <c r="D3584" s="198" t="s">
        <v>30089</v>
      </c>
      <c r="E3584" s="198">
        <v>50</v>
      </c>
      <c r="F3584" s="199" t="s">
        <v>30090</v>
      </c>
      <c r="G3584" s="1" t="s">
        <v>30091</v>
      </c>
      <c r="H3584" s="200"/>
      <c r="I3584" s="346"/>
      <c r="J3584" s="39">
        <v>114306</v>
      </c>
      <c r="K3584" s="36" t="str">
        <f>CONCATENATE(Cover!$D$6,"fdd/view?i=",J3584)</f>
        <v>https://www.dgiwg.org/FAD/fdd/view?i=114306</v>
      </c>
      <c r="L3584" s="36" t="s">
        <v>30092</v>
      </c>
      <c r="M3584" s="186"/>
      <c r="N3584" s="186"/>
      <c r="O3584" s="172"/>
    </row>
    <row r="3585" spans="1:15" x14ac:dyDescent="0.2">
      <c r="A3585" s="197" t="str">
        <f t="shared" si="55"/>
        <v>EtsCode_tod2</v>
      </c>
      <c r="B3585" s="409"/>
      <c r="C3585" s="416"/>
      <c r="D3585" s="198" t="s">
        <v>30093</v>
      </c>
      <c r="E3585" s="198">
        <v>51</v>
      </c>
      <c r="F3585" s="199" t="s">
        <v>30094</v>
      </c>
      <c r="G3585" s="1" t="s">
        <v>30095</v>
      </c>
      <c r="H3585" s="200"/>
      <c r="I3585" s="346"/>
      <c r="J3585" s="39">
        <v>114307</v>
      </c>
      <c r="K3585" s="36" t="str">
        <f>CONCATENATE(Cover!$D$6,"fdd/view?i=",J3585)</f>
        <v>https://www.dgiwg.org/FAD/fdd/view?i=114307</v>
      </c>
      <c r="L3585" s="36" t="s">
        <v>30096</v>
      </c>
      <c r="M3585" s="186"/>
      <c r="N3585" s="186"/>
      <c r="O3585" s="172"/>
    </row>
    <row r="3586" spans="1:15" x14ac:dyDescent="0.2">
      <c r="A3586" s="197" t="str">
        <f t="shared" ref="A3586:A3649" si="56">HYPERLINK(K3586,L3586)</f>
        <v>EtsCode_tod3</v>
      </c>
      <c r="B3586" s="409"/>
      <c r="C3586" s="416"/>
      <c r="D3586" s="198" t="s">
        <v>30097</v>
      </c>
      <c r="E3586" s="198">
        <v>52</v>
      </c>
      <c r="F3586" s="199" t="s">
        <v>30098</v>
      </c>
      <c r="G3586" s="1" t="s">
        <v>30099</v>
      </c>
      <c r="H3586" s="200"/>
      <c r="I3586" s="346"/>
      <c r="J3586" s="39">
        <v>114308</v>
      </c>
      <c r="K3586" s="36" t="str">
        <f>CONCATENATE(Cover!$D$6,"fdd/view?i=",J3586)</f>
        <v>https://www.dgiwg.org/FAD/fdd/view?i=114308</v>
      </c>
      <c r="L3586" s="36" t="s">
        <v>30100</v>
      </c>
      <c r="M3586" s="186"/>
      <c r="N3586" s="186"/>
      <c r="O3586" s="172"/>
    </row>
    <row r="3587" spans="1:15" x14ac:dyDescent="0.2">
      <c r="A3587" s="197" t="str">
        <f t="shared" si="56"/>
        <v>EtsCode_tod4</v>
      </c>
      <c r="B3587" s="409"/>
      <c r="C3587" s="416"/>
      <c r="D3587" s="198" t="s">
        <v>30101</v>
      </c>
      <c r="E3587" s="198">
        <v>53</v>
      </c>
      <c r="F3587" s="199" t="s">
        <v>30102</v>
      </c>
      <c r="G3587" s="1" t="s">
        <v>30103</v>
      </c>
      <c r="H3587" s="200"/>
      <c r="I3587" s="346"/>
      <c r="J3587" s="39">
        <v>114309</v>
      </c>
      <c r="K3587" s="36" t="str">
        <f>CONCATENATE(Cover!$D$6,"fdd/view?i=",J3587)</f>
        <v>https://www.dgiwg.org/FAD/fdd/view?i=114309</v>
      </c>
      <c r="L3587" s="36" t="s">
        <v>30104</v>
      </c>
      <c r="M3587" s="186"/>
      <c r="N3587" s="186"/>
      <c r="O3587" s="172"/>
    </row>
    <row r="3588" spans="1:15" x14ac:dyDescent="0.2">
      <c r="A3588" s="197" t="str">
        <f t="shared" si="56"/>
        <v>EtsCode_tpc</v>
      </c>
      <c r="B3588" s="409"/>
      <c r="C3588" s="416"/>
      <c r="D3588" s="198" t="s">
        <v>29901</v>
      </c>
      <c r="E3588" s="198">
        <v>1</v>
      </c>
      <c r="F3588" s="199" t="s">
        <v>29902</v>
      </c>
      <c r="G3588" s="1" t="s">
        <v>29903</v>
      </c>
      <c r="H3588" s="200"/>
      <c r="I3588" s="346"/>
      <c r="J3588" s="39">
        <v>114268</v>
      </c>
      <c r="K3588" s="36" t="str">
        <f>CONCATENATE(Cover!$D$6,"fdd/view?i=",J3588)</f>
        <v>https://www.dgiwg.org/FAD/fdd/view?i=114268</v>
      </c>
      <c r="L3588" s="36" t="s">
        <v>29904</v>
      </c>
      <c r="M3588" s="186"/>
      <c r="N3588" s="186"/>
      <c r="O3588" s="172"/>
    </row>
    <row r="3589" spans="1:15" x14ac:dyDescent="0.2">
      <c r="A3589" s="197" t="str">
        <f t="shared" si="56"/>
        <v>EtsCode_uvmap</v>
      </c>
      <c r="B3589" s="409"/>
      <c r="C3589" s="416"/>
      <c r="D3589" s="198" t="s">
        <v>29997</v>
      </c>
      <c r="E3589" s="198">
        <v>25</v>
      </c>
      <c r="F3589" s="199" t="s">
        <v>29998</v>
      </c>
      <c r="G3589" s="1" t="s">
        <v>29999</v>
      </c>
      <c r="H3589" s="200"/>
      <c r="I3589" s="346"/>
      <c r="J3589" s="39">
        <v>114292</v>
      </c>
      <c r="K3589" s="36" t="str">
        <f>CONCATENATE(Cover!$D$6,"fdd/view?i=",J3589)</f>
        <v>https://www.dgiwg.org/FAD/fdd/view?i=114292</v>
      </c>
      <c r="L3589" s="36" t="s">
        <v>30000</v>
      </c>
      <c r="M3589" s="186"/>
      <c r="N3589" s="186"/>
      <c r="O3589" s="172"/>
    </row>
    <row r="3590" spans="1:15" x14ac:dyDescent="0.2">
      <c r="A3590" s="197" t="str">
        <f t="shared" si="56"/>
        <v>EtsCode_vitd</v>
      </c>
      <c r="B3590" s="409"/>
      <c r="C3590" s="416"/>
      <c r="D3590" s="198" t="s">
        <v>29977</v>
      </c>
      <c r="E3590" s="198">
        <v>20</v>
      </c>
      <c r="F3590" s="199" t="s">
        <v>29978</v>
      </c>
      <c r="G3590" s="1" t="s">
        <v>29979</v>
      </c>
      <c r="H3590" s="200"/>
      <c r="I3590" s="346"/>
      <c r="J3590" s="39">
        <v>114287</v>
      </c>
      <c r="K3590" s="36" t="str">
        <f>CONCATENATE(Cover!$D$6,"fdd/view?i=",J3590)</f>
        <v>https://www.dgiwg.org/FAD/fdd/view?i=114287</v>
      </c>
      <c r="L3590" s="36" t="s">
        <v>29980</v>
      </c>
      <c r="M3590" s="186"/>
      <c r="N3590" s="186"/>
      <c r="O3590" s="172"/>
    </row>
    <row r="3591" spans="1:15" x14ac:dyDescent="0.2">
      <c r="A3591" s="197" t="str">
        <f t="shared" si="56"/>
        <v>EtsCode_vmap0</v>
      </c>
      <c r="B3591" s="409"/>
      <c r="C3591" s="416"/>
      <c r="D3591" s="198" t="s">
        <v>29989</v>
      </c>
      <c r="E3591" s="198">
        <v>23</v>
      </c>
      <c r="F3591" s="199" t="s">
        <v>29990</v>
      </c>
      <c r="G3591" s="1" t="s">
        <v>29991</v>
      </c>
      <c r="H3591" s="200"/>
      <c r="I3591" s="346"/>
      <c r="J3591" s="39">
        <v>114290</v>
      </c>
      <c r="K3591" s="36" t="str">
        <f>CONCATENATE(Cover!$D$6,"fdd/view?i=",J3591)</f>
        <v>https://www.dgiwg.org/FAD/fdd/view?i=114290</v>
      </c>
      <c r="L3591" s="36" t="s">
        <v>29992</v>
      </c>
      <c r="M3591" s="186"/>
      <c r="N3591" s="186"/>
      <c r="O3591" s="172"/>
    </row>
    <row r="3592" spans="1:15" x14ac:dyDescent="0.2">
      <c r="A3592" s="197" t="str">
        <f t="shared" si="56"/>
        <v>EtsCode_vmap1</v>
      </c>
      <c r="B3592" s="409"/>
      <c r="C3592" s="416"/>
      <c r="D3592" s="198" t="s">
        <v>29993</v>
      </c>
      <c r="E3592" s="198">
        <v>24</v>
      </c>
      <c r="F3592" s="199" t="s">
        <v>29994</v>
      </c>
      <c r="G3592" s="1" t="s">
        <v>29995</v>
      </c>
      <c r="H3592" s="200"/>
      <c r="I3592" s="346"/>
      <c r="J3592" s="39">
        <v>114291</v>
      </c>
      <c r="K3592" s="36" t="str">
        <f>CONCATENATE(Cover!$D$6,"fdd/view?i=",J3592)</f>
        <v>https://www.dgiwg.org/FAD/fdd/view?i=114291</v>
      </c>
      <c r="L3592" s="36" t="s">
        <v>29996</v>
      </c>
      <c r="M3592" s="186"/>
      <c r="N3592" s="186"/>
      <c r="O3592" s="172"/>
    </row>
    <row r="3593" spans="1:15" x14ac:dyDescent="0.2">
      <c r="A3593" s="203" t="str">
        <f t="shared" si="56"/>
        <v>EtsCode_vmap2</v>
      </c>
      <c r="B3593" s="410"/>
      <c r="C3593" s="417"/>
      <c r="D3593" s="204" t="s">
        <v>29985</v>
      </c>
      <c r="E3593" s="204">
        <v>22</v>
      </c>
      <c r="F3593" s="205" t="s">
        <v>29986</v>
      </c>
      <c r="G3593" s="206" t="s">
        <v>29987</v>
      </c>
      <c r="H3593" s="207"/>
      <c r="I3593" s="347"/>
      <c r="J3593" s="39">
        <v>114289</v>
      </c>
      <c r="K3593" s="36" t="str">
        <f>CONCATENATE(Cover!$D$6,"fdd/view?i=",J3593)</f>
        <v>https://www.dgiwg.org/FAD/fdd/view?i=114289</v>
      </c>
      <c r="L3593" s="36" t="s">
        <v>29988</v>
      </c>
      <c r="M3593" s="186"/>
      <c r="N3593" s="186"/>
      <c r="O3593" s="172"/>
    </row>
    <row r="3594" spans="1:15" ht="25.5" x14ac:dyDescent="0.2">
      <c r="A3594" s="190" t="str">
        <f t="shared" si="56"/>
        <v>FtpCode_heavy</v>
      </c>
      <c r="B3594" s="414" t="str">
        <f>HYPERLINK("[#]Datatypes!A544:L544","FtpCode")</f>
        <v>FtpCode</v>
      </c>
      <c r="C3594" s="415" t="s">
        <v>15115</v>
      </c>
      <c r="D3594" s="221" t="s">
        <v>30105</v>
      </c>
      <c r="E3594" s="221">
        <v>2</v>
      </c>
      <c r="F3594" s="222" t="s">
        <v>30106</v>
      </c>
      <c r="G3594" s="223" t="s">
        <v>30107</v>
      </c>
      <c r="H3594" s="224"/>
      <c r="I3594" s="345"/>
      <c r="J3594" s="39">
        <v>103753</v>
      </c>
      <c r="K3594" s="36" t="str">
        <f>CONCATENATE(Cover!$D$6,"fdd/view?i=",J3594)</f>
        <v>https://www.dgiwg.org/FAD/fdd/view?i=103753</v>
      </c>
      <c r="L3594" s="36" t="s">
        <v>30108</v>
      </c>
      <c r="M3594" s="186"/>
      <c r="N3594" s="186"/>
      <c r="O3594" s="172"/>
    </row>
    <row r="3595" spans="1:15" ht="25.5" x14ac:dyDescent="0.2">
      <c r="A3595" s="203" t="str">
        <f t="shared" si="56"/>
        <v>FtpCode_light</v>
      </c>
      <c r="B3595" s="410"/>
      <c r="C3595" s="417"/>
      <c r="D3595" s="204" t="s">
        <v>30109</v>
      </c>
      <c r="E3595" s="204">
        <v>1</v>
      </c>
      <c r="F3595" s="205" t="s">
        <v>30110</v>
      </c>
      <c r="G3595" s="206" t="s">
        <v>30111</v>
      </c>
      <c r="H3595" s="207"/>
      <c r="I3595" s="347"/>
      <c r="J3595" s="39">
        <v>103752</v>
      </c>
      <c r="K3595" s="36" t="str">
        <f>CONCATENATE(Cover!$D$6,"fdd/view?i=",J3595)</f>
        <v>https://www.dgiwg.org/FAD/fdd/view?i=103752</v>
      </c>
      <c r="L3595" s="36" t="s">
        <v>30112</v>
      </c>
      <c r="M3595" s="186"/>
      <c r="N3595" s="186"/>
      <c r="O3595" s="172"/>
    </row>
    <row r="3596" spans="1:15" ht="38.25" x14ac:dyDescent="0.2">
      <c r="A3596" s="190" t="str">
        <f t="shared" si="56"/>
        <v>CosCode_abandoned</v>
      </c>
      <c r="B3596" s="414" t="str">
        <f>HYPERLINK("[#]Datatypes!A546:L546","CosCode")</f>
        <v>CosCode</v>
      </c>
      <c r="C3596" s="415" t="s">
        <v>15117</v>
      </c>
      <c r="D3596" s="221" t="s">
        <v>26381</v>
      </c>
      <c r="E3596" s="221">
        <v>12</v>
      </c>
      <c r="F3596" s="222" t="s">
        <v>26382</v>
      </c>
      <c r="G3596" s="223" t="s">
        <v>30113</v>
      </c>
      <c r="H3596" s="224"/>
      <c r="I3596" s="345"/>
      <c r="J3596" s="39">
        <v>110109</v>
      </c>
      <c r="K3596" s="36" t="str">
        <f>CONCATENATE(Cover!$D$6,"fdd/view?i=",J3596)</f>
        <v>https://www.dgiwg.org/FAD/fdd/view?i=110109</v>
      </c>
      <c r="L3596" s="36" t="s">
        <v>30114</v>
      </c>
      <c r="M3596" s="186"/>
      <c r="N3596" s="186"/>
      <c r="O3596" s="172"/>
    </row>
    <row r="3597" spans="1:15" x14ac:dyDescent="0.2">
      <c r="A3597" s="197" t="str">
        <f t="shared" si="56"/>
        <v>CosCode_continuous</v>
      </c>
      <c r="B3597" s="409"/>
      <c r="C3597" s="416"/>
      <c r="D3597" s="198" t="s">
        <v>30115</v>
      </c>
      <c r="E3597" s="198">
        <v>1</v>
      </c>
      <c r="F3597" s="199" t="s">
        <v>30116</v>
      </c>
      <c r="G3597" s="1" t="s">
        <v>30117</v>
      </c>
      <c r="H3597" s="200"/>
      <c r="I3597" s="346"/>
      <c r="J3597" s="39">
        <v>103193</v>
      </c>
      <c r="K3597" s="36" t="str">
        <f>CONCATENATE(Cover!$D$6,"fdd/view?i=",J3597)</f>
        <v>https://www.dgiwg.org/FAD/fdd/view?i=103193</v>
      </c>
      <c r="L3597" s="36" t="s">
        <v>30118</v>
      </c>
      <c r="M3597" s="186"/>
      <c r="N3597" s="186"/>
      <c r="O3597" s="172"/>
    </row>
    <row r="3598" spans="1:15" ht="25.5" x14ac:dyDescent="0.2">
      <c r="A3598" s="197" t="str">
        <f t="shared" si="56"/>
        <v>CosCode_disused</v>
      </c>
      <c r="B3598" s="409"/>
      <c r="C3598" s="416"/>
      <c r="D3598" s="198" t="s">
        <v>26394</v>
      </c>
      <c r="E3598" s="198">
        <v>7</v>
      </c>
      <c r="F3598" s="199" t="s">
        <v>26395</v>
      </c>
      <c r="G3598" s="1" t="s">
        <v>30119</v>
      </c>
      <c r="H3598" s="200"/>
      <c r="I3598" s="351" t="s">
        <v>30120</v>
      </c>
      <c r="J3598" s="39">
        <v>107921</v>
      </c>
      <c r="K3598" s="36" t="str">
        <f>CONCATENATE(Cover!$D$6,"fdd/view?i=",J3598)</f>
        <v>https://www.dgiwg.org/FAD/fdd/view?i=107921</v>
      </c>
      <c r="L3598" s="36" t="s">
        <v>30121</v>
      </c>
      <c r="M3598" s="186"/>
      <c r="N3598" s="186"/>
      <c r="O3598" s="172"/>
    </row>
    <row r="3599" spans="1:15" ht="25.5" x14ac:dyDescent="0.2">
      <c r="A3599" s="197" t="str">
        <f t="shared" si="56"/>
        <v>CosCode_intermittent</v>
      </c>
      <c r="B3599" s="409"/>
      <c r="C3599" s="416"/>
      <c r="D3599" s="198" t="s">
        <v>20227</v>
      </c>
      <c r="E3599" s="198">
        <v>2</v>
      </c>
      <c r="F3599" s="199" t="s">
        <v>20228</v>
      </c>
      <c r="G3599" s="1" t="s">
        <v>30122</v>
      </c>
      <c r="H3599" s="200"/>
      <c r="I3599" s="346"/>
      <c r="J3599" s="39">
        <v>103194</v>
      </c>
      <c r="K3599" s="36" t="str">
        <f>CONCATENATE(Cover!$D$6,"fdd/view?i=",J3599)</f>
        <v>https://www.dgiwg.org/FAD/fdd/view?i=103194</v>
      </c>
      <c r="L3599" s="36" t="s">
        <v>30123</v>
      </c>
      <c r="M3599" s="186"/>
      <c r="N3599" s="186"/>
      <c r="O3599" s="172"/>
    </row>
    <row r="3600" spans="1:15" x14ac:dyDescent="0.2">
      <c r="A3600" s="197" t="str">
        <f t="shared" si="56"/>
        <v>CosCode_irregular</v>
      </c>
      <c r="B3600" s="409"/>
      <c r="C3600" s="416"/>
      <c r="D3600" s="198" t="s">
        <v>20235</v>
      </c>
      <c r="E3600" s="198">
        <v>11</v>
      </c>
      <c r="F3600" s="199" t="s">
        <v>20236</v>
      </c>
      <c r="G3600" s="1" t="s">
        <v>20237</v>
      </c>
      <c r="H3600" s="200"/>
      <c r="I3600" s="346"/>
      <c r="J3600" s="39">
        <v>110108</v>
      </c>
      <c r="K3600" s="36" t="str">
        <f>CONCATENATE(Cover!$D$6,"fdd/view?i=",J3600)</f>
        <v>https://www.dgiwg.org/FAD/fdd/view?i=110108</v>
      </c>
      <c r="L3600" s="36" t="s">
        <v>30124</v>
      </c>
      <c r="M3600" s="186"/>
      <c r="N3600" s="186"/>
      <c r="O3600" s="172"/>
    </row>
    <row r="3601" spans="1:15" ht="25.5" x14ac:dyDescent="0.2">
      <c r="A3601" s="197" t="str">
        <f t="shared" si="56"/>
        <v>CosCode_nonOperational</v>
      </c>
      <c r="B3601" s="409"/>
      <c r="C3601" s="416"/>
      <c r="D3601" s="198" t="s">
        <v>30125</v>
      </c>
      <c r="E3601" s="198">
        <v>4</v>
      </c>
      <c r="F3601" s="199" t="s">
        <v>30126</v>
      </c>
      <c r="G3601" s="1" t="s">
        <v>30127</v>
      </c>
      <c r="H3601" s="200"/>
      <c r="I3601" s="351" t="s">
        <v>30128</v>
      </c>
      <c r="J3601" s="39">
        <v>107918</v>
      </c>
      <c r="K3601" s="36" t="str">
        <f>CONCATENATE(Cover!$D$6,"fdd/view?i=",J3601)</f>
        <v>https://www.dgiwg.org/FAD/fdd/view?i=107918</v>
      </c>
      <c r="L3601" s="36" t="s">
        <v>30129</v>
      </c>
      <c r="M3601" s="186"/>
      <c r="N3601" s="186"/>
      <c r="O3601" s="172"/>
    </row>
    <row r="3602" spans="1:15" ht="63.75" x14ac:dyDescent="0.2">
      <c r="A3602" s="197" t="str">
        <f t="shared" si="56"/>
        <v>CosCode_notInOperation</v>
      </c>
      <c r="B3602" s="409"/>
      <c r="C3602" s="416"/>
      <c r="D3602" s="198" t="s">
        <v>30130</v>
      </c>
      <c r="E3602" s="198">
        <v>8</v>
      </c>
      <c r="F3602" s="199" t="s">
        <v>30131</v>
      </c>
      <c r="G3602" s="1" t="s">
        <v>30132</v>
      </c>
      <c r="H3602" s="1" t="s">
        <v>30133</v>
      </c>
      <c r="I3602" s="351" t="s">
        <v>30134</v>
      </c>
      <c r="J3602" s="39">
        <v>108089</v>
      </c>
      <c r="K3602" s="36" t="str">
        <f>CONCATENATE(Cover!$D$6,"fdd/view?i=",J3602)</f>
        <v>https://www.dgiwg.org/FAD/fdd/view?i=108089</v>
      </c>
      <c r="L3602" s="36" t="s">
        <v>30135</v>
      </c>
      <c r="M3602" s="186"/>
      <c r="N3602" s="186"/>
      <c r="O3602" s="172"/>
    </row>
    <row r="3603" spans="1:15" ht="25.5" x14ac:dyDescent="0.2">
      <c r="A3603" s="197" t="str">
        <f t="shared" si="56"/>
        <v>CosCode_onDemand</v>
      </c>
      <c r="B3603" s="409"/>
      <c r="C3603" s="416"/>
      <c r="D3603" s="198" t="s">
        <v>30136</v>
      </c>
      <c r="E3603" s="198">
        <v>10</v>
      </c>
      <c r="F3603" s="199" t="s">
        <v>30137</v>
      </c>
      <c r="G3603" s="1" t="s">
        <v>30138</v>
      </c>
      <c r="H3603" s="200"/>
      <c r="I3603" s="346"/>
      <c r="J3603" s="39">
        <v>110107</v>
      </c>
      <c r="K3603" s="36" t="str">
        <f>CONCATENATE(Cover!$D$6,"fdd/view?i=",J3603)</f>
        <v>https://www.dgiwg.org/FAD/fdd/view?i=110107</v>
      </c>
      <c r="L3603" s="36" t="s">
        <v>30139</v>
      </c>
      <c r="M3603" s="186"/>
      <c r="N3603" s="186"/>
      <c r="O3603" s="172"/>
    </row>
    <row r="3604" spans="1:15" ht="25.5" x14ac:dyDescent="0.2">
      <c r="A3604" s="197" t="str">
        <f t="shared" si="56"/>
        <v>CosCode_operational</v>
      </c>
      <c r="B3604" s="409"/>
      <c r="C3604" s="416"/>
      <c r="D3604" s="198" t="s">
        <v>11293</v>
      </c>
      <c r="E3604" s="198">
        <v>13</v>
      </c>
      <c r="F3604" s="199" t="s">
        <v>11295</v>
      </c>
      <c r="G3604" s="1" t="s">
        <v>30140</v>
      </c>
      <c r="H3604" s="1" t="s">
        <v>30141</v>
      </c>
      <c r="I3604" s="346"/>
      <c r="J3604" s="39">
        <v>119385</v>
      </c>
      <c r="K3604" s="36" t="str">
        <f>CONCATENATE(Cover!$D$6,"fdd/view?i=",J3604)</f>
        <v>https://www.dgiwg.org/FAD/fdd/view?i=119385</v>
      </c>
      <c r="L3604" s="36" t="s">
        <v>30142</v>
      </c>
      <c r="M3604" s="186"/>
      <c r="N3604" s="186"/>
      <c r="O3604" s="172"/>
    </row>
    <row r="3605" spans="1:15" ht="38.25" x14ac:dyDescent="0.2">
      <c r="A3605" s="197" t="str">
        <f t="shared" si="56"/>
        <v>CosCode_partiallyOperational</v>
      </c>
      <c r="B3605" s="409"/>
      <c r="C3605" s="416"/>
      <c r="D3605" s="198" t="s">
        <v>30143</v>
      </c>
      <c r="E3605" s="198">
        <v>14</v>
      </c>
      <c r="F3605" s="199" t="s">
        <v>30144</v>
      </c>
      <c r="G3605" s="1" t="s">
        <v>30145</v>
      </c>
      <c r="H3605" s="1" t="s">
        <v>30146</v>
      </c>
      <c r="I3605" s="346"/>
      <c r="J3605" s="39">
        <v>119386</v>
      </c>
      <c r="K3605" s="36" t="str">
        <f>CONCATENATE(Cover!$D$6,"fdd/view?i=",J3605)</f>
        <v>https://www.dgiwg.org/FAD/fdd/view?i=119386</v>
      </c>
      <c r="L3605" s="36" t="s">
        <v>30147</v>
      </c>
      <c r="M3605" s="186"/>
      <c r="N3605" s="186"/>
      <c r="O3605" s="172"/>
    </row>
    <row r="3606" spans="1:15" x14ac:dyDescent="0.2">
      <c r="A3606" s="197" t="str">
        <f t="shared" si="56"/>
        <v>CosCode_planned</v>
      </c>
      <c r="B3606" s="409"/>
      <c r="C3606" s="416"/>
      <c r="D3606" s="198" t="s">
        <v>26410</v>
      </c>
      <c r="E3606" s="198">
        <v>6</v>
      </c>
      <c r="F3606" s="199" t="s">
        <v>26411</v>
      </c>
      <c r="G3606" s="1" t="s">
        <v>30148</v>
      </c>
      <c r="H3606" s="200"/>
      <c r="I3606" s="346"/>
      <c r="J3606" s="39">
        <v>107920</v>
      </c>
      <c r="K3606" s="36" t="str">
        <f>CONCATENATE(Cover!$D$6,"fdd/view?i=",J3606)</f>
        <v>https://www.dgiwg.org/FAD/fdd/view?i=107920</v>
      </c>
      <c r="L3606" s="36" t="s">
        <v>30149</v>
      </c>
      <c r="M3606" s="186"/>
      <c r="N3606" s="186"/>
      <c r="O3606" s="172"/>
    </row>
    <row r="3607" spans="1:15" ht="25.5" x14ac:dyDescent="0.2">
      <c r="A3607" s="197" t="str">
        <f t="shared" si="56"/>
        <v>CosCode_scheduled</v>
      </c>
      <c r="B3607" s="409"/>
      <c r="C3607" s="416"/>
      <c r="D3607" s="198" t="s">
        <v>20789</v>
      </c>
      <c r="E3607" s="198">
        <v>3</v>
      </c>
      <c r="F3607" s="199" t="s">
        <v>20790</v>
      </c>
      <c r="G3607" s="1" t="s">
        <v>30150</v>
      </c>
      <c r="H3607" s="1" t="s">
        <v>30151</v>
      </c>
      <c r="I3607" s="346"/>
      <c r="J3607" s="39">
        <v>103195</v>
      </c>
      <c r="K3607" s="36" t="str">
        <f>CONCATENATE(Cover!$D$6,"fdd/view?i=",J3607)</f>
        <v>https://www.dgiwg.org/FAD/fdd/view?i=103195</v>
      </c>
      <c r="L3607" s="36" t="s">
        <v>30152</v>
      </c>
      <c r="M3607" s="186"/>
      <c r="N3607" s="186"/>
      <c r="O3607" s="172"/>
    </row>
    <row r="3608" spans="1:15" ht="25.5" x14ac:dyDescent="0.2">
      <c r="A3608" s="197" t="str">
        <f t="shared" si="56"/>
        <v>CosCode_temporarilyNonOperational</v>
      </c>
      <c r="B3608" s="409"/>
      <c r="C3608" s="416"/>
      <c r="D3608" s="198" t="s">
        <v>30153</v>
      </c>
      <c r="E3608" s="198">
        <v>9</v>
      </c>
      <c r="F3608" s="199" t="s">
        <v>30154</v>
      </c>
      <c r="G3608" s="1" t="s">
        <v>30155</v>
      </c>
      <c r="H3608" s="1" t="s">
        <v>30156</v>
      </c>
      <c r="I3608" s="351" t="s">
        <v>30157</v>
      </c>
      <c r="J3608" s="39">
        <v>108092</v>
      </c>
      <c r="K3608" s="36" t="str">
        <f>CONCATENATE(Cover!$D$6,"fdd/view?i=",J3608)</f>
        <v>https://www.dgiwg.org/FAD/fdd/view?i=108092</v>
      </c>
      <c r="L3608" s="36" t="s">
        <v>30158</v>
      </c>
      <c r="M3608" s="186"/>
      <c r="N3608" s="186"/>
      <c r="O3608" s="172"/>
    </row>
    <row r="3609" spans="1:15" x14ac:dyDescent="0.2">
      <c r="A3609" s="203" t="str">
        <f t="shared" si="56"/>
        <v>CosCode_temporary</v>
      </c>
      <c r="B3609" s="410"/>
      <c r="C3609" s="417"/>
      <c r="D3609" s="204" t="s">
        <v>30159</v>
      </c>
      <c r="E3609" s="204">
        <v>5</v>
      </c>
      <c r="F3609" s="205" t="s">
        <v>30160</v>
      </c>
      <c r="G3609" s="206" t="s">
        <v>30161</v>
      </c>
      <c r="H3609" s="207"/>
      <c r="I3609" s="347"/>
      <c r="J3609" s="39">
        <v>107919</v>
      </c>
      <c r="K3609" s="36" t="str">
        <f>CONCATENATE(Cover!$D$6,"fdd/view?i=",J3609)</f>
        <v>https://www.dgiwg.org/FAD/fdd/view?i=107919</v>
      </c>
      <c r="L3609" s="36" t="s">
        <v>30162</v>
      </c>
      <c r="M3609" s="186"/>
      <c r="N3609" s="186"/>
      <c r="O3609" s="172"/>
    </row>
    <row r="3610" spans="1:15" ht="25.5" x14ac:dyDescent="0.2">
      <c r="A3610" s="190" t="str">
        <f t="shared" si="56"/>
        <v>FggCode_acrisols</v>
      </c>
      <c r="B3610" s="414" t="str">
        <f>HYPERLINK("[#]Datatypes!A548:L548","FggCode")</f>
        <v>FggCode</v>
      </c>
      <c r="C3610" s="415" t="s">
        <v>15119</v>
      </c>
      <c r="D3610" s="221" t="s">
        <v>30163</v>
      </c>
      <c r="E3610" s="221">
        <v>1</v>
      </c>
      <c r="F3610" s="222" t="s">
        <v>30164</v>
      </c>
      <c r="G3610" s="223" t="s">
        <v>30165</v>
      </c>
      <c r="H3610" s="223" t="s">
        <v>30166</v>
      </c>
      <c r="I3610" s="345"/>
      <c r="J3610" s="39">
        <v>113254</v>
      </c>
      <c r="K3610" s="36" t="str">
        <f>CONCATENATE(Cover!$D$6,"fdd/view?i=",J3610)</f>
        <v>https://www.dgiwg.org/FAD/fdd/view?i=113254</v>
      </c>
      <c r="L3610" s="36" t="s">
        <v>30167</v>
      </c>
      <c r="M3610" s="186"/>
      <c r="N3610" s="186"/>
      <c r="O3610" s="172"/>
    </row>
    <row r="3611" spans="1:15" ht="38.25" x14ac:dyDescent="0.2">
      <c r="A3611" s="197" t="str">
        <f t="shared" si="56"/>
        <v>FggCode_albeluvisols</v>
      </c>
      <c r="B3611" s="409"/>
      <c r="C3611" s="416"/>
      <c r="D3611" s="198" t="s">
        <v>30168</v>
      </c>
      <c r="E3611" s="198">
        <v>2</v>
      </c>
      <c r="F3611" s="199" t="s">
        <v>30169</v>
      </c>
      <c r="G3611" s="1" t="s">
        <v>30170</v>
      </c>
      <c r="H3611" s="1" t="s">
        <v>30171</v>
      </c>
      <c r="I3611" s="346"/>
      <c r="J3611" s="39">
        <v>113255</v>
      </c>
      <c r="K3611" s="36" t="str">
        <f>CONCATENATE(Cover!$D$6,"fdd/view?i=",J3611)</f>
        <v>https://www.dgiwg.org/FAD/fdd/view?i=113255</v>
      </c>
      <c r="L3611" s="36" t="s">
        <v>30172</v>
      </c>
      <c r="M3611" s="186"/>
      <c r="N3611" s="186"/>
      <c r="O3611" s="172"/>
    </row>
    <row r="3612" spans="1:15" ht="25.5" x14ac:dyDescent="0.2">
      <c r="A3612" s="197" t="str">
        <f t="shared" si="56"/>
        <v>FggCode_alisols</v>
      </c>
      <c r="B3612" s="409"/>
      <c r="C3612" s="416"/>
      <c r="D3612" s="198" t="s">
        <v>30173</v>
      </c>
      <c r="E3612" s="198">
        <v>3</v>
      </c>
      <c r="F3612" s="199" t="s">
        <v>30174</v>
      </c>
      <c r="G3612" s="1" t="s">
        <v>30175</v>
      </c>
      <c r="H3612" s="1" t="s">
        <v>30176</v>
      </c>
      <c r="I3612" s="346"/>
      <c r="J3612" s="39">
        <v>113256</v>
      </c>
      <c r="K3612" s="36" t="str">
        <f>CONCATENATE(Cover!$D$6,"fdd/view?i=",J3612)</f>
        <v>https://www.dgiwg.org/FAD/fdd/view?i=113256</v>
      </c>
      <c r="L3612" s="36" t="s">
        <v>30177</v>
      </c>
      <c r="M3612" s="186"/>
      <c r="N3612" s="186"/>
      <c r="O3612" s="172"/>
    </row>
    <row r="3613" spans="1:15" ht="51" x14ac:dyDescent="0.2">
      <c r="A3613" s="197" t="str">
        <f t="shared" si="56"/>
        <v>FggCode_andosols</v>
      </c>
      <c r="B3613" s="409"/>
      <c r="C3613" s="416"/>
      <c r="D3613" s="198" t="s">
        <v>30178</v>
      </c>
      <c r="E3613" s="198">
        <v>4</v>
      </c>
      <c r="F3613" s="199" t="s">
        <v>30179</v>
      </c>
      <c r="G3613" s="1" t="s">
        <v>30180</v>
      </c>
      <c r="H3613" s="1" t="s">
        <v>30181</v>
      </c>
      <c r="I3613" s="346"/>
      <c r="J3613" s="39">
        <v>113257</v>
      </c>
      <c r="K3613" s="36" t="str">
        <f>CONCATENATE(Cover!$D$6,"fdd/view?i=",J3613)</f>
        <v>https://www.dgiwg.org/FAD/fdd/view?i=113257</v>
      </c>
      <c r="L3613" s="36" t="s">
        <v>30182</v>
      </c>
      <c r="M3613" s="186"/>
      <c r="N3613" s="186"/>
      <c r="O3613" s="172"/>
    </row>
    <row r="3614" spans="1:15" ht="38.25" x14ac:dyDescent="0.2">
      <c r="A3614" s="197" t="str">
        <f t="shared" si="56"/>
        <v>FggCode_anthrosols</v>
      </c>
      <c r="B3614" s="409"/>
      <c r="C3614" s="416"/>
      <c r="D3614" s="198" t="s">
        <v>30183</v>
      </c>
      <c r="E3614" s="198">
        <v>5</v>
      </c>
      <c r="F3614" s="199" t="s">
        <v>30184</v>
      </c>
      <c r="G3614" s="1" t="s">
        <v>30185</v>
      </c>
      <c r="H3614" s="1" t="s">
        <v>30186</v>
      </c>
      <c r="I3614" s="346"/>
      <c r="J3614" s="39">
        <v>113258</v>
      </c>
      <c r="K3614" s="36" t="str">
        <f>CONCATENATE(Cover!$D$6,"fdd/view?i=",J3614)</f>
        <v>https://www.dgiwg.org/FAD/fdd/view?i=113258</v>
      </c>
      <c r="L3614" s="36" t="s">
        <v>30187</v>
      </c>
      <c r="M3614" s="186"/>
      <c r="N3614" s="186"/>
      <c r="O3614" s="172"/>
    </row>
    <row r="3615" spans="1:15" ht="51" x14ac:dyDescent="0.2">
      <c r="A3615" s="197" t="str">
        <f t="shared" si="56"/>
        <v>FggCode_arenosols</v>
      </c>
      <c r="B3615" s="409"/>
      <c r="C3615" s="416"/>
      <c r="D3615" s="198" t="s">
        <v>30188</v>
      </c>
      <c r="E3615" s="198">
        <v>6</v>
      </c>
      <c r="F3615" s="199" t="s">
        <v>30189</v>
      </c>
      <c r="G3615" s="1" t="s">
        <v>30190</v>
      </c>
      <c r="H3615" s="1" t="s">
        <v>30191</v>
      </c>
      <c r="I3615" s="346"/>
      <c r="J3615" s="39">
        <v>113259</v>
      </c>
      <c r="K3615" s="36" t="str">
        <f>CONCATENATE(Cover!$D$6,"fdd/view?i=",J3615)</f>
        <v>https://www.dgiwg.org/FAD/fdd/view?i=113259</v>
      </c>
      <c r="L3615" s="36" t="s">
        <v>30192</v>
      </c>
      <c r="M3615" s="186"/>
      <c r="N3615" s="186"/>
      <c r="O3615" s="172"/>
    </row>
    <row r="3616" spans="1:15" x14ac:dyDescent="0.2">
      <c r="A3616" s="197" t="str">
        <f t="shared" si="56"/>
        <v>FggCode_calcisols</v>
      </c>
      <c r="B3616" s="409"/>
      <c r="C3616" s="416"/>
      <c r="D3616" s="198" t="s">
        <v>30193</v>
      </c>
      <c r="E3616" s="198">
        <v>7</v>
      </c>
      <c r="F3616" s="199" t="s">
        <v>30194</v>
      </c>
      <c r="G3616" s="1" t="s">
        <v>30195</v>
      </c>
      <c r="H3616" s="1" t="s">
        <v>30196</v>
      </c>
      <c r="I3616" s="346"/>
      <c r="J3616" s="39">
        <v>113260</v>
      </c>
      <c r="K3616" s="36" t="str">
        <f>CONCATENATE(Cover!$D$6,"fdd/view?i=",J3616)</f>
        <v>https://www.dgiwg.org/FAD/fdd/view?i=113260</v>
      </c>
      <c r="L3616" s="36" t="s">
        <v>30197</v>
      </c>
      <c r="M3616" s="186"/>
      <c r="N3616" s="186"/>
      <c r="O3616" s="172"/>
    </row>
    <row r="3617" spans="1:15" ht="25.5" x14ac:dyDescent="0.2">
      <c r="A3617" s="197" t="str">
        <f t="shared" si="56"/>
        <v>FggCode_cambisols</v>
      </c>
      <c r="B3617" s="409"/>
      <c r="C3617" s="416"/>
      <c r="D3617" s="198" t="s">
        <v>30198</v>
      </c>
      <c r="E3617" s="198">
        <v>8</v>
      </c>
      <c r="F3617" s="199" t="s">
        <v>30199</v>
      </c>
      <c r="G3617" s="1" t="s">
        <v>30200</v>
      </c>
      <c r="H3617" s="1" t="s">
        <v>30201</v>
      </c>
      <c r="I3617" s="346"/>
      <c r="J3617" s="39">
        <v>113261</v>
      </c>
      <c r="K3617" s="36" t="str">
        <f>CONCATENATE(Cover!$D$6,"fdd/view?i=",J3617)</f>
        <v>https://www.dgiwg.org/FAD/fdd/view?i=113261</v>
      </c>
      <c r="L3617" s="36" t="s">
        <v>30202</v>
      </c>
      <c r="M3617" s="186"/>
      <c r="N3617" s="186"/>
      <c r="O3617" s="172"/>
    </row>
    <row r="3618" spans="1:15" x14ac:dyDescent="0.2">
      <c r="A3618" s="197" t="str">
        <f t="shared" si="56"/>
        <v>FggCode_chernozems</v>
      </c>
      <c r="B3618" s="409"/>
      <c r="C3618" s="416"/>
      <c r="D3618" s="198" t="s">
        <v>30203</v>
      </c>
      <c r="E3618" s="198">
        <v>9</v>
      </c>
      <c r="F3618" s="199" t="s">
        <v>30204</v>
      </c>
      <c r="G3618" s="1" t="s">
        <v>30205</v>
      </c>
      <c r="H3618" s="1" t="s">
        <v>30206</v>
      </c>
      <c r="I3618" s="346"/>
      <c r="J3618" s="39">
        <v>113262</v>
      </c>
      <c r="K3618" s="36" t="str">
        <f>CONCATENATE(Cover!$D$6,"fdd/view?i=",J3618)</f>
        <v>https://www.dgiwg.org/FAD/fdd/view?i=113262</v>
      </c>
      <c r="L3618" s="36" t="s">
        <v>30207</v>
      </c>
      <c r="M3618" s="186"/>
      <c r="N3618" s="186"/>
      <c r="O3618" s="172"/>
    </row>
    <row r="3619" spans="1:15" x14ac:dyDescent="0.2">
      <c r="A3619" s="197" t="str">
        <f t="shared" si="56"/>
        <v>FggCode_cryosols</v>
      </c>
      <c r="B3619" s="409"/>
      <c r="C3619" s="416"/>
      <c r="D3619" s="198" t="s">
        <v>30208</v>
      </c>
      <c r="E3619" s="198">
        <v>10</v>
      </c>
      <c r="F3619" s="199" t="s">
        <v>30209</v>
      </c>
      <c r="G3619" s="1" t="s">
        <v>30210</v>
      </c>
      <c r="H3619" s="1" t="s">
        <v>30211</v>
      </c>
      <c r="I3619" s="346"/>
      <c r="J3619" s="39">
        <v>113263</v>
      </c>
      <c r="K3619" s="36" t="str">
        <f>CONCATENATE(Cover!$D$6,"fdd/view?i=",J3619)</f>
        <v>https://www.dgiwg.org/FAD/fdd/view?i=113263</v>
      </c>
      <c r="L3619" s="36" t="s">
        <v>30212</v>
      </c>
      <c r="M3619" s="186"/>
      <c r="N3619" s="186"/>
      <c r="O3619" s="172"/>
    </row>
    <row r="3620" spans="1:15" x14ac:dyDescent="0.2">
      <c r="A3620" s="197" t="str">
        <f t="shared" si="56"/>
        <v>FggCode_durisols</v>
      </c>
      <c r="B3620" s="409"/>
      <c r="C3620" s="416"/>
      <c r="D3620" s="198" t="s">
        <v>30213</v>
      </c>
      <c r="E3620" s="198">
        <v>11</v>
      </c>
      <c r="F3620" s="199" t="s">
        <v>30214</v>
      </c>
      <c r="G3620" s="1" t="s">
        <v>30215</v>
      </c>
      <c r="H3620" s="1" t="s">
        <v>30216</v>
      </c>
      <c r="I3620" s="346"/>
      <c r="J3620" s="39">
        <v>113264</v>
      </c>
      <c r="K3620" s="36" t="str">
        <f>CONCATENATE(Cover!$D$6,"fdd/view?i=",J3620)</f>
        <v>https://www.dgiwg.org/FAD/fdd/view?i=113264</v>
      </c>
      <c r="L3620" s="36" t="s">
        <v>30217</v>
      </c>
      <c r="M3620" s="186"/>
      <c r="N3620" s="186"/>
      <c r="O3620" s="172"/>
    </row>
    <row r="3621" spans="1:15" ht="38.25" x14ac:dyDescent="0.2">
      <c r="A3621" s="197" t="str">
        <f t="shared" si="56"/>
        <v>FggCode_ferralsols</v>
      </c>
      <c r="B3621" s="409"/>
      <c r="C3621" s="416"/>
      <c r="D3621" s="198" t="s">
        <v>30218</v>
      </c>
      <c r="E3621" s="198">
        <v>12</v>
      </c>
      <c r="F3621" s="199" t="s">
        <v>30219</v>
      </c>
      <c r="G3621" s="1" t="s">
        <v>30220</v>
      </c>
      <c r="H3621" s="1" t="s">
        <v>30221</v>
      </c>
      <c r="I3621" s="346"/>
      <c r="J3621" s="39">
        <v>113265</v>
      </c>
      <c r="K3621" s="36" t="str">
        <f>CONCATENATE(Cover!$D$6,"fdd/view?i=",J3621)</f>
        <v>https://www.dgiwg.org/FAD/fdd/view?i=113265</v>
      </c>
      <c r="L3621" s="36" t="s">
        <v>30222</v>
      </c>
      <c r="M3621" s="186"/>
      <c r="N3621" s="186"/>
      <c r="O3621" s="172"/>
    </row>
    <row r="3622" spans="1:15" ht="25.5" x14ac:dyDescent="0.2">
      <c r="A3622" s="197" t="str">
        <f t="shared" si="56"/>
        <v>FggCode_fluvisols</v>
      </c>
      <c r="B3622" s="409"/>
      <c r="C3622" s="416"/>
      <c r="D3622" s="198" t="s">
        <v>30223</v>
      </c>
      <c r="E3622" s="198">
        <v>13</v>
      </c>
      <c r="F3622" s="199" t="s">
        <v>30224</v>
      </c>
      <c r="G3622" s="1" t="s">
        <v>30225</v>
      </c>
      <c r="H3622" s="1" t="s">
        <v>30226</v>
      </c>
      <c r="I3622" s="346"/>
      <c r="J3622" s="39">
        <v>113266</v>
      </c>
      <c r="K3622" s="36" t="str">
        <f>CONCATENATE(Cover!$D$6,"fdd/view?i=",J3622)</f>
        <v>https://www.dgiwg.org/FAD/fdd/view?i=113266</v>
      </c>
      <c r="L3622" s="36" t="s">
        <v>30227</v>
      </c>
      <c r="M3622" s="186"/>
      <c r="N3622" s="186"/>
      <c r="O3622" s="172"/>
    </row>
    <row r="3623" spans="1:15" x14ac:dyDescent="0.2">
      <c r="A3623" s="197" t="str">
        <f t="shared" si="56"/>
        <v>FggCode_gleysols</v>
      </c>
      <c r="B3623" s="409"/>
      <c r="C3623" s="416"/>
      <c r="D3623" s="198" t="s">
        <v>30228</v>
      </c>
      <c r="E3623" s="198">
        <v>14</v>
      </c>
      <c r="F3623" s="199" t="s">
        <v>30229</v>
      </c>
      <c r="G3623" s="1" t="s">
        <v>30230</v>
      </c>
      <c r="H3623" s="1" t="s">
        <v>30231</v>
      </c>
      <c r="I3623" s="346"/>
      <c r="J3623" s="39">
        <v>113267</v>
      </c>
      <c r="K3623" s="36" t="str">
        <f>CONCATENATE(Cover!$D$6,"fdd/view?i=",J3623)</f>
        <v>https://www.dgiwg.org/FAD/fdd/view?i=113267</v>
      </c>
      <c r="L3623" s="36" t="s">
        <v>30232</v>
      </c>
      <c r="M3623" s="186"/>
      <c r="N3623" s="186"/>
      <c r="O3623" s="172"/>
    </row>
    <row r="3624" spans="1:15" x14ac:dyDescent="0.2">
      <c r="A3624" s="197" t="str">
        <f t="shared" si="56"/>
        <v>FggCode_gypsisols</v>
      </c>
      <c r="B3624" s="409"/>
      <c r="C3624" s="416"/>
      <c r="D3624" s="198" t="s">
        <v>30233</v>
      </c>
      <c r="E3624" s="198">
        <v>15</v>
      </c>
      <c r="F3624" s="199" t="s">
        <v>30234</v>
      </c>
      <c r="G3624" s="1" t="s">
        <v>30235</v>
      </c>
      <c r="H3624" s="1" t="s">
        <v>30236</v>
      </c>
      <c r="I3624" s="346"/>
      <c r="J3624" s="39">
        <v>113268</v>
      </c>
      <c r="K3624" s="36" t="str">
        <f>CONCATENATE(Cover!$D$6,"fdd/view?i=",J3624)</f>
        <v>https://www.dgiwg.org/FAD/fdd/view?i=113268</v>
      </c>
      <c r="L3624" s="36" t="s">
        <v>30237</v>
      </c>
      <c r="M3624" s="186"/>
      <c r="N3624" s="186"/>
      <c r="O3624" s="172"/>
    </row>
    <row r="3625" spans="1:15" ht="51" x14ac:dyDescent="0.2">
      <c r="A3625" s="197" t="str">
        <f t="shared" si="56"/>
        <v>FggCode_histosols</v>
      </c>
      <c r="B3625" s="409"/>
      <c r="C3625" s="416"/>
      <c r="D3625" s="198" t="s">
        <v>30238</v>
      </c>
      <c r="E3625" s="198">
        <v>16</v>
      </c>
      <c r="F3625" s="199" t="s">
        <v>30239</v>
      </c>
      <c r="G3625" s="1" t="s">
        <v>30240</v>
      </c>
      <c r="H3625" s="1" t="s">
        <v>30241</v>
      </c>
      <c r="I3625" s="346"/>
      <c r="J3625" s="39">
        <v>113269</v>
      </c>
      <c r="K3625" s="36" t="str">
        <f>CONCATENATE(Cover!$D$6,"fdd/view?i=",J3625)</f>
        <v>https://www.dgiwg.org/FAD/fdd/view?i=113269</v>
      </c>
      <c r="L3625" s="36" t="s">
        <v>30242</v>
      </c>
      <c r="M3625" s="186"/>
      <c r="N3625" s="186"/>
      <c r="O3625" s="172"/>
    </row>
    <row r="3626" spans="1:15" ht="25.5" x14ac:dyDescent="0.2">
      <c r="A3626" s="197" t="str">
        <f t="shared" si="56"/>
        <v>FggCode_kastanozems</v>
      </c>
      <c r="B3626" s="409"/>
      <c r="C3626" s="416"/>
      <c r="D3626" s="198" t="s">
        <v>30243</v>
      </c>
      <c r="E3626" s="198">
        <v>17</v>
      </c>
      <c r="F3626" s="199" t="s">
        <v>30244</v>
      </c>
      <c r="G3626" s="1" t="s">
        <v>30245</v>
      </c>
      <c r="H3626" s="1" t="s">
        <v>30246</v>
      </c>
      <c r="I3626" s="346"/>
      <c r="J3626" s="39">
        <v>113270</v>
      </c>
      <c r="K3626" s="36" t="str">
        <f>CONCATENATE(Cover!$D$6,"fdd/view?i=",J3626)</f>
        <v>https://www.dgiwg.org/FAD/fdd/view?i=113270</v>
      </c>
      <c r="L3626" s="36" t="s">
        <v>30247</v>
      </c>
      <c r="M3626" s="186"/>
      <c r="N3626" s="186"/>
      <c r="O3626" s="172"/>
    </row>
    <row r="3627" spans="1:15" ht="38.25" x14ac:dyDescent="0.2">
      <c r="A3627" s="197" t="str">
        <f t="shared" si="56"/>
        <v>FggCode_leptosols</v>
      </c>
      <c r="B3627" s="409"/>
      <c r="C3627" s="416"/>
      <c r="D3627" s="198" t="s">
        <v>30248</v>
      </c>
      <c r="E3627" s="198">
        <v>18</v>
      </c>
      <c r="F3627" s="199" t="s">
        <v>30249</v>
      </c>
      <c r="G3627" s="1" t="s">
        <v>30250</v>
      </c>
      <c r="H3627" s="1" t="s">
        <v>30251</v>
      </c>
      <c r="I3627" s="346"/>
      <c r="J3627" s="39">
        <v>113271</v>
      </c>
      <c r="K3627" s="36" t="str">
        <f>CONCATENATE(Cover!$D$6,"fdd/view?i=",J3627)</f>
        <v>https://www.dgiwg.org/FAD/fdd/view?i=113271</v>
      </c>
      <c r="L3627" s="36" t="s">
        <v>30252</v>
      </c>
      <c r="M3627" s="186"/>
      <c r="N3627" s="186"/>
      <c r="O3627" s="172"/>
    </row>
    <row r="3628" spans="1:15" ht="25.5" x14ac:dyDescent="0.2">
      <c r="A3628" s="197" t="str">
        <f t="shared" si="56"/>
        <v>FggCode_lixisols</v>
      </c>
      <c r="B3628" s="409"/>
      <c r="C3628" s="416"/>
      <c r="D3628" s="198" t="s">
        <v>30253</v>
      </c>
      <c r="E3628" s="198">
        <v>19</v>
      </c>
      <c r="F3628" s="199" t="s">
        <v>30254</v>
      </c>
      <c r="G3628" s="1" t="s">
        <v>30255</v>
      </c>
      <c r="H3628" s="1" t="s">
        <v>30256</v>
      </c>
      <c r="I3628" s="346"/>
      <c r="J3628" s="39">
        <v>113272</v>
      </c>
      <c r="K3628" s="36" t="str">
        <f>CONCATENATE(Cover!$D$6,"fdd/view?i=",J3628)</f>
        <v>https://www.dgiwg.org/FAD/fdd/view?i=113272</v>
      </c>
      <c r="L3628" s="36" t="s">
        <v>30257</v>
      </c>
      <c r="M3628" s="186"/>
      <c r="N3628" s="186"/>
      <c r="O3628" s="172"/>
    </row>
    <row r="3629" spans="1:15" ht="25.5" x14ac:dyDescent="0.2">
      <c r="A3629" s="197" t="str">
        <f t="shared" si="56"/>
        <v>FggCode_luvisols</v>
      </c>
      <c r="B3629" s="409"/>
      <c r="C3629" s="416"/>
      <c r="D3629" s="198" t="s">
        <v>30258</v>
      </c>
      <c r="E3629" s="198">
        <v>20</v>
      </c>
      <c r="F3629" s="199" t="s">
        <v>30259</v>
      </c>
      <c r="G3629" s="1" t="s">
        <v>30260</v>
      </c>
      <c r="H3629" s="1" t="s">
        <v>30261</v>
      </c>
      <c r="I3629" s="346"/>
      <c r="J3629" s="39">
        <v>113273</v>
      </c>
      <c r="K3629" s="36" t="str">
        <f>CONCATENATE(Cover!$D$6,"fdd/view?i=",J3629)</f>
        <v>https://www.dgiwg.org/FAD/fdd/view?i=113273</v>
      </c>
      <c r="L3629" s="36" t="s">
        <v>30262</v>
      </c>
      <c r="M3629" s="186"/>
      <c r="N3629" s="186"/>
      <c r="O3629" s="172"/>
    </row>
    <row r="3630" spans="1:15" ht="51" x14ac:dyDescent="0.2">
      <c r="A3630" s="197" t="str">
        <f t="shared" si="56"/>
        <v>FggCode_nitisols</v>
      </c>
      <c r="B3630" s="409"/>
      <c r="C3630" s="416"/>
      <c r="D3630" s="198" t="s">
        <v>30263</v>
      </c>
      <c r="E3630" s="198">
        <v>21</v>
      </c>
      <c r="F3630" s="199" t="s">
        <v>30264</v>
      </c>
      <c r="G3630" s="1" t="s">
        <v>30265</v>
      </c>
      <c r="H3630" s="1" t="s">
        <v>30266</v>
      </c>
      <c r="I3630" s="346"/>
      <c r="J3630" s="39">
        <v>113274</v>
      </c>
      <c r="K3630" s="36" t="str">
        <f>CONCATENATE(Cover!$D$6,"fdd/view?i=",J3630)</f>
        <v>https://www.dgiwg.org/FAD/fdd/view?i=113274</v>
      </c>
      <c r="L3630" s="36" t="s">
        <v>30267</v>
      </c>
      <c r="M3630" s="186"/>
      <c r="N3630" s="186"/>
      <c r="O3630" s="172"/>
    </row>
    <row r="3631" spans="1:15" ht="25.5" x14ac:dyDescent="0.2">
      <c r="A3631" s="197" t="str">
        <f t="shared" si="56"/>
        <v>FggCode_phaeozems</v>
      </c>
      <c r="B3631" s="409"/>
      <c r="C3631" s="416"/>
      <c r="D3631" s="198" t="s">
        <v>30268</v>
      </c>
      <c r="E3631" s="198">
        <v>22</v>
      </c>
      <c r="F3631" s="199" t="s">
        <v>30269</v>
      </c>
      <c r="G3631" s="1" t="s">
        <v>30270</v>
      </c>
      <c r="H3631" s="1" t="s">
        <v>30271</v>
      </c>
      <c r="I3631" s="346"/>
      <c r="J3631" s="39">
        <v>113275</v>
      </c>
      <c r="K3631" s="36" t="str">
        <f>CONCATENATE(Cover!$D$6,"fdd/view?i=",J3631)</f>
        <v>https://www.dgiwg.org/FAD/fdd/view?i=113275</v>
      </c>
      <c r="L3631" s="36" t="s">
        <v>30272</v>
      </c>
      <c r="M3631" s="186"/>
      <c r="N3631" s="186"/>
      <c r="O3631" s="172"/>
    </row>
    <row r="3632" spans="1:15" ht="25.5" x14ac:dyDescent="0.2">
      <c r="A3632" s="197" t="str">
        <f t="shared" si="56"/>
        <v>FggCode_planosols</v>
      </c>
      <c r="B3632" s="409"/>
      <c r="C3632" s="416"/>
      <c r="D3632" s="198" t="s">
        <v>30273</v>
      </c>
      <c r="E3632" s="198">
        <v>23</v>
      </c>
      <c r="F3632" s="199" t="s">
        <v>30274</v>
      </c>
      <c r="G3632" s="1" t="s">
        <v>30275</v>
      </c>
      <c r="H3632" s="1" t="s">
        <v>30276</v>
      </c>
      <c r="I3632" s="346"/>
      <c r="J3632" s="39">
        <v>113276</v>
      </c>
      <c r="K3632" s="36" t="str">
        <f>CONCATENATE(Cover!$D$6,"fdd/view?i=",J3632)</f>
        <v>https://www.dgiwg.org/FAD/fdd/view?i=113276</v>
      </c>
      <c r="L3632" s="36" t="s">
        <v>30277</v>
      </c>
      <c r="M3632" s="186"/>
      <c r="N3632" s="186"/>
      <c r="O3632" s="172"/>
    </row>
    <row r="3633" spans="1:15" ht="38.25" x14ac:dyDescent="0.2">
      <c r="A3633" s="197" t="str">
        <f t="shared" si="56"/>
        <v>FggCode_plinthosols</v>
      </c>
      <c r="B3633" s="409"/>
      <c r="C3633" s="416"/>
      <c r="D3633" s="198" t="s">
        <v>30278</v>
      </c>
      <c r="E3633" s="198">
        <v>24</v>
      </c>
      <c r="F3633" s="199" t="s">
        <v>30279</v>
      </c>
      <c r="G3633" s="1" t="s">
        <v>30280</v>
      </c>
      <c r="H3633" s="1" t="s">
        <v>30281</v>
      </c>
      <c r="I3633" s="346"/>
      <c r="J3633" s="39">
        <v>113277</v>
      </c>
      <c r="K3633" s="36" t="str">
        <f>CONCATENATE(Cover!$D$6,"fdd/view?i=",J3633)</f>
        <v>https://www.dgiwg.org/FAD/fdd/view?i=113277</v>
      </c>
      <c r="L3633" s="36" t="s">
        <v>30282</v>
      </c>
      <c r="M3633" s="186"/>
      <c r="N3633" s="186"/>
      <c r="O3633" s="172"/>
    </row>
    <row r="3634" spans="1:15" ht="38.25" x14ac:dyDescent="0.2">
      <c r="A3634" s="197" t="str">
        <f t="shared" si="56"/>
        <v>FggCode_podzols</v>
      </c>
      <c r="B3634" s="409"/>
      <c r="C3634" s="416"/>
      <c r="D3634" s="198" t="s">
        <v>30283</v>
      </c>
      <c r="E3634" s="198">
        <v>25</v>
      </c>
      <c r="F3634" s="199" t="s">
        <v>30284</v>
      </c>
      <c r="G3634" s="1" t="s">
        <v>30285</v>
      </c>
      <c r="H3634" s="1" t="s">
        <v>30286</v>
      </c>
      <c r="I3634" s="346"/>
      <c r="J3634" s="39">
        <v>113278</v>
      </c>
      <c r="K3634" s="36" t="str">
        <f>CONCATENATE(Cover!$D$6,"fdd/view?i=",J3634)</f>
        <v>https://www.dgiwg.org/FAD/fdd/view?i=113278</v>
      </c>
      <c r="L3634" s="36" t="s">
        <v>30287</v>
      </c>
      <c r="M3634" s="186"/>
      <c r="N3634" s="186"/>
      <c r="O3634" s="172"/>
    </row>
    <row r="3635" spans="1:15" x14ac:dyDescent="0.2">
      <c r="A3635" s="197" t="str">
        <f t="shared" si="56"/>
        <v>FggCode_regosols</v>
      </c>
      <c r="B3635" s="409"/>
      <c r="C3635" s="416"/>
      <c r="D3635" s="198" t="s">
        <v>30288</v>
      </c>
      <c r="E3635" s="198">
        <v>26</v>
      </c>
      <c r="F3635" s="199" t="s">
        <v>30289</v>
      </c>
      <c r="G3635" s="1" t="s">
        <v>30290</v>
      </c>
      <c r="H3635" s="1" t="s">
        <v>30291</v>
      </c>
      <c r="I3635" s="346"/>
      <c r="J3635" s="39">
        <v>113279</v>
      </c>
      <c r="K3635" s="36" t="str">
        <f>CONCATENATE(Cover!$D$6,"fdd/view?i=",J3635)</f>
        <v>https://www.dgiwg.org/FAD/fdd/view?i=113279</v>
      </c>
      <c r="L3635" s="36" t="s">
        <v>30292</v>
      </c>
      <c r="M3635" s="186"/>
      <c r="N3635" s="186"/>
      <c r="O3635" s="172"/>
    </row>
    <row r="3636" spans="1:15" x14ac:dyDescent="0.2">
      <c r="A3636" s="197" t="str">
        <f t="shared" si="56"/>
        <v>FggCode_solonchaks</v>
      </c>
      <c r="B3636" s="409"/>
      <c r="C3636" s="416"/>
      <c r="D3636" s="198" t="s">
        <v>30293</v>
      </c>
      <c r="E3636" s="198">
        <v>27</v>
      </c>
      <c r="F3636" s="199" t="s">
        <v>30294</v>
      </c>
      <c r="G3636" s="1" t="s">
        <v>30295</v>
      </c>
      <c r="H3636" s="1" t="s">
        <v>30296</v>
      </c>
      <c r="I3636" s="346"/>
      <c r="J3636" s="39">
        <v>113280</v>
      </c>
      <c r="K3636" s="36" t="str">
        <f>CONCATENATE(Cover!$D$6,"fdd/view?i=",J3636)</f>
        <v>https://www.dgiwg.org/FAD/fdd/view?i=113280</v>
      </c>
      <c r="L3636" s="36" t="s">
        <v>30297</v>
      </c>
      <c r="M3636" s="186"/>
      <c r="N3636" s="186"/>
      <c r="O3636" s="172"/>
    </row>
    <row r="3637" spans="1:15" ht="25.5" x14ac:dyDescent="0.2">
      <c r="A3637" s="197" t="str">
        <f t="shared" si="56"/>
        <v>FggCode_solonetz</v>
      </c>
      <c r="B3637" s="409"/>
      <c r="C3637" s="416"/>
      <c r="D3637" s="198" t="s">
        <v>30298</v>
      </c>
      <c r="E3637" s="198">
        <v>28</v>
      </c>
      <c r="F3637" s="199" t="s">
        <v>30299</v>
      </c>
      <c r="G3637" s="1" t="s">
        <v>30300</v>
      </c>
      <c r="H3637" s="1" t="s">
        <v>30301</v>
      </c>
      <c r="I3637" s="346"/>
      <c r="J3637" s="39">
        <v>113281</v>
      </c>
      <c r="K3637" s="36" t="str">
        <f>CONCATENATE(Cover!$D$6,"fdd/view?i=",J3637)</f>
        <v>https://www.dgiwg.org/FAD/fdd/view?i=113281</v>
      </c>
      <c r="L3637" s="36" t="s">
        <v>30302</v>
      </c>
      <c r="M3637" s="186"/>
      <c r="N3637" s="186"/>
      <c r="O3637" s="172"/>
    </row>
    <row r="3638" spans="1:15" ht="38.25" x14ac:dyDescent="0.2">
      <c r="A3638" s="197" t="str">
        <f t="shared" si="56"/>
        <v>FggCode_stagnosols</v>
      </c>
      <c r="B3638" s="409"/>
      <c r="C3638" s="416"/>
      <c r="D3638" s="198" t="s">
        <v>30303</v>
      </c>
      <c r="E3638" s="198">
        <v>31</v>
      </c>
      <c r="F3638" s="199" t="s">
        <v>30304</v>
      </c>
      <c r="G3638" s="1" t="s">
        <v>30305</v>
      </c>
      <c r="H3638" s="1" t="s">
        <v>30306</v>
      </c>
      <c r="I3638" s="346"/>
      <c r="J3638" s="39">
        <v>113284</v>
      </c>
      <c r="K3638" s="36" t="str">
        <f>CONCATENATE(Cover!$D$6,"fdd/view?i=",J3638)</f>
        <v>https://www.dgiwg.org/FAD/fdd/view?i=113284</v>
      </c>
      <c r="L3638" s="36" t="s">
        <v>30307</v>
      </c>
      <c r="M3638" s="186"/>
      <c r="N3638" s="186"/>
      <c r="O3638" s="172"/>
    </row>
    <row r="3639" spans="1:15" x14ac:dyDescent="0.2">
      <c r="A3639" s="197" t="str">
        <f t="shared" si="56"/>
        <v>FggCode_technosols</v>
      </c>
      <c r="B3639" s="409"/>
      <c r="C3639" s="416"/>
      <c r="D3639" s="198" t="s">
        <v>30308</v>
      </c>
      <c r="E3639" s="198">
        <v>32</v>
      </c>
      <c r="F3639" s="199" t="s">
        <v>30309</v>
      </c>
      <c r="G3639" s="1" t="s">
        <v>30310</v>
      </c>
      <c r="H3639" s="1" t="s">
        <v>30311</v>
      </c>
      <c r="I3639" s="346"/>
      <c r="J3639" s="39">
        <v>113285</v>
      </c>
      <c r="K3639" s="36" t="str">
        <f>CONCATENATE(Cover!$D$6,"fdd/view?i=",J3639)</f>
        <v>https://www.dgiwg.org/FAD/fdd/view?i=113285</v>
      </c>
      <c r="L3639" s="36" t="s">
        <v>30312</v>
      </c>
      <c r="M3639" s="186"/>
      <c r="N3639" s="186"/>
      <c r="O3639" s="172"/>
    </row>
    <row r="3640" spans="1:15" ht="51" x14ac:dyDescent="0.2">
      <c r="A3640" s="197" t="str">
        <f t="shared" si="56"/>
        <v>FggCode_umbisols</v>
      </c>
      <c r="B3640" s="409"/>
      <c r="C3640" s="416"/>
      <c r="D3640" s="198" t="s">
        <v>30313</v>
      </c>
      <c r="E3640" s="198">
        <v>29</v>
      </c>
      <c r="F3640" s="199" t="s">
        <v>30314</v>
      </c>
      <c r="G3640" s="1" t="s">
        <v>30315</v>
      </c>
      <c r="H3640" s="1" t="s">
        <v>30316</v>
      </c>
      <c r="I3640" s="346"/>
      <c r="J3640" s="39">
        <v>113282</v>
      </c>
      <c r="K3640" s="36" t="str">
        <f>CONCATENATE(Cover!$D$6,"fdd/view?i=",J3640)</f>
        <v>https://www.dgiwg.org/FAD/fdd/view?i=113282</v>
      </c>
      <c r="L3640" s="36" t="s">
        <v>30317</v>
      </c>
      <c r="M3640" s="186"/>
      <c r="N3640" s="186"/>
      <c r="O3640" s="172"/>
    </row>
    <row r="3641" spans="1:15" ht="38.25" x14ac:dyDescent="0.2">
      <c r="A3641" s="203" t="str">
        <f t="shared" si="56"/>
        <v>FggCode_vertisols</v>
      </c>
      <c r="B3641" s="410"/>
      <c r="C3641" s="417"/>
      <c r="D3641" s="204" t="s">
        <v>30318</v>
      </c>
      <c r="E3641" s="204">
        <v>30</v>
      </c>
      <c r="F3641" s="205" t="s">
        <v>30319</v>
      </c>
      <c r="G3641" s="206" t="s">
        <v>30320</v>
      </c>
      <c r="H3641" s="206" t="s">
        <v>30321</v>
      </c>
      <c r="I3641" s="347"/>
      <c r="J3641" s="39">
        <v>113283</v>
      </c>
      <c r="K3641" s="36" t="str">
        <f>CONCATENATE(Cover!$D$6,"fdd/view?i=",J3641)</f>
        <v>https://www.dgiwg.org/FAD/fdd/view?i=113283</v>
      </c>
      <c r="L3641" s="36" t="s">
        <v>30322</v>
      </c>
      <c r="M3641" s="186"/>
      <c r="N3641" s="186"/>
      <c r="O3641" s="172"/>
    </row>
    <row r="3642" spans="1:15" ht="38.25" x14ac:dyDescent="0.2">
      <c r="A3642" s="190" t="str">
        <f t="shared" si="56"/>
        <v>FmmCode_fallow</v>
      </c>
      <c r="B3642" s="414" t="str">
        <f>HYPERLINK("[#]Datatypes!A550:L550","FmmCode")</f>
        <v>FmmCode</v>
      </c>
      <c r="C3642" s="415" t="s">
        <v>15121</v>
      </c>
      <c r="D3642" s="221" t="s">
        <v>30323</v>
      </c>
      <c r="E3642" s="221">
        <v>1</v>
      </c>
      <c r="F3642" s="222" t="s">
        <v>30324</v>
      </c>
      <c r="G3642" s="223" t="s">
        <v>30325</v>
      </c>
      <c r="H3642" s="223" t="s">
        <v>30326</v>
      </c>
      <c r="I3642" s="352" t="s">
        <v>30327</v>
      </c>
      <c r="J3642" s="39">
        <v>103703</v>
      </c>
      <c r="K3642" s="36" t="str">
        <f>CONCATENATE(Cover!$D$6,"fdd/view?i=",J3642)</f>
        <v>https://www.dgiwg.org/FAD/fdd/view?i=103703</v>
      </c>
      <c r="L3642" s="36" t="s">
        <v>30328</v>
      </c>
      <c r="M3642" s="186"/>
      <c r="N3642" s="186"/>
      <c r="O3642" s="172"/>
    </row>
    <row r="3643" spans="1:15" ht="25.5" x14ac:dyDescent="0.2">
      <c r="A3643" s="197" t="str">
        <f t="shared" si="56"/>
        <v>FmmCode_grazing</v>
      </c>
      <c r="B3643" s="409"/>
      <c r="C3643" s="416"/>
      <c r="D3643" s="198" t="s">
        <v>30329</v>
      </c>
      <c r="E3643" s="198">
        <v>2</v>
      </c>
      <c r="F3643" s="199" t="s">
        <v>30330</v>
      </c>
      <c r="G3643" s="1" t="s">
        <v>30331</v>
      </c>
      <c r="H3643" s="200"/>
      <c r="I3643" s="346"/>
      <c r="J3643" s="39">
        <v>103704</v>
      </c>
      <c r="K3643" s="36" t="str">
        <f>CONCATENATE(Cover!$D$6,"fdd/view?i=",J3643)</f>
        <v>https://www.dgiwg.org/FAD/fdd/view?i=103704</v>
      </c>
      <c r="L3643" s="36" t="s">
        <v>30332</v>
      </c>
      <c r="M3643" s="186"/>
      <c r="N3643" s="186"/>
      <c r="O3643" s="172"/>
    </row>
    <row r="3644" spans="1:15" ht="25.5" x14ac:dyDescent="0.2">
      <c r="A3644" s="197" t="str">
        <f t="shared" si="56"/>
        <v>FmmCode_permanent</v>
      </c>
      <c r="B3644" s="409"/>
      <c r="C3644" s="416"/>
      <c r="D3644" s="198" t="s">
        <v>11451</v>
      </c>
      <c r="E3644" s="198">
        <v>3</v>
      </c>
      <c r="F3644" s="199" t="s">
        <v>11453</v>
      </c>
      <c r="G3644" s="1" t="s">
        <v>30333</v>
      </c>
      <c r="H3644" s="1" t="s">
        <v>30334</v>
      </c>
      <c r="I3644" s="346"/>
      <c r="J3644" s="39">
        <v>103705</v>
      </c>
      <c r="K3644" s="36" t="str">
        <f>CONCATENATE(Cover!$D$6,"fdd/view?i=",J3644)</f>
        <v>https://www.dgiwg.org/FAD/fdd/view?i=103705</v>
      </c>
      <c r="L3644" s="36" t="s">
        <v>30335</v>
      </c>
      <c r="M3644" s="186"/>
      <c r="N3644" s="186"/>
      <c r="O3644" s="172"/>
    </row>
    <row r="3645" spans="1:15" ht="140.25" x14ac:dyDescent="0.2">
      <c r="A3645" s="203" t="str">
        <f t="shared" si="56"/>
        <v>FmmCode_slashAndBurn</v>
      </c>
      <c r="B3645" s="410"/>
      <c r="C3645" s="417"/>
      <c r="D3645" s="204" t="s">
        <v>30336</v>
      </c>
      <c r="E3645" s="204">
        <v>4</v>
      </c>
      <c r="F3645" s="205" t="s">
        <v>30337</v>
      </c>
      <c r="G3645" s="206" t="s">
        <v>30338</v>
      </c>
      <c r="H3645" s="206" t="s">
        <v>30339</v>
      </c>
      <c r="I3645" s="347"/>
      <c r="J3645" s="39">
        <v>103706</v>
      </c>
      <c r="K3645" s="36" t="str">
        <f>CONCATENATE(Cover!$D$6,"fdd/view?i=",J3645)</f>
        <v>https://www.dgiwg.org/FAD/fdd/view?i=103706</v>
      </c>
      <c r="L3645" s="36" t="s">
        <v>30340</v>
      </c>
      <c r="M3645" s="186"/>
      <c r="N3645" s="186"/>
      <c r="O3645" s="172"/>
    </row>
    <row r="3646" spans="1:15" ht="25.5" x14ac:dyDescent="0.2">
      <c r="A3646" s="190" t="str">
        <f t="shared" si="56"/>
        <v>FfpCode_intermingledTrees</v>
      </c>
      <c r="B3646" s="414" t="str">
        <f>HYPERLINK("[#]Datatypes!A552:L552","FfpCode")</f>
        <v>FfpCode</v>
      </c>
      <c r="C3646" s="415" t="s">
        <v>15123</v>
      </c>
      <c r="D3646" s="221" t="s">
        <v>30341</v>
      </c>
      <c r="E3646" s="221">
        <v>5</v>
      </c>
      <c r="F3646" s="222" t="s">
        <v>30342</v>
      </c>
      <c r="G3646" s="223" t="s">
        <v>30343</v>
      </c>
      <c r="H3646" s="224"/>
      <c r="I3646" s="345"/>
      <c r="J3646" s="39">
        <v>110172</v>
      </c>
      <c r="K3646" s="36" t="str">
        <f>CONCATENATE(Cover!$D$6,"fdd/view?i=",J3646)</f>
        <v>https://www.dgiwg.org/FAD/fdd/view?i=110172</v>
      </c>
      <c r="L3646" s="36" t="s">
        <v>30344</v>
      </c>
      <c r="M3646" s="186"/>
      <c r="N3646" s="186"/>
      <c r="O3646" s="172"/>
    </row>
    <row r="3647" spans="1:15" ht="25.5" x14ac:dyDescent="0.2">
      <c r="A3647" s="197" t="str">
        <f t="shared" si="56"/>
        <v>FfpCode_intermingledWoods</v>
      </c>
      <c r="B3647" s="409"/>
      <c r="C3647" s="416"/>
      <c r="D3647" s="198" t="s">
        <v>30345</v>
      </c>
      <c r="E3647" s="198">
        <v>4</v>
      </c>
      <c r="F3647" s="199" t="s">
        <v>30346</v>
      </c>
      <c r="G3647" s="1" t="s">
        <v>30347</v>
      </c>
      <c r="H3647" s="200"/>
      <c r="I3647" s="346"/>
      <c r="J3647" s="39">
        <v>110171</v>
      </c>
      <c r="K3647" s="36" t="str">
        <f>CONCATENATE(Cover!$D$6,"fdd/view?i=",J3647)</f>
        <v>https://www.dgiwg.org/FAD/fdd/view?i=110171</v>
      </c>
      <c r="L3647" s="36" t="s">
        <v>30348</v>
      </c>
      <c r="M3647" s="186"/>
      <c r="N3647" s="186"/>
      <c r="O3647" s="172"/>
    </row>
    <row r="3648" spans="1:15" x14ac:dyDescent="0.2">
      <c r="A3648" s="197" t="str">
        <f t="shared" si="56"/>
        <v>FfpCode_irregular</v>
      </c>
      <c r="B3648" s="409"/>
      <c r="C3648" s="416"/>
      <c r="D3648" s="198" t="s">
        <v>20235</v>
      </c>
      <c r="E3648" s="198">
        <v>8</v>
      </c>
      <c r="F3648" s="199" t="s">
        <v>20236</v>
      </c>
      <c r="G3648" s="1" t="s">
        <v>30349</v>
      </c>
      <c r="H3648" s="200"/>
      <c r="I3648" s="346"/>
      <c r="J3648" s="39">
        <v>110175</v>
      </c>
      <c r="K3648" s="36" t="str">
        <f>CONCATENATE(Cover!$D$6,"fdd/view?i=",J3648)</f>
        <v>https://www.dgiwg.org/FAD/fdd/view?i=110175</v>
      </c>
      <c r="L3648" s="36" t="s">
        <v>30350</v>
      </c>
      <c r="M3648" s="186"/>
      <c r="N3648" s="186"/>
      <c r="O3648" s="172"/>
    </row>
    <row r="3649" spans="1:15" ht="25.5" x14ac:dyDescent="0.2">
      <c r="A3649" s="197" t="str">
        <f t="shared" si="56"/>
        <v>FfpCode_linear</v>
      </c>
      <c r="B3649" s="409"/>
      <c r="C3649" s="416"/>
      <c r="D3649" s="198" t="s">
        <v>30351</v>
      </c>
      <c r="E3649" s="198">
        <v>1</v>
      </c>
      <c r="F3649" s="199" t="s">
        <v>30352</v>
      </c>
      <c r="G3649" s="1" t="s">
        <v>30353</v>
      </c>
      <c r="H3649" s="1" t="s">
        <v>30354</v>
      </c>
      <c r="I3649" s="346"/>
      <c r="J3649" s="39">
        <v>103668</v>
      </c>
      <c r="K3649" s="36" t="str">
        <f>CONCATENATE(Cover!$D$6,"fdd/view?i=",J3649)</f>
        <v>https://www.dgiwg.org/FAD/fdd/view?i=103668</v>
      </c>
      <c r="L3649" s="36" t="s">
        <v>30355</v>
      </c>
      <c r="M3649" s="186"/>
      <c r="N3649" s="186"/>
      <c r="O3649" s="172"/>
    </row>
    <row r="3650" spans="1:15" ht="25.5" x14ac:dyDescent="0.2">
      <c r="A3650" s="197" t="str">
        <f t="shared" ref="A3650:A3713" si="57">HYPERLINK(K3650,L3650)</f>
        <v>FfpCode_regular</v>
      </c>
      <c r="B3650" s="409"/>
      <c r="C3650" s="416"/>
      <c r="D3650" s="198" t="s">
        <v>30356</v>
      </c>
      <c r="E3650" s="198">
        <v>2</v>
      </c>
      <c r="F3650" s="199" t="s">
        <v>30357</v>
      </c>
      <c r="G3650" s="1" t="s">
        <v>30358</v>
      </c>
      <c r="H3650" s="1" t="s">
        <v>30359</v>
      </c>
      <c r="I3650" s="346"/>
      <c r="J3650" s="39">
        <v>103669</v>
      </c>
      <c r="K3650" s="36" t="str">
        <f>CONCATENATE(Cover!$D$6,"fdd/view?i=",J3650)</f>
        <v>https://www.dgiwg.org/FAD/fdd/view?i=103669</v>
      </c>
      <c r="L3650" s="36" t="s">
        <v>30360</v>
      </c>
      <c r="M3650" s="186"/>
      <c r="N3650" s="186"/>
      <c r="O3650" s="172"/>
    </row>
    <row r="3651" spans="1:15" ht="38.25" x14ac:dyDescent="0.2">
      <c r="A3651" s="197" t="str">
        <f t="shared" si="57"/>
        <v>FfpCode_terraced</v>
      </c>
      <c r="B3651" s="409"/>
      <c r="C3651" s="416"/>
      <c r="D3651" s="198" t="s">
        <v>30361</v>
      </c>
      <c r="E3651" s="198">
        <v>3</v>
      </c>
      <c r="F3651" s="199" t="s">
        <v>30362</v>
      </c>
      <c r="G3651" s="1" t="s">
        <v>30363</v>
      </c>
      <c r="H3651" s="1" t="s">
        <v>30364</v>
      </c>
      <c r="I3651" s="346"/>
      <c r="J3651" s="39">
        <v>103670</v>
      </c>
      <c r="K3651" s="36" t="str">
        <f>CONCATENATE(Cover!$D$6,"fdd/view?i=",J3651)</f>
        <v>https://www.dgiwg.org/FAD/fdd/view?i=103670</v>
      </c>
      <c r="L3651" s="36" t="s">
        <v>30365</v>
      </c>
      <c r="M3651" s="186"/>
      <c r="N3651" s="186"/>
      <c r="O3651" s="172"/>
    </row>
    <row r="3652" spans="1:15" x14ac:dyDescent="0.2">
      <c r="A3652" s="197" t="str">
        <f t="shared" si="57"/>
        <v>FfpCode_treeless</v>
      </c>
      <c r="B3652" s="409"/>
      <c r="C3652" s="416"/>
      <c r="D3652" s="198" t="s">
        <v>30366</v>
      </c>
      <c r="E3652" s="198">
        <v>6</v>
      </c>
      <c r="F3652" s="199" t="s">
        <v>30367</v>
      </c>
      <c r="G3652" s="1" t="s">
        <v>30368</v>
      </c>
      <c r="H3652" s="200"/>
      <c r="I3652" s="346"/>
      <c r="J3652" s="39">
        <v>110173</v>
      </c>
      <c r="K3652" s="36" t="str">
        <f>CONCATENATE(Cover!$D$6,"fdd/view?i=",J3652)</f>
        <v>https://www.dgiwg.org/FAD/fdd/view?i=110173</v>
      </c>
      <c r="L3652" s="36" t="s">
        <v>30369</v>
      </c>
      <c r="M3652" s="186"/>
      <c r="N3652" s="186"/>
      <c r="O3652" s="172"/>
    </row>
    <row r="3653" spans="1:15" ht="38.25" x14ac:dyDescent="0.2">
      <c r="A3653" s="203" t="str">
        <f t="shared" si="57"/>
        <v>FfpCode_trellised</v>
      </c>
      <c r="B3653" s="410"/>
      <c r="C3653" s="417"/>
      <c r="D3653" s="204" t="s">
        <v>30370</v>
      </c>
      <c r="E3653" s="204">
        <v>7</v>
      </c>
      <c r="F3653" s="205" t="s">
        <v>30371</v>
      </c>
      <c r="G3653" s="206" t="s">
        <v>30372</v>
      </c>
      <c r="H3653" s="207"/>
      <c r="I3653" s="347"/>
      <c r="J3653" s="39">
        <v>110174</v>
      </c>
      <c r="K3653" s="36" t="str">
        <f>CONCATENATE(Cover!$D$6,"fdd/view?i=",J3653)</f>
        <v>https://www.dgiwg.org/FAD/fdd/view?i=110174</v>
      </c>
      <c r="L3653" s="36" t="s">
        <v>30373</v>
      </c>
      <c r="M3653" s="186"/>
      <c r="N3653" s="186"/>
      <c r="O3653" s="172"/>
    </row>
    <row r="3654" spans="1:15" x14ac:dyDescent="0.2">
      <c r="A3654" s="190" t="str">
        <f t="shared" si="57"/>
        <v>FcoCode_dispersed</v>
      </c>
      <c r="B3654" s="414" t="str">
        <f>HYPERLINK("[#]Datatypes!A554:L554","FcoCode")</f>
        <v>FcoCode</v>
      </c>
      <c r="C3654" s="415" t="s">
        <v>15125</v>
      </c>
      <c r="D3654" s="221" t="s">
        <v>30374</v>
      </c>
      <c r="E3654" s="221">
        <v>1</v>
      </c>
      <c r="F3654" s="222" t="s">
        <v>30375</v>
      </c>
      <c r="G3654" s="223" t="s">
        <v>30376</v>
      </c>
      <c r="H3654" s="224"/>
      <c r="I3654" s="345"/>
      <c r="J3654" s="39">
        <v>103587</v>
      </c>
      <c r="K3654" s="36" t="str">
        <f>CONCATENATE(Cover!$D$6,"fdd/view?i=",J3654)</f>
        <v>https://www.dgiwg.org/FAD/fdd/view?i=103587</v>
      </c>
      <c r="L3654" s="36" t="s">
        <v>30377</v>
      </c>
      <c r="M3654" s="186"/>
      <c r="N3654" s="186"/>
      <c r="O3654" s="172"/>
    </row>
    <row r="3655" spans="1:15" ht="25.5" x14ac:dyDescent="0.2">
      <c r="A3655" s="197" t="str">
        <f t="shared" si="57"/>
        <v>FcoCode_dividedDifferent</v>
      </c>
      <c r="B3655" s="409"/>
      <c r="C3655" s="416"/>
      <c r="D3655" s="198" t="s">
        <v>30378</v>
      </c>
      <c r="E3655" s="198">
        <v>6</v>
      </c>
      <c r="F3655" s="199" t="s">
        <v>30379</v>
      </c>
      <c r="G3655" s="1" t="s">
        <v>30380</v>
      </c>
      <c r="H3655" s="200"/>
      <c r="I3655" s="346"/>
      <c r="J3655" s="39">
        <v>103592</v>
      </c>
      <c r="K3655" s="36" t="str">
        <f>CONCATENATE(Cover!$D$6,"fdd/view?i=",J3655)</f>
        <v>https://www.dgiwg.org/FAD/fdd/view?i=103592</v>
      </c>
      <c r="L3655" s="36" t="s">
        <v>30381</v>
      </c>
      <c r="M3655" s="186"/>
      <c r="N3655" s="186"/>
      <c r="O3655" s="172"/>
    </row>
    <row r="3656" spans="1:15" x14ac:dyDescent="0.2">
      <c r="A3656" s="197" t="str">
        <f t="shared" si="57"/>
        <v>FcoCode_dividedSame</v>
      </c>
      <c r="B3656" s="409"/>
      <c r="C3656" s="416"/>
      <c r="D3656" s="198" t="s">
        <v>30382</v>
      </c>
      <c r="E3656" s="198">
        <v>5</v>
      </c>
      <c r="F3656" s="199" t="s">
        <v>30383</v>
      </c>
      <c r="G3656" s="1" t="s">
        <v>30384</v>
      </c>
      <c r="H3656" s="1" t="s">
        <v>30385</v>
      </c>
      <c r="I3656" s="346"/>
      <c r="J3656" s="39">
        <v>103591</v>
      </c>
      <c r="K3656" s="36" t="str">
        <f>CONCATENATE(Cover!$D$6,"fdd/view?i=",J3656)</f>
        <v>https://www.dgiwg.org/FAD/fdd/view?i=103591</v>
      </c>
      <c r="L3656" s="36" t="s">
        <v>30386</v>
      </c>
      <c r="M3656" s="186"/>
      <c r="N3656" s="186"/>
      <c r="O3656" s="172"/>
    </row>
    <row r="3657" spans="1:15" x14ac:dyDescent="0.2">
      <c r="A3657" s="203" t="str">
        <f t="shared" si="57"/>
        <v>FcoCode_nonDivided</v>
      </c>
      <c r="B3657" s="410"/>
      <c r="C3657" s="417"/>
      <c r="D3657" s="204" t="s">
        <v>30387</v>
      </c>
      <c r="E3657" s="204">
        <v>7</v>
      </c>
      <c r="F3657" s="205" t="s">
        <v>30388</v>
      </c>
      <c r="G3657" s="206" t="s">
        <v>30389</v>
      </c>
      <c r="H3657" s="207"/>
      <c r="I3657" s="347"/>
      <c r="J3657" s="39">
        <v>103593</v>
      </c>
      <c r="K3657" s="36" t="str">
        <f>CONCATENATE(Cover!$D$6,"fdd/view?i=",J3657)</f>
        <v>https://www.dgiwg.org/FAD/fdd/view?i=103593</v>
      </c>
      <c r="L3657" s="36" t="s">
        <v>30390</v>
      </c>
      <c r="M3657" s="186"/>
      <c r="N3657" s="186"/>
      <c r="O3657" s="172"/>
    </row>
    <row r="3658" spans="1:15" ht="38.25" x14ac:dyDescent="0.2">
      <c r="A3658" s="190" t="str">
        <f t="shared" si="57"/>
        <v>FfnCode_accommodation</v>
      </c>
      <c r="B3658" s="414" t="str">
        <f>HYPERLINK("[#]Datatypes!A556:L556","FfnCode")</f>
        <v>FfnCode</v>
      </c>
      <c r="C3658" s="415" t="s">
        <v>15127</v>
      </c>
      <c r="D3658" s="221" t="s">
        <v>30391</v>
      </c>
      <c r="E3658" s="221">
        <v>550</v>
      </c>
      <c r="F3658" s="222" t="s">
        <v>30392</v>
      </c>
      <c r="G3658" s="223" t="s">
        <v>30393</v>
      </c>
      <c r="H3658" s="223" t="s">
        <v>30394</v>
      </c>
      <c r="I3658" s="345"/>
      <c r="J3658" s="39">
        <v>112124</v>
      </c>
      <c r="K3658" s="36" t="str">
        <f>CONCATENATE(Cover!$D$6,"fdd/view?i=",J3658)</f>
        <v>https://www.dgiwg.org/FAD/fdd/view?i=112124</v>
      </c>
      <c r="L3658" s="36" t="s">
        <v>30395</v>
      </c>
      <c r="M3658" s="186"/>
      <c r="N3658" s="186"/>
      <c r="O3658" s="172"/>
    </row>
    <row r="3659" spans="1:15" ht="102" x14ac:dyDescent="0.2">
      <c r="A3659" s="197" t="str">
        <f t="shared" si="57"/>
        <v>FfnCode_accounting</v>
      </c>
      <c r="B3659" s="409"/>
      <c r="C3659" s="416"/>
      <c r="D3659" s="198" t="s">
        <v>30396</v>
      </c>
      <c r="E3659" s="198">
        <v>696</v>
      </c>
      <c r="F3659" s="199" t="s">
        <v>30397</v>
      </c>
      <c r="G3659" s="1" t="s">
        <v>30398</v>
      </c>
      <c r="H3659" s="1" t="s">
        <v>30399</v>
      </c>
      <c r="I3659" s="346"/>
      <c r="J3659" s="39">
        <v>112198</v>
      </c>
      <c r="K3659" s="36" t="str">
        <f>CONCATENATE(Cover!$D$6,"fdd/view?i=",J3659)</f>
        <v>https://www.dgiwg.org/FAD/fdd/view?i=112198</v>
      </c>
      <c r="L3659" s="36" t="s">
        <v>30400</v>
      </c>
      <c r="M3659" s="186"/>
      <c r="N3659" s="186"/>
      <c r="O3659" s="172"/>
    </row>
    <row r="3660" spans="1:15" ht="25.5" x14ac:dyDescent="0.2">
      <c r="A3660" s="197" t="str">
        <f t="shared" si="57"/>
        <v>FfnCode_administration</v>
      </c>
      <c r="B3660" s="409"/>
      <c r="C3660" s="416"/>
      <c r="D3660" s="198" t="s">
        <v>30401</v>
      </c>
      <c r="E3660" s="198">
        <v>810</v>
      </c>
      <c r="F3660" s="199" t="s">
        <v>30402</v>
      </c>
      <c r="G3660" s="1" t="s">
        <v>30403</v>
      </c>
      <c r="H3660" s="200"/>
      <c r="I3660" s="346"/>
      <c r="J3660" s="39">
        <v>112246</v>
      </c>
      <c r="K3660" s="36" t="str">
        <f>CONCATENATE(Cover!$D$6,"fdd/view?i=",J3660)</f>
        <v>https://www.dgiwg.org/FAD/fdd/view?i=112246</v>
      </c>
      <c r="L3660" s="36" t="s">
        <v>30404</v>
      </c>
      <c r="M3660" s="186"/>
      <c r="N3660" s="186"/>
      <c r="O3660" s="172"/>
    </row>
    <row r="3661" spans="1:15" ht="76.5" x14ac:dyDescent="0.2">
      <c r="A3661" s="197" t="str">
        <f t="shared" si="57"/>
        <v>FfnCode_adultEntertainment</v>
      </c>
      <c r="B3661" s="409"/>
      <c r="C3661" s="416"/>
      <c r="D3661" s="198" t="s">
        <v>30405</v>
      </c>
      <c r="E3661" s="198">
        <v>966</v>
      </c>
      <c r="F3661" s="199" t="s">
        <v>30406</v>
      </c>
      <c r="G3661" s="1" t="s">
        <v>30407</v>
      </c>
      <c r="H3661" s="1" t="s">
        <v>30408</v>
      </c>
      <c r="I3661" s="346"/>
      <c r="J3661" s="39">
        <v>112398</v>
      </c>
      <c r="K3661" s="36" t="str">
        <f>CONCATENATE(Cover!$D$6,"fdd/view?i=",J3661)</f>
        <v>https://www.dgiwg.org/FAD/fdd/view?i=112398</v>
      </c>
      <c r="L3661" s="36" t="s">
        <v>30409</v>
      </c>
      <c r="M3661" s="186"/>
      <c r="N3661" s="186"/>
      <c r="O3661" s="172"/>
    </row>
    <row r="3662" spans="1:15" ht="102" x14ac:dyDescent="0.2">
      <c r="A3662" s="197" t="str">
        <f t="shared" si="57"/>
        <v>FfnCode_advertising</v>
      </c>
      <c r="B3662" s="409"/>
      <c r="C3662" s="416"/>
      <c r="D3662" s="198" t="s">
        <v>30410</v>
      </c>
      <c r="E3662" s="198">
        <v>741</v>
      </c>
      <c r="F3662" s="199" t="s">
        <v>30411</v>
      </c>
      <c r="G3662" s="1" t="s">
        <v>30412</v>
      </c>
      <c r="H3662" s="1" t="s">
        <v>30413</v>
      </c>
      <c r="I3662" s="346"/>
      <c r="J3662" s="39">
        <v>112220</v>
      </c>
      <c r="K3662" s="36" t="str">
        <f>CONCATENATE(Cover!$D$6,"fdd/view?i=",J3662)</f>
        <v>https://www.dgiwg.org/FAD/fdd/view?i=112220</v>
      </c>
      <c r="L3662" s="36" t="s">
        <v>30414</v>
      </c>
      <c r="M3662" s="186"/>
      <c r="N3662" s="186"/>
      <c r="O3662" s="172"/>
    </row>
    <row r="3663" spans="1:15" x14ac:dyDescent="0.2">
      <c r="A3663" s="197" t="str">
        <f t="shared" si="57"/>
        <v>FfnCode_agriculture</v>
      </c>
      <c r="B3663" s="409"/>
      <c r="C3663" s="416"/>
      <c r="D3663" s="198" t="s">
        <v>30415</v>
      </c>
      <c r="E3663" s="198">
        <v>2</v>
      </c>
      <c r="F3663" s="199" t="s">
        <v>30416</v>
      </c>
      <c r="G3663" s="1" t="s">
        <v>30417</v>
      </c>
      <c r="H3663" s="200"/>
      <c r="I3663" s="346"/>
      <c r="J3663" s="39">
        <v>111832</v>
      </c>
      <c r="K3663" s="36" t="str">
        <f>CONCATENATE(Cover!$D$6,"fdd/view?i=",J3663)</f>
        <v>https://www.dgiwg.org/FAD/fdd/view?i=111832</v>
      </c>
      <c r="L3663" s="36" t="s">
        <v>30418</v>
      </c>
      <c r="M3663" s="186"/>
      <c r="N3663" s="186"/>
      <c r="O3663" s="172"/>
    </row>
    <row r="3664" spans="1:15" ht="204" x14ac:dyDescent="0.2">
      <c r="A3664" s="197" t="str">
        <f t="shared" si="57"/>
        <v>FfnCode_aircraftManufac</v>
      </c>
      <c r="B3664" s="409"/>
      <c r="C3664" s="416"/>
      <c r="D3664" s="198" t="s">
        <v>30428</v>
      </c>
      <c r="E3664" s="198">
        <v>305</v>
      </c>
      <c r="F3664" s="199" t="s">
        <v>30429</v>
      </c>
      <c r="G3664" s="1" t="s">
        <v>30430</v>
      </c>
      <c r="H3664" s="1" t="s">
        <v>30431</v>
      </c>
      <c r="I3664" s="346"/>
      <c r="J3664" s="39">
        <v>112006</v>
      </c>
      <c r="K3664" s="36" t="str">
        <f>CONCATENATE(Cover!$D$6,"fdd/view?i=",J3664)</f>
        <v>https://www.dgiwg.org/FAD/fdd/view?i=112006</v>
      </c>
      <c r="L3664" s="36" t="s">
        <v>30432</v>
      </c>
      <c r="M3664" s="186"/>
      <c r="N3664" s="186"/>
      <c r="O3664" s="172"/>
    </row>
    <row r="3665" spans="1:15" x14ac:dyDescent="0.2">
      <c r="A3665" s="197" t="str">
        <f t="shared" si="57"/>
        <v>FfnCode_aircraftRepair</v>
      </c>
      <c r="B3665" s="409"/>
      <c r="C3665" s="416"/>
      <c r="D3665" s="198" t="s">
        <v>21023</v>
      </c>
      <c r="E3665" s="198">
        <v>341</v>
      </c>
      <c r="F3665" s="199" t="s">
        <v>21024</v>
      </c>
      <c r="G3665" s="1" t="s">
        <v>30433</v>
      </c>
      <c r="H3665" s="200"/>
      <c r="I3665" s="346"/>
      <c r="J3665" s="39">
        <v>112034</v>
      </c>
      <c r="K3665" s="36" t="str">
        <f>CONCATENATE(Cover!$D$6,"fdd/view?i=",J3665)</f>
        <v>https://www.dgiwg.org/FAD/fdd/view?i=112034</v>
      </c>
      <c r="L3665" s="36" t="s">
        <v>30434</v>
      </c>
      <c r="M3665" s="186"/>
      <c r="N3665" s="186"/>
      <c r="O3665" s="172"/>
    </row>
    <row r="3666" spans="1:15" ht="51" x14ac:dyDescent="0.2">
      <c r="A3666" s="197" t="str">
        <f t="shared" si="57"/>
        <v>FfnCode_airTrafficControl</v>
      </c>
      <c r="B3666" s="409"/>
      <c r="C3666" s="416"/>
      <c r="D3666" s="198" t="s">
        <v>30419</v>
      </c>
      <c r="E3666" s="198">
        <v>525</v>
      </c>
      <c r="F3666" s="199" t="s">
        <v>30420</v>
      </c>
      <c r="G3666" s="1" t="s">
        <v>30421</v>
      </c>
      <c r="H3666" s="200"/>
      <c r="I3666" s="346"/>
      <c r="J3666" s="39">
        <v>118553</v>
      </c>
      <c r="K3666" s="36" t="str">
        <f>CONCATENATE(Cover!$D$6,"fdd/view?i=",J3666)</f>
        <v>https://www.dgiwg.org/FAD/fdd/view?i=118553</v>
      </c>
      <c r="L3666" s="36" t="s">
        <v>30422</v>
      </c>
      <c r="M3666" s="186"/>
      <c r="N3666" s="186"/>
      <c r="O3666" s="172"/>
    </row>
    <row r="3667" spans="1:15" ht="63.75" x14ac:dyDescent="0.2">
      <c r="A3667" s="197" t="str">
        <f t="shared" si="57"/>
        <v>FfnCode_airTransport</v>
      </c>
      <c r="B3667" s="409"/>
      <c r="C3667" s="416"/>
      <c r="D3667" s="198" t="s">
        <v>30423</v>
      </c>
      <c r="E3667" s="198">
        <v>520</v>
      </c>
      <c r="F3667" s="199" t="s">
        <v>30424</v>
      </c>
      <c r="G3667" s="1" t="s">
        <v>30425</v>
      </c>
      <c r="H3667" s="1" t="s">
        <v>30426</v>
      </c>
      <c r="I3667" s="346"/>
      <c r="J3667" s="39">
        <v>112110</v>
      </c>
      <c r="K3667" s="36" t="str">
        <f>CONCATENATE(Cover!$D$6,"fdd/view?i=",J3667)</f>
        <v>https://www.dgiwg.org/FAD/fdd/view?i=112110</v>
      </c>
      <c r="L3667" s="36" t="s">
        <v>30427</v>
      </c>
      <c r="M3667" s="186"/>
      <c r="N3667" s="186"/>
      <c r="O3667" s="172"/>
    </row>
    <row r="3668" spans="1:15" ht="51" x14ac:dyDescent="0.2">
      <c r="A3668" s="197" t="str">
        <f t="shared" si="57"/>
        <v>FfnCode_amusement</v>
      </c>
      <c r="B3668" s="409"/>
      <c r="C3668" s="416"/>
      <c r="D3668" s="198" t="s">
        <v>30435</v>
      </c>
      <c r="E3668" s="198">
        <v>922</v>
      </c>
      <c r="F3668" s="199" t="s">
        <v>30436</v>
      </c>
      <c r="G3668" s="1" t="s">
        <v>30437</v>
      </c>
      <c r="H3668" s="1" t="s">
        <v>30438</v>
      </c>
      <c r="I3668" s="346"/>
      <c r="J3668" s="39">
        <v>112342</v>
      </c>
      <c r="K3668" s="36" t="str">
        <f>CONCATENATE(Cover!$D$6,"fdd/view?i=",J3668)</f>
        <v>https://www.dgiwg.org/FAD/fdd/view?i=112342</v>
      </c>
      <c r="L3668" s="36" t="s">
        <v>30439</v>
      </c>
      <c r="M3668" s="186"/>
      <c r="N3668" s="186"/>
      <c r="O3668" s="172"/>
    </row>
    <row r="3669" spans="1:15" ht="38.25" x14ac:dyDescent="0.2">
      <c r="A3669" s="197" t="str">
        <f t="shared" si="57"/>
        <v>FfnCode_animalBoarding</v>
      </c>
      <c r="B3669" s="409"/>
      <c r="C3669" s="416"/>
      <c r="D3669" s="198" t="s">
        <v>30440</v>
      </c>
      <c r="E3669" s="198">
        <v>919</v>
      </c>
      <c r="F3669" s="199" t="s">
        <v>30441</v>
      </c>
      <c r="G3669" s="1" t="s">
        <v>30442</v>
      </c>
      <c r="H3669" s="1" t="s">
        <v>30443</v>
      </c>
      <c r="I3669" s="346"/>
      <c r="J3669" s="39">
        <v>112338</v>
      </c>
      <c r="K3669" s="36" t="str">
        <f>CONCATENATE(Cover!$D$6,"fdd/view?i=",J3669)</f>
        <v>https://www.dgiwg.org/FAD/fdd/view?i=112338</v>
      </c>
      <c r="L3669" s="36" t="s">
        <v>30444</v>
      </c>
      <c r="M3669" s="186"/>
      <c r="N3669" s="186"/>
      <c r="O3669" s="172"/>
    </row>
    <row r="3670" spans="1:15" ht="76.5" x14ac:dyDescent="0.2">
      <c r="A3670" s="197" t="str">
        <f t="shared" si="57"/>
        <v>FfnCode_animalFeedManufac</v>
      </c>
      <c r="B3670" s="409"/>
      <c r="C3670" s="416"/>
      <c r="D3670" s="198" t="s">
        <v>30445</v>
      </c>
      <c r="E3670" s="198">
        <v>119</v>
      </c>
      <c r="F3670" s="199" t="s">
        <v>30446</v>
      </c>
      <c r="G3670" s="1" t="s">
        <v>30447</v>
      </c>
      <c r="H3670" s="1" t="s">
        <v>30448</v>
      </c>
      <c r="I3670" s="346"/>
      <c r="J3670" s="39">
        <v>111928</v>
      </c>
      <c r="K3670" s="36" t="str">
        <f>CONCATENATE(Cover!$D$6,"fdd/view?i=",J3670)</f>
        <v>https://www.dgiwg.org/FAD/fdd/view?i=111928</v>
      </c>
      <c r="L3670" s="36" t="s">
        <v>30449</v>
      </c>
      <c r="M3670" s="186"/>
      <c r="N3670" s="186"/>
      <c r="O3670" s="172"/>
    </row>
    <row r="3671" spans="1:15" ht="51" x14ac:dyDescent="0.2">
      <c r="A3671" s="197" t="str">
        <f t="shared" si="57"/>
        <v>FfnCode_apparelManufac</v>
      </c>
      <c r="B3671" s="409"/>
      <c r="C3671" s="416"/>
      <c r="D3671" s="198" t="s">
        <v>30450</v>
      </c>
      <c r="E3671" s="198">
        <v>140</v>
      </c>
      <c r="F3671" s="199" t="s">
        <v>30451</v>
      </c>
      <c r="G3671" s="1" t="s">
        <v>30452</v>
      </c>
      <c r="H3671" s="1" t="s">
        <v>30453</v>
      </c>
      <c r="I3671" s="346"/>
      <c r="J3671" s="39">
        <v>111942</v>
      </c>
      <c r="K3671" s="36" t="str">
        <f>CONCATENATE(Cover!$D$6,"fdd/view?i=",J3671)</f>
        <v>https://www.dgiwg.org/FAD/fdd/view?i=111942</v>
      </c>
      <c r="L3671" s="36" t="s">
        <v>30454</v>
      </c>
      <c r="M3671" s="186"/>
      <c r="N3671" s="186"/>
      <c r="O3671" s="172"/>
    </row>
    <row r="3672" spans="1:15" ht="89.25" x14ac:dyDescent="0.2">
      <c r="A3672" s="197" t="str">
        <f t="shared" si="57"/>
        <v>FfnCode_aquaculture</v>
      </c>
      <c r="B3672" s="409"/>
      <c r="C3672" s="416"/>
      <c r="D3672" s="198" t="s">
        <v>30455</v>
      </c>
      <c r="E3672" s="198">
        <v>35</v>
      </c>
      <c r="F3672" s="199" t="s">
        <v>30456</v>
      </c>
      <c r="G3672" s="1" t="s">
        <v>30457</v>
      </c>
      <c r="H3672" s="1" t="s">
        <v>2098</v>
      </c>
      <c r="I3672" s="351" t="s">
        <v>30458</v>
      </c>
      <c r="J3672" s="39">
        <v>111856</v>
      </c>
      <c r="K3672" s="36" t="str">
        <f>CONCATENATE(Cover!$D$6,"fdd/view?i=",J3672)</f>
        <v>https://www.dgiwg.org/FAD/fdd/view?i=111856</v>
      </c>
      <c r="L3672" s="36" t="s">
        <v>30459</v>
      </c>
      <c r="M3672" s="186"/>
      <c r="N3672" s="186"/>
      <c r="O3672" s="172"/>
    </row>
    <row r="3673" spans="1:15" ht="63.75" x14ac:dyDescent="0.2">
      <c r="A3673" s="197" t="str">
        <f t="shared" si="57"/>
        <v>FfnCode_aquarium</v>
      </c>
      <c r="B3673" s="409"/>
      <c r="C3673" s="416"/>
      <c r="D3673" s="198" t="s">
        <v>30460</v>
      </c>
      <c r="E3673" s="198">
        <v>906</v>
      </c>
      <c r="F3673" s="199" t="s">
        <v>30461</v>
      </c>
      <c r="G3673" s="1" t="s">
        <v>30462</v>
      </c>
      <c r="H3673" s="200"/>
      <c r="I3673" s="346"/>
      <c r="J3673" s="39">
        <v>112390</v>
      </c>
      <c r="K3673" s="36" t="str">
        <f>CONCATENATE(Cover!$D$6,"fdd/view?i=",J3673)</f>
        <v>https://www.dgiwg.org/FAD/fdd/view?i=112390</v>
      </c>
      <c r="L3673" s="36" t="s">
        <v>30463</v>
      </c>
      <c r="M3673" s="186"/>
      <c r="N3673" s="186"/>
      <c r="O3673" s="172"/>
    </row>
    <row r="3674" spans="1:15" ht="38.25" x14ac:dyDescent="0.2">
      <c r="A3674" s="197" t="str">
        <f t="shared" si="57"/>
        <v>FfnCode_architectureConsulting</v>
      </c>
      <c r="B3674" s="409"/>
      <c r="C3674" s="416"/>
      <c r="D3674" s="198" t="s">
        <v>30464</v>
      </c>
      <c r="E3674" s="198">
        <v>711</v>
      </c>
      <c r="F3674" s="199" t="s">
        <v>30465</v>
      </c>
      <c r="G3674" s="1" t="s">
        <v>30466</v>
      </c>
      <c r="H3674" s="200"/>
      <c r="I3674" s="346"/>
      <c r="J3674" s="39">
        <v>112204</v>
      </c>
      <c r="K3674" s="36" t="str">
        <f>CONCATENATE(Cover!$D$6,"fdd/view?i=",J3674)</f>
        <v>https://www.dgiwg.org/FAD/fdd/view?i=112204</v>
      </c>
      <c r="L3674" s="36" t="s">
        <v>30467</v>
      </c>
      <c r="M3674" s="186"/>
      <c r="N3674" s="186"/>
      <c r="O3674" s="172"/>
    </row>
    <row r="3675" spans="1:15" ht="51" x14ac:dyDescent="0.2">
      <c r="A3675" s="197" t="str">
        <f t="shared" si="57"/>
        <v>FfnCode_armory</v>
      </c>
      <c r="B3675" s="409"/>
      <c r="C3675" s="416"/>
      <c r="D3675" s="198" t="s">
        <v>30468</v>
      </c>
      <c r="E3675" s="198">
        <v>836</v>
      </c>
      <c r="F3675" s="199" t="s">
        <v>30469</v>
      </c>
      <c r="G3675" s="1" t="s">
        <v>30470</v>
      </c>
      <c r="H3675" s="1" t="s">
        <v>30471</v>
      </c>
      <c r="I3675" s="346"/>
      <c r="J3675" s="39">
        <v>112268</v>
      </c>
      <c r="K3675" s="36" t="str">
        <f>CONCATENATE(Cover!$D$6,"fdd/view?i=",J3675)</f>
        <v>https://www.dgiwg.org/FAD/fdd/view?i=112268</v>
      </c>
      <c r="L3675" s="36" t="s">
        <v>30472</v>
      </c>
      <c r="M3675" s="186"/>
      <c r="N3675" s="186"/>
      <c r="O3675" s="172"/>
    </row>
    <row r="3676" spans="1:15" ht="38.25" x14ac:dyDescent="0.2">
      <c r="A3676" s="197" t="str">
        <f t="shared" si="57"/>
        <v>FfnCode_auditorium</v>
      </c>
      <c r="B3676" s="409"/>
      <c r="C3676" s="416"/>
      <c r="D3676" s="198" t="s">
        <v>27768</v>
      </c>
      <c r="E3676" s="198">
        <v>892</v>
      </c>
      <c r="F3676" s="199" t="s">
        <v>27769</v>
      </c>
      <c r="G3676" s="1" t="s">
        <v>30473</v>
      </c>
      <c r="H3676" s="1" t="s">
        <v>30474</v>
      </c>
      <c r="I3676" s="346"/>
      <c r="J3676" s="39">
        <v>112318</v>
      </c>
      <c r="K3676" s="36" t="str">
        <f>CONCATENATE(Cover!$D$6,"fdd/view?i=",J3676)</f>
        <v>https://www.dgiwg.org/FAD/fdd/view?i=112318</v>
      </c>
      <c r="L3676" s="36" t="s">
        <v>30475</v>
      </c>
      <c r="M3676" s="186"/>
      <c r="N3676" s="186"/>
      <c r="O3676" s="172"/>
    </row>
    <row r="3677" spans="1:15" ht="89.25" x14ac:dyDescent="0.2">
      <c r="A3677" s="197" t="str">
        <f t="shared" si="57"/>
        <v>FfnCode_baking</v>
      </c>
      <c r="B3677" s="409"/>
      <c r="C3677" s="416"/>
      <c r="D3677" s="198" t="s">
        <v>30476</v>
      </c>
      <c r="E3677" s="198">
        <v>110</v>
      </c>
      <c r="F3677" s="199" t="s">
        <v>30477</v>
      </c>
      <c r="G3677" s="1" t="s">
        <v>30478</v>
      </c>
      <c r="H3677" s="1" t="s">
        <v>30479</v>
      </c>
      <c r="I3677" s="346"/>
      <c r="J3677" s="39">
        <v>111914</v>
      </c>
      <c r="K3677" s="36" t="str">
        <f>CONCATENATE(Cover!$D$6,"fdd/view?i=",J3677)</f>
        <v>https://www.dgiwg.org/FAD/fdd/view?i=111914</v>
      </c>
      <c r="L3677" s="36" t="s">
        <v>30480</v>
      </c>
      <c r="M3677" s="186"/>
      <c r="N3677" s="186"/>
      <c r="O3677" s="172"/>
    </row>
    <row r="3678" spans="1:15" ht="63.75" x14ac:dyDescent="0.2">
      <c r="A3678" s="197" t="str">
        <f t="shared" si="57"/>
        <v>FfnCode_banquetHall</v>
      </c>
      <c r="B3678" s="409"/>
      <c r="C3678" s="416"/>
      <c r="D3678" s="198" t="s">
        <v>30481</v>
      </c>
      <c r="E3678" s="198">
        <v>578</v>
      </c>
      <c r="F3678" s="199" t="s">
        <v>30482</v>
      </c>
      <c r="G3678" s="1" t="s">
        <v>30483</v>
      </c>
      <c r="H3678" s="1" t="s">
        <v>30484</v>
      </c>
      <c r="I3678" s="346"/>
      <c r="J3678" s="39">
        <v>112382</v>
      </c>
      <c r="K3678" s="36" t="str">
        <f>CONCATENATE(Cover!$D$6,"fdd/view?i=",J3678)</f>
        <v>https://www.dgiwg.org/FAD/fdd/view?i=112382</v>
      </c>
      <c r="L3678" s="36" t="s">
        <v>30485</v>
      </c>
      <c r="M3678" s="186"/>
      <c r="N3678" s="186"/>
      <c r="O3678" s="172"/>
    </row>
    <row r="3679" spans="1:15" ht="51" x14ac:dyDescent="0.2">
      <c r="A3679" s="197" t="str">
        <f t="shared" si="57"/>
        <v>FfnCode_bar</v>
      </c>
      <c r="B3679" s="409"/>
      <c r="C3679" s="416"/>
      <c r="D3679" s="198" t="s">
        <v>1351</v>
      </c>
      <c r="E3679" s="198">
        <v>573</v>
      </c>
      <c r="F3679" s="199" t="s">
        <v>1352</v>
      </c>
      <c r="G3679" s="1" t="s">
        <v>30486</v>
      </c>
      <c r="H3679" s="1" t="s">
        <v>30487</v>
      </c>
      <c r="I3679" s="351" t="s">
        <v>30488</v>
      </c>
      <c r="J3679" s="39">
        <v>112378</v>
      </c>
      <c r="K3679" s="36" t="str">
        <f>CONCATENATE(Cover!$D$6,"fdd/view?i=",J3679)</f>
        <v>https://www.dgiwg.org/FAD/fdd/view?i=112378</v>
      </c>
      <c r="L3679" s="36" t="s">
        <v>30489</v>
      </c>
      <c r="M3679" s="186"/>
      <c r="N3679" s="186"/>
      <c r="O3679" s="172"/>
    </row>
    <row r="3680" spans="1:15" ht="63.75" x14ac:dyDescent="0.2">
      <c r="A3680" s="197" t="str">
        <f t="shared" si="57"/>
        <v>FfnCode_beautyTreatment</v>
      </c>
      <c r="B3680" s="409"/>
      <c r="C3680" s="416"/>
      <c r="D3680" s="198" t="s">
        <v>30490</v>
      </c>
      <c r="E3680" s="198">
        <v>962</v>
      </c>
      <c r="F3680" s="199" t="s">
        <v>30491</v>
      </c>
      <c r="G3680" s="1" t="s">
        <v>30492</v>
      </c>
      <c r="H3680" s="1" t="s">
        <v>30493</v>
      </c>
      <c r="I3680" s="346"/>
      <c r="J3680" s="39">
        <v>112352</v>
      </c>
      <c r="K3680" s="36" t="str">
        <f>CONCATENATE(Cover!$D$6,"fdd/view?i=",J3680)</f>
        <v>https://www.dgiwg.org/FAD/fdd/view?i=112352</v>
      </c>
      <c r="L3680" s="36" t="s">
        <v>30494</v>
      </c>
      <c r="M3680" s="186"/>
      <c r="N3680" s="186"/>
      <c r="O3680" s="172"/>
    </row>
    <row r="3681" spans="1:15" ht="51" x14ac:dyDescent="0.2">
      <c r="A3681" s="197" t="str">
        <f t="shared" si="57"/>
        <v>FfnCode_botanZooReserveActivities</v>
      </c>
      <c r="B3681" s="409"/>
      <c r="C3681" s="416"/>
      <c r="D3681" s="198" t="s">
        <v>30495</v>
      </c>
      <c r="E3681" s="198">
        <v>907</v>
      </c>
      <c r="F3681" s="199" t="s">
        <v>30496</v>
      </c>
      <c r="G3681" s="1" t="s">
        <v>30497</v>
      </c>
      <c r="H3681" s="200"/>
      <c r="I3681" s="346"/>
      <c r="J3681" s="39">
        <v>112328</v>
      </c>
      <c r="K3681" s="36" t="str">
        <f>CONCATENATE(Cover!$D$6,"fdd/view?i=",J3681)</f>
        <v>https://www.dgiwg.org/FAD/fdd/view?i=112328</v>
      </c>
      <c r="L3681" s="36" t="s">
        <v>30498</v>
      </c>
      <c r="M3681" s="186"/>
      <c r="N3681" s="186"/>
      <c r="O3681" s="172"/>
    </row>
    <row r="3682" spans="1:15" ht="127.5" x14ac:dyDescent="0.2">
      <c r="A3682" s="197" t="str">
        <f t="shared" si="57"/>
        <v>FfnCode_branchTelephoneExchange</v>
      </c>
      <c r="B3682" s="409"/>
      <c r="C3682" s="416"/>
      <c r="D3682" s="198" t="s">
        <v>30499</v>
      </c>
      <c r="E3682" s="198">
        <v>616</v>
      </c>
      <c r="F3682" s="199" t="s">
        <v>30500</v>
      </c>
      <c r="G3682" s="1" t="s">
        <v>30501</v>
      </c>
      <c r="H3682" s="1" t="s">
        <v>30502</v>
      </c>
      <c r="I3682" s="351" t="s">
        <v>30503</v>
      </c>
      <c r="J3682" s="39">
        <v>112170</v>
      </c>
      <c r="K3682" s="36" t="str">
        <f>CONCATENATE(Cover!$D$6,"fdd/view?i=",J3682)</f>
        <v>https://www.dgiwg.org/FAD/fdd/view?i=112170</v>
      </c>
      <c r="L3682" s="36" t="s">
        <v>30504</v>
      </c>
      <c r="M3682" s="186"/>
      <c r="N3682" s="186"/>
      <c r="O3682" s="172"/>
    </row>
    <row r="3683" spans="1:15" ht="51" x14ac:dyDescent="0.2">
      <c r="A3683" s="197" t="str">
        <f t="shared" si="57"/>
        <v>FfnCode_brewing</v>
      </c>
      <c r="B3683" s="409"/>
      <c r="C3683" s="416"/>
      <c r="D3683" s="198" t="s">
        <v>30505</v>
      </c>
      <c r="E3683" s="198">
        <v>123</v>
      </c>
      <c r="F3683" s="199" t="s">
        <v>30506</v>
      </c>
      <c r="G3683" s="1" t="s">
        <v>30507</v>
      </c>
      <c r="H3683" s="1" t="s">
        <v>30508</v>
      </c>
      <c r="I3683" s="346"/>
      <c r="J3683" s="39">
        <v>111934</v>
      </c>
      <c r="K3683" s="36" t="str">
        <f>CONCATENATE(Cover!$D$6,"fdd/view?i=",J3683)</f>
        <v>https://www.dgiwg.org/FAD/fdd/view?i=111934</v>
      </c>
      <c r="L3683" s="36" t="s">
        <v>30509</v>
      </c>
      <c r="M3683" s="186"/>
      <c r="N3683" s="186"/>
      <c r="O3683" s="172"/>
    </row>
    <row r="3684" spans="1:15" ht="102" x14ac:dyDescent="0.2">
      <c r="A3684" s="197" t="str">
        <f t="shared" si="57"/>
        <v>FfnCode_businessManagement</v>
      </c>
      <c r="B3684" s="409"/>
      <c r="C3684" s="416"/>
      <c r="D3684" s="198" t="s">
        <v>30510</v>
      </c>
      <c r="E3684" s="198">
        <v>706</v>
      </c>
      <c r="F3684" s="199" t="s">
        <v>30511</v>
      </c>
      <c r="G3684" s="1" t="s">
        <v>30512</v>
      </c>
      <c r="H3684" s="1" t="s">
        <v>30513</v>
      </c>
      <c r="I3684" s="346"/>
      <c r="J3684" s="39">
        <v>112202</v>
      </c>
      <c r="K3684" s="36" t="str">
        <f>CONCATENATE(Cover!$D$6,"fdd/view?i=",J3684)</f>
        <v>https://www.dgiwg.org/FAD/fdd/view?i=112202</v>
      </c>
      <c r="L3684" s="36" t="s">
        <v>30514</v>
      </c>
      <c r="M3684" s="186"/>
      <c r="N3684" s="186"/>
      <c r="O3684" s="172"/>
    </row>
    <row r="3685" spans="1:15" ht="153" x14ac:dyDescent="0.2">
      <c r="A3685" s="197" t="str">
        <f t="shared" si="57"/>
        <v>FfnCode_callCentre</v>
      </c>
      <c r="B3685" s="409"/>
      <c r="C3685" s="416"/>
      <c r="D3685" s="198" t="s">
        <v>30515</v>
      </c>
      <c r="E3685" s="198">
        <v>807</v>
      </c>
      <c r="F3685" s="199" t="s">
        <v>30516</v>
      </c>
      <c r="G3685" s="1" t="s">
        <v>30517</v>
      </c>
      <c r="H3685" s="1" t="s">
        <v>30518</v>
      </c>
      <c r="I3685" s="346"/>
      <c r="J3685" s="39">
        <v>112242</v>
      </c>
      <c r="K3685" s="36" t="str">
        <f>CONCATENATE(Cover!$D$6,"fdd/view?i=",J3685)</f>
        <v>https://www.dgiwg.org/FAD/fdd/view?i=112242</v>
      </c>
      <c r="L3685" s="36" t="s">
        <v>30519</v>
      </c>
      <c r="M3685" s="186"/>
      <c r="N3685" s="186"/>
      <c r="O3685" s="172"/>
    </row>
    <row r="3686" spans="1:15" ht="25.5" x14ac:dyDescent="0.2">
      <c r="A3686" s="197" t="str">
        <f t="shared" si="57"/>
        <v>FfnCode_canalTransport</v>
      </c>
      <c r="B3686" s="409"/>
      <c r="C3686" s="416"/>
      <c r="D3686" s="198" t="s">
        <v>30520</v>
      </c>
      <c r="E3686" s="198">
        <v>508</v>
      </c>
      <c r="F3686" s="199" t="s">
        <v>30521</v>
      </c>
      <c r="G3686" s="1" t="s">
        <v>30522</v>
      </c>
      <c r="H3686" s="200"/>
      <c r="I3686" s="346"/>
      <c r="J3686" s="39">
        <v>112098</v>
      </c>
      <c r="K3686" s="36" t="str">
        <f>CONCATENATE(Cover!$D$6,"fdd/view?i=",J3686)</f>
        <v>https://www.dgiwg.org/FAD/fdd/view?i=112098</v>
      </c>
      <c r="L3686" s="36" t="s">
        <v>30523</v>
      </c>
      <c r="M3686" s="186"/>
      <c r="N3686" s="186"/>
      <c r="O3686" s="172"/>
    </row>
    <row r="3687" spans="1:15" ht="25.5" x14ac:dyDescent="0.2">
      <c r="A3687" s="197" t="str">
        <f t="shared" si="57"/>
        <v>FfnCode_capitol</v>
      </c>
      <c r="B3687" s="409"/>
      <c r="C3687" s="416"/>
      <c r="D3687" s="198" t="s">
        <v>30524</v>
      </c>
      <c r="E3687" s="198">
        <v>817</v>
      </c>
      <c r="F3687" s="199" t="s">
        <v>30525</v>
      </c>
      <c r="G3687" s="1" t="s">
        <v>30526</v>
      </c>
      <c r="H3687" s="200"/>
      <c r="I3687" s="351" t="s">
        <v>30527</v>
      </c>
      <c r="J3687" s="39">
        <v>112254</v>
      </c>
      <c r="K3687" s="36" t="str">
        <f>CONCATENATE(Cover!$D$6,"fdd/view?i=",J3687)</f>
        <v>https://www.dgiwg.org/FAD/fdd/view?i=112254</v>
      </c>
      <c r="L3687" s="36" t="s">
        <v>30528</v>
      </c>
      <c r="M3687" s="186"/>
      <c r="N3687" s="186"/>
      <c r="O3687" s="172"/>
    </row>
    <row r="3688" spans="1:15" ht="51" x14ac:dyDescent="0.2">
      <c r="A3688" s="197" t="str">
        <f t="shared" si="57"/>
        <v>FfnCode_cargoHandling</v>
      </c>
      <c r="B3688" s="409"/>
      <c r="C3688" s="416"/>
      <c r="D3688" s="198" t="s">
        <v>21027</v>
      </c>
      <c r="E3688" s="198">
        <v>536</v>
      </c>
      <c r="F3688" s="199" t="s">
        <v>21028</v>
      </c>
      <c r="G3688" s="1" t="s">
        <v>30529</v>
      </c>
      <c r="H3688" s="1" t="s">
        <v>30530</v>
      </c>
      <c r="I3688" s="346"/>
      <c r="J3688" s="39">
        <v>112116</v>
      </c>
      <c r="K3688" s="36" t="str">
        <f>CONCATENATE(Cover!$D$6,"fdd/view?i=",J3688)</f>
        <v>https://www.dgiwg.org/FAD/fdd/view?i=112116</v>
      </c>
      <c r="L3688" s="36" t="s">
        <v>30531</v>
      </c>
      <c r="M3688" s="186"/>
      <c r="N3688" s="186"/>
      <c r="O3688" s="172"/>
    </row>
    <row r="3689" spans="1:15" ht="63.75" x14ac:dyDescent="0.2">
      <c r="A3689" s="197" t="str">
        <f t="shared" si="57"/>
        <v>FfnCode_cbrneCivilianSupport</v>
      </c>
      <c r="B3689" s="409"/>
      <c r="C3689" s="416"/>
      <c r="D3689" s="198" t="s">
        <v>30532</v>
      </c>
      <c r="E3689" s="198">
        <v>839</v>
      </c>
      <c r="F3689" s="199" t="s">
        <v>30533</v>
      </c>
      <c r="G3689" s="1" t="s">
        <v>30534</v>
      </c>
      <c r="H3689" s="1" t="s">
        <v>30535</v>
      </c>
      <c r="I3689" s="346"/>
      <c r="J3689" s="39">
        <v>118559</v>
      </c>
      <c r="K3689" s="36" t="str">
        <f>CONCATENATE(Cover!$D$6,"fdd/view?i=",J3689)</f>
        <v>https://www.dgiwg.org/FAD/fdd/view?i=118559</v>
      </c>
      <c r="L3689" s="36" t="s">
        <v>30536</v>
      </c>
      <c r="M3689" s="186"/>
      <c r="N3689" s="186"/>
      <c r="O3689" s="172"/>
    </row>
    <row r="3690" spans="1:15" ht="76.5" x14ac:dyDescent="0.2">
      <c r="A3690" s="197" t="str">
        <f t="shared" si="57"/>
        <v>FfnCode_cementMill</v>
      </c>
      <c r="B3690" s="409"/>
      <c r="C3690" s="416"/>
      <c r="D3690" s="198" t="s">
        <v>30537</v>
      </c>
      <c r="E3690" s="198">
        <v>235</v>
      </c>
      <c r="F3690" s="199" t="s">
        <v>30538</v>
      </c>
      <c r="G3690" s="1" t="s">
        <v>30539</v>
      </c>
      <c r="H3690" s="1" t="s">
        <v>30540</v>
      </c>
      <c r="I3690" s="346"/>
      <c r="J3690" s="39">
        <v>111976</v>
      </c>
      <c r="K3690" s="36" t="str">
        <f>CONCATENATE(Cover!$D$6,"fdd/view?i=",J3690)</f>
        <v>https://www.dgiwg.org/FAD/fdd/view?i=111976</v>
      </c>
      <c r="L3690" s="36" t="s">
        <v>30541</v>
      </c>
      <c r="M3690" s="186"/>
      <c r="N3690" s="186"/>
      <c r="O3690" s="172"/>
    </row>
    <row r="3691" spans="1:15" ht="242.25" x14ac:dyDescent="0.2">
      <c r="A3691" s="197" t="str">
        <f t="shared" si="57"/>
        <v>FfnCode_cementProdManufac</v>
      </c>
      <c r="B3691" s="409"/>
      <c r="C3691" s="416"/>
      <c r="D3691" s="198" t="s">
        <v>30542</v>
      </c>
      <c r="E3691" s="198">
        <v>236</v>
      </c>
      <c r="F3691" s="199" t="s">
        <v>30543</v>
      </c>
      <c r="G3691" s="1" t="s">
        <v>30544</v>
      </c>
      <c r="H3691" s="1" t="s">
        <v>30545</v>
      </c>
      <c r="I3691" s="346"/>
      <c r="J3691" s="39">
        <v>111978</v>
      </c>
      <c r="K3691" s="36" t="str">
        <f>CONCATENATE(Cover!$D$6,"fdd/view?i=",J3691)</f>
        <v>https://www.dgiwg.org/FAD/fdd/view?i=111978</v>
      </c>
      <c r="L3691" s="36" t="s">
        <v>30546</v>
      </c>
      <c r="M3691" s="186"/>
      <c r="N3691" s="186"/>
      <c r="O3691" s="172"/>
    </row>
    <row r="3692" spans="1:15" ht="102" x14ac:dyDescent="0.2">
      <c r="A3692" s="197" t="str">
        <f t="shared" si="57"/>
        <v>FfnCode_centralBanking</v>
      </c>
      <c r="B3692" s="409"/>
      <c r="C3692" s="416"/>
      <c r="D3692" s="198" t="s">
        <v>30547</v>
      </c>
      <c r="E3692" s="198">
        <v>642</v>
      </c>
      <c r="F3692" s="199" t="s">
        <v>30548</v>
      </c>
      <c r="G3692" s="1" t="s">
        <v>30549</v>
      </c>
      <c r="H3692" s="1" t="s">
        <v>30550</v>
      </c>
      <c r="I3692" s="351" t="s">
        <v>30551</v>
      </c>
      <c r="J3692" s="39">
        <v>112182</v>
      </c>
      <c r="K3692" s="36" t="str">
        <f>CONCATENATE(Cover!$D$6,"fdd/view?i=",J3692)</f>
        <v>https://www.dgiwg.org/FAD/fdd/view?i=112182</v>
      </c>
      <c r="L3692" s="36" t="s">
        <v>30552</v>
      </c>
      <c r="M3692" s="186"/>
      <c r="N3692" s="186"/>
      <c r="O3692" s="172"/>
    </row>
    <row r="3693" spans="1:15" ht="102" x14ac:dyDescent="0.2">
      <c r="A3693" s="197" t="str">
        <f t="shared" si="57"/>
        <v>FfnCode_ceramicProdManufac</v>
      </c>
      <c r="B3693" s="409"/>
      <c r="C3693" s="416"/>
      <c r="D3693" s="198" t="s">
        <v>30553</v>
      </c>
      <c r="E3693" s="198">
        <v>234</v>
      </c>
      <c r="F3693" s="199" t="s">
        <v>30554</v>
      </c>
      <c r="G3693" s="1" t="s">
        <v>30555</v>
      </c>
      <c r="H3693" s="1" t="s">
        <v>30556</v>
      </c>
      <c r="I3693" s="346"/>
      <c r="J3693" s="39">
        <v>111974</v>
      </c>
      <c r="K3693" s="36" t="str">
        <f>CONCATENATE(Cover!$D$6,"fdd/view?i=",J3693)</f>
        <v>https://www.dgiwg.org/FAD/fdd/view?i=111974</v>
      </c>
      <c r="L3693" s="36" t="s">
        <v>30557</v>
      </c>
      <c r="M3693" s="186"/>
      <c r="N3693" s="186"/>
      <c r="O3693" s="172"/>
    </row>
    <row r="3694" spans="1:15" ht="76.5" x14ac:dyDescent="0.2">
      <c r="A3694" s="197" t="str">
        <f t="shared" si="57"/>
        <v>FfnCode_chemicalManufac</v>
      </c>
      <c r="B3694" s="409"/>
      <c r="C3694" s="416"/>
      <c r="D3694" s="198" t="s">
        <v>30558</v>
      </c>
      <c r="E3694" s="198">
        <v>195</v>
      </c>
      <c r="F3694" s="199" t="s">
        <v>30559</v>
      </c>
      <c r="G3694" s="1" t="s">
        <v>30560</v>
      </c>
      <c r="H3694" s="1" t="s">
        <v>30561</v>
      </c>
      <c r="I3694" s="346"/>
      <c r="J3694" s="39">
        <v>111960</v>
      </c>
      <c r="K3694" s="36" t="str">
        <f>CONCATENATE(Cover!$D$6,"fdd/view?i=",J3694)</f>
        <v>https://www.dgiwg.org/FAD/fdd/view?i=111960</v>
      </c>
      <c r="L3694" s="36" t="s">
        <v>30562</v>
      </c>
      <c r="M3694" s="186"/>
      <c r="N3694" s="186"/>
      <c r="O3694" s="172"/>
    </row>
    <row r="3695" spans="1:15" ht="114.75" x14ac:dyDescent="0.2">
      <c r="A3695" s="197" t="str">
        <f t="shared" si="57"/>
        <v>FfnCode_chemicalMining</v>
      </c>
      <c r="B3695" s="409"/>
      <c r="C3695" s="416"/>
      <c r="D3695" s="198" t="s">
        <v>30563</v>
      </c>
      <c r="E3695" s="198">
        <v>83</v>
      </c>
      <c r="F3695" s="199" t="s">
        <v>30564</v>
      </c>
      <c r="G3695" s="1" t="s">
        <v>30565</v>
      </c>
      <c r="H3695" s="1" t="s">
        <v>30566</v>
      </c>
      <c r="I3695" s="346"/>
      <c r="J3695" s="39">
        <v>111868</v>
      </c>
      <c r="K3695" s="36" t="str">
        <f>CONCATENATE(Cover!$D$6,"fdd/view?i=",J3695)</f>
        <v>https://www.dgiwg.org/FAD/fdd/view?i=111868</v>
      </c>
      <c r="L3695" s="36" t="s">
        <v>30567</v>
      </c>
      <c r="M3695" s="186"/>
      <c r="N3695" s="186"/>
      <c r="O3695" s="172"/>
    </row>
    <row r="3696" spans="1:15" ht="38.25" x14ac:dyDescent="0.2">
      <c r="A3696" s="197" t="str">
        <f t="shared" si="57"/>
        <v>FfnCode_cinema</v>
      </c>
      <c r="B3696" s="409"/>
      <c r="C3696" s="416"/>
      <c r="D3696" s="198" t="s">
        <v>30568</v>
      </c>
      <c r="E3696" s="198">
        <v>594</v>
      </c>
      <c r="F3696" s="199" t="s">
        <v>30569</v>
      </c>
      <c r="G3696" s="1" t="s">
        <v>30570</v>
      </c>
      <c r="H3696" s="200"/>
      <c r="I3696" s="351" t="s">
        <v>30571</v>
      </c>
      <c r="J3696" s="39">
        <v>112156</v>
      </c>
      <c r="K3696" s="36" t="str">
        <f>CONCATENATE(Cover!$D$6,"fdd/view?i=",J3696)</f>
        <v>https://www.dgiwg.org/FAD/fdd/view?i=112156</v>
      </c>
      <c r="L3696" s="36" t="s">
        <v>30572</v>
      </c>
      <c r="M3696" s="186"/>
      <c r="N3696" s="186"/>
      <c r="O3696" s="172"/>
    </row>
    <row r="3697" spans="1:15" ht="25.5" x14ac:dyDescent="0.2">
      <c r="A3697" s="197" t="str">
        <f t="shared" si="57"/>
        <v>FfnCode_civilActivities</v>
      </c>
      <c r="B3697" s="409"/>
      <c r="C3697" s="416"/>
      <c r="D3697" s="198" t="s">
        <v>30573</v>
      </c>
      <c r="E3697" s="198">
        <v>822</v>
      </c>
      <c r="F3697" s="199" t="s">
        <v>30574</v>
      </c>
      <c r="G3697" s="1" t="s">
        <v>30575</v>
      </c>
      <c r="H3697" s="200"/>
      <c r="I3697" s="346"/>
      <c r="J3697" s="39">
        <v>112256</v>
      </c>
      <c r="K3697" s="36" t="str">
        <f>CONCATENATE(Cover!$D$6,"fdd/view?i=",J3697)</f>
        <v>https://www.dgiwg.org/FAD/fdd/view?i=112256</v>
      </c>
      <c r="L3697" s="36" t="s">
        <v>30576</v>
      </c>
      <c r="M3697" s="186"/>
      <c r="N3697" s="186"/>
      <c r="O3697" s="172"/>
    </row>
    <row r="3698" spans="1:15" ht="140.25" x14ac:dyDescent="0.2">
      <c r="A3698" s="197" t="str">
        <f t="shared" si="57"/>
        <v>FfnCode_civilIntelligence</v>
      </c>
      <c r="B3698" s="409"/>
      <c r="C3698" s="416"/>
      <c r="D3698" s="198" t="s">
        <v>30577</v>
      </c>
      <c r="E3698" s="198">
        <v>848</v>
      </c>
      <c r="F3698" s="199" t="s">
        <v>30578</v>
      </c>
      <c r="G3698" s="1" t="s">
        <v>30579</v>
      </c>
      <c r="H3698" s="1" t="s">
        <v>30580</v>
      </c>
      <c r="I3698" s="346"/>
      <c r="J3698" s="39">
        <v>118560</v>
      </c>
      <c r="K3698" s="36" t="str">
        <f>CONCATENATE(Cover!$D$6,"fdd/view?i=",J3698)</f>
        <v>https://www.dgiwg.org/FAD/fdd/view?i=118560</v>
      </c>
      <c r="L3698" s="36" t="s">
        <v>30581</v>
      </c>
      <c r="M3698" s="186"/>
      <c r="N3698" s="186"/>
      <c r="O3698" s="172"/>
    </row>
    <row r="3699" spans="1:15" ht="89.25" x14ac:dyDescent="0.2">
      <c r="A3699" s="197" t="str">
        <f t="shared" si="57"/>
        <v>FfnCode_clayProdManufac</v>
      </c>
      <c r="B3699" s="409"/>
      <c r="C3699" s="416"/>
      <c r="D3699" s="198" t="s">
        <v>30582</v>
      </c>
      <c r="E3699" s="198">
        <v>233</v>
      </c>
      <c r="F3699" s="199" t="s">
        <v>30583</v>
      </c>
      <c r="G3699" s="1" t="s">
        <v>30584</v>
      </c>
      <c r="H3699" s="1" t="s">
        <v>30585</v>
      </c>
      <c r="I3699" s="346"/>
      <c r="J3699" s="39">
        <v>111972</v>
      </c>
      <c r="K3699" s="36" t="str">
        <f>CONCATENATE(Cover!$D$6,"fdd/view?i=",J3699)</f>
        <v>https://www.dgiwg.org/FAD/fdd/view?i=111972</v>
      </c>
      <c r="L3699" s="36" t="s">
        <v>30586</v>
      </c>
      <c r="M3699" s="186"/>
      <c r="N3699" s="186"/>
      <c r="O3699" s="172"/>
    </row>
    <row r="3700" spans="1:15" ht="51" x14ac:dyDescent="0.2">
      <c r="A3700" s="197" t="str">
        <f t="shared" si="57"/>
        <v>FfnCode_club</v>
      </c>
      <c r="B3700" s="409"/>
      <c r="C3700" s="416"/>
      <c r="D3700" s="198" t="s">
        <v>30587</v>
      </c>
      <c r="E3700" s="198">
        <v>954</v>
      </c>
      <c r="F3700" s="199" t="s">
        <v>30588</v>
      </c>
      <c r="G3700" s="1" t="s">
        <v>30589</v>
      </c>
      <c r="H3700" s="200"/>
      <c r="I3700" s="346"/>
      <c r="J3700" s="39">
        <v>112394</v>
      </c>
      <c r="K3700" s="36" t="str">
        <f>CONCATENATE(Cover!$D$6,"fdd/view?i=",J3700)</f>
        <v>https://www.dgiwg.org/FAD/fdd/view?i=112394</v>
      </c>
      <c r="L3700" s="36" t="s">
        <v>30590</v>
      </c>
      <c r="M3700" s="186"/>
      <c r="N3700" s="186"/>
      <c r="O3700" s="172"/>
    </row>
    <row r="3701" spans="1:15" ht="38.25" x14ac:dyDescent="0.2">
      <c r="A3701" s="197" t="str">
        <f t="shared" si="57"/>
        <v>FfnCode_cokeManufac</v>
      </c>
      <c r="B3701" s="409"/>
      <c r="C3701" s="416"/>
      <c r="D3701" s="198" t="s">
        <v>30591</v>
      </c>
      <c r="E3701" s="198">
        <v>191</v>
      </c>
      <c r="F3701" s="199" t="s">
        <v>30592</v>
      </c>
      <c r="G3701" s="1" t="s">
        <v>30593</v>
      </c>
      <c r="H3701" s="1" t="s">
        <v>30594</v>
      </c>
      <c r="I3701" s="346"/>
      <c r="J3701" s="39">
        <v>111956</v>
      </c>
      <c r="K3701" s="36" t="str">
        <f>CONCATENATE(Cover!$D$6,"fdd/view?i=",J3701)</f>
        <v>https://www.dgiwg.org/FAD/fdd/view?i=111956</v>
      </c>
      <c r="L3701" s="36" t="s">
        <v>30595</v>
      </c>
      <c r="M3701" s="186"/>
      <c r="N3701" s="186"/>
      <c r="O3701" s="172"/>
    </row>
    <row r="3702" spans="1:15" ht="51" x14ac:dyDescent="0.2">
      <c r="A3702" s="197" t="str">
        <f t="shared" si="57"/>
        <v>FfnCode_commerce</v>
      </c>
      <c r="B3702" s="409"/>
      <c r="C3702" s="416"/>
      <c r="D3702" s="198" t="s">
        <v>30596</v>
      </c>
      <c r="E3702" s="198">
        <v>440</v>
      </c>
      <c r="F3702" s="199" t="s">
        <v>30597</v>
      </c>
      <c r="G3702" s="1" t="s">
        <v>30598</v>
      </c>
      <c r="H3702" s="200"/>
      <c r="I3702" s="346"/>
      <c r="J3702" s="39">
        <v>112054</v>
      </c>
      <c r="K3702" s="36" t="str">
        <f>CONCATENATE(Cover!$D$6,"fdd/view?i=",J3702)</f>
        <v>https://www.dgiwg.org/FAD/fdd/view?i=112054</v>
      </c>
      <c r="L3702" s="36" t="s">
        <v>30599</v>
      </c>
      <c r="M3702" s="186"/>
      <c r="N3702" s="186"/>
      <c r="O3702" s="172"/>
    </row>
    <row r="3703" spans="1:15" ht="102" x14ac:dyDescent="0.2">
      <c r="A3703" s="197" t="str">
        <f t="shared" si="57"/>
        <v>FfnCode_communalBath</v>
      </c>
      <c r="B3703" s="409"/>
      <c r="C3703" s="416"/>
      <c r="D3703" s="198" t="s">
        <v>30600</v>
      </c>
      <c r="E3703" s="198">
        <v>559</v>
      </c>
      <c r="F3703" s="199" t="s">
        <v>30601</v>
      </c>
      <c r="G3703" s="1" t="s">
        <v>30602</v>
      </c>
      <c r="H3703" s="1" t="s">
        <v>30603</v>
      </c>
      <c r="I3703" s="346"/>
      <c r="J3703" s="39">
        <v>119960</v>
      </c>
      <c r="K3703" s="36" t="str">
        <f>CONCATENATE(Cover!$D$6,"fdd/view?i=",J3703)</f>
        <v>https://www.dgiwg.org/FAD/fdd/view?i=119960</v>
      </c>
      <c r="L3703" s="36" t="s">
        <v>30604</v>
      </c>
      <c r="M3703" s="186"/>
      <c r="N3703" s="186"/>
      <c r="O3703" s="172"/>
    </row>
    <row r="3704" spans="1:15" ht="38.25" x14ac:dyDescent="0.2">
      <c r="A3704" s="197" t="str">
        <f t="shared" si="57"/>
        <v>FfnCode_communityCentre</v>
      </c>
      <c r="B3704" s="409"/>
      <c r="C3704" s="416"/>
      <c r="D3704" s="198" t="s">
        <v>27775</v>
      </c>
      <c r="E3704" s="198">
        <v>893</v>
      </c>
      <c r="F3704" s="199" t="s">
        <v>27776</v>
      </c>
      <c r="G3704" s="1" t="s">
        <v>30605</v>
      </c>
      <c r="H3704" s="200"/>
      <c r="I3704" s="346"/>
      <c r="J3704" s="39">
        <v>112320</v>
      </c>
      <c r="K3704" s="36" t="str">
        <f>CONCATENATE(Cover!$D$6,"fdd/view?i=",J3704)</f>
        <v>https://www.dgiwg.org/FAD/fdd/view?i=112320</v>
      </c>
      <c r="L3704" s="36" t="s">
        <v>30606</v>
      </c>
      <c r="M3704" s="186"/>
      <c r="N3704" s="186"/>
      <c r="O3704" s="172"/>
    </row>
    <row r="3705" spans="1:15" ht="102" x14ac:dyDescent="0.2">
      <c r="A3705" s="197" t="str">
        <f t="shared" si="57"/>
        <v>FfnCode_confectionManufac</v>
      </c>
      <c r="B3705" s="409"/>
      <c r="C3705" s="416"/>
      <c r="D3705" s="198" t="s">
        <v>30607</v>
      </c>
      <c r="E3705" s="198">
        <v>114</v>
      </c>
      <c r="F3705" s="199" t="s">
        <v>30608</v>
      </c>
      <c r="G3705" s="1" t="s">
        <v>30609</v>
      </c>
      <c r="H3705" s="1" t="s">
        <v>30610</v>
      </c>
      <c r="I3705" s="346"/>
      <c r="J3705" s="39">
        <v>111922</v>
      </c>
      <c r="K3705" s="36" t="str">
        <f>CONCATENATE(Cover!$D$6,"fdd/view?i=",J3705)</f>
        <v>https://www.dgiwg.org/FAD/fdd/view?i=111922</v>
      </c>
      <c r="L3705" s="36" t="s">
        <v>30611</v>
      </c>
      <c r="M3705" s="186"/>
      <c r="N3705" s="186"/>
      <c r="O3705" s="172"/>
    </row>
    <row r="3706" spans="1:15" ht="114.75" x14ac:dyDescent="0.2">
      <c r="A3706" s="197" t="str">
        <f t="shared" si="57"/>
        <v>FfnCode_consul</v>
      </c>
      <c r="B3706" s="409"/>
      <c r="C3706" s="416"/>
      <c r="D3706" s="198" t="s">
        <v>30612</v>
      </c>
      <c r="E3706" s="198">
        <v>828</v>
      </c>
      <c r="F3706" s="199" t="s">
        <v>30613</v>
      </c>
      <c r="G3706" s="1" t="s">
        <v>30614</v>
      </c>
      <c r="H3706" s="1" t="s">
        <v>30615</v>
      </c>
      <c r="I3706" s="346"/>
      <c r="J3706" s="39">
        <v>112264</v>
      </c>
      <c r="K3706" s="36" t="str">
        <f>CONCATENATE(Cover!$D$6,"fdd/view?i=",J3706)</f>
        <v>https://www.dgiwg.org/FAD/fdd/view?i=112264</v>
      </c>
      <c r="L3706" s="36" t="s">
        <v>30616</v>
      </c>
      <c r="M3706" s="186"/>
      <c r="N3706" s="186"/>
      <c r="O3706" s="172"/>
    </row>
    <row r="3707" spans="1:15" ht="38.25" x14ac:dyDescent="0.2">
      <c r="A3707" s="197" t="str">
        <f t="shared" si="57"/>
        <v>FfnCode_convenienceStore</v>
      </c>
      <c r="B3707" s="409"/>
      <c r="C3707" s="416"/>
      <c r="D3707" s="198" t="s">
        <v>30617</v>
      </c>
      <c r="E3707" s="198">
        <v>466</v>
      </c>
      <c r="F3707" s="199" t="s">
        <v>30618</v>
      </c>
      <c r="G3707" s="1" t="s">
        <v>30619</v>
      </c>
      <c r="H3707" s="200"/>
      <c r="I3707" s="346"/>
      <c r="J3707" s="39">
        <v>112058</v>
      </c>
      <c r="K3707" s="36" t="str">
        <f>CONCATENATE(Cover!$D$6,"fdd/view?i=",J3707)</f>
        <v>https://www.dgiwg.org/FAD/fdd/view?i=112058</v>
      </c>
      <c r="L3707" s="36" t="s">
        <v>30620</v>
      </c>
      <c r="M3707" s="186"/>
      <c r="N3707" s="186"/>
      <c r="O3707" s="172"/>
    </row>
    <row r="3708" spans="1:15" ht="76.5" x14ac:dyDescent="0.2">
      <c r="A3708" s="197" t="str">
        <f t="shared" si="57"/>
        <v>FfnCode_conventionCentre</v>
      </c>
      <c r="B3708" s="409"/>
      <c r="C3708" s="416"/>
      <c r="D3708" s="198" t="s">
        <v>30621</v>
      </c>
      <c r="E3708" s="198">
        <v>579</v>
      </c>
      <c r="F3708" s="199" t="s">
        <v>30622</v>
      </c>
      <c r="G3708" s="1" t="s">
        <v>30623</v>
      </c>
      <c r="H3708" s="1" t="s">
        <v>30624</v>
      </c>
      <c r="I3708" s="346"/>
      <c r="J3708" s="39">
        <v>112384</v>
      </c>
      <c r="K3708" s="36" t="str">
        <f>CONCATENATE(Cover!$D$6,"fdd/view?i=",J3708)</f>
        <v>https://www.dgiwg.org/FAD/fdd/view?i=112384</v>
      </c>
      <c r="L3708" s="36" t="s">
        <v>30625</v>
      </c>
      <c r="M3708" s="186"/>
      <c r="N3708" s="186"/>
      <c r="O3708" s="172"/>
    </row>
    <row r="3709" spans="1:15" x14ac:dyDescent="0.2">
      <c r="A3709" s="197" t="str">
        <f t="shared" si="57"/>
        <v>FfnCode_cooling</v>
      </c>
      <c r="B3709" s="409"/>
      <c r="C3709" s="416"/>
      <c r="D3709" s="198" t="s">
        <v>30626</v>
      </c>
      <c r="E3709" s="198">
        <v>355</v>
      </c>
      <c r="F3709" s="199" t="s">
        <v>30627</v>
      </c>
      <c r="G3709" s="1" t="s">
        <v>30628</v>
      </c>
      <c r="H3709" s="200"/>
      <c r="I3709" s="346"/>
      <c r="J3709" s="39">
        <v>112044</v>
      </c>
      <c r="K3709" s="36" t="str">
        <f>CONCATENATE(Cover!$D$6,"fdd/view?i=",J3709)</f>
        <v>https://www.dgiwg.org/FAD/fdd/view?i=112044</v>
      </c>
      <c r="L3709" s="36" t="s">
        <v>30629</v>
      </c>
      <c r="M3709" s="186"/>
      <c r="N3709" s="186"/>
      <c r="O3709" s="172"/>
    </row>
    <row r="3710" spans="1:15" ht="38.25" x14ac:dyDescent="0.2">
      <c r="A3710" s="197" t="str">
        <f t="shared" si="57"/>
        <v>FfnCode_courierActivities</v>
      </c>
      <c r="B3710" s="409"/>
      <c r="C3710" s="416"/>
      <c r="D3710" s="198" t="s">
        <v>30630</v>
      </c>
      <c r="E3710" s="198">
        <v>545</v>
      </c>
      <c r="F3710" s="199" t="s">
        <v>30631</v>
      </c>
      <c r="G3710" s="1" t="s">
        <v>30632</v>
      </c>
      <c r="H3710" s="1" t="s">
        <v>30633</v>
      </c>
      <c r="I3710" s="346"/>
      <c r="J3710" s="39">
        <v>118554</v>
      </c>
      <c r="K3710" s="36" t="str">
        <f>CONCATENATE(Cover!$D$6,"fdd/view?i=",J3710)</f>
        <v>https://www.dgiwg.org/FAD/fdd/view?i=118554</v>
      </c>
      <c r="L3710" s="36" t="s">
        <v>30634</v>
      </c>
      <c r="M3710" s="186"/>
      <c r="N3710" s="186"/>
      <c r="O3710" s="172"/>
    </row>
    <row r="3711" spans="1:15" ht="51" x14ac:dyDescent="0.2">
      <c r="A3711" s="197" t="str">
        <f t="shared" si="57"/>
        <v>FfnCode_cremation</v>
      </c>
      <c r="B3711" s="409"/>
      <c r="C3711" s="416"/>
      <c r="D3711" s="198" t="s">
        <v>30635</v>
      </c>
      <c r="E3711" s="198">
        <v>964</v>
      </c>
      <c r="F3711" s="199" t="s">
        <v>30636</v>
      </c>
      <c r="G3711" s="1" t="s">
        <v>30637</v>
      </c>
      <c r="H3711" s="1" t="s">
        <v>30638</v>
      </c>
      <c r="I3711" s="346"/>
      <c r="J3711" s="39">
        <v>112356</v>
      </c>
      <c r="K3711" s="36" t="str">
        <f>CONCATENATE(Cover!$D$6,"fdd/view?i=",J3711)</f>
        <v>https://www.dgiwg.org/FAD/fdd/view?i=112356</v>
      </c>
      <c r="L3711" s="36" t="s">
        <v>30639</v>
      </c>
      <c r="M3711" s="186"/>
      <c r="N3711" s="186"/>
      <c r="O3711" s="172"/>
    </row>
    <row r="3712" spans="1:15" x14ac:dyDescent="0.2">
      <c r="A3712" s="197" t="str">
        <f t="shared" si="57"/>
        <v>FfnCode_cropBaling</v>
      </c>
      <c r="B3712" s="409"/>
      <c r="C3712" s="416"/>
      <c r="D3712" s="198" t="s">
        <v>30640</v>
      </c>
      <c r="E3712" s="198">
        <v>17</v>
      </c>
      <c r="F3712" s="199" t="s">
        <v>30641</v>
      </c>
      <c r="G3712" s="1" t="s">
        <v>30642</v>
      </c>
      <c r="H3712" s="200"/>
      <c r="I3712" s="346"/>
      <c r="J3712" s="39">
        <v>111844</v>
      </c>
      <c r="K3712" s="36" t="str">
        <f>CONCATENATE(Cover!$D$6,"fdd/view?i=",J3712)</f>
        <v>https://www.dgiwg.org/FAD/fdd/view?i=111844</v>
      </c>
      <c r="L3712" s="36" t="s">
        <v>30643</v>
      </c>
      <c r="M3712" s="186"/>
      <c r="N3712" s="186"/>
      <c r="O3712" s="172"/>
    </row>
    <row r="3713" spans="1:15" ht="51" x14ac:dyDescent="0.2">
      <c r="A3713" s="197" t="str">
        <f t="shared" si="57"/>
        <v>FfnCode_custodialService</v>
      </c>
      <c r="B3713" s="409"/>
      <c r="C3713" s="416"/>
      <c r="D3713" s="198" t="s">
        <v>30644</v>
      </c>
      <c r="E3713" s="198">
        <v>791</v>
      </c>
      <c r="F3713" s="199" t="s">
        <v>30645</v>
      </c>
      <c r="G3713" s="1" t="s">
        <v>30646</v>
      </c>
      <c r="H3713" s="1" t="s">
        <v>30647</v>
      </c>
      <c r="I3713" s="346"/>
      <c r="J3713" s="39">
        <v>112236</v>
      </c>
      <c r="K3713" s="36" t="str">
        <f>CONCATENATE(Cover!$D$6,"fdd/view?i=",J3713)</f>
        <v>https://www.dgiwg.org/FAD/fdd/view?i=112236</v>
      </c>
      <c r="L3713" s="36" t="s">
        <v>30648</v>
      </c>
      <c r="M3713" s="186"/>
      <c r="N3713" s="186"/>
      <c r="O3713" s="172"/>
    </row>
    <row r="3714" spans="1:15" ht="51" x14ac:dyDescent="0.2">
      <c r="A3714" s="197" t="str">
        <f t="shared" ref="A3714:A3777" si="58">HYPERLINK(K3714,L3714)</f>
        <v>FfnCode_customsCheckpoint</v>
      </c>
      <c r="B3714" s="409"/>
      <c r="C3714" s="416"/>
      <c r="D3714" s="198" t="s">
        <v>25635</v>
      </c>
      <c r="E3714" s="198">
        <v>537</v>
      </c>
      <c r="F3714" s="199" t="s">
        <v>25636</v>
      </c>
      <c r="G3714" s="1" t="s">
        <v>25637</v>
      </c>
      <c r="H3714" s="200"/>
      <c r="I3714" s="346"/>
      <c r="J3714" s="39">
        <v>112118</v>
      </c>
      <c r="K3714" s="36" t="str">
        <f>CONCATENATE(Cover!$D$6,"fdd/view?i=",J3714)</f>
        <v>https://www.dgiwg.org/FAD/fdd/view?i=112118</v>
      </c>
      <c r="L3714" s="36" t="s">
        <v>30649</v>
      </c>
      <c r="M3714" s="186"/>
      <c r="N3714" s="186"/>
      <c r="O3714" s="172"/>
    </row>
    <row r="3715" spans="1:15" ht="102" x14ac:dyDescent="0.2">
      <c r="A3715" s="197" t="str">
        <f t="shared" si="58"/>
        <v>FfnCode_dairying</v>
      </c>
      <c r="B3715" s="409"/>
      <c r="C3715" s="416"/>
      <c r="D3715" s="198" t="s">
        <v>30650</v>
      </c>
      <c r="E3715" s="198">
        <v>106</v>
      </c>
      <c r="F3715" s="199" t="s">
        <v>30651</v>
      </c>
      <c r="G3715" s="1" t="s">
        <v>30652</v>
      </c>
      <c r="H3715" s="1" t="s">
        <v>30653</v>
      </c>
      <c r="I3715" s="346"/>
      <c r="J3715" s="39">
        <v>111910</v>
      </c>
      <c r="K3715" s="36" t="str">
        <f>CONCATENATE(Cover!$D$6,"fdd/view?i=",J3715)</f>
        <v>https://www.dgiwg.org/FAD/fdd/view?i=111910</v>
      </c>
      <c r="L3715" s="36" t="s">
        <v>30654</v>
      </c>
      <c r="M3715" s="186"/>
      <c r="N3715" s="186"/>
      <c r="O3715" s="172"/>
    </row>
    <row r="3716" spans="1:15" ht="51" x14ac:dyDescent="0.2">
      <c r="A3716" s="197" t="str">
        <f t="shared" si="58"/>
        <v>FfnCode_dayCare</v>
      </c>
      <c r="B3716" s="409"/>
      <c r="C3716" s="416"/>
      <c r="D3716" s="198" t="s">
        <v>30655</v>
      </c>
      <c r="E3716" s="198">
        <v>885</v>
      </c>
      <c r="F3716" s="199" t="s">
        <v>30656</v>
      </c>
      <c r="G3716" s="1" t="s">
        <v>30657</v>
      </c>
      <c r="H3716" s="200"/>
      <c r="I3716" s="351" t="s">
        <v>30658</v>
      </c>
      <c r="J3716" s="39">
        <v>112386</v>
      </c>
      <c r="K3716" s="36" t="str">
        <f>CONCATENATE(Cover!$D$6,"fdd/view?i=",J3716)</f>
        <v>https://www.dgiwg.org/FAD/fdd/view?i=112386</v>
      </c>
      <c r="L3716" s="36" t="s">
        <v>30659</v>
      </c>
      <c r="M3716" s="186"/>
      <c r="N3716" s="186"/>
      <c r="O3716" s="172"/>
    </row>
    <row r="3717" spans="1:15" ht="25.5" x14ac:dyDescent="0.2">
      <c r="A3717" s="197" t="str">
        <f t="shared" si="58"/>
        <v>FfnCode_defenceActivities</v>
      </c>
      <c r="B3717" s="409"/>
      <c r="C3717" s="416"/>
      <c r="D3717" s="198" t="s">
        <v>30660</v>
      </c>
      <c r="E3717" s="198">
        <v>835</v>
      </c>
      <c r="F3717" s="199" t="s">
        <v>30661</v>
      </c>
      <c r="G3717" s="1" t="s">
        <v>30662</v>
      </c>
      <c r="H3717" s="200"/>
      <c r="I3717" s="346"/>
      <c r="J3717" s="39">
        <v>112266</v>
      </c>
      <c r="K3717" s="36" t="str">
        <f>CONCATENATE(Cover!$D$6,"fdd/view?i=",J3717)</f>
        <v>https://www.dgiwg.org/FAD/fdd/view?i=112266</v>
      </c>
      <c r="L3717" s="36" t="s">
        <v>30663</v>
      </c>
      <c r="M3717" s="186"/>
      <c r="N3717" s="186"/>
      <c r="O3717" s="172"/>
    </row>
    <row r="3718" spans="1:15" ht="76.5" x14ac:dyDescent="0.2">
      <c r="A3718" s="197" t="str">
        <f t="shared" si="58"/>
        <v>FfnCode_dependentsHousing</v>
      </c>
      <c r="B3718" s="409"/>
      <c r="C3718" s="416"/>
      <c r="D3718" s="198" t="s">
        <v>30664</v>
      </c>
      <c r="E3718" s="198">
        <v>558</v>
      </c>
      <c r="F3718" s="199" t="s">
        <v>30665</v>
      </c>
      <c r="G3718" s="1" t="s">
        <v>30666</v>
      </c>
      <c r="H3718" s="1" t="s">
        <v>30667</v>
      </c>
      <c r="I3718" s="346"/>
      <c r="J3718" s="39">
        <v>112140</v>
      </c>
      <c r="K3718" s="36" t="str">
        <f>CONCATENATE(Cover!$D$6,"fdd/view?i=",J3718)</f>
        <v>https://www.dgiwg.org/FAD/fdd/view?i=112140</v>
      </c>
      <c r="L3718" s="36" t="s">
        <v>30668</v>
      </c>
      <c r="M3718" s="186"/>
      <c r="N3718" s="186"/>
      <c r="O3718" s="172"/>
    </row>
    <row r="3719" spans="1:15" ht="76.5" x14ac:dyDescent="0.2">
      <c r="A3719" s="197" t="str">
        <f t="shared" si="58"/>
        <v>FfnCode_diningHall</v>
      </c>
      <c r="B3719" s="409"/>
      <c r="C3719" s="416"/>
      <c r="D3719" s="198" t="s">
        <v>30669</v>
      </c>
      <c r="E3719" s="198">
        <v>574</v>
      </c>
      <c r="F3719" s="199" t="s">
        <v>30670</v>
      </c>
      <c r="G3719" s="1" t="s">
        <v>30671</v>
      </c>
      <c r="H3719" s="1" t="s">
        <v>30672</v>
      </c>
      <c r="I3719" s="351" t="s">
        <v>30673</v>
      </c>
      <c r="J3719" s="39">
        <v>112380</v>
      </c>
      <c r="K3719" s="36" t="str">
        <f>CONCATENATE(Cover!$D$6,"fdd/view?i=",J3719)</f>
        <v>https://www.dgiwg.org/FAD/fdd/view?i=112380</v>
      </c>
      <c r="L3719" s="36" t="s">
        <v>30674</v>
      </c>
      <c r="M3719" s="186"/>
      <c r="N3719" s="186"/>
      <c r="O3719" s="172"/>
    </row>
    <row r="3720" spans="1:15" ht="89.25" x14ac:dyDescent="0.2">
      <c r="A3720" s="197" t="str">
        <f t="shared" si="58"/>
        <v>FfnCode_diplomacy</v>
      </c>
      <c r="B3720" s="409"/>
      <c r="C3720" s="416"/>
      <c r="D3720" s="198" t="s">
        <v>30675</v>
      </c>
      <c r="E3720" s="198">
        <v>825</v>
      </c>
      <c r="F3720" s="199" t="s">
        <v>30676</v>
      </c>
      <c r="G3720" s="1" t="s">
        <v>30677</v>
      </c>
      <c r="H3720" s="1" t="s">
        <v>30678</v>
      </c>
      <c r="I3720" s="346"/>
      <c r="J3720" s="39">
        <v>112258</v>
      </c>
      <c r="K3720" s="36" t="str">
        <f>CONCATENATE(Cover!$D$6,"fdd/view?i=",J3720)</f>
        <v>https://www.dgiwg.org/FAD/fdd/view?i=112258</v>
      </c>
      <c r="L3720" s="36" t="s">
        <v>30679</v>
      </c>
      <c r="M3720" s="186"/>
      <c r="N3720" s="186"/>
      <c r="O3720" s="172"/>
    </row>
    <row r="3721" spans="1:15" ht="114.75" x14ac:dyDescent="0.2">
      <c r="A3721" s="197" t="str">
        <f t="shared" si="58"/>
        <v>FfnCode_diplomaticMission</v>
      </c>
      <c r="B3721" s="409"/>
      <c r="C3721" s="416"/>
      <c r="D3721" s="198" t="s">
        <v>30680</v>
      </c>
      <c r="E3721" s="198">
        <v>826</v>
      </c>
      <c r="F3721" s="199" t="s">
        <v>30681</v>
      </c>
      <c r="G3721" s="1" t="s">
        <v>30682</v>
      </c>
      <c r="H3721" s="1" t="s">
        <v>30683</v>
      </c>
      <c r="I3721" s="346"/>
      <c r="J3721" s="39">
        <v>112260</v>
      </c>
      <c r="K3721" s="36" t="str">
        <f>CONCATENATE(Cover!$D$6,"fdd/view?i=",J3721)</f>
        <v>https://www.dgiwg.org/FAD/fdd/view?i=112260</v>
      </c>
      <c r="L3721" s="36" t="s">
        <v>30684</v>
      </c>
      <c r="M3721" s="186"/>
      <c r="N3721" s="186"/>
      <c r="O3721" s="172"/>
    </row>
    <row r="3722" spans="1:15" ht="127.5" x14ac:dyDescent="0.2">
      <c r="A3722" s="197" t="str">
        <f t="shared" si="58"/>
        <v>FfnCode_dormitory</v>
      </c>
      <c r="B3722" s="409"/>
      <c r="C3722" s="416"/>
      <c r="D3722" s="198" t="s">
        <v>29016</v>
      </c>
      <c r="E3722" s="198">
        <v>556</v>
      </c>
      <c r="F3722" s="199" t="s">
        <v>29017</v>
      </c>
      <c r="G3722" s="1" t="s">
        <v>30685</v>
      </c>
      <c r="H3722" s="1" t="s">
        <v>30686</v>
      </c>
      <c r="I3722" s="351" t="s">
        <v>30687</v>
      </c>
      <c r="J3722" s="39">
        <v>112136</v>
      </c>
      <c r="K3722" s="36" t="str">
        <f>CONCATENATE(Cover!$D$6,"fdd/view?i=",J3722)</f>
        <v>https://www.dgiwg.org/FAD/fdd/view?i=112136</v>
      </c>
      <c r="L3722" s="36" t="s">
        <v>30688</v>
      </c>
      <c r="M3722" s="186"/>
      <c r="N3722" s="186"/>
      <c r="O3722" s="172"/>
    </row>
    <row r="3723" spans="1:15" ht="38.25" x14ac:dyDescent="0.2">
      <c r="A3723" s="197" t="str">
        <f t="shared" si="58"/>
        <v>FfnCode_drilling</v>
      </c>
      <c r="B3723" s="409"/>
      <c r="C3723" s="416"/>
      <c r="D3723" s="198" t="s">
        <v>30689</v>
      </c>
      <c r="E3723" s="198">
        <v>92</v>
      </c>
      <c r="F3723" s="199" t="s">
        <v>30690</v>
      </c>
      <c r="G3723" s="1" t="s">
        <v>30691</v>
      </c>
      <c r="H3723" s="200"/>
      <c r="I3723" s="346"/>
      <c r="J3723" s="39">
        <v>111892</v>
      </c>
      <c r="K3723" s="36" t="str">
        <f>CONCATENATE(Cover!$D$6,"fdd/view?i=",J3723)</f>
        <v>https://www.dgiwg.org/FAD/fdd/view?i=111892</v>
      </c>
      <c r="L3723" s="36" t="s">
        <v>30692</v>
      </c>
      <c r="M3723" s="186"/>
      <c r="N3723" s="186"/>
      <c r="O3723" s="172"/>
    </row>
    <row r="3724" spans="1:15" ht="76.5" x14ac:dyDescent="0.2">
      <c r="A3724" s="197" t="str">
        <f t="shared" si="58"/>
        <v>FfnCode_education</v>
      </c>
      <c r="B3724" s="409"/>
      <c r="C3724" s="416"/>
      <c r="D3724" s="198" t="s">
        <v>30693</v>
      </c>
      <c r="E3724" s="198">
        <v>850</v>
      </c>
      <c r="F3724" s="199" t="s">
        <v>30694</v>
      </c>
      <c r="G3724" s="1" t="s">
        <v>30695</v>
      </c>
      <c r="H3724" s="1" t="s">
        <v>30696</v>
      </c>
      <c r="I3724" s="346"/>
      <c r="J3724" s="39">
        <v>112284</v>
      </c>
      <c r="K3724" s="36" t="str">
        <f>CONCATENATE(Cover!$D$6,"fdd/view?i=",J3724)</f>
        <v>https://www.dgiwg.org/FAD/fdd/view?i=112284</v>
      </c>
      <c r="L3724" s="36" t="s">
        <v>30697</v>
      </c>
      <c r="M3724" s="186"/>
      <c r="N3724" s="186"/>
      <c r="O3724" s="172"/>
    </row>
    <row r="3725" spans="1:15" ht="51" x14ac:dyDescent="0.2">
      <c r="A3725" s="197" t="str">
        <f t="shared" si="58"/>
        <v>FfnCode_electricalEquipManufac</v>
      </c>
      <c r="B3725" s="409"/>
      <c r="C3725" s="416"/>
      <c r="D3725" s="198" t="s">
        <v>30698</v>
      </c>
      <c r="E3725" s="198">
        <v>270</v>
      </c>
      <c r="F3725" s="199" t="s">
        <v>30699</v>
      </c>
      <c r="G3725" s="1" t="s">
        <v>30700</v>
      </c>
      <c r="H3725" s="1" t="s">
        <v>30701</v>
      </c>
      <c r="I3725" s="346"/>
      <c r="J3725" s="39">
        <v>111996</v>
      </c>
      <c r="K3725" s="36" t="str">
        <f>CONCATENATE(Cover!$D$6,"fdd/view?i=",J3725)</f>
        <v>https://www.dgiwg.org/FAD/fdd/view?i=111996</v>
      </c>
      <c r="L3725" s="36" t="s">
        <v>30702</v>
      </c>
      <c r="M3725" s="186"/>
      <c r="N3725" s="186"/>
      <c r="O3725" s="172"/>
    </row>
    <row r="3726" spans="1:15" ht="153" x14ac:dyDescent="0.2">
      <c r="A3726" s="197" t="str">
        <f t="shared" si="58"/>
        <v>FfnCode_electricalEquipRepair</v>
      </c>
      <c r="B3726" s="409"/>
      <c r="C3726" s="416"/>
      <c r="D3726" s="198" t="s">
        <v>30703</v>
      </c>
      <c r="E3726" s="198">
        <v>333</v>
      </c>
      <c r="F3726" s="199" t="s">
        <v>30704</v>
      </c>
      <c r="G3726" s="1" t="s">
        <v>30705</v>
      </c>
      <c r="H3726" s="1" t="s">
        <v>30706</v>
      </c>
      <c r="I3726" s="346"/>
      <c r="J3726" s="39">
        <v>112028</v>
      </c>
      <c r="K3726" s="36" t="str">
        <f>CONCATENATE(Cover!$D$6,"fdd/view?i=",J3726)</f>
        <v>https://www.dgiwg.org/FAD/fdd/view?i=112028</v>
      </c>
      <c r="L3726" s="36" t="s">
        <v>30707</v>
      </c>
      <c r="M3726" s="186"/>
      <c r="N3726" s="186"/>
      <c r="O3726" s="172"/>
    </row>
    <row r="3727" spans="1:15" ht="114.75" x14ac:dyDescent="0.2">
      <c r="A3727" s="197" t="str">
        <f t="shared" si="58"/>
        <v>FfnCode_electronicEquipManufac</v>
      </c>
      <c r="B3727" s="409"/>
      <c r="C3727" s="416"/>
      <c r="D3727" s="198" t="s">
        <v>30708</v>
      </c>
      <c r="E3727" s="198">
        <v>260</v>
      </c>
      <c r="F3727" s="199" t="s">
        <v>30709</v>
      </c>
      <c r="G3727" s="1" t="s">
        <v>30710</v>
      </c>
      <c r="H3727" s="1" t="s">
        <v>30711</v>
      </c>
      <c r="I3727" s="346"/>
      <c r="J3727" s="39">
        <v>111994</v>
      </c>
      <c r="K3727" s="36" t="str">
        <f>CONCATENATE(Cover!$D$6,"fdd/view?i=",J3727)</f>
        <v>https://www.dgiwg.org/FAD/fdd/view?i=111994</v>
      </c>
      <c r="L3727" s="36" t="s">
        <v>30712</v>
      </c>
      <c r="M3727" s="186"/>
      <c r="N3727" s="186"/>
      <c r="O3727" s="172"/>
    </row>
    <row r="3728" spans="1:15" ht="114.75" x14ac:dyDescent="0.2">
      <c r="A3728" s="197" t="str">
        <f t="shared" si="58"/>
        <v>FfnCode_electronicEquipRepair</v>
      </c>
      <c r="B3728" s="409"/>
      <c r="C3728" s="416"/>
      <c r="D3728" s="198" t="s">
        <v>30713</v>
      </c>
      <c r="E3728" s="198">
        <v>332</v>
      </c>
      <c r="F3728" s="199" t="s">
        <v>30714</v>
      </c>
      <c r="G3728" s="1" t="s">
        <v>30715</v>
      </c>
      <c r="H3728" s="1" t="s">
        <v>30716</v>
      </c>
      <c r="I3728" s="346"/>
      <c r="J3728" s="39">
        <v>112026</v>
      </c>
      <c r="K3728" s="36" t="str">
        <f>CONCATENATE(Cover!$D$6,"fdd/view?i=",J3728)</f>
        <v>https://www.dgiwg.org/FAD/fdd/view?i=112026</v>
      </c>
      <c r="L3728" s="36" t="s">
        <v>30717</v>
      </c>
      <c r="M3728" s="186"/>
      <c r="N3728" s="186"/>
      <c r="O3728" s="172"/>
    </row>
    <row r="3729" spans="1:15" ht="89.25" x14ac:dyDescent="0.2">
      <c r="A3729" s="197" t="str">
        <f t="shared" si="58"/>
        <v>FfnCode_embassy</v>
      </c>
      <c r="B3729" s="409"/>
      <c r="C3729" s="416"/>
      <c r="D3729" s="198" t="s">
        <v>30718</v>
      </c>
      <c r="E3729" s="198">
        <v>827</v>
      </c>
      <c r="F3729" s="199" t="s">
        <v>30719</v>
      </c>
      <c r="G3729" s="1" t="s">
        <v>30720</v>
      </c>
      <c r="H3729" s="1" t="s">
        <v>30721</v>
      </c>
      <c r="I3729" s="351" t="s">
        <v>30722</v>
      </c>
      <c r="J3729" s="39">
        <v>112262</v>
      </c>
      <c r="K3729" s="36" t="str">
        <f>CONCATENATE(Cover!$D$6,"fdd/view?i=",J3729)</f>
        <v>https://www.dgiwg.org/FAD/fdd/view?i=112262</v>
      </c>
      <c r="L3729" s="36" t="s">
        <v>30723</v>
      </c>
      <c r="M3729" s="186"/>
      <c r="N3729" s="186"/>
      <c r="O3729" s="172"/>
    </row>
    <row r="3730" spans="1:15" ht="114.75" x14ac:dyDescent="0.2">
      <c r="A3730" s="197" t="str">
        <f t="shared" si="58"/>
        <v>FfnCode_emergencyOperations</v>
      </c>
      <c r="B3730" s="409"/>
      <c r="C3730" s="416"/>
      <c r="D3730" s="198" t="s">
        <v>30724</v>
      </c>
      <c r="E3730" s="198">
        <v>847</v>
      </c>
      <c r="F3730" s="199" t="s">
        <v>30725</v>
      </c>
      <c r="G3730" s="1" t="s">
        <v>30726</v>
      </c>
      <c r="H3730" s="1" t="s">
        <v>30727</v>
      </c>
      <c r="I3730" s="346"/>
      <c r="J3730" s="39">
        <v>118561</v>
      </c>
      <c r="K3730" s="36" t="str">
        <f>CONCATENATE(Cover!$D$6,"fdd/view?i=",J3730)</f>
        <v>https://www.dgiwg.org/FAD/fdd/view?i=118561</v>
      </c>
      <c r="L3730" s="36" t="s">
        <v>30728</v>
      </c>
      <c r="M3730" s="186"/>
      <c r="N3730" s="186"/>
      <c r="O3730" s="172"/>
    </row>
    <row r="3731" spans="1:15" ht="38.25" x14ac:dyDescent="0.2">
      <c r="A3731" s="197" t="str">
        <f t="shared" si="58"/>
        <v>FfnCode_emergencyReliefServices</v>
      </c>
      <c r="B3731" s="409"/>
      <c r="C3731" s="416"/>
      <c r="D3731" s="198" t="s">
        <v>30729</v>
      </c>
      <c r="E3731" s="198">
        <v>888</v>
      </c>
      <c r="F3731" s="199" t="s">
        <v>30730</v>
      </c>
      <c r="G3731" s="1" t="s">
        <v>30731</v>
      </c>
      <c r="H3731" s="1" t="s">
        <v>30732</v>
      </c>
      <c r="I3731" s="346"/>
      <c r="J3731" s="39">
        <v>118563</v>
      </c>
      <c r="K3731" s="36" t="str">
        <f>CONCATENATE(Cover!$D$6,"fdd/view?i=",J3731)</f>
        <v>https://www.dgiwg.org/FAD/fdd/view?i=118563</v>
      </c>
      <c r="L3731" s="36" t="s">
        <v>30733</v>
      </c>
      <c r="M3731" s="186"/>
      <c r="N3731" s="186"/>
      <c r="O3731" s="172"/>
    </row>
    <row r="3732" spans="1:15" ht="178.5" x14ac:dyDescent="0.2">
      <c r="A3732" s="197" t="str">
        <f t="shared" si="58"/>
        <v>FfnCode_emergencyShelter</v>
      </c>
      <c r="B3732" s="409"/>
      <c r="C3732" s="416"/>
      <c r="D3732" s="198" t="s">
        <v>29024</v>
      </c>
      <c r="E3732" s="198">
        <v>881</v>
      </c>
      <c r="F3732" s="199" t="s">
        <v>29025</v>
      </c>
      <c r="G3732" s="1" t="s">
        <v>30734</v>
      </c>
      <c r="H3732" s="1" t="s">
        <v>30735</v>
      </c>
      <c r="I3732" s="346"/>
      <c r="J3732" s="39">
        <v>112308</v>
      </c>
      <c r="K3732" s="36" t="str">
        <f>CONCATENATE(Cover!$D$6,"fdd/view?i=",J3732)</f>
        <v>https://www.dgiwg.org/FAD/fdd/view?i=112308</v>
      </c>
      <c r="L3732" s="36" t="s">
        <v>30736</v>
      </c>
      <c r="M3732" s="186"/>
      <c r="N3732" s="186"/>
      <c r="O3732" s="172"/>
    </row>
    <row r="3733" spans="1:15" ht="114.75" x14ac:dyDescent="0.2">
      <c r="A3733" s="197" t="str">
        <f t="shared" si="58"/>
        <v>FfnCode_emergencyYouthShelter</v>
      </c>
      <c r="B3733" s="409"/>
      <c r="C3733" s="416"/>
      <c r="D3733" s="198" t="s">
        <v>30737</v>
      </c>
      <c r="E3733" s="198">
        <v>884</v>
      </c>
      <c r="F3733" s="199" t="s">
        <v>30738</v>
      </c>
      <c r="G3733" s="1" t="s">
        <v>30739</v>
      </c>
      <c r="H3733" s="1" t="s">
        <v>30740</v>
      </c>
      <c r="I3733" s="346"/>
      <c r="J3733" s="39">
        <v>118567</v>
      </c>
      <c r="K3733" s="36" t="str">
        <f>CONCATENATE(Cover!$D$6,"fdd/view?i=",J3733)</f>
        <v>https://www.dgiwg.org/FAD/fdd/view?i=118567</v>
      </c>
      <c r="L3733" s="36" t="s">
        <v>30741</v>
      </c>
      <c r="M3733" s="186"/>
      <c r="N3733" s="186"/>
      <c r="O3733" s="172"/>
    </row>
    <row r="3734" spans="1:15" ht="89.25" x14ac:dyDescent="0.2">
      <c r="A3734" s="197" t="str">
        <f t="shared" si="58"/>
        <v>FfnCode_employmentAgency</v>
      </c>
      <c r="B3734" s="409"/>
      <c r="C3734" s="416"/>
      <c r="D3734" s="198" t="s">
        <v>30742</v>
      </c>
      <c r="E3734" s="198">
        <v>770</v>
      </c>
      <c r="F3734" s="199" t="s">
        <v>30743</v>
      </c>
      <c r="G3734" s="1" t="s">
        <v>30744</v>
      </c>
      <c r="H3734" s="200"/>
      <c r="I3734" s="346"/>
      <c r="J3734" s="39">
        <v>112228</v>
      </c>
      <c r="K3734" s="36" t="str">
        <f>CONCATENATE(Cover!$D$6,"fdd/view?i=",J3734)</f>
        <v>https://www.dgiwg.org/FAD/fdd/view?i=112228</v>
      </c>
      <c r="L3734" s="36" t="s">
        <v>30745</v>
      </c>
      <c r="M3734" s="186"/>
      <c r="N3734" s="186"/>
      <c r="O3734" s="172"/>
    </row>
    <row r="3735" spans="1:15" ht="76.5" x14ac:dyDescent="0.2">
      <c r="A3735" s="197" t="str">
        <f t="shared" si="58"/>
        <v>FfnCode_engineeringDesign</v>
      </c>
      <c r="B3735" s="409"/>
      <c r="C3735" s="416"/>
      <c r="D3735" s="198" t="s">
        <v>30746</v>
      </c>
      <c r="E3735" s="198">
        <v>714</v>
      </c>
      <c r="F3735" s="199" t="s">
        <v>30747</v>
      </c>
      <c r="G3735" s="1" t="s">
        <v>30748</v>
      </c>
      <c r="H3735" s="1" t="s">
        <v>30749</v>
      </c>
      <c r="I3735" s="346"/>
      <c r="J3735" s="39">
        <v>112206</v>
      </c>
      <c r="K3735" s="36" t="str">
        <f>CONCATENATE(Cover!$D$6,"fdd/view?i=",J3735)</f>
        <v>https://www.dgiwg.org/FAD/fdd/view?i=112206</v>
      </c>
      <c r="L3735" s="36" t="s">
        <v>30750</v>
      </c>
      <c r="M3735" s="186"/>
      <c r="N3735" s="186"/>
      <c r="O3735" s="172"/>
    </row>
    <row r="3736" spans="1:15" ht="63.75" x14ac:dyDescent="0.2">
      <c r="A3736" s="197" t="str">
        <f t="shared" si="58"/>
        <v>FfnCode_executiveActivities</v>
      </c>
      <c r="B3736" s="409"/>
      <c r="C3736" s="416"/>
      <c r="D3736" s="198" t="s">
        <v>30751</v>
      </c>
      <c r="E3736" s="198">
        <v>818</v>
      </c>
      <c r="F3736" s="199" t="s">
        <v>30752</v>
      </c>
      <c r="G3736" s="1" t="s">
        <v>30753</v>
      </c>
      <c r="H3736" s="200"/>
      <c r="I3736" s="346"/>
      <c r="J3736" s="39">
        <v>119268</v>
      </c>
      <c r="K3736" s="36" t="str">
        <f>CONCATENATE(Cover!$D$6,"fdd/view?i=",J3736)</f>
        <v>https://www.dgiwg.org/FAD/fdd/view?i=119268</v>
      </c>
      <c r="L3736" s="36" t="s">
        <v>30754</v>
      </c>
      <c r="M3736" s="186"/>
      <c r="N3736" s="186"/>
      <c r="O3736" s="172"/>
    </row>
    <row r="3737" spans="1:15" ht="114.75" x14ac:dyDescent="0.2">
      <c r="A3737" s="197" t="str">
        <f t="shared" si="58"/>
        <v>FfnCode_fabricMetalProdManufac</v>
      </c>
      <c r="B3737" s="409"/>
      <c r="C3737" s="416"/>
      <c r="D3737" s="198" t="s">
        <v>30755</v>
      </c>
      <c r="E3737" s="198">
        <v>257</v>
      </c>
      <c r="F3737" s="199" t="s">
        <v>30756</v>
      </c>
      <c r="G3737" s="1" t="s">
        <v>30757</v>
      </c>
      <c r="H3737" s="1" t="s">
        <v>30758</v>
      </c>
      <c r="I3737" s="346"/>
      <c r="J3737" s="39">
        <v>111992</v>
      </c>
      <c r="K3737" s="36" t="str">
        <f>CONCATENATE(Cover!$D$6,"fdd/view?i=",J3737)</f>
        <v>https://www.dgiwg.org/FAD/fdd/view?i=111992</v>
      </c>
      <c r="L3737" s="36" t="s">
        <v>30759</v>
      </c>
      <c r="M3737" s="186"/>
      <c r="N3737" s="186"/>
      <c r="O3737" s="172"/>
    </row>
    <row r="3738" spans="1:15" ht="267.75" x14ac:dyDescent="0.2">
      <c r="A3738" s="197" t="str">
        <f t="shared" si="58"/>
        <v>FfnCode_fabricMetalProdRepair</v>
      </c>
      <c r="B3738" s="409"/>
      <c r="C3738" s="416"/>
      <c r="D3738" s="198" t="s">
        <v>30760</v>
      </c>
      <c r="E3738" s="198">
        <v>331</v>
      </c>
      <c r="F3738" s="199" t="s">
        <v>30761</v>
      </c>
      <c r="G3738" s="1" t="s">
        <v>30762</v>
      </c>
      <c r="H3738" s="1" t="s">
        <v>30763</v>
      </c>
      <c r="I3738" s="346"/>
      <c r="J3738" s="39">
        <v>112024</v>
      </c>
      <c r="K3738" s="36" t="str">
        <f>CONCATENATE(Cover!$D$6,"fdd/view?i=",J3738)</f>
        <v>https://www.dgiwg.org/FAD/fdd/view?i=112024</v>
      </c>
      <c r="L3738" s="36" t="s">
        <v>30764</v>
      </c>
      <c r="M3738" s="186"/>
      <c r="N3738" s="186"/>
      <c r="O3738" s="172"/>
    </row>
    <row r="3739" spans="1:15" ht="51" x14ac:dyDescent="0.2">
      <c r="A3739" s="197" t="str">
        <f t="shared" si="58"/>
        <v>FfnCode_financialMarketAdmin</v>
      </c>
      <c r="B3739" s="409"/>
      <c r="C3739" s="416"/>
      <c r="D3739" s="198" t="s">
        <v>30765</v>
      </c>
      <c r="E3739" s="198">
        <v>662</v>
      </c>
      <c r="F3739" s="199" t="s">
        <v>30766</v>
      </c>
      <c r="G3739" s="1" t="s">
        <v>30767</v>
      </c>
      <c r="H3739" s="200"/>
      <c r="I3739" s="346"/>
      <c r="J3739" s="39">
        <v>112188</v>
      </c>
      <c r="K3739" s="36" t="str">
        <f>CONCATENATE(Cover!$D$6,"fdd/view?i=",J3739)</f>
        <v>https://www.dgiwg.org/FAD/fdd/view?i=112188</v>
      </c>
      <c r="L3739" s="36" t="s">
        <v>30768</v>
      </c>
      <c r="M3739" s="186"/>
      <c r="N3739" s="186"/>
      <c r="O3739" s="172"/>
    </row>
    <row r="3740" spans="1:15" ht="51" x14ac:dyDescent="0.2">
      <c r="A3740" s="197" t="str">
        <f t="shared" si="58"/>
        <v>FfnCode_financialServices</v>
      </c>
      <c r="B3740" s="409"/>
      <c r="C3740" s="416"/>
      <c r="D3740" s="198" t="s">
        <v>30769</v>
      </c>
      <c r="E3740" s="198">
        <v>640</v>
      </c>
      <c r="F3740" s="199" t="s">
        <v>30770</v>
      </c>
      <c r="G3740" s="1" t="s">
        <v>30771</v>
      </c>
      <c r="H3740" s="1" t="s">
        <v>30772</v>
      </c>
      <c r="I3740" s="346"/>
      <c r="J3740" s="39">
        <v>118555</v>
      </c>
      <c r="K3740" s="36" t="str">
        <f>CONCATENATE(Cover!$D$6,"fdd/view?i=",J3740)</f>
        <v>https://www.dgiwg.org/FAD/fdd/view?i=118555</v>
      </c>
      <c r="L3740" s="36" t="s">
        <v>30773</v>
      </c>
      <c r="M3740" s="186"/>
      <c r="N3740" s="186"/>
      <c r="O3740" s="172"/>
    </row>
    <row r="3741" spans="1:15" ht="38.25" x14ac:dyDescent="0.2">
      <c r="A3741" s="197" t="str">
        <f t="shared" si="58"/>
        <v>FfnCode_firefighting</v>
      </c>
      <c r="B3741" s="409"/>
      <c r="C3741" s="416"/>
      <c r="D3741" s="198" t="s">
        <v>30774</v>
      </c>
      <c r="E3741" s="198">
        <v>845</v>
      </c>
      <c r="F3741" s="199" t="s">
        <v>30775</v>
      </c>
      <c r="G3741" s="1" t="s">
        <v>30776</v>
      </c>
      <c r="H3741" s="1" t="s">
        <v>30777</v>
      </c>
      <c r="I3741" s="346"/>
      <c r="J3741" s="39">
        <v>112280</v>
      </c>
      <c r="K3741" s="36" t="str">
        <f>CONCATENATE(Cover!$D$6,"fdd/view?i=",J3741)</f>
        <v>https://www.dgiwg.org/FAD/fdd/view?i=112280</v>
      </c>
      <c r="L3741" s="36" t="s">
        <v>30778</v>
      </c>
      <c r="M3741" s="186"/>
      <c r="N3741" s="186"/>
      <c r="O3741" s="172"/>
    </row>
    <row r="3742" spans="1:15" ht="140.25" x14ac:dyDescent="0.2">
      <c r="A3742" s="197" t="str">
        <f t="shared" si="58"/>
        <v>FfnCode_fishing</v>
      </c>
      <c r="B3742" s="409"/>
      <c r="C3742" s="416"/>
      <c r="D3742" s="198" t="s">
        <v>19959</v>
      </c>
      <c r="E3742" s="198">
        <v>30</v>
      </c>
      <c r="F3742" s="199" t="s">
        <v>19960</v>
      </c>
      <c r="G3742" s="1" t="s">
        <v>30779</v>
      </c>
      <c r="H3742" s="1" t="s">
        <v>30780</v>
      </c>
      <c r="I3742" s="351" t="s">
        <v>30781</v>
      </c>
      <c r="J3742" s="39">
        <v>111854</v>
      </c>
      <c r="K3742" s="36" t="str">
        <f>CONCATENATE(Cover!$D$6,"fdd/view?i=",J3742)</f>
        <v>https://www.dgiwg.org/FAD/fdd/view?i=111854</v>
      </c>
      <c r="L3742" s="36" t="s">
        <v>30782</v>
      </c>
      <c r="M3742" s="186"/>
      <c r="N3742" s="186"/>
      <c r="O3742" s="172"/>
    </row>
    <row r="3743" spans="1:15" ht="76.5" x14ac:dyDescent="0.2">
      <c r="A3743" s="197" t="str">
        <f t="shared" si="58"/>
        <v>FfnCode_fitnessCentre</v>
      </c>
      <c r="B3743" s="409"/>
      <c r="C3743" s="416"/>
      <c r="D3743" s="198" t="s">
        <v>30783</v>
      </c>
      <c r="E3743" s="198">
        <v>913</v>
      </c>
      <c r="F3743" s="199" t="s">
        <v>30784</v>
      </c>
      <c r="G3743" s="1" t="s">
        <v>30785</v>
      </c>
      <c r="H3743" s="1" t="s">
        <v>30786</v>
      </c>
      <c r="I3743" s="346"/>
      <c r="J3743" s="39">
        <v>112334</v>
      </c>
      <c r="K3743" s="36" t="str">
        <f>CONCATENATE(Cover!$D$6,"fdd/view?i=",J3743)</f>
        <v>https://www.dgiwg.org/FAD/fdd/view?i=112334</v>
      </c>
      <c r="L3743" s="36" t="s">
        <v>30787</v>
      </c>
      <c r="M3743" s="186"/>
      <c r="N3743" s="186"/>
      <c r="O3743" s="172"/>
    </row>
    <row r="3744" spans="1:15" ht="25.5" x14ac:dyDescent="0.2">
      <c r="A3744" s="197" t="str">
        <f t="shared" si="58"/>
        <v>FfnCode_foodProcessing</v>
      </c>
      <c r="B3744" s="409"/>
      <c r="C3744" s="416"/>
      <c r="D3744" s="198" t="s">
        <v>30788</v>
      </c>
      <c r="E3744" s="198">
        <v>101</v>
      </c>
      <c r="F3744" s="199" t="s">
        <v>30789</v>
      </c>
      <c r="G3744" s="1" t="s">
        <v>30790</v>
      </c>
      <c r="H3744" s="200"/>
      <c r="I3744" s="346"/>
      <c r="J3744" s="39">
        <v>111900</v>
      </c>
      <c r="K3744" s="36" t="str">
        <f>CONCATENATE(Cover!$D$6,"fdd/view?i=",J3744)</f>
        <v>https://www.dgiwg.org/FAD/fdd/view?i=111900</v>
      </c>
      <c r="L3744" s="36" t="s">
        <v>30791</v>
      </c>
      <c r="M3744" s="186"/>
      <c r="N3744" s="186"/>
      <c r="O3744" s="172"/>
    </row>
    <row r="3745" spans="1:15" ht="51" x14ac:dyDescent="0.2">
      <c r="A3745" s="197" t="str">
        <f t="shared" si="58"/>
        <v>FfnCode_foodProductManufac</v>
      </c>
      <c r="B3745" s="409"/>
      <c r="C3745" s="416"/>
      <c r="D3745" s="198" t="s">
        <v>30792</v>
      </c>
      <c r="E3745" s="198">
        <v>100</v>
      </c>
      <c r="F3745" s="199" t="s">
        <v>30793</v>
      </c>
      <c r="G3745" s="1" t="s">
        <v>30794</v>
      </c>
      <c r="H3745" s="1" t="s">
        <v>30795</v>
      </c>
      <c r="I3745" s="346"/>
      <c r="J3745" s="39">
        <v>111898</v>
      </c>
      <c r="K3745" s="36" t="str">
        <f>CONCATENATE(Cover!$D$6,"fdd/view?i=",J3745)</f>
        <v>https://www.dgiwg.org/FAD/fdd/view?i=111898</v>
      </c>
      <c r="L3745" s="36" t="s">
        <v>30796</v>
      </c>
      <c r="M3745" s="186"/>
      <c r="N3745" s="186"/>
      <c r="O3745" s="172"/>
    </row>
    <row r="3746" spans="1:15" ht="63.75" x14ac:dyDescent="0.2">
      <c r="A3746" s="197" t="str">
        <f t="shared" si="58"/>
        <v>FfnCode_footwearManufac</v>
      </c>
      <c r="B3746" s="409"/>
      <c r="C3746" s="416"/>
      <c r="D3746" s="198" t="s">
        <v>30797</v>
      </c>
      <c r="E3746" s="198">
        <v>155</v>
      </c>
      <c r="F3746" s="199" t="s">
        <v>30798</v>
      </c>
      <c r="G3746" s="1" t="s">
        <v>30799</v>
      </c>
      <c r="H3746" s="1" t="s">
        <v>30800</v>
      </c>
      <c r="I3746" s="346"/>
      <c r="J3746" s="39">
        <v>111946</v>
      </c>
      <c r="K3746" s="36" t="str">
        <f>CONCATENATE(Cover!$D$6,"fdd/view?i=",J3746)</f>
        <v>https://www.dgiwg.org/FAD/fdd/view?i=111946</v>
      </c>
      <c r="L3746" s="36" t="s">
        <v>30801</v>
      </c>
      <c r="M3746" s="186"/>
      <c r="N3746" s="186"/>
      <c r="O3746" s="172"/>
    </row>
    <row r="3747" spans="1:15" ht="89.25" x14ac:dyDescent="0.2">
      <c r="A3747" s="197" t="str">
        <f t="shared" si="58"/>
        <v>FfnCode_forestryLogging</v>
      </c>
      <c r="B3747" s="409"/>
      <c r="C3747" s="416"/>
      <c r="D3747" s="198" t="s">
        <v>30807</v>
      </c>
      <c r="E3747" s="198">
        <v>20</v>
      </c>
      <c r="F3747" s="199" t="s">
        <v>30808</v>
      </c>
      <c r="G3747" s="1" t="s">
        <v>30809</v>
      </c>
      <c r="H3747" s="1" t="s">
        <v>30810</v>
      </c>
      <c r="I3747" s="346"/>
      <c r="J3747" s="39">
        <v>111848</v>
      </c>
      <c r="K3747" s="36" t="str">
        <f>CONCATENATE(Cover!$D$6,"fdd/view?i=",J3747)</f>
        <v>https://www.dgiwg.org/FAD/fdd/view?i=111848</v>
      </c>
      <c r="L3747" s="36" t="s">
        <v>30811</v>
      </c>
      <c r="M3747" s="186"/>
      <c r="N3747" s="186"/>
      <c r="O3747" s="172"/>
    </row>
    <row r="3748" spans="1:15" ht="25.5" x14ac:dyDescent="0.2">
      <c r="A3748" s="197" t="str">
        <f t="shared" si="58"/>
        <v>FfnCode_forestWarden</v>
      </c>
      <c r="B3748" s="409"/>
      <c r="C3748" s="416"/>
      <c r="D3748" s="198" t="s">
        <v>30802</v>
      </c>
      <c r="E3748" s="198">
        <v>27</v>
      </c>
      <c r="F3748" s="199" t="s">
        <v>30803</v>
      </c>
      <c r="G3748" s="1" t="s">
        <v>30804</v>
      </c>
      <c r="H3748" s="200"/>
      <c r="I3748" s="351" t="s">
        <v>30805</v>
      </c>
      <c r="J3748" s="39">
        <v>111852</v>
      </c>
      <c r="K3748" s="36" t="str">
        <f>CONCATENATE(Cover!$D$6,"fdd/view?i=",J3748)</f>
        <v>https://www.dgiwg.org/FAD/fdd/view?i=111852</v>
      </c>
      <c r="L3748" s="36" t="s">
        <v>30806</v>
      </c>
      <c r="M3748" s="186"/>
      <c r="N3748" s="186"/>
      <c r="O3748" s="172"/>
    </row>
    <row r="3749" spans="1:15" ht="51" x14ac:dyDescent="0.2">
      <c r="A3749" s="197" t="str">
        <f t="shared" si="58"/>
        <v>FfnCode_foundry</v>
      </c>
      <c r="B3749" s="409"/>
      <c r="C3749" s="416"/>
      <c r="D3749" s="198" t="s">
        <v>30812</v>
      </c>
      <c r="E3749" s="198">
        <v>243</v>
      </c>
      <c r="F3749" s="199" t="s">
        <v>30813</v>
      </c>
      <c r="G3749" s="1" t="s">
        <v>30814</v>
      </c>
      <c r="H3749" s="200"/>
      <c r="I3749" s="346"/>
      <c r="J3749" s="39">
        <v>111986</v>
      </c>
      <c r="K3749" s="36" t="str">
        <f>CONCATENATE(Cover!$D$6,"fdd/view?i=",J3749)</f>
        <v>https://www.dgiwg.org/FAD/fdd/view?i=111986</v>
      </c>
      <c r="L3749" s="36" t="s">
        <v>30815</v>
      </c>
      <c r="M3749" s="186"/>
      <c r="N3749" s="186"/>
      <c r="O3749" s="172"/>
    </row>
    <row r="3750" spans="1:15" ht="229.5" x14ac:dyDescent="0.2">
      <c r="A3750" s="197" t="str">
        <f t="shared" si="58"/>
        <v>FfnCode_fruitVegProcessing</v>
      </c>
      <c r="B3750" s="409"/>
      <c r="C3750" s="416"/>
      <c r="D3750" s="198" t="s">
        <v>30816</v>
      </c>
      <c r="E3750" s="198">
        <v>104</v>
      </c>
      <c r="F3750" s="199" t="s">
        <v>30817</v>
      </c>
      <c r="G3750" s="1" t="s">
        <v>30818</v>
      </c>
      <c r="H3750" s="1" t="s">
        <v>30819</v>
      </c>
      <c r="I3750" s="346"/>
      <c r="J3750" s="39">
        <v>111906</v>
      </c>
      <c r="K3750" s="36" t="str">
        <f>CONCATENATE(Cover!$D$6,"fdd/view?i=",J3750)</f>
        <v>https://www.dgiwg.org/FAD/fdd/view?i=111906</v>
      </c>
      <c r="L3750" s="36" t="s">
        <v>30820</v>
      </c>
      <c r="M3750" s="186"/>
      <c r="N3750" s="186"/>
      <c r="O3750" s="172"/>
    </row>
    <row r="3751" spans="1:15" ht="38.25" x14ac:dyDescent="0.2">
      <c r="A3751" s="197" t="str">
        <f t="shared" si="58"/>
        <v>FfnCode_fundManagement</v>
      </c>
      <c r="B3751" s="409"/>
      <c r="C3751" s="416"/>
      <c r="D3751" s="198" t="s">
        <v>30821</v>
      </c>
      <c r="E3751" s="198">
        <v>671</v>
      </c>
      <c r="F3751" s="199" t="s">
        <v>30822</v>
      </c>
      <c r="G3751" s="1" t="s">
        <v>30823</v>
      </c>
      <c r="H3751" s="200"/>
      <c r="I3751" s="346"/>
      <c r="J3751" s="39">
        <v>112192</v>
      </c>
      <c r="K3751" s="36" t="str">
        <f>CONCATENATE(Cover!$D$6,"fdd/view?i=",J3751)</f>
        <v>https://www.dgiwg.org/FAD/fdd/view?i=112192</v>
      </c>
      <c r="L3751" s="36" t="s">
        <v>30824</v>
      </c>
      <c r="M3751" s="186"/>
      <c r="N3751" s="186"/>
      <c r="O3751" s="172"/>
    </row>
    <row r="3752" spans="1:15" ht="76.5" x14ac:dyDescent="0.2">
      <c r="A3752" s="197" t="str">
        <f t="shared" si="58"/>
        <v>FfnCode_funeralServices</v>
      </c>
      <c r="B3752" s="409"/>
      <c r="C3752" s="416"/>
      <c r="D3752" s="198" t="s">
        <v>30825</v>
      </c>
      <c r="E3752" s="198">
        <v>963</v>
      </c>
      <c r="F3752" s="199" t="s">
        <v>30826</v>
      </c>
      <c r="G3752" s="1" t="s">
        <v>30827</v>
      </c>
      <c r="H3752" s="1" t="s">
        <v>30828</v>
      </c>
      <c r="I3752" s="346"/>
      <c r="J3752" s="39">
        <v>112354</v>
      </c>
      <c r="K3752" s="36" t="str">
        <f>CONCATENATE(Cover!$D$6,"fdd/view?i=",J3752)</f>
        <v>https://www.dgiwg.org/FAD/fdd/view?i=112354</v>
      </c>
      <c r="L3752" s="36" t="s">
        <v>30829</v>
      </c>
      <c r="M3752" s="186"/>
      <c r="N3752" s="186"/>
      <c r="O3752" s="172"/>
    </row>
    <row r="3753" spans="1:15" ht="114.75" x14ac:dyDescent="0.2">
      <c r="A3753" s="197" t="str">
        <f t="shared" si="58"/>
        <v>FfnCode_furnitureManufac</v>
      </c>
      <c r="B3753" s="409"/>
      <c r="C3753" s="416"/>
      <c r="D3753" s="198" t="s">
        <v>30830</v>
      </c>
      <c r="E3753" s="198">
        <v>310</v>
      </c>
      <c r="F3753" s="199" t="s">
        <v>30831</v>
      </c>
      <c r="G3753" s="1" t="s">
        <v>30832</v>
      </c>
      <c r="H3753" s="1" t="s">
        <v>30833</v>
      </c>
      <c r="I3753" s="346"/>
      <c r="J3753" s="39">
        <v>112010</v>
      </c>
      <c r="K3753" s="36" t="str">
        <f>CONCATENATE(Cover!$D$6,"fdd/view?i=",J3753)</f>
        <v>https://www.dgiwg.org/FAD/fdd/view?i=112010</v>
      </c>
      <c r="L3753" s="36" t="s">
        <v>30834</v>
      </c>
      <c r="M3753" s="186"/>
      <c r="N3753" s="186"/>
      <c r="O3753" s="172"/>
    </row>
    <row r="3754" spans="1:15" ht="51" x14ac:dyDescent="0.2">
      <c r="A3754" s="197" t="str">
        <f t="shared" si="58"/>
        <v>FfnCode_gambling</v>
      </c>
      <c r="B3754" s="409"/>
      <c r="C3754" s="416"/>
      <c r="D3754" s="198" t="s">
        <v>30835</v>
      </c>
      <c r="E3754" s="198">
        <v>909</v>
      </c>
      <c r="F3754" s="199" t="s">
        <v>30836</v>
      </c>
      <c r="G3754" s="1" t="s">
        <v>30837</v>
      </c>
      <c r="H3754" s="1" t="s">
        <v>30838</v>
      </c>
      <c r="I3754" s="346"/>
      <c r="J3754" s="39">
        <v>112330</v>
      </c>
      <c r="K3754" s="36" t="str">
        <f>CONCATENATE(Cover!$D$6,"fdd/view?i=",J3754)</f>
        <v>https://www.dgiwg.org/FAD/fdd/view?i=112330</v>
      </c>
      <c r="L3754" s="36" t="s">
        <v>30839</v>
      </c>
      <c r="M3754" s="186"/>
      <c r="N3754" s="186"/>
      <c r="O3754" s="172"/>
    </row>
    <row r="3755" spans="1:15" ht="63.75" x14ac:dyDescent="0.2">
      <c r="A3755" s="197" t="str">
        <f t="shared" si="58"/>
        <v>FfnCode_gameToyManufac</v>
      </c>
      <c r="B3755" s="409"/>
      <c r="C3755" s="416"/>
      <c r="D3755" s="198" t="s">
        <v>30840</v>
      </c>
      <c r="E3755" s="198">
        <v>324</v>
      </c>
      <c r="F3755" s="199" t="s">
        <v>30841</v>
      </c>
      <c r="G3755" s="1" t="s">
        <v>30842</v>
      </c>
      <c r="H3755" s="200"/>
      <c r="I3755" s="346"/>
      <c r="J3755" s="39">
        <v>112018</v>
      </c>
      <c r="K3755" s="36" t="str">
        <f>CONCATENATE(Cover!$D$6,"fdd/view?i=",J3755)</f>
        <v>https://www.dgiwg.org/FAD/fdd/view?i=112018</v>
      </c>
      <c r="L3755" s="36" t="s">
        <v>30843</v>
      </c>
      <c r="M3755" s="186"/>
      <c r="N3755" s="186"/>
      <c r="O3755" s="172"/>
    </row>
    <row r="3756" spans="1:15" ht="38.25" x14ac:dyDescent="0.2">
      <c r="A3756" s="197" t="str">
        <f t="shared" si="58"/>
        <v>FfnCode_gasOilSeparation</v>
      </c>
      <c r="B3756" s="409"/>
      <c r="C3756" s="416"/>
      <c r="D3756" s="198" t="s">
        <v>30844</v>
      </c>
      <c r="E3756" s="198">
        <v>91</v>
      </c>
      <c r="F3756" s="199" t="s">
        <v>30845</v>
      </c>
      <c r="G3756" s="1" t="s">
        <v>30846</v>
      </c>
      <c r="H3756" s="200"/>
      <c r="I3756" s="346"/>
      <c r="J3756" s="39">
        <v>111890</v>
      </c>
      <c r="K3756" s="36" t="str">
        <f>CONCATENATE(Cover!$D$6,"fdd/view?i=",J3756)</f>
        <v>https://www.dgiwg.org/FAD/fdd/view?i=111890</v>
      </c>
      <c r="L3756" s="36" t="s">
        <v>30847</v>
      </c>
      <c r="M3756" s="186"/>
      <c r="N3756" s="186"/>
      <c r="O3756" s="172"/>
    </row>
    <row r="3757" spans="1:15" ht="127.5" x14ac:dyDescent="0.2">
      <c r="A3757" s="197" t="str">
        <f t="shared" si="58"/>
        <v>FfnCode_generalRepair</v>
      </c>
      <c r="B3757" s="409"/>
      <c r="C3757" s="416"/>
      <c r="D3757" s="198" t="s">
        <v>30848</v>
      </c>
      <c r="E3757" s="198">
        <v>330</v>
      </c>
      <c r="F3757" s="199" t="s">
        <v>30849</v>
      </c>
      <c r="G3757" s="1" t="s">
        <v>30850</v>
      </c>
      <c r="H3757" s="1" t="s">
        <v>30851</v>
      </c>
      <c r="I3757" s="346"/>
      <c r="J3757" s="39">
        <v>112022</v>
      </c>
      <c r="K3757" s="36" t="str">
        <f>CONCATENATE(Cover!$D$6,"fdd/view?i=",J3757)</f>
        <v>https://www.dgiwg.org/FAD/fdd/view?i=112022</v>
      </c>
      <c r="L3757" s="36" t="s">
        <v>30852</v>
      </c>
      <c r="M3757" s="186"/>
      <c r="N3757" s="186"/>
      <c r="O3757" s="172"/>
    </row>
    <row r="3758" spans="1:15" ht="178.5" x14ac:dyDescent="0.2">
      <c r="A3758" s="197" t="str">
        <f t="shared" si="58"/>
        <v>FfnCode_glassProdManufac</v>
      </c>
      <c r="B3758" s="409"/>
      <c r="C3758" s="416"/>
      <c r="D3758" s="198" t="s">
        <v>30853</v>
      </c>
      <c r="E3758" s="198">
        <v>231</v>
      </c>
      <c r="F3758" s="199" t="s">
        <v>30854</v>
      </c>
      <c r="G3758" s="1" t="s">
        <v>30855</v>
      </c>
      <c r="H3758" s="1" t="s">
        <v>30856</v>
      </c>
      <c r="I3758" s="346"/>
      <c r="J3758" s="39">
        <v>111968</v>
      </c>
      <c r="K3758" s="36" t="str">
        <f>CONCATENATE(Cover!$D$6,"fdd/view?i=",J3758)</f>
        <v>https://www.dgiwg.org/FAD/fdd/view?i=111968</v>
      </c>
      <c r="L3758" s="36" t="s">
        <v>30857</v>
      </c>
      <c r="M3758" s="186"/>
      <c r="N3758" s="186"/>
      <c r="O3758" s="172"/>
    </row>
    <row r="3759" spans="1:15" ht="38.25" x14ac:dyDescent="0.2">
      <c r="A3759" s="197" t="str">
        <f t="shared" si="58"/>
        <v>FfnCode_government</v>
      </c>
      <c r="B3759" s="409"/>
      <c r="C3759" s="416"/>
      <c r="D3759" s="198" t="s">
        <v>30858</v>
      </c>
      <c r="E3759" s="198">
        <v>811</v>
      </c>
      <c r="F3759" s="199" t="s">
        <v>30859</v>
      </c>
      <c r="G3759" s="1" t="s">
        <v>30860</v>
      </c>
      <c r="H3759" s="200"/>
      <c r="I3759" s="346"/>
      <c r="J3759" s="39">
        <v>112248</v>
      </c>
      <c r="K3759" s="36" t="str">
        <f>CONCATENATE(Cover!$D$6,"fdd/view?i=",J3759)</f>
        <v>https://www.dgiwg.org/FAD/fdd/view?i=112248</v>
      </c>
      <c r="L3759" s="36" t="s">
        <v>30861</v>
      </c>
      <c r="M3759" s="186"/>
      <c r="N3759" s="186"/>
      <c r="O3759" s="172"/>
    </row>
    <row r="3760" spans="1:15" ht="140.25" x14ac:dyDescent="0.2">
      <c r="A3760" s="197" t="str">
        <f t="shared" si="58"/>
        <v>FfnCode_grainMilling</v>
      </c>
      <c r="B3760" s="409"/>
      <c r="C3760" s="416"/>
      <c r="D3760" s="198" t="s">
        <v>30862</v>
      </c>
      <c r="E3760" s="198">
        <v>107</v>
      </c>
      <c r="F3760" s="199" t="s">
        <v>30863</v>
      </c>
      <c r="G3760" s="1" t="s">
        <v>30864</v>
      </c>
      <c r="H3760" s="1" t="s">
        <v>30865</v>
      </c>
      <c r="I3760" s="346"/>
      <c r="J3760" s="39">
        <v>111912</v>
      </c>
      <c r="K3760" s="36" t="str">
        <f>CONCATENATE(Cover!$D$6,"fdd/view?i=",J3760)</f>
        <v>https://www.dgiwg.org/FAD/fdd/view?i=111912</v>
      </c>
      <c r="L3760" s="36" t="s">
        <v>30866</v>
      </c>
      <c r="M3760" s="186"/>
      <c r="N3760" s="186"/>
      <c r="O3760" s="172"/>
    </row>
    <row r="3761" spans="1:15" ht="63.75" x14ac:dyDescent="0.2">
      <c r="A3761" s="197" t="str">
        <f t="shared" si="58"/>
        <v>FfnCode_grazing</v>
      </c>
      <c r="B3761" s="409"/>
      <c r="C3761" s="416"/>
      <c r="D3761" s="198" t="s">
        <v>30329</v>
      </c>
      <c r="E3761" s="198">
        <v>14</v>
      </c>
      <c r="F3761" s="199" t="s">
        <v>30330</v>
      </c>
      <c r="G3761" s="1" t="s">
        <v>30867</v>
      </c>
      <c r="H3761" s="1" t="s">
        <v>30868</v>
      </c>
      <c r="I3761" s="346"/>
      <c r="J3761" s="39">
        <v>111838</v>
      </c>
      <c r="K3761" s="36" t="str">
        <f>CONCATENATE(Cover!$D$6,"fdd/view?i=",J3761)</f>
        <v>https://www.dgiwg.org/FAD/fdd/view?i=111838</v>
      </c>
      <c r="L3761" s="36" t="s">
        <v>30869</v>
      </c>
      <c r="M3761" s="186"/>
      <c r="N3761" s="186"/>
      <c r="O3761" s="172"/>
    </row>
    <row r="3762" spans="1:15" ht="38.25" x14ac:dyDescent="0.2">
      <c r="A3762" s="197" t="str">
        <f t="shared" si="58"/>
        <v>FfnCode_grocery</v>
      </c>
      <c r="B3762" s="409"/>
      <c r="C3762" s="416"/>
      <c r="D3762" s="198" t="s">
        <v>30870</v>
      </c>
      <c r="E3762" s="198">
        <v>476</v>
      </c>
      <c r="F3762" s="199" t="s">
        <v>30871</v>
      </c>
      <c r="G3762" s="1" t="s">
        <v>30872</v>
      </c>
      <c r="H3762" s="200"/>
      <c r="I3762" s="346"/>
      <c r="J3762" s="39">
        <v>112372</v>
      </c>
      <c r="K3762" s="36" t="str">
        <f>CONCATENATE(Cover!$D$6,"fdd/view?i=",J3762)</f>
        <v>https://www.dgiwg.org/FAD/fdd/view?i=112372</v>
      </c>
      <c r="L3762" s="36" t="s">
        <v>30873</v>
      </c>
      <c r="M3762" s="186"/>
      <c r="N3762" s="186"/>
      <c r="O3762" s="172"/>
    </row>
    <row r="3763" spans="1:15" ht="89.25" x14ac:dyDescent="0.2">
      <c r="A3763" s="197" t="str">
        <f t="shared" si="58"/>
        <v>FfnCode_growingOfCrops</v>
      </c>
      <c r="B3763" s="409"/>
      <c r="C3763" s="416"/>
      <c r="D3763" s="198" t="s">
        <v>30874</v>
      </c>
      <c r="E3763" s="198">
        <v>3</v>
      </c>
      <c r="F3763" s="199" t="s">
        <v>30875</v>
      </c>
      <c r="G3763" s="1" t="s">
        <v>30876</v>
      </c>
      <c r="H3763" s="1" t="s">
        <v>30877</v>
      </c>
      <c r="I3763" s="346"/>
      <c r="J3763" s="39">
        <v>111834</v>
      </c>
      <c r="K3763" s="36" t="str">
        <f>CONCATENATE(Cover!$D$6,"fdd/view?i=",J3763)</f>
        <v>https://www.dgiwg.org/FAD/fdd/view?i=111834</v>
      </c>
      <c r="L3763" s="36" t="s">
        <v>30878</v>
      </c>
      <c r="M3763" s="186"/>
      <c r="N3763" s="186"/>
      <c r="O3763" s="172"/>
    </row>
    <row r="3764" spans="1:15" x14ac:dyDescent="0.2">
      <c r="A3764" s="197" t="str">
        <f t="shared" si="58"/>
        <v>FfnCode_guard</v>
      </c>
      <c r="B3764" s="409"/>
      <c r="C3764" s="416"/>
      <c r="D3764" s="198" t="s">
        <v>30879</v>
      </c>
      <c r="E3764" s="198">
        <v>781</v>
      </c>
      <c r="F3764" s="199" t="s">
        <v>30880</v>
      </c>
      <c r="G3764" s="1" t="s">
        <v>30881</v>
      </c>
      <c r="H3764" s="1" t="s">
        <v>30882</v>
      </c>
      <c r="I3764" s="346"/>
      <c r="J3764" s="39">
        <v>112234</v>
      </c>
      <c r="K3764" s="36" t="str">
        <f>CONCATENATE(Cover!$D$6,"fdd/view?i=",J3764)</f>
        <v>https://www.dgiwg.org/FAD/fdd/view?i=112234</v>
      </c>
      <c r="L3764" s="36" t="s">
        <v>30883</v>
      </c>
      <c r="M3764" s="186"/>
      <c r="N3764" s="186"/>
      <c r="O3764" s="172"/>
    </row>
    <row r="3765" spans="1:15" ht="51" x14ac:dyDescent="0.2">
      <c r="A3765" s="197" t="str">
        <f t="shared" si="58"/>
        <v>FfnCode_guestHouse</v>
      </c>
      <c r="B3765" s="409"/>
      <c r="C3765" s="416"/>
      <c r="D3765" s="198" t="s">
        <v>30884</v>
      </c>
      <c r="E3765" s="198">
        <v>554</v>
      </c>
      <c r="F3765" s="199" t="s">
        <v>30885</v>
      </c>
      <c r="G3765" s="1" t="s">
        <v>30886</v>
      </c>
      <c r="H3765" s="1" t="s">
        <v>30887</v>
      </c>
      <c r="I3765" s="351" t="s">
        <v>30888</v>
      </c>
      <c r="J3765" s="39">
        <v>112132</v>
      </c>
      <c r="K3765" s="36" t="str">
        <f>CONCATENATE(Cover!$D$6,"fdd/view?i=",J3765)</f>
        <v>https://www.dgiwg.org/FAD/fdd/view?i=112132</v>
      </c>
      <c r="L3765" s="36" t="s">
        <v>30889</v>
      </c>
      <c r="M3765" s="186"/>
      <c r="N3765" s="186"/>
      <c r="O3765" s="172"/>
    </row>
    <row r="3766" spans="1:15" ht="38.25" x14ac:dyDescent="0.2">
      <c r="A3766" s="197" t="str">
        <f t="shared" si="58"/>
        <v>FfnCode_harbourControl</v>
      </c>
      <c r="B3766" s="409"/>
      <c r="C3766" s="416"/>
      <c r="D3766" s="198" t="s">
        <v>30890</v>
      </c>
      <c r="E3766" s="198">
        <v>513</v>
      </c>
      <c r="F3766" s="199" t="s">
        <v>30891</v>
      </c>
      <c r="G3766" s="1" t="s">
        <v>30892</v>
      </c>
      <c r="H3766" s="200"/>
      <c r="I3766" s="346"/>
      <c r="J3766" s="39">
        <v>112106</v>
      </c>
      <c r="K3766" s="36" t="str">
        <f>CONCATENATE(Cover!$D$6,"fdd/view?i=",J3766)</f>
        <v>https://www.dgiwg.org/FAD/fdd/view?i=112106</v>
      </c>
      <c r="L3766" s="36" t="s">
        <v>30893</v>
      </c>
      <c r="M3766" s="186"/>
      <c r="N3766" s="186"/>
      <c r="O3766" s="172"/>
    </row>
    <row r="3767" spans="1:15" ht="76.5" x14ac:dyDescent="0.2">
      <c r="A3767" s="197" t="str">
        <f t="shared" si="58"/>
        <v>FfnCode_headOffice</v>
      </c>
      <c r="B3767" s="409"/>
      <c r="C3767" s="416"/>
      <c r="D3767" s="198" t="s">
        <v>30894</v>
      </c>
      <c r="E3767" s="198">
        <v>701</v>
      </c>
      <c r="F3767" s="199" t="s">
        <v>30895</v>
      </c>
      <c r="G3767" s="1" t="s">
        <v>30896</v>
      </c>
      <c r="H3767" s="1" t="s">
        <v>30897</v>
      </c>
      <c r="I3767" s="346"/>
      <c r="J3767" s="39">
        <v>112200</v>
      </c>
      <c r="K3767" s="36" t="str">
        <f>CONCATENATE(Cover!$D$6,"fdd/view?i=",J3767)</f>
        <v>https://www.dgiwg.org/FAD/fdd/view?i=112200</v>
      </c>
      <c r="L3767" s="36" t="s">
        <v>30898</v>
      </c>
      <c r="M3767" s="186"/>
      <c r="N3767" s="186"/>
      <c r="O3767" s="172"/>
    </row>
    <row r="3768" spans="1:15" ht="25.5" x14ac:dyDescent="0.2">
      <c r="A3768" s="197" t="str">
        <f t="shared" si="58"/>
        <v>FfnCode_headquarters</v>
      </c>
      <c r="B3768" s="409"/>
      <c r="C3768" s="416"/>
      <c r="D3768" s="198" t="s">
        <v>30899</v>
      </c>
      <c r="E3768" s="198">
        <v>809</v>
      </c>
      <c r="F3768" s="199" t="s">
        <v>30900</v>
      </c>
      <c r="G3768" s="1" t="s">
        <v>30901</v>
      </c>
      <c r="H3768" s="200"/>
      <c r="I3768" s="346"/>
      <c r="J3768" s="39">
        <v>112244</v>
      </c>
      <c r="K3768" s="36" t="str">
        <f>CONCATENATE(Cover!$D$6,"fdd/view?i=",J3768)</f>
        <v>https://www.dgiwg.org/FAD/fdd/view?i=112244</v>
      </c>
      <c r="L3768" s="36" t="s">
        <v>30902</v>
      </c>
      <c r="M3768" s="186"/>
      <c r="N3768" s="186"/>
      <c r="O3768" s="172"/>
    </row>
    <row r="3769" spans="1:15" x14ac:dyDescent="0.2">
      <c r="A3769" s="197" t="str">
        <f t="shared" si="58"/>
        <v>FfnCode_heating</v>
      </c>
      <c r="B3769" s="409"/>
      <c r="C3769" s="416"/>
      <c r="D3769" s="198" t="s">
        <v>30903</v>
      </c>
      <c r="E3769" s="198">
        <v>356</v>
      </c>
      <c r="F3769" s="199" t="s">
        <v>30904</v>
      </c>
      <c r="G3769" s="1" t="s">
        <v>30905</v>
      </c>
      <c r="H3769" s="200"/>
      <c r="I3769" s="346"/>
      <c r="J3769" s="39">
        <v>112360</v>
      </c>
      <c r="K3769" s="36" t="str">
        <f>CONCATENATE(Cover!$D$6,"fdd/view?i=",J3769)</f>
        <v>https://www.dgiwg.org/FAD/fdd/view?i=112360</v>
      </c>
      <c r="L3769" s="36" t="s">
        <v>30906</v>
      </c>
      <c r="M3769" s="186"/>
      <c r="N3769" s="186"/>
      <c r="O3769" s="172"/>
    </row>
    <row r="3770" spans="1:15" ht="76.5" x14ac:dyDescent="0.2">
      <c r="A3770" s="197" t="str">
        <f t="shared" si="58"/>
        <v>FfnCode_higherEducation</v>
      </c>
      <c r="B3770" s="409"/>
      <c r="C3770" s="416"/>
      <c r="D3770" s="198" t="s">
        <v>30907</v>
      </c>
      <c r="E3770" s="198">
        <v>855</v>
      </c>
      <c r="F3770" s="199" t="s">
        <v>30908</v>
      </c>
      <c r="G3770" s="1" t="s">
        <v>30909</v>
      </c>
      <c r="H3770" s="1" t="s">
        <v>30910</v>
      </c>
      <c r="I3770" s="346"/>
      <c r="J3770" s="39">
        <v>112290</v>
      </c>
      <c r="K3770" s="36" t="str">
        <f>CONCATENATE(Cover!$D$6,"fdd/view?i=",J3770)</f>
        <v>https://www.dgiwg.org/FAD/fdd/view?i=112290</v>
      </c>
      <c r="L3770" s="36" t="s">
        <v>30911</v>
      </c>
      <c r="M3770" s="186"/>
      <c r="N3770" s="186"/>
      <c r="O3770" s="172"/>
    </row>
    <row r="3771" spans="1:15" ht="38.25" x14ac:dyDescent="0.2">
      <c r="A3771" s="197" t="str">
        <f t="shared" si="58"/>
        <v>FfnCode_hobbyLeisureActivities</v>
      </c>
      <c r="B3771" s="409"/>
      <c r="C3771" s="416"/>
      <c r="D3771" s="198" t="s">
        <v>30912</v>
      </c>
      <c r="E3771" s="198">
        <v>923</v>
      </c>
      <c r="F3771" s="199" t="s">
        <v>30913</v>
      </c>
      <c r="G3771" s="1" t="s">
        <v>30914</v>
      </c>
      <c r="H3771" s="1" t="s">
        <v>30915</v>
      </c>
      <c r="I3771" s="346"/>
      <c r="J3771" s="39">
        <v>112392</v>
      </c>
      <c r="K3771" s="36" t="str">
        <f>CONCATENATE(Cover!$D$6,"fdd/view?i=",J3771)</f>
        <v>https://www.dgiwg.org/FAD/fdd/view?i=112392</v>
      </c>
      <c r="L3771" s="36" t="s">
        <v>30916</v>
      </c>
      <c r="M3771" s="186"/>
      <c r="N3771" s="186"/>
      <c r="O3771" s="172"/>
    </row>
    <row r="3772" spans="1:15" ht="102" x14ac:dyDescent="0.2">
      <c r="A3772" s="197" t="str">
        <f t="shared" si="58"/>
        <v>FfnCode_homelessShelter</v>
      </c>
      <c r="B3772" s="409"/>
      <c r="C3772" s="416"/>
      <c r="D3772" s="198" t="s">
        <v>30917</v>
      </c>
      <c r="E3772" s="198">
        <v>882</v>
      </c>
      <c r="F3772" s="199" t="s">
        <v>30918</v>
      </c>
      <c r="G3772" s="1" t="s">
        <v>30919</v>
      </c>
      <c r="H3772" s="1" t="s">
        <v>30920</v>
      </c>
      <c r="I3772" s="346"/>
      <c r="J3772" s="39">
        <v>112310</v>
      </c>
      <c r="K3772" s="36" t="str">
        <f>CONCATENATE(Cover!$D$6,"fdd/view?i=",J3772)</f>
        <v>https://www.dgiwg.org/FAD/fdd/view?i=112310</v>
      </c>
      <c r="L3772" s="36" t="s">
        <v>30921</v>
      </c>
      <c r="M3772" s="186"/>
      <c r="N3772" s="186"/>
      <c r="O3772" s="172"/>
    </row>
    <row r="3773" spans="1:15" ht="38.25" x14ac:dyDescent="0.2">
      <c r="A3773" s="197" t="str">
        <f t="shared" si="58"/>
        <v>FfnCode_hostel</v>
      </c>
      <c r="B3773" s="409"/>
      <c r="C3773" s="416"/>
      <c r="D3773" s="198" t="s">
        <v>30922</v>
      </c>
      <c r="E3773" s="198">
        <v>555</v>
      </c>
      <c r="F3773" s="199" t="s">
        <v>30923</v>
      </c>
      <c r="G3773" s="1" t="s">
        <v>30924</v>
      </c>
      <c r="H3773" s="1" t="s">
        <v>30925</v>
      </c>
      <c r="I3773" s="351" t="s">
        <v>29058</v>
      </c>
      <c r="J3773" s="39">
        <v>112134</v>
      </c>
      <c r="K3773" s="36" t="str">
        <f>CONCATENATE(Cover!$D$6,"fdd/view?i=",J3773)</f>
        <v>https://www.dgiwg.org/FAD/fdd/view?i=112134</v>
      </c>
      <c r="L3773" s="36" t="s">
        <v>30926</v>
      </c>
      <c r="M3773" s="186"/>
      <c r="N3773" s="186"/>
      <c r="O3773" s="172"/>
    </row>
    <row r="3774" spans="1:15" ht="89.25" x14ac:dyDescent="0.2">
      <c r="A3774" s="197" t="str">
        <f t="shared" si="58"/>
        <v>FfnCode_hotel</v>
      </c>
      <c r="B3774" s="409"/>
      <c r="C3774" s="416"/>
      <c r="D3774" s="198" t="s">
        <v>23131</v>
      </c>
      <c r="E3774" s="198">
        <v>551</v>
      </c>
      <c r="F3774" s="199" t="s">
        <v>23132</v>
      </c>
      <c r="G3774" s="1" t="s">
        <v>30927</v>
      </c>
      <c r="H3774" s="1" t="s">
        <v>30928</v>
      </c>
      <c r="I3774" s="346"/>
      <c r="J3774" s="39">
        <v>112126</v>
      </c>
      <c r="K3774" s="36" t="str">
        <f>CONCATENATE(Cover!$D$6,"fdd/view?i=",J3774)</f>
        <v>https://www.dgiwg.org/FAD/fdd/view?i=112126</v>
      </c>
      <c r="L3774" s="36" t="s">
        <v>30929</v>
      </c>
      <c r="M3774" s="186"/>
      <c r="N3774" s="186"/>
      <c r="O3774" s="172"/>
    </row>
    <row r="3775" spans="1:15" ht="140.25" x14ac:dyDescent="0.2">
      <c r="A3775" s="197" t="str">
        <f t="shared" si="58"/>
        <v>FfnCode_humanHealthActivities</v>
      </c>
      <c r="B3775" s="409"/>
      <c r="C3775" s="416"/>
      <c r="D3775" s="198" t="s">
        <v>30930</v>
      </c>
      <c r="E3775" s="198">
        <v>860</v>
      </c>
      <c r="F3775" s="199" t="s">
        <v>30931</v>
      </c>
      <c r="G3775" s="1" t="s">
        <v>30932</v>
      </c>
      <c r="H3775" s="1" t="s">
        <v>30933</v>
      </c>
      <c r="I3775" s="346"/>
      <c r="J3775" s="39">
        <v>112294</v>
      </c>
      <c r="K3775" s="36" t="str">
        <f>CONCATENATE(Cover!$D$6,"fdd/view?i=",J3775)</f>
        <v>https://www.dgiwg.org/FAD/fdd/view?i=112294</v>
      </c>
      <c r="L3775" s="36" t="s">
        <v>30934</v>
      </c>
      <c r="M3775" s="186"/>
      <c r="N3775" s="186"/>
      <c r="O3775" s="172"/>
    </row>
    <row r="3776" spans="1:15" ht="51" x14ac:dyDescent="0.2">
      <c r="A3776" s="197" t="str">
        <f t="shared" si="58"/>
        <v>FfnCode_humanTissueRepository</v>
      </c>
      <c r="B3776" s="409"/>
      <c r="C3776" s="416"/>
      <c r="D3776" s="198" t="s">
        <v>30935</v>
      </c>
      <c r="E3776" s="198">
        <v>864</v>
      </c>
      <c r="F3776" s="199" t="s">
        <v>30936</v>
      </c>
      <c r="G3776" s="1" t="s">
        <v>30937</v>
      </c>
      <c r="H3776" s="1" t="s">
        <v>30938</v>
      </c>
      <c r="I3776" s="346"/>
      <c r="J3776" s="39">
        <v>118565</v>
      </c>
      <c r="K3776" s="36" t="str">
        <f>CONCATENATE(Cover!$D$6,"fdd/view?i=",J3776)</f>
        <v>https://www.dgiwg.org/FAD/fdd/view?i=118565</v>
      </c>
      <c r="L3776" s="36" t="s">
        <v>30939</v>
      </c>
      <c r="M3776" s="186"/>
      <c r="N3776" s="186"/>
      <c r="O3776" s="172"/>
    </row>
    <row r="3777" spans="1:15" ht="76.5" x14ac:dyDescent="0.2">
      <c r="A3777" s="197" t="str">
        <f t="shared" si="58"/>
        <v>FfnCode_hunting</v>
      </c>
      <c r="B3777" s="409"/>
      <c r="C3777" s="416"/>
      <c r="D3777" s="198" t="s">
        <v>29153</v>
      </c>
      <c r="E3777" s="198">
        <v>19</v>
      </c>
      <c r="F3777" s="199" t="s">
        <v>29154</v>
      </c>
      <c r="G3777" s="1" t="s">
        <v>30940</v>
      </c>
      <c r="H3777" s="1" t="s">
        <v>30941</v>
      </c>
      <c r="I3777" s="346"/>
      <c r="J3777" s="39">
        <v>111846</v>
      </c>
      <c r="K3777" s="36" t="str">
        <f>CONCATENATE(Cover!$D$6,"fdd/view?i=",J3777)</f>
        <v>https://www.dgiwg.org/FAD/fdd/view?i=111846</v>
      </c>
      <c r="L3777" s="36" t="s">
        <v>30942</v>
      </c>
      <c r="M3777" s="186"/>
      <c r="N3777" s="186"/>
      <c r="O3777" s="172"/>
    </row>
    <row r="3778" spans="1:15" ht="38.25" x14ac:dyDescent="0.2">
      <c r="A3778" s="197" t="str">
        <f t="shared" ref="A3778:A3841" si="59">HYPERLINK(K3778,L3778)</f>
        <v>FfnCode_iceManufacture</v>
      </c>
      <c r="B3778" s="409"/>
      <c r="C3778" s="416"/>
      <c r="D3778" s="198" t="s">
        <v>30943</v>
      </c>
      <c r="E3778" s="198">
        <v>120</v>
      </c>
      <c r="F3778" s="199" t="s">
        <v>30944</v>
      </c>
      <c r="G3778" s="1" t="s">
        <v>30945</v>
      </c>
      <c r="H3778" s="1" t="s">
        <v>30946</v>
      </c>
      <c r="I3778" s="346"/>
      <c r="J3778" s="39">
        <v>118547</v>
      </c>
      <c r="K3778" s="36" t="str">
        <f>CONCATENATE(Cover!$D$6,"fdd/view?i=",J3778)</f>
        <v>https://www.dgiwg.org/FAD/fdd/view?i=118547</v>
      </c>
      <c r="L3778" s="36" t="s">
        <v>30947</v>
      </c>
      <c r="M3778" s="186"/>
      <c r="N3778" s="186"/>
      <c r="O3778" s="172"/>
    </row>
    <row r="3779" spans="1:15" ht="25.5" x14ac:dyDescent="0.2">
      <c r="A3779" s="197" t="str">
        <f t="shared" si="59"/>
        <v>FfnCode_immigrationControl</v>
      </c>
      <c r="B3779" s="409"/>
      <c r="C3779" s="416"/>
      <c r="D3779" s="198" t="s">
        <v>30948</v>
      </c>
      <c r="E3779" s="198">
        <v>842</v>
      </c>
      <c r="F3779" s="199" t="s">
        <v>30949</v>
      </c>
      <c r="G3779" s="1" t="s">
        <v>30950</v>
      </c>
      <c r="H3779" s="1" t="s">
        <v>30951</v>
      </c>
      <c r="I3779" s="346"/>
      <c r="J3779" s="39">
        <v>112274</v>
      </c>
      <c r="K3779" s="36" t="str">
        <f>CONCATENATE(Cover!$D$6,"fdd/view?i=",J3779)</f>
        <v>https://www.dgiwg.org/FAD/fdd/view?i=112274</v>
      </c>
      <c r="L3779" s="36" t="s">
        <v>30952</v>
      </c>
      <c r="M3779" s="186"/>
      <c r="N3779" s="186"/>
      <c r="O3779" s="172"/>
    </row>
    <row r="3780" spans="1:15" ht="51" x14ac:dyDescent="0.2">
      <c r="A3780" s="197" t="str">
        <f t="shared" si="59"/>
        <v>FfnCode_imprisonment</v>
      </c>
      <c r="B3780" s="409"/>
      <c r="C3780" s="416"/>
      <c r="D3780" s="198" t="s">
        <v>30953</v>
      </c>
      <c r="E3780" s="198">
        <v>843</v>
      </c>
      <c r="F3780" s="199" t="s">
        <v>30954</v>
      </c>
      <c r="G3780" s="1" t="s">
        <v>30955</v>
      </c>
      <c r="H3780" s="1" t="s">
        <v>30956</v>
      </c>
      <c r="I3780" s="351" t="s">
        <v>30957</v>
      </c>
      <c r="J3780" s="39">
        <v>112276</v>
      </c>
      <c r="K3780" s="36" t="str">
        <f>CONCATENATE(Cover!$D$6,"fdd/view?i=",J3780)</f>
        <v>https://www.dgiwg.org/FAD/fdd/view?i=112276</v>
      </c>
      <c r="L3780" s="36" t="s">
        <v>30958</v>
      </c>
      <c r="M3780" s="186"/>
      <c r="N3780" s="186"/>
      <c r="O3780" s="172"/>
    </row>
    <row r="3781" spans="1:15" ht="25.5" x14ac:dyDescent="0.2">
      <c r="A3781" s="197" t="str">
        <f t="shared" si="59"/>
        <v>FfnCode_inlandWatersTransport</v>
      </c>
      <c r="B3781" s="409"/>
      <c r="C3781" s="416"/>
      <c r="D3781" s="198" t="s">
        <v>30959</v>
      </c>
      <c r="E3781" s="198">
        <v>507</v>
      </c>
      <c r="F3781" s="199" t="s">
        <v>30960</v>
      </c>
      <c r="G3781" s="1" t="s">
        <v>30961</v>
      </c>
      <c r="H3781" s="1" t="s">
        <v>30962</v>
      </c>
      <c r="I3781" s="346"/>
      <c r="J3781" s="39">
        <v>112096</v>
      </c>
      <c r="K3781" s="36" t="str">
        <f>CONCATENATE(Cover!$D$6,"fdd/view?i=",J3781)</f>
        <v>https://www.dgiwg.org/FAD/fdd/view?i=112096</v>
      </c>
      <c r="L3781" s="36" t="s">
        <v>30963</v>
      </c>
      <c r="M3781" s="186"/>
      <c r="N3781" s="186"/>
      <c r="O3781" s="172"/>
    </row>
    <row r="3782" spans="1:15" ht="38.25" x14ac:dyDescent="0.2">
      <c r="A3782" s="197" t="str">
        <f t="shared" si="59"/>
        <v>FfnCode_inPatientCare</v>
      </c>
      <c r="B3782" s="409"/>
      <c r="C3782" s="416"/>
      <c r="D3782" s="198" t="s">
        <v>30964</v>
      </c>
      <c r="E3782" s="198">
        <v>861</v>
      </c>
      <c r="F3782" s="199" t="s">
        <v>30965</v>
      </c>
      <c r="G3782" s="1" t="s">
        <v>30966</v>
      </c>
      <c r="H3782" s="1" t="s">
        <v>30967</v>
      </c>
      <c r="I3782" s="346"/>
      <c r="J3782" s="39">
        <v>112296</v>
      </c>
      <c r="K3782" s="36" t="str">
        <f>CONCATENATE(Cover!$D$6,"fdd/view?i=",J3782)</f>
        <v>https://www.dgiwg.org/FAD/fdd/view?i=112296</v>
      </c>
      <c r="L3782" s="36" t="s">
        <v>30968</v>
      </c>
      <c r="M3782" s="186"/>
      <c r="N3782" s="186"/>
      <c r="O3782" s="172"/>
    </row>
    <row r="3783" spans="1:15" ht="63.75" x14ac:dyDescent="0.2">
      <c r="A3783" s="197" t="str">
        <f t="shared" si="59"/>
        <v>FfnCode_inspectionStation</v>
      </c>
      <c r="B3783" s="409"/>
      <c r="C3783" s="416"/>
      <c r="D3783" s="198" t="s">
        <v>30969</v>
      </c>
      <c r="E3783" s="198">
        <v>538</v>
      </c>
      <c r="F3783" s="199" t="s">
        <v>30970</v>
      </c>
      <c r="G3783" s="1" t="s">
        <v>30971</v>
      </c>
      <c r="H3783" s="1" t="s">
        <v>30972</v>
      </c>
      <c r="I3783" s="346"/>
      <c r="J3783" s="39">
        <v>112120</v>
      </c>
      <c r="K3783" s="36" t="str">
        <f>CONCATENATE(Cover!$D$6,"fdd/view?i=",J3783)</f>
        <v>https://www.dgiwg.org/FAD/fdd/view?i=112120</v>
      </c>
      <c r="L3783" s="36" t="s">
        <v>30973</v>
      </c>
      <c r="M3783" s="186"/>
      <c r="N3783" s="186"/>
      <c r="O3783" s="172"/>
    </row>
    <row r="3784" spans="1:15" ht="51" x14ac:dyDescent="0.2">
      <c r="A3784" s="197" t="str">
        <f t="shared" si="59"/>
        <v>FfnCode_institution</v>
      </c>
      <c r="B3784" s="409"/>
      <c r="C3784" s="416"/>
      <c r="D3784" s="198" t="s">
        <v>30974</v>
      </c>
      <c r="E3784" s="198">
        <v>859</v>
      </c>
      <c r="F3784" s="199" t="s">
        <v>30975</v>
      </c>
      <c r="G3784" s="1" t="s">
        <v>30976</v>
      </c>
      <c r="H3784" s="200"/>
      <c r="I3784" s="346"/>
      <c r="J3784" s="39">
        <v>112292</v>
      </c>
      <c r="K3784" s="36" t="str">
        <f>CONCATENATE(Cover!$D$6,"fdd/view?i=",J3784)</f>
        <v>https://www.dgiwg.org/FAD/fdd/view?i=112292</v>
      </c>
      <c r="L3784" s="36" t="s">
        <v>30977</v>
      </c>
      <c r="M3784" s="186"/>
      <c r="N3784" s="186"/>
      <c r="O3784" s="172"/>
    </row>
    <row r="3785" spans="1:15" ht="76.5" x14ac:dyDescent="0.2">
      <c r="A3785" s="197" t="str">
        <f t="shared" si="59"/>
        <v>FfnCode_insurance</v>
      </c>
      <c r="B3785" s="409"/>
      <c r="C3785" s="416"/>
      <c r="D3785" s="198" t="s">
        <v>30978</v>
      </c>
      <c r="E3785" s="198">
        <v>651</v>
      </c>
      <c r="F3785" s="199" t="s">
        <v>30979</v>
      </c>
      <c r="G3785" s="1" t="s">
        <v>30980</v>
      </c>
      <c r="H3785" s="1" t="s">
        <v>30981</v>
      </c>
      <c r="I3785" s="346"/>
      <c r="J3785" s="39">
        <v>112186</v>
      </c>
      <c r="K3785" s="36" t="str">
        <f>CONCATENATE(Cover!$D$6,"fdd/view?i=",J3785)</f>
        <v>https://www.dgiwg.org/FAD/fdd/view?i=112186</v>
      </c>
      <c r="L3785" s="36" t="s">
        <v>30982</v>
      </c>
      <c r="M3785" s="186"/>
      <c r="N3785" s="186"/>
      <c r="O3785" s="172"/>
    </row>
    <row r="3786" spans="1:15" ht="38.25" x14ac:dyDescent="0.2">
      <c r="A3786" s="197" t="str">
        <f t="shared" si="59"/>
        <v>FfnCode_intermediateCare</v>
      </c>
      <c r="B3786" s="409"/>
      <c r="C3786" s="416"/>
      <c r="D3786" s="198" t="s">
        <v>30983</v>
      </c>
      <c r="E3786" s="198">
        <v>871</v>
      </c>
      <c r="F3786" s="199" t="s">
        <v>30984</v>
      </c>
      <c r="G3786" s="1" t="s">
        <v>30985</v>
      </c>
      <c r="H3786" s="200"/>
      <c r="I3786" s="346"/>
      <c r="J3786" s="39">
        <v>112302</v>
      </c>
      <c r="K3786" s="36" t="str">
        <f>CONCATENATE(Cover!$D$6,"fdd/view?i=",J3786)</f>
        <v>https://www.dgiwg.org/FAD/fdd/view?i=112302</v>
      </c>
      <c r="L3786" s="36" t="s">
        <v>30986</v>
      </c>
      <c r="M3786" s="186"/>
      <c r="N3786" s="186"/>
      <c r="O3786" s="172"/>
    </row>
    <row r="3787" spans="1:15" ht="63.75" x14ac:dyDescent="0.2">
      <c r="A3787" s="197" t="str">
        <f t="shared" si="59"/>
        <v>FfnCode_islamicPrayerHall</v>
      </c>
      <c r="B3787" s="409"/>
      <c r="C3787" s="416"/>
      <c r="D3787" s="198" t="s">
        <v>30987</v>
      </c>
      <c r="E3787" s="198">
        <v>932</v>
      </c>
      <c r="F3787" s="199" t="s">
        <v>30988</v>
      </c>
      <c r="G3787" s="1" t="s">
        <v>30989</v>
      </c>
      <c r="H3787" s="1" t="s">
        <v>30990</v>
      </c>
      <c r="I3787" s="351" t="s">
        <v>30991</v>
      </c>
      <c r="J3787" s="39">
        <v>117908</v>
      </c>
      <c r="K3787" s="36" t="str">
        <f>CONCATENATE(Cover!$D$6,"fdd/view?i=",J3787)</f>
        <v>https://www.dgiwg.org/FAD/fdd/view?i=117908</v>
      </c>
      <c r="L3787" s="36" t="s">
        <v>30992</v>
      </c>
      <c r="M3787" s="186"/>
      <c r="N3787" s="186"/>
      <c r="O3787" s="172"/>
    </row>
    <row r="3788" spans="1:15" ht="344.25" x14ac:dyDescent="0.2">
      <c r="A3788" s="197" t="str">
        <f t="shared" si="59"/>
        <v>FfnCode_jewelleryManufac</v>
      </c>
      <c r="B3788" s="409"/>
      <c r="C3788" s="416"/>
      <c r="D3788" s="198" t="s">
        <v>30993</v>
      </c>
      <c r="E3788" s="198">
        <v>321</v>
      </c>
      <c r="F3788" s="199" t="s">
        <v>30994</v>
      </c>
      <c r="G3788" s="1" t="s">
        <v>30995</v>
      </c>
      <c r="H3788" s="1" t="s">
        <v>30996</v>
      </c>
      <c r="I3788" s="346"/>
      <c r="J3788" s="39">
        <v>112012</v>
      </c>
      <c r="K3788" s="36" t="str">
        <f>CONCATENATE(Cover!$D$6,"fdd/view?i=",J3788)</f>
        <v>https://www.dgiwg.org/FAD/fdd/view?i=112012</v>
      </c>
      <c r="L3788" s="36" t="s">
        <v>30997</v>
      </c>
      <c r="M3788" s="186"/>
      <c r="N3788" s="186"/>
      <c r="O3788" s="172"/>
    </row>
    <row r="3789" spans="1:15" ht="63.75" x14ac:dyDescent="0.2">
      <c r="A3789" s="197" t="str">
        <f t="shared" si="59"/>
        <v>FfnCode_judicialActivities</v>
      </c>
      <c r="B3789" s="409"/>
      <c r="C3789" s="416"/>
      <c r="D3789" s="198" t="s">
        <v>30998</v>
      </c>
      <c r="E3789" s="198">
        <v>840</v>
      </c>
      <c r="F3789" s="199" t="s">
        <v>30999</v>
      </c>
      <c r="G3789" s="1" t="s">
        <v>31000</v>
      </c>
      <c r="H3789" s="1" t="s">
        <v>31001</v>
      </c>
      <c r="I3789" s="346"/>
      <c r="J3789" s="39">
        <v>112270</v>
      </c>
      <c r="K3789" s="36" t="str">
        <f>CONCATENATE(Cover!$D$6,"fdd/view?i=",J3789)</f>
        <v>https://www.dgiwg.org/FAD/fdd/view?i=112270</v>
      </c>
      <c r="L3789" s="36" t="s">
        <v>31002</v>
      </c>
      <c r="M3789" s="186"/>
      <c r="N3789" s="186"/>
      <c r="O3789" s="172"/>
    </row>
    <row r="3790" spans="1:15" ht="89.25" x14ac:dyDescent="0.2">
      <c r="A3790" s="197" t="str">
        <f t="shared" si="59"/>
        <v>FfnCode_juvenileCorrections</v>
      </c>
      <c r="B3790" s="409"/>
      <c r="C3790" s="416"/>
      <c r="D3790" s="198" t="s">
        <v>31003</v>
      </c>
      <c r="E3790" s="198">
        <v>844</v>
      </c>
      <c r="F3790" s="199" t="s">
        <v>31004</v>
      </c>
      <c r="G3790" s="1" t="s">
        <v>31005</v>
      </c>
      <c r="H3790" s="1" t="s">
        <v>31006</v>
      </c>
      <c r="I3790" s="346"/>
      <c r="J3790" s="39">
        <v>112278</v>
      </c>
      <c r="K3790" s="36" t="str">
        <f>CONCATENATE(Cover!$D$6,"fdd/view?i=",J3790)</f>
        <v>https://www.dgiwg.org/FAD/fdd/view?i=112278</v>
      </c>
      <c r="L3790" s="36" t="s">
        <v>31007</v>
      </c>
      <c r="M3790" s="186"/>
      <c r="N3790" s="186"/>
      <c r="O3790" s="172"/>
    </row>
    <row r="3791" spans="1:15" ht="89.25" x14ac:dyDescent="0.2">
      <c r="A3791" s="197" t="str">
        <f t="shared" si="59"/>
        <v>FfnCode_landscapingService</v>
      </c>
      <c r="B3791" s="409"/>
      <c r="C3791" s="416"/>
      <c r="D3791" s="198" t="s">
        <v>31008</v>
      </c>
      <c r="E3791" s="198">
        <v>795</v>
      </c>
      <c r="F3791" s="199" t="s">
        <v>31009</v>
      </c>
      <c r="G3791" s="1" t="s">
        <v>31010</v>
      </c>
      <c r="H3791" s="1" t="s">
        <v>31011</v>
      </c>
      <c r="I3791" s="346"/>
      <c r="J3791" s="39">
        <v>112238</v>
      </c>
      <c r="K3791" s="36" t="str">
        <f>CONCATENATE(Cover!$D$6,"fdd/view?i=",J3791)</f>
        <v>https://www.dgiwg.org/FAD/fdd/view?i=112238</v>
      </c>
      <c r="L3791" s="36" t="s">
        <v>31012</v>
      </c>
      <c r="M3791" s="186"/>
      <c r="N3791" s="186"/>
      <c r="O3791" s="172"/>
    </row>
    <row r="3792" spans="1:15" ht="89.25" x14ac:dyDescent="0.2">
      <c r="A3792" s="197" t="str">
        <f t="shared" si="59"/>
        <v>FfnCode_laundry</v>
      </c>
      <c r="B3792" s="409"/>
      <c r="C3792" s="416"/>
      <c r="D3792" s="198" t="s">
        <v>31013</v>
      </c>
      <c r="E3792" s="198">
        <v>961</v>
      </c>
      <c r="F3792" s="199" t="s">
        <v>31014</v>
      </c>
      <c r="G3792" s="1" t="s">
        <v>31015</v>
      </c>
      <c r="H3792" s="1" t="s">
        <v>31016</v>
      </c>
      <c r="I3792" s="346"/>
      <c r="J3792" s="39">
        <v>112350</v>
      </c>
      <c r="K3792" s="36" t="str">
        <f>CONCATENATE(Cover!$D$6,"fdd/view?i=",J3792)</f>
        <v>https://www.dgiwg.org/FAD/fdd/view?i=112350</v>
      </c>
      <c r="L3792" s="36" t="s">
        <v>31017</v>
      </c>
      <c r="M3792" s="186"/>
      <c r="N3792" s="186"/>
      <c r="O3792" s="172"/>
    </row>
    <row r="3793" spans="1:15" ht="51" x14ac:dyDescent="0.2">
      <c r="A3793" s="197" t="str">
        <f t="shared" si="59"/>
        <v>FfnCode_lawEnforcement</v>
      </c>
      <c r="B3793" s="409"/>
      <c r="C3793" s="416"/>
      <c r="D3793" s="198" t="s">
        <v>31018</v>
      </c>
      <c r="E3793" s="198">
        <v>841</v>
      </c>
      <c r="F3793" s="199" t="s">
        <v>31019</v>
      </c>
      <c r="G3793" s="1" t="s">
        <v>31020</v>
      </c>
      <c r="H3793" s="1" t="s">
        <v>31021</v>
      </c>
      <c r="I3793" s="346"/>
      <c r="J3793" s="39">
        <v>112272</v>
      </c>
      <c r="K3793" s="36" t="str">
        <f>CONCATENATE(Cover!$D$6,"fdd/view?i=",J3793)</f>
        <v>https://www.dgiwg.org/FAD/fdd/view?i=112272</v>
      </c>
      <c r="L3793" s="36" t="s">
        <v>31022</v>
      </c>
      <c r="M3793" s="186"/>
      <c r="N3793" s="186"/>
      <c r="O3793" s="172"/>
    </row>
    <row r="3794" spans="1:15" ht="63.75" x14ac:dyDescent="0.2">
      <c r="A3794" s="197" t="str">
        <f t="shared" si="59"/>
        <v>FfnCode_leatherProdManufac</v>
      </c>
      <c r="B3794" s="409"/>
      <c r="C3794" s="416"/>
      <c r="D3794" s="198" t="s">
        <v>31023</v>
      </c>
      <c r="E3794" s="198">
        <v>150</v>
      </c>
      <c r="F3794" s="199" t="s">
        <v>31024</v>
      </c>
      <c r="G3794" s="1" t="s">
        <v>31025</v>
      </c>
      <c r="H3794" s="1" t="s">
        <v>31026</v>
      </c>
      <c r="I3794" s="346"/>
      <c r="J3794" s="39">
        <v>111944</v>
      </c>
      <c r="K3794" s="36" t="str">
        <f>CONCATENATE(Cover!$D$6,"fdd/view?i=",J3794)</f>
        <v>https://www.dgiwg.org/FAD/fdd/view?i=111944</v>
      </c>
      <c r="L3794" s="36" t="s">
        <v>31027</v>
      </c>
      <c r="M3794" s="186"/>
      <c r="N3794" s="186"/>
      <c r="O3794" s="172"/>
    </row>
    <row r="3795" spans="1:15" ht="102" x14ac:dyDescent="0.2">
      <c r="A3795" s="197" t="str">
        <f t="shared" si="59"/>
        <v>FfnCode_legalActivities</v>
      </c>
      <c r="B3795" s="409"/>
      <c r="C3795" s="416"/>
      <c r="D3795" s="198" t="s">
        <v>31028</v>
      </c>
      <c r="E3795" s="198">
        <v>691</v>
      </c>
      <c r="F3795" s="199" t="s">
        <v>31029</v>
      </c>
      <c r="G3795" s="1" t="s">
        <v>31030</v>
      </c>
      <c r="H3795" s="1" t="s">
        <v>31031</v>
      </c>
      <c r="I3795" s="346"/>
      <c r="J3795" s="39">
        <v>112196</v>
      </c>
      <c r="K3795" s="36" t="str">
        <f>CONCATENATE(Cover!$D$6,"fdd/view?i=",J3795)</f>
        <v>https://www.dgiwg.org/FAD/fdd/view?i=112196</v>
      </c>
      <c r="L3795" s="36" t="s">
        <v>31032</v>
      </c>
      <c r="M3795" s="186"/>
      <c r="N3795" s="186"/>
      <c r="O3795" s="172"/>
    </row>
    <row r="3796" spans="1:15" ht="38.25" x14ac:dyDescent="0.2">
      <c r="A3796" s="197" t="str">
        <f t="shared" si="59"/>
        <v>FfnCode_legislativeActivities</v>
      </c>
      <c r="B3796" s="409"/>
      <c r="C3796" s="416"/>
      <c r="D3796" s="198" t="s">
        <v>31033</v>
      </c>
      <c r="E3796" s="198">
        <v>819</v>
      </c>
      <c r="F3796" s="199" t="s">
        <v>31034</v>
      </c>
      <c r="G3796" s="1" t="s">
        <v>31035</v>
      </c>
      <c r="H3796" s="200"/>
      <c r="I3796" s="346"/>
      <c r="J3796" s="39">
        <v>119373</v>
      </c>
      <c r="K3796" s="36" t="str">
        <f>CONCATENATE(Cover!$D$6,"fdd/view?i=",J3796)</f>
        <v>https://www.dgiwg.org/FAD/fdd/view?i=119373</v>
      </c>
      <c r="L3796" s="36" t="s">
        <v>31036</v>
      </c>
      <c r="M3796" s="186"/>
      <c r="N3796" s="186"/>
      <c r="O3796" s="172"/>
    </row>
    <row r="3797" spans="1:15" ht="51" x14ac:dyDescent="0.2">
      <c r="A3797" s="197" t="str">
        <f t="shared" si="59"/>
        <v>FfnCode_leprosyCare</v>
      </c>
      <c r="B3797" s="409"/>
      <c r="C3797" s="416"/>
      <c r="D3797" s="198" t="s">
        <v>31037</v>
      </c>
      <c r="E3797" s="198">
        <v>866</v>
      </c>
      <c r="F3797" s="199" t="s">
        <v>31038</v>
      </c>
      <c r="G3797" s="1" t="s">
        <v>31039</v>
      </c>
      <c r="H3797" s="1" t="s">
        <v>31040</v>
      </c>
      <c r="I3797" s="346"/>
      <c r="J3797" s="39">
        <v>112300</v>
      </c>
      <c r="K3797" s="36" t="str">
        <f>CONCATENATE(Cover!$D$6,"fdd/view?i=",J3797)</f>
        <v>https://www.dgiwg.org/FAD/fdd/view?i=112300</v>
      </c>
      <c r="L3797" s="36" t="s">
        <v>31041</v>
      </c>
      <c r="M3797" s="186"/>
      <c r="N3797" s="186"/>
      <c r="O3797" s="172"/>
    </row>
    <row r="3798" spans="1:15" ht="76.5" x14ac:dyDescent="0.2">
      <c r="A3798" s="197" t="str">
        <f t="shared" si="59"/>
        <v>FfnCode_library</v>
      </c>
      <c r="B3798" s="409"/>
      <c r="C3798" s="416"/>
      <c r="D3798" s="198" t="s">
        <v>27783</v>
      </c>
      <c r="E3798" s="198">
        <v>902</v>
      </c>
      <c r="F3798" s="199" t="s">
        <v>27784</v>
      </c>
      <c r="G3798" s="1" t="s">
        <v>31042</v>
      </c>
      <c r="H3798" s="1" t="s">
        <v>31043</v>
      </c>
      <c r="I3798" s="346"/>
      <c r="J3798" s="39">
        <v>112324</v>
      </c>
      <c r="K3798" s="36" t="str">
        <f>CONCATENATE(Cover!$D$6,"fdd/view?i=",J3798)</f>
        <v>https://www.dgiwg.org/FAD/fdd/view?i=112324</v>
      </c>
      <c r="L3798" s="36" t="s">
        <v>31044</v>
      </c>
      <c r="M3798" s="186"/>
      <c r="N3798" s="186"/>
      <c r="O3798" s="172"/>
    </row>
    <row r="3799" spans="1:15" ht="38.25" x14ac:dyDescent="0.2">
      <c r="A3799" s="197" t="str">
        <f t="shared" si="59"/>
        <v>FfnCode_localGovernment</v>
      </c>
      <c r="B3799" s="409"/>
      <c r="C3799" s="416"/>
      <c r="D3799" s="198" t="s">
        <v>31045</v>
      </c>
      <c r="E3799" s="198">
        <v>812</v>
      </c>
      <c r="F3799" s="199" t="s">
        <v>31046</v>
      </c>
      <c r="G3799" s="1" t="s">
        <v>31047</v>
      </c>
      <c r="H3799" s="1" t="s">
        <v>31048</v>
      </c>
      <c r="I3799" s="346"/>
      <c r="J3799" s="39">
        <v>112250</v>
      </c>
      <c r="K3799" s="36" t="str">
        <f>CONCATENATE(Cover!$D$6,"fdd/view?i=",J3799)</f>
        <v>https://www.dgiwg.org/FAD/fdd/view?i=112250</v>
      </c>
      <c r="L3799" s="36" t="s">
        <v>31049</v>
      </c>
      <c r="M3799" s="186"/>
      <c r="N3799" s="186"/>
      <c r="O3799" s="172"/>
    </row>
    <row r="3800" spans="1:15" ht="242.25" x14ac:dyDescent="0.2">
      <c r="A3800" s="197" t="str">
        <f t="shared" si="59"/>
        <v>FfnCode_machineryManufac</v>
      </c>
      <c r="B3800" s="409"/>
      <c r="C3800" s="416"/>
      <c r="D3800" s="198" t="s">
        <v>31050</v>
      </c>
      <c r="E3800" s="198">
        <v>280</v>
      </c>
      <c r="F3800" s="199" t="s">
        <v>31051</v>
      </c>
      <c r="G3800" s="1" t="s">
        <v>31052</v>
      </c>
      <c r="H3800" s="1" t="s">
        <v>31053</v>
      </c>
      <c r="I3800" s="346"/>
      <c r="J3800" s="39">
        <v>111998</v>
      </c>
      <c r="K3800" s="36" t="str">
        <f>CONCATENATE(Cover!$D$6,"fdd/view?i=",J3800)</f>
        <v>https://www.dgiwg.org/FAD/fdd/view?i=111998</v>
      </c>
      <c r="L3800" s="36" t="s">
        <v>31054</v>
      </c>
      <c r="M3800" s="186"/>
      <c r="N3800" s="186"/>
      <c r="O3800" s="172"/>
    </row>
    <row r="3801" spans="1:15" ht="165.75" x14ac:dyDescent="0.2">
      <c r="A3801" s="197" t="str">
        <f t="shared" si="59"/>
        <v>FfnCode_machineryRepair</v>
      </c>
      <c r="B3801" s="409"/>
      <c r="C3801" s="416"/>
      <c r="D3801" s="198" t="s">
        <v>31055</v>
      </c>
      <c r="E3801" s="198">
        <v>334</v>
      </c>
      <c r="F3801" s="199" t="s">
        <v>31056</v>
      </c>
      <c r="G3801" s="1" t="s">
        <v>31057</v>
      </c>
      <c r="H3801" s="1" t="s">
        <v>31058</v>
      </c>
      <c r="I3801" s="346"/>
      <c r="J3801" s="39">
        <v>112030</v>
      </c>
      <c r="K3801" s="36" t="str">
        <f>CONCATENATE(Cover!$D$6,"fdd/view?i=",J3801)</f>
        <v>https://www.dgiwg.org/FAD/fdd/view?i=112030</v>
      </c>
      <c r="L3801" s="36" t="s">
        <v>31059</v>
      </c>
      <c r="M3801" s="186"/>
      <c r="N3801" s="186"/>
      <c r="O3801" s="172"/>
    </row>
    <row r="3802" spans="1:15" ht="63.75" x14ac:dyDescent="0.2">
      <c r="A3802" s="197" t="str">
        <f t="shared" si="59"/>
        <v>FfnCode_mainTelephoneExchange</v>
      </c>
      <c r="B3802" s="409"/>
      <c r="C3802" s="416"/>
      <c r="D3802" s="198" t="s">
        <v>26353</v>
      </c>
      <c r="E3802" s="198">
        <v>615</v>
      </c>
      <c r="F3802" s="199" t="s">
        <v>26354</v>
      </c>
      <c r="G3802" s="1" t="s">
        <v>31060</v>
      </c>
      <c r="H3802" s="1" t="s">
        <v>31061</v>
      </c>
      <c r="I3802" s="351" t="s">
        <v>31062</v>
      </c>
      <c r="J3802" s="39">
        <v>112168</v>
      </c>
      <c r="K3802" s="36" t="str">
        <f>CONCATENATE(Cover!$D$6,"fdd/view?i=",J3802)</f>
        <v>https://www.dgiwg.org/FAD/fdd/view?i=112168</v>
      </c>
      <c r="L3802" s="36" t="s">
        <v>31063</v>
      </c>
      <c r="M3802" s="186"/>
      <c r="N3802" s="186"/>
      <c r="O3802" s="172"/>
    </row>
    <row r="3803" spans="1:15" ht="76.5" x14ac:dyDescent="0.2">
      <c r="A3803" s="197" t="str">
        <f t="shared" si="59"/>
        <v>FfnCode_manufacturing</v>
      </c>
      <c r="B3803" s="409"/>
      <c r="C3803" s="416"/>
      <c r="D3803" s="198" t="s">
        <v>31064</v>
      </c>
      <c r="E3803" s="198">
        <v>99</v>
      </c>
      <c r="F3803" s="199" t="s">
        <v>31065</v>
      </c>
      <c r="G3803" s="1" t="s">
        <v>31066</v>
      </c>
      <c r="H3803" s="1" t="s">
        <v>3979</v>
      </c>
      <c r="I3803" s="346"/>
      <c r="J3803" s="39">
        <v>111896</v>
      </c>
      <c r="K3803" s="36" t="str">
        <f>CONCATENATE(Cover!$D$6,"fdd/view?i=",J3803)</f>
        <v>https://www.dgiwg.org/FAD/fdd/view?i=111896</v>
      </c>
      <c r="L3803" s="36" t="s">
        <v>31067</v>
      </c>
      <c r="M3803" s="186"/>
      <c r="N3803" s="186"/>
      <c r="O3803" s="172"/>
    </row>
    <row r="3804" spans="1:15" ht="229.5" x14ac:dyDescent="0.2">
      <c r="A3804" s="197" t="str">
        <f t="shared" si="59"/>
        <v>FfnCode_maritimeDefense</v>
      </c>
      <c r="B3804" s="409"/>
      <c r="C3804" s="416"/>
      <c r="D3804" s="198" t="s">
        <v>31068</v>
      </c>
      <c r="E3804" s="198">
        <v>829</v>
      </c>
      <c r="F3804" s="199" t="s">
        <v>31069</v>
      </c>
      <c r="G3804" s="1" t="s">
        <v>31070</v>
      </c>
      <c r="H3804" s="1" t="s">
        <v>31071</v>
      </c>
      <c r="I3804" s="346"/>
      <c r="J3804" s="39">
        <v>118557</v>
      </c>
      <c r="K3804" s="36" t="str">
        <f>CONCATENATE(Cover!$D$6,"fdd/view?i=",J3804)</f>
        <v>https://www.dgiwg.org/FAD/fdd/view?i=118557</v>
      </c>
      <c r="L3804" s="36" t="s">
        <v>31072</v>
      </c>
      <c r="M3804" s="186"/>
      <c r="N3804" s="186"/>
      <c r="O3804" s="172"/>
    </row>
    <row r="3805" spans="1:15" ht="38.25" x14ac:dyDescent="0.2">
      <c r="A3805" s="197" t="str">
        <f t="shared" si="59"/>
        <v>FfnCode_maritimePilotage</v>
      </c>
      <c r="B3805" s="409"/>
      <c r="C3805" s="416"/>
      <c r="D3805" s="198" t="s">
        <v>31073</v>
      </c>
      <c r="E3805" s="198">
        <v>511</v>
      </c>
      <c r="F3805" s="199" t="s">
        <v>31074</v>
      </c>
      <c r="G3805" s="1" t="s">
        <v>31075</v>
      </c>
      <c r="H3805" s="1" t="s">
        <v>31076</v>
      </c>
      <c r="I3805" s="346"/>
      <c r="J3805" s="39">
        <v>112102</v>
      </c>
      <c r="K3805" s="36" t="str">
        <f>CONCATENATE(Cover!$D$6,"fdd/view?i=",J3805)</f>
        <v>https://www.dgiwg.org/FAD/fdd/view?i=112102</v>
      </c>
      <c r="L3805" s="36" t="s">
        <v>31077</v>
      </c>
      <c r="M3805" s="186"/>
      <c r="N3805" s="186"/>
      <c r="O3805" s="172"/>
    </row>
    <row r="3806" spans="1:15" ht="63.75" x14ac:dyDescent="0.2">
      <c r="A3806" s="197" t="str">
        <f t="shared" si="59"/>
        <v>FfnCode_market</v>
      </c>
      <c r="B3806" s="409"/>
      <c r="C3806" s="416"/>
      <c r="D3806" s="198" t="s">
        <v>26268</v>
      </c>
      <c r="E3806" s="198">
        <v>475</v>
      </c>
      <c r="F3806" s="199" t="s">
        <v>26269</v>
      </c>
      <c r="G3806" s="1" t="s">
        <v>31078</v>
      </c>
      <c r="H3806" s="1" t="s">
        <v>31079</v>
      </c>
      <c r="I3806" s="346"/>
      <c r="J3806" s="39">
        <v>112062</v>
      </c>
      <c r="K3806" s="36" t="str">
        <f>CONCATENATE(Cover!$D$6,"fdd/view?i=",J3806)</f>
        <v>https://www.dgiwg.org/FAD/fdd/view?i=112062</v>
      </c>
      <c r="L3806" s="36" t="s">
        <v>31080</v>
      </c>
      <c r="M3806" s="186"/>
      <c r="N3806" s="186"/>
      <c r="O3806" s="172"/>
    </row>
    <row r="3807" spans="1:15" ht="76.5" x14ac:dyDescent="0.2">
      <c r="A3807" s="197" t="str">
        <f t="shared" si="59"/>
        <v>FfnCode_materialsRecovery</v>
      </c>
      <c r="B3807" s="409"/>
      <c r="C3807" s="416"/>
      <c r="D3807" s="198" t="s">
        <v>31081</v>
      </c>
      <c r="E3807" s="198">
        <v>385</v>
      </c>
      <c r="F3807" s="199" t="s">
        <v>31082</v>
      </c>
      <c r="G3807" s="1" t="s">
        <v>31083</v>
      </c>
      <c r="H3807" s="1" t="s">
        <v>31084</v>
      </c>
      <c r="I3807" s="346"/>
      <c r="J3807" s="39">
        <v>112052</v>
      </c>
      <c r="K3807" s="36" t="str">
        <f>CONCATENATE(Cover!$D$6,"fdd/view?i=",J3807)</f>
        <v>https://www.dgiwg.org/FAD/fdd/view?i=112052</v>
      </c>
      <c r="L3807" s="36" t="s">
        <v>31085</v>
      </c>
      <c r="M3807" s="186"/>
      <c r="N3807" s="186"/>
      <c r="O3807" s="172"/>
    </row>
    <row r="3808" spans="1:15" ht="216.75" x14ac:dyDescent="0.2">
      <c r="A3808" s="197" t="str">
        <f t="shared" si="59"/>
        <v>FfnCode_meatProcessing</v>
      </c>
      <c r="B3808" s="409"/>
      <c r="C3808" s="416"/>
      <c r="D3808" s="198" t="s">
        <v>31086</v>
      </c>
      <c r="E3808" s="198">
        <v>102</v>
      </c>
      <c r="F3808" s="199" t="s">
        <v>31087</v>
      </c>
      <c r="G3808" s="1" t="s">
        <v>31088</v>
      </c>
      <c r="H3808" s="1" t="s">
        <v>31089</v>
      </c>
      <c r="I3808" s="346"/>
      <c r="J3808" s="39">
        <v>111902</v>
      </c>
      <c r="K3808" s="36" t="str">
        <f>CONCATENATE(Cover!$D$6,"fdd/view?i=",J3808)</f>
        <v>https://www.dgiwg.org/FAD/fdd/view?i=111902</v>
      </c>
      <c r="L3808" s="36" t="s">
        <v>31090</v>
      </c>
      <c r="M3808" s="186"/>
      <c r="N3808" s="186"/>
      <c r="O3808" s="172"/>
    </row>
    <row r="3809" spans="1:15" ht="191.25" x14ac:dyDescent="0.2">
      <c r="A3809" s="197" t="str">
        <f t="shared" si="59"/>
        <v>FfnCode_medDentalEquipManufac</v>
      </c>
      <c r="B3809" s="409"/>
      <c r="C3809" s="416"/>
      <c r="D3809" s="198" t="s">
        <v>31091</v>
      </c>
      <c r="E3809" s="198">
        <v>325</v>
      </c>
      <c r="F3809" s="199" t="s">
        <v>31092</v>
      </c>
      <c r="G3809" s="1" t="s">
        <v>31093</v>
      </c>
      <c r="H3809" s="1" t="s">
        <v>31094</v>
      </c>
      <c r="I3809" s="346"/>
      <c r="J3809" s="39">
        <v>112020</v>
      </c>
      <c r="K3809" s="36" t="str">
        <f>CONCATENATE(Cover!$D$6,"fdd/view?i=",J3809)</f>
        <v>https://www.dgiwg.org/FAD/fdd/view?i=112020</v>
      </c>
      <c r="L3809" s="36" t="s">
        <v>31095</v>
      </c>
      <c r="M3809" s="186"/>
      <c r="N3809" s="186"/>
      <c r="O3809" s="172"/>
    </row>
    <row r="3810" spans="1:15" ht="255" x14ac:dyDescent="0.2">
      <c r="A3810" s="197" t="str">
        <f t="shared" si="59"/>
        <v>FfnCode_medicinalProdManufac</v>
      </c>
      <c r="B3810" s="409"/>
      <c r="C3810" s="416"/>
      <c r="D3810" s="198" t="s">
        <v>31096</v>
      </c>
      <c r="E3810" s="198">
        <v>210</v>
      </c>
      <c r="F3810" s="199" t="s">
        <v>31097</v>
      </c>
      <c r="G3810" s="1" t="s">
        <v>31098</v>
      </c>
      <c r="H3810" s="1" t="s">
        <v>31099</v>
      </c>
      <c r="I3810" s="346"/>
      <c r="J3810" s="39">
        <v>111962</v>
      </c>
      <c r="K3810" s="36" t="str">
        <f>CONCATENATE(Cover!$D$6,"fdd/view?i=",J3810)</f>
        <v>https://www.dgiwg.org/FAD/fdd/view?i=111962</v>
      </c>
      <c r="L3810" s="36" t="s">
        <v>31100</v>
      </c>
      <c r="M3810" s="186"/>
      <c r="N3810" s="186"/>
      <c r="O3810" s="172"/>
    </row>
    <row r="3811" spans="1:15" ht="51" x14ac:dyDescent="0.2">
      <c r="A3811" s="197" t="str">
        <f t="shared" si="59"/>
        <v>FfnCode_meetingPlace</v>
      </c>
      <c r="B3811" s="409"/>
      <c r="C3811" s="416"/>
      <c r="D3811" s="198" t="s">
        <v>31101</v>
      </c>
      <c r="E3811" s="198">
        <v>970</v>
      </c>
      <c r="F3811" s="199" t="s">
        <v>31102</v>
      </c>
      <c r="G3811" s="1" t="s">
        <v>31103</v>
      </c>
      <c r="H3811" s="1" t="s">
        <v>31104</v>
      </c>
      <c r="I3811" s="346"/>
      <c r="J3811" s="39">
        <v>118992</v>
      </c>
      <c r="K3811" s="36" t="str">
        <f>CONCATENATE(Cover!$D$6,"fdd/view?i=",J3811)</f>
        <v>https://www.dgiwg.org/FAD/fdd/view?i=118992</v>
      </c>
      <c r="L3811" s="36" t="s">
        <v>31105</v>
      </c>
      <c r="M3811" s="186"/>
      <c r="N3811" s="186"/>
      <c r="O3811" s="172"/>
    </row>
    <row r="3812" spans="1:15" ht="89.25" x14ac:dyDescent="0.2">
      <c r="A3812" s="197" t="str">
        <f t="shared" si="59"/>
        <v>FfnCode_metalOreMining</v>
      </c>
      <c r="B3812" s="409"/>
      <c r="C3812" s="416"/>
      <c r="D3812" s="198" t="s">
        <v>31106</v>
      </c>
      <c r="E3812" s="198">
        <v>70</v>
      </c>
      <c r="F3812" s="199" t="s">
        <v>31107</v>
      </c>
      <c r="G3812" s="1" t="s">
        <v>31108</v>
      </c>
      <c r="H3812" s="1" t="s">
        <v>31109</v>
      </c>
      <c r="I3812" s="346"/>
      <c r="J3812" s="39">
        <v>111864</v>
      </c>
      <c r="K3812" s="36" t="str">
        <f>CONCATENATE(Cover!$D$6,"fdd/view?i=",J3812)</f>
        <v>https://www.dgiwg.org/FAD/fdd/view?i=111864</v>
      </c>
      <c r="L3812" s="36" t="s">
        <v>31110</v>
      </c>
      <c r="M3812" s="186"/>
      <c r="N3812" s="186"/>
      <c r="O3812" s="172"/>
    </row>
    <row r="3813" spans="1:15" ht="216.75" x14ac:dyDescent="0.2">
      <c r="A3813" s="197" t="str">
        <f t="shared" si="59"/>
        <v>FfnCode_metalRefining</v>
      </c>
      <c r="B3813" s="409"/>
      <c r="C3813" s="416"/>
      <c r="D3813" s="198" t="s">
        <v>31111</v>
      </c>
      <c r="E3813" s="198">
        <v>242</v>
      </c>
      <c r="F3813" s="199" t="s">
        <v>31112</v>
      </c>
      <c r="G3813" s="1" t="s">
        <v>31113</v>
      </c>
      <c r="H3813" s="1" t="s">
        <v>31114</v>
      </c>
      <c r="I3813" s="346"/>
      <c r="J3813" s="39">
        <v>111984</v>
      </c>
      <c r="K3813" s="36" t="str">
        <f>CONCATENATE(Cover!$D$6,"fdd/view?i=",J3813)</f>
        <v>https://www.dgiwg.org/FAD/fdd/view?i=111984</v>
      </c>
      <c r="L3813" s="36" t="s">
        <v>31115</v>
      </c>
      <c r="M3813" s="186"/>
      <c r="N3813" s="186"/>
      <c r="O3813" s="172"/>
    </row>
    <row r="3814" spans="1:15" ht="63.75" x14ac:dyDescent="0.2">
      <c r="A3814" s="197" t="str">
        <f t="shared" si="59"/>
        <v>FfnCode_migrantLabour</v>
      </c>
      <c r="B3814" s="409"/>
      <c r="C3814" s="416"/>
      <c r="D3814" s="198" t="s">
        <v>31116</v>
      </c>
      <c r="E3814" s="198">
        <v>16</v>
      </c>
      <c r="F3814" s="199" t="s">
        <v>31117</v>
      </c>
      <c r="G3814" s="1" t="s">
        <v>31118</v>
      </c>
      <c r="H3814" s="1" t="s">
        <v>31119</v>
      </c>
      <c r="I3814" s="351" t="s">
        <v>31120</v>
      </c>
      <c r="J3814" s="39">
        <v>111842</v>
      </c>
      <c r="K3814" s="36" t="str">
        <f>CONCATENATE(Cover!$D$6,"fdd/view?i=",J3814)</f>
        <v>https://www.dgiwg.org/FAD/fdd/view?i=111842</v>
      </c>
      <c r="L3814" s="36" t="s">
        <v>31121</v>
      </c>
      <c r="M3814" s="186"/>
      <c r="N3814" s="186"/>
      <c r="O3814" s="172"/>
    </row>
    <row r="3815" spans="1:15" ht="25.5" x14ac:dyDescent="0.2">
      <c r="A3815" s="197" t="str">
        <f t="shared" si="59"/>
        <v>FfnCode_militaryRecruitment</v>
      </c>
      <c r="B3815" s="409"/>
      <c r="C3815" s="416"/>
      <c r="D3815" s="198" t="s">
        <v>31122</v>
      </c>
      <c r="E3815" s="198">
        <v>838</v>
      </c>
      <c r="F3815" s="199" t="s">
        <v>31123</v>
      </c>
      <c r="G3815" s="1" t="s">
        <v>31124</v>
      </c>
      <c r="H3815" s="1" t="s">
        <v>31125</v>
      </c>
      <c r="I3815" s="346"/>
      <c r="J3815" s="39">
        <v>118558</v>
      </c>
      <c r="K3815" s="36" t="str">
        <f>CONCATENATE(Cover!$D$6,"fdd/view?i=",J3815)</f>
        <v>https://www.dgiwg.org/FAD/fdd/view?i=118558</v>
      </c>
      <c r="L3815" s="36" t="s">
        <v>31126</v>
      </c>
      <c r="M3815" s="186"/>
      <c r="N3815" s="186"/>
      <c r="O3815" s="172"/>
    </row>
    <row r="3816" spans="1:15" ht="63.75" x14ac:dyDescent="0.2">
      <c r="A3816" s="197" t="str">
        <f t="shared" si="59"/>
        <v>FfnCode_militaryReserveActivities</v>
      </c>
      <c r="B3816" s="409"/>
      <c r="C3816" s="416"/>
      <c r="D3816" s="198" t="s">
        <v>31127</v>
      </c>
      <c r="E3816" s="198">
        <v>837</v>
      </c>
      <c r="F3816" s="199" t="s">
        <v>31128</v>
      </c>
      <c r="G3816" s="1" t="s">
        <v>31129</v>
      </c>
      <c r="H3816" s="1" t="s">
        <v>31130</v>
      </c>
      <c r="I3816" s="346"/>
      <c r="J3816" s="39">
        <v>118037</v>
      </c>
      <c r="K3816" s="36" t="str">
        <f>CONCATENATE(Cover!$D$6,"fdd/view?i=",J3816)</f>
        <v>https://www.dgiwg.org/FAD/fdd/view?i=118037</v>
      </c>
      <c r="L3816" s="36" t="s">
        <v>31131</v>
      </c>
      <c r="M3816" s="186"/>
      <c r="N3816" s="186"/>
      <c r="O3816" s="172"/>
    </row>
    <row r="3817" spans="1:15" ht="38.25" x14ac:dyDescent="0.2">
      <c r="A3817" s="197" t="str">
        <f t="shared" si="59"/>
        <v>FfnCode_militaryVehicleManufac</v>
      </c>
      <c r="B3817" s="409"/>
      <c r="C3817" s="416"/>
      <c r="D3817" s="198" t="s">
        <v>31132</v>
      </c>
      <c r="E3817" s="198">
        <v>306</v>
      </c>
      <c r="F3817" s="199" t="s">
        <v>31133</v>
      </c>
      <c r="G3817" s="1" t="s">
        <v>31134</v>
      </c>
      <c r="H3817" s="200"/>
      <c r="I3817" s="346"/>
      <c r="J3817" s="39">
        <v>112008</v>
      </c>
      <c r="K3817" s="36" t="str">
        <f>CONCATENATE(Cover!$D$6,"fdd/view?i=",J3817)</f>
        <v>https://www.dgiwg.org/FAD/fdd/view?i=112008</v>
      </c>
      <c r="L3817" s="36" t="s">
        <v>31135</v>
      </c>
      <c r="M3817" s="186"/>
      <c r="N3817" s="186"/>
      <c r="O3817" s="172"/>
    </row>
    <row r="3818" spans="1:15" ht="114.75" x14ac:dyDescent="0.2">
      <c r="A3818" s="197" t="str">
        <f t="shared" si="59"/>
        <v>FfnCode_mineralMining</v>
      </c>
      <c r="B3818" s="409"/>
      <c r="C3818" s="416"/>
      <c r="D3818" s="198" t="s">
        <v>31136</v>
      </c>
      <c r="E3818" s="198">
        <v>87</v>
      </c>
      <c r="F3818" s="199" t="s">
        <v>31137</v>
      </c>
      <c r="G3818" s="1" t="s">
        <v>31138</v>
      </c>
      <c r="H3818" s="200"/>
      <c r="I3818" s="346"/>
      <c r="J3818" s="39">
        <v>111888</v>
      </c>
      <c r="K3818" s="36" t="str">
        <f>CONCATENATE(Cover!$D$6,"fdd/view?i=",J3818)</f>
        <v>https://www.dgiwg.org/FAD/fdd/view?i=111888</v>
      </c>
      <c r="L3818" s="36" t="s">
        <v>31139</v>
      </c>
      <c r="M3818" s="186"/>
      <c r="N3818" s="186"/>
      <c r="O3818" s="172"/>
    </row>
    <row r="3819" spans="1:15" ht="127.5" x14ac:dyDescent="0.2">
      <c r="A3819" s="197" t="str">
        <f t="shared" si="59"/>
        <v>FfnCode_miningQuarrying</v>
      </c>
      <c r="B3819" s="409"/>
      <c r="C3819" s="416"/>
      <c r="D3819" s="198" t="s">
        <v>31140</v>
      </c>
      <c r="E3819" s="198">
        <v>40</v>
      </c>
      <c r="F3819" s="199" t="s">
        <v>31141</v>
      </c>
      <c r="G3819" s="1" t="s">
        <v>31142</v>
      </c>
      <c r="H3819" s="1" t="s">
        <v>31143</v>
      </c>
      <c r="I3819" s="346"/>
      <c r="J3819" s="39">
        <v>111858</v>
      </c>
      <c r="K3819" s="36" t="str">
        <f>CONCATENATE(Cover!$D$6,"fdd/view?i=",J3819)</f>
        <v>https://www.dgiwg.org/FAD/fdd/view?i=111858</v>
      </c>
      <c r="L3819" s="36" t="s">
        <v>31144</v>
      </c>
      <c r="M3819" s="186"/>
      <c r="N3819" s="186"/>
      <c r="O3819" s="172"/>
    </row>
    <row r="3820" spans="1:15" ht="76.5" x14ac:dyDescent="0.2">
      <c r="A3820" s="197" t="str">
        <f t="shared" si="59"/>
        <v>FfnCode_mixedFarming</v>
      </c>
      <c r="B3820" s="409"/>
      <c r="C3820" s="416"/>
      <c r="D3820" s="198" t="s">
        <v>31145</v>
      </c>
      <c r="E3820" s="198">
        <v>15</v>
      </c>
      <c r="F3820" s="199" t="s">
        <v>31146</v>
      </c>
      <c r="G3820" s="1" t="s">
        <v>31147</v>
      </c>
      <c r="H3820" s="1" t="s">
        <v>31148</v>
      </c>
      <c r="I3820" s="346"/>
      <c r="J3820" s="39">
        <v>111840</v>
      </c>
      <c r="K3820" s="36" t="str">
        <f>CONCATENATE(Cover!$D$6,"fdd/view?i=",J3820)</f>
        <v>https://www.dgiwg.org/FAD/fdd/view?i=111840</v>
      </c>
      <c r="L3820" s="36" t="s">
        <v>31149</v>
      </c>
      <c r="M3820" s="186"/>
      <c r="N3820" s="186"/>
      <c r="O3820" s="172"/>
    </row>
    <row r="3821" spans="1:15" ht="63.75" x14ac:dyDescent="0.2">
      <c r="A3821" s="197" t="str">
        <f t="shared" si="59"/>
        <v>FfnCode_mobilePhoneService</v>
      </c>
      <c r="B3821" s="409"/>
      <c r="C3821" s="416"/>
      <c r="D3821" s="198" t="s">
        <v>31150</v>
      </c>
      <c r="E3821" s="198">
        <v>621</v>
      </c>
      <c r="F3821" s="199" t="s">
        <v>31151</v>
      </c>
      <c r="G3821" s="1" t="s">
        <v>31152</v>
      </c>
      <c r="H3821" s="1" t="s">
        <v>31153</v>
      </c>
      <c r="I3821" s="346"/>
      <c r="J3821" s="39">
        <v>112176</v>
      </c>
      <c r="K3821" s="36" t="str">
        <f>CONCATENATE(Cover!$D$6,"fdd/view?i=",J3821)</f>
        <v>https://www.dgiwg.org/FAD/fdd/view?i=112176</v>
      </c>
      <c r="L3821" s="36" t="s">
        <v>31154</v>
      </c>
      <c r="M3821" s="186"/>
      <c r="N3821" s="186"/>
      <c r="O3821" s="172"/>
    </row>
    <row r="3822" spans="1:15" ht="25.5" x14ac:dyDescent="0.2">
      <c r="A3822" s="197" t="str">
        <f t="shared" si="59"/>
        <v>FfnCode_mooring</v>
      </c>
      <c r="B3822" s="409"/>
      <c r="C3822" s="416"/>
      <c r="D3822" s="198" t="s">
        <v>24016</v>
      </c>
      <c r="E3822" s="198">
        <v>514</v>
      </c>
      <c r="F3822" s="199" t="s">
        <v>24017</v>
      </c>
      <c r="G3822" s="1" t="s">
        <v>31155</v>
      </c>
      <c r="H3822" s="200"/>
      <c r="I3822" s="346"/>
      <c r="J3822" s="39">
        <v>112108</v>
      </c>
      <c r="K3822" s="36" t="str">
        <f>CONCATENATE(Cover!$D$6,"fdd/view?i=",J3822)</f>
        <v>https://www.dgiwg.org/FAD/fdd/view?i=112108</v>
      </c>
      <c r="L3822" s="36" t="s">
        <v>31156</v>
      </c>
      <c r="M3822" s="186"/>
      <c r="N3822" s="186"/>
      <c r="O3822" s="172"/>
    </row>
    <row r="3823" spans="1:15" ht="51" x14ac:dyDescent="0.2">
      <c r="A3823" s="197" t="str">
        <f t="shared" si="59"/>
        <v>FfnCode_mortuaryServices</v>
      </c>
      <c r="B3823" s="409"/>
      <c r="C3823" s="416"/>
      <c r="D3823" s="198" t="s">
        <v>31157</v>
      </c>
      <c r="E3823" s="198">
        <v>965</v>
      </c>
      <c r="F3823" s="199" t="s">
        <v>31158</v>
      </c>
      <c r="G3823" s="1" t="s">
        <v>31159</v>
      </c>
      <c r="H3823" s="1" t="s">
        <v>31160</v>
      </c>
      <c r="I3823" s="346"/>
      <c r="J3823" s="39">
        <v>112358</v>
      </c>
      <c r="K3823" s="36" t="str">
        <f>CONCATENATE(Cover!$D$6,"fdd/view?i=",J3823)</f>
        <v>https://www.dgiwg.org/FAD/fdd/view?i=112358</v>
      </c>
      <c r="L3823" s="36" t="s">
        <v>31161</v>
      </c>
      <c r="M3823" s="186"/>
      <c r="N3823" s="186"/>
      <c r="O3823" s="172"/>
    </row>
    <row r="3824" spans="1:15" ht="25.5" x14ac:dyDescent="0.2">
      <c r="A3824" s="197" t="str">
        <f t="shared" si="59"/>
        <v>FfnCode_motel</v>
      </c>
      <c r="B3824" s="409"/>
      <c r="C3824" s="416"/>
      <c r="D3824" s="198" t="s">
        <v>31162</v>
      </c>
      <c r="E3824" s="198">
        <v>553</v>
      </c>
      <c r="F3824" s="199" t="s">
        <v>31163</v>
      </c>
      <c r="G3824" s="1" t="s">
        <v>31164</v>
      </c>
      <c r="H3824" s="1" t="s">
        <v>31165</v>
      </c>
      <c r="I3824" s="346"/>
      <c r="J3824" s="39">
        <v>112130</v>
      </c>
      <c r="K3824" s="36" t="str">
        <f>CONCATENATE(Cover!$D$6,"fdd/view?i=",J3824)</f>
        <v>https://www.dgiwg.org/FAD/fdd/view?i=112130</v>
      </c>
      <c r="L3824" s="36" t="s">
        <v>31166</v>
      </c>
      <c r="M3824" s="186"/>
      <c r="N3824" s="186"/>
      <c r="O3824" s="172"/>
    </row>
    <row r="3825" spans="1:15" ht="25.5" x14ac:dyDescent="0.2">
      <c r="A3825" s="197" t="str">
        <f t="shared" si="59"/>
        <v>FfnCode_motorVehicleManufac</v>
      </c>
      <c r="B3825" s="409"/>
      <c r="C3825" s="416"/>
      <c r="D3825" s="198" t="s">
        <v>31167</v>
      </c>
      <c r="E3825" s="198">
        <v>290</v>
      </c>
      <c r="F3825" s="199" t="s">
        <v>31168</v>
      </c>
      <c r="G3825" s="1" t="s">
        <v>31169</v>
      </c>
      <c r="H3825" s="200"/>
      <c r="I3825" s="346"/>
      <c r="J3825" s="39">
        <v>112000</v>
      </c>
      <c r="K3825" s="36" t="str">
        <f>CONCATENATE(Cover!$D$6,"fdd/view?i=",J3825)</f>
        <v>https://www.dgiwg.org/FAD/fdd/view?i=112000</v>
      </c>
      <c r="L3825" s="36" t="s">
        <v>31170</v>
      </c>
      <c r="M3825" s="186"/>
      <c r="N3825" s="186"/>
      <c r="O3825" s="172"/>
    </row>
    <row r="3826" spans="1:15" ht="51" x14ac:dyDescent="0.2">
      <c r="A3826" s="197" t="str">
        <f t="shared" si="59"/>
        <v>FfnCode_motorVehicleParking</v>
      </c>
      <c r="B3826" s="409"/>
      <c r="C3826" s="416"/>
      <c r="D3826" s="198" t="s">
        <v>31171</v>
      </c>
      <c r="E3826" s="198">
        <v>535</v>
      </c>
      <c r="F3826" s="199" t="s">
        <v>31172</v>
      </c>
      <c r="G3826" s="1" t="s">
        <v>31173</v>
      </c>
      <c r="H3826" s="1" t="s">
        <v>31174</v>
      </c>
      <c r="I3826" s="346"/>
      <c r="J3826" s="39">
        <v>112114</v>
      </c>
      <c r="K3826" s="36" t="str">
        <f>CONCATENATE(Cover!$D$6,"fdd/view?i=",J3826)</f>
        <v>https://www.dgiwg.org/FAD/fdd/view?i=112114</v>
      </c>
      <c r="L3826" s="36" t="s">
        <v>31175</v>
      </c>
      <c r="M3826" s="186"/>
      <c r="N3826" s="186"/>
      <c r="O3826" s="172"/>
    </row>
    <row r="3827" spans="1:15" ht="38.25" x14ac:dyDescent="0.2">
      <c r="A3827" s="197" t="str">
        <f t="shared" si="59"/>
        <v>FfnCode_motorVehicleRental</v>
      </c>
      <c r="B3827" s="409"/>
      <c r="C3827" s="416"/>
      <c r="D3827" s="198" t="s">
        <v>31176</v>
      </c>
      <c r="E3827" s="198">
        <v>761</v>
      </c>
      <c r="F3827" s="199" t="s">
        <v>31177</v>
      </c>
      <c r="G3827" s="1" t="s">
        <v>31178</v>
      </c>
      <c r="H3827" s="200"/>
      <c r="I3827" s="346"/>
      <c r="J3827" s="39">
        <v>112226</v>
      </c>
      <c r="K3827" s="36" t="str">
        <f>CONCATENATE(Cover!$D$6,"fdd/view?i=",J3827)</f>
        <v>https://www.dgiwg.org/FAD/fdd/view?i=112226</v>
      </c>
      <c r="L3827" s="36" t="s">
        <v>31179</v>
      </c>
      <c r="M3827" s="186"/>
      <c r="N3827" s="186"/>
      <c r="O3827" s="172"/>
    </row>
    <row r="3828" spans="1:15" ht="25.5" x14ac:dyDescent="0.2">
      <c r="A3828" s="197" t="str">
        <f t="shared" si="59"/>
        <v>FfnCode_motorVehicleRepair</v>
      </c>
      <c r="B3828" s="409"/>
      <c r="C3828" s="416"/>
      <c r="D3828" s="198" t="s">
        <v>31180</v>
      </c>
      <c r="E3828" s="198">
        <v>343</v>
      </c>
      <c r="F3828" s="199" t="s">
        <v>31181</v>
      </c>
      <c r="G3828" s="1" t="s">
        <v>31182</v>
      </c>
      <c r="H3828" s="200"/>
      <c r="I3828" s="346"/>
      <c r="J3828" s="39">
        <v>112038</v>
      </c>
      <c r="K3828" s="36" t="str">
        <f>CONCATENATE(Cover!$D$6,"fdd/view?i=",J3828)</f>
        <v>https://www.dgiwg.org/FAD/fdd/view?i=112038</v>
      </c>
      <c r="L3828" s="36" t="s">
        <v>31183</v>
      </c>
      <c r="M3828" s="186"/>
      <c r="N3828" s="186"/>
      <c r="O3828" s="172"/>
    </row>
    <row r="3829" spans="1:15" ht="114.75" x14ac:dyDescent="0.2">
      <c r="A3829" s="197" t="str">
        <f t="shared" si="59"/>
        <v>FfnCode_munitionsManufac</v>
      </c>
      <c r="B3829" s="409"/>
      <c r="C3829" s="416"/>
      <c r="D3829" s="198" t="s">
        <v>31184</v>
      </c>
      <c r="E3829" s="198">
        <v>255</v>
      </c>
      <c r="F3829" s="199" t="s">
        <v>31185</v>
      </c>
      <c r="G3829" s="1" t="s">
        <v>31186</v>
      </c>
      <c r="H3829" s="1" t="s">
        <v>31187</v>
      </c>
      <c r="I3829" s="346"/>
      <c r="J3829" s="39">
        <v>111990</v>
      </c>
      <c r="K3829" s="36" t="str">
        <f>CONCATENATE(Cover!$D$6,"fdd/view?i=",J3829)</f>
        <v>https://www.dgiwg.org/FAD/fdd/view?i=111990</v>
      </c>
      <c r="L3829" s="36" t="s">
        <v>31188</v>
      </c>
      <c r="M3829" s="186"/>
      <c r="N3829" s="186"/>
      <c r="O3829" s="172"/>
    </row>
    <row r="3830" spans="1:15" ht="63.75" x14ac:dyDescent="0.2">
      <c r="A3830" s="197" t="str">
        <f t="shared" si="59"/>
        <v>FfnCode_museum</v>
      </c>
      <c r="B3830" s="409"/>
      <c r="C3830" s="416"/>
      <c r="D3830" s="198" t="s">
        <v>27791</v>
      </c>
      <c r="E3830" s="198">
        <v>905</v>
      </c>
      <c r="F3830" s="199" t="s">
        <v>27792</v>
      </c>
      <c r="G3830" s="1" t="s">
        <v>31189</v>
      </c>
      <c r="H3830" s="200"/>
      <c r="I3830" s="346"/>
      <c r="J3830" s="39">
        <v>112326</v>
      </c>
      <c r="K3830" s="36" t="str">
        <f>CONCATENATE(Cover!$D$6,"fdd/view?i=",J3830)</f>
        <v>https://www.dgiwg.org/FAD/fdd/view?i=112326</v>
      </c>
      <c r="L3830" s="36" t="s">
        <v>31190</v>
      </c>
      <c r="M3830" s="186"/>
      <c r="N3830" s="186"/>
      <c r="O3830" s="172"/>
    </row>
    <row r="3831" spans="1:15" ht="178.5" x14ac:dyDescent="0.2">
      <c r="A3831" s="197" t="str">
        <f t="shared" si="59"/>
        <v>FfnCode_musicalInstManufac</v>
      </c>
      <c r="B3831" s="409"/>
      <c r="C3831" s="416"/>
      <c r="D3831" s="198" t="s">
        <v>31191</v>
      </c>
      <c r="E3831" s="198">
        <v>322</v>
      </c>
      <c r="F3831" s="199" t="s">
        <v>31192</v>
      </c>
      <c r="G3831" s="1" t="s">
        <v>31193</v>
      </c>
      <c r="H3831" s="1" t="s">
        <v>31194</v>
      </c>
      <c r="I3831" s="346"/>
      <c r="J3831" s="39">
        <v>112014</v>
      </c>
      <c r="K3831" s="36" t="str">
        <f>CONCATENATE(Cover!$D$6,"fdd/view?i=",J3831)</f>
        <v>https://www.dgiwg.org/FAD/fdd/view?i=112014</v>
      </c>
      <c r="L3831" s="36" t="s">
        <v>31195</v>
      </c>
      <c r="M3831" s="186"/>
      <c r="N3831" s="186"/>
      <c r="O3831" s="172"/>
    </row>
    <row r="3832" spans="1:15" ht="38.25" x14ac:dyDescent="0.2">
      <c r="A3832" s="197" t="str">
        <f t="shared" si="59"/>
        <v>FfnCode_nationalGovernment</v>
      </c>
      <c r="B3832" s="409"/>
      <c r="C3832" s="416"/>
      <c r="D3832" s="198" t="s">
        <v>31196</v>
      </c>
      <c r="E3832" s="198">
        <v>814</v>
      </c>
      <c r="F3832" s="199" t="s">
        <v>31197</v>
      </c>
      <c r="G3832" s="1" t="s">
        <v>31198</v>
      </c>
      <c r="H3832" s="200"/>
      <c r="I3832" s="346"/>
      <c r="J3832" s="39">
        <v>119267</v>
      </c>
      <c r="K3832" s="36" t="str">
        <f>CONCATENATE(Cover!$D$6,"fdd/view?i=",J3832)</f>
        <v>https://www.dgiwg.org/FAD/fdd/view?i=119267</v>
      </c>
      <c r="L3832" s="36" t="s">
        <v>31199</v>
      </c>
      <c r="M3832" s="186"/>
      <c r="N3832" s="186"/>
      <c r="O3832" s="172"/>
    </row>
    <row r="3833" spans="1:15" ht="38.25" x14ac:dyDescent="0.2">
      <c r="A3833" s="197" t="str">
        <f t="shared" si="59"/>
        <v>FfnCode_navigation</v>
      </c>
      <c r="B3833" s="409"/>
      <c r="C3833" s="416"/>
      <c r="D3833" s="198" t="s">
        <v>27920</v>
      </c>
      <c r="E3833" s="198">
        <v>488</v>
      </c>
      <c r="F3833" s="199" t="s">
        <v>27921</v>
      </c>
      <c r="G3833" s="1" t="s">
        <v>31200</v>
      </c>
      <c r="H3833" s="1" t="s">
        <v>31201</v>
      </c>
      <c r="I3833" s="346"/>
      <c r="J3833" s="39">
        <v>112078</v>
      </c>
      <c r="K3833" s="36" t="str">
        <f>CONCATENATE(Cover!$D$6,"fdd/view?i=",J3833)</f>
        <v>https://www.dgiwg.org/FAD/fdd/view?i=112078</v>
      </c>
      <c r="L3833" s="36" t="s">
        <v>31202</v>
      </c>
      <c r="M3833" s="186"/>
      <c r="N3833" s="186"/>
      <c r="O3833" s="172"/>
    </row>
    <row r="3834" spans="1:15" ht="38.25" x14ac:dyDescent="0.2">
      <c r="A3834" s="197" t="str">
        <f t="shared" si="59"/>
        <v>FfnCode_nightClub</v>
      </c>
      <c r="B3834" s="409"/>
      <c r="C3834" s="416"/>
      <c r="D3834" s="198" t="s">
        <v>31203</v>
      </c>
      <c r="E3834" s="198">
        <v>895</v>
      </c>
      <c r="F3834" s="199" t="s">
        <v>31204</v>
      </c>
      <c r="G3834" s="1" t="s">
        <v>31205</v>
      </c>
      <c r="H3834" s="200"/>
      <c r="I3834" s="351" t="s">
        <v>31206</v>
      </c>
      <c r="J3834" s="39">
        <v>112388</v>
      </c>
      <c r="K3834" s="36" t="str">
        <f>CONCATENATE(Cover!$D$6,"fdd/view?i=",J3834)</f>
        <v>https://www.dgiwg.org/FAD/fdd/view?i=112388</v>
      </c>
      <c r="L3834" s="36" t="s">
        <v>31207</v>
      </c>
      <c r="M3834" s="186"/>
      <c r="N3834" s="186"/>
      <c r="O3834" s="172"/>
    </row>
    <row r="3835" spans="1:15" ht="25.5" x14ac:dyDescent="0.2">
      <c r="A3835" s="197" t="str">
        <f t="shared" si="59"/>
        <v>FfnCode_nonSpecializedStore</v>
      </c>
      <c r="B3835" s="409"/>
      <c r="C3835" s="416"/>
      <c r="D3835" s="198" t="s">
        <v>31208</v>
      </c>
      <c r="E3835" s="198">
        <v>465</v>
      </c>
      <c r="F3835" s="199" t="s">
        <v>31209</v>
      </c>
      <c r="G3835" s="1" t="s">
        <v>31210</v>
      </c>
      <c r="H3835" s="1" t="s">
        <v>31211</v>
      </c>
      <c r="I3835" s="346"/>
      <c r="J3835" s="39">
        <v>112056</v>
      </c>
      <c r="K3835" s="36" t="str">
        <f>CONCATENATE(Cover!$D$6,"fdd/view?i=",J3835)</f>
        <v>https://www.dgiwg.org/FAD/fdd/view?i=112056</v>
      </c>
      <c r="L3835" s="36" t="s">
        <v>31212</v>
      </c>
      <c r="M3835" s="186"/>
      <c r="N3835" s="186"/>
      <c r="O3835" s="172"/>
    </row>
    <row r="3836" spans="1:15" ht="38.25" x14ac:dyDescent="0.2">
      <c r="A3836" s="197" t="str">
        <f t="shared" si="59"/>
        <v>FfnCode_nuclearResearchCentre</v>
      </c>
      <c r="B3836" s="409"/>
      <c r="C3836" s="416"/>
      <c r="D3836" s="198" t="s">
        <v>31213</v>
      </c>
      <c r="E3836" s="198">
        <v>725</v>
      </c>
      <c r="F3836" s="199" t="s">
        <v>31214</v>
      </c>
      <c r="G3836" s="1" t="s">
        <v>31215</v>
      </c>
      <c r="H3836" s="1" t="s">
        <v>31216</v>
      </c>
      <c r="I3836" s="351" t="s">
        <v>31217</v>
      </c>
      <c r="J3836" s="39">
        <v>112216</v>
      </c>
      <c r="K3836" s="36" t="str">
        <f>CONCATENATE(Cover!$D$6,"fdd/view?i=",J3836)</f>
        <v>https://www.dgiwg.org/FAD/fdd/view?i=112216</v>
      </c>
      <c r="L3836" s="36" t="s">
        <v>31218</v>
      </c>
      <c r="M3836" s="186"/>
      <c r="N3836" s="186"/>
      <c r="O3836" s="172"/>
    </row>
    <row r="3837" spans="1:15" ht="25.5" x14ac:dyDescent="0.2">
      <c r="A3837" s="197" t="str">
        <f t="shared" si="59"/>
        <v>FfnCode_observationStation</v>
      </c>
      <c r="B3837" s="409"/>
      <c r="C3837" s="416"/>
      <c r="D3837" s="198" t="s">
        <v>31219</v>
      </c>
      <c r="E3837" s="198">
        <v>721</v>
      </c>
      <c r="F3837" s="199" t="s">
        <v>31220</v>
      </c>
      <c r="G3837" s="1" t="s">
        <v>31221</v>
      </c>
      <c r="H3837" s="200"/>
      <c r="I3837" s="346"/>
      <c r="J3837" s="39">
        <v>112212</v>
      </c>
      <c r="K3837" s="36" t="str">
        <f>CONCATENATE(Cover!$D$6,"fdd/view?i=",J3837)</f>
        <v>https://www.dgiwg.org/FAD/fdd/view?i=112212</v>
      </c>
      <c r="L3837" s="36" t="s">
        <v>31222</v>
      </c>
      <c r="M3837" s="186"/>
      <c r="N3837" s="186"/>
      <c r="O3837" s="172"/>
    </row>
    <row r="3838" spans="1:15" ht="76.5" x14ac:dyDescent="0.2">
      <c r="A3838" s="197" t="str">
        <f t="shared" si="59"/>
        <v>FfnCode_officeAdministration</v>
      </c>
      <c r="B3838" s="409"/>
      <c r="C3838" s="416"/>
      <c r="D3838" s="198" t="s">
        <v>31223</v>
      </c>
      <c r="E3838" s="198">
        <v>801</v>
      </c>
      <c r="F3838" s="199" t="s">
        <v>31224</v>
      </c>
      <c r="G3838" s="1" t="s">
        <v>31225</v>
      </c>
      <c r="H3838" s="1" t="s">
        <v>31226</v>
      </c>
      <c r="I3838" s="346"/>
      <c r="J3838" s="39">
        <v>112240</v>
      </c>
      <c r="K3838" s="36" t="str">
        <f>CONCATENATE(Cover!$D$6,"fdd/view?i=",J3838)</f>
        <v>https://www.dgiwg.org/FAD/fdd/view?i=112240</v>
      </c>
      <c r="L3838" s="36" t="s">
        <v>31227</v>
      </c>
      <c r="M3838" s="186"/>
      <c r="N3838" s="186"/>
      <c r="O3838" s="172"/>
    </row>
    <row r="3839" spans="1:15" ht="191.25" x14ac:dyDescent="0.2">
      <c r="A3839" s="197" t="str">
        <f t="shared" si="59"/>
        <v>FfnCode_oilMill</v>
      </c>
      <c r="B3839" s="409"/>
      <c r="C3839" s="416"/>
      <c r="D3839" s="198" t="s">
        <v>31228</v>
      </c>
      <c r="E3839" s="198">
        <v>105</v>
      </c>
      <c r="F3839" s="199" t="s">
        <v>31229</v>
      </c>
      <c r="G3839" s="1" t="s">
        <v>31230</v>
      </c>
      <c r="H3839" s="1" t="s">
        <v>31231</v>
      </c>
      <c r="I3839" s="346"/>
      <c r="J3839" s="39">
        <v>111908</v>
      </c>
      <c r="K3839" s="36" t="str">
        <f>CONCATENATE(Cover!$D$6,"fdd/view?i=",J3839)</f>
        <v>https://www.dgiwg.org/FAD/fdd/view?i=111908</v>
      </c>
      <c r="L3839" s="36" t="s">
        <v>31232</v>
      </c>
      <c r="M3839" s="186"/>
      <c r="N3839" s="186"/>
      <c r="O3839" s="172"/>
    </row>
    <row r="3840" spans="1:15" ht="38.25" x14ac:dyDescent="0.2">
      <c r="A3840" s="197" t="str">
        <f t="shared" si="59"/>
        <v>FfnCode_operaHouse</v>
      </c>
      <c r="B3840" s="409"/>
      <c r="C3840" s="416"/>
      <c r="D3840" s="198" t="s">
        <v>27804</v>
      </c>
      <c r="E3840" s="198">
        <v>894</v>
      </c>
      <c r="F3840" s="199" t="s">
        <v>27805</v>
      </c>
      <c r="G3840" s="1" t="s">
        <v>31233</v>
      </c>
      <c r="H3840" s="1" t="s">
        <v>31234</v>
      </c>
      <c r="I3840" s="346"/>
      <c r="J3840" s="39">
        <v>112322</v>
      </c>
      <c r="K3840" s="36" t="str">
        <f>CONCATENATE(Cover!$D$6,"fdd/view?i=",J3840)</f>
        <v>https://www.dgiwg.org/FAD/fdd/view?i=112322</v>
      </c>
      <c r="L3840" s="36" t="s">
        <v>31235</v>
      </c>
      <c r="M3840" s="186"/>
      <c r="N3840" s="186"/>
      <c r="O3840" s="172"/>
    </row>
    <row r="3841" spans="1:15" ht="102" x14ac:dyDescent="0.2">
      <c r="A3841" s="197" t="str">
        <f t="shared" si="59"/>
        <v>FfnCode_oreDressing</v>
      </c>
      <c r="B3841" s="409"/>
      <c r="C3841" s="416"/>
      <c r="D3841" s="198" t="s">
        <v>31236</v>
      </c>
      <c r="E3841" s="198">
        <v>95</v>
      </c>
      <c r="F3841" s="199" t="s">
        <v>31237</v>
      </c>
      <c r="G3841" s="1" t="s">
        <v>31238</v>
      </c>
      <c r="H3841" s="1" t="s">
        <v>31239</v>
      </c>
      <c r="I3841" s="346"/>
      <c r="J3841" s="39">
        <v>111894</v>
      </c>
      <c r="K3841" s="36" t="str">
        <f>CONCATENATE(Cover!$D$6,"fdd/view?i=",J3841)</f>
        <v>https://www.dgiwg.org/FAD/fdd/view?i=111894</v>
      </c>
      <c r="L3841" s="36" t="s">
        <v>31240</v>
      </c>
      <c r="M3841" s="186"/>
      <c r="N3841" s="186"/>
      <c r="O3841" s="172"/>
    </row>
    <row r="3842" spans="1:15" ht="38.25" x14ac:dyDescent="0.2">
      <c r="A3842" s="197" t="str">
        <f t="shared" ref="A3842:A3905" si="60">HYPERLINK(K3842,L3842)</f>
        <v>FfnCode_outPatientCare</v>
      </c>
      <c r="B3842" s="409"/>
      <c r="C3842" s="416"/>
      <c r="D3842" s="198" t="s">
        <v>31241</v>
      </c>
      <c r="E3842" s="198">
        <v>862</v>
      </c>
      <c r="F3842" s="199" t="s">
        <v>31242</v>
      </c>
      <c r="G3842" s="1" t="s">
        <v>31243</v>
      </c>
      <c r="H3842" s="1" t="s">
        <v>31244</v>
      </c>
      <c r="I3842" s="346"/>
      <c r="J3842" s="39">
        <v>112298</v>
      </c>
      <c r="K3842" s="36" t="str">
        <f>CONCATENATE(Cover!$D$6,"fdd/view?i=",J3842)</f>
        <v>https://www.dgiwg.org/FAD/fdd/view?i=112298</v>
      </c>
      <c r="L3842" s="36" t="s">
        <v>31245</v>
      </c>
      <c r="M3842" s="186"/>
      <c r="N3842" s="186"/>
      <c r="O3842" s="172"/>
    </row>
    <row r="3843" spans="1:15" ht="38.25" x14ac:dyDescent="0.2">
      <c r="A3843" s="197" t="str">
        <f t="shared" si="60"/>
        <v>FfnCode_palace</v>
      </c>
      <c r="B3843" s="409"/>
      <c r="C3843" s="416"/>
      <c r="D3843" s="198" t="s">
        <v>31246</v>
      </c>
      <c r="E3843" s="198">
        <v>815</v>
      </c>
      <c r="F3843" s="199" t="s">
        <v>31247</v>
      </c>
      <c r="G3843" s="1" t="s">
        <v>31248</v>
      </c>
      <c r="H3843" s="1" t="s">
        <v>31249</v>
      </c>
      <c r="I3843" s="346"/>
      <c r="J3843" s="39">
        <v>112252</v>
      </c>
      <c r="K3843" s="36" t="str">
        <f>CONCATENATE(Cover!$D$6,"fdd/view?i=",J3843)</f>
        <v>https://www.dgiwg.org/FAD/fdd/view?i=112252</v>
      </c>
      <c r="L3843" s="36" t="s">
        <v>31250</v>
      </c>
      <c r="M3843" s="186"/>
      <c r="N3843" s="186"/>
      <c r="O3843" s="172"/>
    </row>
    <row r="3844" spans="1:15" ht="204" x14ac:dyDescent="0.2">
      <c r="A3844" s="197" t="str">
        <f t="shared" si="60"/>
        <v>FfnCode_paperMill</v>
      </c>
      <c r="B3844" s="409"/>
      <c r="C3844" s="416"/>
      <c r="D3844" s="198" t="s">
        <v>31251</v>
      </c>
      <c r="E3844" s="198">
        <v>171</v>
      </c>
      <c r="F3844" s="199" t="s">
        <v>31252</v>
      </c>
      <c r="G3844" s="1" t="s">
        <v>31253</v>
      </c>
      <c r="H3844" s="1" t="s">
        <v>31254</v>
      </c>
      <c r="I3844" s="346"/>
      <c r="J3844" s="39">
        <v>111952</v>
      </c>
      <c r="K3844" s="36" t="str">
        <f>CONCATENATE(Cover!$D$6,"fdd/view?i=",J3844)</f>
        <v>https://www.dgiwg.org/FAD/fdd/view?i=111952</v>
      </c>
      <c r="L3844" s="36" t="s">
        <v>31255</v>
      </c>
      <c r="M3844" s="186"/>
      <c r="N3844" s="186"/>
      <c r="O3844" s="172"/>
    </row>
    <row r="3845" spans="1:15" ht="51" x14ac:dyDescent="0.2">
      <c r="A3845" s="197" t="str">
        <f t="shared" si="60"/>
        <v>FfnCode_pastaManufac</v>
      </c>
      <c r="B3845" s="409"/>
      <c r="C3845" s="416"/>
      <c r="D3845" s="198" t="s">
        <v>31256</v>
      </c>
      <c r="E3845" s="198">
        <v>115</v>
      </c>
      <c r="F3845" s="199" t="s">
        <v>31257</v>
      </c>
      <c r="G3845" s="1" t="s">
        <v>31258</v>
      </c>
      <c r="H3845" s="1" t="s">
        <v>31259</v>
      </c>
      <c r="I3845" s="346"/>
      <c r="J3845" s="39">
        <v>111924</v>
      </c>
      <c r="K3845" s="36" t="str">
        <f>CONCATENATE(Cover!$D$6,"fdd/view?i=",J3845)</f>
        <v>https://www.dgiwg.org/FAD/fdd/view?i=111924</v>
      </c>
      <c r="L3845" s="36" t="s">
        <v>31260</v>
      </c>
      <c r="M3845" s="186"/>
      <c r="N3845" s="186"/>
      <c r="O3845" s="172"/>
    </row>
    <row r="3846" spans="1:15" ht="25.5" x14ac:dyDescent="0.2">
      <c r="A3846" s="197" t="str">
        <f t="shared" si="60"/>
        <v>FfnCode_peatExtraction</v>
      </c>
      <c r="B3846" s="409"/>
      <c r="C3846" s="416"/>
      <c r="D3846" s="198" t="s">
        <v>31261</v>
      </c>
      <c r="E3846" s="198">
        <v>84</v>
      </c>
      <c r="F3846" s="199" t="s">
        <v>31262</v>
      </c>
      <c r="G3846" s="1" t="s">
        <v>31263</v>
      </c>
      <c r="H3846" s="200"/>
      <c r="I3846" s="346"/>
      <c r="J3846" s="39">
        <v>111870</v>
      </c>
      <c r="K3846" s="36" t="str">
        <f>CONCATENATE(Cover!$D$6,"fdd/view?i=",J3846)</f>
        <v>https://www.dgiwg.org/FAD/fdd/view?i=111870</v>
      </c>
      <c r="L3846" s="36" t="s">
        <v>31264</v>
      </c>
      <c r="M3846" s="186"/>
      <c r="N3846" s="186"/>
      <c r="O3846" s="172"/>
    </row>
    <row r="3847" spans="1:15" ht="63.75" x14ac:dyDescent="0.2">
      <c r="A3847" s="197" t="str">
        <f t="shared" si="60"/>
        <v>FfnCode_pedestrianTransport</v>
      </c>
      <c r="B3847" s="409"/>
      <c r="C3847" s="416"/>
      <c r="D3847" s="198" t="s">
        <v>31265</v>
      </c>
      <c r="E3847" s="198">
        <v>494</v>
      </c>
      <c r="F3847" s="199" t="s">
        <v>31266</v>
      </c>
      <c r="G3847" s="1" t="s">
        <v>31267</v>
      </c>
      <c r="H3847" s="1" t="s">
        <v>31268</v>
      </c>
      <c r="I3847" s="346"/>
      <c r="J3847" s="39">
        <v>112082</v>
      </c>
      <c r="K3847" s="36" t="str">
        <f>CONCATENATE(Cover!$D$6,"fdd/view?i=",J3847)</f>
        <v>https://www.dgiwg.org/FAD/fdd/view?i=112082</v>
      </c>
      <c r="L3847" s="36" t="s">
        <v>31269</v>
      </c>
      <c r="M3847" s="186"/>
      <c r="N3847" s="186"/>
      <c r="O3847" s="172"/>
    </row>
    <row r="3848" spans="1:15" ht="153" x14ac:dyDescent="0.2">
      <c r="A3848" s="197" t="str">
        <f t="shared" si="60"/>
        <v>FfnCode_petroleumGasExtract</v>
      </c>
      <c r="B3848" s="409"/>
      <c r="C3848" s="416"/>
      <c r="D3848" s="198" t="s">
        <v>31275</v>
      </c>
      <c r="E3848" s="198">
        <v>60</v>
      </c>
      <c r="F3848" s="199" t="s">
        <v>31276</v>
      </c>
      <c r="G3848" s="1" t="s">
        <v>31277</v>
      </c>
      <c r="H3848" s="1" t="s">
        <v>31278</v>
      </c>
      <c r="I3848" s="346"/>
      <c r="J3848" s="39">
        <v>111862</v>
      </c>
      <c r="K3848" s="36" t="str">
        <f>CONCATENATE(Cover!$D$6,"fdd/view?i=",J3848)</f>
        <v>https://www.dgiwg.org/FAD/fdd/view?i=111862</v>
      </c>
      <c r="L3848" s="36" t="s">
        <v>31279</v>
      </c>
      <c r="M3848" s="186"/>
      <c r="N3848" s="186"/>
      <c r="O3848" s="172"/>
    </row>
    <row r="3849" spans="1:15" ht="204" x14ac:dyDescent="0.2">
      <c r="A3849" s="197" t="str">
        <f t="shared" si="60"/>
        <v>FfnCode_petroleumRefining</v>
      </c>
      <c r="B3849" s="409"/>
      <c r="C3849" s="416"/>
      <c r="D3849" s="198" t="s">
        <v>31280</v>
      </c>
      <c r="E3849" s="198">
        <v>192</v>
      </c>
      <c r="F3849" s="199" t="s">
        <v>31281</v>
      </c>
      <c r="G3849" s="1" t="s">
        <v>31282</v>
      </c>
      <c r="H3849" s="1" t="s">
        <v>31283</v>
      </c>
      <c r="I3849" s="346"/>
      <c r="J3849" s="39">
        <v>111958</v>
      </c>
      <c r="K3849" s="36" t="str">
        <f>CONCATENATE(Cover!$D$6,"fdd/view?i=",J3849)</f>
        <v>https://www.dgiwg.org/FAD/fdd/view?i=111958</v>
      </c>
      <c r="L3849" s="36" t="s">
        <v>31284</v>
      </c>
      <c r="M3849" s="186"/>
      <c r="N3849" s="186"/>
      <c r="O3849" s="172"/>
    </row>
    <row r="3850" spans="1:15" ht="25.5" x14ac:dyDescent="0.2">
      <c r="A3850" s="197" t="str">
        <f t="shared" si="60"/>
        <v>FfnCode_petrolSale</v>
      </c>
      <c r="B3850" s="409"/>
      <c r="C3850" s="416"/>
      <c r="D3850" s="198" t="s">
        <v>31270</v>
      </c>
      <c r="E3850" s="198">
        <v>470</v>
      </c>
      <c r="F3850" s="199" t="s">
        <v>31271</v>
      </c>
      <c r="G3850" s="1" t="s">
        <v>31272</v>
      </c>
      <c r="H3850" s="1" t="s">
        <v>31273</v>
      </c>
      <c r="I3850" s="346"/>
      <c r="J3850" s="39">
        <v>112060</v>
      </c>
      <c r="K3850" s="36" t="str">
        <f>CONCATENATE(Cover!$D$6,"fdd/view?i=",J3850)</f>
        <v>https://www.dgiwg.org/FAD/fdd/view?i=112060</v>
      </c>
      <c r="L3850" s="36" t="s">
        <v>31274</v>
      </c>
      <c r="M3850" s="186"/>
      <c r="N3850" s="186"/>
      <c r="O3850" s="172"/>
    </row>
    <row r="3851" spans="1:15" ht="38.25" x14ac:dyDescent="0.2">
      <c r="A3851" s="197" t="str">
        <f t="shared" si="60"/>
        <v>FfnCode_petShop</v>
      </c>
      <c r="B3851" s="409"/>
      <c r="C3851" s="416"/>
      <c r="D3851" s="198" t="s">
        <v>31285</v>
      </c>
      <c r="E3851" s="198">
        <v>478</v>
      </c>
      <c r="F3851" s="199" t="s">
        <v>31286</v>
      </c>
      <c r="G3851" s="1" t="s">
        <v>31287</v>
      </c>
      <c r="H3851" s="1" t="s">
        <v>31288</v>
      </c>
      <c r="I3851" s="351" t="s">
        <v>31289</v>
      </c>
      <c r="J3851" s="39">
        <v>112376</v>
      </c>
      <c r="K3851" s="36" t="str">
        <f>CONCATENATE(Cover!$D$6,"fdd/view?i=",J3851)</f>
        <v>https://www.dgiwg.org/FAD/fdd/view?i=112376</v>
      </c>
      <c r="L3851" s="36" t="s">
        <v>31290</v>
      </c>
      <c r="M3851" s="186"/>
      <c r="N3851" s="186"/>
      <c r="O3851" s="172"/>
    </row>
    <row r="3852" spans="1:15" ht="38.25" x14ac:dyDescent="0.2">
      <c r="A3852" s="197" t="str">
        <f t="shared" si="60"/>
        <v>FfnCode_pharmacy</v>
      </c>
      <c r="B3852" s="409"/>
      <c r="C3852" s="416"/>
      <c r="D3852" s="198" t="s">
        <v>23144</v>
      </c>
      <c r="E3852" s="198">
        <v>477</v>
      </c>
      <c r="F3852" s="199" t="s">
        <v>23145</v>
      </c>
      <c r="G3852" s="1" t="s">
        <v>31291</v>
      </c>
      <c r="H3852" s="200"/>
      <c r="I3852" s="351" t="s">
        <v>31292</v>
      </c>
      <c r="J3852" s="39">
        <v>112374</v>
      </c>
      <c r="K3852" s="36" t="str">
        <f>CONCATENATE(Cover!$D$6,"fdd/view?i=",J3852)</f>
        <v>https://www.dgiwg.org/FAD/fdd/view?i=112374</v>
      </c>
      <c r="L3852" s="36" t="s">
        <v>31293</v>
      </c>
      <c r="M3852" s="186"/>
      <c r="N3852" s="186"/>
      <c r="O3852" s="172"/>
    </row>
    <row r="3853" spans="1:15" ht="51" x14ac:dyDescent="0.2">
      <c r="A3853" s="197" t="str">
        <f t="shared" si="60"/>
        <v>FfnCode_photography</v>
      </c>
      <c r="B3853" s="409"/>
      <c r="C3853" s="416"/>
      <c r="D3853" s="198" t="s">
        <v>31294</v>
      </c>
      <c r="E3853" s="198">
        <v>752</v>
      </c>
      <c r="F3853" s="199" t="s">
        <v>31295</v>
      </c>
      <c r="G3853" s="1" t="s">
        <v>31296</v>
      </c>
      <c r="H3853" s="200"/>
      <c r="I3853" s="346"/>
      <c r="J3853" s="39">
        <v>112222</v>
      </c>
      <c r="K3853" s="36" t="str">
        <f>CONCATENATE(Cover!$D$6,"fdd/view?i=",J3853)</f>
        <v>https://www.dgiwg.org/FAD/fdd/view?i=112222</v>
      </c>
      <c r="L3853" s="36" t="s">
        <v>31297</v>
      </c>
      <c r="M3853" s="186"/>
      <c r="N3853" s="186"/>
      <c r="O3853" s="172"/>
    </row>
    <row r="3854" spans="1:15" ht="38.25" x14ac:dyDescent="0.2">
      <c r="A3854" s="197" t="str">
        <f t="shared" si="60"/>
        <v>FfnCode_pilotStation</v>
      </c>
      <c r="B3854" s="409"/>
      <c r="C3854" s="416"/>
      <c r="D3854" s="198" t="s">
        <v>31298</v>
      </c>
      <c r="E3854" s="198">
        <v>512</v>
      </c>
      <c r="F3854" s="199" t="s">
        <v>31299</v>
      </c>
      <c r="G3854" s="1" t="s">
        <v>31300</v>
      </c>
      <c r="H3854" s="1" t="s">
        <v>31076</v>
      </c>
      <c r="I3854" s="346"/>
      <c r="J3854" s="39">
        <v>112104</v>
      </c>
      <c r="K3854" s="36" t="str">
        <f>CONCATENATE(Cover!$D$6,"fdd/view?i=",J3854)</f>
        <v>https://www.dgiwg.org/FAD/fdd/view?i=112104</v>
      </c>
      <c r="L3854" s="36" t="s">
        <v>31301</v>
      </c>
      <c r="M3854" s="186"/>
      <c r="N3854" s="186"/>
      <c r="O3854" s="172"/>
    </row>
    <row r="3855" spans="1:15" ht="25.5" x14ac:dyDescent="0.2">
      <c r="A3855" s="197" t="str">
        <f t="shared" si="60"/>
        <v>FfnCode_pipelineTransport</v>
      </c>
      <c r="B3855" s="409"/>
      <c r="C3855" s="416"/>
      <c r="D3855" s="198" t="s">
        <v>31302</v>
      </c>
      <c r="E3855" s="198">
        <v>500</v>
      </c>
      <c r="F3855" s="199" t="s">
        <v>31303</v>
      </c>
      <c r="G3855" s="1" t="s">
        <v>31304</v>
      </c>
      <c r="H3855" s="200"/>
      <c r="I3855" s="346"/>
      <c r="J3855" s="39">
        <v>112090</v>
      </c>
      <c r="K3855" s="36" t="str">
        <f>CONCATENATE(Cover!$D$6,"fdd/view?i=",J3855)</f>
        <v>https://www.dgiwg.org/FAD/fdd/view?i=112090</v>
      </c>
      <c r="L3855" s="36" t="s">
        <v>31305</v>
      </c>
      <c r="M3855" s="186"/>
      <c r="N3855" s="186"/>
      <c r="O3855" s="172"/>
    </row>
    <row r="3856" spans="1:15" ht="25.5" x14ac:dyDescent="0.2">
      <c r="A3856" s="197" t="str">
        <f t="shared" si="60"/>
        <v>FfnCode_placeOfWorship</v>
      </c>
      <c r="B3856" s="409"/>
      <c r="C3856" s="416"/>
      <c r="D3856" s="198" t="s">
        <v>31306</v>
      </c>
      <c r="E3856" s="198">
        <v>931</v>
      </c>
      <c r="F3856" s="199" t="s">
        <v>31307</v>
      </c>
      <c r="G3856" s="1" t="s">
        <v>31308</v>
      </c>
      <c r="H3856" s="1" t="s">
        <v>31309</v>
      </c>
      <c r="I3856" s="346"/>
      <c r="J3856" s="39">
        <v>112346</v>
      </c>
      <c r="K3856" s="36" t="str">
        <f>CONCATENATE(Cover!$D$6,"fdd/view?i=",J3856)</f>
        <v>https://www.dgiwg.org/FAD/fdd/view?i=112346</v>
      </c>
      <c r="L3856" s="36" t="s">
        <v>31310</v>
      </c>
      <c r="M3856" s="186"/>
      <c r="N3856" s="186"/>
      <c r="O3856" s="172"/>
    </row>
    <row r="3857" spans="1:15" ht="344.25" x14ac:dyDescent="0.2">
      <c r="A3857" s="197" t="str">
        <f t="shared" si="60"/>
        <v>FfnCode_plasticProdManufac</v>
      </c>
      <c r="B3857" s="409"/>
      <c r="C3857" s="416"/>
      <c r="D3857" s="198" t="s">
        <v>31311</v>
      </c>
      <c r="E3857" s="198">
        <v>225</v>
      </c>
      <c r="F3857" s="199" t="s">
        <v>31312</v>
      </c>
      <c r="G3857" s="1" t="s">
        <v>31313</v>
      </c>
      <c r="H3857" s="1" t="s">
        <v>31314</v>
      </c>
      <c r="I3857" s="346"/>
      <c r="J3857" s="39">
        <v>111966</v>
      </c>
      <c r="K3857" s="36" t="str">
        <f>CONCATENATE(Cover!$D$6,"fdd/view?i=",J3857)</f>
        <v>https://www.dgiwg.org/FAD/fdd/view?i=111966</v>
      </c>
      <c r="L3857" s="36" t="s">
        <v>31315</v>
      </c>
      <c r="M3857" s="186"/>
      <c r="N3857" s="186"/>
      <c r="O3857" s="172"/>
    </row>
    <row r="3858" spans="1:15" ht="63.75" x14ac:dyDescent="0.2">
      <c r="A3858" s="197" t="str">
        <f t="shared" si="60"/>
        <v>FfnCode_pollingStation</v>
      </c>
      <c r="B3858" s="409"/>
      <c r="C3858" s="416"/>
      <c r="D3858" s="198" t="s">
        <v>31316</v>
      </c>
      <c r="E3858" s="198">
        <v>821</v>
      </c>
      <c r="F3858" s="199" t="s">
        <v>31317</v>
      </c>
      <c r="G3858" s="1" t="s">
        <v>31318</v>
      </c>
      <c r="H3858" s="1" t="s">
        <v>31319</v>
      </c>
      <c r="I3858" s="346"/>
      <c r="J3858" s="39">
        <v>119121</v>
      </c>
      <c r="K3858" s="36" t="str">
        <f>CONCATENATE(Cover!$D$6,"fdd/view?i=",J3858)</f>
        <v>https://www.dgiwg.org/FAD/fdd/view?i=119121</v>
      </c>
      <c r="L3858" s="36" t="s">
        <v>31320</v>
      </c>
      <c r="M3858" s="186"/>
      <c r="N3858" s="186"/>
      <c r="O3858" s="172"/>
    </row>
    <row r="3859" spans="1:15" ht="25.5" x14ac:dyDescent="0.2">
      <c r="A3859" s="197" t="str">
        <f t="shared" si="60"/>
        <v>FfnCode_portControl</v>
      </c>
      <c r="B3859" s="409"/>
      <c r="C3859" s="416"/>
      <c r="D3859" s="198" t="s">
        <v>31321</v>
      </c>
      <c r="E3859" s="198">
        <v>510</v>
      </c>
      <c r="F3859" s="199" t="s">
        <v>31322</v>
      </c>
      <c r="G3859" s="1" t="s">
        <v>31323</v>
      </c>
      <c r="H3859" s="200"/>
      <c r="I3859" s="346"/>
      <c r="J3859" s="39">
        <v>112100</v>
      </c>
      <c r="K3859" s="36" t="str">
        <f>CONCATENATE(Cover!$D$6,"fdd/view?i=",J3859)</f>
        <v>https://www.dgiwg.org/FAD/fdd/view?i=112100</v>
      </c>
      <c r="L3859" s="36" t="s">
        <v>31324</v>
      </c>
      <c r="M3859" s="186"/>
      <c r="N3859" s="186"/>
      <c r="O3859" s="172"/>
    </row>
    <row r="3860" spans="1:15" ht="38.25" x14ac:dyDescent="0.2">
      <c r="A3860" s="197" t="str">
        <f t="shared" si="60"/>
        <v>FfnCode_postalActivities</v>
      </c>
      <c r="B3860" s="409"/>
      <c r="C3860" s="416"/>
      <c r="D3860" s="198" t="s">
        <v>31325</v>
      </c>
      <c r="E3860" s="198">
        <v>540</v>
      </c>
      <c r="F3860" s="199" t="s">
        <v>31326</v>
      </c>
      <c r="G3860" s="1" t="s">
        <v>31327</v>
      </c>
      <c r="H3860" s="1" t="s">
        <v>31328</v>
      </c>
      <c r="I3860" s="346"/>
      <c r="J3860" s="39">
        <v>112122</v>
      </c>
      <c r="K3860" s="36" t="str">
        <f>CONCATENATE(Cover!$D$6,"fdd/view?i=",J3860)</f>
        <v>https://www.dgiwg.org/FAD/fdd/view?i=112122</v>
      </c>
      <c r="L3860" s="36" t="s">
        <v>31329</v>
      </c>
      <c r="M3860" s="186"/>
      <c r="N3860" s="186"/>
      <c r="O3860" s="172"/>
    </row>
    <row r="3861" spans="1:15" ht="25.5" x14ac:dyDescent="0.2">
      <c r="A3861" s="197" t="str">
        <f t="shared" si="60"/>
        <v>FfnCode_powerGeneration</v>
      </c>
      <c r="B3861" s="409"/>
      <c r="C3861" s="416"/>
      <c r="D3861" s="198" t="s">
        <v>31330</v>
      </c>
      <c r="E3861" s="198">
        <v>351</v>
      </c>
      <c r="F3861" s="199" t="s">
        <v>31331</v>
      </c>
      <c r="G3861" s="1" t="s">
        <v>31332</v>
      </c>
      <c r="H3861" s="200"/>
      <c r="I3861" s="346"/>
      <c r="J3861" s="39">
        <v>112042</v>
      </c>
      <c r="K3861" s="36" t="str">
        <f>CONCATENATE(Cover!$D$6,"fdd/view?i=",J3861)</f>
        <v>https://www.dgiwg.org/FAD/fdd/view?i=112042</v>
      </c>
      <c r="L3861" s="36" t="s">
        <v>31333</v>
      </c>
      <c r="M3861" s="186"/>
      <c r="N3861" s="186"/>
      <c r="O3861" s="172"/>
    </row>
    <row r="3862" spans="1:15" ht="51" x14ac:dyDescent="0.2">
      <c r="A3862" s="197" t="str">
        <f t="shared" si="60"/>
        <v>FfnCode_preciousMetalMerchant</v>
      </c>
      <c r="B3862" s="409"/>
      <c r="C3862" s="416"/>
      <c r="D3862" s="198" t="s">
        <v>31334</v>
      </c>
      <c r="E3862" s="198">
        <v>474</v>
      </c>
      <c r="F3862" s="199" t="s">
        <v>31335</v>
      </c>
      <c r="G3862" s="1" t="s">
        <v>31336</v>
      </c>
      <c r="H3862" s="1" t="s">
        <v>31337</v>
      </c>
      <c r="I3862" s="346"/>
      <c r="J3862" s="39">
        <v>118551</v>
      </c>
      <c r="K3862" s="36" t="str">
        <f>CONCATENATE(Cover!$D$6,"fdd/view?i=",J3862)</f>
        <v>https://www.dgiwg.org/FAD/fdd/view?i=118551</v>
      </c>
      <c r="L3862" s="36" t="s">
        <v>31338</v>
      </c>
      <c r="M3862" s="186"/>
      <c r="N3862" s="186"/>
      <c r="O3862" s="172"/>
    </row>
    <row r="3863" spans="1:15" ht="89.25" x14ac:dyDescent="0.2">
      <c r="A3863" s="197" t="str">
        <f t="shared" si="60"/>
        <v>FfnCode_preparedMealManufac</v>
      </c>
      <c r="B3863" s="409"/>
      <c r="C3863" s="416"/>
      <c r="D3863" s="198" t="s">
        <v>31339</v>
      </c>
      <c r="E3863" s="198">
        <v>116</v>
      </c>
      <c r="F3863" s="199" t="s">
        <v>31340</v>
      </c>
      <c r="G3863" s="1" t="s">
        <v>31341</v>
      </c>
      <c r="H3863" s="1" t="s">
        <v>31342</v>
      </c>
      <c r="I3863" s="346"/>
      <c r="J3863" s="39">
        <v>111926</v>
      </c>
      <c r="K3863" s="36" t="str">
        <f>CONCATENATE(Cover!$D$6,"fdd/view?i=",J3863)</f>
        <v>https://www.dgiwg.org/FAD/fdd/view?i=111926</v>
      </c>
      <c r="L3863" s="36" t="s">
        <v>31343</v>
      </c>
      <c r="M3863" s="186"/>
      <c r="N3863" s="186"/>
      <c r="O3863" s="172"/>
    </row>
    <row r="3864" spans="1:15" ht="140.25" x14ac:dyDescent="0.2">
      <c r="A3864" s="197" t="str">
        <f t="shared" si="60"/>
        <v>FfnCode_primaryEducation</v>
      </c>
      <c r="B3864" s="409"/>
      <c r="C3864" s="416"/>
      <c r="D3864" s="198" t="s">
        <v>31344</v>
      </c>
      <c r="E3864" s="198">
        <v>851</v>
      </c>
      <c r="F3864" s="199" t="s">
        <v>31345</v>
      </c>
      <c r="G3864" s="1" t="s">
        <v>31346</v>
      </c>
      <c r="H3864" s="1" t="s">
        <v>31347</v>
      </c>
      <c r="I3864" s="346"/>
      <c r="J3864" s="39">
        <v>112286</v>
      </c>
      <c r="K3864" s="36" t="str">
        <f>CONCATENATE(Cover!$D$6,"fdd/view?i=",J3864)</f>
        <v>https://www.dgiwg.org/FAD/fdd/view?i=112286</v>
      </c>
      <c r="L3864" s="36" t="s">
        <v>31348</v>
      </c>
      <c r="M3864" s="186"/>
      <c r="N3864" s="186"/>
      <c r="O3864" s="172"/>
    </row>
    <row r="3865" spans="1:15" ht="191.25" x14ac:dyDescent="0.2">
      <c r="A3865" s="197" t="str">
        <f t="shared" si="60"/>
        <v>FfnCode_printing</v>
      </c>
      <c r="B3865" s="409"/>
      <c r="C3865" s="416"/>
      <c r="D3865" s="198" t="s">
        <v>31354</v>
      </c>
      <c r="E3865" s="198">
        <v>181</v>
      </c>
      <c r="F3865" s="199" t="s">
        <v>31355</v>
      </c>
      <c r="G3865" s="1" t="s">
        <v>31356</v>
      </c>
      <c r="H3865" s="1" t="s">
        <v>31357</v>
      </c>
      <c r="I3865" s="346"/>
      <c r="J3865" s="39">
        <v>111954</v>
      </c>
      <c r="K3865" s="36" t="str">
        <f>CONCATENATE(Cover!$D$6,"fdd/view?i=",J3865)</f>
        <v>https://www.dgiwg.org/FAD/fdd/view?i=111954</v>
      </c>
      <c r="L3865" s="36" t="s">
        <v>31358</v>
      </c>
      <c r="M3865" s="186"/>
      <c r="N3865" s="186"/>
      <c r="O3865" s="172"/>
    </row>
    <row r="3866" spans="1:15" ht="38.25" x14ac:dyDescent="0.2">
      <c r="A3866" s="197" t="str">
        <f t="shared" si="60"/>
        <v>FfnCode_printPublishing</v>
      </c>
      <c r="B3866" s="409"/>
      <c r="C3866" s="416"/>
      <c r="D3866" s="198" t="s">
        <v>31349</v>
      </c>
      <c r="E3866" s="198">
        <v>582</v>
      </c>
      <c r="F3866" s="199" t="s">
        <v>31350</v>
      </c>
      <c r="G3866" s="1" t="s">
        <v>31351</v>
      </c>
      <c r="H3866" s="1" t="s">
        <v>31352</v>
      </c>
      <c r="I3866" s="346"/>
      <c r="J3866" s="39">
        <v>112154</v>
      </c>
      <c r="K3866" s="36" t="str">
        <f>CONCATENATE(Cover!$D$6,"fdd/view?i=",J3866)</f>
        <v>https://www.dgiwg.org/FAD/fdd/view?i=112154</v>
      </c>
      <c r="L3866" s="36" t="s">
        <v>31353</v>
      </c>
      <c r="M3866" s="186"/>
      <c r="N3866" s="186"/>
      <c r="O3866" s="172"/>
    </row>
    <row r="3867" spans="1:15" ht="76.5" x14ac:dyDescent="0.2">
      <c r="A3867" s="197" t="str">
        <f t="shared" si="60"/>
        <v>FfnCode_propaneSale</v>
      </c>
      <c r="B3867" s="409"/>
      <c r="C3867" s="416"/>
      <c r="D3867" s="198" t="s">
        <v>31359</v>
      </c>
      <c r="E3867" s="198">
        <v>272</v>
      </c>
      <c r="F3867" s="199" t="s">
        <v>31360</v>
      </c>
      <c r="G3867" s="1" t="s">
        <v>31361</v>
      </c>
      <c r="H3867" s="1" t="s">
        <v>31362</v>
      </c>
      <c r="I3867" s="346"/>
      <c r="J3867" s="39">
        <v>118549</v>
      </c>
      <c r="K3867" s="36" t="str">
        <f>CONCATENATE(Cover!$D$6,"fdd/view?i=",J3867)</f>
        <v>https://www.dgiwg.org/FAD/fdd/view?i=118549</v>
      </c>
      <c r="L3867" s="36" t="s">
        <v>31363</v>
      </c>
      <c r="M3867" s="186"/>
      <c r="N3867" s="186"/>
      <c r="O3867" s="172"/>
    </row>
    <row r="3868" spans="1:15" ht="25.5" x14ac:dyDescent="0.2">
      <c r="A3868" s="197" t="str">
        <f t="shared" si="60"/>
        <v>FfnCode_psychiatricInPatientCare</v>
      </c>
      <c r="B3868" s="409"/>
      <c r="C3868" s="416"/>
      <c r="D3868" s="198" t="s">
        <v>31364</v>
      </c>
      <c r="E3868" s="198">
        <v>873</v>
      </c>
      <c r="F3868" s="199" t="s">
        <v>31365</v>
      </c>
      <c r="G3868" s="1" t="s">
        <v>31366</v>
      </c>
      <c r="H3868" s="1" t="s">
        <v>31367</v>
      </c>
      <c r="I3868" s="346"/>
      <c r="J3868" s="39">
        <v>112304</v>
      </c>
      <c r="K3868" s="36" t="str">
        <f>CONCATENATE(Cover!$D$6,"fdd/view?i=",J3868)</f>
        <v>https://www.dgiwg.org/FAD/fdd/view?i=112304</v>
      </c>
      <c r="L3868" s="36" t="s">
        <v>31368</v>
      </c>
      <c r="M3868" s="186"/>
      <c r="N3868" s="186"/>
      <c r="O3868" s="172"/>
    </row>
    <row r="3869" spans="1:15" ht="76.5" x14ac:dyDescent="0.2">
      <c r="A3869" s="197" t="str">
        <f t="shared" si="60"/>
        <v>FfnCode_publicHealthActivities</v>
      </c>
      <c r="B3869" s="409"/>
      <c r="C3869" s="416"/>
      <c r="D3869" s="198" t="s">
        <v>31369</v>
      </c>
      <c r="E3869" s="198">
        <v>865</v>
      </c>
      <c r="F3869" s="199" t="s">
        <v>31370</v>
      </c>
      <c r="G3869" s="1" t="s">
        <v>31371</v>
      </c>
      <c r="H3869" s="1" t="s">
        <v>31372</v>
      </c>
      <c r="I3869" s="346"/>
      <c r="J3869" s="39">
        <v>118566</v>
      </c>
      <c r="K3869" s="36" t="str">
        <f>CONCATENATE(Cover!$D$6,"fdd/view?i=",J3869)</f>
        <v>https://www.dgiwg.org/FAD/fdd/view?i=118566</v>
      </c>
      <c r="L3869" s="36" t="s">
        <v>31373</v>
      </c>
      <c r="M3869" s="186"/>
      <c r="N3869" s="186"/>
      <c r="O3869" s="172"/>
    </row>
    <row r="3870" spans="1:15" ht="89.25" x14ac:dyDescent="0.2">
      <c r="A3870" s="197" t="str">
        <f t="shared" si="60"/>
        <v>FfnCode_publicRecords</v>
      </c>
      <c r="B3870" s="409"/>
      <c r="C3870" s="416"/>
      <c r="D3870" s="198" t="s">
        <v>31374</v>
      </c>
      <c r="E3870" s="198">
        <v>633</v>
      </c>
      <c r="F3870" s="199" t="s">
        <v>31375</v>
      </c>
      <c r="G3870" s="1" t="s">
        <v>31376</v>
      </c>
      <c r="H3870" s="1" t="s">
        <v>31377</v>
      </c>
      <c r="I3870" s="346"/>
      <c r="J3870" s="39">
        <v>117907</v>
      </c>
      <c r="K3870" s="36" t="str">
        <f>CONCATENATE(Cover!$D$6,"fdd/view?i=",J3870)</f>
        <v>https://www.dgiwg.org/FAD/fdd/view?i=117907</v>
      </c>
      <c r="L3870" s="36" t="s">
        <v>31378</v>
      </c>
      <c r="M3870" s="186"/>
      <c r="N3870" s="186"/>
      <c r="O3870" s="172"/>
    </row>
    <row r="3871" spans="1:15" x14ac:dyDescent="0.2">
      <c r="A3871" s="197" t="str">
        <f t="shared" si="60"/>
        <v>FfnCode_pumping</v>
      </c>
      <c r="B3871" s="409"/>
      <c r="C3871" s="416"/>
      <c r="D3871" s="198" t="s">
        <v>31379</v>
      </c>
      <c r="E3871" s="198">
        <v>501</v>
      </c>
      <c r="F3871" s="199" t="s">
        <v>31380</v>
      </c>
      <c r="G3871" s="1" t="s">
        <v>31381</v>
      </c>
      <c r="H3871" s="200"/>
      <c r="I3871" s="346"/>
      <c r="J3871" s="39">
        <v>112092</v>
      </c>
      <c r="K3871" s="36" t="str">
        <f>CONCATENATE(Cover!$D$6,"fdd/view?i=",J3871)</f>
        <v>https://www.dgiwg.org/FAD/fdd/view?i=112092</v>
      </c>
      <c r="L3871" s="36" t="s">
        <v>31382</v>
      </c>
      <c r="M3871" s="186"/>
      <c r="N3871" s="186"/>
      <c r="O3871" s="172"/>
    </row>
    <row r="3872" spans="1:15" ht="140.25" x14ac:dyDescent="0.2">
      <c r="A3872" s="197" t="str">
        <f t="shared" si="60"/>
        <v>FfnCode_quarrying</v>
      </c>
      <c r="B3872" s="409"/>
      <c r="C3872" s="416"/>
      <c r="D3872" s="198" t="s">
        <v>31383</v>
      </c>
      <c r="E3872" s="198">
        <v>81</v>
      </c>
      <c r="F3872" s="199" t="s">
        <v>31384</v>
      </c>
      <c r="G3872" s="1" t="s">
        <v>31385</v>
      </c>
      <c r="H3872" s="1" t="s">
        <v>31386</v>
      </c>
      <c r="I3872" s="346"/>
      <c r="J3872" s="39">
        <v>111866</v>
      </c>
      <c r="K3872" s="36" t="str">
        <f>CONCATENATE(Cover!$D$6,"fdd/view?i=",J3872)</f>
        <v>https://www.dgiwg.org/FAD/fdd/view?i=111866</v>
      </c>
      <c r="L3872" s="36" t="s">
        <v>31387</v>
      </c>
      <c r="M3872" s="186"/>
      <c r="N3872" s="186"/>
      <c r="O3872" s="172"/>
    </row>
    <row r="3873" spans="1:15" ht="51" x14ac:dyDescent="0.2">
      <c r="A3873" s="197" t="str">
        <f t="shared" si="60"/>
        <v>FfnCode_radioBroadcasting</v>
      </c>
      <c r="B3873" s="409"/>
      <c r="C3873" s="416"/>
      <c r="D3873" s="198" t="s">
        <v>31388</v>
      </c>
      <c r="E3873" s="198">
        <v>601</v>
      </c>
      <c r="F3873" s="199" t="s">
        <v>31389</v>
      </c>
      <c r="G3873" s="1" t="s">
        <v>31390</v>
      </c>
      <c r="H3873" s="1" t="s">
        <v>31391</v>
      </c>
      <c r="I3873" s="346"/>
      <c r="J3873" s="39">
        <v>112158</v>
      </c>
      <c r="K3873" s="36" t="str">
        <f>CONCATENATE(Cover!$D$6,"fdd/view?i=",J3873)</f>
        <v>https://www.dgiwg.org/FAD/fdd/view?i=112158</v>
      </c>
      <c r="L3873" s="36" t="s">
        <v>31392</v>
      </c>
      <c r="M3873" s="186"/>
      <c r="N3873" s="186"/>
      <c r="O3873" s="172"/>
    </row>
    <row r="3874" spans="1:15" ht="38.25" x14ac:dyDescent="0.2">
      <c r="A3874" s="197" t="str">
        <f t="shared" si="60"/>
        <v>FfnCode_railwayPassengerTransport</v>
      </c>
      <c r="B3874" s="409"/>
      <c r="C3874" s="416"/>
      <c r="D3874" s="198" t="s">
        <v>31393</v>
      </c>
      <c r="E3874" s="198">
        <v>491</v>
      </c>
      <c r="F3874" s="199" t="s">
        <v>31394</v>
      </c>
      <c r="G3874" s="1" t="s">
        <v>31395</v>
      </c>
      <c r="H3874" s="1" t="s">
        <v>31396</v>
      </c>
      <c r="I3874" s="346"/>
      <c r="J3874" s="39">
        <v>118552</v>
      </c>
      <c r="K3874" s="36" t="str">
        <f>CONCATENATE(Cover!$D$6,"fdd/view?i=",J3874)</f>
        <v>https://www.dgiwg.org/FAD/fdd/view?i=118552</v>
      </c>
      <c r="L3874" s="36" t="s">
        <v>31397</v>
      </c>
      <c r="M3874" s="186"/>
      <c r="N3874" s="186"/>
      <c r="O3874" s="172"/>
    </row>
    <row r="3875" spans="1:15" ht="38.25" x14ac:dyDescent="0.2">
      <c r="A3875" s="197" t="str">
        <f t="shared" si="60"/>
        <v>FfnCode_railwayTransport</v>
      </c>
      <c r="B3875" s="409"/>
      <c r="C3875" s="416"/>
      <c r="D3875" s="198" t="s">
        <v>31398</v>
      </c>
      <c r="E3875" s="198">
        <v>490</v>
      </c>
      <c r="F3875" s="199" t="s">
        <v>31399</v>
      </c>
      <c r="G3875" s="1" t="s">
        <v>31400</v>
      </c>
      <c r="H3875" s="1" t="s">
        <v>31396</v>
      </c>
      <c r="I3875" s="346"/>
      <c r="J3875" s="39">
        <v>112080</v>
      </c>
      <c r="K3875" s="36" t="str">
        <f>CONCATENATE(Cover!$D$6,"fdd/view?i=",J3875)</f>
        <v>https://www.dgiwg.org/FAD/fdd/view?i=112080</v>
      </c>
      <c r="L3875" s="36" t="s">
        <v>31401</v>
      </c>
      <c r="M3875" s="186"/>
      <c r="N3875" s="186"/>
      <c r="O3875" s="172"/>
    </row>
    <row r="3876" spans="1:15" ht="242.25" x14ac:dyDescent="0.2">
      <c r="A3876" s="197" t="str">
        <f t="shared" si="60"/>
        <v>FfnCode_railwayVehicleManufac</v>
      </c>
      <c r="B3876" s="409"/>
      <c r="C3876" s="416"/>
      <c r="D3876" s="198" t="s">
        <v>31402</v>
      </c>
      <c r="E3876" s="198">
        <v>304</v>
      </c>
      <c r="F3876" s="199" t="s">
        <v>31403</v>
      </c>
      <c r="G3876" s="1" t="s">
        <v>31404</v>
      </c>
      <c r="H3876" s="1" t="s">
        <v>31405</v>
      </c>
      <c r="I3876" s="346"/>
      <c r="J3876" s="39">
        <v>112004</v>
      </c>
      <c r="K3876" s="36" t="str">
        <f>CONCATENATE(Cover!$D$6,"fdd/view?i=",J3876)</f>
        <v>https://www.dgiwg.org/FAD/fdd/view?i=112004</v>
      </c>
      <c r="L3876" s="36" t="s">
        <v>31406</v>
      </c>
      <c r="M3876" s="186"/>
      <c r="N3876" s="186"/>
      <c r="O3876" s="172"/>
    </row>
    <row r="3877" spans="1:15" ht="25.5" x14ac:dyDescent="0.2">
      <c r="A3877" s="197" t="str">
        <f t="shared" si="60"/>
        <v>FfnCode_railwayVehicleRepair</v>
      </c>
      <c r="B3877" s="409"/>
      <c r="C3877" s="416"/>
      <c r="D3877" s="198" t="s">
        <v>31407</v>
      </c>
      <c r="E3877" s="198">
        <v>342</v>
      </c>
      <c r="F3877" s="199" t="s">
        <v>31408</v>
      </c>
      <c r="G3877" s="1" t="s">
        <v>31409</v>
      </c>
      <c r="H3877" s="200"/>
      <c r="I3877" s="346"/>
      <c r="J3877" s="39">
        <v>112036</v>
      </c>
      <c r="K3877" s="36" t="str">
        <f>CONCATENATE(Cover!$D$6,"fdd/view?i=",J3877)</f>
        <v>https://www.dgiwg.org/FAD/fdd/view?i=112036</v>
      </c>
      <c r="L3877" s="36" t="s">
        <v>31410</v>
      </c>
      <c r="M3877" s="186"/>
      <c r="N3877" s="186"/>
      <c r="O3877" s="172"/>
    </row>
    <row r="3878" spans="1:15" ht="25.5" x14ac:dyDescent="0.2">
      <c r="A3878" s="197" t="str">
        <f t="shared" si="60"/>
        <v>FfnCode_raisingOfAnimals</v>
      </c>
      <c r="B3878" s="409"/>
      <c r="C3878" s="416"/>
      <c r="D3878" s="198" t="s">
        <v>31411</v>
      </c>
      <c r="E3878" s="198">
        <v>9</v>
      </c>
      <c r="F3878" s="199" t="s">
        <v>31412</v>
      </c>
      <c r="G3878" s="1" t="s">
        <v>31413</v>
      </c>
      <c r="H3878" s="200"/>
      <c r="I3878" s="346"/>
      <c r="J3878" s="39">
        <v>111836</v>
      </c>
      <c r="K3878" s="36" t="str">
        <f>CONCATENATE(Cover!$D$6,"fdd/view?i=",J3878)</f>
        <v>https://www.dgiwg.org/FAD/fdd/view?i=111836</v>
      </c>
      <c r="L3878" s="36" t="s">
        <v>31414</v>
      </c>
      <c r="M3878" s="186"/>
      <c r="N3878" s="186"/>
      <c r="O3878" s="172"/>
    </row>
    <row r="3879" spans="1:15" ht="51" x14ac:dyDescent="0.2">
      <c r="A3879" s="197" t="str">
        <f t="shared" si="60"/>
        <v>FfnCode_realEstateActivities</v>
      </c>
      <c r="B3879" s="409"/>
      <c r="C3879" s="416"/>
      <c r="D3879" s="198" t="s">
        <v>31415</v>
      </c>
      <c r="E3879" s="198">
        <v>680</v>
      </c>
      <c r="F3879" s="199" t="s">
        <v>31416</v>
      </c>
      <c r="G3879" s="1" t="s">
        <v>31417</v>
      </c>
      <c r="H3879" s="1" t="s">
        <v>31418</v>
      </c>
      <c r="I3879" s="346"/>
      <c r="J3879" s="39">
        <v>112194</v>
      </c>
      <c r="K3879" s="36" t="str">
        <f>CONCATENATE(Cover!$D$6,"fdd/view?i=",J3879)</f>
        <v>https://www.dgiwg.org/FAD/fdd/view?i=112194</v>
      </c>
      <c r="L3879" s="36" t="s">
        <v>31419</v>
      </c>
      <c r="M3879" s="186"/>
      <c r="N3879" s="186"/>
      <c r="O3879" s="172"/>
    </row>
    <row r="3880" spans="1:15" ht="51" x14ac:dyDescent="0.2">
      <c r="A3880" s="197" t="str">
        <f t="shared" si="60"/>
        <v>FfnCode_recreation</v>
      </c>
      <c r="B3880" s="409"/>
      <c r="C3880" s="416"/>
      <c r="D3880" s="198" t="s">
        <v>31420</v>
      </c>
      <c r="E3880" s="198">
        <v>921</v>
      </c>
      <c r="F3880" s="199" t="s">
        <v>31421</v>
      </c>
      <c r="G3880" s="1" t="s">
        <v>31422</v>
      </c>
      <c r="H3880" s="1" t="s">
        <v>31423</v>
      </c>
      <c r="I3880" s="346"/>
      <c r="J3880" s="39">
        <v>112340</v>
      </c>
      <c r="K3880" s="36" t="str">
        <f>CONCATENATE(Cover!$D$6,"fdd/view?i=",J3880)</f>
        <v>https://www.dgiwg.org/FAD/fdd/view?i=112340</v>
      </c>
      <c r="L3880" s="36" t="s">
        <v>31424</v>
      </c>
      <c r="M3880" s="186"/>
      <c r="N3880" s="186"/>
      <c r="O3880" s="172"/>
    </row>
    <row r="3881" spans="1:15" ht="102" x14ac:dyDescent="0.2">
      <c r="A3881" s="197" t="str">
        <f t="shared" si="60"/>
        <v>FfnCode_refractoryProdManufac</v>
      </c>
      <c r="B3881" s="409"/>
      <c r="C3881" s="416"/>
      <c r="D3881" s="198" t="s">
        <v>31425</v>
      </c>
      <c r="E3881" s="198">
        <v>232</v>
      </c>
      <c r="F3881" s="199" t="s">
        <v>31426</v>
      </c>
      <c r="G3881" s="1" t="s">
        <v>31427</v>
      </c>
      <c r="H3881" s="1" t="s">
        <v>31428</v>
      </c>
      <c r="I3881" s="346"/>
      <c r="J3881" s="39">
        <v>111970</v>
      </c>
      <c r="K3881" s="36" t="str">
        <f>CONCATENATE(Cover!$D$6,"fdd/view?i=",J3881)</f>
        <v>https://www.dgiwg.org/FAD/fdd/view?i=111970</v>
      </c>
      <c r="L3881" s="36" t="s">
        <v>31429</v>
      </c>
      <c r="M3881" s="186"/>
      <c r="N3881" s="186"/>
      <c r="O3881" s="172"/>
    </row>
    <row r="3882" spans="1:15" ht="127.5" x14ac:dyDescent="0.2">
      <c r="A3882" s="197" t="str">
        <f t="shared" si="60"/>
        <v>FfnCode_refugeeShelter</v>
      </c>
      <c r="B3882" s="409"/>
      <c r="C3882" s="416"/>
      <c r="D3882" s="198" t="s">
        <v>31430</v>
      </c>
      <c r="E3882" s="198">
        <v>883</v>
      </c>
      <c r="F3882" s="199" t="s">
        <v>31431</v>
      </c>
      <c r="G3882" s="1" t="s">
        <v>31432</v>
      </c>
      <c r="H3882" s="1" t="s">
        <v>31433</v>
      </c>
      <c r="I3882" s="346"/>
      <c r="J3882" s="39">
        <v>112312</v>
      </c>
      <c r="K3882" s="36" t="str">
        <f>CONCATENATE(Cover!$D$6,"fdd/view?i=",J3882)</f>
        <v>https://www.dgiwg.org/FAD/fdd/view?i=112312</v>
      </c>
      <c r="L3882" s="36" t="s">
        <v>31434</v>
      </c>
      <c r="M3882" s="186"/>
      <c r="N3882" s="186"/>
      <c r="O3882" s="172"/>
    </row>
    <row r="3883" spans="1:15" ht="51" x14ac:dyDescent="0.2">
      <c r="A3883" s="197" t="str">
        <f t="shared" si="60"/>
        <v>FfnCode_religiousActivities</v>
      </c>
      <c r="B3883" s="409"/>
      <c r="C3883" s="416"/>
      <c r="D3883" s="198" t="s">
        <v>31435</v>
      </c>
      <c r="E3883" s="198">
        <v>930</v>
      </c>
      <c r="F3883" s="199" t="s">
        <v>31436</v>
      </c>
      <c r="G3883" s="1" t="s">
        <v>31437</v>
      </c>
      <c r="H3883" s="1" t="s">
        <v>31438</v>
      </c>
      <c r="I3883" s="346"/>
      <c r="J3883" s="39">
        <v>112344</v>
      </c>
      <c r="K3883" s="36" t="str">
        <f>CONCATENATE(Cover!$D$6,"fdd/view?i=",J3883)</f>
        <v>https://www.dgiwg.org/FAD/fdd/view?i=112344</v>
      </c>
      <c r="L3883" s="36" t="s">
        <v>31439</v>
      </c>
      <c r="M3883" s="186"/>
      <c r="N3883" s="186"/>
      <c r="O3883" s="172"/>
    </row>
    <row r="3884" spans="1:15" ht="51" x14ac:dyDescent="0.2">
      <c r="A3884" s="197" t="str">
        <f t="shared" si="60"/>
        <v>FfnCode_rescueParamedical</v>
      </c>
      <c r="B3884" s="409"/>
      <c r="C3884" s="416"/>
      <c r="D3884" s="198" t="s">
        <v>31440</v>
      </c>
      <c r="E3884" s="198">
        <v>846</v>
      </c>
      <c r="F3884" s="199" t="s">
        <v>31441</v>
      </c>
      <c r="G3884" s="1" t="s">
        <v>31442</v>
      </c>
      <c r="H3884" s="200"/>
      <c r="I3884" s="346"/>
      <c r="J3884" s="39">
        <v>112282</v>
      </c>
      <c r="K3884" s="36" t="str">
        <f>CONCATENATE(Cover!$D$6,"fdd/view?i=",J3884)</f>
        <v>https://www.dgiwg.org/FAD/fdd/view?i=112282</v>
      </c>
      <c r="L3884" s="36" t="s">
        <v>31443</v>
      </c>
      <c r="M3884" s="186"/>
      <c r="N3884" s="186"/>
      <c r="O3884" s="172"/>
    </row>
    <row r="3885" spans="1:15" ht="63.75" x14ac:dyDescent="0.2">
      <c r="A3885" s="197" t="str">
        <f t="shared" si="60"/>
        <v>FfnCode_residence</v>
      </c>
      <c r="B3885" s="409"/>
      <c r="C3885" s="416"/>
      <c r="D3885" s="198" t="s">
        <v>31444</v>
      </c>
      <c r="E3885" s="198">
        <v>563</v>
      </c>
      <c r="F3885" s="199" t="s">
        <v>31445</v>
      </c>
      <c r="G3885" s="1" t="s">
        <v>31446</v>
      </c>
      <c r="H3885" s="1" t="s">
        <v>31447</v>
      </c>
      <c r="I3885" s="346"/>
      <c r="J3885" s="39">
        <v>112150</v>
      </c>
      <c r="K3885" s="36" t="str">
        <f>CONCATENATE(Cover!$D$6,"fdd/view?i=",J3885)</f>
        <v>https://www.dgiwg.org/FAD/fdd/view?i=112150</v>
      </c>
      <c r="L3885" s="36" t="s">
        <v>31448</v>
      </c>
      <c r="M3885" s="186"/>
      <c r="N3885" s="186"/>
      <c r="O3885" s="172"/>
    </row>
    <row r="3886" spans="1:15" ht="76.5" x14ac:dyDescent="0.2">
      <c r="A3886" s="197" t="str">
        <f t="shared" si="60"/>
        <v>FfnCode_residentialCare</v>
      </c>
      <c r="B3886" s="409"/>
      <c r="C3886" s="416"/>
      <c r="D3886" s="198" t="s">
        <v>31449</v>
      </c>
      <c r="E3886" s="198">
        <v>875</v>
      </c>
      <c r="F3886" s="199" t="s">
        <v>31450</v>
      </c>
      <c r="G3886" s="1" t="s">
        <v>31451</v>
      </c>
      <c r="H3886" s="1" t="s">
        <v>31452</v>
      </c>
      <c r="I3886" s="346"/>
      <c r="J3886" s="39">
        <v>112306</v>
      </c>
      <c r="K3886" s="36" t="str">
        <f>CONCATENATE(Cover!$D$6,"fdd/view?i=",J3886)</f>
        <v>https://www.dgiwg.org/FAD/fdd/view?i=112306</v>
      </c>
      <c r="L3886" s="36" t="s">
        <v>31453</v>
      </c>
      <c r="M3886" s="186"/>
      <c r="N3886" s="186"/>
      <c r="O3886" s="172"/>
    </row>
    <row r="3887" spans="1:15" ht="63.75" x14ac:dyDescent="0.2">
      <c r="A3887" s="197" t="str">
        <f t="shared" si="60"/>
        <v>FfnCode_resortHotel</v>
      </c>
      <c r="B3887" s="409"/>
      <c r="C3887" s="416"/>
      <c r="D3887" s="198" t="s">
        <v>31454</v>
      </c>
      <c r="E3887" s="198">
        <v>552</v>
      </c>
      <c r="F3887" s="199" t="s">
        <v>31455</v>
      </c>
      <c r="G3887" s="1" t="s">
        <v>31456</v>
      </c>
      <c r="H3887" s="1" t="s">
        <v>31457</v>
      </c>
      <c r="I3887" s="351" t="s">
        <v>31458</v>
      </c>
      <c r="J3887" s="39">
        <v>112128</v>
      </c>
      <c r="K3887" s="36" t="str">
        <f>CONCATENATE(Cover!$D$6,"fdd/view?i=",J3887)</f>
        <v>https://www.dgiwg.org/FAD/fdd/view?i=112128</v>
      </c>
      <c r="L3887" s="36" t="s">
        <v>31459</v>
      </c>
      <c r="M3887" s="186"/>
      <c r="N3887" s="186"/>
      <c r="O3887" s="172"/>
    </row>
    <row r="3888" spans="1:15" ht="63.75" x14ac:dyDescent="0.2">
      <c r="A3888" s="197" t="str">
        <f t="shared" si="60"/>
        <v>FfnCode_restaurant</v>
      </c>
      <c r="B3888" s="409"/>
      <c r="C3888" s="416"/>
      <c r="D3888" s="198" t="s">
        <v>23182</v>
      </c>
      <c r="E3888" s="198">
        <v>572</v>
      </c>
      <c r="F3888" s="199" t="s">
        <v>23183</v>
      </c>
      <c r="G3888" s="1" t="s">
        <v>31460</v>
      </c>
      <c r="H3888" s="1" t="s">
        <v>31461</v>
      </c>
      <c r="I3888" s="346"/>
      <c r="J3888" s="39">
        <v>112152</v>
      </c>
      <c r="K3888" s="36" t="str">
        <f>CONCATENATE(Cover!$D$6,"fdd/view?i=",J3888)</f>
        <v>https://www.dgiwg.org/FAD/fdd/view?i=112152</v>
      </c>
      <c r="L3888" s="36" t="s">
        <v>31462</v>
      </c>
      <c r="M3888" s="186"/>
      <c r="N3888" s="186"/>
      <c r="O3888" s="172"/>
    </row>
    <row r="3889" spans="1:15" ht="51" x14ac:dyDescent="0.2">
      <c r="A3889" s="197" t="str">
        <f t="shared" si="60"/>
        <v>FfnCode_restroom</v>
      </c>
      <c r="B3889" s="409"/>
      <c r="C3889" s="416"/>
      <c r="D3889" s="198" t="s">
        <v>31463</v>
      </c>
      <c r="E3889" s="198">
        <v>382</v>
      </c>
      <c r="F3889" s="199" t="s">
        <v>31464</v>
      </c>
      <c r="G3889" s="1" t="s">
        <v>31465</v>
      </c>
      <c r="H3889" s="1" t="s">
        <v>31466</v>
      </c>
      <c r="I3889" s="351" t="s">
        <v>31467</v>
      </c>
      <c r="J3889" s="39">
        <v>112048</v>
      </c>
      <c r="K3889" s="36" t="str">
        <f>CONCATENATE(Cover!$D$6,"fdd/view?i=",J3889)</f>
        <v>https://www.dgiwg.org/FAD/fdd/view?i=112048</v>
      </c>
      <c r="L3889" s="36" t="s">
        <v>31468</v>
      </c>
      <c r="M3889" s="186"/>
      <c r="N3889" s="186"/>
      <c r="O3889" s="172"/>
    </row>
    <row r="3890" spans="1:15" ht="25.5" x14ac:dyDescent="0.2">
      <c r="A3890" s="197" t="str">
        <f t="shared" si="60"/>
        <v>FfnCode_retailBanking</v>
      </c>
      <c r="B3890" s="409"/>
      <c r="C3890" s="416"/>
      <c r="D3890" s="198" t="s">
        <v>31469</v>
      </c>
      <c r="E3890" s="198">
        <v>643</v>
      </c>
      <c r="F3890" s="199" t="s">
        <v>31470</v>
      </c>
      <c r="G3890" s="1" t="s">
        <v>31471</v>
      </c>
      <c r="H3890" s="200"/>
      <c r="I3890" s="351" t="s">
        <v>31472</v>
      </c>
      <c r="J3890" s="39">
        <v>112184</v>
      </c>
      <c r="K3890" s="36" t="str">
        <f>CONCATENATE(Cover!$D$6,"fdd/view?i=",J3890)</f>
        <v>https://www.dgiwg.org/FAD/fdd/view?i=112184</v>
      </c>
      <c r="L3890" s="36" t="s">
        <v>31473</v>
      </c>
      <c r="M3890" s="186"/>
      <c r="N3890" s="186"/>
      <c r="O3890" s="172"/>
    </row>
    <row r="3891" spans="1:15" ht="25.5" x14ac:dyDescent="0.2">
      <c r="A3891" s="197" t="str">
        <f t="shared" si="60"/>
        <v>FfnCode_retailService</v>
      </c>
      <c r="B3891" s="409"/>
      <c r="C3891" s="416"/>
      <c r="D3891" s="198" t="s">
        <v>31474</v>
      </c>
      <c r="E3891" s="198">
        <v>960</v>
      </c>
      <c r="F3891" s="199" t="s">
        <v>31475</v>
      </c>
      <c r="G3891" s="1" t="s">
        <v>31476</v>
      </c>
      <c r="H3891" s="1" t="s">
        <v>31477</v>
      </c>
      <c r="I3891" s="346"/>
      <c r="J3891" s="39">
        <v>112396</v>
      </c>
      <c r="K3891" s="36" t="str">
        <f>CONCATENATE(Cover!$D$6,"fdd/view?i=",J3891)</f>
        <v>https://www.dgiwg.org/FAD/fdd/view?i=112396</v>
      </c>
      <c r="L3891" s="36" t="s">
        <v>31478</v>
      </c>
      <c r="M3891" s="186"/>
      <c r="N3891" s="186"/>
      <c r="O3891" s="172"/>
    </row>
    <row r="3892" spans="1:15" ht="25.5" x14ac:dyDescent="0.2">
      <c r="A3892" s="197" t="str">
        <f t="shared" si="60"/>
        <v>FfnCode_retailTelecom</v>
      </c>
      <c r="B3892" s="409"/>
      <c r="C3892" s="416"/>
      <c r="D3892" s="198" t="s">
        <v>31479</v>
      </c>
      <c r="E3892" s="198">
        <v>612</v>
      </c>
      <c r="F3892" s="199" t="s">
        <v>31480</v>
      </c>
      <c r="G3892" s="1" t="s">
        <v>31481</v>
      </c>
      <c r="H3892" s="1" t="s">
        <v>31482</v>
      </c>
      <c r="I3892" s="346"/>
      <c r="J3892" s="39">
        <v>112164</v>
      </c>
      <c r="K3892" s="36" t="str">
        <f>CONCATENATE(Cover!$D$6,"fdd/view?i=",J3892)</f>
        <v>https://www.dgiwg.org/FAD/fdd/view?i=112164</v>
      </c>
      <c r="L3892" s="36" t="s">
        <v>31483</v>
      </c>
      <c r="M3892" s="186"/>
      <c r="N3892" s="186"/>
      <c r="O3892" s="172"/>
    </row>
    <row r="3893" spans="1:15" ht="25.5" x14ac:dyDescent="0.2">
      <c r="A3893" s="197" t="str">
        <f t="shared" si="60"/>
        <v>FfnCode_roadFreightTransport</v>
      </c>
      <c r="B3893" s="409"/>
      <c r="C3893" s="416"/>
      <c r="D3893" s="198" t="s">
        <v>31484</v>
      </c>
      <c r="E3893" s="198">
        <v>497</v>
      </c>
      <c r="F3893" s="199" t="s">
        <v>31485</v>
      </c>
      <c r="G3893" s="1" t="s">
        <v>31486</v>
      </c>
      <c r="H3893" s="200"/>
      <c r="I3893" s="346"/>
      <c r="J3893" s="39">
        <v>112088</v>
      </c>
      <c r="K3893" s="36" t="str">
        <f>CONCATENATE(Cover!$D$6,"fdd/view?i=",J3893)</f>
        <v>https://www.dgiwg.org/FAD/fdd/view?i=112088</v>
      </c>
      <c r="L3893" s="36" t="s">
        <v>31487</v>
      </c>
      <c r="M3893" s="186"/>
      <c r="N3893" s="186"/>
      <c r="O3893" s="172"/>
    </row>
    <row r="3894" spans="1:15" ht="25.5" x14ac:dyDescent="0.2">
      <c r="A3894" s="197" t="str">
        <f t="shared" si="60"/>
        <v>FfnCode_roadPassengerTransport</v>
      </c>
      <c r="B3894" s="409"/>
      <c r="C3894" s="416"/>
      <c r="D3894" s="198" t="s">
        <v>31488</v>
      </c>
      <c r="E3894" s="198">
        <v>496</v>
      </c>
      <c r="F3894" s="199" t="s">
        <v>31489</v>
      </c>
      <c r="G3894" s="1" t="s">
        <v>31490</v>
      </c>
      <c r="H3894" s="200"/>
      <c r="I3894" s="346"/>
      <c r="J3894" s="39">
        <v>112086</v>
      </c>
      <c r="K3894" s="36" t="str">
        <f>CONCATENATE(Cover!$D$6,"fdd/view?i=",J3894)</f>
        <v>https://www.dgiwg.org/FAD/fdd/view?i=112086</v>
      </c>
      <c r="L3894" s="36" t="s">
        <v>31491</v>
      </c>
      <c r="M3894" s="186"/>
      <c r="N3894" s="186"/>
      <c r="O3894" s="172"/>
    </row>
    <row r="3895" spans="1:15" ht="76.5" x14ac:dyDescent="0.2">
      <c r="A3895" s="197" t="str">
        <f t="shared" si="60"/>
        <v>FfnCode_roadTransport</v>
      </c>
      <c r="B3895" s="409"/>
      <c r="C3895" s="416"/>
      <c r="D3895" s="198" t="s">
        <v>31492</v>
      </c>
      <c r="E3895" s="198">
        <v>495</v>
      </c>
      <c r="F3895" s="199" t="s">
        <v>31493</v>
      </c>
      <c r="G3895" s="1" t="s">
        <v>31494</v>
      </c>
      <c r="H3895" s="1" t="s">
        <v>31495</v>
      </c>
      <c r="I3895" s="346"/>
      <c r="J3895" s="39">
        <v>112084</v>
      </c>
      <c r="K3895" s="36" t="str">
        <f>CONCATENATE(Cover!$D$6,"fdd/view?i=",J3895)</f>
        <v>https://www.dgiwg.org/FAD/fdd/view?i=112084</v>
      </c>
      <c r="L3895" s="36" t="s">
        <v>31496</v>
      </c>
      <c r="M3895" s="186"/>
      <c r="N3895" s="186"/>
      <c r="O3895" s="172"/>
    </row>
    <row r="3896" spans="1:15" ht="216.75" x14ac:dyDescent="0.2">
      <c r="A3896" s="197" t="str">
        <f t="shared" si="60"/>
        <v>FfnCode_rubberProdManufac</v>
      </c>
      <c r="B3896" s="409"/>
      <c r="C3896" s="416"/>
      <c r="D3896" s="198" t="s">
        <v>31497</v>
      </c>
      <c r="E3896" s="198">
        <v>221</v>
      </c>
      <c r="F3896" s="199" t="s">
        <v>31498</v>
      </c>
      <c r="G3896" s="1" t="s">
        <v>31499</v>
      </c>
      <c r="H3896" s="1" t="s">
        <v>31500</v>
      </c>
      <c r="I3896" s="346"/>
      <c r="J3896" s="39">
        <v>111964</v>
      </c>
      <c r="K3896" s="36" t="str">
        <f>CONCATENATE(Cover!$D$6,"fdd/view?i=",J3896)</f>
        <v>https://www.dgiwg.org/FAD/fdd/view?i=111964</v>
      </c>
      <c r="L3896" s="36" t="s">
        <v>31501</v>
      </c>
      <c r="M3896" s="186"/>
      <c r="N3896" s="186"/>
      <c r="O3896" s="172"/>
    </row>
    <row r="3897" spans="1:15" ht="38.25" x14ac:dyDescent="0.2">
      <c r="A3897" s="197" t="str">
        <f t="shared" si="60"/>
        <v>FfnCode_salesYard</v>
      </c>
      <c r="B3897" s="409"/>
      <c r="C3897" s="416"/>
      <c r="D3897" s="198" t="s">
        <v>31502</v>
      </c>
      <c r="E3897" s="198">
        <v>473</v>
      </c>
      <c r="F3897" s="199" t="s">
        <v>31503</v>
      </c>
      <c r="G3897" s="1" t="s">
        <v>31504</v>
      </c>
      <c r="H3897" s="1" t="s">
        <v>31505</v>
      </c>
      <c r="I3897" s="346"/>
      <c r="J3897" s="39">
        <v>118550</v>
      </c>
      <c r="K3897" s="36" t="str">
        <f>CONCATENATE(Cover!$D$6,"fdd/view?i=",J3897)</f>
        <v>https://www.dgiwg.org/FAD/fdd/view?i=118550</v>
      </c>
      <c r="L3897" s="36" t="s">
        <v>31506</v>
      </c>
      <c r="M3897" s="186"/>
      <c r="N3897" s="186"/>
      <c r="O3897" s="172"/>
    </row>
    <row r="3898" spans="1:15" ht="38.25" x14ac:dyDescent="0.2">
      <c r="A3898" s="197" t="str">
        <f t="shared" si="60"/>
        <v>FfnCode_saltExtraction</v>
      </c>
      <c r="B3898" s="409"/>
      <c r="C3898" s="416"/>
      <c r="D3898" s="198" t="s">
        <v>31507</v>
      </c>
      <c r="E3898" s="198">
        <v>85</v>
      </c>
      <c r="F3898" s="199" t="s">
        <v>31508</v>
      </c>
      <c r="G3898" s="1" t="s">
        <v>31509</v>
      </c>
      <c r="H3898" s="1" t="s">
        <v>31510</v>
      </c>
      <c r="I3898" s="346"/>
      <c r="J3898" s="39">
        <v>111886</v>
      </c>
      <c r="K3898" s="36" t="str">
        <f>CONCATENATE(Cover!$D$6,"fdd/view?i=",J3898)</f>
        <v>https://www.dgiwg.org/FAD/fdd/view?i=111886</v>
      </c>
      <c r="L3898" s="36" t="s">
        <v>31511</v>
      </c>
      <c r="M3898" s="186"/>
      <c r="N3898" s="186"/>
      <c r="O3898" s="172"/>
    </row>
    <row r="3899" spans="1:15" ht="63.75" x14ac:dyDescent="0.2">
      <c r="A3899" s="197" t="str">
        <f t="shared" si="60"/>
        <v>FfnCode_satelliteGroundControl</v>
      </c>
      <c r="B3899" s="409"/>
      <c r="C3899" s="416"/>
      <c r="D3899" s="198" t="s">
        <v>31512</v>
      </c>
      <c r="E3899" s="198">
        <v>626</v>
      </c>
      <c r="F3899" s="199" t="s">
        <v>31513</v>
      </c>
      <c r="G3899" s="1" t="s">
        <v>31514</v>
      </c>
      <c r="H3899" s="1" t="s">
        <v>31515</v>
      </c>
      <c r="I3899" s="346"/>
      <c r="J3899" s="39">
        <v>117906</v>
      </c>
      <c r="K3899" s="36" t="str">
        <f>CONCATENATE(Cover!$D$6,"fdd/view?i=",J3899)</f>
        <v>https://www.dgiwg.org/FAD/fdd/view?i=117906</v>
      </c>
      <c r="L3899" s="36" t="s">
        <v>31516</v>
      </c>
      <c r="M3899" s="186"/>
      <c r="N3899" s="186"/>
      <c r="O3899" s="172"/>
    </row>
    <row r="3900" spans="1:15" ht="76.5" x14ac:dyDescent="0.2">
      <c r="A3900" s="197" t="str">
        <f t="shared" si="60"/>
        <v>FfnCode_satelliteTelecom</v>
      </c>
      <c r="B3900" s="409"/>
      <c r="C3900" s="416"/>
      <c r="D3900" s="198" t="s">
        <v>31517</v>
      </c>
      <c r="E3900" s="198">
        <v>625</v>
      </c>
      <c r="F3900" s="199" t="s">
        <v>31518</v>
      </c>
      <c r="G3900" s="1" t="s">
        <v>31519</v>
      </c>
      <c r="H3900" s="1" t="s">
        <v>31520</v>
      </c>
      <c r="I3900" s="346"/>
      <c r="J3900" s="39">
        <v>112180</v>
      </c>
      <c r="K3900" s="36" t="str">
        <f>CONCATENATE(Cover!$D$6,"fdd/view?i=",J3900)</f>
        <v>https://www.dgiwg.org/FAD/fdd/view?i=112180</v>
      </c>
      <c r="L3900" s="36" t="s">
        <v>31521</v>
      </c>
      <c r="M3900" s="186"/>
      <c r="N3900" s="186"/>
      <c r="O3900" s="172"/>
    </row>
    <row r="3901" spans="1:15" ht="102" x14ac:dyDescent="0.2">
      <c r="A3901" s="197" t="str">
        <f t="shared" si="60"/>
        <v>FfnCode_sawmilling</v>
      </c>
      <c r="B3901" s="409"/>
      <c r="C3901" s="416"/>
      <c r="D3901" s="198" t="s">
        <v>31522</v>
      </c>
      <c r="E3901" s="198">
        <v>161</v>
      </c>
      <c r="F3901" s="199" t="s">
        <v>31523</v>
      </c>
      <c r="G3901" s="1" t="s">
        <v>31524</v>
      </c>
      <c r="H3901" s="1" t="s">
        <v>31525</v>
      </c>
      <c r="I3901" s="346"/>
      <c r="J3901" s="39">
        <v>111948</v>
      </c>
      <c r="K3901" s="36" t="str">
        <f>CONCATENATE(Cover!$D$6,"fdd/view?i=",J3901)</f>
        <v>https://www.dgiwg.org/FAD/fdd/view?i=111948</v>
      </c>
      <c r="L3901" s="36" t="s">
        <v>31526</v>
      </c>
      <c r="M3901" s="186"/>
      <c r="N3901" s="186"/>
      <c r="O3901" s="172"/>
    </row>
    <row r="3902" spans="1:15" ht="191.25" x14ac:dyDescent="0.2">
      <c r="A3902" s="197" t="str">
        <f t="shared" si="60"/>
        <v>FfnCode_scientificResearchDevel</v>
      </c>
      <c r="B3902" s="409"/>
      <c r="C3902" s="416"/>
      <c r="D3902" s="198" t="s">
        <v>31527</v>
      </c>
      <c r="E3902" s="198">
        <v>720</v>
      </c>
      <c r="F3902" s="199" t="s">
        <v>31528</v>
      </c>
      <c r="G3902" s="1" t="s">
        <v>31529</v>
      </c>
      <c r="H3902" s="1" t="s">
        <v>31530</v>
      </c>
      <c r="I3902" s="346"/>
      <c r="J3902" s="39">
        <v>112210</v>
      </c>
      <c r="K3902" s="36" t="str">
        <f>CONCATENATE(Cover!$D$6,"fdd/view?i=",J3902)</f>
        <v>https://www.dgiwg.org/FAD/fdd/view?i=112210</v>
      </c>
      <c r="L3902" s="36" t="s">
        <v>31531</v>
      </c>
      <c r="M3902" s="186"/>
      <c r="N3902" s="186"/>
      <c r="O3902" s="172"/>
    </row>
    <row r="3903" spans="1:15" ht="165.75" x14ac:dyDescent="0.2">
      <c r="A3903" s="197" t="str">
        <f t="shared" si="60"/>
        <v>FfnCode_seafoodProcessing</v>
      </c>
      <c r="B3903" s="409"/>
      <c r="C3903" s="416"/>
      <c r="D3903" s="198" t="s">
        <v>31532</v>
      </c>
      <c r="E3903" s="198">
        <v>103</v>
      </c>
      <c r="F3903" s="199" t="s">
        <v>31533</v>
      </c>
      <c r="G3903" s="1" t="s">
        <v>31534</v>
      </c>
      <c r="H3903" s="1" t="s">
        <v>31535</v>
      </c>
      <c r="I3903" s="346"/>
      <c r="J3903" s="39">
        <v>111904</v>
      </c>
      <c r="K3903" s="36" t="str">
        <f>CONCATENATE(Cover!$D$6,"fdd/view?i=",J3903)</f>
        <v>https://www.dgiwg.org/FAD/fdd/view?i=111904</v>
      </c>
      <c r="L3903" s="36" t="s">
        <v>31536</v>
      </c>
      <c r="M3903" s="186"/>
      <c r="N3903" s="186"/>
      <c r="O3903" s="172"/>
    </row>
    <row r="3904" spans="1:15" ht="102" x14ac:dyDescent="0.2">
      <c r="A3904" s="197" t="str">
        <f t="shared" si="60"/>
        <v>FfnCode_secondaryEducation</v>
      </c>
      <c r="B3904" s="409"/>
      <c r="C3904" s="416"/>
      <c r="D3904" s="198" t="s">
        <v>31537</v>
      </c>
      <c r="E3904" s="198">
        <v>852</v>
      </c>
      <c r="F3904" s="199" t="s">
        <v>31538</v>
      </c>
      <c r="G3904" s="1" t="s">
        <v>31539</v>
      </c>
      <c r="H3904" s="1" t="s">
        <v>31540</v>
      </c>
      <c r="I3904" s="346"/>
      <c r="J3904" s="39">
        <v>112288</v>
      </c>
      <c r="K3904" s="36" t="str">
        <f>CONCATENATE(Cover!$D$6,"fdd/view?i=",J3904)</f>
        <v>https://www.dgiwg.org/FAD/fdd/view?i=112288</v>
      </c>
      <c r="L3904" s="36" t="s">
        <v>31541</v>
      </c>
      <c r="M3904" s="186"/>
      <c r="N3904" s="186"/>
      <c r="O3904" s="172"/>
    </row>
    <row r="3905" spans="1:15" ht="38.25" x14ac:dyDescent="0.2">
      <c r="A3905" s="197" t="str">
        <f t="shared" si="60"/>
        <v>FfnCode_securityBrokerage</v>
      </c>
      <c r="B3905" s="409"/>
      <c r="C3905" s="416"/>
      <c r="D3905" s="198" t="s">
        <v>31542</v>
      </c>
      <c r="E3905" s="198">
        <v>663</v>
      </c>
      <c r="F3905" s="199" t="s">
        <v>31543</v>
      </c>
      <c r="G3905" s="1" t="s">
        <v>31544</v>
      </c>
      <c r="H3905" s="200"/>
      <c r="I3905" s="346"/>
      <c r="J3905" s="39">
        <v>112190</v>
      </c>
      <c r="K3905" s="36" t="str">
        <f>CONCATENATE(Cover!$D$6,"fdd/view?i=",J3905)</f>
        <v>https://www.dgiwg.org/FAD/fdd/view?i=112190</v>
      </c>
      <c r="L3905" s="36" t="s">
        <v>31545</v>
      </c>
      <c r="M3905" s="186"/>
      <c r="N3905" s="186"/>
      <c r="O3905" s="172"/>
    </row>
    <row r="3906" spans="1:15" ht="63.75" x14ac:dyDescent="0.2">
      <c r="A3906" s="197" t="str">
        <f t="shared" ref="A3906:A3969" si="61">HYPERLINK(K3906,L3906)</f>
        <v>FfnCode_securityEnforcement</v>
      </c>
      <c r="B3906" s="409"/>
      <c r="C3906" s="416"/>
      <c r="D3906" s="198" t="s">
        <v>31546</v>
      </c>
      <c r="E3906" s="198">
        <v>780</v>
      </c>
      <c r="F3906" s="199" t="s">
        <v>31547</v>
      </c>
      <c r="G3906" s="1" t="s">
        <v>31548</v>
      </c>
      <c r="H3906" s="1" t="s">
        <v>31549</v>
      </c>
      <c r="I3906" s="346"/>
      <c r="J3906" s="39">
        <v>112232</v>
      </c>
      <c r="K3906" s="36" t="str">
        <f>CONCATENATE(Cover!$D$6,"fdd/view?i=",J3906)</f>
        <v>https://www.dgiwg.org/FAD/fdd/view?i=112232</v>
      </c>
      <c r="L3906" s="36" t="s">
        <v>31550</v>
      </c>
      <c r="M3906" s="186"/>
      <c r="N3906" s="186"/>
      <c r="O3906" s="172"/>
    </row>
    <row r="3907" spans="1:15" ht="153" x14ac:dyDescent="0.2">
      <c r="A3907" s="197" t="str">
        <f t="shared" si="61"/>
        <v>FfnCode_sewerage</v>
      </c>
      <c r="B3907" s="409"/>
      <c r="C3907" s="416"/>
      <c r="D3907" s="198" t="s">
        <v>31551</v>
      </c>
      <c r="E3907" s="198">
        <v>370</v>
      </c>
      <c r="F3907" s="199" t="s">
        <v>31552</v>
      </c>
      <c r="G3907" s="1" t="s">
        <v>31553</v>
      </c>
      <c r="H3907" s="1" t="s">
        <v>31554</v>
      </c>
      <c r="I3907" s="346"/>
      <c r="J3907" s="39">
        <v>118548</v>
      </c>
      <c r="K3907" s="36" t="str">
        <f>CONCATENATE(Cover!$D$6,"fdd/view?i=",J3907)</f>
        <v>https://www.dgiwg.org/FAD/fdd/view?i=118548</v>
      </c>
      <c r="L3907" s="36" t="s">
        <v>31555</v>
      </c>
      <c r="M3907" s="186"/>
      <c r="N3907" s="186"/>
      <c r="O3907" s="172"/>
    </row>
    <row r="3908" spans="1:15" ht="38.25" x14ac:dyDescent="0.2">
      <c r="A3908" s="197" t="str">
        <f t="shared" si="61"/>
        <v>FfnCode_sewerageScreening</v>
      </c>
      <c r="B3908" s="409"/>
      <c r="C3908" s="416"/>
      <c r="D3908" s="198" t="s">
        <v>31556</v>
      </c>
      <c r="E3908" s="198">
        <v>372</v>
      </c>
      <c r="F3908" s="199" t="s">
        <v>31557</v>
      </c>
      <c r="G3908" s="1" t="s">
        <v>31558</v>
      </c>
      <c r="H3908" s="200"/>
      <c r="I3908" s="346"/>
      <c r="J3908" s="39">
        <v>112046</v>
      </c>
      <c r="K3908" s="36" t="str">
        <f>CONCATENATE(Cover!$D$6,"fdd/view?i=",J3908)</f>
        <v>https://www.dgiwg.org/FAD/fdd/view?i=112046</v>
      </c>
      <c r="L3908" s="36" t="s">
        <v>31559</v>
      </c>
      <c r="M3908" s="186"/>
      <c r="N3908" s="186"/>
      <c r="O3908" s="172"/>
    </row>
    <row r="3909" spans="1:15" ht="38.25" x14ac:dyDescent="0.2">
      <c r="A3909" s="197" t="str">
        <f t="shared" si="61"/>
        <v>FfnCode_shipConstruction</v>
      </c>
      <c r="B3909" s="409"/>
      <c r="C3909" s="416"/>
      <c r="D3909" s="198" t="s">
        <v>31560</v>
      </c>
      <c r="E3909" s="198">
        <v>301</v>
      </c>
      <c r="F3909" s="199" t="s">
        <v>31561</v>
      </c>
      <c r="G3909" s="1" t="s">
        <v>31562</v>
      </c>
      <c r="H3909" s="200"/>
      <c r="I3909" s="346"/>
      <c r="J3909" s="39">
        <v>112002</v>
      </c>
      <c r="K3909" s="36" t="str">
        <f>CONCATENATE(Cover!$D$6,"fdd/view?i=",J3909)</f>
        <v>https://www.dgiwg.org/FAD/fdd/view?i=112002</v>
      </c>
      <c r="L3909" s="36" t="s">
        <v>31563</v>
      </c>
      <c r="M3909" s="186"/>
      <c r="N3909" s="186"/>
      <c r="O3909" s="172"/>
    </row>
    <row r="3910" spans="1:15" x14ac:dyDescent="0.2">
      <c r="A3910" s="197" t="str">
        <f t="shared" si="61"/>
        <v>FfnCode_shipRepair</v>
      </c>
      <c r="B3910" s="409"/>
      <c r="C3910" s="416"/>
      <c r="D3910" s="198" t="s">
        <v>23064</v>
      </c>
      <c r="E3910" s="198">
        <v>340</v>
      </c>
      <c r="F3910" s="199" t="s">
        <v>23065</v>
      </c>
      <c r="G3910" s="1" t="s">
        <v>31564</v>
      </c>
      <c r="H3910" s="200"/>
      <c r="I3910" s="346"/>
      <c r="J3910" s="39">
        <v>112032</v>
      </c>
      <c r="K3910" s="36" t="str">
        <f>CONCATENATE(Cover!$D$6,"fdd/view?i=",J3910)</f>
        <v>https://www.dgiwg.org/FAD/fdd/view?i=112032</v>
      </c>
      <c r="L3910" s="36" t="s">
        <v>31565</v>
      </c>
      <c r="M3910" s="186"/>
      <c r="N3910" s="186"/>
      <c r="O3910" s="172"/>
    </row>
    <row r="3911" spans="1:15" ht="89.25" x14ac:dyDescent="0.2">
      <c r="A3911" s="197" t="str">
        <f t="shared" si="61"/>
        <v>FfnCode_shootingRange</v>
      </c>
      <c r="B3911" s="409"/>
      <c r="C3911" s="416"/>
      <c r="D3911" s="198" t="s">
        <v>31566</v>
      </c>
      <c r="E3911" s="198">
        <v>914</v>
      </c>
      <c r="F3911" s="199" t="s">
        <v>31567</v>
      </c>
      <c r="G3911" s="1" t="s">
        <v>31568</v>
      </c>
      <c r="H3911" s="1" t="s">
        <v>31569</v>
      </c>
      <c r="I3911" s="351" t="s">
        <v>31570</v>
      </c>
      <c r="J3911" s="39">
        <v>112336</v>
      </c>
      <c r="K3911" s="36" t="str">
        <f>CONCATENATE(Cover!$D$6,"fdd/view?i=",J3911)</f>
        <v>https://www.dgiwg.org/FAD/fdd/view?i=112336</v>
      </c>
      <c r="L3911" s="36" t="s">
        <v>31571</v>
      </c>
      <c r="M3911" s="186"/>
      <c r="N3911" s="186"/>
      <c r="O3911" s="172"/>
    </row>
    <row r="3912" spans="1:15" ht="63.75" x14ac:dyDescent="0.2">
      <c r="A3912" s="197" t="str">
        <f t="shared" si="61"/>
        <v>FfnCode_signalling</v>
      </c>
      <c r="B3912" s="409"/>
      <c r="C3912" s="416"/>
      <c r="D3912" s="198" t="s">
        <v>31572</v>
      </c>
      <c r="E3912" s="198">
        <v>486</v>
      </c>
      <c r="F3912" s="199" t="s">
        <v>31573</v>
      </c>
      <c r="G3912" s="1" t="s">
        <v>31574</v>
      </c>
      <c r="H3912" s="1" t="s">
        <v>31575</v>
      </c>
      <c r="I3912" s="346"/>
      <c r="J3912" s="39">
        <v>112074</v>
      </c>
      <c r="K3912" s="36" t="str">
        <f>CONCATENATE(Cover!$D$6,"fdd/view?i=",J3912)</f>
        <v>https://www.dgiwg.org/FAD/fdd/view?i=112074</v>
      </c>
      <c r="L3912" s="36" t="s">
        <v>31576</v>
      </c>
      <c r="M3912" s="186"/>
      <c r="N3912" s="186"/>
      <c r="O3912" s="172"/>
    </row>
    <row r="3913" spans="1:15" ht="76.5" x14ac:dyDescent="0.2">
      <c r="A3913" s="197" t="str">
        <f t="shared" si="61"/>
        <v>FfnCode_silviculture</v>
      </c>
      <c r="B3913" s="409"/>
      <c r="C3913" s="416"/>
      <c r="D3913" s="198" t="s">
        <v>31577</v>
      </c>
      <c r="E3913" s="198">
        <v>21</v>
      </c>
      <c r="F3913" s="199" t="s">
        <v>31578</v>
      </c>
      <c r="G3913" s="1" t="s">
        <v>31579</v>
      </c>
      <c r="H3913" s="1" t="s">
        <v>31580</v>
      </c>
      <c r="I3913" s="346"/>
      <c r="J3913" s="39">
        <v>111850</v>
      </c>
      <c r="K3913" s="36" t="str">
        <f>CONCATENATE(Cover!$D$6,"fdd/view?i=",J3913)</f>
        <v>https://www.dgiwg.org/FAD/fdd/view?i=111850</v>
      </c>
      <c r="L3913" s="36" t="s">
        <v>31581</v>
      </c>
      <c r="M3913" s="186"/>
      <c r="N3913" s="186"/>
      <c r="O3913" s="172"/>
    </row>
    <row r="3914" spans="1:15" ht="140.25" x14ac:dyDescent="0.2">
      <c r="A3914" s="197" t="str">
        <f t="shared" si="61"/>
        <v>FfnCode_socialWork</v>
      </c>
      <c r="B3914" s="409"/>
      <c r="C3914" s="416"/>
      <c r="D3914" s="198" t="s">
        <v>31582</v>
      </c>
      <c r="E3914" s="198">
        <v>887</v>
      </c>
      <c r="F3914" s="199" t="s">
        <v>31583</v>
      </c>
      <c r="G3914" s="1" t="s">
        <v>31584</v>
      </c>
      <c r="H3914" s="1" t="s">
        <v>31585</v>
      </c>
      <c r="I3914" s="346"/>
      <c r="J3914" s="39">
        <v>112314</v>
      </c>
      <c r="K3914" s="36" t="str">
        <f>CONCATENATE(Cover!$D$6,"fdd/view?i=",J3914)</f>
        <v>https://www.dgiwg.org/FAD/fdd/view?i=112314</v>
      </c>
      <c r="L3914" s="36" t="s">
        <v>31586</v>
      </c>
      <c r="M3914" s="186"/>
      <c r="N3914" s="186"/>
      <c r="O3914" s="172"/>
    </row>
    <row r="3915" spans="1:15" ht="63.75" x14ac:dyDescent="0.2">
      <c r="A3915" s="197" t="str">
        <f t="shared" si="61"/>
        <v>FfnCode_softDrinkManufac</v>
      </c>
      <c r="B3915" s="409"/>
      <c r="C3915" s="416"/>
      <c r="D3915" s="198" t="s">
        <v>31587</v>
      </c>
      <c r="E3915" s="198">
        <v>124</v>
      </c>
      <c r="F3915" s="199" t="s">
        <v>31588</v>
      </c>
      <c r="G3915" s="1" t="s">
        <v>31589</v>
      </c>
      <c r="H3915" s="1" t="s">
        <v>31590</v>
      </c>
      <c r="I3915" s="346"/>
      <c r="J3915" s="39">
        <v>111936</v>
      </c>
      <c r="K3915" s="36" t="str">
        <f>CONCATENATE(Cover!$D$6,"fdd/view?i=",J3915)</f>
        <v>https://www.dgiwg.org/FAD/fdd/view?i=111936</v>
      </c>
      <c r="L3915" s="36" t="s">
        <v>31591</v>
      </c>
      <c r="M3915" s="186"/>
      <c r="N3915" s="186"/>
      <c r="O3915" s="172"/>
    </row>
    <row r="3916" spans="1:15" ht="51" x14ac:dyDescent="0.2">
      <c r="A3916" s="197" t="str">
        <f t="shared" si="61"/>
        <v>FfnCode_solidMineralFuelMining</v>
      </c>
      <c r="B3916" s="409"/>
      <c r="C3916" s="416"/>
      <c r="D3916" s="198" t="s">
        <v>31592</v>
      </c>
      <c r="E3916" s="198">
        <v>50</v>
      </c>
      <c r="F3916" s="199" t="s">
        <v>31593</v>
      </c>
      <c r="G3916" s="1" t="s">
        <v>31594</v>
      </c>
      <c r="H3916" s="200"/>
      <c r="I3916" s="346"/>
      <c r="J3916" s="39">
        <v>111860</v>
      </c>
      <c r="K3916" s="36" t="str">
        <f>CONCATENATE(Cover!$D$6,"fdd/view?i=",J3916)</f>
        <v>https://www.dgiwg.org/FAD/fdd/view?i=111860</v>
      </c>
      <c r="L3916" s="36" t="s">
        <v>31595</v>
      </c>
      <c r="M3916" s="186"/>
      <c r="N3916" s="186"/>
      <c r="O3916" s="172"/>
    </row>
    <row r="3917" spans="1:15" ht="38.25" x14ac:dyDescent="0.2">
      <c r="A3917" s="197" t="str">
        <f t="shared" si="61"/>
        <v>FfnCode_specializedStore</v>
      </c>
      <c r="B3917" s="409"/>
      <c r="C3917" s="416"/>
      <c r="D3917" s="198" t="s">
        <v>31596</v>
      </c>
      <c r="E3917" s="198">
        <v>464</v>
      </c>
      <c r="F3917" s="199" t="s">
        <v>31597</v>
      </c>
      <c r="G3917" s="1" t="s">
        <v>31598</v>
      </c>
      <c r="H3917" s="1" t="s">
        <v>31599</v>
      </c>
      <c r="I3917" s="346"/>
      <c r="J3917" s="39">
        <v>112370</v>
      </c>
      <c r="K3917" s="36" t="str">
        <f>CONCATENATE(Cover!$D$6,"fdd/view?i=",J3917)</f>
        <v>https://www.dgiwg.org/FAD/fdd/view?i=112370</v>
      </c>
      <c r="L3917" s="36" t="s">
        <v>31600</v>
      </c>
      <c r="M3917" s="186"/>
      <c r="N3917" s="186"/>
      <c r="O3917" s="172"/>
    </row>
    <row r="3918" spans="1:15" ht="51" x14ac:dyDescent="0.2">
      <c r="A3918" s="197" t="str">
        <f t="shared" si="61"/>
        <v>FfnCode_spiritDistillery</v>
      </c>
      <c r="B3918" s="409"/>
      <c r="C3918" s="416"/>
      <c r="D3918" s="198" t="s">
        <v>31601</v>
      </c>
      <c r="E3918" s="198">
        <v>121</v>
      </c>
      <c r="F3918" s="199" t="s">
        <v>31602</v>
      </c>
      <c r="G3918" s="1" t="s">
        <v>31603</v>
      </c>
      <c r="H3918" s="1" t="s">
        <v>31604</v>
      </c>
      <c r="I3918" s="346"/>
      <c r="J3918" s="39">
        <v>111930</v>
      </c>
      <c r="K3918" s="36" t="str">
        <f>CONCATENATE(Cover!$D$6,"fdd/view?i=",J3918)</f>
        <v>https://www.dgiwg.org/FAD/fdd/view?i=111930</v>
      </c>
      <c r="L3918" s="36" t="s">
        <v>31605</v>
      </c>
      <c r="M3918" s="186"/>
      <c r="N3918" s="186"/>
      <c r="O3918" s="172"/>
    </row>
    <row r="3919" spans="1:15" ht="38.25" x14ac:dyDescent="0.2">
      <c r="A3919" s="197" t="str">
        <f t="shared" si="61"/>
        <v>FfnCode_sportsCentre</v>
      </c>
      <c r="B3919" s="409"/>
      <c r="C3919" s="416"/>
      <c r="D3919" s="198" t="s">
        <v>27808</v>
      </c>
      <c r="E3919" s="198">
        <v>912</v>
      </c>
      <c r="F3919" s="199" t="s">
        <v>27809</v>
      </c>
      <c r="G3919" s="1" t="s">
        <v>31606</v>
      </c>
      <c r="H3919" s="1" t="s">
        <v>31607</v>
      </c>
      <c r="I3919" s="351" t="s">
        <v>31608</v>
      </c>
      <c r="J3919" s="39">
        <v>112332</v>
      </c>
      <c r="K3919" s="36" t="str">
        <f>CONCATENATE(Cover!$D$6,"fdd/view?i=",J3919)</f>
        <v>https://www.dgiwg.org/FAD/fdd/view?i=112332</v>
      </c>
      <c r="L3919" s="36" t="s">
        <v>31609</v>
      </c>
      <c r="M3919" s="186"/>
      <c r="N3919" s="186"/>
      <c r="O3919" s="172"/>
    </row>
    <row r="3920" spans="1:15" ht="114.75" x14ac:dyDescent="0.2">
      <c r="A3920" s="197" t="str">
        <f t="shared" si="61"/>
        <v>FfnCode_sportsGoodsManufac</v>
      </c>
      <c r="B3920" s="409"/>
      <c r="C3920" s="416"/>
      <c r="D3920" s="198" t="s">
        <v>31610</v>
      </c>
      <c r="E3920" s="198">
        <v>323</v>
      </c>
      <c r="F3920" s="199" t="s">
        <v>31611</v>
      </c>
      <c r="G3920" s="1" t="s">
        <v>31612</v>
      </c>
      <c r="H3920" s="1" t="s">
        <v>31613</v>
      </c>
      <c r="I3920" s="346"/>
      <c r="J3920" s="39">
        <v>112016</v>
      </c>
      <c r="K3920" s="36" t="str">
        <f>CONCATENATE(Cover!$D$6,"fdd/view?i=",J3920)</f>
        <v>https://www.dgiwg.org/FAD/fdd/view?i=112016</v>
      </c>
      <c r="L3920" s="36" t="s">
        <v>31614</v>
      </c>
      <c r="M3920" s="186"/>
      <c r="N3920" s="186"/>
      <c r="O3920" s="172"/>
    </row>
    <row r="3921" spans="1:15" ht="38.25" x14ac:dyDescent="0.2">
      <c r="A3921" s="197" t="str">
        <f t="shared" si="61"/>
        <v>FfnCode_station</v>
      </c>
      <c r="B3921" s="409"/>
      <c r="C3921" s="416"/>
      <c r="D3921" s="198" t="s">
        <v>31615</v>
      </c>
      <c r="E3921" s="198">
        <v>482</v>
      </c>
      <c r="F3921" s="199" t="s">
        <v>31616</v>
      </c>
      <c r="G3921" s="1" t="s">
        <v>31617</v>
      </c>
      <c r="H3921" s="200"/>
      <c r="I3921" s="346"/>
      <c r="J3921" s="39">
        <v>112068</v>
      </c>
      <c r="K3921" s="36" t="str">
        <f>CONCATENATE(Cover!$D$6,"fdd/view?i=",J3921)</f>
        <v>https://www.dgiwg.org/FAD/fdd/view?i=112068</v>
      </c>
      <c r="L3921" s="36" t="s">
        <v>31618</v>
      </c>
      <c r="M3921" s="186"/>
      <c r="N3921" s="186"/>
      <c r="O3921" s="172"/>
    </row>
    <row r="3922" spans="1:15" ht="63.75" x14ac:dyDescent="0.2">
      <c r="A3922" s="197" t="str">
        <f t="shared" si="61"/>
        <v>FfnCode_steelMill</v>
      </c>
      <c r="B3922" s="409"/>
      <c r="C3922" s="416"/>
      <c r="D3922" s="198" t="s">
        <v>31619</v>
      </c>
      <c r="E3922" s="198">
        <v>241</v>
      </c>
      <c r="F3922" s="199" t="s">
        <v>31620</v>
      </c>
      <c r="G3922" s="1" t="s">
        <v>31621</v>
      </c>
      <c r="H3922" s="1" t="s">
        <v>31622</v>
      </c>
      <c r="I3922" s="346"/>
      <c r="J3922" s="39">
        <v>111982</v>
      </c>
      <c r="K3922" s="36" t="str">
        <f>CONCATENATE(Cover!$D$6,"fdd/view?i=",J3922)</f>
        <v>https://www.dgiwg.org/FAD/fdd/view?i=111982</v>
      </c>
      <c r="L3922" s="36" t="s">
        <v>31623</v>
      </c>
      <c r="M3922" s="186"/>
      <c r="N3922" s="186"/>
      <c r="O3922" s="172"/>
    </row>
    <row r="3923" spans="1:15" ht="38.25" x14ac:dyDescent="0.2">
      <c r="A3923" s="197" t="str">
        <f t="shared" si="61"/>
        <v>FfnCode_stoneProdManufac</v>
      </c>
      <c r="B3923" s="409"/>
      <c r="C3923" s="416"/>
      <c r="D3923" s="198" t="s">
        <v>31624</v>
      </c>
      <c r="E3923" s="198">
        <v>237</v>
      </c>
      <c r="F3923" s="199" t="s">
        <v>31625</v>
      </c>
      <c r="G3923" s="1" t="s">
        <v>31626</v>
      </c>
      <c r="H3923" s="1" t="s">
        <v>31627</v>
      </c>
      <c r="I3923" s="346"/>
      <c r="J3923" s="39">
        <v>111980</v>
      </c>
      <c r="K3923" s="36" t="str">
        <f>CONCATENATE(Cover!$D$6,"fdd/view?i=",J3923)</f>
        <v>https://www.dgiwg.org/FAD/fdd/view?i=111980</v>
      </c>
      <c r="L3923" s="36" t="s">
        <v>31628</v>
      </c>
      <c r="M3923" s="186"/>
      <c r="N3923" s="186"/>
      <c r="O3923" s="172"/>
    </row>
    <row r="3924" spans="1:15" ht="38.25" x14ac:dyDescent="0.2">
      <c r="A3924" s="197" t="str">
        <f t="shared" si="61"/>
        <v>FfnCode_stop</v>
      </c>
      <c r="B3924" s="409"/>
      <c r="C3924" s="416"/>
      <c r="D3924" s="198" t="s">
        <v>25145</v>
      </c>
      <c r="E3924" s="198">
        <v>483</v>
      </c>
      <c r="F3924" s="199" t="s">
        <v>25146</v>
      </c>
      <c r="G3924" s="1" t="s">
        <v>31629</v>
      </c>
      <c r="H3924" s="1" t="s">
        <v>31630</v>
      </c>
      <c r="I3924" s="346"/>
      <c r="J3924" s="39">
        <v>112070</v>
      </c>
      <c r="K3924" s="36" t="str">
        <f>CONCATENATE(Cover!$D$6,"fdd/view?i=",J3924)</f>
        <v>https://www.dgiwg.org/FAD/fdd/view?i=112070</v>
      </c>
      <c r="L3924" s="36" t="s">
        <v>31631</v>
      </c>
      <c r="M3924" s="186"/>
      <c r="N3924" s="186"/>
      <c r="O3924" s="172"/>
    </row>
    <row r="3925" spans="1:15" ht="242.25" x14ac:dyDescent="0.2">
      <c r="A3925" s="197" t="str">
        <f t="shared" si="61"/>
        <v>FfnCode_structMetalProdManufac</v>
      </c>
      <c r="B3925" s="409"/>
      <c r="C3925" s="416"/>
      <c r="D3925" s="198" t="s">
        <v>31632</v>
      </c>
      <c r="E3925" s="198">
        <v>251</v>
      </c>
      <c r="F3925" s="199" t="s">
        <v>31633</v>
      </c>
      <c r="G3925" s="1" t="s">
        <v>31634</v>
      </c>
      <c r="H3925" s="1" t="s">
        <v>31635</v>
      </c>
      <c r="I3925" s="346"/>
      <c r="J3925" s="39">
        <v>111988</v>
      </c>
      <c r="K3925" s="36" t="str">
        <f>CONCATENATE(Cover!$D$6,"fdd/view?i=",J3925)</f>
        <v>https://www.dgiwg.org/FAD/fdd/view?i=111988</v>
      </c>
      <c r="L3925" s="36" t="s">
        <v>31636</v>
      </c>
      <c r="M3925" s="186"/>
      <c r="N3925" s="186"/>
      <c r="O3925" s="172"/>
    </row>
    <row r="3926" spans="1:15" ht="63.75" x14ac:dyDescent="0.2">
      <c r="A3926" s="197" t="str">
        <f t="shared" si="61"/>
        <v>FfnCode_subnationalGovernment</v>
      </c>
      <c r="B3926" s="409"/>
      <c r="C3926" s="416"/>
      <c r="D3926" s="198" t="s">
        <v>31637</v>
      </c>
      <c r="E3926" s="198">
        <v>813</v>
      </c>
      <c r="F3926" s="199" t="s">
        <v>31638</v>
      </c>
      <c r="G3926" s="1" t="s">
        <v>31639</v>
      </c>
      <c r="H3926" s="1" t="s">
        <v>31640</v>
      </c>
      <c r="I3926" s="346"/>
      <c r="J3926" s="39">
        <v>118556</v>
      </c>
      <c r="K3926" s="36" t="str">
        <f>CONCATENATE(Cover!$D$6,"fdd/view?i=",J3926)</f>
        <v>https://www.dgiwg.org/FAD/fdd/view?i=118556</v>
      </c>
      <c r="L3926" s="36" t="s">
        <v>31641</v>
      </c>
      <c r="M3926" s="186"/>
      <c r="N3926" s="186"/>
      <c r="O3926" s="172"/>
    </row>
    <row r="3927" spans="1:15" ht="63.75" x14ac:dyDescent="0.2">
      <c r="A3927" s="197" t="str">
        <f t="shared" si="61"/>
        <v>FfnCode_sugarManufac</v>
      </c>
      <c r="B3927" s="409"/>
      <c r="C3927" s="416"/>
      <c r="D3927" s="198" t="s">
        <v>31642</v>
      </c>
      <c r="E3927" s="198">
        <v>111</v>
      </c>
      <c r="F3927" s="199" t="s">
        <v>31643</v>
      </c>
      <c r="G3927" s="1" t="s">
        <v>31644</v>
      </c>
      <c r="H3927" s="1" t="s">
        <v>31645</v>
      </c>
      <c r="I3927" s="346"/>
      <c r="J3927" s="39">
        <v>111916</v>
      </c>
      <c r="K3927" s="36" t="str">
        <f>CONCATENATE(Cover!$D$6,"fdd/view?i=",J3927)</f>
        <v>https://www.dgiwg.org/FAD/fdd/view?i=111916</v>
      </c>
      <c r="L3927" s="36" t="s">
        <v>31646</v>
      </c>
      <c r="M3927" s="186"/>
      <c r="N3927" s="186"/>
      <c r="O3927" s="172"/>
    </row>
    <row r="3928" spans="1:15" ht="102" x14ac:dyDescent="0.2">
      <c r="A3928" s="197" t="str">
        <f t="shared" si="61"/>
        <v>FfnCode_sugarMilling</v>
      </c>
      <c r="B3928" s="409"/>
      <c r="C3928" s="416"/>
      <c r="D3928" s="198" t="s">
        <v>31647</v>
      </c>
      <c r="E3928" s="198">
        <v>112</v>
      </c>
      <c r="F3928" s="199" t="s">
        <v>31648</v>
      </c>
      <c r="G3928" s="1" t="s">
        <v>31649</v>
      </c>
      <c r="H3928" s="1" t="s">
        <v>31650</v>
      </c>
      <c r="I3928" s="346"/>
      <c r="J3928" s="39">
        <v>111918</v>
      </c>
      <c r="K3928" s="36" t="str">
        <f>CONCATENATE(Cover!$D$6,"fdd/view?i=",J3928)</f>
        <v>https://www.dgiwg.org/FAD/fdd/view?i=111918</v>
      </c>
      <c r="L3928" s="36" t="s">
        <v>31651</v>
      </c>
      <c r="M3928" s="186"/>
      <c r="N3928" s="186"/>
      <c r="O3928" s="172"/>
    </row>
    <row r="3929" spans="1:15" ht="127.5" x14ac:dyDescent="0.2">
      <c r="A3929" s="197" t="str">
        <f t="shared" si="61"/>
        <v>FfnCode_sugarRefining</v>
      </c>
      <c r="B3929" s="409"/>
      <c r="C3929" s="416"/>
      <c r="D3929" s="198" t="s">
        <v>31652</v>
      </c>
      <c r="E3929" s="198">
        <v>113</v>
      </c>
      <c r="F3929" s="199" t="s">
        <v>31653</v>
      </c>
      <c r="G3929" s="1" t="s">
        <v>31654</v>
      </c>
      <c r="H3929" s="1" t="s">
        <v>31655</v>
      </c>
      <c r="I3929" s="346"/>
      <c r="J3929" s="39">
        <v>111920</v>
      </c>
      <c r="K3929" s="36" t="str">
        <f>CONCATENATE(Cover!$D$6,"fdd/view?i=",J3929)</f>
        <v>https://www.dgiwg.org/FAD/fdd/view?i=111920</v>
      </c>
      <c r="L3929" s="36" t="s">
        <v>31656</v>
      </c>
      <c r="M3929" s="186"/>
      <c r="N3929" s="186"/>
      <c r="O3929" s="172"/>
    </row>
    <row r="3930" spans="1:15" ht="38.25" x14ac:dyDescent="0.2">
      <c r="A3930" s="197" t="str">
        <f t="shared" si="61"/>
        <v>FfnCode_surveying</v>
      </c>
      <c r="B3930" s="409"/>
      <c r="C3930" s="416"/>
      <c r="D3930" s="198" t="s">
        <v>31657</v>
      </c>
      <c r="E3930" s="198">
        <v>717</v>
      </c>
      <c r="F3930" s="199" t="s">
        <v>31658</v>
      </c>
      <c r="G3930" s="1" t="s">
        <v>31659</v>
      </c>
      <c r="H3930" s="1" t="s">
        <v>31660</v>
      </c>
      <c r="I3930" s="346"/>
      <c r="J3930" s="39">
        <v>112208</v>
      </c>
      <c r="K3930" s="36" t="str">
        <f>CONCATENATE(Cover!$D$6,"fdd/view?i=",J3930)</f>
        <v>https://www.dgiwg.org/FAD/fdd/view?i=112208</v>
      </c>
      <c r="L3930" s="36" t="s">
        <v>31661</v>
      </c>
      <c r="M3930" s="186"/>
      <c r="N3930" s="186"/>
      <c r="O3930" s="172"/>
    </row>
    <row r="3931" spans="1:15" ht="38.25" x14ac:dyDescent="0.2">
      <c r="A3931" s="197" t="str">
        <f t="shared" si="61"/>
        <v>FfnCode_telecommunications</v>
      </c>
      <c r="B3931" s="409"/>
      <c r="C3931" s="416"/>
      <c r="D3931" s="198" t="s">
        <v>31662</v>
      </c>
      <c r="E3931" s="198">
        <v>610</v>
      </c>
      <c r="F3931" s="199" t="s">
        <v>31663</v>
      </c>
      <c r="G3931" s="1" t="s">
        <v>31664</v>
      </c>
      <c r="H3931" s="1" t="s">
        <v>31665</v>
      </c>
      <c r="I3931" s="346"/>
      <c r="J3931" s="39">
        <v>112162</v>
      </c>
      <c r="K3931" s="36" t="str">
        <f>CONCATENATE(Cover!$D$6,"fdd/view?i=",J3931)</f>
        <v>https://www.dgiwg.org/FAD/fdd/view?i=112162</v>
      </c>
      <c r="L3931" s="36" t="s">
        <v>31666</v>
      </c>
      <c r="M3931" s="186"/>
      <c r="N3931" s="186"/>
      <c r="O3931" s="172"/>
    </row>
    <row r="3932" spans="1:15" ht="89.25" x14ac:dyDescent="0.2">
      <c r="A3932" s="197" t="str">
        <f t="shared" si="61"/>
        <v>FfnCode_televisionBroadcasting</v>
      </c>
      <c r="B3932" s="409"/>
      <c r="C3932" s="416"/>
      <c r="D3932" s="198" t="s">
        <v>31667</v>
      </c>
      <c r="E3932" s="198">
        <v>604</v>
      </c>
      <c r="F3932" s="199" t="s">
        <v>31668</v>
      </c>
      <c r="G3932" s="1" t="s">
        <v>31669</v>
      </c>
      <c r="H3932" s="1" t="s">
        <v>31670</v>
      </c>
      <c r="I3932" s="346"/>
      <c r="J3932" s="39">
        <v>112160</v>
      </c>
      <c r="K3932" s="36" t="str">
        <f>CONCATENATE(Cover!$D$6,"fdd/view?i=",J3932)</f>
        <v>https://www.dgiwg.org/FAD/fdd/view?i=112160</v>
      </c>
      <c r="L3932" s="36" t="s">
        <v>31671</v>
      </c>
      <c r="M3932" s="186"/>
      <c r="N3932" s="186"/>
      <c r="O3932" s="172"/>
    </row>
    <row r="3933" spans="1:15" ht="102" x14ac:dyDescent="0.2">
      <c r="A3933" s="197" t="str">
        <f t="shared" si="61"/>
        <v>FfnCode_terminal</v>
      </c>
      <c r="B3933" s="409"/>
      <c r="C3933" s="416"/>
      <c r="D3933" s="198" t="s">
        <v>31672</v>
      </c>
      <c r="E3933" s="198">
        <v>481</v>
      </c>
      <c r="F3933" s="199" t="s">
        <v>31673</v>
      </c>
      <c r="G3933" s="1" t="s">
        <v>31674</v>
      </c>
      <c r="H3933" s="1" t="s">
        <v>31675</v>
      </c>
      <c r="I3933" s="346"/>
      <c r="J3933" s="39">
        <v>112066</v>
      </c>
      <c r="K3933" s="36" t="str">
        <f>CONCATENATE(Cover!$D$6,"fdd/view?i=",J3933)</f>
        <v>https://www.dgiwg.org/FAD/fdd/view?i=112066</v>
      </c>
      <c r="L3933" s="36" t="s">
        <v>31676</v>
      </c>
      <c r="M3933" s="186"/>
      <c r="N3933" s="186"/>
      <c r="O3933" s="172"/>
    </row>
    <row r="3934" spans="1:15" ht="51" x14ac:dyDescent="0.2">
      <c r="A3934" s="197" t="str">
        <f t="shared" si="61"/>
        <v>FfnCode_textileManufac</v>
      </c>
      <c r="B3934" s="409"/>
      <c r="C3934" s="416"/>
      <c r="D3934" s="198" t="s">
        <v>31677</v>
      </c>
      <c r="E3934" s="198">
        <v>130</v>
      </c>
      <c r="F3934" s="199" t="s">
        <v>31678</v>
      </c>
      <c r="G3934" s="1" t="s">
        <v>31679</v>
      </c>
      <c r="H3934" s="200"/>
      <c r="I3934" s="346"/>
      <c r="J3934" s="39">
        <v>111940</v>
      </c>
      <c r="K3934" s="36" t="str">
        <f>CONCATENATE(Cover!$D$6,"fdd/view?i=",J3934)</f>
        <v>https://www.dgiwg.org/FAD/fdd/view?i=111940</v>
      </c>
      <c r="L3934" s="36" t="s">
        <v>31680</v>
      </c>
      <c r="M3934" s="186"/>
      <c r="N3934" s="186"/>
      <c r="O3934" s="172"/>
    </row>
    <row r="3935" spans="1:15" ht="38.25" x14ac:dyDescent="0.2">
      <c r="A3935" s="197" t="str">
        <f t="shared" si="61"/>
        <v>FfnCode_theatre</v>
      </c>
      <c r="B3935" s="409"/>
      <c r="C3935" s="416"/>
      <c r="D3935" s="198" t="s">
        <v>31681</v>
      </c>
      <c r="E3935" s="198">
        <v>891</v>
      </c>
      <c r="F3935" s="199" t="s">
        <v>31682</v>
      </c>
      <c r="G3935" s="1" t="s">
        <v>31683</v>
      </c>
      <c r="H3935" s="1" t="s">
        <v>31684</v>
      </c>
      <c r="I3935" s="346"/>
      <c r="J3935" s="39">
        <v>112316</v>
      </c>
      <c r="K3935" s="36" t="str">
        <f>CONCATENATE(Cover!$D$6,"fdd/view?i=",J3935)</f>
        <v>https://www.dgiwg.org/FAD/fdd/view?i=112316</v>
      </c>
      <c r="L3935" s="36" t="s">
        <v>31685</v>
      </c>
      <c r="M3935" s="186"/>
      <c r="N3935" s="186"/>
      <c r="O3935" s="172"/>
    </row>
    <row r="3936" spans="1:15" ht="89.25" x14ac:dyDescent="0.2">
      <c r="A3936" s="197" t="str">
        <f t="shared" si="61"/>
        <v>FfnCode_tobaccoProdManufac</v>
      </c>
      <c r="B3936" s="409"/>
      <c r="C3936" s="416"/>
      <c r="D3936" s="198" t="s">
        <v>31686</v>
      </c>
      <c r="E3936" s="198">
        <v>125</v>
      </c>
      <c r="F3936" s="199" t="s">
        <v>31687</v>
      </c>
      <c r="G3936" s="1" t="s">
        <v>31688</v>
      </c>
      <c r="H3936" s="1" t="s">
        <v>31689</v>
      </c>
      <c r="I3936" s="346"/>
      <c r="J3936" s="39">
        <v>111938</v>
      </c>
      <c r="K3936" s="36" t="str">
        <f>CONCATENATE(Cover!$D$6,"fdd/view?i=",J3936)</f>
        <v>https://www.dgiwg.org/FAD/fdd/view?i=111938</v>
      </c>
      <c r="L3936" s="36" t="s">
        <v>31690</v>
      </c>
      <c r="M3936" s="186"/>
      <c r="N3936" s="186"/>
      <c r="O3936" s="172"/>
    </row>
    <row r="3937" spans="1:15" ht="102" x14ac:dyDescent="0.2">
      <c r="A3937" s="197" t="str">
        <f t="shared" si="61"/>
        <v>FfnCode_transferHub</v>
      </c>
      <c r="B3937" s="409"/>
      <c r="C3937" s="416"/>
      <c r="D3937" s="198" t="s">
        <v>31691</v>
      </c>
      <c r="E3937" s="198">
        <v>484</v>
      </c>
      <c r="F3937" s="199" t="s">
        <v>31692</v>
      </c>
      <c r="G3937" s="1" t="s">
        <v>31693</v>
      </c>
      <c r="H3937" s="1" t="s">
        <v>31694</v>
      </c>
      <c r="I3937" s="346"/>
      <c r="J3937" s="39">
        <v>112072</v>
      </c>
      <c r="K3937" s="36" t="str">
        <f>CONCATENATE(Cover!$D$6,"fdd/view?i=",J3937)</f>
        <v>https://www.dgiwg.org/FAD/fdd/view?i=112072</v>
      </c>
      <c r="L3937" s="36" t="s">
        <v>31695</v>
      </c>
      <c r="M3937" s="186"/>
      <c r="N3937" s="186"/>
      <c r="O3937" s="172"/>
    </row>
    <row r="3938" spans="1:15" ht="38.25" x14ac:dyDescent="0.2">
      <c r="A3938" s="197" t="str">
        <f t="shared" si="61"/>
        <v>FfnCode_transport</v>
      </c>
      <c r="B3938" s="409"/>
      <c r="C3938" s="416"/>
      <c r="D3938" s="198" t="s">
        <v>31696</v>
      </c>
      <c r="E3938" s="198">
        <v>480</v>
      </c>
      <c r="F3938" s="199" t="s">
        <v>31697</v>
      </c>
      <c r="G3938" s="1" t="s">
        <v>31698</v>
      </c>
      <c r="H3938" s="200"/>
      <c r="I3938" s="346"/>
      <c r="J3938" s="39">
        <v>112064</v>
      </c>
      <c r="K3938" s="36" t="str">
        <f>CONCATENATE(Cover!$D$6,"fdd/view?i=",J3938)</f>
        <v>https://www.dgiwg.org/FAD/fdd/view?i=112064</v>
      </c>
      <c r="L3938" s="36" t="s">
        <v>31699</v>
      </c>
      <c r="M3938" s="186"/>
      <c r="N3938" s="186"/>
      <c r="O3938" s="172"/>
    </row>
    <row r="3939" spans="1:15" ht="38.25" x14ac:dyDescent="0.2">
      <c r="A3939" s="197" t="str">
        <f t="shared" si="61"/>
        <v>FfnCode_transportSystemMaint</v>
      </c>
      <c r="B3939" s="409"/>
      <c r="C3939" s="416"/>
      <c r="D3939" s="198" t="s">
        <v>31700</v>
      </c>
      <c r="E3939" s="198">
        <v>487</v>
      </c>
      <c r="F3939" s="199" t="s">
        <v>31701</v>
      </c>
      <c r="G3939" s="1" t="s">
        <v>31702</v>
      </c>
      <c r="H3939" s="200"/>
      <c r="I3939" s="346"/>
      <c r="J3939" s="39">
        <v>112076</v>
      </c>
      <c r="K3939" s="36" t="str">
        <f>CONCATENATE(Cover!$D$6,"fdd/view?i=",J3939)</f>
        <v>https://www.dgiwg.org/FAD/fdd/view?i=112076</v>
      </c>
      <c r="L3939" s="36" t="s">
        <v>31703</v>
      </c>
      <c r="M3939" s="186"/>
      <c r="N3939" s="186"/>
      <c r="O3939" s="172"/>
    </row>
    <row r="3940" spans="1:15" ht="38.25" x14ac:dyDescent="0.2">
      <c r="A3940" s="197" t="str">
        <f t="shared" si="61"/>
        <v>FfnCode_travelAgency</v>
      </c>
      <c r="B3940" s="409"/>
      <c r="C3940" s="416"/>
      <c r="D3940" s="198" t="s">
        <v>31704</v>
      </c>
      <c r="E3940" s="198">
        <v>775</v>
      </c>
      <c r="F3940" s="199" t="s">
        <v>31705</v>
      </c>
      <c r="G3940" s="1" t="s">
        <v>31706</v>
      </c>
      <c r="H3940" s="200"/>
      <c r="I3940" s="346"/>
      <c r="J3940" s="39">
        <v>112230</v>
      </c>
      <c r="K3940" s="36" t="str">
        <f>CONCATENATE(Cover!$D$6,"fdd/view?i=",J3940)</f>
        <v>https://www.dgiwg.org/FAD/fdd/view?i=112230</v>
      </c>
      <c r="L3940" s="36" t="s">
        <v>31707</v>
      </c>
      <c r="M3940" s="186"/>
      <c r="N3940" s="186"/>
      <c r="O3940" s="172"/>
    </row>
    <row r="3941" spans="1:15" ht="102" x14ac:dyDescent="0.2">
      <c r="A3941" s="197" t="str">
        <f t="shared" si="61"/>
        <v>FfnCode_urgentMedicalCare</v>
      </c>
      <c r="B3941" s="409"/>
      <c r="C3941" s="416"/>
      <c r="D3941" s="198" t="s">
        <v>31708</v>
      </c>
      <c r="E3941" s="198">
        <v>863</v>
      </c>
      <c r="F3941" s="199" t="s">
        <v>31709</v>
      </c>
      <c r="G3941" s="1" t="s">
        <v>31710</v>
      </c>
      <c r="H3941" s="1" t="s">
        <v>31711</v>
      </c>
      <c r="I3941" s="346"/>
      <c r="J3941" s="39">
        <v>118564</v>
      </c>
      <c r="K3941" s="36" t="str">
        <f>CONCATENATE(Cover!$D$6,"fdd/view?i=",J3941)</f>
        <v>https://www.dgiwg.org/FAD/fdd/view?i=118564</v>
      </c>
      <c r="L3941" s="36" t="s">
        <v>31712</v>
      </c>
      <c r="M3941" s="186"/>
      <c r="N3941" s="186"/>
      <c r="O3941" s="172"/>
    </row>
    <row r="3942" spans="1:15" ht="63.75" x14ac:dyDescent="0.2">
      <c r="A3942" s="197" t="str">
        <f t="shared" si="61"/>
        <v>FfnCode_utilities</v>
      </c>
      <c r="B3942" s="409"/>
      <c r="C3942" s="416"/>
      <c r="D3942" s="198" t="s">
        <v>31713</v>
      </c>
      <c r="E3942" s="198">
        <v>350</v>
      </c>
      <c r="F3942" s="199" t="s">
        <v>31714</v>
      </c>
      <c r="G3942" s="1" t="s">
        <v>31715</v>
      </c>
      <c r="H3942" s="1" t="s">
        <v>31716</v>
      </c>
      <c r="I3942" s="346"/>
      <c r="J3942" s="39">
        <v>112040</v>
      </c>
      <c r="K3942" s="36" t="str">
        <f>CONCATENATE(Cover!$D$6,"fdd/view?i=",J3942)</f>
        <v>https://www.dgiwg.org/FAD/fdd/view?i=112040</v>
      </c>
      <c r="L3942" s="36" t="s">
        <v>31717</v>
      </c>
      <c r="M3942" s="186"/>
      <c r="N3942" s="186"/>
      <c r="O3942" s="172"/>
    </row>
    <row r="3943" spans="1:15" ht="76.5" x14ac:dyDescent="0.2">
      <c r="A3943" s="197" t="str">
        <f t="shared" si="61"/>
        <v>FfnCode_vacationCottage</v>
      </c>
      <c r="B3943" s="409"/>
      <c r="C3943" s="416"/>
      <c r="D3943" s="198" t="s">
        <v>29053</v>
      </c>
      <c r="E3943" s="198">
        <v>557</v>
      </c>
      <c r="F3943" s="199" t="s">
        <v>29054</v>
      </c>
      <c r="G3943" s="1" t="s">
        <v>31718</v>
      </c>
      <c r="H3943" s="1" t="s">
        <v>31719</v>
      </c>
      <c r="I3943" s="351" t="s">
        <v>31720</v>
      </c>
      <c r="J3943" s="39">
        <v>112138</v>
      </c>
      <c r="K3943" s="36" t="str">
        <f>CONCATENATE(Cover!$D$6,"fdd/view?i=",J3943)</f>
        <v>https://www.dgiwg.org/FAD/fdd/view?i=112138</v>
      </c>
      <c r="L3943" s="36" t="s">
        <v>31721</v>
      </c>
      <c r="M3943" s="186"/>
      <c r="N3943" s="186"/>
      <c r="O3943" s="172"/>
    </row>
    <row r="3944" spans="1:15" ht="25.5" x14ac:dyDescent="0.2">
      <c r="A3944" s="197" t="str">
        <f t="shared" si="61"/>
        <v>FfnCode_veterinary</v>
      </c>
      <c r="B3944" s="409"/>
      <c r="C3944" s="416"/>
      <c r="D3944" s="198" t="s">
        <v>31722</v>
      </c>
      <c r="E3944" s="198">
        <v>757</v>
      </c>
      <c r="F3944" s="199" t="s">
        <v>31723</v>
      </c>
      <c r="G3944" s="1" t="s">
        <v>31724</v>
      </c>
      <c r="H3944" s="200"/>
      <c r="I3944" s="346"/>
      <c r="J3944" s="39">
        <v>112224</v>
      </c>
      <c r="K3944" s="36" t="str">
        <f>CONCATENATE(Cover!$D$6,"fdd/view?i=",J3944)</f>
        <v>https://www.dgiwg.org/FAD/fdd/view?i=112224</v>
      </c>
      <c r="L3944" s="36" t="s">
        <v>31725</v>
      </c>
      <c r="M3944" s="186"/>
      <c r="N3944" s="186"/>
      <c r="O3944" s="172"/>
    </row>
    <row r="3945" spans="1:15" ht="51" x14ac:dyDescent="0.2">
      <c r="A3945" s="197" t="str">
        <f t="shared" si="61"/>
        <v>FfnCode_vocationalEducation</v>
      </c>
      <c r="B3945" s="409"/>
      <c r="C3945" s="416"/>
      <c r="D3945" s="198" t="s">
        <v>31726</v>
      </c>
      <c r="E3945" s="198">
        <v>857</v>
      </c>
      <c r="F3945" s="199" t="s">
        <v>31727</v>
      </c>
      <c r="G3945" s="1" t="s">
        <v>31728</v>
      </c>
      <c r="H3945" s="1" t="s">
        <v>31729</v>
      </c>
      <c r="I3945" s="346"/>
      <c r="J3945" s="39">
        <v>118562</v>
      </c>
      <c r="K3945" s="36" t="str">
        <f>CONCATENATE(Cover!$D$6,"fdd/view?i=",J3945)</f>
        <v>https://www.dgiwg.org/FAD/fdd/view?i=118562</v>
      </c>
      <c r="L3945" s="36" t="s">
        <v>31730</v>
      </c>
      <c r="M3945" s="186"/>
      <c r="N3945" s="186"/>
      <c r="O3945" s="172"/>
    </row>
    <row r="3946" spans="1:15" ht="38.25" x14ac:dyDescent="0.2">
      <c r="A3946" s="197" t="str">
        <f t="shared" si="61"/>
        <v>FfnCode_warehousingStorage</v>
      </c>
      <c r="B3946" s="409"/>
      <c r="C3946" s="416"/>
      <c r="D3946" s="198" t="s">
        <v>31731</v>
      </c>
      <c r="E3946" s="198">
        <v>530</v>
      </c>
      <c r="F3946" s="199" t="s">
        <v>31732</v>
      </c>
      <c r="G3946" s="1" t="s">
        <v>31733</v>
      </c>
      <c r="H3946" s="200"/>
      <c r="I3946" s="346"/>
      <c r="J3946" s="39">
        <v>112112</v>
      </c>
      <c r="K3946" s="36" t="str">
        <f>CONCATENATE(Cover!$D$6,"fdd/view?i=",J3946)</f>
        <v>https://www.dgiwg.org/FAD/fdd/view?i=112112</v>
      </c>
      <c r="L3946" s="36" t="s">
        <v>31734</v>
      </c>
      <c r="M3946" s="186"/>
      <c r="N3946" s="186"/>
      <c r="O3946" s="172"/>
    </row>
    <row r="3947" spans="1:15" ht="76.5" x14ac:dyDescent="0.2">
      <c r="A3947" s="197" t="str">
        <f t="shared" si="61"/>
        <v>FfnCode_wasteTreatmentDisposal</v>
      </c>
      <c r="B3947" s="409"/>
      <c r="C3947" s="416"/>
      <c r="D3947" s="198" t="s">
        <v>31735</v>
      </c>
      <c r="E3947" s="198">
        <v>383</v>
      </c>
      <c r="F3947" s="199" t="s">
        <v>31736</v>
      </c>
      <c r="G3947" s="1" t="s">
        <v>31737</v>
      </c>
      <c r="H3947" s="1" t="s">
        <v>31738</v>
      </c>
      <c r="I3947" s="346"/>
      <c r="J3947" s="39">
        <v>112050</v>
      </c>
      <c r="K3947" s="36" t="str">
        <f>CONCATENATE(Cover!$D$6,"fdd/view?i=",J3947)</f>
        <v>https://www.dgiwg.org/FAD/fdd/view?i=112050</v>
      </c>
      <c r="L3947" s="36" t="s">
        <v>31739</v>
      </c>
      <c r="M3947" s="186"/>
      <c r="N3947" s="186"/>
      <c r="O3947" s="172"/>
    </row>
    <row r="3948" spans="1:15" ht="51" x14ac:dyDescent="0.2">
      <c r="A3948" s="197" t="str">
        <f t="shared" si="61"/>
        <v>FfnCode_waterCollection</v>
      </c>
      <c r="B3948" s="409"/>
      <c r="C3948" s="416"/>
      <c r="D3948" s="198" t="s">
        <v>31740</v>
      </c>
      <c r="E3948" s="198">
        <v>361</v>
      </c>
      <c r="F3948" s="199" t="s">
        <v>31741</v>
      </c>
      <c r="G3948" s="1" t="s">
        <v>31742</v>
      </c>
      <c r="H3948" s="1" t="s">
        <v>31743</v>
      </c>
      <c r="I3948" s="346"/>
      <c r="J3948" s="39">
        <v>112362</v>
      </c>
      <c r="K3948" s="36" t="str">
        <f>CONCATENATE(Cover!$D$6,"fdd/view?i=",J3948)</f>
        <v>https://www.dgiwg.org/FAD/fdd/view?i=112362</v>
      </c>
      <c r="L3948" s="36" t="s">
        <v>31744</v>
      </c>
      <c r="M3948" s="186"/>
      <c r="N3948" s="186"/>
      <c r="O3948" s="172"/>
    </row>
    <row r="3949" spans="1:15" ht="76.5" x14ac:dyDescent="0.2">
      <c r="A3949" s="197" t="str">
        <f t="shared" si="61"/>
        <v>FfnCode_waterDistribution</v>
      </c>
      <c r="B3949" s="409"/>
      <c r="C3949" s="416"/>
      <c r="D3949" s="198" t="s">
        <v>16589</v>
      </c>
      <c r="E3949" s="198">
        <v>363</v>
      </c>
      <c r="F3949" s="199" t="s">
        <v>16590</v>
      </c>
      <c r="G3949" s="1" t="s">
        <v>31745</v>
      </c>
      <c r="H3949" s="1" t="s">
        <v>31746</v>
      </c>
      <c r="I3949" s="346"/>
      <c r="J3949" s="39">
        <v>112366</v>
      </c>
      <c r="K3949" s="36" t="str">
        <f>CONCATENATE(Cover!$D$6,"fdd/view?i=",J3949)</f>
        <v>https://www.dgiwg.org/FAD/fdd/view?i=112366</v>
      </c>
      <c r="L3949" s="36" t="s">
        <v>31747</v>
      </c>
      <c r="M3949" s="186"/>
      <c r="N3949" s="186"/>
      <c r="O3949" s="172"/>
    </row>
    <row r="3950" spans="1:15" ht="51" x14ac:dyDescent="0.2">
      <c r="A3950" s="197" t="str">
        <f t="shared" si="61"/>
        <v>FfnCode_waterPark</v>
      </c>
      <c r="B3950" s="409"/>
      <c r="C3950" s="416"/>
      <c r="D3950" s="198" t="s">
        <v>31748</v>
      </c>
      <c r="E3950" s="198">
        <v>915</v>
      </c>
      <c r="F3950" s="199" t="s">
        <v>31749</v>
      </c>
      <c r="G3950" s="1" t="s">
        <v>31750</v>
      </c>
      <c r="H3950" s="1" t="s">
        <v>31751</v>
      </c>
      <c r="I3950" s="346"/>
      <c r="J3950" s="39">
        <v>119959</v>
      </c>
      <c r="K3950" s="36" t="str">
        <f>CONCATENATE(Cover!$D$6,"fdd/view?i=",J3950)</f>
        <v>https://www.dgiwg.org/FAD/fdd/view?i=119959</v>
      </c>
      <c r="L3950" s="36" t="s">
        <v>31752</v>
      </c>
      <c r="M3950" s="186"/>
      <c r="N3950" s="186"/>
      <c r="O3950" s="172"/>
    </row>
    <row r="3951" spans="1:15" ht="38.25" x14ac:dyDescent="0.2">
      <c r="A3951" s="197" t="str">
        <f t="shared" si="61"/>
        <v>FfnCode_waterTransport</v>
      </c>
      <c r="B3951" s="409"/>
      <c r="C3951" s="416"/>
      <c r="D3951" s="198" t="s">
        <v>31753</v>
      </c>
      <c r="E3951" s="198">
        <v>505</v>
      </c>
      <c r="F3951" s="199" t="s">
        <v>31754</v>
      </c>
      <c r="G3951" s="1" t="s">
        <v>31755</v>
      </c>
      <c r="H3951" s="1" t="s">
        <v>31756</v>
      </c>
      <c r="I3951" s="346"/>
      <c r="J3951" s="39">
        <v>112094</v>
      </c>
      <c r="K3951" s="36" t="str">
        <f>CONCATENATE(Cover!$D$6,"fdd/view?i=",J3951)</f>
        <v>https://www.dgiwg.org/FAD/fdd/view?i=112094</v>
      </c>
      <c r="L3951" s="36" t="s">
        <v>31757</v>
      </c>
      <c r="M3951" s="186"/>
      <c r="N3951" s="186"/>
      <c r="O3951" s="172"/>
    </row>
    <row r="3952" spans="1:15" ht="63.75" x14ac:dyDescent="0.2">
      <c r="A3952" s="197" t="str">
        <f t="shared" si="61"/>
        <v>FfnCode_waterTreatment</v>
      </c>
      <c r="B3952" s="409"/>
      <c r="C3952" s="416"/>
      <c r="D3952" s="198" t="s">
        <v>31758</v>
      </c>
      <c r="E3952" s="198">
        <v>362</v>
      </c>
      <c r="F3952" s="199" t="s">
        <v>31759</v>
      </c>
      <c r="G3952" s="1" t="s">
        <v>31760</v>
      </c>
      <c r="H3952" s="1" t="s">
        <v>31761</v>
      </c>
      <c r="I3952" s="346"/>
      <c r="J3952" s="39">
        <v>112364</v>
      </c>
      <c r="K3952" s="36" t="str">
        <f>CONCATENATE(Cover!$D$6,"fdd/view?i=",J3952)</f>
        <v>https://www.dgiwg.org/FAD/fdd/view?i=112364</v>
      </c>
      <c r="L3952" s="36" t="s">
        <v>31762</v>
      </c>
      <c r="M3952" s="186"/>
      <c r="N3952" s="186"/>
      <c r="O3952" s="172"/>
    </row>
    <row r="3953" spans="1:15" ht="25.5" x14ac:dyDescent="0.2">
      <c r="A3953" s="197" t="str">
        <f t="shared" si="61"/>
        <v>FfnCode_weatherStation</v>
      </c>
      <c r="B3953" s="409"/>
      <c r="C3953" s="416"/>
      <c r="D3953" s="198" t="s">
        <v>31763</v>
      </c>
      <c r="E3953" s="198">
        <v>722</v>
      </c>
      <c r="F3953" s="199" t="s">
        <v>31764</v>
      </c>
      <c r="G3953" s="1" t="s">
        <v>31765</v>
      </c>
      <c r="H3953" s="200"/>
      <c r="I3953" s="346"/>
      <c r="J3953" s="39">
        <v>112214</v>
      </c>
      <c r="K3953" s="36" t="str">
        <f>CONCATENATE(Cover!$D$6,"fdd/view?i=",J3953)</f>
        <v>https://www.dgiwg.org/FAD/fdd/view?i=112214</v>
      </c>
      <c r="L3953" s="36" t="s">
        <v>31766</v>
      </c>
      <c r="M3953" s="186"/>
      <c r="N3953" s="186"/>
      <c r="O3953" s="172"/>
    </row>
    <row r="3954" spans="1:15" ht="114.75" x14ac:dyDescent="0.2">
      <c r="A3954" s="197" t="str">
        <f t="shared" si="61"/>
        <v>FfnCode_wholesaleMerchant</v>
      </c>
      <c r="B3954" s="409"/>
      <c r="C3954" s="416"/>
      <c r="D3954" s="198" t="s">
        <v>31767</v>
      </c>
      <c r="E3954" s="198">
        <v>459</v>
      </c>
      <c r="F3954" s="199" t="s">
        <v>31768</v>
      </c>
      <c r="G3954" s="1" t="s">
        <v>31769</v>
      </c>
      <c r="H3954" s="1" t="s">
        <v>31770</v>
      </c>
      <c r="I3954" s="351" t="s">
        <v>31771</v>
      </c>
      <c r="J3954" s="39">
        <v>112368</v>
      </c>
      <c r="K3954" s="36" t="str">
        <f>CONCATENATE(Cover!$D$6,"fdd/view?i=",J3954)</f>
        <v>https://www.dgiwg.org/FAD/fdd/view?i=112368</v>
      </c>
      <c r="L3954" s="36" t="s">
        <v>31772</v>
      </c>
      <c r="M3954" s="186"/>
      <c r="N3954" s="186"/>
      <c r="O3954" s="172"/>
    </row>
    <row r="3955" spans="1:15" ht="38.25" x14ac:dyDescent="0.2">
      <c r="A3955" s="197" t="str">
        <f t="shared" si="61"/>
        <v>FfnCode_windTunnel</v>
      </c>
      <c r="B3955" s="409"/>
      <c r="C3955" s="416"/>
      <c r="D3955" s="198" t="s">
        <v>31773</v>
      </c>
      <c r="E3955" s="198">
        <v>730</v>
      </c>
      <c r="F3955" s="199" t="s">
        <v>31774</v>
      </c>
      <c r="G3955" s="1" t="s">
        <v>31775</v>
      </c>
      <c r="H3955" s="200"/>
      <c r="I3955" s="346"/>
      <c r="J3955" s="39">
        <v>112218</v>
      </c>
      <c r="K3955" s="36" t="str">
        <f>CONCATENATE(Cover!$D$6,"fdd/view?i=",J3955)</f>
        <v>https://www.dgiwg.org/FAD/fdd/view?i=112218</v>
      </c>
      <c r="L3955" s="36" t="s">
        <v>31776</v>
      </c>
      <c r="M3955" s="186"/>
      <c r="N3955" s="186"/>
      <c r="O3955" s="172"/>
    </row>
    <row r="3956" spans="1:15" ht="102" x14ac:dyDescent="0.2">
      <c r="A3956" s="197" t="str">
        <f t="shared" si="61"/>
        <v>FfnCode_winery</v>
      </c>
      <c r="B3956" s="409"/>
      <c r="C3956" s="416"/>
      <c r="D3956" s="198" t="s">
        <v>31777</v>
      </c>
      <c r="E3956" s="198">
        <v>122</v>
      </c>
      <c r="F3956" s="199" t="s">
        <v>31778</v>
      </c>
      <c r="G3956" s="1" t="s">
        <v>31779</v>
      </c>
      <c r="H3956" s="1" t="s">
        <v>31780</v>
      </c>
      <c r="I3956" s="346"/>
      <c r="J3956" s="39">
        <v>111932</v>
      </c>
      <c r="K3956" s="36" t="str">
        <f>CONCATENATE(Cover!$D$6,"fdd/view?i=",J3956)</f>
        <v>https://www.dgiwg.org/FAD/fdd/view?i=111932</v>
      </c>
      <c r="L3956" s="36" t="s">
        <v>31781</v>
      </c>
      <c r="M3956" s="186"/>
      <c r="N3956" s="186"/>
      <c r="O3956" s="172"/>
    </row>
    <row r="3957" spans="1:15" ht="114.75" x14ac:dyDescent="0.2">
      <c r="A3957" s="197" t="str">
        <f t="shared" si="61"/>
        <v>FfnCode_wiredRepeater</v>
      </c>
      <c r="B3957" s="409"/>
      <c r="C3957" s="416"/>
      <c r="D3957" s="198" t="s">
        <v>31782</v>
      </c>
      <c r="E3957" s="198">
        <v>617</v>
      </c>
      <c r="F3957" s="199" t="s">
        <v>31783</v>
      </c>
      <c r="G3957" s="1" t="s">
        <v>31784</v>
      </c>
      <c r="H3957" s="1" t="s">
        <v>31785</v>
      </c>
      <c r="I3957" s="346"/>
      <c r="J3957" s="39">
        <v>112172</v>
      </c>
      <c r="K3957" s="36" t="str">
        <f>CONCATENATE(Cover!$D$6,"fdd/view?i=",J3957)</f>
        <v>https://www.dgiwg.org/FAD/fdd/view?i=112172</v>
      </c>
      <c r="L3957" s="36" t="s">
        <v>31786</v>
      </c>
      <c r="M3957" s="186"/>
      <c r="N3957" s="186"/>
      <c r="O3957" s="172"/>
    </row>
    <row r="3958" spans="1:15" ht="140.25" x14ac:dyDescent="0.2">
      <c r="A3958" s="197" t="str">
        <f t="shared" si="61"/>
        <v>FfnCode_wiredTelecom</v>
      </c>
      <c r="B3958" s="409"/>
      <c r="C3958" s="416"/>
      <c r="D3958" s="198" t="s">
        <v>31787</v>
      </c>
      <c r="E3958" s="198">
        <v>614</v>
      </c>
      <c r="F3958" s="199" t="s">
        <v>31788</v>
      </c>
      <c r="G3958" s="1" t="s">
        <v>31789</v>
      </c>
      <c r="H3958" s="1" t="s">
        <v>31790</v>
      </c>
      <c r="I3958" s="346"/>
      <c r="J3958" s="39">
        <v>112166</v>
      </c>
      <c r="K3958" s="36" t="str">
        <f>CONCATENATE(Cover!$D$6,"fdd/view?i=",J3958)</f>
        <v>https://www.dgiwg.org/FAD/fdd/view?i=112166</v>
      </c>
      <c r="L3958" s="36" t="s">
        <v>31791</v>
      </c>
      <c r="M3958" s="186"/>
      <c r="N3958" s="186"/>
      <c r="O3958" s="172"/>
    </row>
    <row r="3959" spans="1:15" ht="204" x14ac:dyDescent="0.2">
      <c r="A3959" s="197" t="str">
        <f t="shared" si="61"/>
        <v>FfnCode_wirelessRepeater</v>
      </c>
      <c r="B3959" s="409"/>
      <c r="C3959" s="416"/>
      <c r="D3959" s="198" t="s">
        <v>31792</v>
      </c>
      <c r="E3959" s="198">
        <v>622</v>
      </c>
      <c r="F3959" s="199" t="s">
        <v>31793</v>
      </c>
      <c r="G3959" s="1" t="s">
        <v>31794</v>
      </c>
      <c r="H3959" s="1" t="s">
        <v>31795</v>
      </c>
      <c r="I3959" s="346"/>
      <c r="J3959" s="39">
        <v>112178</v>
      </c>
      <c r="K3959" s="36" t="str">
        <f>CONCATENATE(Cover!$D$6,"fdd/view?i=",J3959)</f>
        <v>https://www.dgiwg.org/FAD/fdd/view?i=112178</v>
      </c>
      <c r="L3959" s="36" t="s">
        <v>31796</v>
      </c>
      <c r="M3959" s="186"/>
      <c r="N3959" s="186"/>
      <c r="O3959" s="172"/>
    </row>
    <row r="3960" spans="1:15" ht="89.25" x14ac:dyDescent="0.2">
      <c r="A3960" s="197" t="str">
        <f t="shared" si="61"/>
        <v>FfnCode_wirelessTelecom</v>
      </c>
      <c r="B3960" s="409"/>
      <c r="C3960" s="416"/>
      <c r="D3960" s="198" t="s">
        <v>31797</v>
      </c>
      <c r="E3960" s="198">
        <v>620</v>
      </c>
      <c r="F3960" s="199" t="s">
        <v>31798</v>
      </c>
      <c r="G3960" s="1" t="s">
        <v>31799</v>
      </c>
      <c r="H3960" s="1" t="s">
        <v>31800</v>
      </c>
      <c r="I3960" s="346"/>
      <c r="J3960" s="39">
        <v>112174</v>
      </c>
      <c r="K3960" s="36" t="str">
        <f>CONCATENATE(Cover!$D$6,"fdd/view?i=",J3960)</f>
        <v>https://www.dgiwg.org/FAD/fdd/view?i=112174</v>
      </c>
      <c r="L3960" s="36" t="s">
        <v>31801</v>
      </c>
      <c r="M3960" s="186"/>
      <c r="N3960" s="186"/>
      <c r="O3960" s="172"/>
    </row>
    <row r="3961" spans="1:15" ht="165.75" x14ac:dyDescent="0.2">
      <c r="A3961" s="197" t="str">
        <f t="shared" si="61"/>
        <v>FfnCode_woodConstructProdManufac</v>
      </c>
      <c r="B3961" s="409"/>
      <c r="C3961" s="416"/>
      <c r="D3961" s="198" t="s">
        <v>31802</v>
      </c>
      <c r="E3961" s="198">
        <v>165</v>
      </c>
      <c r="F3961" s="199" t="s">
        <v>31803</v>
      </c>
      <c r="G3961" s="1" t="s">
        <v>31804</v>
      </c>
      <c r="H3961" s="1" t="s">
        <v>31805</v>
      </c>
      <c r="I3961" s="346"/>
      <c r="J3961" s="39">
        <v>111950</v>
      </c>
      <c r="K3961" s="36" t="str">
        <f>CONCATENATE(Cover!$D$6,"fdd/view?i=",J3961)</f>
        <v>https://www.dgiwg.org/FAD/fdd/view?i=111950</v>
      </c>
      <c r="L3961" s="36" t="s">
        <v>31806</v>
      </c>
      <c r="M3961" s="186"/>
      <c r="N3961" s="186"/>
      <c r="O3961" s="172"/>
    </row>
    <row r="3962" spans="1:15" ht="38.25" x14ac:dyDescent="0.2">
      <c r="A3962" s="203" t="str">
        <f t="shared" si="61"/>
        <v>FfnCode_yachtClub</v>
      </c>
      <c r="B3962" s="410"/>
      <c r="C3962" s="417"/>
      <c r="D3962" s="204" t="s">
        <v>23215</v>
      </c>
      <c r="E3962" s="204">
        <v>955</v>
      </c>
      <c r="F3962" s="205" t="s">
        <v>23216</v>
      </c>
      <c r="G3962" s="206" t="s">
        <v>31807</v>
      </c>
      <c r="H3962" s="206" t="s">
        <v>31808</v>
      </c>
      <c r="I3962" s="347"/>
      <c r="J3962" s="39">
        <v>112348</v>
      </c>
      <c r="K3962" s="36" t="str">
        <f>CONCATENATE(Cover!$D$6,"fdd/view?i=",J3962)</f>
        <v>https://www.dgiwg.org/FAD/fdd/view?i=112348</v>
      </c>
      <c r="L3962" s="36" t="s">
        <v>31809</v>
      </c>
      <c r="M3962" s="186"/>
      <c r="N3962" s="186"/>
      <c r="O3962" s="172"/>
    </row>
    <row r="3963" spans="1:15" ht="25.5" x14ac:dyDescent="0.2">
      <c r="A3963" s="190" t="str">
        <f t="shared" si="61"/>
        <v>FvoCode_horizontal</v>
      </c>
      <c r="B3963" s="414" t="str">
        <f>HYPERLINK("[#]Datatypes!A558:L558","FvoCode")</f>
        <v>FvoCode</v>
      </c>
      <c r="C3963" s="415" t="s">
        <v>15129</v>
      </c>
      <c r="D3963" s="221" t="s">
        <v>19980</v>
      </c>
      <c r="E3963" s="221">
        <v>5</v>
      </c>
      <c r="F3963" s="222" t="s">
        <v>19981</v>
      </c>
      <c r="G3963" s="223" t="s">
        <v>31810</v>
      </c>
      <c r="H3963" s="224"/>
      <c r="I3963" s="345"/>
      <c r="J3963" s="39">
        <v>103824</v>
      </c>
      <c r="K3963" s="36" t="str">
        <f>CONCATENATE(Cover!$D$6,"fdd/view?i=",J3963)</f>
        <v>https://www.dgiwg.org/FAD/fdd/view?i=103824</v>
      </c>
      <c r="L3963" s="36" t="s">
        <v>31811</v>
      </c>
      <c r="M3963" s="186"/>
      <c r="N3963" s="186"/>
      <c r="O3963" s="172"/>
    </row>
    <row r="3964" spans="1:15" x14ac:dyDescent="0.2">
      <c r="A3964" s="197" t="str">
        <f t="shared" si="61"/>
        <v>FvoCode_inverted</v>
      </c>
      <c r="B3964" s="409"/>
      <c r="C3964" s="416"/>
      <c r="D3964" s="198" t="s">
        <v>31812</v>
      </c>
      <c r="E3964" s="198">
        <v>4</v>
      </c>
      <c r="F3964" s="199" t="s">
        <v>31813</v>
      </c>
      <c r="G3964" s="1" t="s">
        <v>31814</v>
      </c>
      <c r="H3964" s="200"/>
      <c r="I3964" s="346"/>
      <c r="J3964" s="39">
        <v>103823</v>
      </c>
      <c r="K3964" s="36" t="str">
        <f>CONCATENATE(Cover!$D$6,"fdd/view?i=",J3964)</f>
        <v>https://www.dgiwg.org/FAD/fdd/view?i=103823</v>
      </c>
      <c r="L3964" s="36" t="s">
        <v>31815</v>
      </c>
      <c r="M3964" s="186"/>
      <c r="N3964" s="186"/>
      <c r="O3964" s="172"/>
    </row>
    <row r="3965" spans="1:15" ht="25.5" x14ac:dyDescent="0.2">
      <c r="A3965" s="197" t="str">
        <f t="shared" si="61"/>
        <v>FvoCode_leaning</v>
      </c>
      <c r="B3965" s="409"/>
      <c r="C3965" s="416"/>
      <c r="D3965" s="198" t="s">
        <v>31816</v>
      </c>
      <c r="E3965" s="198">
        <v>3</v>
      </c>
      <c r="F3965" s="199" t="s">
        <v>31817</v>
      </c>
      <c r="G3965" s="1" t="s">
        <v>31818</v>
      </c>
      <c r="H3965" s="200"/>
      <c r="I3965" s="346"/>
      <c r="J3965" s="39">
        <v>103822</v>
      </c>
      <c r="K3965" s="36" t="str">
        <f>CONCATENATE(Cover!$D$6,"fdd/view?i=",J3965)</f>
        <v>https://www.dgiwg.org/FAD/fdd/view?i=103822</v>
      </c>
      <c r="L3965" s="36" t="s">
        <v>31819</v>
      </c>
      <c r="M3965" s="186"/>
      <c r="N3965" s="186"/>
      <c r="O3965" s="172"/>
    </row>
    <row r="3966" spans="1:15" x14ac:dyDescent="0.2">
      <c r="A3966" s="197" t="str">
        <f t="shared" si="61"/>
        <v>FvoCode_onside</v>
      </c>
      <c r="B3966" s="409"/>
      <c r="C3966" s="416"/>
      <c r="D3966" s="198" t="s">
        <v>31820</v>
      </c>
      <c r="E3966" s="198">
        <v>2</v>
      </c>
      <c r="F3966" s="199" t="s">
        <v>31821</v>
      </c>
      <c r="G3966" s="1" t="s">
        <v>31822</v>
      </c>
      <c r="H3966" s="200"/>
      <c r="I3966" s="346"/>
      <c r="J3966" s="39">
        <v>103821</v>
      </c>
      <c r="K3966" s="36" t="str">
        <f>CONCATENATE(Cover!$D$6,"fdd/view?i=",J3966)</f>
        <v>https://www.dgiwg.org/FAD/fdd/view?i=103821</v>
      </c>
      <c r="L3966" s="36" t="s">
        <v>31823</v>
      </c>
      <c r="M3966" s="186"/>
      <c r="N3966" s="186"/>
      <c r="O3966" s="172"/>
    </row>
    <row r="3967" spans="1:15" x14ac:dyDescent="0.2">
      <c r="A3967" s="203" t="str">
        <f t="shared" si="61"/>
        <v>FvoCode_upright</v>
      </c>
      <c r="B3967" s="410"/>
      <c r="C3967" s="417"/>
      <c r="D3967" s="204" t="s">
        <v>31824</v>
      </c>
      <c r="E3967" s="204">
        <v>1</v>
      </c>
      <c r="F3967" s="205" t="s">
        <v>31825</v>
      </c>
      <c r="G3967" s="206" t="s">
        <v>31826</v>
      </c>
      <c r="H3967" s="206" t="s">
        <v>31827</v>
      </c>
      <c r="I3967" s="347"/>
      <c r="J3967" s="39">
        <v>103820</v>
      </c>
      <c r="K3967" s="36" t="str">
        <f>CONCATENATE(Cover!$D$6,"fdd/view?i=",J3967)</f>
        <v>https://www.dgiwg.org/FAD/fdd/view?i=103820</v>
      </c>
      <c r="L3967" s="36" t="s">
        <v>31828</v>
      </c>
      <c r="M3967" s="186"/>
      <c r="N3967" s="186"/>
      <c r="O3967" s="172"/>
    </row>
    <row r="3968" spans="1:15" ht="63.75" x14ac:dyDescent="0.2">
      <c r="A3968" s="190" t="str">
        <f t="shared" si="61"/>
        <v>FefCode_animalContainment</v>
      </c>
      <c r="B3968" s="414" t="str">
        <f>HYPERLINK("[#]Datatypes!A560:L560","FefCode")</f>
        <v>FefCode</v>
      </c>
      <c r="C3968" s="415" t="s">
        <v>15131</v>
      </c>
      <c r="D3968" s="221" t="s">
        <v>31829</v>
      </c>
      <c r="E3968" s="221">
        <v>1</v>
      </c>
      <c r="F3968" s="222" t="s">
        <v>31830</v>
      </c>
      <c r="G3968" s="223" t="s">
        <v>31831</v>
      </c>
      <c r="H3968" s="223" t="s">
        <v>31832</v>
      </c>
      <c r="I3968" s="345"/>
      <c r="J3968" s="39">
        <v>118883</v>
      </c>
      <c r="K3968" s="36" t="str">
        <f>CONCATENATE(Cover!$D$6,"fdd/view?i=",J3968)</f>
        <v>https://www.dgiwg.org/FAD/fdd/view?i=118883</v>
      </c>
      <c r="L3968" s="36" t="s">
        <v>31833</v>
      </c>
      <c r="M3968" s="186"/>
      <c r="N3968" s="186"/>
      <c r="O3968" s="172"/>
    </row>
    <row r="3969" spans="1:15" ht="76.5" x14ac:dyDescent="0.2">
      <c r="A3969" s="197" t="str">
        <f t="shared" si="61"/>
        <v>FefCode_erosionControl</v>
      </c>
      <c r="B3969" s="409"/>
      <c r="C3969" s="416"/>
      <c r="D3969" s="198" t="s">
        <v>31834</v>
      </c>
      <c r="E3969" s="198">
        <v>2</v>
      </c>
      <c r="F3969" s="199" t="s">
        <v>31835</v>
      </c>
      <c r="G3969" s="1" t="s">
        <v>31836</v>
      </c>
      <c r="H3969" s="1" t="s">
        <v>31837</v>
      </c>
      <c r="I3969" s="346"/>
      <c r="J3969" s="39">
        <v>118884</v>
      </c>
      <c r="K3969" s="36" t="str">
        <f>CONCATENATE(Cover!$D$6,"fdd/view?i=",J3969)</f>
        <v>https://www.dgiwg.org/FAD/fdd/view?i=118884</v>
      </c>
      <c r="L3969" s="36" t="s">
        <v>31838</v>
      </c>
      <c r="M3969" s="186"/>
      <c r="N3969" s="186"/>
      <c r="O3969" s="172"/>
    </row>
    <row r="3970" spans="1:15" ht="89.25" x14ac:dyDescent="0.2">
      <c r="A3970" s="197" t="str">
        <f t="shared" ref="A3970:A4033" si="62">HYPERLINK(K3970,L3970)</f>
        <v>FefCode_exclusion</v>
      </c>
      <c r="B3970" s="409"/>
      <c r="C3970" s="416"/>
      <c r="D3970" s="198" t="s">
        <v>31839</v>
      </c>
      <c r="E3970" s="198">
        <v>3</v>
      </c>
      <c r="F3970" s="199" t="s">
        <v>31840</v>
      </c>
      <c r="G3970" s="1" t="s">
        <v>31841</v>
      </c>
      <c r="H3970" s="1" t="s">
        <v>31842</v>
      </c>
      <c r="I3970" s="351" t="s">
        <v>31843</v>
      </c>
      <c r="J3970" s="39">
        <v>118885</v>
      </c>
      <c r="K3970" s="36" t="str">
        <f>CONCATENATE(Cover!$D$6,"fdd/view?i=",J3970)</f>
        <v>https://www.dgiwg.org/FAD/fdd/view?i=118885</v>
      </c>
      <c r="L3970" s="36" t="s">
        <v>31844</v>
      </c>
      <c r="M3970" s="186"/>
      <c r="N3970" s="186"/>
      <c r="O3970" s="172"/>
    </row>
    <row r="3971" spans="1:15" ht="51" x14ac:dyDescent="0.2">
      <c r="A3971" s="197" t="str">
        <f t="shared" si="62"/>
        <v>FefCode_security</v>
      </c>
      <c r="B3971" s="409"/>
      <c r="C3971" s="416"/>
      <c r="D3971" s="198" t="s">
        <v>21031</v>
      </c>
      <c r="E3971" s="198">
        <v>4</v>
      </c>
      <c r="F3971" s="199" t="s">
        <v>21032</v>
      </c>
      <c r="G3971" s="1" t="s">
        <v>31845</v>
      </c>
      <c r="H3971" s="1" t="s">
        <v>31846</v>
      </c>
      <c r="I3971" s="346"/>
      <c r="J3971" s="39">
        <v>118886</v>
      </c>
      <c r="K3971" s="36" t="str">
        <f>CONCATENATE(Cover!$D$6,"fdd/view?i=",J3971)</f>
        <v>https://www.dgiwg.org/FAD/fdd/view?i=118886</v>
      </c>
      <c r="L3971" s="36" t="s">
        <v>31847</v>
      </c>
      <c r="M3971" s="186"/>
      <c r="N3971" s="186"/>
      <c r="O3971" s="172"/>
    </row>
    <row r="3972" spans="1:15" ht="102" x14ac:dyDescent="0.2">
      <c r="A3972" s="203" t="str">
        <f t="shared" si="62"/>
        <v>FefCode_wind</v>
      </c>
      <c r="B3972" s="410"/>
      <c r="C3972" s="417"/>
      <c r="D3972" s="204" t="s">
        <v>31848</v>
      </c>
      <c r="E3972" s="204">
        <v>5</v>
      </c>
      <c r="F3972" s="205" t="s">
        <v>31849</v>
      </c>
      <c r="G3972" s="206" t="s">
        <v>31850</v>
      </c>
      <c r="H3972" s="206" t="s">
        <v>31851</v>
      </c>
      <c r="I3972" s="353" t="s">
        <v>31852</v>
      </c>
      <c r="J3972" s="39">
        <v>118887</v>
      </c>
      <c r="K3972" s="36" t="str">
        <f>CONCATENATE(Cover!$D$6,"fdd/view?i=",J3972)</f>
        <v>https://www.dgiwg.org/FAD/fdd/view?i=118887</v>
      </c>
      <c r="L3972" s="36" t="s">
        <v>31853</v>
      </c>
      <c r="M3972" s="186"/>
      <c r="N3972" s="186"/>
      <c r="O3972" s="172"/>
    </row>
    <row r="3973" spans="1:15" ht="25.5" x14ac:dyDescent="0.2">
      <c r="A3973" s="190" t="str">
        <f t="shared" si="62"/>
        <v>FtiCode_barbedWire</v>
      </c>
      <c r="B3973" s="414" t="str">
        <f>HYPERLINK("[#]Datatypes!A562:L562","FtiCode")</f>
        <v>FtiCode</v>
      </c>
      <c r="C3973" s="415" t="s">
        <v>15133</v>
      </c>
      <c r="D3973" s="221" t="s">
        <v>23604</v>
      </c>
      <c r="E3973" s="221">
        <v>5</v>
      </c>
      <c r="F3973" s="222" t="s">
        <v>23605</v>
      </c>
      <c r="G3973" s="223" t="s">
        <v>23606</v>
      </c>
      <c r="H3973" s="223" t="s">
        <v>31854</v>
      </c>
      <c r="I3973" s="345"/>
      <c r="J3973" s="39">
        <v>103746</v>
      </c>
      <c r="K3973" s="36" t="str">
        <f>CONCATENATE(Cover!$D$6,"fdd/view?i=",J3973)</f>
        <v>https://www.dgiwg.org/FAD/fdd/view?i=103746</v>
      </c>
      <c r="L3973" s="36" t="s">
        <v>31855</v>
      </c>
      <c r="M3973" s="186"/>
      <c r="N3973" s="186"/>
      <c r="O3973" s="172"/>
    </row>
    <row r="3974" spans="1:15" x14ac:dyDescent="0.2">
      <c r="A3974" s="197" t="str">
        <f t="shared" si="62"/>
        <v>FtiCode_chainLink</v>
      </c>
      <c r="B3974" s="409"/>
      <c r="C3974" s="416"/>
      <c r="D3974" s="198" t="s">
        <v>23608</v>
      </c>
      <c r="E3974" s="198">
        <v>6</v>
      </c>
      <c r="F3974" s="199" t="s">
        <v>23609</v>
      </c>
      <c r="G3974" s="1" t="s">
        <v>23610</v>
      </c>
      <c r="H3974" s="200"/>
      <c r="I3974" s="346"/>
      <c r="J3974" s="39">
        <v>103747</v>
      </c>
      <c r="K3974" s="36" t="str">
        <f>CONCATENATE(Cover!$D$6,"fdd/view?i=",J3974)</f>
        <v>https://www.dgiwg.org/FAD/fdd/view?i=103747</v>
      </c>
      <c r="L3974" s="36" t="s">
        <v>31856</v>
      </c>
      <c r="M3974" s="186"/>
      <c r="N3974" s="186"/>
      <c r="O3974" s="172"/>
    </row>
    <row r="3975" spans="1:15" ht="25.5" x14ac:dyDescent="0.2">
      <c r="A3975" s="197" t="str">
        <f t="shared" si="62"/>
        <v>FtiCode_electricWire</v>
      </c>
      <c r="B3975" s="409"/>
      <c r="C3975" s="416"/>
      <c r="D3975" s="198" t="s">
        <v>23617</v>
      </c>
      <c r="E3975" s="198">
        <v>7</v>
      </c>
      <c r="F3975" s="199" t="s">
        <v>23618</v>
      </c>
      <c r="G3975" s="1" t="s">
        <v>23619</v>
      </c>
      <c r="H3975" s="1" t="s">
        <v>23620</v>
      </c>
      <c r="I3975" s="346"/>
      <c r="J3975" s="39">
        <v>112735</v>
      </c>
      <c r="K3975" s="36" t="str">
        <f>CONCATENATE(Cover!$D$6,"fdd/view?i=",J3975)</f>
        <v>https://www.dgiwg.org/FAD/fdd/view?i=112735</v>
      </c>
      <c r="L3975" s="36" t="s">
        <v>31857</v>
      </c>
      <c r="M3975" s="186"/>
      <c r="N3975" s="186"/>
      <c r="O3975" s="172"/>
    </row>
    <row r="3976" spans="1:15" ht="76.5" x14ac:dyDescent="0.2">
      <c r="A3976" s="197" t="str">
        <f t="shared" si="62"/>
        <v>FtiCode_geotextile</v>
      </c>
      <c r="B3976" s="409"/>
      <c r="C3976" s="416"/>
      <c r="D3976" s="198" t="s">
        <v>31858</v>
      </c>
      <c r="E3976" s="198">
        <v>8</v>
      </c>
      <c r="F3976" s="199" t="s">
        <v>31859</v>
      </c>
      <c r="G3976" s="1" t="s">
        <v>31860</v>
      </c>
      <c r="H3976" s="1" t="s">
        <v>31861</v>
      </c>
      <c r="I3976" s="346"/>
      <c r="J3976" s="39">
        <v>118545</v>
      </c>
      <c r="K3976" s="36" t="str">
        <f>CONCATENATE(Cover!$D$6,"fdd/view?i=",J3976)</f>
        <v>https://www.dgiwg.org/FAD/fdd/view?i=118545</v>
      </c>
      <c r="L3976" s="36" t="s">
        <v>31862</v>
      </c>
      <c r="M3976" s="186"/>
      <c r="N3976" s="186"/>
      <c r="O3976" s="172"/>
    </row>
    <row r="3977" spans="1:15" x14ac:dyDescent="0.2">
      <c r="A3977" s="197" t="str">
        <f t="shared" si="62"/>
        <v>FtiCode_masonry</v>
      </c>
      <c r="B3977" s="409"/>
      <c r="C3977" s="416"/>
      <c r="D3977" s="198" t="s">
        <v>24160</v>
      </c>
      <c r="E3977" s="198">
        <v>3</v>
      </c>
      <c r="F3977" s="199" t="s">
        <v>24161</v>
      </c>
      <c r="G3977" s="1" t="s">
        <v>31863</v>
      </c>
      <c r="H3977" s="200"/>
      <c r="I3977" s="351" t="s">
        <v>24163</v>
      </c>
      <c r="J3977" s="39">
        <v>103744</v>
      </c>
      <c r="K3977" s="36" t="str">
        <f>CONCATENATE(Cover!$D$6,"fdd/view?i=",J3977)</f>
        <v>https://www.dgiwg.org/FAD/fdd/view?i=103744</v>
      </c>
      <c r="L3977" s="36" t="s">
        <v>31864</v>
      </c>
      <c r="M3977" s="186"/>
      <c r="N3977" s="186"/>
      <c r="O3977" s="172"/>
    </row>
    <row r="3978" spans="1:15" ht="25.5" x14ac:dyDescent="0.2">
      <c r="A3978" s="197" t="str">
        <f t="shared" si="62"/>
        <v>FtiCode_metal</v>
      </c>
      <c r="B3978" s="409"/>
      <c r="C3978" s="416"/>
      <c r="D3978" s="198" t="s">
        <v>25276</v>
      </c>
      <c r="E3978" s="198">
        <v>1</v>
      </c>
      <c r="F3978" s="199" t="s">
        <v>25277</v>
      </c>
      <c r="G3978" s="1" t="s">
        <v>31865</v>
      </c>
      <c r="H3978" s="200"/>
      <c r="I3978" s="346"/>
      <c r="J3978" s="39">
        <v>103742</v>
      </c>
      <c r="K3978" s="36" t="str">
        <f>CONCATENATE(Cover!$D$6,"fdd/view?i=",J3978)</f>
        <v>https://www.dgiwg.org/FAD/fdd/view?i=103742</v>
      </c>
      <c r="L3978" s="36" t="s">
        <v>31866</v>
      </c>
      <c r="M3978" s="186"/>
      <c r="N3978" s="186"/>
      <c r="O3978" s="172"/>
    </row>
    <row r="3979" spans="1:15" ht="25.5" x14ac:dyDescent="0.2">
      <c r="A3979" s="197" t="str">
        <f t="shared" si="62"/>
        <v>FtiCode_netting</v>
      </c>
      <c r="B3979" s="409"/>
      <c r="C3979" s="416"/>
      <c r="D3979" s="198" t="s">
        <v>31867</v>
      </c>
      <c r="E3979" s="198">
        <v>9</v>
      </c>
      <c r="F3979" s="199" t="s">
        <v>31868</v>
      </c>
      <c r="G3979" s="1" t="s">
        <v>31869</v>
      </c>
      <c r="H3979" s="1" t="s">
        <v>31870</v>
      </c>
      <c r="I3979" s="346"/>
      <c r="J3979" s="39">
        <v>118546</v>
      </c>
      <c r="K3979" s="36" t="str">
        <f>CONCATENATE(Cover!$D$6,"fdd/view?i=",J3979)</f>
        <v>https://www.dgiwg.org/FAD/fdd/view?i=118546</v>
      </c>
      <c r="L3979" s="36" t="s">
        <v>31871</v>
      </c>
      <c r="M3979" s="186"/>
      <c r="N3979" s="186"/>
      <c r="O3979" s="172"/>
    </row>
    <row r="3980" spans="1:15" ht="25.5" x14ac:dyDescent="0.2">
      <c r="A3980" s="197" t="str">
        <f t="shared" si="62"/>
        <v>FtiCode_rock</v>
      </c>
      <c r="B3980" s="409"/>
      <c r="C3980" s="416"/>
      <c r="D3980" s="198" t="s">
        <v>27993</v>
      </c>
      <c r="E3980" s="198">
        <v>4</v>
      </c>
      <c r="F3980" s="199" t="s">
        <v>27994</v>
      </c>
      <c r="G3980" s="1" t="s">
        <v>31872</v>
      </c>
      <c r="H3980" s="1" t="s">
        <v>31873</v>
      </c>
      <c r="I3980" s="346"/>
      <c r="J3980" s="39">
        <v>103745</v>
      </c>
      <c r="K3980" s="36" t="str">
        <f>CONCATENATE(Cover!$D$6,"fdd/view?i=",J3980)</f>
        <v>https://www.dgiwg.org/FAD/fdd/view?i=103745</v>
      </c>
      <c r="L3980" s="36" t="s">
        <v>31874</v>
      </c>
      <c r="M3980" s="186"/>
      <c r="N3980" s="186"/>
      <c r="O3980" s="172"/>
    </row>
    <row r="3981" spans="1:15" ht="25.5" x14ac:dyDescent="0.2">
      <c r="A3981" s="203" t="str">
        <f t="shared" si="62"/>
        <v>FtiCode_wood</v>
      </c>
      <c r="B3981" s="410"/>
      <c r="C3981" s="417"/>
      <c r="D3981" s="204" t="s">
        <v>19610</v>
      </c>
      <c r="E3981" s="204">
        <v>2</v>
      </c>
      <c r="F3981" s="205" t="s">
        <v>5911</v>
      </c>
      <c r="G3981" s="206" t="s">
        <v>31875</v>
      </c>
      <c r="H3981" s="207"/>
      <c r="I3981" s="347"/>
      <c r="J3981" s="39">
        <v>103743</v>
      </c>
      <c r="K3981" s="36" t="str">
        <f>CONCATENATE(Cover!$D$6,"fdd/view?i=",J3981)</f>
        <v>https://www.dgiwg.org/FAD/fdd/view?i=103743</v>
      </c>
      <c r="L3981" s="36" t="s">
        <v>31876</v>
      </c>
      <c r="M3981" s="186"/>
      <c r="N3981" s="186"/>
      <c r="O3981" s="172"/>
    </row>
    <row r="3982" spans="1:15" x14ac:dyDescent="0.2">
      <c r="A3982" s="190" t="str">
        <f t="shared" si="62"/>
        <v>FerCode_cable</v>
      </c>
      <c r="B3982" s="414" t="str">
        <f>HYPERLINK("[#]Datatypes!A566:L566","FerCode")</f>
        <v>FerCode</v>
      </c>
      <c r="C3982" s="415" t="s">
        <v>15138</v>
      </c>
      <c r="D3982" s="221" t="s">
        <v>22425</v>
      </c>
      <c r="E3982" s="221">
        <v>1</v>
      </c>
      <c r="F3982" s="222" t="s">
        <v>2381</v>
      </c>
      <c r="G3982" s="223" t="s">
        <v>31877</v>
      </c>
      <c r="H3982" s="224"/>
      <c r="I3982" s="345"/>
      <c r="J3982" s="39">
        <v>103626</v>
      </c>
      <c r="K3982" s="36" t="str">
        <f>CONCATENATE(Cover!$D$6,"fdd/view?i=",J3982)</f>
        <v>https://www.dgiwg.org/FAD/fdd/view?i=103626</v>
      </c>
      <c r="L3982" s="36" t="s">
        <v>31878</v>
      </c>
      <c r="M3982" s="186"/>
      <c r="N3982" s="186"/>
      <c r="O3982" s="172"/>
    </row>
    <row r="3983" spans="1:15" x14ac:dyDescent="0.2">
      <c r="A3983" s="197" t="str">
        <f t="shared" si="62"/>
        <v>FerCode_freeMoving</v>
      </c>
      <c r="B3983" s="409"/>
      <c r="C3983" s="416"/>
      <c r="D3983" s="198" t="s">
        <v>31879</v>
      </c>
      <c r="E3983" s="198">
        <v>2</v>
      </c>
      <c r="F3983" s="199" t="s">
        <v>31880</v>
      </c>
      <c r="G3983" s="1" t="s">
        <v>31881</v>
      </c>
      <c r="H3983" s="200"/>
      <c r="I3983" s="346"/>
      <c r="J3983" s="39">
        <v>103627</v>
      </c>
      <c r="K3983" s="36" t="str">
        <f>CONCATENATE(Cover!$D$6,"fdd/view?i=",J3983)</f>
        <v>https://www.dgiwg.org/FAD/fdd/view?i=103627</v>
      </c>
      <c r="L3983" s="36" t="s">
        <v>31882</v>
      </c>
      <c r="M3983" s="186"/>
      <c r="N3983" s="186"/>
      <c r="O3983" s="172"/>
    </row>
    <row r="3984" spans="1:15" x14ac:dyDescent="0.2">
      <c r="A3984" s="203" t="str">
        <f t="shared" si="62"/>
        <v>FerCode_ice</v>
      </c>
      <c r="B3984" s="410"/>
      <c r="C3984" s="417"/>
      <c r="D3984" s="204" t="s">
        <v>19560</v>
      </c>
      <c r="E3984" s="204">
        <v>3</v>
      </c>
      <c r="F3984" s="205" t="s">
        <v>19561</v>
      </c>
      <c r="G3984" s="206" t="s">
        <v>31883</v>
      </c>
      <c r="H3984" s="207"/>
      <c r="I3984" s="347"/>
      <c r="J3984" s="39">
        <v>103628</v>
      </c>
      <c r="K3984" s="36" t="str">
        <f>CONCATENATE(Cover!$D$6,"fdd/view?i=",J3984)</f>
        <v>https://www.dgiwg.org/FAD/fdd/view?i=103628</v>
      </c>
      <c r="L3984" s="36" t="s">
        <v>31884</v>
      </c>
      <c r="M3984" s="186"/>
      <c r="N3984" s="186"/>
      <c r="O3984" s="172"/>
    </row>
    <row r="3985" spans="1:15" ht="25.5" x14ac:dyDescent="0.2">
      <c r="A3985" s="190" t="str">
        <f t="shared" si="62"/>
        <v>FapCode_circling</v>
      </c>
      <c r="B3985" s="414" t="str">
        <f>HYPERLINK("[#]Datatypes!A568:L568","FapCode")</f>
        <v>FapCode</v>
      </c>
      <c r="C3985" s="415" t="s">
        <v>15140</v>
      </c>
      <c r="D3985" s="221" t="s">
        <v>31885</v>
      </c>
      <c r="E3985" s="221">
        <v>2</v>
      </c>
      <c r="F3985" s="222" t="s">
        <v>31886</v>
      </c>
      <c r="G3985" s="223" t="s">
        <v>31887</v>
      </c>
      <c r="H3985" s="224"/>
      <c r="I3985" s="345"/>
      <c r="J3985" s="39">
        <v>116118</v>
      </c>
      <c r="K3985" s="36" t="str">
        <f>CONCATENATE(Cover!$D$6,"fdd/view?i=",J3985)</f>
        <v>https://www.dgiwg.org/FAD/fdd/view?i=116118</v>
      </c>
      <c r="L3985" s="36" t="s">
        <v>31888</v>
      </c>
      <c r="M3985" s="186"/>
      <c r="N3985" s="186"/>
      <c r="O3985" s="172"/>
    </row>
    <row r="3986" spans="1:15" ht="25.5" x14ac:dyDescent="0.2">
      <c r="A3986" s="197" t="str">
        <f t="shared" si="62"/>
        <v>FapCode_sidestep</v>
      </c>
      <c r="B3986" s="409"/>
      <c r="C3986" s="416"/>
      <c r="D3986" s="198" t="s">
        <v>31889</v>
      </c>
      <c r="E3986" s="198">
        <v>3</v>
      </c>
      <c r="F3986" s="199" t="s">
        <v>31890</v>
      </c>
      <c r="G3986" s="1" t="s">
        <v>31891</v>
      </c>
      <c r="H3986" s="200"/>
      <c r="I3986" s="346"/>
      <c r="J3986" s="39">
        <v>116119</v>
      </c>
      <c r="K3986" s="36" t="str">
        <f>CONCATENATE(Cover!$D$6,"fdd/view?i=",J3986)</f>
        <v>https://www.dgiwg.org/FAD/fdd/view?i=116119</v>
      </c>
      <c r="L3986" s="36" t="s">
        <v>31892</v>
      </c>
      <c r="M3986" s="186"/>
      <c r="N3986" s="186"/>
      <c r="O3986" s="172"/>
    </row>
    <row r="3987" spans="1:15" ht="38.25" x14ac:dyDescent="0.2">
      <c r="A3987" s="203" t="str">
        <f t="shared" si="62"/>
        <v>FapCode_straightIn</v>
      </c>
      <c r="B3987" s="410"/>
      <c r="C3987" s="417"/>
      <c r="D3987" s="204" t="s">
        <v>31893</v>
      </c>
      <c r="E3987" s="204">
        <v>1</v>
      </c>
      <c r="F3987" s="205" t="s">
        <v>31894</v>
      </c>
      <c r="G3987" s="206" t="s">
        <v>31895</v>
      </c>
      <c r="H3987" s="206" t="s">
        <v>31896</v>
      </c>
      <c r="I3987" s="347"/>
      <c r="J3987" s="39">
        <v>116117</v>
      </c>
      <c r="K3987" s="36" t="str">
        <f>CONCATENATE(Cover!$D$6,"fdd/view?i=",J3987)</f>
        <v>https://www.dgiwg.org/FAD/fdd/view?i=116117</v>
      </c>
      <c r="L3987" s="36" t="s">
        <v>31897</v>
      </c>
      <c r="M3987" s="186"/>
      <c r="N3987" s="186"/>
      <c r="O3987" s="172"/>
    </row>
    <row r="3988" spans="1:15" ht="25.5" x14ac:dyDescent="0.2">
      <c r="A3988" s="190" t="str">
        <f t="shared" si="62"/>
        <v>FfcCode_driftNet</v>
      </c>
      <c r="B3988" s="414" t="str">
        <f>HYPERLINK("[#]Datatypes!A578:L578","FfcCode")</f>
        <v>FfcCode</v>
      </c>
      <c r="C3988" s="415" t="s">
        <v>15150</v>
      </c>
      <c r="D3988" s="221" t="s">
        <v>31898</v>
      </c>
      <c r="E3988" s="221">
        <v>9</v>
      </c>
      <c r="F3988" s="222" t="s">
        <v>31899</v>
      </c>
      <c r="G3988" s="223" t="s">
        <v>31900</v>
      </c>
      <c r="H3988" s="224"/>
      <c r="I3988" s="345"/>
      <c r="J3988" s="39">
        <v>103660</v>
      </c>
      <c r="K3988" s="36" t="str">
        <f>CONCATENATE(Cover!$D$6,"fdd/view?i=",J3988)</f>
        <v>https://www.dgiwg.org/FAD/fdd/view?i=103660</v>
      </c>
      <c r="L3988" s="36" t="s">
        <v>31901</v>
      </c>
      <c r="M3988" s="186"/>
      <c r="N3988" s="186"/>
      <c r="O3988" s="172"/>
    </row>
    <row r="3989" spans="1:15" ht="25.5" x14ac:dyDescent="0.2">
      <c r="A3989" s="197" t="str">
        <f t="shared" si="62"/>
        <v>FfcCode_fishingStake</v>
      </c>
      <c r="B3989" s="409"/>
      <c r="C3989" s="416"/>
      <c r="D3989" s="198" t="s">
        <v>31907</v>
      </c>
      <c r="E3989" s="198">
        <v>1</v>
      </c>
      <c r="F3989" s="199" t="s">
        <v>31908</v>
      </c>
      <c r="G3989" s="1" t="s">
        <v>31909</v>
      </c>
      <c r="H3989" s="200"/>
      <c r="I3989" s="346"/>
      <c r="J3989" s="39">
        <v>103653</v>
      </c>
      <c r="K3989" s="36" t="str">
        <f>CONCATENATE(Cover!$D$6,"fdd/view?i=",J3989)</f>
        <v>https://www.dgiwg.org/FAD/fdd/view?i=103653</v>
      </c>
      <c r="L3989" s="36" t="s">
        <v>31910</v>
      </c>
      <c r="M3989" s="186"/>
      <c r="N3989" s="186"/>
      <c r="O3989" s="172"/>
    </row>
    <row r="3990" spans="1:15" x14ac:dyDescent="0.2">
      <c r="A3990" s="197" t="str">
        <f t="shared" si="62"/>
        <v>FfcCode_fishTrap</v>
      </c>
      <c r="B3990" s="409"/>
      <c r="C3990" s="416"/>
      <c r="D3990" s="198" t="s">
        <v>24912</v>
      </c>
      <c r="E3990" s="198">
        <v>2</v>
      </c>
      <c r="F3990" s="199" t="s">
        <v>24913</v>
      </c>
      <c r="G3990" s="1" t="s">
        <v>31902</v>
      </c>
      <c r="H3990" s="200"/>
      <c r="I3990" s="346"/>
      <c r="J3990" s="39">
        <v>103654</v>
      </c>
      <c r="K3990" s="36" t="str">
        <f>CONCATENATE(Cover!$D$6,"fdd/view?i=",J3990)</f>
        <v>https://www.dgiwg.org/FAD/fdd/view?i=103654</v>
      </c>
      <c r="L3990" s="36" t="s">
        <v>31903</v>
      </c>
      <c r="M3990" s="186"/>
      <c r="N3990" s="186"/>
      <c r="O3990" s="172"/>
    </row>
    <row r="3991" spans="1:15" ht="25.5" x14ac:dyDescent="0.2">
      <c r="A3991" s="197" t="str">
        <f t="shared" si="62"/>
        <v>FfcCode_fishWeir</v>
      </c>
      <c r="B3991" s="409"/>
      <c r="C3991" s="416"/>
      <c r="D3991" s="198" t="s">
        <v>31904</v>
      </c>
      <c r="E3991" s="198">
        <v>3</v>
      </c>
      <c r="F3991" s="199" t="s">
        <v>3124</v>
      </c>
      <c r="G3991" s="1" t="s">
        <v>31905</v>
      </c>
      <c r="H3991" s="200"/>
      <c r="I3991" s="346"/>
      <c r="J3991" s="39">
        <v>103655</v>
      </c>
      <c r="K3991" s="36" t="str">
        <f>CONCATENATE(Cover!$D$6,"fdd/view?i=",J3991)</f>
        <v>https://www.dgiwg.org/FAD/fdd/view?i=103655</v>
      </c>
      <c r="L3991" s="36" t="s">
        <v>31906</v>
      </c>
      <c r="M3991" s="186"/>
      <c r="N3991" s="186"/>
      <c r="O3991" s="172"/>
    </row>
    <row r="3992" spans="1:15" x14ac:dyDescent="0.2">
      <c r="A3992" s="197" t="str">
        <f t="shared" si="62"/>
        <v>FfcCode_longLine</v>
      </c>
      <c r="B3992" s="409"/>
      <c r="C3992" s="416"/>
      <c r="D3992" s="198" t="s">
        <v>31911</v>
      </c>
      <c r="E3992" s="198">
        <v>6</v>
      </c>
      <c r="F3992" s="199" t="s">
        <v>31912</v>
      </c>
      <c r="G3992" s="1" t="s">
        <v>31913</v>
      </c>
      <c r="H3992" s="200"/>
      <c r="I3992" s="351" t="s">
        <v>31914</v>
      </c>
      <c r="J3992" s="39">
        <v>103657</v>
      </c>
      <c r="K3992" s="36" t="str">
        <f>CONCATENATE(Cover!$D$6,"fdd/view?i=",J3992)</f>
        <v>https://www.dgiwg.org/FAD/fdd/view?i=103657</v>
      </c>
      <c r="L3992" s="36" t="s">
        <v>31915</v>
      </c>
      <c r="M3992" s="186"/>
      <c r="N3992" s="186"/>
      <c r="O3992" s="172"/>
    </row>
    <row r="3993" spans="1:15" ht="25.5" x14ac:dyDescent="0.2">
      <c r="A3993" s="197" t="str">
        <f t="shared" si="62"/>
        <v>FfcCode_pelagicNet</v>
      </c>
      <c r="B3993" s="409"/>
      <c r="C3993" s="416"/>
      <c r="D3993" s="198" t="s">
        <v>31916</v>
      </c>
      <c r="E3993" s="198">
        <v>7</v>
      </c>
      <c r="F3993" s="199" t="s">
        <v>31917</v>
      </c>
      <c r="G3993" s="1" t="s">
        <v>31918</v>
      </c>
      <c r="H3993" s="1" t="s">
        <v>31919</v>
      </c>
      <c r="I3993" s="346"/>
      <c r="J3993" s="39">
        <v>103658</v>
      </c>
      <c r="K3993" s="36" t="str">
        <f>CONCATENATE(Cover!$D$6,"fdd/view?i=",J3993)</f>
        <v>https://www.dgiwg.org/FAD/fdd/view?i=103658</v>
      </c>
      <c r="L3993" s="36" t="s">
        <v>31920</v>
      </c>
      <c r="M3993" s="186"/>
      <c r="N3993" s="186"/>
      <c r="O3993" s="172"/>
    </row>
    <row r="3994" spans="1:15" ht="25.5" x14ac:dyDescent="0.2">
      <c r="A3994" s="197" t="str">
        <f t="shared" si="62"/>
        <v>FfcCode_scallopDredging</v>
      </c>
      <c r="B3994" s="409"/>
      <c r="C3994" s="416"/>
      <c r="D3994" s="198" t="s">
        <v>31921</v>
      </c>
      <c r="E3994" s="198">
        <v>10</v>
      </c>
      <c r="F3994" s="199" t="s">
        <v>31922</v>
      </c>
      <c r="G3994" s="1" t="s">
        <v>31923</v>
      </c>
      <c r="H3994" s="200"/>
      <c r="I3994" s="346"/>
      <c r="J3994" s="39">
        <v>103661</v>
      </c>
      <c r="K3994" s="36" t="str">
        <f>CONCATENATE(Cover!$D$6,"fdd/view?i=",J3994)</f>
        <v>https://www.dgiwg.org/FAD/fdd/view?i=103661</v>
      </c>
      <c r="L3994" s="36" t="s">
        <v>31924</v>
      </c>
      <c r="M3994" s="186"/>
      <c r="N3994" s="186"/>
      <c r="O3994" s="172"/>
    </row>
    <row r="3995" spans="1:15" ht="25.5" x14ac:dyDescent="0.2">
      <c r="A3995" s="197" t="str">
        <f t="shared" si="62"/>
        <v>FfcCode_trawlNet</v>
      </c>
      <c r="B3995" s="409"/>
      <c r="C3995" s="416"/>
      <c r="D3995" s="198" t="s">
        <v>31925</v>
      </c>
      <c r="E3995" s="198">
        <v>8</v>
      </c>
      <c r="F3995" s="199" t="s">
        <v>31926</v>
      </c>
      <c r="G3995" s="1" t="s">
        <v>31927</v>
      </c>
      <c r="H3995" s="200"/>
      <c r="I3995" s="346"/>
      <c r="J3995" s="39">
        <v>103659</v>
      </c>
      <c r="K3995" s="36" t="str">
        <f>CONCATENATE(Cover!$D$6,"fdd/view?i=",J3995)</f>
        <v>https://www.dgiwg.org/FAD/fdd/view?i=103659</v>
      </c>
      <c r="L3995" s="36" t="s">
        <v>31928</v>
      </c>
      <c r="M3995" s="186"/>
      <c r="N3995" s="186"/>
      <c r="O3995" s="172"/>
    </row>
    <row r="3996" spans="1:15" x14ac:dyDescent="0.2">
      <c r="A3996" s="203" t="str">
        <f t="shared" si="62"/>
        <v>FfcCode_tunnyNet</v>
      </c>
      <c r="B3996" s="410"/>
      <c r="C3996" s="417"/>
      <c r="D3996" s="204" t="s">
        <v>31929</v>
      </c>
      <c r="E3996" s="204">
        <v>4</v>
      </c>
      <c r="F3996" s="205" t="s">
        <v>31930</v>
      </c>
      <c r="G3996" s="206" t="s">
        <v>31931</v>
      </c>
      <c r="H3996" s="207"/>
      <c r="I3996" s="353" t="s">
        <v>31932</v>
      </c>
      <c r="J3996" s="39">
        <v>103656</v>
      </c>
      <c r="K3996" s="36" t="str">
        <f>CONCATENATE(Cover!$D$6,"fdd/view?i=",J3996)</f>
        <v>https://www.dgiwg.org/FAD/fdd/view?i=103656</v>
      </c>
      <c r="L3996" s="36" t="s">
        <v>31933</v>
      </c>
      <c r="M3996" s="186"/>
      <c r="N3996" s="186"/>
      <c r="O3996" s="172"/>
    </row>
    <row r="3997" spans="1:15" ht="25.5" x14ac:dyDescent="0.2">
      <c r="A3997" s="190" t="str">
        <f t="shared" si="62"/>
        <v>AfrCode_instrumentFlightRules</v>
      </c>
      <c r="B3997" s="414" t="str">
        <f>HYPERLINK("[#]Datatypes!A580:L580","AfrCode")</f>
        <v>AfrCode</v>
      </c>
      <c r="C3997" s="415" t="s">
        <v>15152</v>
      </c>
      <c r="D3997" s="221" t="s">
        <v>20772</v>
      </c>
      <c r="E3997" s="221">
        <v>1</v>
      </c>
      <c r="F3997" s="222" t="s">
        <v>20773</v>
      </c>
      <c r="G3997" s="223" t="s">
        <v>31940</v>
      </c>
      <c r="H3997" s="224"/>
      <c r="I3997" s="345"/>
      <c r="J3997" s="39">
        <v>115390</v>
      </c>
      <c r="K3997" s="36" t="str">
        <f>CONCATENATE(Cover!$D$6,"fdd/view?i=",J3997)</f>
        <v>https://www.dgiwg.org/FAD/fdd/view?i=115390</v>
      </c>
      <c r="L3997" s="36" t="s">
        <v>31941</v>
      </c>
      <c r="M3997" s="186"/>
      <c r="N3997" s="186"/>
      <c r="O3997" s="13" t="s">
        <v>31939</v>
      </c>
    </row>
    <row r="3998" spans="1:15" ht="25.5" x14ac:dyDescent="0.2">
      <c r="A3998" s="197" t="str">
        <f t="shared" si="62"/>
        <v>AfrCode_instrumentVisualFlightRules</v>
      </c>
      <c r="B3998" s="409"/>
      <c r="C3998" s="416"/>
      <c r="D3998" s="198" t="s">
        <v>31935</v>
      </c>
      <c r="E3998" s="198">
        <v>3</v>
      </c>
      <c r="F3998" s="199" t="s">
        <v>31936</v>
      </c>
      <c r="G3998" s="1" t="s">
        <v>31937</v>
      </c>
      <c r="H3998" s="200"/>
      <c r="I3998" s="346"/>
      <c r="J3998" s="39">
        <v>115391</v>
      </c>
      <c r="K3998" s="36" t="str">
        <f>CONCATENATE(Cover!$D$6,"fdd/view?i=",J3998)</f>
        <v>https://www.dgiwg.org/FAD/fdd/view?i=115391</v>
      </c>
      <c r="L3998" s="36" t="s">
        <v>31938</v>
      </c>
      <c r="M3998" s="186"/>
      <c r="N3998" s="186"/>
      <c r="O3998" s="13" t="s">
        <v>31934</v>
      </c>
    </row>
    <row r="3999" spans="1:15" ht="25.5" x14ac:dyDescent="0.2">
      <c r="A3999" s="203" t="str">
        <f t="shared" si="62"/>
        <v>AfrCode_visualFlightRules</v>
      </c>
      <c r="B3999" s="410"/>
      <c r="C3999" s="417"/>
      <c r="D3999" s="204" t="s">
        <v>20793</v>
      </c>
      <c r="E3999" s="204">
        <v>2</v>
      </c>
      <c r="F3999" s="205" t="s">
        <v>20794</v>
      </c>
      <c r="G3999" s="206" t="s">
        <v>31943</v>
      </c>
      <c r="H3999" s="207"/>
      <c r="I3999" s="347"/>
      <c r="J3999" s="39">
        <v>115392</v>
      </c>
      <c r="K3999" s="36" t="str">
        <f>CONCATENATE(Cover!$D$6,"fdd/view?i=",J3999)</f>
        <v>https://www.dgiwg.org/FAD/fdd/view?i=115392</v>
      </c>
      <c r="L3999" s="36" t="s">
        <v>31944</v>
      </c>
      <c r="M3999" s="186"/>
      <c r="N3999" s="186"/>
      <c r="O3999" s="13" t="s">
        <v>31942</v>
      </c>
    </row>
    <row r="4000" spans="1:15" ht="25.5" x14ac:dyDescent="0.2">
      <c r="A4000" s="190" t="str">
        <f t="shared" si="62"/>
        <v>FbtCode_containment</v>
      </c>
      <c r="B4000" s="414" t="str">
        <f>HYPERLINK("[#]Datatypes!A582:L582","FbtCode")</f>
        <v>FbtCode</v>
      </c>
      <c r="C4000" s="415" t="s">
        <v>15154</v>
      </c>
      <c r="D4000" s="221" t="s">
        <v>31945</v>
      </c>
      <c r="E4000" s="221">
        <v>1</v>
      </c>
      <c r="F4000" s="222" t="s">
        <v>31946</v>
      </c>
      <c r="G4000" s="223" t="s">
        <v>31947</v>
      </c>
      <c r="H4000" s="224"/>
      <c r="I4000" s="345"/>
      <c r="J4000" s="39">
        <v>117898</v>
      </c>
      <c r="K4000" s="36" t="str">
        <f>CONCATENATE(Cover!$D$6,"fdd/view?i=",J4000)</f>
        <v>https://www.dgiwg.org/FAD/fdd/view?i=117898</v>
      </c>
      <c r="L4000" s="36" t="s">
        <v>31948</v>
      </c>
      <c r="M4000" s="186"/>
      <c r="N4000" s="186"/>
      <c r="O4000" s="172"/>
    </row>
    <row r="4001" spans="1:15" ht="25.5" x14ac:dyDescent="0.2">
      <c r="A4001" s="197" t="str">
        <f t="shared" si="62"/>
        <v>FbtCode_dredge</v>
      </c>
      <c r="B4001" s="409"/>
      <c r="C4001" s="416"/>
      <c r="D4001" s="198" t="s">
        <v>31949</v>
      </c>
      <c r="E4001" s="198">
        <v>2</v>
      </c>
      <c r="F4001" s="199" t="s">
        <v>31950</v>
      </c>
      <c r="G4001" s="1" t="s">
        <v>31951</v>
      </c>
      <c r="H4001" s="200"/>
      <c r="I4001" s="346"/>
      <c r="J4001" s="39">
        <v>117899</v>
      </c>
      <c r="K4001" s="36" t="str">
        <f>CONCATENATE(Cover!$D$6,"fdd/view?i=",J4001)</f>
        <v>https://www.dgiwg.org/FAD/fdd/view?i=117899</v>
      </c>
      <c r="L4001" s="36" t="s">
        <v>31952</v>
      </c>
      <c r="M4001" s="186"/>
      <c r="N4001" s="186"/>
      <c r="O4001" s="172"/>
    </row>
    <row r="4002" spans="1:15" ht="25.5" x14ac:dyDescent="0.2">
      <c r="A4002" s="197" t="str">
        <f t="shared" si="62"/>
        <v>FbtCode_log</v>
      </c>
      <c r="B4002" s="409"/>
      <c r="C4002" s="416"/>
      <c r="D4002" s="198" t="s">
        <v>31953</v>
      </c>
      <c r="E4002" s="198">
        <v>3</v>
      </c>
      <c r="F4002" s="199" t="s">
        <v>31954</v>
      </c>
      <c r="G4002" s="1" t="s">
        <v>31955</v>
      </c>
      <c r="H4002" s="200"/>
      <c r="I4002" s="346"/>
      <c r="J4002" s="39">
        <v>117900</v>
      </c>
      <c r="K4002" s="36" t="str">
        <f>CONCATENATE(Cover!$D$6,"fdd/view?i=",J4002)</f>
        <v>https://www.dgiwg.org/FAD/fdd/view?i=117900</v>
      </c>
      <c r="L4002" s="36" t="s">
        <v>31956</v>
      </c>
      <c r="M4002" s="186"/>
      <c r="N4002" s="186"/>
      <c r="O4002" s="172"/>
    </row>
    <row r="4003" spans="1:15" ht="63.75" x14ac:dyDescent="0.2">
      <c r="A4003" s="203" t="str">
        <f t="shared" si="62"/>
        <v>FbtCode_protection</v>
      </c>
      <c r="B4003" s="410"/>
      <c r="C4003" s="417"/>
      <c r="D4003" s="204" t="s">
        <v>31957</v>
      </c>
      <c r="E4003" s="204">
        <v>4</v>
      </c>
      <c r="F4003" s="205" t="s">
        <v>31958</v>
      </c>
      <c r="G4003" s="206" t="s">
        <v>31959</v>
      </c>
      <c r="H4003" s="206" t="s">
        <v>31960</v>
      </c>
      <c r="I4003" s="347"/>
      <c r="J4003" s="39">
        <v>117980</v>
      </c>
      <c r="K4003" s="36" t="str">
        <f>CONCATENATE(Cover!$D$6,"fdd/view?i=",J4003)</f>
        <v>https://www.dgiwg.org/FAD/fdd/view?i=117980</v>
      </c>
      <c r="L4003" s="36" t="s">
        <v>31961</v>
      </c>
      <c r="M4003" s="186"/>
      <c r="N4003" s="186"/>
      <c r="O4003" s="172"/>
    </row>
    <row r="4004" spans="1:15" x14ac:dyDescent="0.2">
      <c r="A4004" s="190" t="str">
        <f t="shared" si="62"/>
        <v>FcsCode_dykeGate</v>
      </c>
      <c r="B4004" s="414" t="str">
        <f>HYPERLINK("[#]Datatypes!A584:L584","FcsCode")</f>
        <v>FcsCode</v>
      </c>
      <c r="C4004" s="415" t="s">
        <v>15156</v>
      </c>
      <c r="D4004" s="221" t="s">
        <v>31962</v>
      </c>
      <c r="E4004" s="221">
        <v>1</v>
      </c>
      <c r="F4004" s="222" t="s">
        <v>31963</v>
      </c>
      <c r="G4004" s="223" t="s">
        <v>31964</v>
      </c>
      <c r="H4004" s="224"/>
      <c r="I4004" s="345"/>
      <c r="J4004" s="39">
        <v>117901</v>
      </c>
      <c r="K4004" s="36" t="str">
        <f>CONCATENATE(Cover!$D$6,"fdd/view?i=",J4004)</f>
        <v>https://www.dgiwg.org/FAD/fdd/view?i=117901</v>
      </c>
      <c r="L4004" s="36" t="s">
        <v>31965</v>
      </c>
      <c r="M4004" s="186"/>
      <c r="N4004" s="186"/>
      <c r="O4004" s="172"/>
    </row>
    <row r="4005" spans="1:15" ht="25.5" x14ac:dyDescent="0.2">
      <c r="A4005" s="197" t="str">
        <f t="shared" si="62"/>
        <v>FcsCode_emergencyGate</v>
      </c>
      <c r="B4005" s="409"/>
      <c r="C4005" s="416"/>
      <c r="D4005" s="198" t="s">
        <v>31966</v>
      </c>
      <c r="E4005" s="198">
        <v>2</v>
      </c>
      <c r="F4005" s="199" t="s">
        <v>31967</v>
      </c>
      <c r="G4005" s="1" t="s">
        <v>31968</v>
      </c>
      <c r="H4005" s="200"/>
      <c r="I4005" s="346"/>
      <c r="J4005" s="39">
        <v>117902</v>
      </c>
      <c r="K4005" s="36" t="str">
        <f>CONCATENATE(Cover!$D$6,"fdd/view?i=",J4005)</f>
        <v>https://www.dgiwg.org/FAD/fdd/view?i=117902</v>
      </c>
      <c r="L4005" s="36" t="s">
        <v>31969</v>
      </c>
      <c r="M4005" s="186"/>
      <c r="N4005" s="186"/>
      <c r="O4005" s="172"/>
    </row>
    <row r="4006" spans="1:15" ht="38.25" x14ac:dyDescent="0.2">
      <c r="A4006" s="197" t="str">
        <f t="shared" si="62"/>
        <v>FcsCode_fixedBarrage</v>
      </c>
      <c r="B4006" s="409"/>
      <c r="C4006" s="416"/>
      <c r="D4006" s="198" t="s">
        <v>31970</v>
      </c>
      <c r="E4006" s="198">
        <v>4</v>
      </c>
      <c r="F4006" s="199" t="s">
        <v>31971</v>
      </c>
      <c r="G4006" s="1" t="s">
        <v>31972</v>
      </c>
      <c r="H4006" s="1" t="s">
        <v>31973</v>
      </c>
      <c r="I4006" s="346"/>
      <c r="J4006" s="39">
        <v>117904</v>
      </c>
      <c r="K4006" s="36" t="str">
        <f>CONCATENATE(Cover!$D$6,"fdd/view?i=",J4006)</f>
        <v>https://www.dgiwg.org/FAD/fdd/view?i=117904</v>
      </c>
      <c r="L4006" s="36" t="s">
        <v>31974</v>
      </c>
      <c r="M4006" s="186"/>
      <c r="N4006" s="186"/>
      <c r="O4006" s="172"/>
    </row>
    <row r="4007" spans="1:15" x14ac:dyDescent="0.2">
      <c r="A4007" s="197" t="str">
        <f t="shared" si="62"/>
        <v>FcsCode_floodGate</v>
      </c>
      <c r="B4007" s="409"/>
      <c r="C4007" s="416"/>
      <c r="D4007" s="198" t="s">
        <v>31975</v>
      </c>
      <c r="E4007" s="198">
        <v>3</v>
      </c>
      <c r="F4007" s="199" t="s">
        <v>31976</v>
      </c>
      <c r="G4007" s="1" t="s">
        <v>31977</v>
      </c>
      <c r="H4007" s="200"/>
      <c r="I4007" s="346"/>
      <c r="J4007" s="39">
        <v>117903</v>
      </c>
      <c r="K4007" s="36" t="str">
        <f>CONCATENATE(Cover!$D$6,"fdd/view?i=",J4007)</f>
        <v>https://www.dgiwg.org/FAD/fdd/view?i=117903</v>
      </c>
      <c r="L4007" s="36" t="s">
        <v>31978</v>
      </c>
      <c r="M4007" s="186"/>
      <c r="N4007" s="186"/>
      <c r="O4007" s="172"/>
    </row>
    <row r="4008" spans="1:15" ht="89.25" x14ac:dyDescent="0.2">
      <c r="A4008" s="203" t="str">
        <f t="shared" si="62"/>
        <v>FcsCode_movableBarrage</v>
      </c>
      <c r="B4008" s="410"/>
      <c r="C4008" s="417"/>
      <c r="D4008" s="204" t="s">
        <v>31979</v>
      </c>
      <c r="E4008" s="204">
        <v>5</v>
      </c>
      <c r="F4008" s="205" t="s">
        <v>31980</v>
      </c>
      <c r="G4008" s="206" t="s">
        <v>31981</v>
      </c>
      <c r="H4008" s="206" t="s">
        <v>31982</v>
      </c>
      <c r="I4008" s="347"/>
      <c r="J4008" s="39">
        <v>117905</v>
      </c>
      <c r="K4008" s="36" t="str">
        <f>CONCATENATE(Cover!$D$6,"fdd/view?i=",J4008)</f>
        <v>https://www.dgiwg.org/FAD/fdd/view?i=117905</v>
      </c>
      <c r="L4008" s="36" t="s">
        <v>31983</v>
      </c>
      <c r="M4008" s="186"/>
      <c r="N4008" s="186"/>
      <c r="O4008" s="172"/>
    </row>
    <row r="4009" spans="1:15" ht="25.5" x14ac:dyDescent="0.2">
      <c r="A4009" s="190" t="str">
        <f t="shared" si="62"/>
        <v>GenCode_automatic</v>
      </c>
      <c r="B4009" s="414" t="str">
        <f>HYPERLINK("[#]Datatypes!A586:L586","GenCode")</f>
        <v>GenCode</v>
      </c>
      <c r="C4009" s="415" t="s">
        <v>15158</v>
      </c>
      <c r="D4009" s="221" t="s">
        <v>31984</v>
      </c>
      <c r="E4009" s="221">
        <v>1</v>
      </c>
      <c r="F4009" s="222" t="s">
        <v>31985</v>
      </c>
      <c r="G4009" s="223" t="s">
        <v>31986</v>
      </c>
      <c r="H4009" s="224"/>
      <c r="I4009" s="345"/>
      <c r="J4009" s="39">
        <v>103841</v>
      </c>
      <c r="K4009" s="36" t="str">
        <f>CONCATENATE(Cover!$D$6,"fdd/view?i=",J4009)</f>
        <v>https://www.dgiwg.org/FAD/fdd/view?i=103841</v>
      </c>
      <c r="L4009" s="36" t="s">
        <v>31987</v>
      </c>
      <c r="M4009" s="186"/>
      <c r="N4009" s="186"/>
      <c r="O4009" s="172"/>
    </row>
    <row r="4010" spans="1:15" ht="25.5" x14ac:dyDescent="0.2">
      <c r="A4010" s="197" t="str">
        <f t="shared" si="62"/>
        <v>GenCode_manual</v>
      </c>
      <c r="B4010" s="409"/>
      <c r="C4010" s="416"/>
      <c r="D4010" s="198" t="s">
        <v>31988</v>
      </c>
      <c r="E4010" s="198">
        <v>3</v>
      </c>
      <c r="F4010" s="199" t="s">
        <v>31989</v>
      </c>
      <c r="G4010" s="1" t="s">
        <v>31990</v>
      </c>
      <c r="H4010" s="200"/>
      <c r="I4010" s="346"/>
      <c r="J4010" s="39">
        <v>103843</v>
      </c>
      <c r="K4010" s="36" t="str">
        <f>CONCATENATE(Cover!$D$6,"fdd/view?i=",J4010)</f>
        <v>https://www.dgiwg.org/FAD/fdd/view?i=103843</v>
      </c>
      <c r="L4010" s="36" t="s">
        <v>31991</v>
      </c>
      <c r="M4010" s="186"/>
      <c r="N4010" s="186"/>
      <c r="O4010" s="172"/>
    </row>
    <row r="4011" spans="1:15" ht="25.5" x14ac:dyDescent="0.2">
      <c r="A4011" s="197" t="str">
        <f t="shared" si="62"/>
        <v>GenCode_wave</v>
      </c>
      <c r="B4011" s="409"/>
      <c r="C4011" s="416"/>
      <c r="D4011" s="198" t="s">
        <v>31992</v>
      </c>
      <c r="E4011" s="198">
        <v>2</v>
      </c>
      <c r="F4011" s="199" t="s">
        <v>31993</v>
      </c>
      <c r="G4011" s="1" t="s">
        <v>31994</v>
      </c>
      <c r="H4011" s="1" t="s">
        <v>31995</v>
      </c>
      <c r="I4011" s="346"/>
      <c r="J4011" s="39">
        <v>103842</v>
      </c>
      <c r="K4011" s="36" t="str">
        <f>CONCATENATE(Cover!$D$6,"fdd/view?i=",J4011)</f>
        <v>https://www.dgiwg.org/FAD/fdd/view?i=103842</v>
      </c>
      <c r="L4011" s="36" t="s">
        <v>31996</v>
      </c>
      <c r="M4011" s="186"/>
      <c r="N4011" s="186"/>
      <c r="O4011" s="172"/>
    </row>
    <row r="4012" spans="1:15" ht="25.5" x14ac:dyDescent="0.2">
      <c r="A4012" s="203" t="str">
        <f t="shared" si="62"/>
        <v>GenCode_wind</v>
      </c>
      <c r="B4012" s="410"/>
      <c r="C4012" s="417"/>
      <c r="D4012" s="204" t="s">
        <v>31848</v>
      </c>
      <c r="E4012" s="204">
        <v>4</v>
      </c>
      <c r="F4012" s="205" t="s">
        <v>31849</v>
      </c>
      <c r="G4012" s="206" t="s">
        <v>31997</v>
      </c>
      <c r="H4012" s="206" t="s">
        <v>31995</v>
      </c>
      <c r="I4012" s="347"/>
      <c r="J4012" s="39">
        <v>103844</v>
      </c>
      <c r="K4012" s="36" t="str">
        <f>CONCATENATE(Cover!$D$6,"fdd/view?i=",J4012)</f>
        <v>https://www.dgiwg.org/FAD/fdd/view?i=103844</v>
      </c>
      <c r="L4012" s="36" t="s">
        <v>31998</v>
      </c>
      <c r="M4012" s="186"/>
      <c r="N4012" s="186"/>
      <c r="O4012" s="172"/>
    </row>
    <row r="4013" spans="1:15" ht="25.5" x14ac:dyDescent="0.2">
      <c r="A4013" s="190" t="str">
        <f t="shared" si="62"/>
        <v>SstCode_bell</v>
      </c>
      <c r="B4013" s="414" t="str">
        <f>HYPERLINK("[#]Datatypes!A588:L588","SstCode")</f>
        <v>SstCode</v>
      </c>
      <c r="C4013" s="415" t="s">
        <v>15160</v>
      </c>
      <c r="D4013" s="221" t="s">
        <v>31999</v>
      </c>
      <c r="E4013" s="221">
        <v>1</v>
      </c>
      <c r="F4013" s="222" t="s">
        <v>32000</v>
      </c>
      <c r="G4013" s="223" t="s">
        <v>32001</v>
      </c>
      <c r="H4013" s="223" t="s">
        <v>32002</v>
      </c>
      <c r="I4013" s="345"/>
      <c r="J4013" s="39">
        <v>108207</v>
      </c>
      <c r="K4013" s="36" t="str">
        <f>CONCATENATE(Cover!$D$6,"fdd/view?i=",J4013)</f>
        <v>https://www.dgiwg.org/FAD/fdd/view?i=108207</v>
      </c>
      <c r="L4013" s="36" t="s">
        <v>32003</v>
      </c>
      <c r="M4013" s="186"/>
      <c r="N4013" s="186"/>
      <c r="O4013" s="172"/>
    </row>
    <row r="4014" spans="1:15" ht="38.25" x14ac:dyDescent="0.2">
      <c r="A4014" s="197" t="str">
        <f t="shared" si="62"/>
        <v>SstCode_diaphone</v>
      </c>
      <c r="B4014" s="409"/>
      <c r="C4014" s="416"/>
      <c r="D4014" s="198" t="s">
        <v>32004</v>
      </c>
      <c r="E4014" s="198">
        <v>2</v>
      </c>
      <c r="F4014" s="199" t="s">
        <v>32005</v>
      </c>
      <c r="G4014" s="1" t="s">
        <v>32006</v>
      </c>
      <c r="H4014" s="1" t="s">
        <v>32007</v>
      </c>
      <c r="I4014" s="346"/>
      <c r="J4014" s="39">
        <v>108208</v>
      </c>
      <c r="K4014" s="36" t="str">
        <f>CONCATENATE(Cover!$D$6,"fdd/view?i=",J4014)</f>
        <v>https://www.dgiwg.org/FAD/fdd/view?i=108208</v>
      </c>
      <c r="L4014" s="36" t="s">
        <v>32008</v>
      </c>
      <c r="M4014" s="186"/>
      <c r="N4014" s="186"/>
      <c r="O4014" s="172"/>
    </row>
    <row r="4015" spans="1:15" ht="25.5" x14ac:dyDescent="0.2">
      <c r="A4015" s="197" t="str">
        <f t="shared" si="62"/>
        <v>SstCode_explosive</v>
      </c>
      <c r="B4015" s="409"/>
      <c r="C4015" s="416"/>
      <c r="D4015" s="198" t="s">
        <v>32009</v>
      </c>
      <c r="E4015" s="198">
        <v>3</v>
      </c>
      <c r="F4015" s="199" t="s">
        <v>32010</v>
      </c>
      <c r="G4015" s="1" t="s">
        <v>32011</v>
      </c>
      <c r="H4015" s="200"/>
      <c r="I4015" s="346"/>
      <c r="J4015" s="39">
        <v>108209</v>
      </c>
      <c r="K4015" s="36" t="str">
        <f>CONCATENATE(Cover!$D$6,"fdd/view?i=",J4015)</f>
        <v>https://www.dgiwg.org/FAD/fdd/view?i=108209</v>
      </c>
      <c r="L4015" s="36" t="s">
        <v>32012</v>
      </c>
      <c r="M4015" s="186"/>
      <c r="N4015" s="186"/>
      <c r="O4015" s="172"/>
    </row>
    <row r="4016" spans="1:15" ht="25.5" x14ac:dyDescent="0.2">
      <c r="A4016" s="197" t="str">
        <f t="shared" si="62"/>
        <v>SstCode_gong</v>
      </c>
      <c r="B4016" s="409"/>
      <c r="C4016" s="416"/>
      <c r="D4016" s="198" t="s">
        <v>32013</v>
      </c>
      <c r="E4016" s="198">
        <v>4</v>
      </c>
      <c r="F4016" s="199" t="s">
        <v>32014</v>
      </c>
      <c r="G4016" s="1" t="s">
        <v>32015</v>
      </c>
      <c r="H4016" s="1" t="s">
        <v>32002</v>
      </c>
      <c r="I4016" s="346"/>
      <c r="J4016" s="39">
        <v>108210</v>
      </c>
      <c r="K4016" s="36" t="str">
        <f>CONCATENATE(Cover!$D$6,"fdd/view?i=",J4016)</f>
        <v>https://www.dgiwg.org/FAD/fdd/view?i=108210</v>
      </c>
      <c r="L4016" s="36" t="s">
        <v>32016</v>
      </c>
      <c r="M4016" s="186"/>
      <c r="N4016" s="186"/>
      <c r="O4016" s="172"/>
    </row>
    <row r="4017" spans="1:15" ht="51" x14ac:dyDescent="0.2">
      <c r="A4017" s="197" t="str">
        <f t="shared" si="62"/>
        <v>SstCode_horn</v>
      </c>
      <c r="B4017" s="409"/>
      <c r="C4017" s="416"/>
      <c r="D4017" s="198" t="s">
        <v>32017</v>
      </c>
      <c r="E4017" s="198">
        <v>6</v>
      </c>
      <c r="F4017" s="199" t="s">
        <v>32018</v>
      </c>
      <c r="G4017" s="1" t="s">
        <v>32019</v>
      </c>
      <c r="H4017" s="1" t="s">
        <v>32020</v>
      </c>
      <c r="I4017" s="346"/>
      <c r="J4017" s="39">
        <v>108212</v>
      </c>
      <c r="K4017" s="36" t="str">
        <f>CONCATENATE(Cover!$D$6,"fdd/view?i=",J4017)</f>
        <v>https://www.dgiwg.org/FAD/fdd/view?i=108212</v>
      </c>
      <c r="L4017" s="36" t="s">
        <v>32021</v>
      </c>
      <c r="M4017" s="186"/>
      <c r="N4017" s="186"/>
      <c r="O4017" s="172"/>
    </row>
    <row r="4018" spans="1:15" ht="25.5" x14ac:dyDescent="0.2">
      <c r="A4018" s="197" t="str">
        <f t="shared" si="62"/>
        <v>SstCode_nautophone</v>
      </c>
      <c r="B4018" s="409"/>
      <c r="C4018" s="416"/>
      <c r="D4018" s="198" t="s">
        <v>32022</v>
      </c>
      <c r="E4018" s="198">
        <v>7</v>
      </c>
      <c r="F4018" s="199" t="s">
        <v>32023</v>
      </c>
      <c r="G4018" s="1" t="s">
        <v>32024</v>
      </c>
      <c r="H4018" s="200"/>
      <c r="I4018" s="346"/>
      <c r="J4018" s="39">
        <v>108213</v>
      </c>
      <c r="K4018" s="36" t="str">
        <f>CONCATENATE(Cover!$D$6,"fdd/view?i=",J4018)</f>
        <v>https://www.dgiwg.org/FAD/fdd/view?i=108213</v>
      </c>
      <c r="L4018" s="36" t="s">
        <v>32025</v>
      </c>
      <c r="M4018" s="186"/>
      <c r="N4018" s="186"/>
      <c r="O4018" s="172"/>
    </row>
    <row r="4019" spans="1:15" x14ac:dyDescent="0.2">
      <c r="A4019" s="197" t="str">
        <f t="shared" si="62"/>
        <v>SstCode_none</v>
      </c>
      <c r="B4019" s="409"/>
      <c r="C4019" s="416"/>
      <c r="D4019" s="198" t="s">
        <v>32026</v>
      </c>
      <c r="E4019" s="198">
        <v>16</v>
      </c>
      <c r="F4019" s="199" t="s">
        <v>32027</v>
      </c>
      <c r="G4019" s="1" t="s">
        <v>32028</v>
      </c>
      <c r="H4019" s="200"/>
      <c r="I4019" s="346"/>
      <c r="J4019" s="39">
        <v>108222</v>
      </c>
      <c r="K4019" s="36" t="str">
        <f>CONCATENATE(Cover!$D$6,"fdd/view?i=",J4019)</f>
        <v>https://www.dgiwg.org/FAD/fdd/view?i=108222</v>
      </c>
      <c r="L4019" s="36" t="s">
        <v>32029</v>
      </c>
      <c r="M4019" s="186"/>
      <c r="N4019" s="186"/>
      <c r="O4019" s="172"/>
    </row>
    <row r="4020" spans="1:15" x14ac:dyDescent="0.2">
      <c r="A4020" s="197" t="str">
        <f t="shared" si="62"/>
        <v>SstCode_radio</v>
      </c>
      <c r="B4020" s="409"/>
      <c r="C4020" s="416"/>
      <c r="D4020" s="198" t="s">
        <v>32030</v>
      </c>
      <c r="E4020" s="198">
        <v>8</v>
      </c>
      <c r="F4020" s="199" t="s">
        <v>32031</v>
      </c>
      <c r="G4020" s="1" t="s">
        <v>32032</v>
      </c>
      <c r="H4020" s="200"/>
      <c r="I4020" s="346"/>
      <c r="J4020" s="39">
        <v>108214</v>
      </c>
      <c r="K4020" s="36" t="str">
        <f>CONCATENATE(Cover!$D$6,"fdd/view?i=",J4020)</f>
        <v>https://www.dgiwg.org/FAD/fdd/view?i=108214</v>
      </c>
      <c r="L4020" s="36" t="s">
        <v>32033</v>
      </c>
      <c r="M4020" s="186"/>
      <c r="N4020" s="186"/>
      <c r="O4020" s="172"/>
    </row>
    <row r="4021" spans="1:15" ht="25.5" x14ac:dyDescent="0.2">
      <c r="A4021" s="197" t="str">
        <f t="shared" si="62"/>
        <v>SstCode_reed</v>
      </c>
      <c r="B4021" s="409"/>
      <c r="C4021" s="416"/>
      <c r="D4021" s="198" t="s">
        <v>32034</v>
      </c>
      <c r="E4021" s="198">
        <v>15</v>
      </c>
      <c r="F4021" s="199" t="s">
        <v>32035</v>
      </c>
      <c r="G4021" s="1" t="s">
        <v>32036</v>
      </c>
      <c r="H4021" s="1" t="s">
        <v>32007</v>
      </c>
      <c r="I4021" s="346"/>
      <c r="J4021" s="39">
        <v>108221</v>
      </c>
      <c r="K4021" s="36" t="str">
        <f>CONCATENATE(Cover!$D$6,"fdd/view?i=",J4021)</f>
        <v>https://www.dgiwg.org/FAD/fdd/view?i=108221</v>
      </c>
      <c r="L4021" s="36" t="s">
        <v>32037</v>
      </c>
      <c r="M4021" s="186"/>
      <c r="N4021" s="186"/>
      <c r="O4021" s="172"/>
    </row>
    <row r="4022" spans="1:15" ht="51" x14ac:dyDescent="0.2">
      <c r="A4022" s="197" t="str">
        <f t="shared" si="62"/>
        <v>SstCode_siren</v>
      </c>
      <c r="B4022" s="409"/>
      <c r="C4022" s="416"/>
      <c r="D4022" s="198" t="s">
        <v>32038</v>
      </c>
      <c r="E4022" s="198">
        <v>9</v>
      </c>
      <c r="F4022" s="199" t="s">
        <v>32039</v>
      </c>
      <c r="G4022" s="1" t="s">
        <v>32040</v>
      </c>
      <c r="H4022" s="1" t="s">
        <v>32041</v>
      </c>
      <c r="I4022" s="346"/>
      <c r="J4022" s="39">
        <v>108215</v>
      </c>
      <c r="K4022" s="36" t="str">
        <f>CONCATENATE(Cover!$D$6,"fdd/view?i=",J4022)</f>
        <v>https://www.dgiwg.org/FAD/fdd/view?i=108215</v>
      </c>
      <c r="L4022" s="36" t="s">
        <v>32042</v>
      </c>
      <c r="M4022" s="186"/>
      <c r="N4022" s="186"/>
      <c r="O4022" s="172"/>
    </row>
    <row r="4023" spans="1:15" ht="25.5" x14ac:dyDescent="0.2">
      <c r="A4023" s="197" t="str">
        <f t="shared" si="62"/>
        <v>SstCode_submarineBell</v>
      </c>
      <c r="B4023" s="409"/>
      <c r="C4023" s="416"/>
      <c r="D4023" s="198" t="s">
        <v>32043</v>
      </c>
      <c r="E4023" s="198">
        <v>10</v>
      </c>
      <c r="F4023" s="199" t="s">
        <v>32044</v>
      </c>
      <c r="G4023" s="1" t="s">
        <v>32045</v>
      </c>
      <c r="H4023" s="200"/>
      <c r="I4023" s="346"/>
      <c r="J4023" s="39">
        <v>108216</v>
      </c>
      <c r="K4023" s="36" t="str">
        <f>CONCATENATE(Cover!$D$6,"fdd/view?i=",J4023)</f>
        <v>https://www.dgiwg.org/FAD/fdd/view?i=108216</v>
      </c>
      <c r="L4023" s="36" t="s">
        <v>32046</v>
      </c>
      <c r="M4023" s="186"/>
      <c r="N4023" s="186"/>
      <c r="O4023" s="172"/>
    </row>
    <row r="4024" spans="1:15" ht="25.5" x14ac:dyDescent="0.2">
      <c r="A4024" s="197" t="str">
        <f t="shared" si="62"/>
        <v>SstCode_tyfon</v>
      </c>
      <c r="B4024" s="409"/>
      <c r="C4024" s="416"/>
      <c r="D4024" s="198" t="s">
        <v>32047</v>
      </c>
      <c r="E4024" s="198">
        <v>98</v>
      </c>
      <c r="F4024" s="199" t="s">
        <v>32048</v>
      </c>
      <c r="G4024" s="1" t="s">
        <v>32049</v>
      </c>
      <c r="H4024" s="200"/>
      <c r="I4024" s="346"/>
      <c r="J4024" s="39">
        <v>108223</v>
      </c>
      <c r="K4024" s="36" t="str">
        <f>CONCATENATE(Cover!$D$6,"fdd/view?i=",J4024)</f>
        <v>https://www.dgiwg.org/FAD/fdd/view?i=108223</v>
      </c>
      <c r="L4024" s="36" t="s">
        <v>32050</v>
      </c>
      <c r="M4024" s="186"/>
      <c r="N4024" s="186"/>
      <c r="O4024" s="172"/>
    </row>
    <row r="4025" spans="1:15" ht="38.25" x14ac:dyDescent="0.2">
      <c r="A4025" s="203" t="str">
        <f t="shared" si="62"/>
        <v>SstCode_whistle</v>
      </c>
      <c r="B4025" s="410"/>
      <c r="C4025" s="417"/>
      <c r="D4025" s="204" t="s">
        <v>32051</v>
      </c>
      <c r="E4025" s="204">
        <v>14</v>
      </c>
      <c r="F4025" s="205" t="s">
        <v>32052</v>
      </c>
      <c r="G4025" s="206" t="s">
        <v>32053</v>
      </c>
      <c r="H4025" s="206" t="s">
        <v>32054</v>
      </c>
      <c r="I4025" s="347"/>
      <c r="J4025" s="39">
        <v>108220</v>
      </c>
      <c r="K4025" s="36" t="str">
        <f>CONCATENATE(Cover!$D$6,"fdd/view?i=",J4025)</f>
        <v>https://www.dgiwg.org/FAD/fdd/view?i=108220</v>
      </c>
      <c r="L4025" s="36" t="s">
        <v>32055</v>
      </c>
      <c r="M4025" s="186"/>
      <c r="N4025" s="186"/>
      <c r="O4025" s="172"/>
    </row>
    <row r="4026" spans="1:15" ht="25.5" x14ac:dyDescent="0.2">
      <c r="A4026" s="190" t="str">
        <f t="shared" si="62"/>
        <v>TreCode_coniferous</v>
      </c>
      <c r="B4026" s="414" t="str">
        <f>HYPERLINK("[#]Datatypes!A590:L590","TreCode")</f>
        <v>TreCode</v>
      </c>
      <c r="C4026" s="415" t="s">
        <v>15162</v>
      </c>
      <c r="D4026" s="221" t="s">
        <v>32056</v>
      </c>
      <c r="E4026" s="221">
        <v>4</v>
      </c>
      <c r="F4026" s="222" t="s">
        <v>32057</v>
      </c>
      <c r="G4026" s="223" t="s">
        <v>32058</v>
      </c>
      <c r="H4026" s="223" t="s">
        <v>32059</v>
      </c>
      <c r="I4026" s="345"/>
      <c r="J4026" s="39">
        <v>114397</v>
      </c>
      <c r="K4026" s="36" t="str">
        <f>CONCATENATE(Cover!$D$6,"fdd/view?i=",J4026)</f>
        <v>https://www.dgiwg.org/FAD/fdd/view?i=114397</v>
      </c>
      <c r="L4026" s="36" t="s">
        <v>32060</v>
      </c>
      <c r="M4026" s="186"/>
      <c r="N4026" s="186"/>
      <c r="O4026" s="172"/>
    </row>
    <row r="4027" spans="1:15" x14ac:dyDescent="0.2">
      <c r="A4027" s="197" t="str">
        <f t="shared" si="62"/>
        <v>TreCode_deciduous</v>
      </c>
      <c r="B4027" s="409"/>
      <c r="C4027" s="416"/>
      <c r="D4027" s="198" t="s">
        <v>32061</v>
      </c>
      <c r="E4027" s="198">
        <v>1</v>
      </c>
      <c r="F4027" s="199" t="s">
        <v>32062</v>
      </c>
      <c r="G4027" s="1" t="s">
        <v>32063</v>
      </c>
      <c r="H4027" s="200"/>
      <c r="I4027" s="346"/>
      <c r="J4027" s="39">
        <v>108678</v>
      </c>
      <c r="K4027" s="36" t="str">
        <f>CONCATENATE(Cover!$D$6,"fdd/view?i=",J4027)</f>
        <v>https://www.dgiwg.org/FAD/fdd/view?i=108678</v>
      </c>
      <c r="L4027" s="36" t="s">
        <v>32064</v>
      </c>
      <c r="M4027" s="186"/>
      <c r="N4027" s="186"/>
      <c r="O4027" s="172"/>
    </row>
    <row r="4028" spans="1:15" x14ac:dyDescent="0.2">
      <c r="A4028" s="197" t="str">
        <f t="shared" si="62"/>
        <v>TreCode_evergreen</v>
      </c>
      <c r="B4028" s="409"/>
      <c r="C4028" s="416"/>
      <c r="D4028" s="198" t="s">
        <v>32065</v>
      </c>
      <c r="E4028" s="198">
        <v>2</v>
      </c>
      <c r="F4028" s="199" t="s">
        <v>32066</v>
      </c>
      <c r="G4028" s="1" t="s">
        <v>32067</v>
      </c>
      <c r="H4028" s="200"/>
      <c r="I4028" s="346"/>
      <c r="J4028" s="39">
        <v>108679</v>
      </c>
      <c r="K4028" s="36" t="str">
        <f>CONCATENATE(Cover!$D$6,"fdd/view?i=",J4028)</f>
        <v>https://www.dgiwg.org/FAD/fdd/view?i=108679</v>
      </c>
      <c r="L4028" s="36" t="s">
        <v>32068</v>
      </c>
      <c r="M4028" s="186"/>
      <c r="N4028" s="186"/>
      <c r="O4028" s="172"/>
    </row>
    <row r="4029" spans="1:15" ht="38.25" x14ac:dyDescent="0.2">
      <c r="A4029" s="197" t="str">
        <f t="shared" si="62"/>
        <v>TreCode_evergreenDeciduous</v>
      </c>
      <c r="B4029" s="409"/>
      <c r="C4029" s="416"/>
      <c r="D4029" s="198" t="s">
        <v>32069</v>
      </c>
      <c r="E4029" s="198">
        <v>5</v>
      </c>
      <c r="F4029" s="199" t="s">
        <v>32070</v>
      </c>
      <c r="G4029" s="1" t="s">
        <v>32071</v>
      </c>
      <c r="H4029" s="200"/>
      <c r="I4029" s="346"/>
      <c r="J4029" s="39">
        <v>114398</v>
      </c>
      <c r="K4029" s="36" t="str">
        <f>CONCATENATE(Cover!$D$6,"fdd/view?i=",J4029)</f>
        <v>https://www.dgiwg.org/FAD/fdd/view?i=114398</v>
      </c>
      <c r="L4029" s="36" t="s">
        <v>32072</v>
      </c>
      <c r="M4029" s="186"/>
      <c r="N4029" s="186"/>
      <c r="O4029" s="172"/>
    </row>
    <row r="4030" spans="1:15" x14ac:dyDescent="0.2">
      <c r="A4030" s="203" t="str">
        <f t="shared" si="62"/>
        <v>TreCode_mixed</v>
      </c>
      <c r="B4030" s="410"/>
      <c r="C4030" s="417"/>
      <c r="D4030" s="204" t="s">
        <v>32073</v>
      </c>
      <c r="E4030" s="204">
        <v>3</v>
      </c>
      <c r="F4030" s="205" t="s">
        <v>32074</v>
      </c>
      <c r="G4030" s="206" t="s">
        <v>32075</v>
      </c>
      <c r="H4030" s="207"/>
      <c r="I4030" s="347"/>
      <c r="J4030" s="39">
        <v>108680</v>
      </c>
      <c r="K4030" s="36" t="str">
        <f>CONCATENATE(Cover!$D$6,"fdd/view?i=",J4030)</f>
        <v>https://www.dgiwg.org/FAD/fdd/view?i=108680</v>
      </c>
      <c r="L4030" s="36" t="s">
        <v>32076</v>
      </c>
      <c r="M4030" s="186"/>
      <c r="N4030" s="186"/>
      <c r="O4030" s="172"/>
    </row>
    <row r="4031" spans="1:15" x14ac:dyDescent="0.2">
      <c r="A4031" s="190" t="str">
        <f t="shared" si="62"/>
        <v>FrcCode_afforestation</v>
      </c>
      <c r="B4031" s="414" t="str">
        <f>HYPERLINK("[#]Datatypes!A594:L594","FrcCode")</f>
        <v>FrcCode</v>
      </c>
      <c r="C4031" s="415" t="s">
        <v>15167</v>
      </c>
      <c r="D4031" s="221" t="s">
        <v>32077</v>
      </c>
      <c r="E4031" s="221">
        <v>3</v>
      </c>
      <c r="F4031" s="222" t="s">
        <v>32078</v>
      </c>
      <c r="G4031" s="223" t="s">
        <v>32079</v>
      </c>
      <c r="H4031" s="224"/>
      <c r="I4031" s="345"/>
      <c r="J4031" s="39">
        <v>113313</v>
      </c>
      <c r="K4031" s="36" t="str">
        <f>CONCATENATE(Cover!$D$6,"fdd/view?i=",J4031)</f>
        <v>https://www.dgiwg.org/FAD/fdd/view?i=113313</v>
      </c>
      <c r="L4031" s="36" t="s">
        <v>32080</v>
      </c>
      <c r="M4031" s="186"/>
      <c r="N4031" s="186"/>
      <c r="O4031" s="172"/>
    </row>
    <row r="4032" spans="1:15" x14ac:dyDescent="0.2">
      <c r="A4032" s="197" t="str">
        <f t="shared" si="62"/>
        <v>FrcCode_clearing</v>
      </c>
      <c r="B4032" s="409"/>
      <c r="C4032" s="416"/>
      <c r="D4032" s="198" t="s">
        <v>32081</v>
      </c>
      <c r="E4032" s="198">
        <v>7</v>
      </c>
      <c r="F4032" s="199" t="s">
        <v>32082</v>
      </c>
      <c r="G4032" s="1" t="s">
        <v>32083</v>
      </c>
      <c r="H4032" s="200"/>
      <c r="I4032" s="346"/>
      <c r="J4032" s="39">
        <v>113314</v>
      </c>
      <c r="K4032" s="36" t="str">
        <f>CONCATENATE(Cover!$D$6,"fdd/view?i=",J4032)</f>
        <v>https://www.dgiwg.org/FAD/fdd/view?i=113314</v>
      </c>
      <c r="L4032" s="36" t="s">
        <v>32084</v>
      </c>
      <c r="M4032" s="186"/>
      <c r="N4032" s="186"/>
      <c r="O4032" s="172"/>
    </row>
    <row r="4033" spans="1:15" ht="25.5" x14ac:dyDescent="0.2">
      <c r="A4033" s="197" t="str">
        <f t="shared" si="62"/>
        <v>FrcCode_forestTreeNursery</v>
      </c>
      <c r="B4033" s="409"/>
      <c r="C4033" s="416"/>
      <c r="D4033" s="198" t="s">
        <v>32085</v>
      </c>
      <c r="E4033" s="198">
        <v>9</v>
      </c>
      <c r="F4033" s="199" t="s">
        <v>32086</v>
      </c>
      <c r="G4033" s="1" t="s">
        <v>32087</v>
      </c>
      <c r="H4033" s="200"/>
      <c r="I4033" s="346"/>
      <c r="J4033" s="39">
        <v>113315</v>
      </c>
      <c r="K4033" s="36" t="str">
        <f>CONCATENATE(Cover!$D$6,"fdd/view?i=",J4033)</f>
        <v>https://www.dgiwg.org/FAD/fdd/view?i=113315</v>
      </c>
      <c r="L4033" s="36" t="s">
        <v>32088</v>
      </c>
      <c r="M4033" s="186"/>
      <c r="N4033" s="186"/>
      <c r="O4033" s="172"/>
    </row>
    <row r="4034" spans="1:15" ht="25.5" x14ac:dyDescent="0.2">
      <c r="A4034" s="197" t="str">
        <f t="shared" ref="A4034:A4097" si="63">HYPERLINK(K4034,L4034)</f>
        <v>FrcCode_naturalRegeneration</v>
      </c>
      <c r="B4034" s="409"/>
      <c r="C4034" s="416"/>
      <c r="D4034" s="198" t="s">
        <v>32089</v>
      </c>
      <c r="E4034" s="198">
        <v>11</v>
      </c>
      <c r="F4034" s="199" t="s">
        <v>32090</v>
      </c>
      <c r="G4034" s="1" t="s">
        <v>32091</v>
      </c>
      <c r="H4034" s="200"/>
      <c r="I4034" s="346"/>
      <c r="J4034" s="39">
        <v>113317</v>
      </c>
      <c r="K4034" s="36" t="str">
        <f>CONCATENATE(Cover!$D$6,"fdd/view?i=",J4034)</f>
        <v>https://www.dgiwg.org/FAD/fdd/view?i=113317</v>
      </c>
      <c r="L4034" s="36" t="s">
        <v>32092</v>
      </c>
      <c r="M4034" s="186"/>
      <c r="N4034" s="186"/>
      <c r="O4034" s="172"/>
    </row>
    <row r="4035" spans="1:15" ht="25.5" x14ac:dyDescent="0.2">
      <c r="A4035" s="197" t="str">
        <f t="shared" si="63"/>
        <v>FrcCode_secondaryForest</v>
      </c>
      <c r="B4035" s="409"/>
      <c r="C4035" s="416"/>
      <c r="D4035" s="198" t="s">
        <v>32093</v>
      </c>
      <c r="E4035" s="198">
        <v>2</v>
      </c>
      <c r="F4035" s="199" t="s">
        <v>32094</v>
      </c>
      <c r="G4035" s="1" t="s">
        <v>32095</v>
      </c>
      <c r="H4035" s="200"/>
      <c r="I4035" s="346"/>
      <c r="J4035" s="39">
        <v>113312</v>
      </c>
      <c r="K4035" s="36" t="str">
        <f>CONCATENATE(Cover!$D$6,"fdd/view?i=",J4035)</f>
        <v>https://www.dgiwg.org/FAD/fdd/view?i=113312</v>
      </c>
      <c r="L4035" s="36" t="s">
        <v>32096</v>
      </c>
      <c r="M4035" s="186"/>
      <c r="N4035" s="186"/>
      <c r="O4035" s="172"/>
    </row>
    <row r="4036" spans="1:15" ht="25.5" x14ac:dyDescent="0.2">
      <c r="A4036" s="197" t="str">
        <f t="shared" si="63"/>
        <v>FrcCode_virginForest</v>
      </c>
      <c r="B4036" s="409"/>
      <c r="C4036" s="416"/>
      <c r="D4036" s="198" t="s">
        <v>32097</v>
      </c>
      <c r="E4036" s="198">
        <v>1</v>
      </c>
      <c r="F4036" s="199" t="s">
        <v>32098</v>
      </c>
      <c r="G4036" s="1" t="s">
        <v>32099</v>
      </c>
      <c r="H4036" s="200"/>
      <c r="I4036" s="351" t="s">
        <v>32100</v>
      </c>
      <c r="J4036" s="39">
        <v>113311</v>
      </c>
      <c r="K4036" s="36" t="str">
        <f>CONCATENATE(Cover!$D$6,"fdd/view?i=",J4036)</f>
        <v>https://www.dgiwg.org/FAD/fdd/view?i=113311</v>
      </c>
      <c r="L4036" s="36" t="s">
        <v>32101</v>
      </c>
      <c r="M4036" s="186"/>
      <c r="N4036" s="186"/>
      <c r="O4036" s="172"/>
    </row>
    <row r="4037" spans="1:15" x14ac:dyDescent="0.2">
      <c r="A4037" s="203" t="str">
        <f t="shared" si="63"/>
        <v>FrcCode_windfall</v>
      </c>
      <c r="B4037" s="410"/>
      <c r="C4037" s="417"/>
      <c r="D4037" s="204" t="s">
        <v>32102</v>
      </c>
      <c r="E4037" s="204">
        <v>10</v>
      </c>
      <c r="F4037" s="205" t="s">
        <v>32103</v>
      </c>
      <c r="G4037" s="206" t="s">
        <v>32104</v>
      </c>
      <c r="H4037" s="206" t="s">
        <v>32105</v>
      </c>
      <c r="I4037" s="347"/>
      <c r="J4037" s="39">
        <v>113316</v>
      </c>
      <c r="K4037" s="36" t="str">
        <f>CONCATENATE(Cover!$D$6,"fdd/view?i=",J4037)</f>
        <v>https://www.dgiwg.org/FAD/fdd/view?i=113316</v>
      </c>
      <c r="L4037" s="36" t="s">
        <v>32106</v>
      </c>
      <c r="M4037" s="186"/>
      <c r="N4037" s="186"/>
      <c r="O4037" s="172"/>
    </row>
    <row r="4038" spans="1:15" x14ac:dyDescent="0.2">
      <c r="A4038" s="190" t="str">
        <f t="shared" si="63"/>
        <v>FofCode_burialGround</v>
      </c>
      <c r="B4038" s="414" t="str">
        <f>HYPERLINK("[#]Datatypes!A596:L596","FofCode")</f>
        <v>FofCode</v>
      </c>
      <c r="C4038" s="415" t="s">
        <v>15169</v>
      </c>
      <c r="D4038" s="221" t="s">
        <v>32107</v>
      </c>
      <c r="E4038" s="221">
        <v>3</v>
      </c>
      <c r="F4038" s="222" t="s">
        <v>32108</v>
      </c>
      <c r="G4038" s="223" t="s">
        <v>32109</v>
      </c>
      <c r="H4038" s="224"/>
      <c r="I4038" s="345"/>
      <c r="J4038" s="39">
        <v>113295</v>
      </c>
      <c r="K4038" s="36" t="str">
        <f>CONCATENATE(Cover!$D$6,"fdd/view?i=",J4038)</f>
        <v>https://www.dgiwg.org/FAD/fdd/view?i=113295</v>
      </c>
      <c r="L4038" s="36" t="s">
        <v>32110</v>
      </c>
      <c r="M4038" s="186"/>
      <c r="N4038" s="186"/>
      <c r="O4038" s="172"/>
    </row>
    <row r="4039" spans="1:15" ht="25.5" x14ac:dyDescent="0.2">
      <c r="A4039" s="197" t="str">
        <f t="shared" si="63"/>
        <v>FofCode_commercial</v>
      </c>
      <c r="B4039" s="409"/>
      <c r="C4039" s="416"/>
      <c r="D4039" s="198" t="s">
        <v>28919</v>
      </c>
      <c r="E4039" s="198">
        <v>5</v>
      </c>
      <c r="F4039" s="199" t="s">
        <v>28920</v>
      </c>
      <c r="G4039" s="1" t="s">
        <v>32111</v>
      </c>
      <c r="H4039" s="200"/>
      <c r="I4039" s="346"/>
      <c r="J4039" s="39">
        <v>113297</v>
      </c>
      <c r="K4039" s="36" t="str">
        <f>CONCATENATE(Cover!$D$6,"fdd/view?i=",J4039)</f>
        <v>https://www.dgiwg.org/FAD/fdd/view?i=113297</v>
      </c>
      <c r="L4039" s="36" t="s">
        <v>32112</v>
      </c>
      <c r="M4039" s="186"/>
      <c r="N4039" s="186"/>
      <c r="O4039" s="172"/>
    </row>
    <row r="4040" spans="1:15" ht="25.5" x14ac:dyDescent="0.2">
      <c r="A4040" s="197" t="str">
        <f t="shared" si="63"/>
        <v>FofCode_ornamentalGrove</v>
      </c>
      <c r="B4040" s="409"/>
      <c r="C4040" s="416"/>
      <c r="D4040" s="198" t="s">
        <v>32113</v>
      </c>
      <c r="E4040" s="198">
        <v>6</v>
      </c>
      <c r="F4040" s="199" t="s">
        <v>32114</v>
      </c>
      <c r="G4040" s="1" t="s">
        <v>32115</v>
      </c>
      <c r="H4040" s="200"/>
      <c r="I4040" s="346"/>
      <c r="J4040" s="39">
        <v>113298</v>
      </c>
      <c r="K4040" s="36" t="str">
        <f>CONCATENATE(Cover!$D$6,"fdd/view?i=",J4040)</f>
        <v>https://www.dgiwg.org/FAD/fdd/view?i=113298</v>
      </c>
      <c r="L4040" s="36" t="s">
        <v>32116</v>
      </c>
      <c r="M4040" s="186"/>
      <c r="N4040" s="186"/>
      <c r="O4040" s="172"/>
    </row>
    <row r="4041" spans="1:15" ht="25.5" x14ac:dyDescent="0.2">
      <c r="A4041" s="197" t="str">
        <f t="shared" si="63"/>
        <v>FofCode_preserve</v>
      </c>
      <c r="B4041" s="409"/>
      <c r="C4041" s="416"/>
      <c r="D4041" s="198" t="s">
        <v>32117</v>
      </c>
      <c r="E4041" s="198">
        <v>4</v>
      </c>
      <c r="F4041" s="199" t="s">
        <v>32118</v>
      </c>
      <c r="G4041" s="1" t="s">
        <v>32119</v>
      </c>
      <c r="H4041" s="200"/>
      <c r="I4041" s="346"/>
      <c r="J4041" s="39">
        <v>113296</v>
      </c>
      <c r="K4041" s="36" t="str">
        <f>CONCATENATE(Cover!$D$6,"fdd/view?i=",J4041)</f>
        <v>https://www.dgiwg.org/FAD/fdd/view?i=113296</v>
      </c>
      <c r="L4041" s="36" t="s">
        <v>32120</v>
      </c>
      <c r="M4041" s="186"/>
      <c r="N4041" s="186"/>
      <c r="O4041" s="172"/>
    </row>
    <row r="4042" spans="1:15" ht="25.5" x14ac:dyDescent="0.2">
      <c r="A4042" s="197" t="str">
        <f t="shared" si="63"/>
        <v>FofCode_protection</v>
      </c>
      <c r="B4042" s="409"/>
      <c r="C4042" s="416"/>
      <c r="D4042" s="198" t="s">
        <v>31957</v>
      </c>
      <c r="E4042" s="198">
        <v>1</v>
      </c>
      <c r="F4042" s="199" t="s">
        <v>31958</v>
      </c>
      <c r="G4042" s="1" t="s">
        <v>32121</v>
      </c>
      <c r="H4042" s="1" t="s">
        <v>32122</v>
      </c>
      <c r="I4042" s="346"/>
      <c r="J4042" s="39">
        <v>113293</v>
      </c>
      <c r="K4042" s="36" t="str">
        <f>CONCATENATE(Cover!$D$6,"fdd/view?i=",J4042)</f>
        <v>https://www.dgiwg.org/FAD/fdd/view?i=113293</v>
      </c>
      <c r="L4042" s="36" t="s">
        <v>32123</v>
      </c>
      <c r="M4042" s="186"/>
      <c r="N4042" s="186"/>
      <c r="O4042" s="172"/>
    </row>
    <row r="4043" spans="1:15" x14ac:dyDescent="0.2">
      <c r="A4043" s="203" t="str">
        <f t="shared" si="63"/>
        <v>FofCode_recreation</v>
      </c>
      <c r="B4043" s="410"/>
      <c r="C4043" s="417"/>
      <c r="D4043" s="204" t="s">
        <v>31420</v>
      </c>
      <c r="E4043" s="204">
        <v>2</v>
      </c>
      <c r="F4043" s="205" t="s">
        <v>31421</v>
      </c>
      <c r="G4043" s="206" t="s">
        <v>32124</v>
      </c>
      <c r="H4043" s="207"/>
      <c r="I4043" s="347"/>
      <c r="J4043" s="39">
        <v>113294</v>
      </c>
      <c r="K4043" s="36" t="str">
        <f>CONCATENATE(Cover!$D$6,"fdd/view?i=",J4043)</f>
        <v>https://www.dgiwg.org/FAD/fdd/view?i=113294</v>
      </c>
      <c r="L4043" s="36" t="s">
        <v>32125</v>
      </c>
      <c r="M4043" s="186"/>
      <c r="N4043" s="186"/>
      <c r="O4043" s="172"/>
    </row>
    <row r="4044" spans="1:15" ht="38.25" x14ac:dyDescent="0.2">
      <c r="A4044" s="190" t="str">
        <f t="shared" si="63"/>
        <v>FtyCode_cloudForest</v>
      </c>
      <c r="B4044" s="414" t="str">
        <f>HYPERLINK("[#]Datatypes!A598:L598","FtyCode")</f>
        <v>FtyCode</v>
      </c>
      <c r="C4044" s="415" t="s">
        <v>15171</v>
      </c>
      <c r="D4044" s="221" t="s">
        <v>32126</v>
      </c>
      <c r="E4044" s="221">
        <v>5</v>
      </c>
      <c r="F4044" s="222" t="s">
        <v>32127</v>
      </c>
      <c r="G4044" s="223" t="s">
        <v>32128</v>
      </c>
      <c r="H4044" s="224"/>
      <c r="I4044" s="345"/>
      <c r="J4044" s="39">
        <v>113322</v>
      </c>
      <c r="K4044" s="36" t="str">
        <f>CONCATENATE(Cover!$D$6,"fdd/view?i=",J4044)</f>
        <v>https://www.dgiwg.org/FAD/fdd/view?i=113322</v>
      </c>
      <c r="L4044" s="36" t="s">
        <v>32129</v>
      </c>
      <c r="M4044" s="186"/>
      <c r="N4044" s="186"/>
      <c r="O4044" s="172"/>
    </row>
    <row r="4045" spans="1:15" ht="38.25" x14ac:dyDescent="0.2">
      <c r="A4045" s="197" t="str">
        <f t="shared" si="63"/>
        <v>FtyCode_floodplainForest</v>
      </c>
      <c r="B4045" s="409"/>
      <c r="C4045" s="416"/>
      <c r="D4045" s="198" t="s">
        <v>32130</v>
      </c>
      <c r="E4045" s="198">
        <v>1</v>
      </c>
      <c r="F4045" s="199" t="s">
        <v>32131</v>
      </c>
      <c r="G4045" s="1" t="s">
        <v>32132</v>
      </c>
      <c r="H4045" s="200"/>
      <c r="I4045" s="346"/>
      <c r="J4045" s="39">
        <v>113318</v>
      </c>
      <c r="K4045" s="36" t="str">
        <f>CONCATENATE(Cover!$D$6,"fdd/view?i=",J4045)</f>
        <v>https://www.dgiwg.org/FAD/fdd/view?i=113318</v>
      </c>
      <c r="L4045" s="36" t="s">
        <v>32133</v>
      </c>
      <c r="M4045" s="186"/>
      <c r="N4045" s="186"/>
      <c r="O4045" s="172"/>
    </row>
    <row r="4046" spans="1:15" ht="25.5" x14ac:dyDescent="0.2">
      <c r="A4046" s="197" t="str">
        <f t="shared" si="63"/>
        <v>FtyCode_forestTundra</v>
      </c>
      <c r="B4046" s="409"/>
      <c r="C4046" s="416"/>
      <c r="D4046" s="198" t="s">
        <v>32134</v>
      </c>
      <c r="E4046" s="198">
        <v>6</v>
      </c>
      <c r="F4046" s="199" t="s">
        <v>32135</v>
      </c>
      <c r="G4046" s="1" t="s">
        <v>32136</v>
      </c>
      <c r="H4046" s="200"/>
      <c r="I4046" s="346"/>
      <c r="J4046" s="39">
        <v>113323</v>
      </c>
      <c r="K4046" s="36" t="str">
        <f>CONCATENATE(Cover!$D$6,"fdd/view?i=",J4046)</f>
        <v>https://www.dgiwg.org/FAD/fdd/view?i=113323</v>
      </c>
      <c r="L4046" s="36" t="s">
        <v>32137</v>
      </c>
      <c r="M4046" s="186"/>
      <c r="N4046" s="186"/>
      <c r="O4046" s="172"/>
    </row>
    <row r="4047" spans="1:15" ht="25.5" x14ac:dyDescent="0.2">
      <c r="A4047" s="197" t="str">
        <f t="shared" si="63"/>
        <v>FtyCode_galleryForest</v>
      </c>
      <c r="B4047" s="409"/>
      <c r="C4047" s="416"/>
      <c r="D4047" s="198" t="s">
        <v>32138</v>
      </c>
      <c r="E4047" s="198">
        <v>3</v>
      </c>
      <c r="F4047" s="199" t="s">
        <v>32139</v>
      </c>
      <c r="G4047" s="1" t="s">
        <v>32140</v>
      </c>
      <c r="H4047" s="200"/>
      <c r="I4047" s="346"/>
      <c r="J4047" s="39">
        <v>113320</v>
      </c>
      <c r="K4047" s="36" t="str">
        <f>CONCATENATE(Cover!$D$6,"fdd/view?i=",J4047)</f>
        <v>https://www.dgiwg.org/FAD/fdd/view?i=113320</v>
      </c>
      <c r="L4047" s="36" t="s">
        <v>32141</v>
      </c>
      <c r="M4047" s="186"/>
      <c r="N4047" s="186"/>
      <c r="O4047" s="172"/>
    </row>
    <row r="4048" spans="1:15" ht="25.5" x14ac:dyDescent="0.2">
      <c r="A4048" s="197" t="str">
        <f t="shared" si="63"/>
        <v>FtyCode_mangroveForest</v>
      </c>
      <c r="B4048" s="409"/>
      <c r="C4048" s="416"/>
      <c r="D4048" s="198" t="s">
        <v>32142</v>
      </c>
      <c r="E4048" s="198">
        <v>7</v>
      </c>
      <c r="F4048" s="199" t="s">
        <v>32143</v>
      </c>
      <c r="G4048" s="1" t="s">
        <v>32144</v>
      </c>
      <c r="H4048" s="1" t="s">
        <v>32145</v>
      </c>
      <c r="I4048" s="346"/>
      <c r="J4048" s="39">
        <v>113324</v>
      </c>
      <c r="K4048" s="36" t="str">
        <f>CONCATENATE(Cover!$D$6,"fdd/view?i=",J4048)</f>
        <v>https://www.dgiwg.org/FAD/fdd/view?i=113324</v>
      </c>
      <c r="L4048" s="36" t="s">
        <v>32146</v>
      </c>
      <c r="M4048" s="186"/>
      <c r="N4048" s="186"/>
      <c r="O4048" s="172"/>
    </row>
    <row r="4049" spans="1:15" ht="25.5" x14ac:dyDescent="0.2">
      <c r="A4049" s="197" t="str">
        <f t="shared" si="63"/>
        <v>FtyCode_montaneForest</v>
      </c>
      <c r="B4049" s="409"/>
      <c r="C4049" s="416"/>
      <c r="D4049" s="198" t="s">
        <v>32147</v>
      </c>
      <c r="E4049" s="198">
        <v>4</v>
      </c>
      <c r="F4049" s="199" t="s">
        <v>32148</v>
      </c>
      <c r="G4049" s="1" t="s">
        <v>32149</v>
      </c>
      <c r="H4049" s="200"/>
      <c r="I4049" s="346"/>
      <c r="J4049" s="39">
        <v>113321</v>
      </c>
      <c r="K4049" s="36" t="str">
        <f>CONCATENATE(Cover!$D$6,"fdd/view?i=",J4049)</f>
        <v>https://www.dgiwg.org/FAD/fdd/view?i=113321</v>
      </c>
      <c r="L4049" s="36" t="s">
        <v>32150</v>
      </c>
      <c r="M4049" s="186"/>
      <c r="N4049" s="186"/>
      <c r="O4049" s="172"/>
    </row>
    <row r="4050" spans="1:15" ht="25.5" x14ac:dyDescent="0.2">
      <c r="A4050" s="197" t="str">
        <f t="shared" si="63"/>
        <v>FtyCode_moorForest</v>
      </c>
      <c r="B4050" s="409"/>
      <c r="C4050" s="416"/>
      <c r="D4050" s="198" t="s">
        <v>32151</v>
      </c>
      <c r="E4050" s="198">
        <v>8</v>
      </c>
      <c r="F4050" s="199" t="s">
        <v>32152</v>
      </c>
      <c r="G4050" s="1" t="s">
        <v>32153</v>
      </c>
      <c r="H4050" s="1" t="s">
        <v>32154</v>
      </c>
      <c r="I4050" s="346"/>
      <c r="J4050" s="39">
        <v>113325</v>
      </c>
      <c r="K4050" s="36" t="str">
        <f>CONCATENATE(Cover!$D$6,"fdd/view?i=",J4050)</f>
        <v>https://www.dgiwg.org/FAD/fdd/view?i=113325</v>
      </c>
      <c r="L4050" s="36" t="s">
        <v>32155</v>
      </c>
      <c r="M4050" s="186"/>
      <c r="N4050" s="186"/>
      <c r="O4050" s="172"/>
    </row>
    <row r="4051" spans="1:15" ht="25.5" x14ac:dyDescent="0.2">
      <c r="A4051" s="203" t="str">
        <f t="shared" si="63"/>
        <v>FtyCode_swampForest</v>
      </c>
      <c r="B4051" s="410"/>
      <c r="C4051" s="417"/>
      <c r="D4051" s="204" t="s">
        <v>32156</v>
      </c>
      <c r="E4051" s="204">
        <v>2</v>
      </c>
      <c r="F4051" s="205" t="s">
        <v>32157</v>
      </c>
      <c r="G4051" s="206" t="s">
        <v>32158</v>
      </c>
      <c r="H4051" s="207"/>
      <c r="I4051" s="347"/>
      <c r="J4051" s="39">
        <v>113319</v>
      </c>
      <c r="K4051" s="36" t="str">
        <f>CONCATENATE(Cover!$D$6,"fdd/view?i=",J4051)</f>
        <v>https://www.dgiwg.org/FAD/fdd/view?i=113319</v>
      </c>
      <c r="L4051" s="36" t="s">
        <v>32159</v>
      </c>
      <c r="M4051" s="186"/>
      <c r="N4051" s="186"/>
      <c r="O4051" s="172"/>
    </row>
    <row r="4052" spans="1:15" ht="25.5" x14ac:dyDescent="0.2">
      <c r="A4052" s="190" t="str">
        <f t="shared" si="63"/>
        <v>FocCode_alpineConiferous</v>
      </c>
      <c r="B4052" s="414" t="str">
        <f>HYPERLINK("[#]Datatypes!A600:L600","FocCode")</f>
        <v>FocCode</v>
      </c>
      <c r="C4052" s="415" t="s">
        <v>15173</v>
      </c>
      <c r="D4052" s="221" t="s">
        <v>32160</v>
      </c>
      <c r="E4052" s="221">
        <v>7</v>
      </c>
      <c r="F4052" s="222" t="s">
        <v>32161</v>
      </c>
      <c r="G4052" s="223" t="s">
        <v>32162</v>
      </c>
      <c r="H4052" s="224"/>
      <c r="I4052" s="345"/>
      <c r="J4052" s="39">
        <v>113292</v>
      </c>
      <c r="K4052" s="36" t="str">
        <f>CONCATENATE(Cover!$D$6,"fdd/view?i=",J4052)</f>
        <v>https://www.dgiwg.org/FAD/fdd/view?i=113292</v>
      </c>
      <c r="L4052" s="36" t="s">
        <v>32163</v>
      </c>
      <c r="M4052" s="186"/>
      <c r="N4052" s="186"/>
      <c r="O4052" s="172"/>
    </row>
    <row r="4053" spans="1:15" ht="25.5" x14ac:dyDescent="0.2">
      <c r="A4053" s="197" t="str">
        <f t="shared" si="63"/>
        <v>FocCode_evergreenLaurelHardwood</v>
      </c>
      <c r="B4053" s="409"/>
      <c r="C4053" s="416"/>
      <c r="D4053" s="198" t="s">
        <v>32164</v>
      </c>
      <c r="E4053" s="198">
        <v>4</v>
      </c>
      <c r="F4053" s="199" t="s">
        <v>32165</v>
      </c>
      <c r="G4053" s="1" t="s">
        <v>32166</v>
      </c>
      <c r="H4053" s="200"/>
      <c r="I4053" s="351" t="s">
        <v>32167</v>
      </c>
      <c r="J4053" s="39">
        <v>113289</v>
      </c>
      <c r="K4053" s="36" t="str">
        <f>CONCATENATE(Cover!$D$6,"fdd/view?i=",J4053)</f>
        <v>https://www.dgiwg.org/FAD/fdd/view?i=113289</v>
      </c>
      <c r="L4053" s="36" t="s">
        <v>32168</v>
      </c>
      <c r="M4053" s="186"/>
      <c r="N4053" s="186"/>
      <c r="O4053" s="172"/>
    </row>
    <row r="4054" spans="1:15" ht="25.5" x14ac:dyDescent="0.2">
      <c r="A4054" s="197" t="str">
        <f t="shared" si="63"/>
        <v>FocCode_northernBorealConiferous</v>
      </c>
      <c r="B4054" s="409"/>
      <c r="C4054" s="416"/>
      <c r="D4054" s="198" t="s">
        <v>32169</v>
      </c>
      <c r="E4054" s="198">
        <v>6</v>
      </c>
      <c r="F4054" s="199" t="s">
        <v>32170</v>
      </c>
      <c r="G4054" s="1" t="s">
        <v>32171</v>
      </c>
      <c r="H4054" s="200"/>
      <c r="I4054" s="351" t="s">
        <v>5357</v>
      </c>
      <c r="J4054" s="39">
        <v>113291</v>
      </c>
      <c r="K4054" s="36" t="str">
        <f>CONCATENATE(Cover!$D$6,"fdd/view?i=",J4054)</f>
        <v>https://www.dgiwg.org/FAD/fdd/view?i=113291</v>
      </c>
      <c r="L4054" s="36" t="s">
        <v>32172</v>
      </c>
      <c r="M4054" s="186"/>
      <c r="N4054" s="186"/>
      <c r="O4054" s="172"/>
    </row>
    <row r="4055" spans="1:15" ht="25.5" x14ac:dyDescent="0.2">
      <c r="A4055" s="197" t="str">
        <f t="shared" si="63"/>
        <v>FocCode_raingreenDecidMonsoon</v>
      </c>
      <c r="B4055" s="409"/>
      <c r="C4055" s="416"/>
      <c r="D4055" s="198" t="s">
        <v>32173</v>
      </c>
      <c r="E4055" s="198">
        <v>2</v>
      </c>
      <c r="F4055" s="199" t="s">
        <v>32174</v>
      </c>
      <c r="G4055" s="1" t="s">
        <v>32175</v>
      </c>
      <c r="H4055" s="200"/>
      <c r="I4055" s="346"/>
      <c r="J4055" s="39">
        <v>113287</v>
      </c>
      <c r="K4055" s="36" t="str">
        <f>CONCATENATE(Cover!$D$6,"fdd/view?i=",J4055)</f>
        <v>https://www.dgiwg.org/FAD/fdd/view?i=113287</v>
      </c>
      <c r="L4055" s="36" t="s">
        <v>32176</v>
      </c>
      <c r="M4055" s="186"/>
      <c r="N4055" s="186"/>
      <c r="O4055" s="172"/>
    </row>
    <row r="4056" spans="1:15" ht="25.5" x14ac:dyDescent="0.2">
      <c r="A4056" s="197" t="str">
        <f t="shared" si="63"/>
        <v>FocCode_savannah</v>
      </c>
      <c r="B4056" s="409"/>
      <c r="C4056" s="416"/>
      <c r="D4056" s="198" t="s">
        <v>32177</v>
      </c>
      <c r="E4056" s="198">
        <v>3</v>
      </c>
      <c r="F4056" s="199" t="s">
        <v>32178</v>
      </c>
      <c r="G4056" s="1" t="s">
        <v>32179</v>
      </c>
      <c r="H4056" s="200"/>
      <c r="I4056" s="346"/>
      <c r="J4056" s="39">
        <v>113288</v>
      </c>
      <c r="K4056" s="36" t="str">
        <f>CONCATENATE(Cover!$D$6,"fdd/view?i=",J4056)</f>
        <v>https://www.dgiwg.org/FAD/fdd/view?i=113288</v>
      </c>
      <c r="L4056" s="36" t="s">
        <v>32180</v>
      </c>
      <c r="M4056" s="186"/>
      <c r="N4056" s="186"/>
      <c r="O4056" s="172"/>
    </row>
    <row r="4057" spans="1:15" ht="25.5" x14ac:dyDescent="0.2">
      <c r="A4057" s="197" t="str">
        <f t="shared" si="63"/>
        <v>FocCode_summergreenDeciduous</v>
      </c>
      <c r="B4057" s="409"/>
      <c r="C4057" s="416"/>
      <c r="D4057" s="198" t="s">
        <v>32181</v>
      </c>
      <c r="E4057" s="198">
        <v>5</v>
      </c>
      <c r="F4057" s="199" t="s">
        <v>32182</v>
      </c>
      <c r="G4057" s="1" t="s">
        <v>32183</v>
      </c>
      <c r="H4057" s="200"/>
      <c r="I4057" s="351" t="s">
        <v>32184</v>
      </c>
      <c r="J4057" s="39">
        <v>113290</v>
      </c>
      <c r="K4057" s="36" t="str">
        <f>CONCATENATE(Cover!$D$6,"fdd/view?i=",J4057)</f>
        <v>https://www.dgiwg.org/FAD/fdd/view?i=113290</v>
      </c>
      <c r="L4057" s="36" t="s">
        <v>32185</v>
      </c>
      <c r="M4057" s="186"/>
      <c r="N4057" s="186"/>
      <c r="O4057" s="172"/>
    </row>
    <row r="4058" spans="1:15" ht="25.5" x14ac:dyDescent="0.2">
      <c r="A4058" s="203" t="str">
        <f t="shared" si="63"/>
        <v>FocCode_tropicalRain</v>
      </c>
      <c r="B4058" s="410"/>
      <c r="C4058" s="417"/>
      <c r="D4058" s="204" t="s">
        <v>26098</v>
      </c>
      <c r="E4058" s="204">
        <v>1</v>
      </c>
      <c r="F4058" s="205" t="s">
        <v>32186</v>
      </c>
      <c r="G4058" s="206" t="s">
        <v>32187</v>
      </c>
      <c r="H4058" s="207"/>
      <c r="I4058" s="353" t="s">
        <v>32188</v>
      </c>
      <c r="J4058" s="39">
        <v>113286</v>
      </c>
      <c r="K4058" s="36" t="str">
        <f>CONCATENATE(Cover!$D$6,"fdd/view?i=",J4058)</f>
        <v>https://www.dgiwg.org/FAD/fdd/view?i=113286</v>
      </c>
      <c r="L4058" s="36" t="s">
        <v>32189</v>
      </c>
      <c r="M4058" s="186"/>
      <c r="N4058" s="186"/>
      <c r="O4058" s="172"/>
    </row>
    <row r="4059" spans="1:15" ht="25.5" x14ac:dyDescent="0.2">
      <c r="A4059" s="190" t="str">
        <f t="shared" si="63"/>
        <v>FouCode_bark</v>
      </c>
      <c r="B4059" s="414" t="str">
        <f>HYPERLINK("[#]Datatypes!A602:L602","FouCode")</f>
        <v>FouCode</v>
      </c>
      <c r="C4059" s="415" t="s">
        <v>15175</v>
      </c>
      <c r="D4059" s="221" t="s">
        <v>32190</v>
      </c>
      <c r="E4059" s="221">
        <v>10</v>
      </c>
      <c r="F4059" s="222" t="s">
        <v>32191</v>
      </c>
      <c r="G4059" s="223" t="s">
        <v>32192</v>
      </c>
      <c r="H4059" s="224"/>
      <c r="I4059" s="345"/>
      <c r="J4059" s="39">
        <v>113308</v>
      </c>
      <c r="K4059" s="36" t="str">
        <f>CONCATENATE(Cover!$D$6,"fdd/view?i=",J4059)</f>
        <v>https://www.dgiwg.org/FAD/fdd/view?i=113308</v>
      </c>
      <c r="L4059" s="36" t="s">
        <v>32193</v>
      </c>
      <c r="M4059" s="186"/>
      <c r="N4059" s="186"/>
      <c r="O4059" s="172"/>
    </row>
    <row r="4060" spans="1:15" ht="25.5" x14ac:dyDescent="0.2">
      <c r="A4060" s="197" t="str">
        <f t="shared" si="63"/>
        <v>FouCode_charcoalWorks</v>
      </c>
      <c r="B4060" s="409"/>
      <c r="C4060" s="416"/>
      <c r="D4060" s="198" t="s">
        <v>32194</v>
      </c>
      <c r="E4060" s="198">
        <v>8</v>
      </c>
      <c r="F4060" s="199" t="s">
        <v>32195</v>
      </c>
      <c r="G4060" s="1" t="s">
        <v>32196</v>
      </c>
      <c r="H4060" s="200"/>
      <c r="I4060" s="346"/>
      <c r="J4060" s="39">
        <v>113306</v>
      </c>
      <c r="K4060" s="36" t="str">
        <f>CONCATENATE(Cover!$D$6,"fdd/view?i=",J4060)</f>
        <v>https://www.dgiwg.org/FAD/fdd/view?i=113306</v>
      </c>
      <c r="L4060" s="36" t="s">
        <v>32197</v>
      </c>
      <c r="M4060" s="186"/>
      <c r="N4060" s="186"/>
      <c r="O4060" s="172"/>
    </row>
    <row r="4061" spans="1:15" x14ac:dyDescent="0.2">
      <c r="A4061" s="197" t="str">
        <f t="shared" si="63"/>
        <v>FouCode_cork</v>
      </c>
      <c r="B4061" s="409"/>
      <c r="C4061" s="416"/>
      <c r="D4061" s="198" t="s">
        <v>32198</v>
      </c>
      <c r="E4061" s="198">
        <v>9</v>
      </c>
      <c r="F4061" s="199" t="s">
        <v>27144</v>
      </c>
      <c r="G4061" s="1" t="s">
        <v>32199</v>
      </c>
      <c r="H4061" s="200"/>
      <c r="I4061" s="346"/>
      <c r="J4061" s="39">
        <v>113307</v>
      </c>
      <c r="K4061" s="36" t="str">
        <f>CONCATENATE(Cover!$D$6,"fdd/view?i=",J4061)</f>
        <v>https://www.dgiwg.org/FAD/fdd/view?i=113307</v>
      </c>
      <c r="L4061" s="36" t="s">
        <v>32200</v>
      </c>
      <c r="M4061" s="186"/>
      <c r="N4061" s="186"/>
      <c r="O4061" s="172"/>
    </row>
    <row r="4062" spans="1:15" ht="25.5" x14ac:dyDescent="0.2">
      <c r="A4062" s="197" t="str">
        <f t="shared" si="63"/>
        <v>FouCode_fireClearing</v>
      </c>
      <c r="B4062" s="409"/>
      <c r="C4062" s="416"/>
      <c r="D4062" s="198" t="s">
        <v>32201</v>
      </c>
      <c r="E4062" s="198">
        <v>2</v>
      </c>
      <c r="F4062" s="199" t="s">
        <v>32202</v>
      </c>
      <c r="G4062" s="1" t="s">
        <v>32203</v>
      </c>
      <c r="H4062" s="200"/>
      <c r="I4062" s="346"/>
      <c r="J4062" s="39">
        <v>113300</v>
      </c>
      <c r="K4062" s="36" t="str">
        <f>CONCATENATE(Cover!$D$6,"fdd/view?i=",J4062)</f>
        <v>https://www.dgiwg.org/FAD/fdd/view?i=113300</v>
      </c>
      <c r="L4062" s="36" t="s">
        <v>32204</v>
      </c>
      <c r="M4062" s="186"/>
      <c r="N4062" s="186"/>
      <c r="O4062" s="172"/>
    </row>
    <row r="4063" spans="1:15" ht="25.5" x14ac:dyDescent="0.2">
      <c r="A4063" s="197" t="str">
        <f t="shared" si="63"/>
        <v>FouCode_firewoodSupply</v>
      </c>
      <c r="B4063" s="409"/>
      <c r="C4063" s="416"/>
      <c r="D4063" s="198" t="s">
        <v>32205</v>
      </c>
      <c r="E4063" s="198">
        <v>3</v>
      </c>
      <c r="F4063" s="199" t="s">
        <v>32206</v>
      </c>
      <c r="G4063" s="1" t="s">
        <v>32207</v>
      </c>
      <c r="H4063" s="200"/>
      <c r="I4063" s="346"/>
      <c r="J4063" s="39">
        <v>113301</v>
      </c>
      <c r="K4063" s="36" t="str">
        <f>CONCATENATE(Cover!$D$6,"fdd/view?i=",J4063)</f>
        <v>https://www.dgiwg.org/FAD/fdd/view?i=113301</v>
      </c>
      <c r="L4063" s="36" t="s">
        <v>32208</v>
      </c>
      <c r="M4063" s="186"/>
      <c r="N4063" s="186"/>
      <c r="O4063" s="172"/>
    </row>
    <row r="4064" spans="1:15" ht="25.5" x14ac:dyDescent="0.2">
      <c r="A4064" s="197" t="str">
        <f t="shared" si="63"/>
        <v>FouCode_hunting</v>
      </c>
      <c r="B4064" s="409"/>
      <c r="C4064" s="416"/>
      <c r="D4064" s="198" t="s">
        <v>29153</v>
      </c>
      <c r="E4064" s="198">
        <v>7</v>
      </c>
      <c r="F4064" s="199" t="s">
        <v>29154</v>
      </c>
      <c r="G4064" s="1" t="s">
        <v>32209</v>
      </c>
      <c r="H4064" s="200"/>
      <c r="I4064" s="346"/>
      <c r="J4064" s="39">
        <v>113305</v>
      </c>
      <c r="K4064" s="36" t="str">
        <f>CONCATENATE(Cover!$D$6,"fdd/view?i=",J4064)</f>
        <v>https://www.dgiwg.org/FAD/fdd/view?i=113305</v>
      </c>
      <c r="L4064" s="36" t="s">
        <v>32210</v>
      </c>
      <c r="M4064" s="186"/>
      <c r="N4064" s="186"/>
      <c r="O4064" s="172"/>
    </row>
    <row r="4065" spans="1:15" ht="25.5" x14ac:dyDescent="0.2">
      <c r="A4065" s="197" t="str">
        <f t="shared" si="63"/>
        <v>FouCode_industrialUse</v>
      </c>
      <c r="B4065" s="409"/>
      <c r="C4065" s="416"/>
      <c r="D4065" s="198" t="s">
        <v>32211</v>
      </c>
      <c r="E4065" s="198">
        <v>6</v>
      </c>
      <c r="F4065" s="199" t="s">
        <v>32212</v>
      </c>
      <c r="G4065" s="1" t="s">
        <v>32213</v>
      </c>
      <c r="H4065" s="200"/>
      <c r="I4065" s="346"/>
      <c r="J4065" s="39">
        <v>113304</v>
      </c>
      <c r="K4065" s="36" t="str">
        <f>CONCATENATE(Cover!$D$6,"fdd/view?i=",J4065)</f>
        <v>https://www.dgiwg.org/FAD/fdd/view?i=113304</v>
      </c>
      <c r="L4065" s="36" t="s">
        <v>32214</v>
      </c>
      <c r="M4065" s="186"/>
      <c r="N4065" s="186"/>
      <c r="O4065" s="172"/>
    </row>
    <row r="4066" spans="1:15" x14ac:dyDescent="0.2">
      <c r="A4066" s="197" t="str">
        <f t="shared" si="63"/>
        <v>FouCode_resin</v>
      </c>
      <c r="B4066" s="409"/>
      <c r="C4066" s="416"/>
      <c r="D4066" s="198" t="s">
        <v>32215</v>
      </c>
      <c r="E4066" s="198">
        <v>5</v>
      </c>
      <c r="F4066" s="199" t="s">
        <v>32216</v>
      </c>
      <c r="G4066" s="1" t="s">
        <v>32217</v>
      </c>
      <c r="H4066" s="200"/>
      <c r="I4066" s="346"/>
      <c r="J4066" s="39">
        <v>113303</v>
      </c>
      <c r="K4066" s="36" t="str">
        <f>CONCATENATE(Cover!$D$6,"fdd/view?i=",J4066)</f>
        <v>https://www.dgiwg.org/FAD/fdd/view?i=113303</v>
      </c>
      <c r="L4066" s="36" t="s">
        <v>32218</v>
      </c>
      <c r="M4066" s="186"/>
      <c r="N4066" s="186"/>
      <c r="O4066" s="172"/>
    </row>
    <row r="4067" spans="1:15" x14ac:dyDescent="0.2">
      <c r="A4067" s="197" t="str">
        <f t="shared" si="63"/>
        <v>FouCode_rubber</v>
      </c>
      <c r="B4067" s="409"/>
      <c r="C4067" s="416"/>
      <c r="D4067" s="198" t="s">
        <v>27502</v>
      </c>
      <c r="E4067" s="198">
        <v>12</v>
      </c>
      <c r="F4067" s="199" t="s">
        <v>27503</v>
      </c>
      <c r="G4067" s="1" t="s">
        <v>32219</v>
      </c>
      <c r="H4067" s="200"/>
      <c r="I4067" s="346"/>
      <c r="J4067" s="39">
        <v>113310</v>
      </c>
      <c r="K4067" s="36" t="str">
        <f>CONCATENATE(Cover!$D$6,"fdd/view?i=",J4067)</f>
        <v>https://www.dgiwg.org/FAD/fdd/view?i=113310</v>
      </c>
      <c r="L4067" s="36" t="s">
        <v>32220</v>
      </c>
      <c r="M4067" s="186"/>
      <c r="N4067" s="186"/>
      <c r="O4067" s="172"/>
    </row>
    <row r="4068" spans="1:15" ht="38.25" x14ac:dyDescent="0.2">
      <c r="A4068" s="197" t="str">
        <f t="shared" si="63"/>
        <v>FouCode_trees</v>
      </c>
      <c r="B4068" s="409"/>
      <c r="C4068" s="416"/>
      <c r="D4068" s="198" t="s">
        <v>32221</v>
      </c>
      <c r="E4068" s="198">
        <v>1</v>
      </c>
      <c r="F4068" s="199" t="s">
        <v>32222</v>
      </c>
      <c r="G4068" s="1" t="s">
        <v>32223</v>
      </c>
      <c r="H4068" s="200"/>
      <c r="I4068" s="346"/>
      <c r="J4068" s="39">
        <v>113299</v>
      </c>
      <c r="K4068" s="36" t="str">
        <f>CONCATENATE(Cover!$D$6,"fdd/view?i=",J4068)</f>
        <v>https://www.dgiwg.org/FAD/fdd/view?i=113299</v>
      </c>
      <c r="L4068" s="36" t="s">
        <v>32224</v>
      </c>
      <c r="M4068" s="186"/>
      <c r="N4068" s="186"/>
      <c r="O4068" s="172"/>
    </row>
    <row r="4069" spans="1:15" ht="25.5" x14ac:dyDescent="0.2">
      <c r="A4069" s="197" t="str">
        <f t="shared" si="63"/>
        <v>FouCode_woodlandFruits</v>
      </c>
      <c r="B4069" s="409"/>
      <c r="C4069" s="416"/>
      <c r="D4069" s="198" t="s">
        <v>32225</v>
      </c>
      <c r="E4069" s="198">
        <v>4</v>
      </c>
      <c r="F4069" s="199" t="s">
        <v>32226</v>
      </c>
      <c r="G4069" s="1" t="s">
        <v>32227</v>
      </c>
      <c r="H4069" s="200"/>
      <c r="I4069" s="346"/>
      <c r="J4069" s="39">
        <v>113302</v>
      </c>
      <c r="K4069" s="36" t="str">
        <f>CONCATENATE(Cover!$D$6,"fdd/view?i=",J4069)</f>
        <v>https://www.dgiwg.org/FAD/fdd/view?i=113302</v>
      </c>
      <c r="L4069" s="36" t="s">
        <v>32228</v>
      </c>
      <c r="M4069" s="186"/>
      <c r="N4069" s="186"/>
      <c r="O4069" s="172"/>
    </row>
    <row r="4070" spans="1:15" ht="25.5" x14ac:dyDescent="0.2">
      <c r="A4070" s="203" t="str">
        <f t="shared" si="63"/>
        <v>FouCode_woodlandPasture</v>
      </c>
      <c r="B4070" s="410"/>
      <c r="C4070" s="417"/>
      <c r="D4070" s="204" t="s">
        <v>32229</v>
      </c>
      <c r="E4070" s="204">
        <v>11</v>
      </c>
      <c r="F4070" s="205" t="s">
        <v>32230</v>
      </c>
      <c r="G4070" s="206" t="s">
        <v>32231</v>
      </c>
      <c r="H4070" s="207"/>
      <c r="I4070" s="347"/>
      <c r="J4070" s="39">
        <v>113309</v>
      </c>
      <c r="K4070" s="36" t="str">
        <f>CONCATENATE(Cover!$D$6,"fdd/view?i=",J4070)</f>
        <v>https://www.dgiwg.org/FAD/fdd/view?i=113309</v>
      </c>
      <c r="L4070" s="36" t="s">
        <v>32232</v>
      </c>
      <c r="M4070" s="186"/>
      <c r="N4070" s="186"/>
      <c r="O4070" s="172"/>
    </row>
    <row r="4071" spans="1:15" ht="25.5" x14ac:dyDescent="0.2">
      <c r="A4071" s="190" t="str">
        <f t="shared" si="63"/>
        <v>FceCode_high</v>
      </c>
      <c r="B4071" s="414" t="str">
        <f>HYPERLINK("[#]Datatypes!A604:L604","FceCode")</f>
        <v>FceCode</v>
      </c>
      <c r="C4071" s="415" t="s">
        <v>15177</v>
      </c>
      <c r="D4071" s="221" t="s">
        <v>20199</v>
      </c>
      <c r="E4071" s="221">
        <v>1</v>
      </c>
      <c r="F4071" s="222" t="s">
        <v>20200</v>
      </c>
      <c r="G4071" s="223" t="s">
        <v>32233</v>
      </c>
      <c r="H4071" s="223" t="s">
        <v>32234</v>
      </c>
      <c r="I4071" s="345"/>
      <c r="J4071" s="39">
        <v>113251</v>
      </c>
      <c r="K4071" s="36" t="str">
        <f>CONCATENATE(Cover!$D$6,"fdd/view?i=",J4071)</f>
        <v>https://www.dgiwg.org/FAD/fdd/view?i=113251</v>
      </c>
      <c r="L4071" s="36" t="s">
        <v>32235</v>
      </c>
      <c r="M4071" s="186"/>
      <c r="N4071" s="186"/>
      <c r="O4071" s="172"/>
    </row>
    <row r="4072" spans="1:15" ht="25.5" x14ac:dyDescent="0.2">
      <c r="A4072" s="197" t="str">
        <f t="shared" si="63"/>
        <v>FceCode_low</v>
      </c>
      <c r="B4072" s="409"/>
      <c r="C4072" s="416"/>
      <c r="D4072" s="198" t="s">
        <v>20203</v>
      </c>
      <c r="E4072" s="198">
        <v>3</v>
      </c>
      <c r="F4072" s="199" t="s">
        <v>20204</v>
      </c>
      <c r="G4072" s="1" t="s">
        <v>32236</v>
      </c>
      <c r="H4072" s="1" t="s">
        <v>32237</v>
      </c>
      <c r="I4072" s="346"/>
      <c r="J4072" s="39">
        <v>113253</v>
      </c>
      <c r="K4072" s="36" t="str">
        <f>CONCATENATE(Cover!$D$6,"fdd/view?i=",J4072)</f>
        <v>https://www.dgiwg.org/FAD/fdd/view?i=113253</v>
      </c>
      <c r="L4072" s="36" t="s">
        <v>32238</v>
      </c>
      <c r="M4072" s="186"/>
      <c r="N4072" s="186"/>
      <c r="O4072" s="172"/>
    </row>
    <row r="4073" spans="1:15" ht="25.5" x14ac:dyDescent="0.2">
      <c r="A4073" s="203" t="str">
        <f t="shared" si="63"/>
        <v>FceCode_middle</v>
      </c>
      <c r="B4073" s="410"/>
      <c r="C4073" s="417"/>
      <c r="D4073" s="204" t="s">
        <v>32239</v>
      </c>
      <c r="E4073" s="204">
        <v>2</v>
      </c>
      <c r="F4073" s="205" t="s">
        <v>32240</v>
      </c>
      <c r="G4073" s="206" t="s">
        <v>32241</v>
      </c>
      <c r="H4073" s="206" t="s">
        <v>32242</v>
      </c>
      <c r="I4073" s="347"/>
      <c r="J4073" s="39">
        <v>113252</v>
      </c>
      <c r="K4073" s="36" t="str">
        <f>CONCATENATE(Cover!$D$6,"fdd/view?i=",J4073)</f>
        <v>https://www.dgiwg.org/FAD/fdd/view?i=113252</v>
      </c>
      <c r="L4073" s="36" t="s">
        <v>32243</v>
      </c>
      <c r="M4073" s="186"/>
      <c r="N4073" s="186"/>
      <c r="O4073" s="172"/>
    </row>
    <row r="4074" spans="1:15" ht="25.5" x14ac:dyDescent="0.2">
      <c r="A4074" s="190" t="str">
        <f t="shared" si="63"/>
        <v>EttCode_absoluteMonarchy</v>
      </c>
      <c r="B4074" s="414" t="str">
        <f>HYPERLINK("[#]Datatypes!A606:L606","EttCode")</f>
        <v>EttCode</v>
      </c>
      <c r="C4074" s="415" t="s">
        <v>15179</v>
      </c>
      <c r="D4074" s="221" t="s">
        <v>32244</v>
      </c>
      <c r="E4074" s="221">
        <v>11</v>
      </c>
      <c r="F4074" s="222" t="s">
        <v>32245</v>
      </c>
      <c r="G4074" s="223" t="s">
        <v>32246</v>
      </c>
      <c r="H4074" s="224"/>
      <c r="I4074" s="345"/>
      <c r="J4074" s="39">
        <v>113238</v>
      </c>
      <c r="K4074" s="36" t="str">
        <f>CONCATENATE(Cover!$D$6,"fdd/view?i=",J4074)</f>
        <v>https://www.dgiwg.org/FAD/fdd/view?i=113238</v>
      </c>
      <c r="L4074" s="36" t="s">
        <v>32247</v>
      </c>
      <c r="M4074" s="186"/>
      <c r="N4074" s="186"/>
      <c r="O4074" s="172"/>
    </row>
    <row r="4075" spans="1:15" x14ac:dyDescent="0.2">
      <c r="A4075" s="197" t="str">
        <f t="shared" si="63"/>
        <v>EttCode_anarchy</v>
      </c>
      <c r="B4075" s="409"/>
      <c r="C4075" s="416"/>
      <c r="D4075" s="198" t="s">
        <v>32248</v>
      </c>
      <c r="E4075" s="198">
        <v>1</v>
      </c>
      <c r="F4075" s="199" t="s">
        <v>32249</v>
      </c>
      <c r="G4075" s="1" t="s">
        <v>32250</v>
      </c>
      <c r="H4075" s="200"/>
      <c r="I4075" s="346"/>
      <c r="J4075" s="39">
        <v>113228</v>
      </c>
      <c r="K4075" s="36" t="str">
        <f>CONCATENATE(Cover!$D$6,"fdd/view?i=",J4075)</f>
        <v>https://www.dgiwg.org/FAD/fdd/view?i=113228</v>
      </c>
      <c r="L4075" s="36" t="s">
        <v>32251</v>
      </c>
      <c r="M4075" s="186"/>
      <c r="N4075" s="186"/>
      <c r="O4075" s="172"/>
    </row>
    <row r="4076" spans="1:15" x14ac:dyDescent="0.2">
      <c r="A4076" s="197" t="str">
        <f t="shared" si="63"/>
        <v>EttCode_androcracy</v>
      </c>
      <c r="B4076" s="409"/>
      <c r="C4076" s="416"/>
      <c r="D4076" s="198" t="s">
        <v>32252</v>
      </c>
      <c r="E4076" s="198">
        <v>2</v>
      </c>
      <c r="F4076" s="199" t="s">
        <v>32253</v>
      </c>
      <c r="G4076" s="1" t="s">
        <v>32254</v>
      </c>
      <c r="H4076" s="200"/>
      <c r="I4076" s="346"/>
      <c r="J4076" s="39">
        <v>113229</v>
      </c>
      <c r="K4076" s="36" t="str">
        <f>CONCATENATE(Cover!$D$6,"fdd/view?i=",J4076)</f>
        <v>https://www.dgiwg.org/FAD/fdd/view?i=113229</v>
      </c>
      <c r="L4076" s="36" t="s">
        <v>32255</v>
      </c>
      <c r="M4076" s="186"/>
      <c r="N4076" s="186"/>
      <c r="O4076" s="172"/>
    </row>
    <row r="4077" spans="1:15" x14ac:dyDescent="0.2">
      <c r="A4077" s="197" t="str">
        <f t="shared" si="63"/>
        <v>EttCode_aristocracy</v>
      </c>
      <c r="B4077" s="409"/>
      <c r="C4077" s="416"/>
      <c r="D4077" s="198" t="s">
        <v>32256</v>
      </c>
      <c r="E4077" s="198">
        <v>3</v>
      </c>
      <c r="F4077" s="199" t="s">
        <v>32257</v>
      </c>
      <c r="G4077" s="1" t="s">
        <v>32258</v>
      </c>
      <c r="H4077" s="200"/>
      <c r="I4077" s="346"/>
      <c r="J4077" s="39">
        <v>113230</v>
      </c>
      <c r="K4077" s="36" t="str">
        <f>CONCATENATE(Cover!$D$6,"fdd/view?i=",J4077)</f>
        <v>https://www.dgiwg.org/FAD/fdd/view?i=113230</v>
      </c>
      <c r="L4077" s="36" t="s">
        <v>32259</v>
      </c>
      <c r="M4077" s="186"/>
      <c r="N4077" s="186"/>
      <c r="O4077" s="172"/>
    </row>
    <row r="4078" spans="1:15" x14ac:dyDescent="0.2">
      <c r="A4078" s="197" t="str">
        <f t="shared" si="63"/>
        <v>EttCode_autocracy</v>
      </c>
      <c r="B4078" s="409"/>
      <c r="C4078" s="416"/>
      <c r="D4078" s="198" t="s">
        <v>32260</v>
      </c>
      <c r="E4078" s="198">
        <v>4</v>
      </c>
      <c r="F4078" s="199" t="s">
        <v>32261</v>
      </c>
      <c r="G4078" s="1" t="s">
        <v>32262</v>
      </c>
      <c r="H4078" s="200"/>
      <c r="I4078" s="346"/>
      <c r="J4078" s="39">
        <v>113231</v>
      </c>
      <c r="K4078" s="36" t="str">
        <f>CONCATENATE(Cover!$D$6,"fdd/view?i=",J4078)</f>
        <v>https://www.dgiwg.org/FAD/fdd/view?i=113231</v>
      </c>
      <c r="L4078" s="36" t="s">
        <v>32263</v>
      </c>
      <c r="M4078" s="186"/>
      <c r="N4078" s="186"/>
      <c r="O4078" s="172"/>
    </row>
    <row r="4079" spans="1:15" ht="25.5" x14ac:dyDescent="0.2">
      <c r="A4079" s="197" t="str">
        <f t="shared" si="63"/>
        <v>EttCode_constitutionalMonarchy</v>
      </c>
      <c r="B4079" s="409"/>
      <c r="C4079" s="416"/>
      <c r="D4079" s="198" t="s">
        <v>32264</v>
      </c>
      <c r="E4079" s="198">
        <v>12</v>
      </c>
      <c r="F4079" s="199" t="s">
        <v>32265</v>
      </c>
      <c r="G4079" s="1" t="s">
        <v>32266</v>
      </c>
      <c r="H4079" s="200"/>
      <c r="I4079" s="346"/>
      <c r="J4079" s="39">
        <v>113239</v>
      </c>
      <c r="K4079" s="36" t="str">
        <f>CONCATENATE(Cover!$D$6,"fdd/view?i=",J4079)</f>
        <v>https://www.dgiwg.org/FAD/fdd/view?i=113239</v>
      </c>
      <c r="L4079" s="36" t="s">
        <v>32267</v>
      </c>
      <c r="M4079" s="186"/>
      <c r="N4079" s="186"/>
      <c r="O4079" s="172"/>
    </row>
    <row r="4080" spans="1:15" ht="25.5" x14ac:dyDescent="0.2">
      <c r="A4080" s="197" t="str">
        <f t="shared" si="63"/>
        <v>EttCode_democracy</v>
      </c>
      <c r="B4080" s="409"/>
      <c r="C4080" s="416"/>
      <c r="D4080" s="198" t="s">
        <v>32268</v>
      </c>
      <c r="E4080" s="198">
        <v>5</v>
      </c>
      <c r="F4080" s="199" t="s">
        <v>32269</v>
      </c>
      <c r="G4080" s="1" t="s">
        <v>32270</v>
      </c>
      <c r="H4080" s="200"/>
      <c r="I4080" s="346"/>
      <c r="J4080" s="39">
        <v>113232</v>
      </c>
      <c r="K4080" s="36" t="str">
        <f>CONCATENATE(Cover!$D$6,"fdd/view?i=",J4080)</f>
        <v>https://www.dgiwg.org/FAD/fdd/view?i=113232</v>
      </c>
      <c r="L4080" s="36" t="s">
        <v>32271</v>
      </c>
      <c r="M4080" s="186"/>
      <c r="N4080" s="186"/>
      <c r="O4080" s="172"/>
    </row>
    <row r="4081" spans="1:15" ht="38.25" x14ac:dyDescent="0.2">
      <c r="A4081" s="197" t="str">
        <f t="shared" si="63"/>
        <v>EttCode_dictatorship</v>
      </c>
      <c r="B4081" s="409"/>
      <c r="C4081" s="416"/>
      <c r="D4081" s="198" t="s">
        <v>32272</v>
      </c>
      <c r="E4081" s="198">
        <v>6</v>
      </c>
      <c r="F4081" s="199" t="s">
        <v>32273</v>
      </c>
      <c r="G4081" s="1" t="s">
        <v>32274</v>
      </c>
      <c r="H4081" s="200"/>
      <c r="I4081" s="346"/>
      <c r="J4081" s="39">
        <v>113233</v>
      </c>
      <c r="K4081" s="36" t="str">
        <f>CONCATENATE(Cover!$D$6,"fdd/view?i=",J4081)</f>
        <v>https://www.dgiwg.org/FAD/fdd/view?i=113233</v>
      </c>
      <c r="L4081" s="36" t="s">
        <v>32275</v>
      </c>
      <c r="M4081" s="186"/>
      <c r="N4081" s="186"/>
      <c r="O4081" s="172"/>
    </row>
    <row r="4082" spans="1:15" x14ac:dyDescent="0.2">
      <c r="A4082" s="197" t="str">
        <f t="shared" si="63"/>
        <v>EttCode_gerontocracy</v>
      </c>
      <c r="B4082" s="409"/>
      <c r="C4082" s="416"/>
      <c r="D4082" s="198" t="s">
        <v>32276</v>
      </c>
      <c r="E4082" s="198">
        <v>7</v>
      </c>
      <c r="F4082" s="199" t="s">
        <v>32277</v>
      </c>
      <c r="G4082" s="1" t="s">
        <v>32278</v>
      </c>
      <c r="H4082" s="200"/>
      <c r="I4082" s="346"/>
      <c r="J4082" s="39">
        <v>113234</v>
      </c>
      <c r="K4082" s="36" t="str">
        <f>CONCATENATE(Cover!$D$6,"fdd/view?i=",J4082)</f>
        <v>https://www.dgiwg.org/FAD/fdd/view?i=113234</v>
      </c>
      <c r="L4082" s="36" t="s">
        <v>32279</v>
      </c>
      <c r="M4082" s="186"/>
      <c r="N4082" s="186"/>
      <c r="O4082" s="172"/>
    </row>
    <row r="4083" spans="1:15" x14ac:dyDescent="0.2">
      <c r="A4083" s="197" t="str">
        <f t="shared" si="63"/>
        <v>EttCode_gynarchy</v>
      </c>
      <c r="B4083" s="409"/>
      <c r="C4083" s="416"/>
      <c r="D4083" s="198" t="s">
        <v>32280</v>
      </c>
      <c r="E4083" s="198">
        <v>8</v>
      </c>
      <c r="F4083" s="199" t="s">
        <v>32281</v>
      </c>
      <c r="G4083" s="1" t="s">
        <v>32282</v>
      </c>
      <c r="H4083" s="200"/>
      <c r="I4083" s="346"/>
      <c r="J4083" s="39">
        <v>113235</v>
      </c>
      <c r="K4083" s="36" t="str">
        <f>CONCATENATE(Cover!$D$6,"fdd/view?i=",J4083)</f>
        <v>https://www.dgiwg.org/FAD/fdd/view?i=113235</v>
      </c>
      <c r="L4083" s="36" t="s">
        <v>32283</v>
      </c>
      <c r="M4083" s="186"/>
      <c r="N4083" s="186"/>
      <c r="O4083" s="172"/>
    </row>
    <row r="4084" spans="1:15" ht="25.5" x14ac:dyDescent="0.2">
      <c r="A4084" s="197" t="str">
        <f t="shared" si="63"/>
        <v>EttCode_matriarchate</v>
      </c>
      <c r="B4084" s="409"/>
      <c r="C4084" s="416"/>
      <c r="D4084" s="198" t="s">
        <v>32284</v>
      </c>
      <c r="E4084" s="198">
        <v>9</v>
      </c>
      <c r="F4084" s="199" t="s">
        <v>32285</v>
      </c>
      <c r="G4084" s="1" t="s">
        <v>32286</v>
      </c>
      <c r="H4084" s="200"/>
      <c r="I4084" s="346"/>
      <c r="J4084" s="39">
        <v>113236</v>
      </c>
      <c r="K4084" s="36" t="str">
        <f>CONCATENATE(Cover!$D$6,"fdd/view?i=",J4084)</f>
        <v>https://www.dgiwg.org/FAD/fdd/view?i=113236</v>
      </c>
      <c r="L4084" s="36" t="s">
        <v>32287</v>
      </c>
      <c r="M4084" s="186"/>
      <c r="N4084" s="186"/>
      <c r="O4084" s="172"/>
    </row>
    <row r="4085" spans="1:15" x14ac:dyDescent="0.2">
      <c r="A4085" s="197" t="str">
        <f t="shared" si="63"/>
        <v>EttCode_militocracy</v>
      </c>
      <c r="B4085" s="409"/>
      <c r="C4085" s="416"/>
      <c r="D4085" s="198" t="s">
        <v>32288</v>
      </c>
      <c r="E4085" s="198">
        <v>10</v>
      </c>
      <c r="F4085" s="199" t="s">
        <v>32289</v>
      </c>
      <c r="G4085" s="1" t="s">
        <v>32290</v>
      </c>
      <c r="H4085" s="200"/>
      <c r="I4085" s="346"/>
      <c r="J4085" s="39">
        <v>113237</v>
      </c>
      <c r="K4085" s="36" t="str">
        <f>CONCATENATE(Cover!$D$6,"fdd/view?i=",J4085)</f>
        <v>https://www.dgiwg.org/FAD/fdd/view?i=113237</v>
      </c>
      <c r="L4085" s="36" t="s">
        <v>32291</v>
      </c>
      <c r="M4085" s="186"/>
      <c r="N4085" s="186"/>
      <c r="O4085" s="172"/>
    </row>
    <row r="4086" spans="1:15" ht="25.5" x14ac:dyDescent="0.2">
      <c r="A4086" s="197" t="str">
        <f t="shared" si="63"/>
        <v>EttCode_parliamentaryMonarchy</v>
      </c>
      <c r="B4086" s="409"/>
      <c r="C4086" s="416"/>
      <c r="D4086" s="198" t="s">
        <v>32292</v>
      </c>
      <c r="E4086" s="198">
        <v>13</v>
      </c>
      <c r="F4086" s="199" t="s">
        <v>32293</v>
      </c>
      <c r="G4086" s="1" t="s">
        <v>32294</v>
      </c>
      <c r="H4086" s="200"/>
      <c r="I4086" s="346"/>
      <c r="J4086" s="39">
        <v>113240</v>
      </c>
      <c r="K4086" s="36" t="str">
        <f>CONCATENATE(Cover!$D$6,"fdd/view?i=",J4086)</f>
        <v>https://www.dgiwg.org/FAD/fdd/view?i=113240</v>
      </c>
      <c r="L4086" s="36" t="s">
        <v>32295</v>
      </c>
      <c r="M4086" s="186"/>
      <c r="N4086" s="186"/>
      <c r="O4086" s="172"/>
    </row>
    <row r="4087" spans="1:15" ht="25.5" x14ac:dyDescent="0.2">
      <c r="A4087" s="197" t="str">
        <f t="shared" si="63"/>
        <v>EttCode_patriarchate</v>
      </c>
      <c r="B4087" s="409"/>
      <c r="C4087" s="416"/>
      <c r="D4087" s="198" t="s">
        <v>32296</v>
      </c>
      <c r="E4087" s="198">
        <v>14</v>
      </c>
      <c r="F4087" s="199" t="s">
        <v>32297</v>
      </c>
      <c r="G4087" s="1" t="s">
        <v>32298</v>
      </c>
      <c r="H4087" s="200"/>
      <c r="I4087" s="346"/>
      <c r="J4087" s="39">
        <v>113241</v>
      </c>
      <c r="K4087" s="36" t="str">
        <f>CONCATENATE(Cover!$D$6,"fdd/view?i=",J4087)</f>
        <v>https://www.dgiwg.org/FAD/fdd/view?i=113241</v>
      </c>
      <c r="L4087" s="36" t="s">
        <v>32299</v>
      </c>
      <c r="M4087" s="186"/>
      <c r="N4087" s="186"/>
      <c r="O4087" s="172"/>
    </row>
    <row r="4088" spans="1:15" x14ac:dyDescent="0.2">
      <c r="A4088" s="203" t="str">
        <f t="shared" si="63"/>
        <v>EttCode_theocracy</v>
      </c>
      <c r="B4088" s="410"/>
      <c r="C4088" s="417"/>
      <c r="D4088" s="204" t="s">
        <v>32300</v>
      </c>
      <c r="E4088" s="204">
        <v>15</v>
      </c>
      <c r="F4088" s="205" t="s">
        <v>32301</v>
      </c>
      <c r="G4088" s="206" t="s">
        <v>32302</v>
      </c>
      <c r="H4088" s="207"/>
      <c r="I4088" s="347"/>
      <c r="J4088" s="39">
        <v>113242</v>
      </c>
      <c r="K4088" s="36" t="str">
        <f>CONCATENATE(Cover!$D$6,"fdd/view?i=",J4088)</f>
        <v>https://www.dgiwg.org/FAD/fdd/view?i=113242</v>
      </c>
      <c r="L4088" s="36" t="s">
        <v>32303</v>
      </c>
      <c r="M4088" s="186"/>
      <c r="N4088" s="186"/>
      <c r="O4088" s="172"/>
    </row>
    <row r="4089" spans="1:15" x14ac:dyDescent="0.2">
      <c r="A4089" s="190" t="str">
        <f t="shared" si="63"/>
        <v>FzrCode_blockhouse</v>
      </c>
      <c r="B4089" s="414" t="str">
        <f>HYPERLINK("[#]Datatypes!A608:L608","FzrCode")</f>
        <v>FzrCode</v>
      </c>
      <c r="C4089" s="415" t="s">
        <v>15181</v>
      </c>
      <c r="D4089" s="221" t="s">
        <v>32304</v>
      </c>
      <c r="E4089" s="221">
        <v>1</v>
      </c>
      <c r="F4089" s="222" t="s">
        <v>32305</v>
      </c>
      <c r="G4089" s="223" t="s">
        <v>32306</v>
      </c>
      <c r="H4089" s="223" t="s">
        <v>32307</v>
      </c>
      <c r="I4089" s="345"/>
      <c r="J4089" s="39">
        <v>118985</v>
      </c>
      <c r="K4089" s="36" t="str">
        <f>CONCATENATE(Cover!$D$6,"fdd/view?i=",J4089)</f>
        <v>https://www.dgiwg.org/FAD/fdd/view?i=118985</v>
      </c>
      <c r="L4089" s="36" t="s">
        <v>32308</v>
      </c>
      <c r="M4089" s="186"/>
      <c r="N4089" s="186"/>
      <c r="O4089" s="172"/>
    </row>
    <row r="4090" spans="1:15" ht="25.5" x14ac:dyDescent="0.2">
      <c r="A4090" s="197" t="str">
        <f t="shared" si="63"/>
        <v>FzrCode_casement</v>
      </c>
      <c r="B4090" s="409"/>
      <c r="C4090" s="416"/>
      <c r="D4090" s="198" t="s">
        <v>32309</v>
      </c>
      <c r="E4090" s="198">
        <v>2</v>
      </c>
      <c r="F4090" s="199" t="s">
        <v>32310</v>
      </c>
      <c r="G4090" s="1" t="s">
        <v>32311</v>
      </c>
      <c r="H4090" s="1" t="s">
        <v>32312</v>
      </c>
      <c r="I4090" s="346"/>
      <c r="J4090" s="39">
        <v>118986</v>
      </c>
      <c r="K4090" s="36" t="str">
        <f>CONCATENATE(Cover!$D$6,"fdd/view?i=",J4090)</f>
        <v>https://www.dgiwg.org/FAD/fdd/view?i=118986</v>
      </c>
      <c r="L4090" s="36" t="s">
        <v>32313</v>
      </c>
      <c r="M4090" s="186"/>
      <c r="N4090" s="186"/>
      <c r="O4090" s="172"/>
    </row>
    <row r="4091" spans="1:15" x14ac:dyDescent="0.2">
      <c r="A4091" s="197" t="str">
        <f t="shared" si="63"/>
        <v>FzrCode_keep</v>
      </c>
      <c r="B4091" s="409"/>
      <c r="C4091" s="416"/>
      <c r="D4091" s="198" t="s">
        <v>32314</v>
      </c>
      <c r="E4091" s="198">
        <v>3</v>
      </c>
      <c r="F4091" s="199" t="s">
        <v>32315</v>
      </c>
      <c r="G4091" s="1" t="s">
        <v>32316</v>
      </c>
      <c r="H4091" s="200"/>
      <c r="I4091" s="346"/>
      <c r="J4091" s="39">
        <v>118987</v>
      </c>
      <c r="K4091" s="36" t="str">
        <f>CONCATENATE(Cover!$D$6,"fdd/view?i=",J4091)</f>
        <v>https://www.dgiwg.org/FAD/fdd/view?i=118987</v>
      </c>
      <c r="L4091" s="36" t="s">
        <v>32317</v>
      </c>
      <c r="M4091" s="186"/>
      <c r="N4091" s="186"/>
      <c r="O4091" s="172"/>
    </row>
    <row r="4092" spans="1:15" ht="38.25" x14ac:dyDescent="0.2">
      <c r="A4092" s="197" t="str">
        <f t="shared" si="63"/>
        <v>FzrCode_martelloTower</v>
      </c>
      <c r="B4092" s="409"/>
      <c r="C4092" s="416"/>
      <c r="D4092" s="198" t="s">
        <v>32318</v>
      </c>
      <c r="E4092" s="198">
        <v>4</v>
      </c>
      <c r="F4092" s="199" t="s">
        <v>32319</v>
      </c>
      <c r="G4092" s="1" t="s">
        <v>32320</v>
      </c>
      <c r="H4092" s="1" t="s">
        <v>32321</v>
      </c>
      <c r="I4092" s="346"/>
      <c r="J4092" s="39">
        <v>118988</v>
      </c>
      <c r="K4092" s="36" t="str">
        <f>CONCATENATE(Cover!$D$6,"fdd/view?i=",J4092)</f>
        <v>https://www.dgiwg.org/FAD/fdd/view?i=118988</v>
      </c>
      <c r="L4092" s="36" t="s">
        <v>32322</v>
      </c>
      <c r="M4092" s="186"/>
      <c r="N4092" s="186"/>
      <c r="O4092" s="172"/>
    </row>
    <row r="4093" spans="1:15" ht="25.5" x14ac:dyDescent="0.2">
      <c r="A4093" s="197" t="str">
        <f t="shared" si="63"/>
        <v>FzrCode_nonSpecificFortified</v>
      </c>
      <c r="B4093" s="409"/>
      <c r="C4093" s="416"/>
      <c r="D4093" s="198" t="s">
        <v>32323</v>
      </c>
      <c r="E4093" s="198">
        <v>5</v>
      </c>
      <c r="F4093" s="199" t="s">
        <v>32324</v>
      </c>
      <c r="G4093" s="1" t="s">
        <v>32325</v>
      </c>
      <c r="H4093" s="1" t="s">
        <v>32326</v>
      </c>
      <c r="I4093" s="346"/>
      <c r="J4093" s="39">
        <v>118989</v>
      </c>
      <c r="K4093" s="36" t="str">
        <f>CONCATENATE(Cover!$D$6,"fdd/view?i=",J4093)</f>
        <v>https://www.dgiwg.org/FAD/fdd/view?i=118989</v>
      </c>
      <c r="L4093" s="36" t="s">
        <v>32327</v>
      </c>
      <c r="M4093" s="186"/>
      <c r="N4093" s="186"/>
      <c r="O4093" s="172"/>
    </row>
    <row r="4094" spans="1:15" ht="38.25" x14ac:dyDescent="0.2">
      <c r="A4094" s="203" t="str">
        <f t="shared" si="63"/>
        <v>FzrCode_pillbox</v>
      </c>
      <c r="B4094" s="410"/>
      <c r="C4094" s="417"/>
      <c r="D4094" s="204" t="s">
        <v>32328</v>
      </c>
      <c r="E4094" s="204">
        <v>6</v>
      </c>
      <c r="F4094" s="205" t="s">
        <v>32329</v>
      </c>
      <c r="G4094" s="206" t="s">
        <v>32330</v>
      </c>
      <c r="H4094" s="206" t="s">
        <v>32331</v>
      </c>
      <c r="I4094" s="347"/>
      <c r="J4094" s="39">
        <v>118990</v>
      </c>
      <c r="K4094" s="36" t="str">
        <f>CONCATENATE(Cover!$D$6,"fdd/view?i=",J4094)</f>
        <v>https://www.dgiwg.org/FAD/fdd/view?i=118990</v>
      </c>
      <c r="L4094" s="36" t="s">
        <v>32332</v>
      </c>
      <c r="M4094" s="186"/>
      <c r="N4094" s="186"/>
      <c r="O4094" s="172"/>
    </row>
    <row r="4095" spans="1:15" ht="25.5" x14ac:dyDescent="0.2">
      <c r="A4095" s="190" t="str">
        <f t="shared" si="63"/>
        <v>SicCode_iceField</v>
      </c>
      <c r="B4095" s="414" t="str">
        <f>HYPERLINK("[#]Datatypes!A610:L610","SicCode")</f>
        <v>SicCode</v>
      </c>
      <c r="C4095" s="415" t="s">
        <v>15183</v>
      </c>
      <c r="D4095" s="221" t="s">
        <v>32333</v>
      </c>
      <c r="E4095" s="221">
        <v>2</v>
      </c>
      <c r="F4095" s="222" t="s">
        <v>32334</v>
      </c>
      <c r="G4095" s="223" t="s">
        <v>32335</v>
      </c>
      <c r="H4095" s="224"/>
      <c r="I4095" s="345"/>
      <c r="J4095" s="39">
        <v>107707</v>
      </c>
      <c r="K4095" s="36" t="str">
        <f>CONCATENATE(Cover!$D$6,"fdd/view?i=",J4095)</f>
        <v>https://www.dgiwg.org/FAD/fdd/view?i=107707</v>
      </c>
      <c r="L4095" s="36" t="s">
        <v>32336</v>
      </c>
      <c r="M4095" s="186"/>
      <c r="N4095" s="186"/>
      <c r="O4095" s="172"/>
    </row>
    <row r="4096" spans="1:15" ht="25.5" x14ac:dyDescent="0.2">
      <c r="A4096" s="203" t="str">
        <f t="shared" si="63"/>
        <v>SicCode_snowfield</v>
      </c>
      <c r="B4096" s="410"/>
      <c r="C4096" s="417"/>
      <c r="D4096" s="204" t="s">
        <v>32337</v>
      </c>
      <c r="E4096" s="204">
        <v>1</v>
      </c>
      <c r="F4096" s="205" t="s">
        <v>32338</v>
      </c>
      <c r="G4096" s="206" t="s">
        <v>32339</v>
      </c>
      <c r="H4096" s="207"/>
      <c r="I4096" s="347"/>
      <c r="J4096" s="39">
        <v>107706</v>
      </c>
      <c r="K4096" s="36" t="str">
        <f>CONCATENATE(Cover!$D$6,"fdd/view?i=",J4096)</f>
        <v>https://www.dgiwg.org/FAD/fdd/view?i=107706</v>
      </c>
      <c r="L4096" s="36" t="s">
        <v>32340</v>
      </c>
      <c r="M4096" s="186"/>
      <c r="N4096" s="186"/>
      <c r="O4096" s="172"/>
    </row>
    <row r="4097" spans="1:15" ht="25.5" x14ac:dyDescent="0.2">
      <c r="A4097" s="190" t="str">
        <f t="shared" si="63"/>
        <v>FdmCode_availableButUnknown</v>
      </c>
      <c r="B4097" s="414" t="str">
        <f>HYPERLINK("[#]Datatypes!A612:L612","FdmCode")</f>
        <v>FdmCode</v>
      </c>
      <c r="C4097" s="415" t="s">
        <v>15185</v>
      </c>
      <c r="D4097" s="221" t="s">
        <v>32341</v>
      </c>
      <c r="E4097" s="221">
        <v>1</v>
      </c>
      <c r="F4097" s="222" t="s">
        <v>32342</v>
      </c>
      <c r="G4097" s="223" t="s">
        <v>32343</v>
      </c>
      <c r="H4097" s="224"/>
      <c r="I4097" s="345"/>
      <c r="J4097" s="39">
        <v>103602</v>
      </c>
      <c r="K4097" s="36" t="str">
        <f>CONCATENATE(Cover!$D$6,"fdd/view?i=",J4097)</f>
        <v>https://www.dgiwg.org/FAD/fdd/view?i=103602</v>
      </c>
      <c r="L4097" s="36" t="s">
        <v>32344</v>
      </c>
      <c r="M4097" s="186"/>
      <c r="N4097" s="186"/>
      <c r="O4097" s="172"/>
    </row>
    <row r="4098" spans="1:15" x14ac:dyDescent="0.2">
      <c r="A4098" s="197" t="str">
        <f t="shared" ref="A4098:A4161" si="64">HYPERLINK(K4098,L4098)</f>
        <v>FdmCode_hydrant</v>
      </c>
      <c r="B4098" s="409"/>
      <c r="C4098" s="416"/>
      <c r="D4098" s="198" t="s">
        <v>32345</v>
      </c>
      <c r="E4098" s="198">
        <v>4</v>
      </c>
      <c r="F4098" s="199" t="s">
        <v>32346</v>
      </c>
      <c r="G4098" s="1" t="s">
        <v>32347</v>
      </c>
      <c r="H4098" s="1" t="s">
        <v>32348</v>
      </c>
      <c r="I4098" s="351" t="s">
        <v>32349</v>
      </c>
      <c r="J4098" s="39">
        <v>103604</v>
      </c>
      <c r="K4098" s="36" t="str">
        <f>CONCATENATE(Cover!$D$6,"fdd/view?i=",J4098)</f>
        <v>https://www.dgiwg.org/FAD/fdd/view?i=103604</v>
      </c>
      <c r="L4098" s="36" t="s">
        <v>32350</v>
      </c>
      <c r="M4098" s="186"/>
      <c r="N4098" s="186"/>
      <c r="O4098" s="172"/>
    </row>
    <row r="4099" spans="1:15" ht="25.5" x14ac:dyDescent="0.2">
      <c r="A4099" s="197" t="str">
        <f t="shared" si="64"/>
        <v>FdmCode_manual</v>
      </c>
      <c r="B4099" s="409"/>
      <c r="C4099" s="416"/>
      <c r="D4099" s="198" t="s">
        <v>31988</v>
      </c>
      <c r="E4099" s="198">
        <v>5</v>
      </c>
      <c r="F4099" s="199" t="s">
        <v>31989</v>
      </c>
      <c r="G4099" s="1" t="s">
        <v>32351</v>
      </c>
      <c r="H4099" s="1" t="s">
        <v>32352</v>
      </c>
      <c r="I4099" s="351" t="s">
        <v>32353</v>
      </c>
      <c r="J4099" s="39">
        <v>103605</v>
      </c>
      <c r="K4099" s="36" t="str">
        <f>CONCATENATE(Cover!$D$6,"fdd/view?i=",J4099)</f>
        <v>https://www.dgiwg.org/FAD/fdd/view?i=103605</v>
      </c>
      <c r="L4099" s="36" t="s">
        <v>32354</v>
      </c>
      <c r="M4099" s="186"/>
      <c r="N4099" s="186"/>
      <c r="O4099" s="172"/>
    </row>
    <row r="4100" spans="1:15" x14ac:dyDescent="0.2">
      <c r="A4100" s="203" t="str">
        <f t="shared" si="64"/>
        <v>FdmCode_tankerTruck</v>
      </c>
      <c r="B4100" s="410"/>
      <c r="C4100" s="417"/>
      <c r="D4100" s="204" t="s">
        <v>32355</v>
      </c>
      <c r="E4100" s="204">
        <v>3</v>
      </c>
      <c r="F4100" s="205" t="s">
        <v>32356</v>
      </c>
      <c r="G4100" s="206" t="s">
        <v>32357</v>
      </c>
      <c r="H4100" s="207"/>
      <c r="I4100" s="353" t="s">
        <v>32358</v>
      </c>
      <c r="J4100" s="39">
        <v>103603</v>
      </c>
      <c r="K4100" s="36" t="str">
        <f>CONCATENATE(Cover!$D$6,"fdd/view?i=",J4100)</f>
        <v>https://www.dgiwg.org/FAD/fdd/view?i=103603</v>
      </c>
      <c r="L4100" s="36" t="s">
        <v>32359</v>
      </c>
      <c r="M4100" s="186"/>
      <c r="N4100" s="186"/>
      <c r="O4100" s="172"/>
    </row>
    <row r="4101" spans="1:15" ht="25.5" x14ac:dyDescent="0.2">
      <c r="A4101" s="190" t="str">
        <f t="shared" si="64"/>
        <v>B01Code_aboveBuriedTank</v>
      </c>
      <c r="B4101" s="414" t="str">
        <f>HYPERLINK("[#]Datatypes!A614:L614","B01Code")</f>
        <v>B01Code</v>
      </c>
      <c r="C4101" s="415" t="s">
        <v>15187</v>
      </c>
      <c r="D4101" s="221" t="s">
        <v>32360</v>
      </c>
      <c r="E4101" s="221">
        <v>3</v>
      </c>
      <c r="F4101" s="222" t="s">
        <v>32361</v>
      </c>
      <c r="G4101" s="223" t="s">
        <v>32362</v>
      </c>
      <c r="H4101" s="224"/>
      <c r="I4101" s="352" t="s">
        <v>32349</v>
      </c>
      <c r="J4101" s="39">
        <v>102140</v>
      </c>
      <c r="K4101" s="36" t="str">
        <f>CONCATENATE(Cover!$D$6,"fdd/view?i=",J4101)</f>
        <v>https://www.dgiwg.org/FAD/fdd/view?i=102140</v>
      </c>
      <c r="L4101" s="36" t="s">
        <v>32363</v>
      </c>
      <c r="M4101" s="186"/>
      <c r="N4101" s="186"/>
      <c r="O4101" s="172"/>
    </row>
    <row r="4102" spans="1:15" ht="25.5" x14ac:dyDescent="0.2">
      <c r="A4102" s="197" t="str">
        <f t="shared" si="64"/>
        <v>B01Code_abovegroundTank</v>
      </c>
      <c r="B4102" s="409"/>
      <c r="C4102" s="416"/>
      <c r="D4102" s="198" t="s">
        <v>32369</v>
      </c>
      <c r="E4102" s="198">
        <v>2</v>
      </c>
      <c r="F4102" s="199" t="s">
        <v>32370</v>
      </c>
      <c r="G4102" s="1" t="s">
        <v>32371</v>
      </c>
      <c r="H4102" s="200"/>
      <c r="I4102" s="351" t="s">
        <v>32358</v>
      </c>
      <c r="J4102" s="39">
        <v>102139</v>
      </c>
      <c r="K4102" s="36" t="str">
        <f>CONCATENATE(Cover!$D$6,"fdd/view?i=",J4102)</f>
        <v>https://www.dgiwg.org/FAD/fdd/view?i=102139</v>
      </c>
      <c r="L4102" s="36" t="s">
        <v>32372</v>
      </c>
      <c r="M4102" s="186"/>
      <c r="N4102" s="186"/>
      <c r="O4102" s="172"/>
    </row>
    <row r="4103" spans="1:15" ht="25.5" x14ac:dyDescent="0.2">
      <c r="A4103" s="197" t="str">
        <f t="shared" si="64"/>
        <v>B01Code_aboveSemiBuriedTank</v>
      </c>
      <c r="B4103" s="409"/>
      <c r="C4103" s="416"/>
      <c r="D4103" s="198" t="s">
        <v>32364</v>
      </c>
      <c r="E4103" s="198">
        <v>5</v>
      </c>
      <c r="F4103" s="199" t="s">
        <v>32365</v>
      </c>
      <c r="G4103" s="1" t="s">
        <v>32366</v>
      </c>
      <c r="H4103" s="200"/>
      <c r="I4103" s="351" t="s">
        <v>32367</v>
      </c>
      <c r="J4103" s="39">
        <v>102142</v>
      </c>
      <c r="K4103" s="36" t="str">
        <f>CONCATENATE(Cover!$D$6,"fdd/view?i=",J4103)</f>
        <v>https://www.dgiwg.org/FAD/fdd/view?i=102142</v>
      </c>
      <c r="L4103" s="36" t="s">
        <v>32368</v>
      </c>
      <c r="M4103" s="186"/>
      <c r="N4103" s="186"/>
      <c r="O4103" s="172"/>
    </row>
    <row r="4104" spans="1:15" ht="25.5" x14ac:dyDescent="0.2">
      <c r="A4104" s="197" t="str">
        <f t="shared" si="64"/>
        <v>B01Code_buriedSemiBuriedTank</v>
      </c>
      <c r="B4104" s="409"/>
      <c r="C4104" s="416"/>
      <c r="D4104" s="198" t="s">
        <v>32373</v>
      </c>
      <c r="E4104" s="198">
        <v>6</v>
      </c>
      <c r="F4104" s="199" t="s">
        <v>32374</v>
      </c>
      <c r="G4104" s="1" t="s">
        <v>32375</v>
      </c>
      <c r="H4104" s="200"/>
      <c r="I4104" s="351" t="s">
        <v>32376</v>
      </c>
      <c r="J4104" s="39">
        <v>102143</v>
      </c>
      <c r="K4104" s="36" t="str">
        <f>CONCATENATE(Cover!$D$6,"fdd/view?i=",J4104)</f>
        <v>https://www.dgiwg.org/FAD/fdd/view?i=102143</v>
      </c>
      <c r="L4104" s="36" t="s">
        <v>32377</v>
      </c>
      <c r="M4104" s="186"/>
      <c r="N4104" s="186"/>
      <c r="O4104" s="172"/>
    </row>
    <row r="4105" spans="1:15" x14ac:dyDescent="0.2">
      <c r="A4105" s="197" t="str">
        <f t="shared" si="64"/>
        <v>B01Code_buriedTank</v>
      </c>
      <c r="B4105" s="409"/>
      <c r="C4105" s="416"/>
      <c r="D4105" s="198" t="s">
        <v>32378</v>
      </c>
      <c r="E4105" s="198">
        <v>1</v>
      </c>
      <c r="F4105" s="199" t="s">
        <v>32379</v>
      </c>
      <c r="G4105" s="1" t="s">
        <v>32380</v>
      </c>
      <c r="H4105" s="200"/>
      <c r="I4105" s="351" t="s">
        <v>32381</v>
      </c>
      <c r="J4105" s="39">
        <v>102138</v>
      </c>
      <c r="K4105" s="36" t="str">
        <f>CONCATENATE(Cover!$D$6,"fdd/view?i=",J4105)</f>
        <v>https://www.dgiwg.org/FAD/fdd/view?i=102138</v>
      </c>
      <c r="L4105" s="36" t="s">
        <v>32382</v>
      </c>
      <c r="M4105" s="186"/>
      <c r="N4105" s="186"/>
      <c r="O4105" s="172"/>
    </row>
    <row r="4106" spans="1:15" ht="25.5" x14ac:dyDescent="0.2">
      <c r="A4106" s="197" t="str">
        <f t="shared" si="64"/>
        <v>B01Code_container</v>
      </c>
      <c r="B4106" s="409"/>
      <c r="C4106" s="416"/>
      <c r="D4106" s="198" t="s">
        <v>25533</v>
      </c>
      <c r="E4106" s="198">
        <v>9</v>
      </c>
      <c r="F4106" s="199" t="s">
        <v>25534</v>
      </c>
      <c r="G4106" s="1" t="s">
        <v>32383</v>
      </c>
      <c r="H4106" s="1" t="s">
        <v>32384</v>
      </c>
      <c r="I4106" s="351" t="s">
        <v>32353</v>
      </c>
      <c r="J4106" s="39">
        <v>102146</v>
      </c>
      <c r="K4106" s="36" t="str">
        <f>CONCATENATE(Cover!$D$6,"fdd/view?i=",J4106)</f>
        <v>https://www.dgiwg.org/FAD/fdd/view?i=102146</v>
      </c>
      <c r="L4106" s="36" t="s">
        <v>32385</v>
      </c>
      <c r="M4106" s="186"/>
      <c r="N4106" s="186"/>
      <c r="O4106" s="172"/>
    </row>
    <row r="4107" spans="1:15" ht="25.5" x14ac:dyDescent="0.2">
      <c r="A4107" s="197" t="str">
        <f t="shared" si="64"/>
        <v>B01Code_railwayTankWagon</v>
      </c>
      <c r="B4107" s="409"/>
      <c r="C4107" s="416"/>
      <c r="D4107" s="198" t="s">
        <v>32386</v>
      </c>
      <c r="E4107" s="198">
        <v>7</v>
      </c>
      <c r="F4107" s="199" t="s">
        <v>32387</v>
      </c>
      <c r="G4107" s="1" t="s">
        <v>32388</v>
      </c>
      <c r="H4107" s="1" t="s">
        <v>32389</v>
      </c>
      <c r="I4107" s="351" t="s">
        <v>32390</v>
      </c>
      <c r="J4107" s="39">
        <v>102144</v>
      </c>
      <c r="K4107" s="36" t="str">
        <f>CONCATENATE(Cover!$D$6,"fdd/view?i=",J4107)</f>
        <v>https://www.dgiwg.org/FAD/fdd/view?i=102144</v>
      </c>
      <c r="L4107" s="36" t="s">
        <v>32391</v>
      </c>
      <c r="M4107" s="186"/>
      <c r="N4107" s="186"/>
      <c r="O4107" s="172"/>
    </row>
    <row r="4108" spans="1:15" ht="25.5" x14ac:dyDescent="0.2">
      <c r="A4108" s="197" t="str">
        <f t="shared" si="64"/>
        <v>B01Code_semiBuriedTank</v>
      </c>
      <c r="B4108" s="409"/>
      <c r="C4108" s="416"/>
      <c r="D4108" s="198" t="s">
        <v>32392</v>
      </c>
      <c r="E4108" s="198">
        <v>4</v>
      </c>
      <c r="F4108" s="199" t="s">
        <v>32393</v>
      </c>
      <c r="G4108" s="1" t="s">
        <v>32394</v>
      </c>
      <c r="H4108" s="1" t="s">
        <v>32395</v>
      </c>
      <c r="I4108" s="351" t="s">
        <v>32396</v>
      </c>
      <c r="J4108" s="39">
        <v>102141</v>
      </c>
      <c r="K4108" s="36" t="str">
        <f>CONCATENATE(Cover!$D$6,"fdd/view?i=",J4108)</f>
        <v>https://www.dgiwg.org/FAD/fdd/view?i=102141</v>
      </c>
      <c r="L4108" s="36" t="s">
        <v>32397</v>
      </c>
      <c r="M4108" s="186"/>
      <c r="N4108" s="186"/>
      <c r="O4108" s="172"/>
    </row>
    <row r="4109" spans="1:15" x14ac:dyDescent="0.2">
      <c r="A4109" s="197" t="str">
        <f t="shared" si="64"/>
        <v>B01Code_tankerTruck</v>
      </c>
      <c r="B4109" s="409"/>
      <c r="C4109" s="416"/>
      <c r="D4109" s="198" t="s">
        <v>32355</v>
      </c>
      <c r="E4109" s="198">
        <v>8</v>
      </c>
      <c r="F4109" s="199" t="s">
        <v>32356</v>
      </c>
      <c r="G4109" s="1" t="s">
        <v>32403</v>
      </c>
      <c r="H4109" s="200"/>
      <c r="I4109" s="351" t="s">
        <v>32404</v>
      </c>
      <c r="J4109" s="39">
        <v>102145</v>
      </c>
      <c r="K4109" s="36" t="str">
        <f>CONCATENATE(Cover!$D$6,"fdd/view?i=",J4109)</f>
        <v>https://www.dgiwg.org/FAD/fdd/view?i=102145</v>
      </c>
      <c r="L4109" s="36" t="s">
        <v>32405</v>
      </c>
      <c r="M4109" s="186"/>
      <c r="N4109" s="186"/>
      <c r="O4109" s="172"/>
    </row>
    <row r="4110" spans="1:15" ht="25.5" x14ac:dyDescent="0.2">
      <c r="A4110" s="203" t="str">
        <f t="shared" si="64"/>
        <v>B01Code_tankMix</v>
      </c>
      <c r="B4110" s="410"/>
      <c r="C4110" s="417"/>
      <c r="D4110" s="204" t="s">
        <v>32398</v>
      </c>
      <c r="E4110" s="204">
        <v>10</v>
      </c>
      <c r="F4110" s="205" t="s">
        <v>32399</v>
      </c>
      <c r="G4110" s="206" t="s">
        <v>32400</v>
      </c>
      <c r="H4110" s="207"/>
      <c r="I4110" s="353" t="s">
        <v>32401</v>
      </c>
      <c r="J4110" s="39">
        <v>102147</v>
      </c>
      <c r="K4110" s="36" t="str">
        <f>CONCATENATE(Cover!$D$6,"fdd/view?i=",J4110)</f>
        <v>https://www.dgiwg.org/FAD/fdd/view?i=102147</v>
      </c>
      <c r="L4110" s="36" t="s">
        <v>32402</v>
      </c>
      <c r="M4110" s="186"/>
      <c r="N4110" s="186"/>
      <c r="O4110" s="172"/>
    </row>
    <row r="4111" spans="1:15" ht="51" x14ac:dyDescent="0.2">
      <c r="A4111" s="190" t="str">
        <f t="shared" si="64"/>
        <v>FtsCode_considerableDamage_F2</v>
      </c>
      <c r="B4111" s="414" t="str">
        <f>HYPERLINK("[#]Datatypes!A616:L616","FtsCode")</f>
        <v>FtsCode</v>
      </c>
      <c r="C4111" s="415" t="s">
        <v>15189</v>
      </c>
      <c r="D4111" s="221" t="s">
        <v>32416</v>
      </c>
      <c r="E4111" s="221">
        <v>3</v>
      </c>
      <c r="F4111" s="222" t="s">
        <v>32417</v>
      </c>
      <c r="G4111" s="223" t="s">
        <v>32418</v>
      </c>
      <c r="H4111" s="223" t="s">
        <v>32419</v>
      </c>
      <c r="I4111" s="345"/>
      <c r="J4111" s="39">
        <v>119084</v>
      </c>
      <c r="K4111" s="36" t="str">
        <f>CONCATENATE(Cover!$D$6,"fdd/view?i=",J4111)</f>
        <v>https://www.dgiwg.org/FAD/fdd/view?i=119084</v>
      </c>
      <c r="L4111" s="36" t="s">
        <v>32420</v>
      </c>
      <c r="M4111" s="186"/>
      <c r="N4111" s="186"/>
      <c r="O4111" s="172"/>
    </row>
    <row r="4112" spans="1:15" ht="51" x14ac:dyDescent="0.2">
      <c r="A4112" s="197" t="str">
        <f t="shared" si="64"/>
        <v>FtsCode_devastatingDamage_F4</v>
      </c>
      <c r="B4112" s="409"/>
      <c r="C4112" s="416"/>
      <c r="D4112" s="198" t="s">
        <v>32426</v>
      </c>
      <c r="E4112" s="198">
        <v>5</v>
      </c>
      <c r="F4112" s="199" t="s">
        <v>32427</v>
      </c>
      <c r="G4112" s="1" t="s">
        <v>32428</v>
      </c>
      <c r="H4112" s="1" t="s">
        <v>32429</v>
      </c>
      <c r="I4112" s="346"/>
      <c r="J4112" s="39">
        <v>119086</v>
      </c>
      <c r="K4112" s="36" t="str">
        <f>CONCATENATE(Cover!$D$6,"fdd/view?i=",J4112)</f>
        <v>https://www.dgiwg.org/FAD/fdd/view?i=119086</v>
      </c>
      <c r="L4112" s="36" t="s">
        <v>32430</v>
      </c>
      <c r="M4112" s="186"/>
      <c r="N4112" s="186"/>
      <c r="O4112" s="172"/>
    </row>
    <row r="4113" spans="1:15" ht="51" x14ac:dyDescent="0.2">
      <c r="A4113" s="197" t="str">
        <f t="shared" si="64"/>
        <v>FtsCode_incredibleDamage_F5</v>
      </c>
      <c r="B4113" s="409"/>
      <c r="C4113" s="416"/>
      <c r="D4113" s="198" t="s">
        <v>32431</v>
      </c>
      <c r="E4113" s="198">
        <v>6</v>
      </c>
      <c r="F4113" s="199" t="s">
        <v>32432</v>
      </c>
      <c r="G4113" s="1" t="s">
        <v>32433</v>
      </c>
      <c r="H4113" s="1" t="s">
        <v>32434</v>
      </c>
      <c r="I4113" s="346"/>
      <c r="J4113" s="39">
        <v>119087</v>
      </c>
      <c r="K4113" s="36" t="str">
        <f>CONCATENATE(Cover!$D$6,"fdd/view?i=",J4113)</f>
        <v>https://www.dgiwg.org/FAD/fdd/view?i=119087</v>
      </c>
      <c r="L4113" s="36" t="s">
        <v>32435</v>
      </c>
      <c r="M4113" s="186"/>
      <c r="N4113" s="186"/>
      <c r="O4113" s="172"/>
    </row>
    <row r="4114" spans="1:15" ht="38.25" x14ac:dyDescent="0.2">
      <c r="A4114" s="197" t="str">
        <f t="shared" si="64"/>
        <v>FtsCode_lightDamage_F0</v>
      </c>
      <c r="B4114" s="409"/>
      <c r="C4114" s="416"/>
      <c r="D4114" s="198" t="s">
        <v>32406</v>
      </c>
      <c r="E4114" s="198">
        <v>1</v>
      </c>
      <c r="F4114" s="199" t="s">
        <v>32407</v>
      </c>
      <c r="G4114" s="1" t="s">
        <v>32408</v>
      </c>
      <c r="H4114" s="1" t="s">
        <v>32409</v>
      </c>
      <c r="I4114" s="346"/>
      <c r="J4114" s="39">
        <v>119082</v>
      </c>
      <c r="K4114" s="36" t="str">
        <f>CONCATENATE(Cover!$D$6,"fdd/view?i=",J4114)</f>
        <v>https://www.dgiwg.org/FAD/fdd/view?i=119082</v>
      </c>
      <c r="L4114" s="36" t="s">
        <v>32410</v>
      </c>
      <c r="M4114" s="186"/>
      <c r="N4114" s="186"/>
      <c r="O4114" s="172"/>
    </row>
    <row r="4115" spans="1:15" ht="38.25" x14ac:dyDescent="0.2">
      <c r="A4115" s="197" t="str">
        <f t="shared" si="64"/>
        <v>FtsCode_moderateDamage_F1</v>
      </c>
      <c r="B4115" s="409"/>
      <c r="C4115" s="416"/>
      <c r="D4115" s="198" t="s">
        <v>32411</v>
      </c>
      <c r="E4115" s="198">
        <v>2</v>
      </c>
      <c r="F4115" s="199" t="s">
        <v>32412</v>
      </c>
      <c r="G4115" s="1" t="s">
        <v>32413</v>
      </c>
      <c r="H4115" s="1" t="s">
        <v>32414</v>
      </c>
      <c r="I4115" s="346"/>
      <c r="J4115" s="39">
        <v>119083</v>
      </c>
      <c r="K4115" s="36" t="str">
        <f>CONCATENATE(Cover!$D$6,"fdd/view?i=",J4115)</f>
        <v>https://www.dgiwg.org/FAD/fdd/view?i=119083</v>
      </c>
      <c r="L4115" s="36" t="s">
        <v>32415</v>
      </c>
      <c r="M4115" s="186"/>
      <c r="N4115" s="186"/>
      <c r="O4115" s="172"/>
    </row>
    <row r="4116" spans="1:15" ht="38.25" x14ac:dyDescent="0.2">
      <c r="A4116" s="203" t="str">
        <f t="shared" si="64"/>
        <v>FtsCode_severeDamage_F3</v>
      </c>
      <c r="B4116" s="410"/>
      <c r="C4116" s="417"/>
      <c r="D4116" s="204" t="s">
        <v>32421</v>
      </c>
      <c r="E4116" s="204">
        <v>4</v>
      </c>
      <c r="F4116" s="205" t="s">
        <v>32422</v>
      </c>
      <c r="G4116" s="206" t="s">
        <v>32423</v>
      </c>
      <c r="H4116" s="206" t="s">
        <v>32424</v>
      </c>
      <c r="I4116" s="347"/>
      <c r="J4116" s="39">
        <v>119085</v>
      </c>
      <c r="K4116" s="36" t="str">
        <f>CONCATENATE(Cover!$D$6,"fdd/view?i=",J4116)</f>
        <v>https://www.dgiwg.org/FAD/fdd/view?i=119085</v>
      </c>
      <c r="L4116" s="36" t="s">
        <v>32425</v>
      </c>
      <c r="M4116" s="186"/>
      <c r="N4116" s="186"/>
      <c r="O4116" s="172"/>
    </row>
    <row r="4117" spans="1:15" ht="25.5" x14ac:dyDescent="0.2">
      <c r="A4117" s="190" t="str">
        <f t="shared" si="64"/>
        <v>FucCode_agricultural</v>
      </c>
      <c r="B4117" s="414" t="str">
        <f>HYPERLINK("[#]Datatypes!A618:L618","FucCode")</f>
        <v>FucCode</v>
      </c>
      <c r="C4117" s="415" t="s">
        <v>15191</v>
      </c>
      <c r="D4117" s="221" t="s">
        <v>29149</v>
      </c>
      <c r="E4117" s="221">
        <v>5</v>
      </c>
      <c r="F4117" s="222" t="s">
        <v>29150</v>
      </c>
      <c r="G4117" s="223" t="s">
        <v>32436</v>
      </c>
      <c r="H4117" s="224"/>
      <c r="I4117" s="345"/>
      <c r="J4117" s="39">
        <v>103762</v>
      </c>
      <c r="K4117" s="36" t="str">
        <f>CONCATENATE(Cover!$D$6,"fdd/view?i=",J4117)</f>
        <v>https://www.dgiwg.org/FAD/fdd/view?i=103762</v>
      </c>
      <c r="L4117" s="36" t="s">
        <v>32437</v>
      </c>
      <c r="M4117" s="186"/>
      <c r="N4117" s="186"/>
      <c r="O4117" s="172"/>
    </row>
    <row r="4118" spans="1:15" ht="25.5" x14ac:dyDescent="0.2">
      <c r="A4118" s="197" t="str">
        <f t="shared" si="64"/>
        <v>FucCode_bulkStorage</v>
      </c>
      <c r="B4118" s="409"/>
      <c r="C4118" s="416"/>
      <c r="D4118" s="198" t="s">
        <v>32438</v>
      </c>
      <c r="E4118" s="198">
        <v>40</v>
      </c>
      <c r="F4118" s="199" t="s">
        <v>32439</v>
      </c>
      <c r="G4118" s="1" t="s">
        <v>32440</v>
      </c>
      <c r="H4118" s="200"/>
      <c r="I4118" s="346"/>
      <c r="J4118" s="39">
        <v>103789</v>
      </c>
      <c r="K4118" s="36" t="str">
        <f>CONCATENATE(Cover!$D$6,"fdd/view?i=",J4118)</f>
        <v>https://www.dgiwg.org/FAD/fdd/view?i=103789</v>
      </c>
      <c r="L4118" s="36" t="s">
        <v>32441</v>
      </c>
      <c r="M4118" s="186"/>
      <c r="N4118" s="186"/>
      <c r="O4118" s="172"/>
    </row>
    <row r="4119" spans="1:15" ht="25.5" x14ac:dyDescent="0.2">
      <c r="A4119" s="197" t="str">
        <f t="shared" si="64"/>
        <v>FucCode_commercial</v>
      </c>
      <c r="B4119" s="409"/>
      <c r="C4119" s="416"/>
      <c r="D4119" s="198" t="s">
        <v>28919</v>
      </c>
      <c r="E4119" s="198">
        <v>2</v>
      </c>
      <c r="F4119" s="199" t="s">
        <v>28920</v>
      </c>
      <c r="G4119" s="1" t="s">
        <v>32442</v>
      </c>
      <c r="H4119" s="200"/>
      <c r="I4119" s="346"/>
      <c r="J4119" s="39">
        <v>103759</v>
      </c>
      <c r="K4119" s="36" t="str">
        <f>CONCATENATE(Cover!$D$6,"fdd/view?i=",J4119)</f>
        <v>https://www.dgiwg.org/FAD/fdd/view?i=103759</v>
      </c>
      <c r="L4119" s="36" t="s">
        <v>32443</v>
      </c>
      <c r="M4119" s="186"/>
      <c r="N4119" s="186"/>
      <c r="O4119" s="172"/>
    </row>
    <row r="4120" spans="1:15" ht="51" x14ac:dyDescent="0.2">
      <c r="A4120" s="197" t="str">
        <f t="shared" si="64"/>
        <v>FucCode_correctional</v>
      </c>
      <c r="B4120" s="409"/>
      <c r="C4120" s="416"/>
      <c r="D4120" s="198" t="s">
        <v>32444</v>
      </c>
      <c r="E4120" s="198">
        <v>9</v>
      </c>
      <c r="F4120" s="199" t="s">
        <v>32445</v>
      </c>
      <c r="G4120" s="1" t="s">
        <v>32446</v>
      </c>
      <c r="H4120" s="200"/>
      <c r="I4120" s="346"/>
      <c r="J4120" s="39">
        <v>103766</v>
      </c>
      <c r="K4120" s="36" t="str">
        <f>CONCATENATE(Cover!$D$6,"fdd/view?i=",J4120)</f>
        <v>https://www.dgiwg.org/FAD/fdd/view?i=103766</v>
      </c>
      <c r="L4120" s="36" t="s">
        <v>32447</v>
      </c>
      <c r="M4120" s="186"/>
      <c r="N4120" s="186"/>
      <c r="O4120" s="172"/>
    </row>
    <row r="4121" spans="1:15" ht="38.25" x14ac:dyDescent="0.2">
      <c r="A4121" s="197" t="str">
        <f t="shared" si="64"/>
        <v>FucCode_cultural</v>
      </c>
      <c r="B4121" s="409"/>
      <c r="C4121" s="416"/>
      <c r="D4121" s="198" t="s">
        <v>32448</v>
      </c>
      <c r="E4121" s="198">
        <v>31</v>
      </c>
      <c r="F4121" s="199" t="s">
        <v>32449</v>
      </c>
      <c r="G4121" s="1" t="s">
        <v>32450</v>
      </c>
      <c r="H4121" s="200"/>
      <c r="I4121" s="346"/>
      <c r="J4121" s="39">
        <v>108120</v>
      </c>
      <c r="K4121" s="36" t="str">
        <f>CONCATENATE(Cover!$D$6,"fdd/view?i=",J4121)</f>
        <v>https://www.dgiwg.org/FAD/fdd/view?i=108120</v>
      </c>
      <c r="L4121" s="36" t="s">
        <v>32451</v>
      </c>
      <c r="M4121" s="186"/>
      <c r="N4121" s="186"/>
      <c r="O4121" s="172"/>
    </row>
    <row r="4122" spans="1:15" ht="38.25" x14ac:dyDescent="0.2">
      <c r="A4122" s="197" t="str">
        <f t="shared" si="64"/>
        <v>FucCode_educational</v>
      </c>
      <c r="B4122" s="409"/>
      <c r="C4122" s="416"/>
      <c r="D4122" s="198" t="s">
        <v>32452</v>
      </c>
      <c r="E4122" s="198">
        <v>26</v>
      </c>
      <c r="F4122" s="199" t="s">
        <v>32453</v>
      </c>
      <c r="G4122" s="1" t="s">
        <v>32454</v>
      </c>
      <c r="H4122" s="200"/>
      <c r="I4122" s="346"/>
      <c r="J4122" s="39">
        <v>103783</v>
      </c>
      <c r="K4122" s="36" t="str">
        <f>CONCATENATE(Cover!$D$6,"fdd/view?i=",J4122)</f>
        <v>https://www.dgiwg.org/FAD/fdd/view?i=103783</v>
      </c>
      <c r="L4122" s="36" t="s">
        <v>32455</v>
      </c>
      <c r="M4122" s="186"/>
      <c r="N4122" s="186"/>
      <c r="O4122" s="172"/>
    </row>
    <row r="4123" spans="1:15" ht="25.5" x14ac:dyDescent="0.2">
      <c r="A4123" s="197" t="str">
        <f t="shared" si="64"/>
        <v>FucCode_engineerResources</v>
      </c>
      <c r="B4123" s="409"/>
      <c r="C4123" s="416"/>
      <c r="D4123" s="198" t="s">
        <v>32456</v>
      </c>
      <c r="E4123" s="198">
        <v>39</v>
      </c>
      <c r="F4123" s="199" t="s">
        <v>32457</v>
      </c>
      <c r="G4123" s="1" t="s">
        <v>32458</v>
      </c>
      <c r="H4123" s="200"/>
      <c r="I4123" s="346"/>
      <c r="J4123" s="39">
        <v>103788</v>
      </c>
      <c r="K4123" s="36" t="str">
        <f>CONCATENATE(Cover!$D$6,"fdd/view?i=",J4123)</f>
        <v>https://www.dgiwg.org/FAD/fdd/view?i=103788</v>
      </c>
      <c r="L4123" s="36" t="s">
        <v>32459</v>
      </c>
      <c r="M4123" s="186"/>
      <c r="N4123" s="186"/>
      <c r="O4123" s="172"/>
    </row>
    <row r="4124" spans="1:15" ht="25.5" x14ac:dyDescent="0.2">
      <c r="A4124" s="197" t="str">
        <f t="shared" si="64"/>
        <v>FucCode_forestPreserve</v>
      </c>
      <c r="B4124" s="409"/>
      <c r="C4124" s="416"/>
      <c r="D4124" s="198" t="s">
        <v>32460</v>
      </c>
      <c r="E4124" s="198">
        <v>24</v>
      </c>
      <c r="F4124" s="199" t="s">
        <v>32461</v>
      </c>
      <c r="G4124" s="1" t="s">
        <v>32462</v>
      </c>
      <c r="H4124" s="200"/>
      <c r="I4124" s="346"/>
      <c r="J4124" s="39">
        <v>103781</v>
      </c>
      <c r="K4124" s="36" t="str">
        <f>CONCATENATE(Cover!$D$6,"fdd/view?i=",J4124)</f>
        <v>https://www.dgiwg.org/FAD/fdd/view?i=103781</v>
      </c>
      <c r="L4124" s="36" t="s">
        <v>32463</v>
      </c>
      <c r="M4124" s="186"/>
      <c r="N4124" s="186"/>
      <c r="O4124" s="172"/>
    </row>
    <row r="4125" spans="1:15" ht="25.5" x14ac:dyDescent="0.2">
      <c r="A4125" s="197" t="str">
        <f t="shared" si="64"/>
        <v>FucCode_government</v>
      </c>
      <c r="B4125" s="409"/>
      <c r="C4125" s="416"/>
      <c r="D4125" s="198" t="s">
        <v>30858</v>
      </c>
      <c r="E4125" s="198">
        <v>32</v>
      </c>
      <c r="F4125" s="199" t="s">
        <v>30859</v>
      </c>
      <c r="G4125" s="1" t="s">
        <v>32464</v>
      </c>
      <c r="H4125" s="200"/>
      <c r="I4125" s="346"/>
      <c r="J4125" s="39">
        <v>108126</v>
      </c>
      <c r="K4125" s="36" t="str">
        <f>CONCATENATE(Cover!$D$6,"fdd/view?i=",J4125)</f>
        <v>https://www.dgiwg.org/FAD/fdd/view?i=108126</v>
      </c>
      <c r="L4125" s="36" t="s">
        <v>32465</v>
      </c>
      <c r="M4125" s="186"/>
      <c r="N4125" s="186"/>
      <c r="O4125" s="172"/>
    </row>
    <row r="4126" spans="1:15" x14ac:dyDescent="0.2">
      <c r="A4126" s="197" t="str">
        <f t="shared" si="64"/>
        <v>FucCode_industrial</v>
      </c>
      <c r="B4126" s="409"/>
      <c r="C4126" s="416"/>
      <c r="D4126" s="198" t="s">
        <v>32466</v>
      </c>
      <c r="E4126" s="198">
        <v>1</v>
      </c>
      <c r="F4126" s="199" t="s">
        <v>32467</v>
      </c>
      <c r="G4126" s="1" t="s">
        <v>32468</v>
      </c>
      <c r="H4126" s="200"/>
      <c r="I4126" s="346"/>
      <c r="J4126" s="39">
        <v>103758</v>
      </c>
      <c r="K4126" s="36" t="str">
        <f>CONCATENATE(Cover!$D$6,"fdd/view?i=",J4126)</f>
        <v>https://www.dgiwg.org/FAD/fdd/view?i=103758</v>
      </c>
      <c r="L4126" s="36" t="s">
        <v>32469</v>
      </c>
      <c r="M4126" s="186"/>
      <c r="N4126" s="186"/>
      <c r="O4126" s="172"/>
    </row>
    <row r="4127" spans="1:15" ht="25.5" x14ac:dyDescent="0.2">
      <c r="A4127" s="197" t="str">
        <f t="shared" si="64"/>
        <v>FucCode_institutional</v>
      </c>
      <c r="B4127" s="409"/>
      <c r="C4127" s="416"/>
      <c r="D4127" s="198" t="s">
        <v>32470</v>
      </c>
      <c r="E4127" s="198">
        <v>3</v>
      </c>
      <c r="F4127" s="199" t="s">
        <v>32471</v>
      </c>
      <c r="G4127" s="1" t="s">
        <v>32472</v>
      </c>
      <c r="H4127" s="200"/>
      <c r="I4127" s="346"/>
      <c r="J4127" s="39">
        <v>103760</v>
      </c>
      <c r="K4127" s="36" t="str">
        <f>CONCATENATE(Cover!$D$6,"fdd/view?i=",J4127)</f>
        <v>https://www.dgiwg.org/FAD/fdd/view?i=103760</v>
      </c>
      <c r="L4127" s="36" t="s">
        <v>32473</v>
      </c>
      <c r="M4127" s="186"/>
      <c r="N4127" s="186"/>
      <c r="O4127" s="172"/>
    </row>
    <row r="4128" spans="1:15" x14ac:dyDescent="0.2">
      <c r="A4128" s="197" t="str">
        <f t="shared" si="64"/>
        <v>FucCode_maritime</v>
      </c>
      <c r="B4128" s="409"/>
      <c r="C4128" s="416"/>
      <c r="D4128" s="198" t="s">
        <v>26034</v>
      </c>
      <c r="E4128" s="198">
        <v>6</v>
      </c>
      <c r="F4128" s="199" t="s">
        <v>32474</v>
      </c>
      <c r="G4128" s="1" t="s">
        <v>32475</v>
      </c>
      <c r="H4128" s="200"/>
      <c r="I4128" s="346"/>
      <c r="J4128" s="39">
        <v>103763</v>
      </c>
      <c r="K4128" s="36" t="str">
        <f>CONCATENATE(Cover!$D$6,"fdd/view?i=",J4128)</f>
        <v>https://www.dgiwg.org/FAD/fdd/view?i=103763</v>
      </c>
      <c r="L4128" s="36" t="s">
        <v>32476</v>
      </c>
      <c r="M4128" s="186"/>
      <c r="N4128" s="186"/>
      <c r="O4128" s="172"/>
    </row>
    <row r="4129" spans="1:15" x14ac:dyDescent="0.2">
      <c r="A4129" s="197" t="str">
        <f t="shared" si="64"/>
        <v>FucCode_medical</v>
      </c>
      <c r="B4129" s="409"/>
      <c r="C4129" s="416"/>
      <c r="D4129" s="198" t="s">
        <v>32477</v>
      </c>
      <c r="E4129" s="198">
        <v>23</v>
      </c>
      <c r="F4129" s="199" t="s">
        <v>32478</v>
      </c>
      <c r="G4129" s="1" t="s">
        <v>32479</v>
      </c>
      <c r="H4129" s="200"/>
      <c r="I4129" s="346"/>
      <c r="J4129" s="39">
        <v>103780</v>
      </c>
      <c r="K4129" s="36" t="str">
        <f>CONCATENATE(Cover!$D$6,"fdd/view?i=",J4129)</f>
        <v>https://www.dgiwg.org/FAD/fdd/view?i=103780</v>
      </c>
      <c r="L4129" s="36" t="s">
        <v>32480</v>
      </c>
      <c r="M4129" s="186"/>
      <c r="N4129" s="186"/>
      <c r="O4129" s="172"/>
    </row>
    <row r="4130" spans="1:15" x14ac:dyDescent="0.2">
      <c r="A4130" s="197" t="str">
        <f t="shared" si="64"/>
        <v>FucCode_military</v>
      </c>
      <c r="B4130" s="409"/>
      <c r="C4130" s="416"/>
      <c r="D4130" s="198" t="s">
        <v>20503</v>
      </c>
      <c r="E4130" s="198">
        <v>37</v>
      </c>
      <c r="F4130" s="199" t="s">
        <v>20504</v>
      </c>
      <c r="G4130" s="1" t="s">
        <v>32481</v>
      </c>
      <c r="H4130" s="200"/>
      <c r="I4130" s="346"/>
      <c r="J4130" s="39">
        <v>108183</v>
      </c>
      <c r="K4130" s="36" t="str">
        <f>CONCATENATE(Cover!$D$6,"fdd/view?i=",J4130)</f>
        <v>https://www.dgiwg.org/FAD/fdd/view?i=108183</v>
      </c>
      <c r="L4130" s="36" t="s">
        <v>32482</v>
      </c>
      <c r="M4130" s="186"/>
      <c r="N4130" s="186"/>
      <c r="O4130" s="172"/>
    </row>
    <row r="4131" spans="1:15" ht="25.5" x14ac:dyDescent="0.2">
      <c r="A4131" s="197" t="str">
        <f t="shared" si="64"/>
        <v>FucCode_nonCommercial</v>
      </c>
      <c r="B4131" s="409"/>
      <c r="C4131" s="416"/>
      <c r="D4131" s="198" t="s">
        <v>32483</v>
      </c>
      <c r="E4131" s="198">
        <v>27</v>
      </c>
      <c r="F4131" s="199" t="s">
        <v>32484</v>
      </c>
      <c r="G4131" s="1" t="s">
        <v>32485</v>
      </c>
      <c r="H4131" s="200"/>
      <c r="I4131" s="351" t="s">
        <v>20070</v>
      </c>
      <c r="J4131" s="39">
        <v>112868</v>
      </c>
      <c r="K4131" s="36" t="str">
        <f>CONCATENATE(Cover!$D$6,"fdd/view?i=",J4131)</f>
        <v>https://www.dgiwg.org/FAD/fdd/view?i=112868</v>
      </c>
      <c r="L4131" s="36" t="s">
        <v>32486</v>
      </c>
      <c r="M4131" s="186"/>
      <c r="N4131" s="186"/>
      <c r="O4131" s="172"/>
    </row>
    <row r="4132" spans="1:15" ht="102" x14ac:dyDescent="0.2">
      <c r="A4132" s="197" t="str">
        <f t="shared" si="64"/>
        <v>FucCode_officesArea</v>
      </c>
      <c r="B4132" s="409"/>
      <c r="C4132" s="416"/>
      <c r="D4132" s="198" t="s">
        <v>32487</v>
      </c>
      <c r="E4132" s="198">
        <v>41</v>
      </c>
      <c r="F4132" s="199" t="s">
        <v>32488</v>
      </c>
      <c r="G4132" s="1" t="s">
        <v>4350</v>
      </c>
      <c r="H4132" s="1" t="s">
        <v>4351</v>
      </c>
      <c r="I4132" s="346"/>
      <c r="J4132" s="39">
        <v>118469</v>
      </c>
      <c r="K4132" s="36" t="str">
        <f>CONCATENATE(Cover!$D$6,"fdd/view?i=",J4132)</f>
        <v>https://www.dgiwg.org/FAD/fdd/view?i=118469</v>
      </c>
      <c r="L4132" s="36" t="s">
        <v>32489</v>
      </c>
      <c r="M4132" s="186"/>
      <c r="N4132" s="186"/>
      <c r="O4132" s="172"/>
    </row>
    <row r="4133" spans="1:15" ht="51" x14ac:dyDescent="0.2">
      <c r="A4133" s="197" t="str">
        <f t="shared" si="64"/>
        <v>FucCode_prohibitedArea</v>
      </c>
      <c r="B4133" s="409"/>
      <c r="C4133" s="416"/>
      <c r="D4133" s="198" t="s">
        <v>21657</v>
      </c>
      <c r="E4133" s="198">
        <v>33</v>
      </c>
      <c r="F4133" s="199" t="s">
        <v>21658</v>
      </c>
      <c r="G4133" s="1" t="s">
        <v>32490</v>
      </c>
      <c r="H4133" s="200"/>
      <c r="I4133" s="346"/>
      <c r="J4133" s="39">
        <v>103790</v>
      </c>
      <c r="K4133" s="36" t="str">
        <f>CONCATENATE(Cover!$D$6,"fdd/view?i=",J4133)</f>
        <v>https://www.dgiwg.org/FAD/fdd/view?i=103790</v>
      </c>
      <c r="L4133" s="36" t="s">
        <v>32491</v>
      </c>
      <c r="M4133" s="186"/>
      <c r="N4133" s="186"/>
      <c r="O4133" s="172"/>
    </row>
    <row r="4134" spans="1:15" ht="25.5" x14ac:dyDescent="0.2">
      <c r="A4134" s="197" t="str">
        <f t="shared" si="64"/>
        <v>FucCode_publicService</v>
      </c>
      <c r="B4134" s="409"/>
      <c r="C4134" s="416"/>
      <c r="D4134" s="198" t="s">
        <v>32492</v>
      </c>
      <c r="E4134" s="198">
        <v>34</v>
      </c>
      <c r="F4134" s="199" t="s">
        <v>32493</v>
      </c>
      <c r="G4134" s="1" t="s">
        <v>32494</v>
      </c>
      <c r="H4134" s="200"/>
      <c r="I4134" s="346"/>
      <c r="J4134" s="39">
        <v>108127</v>
      </c>
      <c r="K4134" s="36" t="str">
        <f>CONCATENATE(Cover!$D$6,"fdd/view?i=",J4134)</f>
        <v>https://www.dgiwg.org/FAD/fdd/view?i=108127</v>
      </c>
      <c r="L4134" s="36" t="s">
        <v>32495</v>
      </c>
      <c r="M4134" s="186"/>
      <c r="N4134" s="186"/>
      <c r="O4134" s="172"/>
    </row>
    <row r="4135" spans="1:15" ht="25.5" x14ac:dyDescent="0.2">
      <c r="A4135" s="197" t="str">
        <f t="shared" si="64"/>
        <v>FucCode_recreational</v>
      </c>
      <c r="B4135" s="409"/>
      <c r="C4135" s="416"/>
      <c r="D4135" s="198" t="s">
        <v>32496</v>
      </c>
      <c r="E4135" s="198">
        <v>13</v>
      </c>
      <c r="F4135" s="199" t="s">
        <v>32497</v>
      </c>
      <c r="G4135" s="1" t="s">
        <v>32498</v>
      </c>
      <c r="H4135" s="200"/>
      <c r="I4135" s="346"/>
      <c r="J4135" s="39">
        <v>103770</v>
      </c>
      <c r="K4135" s="36" t="str">
        <f>CONCATENATE(Cover!$D$6,"fdd/view?i=",J4135)</f>
        <v>https://www.dgiwg.org/FAD/fdd/view?i=103770</v>
      </c>
      <c r="L4135" s="36" t="s">
        <v>32499</v>
      </c>
      <c r="M4135" s="186"/>
      <c r="N4135" s="186"/>
      <c r="O4135" s="172"/>
    </row>
    <row r="4136" spans="1:15" ht="38.25" x14ac:dyDescent="0.2">
      <c r="A4136" s="197" t="str">
        <f t="shared" si="64"/>
        <v>FucCode_refugee</v>
      </c>
      <c r="B4136" s="409"/>
      <c r="C4136" s="416"/>
      <c r="D4136" s="198" t="s">
        <v>32500</v>
      </c>
      <c r="E4136" s="198">
        <v>8</v>
      </c>
      <c r="F4136" s="199" t="s">
        <v>32501</v>
      </c>
      <c r="G4136" s="1" t="s">
        <v>32502</v>
      </c>
      <c r="H4136" s="1" t="s">
        <v>32503</v>
      </c>
      <c r="I4136" s="346"/>
      <c r="J4136" s="39">
        <v>103765</v>
      </c>
      <c r="K4136" s="36" t="str">
        <f>CONCATENATE(Cover!$D$6,"fdd/view?i=",J4136)</f>
        <v>https://www.dgiwg.org/FAD/fdd/view?i=103765</v>
      </c>
      <c r="L4136" s="36" t="s">
        <v>32504</v>
      </c>
      <c r="M4136" s="186"/>
      <c r="N4136" s="186"/>
      <c r="O4136" s="172"/>
    </row>
    <row r="4137" spans="1:15" ht="38.25" x14ac:dyDescent="0.2">
      <c r="A4137" s="197" t="str">
        <f t="shared" si="64"/>
        <v>FucCode_religious</v>
      </c>
      <c r="B4137" s="409"/>
      <c r="C4137" s="416"/>
      <c r="D4137" s="198" t="s">
        <v>26434</v>
      </c>
      <c r="E4137" s="198">
        <v>35</v>
      </c>
      <c r="F4137" s="199" t="s">
        <v>26435</v>
      </c>
      <c r="G4137" s="1" t="s">
        <v>32505</v>
      </c>
      <c r="H4137" s="200"/>
      <c r="I4137" s="346"/>
      <c r="J4137" s="39">
        <v>108131</v>
      </c>
      <c r="K4137" s="36" t="str">
        <f>CONCATENATE(Cover!$D$6,"fdd/view?i=",J4137)</f>
        <v>https://www.dgiwg.org/FAD/fdd/view?i=108131</v>
      </c>
      <c r="L4137" s="36" t="s">
        <v>32506</v>
      </c>
      <c r="M4137" s="186"/>
      <c r="N4137" s="186"/>
      <c r="O4137" s="172"/>
    </row>
    <row r="4138" spans="1:15" ht="38.25" x14ac:dyDescent="0.2">
      <c r="A4138" s="197" t="str">
        <f t="shared" si="64"/>
        <v>FucCode_research</v>
      </c>
      <c r="B4138" s="409"/>
      <c r="C4138" s="416"/>
      <c r="D4138" s="198" t="s">
        <v>24099</v>
      </c>
      <c r="E4138" s="198">
        <v>42</v>
      </c>
      <c r="F4138" s="199" t="s">
        <v>24100</v>
      </c>
      <c r="G4138" s="1" t="s">
        <v>32507</v>
      </c>
      <c r="H4138" s="1" t="s">
        <v>4715</v>
      </c>
      <c r="I4138" s="346"/>
      <c r="J4138" s="39">
        <v>118470</v>
      </c>
      <c r="K4138" s="36" t="str">
        <f>CONCATENATE(Cover!$D$6,"fdd/view?i=",J4138)</f>
        <v>https://www.dgiwg.org/FAD/fdd/view?i=118470</v>
      </c>
      <c r="L4138" s="36" t="s">
        <v>32508</v>
      </c>
      <c r="M4138" s="186"/>
      <c r="N4138" s="186"/>
      <c r="O4138" s="172"/>
    </row>
    <row r="4139" spans="1:15" ht="25.5" x14ac:dyDescent="0.2">
      <c r="A4139" s="197" t="str">
        <f t="shared" si="64"/>
        <v>FucCode_reserve</v>
      </c>
      <c r="B4139" s="409"/>
      <c r="C4139" s="416"/>
      <c r="D4139" s="198" t="s">
        <v>32509</v>
      </c>
      <c r="E4139" s="198">
        <v>12</v>
      </c>
      <c r="F4139" s="199" t="s">
        <v>32510</v>
      </c>
      <c r="G4139" s="1" t="s">
        <v>32511</v>
      </c>
      <c r="H4139" s="200"/>
      <c r="I4139" s="351" t="s">
        <v>32512</v>
      </c>
      <c r="J4139" s="39">
        <v>103769</v>
      </c>
      <c r="K4139" s="36" t="str">
        <f>CONCATENATE(Cover!$D$6,"fdd/view?i=",J4139)</f>
        <v>https://www.dgiwg.org/FAD/fdd/view?i=103769</v>
      </c>
      <c r="L4139" s="36" t="s">
        <v>32513</v>
      </c>
      <c r="M4139" s="186"/>
      <c r="N4139" s="186"/>
      <c r="O4139" s="172"/>
    </row>
    <row r="4140" spans="1:15" ht="25.5" x14ac:dyDescent="0.2">
      <c r="A4140" s="197" t="str">
        <f t="shared" si="64"/>
        <v>FucCode_residential</v>
      </c>
      <c r="B4140" s="409"/>
      <c r="C4140" s="416"/>
      <c r="D4140" s="198" t="s">
        <v>32514</v>
      </c>
      <c r="E4140" s="198">
        <v>4</v>
      </c>
      <c r="F4140" s="199" t="s">
        <v>32515</v>
      </c>
      <c r="G4140" s="1" t="s">
        <v>32516</v>
      </c>
      <c r="H4140" s="200"/>
      <c r="I4140" s="346"/>
      <c r="J4140" s="39">
        <v>103761</v>
      </c>
      <c r="K4140" s="36" t="str">
        <f>CONCATENATE(Cover!$D$6,"fdd/view?i=",J4140)</f>
        <v>https://www.dgiwg.org/FAD/fdd/view?i=103761</v>
      </c>
      <c r="L4140" s="36" t="s">
        <v>32517</v>
      </c>
      <c r="M4140" s="186"/>
      <c r="N4140" s="186"/>
      <c r="O4140" s="172"/>
    </row>
    <row r="4141" spans="1:15" x14ac:dyDescent="0.2">
      <c r="A4141" s="197" t="str">
        <f t="shared" si="64"/>
        <v>FucCode_security</v>
      </c>
      <c r="B4141" s="409"/>
      <c r="C4141" s="416"/>
      <c r="D4141" s="198" t="s">
        <v>21031</v>
      </c>
      <c r="E4141" s="198">
        <v>36</v>
      </c>
      <c r="F4141" s="199" t="s">
        <v>21032</v>
      </c>
      <c r="G4141" s="1" t="s">
        <v>32518</v>
      </c>
      <c r="H4141" s="200"/>
      <c r="I4141" s="346"/>
      <c r="J4141" s="39">
        <v>108132</v>
      </c>
      <c r="K4141" s="36" t="str">
        <f>CONCATENATE(Cover!$D$6,"fdd/view?i=",J4141)</f>
        <v>https://www.dgiwg.org/FAD/fdd/view?i=108132</v>
      </c>
      <c r="L4141" s="36" t="s">
        <v>32519</v>
      </c>
      <c r="M4141" s="186"/>
      <c r="N4141" s="186"/>
      <c r="O4141" s="172"/>
    </row>
    <row r="4142" spans="1:15" ht="25.5" x14ac:dyDescent="0.2">
      <c r="A4142" s="197" t="str">
        <f t="shared" si="64"/>
        <v>FucCode_transportation</v>
      </c>
      <c r="B4142" s="409"/>
      <c r="C4142" s="416"/>
      <c r="D4142" s="198" t="s">
        <v>32520</v>
      </c>
      <c r="E4142" s="198">
        <v>20</v>
      </c>
      <c r="F4142" s="199" t="s">
        <v>32521</v>
      </c>
      <c r="G4142" s="1" t="s">
        <v>32522</v>
      </c>
      <c r="H4142" s="200"/>
      <c r="I4142" s="346"/>
      <c r="J4142" s="39">
        <v>103777</v>
      </c>
      <c r="K4142" s="36" t="str">
        <f>CONCATENATE(Cover!$D$6,"fdd/view?i=",J4142)</f>
        <v>https://www.dgiwg.org/FAD/fdd/view?i=103777</v>
      </c>
      <c r="L4142" s="36" t="s">
        <v>32523</v>
      </c>
      <c r="M4142" s="186"/>
      <c r="N4142" s="186"/>
      <c r="O4142" s="172"/>
    </row>
    <row r="4143" spans="1:15" ht="25.5" x14ac:dyDescent="0.2">
      <c r="A4143" s="197" t="str">
        <f t="shared" si="64"/>
        <v>FucCode_urbanMultiFunctional</v>
      </c>
      <c r="B4143" s="409"/>
      <c r="C4143" s="416"/>
      <c r="D4143" s="198" t="s">
        <v>32524</v>
      </c>
      <c r="E4143" s="198">
        <v>19</v>
      </c>
      <c r="F4143" s="199" t="s">
        <v>32525</v>
      </c>
      <c r="G4143" s="1" t="s">
        <v>32526</v>
      </c>
      <c r="H4143" s="200"/>
      <c r="I4143" s="346"/>
      <c r="J4143" s="39">
        <v>103776</v>
      </c>
      <c r="K4143" s="36" t="str">
        <f>CONCATENATE(Cover!$D$6,"fdd/view?i=",J4143)</f>
        <v>https://www.dgiwg.org/FAD/fdd/view?i=103776</v>
      </c>
      <c r="L4143" s="36" t="s">
        <v>32527</v>
      </c>
      <c r="M4143" s="186"/>
      <c r="N4143" s="186"/>
      <c r="O4143" s="172"/>
    </row>
    <row r="4144" spans="1:15" ht="25.5" x14ac:dyDescent="0.2">
      <c r="A4144" s="197" t="str">
        <f t="shared" si="64"/>
        <v>FucCode_utility</v>
      </c>
      <c r="B4144" s="409"/>
      <c r="C4144" s="416"/>
      <c r="D4144" s="198" t="s">
        <v>32528</v>
      </c>
      <c r="E4144" s="198">
        <v>38</v>
      </c>
      <c r="F4144" s="199" t="s">
        <v>32529</v>
      </c>
      <c r="G4144" s="1" t="s">
        <v>32530</v>
      </c>
      <c r="H4144" s="200"/>
      <c r="I4144" s="346"/>
      <c r="J4144" s="39">
        <v>108184</v>
      </c>
      <c r="K4144" s="36" t="str">
        <f>CONCATENATE(Cover!$D$6,"fdd/view?i=",J4144)</f>
        <v>https://www.dgiwg.org/FAD/fdd/view?i=108184</v>
      </c>
      <c r="L4144" s="36" t="s">
        <v>32531</v>
      </c>
      <c r="M4144" s="186"/>
      <c r="N4144" s="186"/>
      <c r="O4144" s="172"/>
    </row>
    <row r="4145" spans="1:15" ht="38.25" x14ac:dyDescent="0.2">
      <c r="A4145" s="203" t="str">
        <f t="shared" si="64"/>
        <v>FucCode_wildlifeSanctuary</v>
      </c>
      <c r="B4145" s="410"/>
      <c r="C4145" s="417"/>
      <c r="D4145" s="204" t="s">
        <v>32532</v>
      </c>
      <c r="E4145" s="204">
        <v>10</v>
      </c>
      <c r="F4145" s="205" t="s">
        <v>32533</v>
      </c>
      <c r="G4145" s="206" t="s">
        <v>32534</v>
      </c>
      <c r="H4145" s="206" t="s">
        <v>32535</v>
      </c>
      <c r="I4145" s="347"/>
      <c r="J4145" s="39">
        <v>103767</v>
      </c>
      <c r="K4145" s="36" t="str">
        <f>CONCATENATE(Cover!$D$6,"fdd/view?i=",J4145)</f>
        <v>https://www.dgiwg.org/FAD/fdd/view?i=103767</v>
      </c>
      <c r="L4145" s="36" t="s">
        <v>32536</v>
      </c>
      <c r="M4145" s="186"/>
      <c r="N4145" s="186"/>
      <c r="O4145" s="172"/>
    </row>
    <row r="4146" spans="1:15" ht="25.5" x14ac:dyDescent="0.2">
      <c r="A4146" s="190" t="str">
        <f t="shared" si="64"/>
        <v>GtcCode_borderCrossing</v>
      </c>
      <c r="B4146" s="414" t="str">
        <f>HYPERLINK("[#]Datatypes!A620:L620","GtcCode")</f>
        <v>GtcCode</v>
      </c>
      <c r="C4146" s="415" t="s">
        <v>15193</v>
      </c>
      <c r="D4146" s="221" t="s">
        <v>32537</v>
      </c>
      <c r="E4146" s="221">
        <v>4</v>
      </c>
      <c r="F4146" s="222" t="s">
        <v>2295</v>
      </c>
      <c r="G4146" s="223" t="s">
        <v>32538</v>
      </c>
      <c r="H4146" s="224"/>
      <c r="I4146" s="345"/>
      <c r="J4146" s="39">
        <v>110204</v>
      </c>
      <c r="K4146" s="36" t="str">
        <f>CONCATENATE(Cover!$D$6,"fdd/view?i=",J4146)</f>
        <v>https://www.dgiwg.org/FAD/fdd/view?i=110204</v>
      </c>
      <c r="L4146" s="36" t="s">
        <v>32539</v>
      </c>
      <c r="M4146" s="186"/>
      <c r="N4146" s="186"/>
      <c r="O4146" s="172"/>
    </row>
    <row r="4147" spans="1:15" ht="38.25" x14ac:dyDescent="0.2">
      <c r="A4147" s="197" t="str">
        <f t="shared" si="64"/>
        <v>GtcCode_crossing</v>
      </c>
      <c r="B4147" s="409"/>
      <c r="C4147" s="416"/>
      <c r="D4147" s="198" t="s">
        <v>24029</v>
      </c>
      <c r="E4147" s="198">
        <v>2</v>
      </c>
      <c r="F4147" s="199" t="s">
        <v>2669</v>
      </c>
      <c r="G4147" s="1" t="s">
        <v>32540</v>
      </c>
      <c r="H4147" s="1" t="s">
        <v>32541</v>
      </c>
      <c r="I4147" s="346"/>
      <c r="J4147" s="39">
        <v>103912</v>
      </c>
      <c r="K4147" s="36" t="str">
        <f>CONCATENATE(Cover!$D$6,"fdd/view?i=",J4147)</f>
        <v>https://www.dgiwg.org/FAD/fdd/view?i=103912</v>
      </c>
      <c r="L4147" s="36" t="s">
        <v>32542</v>
      </c>
      <c r="M4147" s="186"/>
      <c r="N4147" s="186"/>
      <c r="O4147" s="172"/>
    </row>
    <row r="4148" spans="1:15" ht="25.5" x14ac:dyDescent="0.2">
      <c r="A4148" s="197" t="str">
        <f t="shared" si="64"/>
        <v>GtcCode_entrance</v>
      </c>
      <c r="B4148" s="409"/>
      <c r="C4148" s="416"/>
      <c r="D4148" s="198" t="s">
        <v>32543</v>
      </c>
      <c r="E4148" s="198">
        <v>3</v>
      </c>
      <c r="F4148" s="199" t="s">
        <v>32544</v>
      </c>
      <c r="G4148" s="1" t="s">
        <v>32545</v>
      </c>
      <c r="H4148" s="1" t="s">
        <v>32546</v>
      </c>
      <c r="I4148" s="346"/>
      <c r="J4148" s="39">
        <v>110203</v>
      </c>
      <c r="K4148" s="36" t="str">
        <f>CONCATENATE(Cover!$D$6,"fdd/view?i=",J4148)</f>
        <v>https://www.dgiwg.org/FAD/fdd/view?i=110203</v>
      </c>
      <c r="L4148" s="36" t="s">
        <v>32547</v>
      </c>
      <c r="M4148" s="186"/>
      <c r="N4148" s="186"/>
      <c r="O4148" s="172"/>
    </row>
    <row r="4149" spans="1:15" x14ac:dyDescent="0.2">
      <c r="A4149" s="203" t="str">
        <f t="shared" si="64"/>
        <v>GtcCode_tollGate</v>
      </c>
      <c r="B4149" s="410"/>
      <c r="C4149" s="417"/>
      <c r="D4149" s="204" t="s">
        <v>25985</v>
      </c>
      <c r="E4149" s="204">
        <v>1</v>
      </c>
      <c r="F4149" s="205" t="s">
        <v>25986</v>
      </c>
      <c r="G4149" s="206" t="s">
        <v>32548</v>
      </c>
      <c r="H4149" s="207"/>
      <c r="I4149" s="347"/>
      <c r="J4149" s="39">
        <v>103911</v>
      </c>
      <c r="K4149" s="36" t="str">
        <f>CONCATENATE(Cover!$D$6,"fdd/view?i=",J4149)</f>
        <v>https://www.dgiwg.org/FAD/fdd/view?i=103911</v>
      </c>
      <c r="L4149" s="36" t="s">
        <v>32549</v>
      </c>
      <c r="M4149" s="186"/>
      <c r="N4149" s="186"/>
      <c r="O4149" s="172"/>
    </row>
    <row r="4150" spans="1:15" x14ac:dyDescent="0.2">
      <c r="A4150" s="190" t="str">
        <f t="shared" si="64"/>
        <v>DpsCode_amber</v>
      </c>
      <c r="B4150" s="414" t="str">
        <f>HYPERLINK("[#]Datatypes!A622:L622","DpsCode")</f>
        <v>DpsCode</v>
      </c>
      <c r="C4150" s="415" t="s">
        <v>15195</v>
      </c>
      <c r="D4150" s="221" t="s">
        <v>32550</v>
      </c>
      <c r="E4150" s="221">
        <v>1</v>
      </c>
      <c r="F4150" s="222" t="s">
        <v>32551</v>
      </c>
      <c r="G4150" s="223" t="s">
        <v>32552</v>
      </c>
      <c r="H4150" s="224"/>
      <c r="I4150" s="345"/>
      <c r="J4150" s="39">
        <v>113121</v>
      </c>
      <c r="K4150" s="36" t="str">
        <f>CONCATENATE(Cover!$D$6,"fdd/view?i=",J4150)</f>
        <v>https://www.dgiwg.org/FAD/fdd/view?i=113121</v>
      </c>
      <c r="L4150" s="36" t="s">
        <v>32553</v>
      </c>
      <c r="M4150" s="186"/>
      <c r="N4150" s="186"/>
      <c r="O4150" s="172"/>
    </row>
    <row r="4151" spans="1:15" ht="25.5" x14ac:dyDescent="0.2">
      <c r="A4151" s="197" t="str">
        <f t="shared" si="64"/>
        <v>DpsCode_diamond</v>
      </c>
      <c r="B4151" s="409"/>
      <c r="C4151" s="416"/>
      <c r="D4151" s="198" t="s">
        <v>24752</v>
      </c>
      <c r="E4151" s="198">
        <v>9</v>
      </c>
      <c r="F4151" s="199" t="s">
        <v>24753</v>
      </c>
      <c r="G4151" s="1" t="s">
        <v>32554</v>
      </c>
      <c r="H4151" s="1" t="s">
        <v>32555</v>
      </c>
      <c r="I4151" s="346"/>
      <c r="J4151" s="39">
        <v>113129</v>
      </c>
      <c r="K4151" s="36" t="str">
        <f>CONCATENATE(Cover!$D$6,"fdd/view?i=",J4151)</f>
        <v>https://www.dgiwg.org/FAD/fdd/view?i=113129</v>
      </c>
      <c r="L4151" s="36" t="s">
        <v>32556</v>
      </c>
      <c r="M4151" s="186"/>
      <c r="N4151" s="186"/>
      <c r="O4151" s="172"/>
    </row>
    <row r="4152" spans="1:15" x14ac:dyDescent="0.2">
      <c r="A4152" s="197" t="str">
        <f t="shared" si="64"/>
        <v>DpsCode_emerald</v>
      </c>
      <c r="B4152" s="409"/>
      <c r="C4152" s="416"/>
      <c r="D4152" s="198" t="s">
        <v>32557</v>
      </c>
      <c r="E4152" s="198">
        <v>7</v>
      </c>
      <c r="F4152" s="199" t="s">
        <v>32558</v>
      </c>
      <c r="G4152" s="1" t="s">
        <v>32559</v>
      </c>
      <c r="H4152" s="200"/>
      <c r="I4152" s="346"/>
      <c r="J4152" s="39">
        <v>113127</v>
      </c>
      <c r="K4152" s="36" t="str">
        <f>CONCATENATE(Cover!$D$6,"fdd/view?i=",J4152)</f>
        <v>https://www.dgiwg.org/FAD/fdd/view?i=113127</v>
      </c>
      <c r="L4152" s="36" t="s">
        <v>32560</v>
      </c>
      <c r="M4152" s="186"/>
      <c r="N4152" s="186"/>
      <c r="O4152" s="172"/>
    </row>
    <row r="4153" spans="1:15" ht="25.5" x14ac:dyDescent="0.2">
      <c r="A4153" s="197" t="str">
        <f t="shared" si="64"/>
        <v>DpsCode_garnet</v>
      </c>
      <c r="B4153" s="409"/>
      <c r="C4153" s="416"/>
      <c r="D4153" s="198" t="s">
        <v>32561</v>
      </c>
      <c r="E4153" s="198">
        <v>2</v>
      </c>
      <c r="F4153" s="199" t="s">
        <v>32562</v>
      </c>
      <c r="G4153" s="1" t="s">
        <v>32563</v>
      </c>
      <c r="H4153" s="200"/>
      <c r="I4153" s="346"/>
      <c r="J4153" s="39">
        <v>113122</v>
      </c>
      <c r="K4153" s="36" t="str">
        <f>CONCATENATE(Cover!$D$6,"fdd/view?i=",J4153)</f>
        <v>https://www.dgiwg.org/FAD/fdd/view?i=113122</v>
      </c>
      <c r="L4153" s="36" t="s">
        <v>32564</v>
      </c>
      <c r="M4153" s="186"/>
      <c r="N4153" s="186"/>
      <c r="O4153" s="172"/>
    </row>
    <row r="4154" spans="1:15" x14ac:dyDescent="0.2">
      <c r="A4154" s="197" t="str">
        <f t="shared" si="64"/>
        <v>DpsCode_lazurite</v>
      </c>
      <c r="B4154" s="409"/>
      <c r="C4154" s="416"/>
      <c r="D4154" s="198" t="s">
        <v>32565</v>
      </c>
      <c r="E4154" s="198">
        <v>3</v>
      </c>
      <c r="F4154" s="199" t="s">
        <v>32566</v>
      </c>
      <c r="G4154" s="1" t="s">
        <v>32567</v>
      </c>
      <c r="H4154" s="1" t="s">
        <v>32568</v>
      </c>
      <c r="I4154" s="346"/>
      <c r="J4154" s="39">
        <v>113123</v>
      </c>
      <c r="K4154" s="36" t="str">
        <f>CONCATENATE(Cover!$D$6,"fdd/view?i=",J4154)</f>
        <v>https://www.dgiwg.org/FAD/fdd/view?i=113123</v>
      </c>
      <c r="L4154" s="36" t="s">
        <v>32569</v>
      </c>
      <c r="M4154" s="186"/>
      <c r="N4154" s="186"/>
      <c r="O4154" s="172"/>
    </row>
    <row r="4155" spans="1:15" ht="25.5" x14ac:dyDescent="0.2">
      <c r="A4155" s="197" t="str">
        <f t="shared" si="64"/>
        <v>DpsCode_opal</v>
      </c>
      <c r="B4155" s="409"/>
      <c r="C4155" s="416"/>
      <c r="D4155" s="198" t="s">
        <v>32570</v>
      </c>
      <c r="E4155" s="198">
        <v>4</v>
      </c>
      <c r="F4155" s="199" t="s">
        <v>32571</v>
      </c>
      <c r="G4155" s="1" t="s">
        <v>32572</v>
      </c>
      <c r="H4155" s="1" t="s">
        <v>32573</v>
      </c>
      <c r="I4155" s="346"/>
      <c r="J4155" s="39">
        <v>113124</v>
      </c>
      <c r="K4155" s="36" t="str">
        <f>CONCATENATE(Cover!$D$6,"fdd/view?i=",J4155)</f>
        <v>https://www.dgiwg.org/FAD/fdd/view?i=113124</v>
      </c>
      <c r="L4155" s="36" t="s">
        <v>32574</v>
      </c>
      <c r="M4155" s="186"/>
      <c r="N4155" s="186"/>
      <c r="O4155" s="172"/>
    </row>
    <row r="4156" spans="1:15" x14ac:dyDescent="0.2">
      <c r="A4156" s="197" t="str">
        <f t="shared" si="64"/>
        <v>DpsCode_ruby</v>
      </c>
      <c r="B4156" s="409"/>
      <c r="C4156" s="416"/>
      <c r="D4156" s="198" t="s">
        <v>32575</v>
      </c>
      <c r="E4156" s="198">
        <v>5</v>
      </c>
      <c r="F4156" s="199" t="s">
        <v>32576</v>
      </c>
      <c r="G4156" s="1" t="s">
        <v>32577</v>
      </c>
      <c r="H4156" s="200"/>
      <c r="I4156" s="346"/>
      <c r="J4156" s="39">
        <v>113125</v>
      </c>
      <c r="K4156" s="36" t="str">
        <f>CONCATENATE(Cover!$D$6,"fdd/view?i=",J4156)</f>
        <v>https://www.dgiwg.org/FAD/fdd/view?i=113125</v>
      </c>
      <c r="L4156" s="36" t="s">
        <v>32578</v>
      </c>
      <c r="M4156" s="186"/>
      <c r="N4156" s="186"/>
      <c r="O4156" s="172"/>
    </row>
    <row r="4157" spans="1:15" x14ac:dyDescent="0.2">
      <c r="A4157" s="197" t="str">
        <f t="shared" si="64"/>
        <v>DpsCode_sapphire</v>
      </c>
      <c r="B4157" s="409"/>
      <c r="C4157" s="416"/>
      <c r="D4157" s="198" t="s">
        <v>32579</v>
      </c>
      <c r="E4157" s="198">
        <v>6</v>
      </c>
      <c r="F4157" s="199" t="s">
        <v>32580</v>
      </c>
      <c r="G4157" s="1" t="s">
        <v>32581</v>
      </c>
      <c r="H4157" s="200"/>
      <c r="I4157" s="346"/>
      <c r="J4157" s="39">
        <v>113126</v>
      </c>
      <c r="K4157" s="36" t="str">
        <f>CONCATENATE(Cover!$D$6,"fdd/view?i=",J4157)</f>
        <v>https://www.dgiwg.org/FAD/fdd/view?i=113126</v>
      </c>
      <c r="L4157" s="36" t="s">
        <v>32582</v>
      </c>
      <c r="M4157" s="186"/>
      <c r="N4157" s="186"/>
      <c r="O4157" s="172"/>
    </row>
    <row r="4158" spans="1:15" x14ac:dyDescent="0.2">
      <c r="A4158" s="203" t="str">
        <f t="shared" si="64"/>
        <v>DpsCode_topaz</v>
      </c>
      <c r="B4158" s="410"/>
      <c r="C4158" s="417"/>
      <c r="D4158" s="204" t="s">
        <v>32583</v>
      </c>
      <c r="E4158" s="204">
        <v>8</v>
      </c>
      <c r="F4158" s="205" t="s">
        <v>32584</v>
      </c>
      <c r="G4158" s="206" t="s">
        <v>32585</v>
      </c>
      <c r="H4158" s="206" t="s">
        <v>32586</v>
      </c>
      <c r="I4158" s="347"/>
      <c r="J4158" s="39">
        <v>113128</v>
      </c>
      <c r="K4158" s="36" t="str">
        <f>CONCATENATE(Cover!$D$6,"fdd/view?i=",J4158)</f>
        <v>https://www.dgiwg.org/FAD/fdd/view?i=113128</v>
      </c>
      <c r="L4158" s="36" t="s">
        <v>32587</v>
      </c>
      <c r="M4158" s="186"/>
      <c r="N4158" s="186"/>
      <c r="O4158" s="172"/>
    </row>
    <row r="4159" spans="1:15" ht="38.25" x14ac:dyDescent="0.2">
      <c r="A4159" s="190" t="str">
        <f t="shared" si="64"/>
        <v>HzdCode_adindan</v>
      </c>
      <c r="B4159" s="414" t="str">
        <f>HYPERLINK("[#]Datatypes!A624:L624","HzdCode")</f>
        <v>HzdCode</v>
      </c>
      <c r="C4159" s="415" t="s">
        <v>15197</v>
      </c>
      <c r="D4159" s="221" t="s">
        <v>32588</v>
      </c>
      <c r="E4159" s="221">
        <v>1</v>
      </c>
      <c r="F4159" s="222" t="s">
        <v>32589</v>
      </c>
      <c r="G4159" s="223" t="s">
        <v>32590</v>
      </c>
      <c r="H4159" s="223" t="s">
        <v>32591</v>
      </c>
      <c r="I4159" s="345"/>
      <c r="J4159" s="39">
        <v>104350</v>
      </c>
      <c r="K4159" s="36" t="str">
        <f>CONCATENATE(Cover!$D$6,"fdd/view?i=",J4159)</f>
        <v>https://www.dgiwg.org/FAD/fdd/view?i=104350</v>
      </c>
      <c r="L4159" s="36" t="s">
        <v>32592</v>
      </c>
      <c r="M4159" s="186"/>
      <c r="N4159" s="186"/>
      <c r="O4159" s="172"/>
    </row>
    <row r="4160" spans="1:15" ht="38.25" x14ac:dyDescent="0.2">
      <c r="A4160" s="197" t="str">
        <f t="shared" si="64"/>
        <v>HzdCode_adindanBurkinaFaso</v>
      </c>
      <c r="B4160" s="409"/>
      <c r="C4160" s="416"/>
      <c r="D4160" s="198" t="s">
        <v>32593</v>
      </c>
      <c r="E4160" s="198">
        <v>6</v>
      </c>
      <c r="F4160" s="199" t="s">
        <v>32594</v>
      </c>
      <c r="G4160" s="1" t="s">
        <v>32595</v>
      </c>
      <c r="H4160" s="1" t="s">
        <v>32591</v>
      </c>
      <c r="I4160" s="346"/>
      <c r="J4160" s="39">
        <v>104355</v>
      </c>
      <c r="K4160" s="36" t="str">
        <f>CONCATENATE(Cover!$D$6,"fdd/view?i=",J4160)</f>
        <v>https://www.dgiwg.org/FAD/fdd/view?i=104355</v>
      </c>
      <c r="L4160" s="36" t="s">
        <v>32596</v>
      </c>
      <c r="M4160" s="186"/>
      <c r="N4160" s="186"/>
      <c r="O4160" s="172"/>
    </row>
    <row r="4161" spans="1:15" ht="38.25" x14ac:dyDescent="0.2">
      <c r="A4161" s="197" t="str">
        <f t="shared" si="64"/>
        <v>HzdCode_adindanCameroon</v>
      </c>
      <c r="B4161" s="409"/>
      <c r="C4161" s="416"/>
      <c r="D4161" s="198" t="s">
        <v>32597</v>
      </c>
      <c r="E4161" s="198">
        <v>7</v>
      </c>
      <c r="F4161" s="199" t="s">
        <v>32598</v>
      </c>
      <c r="G4161" s="1" t="s">
        <v>32599</v>
      </c>
      <c r="H4161" s="1" t="s">
        <v>32591</v>
      </c>
      <c r="I4161" s="346"/>
      <c r="J4161" s="39">
        <v>104356</v>
      </c>
      <c r="K4161" s="36" t="str">
        <f>CONCATENATE(Cover!$D$6,"fdd/view?i=",J4161)</f>
        <v>https://www.dgiwg.org/FAD/fdd/view?i=104356</v>
      </c>
      <c r="L4161" s="36" t="s">
        <v>32600</v>
      </c>
      <c r="M4161" s="186"/>
      <c r="N4161" s="186"/>
      <c r="O4161" s="172"/>
    </row>
    <row r="4162" spans="1:15" ht="38.25" x14ac:dyDescent="0.2">
      <c r="A4162" s="197" t="str">
        <f t="shared" ref="A4162:A4225" si="65">HYPERLINK(K4162,L4162)</f>
        <v>HzdCode_adindanEthiopia</v>
      </c>
      <c r="B4162" s="409"/>
      <c r="C4162" s="416"/>
      <c r="D4162" s="198" t="s">
        <v>32601</v>
      </c>
      <c r="E4162" s="198">
        <v>2</v>
      </c>
      <c r="F4162" s="199" t="s">
        <v>32602</v>
      </c>
      <c r="G4162" s="1" t="s">
        <v>32603</v>
      </c>
      <c r="H4162" s="1" t="s">
        <v>32591</v>
      </c>
      <c r="I4162" s="346"/>
      <c r="J4162" s="39">
        <v>104351</v>
      </c>
      <c r="K4162" s="36" t="str">
        <f>CONCATENATE(Cover!$D$6,"fdd/view?i=",J4162)</f>
        <v>https://www.dgiwg.org/FAD/fdd/view?i=104351</v>
      </c>
      <c r="L4162" s="36" t="s">
        <v>32604</v>
      </c>
      <c r="M4162" s="186"/>
      <c r="N4162" s="186"/>
      <c r="O4162" s="172"/>
    </row>
    <row r="4163" spans="1:15" ht="38.25" x14ac:dyDescent="0.2">
      <c r="A4163" s="197" t="str">
        <f t="shared" si="65"/>
        <v>HzdCode_adindanMali</v>
      </c>
      <c r="B4163" s="409"/>
      <c r="C4163" s="416"/>
      <c r="D4163" s="198" t="s">
        <v>32605</v>
      </c>
      <c r="E4163" s="198">
        <v>4</v>
      </c>
      <c r="F4163" s="199" t="s">
        <v>32606</v>
      </c>
      <c r="G4163" s="1" t="s">
        <v>32607</v>
      </c>
      <c r="H4163" s="1" t="s">
        <v>32591</v>
      </c>
      <c r="I4163" s="346"/>
      <c r="J4163" s="39">
        <v>104353</v>
      </c>
      <c r="K4163" s="36" t="str">
        <f>CONCATENATE(Cover!$D$6,"fdd/view?i=",J4163)</f>
        <v>https://www.dgiwg.org/FAD/fdd/view?i=104353</v>
      </c>
      <c r="L4163" s="36" t="s">
        <v>32608</v>
      </c>
      <c r="M4163" s="186"/>
      <c r="N4163" s="186"/>
      <c r="O4163" s="172"/>
    </row>
    <row r="4164" spans="1:15" ht="38.25" x14ac:dyDescent="0.2">
      <c r="A4164" s="197" t="str">
        <f t="shared" si="65"/>
        <v>HzdCode_adindanMeanValue</v>
      </c>
      <c r="B4164" s="409"/>
      <c r="C4164" s="416"/>
      <c r="D4164" s="198" t="s">
        <v>32609</v>
      </c>
      <c r="E4164" s="198">
        <v>8</v>
      </c>
      <c r="F4164" s="199" t="s">
        <v>32610</v>
      </c>
      <c r="G4164" s="1" t="s">
        <v>32611</v>
      </c>
      <c r="H4164" s="1" t="s">
        <v>32591</v>
      </c>
      <c r="I4164" s="346"/>
      <c r="J4164" s="39">
        <v>104357</v>
      </c>
      <c r="K4164" s="36" t="str">
        <f>CONCATENATE(Cover!$D$6,"fdd/view?i=",J4164)</f>
        <v>https://www.dgiwg.org/FAD/fdd/view?i=104357</v>
      </c>
      <c r="L4164" s="36" t="s">
        <v>32612</v>
      </c>
      <c r="M4164" s="186"/>
      <c r="N4164" s="186"/>
      <c r="O4164" s="172"/>
    </row>
    <row r="4165" spans="1:15" ht="38.25" x14ac:dyDescent="0.2">
      <c r="A4165" s="197" t="str">
        <f t="shared" si="65"/>
        <v>HzdCode_adindanSenegal</v>
      </c>
      <c r="B4165" s="409"/>
      <c r="C4165" s="416"/>
      <c r="D4165" s="198" t="s">
        <v>32613</v>
      </c>
      <c r="E4165" s="198">
        <v>5</v>
      </c>
      <c r="F4165" s="199" t="s">
        <v>32614</v>
      </c>
      <c r="G4165" s="1" t="s">
        <v>32615</v>
      </c>
      <c r="H4165" s="1" t="s">
        <v>32591</v>
      </c>
      <c r="I4165" s="346"/>
      <c r="J4165" s="39">
        <v>104354</v>
      </c>
      <c r="K4165" s="36" t="str">
        <f>CONCATENATE(Cover!$D$6,"fdd/view?i=",J4165)</f>
        <v>https://www.dgiwg.org/FAD/fdd/view?i=104354</v>
      </c>
      <c r="L4165" s="36" t="s">
        <v>32616</v>
      </c>
      <c r="M4165" s="186"/>
      <c r="N4165" s="186"/>
      <c r="O4165" s="172"/>
    </row>
    <row r="4166" spans="1:15" ht="38.25" x14ac:dyDescent="0.2">
      <c r="A4166" s="197" t="str">
        <f t="shared" si="65"/>
        <v>HzdCode_adindanSudan</v>
      </c>
      <c r="B4166" s="409"/>
      <c r="C4166" s="416"/>
      <c r="D4166" s="198" t="s">
        <v>32617</v>
      </c>
      <c r="E4166" s="198">
        <v>3</v>
      </c>
      <c r="F4166" s="199" t="s">
        <v>32618</v>
      </c>
      <c r="G4166" s="1" t="s">
        <v>32619</v>
      </c>
      <c r="H4166" s="1" t="s">
        <v>32591</v>
      </c>
      <c r="I4166" s="346"/>
      <c r="J4166" s="39">
        <v>104352</v>
      </c>
      <c r="K4166" s="36" t="str">
        <f>CONCATENATE(Cover!$D$6,"fdd/view?i=",J4166)</f>
        <v>https://www.dgiwg.org/FAD/fdd/view?i=104352</v>
      </c>
      <c r="L4166" s="36" t="s">
        <v>32620</v>
      </c>
      <c r="M4166" s="186"/>
      <c r="N4166" s="186"/>
      <c r="O4166" s="172"/>
    </row>
    <row r="4167" spans="1:15" ht="38.25" x14ac:dyDescent="0.2">
      <c r="A4167" s="197" t="str">
        <f t="shared" si="65"/>
        <v>HzdCode_afgooyeSomalia</v>
      </c>
      <c r="B4167" s="409"/>
      <c r="C4167" s="416"/>
      <c r="D4167" s="198" t="s">
        <v>32621</v>
      </c>
      <c r="E4167" s="198">
        <v>9</v>
      </c>
      <c r="F4167" s="199" t="s">
        <v>32622</v>
      </c>
      <c r="G4167" s="1" t="s">
        <v>32623</v>
      </c>
      <c r="H4167" s="1" t="s">
        <v>32591</v>
      </c>
      <c r="I4167" s="346"/>
      <c r="J4167" s="39">
        <v>104358</v>
      </c>
      <c r="K4167" s="36" t="str">
        <f>CONCATENATE(Cover!$D$6,"fdd/view?i=",J4167)</f>
        <v>https://www.dgiwg.org/FAD/fdd/view?i=104358</v>
      </c>
      <c r="L4167" s="36" t="s">
        <v>32624</v>
      </c>
      <c r="M4167" s="186"/>
      <c r="N4167" s="186"/>
      <c r="O4167" s="172"/>
    </row>
    <row r="4168" spans="1:15" ht="38.25" x14ac:dyDescent="0.2">
      <c r="A4168" s="197" t="str">
        <f t="shared" si="65"/>
        <v>HzdCode_ainElAbd1970</v>
      </c>
      <c r="B4168" s="409"/>
      <c r="C4168" s="416"/>
      <c r="D4168" s="198" t="s">
        <v>32625</v>
      </c>
      <c r="E4168" s="198">
        <v>11</v>
      </c>
      <c r="F4168" s="199" t="s">
        <v>32626</v>
      </c>
      <c r="G4168" s="1" t="s">
        <v>32627</v>
      </c>
      <c r="H4168" s="1" t="s">
        <v>32591</v>
      </c>
      <c r="I4168" s="346"/>
      <c r="J4168" s="39">
        <v>104360</v>
      </c>
      <c r="K4168" s="36" t="str">
        <f>CONCATENATE(Cover!$D$6,"fdd/view?i=",J4168)</f>
        <v>https://www.dgiwg.org/FAD/fdd/view?i=104360</v>
      </c>
      <c r="L4168" s="36" t="s">
        <v>32628</v>
      </c>
      <c r="M4168" s="186"/>
      <c r="N4168" s="186"/>
      <c r="O4168" s="172"/>
    </row>
    <row r="4169" spans="1:15" ht="38.25" x14ac:dyDescent="0.2">
      <c r="A4169" s="197" t="str">
        <f t="shared" si="65"/>
        <v>HzdCode_ainElAbd1970BahrainIsland</v>
      </c>
      <c r="B4169" s="409"/>
      <c r="C4169" s="416"/>
      <c r="D4169" s="198" t="s">
        <v>32629</v>
      </c>
      <c r="E4169" s="198">
        <v>12</v>
      </c>
      <c r="F4169" s="199" t="s">
        <v>32630</v>
      </c>
      <c r="G4169" s="1" t="s">
        <v>32631</v>
      </c>
      <c r="H4169" s="1" t="s">
        <v>32591</v>
      </c>
      <c r="I4169" s="346"/>
      <c r="J4169" s="39">
        <v>104361</v>
      </c>
      <c r="K4169" s="36" t="str">
        <f>CONCATENATE(Cover!$D$6,"fdd/view?i=",J4169)</f>
        <v>https://www.dgiwg.org/FAD/fdd/view?i=104361</v>
      </c>
      <c r="L4169" s="36" t="s">
        <v>32632</v>
      </c>
      <c r="M4169" s="186"/>
      <c r="N4169" s="186"/>
      <c r="O4169" s="172"/>
    </row>
    <row r="4170" spans="1:15" ht="38.25" x14ac:dyDescent="0.2">
      <c r="A4170" s="197" t="str">
        <f t="shared" si="65"/>
        <v>HzdCode_ainElAbd1970SaudiArabia</v>
      </c>
      <c r="B4170" s="409"/>
      <c r="C4170" s="416"/>
      <c r="D4170" s="198" t="s">
        <v>32633</v>
      </c>
      <c r="E4170" s="198">
        <v>13</v>
      </c>
      <c r="F4170" s="199" t="s">
        <v>32634</v>
      </c>
      <c r="G4170" s="1" t="s">
        <v>32635</v>
      </c>
      <c r="H4170" s="1" t="s">
        <v>32591</v>
      </c>
      <c r="I4170" s="346"/>
      <c r="J4170" s="39">
        <v>104362</v>
      </c>
      <c r="K4170" s="36" t="str">
        <f>CONCATENATE(Cover!$D$6,"fdd/view?i=",J4170)</f>
        <v>https://www.dgiwg.org/FAD/fdd/view?i=104362</v>
      </c>
      <c r="L4170" s="36" t="s">
        <v>32636</v>
      </c>
      <c r="M4170" s="186"/>
      <c r="N4170" s="186"/>
      <c r="O4170" s="172"/>
    </row>
    <row r="4171" spans="1:15" ht="38.25" x14ac:dyDescent="0.2">
      <c r="A4171" s="197" t="str">
        <f t="shared" si="65"/>
        <v>HzdCode_americanSamoaDatum1962</v>
      </c>
      <c r="B4171" s="409"/>
      <c r="C4171" s="416"/>
      <c r="D4171" s="198" t="s">
        <v>32637</v>
      </c>
      <c r="E4171" s="198">
        <v>14</v>
      </c>
      <c r="F4171" s="199" t="s">
        <v>32638</v>
      </c>
      <c r="G4171" s="1" t="s">
        <v>32639</v>
      </c>
      <c r="H4171" s="1" t="s">
        <v>32591</v>
      </c>
      <c r="I4171" s="346"/>
      <c r="J4171" s="39">
        <v>104363</v>
      </c>
      <c r="K4171" s="36" t="str">
        <f>CONCATENATE(Cover!$D$6,"fdd/view?i=",J4171)</f>
        <v>https://www.dgiwg.org/FAD/fdd/view?i=104363</v>
      </c>
      <c r="L4171" s="36" t="s">
        <v>32640</v>
      </c>
      <c r="M4171" s="186"/>
      <c r="N4171" s="186"/>
      <c r="O4171" s="172"/>
    </row>
    <row r="4172" spans="1:15" ht="38.25" x14ac:dyDescent="0.2">
      <c r="A4172" s="197" t="str">
        <f t="shared" si="65"/>
        <v>HzdCode_amersfoort1885dash1903</v>
      </c>
      <c r="B4172" s="409"/>
      <c r="C4172" s="416"/>
      <c r="D4172" s="198" t="s">
        <v>32641</v>
      </c>
      <c r="E4172" s="198">
        <v>15</v>
      </c>
      <c r="F4172" s="199" t="s">
        <v>32642</v>
      </c>
      <c r="G4172" s="1" t="s">
        <v>32643</v>
      </c>
      <c r="H4172" s="1" t="s">
        <v>32591</v>
      </c>
      <c r="I4172" s="346"/>
      <c r="J4172" s="39">
        <v>104364</v>
      </c>
      <c r="K4172" s="36" t="str">
        <f>CONCATENATE(Cover!$D$6,"fdd/view?i=",J4172)</f>
        <v>https://www.dgiwg.org/FAD/fdd/view?i=104364</v>
      </c>
      <c r="L4172" s="36" t="s">
        <v>32644</v>
      </c>
      <c r="M4172" s="186"/>
      <c r="N4172" s="186"/>
      <c r="O4172" s="172"/>
    </row>
    <row r="4173" spans="1:15" ht="38.25" x14ac:dyDescent="0.2">
      <c r="A4173" s="197" t="str">
        <f t="shared" si="65"/>
        <v>HzdCode_anna1Astro1965CocosIslands</v>
      </c>
      <c r="B4173" s="409"/>
      <c r="C4173" s="416"/>
      <c r="D4173" s="198" t="s">
        <v>32645</v>
      </c>
      <c r="E4173" s="198">
        <v>16</v>
      </c>
      <c r="F4173" s="199" t="s">
        <v>32646</v>
      </c>
      <c r="G4173" s="1" t="s">
        <v>32647</v>
      </c>
      <c r="H4173" s="1" t="s">
        <v>32591</v>
      </c>
      <c r="I4173" s="346"/>
      <c r="J4173" s="39">
        <v>104365</v>
      </c>
      <c r="K4173" s="36" t="str">
        <f>CONCATENATE(Cover!$D$6,"fdd/view?i=",J4173)</f>
        <v>https://www.dgiwg.org/FAD/fdd/view?i=104365</v>
      </c>
      <c r="L4173" s="36" t="s">
        <v>32648</v>
      </c>
      <c r="M4173" s="186"/>
      <c r="N4173" s="186"/>
      <c r="O4173" s="172"/>
    </row>
    <row r="4174" spans="1:15" ht="38.25" x14ac:dyDescent="0.2">
      <c r="A4174" s="197" t="str">
        <f t="shared" si="65"/>
        <v>HzdCode_antiguaIslandAstro1943</v>
      </c>
      <c r="B4174" s="409"/>
      <c r="C4174" s="416"/>
      <c r="D4174" s="198" t="s">
        <v>32649</v>
      </c>
      <c r="E4174" s="198">
        <v>10</v>
      </c>
      <c r="F4174" s="199" t="s">
        <v>32650</v>
      </c>
      <c r="G4174" s="1" t="s">
        <v>32651</v>
      </c>
      <c r="H4174" s="1" t="s">
        <v>32591</v>
      </c>
      <c r="I4174" s="346"/>
      <c r="J4174" s="39">
        <v>104359</v>
      </c>
      <c r="K4174" s="36" t="str">
        <f>CONCATENATE(Cover!$D$6,"fdd/view?i=",J4174)</f>
        <v>https://www.dgiwg.org/FAD/fdd/view?i=104359</v>
      </c>
      <c r="L4174" s="36" t="s">
        <v>32652</v>
      </c>
      <c r="M4174" s="186"/>
      <c r="N4174" s="186"/>
      <c r="O4174" s="172"/>
    </row>
    <row r="4175" spans="1:15" ht="38.25" x14ac:dyDescent="0.2">
      <c r="A4175" s="197" t="str">
        <f t="shared" si="65"/>
        <v>HzdCode_approximateLuzonDatum</v>
      </c>
      <c r="B4175" s="409"/>
      <c r="C4175" s="416"/>
      <c r="D4175" s="198" t="s">
        <v>32653</v>
      </c>
      <c r="E4175" s="198">
        <v>17</v>
      </c>
      <c r="F4175" s="199" t="s">
        <v>32654</v>
      </c>
      <c r="G4175" s="1" t="s">
        <v>32655</v>
      </c>
      <c r="H4175" s="1" t="s">
        <v>32591</v>
      </c>
      <c r="I4175" s="346"/>
      <c r="J4175" s="39">
        <v>104366</v>
      </c>
      <c r="K4175" s="36" t="str">
        <f>CONCATENATE(Cover!$D$6,"fdd/view?i=",J4175)</f>
        <v>https://www.dgiwg.org/FAD/fdd/view?i=104366</v>
      </c>
      <c r="L4175" s="36" t="s">
        <v>32656</v>
      </c>
      <c r="M4175" s="186"/>
      <c r="N4175" s="186"/>
      <c r="O4175" s="172"/>
    </row>
    <row r="4176" spans="1:15" ht="38.25" x14ac:dyDescent="0.2">
      <c r="A4176" s="197" t="str">
        <f t="shared" si="65"/>
        <v>HzdCode_arc1935Africa</v>
      </c>
      <c r="B4176" s="409"/>
      <c r="C4176" s="416"/>
      <c r="D4176" s="198" t="s">
        <v>32657</v>
      </c>
      <c r="E4176" s="198">
        <v>32</v>
      </c>
      <c r="F4176" s="199" t="s">
        <v>32658</v>
      </c>
      <c r="G4176" s="1" t="s">
        <v>32659</v>
      </c>
      <c r="H4176" s="1" t="s">
        <v>32591</v>
      </c>
      <c r="I4176" s="346"/>
      <c r="J4176" s="39">
        <v>104381</v>
      </c>
      <c r="K4176" s="36" t="str">
        <f>CONCATENATE(Cover!$D$6,"fdd/view?i=",J4176)</f>
        <v>https://www.dgiwg.org/FAD/fdd/view?i=104381</v>
      </c>
      <c r="L4176" s="36" t="s">
        <v>32660</v>
      </c>
      <c r="M4176" s="186"/>
      <c r="N4176" s="186"/>
      <c r="O4176" s="172"/>
    </row>
    <row r="4177" spans="1:15" ht="38.25" x14ac:dyDescent="0.2">
      <c r="A4177" s="197" t="str">
        <f t="shared" si="65"/>
        <v>HzdCode_arc1950</v>
      </c>
      <c r="B4177" s="409"/>
      <c r="C4177" s="416"/>
      <c r="D4177" s="198" t="s">
        <v>32661</v>
      </c>
      <c r="E4177" s="198">
        <v>18</v>
      </c>
      <c r="F4177" s="199" t="s">
        <v>32662</v>
      </c>
      <c r="G4177" s="1" t="s">
        <v>32663</v>
      </c>
      <c r="H4177" s="1" t="s">
        <v>32591</v>
      </c>
      <c r="I4177" s="346"/>
      <c r="J4177" s="39">
        <v>104367</v>
      </c>
      <c r="K4177" s="36" t="str">
        <f>CONCATENATE(Cover!$D$6,"fdd/view?i=",J4177)</f>
        <v>https://www.dgiwg.org/FAD/fdd/view?i=104367</v>
      </c>
      <c r="L4177" s="36" t="s">
        <v>32664</v>
      </c>
      <c r="M4177" s="186"/>
      <c r="N4177" s="186"/>
      <c r="O4177" s="172"/>
    </row>
    <row r="4178" spans="1:15" ht="38.25" x14ac:dyDescent="0.2">
      <c r="A4178" s="197" t="str">
        <f t="shared" si="65"/>
        <v>HzdCode_arc1950Botswana</v>
      </c>
      <c r="B4178" s="409"/>
      <c r="C4178" s="416"/>
      <c r="D4178" s="198" t="s">
        <v>32665</v>
      </c>
      <c r="E4178" s="198">
        <v>19</v>
      </c>
      <c r="F4178" s="199" t="s">
        <v>32666</v>
      </c>
      <c r="G4178" s="1" t="s">
        <v>32667</v>
      </c>
      <c r="H4178" s="1" t="s">
        <v>32591</v>
      </c>
      <c r="I4178" s="346"/>
      <c r="J4178" s="39">
        <v>104368</v>
      </c>
      <c r="K4178" s="36" t="str">
        <f>CONCATENATE(Cover!$D$6,"fdd/view?i=",J4178)</f>
        <v>https://www.dgiwg.org/FAD/fdd/view?i=104368</v>
      </c>
      <c r="L4178" s="36" t="s">
        <v>32668</v>
      </c>
      <c r="M4178" s="186"/>
      <c r="N4178" s="186"/>
      <c r="O4178" s="172"/>
    </row>
    <row r="4179" spans="1:15" ht="38.25" x14ac:dyDescent="0.2">
      <c r="A4179" s="197" t="str">
        <f t="shared" si="65"/>
        <v>HzdCode_arc1950Burundi</v>
      </c>
      <c r="B4179" s="409"/>
      <c r="C4179" s="416"/>
      <c r="D4179" s="198" t="s">
        <v>32669</v>
      </c>
      <c r="E4179" s="198">
        <v>26</v>
      </c>
      <c r="F4179" s="199" t="s">
        <v>32670</v>
      </c>
      <c r="G4179" s="1" t="s">
        <v>32671</v>
      </c>
      <c r="H4179" s="1" t="s">
        <v>32591</v>
      </c>
      <c r="I4179" s="346"/>
      <c r="J4179" s="39">
        <v>104375</v>
      </c>
      <c r="K4179" s="36" t="str">
        <f>CONCATENATE(Cover!$D$6,"fdd/view?i=",J4179)</f>
        <v>https://www.dgiwg.org/FAD/fdd/view?i=104375</v>
      </c>
      <c r="L4179" s="36" t="s">
        <v>32672</v>
      </c>
      <c r="M4179" s="186"/>
      <c r="N4179" s="186"/>
      <c r="O4179" s="172"/>
    </row>
    <row r="4180" spans="1:15" ht="38.25" x14ac:dyDescent="0.2">
      <c r="A4180" s="197" t="str">
        <f t="shared" si="65"/>
        <v>HzdCode_arc1950Lesotho</v>
      </c>
      <c r="B4180" s="409"/>
      <c r="C4180" s="416"/>
      <c r="D4180" s="198" t="s">
        <v>32673</v>
      </c>
      <c r="E4180" s="198">
        <v>20</v>
      </c>
      <c r="F4180" s="199" t="s">
        <v>32674</v>
      </c>
      <c r="G4180" s="1" t="s">
        <v>32675</v>
      </c>
      <c r="H4180" s="1" t="s">
        <v>32591</v>
      </c>
      <c r="I4180" s="346"/>
      <c r="J4180" s="39">
        <v>104369</v>
      </c>
      <c r="K4180" s="36" t="str">
        <f>CONCATENATE(Cover!$D$6,"fdd/view?i=",J4180)</f>
        <v>https://www.dgiwg.org/FAD/fdd/view?i=104369</v>
      </c>
      <c r="L4180" s="36" t="s">
        <v>32676</v>
      </c>
      <c r="M4180" s="186"/>
      <c r="N4180" s="186"/>
      <c r="O4180" s="172"/>
    </row>
    <row r="4181" spans="1:15" ht="38.25" x14ac:dyDescent="0.2">
      <c r="A4181" s="197" t="str">
        <f t="shared" si="65"/>
        <v>HzdCode_arc1950Malawi</v>
      </c>
      <c r="B4181" s="409"/>
      <c r="C4181" s="416"/>
      <c r="D4181" s="198" t="s">
        <v>32677</v>
      </c>
      <c r="E4181" s="198">
        <v>21</v>
      </c>
      <c r="F4181" s="199" t="s">
        <v>32678</v>
      </c>
      <c r="G4181" s="1" t="s">
        <v>32679</v>
      </c>
      <c r="H4181" s="1" t="s">
        <v>32591</v>
      </c>
      <c r="I4181" s="346"/>
      <c r="J4181" s="39">
        <v>104370</v>
      </c>
      <c r="K4181" s="36" t="str">
        <f>CONCATENATE(Cover!$D$6,"fdd/view?i=",J4181)</f>
        <v>https://www.dgiwg.org/FAD/fdd/view?i=104370</v>
      </c>
      <c r="L4181" s="36" t="s">
        <v>32680</v>
      </c>
      <c r="M4181" s="186"/>
      <c r="N4181" s="186"/>
      <c r="O4181" s="172"/>
    </row>
    <row r="4182" spans="1:15" ht="38.25" x14ac:dyDescent="0.2">
      <c r="A4182" s="197" t="str">
        <f t="shared" si="65"/>
        <v>HzdCode_arc1950MeanValue</v>
      </c>
      <c r="B4182" s="409"/>
      <c r="C4182" s="416"/>
      <c r="D4182" s="198" t="s">
        <v>32681</v>
      </c>
      <c r="E4182" s="198">
        <v>27</v>
      </c>
      <c r="F4182" s="199" t="s">
        <v>32682</v>
      </c>
      <c r="G4182" s="1" t="s">
        <v>32683</v>
      </c>
      <c r="H4182" s="1" t="s">
        <v>32591</v>
      </c>
      <c r="I4182" s="346"/>
      <c r="J4182" s="39">
        <v>104376</v>
      </c>
      <c r="K4182" s="36" t="str">
        <f>CONCATENATE(Cover!$D$6,"fdd/view?i=",J4182)</f>
        <v>https://www.dgiwg.org/FAD/fdd/view?i=104376</v>
      </c>
      <c r="L4182" s="36" t="s">
        <v>32684</v>
      </c>
      <c r="M4182" s="186"/>
      <c r="N4182" s="186"/>
      <c r="O4182" s="172"/>
    </row>
    <row r="4183" spans="1:15" ht="38.25" x14ac:dyDescent="0.2">
      <c r="A4183" s="197" t="str">
        <f t="shared" si="65"/>
        <v>HzdCode_arc1950Swaziland</v>
      </c>
      <c r="B4183" s="409"/>
      <c r="C4183" s="416"/>
      <c r="D4183" s="198" t="s">
        <v>32685</v>
      </c>
      <c r="E4183" s="198">
        <v>22</v>
      </c>
      <c r="F4183" s="199" t="s">
        <v>32686</v>
      </c>
      <c r="G4183" s="1" t="s">
        <v>32687</v>
      </c>
      <c r="H4183" s="1" t="s">
        <v>32591</v>
      </c>
      <c r="I4183" s="346"/>
      <c r="J4183" s="39">
        <v>104371</v>
      </c>
      <c r="K4183" s="36" t="str">
        <f>CONCATENATE(Cover!$D$6,"fdd/view?i=",J4183)</f>
        <v>https://www.dgiwg.org/FAD/fdd/view?i=104371</v>
      </c>
      <c r="L4183" s="36" t="s">
        <v>32688</v>
      </c>
      <c r="M4183" s="186"/>
      <c r="N4183" s="186"/>
      <c r="O4183" s="172"/>
    </row>
    <row r="4184" spans="1:15" ht="38.25" x14ac:dyDescent="0.2">
      <c r="A4184" s="197" t="str">
        <f t="shared" si="65"/>
        <v>HzdCode_arc1950Zaire</v>
      </c>
      <c r="B4184" s="409"/>
      <c r="C4184" s="416"/>
      <c r="D4184" s="198" t="s">
        <v>32689</v>
      </c>
      <c r="E4184" s="198">
        <v>23</v>
      </c>
      <c r="F4184" s="199" t="s">
        <v>32690</v>
      </c>
      <c r="G4184" s="1" t="s">
        <v>32691</v>
      </c>
      <c r="H4184" s="1" t="s">
        <v>32591</v>
      </c>
      <c r="I4184" s="346"/>
      <c r="J4184" s="39">
        <v>104372</v>
      </c>
      <c r="K4184" s="36" t="str">
        <f>CONCATENATE(Cover!$D$6,"fdd/view?i=",J4184)</f>
        <v>https://www.dgiwg.org/FAD/fdd/view?i=104372</v>
      </c>
      <c r="L4184" s="36" t="s">
        <v>32692</v>
      </c>
      <c r="M4184" s="186"/>
      <c r="N4184" s="186"/>
      <c r="O4184" s="172"/>
    </row>
    <row r="4185" spans="1:15" ht="38.25" x14ac:dyDescent="0.2">
      <c r="A4185" s="197" t="str">
        <f t="shared" si="65"/>
        <v>HzdCode_arc1950Zambia</v>
      </c>
      <c r="B4185" s="409"/>
      <c r="C4185" s="416"/>
      <c r="D4185" s="198" t="s">
        <v>32693</v>
      </c>
      <c r="E4185" s="198">
        <v>24</v>
      </c>
      <c r="F4185" s="199" t="s">
        <v>32694</v>
      </c>
      <c r="G4185" s="1" t="s">
        <v>32695</v>
      </c>
      <c r="H4185" s="1" t="s">
        <v>32591</v>
      </c>
      <c r="I4185" s="346"/>
      <c r="J4185" s="39">
        <v>104373</v>
      </c>
      <c r="K4185" s="36" t="str">
        <f>CONCATENATE(Cover!$D$6,"fdd/view?i=",J4185)</f>
        <v>https://www.dgiwg.org/FAD/fdd/view?i=104373</v>
      </c>
      <c r="L4185" s="36" t="s">
        <v>32696</v>
      </c>
      <c r="M4185" s="186"/>
      <c r="N4185" s="186"/>
      <c r="O4185" s="172"/>
    </row>
    <row r="4186" spans="1:15" ht="38.25" x14ac:dyDescent="0.2">
      <c r="A4186" s="197" t="str">
        <f t="shared" si="65"/>
        <v>HzdCode_arc1950Zimbabwe</v>
      </c>
      <c r="B4186" s="409"/>
      <c r="C4186" s="416"/>
      <c r="D4186" s="198" t="s">
        <v>32697</v>
      </c>
      <c r="E4186" s="198">
        <v>25</v>
      </c>
      <c r="F4186" s="199" t="s">
        <v>32698</v>
      </c>
      <c r="G4186" s="1" t="s">
        <v>32699</v>
      </c>
      <c r="H4186" s="1" t="s">
        <v>32591</v>
      </c>
      <c r="I4186" s="346"/>
      <c r="J4186" s="39">
        <v>104374</v>
      </c>
      <c r="K4186" s="36" t="str">
        <f>CONCATENATE(Cover!$D$6,"fdd/view?i=",J4186)</f>
        <v>https://www.dgiwg.org/FAD/fdd/view?i=104374</v>
      </c>
      <c r="L4186" s="36" t="s">
        <v>32700</v>
      </c>
      <c r="M4186" s="186"/>
      <c r="N4186" s="186"/>
      <c r="O4186" s="172"/>
    </row>
    <row r="4187" spans="1:15" ht="38.25" x14ac:dyDescent="0.2">
      <c r="A4187" s="197" t="str">
        <f t="shared" si="65"/>
        <v>HzdCode_arc1960</v>
      </c>
      <c r="B4187" s="409"/>
      <c r="C4187" s="416"/>
      <c r="D4187" s="198" t="s">
        <v>32701</v>
      </c>
      <c r="E4187" s="198">
        <v>28</v>
      </c>
      <c r="F4187" s="199" t="s">
        <v>32702</v>
      </c>
      <c r="G4187" s="1" t="s">
        <v>32703</v>
      </c>
      <c r="H4187" s="1" t="s">
        <v>32591</v>
      </c>
      <c r="I4187" s="346"/>
      <c r="J4187" s="39">
        <v>104377</v>
      </c>
      <c r="K4187" s="36" t="str">
        <f>CONCATENATE(Cover!$D$6,"fdd/view?i=",J4187)</f>
        <v>https://www.dgiwg.org/FAD/fdd/view?i=104377</v>
      </c>
      <c r="L4187" s="36" t="s">
        <v>32704</v>
      </c>
      <c r="M4187" s="186"/>
      <c r="N4187" s="186"/>
      <c r="O4187" s="172"/>
    </row>
    <row r="4188" spans="1:15" ht="38.25" x14ac:dyDescent="0.2">
      <c r="A4188" s="197" t="str">
        <f t="shared" si="65"/>
        <v>HzdCode_arc1960Kenya</v>
      </c>
      <c r="B4188" s="409"/>
      <c r="C4188" s="416"/>
      <c r="D4188" s="198" t="s">
        <v>32705</v>
      </c>
      <c r="E4188" s="198">
        <v>29</v>
      </c>
      <c r="F4188" s="199" t="s">
        <v>32706</v>
      </c>
      <c r="G4188" s="1" t="s">
        <v>32707</v>
      </c>
      <c r="H4188" s="1" t="s">
        <v>32591</v>
      </c>
      <c r="I4188" s="346"/>
      <c r="J4188" s="39">
        <v>104378</v>
      </c>
      <c r="K4188" s="36" t="str">
        <f>CONCATENATE(Cover!$D$6,"fdd/view?i=",J4188)</f>
        <v>https://www.dgiwg.org/FAD/fdd/view?i=104378</v>
      </c>
      <c r="L4188" s="36" t="s">
        <v>32708</v>
      </c>
      <c r="M4188" s="186"/>
      <c r="N4188" s="186"/>
      <c r="O4188" s="172"/>
    </row>
    <row r="4189" spans="1:15" ht="38.25" x14ac:dyDescent="0.2">
      <c r="A4189" s="197" t="str">
        <f t="shared" si="65"/>
        <v>HzdCode_arc1960MeanValue</v>
      </c>
      <c r="B4189" s="409"/>
      <c r="C4189" s="416"/>
      <c r="D4189" s="198" t="s">
        <v>32709</v>
      </c>
      <c r="E4189" s="198">
        <v>31</v>
      </c>
      <c r="F4189" s="199" t="s">
        <v>32710</v>
      </c>
      <c r="G4189" s="1" t="s">
        <v>32711</v>
      </c>
      <c r="H4189" s="1" t="s">
        <v>32591</v>
      </c>
      <c r="I4189" s="346"/>
      <c r="J4189" s="39">
        <v>104380</v>
      </c>
      <c r="K4189" s="36" t="str">
        <f>CONCATENATE(Cover!$D$6,"fdd/view?i=",J4189)</f>
        <v>https://www.dgiwg.org/FAD/fdd/view?i=104380</v>
      </c>
      <c r="L4189" s="36" t="s">
        <v>32712</v>
      </c>
      <c r="M4189" s="186"/>
      <c r="N4189" s="186"/>
      <c r="O4189" s="172"/>
    </row>
    <row r="4190" spans="1:15" ht="38.25" x14ac:dyDescent="0.2">
      <c r="A4190" s="197" t="str">
        <f t="shared" si="65"/>
        <v>HzdCode_arc1960Tanzania</v>
      </c>
      <c r="B4190" s="409"/>
      <c r="C4190" s="416"/>
      <c r="D4190" s="198" t="s">
        <v>32713</v>
      </c>
      <c r="E4190" s="198">
        <v>30</v>
      </c>
      <c r="F4190" s="199" t="s">
        <v>32714</v>
      </c>
      <c r="G4190" s="1" t="s">
        <v>32715</v>
      </c>
      <c r="H4190" s="1" t="s">
        <v>32591</v>
      </c>
      <c r="I4190" s="346"/>
      <c r="J4190" s="39">
        <v>104379</v>
      </c>
      <c r="K4190" s="36" t="str">
        <f>CONCATENATE(Cover!$D$6,"fdd/view?i=",J4190)</f>
        <v>https://www.dgiwg.org/FAD/fdd/view?i=104379</v>
      </c>
      <c r="L4190" s="36" t="s">
        <v>32716</v>
      </c>
      <c r="M4190" s="186"/>
      <c r="N4190" s="186"/>
      <c r="O4190" s="172"/>
    </row>
    <row r="4191" spans="1:15" ht="38.25" x14ac:dyDescent="0.2">
      <c r="A4191" s="197" t="str">
        <f t="shared" si="65"/>
        <v>HzdCode_ascensionIsland1958</v>
      </c>
      <c r="B4191" s="409"/>
      <c r="C4191" s="416"/>
      <c r="D4191" s="198" t="s">
        <v>32717</v>
      </c>
      <c r="E4191" s="198">
        <v>33</v>
      </c>
      <c r="F4191" s="199" t="s">
        <v>32718</v>
      </c>
      <c r="G4191" s="1" t="s">
        <v>32719</v>
      </c>
      <c r="H4191" s="1" t="s">
        <v>32591</v>
      </c>
      <c r="I4191" s="346"/>
      <c r="J4191" s="39">
        <v>104382</v>
      </c>
      <c r="K4191" s="36" t="str">
        <f>CONCATENATE(Cover!$D$6,"fdd/view?i=",J4191)</f>
        <v>https://www.dgiwg.org/FAD/fdd/view?i=104382</v>
      </c>
      <c r="L4191" s="36" t="s">
        <v>32720</v>
      </c>
      <c r="M4191" s="186"/>
      <c r="N4191" s="186"/>
      <c r="O4191" s="172"/>
    </row>
    <row r="4192" spans="1:15" ht="38.25" x14ac:dyDescent="0.2">
      <c r="A4192" s="197" t="str">
        <f t="shared" si="65"/>
        <v>HzdCode_astroBeaconEIwoJimaIsland</v>
      </c>
      <c r="B4192" s="409"/>
      <c r="C4192" s="416"/>
      <c r="D4192" s="198" t="s">
        <v>32721</v>
      </c>
      <c r="E4192" s="198">
        <v>36</v>
      </c>
      <c r="F4192" s="199" t="s">
        <v>32722</v>
      </c>
      <c r="G4192" s="1" t="s">
        <v>32723</v>
      </c>
      <c r="H4192" s="1" t="s">
        <v>32591</v>
      </c>
      <c r="I4192" s="346"/>
      <c r="J4192" s="39">
        <v>104385</v>
      </c>
      <c r="K4192" s="36" t="str">
        <f>CONCATENATE(Cover!$D$6,"fdd/view?i=",J4192)</f>
        <v>https://www.dgiwg.org/FAD/fdd/view?i=104385</v>
      </c>
      <c r="L4192" s="36" t="s">
        <v>32724</v>
      </c>
      <c r="M4192" s="186"/>
      <c r="N4192" s="186"/>
      <c r="O4192" s="172"/>
    </row>
    <row r="4193" spans="1:15" ht="38.25" x14ac:dyDescent="0.2">
      <c r="A4193" s="197" t="str">
        <f t="shared" si="65"/>
        <v>HzdCode_astroDos71dash4StHelena</v>
      </c>
      <c r="B4193" s="409"/>
      <c r="C4193" s="416"/>
      <c r="D4193" s="198" t="s">
        <v>32725</v>
      </c>
      <c r="E4193" s="198">
        <v>272</v>
      </c>
      <c r="F4193" s="199" t="s">
        <v>32726</v>
      </c>
      <c r="G4193" s="1" t="s">
        <v>32727</v>
      </c>
      <c r="H4193" s="1" t="s">
        <v>32591</v>
      </c>
      <c r="I4193" s="346"/>
      <c r="J4193" s="39">
        <v>104621</v>
      </c>
      <c r="K4193" s="36" t="str">
        <f>CONCATENATE(Cover!$D$6,"fdd/view?i=",J4193)</f>
        <v>https://www.dgiwg.org/FAD/fdd/view?i=104621</v>
      </c>
      <c r="L4193" s="36" t="s">
        <v>32728</v>
      </c>
      <c r="M4193" s="186"/>
      <c r="N4193" s="186"/>
      <c r="O4193" s="172"/>
    </row>
    <row r="4194" spans="1:15" ht="38.25" x14ac:dyDescent="0.2">
      <c r="A4194" s="197" t="str">
        <f t="shared" si="65"/>
        <v>HzdCode_astroStation1952MarcusIs</v>
      </c>
      <c r="B4194" s="409"/>
      <c r="C4194" s="416"/>
      <c r="D4194" s="198" t="s">
        <v>32729</v>
      </c>
      <c r="E4194" s="198">
        <v>35</v>
      </c>
      <c r="F4194" s="199" t="s">
        <v>32730</v>
      </c>
      <c r="G4194" s="1" t="s">
        <v>32731</v>
      </c>
      <c r="H4194" s="1" t="s">
        <v>32591</v>
      </c>
      <c r="I4194" s="346"/>
      <c r="J4194" s="39">
        <v>104384</v>
      </c>
      <c r="K4194" s="36" t="str">
        <f>CONCATENATE(Cover!$D$6,"fdd/view?i=",J4194)</f>
        <v>https://www.dgiwg.org/FAD/fdd/view?i=104384</v>
      </c>
      <c r="L4194" s="36" t="s">
        <v>32732</v>
      </c>
      <c r="M4194" s="186"/>
      <c r="N4194" s="186"/>
      <c r="O4194" s="172"/>
    </row>
    <row r="4195" spans="1:15" ht="38.25" x14ac:dyDescent="0.2">
      <c r="A4195" s="197" t="str">
        <f t="shared" si="65"/>
        <v>HzdCode_astroTernIsland1961Hawaii</v>
      </c>
      <c r="B4195" s="409"/>
      <c r="C4195" s="416"/>
      <c r="D4195" s="198" t="s">
        <v>32733</v>
      </c>
      <c r="E4195" s="198">
        <v>290</v>
      </c>
      <c r="F4195" s="199" t="s">
        <v>32734</v>
      </c>
      <c r="G4195" s="1" t="s">
        <v>32735</v>
      </c>
      <c r="H4195" s="1" t="s">
        <v>32591</v>
      </c>
      <c r="I4195" s="346"/>
      <c r="J4195" s="39">
        <v>104639</v>
      </c>
      <c r="K4195" s="36" t="str">
        <f>CONCATENATE(Cover!$D$6,"fdd/view?i=",J4195)</f>
        <v>https://www.dgiwg.org/FAD/fdd/view?i=104639</v>
      </c>
      <c r="L4195" s="36" t="s">
        <v>32736</v>
      </c>
      <c r="M4195" s="186"/>
      <c r="N4195" s="186"/>
      <c r="O4195" s="172"/>
    </row>
    <row r="4196" spans="1:15" ht="38.25" x14ac:dyDescent="0.2">
      <c r="A4196" s="197" t="str">
        <f t="shared" si="65"/>
        <v>HzdCode_australianGeodetic1966</v>
      </c>
      <c r="B4196" s="409"/>
      <c r="C4196" s="416"/>
      <c r="D4196" s="198" t="s">
        <v>32737</v>
      </c>
      <c r="E4196" s="198">
        <v>38</v>
      </c>
      <c r="F4196" s="199" t="s">
        <v>32738</v>
      </c>
      <c r="G4196" s="1" t="s">
        <v>32739</v>
      </c>
      <c r="H4196" s="1" t="s">
        <v>32591</v>
      </c>
      <c r="I4196" s="346"/>
      <c r="J4196" s="39">
        <v>104387</v>
      </c>
      <c r="K4196" s="36" t="str">
        <f>CONCATENATE(Cover!$D$6,"fdd/view?i=",J4196)</f>
        <v>https://www.dgiwg.org/FAD/fdd/view?i=104387</v>
      </c>
      <c r="L4196" s="36" t="s">
        <v>32740</v>
      </c>
      <c r="M4196" s="186"/>
      <c r="N4196" s="186"/>
      <c r="O4196" s="172"/>
    </row>
    <row r="4197" spans="1:15" ht="38.25" x14ac:dyDescent="0.2">
      <c r="A4197" s="197" t="str">
        <f t="shared" si="65"/>
        <v>HzdCode_australianGeodetic1984</v>
      </c>
      <c r="B4197" s="409"/>
      <c r="C4197" s="416"/>
      <c r="D4197" s="198" t="s">
        <v>32741</v>
      </c>
      <c r="E4197" s="198">
        <v>39</v>
      </c>
      <c r="F4197" s="199" t="s">
        <v>32742</v>
      </c>
      <c r="G4197" s="1" t="s">
        <v>32743</v>
      </c>
      <c r="H4197" s="1" t="s">
        <v>32591</v>
      </c>
      <c r="I4197" s="346"/>
      <c r="J4197" s="39">
        <v>104388</v>
      </c>
      <c r="K4197" s="36" t="str">
        <f>CONCATENATE(Cover!$D$6,"fdd/view?i=",J4197)</f>
        <v>https://www.dgiwg.org/FAD/fdd/view?i=104388</v>
      </c>
      <c r="L4197" s="36" t="s">
        <v>32744</v>
      </c>
      <c r="M4197" s="186"/>
      <c r="N4197" s="186"/>
      <c r="O4197" s="172"/>
    </row>
    <row r="4198" spans="1:15" ht="38.25" x14ac:dyDescent="0.2">
      <c r="A4198" s="197" t="str">
        <f t="shared" si="65"/>
        <v>HzdCode_averageTerrestrialSys1977</v>
      </c>
      <c r="B4198" s="409"/>
      <c r="C4198" s="416"/>
      <c r="D4198" s="198" t="s">
        <v>32745</v>
      </c>
      <c r="E4198" s="198">
        <v>37</v>
      </c>
      <c r="F4198" s="199" t="s">
        <v>32746</v>
      </c>
      <c r="G4198" s="1" t="s">
        <v>32747</v>
      </c>
      <c r="H4198" s="1" t="s">
        <v>32748</v>
      </c>
      <c r="I4198" s="346"/>
      <c r="J4198" s="39">
        <v>104386</v>
      </c>
      <c r="K4198" s="36" t="str">
        <f>CONCATENATE(Cover!$D$6,"fdd/view?i=",J4198)</f>
        <v>https://www.dgiwg.org/FAD/fdd/view?i=104386</v>
      </c>
      <c r="L4198" s="36" t="s">
        <v>32749</v>
      </c>
      <c r="M4198" s="186"/>
      <c r="N4198" s="186"/>
      <c r="O4198" s="172"/>
    </row>
    <row r="4199" spans="1:15" ht="38.25" x14ac:dyDescent="0.2">
      <c r="A4199" s="197" t="str">
        <f t="shared" si="65"/>
        <v>HzdCode_ayabelleLighthouseDjibouti</v>
      </c>
      <c r="B4199" s="409"/>
      <c r="C4199" s="416"/>
      <c r="D4199" s="198" t="s">
        <v>32750</v>
      </c>
      <c r="E4199" s="198">
        <v>225</v>
      </c>
      <c r="F4199" s="199" t="s">
        <v>32751</v>
      </c>
      <c r="G4199" s="1" t="s">
        <v>32752</v>
      </c>
      <c r="H4199" s="1" t="s">
        <v>32591</v>
      </c>
      <c r="I4199" s="346"/>
      <c r="J4199" s="39">
        <v>104574</v>
      </c>
      <c r="K4199" s="36" t="str">
        <f>CONCATENATE(Cover!$D$6,"fdd/view?i=",J4199)</f>
        <v>https://www.dgiwg.org/FAD/fdd/view?i=104574</v>
      </c>
      <c r="L4199" s="36" t="s">
        <v>32753</v>
      </c>
      <c r="M4199" s="186"/>
      <c r="N4199" s="186"/>
      <c r="O4199" s="172"/>
    </row>
    <row r="4200" spans="1:15" ht="38.25" x14ac:dyDescent="0.2">
      <c r="A4200" s="197" t="str">
        <f t="shared" si="65"/>
        <v>HzdCode_bekaaBaseSouthEndLebanon</v>
      </c>
      <c r="B4200" s="409"/>
      <c r="C4200" s="416"/>
      <c r="D4200" s="198" t="s">
        <v>32754</v>
      </c>
      <c r="E4200" s="198">
        <v>42</v>
      </c>
      <c r="F4200" s="199" t="s">
        <v>32755</v>
      </c>
      <c r="G4200" s="1" t="s">
        <v>32756</v>
      </c>
      <c r="H4200" s="1" t="s">
        <v>32591</v>
      </c>
      <c r="I4200" s="346"/>
      <c r="J4200" s="39">
        <v>104391</v>
      </c>
      <c r="K4200" s="36" t="str">
        <f>CONCATENATE(Cover!$D$6,"fdd/view?i=",J4200)</f>
        <v>https://www.dgiwg.org/FAD/fdd/view?i=104391</v>
      </c>
      <c r="L4200" s="36" t="s">
        <v>32757</v>
      </c>
      <c r="M4200" s="186"/>
      <c r="N4200" s="186"/>
      <c r="O4200" s="172"/>
    </row>
    <row r="4201" spans="1:15" ht="38.25" x14ac:dyDescent="0.2">
      <c r="A4201" s="197" t="str">
        <f t="shared" si="65"/>
        <v>HzdCode_belgium1950SystemLommelSig</v>
      </c>
      <c r="B4201" s="409"/>
      <c r="C4201" s="416"/>
      <c r="D4201" s="198" t="s">
        <v>32758</v>
      </c>
      <c r="E4201" s="198">
        <v>43</v>
      </c>
      <c r="F4201" s="199" t="s">
        <v>32759</v>
      </c>
      <c r="G4201" s="1" t="s">
        <v>32760</v>
      </c>
      <c r="H4201" s="1" t="s">
        <v>32761</v>
      </c>
      <c r="I4201" s="346"/>
      <c r="J4201" s="39">
        <v>104392</v>
      </c>
      <c r="K4201" s="36" t="str">
        <f>CONCATENATE(Cover!$D$6,"fdd/view?i=",J4201)</f>
        <v>https://www.dgiwg.org/FAD/fdd/view?i=104392</v>
      </c>
      <c r="L4201" s="36" t="s">
        <v>32762</v>
      </c>
      <c r="M4201" s="186"/>
      <c r="N4201" s="186"/>
      <c r="O4201" s="172"/>
    </row>
    <row r="4202" spans="1:15" ht="38.25" x14ac:dyDescent="0.2">
      <c r="A4202" s="197" t="str">
        <f t="shared" si="65"/>
        <v>HzdCode_belgium1972Observatoire</v>
      </c>
      <c r="B4202" s="409"/>
      <c r="C4202" s="416"/>
      <c r="D4202" s="198" t="s">
        <v>32763</v>
      </c>
      <c r="E4202" s="198">
        <v>206</v>
      </c>
      <c r="F4202" s="199" t="s">
        <v>32764</v>
      </c>
      <c r="G4202" s="1" t="s">
        <v>32765</v>
      </c>
      <c r="H4202" s="1" t="s">
        <v>32591</v>
      </c>
      <c r="I4202" s="346"/>
      <c r="J4202" s="39">
        <v>104555</v>
      </c>
      <c r="K4202" s="36" t="str">
        <f>CONCATENATE(Cover!$D$6,"fdd/view?i=",J4202)</f>
        <v>https://www.dgiwg.org/FAD/fdd/view?i=104555</v>
      </c>
      <c r="L4202" s="36" t="s">
        <v>32766</v>
      </c>
      <c r="M4202" s="186"/>
      <c r="N4202" s="186"/>
      <c r="O4202" s="172"/>
    </row>
    <row r="4203" spans="1:15" ht="38.25" x14ac:dyDescent="0.2">
      <c r="A4203" s="197" t="str">
        <f t="shared" si="65"/>
        <v>HzdCode_bellevueIgnEfateErromango</v>
      </c>
      <c r="B4203" s="409"/>
      <c r="C4203" s="416"/>
      <c r="D4203" s="198" t="s">
        <v>32767</v>
      </c>
      <c r="E4203" s="198">
        <v>115</v>
      </c>
      <c r="F4203" s="199" t="s">
        <v>32768</v>
      </c>
      <c r="G4203" s="1" t="s">
        <v>32769</v>
      </c>
      <c r="H4203" s="1" t="s">
        <v>32591</v>
      </c>
      <c r="I4203" s="346"/>
      <c r="J4203" s="39">
        <v>104464</v>
      </c>
      <c r="K4203" s="36" t="str">
        <f>CONCATENATE(Cover!$D$6,"fdd/view?i=",J4203)</f>
        <v>https://www.dgiwg.org/FAD/fdd/view?i=104464</v>
      </c>
      <c r="L4203" s="36" t="s">
        <v>32770</v>
      </c>
      <c r="M4203" s="186"/>
      <c r="N4203" s="186"/>
      <c r="O4203" s="172"/>
    </row>
    <row r="4204" spans="1:15" ht="38.25" x14ac:dyDescent="0.2">
      <c r="A4204" s="197" t="str">
        <f t="shared" si="65"/>
        <v>HzdCode_bermuda1957BermudaIslands</v>
      </c>
      <c r="B4204" s="409"/>
      <c r="C4204" s="416"/>
      <c r="D4204" s="198" t="s">
        <v>32771</v>
      </c>
      <c r="E4204" s="198">
        <v>44</v>
      </c>
      <c r="F4204" s="199" t="s">
        <v>32772</v>
      </c>
      <c r="G4204" s="1" t="s">
        <v>32773</v>
      </c>
      <c r="H4204" s="1" t="s">
        <v>32591</v>
      </c>
      <c r="I4204" s="346"/>
      <c r="J4204" s="39">
        <v>104393</v>
      </c>
      <c r="K4204" s="36" t="str">
        <f>CONCATENATE(Cover!$D$6,"fdd/view?i=",J4204)</f>
        <v>https://www.dgiwg.org/FAD/fdd/view?i=104393</v>
      </c>
      <c r="L4204" s="36" t="s">
        <v>32774</v>
      </c>
      <c r="M4204" s="186"/>
      <c r="N4204" s="186"/>
      <c r="O4204" s="172"/>
    </row>
    <row r="4205" spans="1:15" ht="38.25" x14ac:dyDescent="0.2">
      <c r="A4205" s="197" t="str">
        <f t="shared" si="65"/>
        <v>HzdCode_bern1898Switzerland</v>
      </c>
      <c r="B4205" s="409"/>
      <c r="C4205" s="416"/>
      <c r="D4205" s="198" t="s">
        <v>32775</v>
      </c>
      <c r="E4205" s="198">
        <v>50</v>
      </c>
      <c r="F4205" s="199" t="s">
        <v>32776</v>
      </c>
      <c r="G4205" s="1" t="s">
        <v>32777</v>
      </c>
      <c r="H4205" s="1" t="s">
        <v>32591</v>
      </c>
      <c r="I4205" s="346"/>
      <c r="J4205" s="39">
        <v>104399</v>
      </c>
      <c r="K4205" s="36" t="str">
        <f>CONCATENATE(Cover!$D$6,"fdd/view?i=",J4205)</f>
        <v>https://www.dgiwg.org/FAD/fdd/view?i=104399</v>
      </c>
      <c r="L4205" s="36" t="s">
        <v>32778</v>
      </c>
      <c r="M4205" s="186"/>
      <c r="N4205" s="186"/>
      <c r="O4205" s="172"/>
    </row>
    <row r="4206" spans="1:15" ht="38.25" x14ac:dyDescent="0.2">
      <c r="A4206" s="197" t="str">
        <f t="shared" si="65"/>
        <v>HzdCode_bern1898ZeroMeridian</v>
      </c>
      <c r="B4206" s="409"/>
      <c r="C4206" s="416"/>
      <c r="D4206" s="198" t="s">
        <v>32779</v>
      </c>
      <c r="E4206" s="198">
        <v>51</v>
      </c>
      <c r="F4206" s="199" t="s">
        <v>32780</v>
      </c>
      <c r="G4206" s="1" t="s">
        <v>32781</v>
      </c>
      <c r="H4206" s="1" t="s">
        <v>32591</v>
      </c>
      <c r="I4206" s="346"/>
      <c r="J4206" s="39">
        <v>104400</v>
      </c>
      <c r="K4206" s="36" t="str">
        <f>CONCATENATE(Cover!$D$6,"fdd/view?i=",J4206)</f>
        <v>https://www.dgiwg.org/FAD/fdd/view?i=104400</v>
      </c>
      <c r="L4206" s="36" t="s">
        <v>32782</v>
      </c>
      <c r="M4206" s="186"/>
      <c r="N4206" s="186"/>
      <c r="O4206" s="172"/>
    </row>
    <row r="4207" spans="1:15" ht="38.25" x14ac:dyDescent="0.2">
      <c r="A4207" s="197" t="str">
        <f t="shared" si="65"/>
        <v>HzdCode_bissauGuineaBissau</v>
      </c>
      <c r="B4207" s="409"/>
      <c r="C4207" s="416"/>
      <c r="D4207" s="198" t="s">
        <v>32783</v>
      </c>
      <c r="E4207" s="198">
        <v>45</v>
      </c>
      <c r="F4207" s="199" t="s">
        <v>32784</v>
      </c>
      <c r="G4207" s="1" t="s">
        <v>32785</v>
      </c>
      <c r="H4207" s="1" t="s">
        <v>32591</v>
      </c>
      <c r="I4207" s="346"/>
      <c r="J4207" s="39">
        <v>104394</v>
      </c>
      <c r="K4207" s="36" t="str">
        <f>CONCATENATE(Cover!$D$6,"fdd/view?i=",J4207)</f>
        <v>https://www.dgiwg.org/FAD/fdd/view?i=104394</v>
      </c>
      <c r="L4207" s="36" t="s">
        <v>32786</v>
      </c>
      <c r="M4207" s="186"/>
      <c r="N4207" s="186"/>
      <c r="O4207" s="172"/>
    </row>
    <row r="4208" spans="1:15" ht="38.25" x14ac:dyDescent="0.2">
      <c r="A4208" s="197" t="str">
        <f t="shared" si="65"/>
        <v>HzdCode_bjz54A954BeijingCoord</v>
      </c>
      <c r="B4208" s="409"/>
      <c r="C4208" s="416"/>
      <c r="D4208" s="198" t="s">
        <v>32787</v>
      </c>
      <c r="E4208" s="198">
        <v>47</v>
      </c>
      <c r="F4208" s="199" t="s">
        <v>32788</v>
      </c>
      <c r="G4208" s="1" t="s">
        <v>32789</v>
      </c>
      <c r="H4208" s="1" t="s">
        <v>32591</v>
      </c>
      <c r="I4208" s="346"/>
      <c r="J4208" s="39">
        <v>104396</v>
      </c>
      <c r="K4208" s="36" t="str">
        <f>CONCATENATE(Cover!$D$6,"fdd/view?i=",J4208)</f>
        <v>https://www.dgiwg.org/FAD/fdd/view?i=104396</v>
      </c>
      <c r="L4208" s="36" t="s">
        <v>32790</v>
      </c>
      <c r="M4208" s="186"/>
      <c r="N4208" s="186"/>
      <c r="O4208" s="172"/>
    </row>
    <row r="4209" spans="1:15" ht="38.25" x14ac:dyDescent="0.2">
      <c r="A4209" s="197" t="str">
        <f t="shared" si="65"/>
        <v>HzdCode_bogotaObservatoryColombia</v>
      </c>
      <c r="B4209" s="409"/>
      <c r="C4209" s="416"/>
      <c r="D4209" s="198" t="s">
        <v>32791</v>
      </c>
      <c r="E4209" s="198">
        <v>48</v>
      </c>
      <c r="F4209" s="199" t="s">
        <v>32792</v>
      </c>
      <c r="G4209" s="1" t="s">
        <v>32793</v>
      </c>
      <c r="H4209" s="1" t="s">
        <v>32591</v>
      </c>
      <c r="I4209" s="346"/>
      <c r="J4209" s="39">
        <v>104397</v>
      </c>
      <c r="K4209" s="36" t="str">
        <f>CONCATENATE(Cover!$D$6,"fdd/view?i=",J4209)</f>
        <v>https://www.dgiwg.org/FAD/fdd/view?i=104397</v>
      </c>
      <c r="L4209" s="36" t="s">
        <v>32794</v>
      </c>
      <c r="M4209" s="186"/>
      <c r="N4209" s="186"/>
      <c r="O4209" s="172"/>
    </row>
    <row r="4210" spans="1:15" ht="38.25" x14ac:dyDescent="0.2">
      <c r="A4210" s="197" t="str">
        <f t="shared" si="65"/>
        <v>HzdCode_bogotaObsZeroMeridian</v>
      </c>
      <c r="B4210" s="409"/>
      <c r="C4210" s="416"/>
      <c r="D4210" s="198" t="s">
        <v>32795</v>
      </c>
      <c r="E4210" s="198">
        <v>49</v>
      </c>
      <c r="F4210" s="199" t="s">
        <v>32796</v>
      </c>
      <c r="G4210" s="1" t="s">
        <v>32797</v>
      </c>
      <c r="H4210" s="1" t="s">
        <v>32591</v>
      </c>
      <c r="I4210" s="346"/>
      <c r="J4210" s="39">
        <v>104398</v>
      </c>
      <c r="K4210" s="36" t="str">
        <f>CONCATENATE(Cover!$D$6,"fdd/view?i=",J4210)</f>
        <v>https://www.dgiwg.org/FAD/fdd/view?i=104398</v>
      </c>
      <c r="L4210" s="36" t="s">
        <v>32798</v>
      </c>
      <c r="M4210" s="186"/>
      <c r="N4210" s="186"/>
      <c r="O4210" s="172"/>
    </row>
    <row r="4211" spans="1:15" ht="38.25" x14ac:dyDescent="0.2">
      <c r="A4211" s="197" t="str">
        <f t="shared" si="65"/>
        <v>HzdCode_bukitRimpahIndonesia</v>
      </c>
      <c r="B4211" s="409"/>
      <c r="C4211" s="416"/>
      <c r="D4211" s="198" t="s">
        <v>32799</v>
      </c>
      <c r="E4211" s="198">
        <v>52</v>
      </c>
      <c r="F4211" s="199" t="s">
        <v>32800</v>
      </c>
      <c r="G4211" s="1" t="s">
        <v>32801</v>
      </c>
      <c r="H4211" s="1" t="s">
        <v>32591</v>
      </c>
      <c r="I4211" s="346"/>
      <c r="J4211" s="39">
        <v>104401</v>
      </c>
      <c r="K4211" s="36" t="str">
        <f>CONCATENATE(Cover!$D$6,"fdd/view?i=",J4211)</f>
        <v>https://www.dgiwg.org/FAD/fdd/view?i=104401</v>
      </c>
      <c r="L4211" s="36" t="s">
        <v>32802</v>
      </c>
      <c r="M4211" s="186"/>
      <c r="N4211" s="186"/>
      <c r="O4211" s="172"/>
    </row>
    <row r="4212" spans="1:15" ht="38.25" x14ac:dyDescent="0.2">
      <c r="A4212" s="197" t="str">
        <f t="shared" si="65"/>
        <v>HzdCode_camacupaBaseSwEndAngola</v>
      </c>
      <c r="B4212" s="409"/>
      <c r="C4212" s="416"/>
      <c r="D4212" s="198" t="s">
        <v>32803</v>
      </c>
      <c r="E4212" s="198">
        <v>55</v>
      </c>
      <c r="F4212" s="199" t="s">
        <v>32804</v>
      </c>
      <c r="G4212" s="1" t="s">
        <v>32805</v>
      </c>
      <c r="H4212" s="1" t="s">
        <v>32591</v>
      </c>
      <c r="I4212" s="346"/>
      <c r="J4212" s="39">
        <v>104404</v>
      </c>
      <c r="K4212" s="36" t="str">
        <f>CONCATENATE(Cover!$D$6,"fdd/view?i=",J4212)</f>
        <v>https://www.dgiwg.org/FAD/fdd/view?i=104404</v>
      </c>
      <c r="L4212" s="36" t="s">
        <v>32806</v>
      </c>
      <c r="M4212" s="186"/>
      <c r="N4212" s="186"/>
      <c r="O4212" s="172"/>
    </row>
    <row r="4213" spans="1:15" ht="38.25" x14ac:dyDescent="0.2">
      <c r="A4213" s="197" t="str">
        <f t="shared" si="65"/>
        <v>HzdCode_campAreaAstroAntarctica</v>
      </c>
      <c r="B4213" s="409"/>
      <c r="C4213" s="416"/>
      <c r="D4213" s="198" t="s">
        <v>32807</v>
      </c>
      <c r="E4213" s="198">
        <v>58</v>
      </c>
      <c r="F4213" s="199" t="s">
        <v>32808</v>
      </c>
      <c r="G4213" s="1" t="s">
        <v>32809</v>
      </c>
      <c r="H4213" s="1" t="s">
        <v>32591</v>
      </c>
      <c r="I4213" s="346"/>
      <c r="J4213" s="39">
        <v>104407</v>
      </c>
      <c r="K4213" s="36" t="str">
        <f>CONCATENATE(Cover!$D$6,"fdd/view?i=",J4213)</f>
        <v>https://www.dgiwg.org/FAD/fdd/view?i=104407</v>
      </c>
      <c r="L4213" s="36" t="s">
        <v>32810</v>
      </c>
      <c r="M4213" s="186"/>
      <c r="N4213" s="186"/>
      <c r="O4213" s="172"/>
    </row>
    <row r="4214" spans="1:15" ht="38.25" x14ac:dyDescent="0.2">
      <c r="A4214" s="197" t="str">
        <f t="shared" si="65"/>
        <v>HzdCode_campoInchauspeArgentina</v>
      </c>
      <c r="B4214" s="409"/>
      <c r="C4214" s="416"/>
      <c r="D4214" s="198" t="s">
        <v>32811</v>
      </c>
      <c r="E4214" s="198">
        <v>54</v>
      </c>
      <c r="F4214" s="199" t="s">
        <v>32812</v>
      </c>
      <c r="G4214" s="1" t="s">
        <v>32813</v>
      </c>
      <c r="H4214" s="1" t="s">
        <v>32591</v>
      </c>
      <c r="I4214" s="346"/>
      <c r="J4214" s="39">
        <v>104403</v>
      </c>
      <c r="K4214" s="36" t="str">
        <f>CONCATENATE(Cover!$D$6,"fdd/view?i=",J4214)</f>
        <v>https://www.dgiwg.org/FAD/fdd/view?i=104403</v>
      </c>
      <c r="L4214" s="36" t="s">
        <v>32814</v>
      </c>
      <c r="M4214" s="186"/>
      <c r="N4214" s="186"/>
      <c r="O4214" s="172"/>
    </row>
    <row r="4215" spans="1:15" ht="38.25" x14ac:dyDescent="0.2">
      <c r="A4215" s="197" t="str">
        <f t="shared" si="65"/>
        <v>HzdCode_cantonAstro1966PhoenixIs</v>
      </c>
      <c r="B4215" s="409"/>
      <c r="C4215" s="416"/>
      <c r="D4215" s="198" t="s">
        <v>32815</v>
      </c>
      <c r="E4215" s="198">
        <v>56</v>
      </c>
      <c r="F4215" s="199" t="s">
        <v>32816</v>
      </c>
      <c r="G4215" s="1" t="s">
        <v>32817</v>
      </c>
      <c r="H4215" s="1" t="s">
        <v>32591</v>
      </c>
      <c r="I4215" s="346"/>
      <c r="J4215" s="39">
        <v>104405</v>
      </c>
      <c r="K4215" s="36" t="str">
        <f>CONCATENATE(Cover!$D$6,"fdd/view?i=",J4215)</f>
        <v>https://www.dgiwg.org/FAD/fdd/view?i=104405</v>
      </c>
      <c r="L4215" s="36" t="s">
        <v>32818</v>
      </c>
      <c r="M4215" s="186"/>
      <c r="N4215" s="186"/>
      <c r="O4215" s="172"/>
    </row>
    <row r="4216" spans="1:15" ht="38.25" x14ac:dyDescent="0.2">
      <c r="A4216" s="197" t="str">
        <f t="shared" si="65"/>
        <v>HzdCode_capeCanaveralMeanValue</v>
      </c>
      <c r="B4216" s="409"/>
      <c r="C4216" s="416"/>
      <c r="D4216" s="198" t="s">
        <v>32823</v>
      </c>
      <c r="E4216" s="198">
        <v>53</v>
      </c>
      <c r="F4216" s="199" t="s">
        <v>32824</v>
      </c>
      <c r="G4216" s="1" t="s">
        <v>32825</v>
      </c>
      <c r="H4216" s="1" t="s">
        <v>32591</v>
      </c>
      <c r="I4216" s="346"/>
      <c r="J4216" s="39">
        <v>104402</v>
      </c>
      <c r="K4216" s="36" t="str">
        <f>CONCATENATE(Cover!$D$6,"fdd/view?i=",J4216)</f>
        <v>https://www.dgiwg.org/FAD/fdd/view?i=104402</v>
      </c>
      <c r="L4216" s="36" t="s">
        <v>32826</v>
      </c>
      <c r="M4216" s="186"/>
      <c r="N4216" s="186"/>
      <c r="O4216" s="172"/>
    </row>
    <row r="4217" spans="1:15" ht="38.25" x14ac:dyDescent="0.2">
      <c r="A4217" s="197" t="str">
        <f t="shared" si="65"/>
        <v>HzdCode_capeSouthAfrica</v>
      </c>
      <c r="B4217" s="409"/>
      <c r="C4217" s="416"/>
      <c r="D4217" s="198" t="s">
        <v>32819</v>
      </c>
      <c r="E4217" s="198">
        <v>57</v>
      </c>
      <c r="F4217" s="199" t="s">
        <v>32820</v>
      </c>
      <c r="G4217" s="1" t="s">
        <v>32821</v>
      </c>
      <c r="H4217" s="1" t="s">
        <v>32591</v>
      </c>
      <c r="I4217" s="346"/>
      <c r="J4217" s="39">
        <v>104406</v>
      </c>
      <c r="K4217" s="36" t="str">
        <f>CONCATENATE(Cover!$D$6,"fdd/view?i=",J4217)</f>
        <v>https://www.dgiwg.org/FAD/fdd/view?i=104406</v>
      </c>
      <c r="L4217" s="36" t="s">
        <v>32822</v>
      </c>
      <c r="M4217" s="186"/>
      <c r="N4217" s="186"/>
      <c r="O4217" s="172"/>
    </row>
    <row r="4218" spans="1:15" ht="38.25" x14ac:dyDescent="0.2">
      <c r="A4218" s="197" t="str">
        <f t="shared" si="65"/>
        <v>HzdCode_carthageTunisia</v>
      </c>
      <c r="B4218" s="409"/>
      <c r="C4218" s="416"/>
      <c r="D4218" s="198" t="s">
        <v>32827</v>
      </c>
      <c r="E4218" s="198">
        <v>60</v>
      </c>
      <c r="F4218" s="199" t="s">
        <v>32828</v>
      </c>
      <c r="G4218" s="1" t="s">
        <v>32829</v>
      </c>
      <c r="H4218" s="1" t="s">
        <v>32591</v>
      </c>
      <c r="I4218" s="346"/>
      <c r="J4218" s="39">
        <v>104409</v>
      </c>
      <c r="K4218" s="36" t="str">
        <f>CONCATENATE(Cover!$D$6,"fdd/view?i=",J4218)</f>
        <v>https://www.dgiwg.org/FAD/fdd/view?i=104409</v>
      </c>
      <c r="L4218" s="36" t="s">
        <v>32830</v>
      </c>
      <c r="M4218" s="186"/>
      <c r="N4218" s="186"/>
      <c r="O4218" s="172"/>
    </row>
    <row r="4219" spans="1:15" ht="38.25" x14ac:dyDescent="0.2">
      <c r="A4219" s="197" t="str">
        <f t="shared" si="65"/>
        <v>HzdCode_chatham1971NewZealand</v>
      </c>
      <c r="B4219" s="409"/>
      <c r="C4219" s="416"/>
      <c r="D4219" s="198" t="s">
        <v>32831</v>
      </c>
      <c r="E4219" s="198">
        <v>62</v>
      </c>
      <c r="F4219" s="199" t="s">
        <v>32832</v>
      </c>
      <c r="G4219" s="1" t="s">
        <v>32833</v>
      </c>
      <c r="H4219" s="1" t="s">
        <v>32591</v>
      </c>
      <c r="I4219" s="346"/>
      <c r="J4219" s="39">
        <v>104411</v>
      </c>
      <c r="K4219" s="36" t="str">
        <f>CONCATENATE(Cover!$D$6,"fdd/view?i=",J4219)</f>
        <v>https://www.dgiwg.org/FAD/fdd/view?i=104411</v>
      </c>
      <c r="L4219" s="36" t="s">
        <v>32834</v>
      </c>
      <c r="M4219" s="186"/>
      <c r="N4219" s="186"/>
      <c r="O4219" s="172"/>
    </row>
    <row r="4220" spans="1:15" ht="38.25" x14ac:dyDescent="0.2">
      <c r="A4220" s="197" t="str">
        <f t="shared" si="65"/>
        <v>HzdCode_chuaAstroParaguay</v>
      </c>
      <c r="B4220" s="409"/>
      <c r="C4220" s="416"/>
      <c r="D4220" s="198" t="s">
        <v>32835</v>
      </c>
      <c r="E4220" s="198">
        <v>63</v>
      </c>
      <c r="F4220" s="199" t="s">
        <v>32836</v>
      </c>
      <c r="G4220" s="1" t="s">
        <v>32837</v>
      </c>
      <c r="H4220" s="1" t="s">
        <v>32591</v>
      </c>
      <c r="I4220" s="346"/>
      <c r="J4220" s="39">
        <v>104412</v>
      </c>
      <c r="K4220" s="36" t="str">
        <f>CONCATENATE(Cover!$D$6,"fdd/view?i=",J4220)</f>
        <v>https://www.dgiwg.org/FAD/fdd/view?i=104412</v>
      </c>
      <c r="L4220" s="36" t="s">
        <v>32838</v>
      </c>
      <c r="M4220" s="186"/>
      <c r="N4220" s="186"/>
      <c r="O4220" s="172"/>
    </row>
    <row r="4221" spans="1:15" ht="38.25" x14ac:dyDescent="0.2">
      <c r="A4221" s="197" t="str">
        <f t="shared" si="65"/>
        <v>HzdCode_compensationGeoQuebec1977</v>
      </c>
      <c r="B4221" s="409"/>
      <c r="C4221" s="416"/>
      <c r="D4221" s="198" t="s">
        <v>32839</v>
      </c>
      <c r="E4221" s="198">
        <v>61</v>
      </c>
      <c r="F4221" s="199" t="s">
        <v>32840</v>
      </c>
      <c r="G4221" s="1" t="s">
        <v>32841</v>
      </c>
      <c r="H4221" s="1" t="s">
        <v>32842</v>
      </c>
      <c r="I4221" s="346"/>
      <c r="J4221" s="39">
        <v>104410</v>
      </c>
      <c r="K4221" s="36" t="str">
        <f>CONCATENATE(Cover!$D$6,"fdd/view?i=",J4221)</f>
        <v>https://www.dgiwg.org/FAD/fdd/view?i=104410</v>
      </c>
      <c r="L4221" s="36" t="s">
        <v>32843</v>
      </c>
      <c r="M4221" s="186"/>
      <c r="N4221" s="186"/>
      <c r="O4221" s="172"/>
    </row>
    <row r="4222" spans="1:15" ht="51" x14ac:dyDescent="0.2">
      <c r="A4222" s="197" t="str">
        <f t="shared" si="65"/>
        <v>HzdCode_conakryPyramidGuinea</v>
      </c>
      <c r="B4222" s="409"/>
      <c r="C4222" s="416"/>
      <c r="D4222" s="198" t="s">
        <v>32844</v>
      </c>
      <c r="E4222" s="198">
        <v>65</v>
      </c>
      <c r="F4222" s="199" t="s">
        <v>32845</v>
      </c>
      <c r="G4222" s="1" t="s">
        <v>32846</v>
      </c>
      <c r="H4222" s="1" t="s">
        <v>32591</v>
      </c>
      <c r="I4222" s="346"/>
      <c r="J4222" s="39">
        <v>104414</v>
      </c>
      <c r="K4222" s="36" t="str">
        <f>CONCATENATE(Cover!$D$6,"fdd/view?i=",J4222)</f>
        <v>https://www.dgiwg.org/FAD/fdd/view?i=104414</v>
      </c>
      <c r="L4222" s="36" t="s">
        <v>32847</v>
      </c>
      <c r="M4222" s="186"/>
      <c r="N4222" s="186"/>
      <c r="O4222" s="172"/>
    </row>
    <row r="4223" spans="1:15" ht="38.25" x14ac:dyDescent="0.2">
      <c r="A4223" s="197" t="str">
        <f t="shared" si="65"/>
        <v>HzdCode_corregoAlegreBrazil</v>
      </c>
      <c r="B4223" s="409"/>
      <c r="C4223" s="416"/>
      <c r="D4223" s="198" t="s">
        <v>32852</v>
      </c>
      <c r="E4223" s="198">
        <v>64</v>
      </c>
      <c r="F4223" s="199" t="s">
        <v>32853</v>
      </c>
      <c r="G4223" s="1" t="s">
        <v>32854</v>
      </c>
      <c r="H4223" s="1" t="s">
        <v>32591</v>
      </c>
      <c r="I4223" s="346"/>
      <c r="J4223" s="39">
        <v>104413</v>
      </c>
      <c r="K4223" s="36" t="str">
        <f>CONCATENATE(Cover!$D$6,"fdd/view?i=",J4223)</f>
        <v>https://www.dgiwg.org/FAD/fdd/view?i=104413</v>
      </c>
      <c r="L4223" s="36" t="s">
        <v>32855</v>
      </c>
      <c r="M4223" s="186"/>
      <c r="N4223" s="186"/>
      <c r="O4223" s="172"/>
    </row>
    <row r="4224" spans="1:15" ht="38.25" x14ac:dyDescent="0.2">
      <c r="A4224" s="197" t="str">
        <f t="shared" si="65"/>
        <v>HzdCode_dabolaGuinea</v>
      </c>
      <c r="B4224" s="409"/>
      <c r="C4224" s="416"/>
      <c r="D4224" s="198" t="s">
        <v>32856</v>
      </c>
      <c r="E4224" s="198">
        <v>67</v>
      </c>
      <c r="F4224" s="199" t="s">
        <v>32857</v>
      </c>
      <c r="G4224" s="1" t="s">
        <v>32858</v>
      </c>
      <c r="H4224" s="1" t="s">
        <v>32591</v>
      </c>
      <c r="I4224" s="346"/>
      <c r="J4224" s="39">
        <v>104416</v>
      </c>
      <c r="K4224" s="36" t="str">
        <f>CONCATENATE(Cover!$D$6,"fdd/view?i=",J4224)</f>
        <v>https://www.dgiwg.org/FAD/fdd/view?i=104416</v>
      </c>
      <c r="L4224" s="36" t="s">
        <v>32859</v>
      </c>
      <c r="M4224" s="186"/>
      <c r="N4224" s="186"/>
      <c r="O4224" s="172"/>
    </row>
    <row r="4225" spans="1:15" ht="38.25" x14ac:dyDescent="0.2">
      <c r="A4225" s="197" t="str">
        <f t="shared" si="65"/>
        <v>HzdCode_dcs3LighthouseLesserAnt</v>
      </c>
      <c r="B4225" s="409"/>
      <c r="C4225" s="416"/>
      <c r="D4225" s="198" t="s">
        <v>32860</v>
      </c>
      <c r="E4225" s="198">
        <v>68</v>
      </c>
      <c r="F4225" s="199" t="s">
        <v>32861</v>
      </c>
      <c r="G4225" s="1" t="s">
        <v>32862</v>
      </c>
      <c r="H4225" s="1" t="s">
        <v>32863</v>
      </c>
      <c r="I4225" s="346"/>
      <c r="J4225" s="39">
        <v>104417</v>
      </c>
      <c r="K4225" s="36" t="str">
        <f>CONCATENATE(Cover!$D$6,"fdd/view?i=",J4225)</f>
        <v>https://www.dgiwg.org/FAD/fdd/view?i=104417</v>
      </c>
      <c r="L4225" s="36" t="s">
        <v>32864</v>
      </c>
      <c r="M4225" s="186"/>
      <c r="N4225" s="186"/>
      <c r="O4225" s="172"/>
    </row>
    <row r="4226" spans="1:15" ht="38.25" x14ac:dyDescent="0.2">
      <c r="A4226" s="197" t="str">
        <f t="shared" ref="A4226:A4289" si="66">HYPERLINK(K4226,L4226)</f>
        <v>HzdCode_deceptionIslAntarctica</v>
      </c>
      <c r="B4226" s="409"/>
      <c r="C4226" s="416"/>
      <c r="D4226" s="198" t="s">
        <v>32865</v>
      </c>
      <c r="E4226" s="198">
        <v>69</v>
      </c>
      <c r="F4226" s="199" t="s">
        <v>32866</v>
      </c>
      <c r="G4226" s="1" t="s">
        <v>32867</v>
      </c>
      <c r="H4226" s="1" t="s">
        <v>32591</v>
      </c>
      <c r="I4226" s="346"/>
      <c r="J4226" s="39">
        <v>104418</v>
      </c>
      <c r="K4226" s="36" t="str">
        <f>CONCATENATE(Cover!$D$6,"fdd/view?i=",J4226)</f>
        <v>https://www.dgiwg.org/FAD/fdd/view?i=104418</v>
      </c>
      <c r="L4226" s="36" t="s">
        <v>32868</v>
      </c>
      <c r="M4226" s="186"/>
      <c r="N4226" s="186"/>
      <c r="O4226" s="172"/>
    </row>
    <row r="4227" spans="1:15" ht="38.25" x14ac:dyDescent="0.2">
      <c r="A4227" s="197" t="str">
        <f t="shared" si="66"/>
        <v>HzdCode_djakartaBataviaIndonesia</v>
      </c>
      <c r="B4227" s="409"/>
      <c r="C4227" s="416"/>
      <c r="D4227" s="198" t="s">
        <v>32869</v>
      </c>
      <c r="E4227" s="198">
        <v>40</v>
      </c>
      <c r="F4227" s="199" t="s">
        <v>32870</v>
      </c>
      <c r="G4227" s="1" t="s">
        <v>32871</v>
      </c>
      <c r="H4227" s="1" t="s">
        <v>32591</v>
      </c>
      <c r="I4227" s="346"/>
      <c r="J4227" s="39">
        <v>104389</v>
      </c>
      <c r="K4227" s="36" t="str">
        <f>CONCATENATE(Cover!$D$6,"fdd/view?i=",J4227)</f>
        <v>https://www.dgiwg.org/FAD/fdd/view?i=104389</v>
      </c>
      <c r="L4227" s="36" t="s">
        <v>32872</v>
      </c>
      <c r="M4227" s="186"/>
      <c r="N4227" s="186"/>
      <c r="O4227" s="172"/>
    </row>
    <row r="4228" spans="1:15" ht="51" x14ac:dyDescent="0.2">
      <c r="A4228" s="197" t="str">
        <f t="shared" si="66"/>
        <v>HzdCode_djakartaBataviaZeroMerid</v>
      </c>
      <c r="B4228" s="409"/>
      <c r="C4228" s="416"/>
      <c r="D4228" s="198" t="s">
        <v>32873</v>
      </c>
      <c r="E4228" s="198">
        <v>41</v>
      </c>
      <c r="F4228" s="199" t="s">
        <v>32874</v>
      </c>
      <c r="G4228" s="1" t="s">
        <v>32875</v>
      </c>
      <c r="H4228" s="1" t="s">
        <v>32591</v>
      </c>
      <c r="I4228" s="346"/>
      <c r="J4228" s="39">
        <v>104390</v>
      </c>
      <c r="K4228" s="36" t="str">
        <f>CONCATENATE(Cover!$D$6,"fdd/view?i=",J4228)</f>
        <v>https://www.dgiwg.org/FAD/fdd/view?i=104390</v>
      </c>
      <c r="L4228" s="36" t="s">
        <v>32876</v>
      </c>
      <c r="M4228" s="186"/>
      <c r="N4228" s="186"/>
      <c r="O4228" s="172"/>
    </row>
    <row r="4229" spans="1:15" ht="38.25" x14ac:dyDescent="0.2">
      <c r="A4229" s="197" t="str">
        <f t="shared" si="66"/>
        <v>HzdCode_dominicaAstroM12LesserAnt</v>
      </c>
      <c r="B4229" s="409"/>
      <c r="C4229" s="416"/>
      <c r="D4229" s="198" t="s">
        <v>32877</v>
      </c>
      <c r="E4229" s="198">
        <v>71</v>
      </c>
      <c r="F4229" s="199" t="s">
        <v>32878</v>
      </c>
      <c r="G4229" s="1" t="s">
        <v>32879</v>
      </c>
      <c r="H4229" s="1" t="s">
        <v>32880</v>
      </c>
      <c r="I4229" s="346"/>
      <c r="J4229" s="39">
        <v>104420</v>
      </c>
      <c r="K4229" s="36" t="str">
        <f>CONCATENATE(Cover!$D$6,"fdd/view?i=",J4229)</f>
        <v>https://www.dgiwg.org/FAD/fdd/view?i=104420</v>
      </c>
      <c r="L4229" s="36" t="s">
        <v>32881</v>
      </c>
      <c r="M4229" s="186"/>
      <c r="N4229" s="186"/>
      <c r="O4229" s="172"/>
    </row>
    <row r="4230" spans="1:15" ht="38.25" x14ac:dyDescent="0.2">
      <c r="A4230" s="197" t="str">
        <f t="shared" si="66"/>
        <v>HzdCode_dos1968GizoNewGeorgiaIs</v>
      </c>
      <c r="B4230" s="409"/>
      <c r="C4230" s="416"/>
      <c r="D4230" s="198" t="s">
        <v>32882</v>
      </c>
      <c r="E4230" s="198">
        <v>100</v>
      </c>
      <c r="F4230" s="199" t="s">
        <v>32883</v>
      </c>
      <c r="G4230" s="1" t="s">
        <v>32884</v>
      </c>
      <c r="H4230" s="1" t="s">
        <v>32591</v>
      </c>
      <c r="I4230" s="346"/>
      <c r="J4230" s="39">
        <v>104449</v>
      </c>
      <c r="K4230" s="36" t="str">
        <f>CONCATENATE(Cover!$D$6,"fdd/view?i=",J4230)</f>
        <v>https://www.dgiwg.org/FAD/fdd/view?i=104449</v>
      </c>
      <c r="L4230" s="36" t="s">
        <v>32885</v>
      </c>
      <c r="M4230" s="186"/>
      <c r="N4230" s="186"/>
      <c r="O4230" s="172"/>
    </row>
    <row r="4231" spans="1:15" ht="38.25" x14ac:dyDescent="0.2">
      <c r="A4231" s="197" t="str">
        <f t="shared" si="66"/>
        <v>HzdCode_easterIsland1967EasterIs</v>
      </c>
      <c r="B4231" s="409"/>
      <c r="C4231" s="416"/>
      <c r="D4231" s="198" t="s">
        <v>32886</v>
      </c>
      <c r="E4231" s="198">
        <v>72</v>
      </c>
      <c r="F4231" s="199" t="s">
        <v>32887</v>
      </c>
      <c r="G4231" s="1" t="s">
        <v>32888</v>
      </c>
      <c r="H4231" s="1" t="s">
        <v>32591</v>
      </c>
      <c r="I4231" s="346"/>
      <c r="J4231" s="39">
        <v>104421</v>
      </c>
      <c r="K4231" s="36" t="str">
        <f>CONCATENATE(Cover!$D$6,"fdd/view?i=",J4231)</f>
        <v>https://www.dgiwg.org/FAD/fdd/view?i=104421</v>
      </c>
      <c r="L4231" s="36" t="s">
        <v>32889</v>
      </c>
      <c r="M4231" s="186"/>
      <c r="N4231" s="186"/>
      <c r="O4231" s="172"/>
    </row>
    <row r="4232" spans="1:15" ht="38.25" x14ac:dyDescent="0.2">
      <c r="A4232" s="197" t="str">
        <f t="shared" si="66"/>
        <v>HzdCode_estonia1937</v>
      </c>
      <c r="B4232" s="409"/>
      <c r="C4232" s="416"/>
      <c r="D4232" s="198" t="s">
        <v>32848</v>
      </c>
      <c r="E4232" s="198">
        <v>305</v>
      </c>
      <c r="F4232" s="199" t="s">
        <v>32849</v>
      </c>
      <c r="G4232" s="1" t="s">
        <v>32850</v>
      </c>
      <c r="H4232" s="1" t="s">
        <v>32591</v>
      </c>
      <c r="I4232" s="346"/>
      <c r="J4232" s="39">
        <v>119097</v>
      </c>
      <c r="K4232" s="36" t="str">
        <f>CONCATENATE(Cover!$D$6,"fdd/view?i=",J4232)</f>
        <v>https://www.dgiwg.org/FAD/fdd/view?i=119097</v>
      </c>
      <c r="L4232" s="36" t="s">
        <v>32851</v>
      </c>
      <c r="M4232" s="186"/>
      <c r="N4232" s="186"/>
      <c r="O4232" s="172"/>
    </row>
    <row r="4233" spans="1:15" ht="38.25" x14ac:dyDescent="0.2">
      <c r="A4233" s="197" t="str">
        <f t="shared" si="66"/>
        <v>HzdCode_etrs1989</v>
      </c>
      <c r="B4233" s="409"/>
      <c r="C4233" s="416"/>
      <c r="D4233" s="198" t="s">
        <v>32959</v>
      </c>
      <c r="E4233" s="198">
        <v>91</v>
      </c>
      <c r="F4233" s="199" t="s">
        <v>32960</v>
      </c>
      <c r="G4233" s="1" t="s">
        <v>32961</v>
      </c>
      <c r="H4233" s="1" t="s">
        <v>32591</v>
      </c>
      <c r="I4233" s="346"/>
      <c r="J4233" s="39">
        <v>104440</v>
      </c>
      <c r="K4233" s="36" t="str">
        <f>CONCATENATE(Cover!$D$6,"fdd/view?i=",J4233)</f>
        <v>https://www.dgiwg.org/FAD/fdd/view?i=104440</v>
      </c>
      <c r="L4233" s="36" t="s">
        <v>32962</v>
      </c>
      <c r="M4233" s="186"/>
      <c r="N4233" s="186"/>
      <c r="O4233" s="172"/>
    </row>
    <row r="4234" spans="1:15" ht="25.5" x14ac:dyDescent="0.2">
      <c r="A4234" s="197" t="str">
        <f t="shared" si="66"/>
        <v>HzdCode_european1950</v>
      </c>
      <c r="B4234" s="409"/>
      <c r="C4234" s="416"/>
      <c r="D4234" s="198" t="s">
        <v>32890</v>
      </c>
      <c r="E4234" s="198">
        <v>74</v>
      </c>
      <c r="F4234" s="199" t="s">
        <v>32891</v>
      </c>
      <c r="G4234" s="1" t="s">
        <v>32892</v>
      </c>
      <c r="H4234" s="1" t="s">
        <v>32893</v>
      </c>
      <c r="I4234" s="346"/>
      <c r="J4234" s="39">
        <v>104423</v>
      </c>
      <c r="K4234" s="36" t="str">
        <f>CONCATENATE(Cover!$D$6,"fdd/view?i=",J4234)</f>
        <v>https://www.dgiwg.org/FAD/fdd/view?i=104423</v>
      </c>
      <c r="L4234" s="36" t="s">
        <v>32894</v>
      </c>
      <c r="M4234" s="186"/>
      <c r="N4234" s="186"/>
      <c r="O4234" s="172"/>
    </row>
    <row r="4235" spans="1:15" ht="51" x14ac:dyDescent="0.2">
      <c r="A4235" s="197" t="str">
        <f t="shared" si="66"/>
        <v>HzdCode_european1950BritishIsles</v>
      </c>
      <c r="B4235" s="409"/>
      <c r="C4235" s="416"/>
      <c r="D4235" s="198" t="s">
        <v>32895</v>
      </c>
      <c r="E4235" s="198">
        <v>85</v>
      </c>
      <c r="F4235" s="199" t="s">
        <v>32896</v>
      </c>
      <c r="G4235" s="1" t="s">
        <v>32897</v>
      </c>
      <c r="H4235" s="1" t="s">
        <v>32591</v>
      </c>
      <c r="I4235" s="346"/>
      <c r="J4235" s="39">
        <v>104434</v>
      </c>
      <c r="K4235" s="36" t="str">
        <f>CONCATENATE(Cover!$D$6,"fdd/view?i=",J4235)</f>
        <v>https://www.dgiwg.org/FAD/fdd/view?i=104434</v>
      </c>
      <c r="L4235" s="36" t="s">
        <v>32898</v>
      </c>
      <c r="M4235" s="186"/>
      <c r="N4235" s="186"/>
      <c r="O4235" s="172"/>
    </row>
    <row r="4236" spans="1:15" ht="38.25" x14ac:dyDescent="0.2">
      <c r="A4236" s="197" t="str">
        <f t="shared" si="66"/>
        <v>HzdCode_european1950Cyprus</v>
      </c>
      <c r="B4236" s="409"/>
      <c r="C4236" s="416"/>
      <c r="D4236" s="198" t="s">
        <v>32899</v>
      </c>
      <c r="E4236" s="198">
        <v>79</v>
      </c>
      <c r="F4236" s="199" t="s">
        <v>32900</v>
      </c>
      <c r="G4236" s="1" t="s">
        <v>32901</v>
      </c>
      <c r="H4236" s="1" t="s">
        <v>32591</v>
      </c>
      <c r="I4236" s="346"/>
      <c r="J4236" s="39">
        <v>104428</v>
      </c>
      <c r="K4236" s="36" t="str">
        <f>CONCATENATE(Cover!$D$6,"fdd/view?i=",J4236)</f>
        <v>https://www.dgiwg.org/FAD/fdd/view?i=104428</v>
      </c>
      <c r="L4236" s="36" t="s">
        <v>32902</v>
      </c>
      <c r="M4236" s="186"/>
      <c r="N4236" s="186"/>
      <c r="O4236" s="172"/>
    </row>
    <row r="4237" spans="1:15" ht="38.25" x14ac:dyDescent="0.2">
      <c r="A4237" s="197" t="str">
        <f t="shared" si="66"/>
        <v>HzdCode_european1950Egypt</v>
      </c>
      <c r="B4237" s="409"/>
      <c r="C4237" s="416"/>
      <c r="D4237" s="198" t="s">
        <v>32903</v>
      </c>
      <c r="E4237" s="198">
        <v>80</v>
      </c>
      <c r="F4237" s="199" t="s">
        <v>32904</v>
      </c>
      <c r="G4237" s="1" t="s">
        <v>32905</v>
      </c>
      <c r="H4237" s="1" t="s">
        <v>32591</v>
      </c>
      <c r="I4237" s="346"/>
      <c r="J4237" s="39">
        <v>104429</v>
      </c>
      <c r="K4237" s="36" t="str">
        <f>CONCATENATE(Cover!$D$6,"fdd/view?i=",J4237)</f>
        <v>https://www.dgiwg.org/FAD/fdd/view?i=104429</v>
      </c>
      <c r="L4237" s="36" t="s">
        <v>32906</v>
      </c>
      <c r="M4237" s="186"/>
      <c r="N4237" s="186"/>
      <c r="O4237" s="172"/>
    </row>
    <row r="4238" spans="1:15" ht="51" x14ac:dyDescent="0.2">
      <c r="A4238" s="197" t="str">
        <f t="shared" si="66"/>
        <v>HzdCode_european1950England</v>
      </c>
      <c r="B4238" s="409"/>
      <c r="C4238" s="416"/>
      <c r="D4238" s="198" t="s">
        <v>32907</v>
      </c>
      <c r="E4238" s="198">
        <v>81</v>
      </c>
      <c r="F4238" s="199" t="s">
        <v>32908</v>
      </c>
      <c r="G4238" s="1" t="s">
        <v>32909</v>
      </c>
      <c r="H4238" s="1" t="s">
        <v>32591</v>
      </c>
      <c r="I4238" s="346"/>
      <c r="J4238" s="39">
        <v>104430</v>
      </c>
      <c r="K4238" s="36" t="str">
        <f>CONCATENATE(Cover!$D$6,"fdd/view?i=",J4238)</f>
        <v>https://www.dgiwg.org/FAD/fdd/view?i=104430</v>
      </c>
      <c r="L4238" s="36" t="s">
        <v>32910</v>
      </c>
      <c r="M4238" s="186"/>
      <c r="N4238" s="186"/>
      <c r="O4238" s="172"/>
    </row>
    <row r="4239" spans="1:15" ht="38.25" x14ac:dyDescent="0.2">
      <c r="A4239" s="197" t="str">
        <f t="shared" si="66"/>
        <v>HzdCode_european1950Greece</v>
      </c>
      <c r="B4239" s="409"/>
      <c r="C4239" s="416"/>
      <c r="D4239" s="198" t="s">
        <v>32911</v>
      </c>
      <c r="E4239" s="198">
        <v>76</v>
      </c>
      <c r="F4239" s="199" t="s">
        <v>32912</v>
      </c>
      <c r="G4239" s="1" t="s">
        <v>32913</v>
      </c>
      <c r="H4239" s="1" t="s">
        <v>32591</v>
      </c>
      <c r="I4239" s="346"/>
      <c r="J4239" s="39">
        <v>104425</v>
      </c>
      <c r="K4239" s="36" t="str">
        <f>CONCATENATE(Cover!$D$6,"fdd/view?i=",J4239)</f>
        <v>https://www.dgiwg.org/FAD/fdd/view?i=104425</v>
      </c>
      <c r="L4239" s="36" t="s">
        <v>32914</v>
      </c>
      <c r="M4239" s="186"/>
      <c r="N4239" s="186"/>
      <c r="O4239" s="172"/>
    </row>
    <row r="4240" spans="1:15" ht="38.25" x14ac:dyDescent="0.2">
      <c r="A4240" s="197" t="str">
        <f t="shared" si="66"/>
        <v>HzdCode_european1950Iran</v>
      </c>
      <c r="B4240" s="409"/>
      <c r="C4240" s="416"/>
      <c r="D4240" s="198" t="s">
        <v>32915</v>
      </c>
      <c r="E4240" s="198">
        <v>82</v>
      </c>
      <c r="F4240" s="199" t="s">
        <v>32916</v>
      </c>
      <c r="G4240" s="1" t="s">
        <v>32917</v>
      </c>
      <c r="H4240" s="1" t="s">
        <v>32591</v>
      </c>
      <c r="I4240" s="346"/>
      <c r="J4240" s="39">
        <v>104431</v>
      </c>
      <c r="K4240" s="36" t="str">
        <f>CONCATENATE(Cover!$D$6,"fdd/view?i=",J4240)</f>
        <v>https://www.dgiwg.org/FAD/fdd/view?i=104431</v>
      </c>
      <c r="L4240" s="36" t="s">
        <v>32918</v>
      </c>
      <c r="M4240" s="186"/>
      <c r="N4240" s="186"/>
      <c r="O4240" s="172"/>
    </row>
    <row r="4241" spans="1:15" ht="51" x14ac:dyDescent="0.2">
      <c r="A4241" s="197" t="str">
        <f t="shared" si="66"/>
        <v>HzdCode_european1950IraqSyria</v>
      </c>
      <c r="B4241" s="409"/>
      <c r="C4241" s="416"/>
      <c r="D4241" s="198" t="s">
        <v>32919</v>
      </c>
      <c r="E4241" s="198">
        <v>88</v>
      </c>
      <c r="F4241" s="199" t="s">
        <v>32920</v>
      </c>
      <c r="G4241" s="1" t="s">
        <v>32921</v>
      </c>
      <c r="H4241" s="1" t="s">
        <v>32591</v>
      </c>
      <c r="I4241" s="346"/>
      <c r="J4241" s="39">
        <v>104437</v>
      </c>
      <c r="K4241" s="36" t="str">
        <f>CONCATENATE(Cover!$D$6,"fdd/view?i=",J4241)</f>
        <v>https://www.dgiwg.org/FAD/fdd/view?i=104437</v>
      </c>
      <c r="L4241" s="36" t="s">
        <v>32922</v>
      </c>
      <c r="M4241" s="186"/>
      <c r="N4241" s="186"/>
      <c r="O4241" s="172"/>
    </row>
    <row r="4242" spans="1:15" ht="38.25" x14ac:dyDescent="0.2">
      <c r="A4242" s="197" t="str">
        <f t="shared" si="66"/>
        <v>HzdCode_european1950Malta</v>
      </c>
      <c r="B4242" s="409"/>
      <c r="C4242" s="416"/>
      <c r="D4242" s="198" t="s">
        <v>32923</v>
      </c>
      <c r="E4242" s="198">
        <v>86</v>
      </c>
      <c r="F4242" s="199" t="s">
        <v>32924</v>
      </c>
      <c r="G4242" s="1" t="s">
        <v>32925</v>
      </c>
      <c r="H4242" s="1" t="s">
        <v>32591</v>
      </c>
      <c r="I4242" s="346"/>
      <c r="J4242" s="39">
        <v>104435</v>
      </c>
      <c r="K4242" s="36" t="str">
        <f>CONCATENATE(Cover!$D$6,"fdd/view?i=",J4242)</f>
        <v>https://www.dgiwg.org/FAD/fdd/view?i=104435</v>
      </c>
      <c r="L4242" s="36" t="s">
        <v>32926</v>
      </c>
      <c r="M4242" s="186"/>
      <c r="N4242" s="186"/>
      <c r="O4242" s="172"/>
    </row>
    <row r="4243" spans="1:15" ht="63.75" x14ac:dyDescent="0.2">
      <c r="A4243" s="197" t="str">
        <f t="shared" si="66"/>
        <v>HzdCode_european1950MeanValue</v>
      </c>
      <c r="B4243" s="409"/>
      <c r="C4243" s="416"/>
      <c r="D4243" s="198" t="s">
        <v>32927</v>
      </c>
      <c r="E4243" s="198">
        <v>87</v>
      </c>
      <c r="F4243" s="199" t="s">
        <v>32928</v>
      </c>
      <c r="G4243" s="1" t="s">
        <v>32929</v>
      </c>
      <c r="H4243" s="1" t="s">
        <v>32591</v>
      </c>
      <c r="I4243" s="346"/>
      <c r="J4243" s="39">
        <v>104436</v>
      </c>
      <c r="K4243" s="36" t="str">
        <f>CONCATENATE(Cover!$D$6,"fdd/view?i=",J4243)</f>
        <v>https://www.dgiwg.org/FAD/fdd/view?i=104436</v>
      </c>
      <c r="L4243" s="36" t="s">
        <v>32930</v>
      </c>
      <c r="M4243" s="186"/>
      <c r="N4243" s="186"/>
      <c r="O4243" s="172"/>
    </row>
    <row r="4244" spans="1:15" ht="38.25" x14ac:dyDescent="0.2">
      <c r="A4244" s="197" t="str">
        <f t="shared" si="66"/>
        <v>HzdCode_european1950NorwayFinland</v>
      </c>
      <c r="B4244" s="409"/>
      <c r="C4244" s="416"/>
      <c r="D4244" s="198" t="s">
        <v>32931</v>
      </c>
      <c r="E4244" s="198">
        <v>77</v>
      </c>
      <c r="F4244" s="199" t="s">
        <v>32932</v>
      </c>
      <c r="G4244" s="1" t="s">
        <v>32933</v>
      </c>
      <c r="H4244" s="1" t="s">
        <v>32591</v>
      </c>
      <c r="I4244" s="346"/>
      <c r="J4244" s="39">
        <v>104426</v>
      </c>
      <c r="K4244" s="36" t="str">
        <f>CONCATENATE(Cover!$D$6,"fdd/view?i=",J4244)</f>
        <v>https://www.dgiwg.org/FAD/fdd/view?i=104426</v>
      </c>
      <c r="L4244" s="36" t="s">
        <v>32934</v>
      </c>
      <c r="M4244" s="186"/>
      <c r="N4244" s="186"/>
      <c r="O4244" s="172"/>
    </row>
    <row r="4245" spans="1:15" ht="38.25" x14ac:dyDescent="0.2">
      <c r="A4245" s="197" t="str">
        <f t="shared" si="66"/>
        <v>HzdCode_european1950PortugalSpain</v>
      </c>
      <c r="B4245" s="409"/>
      <c r="C4245" s="416"/>
      <c r="D4245" s="198" t="s">
        <v>32935</v>
      </c>
      <c r="E4245" s="198">
        <v>78</v>
      </c>
      <c r="F4245" s="199" t="s">
        <v>32936</v>
      </c>
      <c r="G4245" s="1" t="s">
        <v>32937</v>
      </c>
      <c r="H4245" s="1" t="s">
        <v>32591</v>
      </c>
      <c r="I4245" s="346"/>
      <c r="J4245" s="39">
        <v>104427</v>
      </c>
      <c r="K4245" s="36" t="str">
        <f>CONCATENATE(Cover!$D$6,"fdd/view?i=",J4245)</f>
        <v>https://www.dgiwg.org/FAD/fdd/view?i=104427</v>
      </c>
      <c r="L4245" s="36" t="s">
        <v>32938</v>
      </c>
      <c r="M4245" s="186"/>
      <c r="N4245" s="186"/>
      <c r="O4245" s="172"/>
    </row>
    <row r="4246" spans="1:15" ht="38.25" x14ac:dyDescent="0.2">
      <c r="A4246" s="197" t="str">
        <f t="shared" si="66"/>
        <v>HzdCode_european1950Sardinia</v>
      </c>
      <c r="B4246" s="409"/>
      <c r="C4246" s="416"/>
      <c r="D4246" s="198" t="s">
        <v>32939</v>
      </c>
      <c r="E4246" s="198">
        <v>83</v>
      </c>
      <c r="F4246" s="199" t="s">
        <v>32940</v>
      </c>
      <c r="G4246" s="1" t="s">
        <v>32941</v>
      </c>
      <c r="H4246" s="1" t="s">
        <v>32591</v>
      </c>
      <c r="I4246" s="346"/>
      <c r="J4246" s="39">
        <v>104432</v>
      </c>
      <c r="K4246" s="36" t="str">
        <f>CONCATENATE(Cover!$D$6,"fdd/view?i=",J4246)</f>
        <v>https://www.dgiwg.org/FAD/fdd/view?i=104432</v>
      </c>
      <c r="L4246" s="36" t="s">
        <v>32942</v>
      </c>
      <c r="M4246" s="186"/>
      <c r="N4246" s="186"/>
      <c r="O4246" s="172"/>
    </row>
    <row r="4247" spans="1:15" ht="38.25" x14ac:dyDescent="0.2">
      <c r="A4247" s="197" t="str">
        <f t="shared" si="66"/>
        <v>HzdCode_european1950Sicily</v>
      </c>
      <c r="B4247" s="409"/>
      <c r="C4247" s="416"/>
      <c r="D4247" s="198" t="s">
        <v>32943</v>
      </c>
      <c r="E4247" s="198">
        <v>84</v>
      </c>
      <c r="F4247" s="199" t="s">
        <v>32944</v>
      </c>
      <c r="G4247" s="1" t="s">
        <v>32945</v>
      </c>
      <c r="H4247" s="1" t="s">
        <v>32591</v>
      </c>
      <c r="I4247" s="346"/>
      <c r="J4247" s="39">
        <v>104433</v>
      </c>
      <c r="K4247" s="36" t="str">
        <f>CONCATENATE(Cover!$D$6,"fdd/view?i=",J4247)</f>
        <v>https://www.dgiwg.org/FAD/fdd/view?i=104433</v>
      </c>
      <c r="L4247" s="36" t="s">
        <v>32946</v>
      </c>
      <c r="M4247" s="186"/>
      <c r="N4247" s="186"/>
      <c r="O4247" s="172"/>
    </row>
    <row r="4248" spans="1:15" ht="38.25" x14ac:dyDescent="0.2">
      <c r="A4248" s="197" t="str">
        <f t="shared" si="66"/>
        <v>HzdCode_european1950Tunisia</v>
      </c>
      <c r="B4248" s="409"/>
      <c r="C4248" s="416"/>
      <c r="D4248" s="198" t="s">
        <v>32947</v>
      </c>
      <c r="E4248" s="198">
        <v>89</v>
      </c>
      <c r="F4248" s="199" t="s">
        <v>32948</v>
      </c>
      <c r="G4248" s="1" t="s">
        <v>32949</v>
      </c>
      <c r="H4248" s="1" t="s">
        <v>32591</v>
      </c>
      <c r="I4248" s="346"/>
      <c r="J4248" s="39">
        <v>104438</v>
      </c>
      <c r="K4248" s="36" t="str">
        <f>CONCATENATE(Cover!$D$6,"fdd/view?i=",J4248)</f>
        <v>https://www.dgiwg.org/FAD/fdd/view?i=104438</v>
      </c>
      <c r="L4248" s="36" t="s">
        <v>32950</v>
      </c>
      <c r="M4248" s="186"/>
      <c r="N4248" s="186"/>
      <c r="O4248" s="172"/>
    </row>
    <row r="4249" spans="1:15" ht="51" x14ac:dyDescent="0.2">
      <c r="A4249" s="197" t="str">
        <f t="shared" si="66"/>
        <v>HzdCode_european1950WesternEurope</v>
      </c>
      <c r="B4249" s="409"/>
      <c r="C4249" s="416"/>
      <c r="D4249" s="198" t="s">
        <v>32951</v>
      </c>
      <c r="E4249" s="198">
        <v>75</v>
      </c>
      <c r="F4249" s="199" t="s">
        <v>32952</v>
      </c>
      <c r="G4249" s="1" t="s">
        <v>32953</v>
      </c>
      <c r="H4249" s="1" t="s">
        <v>32591</v>
      </c>
      <c r="I4249" s="346"/>
      <c r="J4249" s="39">
        <v>104424</v>
      </c>
      <c r="K4249" s="36" t="str">
        <f>CONCATENATE(Cover!$D$6,"fdd/view?i=",J4249)</f>
        <v>https://www.dgiwg.org/FAD/fdd/view?i=104424</v>
      </c>
      <c r="L4249" s="36" t="s">
        <v>32954</v>
      </c>
      <c r="M4249" s="186"/>
      <c r="N4249" s="186"/>
      <c r="O4249" s="172"/>
    </row>
    <row r="4250" spans="1:15" ht="38.25" x14ac:dyDescent="0.2">
      <c r="A4250" s="197" t="str">
        <f t="shared" si="66"/>
        <v>HzdCode_european1979MeanValue</v>
      </c>
      <c r="B4250" s="409"/>
      <c r="C4250" s="416"/>
      <c r="D4250" s="198" t="s">
        <v>32955</v>
      </c>
      <c r="E4250" s="198">
        <v>90</v>
      </c>
      <c r="F4250" s="199" t="s">
        <v>32956</v>
      </c>
      <c r="G4250" s="1" t="s">
        <v>32957</v>
      </c>
      <c r="H4250" s="1" t="s">
        <v>32591</v>
      </c>
      <c r="I4250" s="346"/>
      <c r="J4250" s="39">
        <v>104439</v>
      </c>
      <c r="K4250" s="36" t="str">
        <f>CONCATENATE(Cover!$D$6,"fdd/view?i=",J4250)</f>
        <v>https://www.dgiwg.org/FAD/fdd/view?i=104439</v>
      </c>
      <c r="L4250" s="36" t="s">
        <v>32958</v>
      </c>
      <c r="M4250" s="186"/>
      <c r="N4250" s="186"/>
      <c r="O4250" s="172"/>
    </row>
    <row r="4251" spans="1:15" ht="38.25" x14ac:dyDescent="0.2">
      <c r="A4251" s="197" t="str">
        <f t="shared" si="66"/>
        <v>HzdCode_fortThomas1955LeewardIs</v>
      </c>
      <c r="B4251" s="409"/>
      <c r="C4251" s="416"/>
      <c r="D4251" s="198" t="s">
        <v>32963</v>
      </c>
      <c r="E4251" s="198">
        <v>94</v>
      </c>
      <c r="F4251" s="199" t="s">
        <v>32964</v>
      </c>
      <c r="G4251" s="1" t="s">
        <v>32965</v>
      </c>
      <c r="H4251" s="1" t="s">
        <v>32591</v>
      </c>
      <c r="I4251" s="346"/>
      <c r="J4251" s="39">
        <v>104443</v>
      </c>
      <c r="K4251" s="36" t="str">
        <f>CONCATENATE(Cover!$D$6,"fdd/view?i=",J4251)</f>
        <v>https://www.dgiwg.org/FAD/fdd/view?i=104443</v>
      </c>
      <c r="L4251" s="36" t="s">
        <v>32966</v>
      </c>
      <c r="M4251" s="186"/>
      <c r="N4251" s="186"/>
      <c r="O4251" s="172"/>
    </row>
    <row r="4252" spans="1:15" ht="38.25" x14ac:dyDescent="0.2">
      <c r="A4252" s="197" t="str">
        <f t="shared" si="66"/>
        <v>HzdCode_gan1970AdduAtoll</v>
      </c>
      <c r="B4252" s="409"/>
      <c r="C4252" s="416"/>
      <c r="D4252" s="198" t="s">
        <v>32967</v>
      </c>
      <c r="E4252" s="198">
        <v>95</v>
      </c>
      <c r="F4252" s="199" t="s">
        <v>32968</v>
      </c>
      <c r="G4252" s="1" t="s">
        <v>32969</v>
      </c>
      <c r="H4252" s="1" t="s">
        <v>32591</v>
      </c>
      <c r="I4252" s="346"/>
      <c r="J4252" s="39">
        <v>104444</v>
      </c>
      <c r="K4252" s="36" t="str">
        <f>CONCATENATE(Cover!$D$6,"fdd/view?i=",J4252)</f>
        <v>https://www.dgiwg.org/FAD/fdd/view?i=104444</v>
      </c>
      <c r="L4252" s="36" t="s">
        <v>32970</v>
      </c>
      <c r="M4252" s="186"/>
      <c r="N4252" s="186"/>
      <c r="O4252" s="172"/>
    </row>
    <row r="4253" spans="1:15" ht="38.25" x14ac:dyDescent="0.2">
      <c r="A4253" s="197" t="str">
        <f t="shared" si="66"/>
        <v>HzdCode_gandajikaBaseZaire</v>
      </c>
      <c r="B4253" s="409"/>
      <c r="C4253" s="416"/>
      <c r="D4253" s="198" t="s">
        <v>32971</v>
      </c>
      <c r="E4253" s="198">
        <v>96</v>
      </c>
      <c r="F4253" s="199" t="s">
        <v>32972</v>
      </c>
      <c r="G4253" s="1" t="s">
        <v>32973</v>
      </c>
      <c r="H4253" s="1" t="s">
        <v>32591</v>
      </c>
      <c r="I4253" s="346"/>
      <c r="J4253" s="39">
        <v>104445</v>
      </c>
      <c r="K4253" s="36" t="str">
        <f>CONCATENATE(Cover!$D$6,"fdd/view?i=",J4253)</f>
        <v>https://www.dgiwg.org/FAD/fdd/view?i=104445</v>
      </c>
      <c r="L4253" s="36" t="s">
        <v>32974</v>
      </c>
      <c r="M4253" s="186"/>
      <c r="N4253" s="186"/>
      <c r="O4253" s="172"/>
    </row>
    <row r="4254" spans="1:15" ht="38.25" x14ac:dyDescent="0.2">
      <c r="A4254" s="197" t="str">
        <f t="shared" si="66"/>
        <v>HzdCode_gdz80China</v>
      </c>
      <c r="B4254" s="409"/>
      <c r="C4254" s="416"/>
      <c r="D4254" s="198" t="s">
        <v>32975</v>
      </c>
      <c r="E4254" s="198">
        <v>98</v>
      </c>
      <c r="F4254" s="199" t="s">
        <v>32976</v>
      </c>
      <c r="G4254" s="1" t="s">
        <v>32977</v>
      </c>
      <c r="H4254" s="1" t="s">
        <v>32591</v>
      </c>
      <c r="I4254" s="346"/>
      <c r="J4254" s="39">
        <v>104447</v>
      </c>
      <c r="K4254" s="36" t="str">
        <f>CONCATENATE(Cover!$D$6,"fdd/view?i=",J4254)</f>
        <v>https://www.dgiwg.org/FAD/fdd/view?i=104447</v>
      </c>
      <c r="L4254" s="36" t="s">
        <v>32978</v>
      </c>
      <c r="M4254" s="186"/>
      <c r="N4254" s="186"/>
      <c r="O4254" s="172"/>
    </row>
    <row r="4255" spans="1:15" ht="38.25" x14ac:dyDescent="0.2">
      <c r="A4255" s="197" t="str">
        <f t="shared" si="66"/>
        <v>HzdCode_geocentricDatumOfAustralia</v>
      </c>
      <c r="B4255" s="409"/>
      <c r="C4255" s="416"/>
      <c r="D4255" s="198" t="s">
        <v>32979</v>
      </c>
      <c r="E4255" s="198">
        <v>97</v>
      </c>
      <c r="F4255" s="199" t="s">
        <v>32980</v>
      </c>
      <c r="G4255" s="1" t="s">
        <v>32981</v>
      </c>
      <c r="H4255" s="1" t="s">
        <v>32591</v>
      </c>
      <c r="I4255" s="346"/>
      <c r="J4255" s="39">
        <v>104446</v>
      </c>
      <c r="K4255" s="36" t="str">
        <f>CONCATENATE(Cover!$D$6,"fdd/view?i=",J4255)</f>
        <v>https://www.dgiwg.org/FAD/fdd/view?i=104446</v>
      </c>
      <c r="L4255" s="36" t="s">
        <v>32982</v>
      </c>
      <c r="M4255" s="186"/>
      <c r="N4255" s="186"/>
      <c r="O4255" s="172"/>
    </row>
    <row r="4256" spans="1:15" ht="38.25" x14ac:dyDescent="0.2">
      <c r="A4256" s="197" t="str">
        <f t="shared" si="66"/>
        <v>HzdCode_geodeticDatum1949Zealand</v>
      </c>
      <c r="B4256" s="409"/>
      <c r="C4256" s="416"/>
      <c r="D4256" s="198" t="s">
        <v>32983</v>
      </c>
      <c r="E4256" s="198">
        <v>99</v>
      </c>
      <c r="F4256" s="199" t="s">
        <v>32984</v>
      </c>
      <c r="G4256" s="1" t="s">
        <v>32985</v>
      </c>
      <c r="H4256" s="1" t="s">
        <v>32591</v>
      </c>
      <c r="I4256" s="346"/>
      <c r="J4256" s="39">
        <v>104448</v>
      </c>
      <c r="K4256" s="36" t="str">
        <f>CONCATENATE(Cover!$D$6,"fdd/view?i=",J4256)</f>
        <v>https://www.dgiwg.org/FAD/fdd/view?i=104448</v>
      </c>
      <c r="L4256" s="36" t="s">
        <v>32986</v>
      </c>
      <c r="M4256" s="186"/>
      <c r="N4256" s="186"/>
      <c r="O4256" s="172"/>
    </row>
    <row r="4257" spans="1:15" ht="63.75" x14ac:dyDescent="0.2">
      <c r="A4257" s="197" t="str">
        <f t="shared" si="66"/>
        <v>HzdCode_graciosaBaseSWFaialAzores</v>
      </c>
      <c r="B4257" s="409"/>
      <c r="C4257" s="416"/>
      <c r="D4257" s="198" t="s">
        <v>32987</v>
      </c>
      <c r="E4257" s="198">
        <v>101</v>
      </c>
      <c r="F4257" s="199" t="s">
        <v>32988</v>
      </c>
      <c r="G4257" s="1" t="s">
        <v>32989</v>
      </c>
      <c r="H4257" s="1" t="s">
        <v>32591</v>
      </c>
      <c r="I4257" s="346"/>
      <c r="J4257" s="39">
        <v>104450</v>
      </c>
      <c r="K4257" s="36" t="str">
        <f>CONCATENATE(Cover!$D$6,"fdd/view?i=",J4257)</f>
        <v>https://www.dgiwg.org/FAD/fdd/view?i=104450</v>
      </c>
      <c r="L4257" s="36" t="s">
        <v>32990</v>
      </c>
      <c r="M4257" s="186"/>
      <c r="N4257" s="186"/>
      <c r="O4257" s="172"/>
    </row>
    <row r="4258" spans="1:15" ht="25.5" x14ac:dyDescent="0.2">
      <c r="A4258" s="197" t="str">
        <f t="shared" si="66"/>
        <v>HzdCode_greekDatumGreece</v>
      </c>
      <c r="B4258" s="409"/>
      <c r="C4258" s="416"/>
      <c r="D4258" s="198" t="s">
        <v>32991</v>
      </c>
      <c r="E4258" s="198">
        <v>102</v>
      </c>
      <c r="F4258" s="199" t="s">
        <v>32992</v>
      </c>
      <c r="G4258" s="1" t="s">
        <v>32993</v>
      </c>
      <c r="H4258" s="1" t="s">
        <v>32994</v>
      </c>
      <c r="I4258" s="346"/>
      <c r="J4258" s="39">
        <v>104451</v>
      </c>
      <c r="K4258" s="36" t="str">
        <f>CONCATENATE(Cover!$D$6,"fdd/view?i=",J4258)</f>
        <v>https://www.dgiwg.org/FAD/fdd/view?i=104451</v>
      </c>
      <c r="L4258" s="36" t="s">
        <v>32995</v>
      </c>
      <c r="M4258" s="186"/>
      <c r="N4258" s="186"/>
      <c r="O4258" s="172"/>
    </row>
    <row r="4259" spans="1:15" ht="38.25" x14ac:dyDescent="0.2">
      <c r="A4259" s="197" t="str">
        <f t="shared" si="66"/>
        <v>HzdCode_greekGeodeticRefSystem1987</v>
      </c>
      <c r="B4259" s="409"/>
      <c r="C4259" s="416"/>
      <c r="D4259" s="198" t="s">
        <v>32996</v>
      </c>
      <c r="E4259" s="198">
        <v>103</v>
      </c>
      <c r="F4259" s="199" t="s">
        <v>32997</v>
      </c>
      <c r="G4259" s="1" t="s">
        <v>32998</v>
      </c>
      <c r="H4259" s="1" t="s">
        <v>32999</v>
      </c>
      <c r="I4259" s="346"/>
      <c r="J4259" s="39">
        <v>104452</v>
      </c>
      <c r="K4259" s="36" t="str">
        <f>CONCATENATE(Cover!$D$6,"fdd/view?i=",J4259)</f>
        <v>https://www.dgiwg.org/FAD/fdd/view?i=104452</v>
      </c>
      <c r="L4259" s="36" t="s">
        <v>33000</v>
      </c>
      <c r="M4259" s="186"/>
      <c r="N4259" s="186"/>
      <c r="O4259" s="172"/>
    </row>
    <row r="4260" spans="1:15" ht="38.25" x14ac:dyDescent="0.2">
      <c r="A4260" s="197" t="str">
        <f t="shared" si="66"/>
        <v>HzdCode_guam1963</v>
      </c>
      <c r="B4260" s="409"/>
      <c r="C4260" s="416"/>
      <c r="D4260" s="198" t="s">
        <v>33001</v>
      </c>
      <c r="E4260" s="198">
        <v>106</v>
      </c>
      <c r="F4260" s="199" t="s">
        <v>33002</v>
      </c>
      <c r="G4260" s="1" t="s">
        <v>33003</v>
      </c>
      <c r="H4260" s="1" t="s">
        <v>32591</v>
      </c>
      <c r="I4260" s="346"/>
      <c r="J4260" s="39">
        <v>104455</v>
      </c>
      <c r="K4260" s="36" t="str">
        <f>CONCATENATE(Cover!$D$6,"fdd/view?i=",J4260)</f>
        <v>https://www.dgiwg.org/FAD/fdd/view?i=104455</v>
      </c>
      <c r="L4260" s="36" t="s">
        <v>33004</v>
      </c>
      <c r="M4260" s="186"/>
      <c r="N4260" s="186"/>
      <c r="O4260" s="172"/>
    </row>
    <row r="4261" spans="1:15" ht="38.25" x14ac:dyDescent="0.2">
      <c r="A4261" s="197" t="str">
        <f t="shared" si="66"/>
        <v>HzdCode_gunongSegaraKalimantanIs</v>
      </c>
      <c r="B4261" s="409"/>
      <c r="C4261" s="416"/>
      <c r="D4261" s="198" t="s">
        <v>33005</v>
      </c>
      <c r="E4261" s="198">
        <v>104</v>
      </c>
      <c r="F4261" s="199" t="s">
        <v>33006</v>
      </c>
      <c r="G4261" s="1" t="s">
        <v>33007</v>
      </c>
      <c r="H4261" s="1" t="s">
        <v>32591</v>
      </c>
      <c r="I4261" s="346"/>
      <c r="J4261" s="39">
        <v>104453</v>
      </c>
      <c r="K4261" s="36" t="str">
        <f>CONCATENATE(Cover!$D$6,"fdd/view?i=",J4261)</f>
        <v>https://www.dgiwg.org/FAD/fdd/view?i=104453</v>
      </c>
      <c r="L4261" s="36" t="s">
        <v>33008</v>
      </c>
      <c r="M4261" s="186"/>
      <c r="N4261" s="186"/>
      <c r="O4261" s="172"/>
    </row>
    <row r="4262" spans="1:15" ht="25.5" x14ac:dyDescent="0.2">
      <c r="A4262" s="197" t="str">
        <f t="shared" si="66"/>
        <v>HzdCode_gunongSerindung</v>
      </c>
      <c r="B4262" s="409"/>
      <c r="C4262" s="416"/>
      <c r="D4262" s="198" t="s">
        <v>33009</v>
      </c>
      <c r="E4262" s="198">
        <v>105</v>
      </c>
      <c r="F4262" s="199" t="s">
        <v>33010</v>
      </c>
      <c r="G4262" s="1" t="s">
        <v>33011</v>
      </c>
      <c r="H4262" s="1" t="s">
        <v>33012</v>
      </c>
      <c r="I4262" s="346"/>
      <c r="J4262" s="39">
        <v>104454</v>
      </c>
      <c r="K4262" s="36" t="str">
        <f>CONCATENATE(Cover!$D$6,"fdd/view?i=",J4262)</f>
        <v>https://www.dgiwg.org/FAD/fdd/view?i=104454</v>
      </c>
      <c r="L4262" s="36" t="s">
        <v>33013</v>
      </c>
      <c r="M4262" s="186"/>
      <c r="N4262" s="186"/>
      <c r="O4262" s="172"/>
    </row>
    <row r="4263" spans="1:15" ht="38.25" x14ac:dyDescent="0.2">
      <c r="A4263" s="197" t="str">
        <f t="shared" si="66"/>
        <v>HzdCode_gux1AstroGuadacanalIs</v>
      </c>
      <c r="B4263" s="409"/>
      <c r="C4263" s="416"/>
      <c r="D4263" s="198" t="s">
        <v>33014</v>
      </c>
      <c r="E4263" s="198">
        <v>70</v>
      </c>
      <c r="F4263" s="199" t="s">
        <v>33015</v>
      </c>
      <c r="G4263" s="1" t="s">
        <v>33016</v>
      </c>
      <c r="H4263" s="1" t="s">
        <v>32591</v>
      </c>
      <c r="I4263" s="346"/>
      <c r="J4263" s="39">
        <v>104419</v>
      </c>
      <c r="K4263" s="36" t="str">
        <f>CONCATENATE(Cover!$D$6,"fdd/view?i=",J4263)</f>
        <v>https://www.dgiwg.org/FAD/fdd/view?i=104419</v>
      </c>
      <c r="L4263" s="36" t="s">
        <v>33017</v>
      </c>
      <c r="M4263" s="186"/>
      <c r="N4263" s="186"/>
      <c r="O4263" s="172"/>
    </row>
    <row r="4264" spans="1:15" ht="25.5" x14ac:dyDescent="0.2">
      <c r="A4264" s="197" t="str">
        <f t="shared" si="66"/>
        <v>HzdCode_guyanaCSG67</v>
      </c>
      <c r="B4264" s="409"/>
      <c r="C4264" s="416"/>
      <c r="D4264" s="198" t="s">
        <v>33018</v>
      </c>
      <c r="E4264" s="198">
        <v>66</v>
      </c>
      <c r="F4264" s="199" t="s">
        <v>33019</v>
      </c>
      <c r="G4264" s="1" t="s">
        <v>33020</v>
      </c>
      <c r="H4264" s="1" t="s">
        <v>33021</v>
      </c>
      <c r="I4264" s="346"/>
      <c r="J4264" s="39">
        <v>104415</v>
      </c>
      <c r="K4264" s="36" t="str">
        <f>CONCATENATE(Cover!$D$6,"fdd/view?i=",J4264)</f>
        <v>https://www.dgiwg.org/FAD/fdd/view?i=104415</v>
      </c>
      <c r="L4264" s="36" t="s">
        <v>33022</v>
      </c>
      <c r="M4264" s="186"/>
      <c r="N4264" s="186"/>
      <c r="O4264" s="172"/>
    </row>
    <row r="4265" spans="1:15" ht="38.25" x14ac:dyDescent="0.2">
      <c r="A4265" s="197" t="str">
        <f t="shared" si="66"/>
        <v>HzdCode_heratNorthAfganistan</v>
      </c>
      <c r="B4265" s="409"/>
      <c r="C4265" s="416"/>
      <c r="D4265" s="198" t="s">
        <v>33023</v>
      </c>
      <c r="E4265" s="198">
        <v>107</v>
      </c>
      <c r="F4265" s="199" t="s">
        <v>33024</v>
      </c>
      <c r="G4265" s="1" t="s">
        <v>33025</v>
      </c>
      <c r="H4265" s="1" t="s">
        <v>32591</v>
      </c>
      <c r="I4265" s="346"/>
      <c r="J4265" s="39">
        <v>104456</v>
      </c>
      <c r="K4265" s="36" t="str">
        <f>CONCATENATE(Cover!$D$6,"fdd/view?i=",J4265)</f>
        <v>https://www.dgiwg.org/FAD/fdd/view?i=104456</v>
      </c>
      <c r="L4265" s="36" t="s">
        <v>33026</v>
      </c>
      <c r="M4265" s="186"/>
      <c r="N4265" s="186"/>
      <c r="O4265" s="172"/>
    </row>
    <row r="4266" spans="1:15" ht="38.25" x14ac:dyDescent="0.2">
      <c r="A4266" s="197" t="str">
        <f t="shared" si="66"/>
        <v>HzdCode_hermannskogel</v>
      </c>
      <c r="B4266" s="409"/>
      <c r="C4266" s="416"/>
      <c r="D4266" s="198" t="s">
        <v>33027</v>
      </c>
      <c r="E4266" s="198">
        <v>108</v>
      </c>
      <c r="F4266" s="199" t="s">
        <v>33028</v>
      </c>
      <c r="G4266" s="1" t="s">
        <v>33029</v>
      </c>
      <c r="H4266" s="1" t="s">
        <v>32591</v>
      </c>
      <c r="I4266" s="346"/>
      <c r="J4266" s="39">
        <v>104457</v>
      </c>
      <c r="K4266" s="36" t="str">
        <f>CONCATENATE(Cover!$D$6,"fdd/view?i=",J4266)</f>
        <v>https://www.dgiwg.org/FAD/fdd/view?i=104457</v>
      </c>
      <c r="L4266" s="36" t="s">
        <v>33030</v>
      </c>
      <c r="M4266" s="186"/>
      <c r="N4266" s="186"/>
      <c r="O4266" s="172"/>
    </row>
    <row r="4267" spans="1:15" ht="38.25" x14ac:dyDescent="0.2">
      <c r="A4267" s="197" t="str">
        <f t="shared" si="66"/>
        <v>HzdCode_hjorsey1955Iceland</v>
      </c>
      <c r="B4267" s="409"/>
      <c r="C4267" s="416"/>
      <c r="D4267" s="198" t="s">
        <v>33031</v>
      </c>
      <c r="E4267" s="198">
        <v>110</v>
      </c>
      <c r="F4267" s="199" t="s">
        <v>33032</v>
      </c>
      <c r="G4267" s="1" t="s">
        <v>33033</v>
      </c>
      <c r="H4267" s="1" t="s">
        <v>32591</v>
      </c>
      <c r="I4267" s="346"/>
      <c r="J4267" s="39">
        <v>104459</v>
      </c>
      <c r="K4267" s="36" t="str">
        <f>CONCATENATE(Cover!$D$6,"fdd/view?i=",J4267)</f>
        <v>https://www.dgiwg.org/FAD/fdd/view?i=104459</v>
      </c>
      <c r="L4267" s="36" t="s">
        <v>33034</v>
      </c>
      <c r="M4267" s="186"/>
      <c r="N4267" s="186"/>
      <c r="O4267" s="172"/>
    </row>
    <row r="4268" spans="1:15" ht="25.5" x14ac:dyDescent="0.2">
      <c r="A4268" s="197" t="str">
        <f t="shared" si="66"/>
        <v>HzdCode_hongKong1929</v>
      </c>
      <c r="B4268" s="409"/>
      <c r="C4268" s="416"/>
      <c r="D4268" s="198" t="s">
        <v>33035</v>
      </c>
      <c r="E4268" s="198">
        <v>112</v>
      </c>
      <c r="F4268" s="199" t="s">
        <v>33036</v>
      </c>
      <c r="G4268" s="1" t="s">
        <v>33037</v>
      </c>
      <c r="H4268" s="1" t="s">
        <v>33038</v>
      </c>
      <c r="I4268" s="346"/>
      <c r="J4268" s="39">
        <v>104461</v>
      </c>
      <c r="K4268" s="36" t="str">
        <f>CONCATENATE(Cover!$D$6,"fdd/view?i=",J4268)</f>
        <v>https://www.dgiwg.org/FAD/fdd/view?i=104461</v>
      </c>
      <c r="L4268" s="36" t="s">
        <v>33039</v>
      </c>
      <c r="M4268" s="186"/>
      <c r="N4268" s="186"/>
      <c r="O4268" s="172"/>
    </row>
    <row r="4269" spans="1:15" ht="38.25" x14ac:dyDescent="0.2">
      <c r="A4269" s="197" t="str">
        <f t="shared" si="66"/>
        <v>HzdCode_hongKong1963HongKong</v>
      </c>
      <c r="B4269" s="409"/>
      <c r="C4269" s="416"/>
      <c r="D4269" s="198" t="s">
        <v>33040</v>
      </c>
      <c r="E4269" s="198">
        <v>111</v>
      </c>
      <c r="F4269" s="199" t="s">
        <v>33041</v>
      </c>
      <c r="G4269" s="1" t="s">
        <v>33042</v>
      </c>
      <c r="H4269" s="1" t="s">
        <v>32591</v>
      </c>
      <c r="I4269" s="346"/>
      <c r="J4269" s="39">
        <v>104460</v>
      </c>
      <c r="K4269" s="36" t="str">
        <f>CONCATENATE(Cover!$D$6,"fdd/view?i=",J4269)</f>
        <v>https://www.dgiwg.org/FAD/fdd/view?i=104460</v>
      </c>
      <c r="L4269" s="36" t="s">
        <v>33043</v>
      </c>
      <c r="M4269" s="186"/>
      <c r="N4269" s="186"/>
      <c r="O4269" s="172"/>
    </row>
    <row r="4270" spans="1:15" ht="25.5" x14ac:dyDescent="0.2">
      <c r="A4270" s="197" t="str">
        <f t="shared" si="66"/>
        <v>HzdCode_hungarian1972</v>
      </c>
      <c r="B4270" s="409"/>
      <c r="C4270" s="416"/>
      <c r="D4270" s="198" t="s">
        <v>33044</v>
      </c>
      <c r="E4270" s="198">
        <v>114</v>
      </c>
      <c r="F4270" s="199" t="s">
        <v>33045</v>
      </c>
      <c r="G4270" s="1" t="s">
        <v>33046</v>
      </c>
      <c r="H4270" s="1" t="s">
        <v>33047</v>
      </c>
      <c r="I4270" s="346"/>
      <c r="J4270" s="39">
        <v>104463</v>
      </c>
      <c r="K4270" s="36" t="str">
        <f>CONCATENATE(Cover!$D$6,"fdd/view?i=",J4270)</f>
        <v>https://www.dgiwg.org/FAD/fdd/view?i=104463</v>
      </c>
      <c r="L4270" s="36" t="s">
        <v>33048</v>
      </c>
      <c r="M4270" s="186"/>
      <c r="N4270" s="186"/>
      <c r="O4270" s="172"/>
    </row>
    <row r="4271" spans="1:15" ht="38.25" x14ac:dyDescent="0.2">
      <c r="A4271" s="197" t="str">
        <f t="shared" si="66"/>
        <v>HzdCode_huTzuShan</v>
      </c>
      <c r="B4271" s="409"/>
      <c r="C4271" s="416"/>
      <c r="D4271" s="198" t="s">
        <v>33049</v>
      </c>
      <c r="E4271" s="198">
        <v>113</v>
      </c>
      <c r="F4271" s="199" t="s">
        <v>33050</v>
      </c>
      <c r="G4271" s="1" t="s">
        <v>33051</v>
      </c>
      <c r="H4271" s="1" t="s">
        <v>32591</v>
      </c>
      <c r="I4271" s="346"/>
      <c r="J4271" s="39">
        <v>104462</v>
      </c>
      <c r="K4271" s="36" t="str">
        <f>CONCATENATE(Cover!$D$6,"fdd/view?i=",J4271)</f>
        <v>https://www.dgiwg.org/FAD/fdd/view?i=104462</v>
      </c>
      <c r="L4271" s="36" t="s">
        <v>33052</v>
      </c>
      <c r="M4271" s="186"/>
      <c r="N4271" s="186"/>
      <c r="O4271" s="172"/>
    </row>
    <row r="4272" spans="1:15" ht="25.5" x14ac:dyDescent="0.2">
      <c r="A4272" s="197" t="str">
        <f t="shared" si="66"/>
        <v>HzdCode_indian</v>
      </c>
      <c r="B4272" s="409"/>
      <c r="C4272" s="416"/>
      <c r="D4272" s="198" t="s">
        <v>33053</v>
      </c>
      <c r="E4272" s="198">
        <v>117</v>
      </c>
      <c r="F4272" s="199" t="s">
        <v>33054</v>
      </c>
      <c r="G4272" s="1" t="s">
        <v>33055</v>
      </c>
      <c r="H4272" s="1" t="s">
        <v>33056</v>
      </c>
      <c r="I4272" s="346"/>
      <c r="J4272" s="39">
        <v>104466</v>
      </c>
      <c r="K4272" s="36" t="str">
        <f>CONCATENATE(Cover!$D$6,"fdd/view?i=",J4272)</f>
        <v>https://www.dgiwg.org/FAD/fdd/view?i=104466</v>
      </c>
      <c r="L4272" s="36" t="s">
        <v>33057</v>
      </c>
      <c r="M4272" s="186"/>
      <c r="N4272" s="186"/>
      <c r="O4272" s="172"/>
    </row>
    <row r="4273" spans="1:15" ht="38.25" x14ac:dyDescent="0.2">
      <c r="A4273" s="197" t="str">
        <f t="shared" si="66"/>
        <v>HzdCode_indian1954</v>
      </c>
      <c r="B4273" s="409"/>
      <c r="C4273" s="416"/>
      <c r="D4273" s="198" t="s">
        <v>33058</v>
      </c>
      <c r="E4273" s="198">
        <v>122</v>
      </c>
      <c r="F4273" s="199" t="s">
        <v>33059</v>
      </c>
      <c r="G4273" s="1" t="s">
        <v>33060</v>
      </c>
      <c r="H4273" s="1" t="s">
        <v>32591</v>
      </c>
      <c r="I4273" s="346"/>
      <c r="J4273" s="39">
        <v>104471</v>
      </c>
      <c r="K4273" s="36" t="str">
        <f>CONCATENATE(Cover!$D$6,"fdd/view?i=",J4273)</f>
        <v>https://www.dgiwg.org/FAD/fdd/view?i=104471</v>
      </c>
      <c r="L4273" s="36" t="s">
        <v>33061</v>
      </c>
      <c r="M4273" s="186"/>
      <c r="N4273" s="186"/>
      <c r="O4273" s="172"/>
    </row>
    <row r="4274" spans="1:15" ht="38.25" x14ac:dyDescent="0.2">
      <c r="A4274" s="197" t="str">
        <f t="shared" si="66"/>
        <v>HzdCode_indian1954Thailand</v>
      </c>
      <c r="B4274" s="409"/>
      <c r="C4274" s="416"/>
      <c r="D4274" s="198" t="s">
        <v>33078</v>
      </c>
      <c r="E4274" s="198">
        <v>123</v>
      </c>
      <c r="F4274" s="199" t="s">
        <v>33079</v>
      </c>
      <c r="G4274" s="1" t="s">
        <v>33080</v>
      </c>
      <c r="H4274" s="1" t="s">
        <v>32591</v>
      </c>
      <c r="I4274" s="346"/>
      <c r="J4274" s="39">
        <v>104472</v>
      </c>
      <c r="K4274" s="36" t="str">
        <f>CONCATENATE(Cover!$D$6,"fdd/view?i=",J4274)</f>
        <v>https://www.dgiwg.org/FAD/fdd/view?i=104472</v>
      </c>
      <c r="L4274" s="36" t="s">
        <v>33081</v>
      </c>
      <c r="M4274" s="186"/>
      <c r="N4274" s="186"/>
      <c r="O4274" s="172"/>
    </row>
    <row r="4275" spans="1:15" ht="25.5" x14ac:dyDescent="0.2">
      <c r="A4275" s="197" t="str">
        <f t="shared" si="66"/>
        <v>HzdCode_indian1960</v>
      </c>
      <c r="B4275" s="409"/>
      <c r="C4275" s="416"/>
      <c r="D4275" s="198" t="s">
        <v>33082</v>
      </c>
      <c r="E4275" s="198">
        <v>124</v>
      </c>
      <c r="F4275" s="199" t="s">
        <v>33083</v>
      </c>
      <c r="G4275" s="1" t="s">
        <v>33084</v>
      </c>
      <c r="H4275" s="1" t="s">
        <v>33085</v>
      </c>
      <c r="I4275" s="346"/>
      <c r="J4275" s="39">
        <v>104473</v>
      </c>
      <c r="K4275" s="36" t="str">
        <f>CONCATENATE(Cover!$D$6,"fdd/view?i=",J4275)</f>
        <v>https://www.dgiwg.org/FAD/fdd/view?i=104473</v>
      </c>
      <c r="L4275" s="36" t="s">
        <v>33086</v>
      </c>
      <c r="M4275" s="186"/>
      <c r="N4275" s="186"/>
      <c r="O4275" s="172"/>
    </row>
    <row r="4276" spans="1:15" ht="38.25" x14ac:dyDescent="0.2">
      <c r="A4276" s="197" t="str">
        <f t="shared" si="66"/>
        <v>HzdCode_indian1960ConSonIsland</v>
      </c>
      <c r="B4276" s="409"/>
      <c r="C4276" s="416"/>
      <c r="D4276" s="198" t="s">
        <v>33087</v>
      </c>
      <c r="E4276" s="198">
        <v>126</v>
      </c>
      <c r="F4276" s="199" t="s">
        <v>33088</v>
      </c>
      <c r="G4276" s="1" t="s">
        <v>33089</v>
      </c>
      <c r="H4276" s="1" t="s">
        <v>32591</v>
      </c>
      <c r="I4276" s="346"/>
      <c r="J4276" s="39">
        <v>104475</v>
      </c>
      <c r="K4276" s="36" t="str">
        <f>CONCATENATE(Cover!$D$6,"fdd/view?i=",J4276)</f>
        <v>https://www.dgiwg.org/FAD/fdd/view?i=104475</v>
      </c>
      <c r="L4276" s="36" t="s">
        <v>33090</v>
      </c>
      <c r="M4276" s="186"/>
      <c r="N4276" s="186"/>
      <c r="O4276" s="172"/>
    </row>
    <row r="4277" spans="1:15" ht="38.25" x14ac:dyDescent="0.2">
      <c r="A4277" s="197" t="str">
        <f t="shared" si="66"/>
        <v>HzdCode_indian1960Vietnam</v>
      </c>
      <c r="B4277" s="409"/>
      <c r="C4277" s="416"/>
      <c r="D4277" s="198" t="s">
        <v>33091</v>
      </c>
      <c r="E4277" s="198">
        <v>125</v>
      </c>
      <c r="F4277" s="199" t="s">
        <v>33092</v>
      </c>
      <c r="G4277" s="1" t="s">
        <v>33093</v>
      </c>
      <c r="H4277" s="1" t="s">
        <v>32591</v>
      </c>
      <c r="I4277" s="346"/>
      <c r="J4277" s="39">
        <v>104474</v>
      </c>
      <c r="K4277" s="36" t="str">
        <f>CONCATENATE(Cover!$D$6,"fdd/view?i=",J4277)</f>
        <v>https://www.dgiwg.org/FAD/fdd/view?i=104474</v>
      </c>
      <c r="L4277" s="36" t="s">
        <v>33094</v>
      </c>
      <c r="M4277" s="186"/>
      <c r="N4277" s="186"/>
      <c r="O4277" s="172"/>
    </row>
    <row r="4278" spans="1:15" ht="25.5" x14ac:dyDescent="0.2">
      <c r="A4278" s="197" t="str">
        <f t="shared" si="66"/>
        <v>HzdCode_indian1975</v>
      </c>
      <c r="B4278" s="409"/>
      <c r="C4278" s="416"/>
      <c r="D4278" s="198" t="s">
        <v>33095</v>
      </c>
      <c r="E4278" s="198">
        <v>127</v>
      </c>
      <c r="F4278" s="199" t="s">
        <v>33096</v>
      </c>
      <c r="G4278" s="1" t="s">
        <v>33097</v>
      </c>
      <c r="H4278" s="1" t="s">
        <v>33098</v>
      </c>
      <c r="I4278" s="346"/>
      <c r="J4278" s="39">
        <v>104476</v>
      </c>
      <c r="K4278" s="36" t="str">
        <f>CONCATENATE(Cover!$D$6,"fdd/view?i=",J4278)</f>
        <v>https://www.dgiwg.org/FAD/fdd/view?i=104476</v>
      </c>
      <c r="L4278" s="36" t="s">
        <v>33099</v>
      </c>
      <c r="M4278" s="186"/>
      <c r="N4278" s="186"/>
      <c r="O4278" s="172"/>
    </row>
    <row r="4279" spans="1:15" ht="38.25" x14ac:dyDescent="0.2">
      <c r="A4279" s="197" t="str">
        <f t="shared" si="66"/>
        <v>HzdCode_indian1975Thailand</v>
      </c>
      <c r="B4279" s="409"/>
      <c r="C4279" s="416"/>
      <c r="D4279" s="198" t="s">
        <v>33100</v>
      </c>
      <c r="E4279" s="198">
        <v>128</v>
      </c>
      <c r="F4279" s="199" t="s">
        <v>33101</v>
      </c>
      <c r="G4279" s="1" t="s">
        <v>33102</v>
      </c>
      <c r="H4279" s="1" t="s">
        <v>32591</v>
      </c>
      <c r="I4279" s="346"/>
      <c r="J4279" s="39">
        <v>104477</v>
      </c>
      <c r="K4279" s="36" t="str">
        <f>CONCATENATE(Cover!$D$6,"fdd/view?i=",J4279)</f>
        <v>https://www.dgiwg.org/FAD/fdd/view?i=104477</v>
      </c>
      <c r="L4279" s="36" t="s">
        <v>33103</v>
      </c>
      <c r="M4279" s="186"/>
      <c r="N4279" s="186"/>
      <c r="O4279" s="172"/>
    </row>
    <row r="4280" spans="1:15" ht="38.25" x14ac:dyDescent="0.2">
      <c r="A4280" s="197" t="str">
        <f t="shared" si="66"/>
        <v>HzdCode_indian1975ThailandCycle1</v>
      </c>
      <c r="B4280" s="409"/>
      <c r="C4280" s="416"/>
      <c r="D4280" s="198" t="s">
        <v>33104</v>
      </c>
      <c r="E4280" s="198">
        <v>306</v>
      </c>
      <c r="F4280" s="199" t="s">
        <v>33105</v>
      </c>
      <c r="G4280" s="1" t="s">
        <v>33106</v>
      </c>
      <c r="H4280" s="1" t="s">
        <v>32591</v>
      </c>
      <c r="I4280" s="346"/>
      <c r="J4280" s="39">
        <v>119098</v>
      </c>
      <c r="K4280" s="36" t="str">
        <f>CONCATENATE(Cover!$D$6,"fdd/view?i=",J4280)</f>
        <v>https://www.dgiwg.org/FAD/fdd/view?i=119098</v>
      </c>
      <c r="L4280" s="36" t="s">
        <v>33107</v>
      </c>
      <c r="M4280" s="186"/>
      <c r="N4280" s="186"/>
      <c r="O4280" s="172"/>
    </row>
    <row r="4281" spans="1:15" ht="38.25" x14ac:dyDescent="0.2">
      <c r="A4281" s="197" t="str">
        <f t="shared" si="66"/>
        <v>HzdCode_indianBangladesh</v>
      </c>
      <c r="B4281" s="409"/>
      <c r="C4281" s="416"/>
      <c r="D4281" s="198" t="s">
        <v>33062</v>
      </c>
      <c r="E4281" s="198">
        <v>119</v>
      </c>
      <c r="F4281" s="199" t="s">
        <v>33063</v>
      </c>
      <c r="G4281" s="1" t="s">
        <v>33064</v>
      </c>
      <c r="H4281" s="1" t="s">
        <v>32591</v>
      </c>
      <c r="I4281" s="346"/>
      <c r="J4281" s="39">
        <v>104468</v>
      </c>
      <c r="K4281" s="36" t="str">
        <f>CONCATENATE(Cover!$D$6,"fdd/view?i=",J4281)</f>
        <v>https://www.dgiwg.org/FAD/fdd/view?i=104468</v>
      </c>
      <c r="L4281" s="36" t="s">
        <v>33065</v>
      </c>
      <c r="M4281" s="186"/>
      <c r="N4281" s="186"/>
      <c r="O4281" s="172"/>
    </row>
    <row r="4282" spans="1:15" ht="38.25" x14ac:dyDescent="0.2">
      <c r="A4282" s="197" t="str">
        <f t="shared" si="66"/>
        <v>HzdCode_indianIndiaNepal</v>
      </c>
      <c r="B4282" s="409"/>
      <c r="C4282" s="416"/>
      <c r="D4282" s="198" t="s">
        <v>33066</v>
      </c>
      <c r="E4282" s="198">
        <v>120</v>
      </c>
      <c r="F4282" s="199" t="s">
        <v>33067</v>
      </c>
      <c r="G4282" s="1" t="s">
        <v>33068</v>
      </c>
      <c r="H4282" s="1" t="s">
        <v>32591</v>
      </c>
      <c r="I4282" s="346"/>
      <c r="J4282" s="39">
        <v>104469</v>
      </c>
      <c r="K4282" s="36" t="str">
        <f>CONCATENATE(Cover!$D$6,"fdd/view?i=",J4282)</f>
        <v>https://www.dgiwg.org/FAD/fdd/view?i=104469</v>
      </c>
      <c r="L4282" s="36" t="s">
        <v>33069</v>
      </c>
      <c r="M4282" s="186"/>
      <c r="N4282" s="186"/>
      <c r="O4282" s="172"/>
    </row>
    <row r="4283" spans="1:15" ht="38.25" x14ac:dyDescent="0.2">
      <c r="A4283" s="197" t="str">
        <f t="shared" si="66"/>
        <v>HzdCode_indianPakistan</v>
      </c>
      <c r="B4283" s="409"/>
      <c r="C4283" s="416"/>
      <c r="D4283" s="198" t="s">
        <v>33070</v>
      </c>
      <c r="E4283" s="198">
        <v>121</v>
      </c>
      <c r="F4283" s="199" t="s">
        <v>33071</v>
      </c>
      <c r="G4283" s="1" t="s">
        <v>33072</v>
      </c>
      <c r="H4283" s="1" t="s">
        <v>32591</v>
      </c>
      <c r="I4283" s="346"/>
      <c r="J4283" s="39">
        <v>104470</v>
      </c>
      <c r="K4283" s="36" t="str">
        <f>CONCATENATE(Cover!$D$6,"fdd/view?i=",J4283)</f>
        <v>https://www.dgiwg.org/FAD/fdd/view?i=104470</v>
      </c>
      <c r="L4283" s="36" t="s">
        <v>33073</v>
      </c>
      <c r="M4283" s="186"/>
      <c r="N4283" s="186"/>
      <c r="O4283" s="172"/>
    </row>
    <row r="4284" spans="1:15" ht="38.25" x14ac:dyDescent="0.2">
      <c r="A4284" s="197" t="str">
        <f t="shared" si="66"/>
        <v>HzdCode_indianThailandVietnam</v>
      </c>
      <c r="B4284" s="409"/>
      <c r="C4284" s="416"/>
      <c r="D4284" s="198" t="s">
        <v>33074</v>
      </c>
      <c r="E4284" s="198">
        <v>118</v>
      </c>
      <c r="F4284" s="199" t="s">
        <v>33075</v>
      </c>
      <c r="G4284" s="1" t="s">
        <v>33076</v>
      </c>
      <c r="H4284" s="1" t="s">
        <v>32591</v>
      </c>
      <c r="I4284" s="346"/>
      <c r="J4284" s="39">
        <v>104467</v>
      </c>
      <c r="K4284" s="36" t="str">
        <f>CONCATENATE(Cover!$D$6,"fdd/view?i=",J4284)</f>
        <v>https://www.dgiwg.org/FAD/fdd/view?i=104467</v>
      </c>
      <c r="L4284" s="36" t="s">
        <v>33077</v>
      </c>
      <c r="M4284" s="186"/>
      <c r="N4284" s="186"/>
      <c r="O4284" s="172"/>
    </row>
    <row r="4285" spans="1:15" ht="38.25" x14ac:dyDescent="0.2">
      <c r="A4285" s="197" t="str">
        <f t="shared" si="66"/>
        <v>HzdCode_indonesian1974</v>
      </c>
      <c r="B4285" s="409"/>
      <c r="C4285" s="416"/>
      <c r="D4285" s="198" t="s">
        <v>33108</v>
      </c>
      <c r="E4285" s="198">
        <v>116</v>
      </c>
      <c r="F4285" s="199" t="s">
        <v>33109</v>
      </c>
      <c r="G4285" s="1" t="s">
        <v>33110</v>
      </c>
      <c r="H4285" s="1" t="s">
        <v>32591</v>
      </c>
      <c r="I4285" s="346"/>
      <c r="J4285" s="39">
        <v>104465</v>
      </c>
      <c r="K4285" s="36" t="str">
        <f>CONCATENATE(Cover!$D$6,"fdd/view?i=",J4285)</f>
        <v>https://www.dgiwg.org/FAD/fdd/view?i=104465</v>
      </c>
      <c r="L4285" s="36" t="s">
        <v>33111</v>
      </c>
      <c r="M4285" s="186"/>
      <c r="N4285" s="186"/>
      <c r="O4285" s="172"/>
    </row>
    <row r="4286" spans="1:15" ht="38.25" x14ac:dyDescent="0.2">
      <c r="A4286" s="197" t="str">
        <f t="shared" si="66"/>
        <v>HzdCode_ireland1965IrelandNorthern</v>
      </c>
      <c r="B4286" s="409"/>
      <c r="C4286" s="416"/>
      <c r="D4286" s="198" t="s">
        <v>33112</v>
      </c>
      <c r="E4286" s="198">
        <v>129</v>
      </c>
      <c r="F4286" s="199" t="s">
        <v>33113</v>
      </c>
      <c r="G4286" s="1" t="s">
        <v>33114</v>
      </c>
      <c r="H4286" s="1" t="s">
        <v>32591</v>
      </c>
      <c r="I4286" s="346"/>
      <c r="J4286" s="39">
        <v>104478</v>
      </c>
      <c r="K4286" s="36" t="str">
        <f>CONCATENATE(Cover!$D$6,"fdd/view?i=",J4286)</f>
        <v>https://www.dgiwg.org/FAD/fdd/view?i=104478</v>
      </c>
      <c r="L4286" s="36" t="s">
        <v>33115</v>
      </c>
      <c r="M4286" s="186"/>
      <c r="N4286" s="186"/>
      <c r="O4286" s="172"/>
    </row>
    <row r="4287" spans="1:15" ht="38.25" x14ac:dyDescent="0.2">
      <c r="A4287" s="197" t="str">
        <f t="shared" si="66"/>
        <v>HzdCode_ists061Astro1968GeorgiaIs</v>
      </c>
      <c r="B4287" s="409"/>
      <c r="C4287" s="416"/>
      <c r="D4287" s="198" t="s">
        <v>33116</v>
      </c>
      <c r="E4287" s="198">
        <v>130</v>
      </c>
      <c r="F4287" s="199" t="s">
        <v>33117</v>
      </c>
      <c r="G4287" s="1" t="s">
        <v>33118</v>
      </c>
      <c r="H4287" s="1" t="s">
        <v>32591</v>
      </c>
      <c r="I4287" s="346"/>
      <c r="J4287" s="39">
        <v>104479</v>
      </c>
      <c r="K4287" s="36" t="str">
        <f>CONCATENATE(Cover!$D$6,"fdd/view?i=",J4287)</f>
        <v>https://www.dgiwg.org/FAD/fdd/view?i=104479</v>
      </c>
      <c r="L4287" s="36" t="s">
        <v>33119</v>
      </c>
      <c r="M4287" s="186"/>
      <c r="N4287" s="186"/>
      <c r="O4287" s="172"/>
    </row>
    <row r="4288" spans="1:15" ht="38.25" x14ac:dyDescent="0.2">
      <c r="A4288" s="197" t="str">
        <f t="shared" si="66"/>
        <v>HzdCode_ists073Astro1969DiegoGar</v>
      </c>
      <c r="B4288" s="409"/>
      <c r="C4288" s="416"/>
      <c r="D4288" s="198" t="s">
        <v>33120</v>
      </c>
      <c r="E4288" s="198">
        <v>131</v>
      </c>
      <c r="F4288" s="199" t="s">
        <v>33121</v>
      </c>
      <c r="G4288" s="1" t="s">
        <v>33122</v>
      </c>
      <c r="H4288" s="1" t="s">
        <v>32591</v>
      </c>
      <c r="I4288" s="346"/>
      <c r="J4288" s="39">
        <v>104480</v>
      </c>
      <c r="K4288" s="36" t="str">
        <f>CONCATENATE(Cover!$D$6,"fdd/view?i=",J4288)</f>
        <v>https://www.dgiwg.org/FAD/fdd/view?i=104480</v>
      </c>
      <c r="L4288" s="36" t="s">
        <v>33123</v>
      </c>
      <c r="M4288" s="186"/>
      <c r="N4288" s="186"/>
      <c r="O4288" s="172"/>
    </row>
    <row r="4289" spans="1:15" ht="38.25" x14ac:dyDescent="0.2">
      <c r="A4289" s="197" t="str">
        <f t="shared" si="66"/>
        <v>HzdCode_johnstonIsland1961</v>
      </c>
      <c r="B4289" s="409"/>
      <c r="C4289" s="416"/>
      <c r="D4289" s="198" t="s">
        <v>33124</v>
      </c>
      <c r="E4289" s="198">
        <v>132</v>
      </c>
      <c r="F4289" s="199" t="s">
        <v>33125</v>
      </c>
      <c r="G4289" s="1" t="s">
        <v>33126</v>
      </c>
      <c r="H4289" s="1" t="s">
        <v>32591</v>
      </c>
      <c r="I4289" s="346"/>
      <c r="J4289" s="39">
        <v>104481</v>
      </c>
      <c r="K4289" s="36" t="str">
        <f>CONCATENATE(Cover!$D$6,"fdd/view?i=",J4289)</f>
        <v>https://www.dgiwg.org/FAD/fdd/view?i=104481</v>
      </c>
      <c r="L4289" s="36" t="s">
        <v>33127</v>
      </c>
      <c r="M4289" s="186"/>
      <c r="N4289" s="186"/>
      <c r="O4289" s="172"/>
    </row>
    <row r="4290" spans="1:15" ht="38.25" x14ac:dyDescent="0.2">
      <c r="A4290" s="197" t="str">
        <f t="shared" ref="A4290:A4353" si="67">HYPERLINK(K4290,L4290)</f>
        <v>HzdCode_kalianpurIndia</v>
      </c>
      <c r="B4290" s="409"/>
      <c r="C4290" s="416"/>
      <c r="D4290" s="198" t="s">
        <v>33128</v>
      </c>
      <c r="E4290" s="198">
        <v>133</v>
      </c>
      <c r="F4290" s="199" t="s">
        <v>33129</v>
      </c>
      <c r="G4290" s="1" t="s">
        <v>33130</v>
      </c>
      <c r="H4290" s="1" t="s">
        <v>32591</v>
      </c>
      <c r="I4290" s="346"/>
      <c r="J4290" s="39">
        <v>104482</v>
      </c>
      <c r="K4290" s="36" t="str">
        <f>CONCATENATE(Cover!$D$6,"fdd/view?i=",J4290)</f>
        <v>https://www.dgiwg.org/FAD/fdd/view?i=104482</v>
      </c>
      <c r="L4290" s="36" t="s">
        <v>33131</v>
      </c>
      <c r="M4290" s="186"/>
      <c r="N4290" s="186"/>
      <c r="O4290" s="172"/>
    </row>
    <row r="4291" spans="1:15" ht="38.25" x14ac:dyDescent="0.2">
      <c r="A4291" s="197" t="str">
        <f t="shared" si="67"/>
        <v>HzdCode_kandawalaSriLanka</v>
      </c>
      <c r="B4291" s="409"/>
      <c r="C4291" s="416"/>
      <c r="D4291" s="198" t="s">
        <v>33132</v>
      </c>
      <c r="E4291" s="198">
        <v>134</v>
      </c>
      <c r="F4291" s="199" t="s">
        <v>33133</v>
      </c>
      <c r="G4291" s="1" t="s">
        <v>33134</v>
      </c>
      <c r="H4291" s="1" t="s">
        <v>32591</v>
      </c>
      <c r="I4291" s="346"/>
      <c r="J4291" s="39">
        <v>104483</v>
      </c>
      <c r="K4291" s="36" t="str">
        <f>CONCATENATE(Cover!$D$6,"fdd/view?i=",J4291)</f>
        <v>https://www.dgiwg.org/FAD/fdd/view?i=104483</v>
      </c>
      <c r="L4291" s="36" t="s">
        <v>33135</v>
      </c>
      <c r="M4291" s="186"/>
      <c r="N4291" s="186"/>
      <c r="O4291" s="172"/>
    </row>
    <row r="4292" spans="1:15" ht="25.5" x14ac:dyDescent="0.2">
      <c r="A4292" s="197" t="str">
        <f t="shared" si="67"/>
        <v>HzdCode_kcs2SierraLeone</v>
      </c>
      <c r="B4292" s="409"/>
      <c r="C4292" s="416"/>
      <c r="D4292" s="198" t="s">
        <v>33136</v>
      </c>
      <c r="E4292" s="198">
        <v>136</v>
      </c>
      <c r="F4292" s="199" t="s">
        <v>33137</v>
      </c>
      <c r="G4292" s="1" t="s">
        <v>33138</v>
      </c>
      <c r="H4292" s="1" t="s">
        <v>33139</v>
      </c>
      <c r="I4292" s="346"/>
      <c r="J4292" s="39">
        <v>104485</v>
      </c>
      <c r="K4292" s="36" t="str">
        <f>CONCATENATE(Cover!$D$6,"fdd/view?i=",J4292)</f>
        <v>https://www.dgiwg.org/FAD/fdd/view?i=104485</v>
      </c>
      <c r="L4292" s="36" t="s">
        <v>33140</v>
      </c>
      <c r="M4292" s="186"/>
      <c r="N4292" s="186"/>
      <c r="O4292" s="172"/>
    </row>
    <row r="4293" spans="1:15" ht="38.25" x14ac:dyDescent="0.2">
      <c r="A4293" s="197" t="str">
        <f t="shared" si="67"/>
        <v>HzdCode_kerguelenIsland1949</v>
      </c>
      <c r="B4293" s="409"/>
      <c r="C4293" s="416"/>
      <c r="D4293" s="198" t="s">
        <v>33141</v>
      </c>
      <c r="E4293" s="198">
        <v>137</v>
      </c>
      <c r="F4293" s="199" t="s">
        <v>33142</v>
      </c>
      <c r="G4293" s="1" t="s">
        <v>33143</v>
      </c>
      <c r="H4293" s="1" t="s">
        <v>32591</v>
      </c>
      <c r="I4293" s="346"/>
      <c r="J4293" s="39">
        <v>104486</v>
      </c>
      <c r="K4293" s="36" t="str">
        <f>CONCATENATE(Cover!$D$6,"fdd/view?i=",J4293)</f>
        <v>https://www.dgiwg.org/FAD/fdd/view?i=104486</v>
      </c>
      <c r="L4293" s="36" t="s">
        <v>33144</v>
      </c>
      <c r="M4293" s="186"/>
      <c r="N4293" s="186"/>
      <c r="O4293" s="172"/>
    </row>
    <row r="4294" spans="1:15" ht="51" x14ac:dyDescent="0.2">
      <c r="A4294" s="197" t="str">
        <f t="shared" si="67"/>
        <v>HzdCode_kertau1948RevisedMalaysia</v>
      </c>
      <c r="B4294" s="409"/>
      <c r="C4294" s="416"/>
      <c r="D4294" s="198" t="s">
        <v>33145</v>
      </c>
      <c r="E4294" s="198">
        <v>135</v>
      </c>
      <c r="F4294" s="199" t="s">
        <v>33146</v>
      </c>
      <c r="G4294" s="1" t="s">
        <v>33147</v>
      </c>
      <c r="H4294" s="1" t="s">
        <v>32591</v>
      </c>
      <c r="I4294" s="346"/>
      <c r="J4294" s="39">
        <v>104484</v>
      </c>
      <c r="K4294" s="36" t="str">
        <f>CONCATENATE(Cover!$D$6,"fdd/view?i=",J4294)</f>
        <v>https://www.dgiwg.org/FAD/fdd/view?i=104484</v>
      </c>
      <c r="L4294" s="36" t="s">
        <v>33148</v>
      </c>
      <c r="M4294" s="186"/>
      <c r="N4294" s="186"/>
      <c r="O4294" s="172"/>
    </row>
    <row r="4295" spans="1:15" ht="38.25" x14ac:dyDescent="0.2">
      <c r="A4295" s="197" t="str">
        <f t="shared" si="67"/>
        <v>HzdCode_kkjFinland</v>
      </c>
      <c r="B4295" s="409"/>
      <c r="C4295" s="416"/>
      <c r="D4295" s="198" t="s">
        <v>33149</v>
      </c>
      <c r="E4295" s="198">
        <v>139</v>
      </c>
      <c r="F4295" s="199" t="s">
        <v>33150</v>
      </c>
      <c r="G4295" s="1" t="s">
        <v>33151</v>
      </c>
      <c r="H4295" s="1" t="s">
        <v>32591</v>
      </c>
      <c r="I4295" s="346"/>
      <c r="J4295" s="39">
        <v>104488</v>
      </c>
      <c r="K4295" s="36" t="str">
        <f>CONCATENATE(Cover!$D$6,"fdd/view?i=",J4295)</f>
        <v>https://www.dgiwg.org/FAD/fdd/view?i=104488</v>
      </c>
      <c r="L4295" s="36" t="s">
        <v>33152</v>
      </c>
      <c r="M4295" s="186"/>
      <c r="N4295" s="186"/>
      <c r="O4295" s="172"/>
    </row>
    <row r="4296" spans="1:15" ht="38.25" x14ac:dyDescent="0.2">
      <c r="A4296" s="197" t="str">
        <f t="shared" si="67"/>
        <v>HzdCode_koreanGeodeticSystem1995</v>
      </c>
      <c r="B4296" s="409"/>
      <c r="C4296" s="416"/>
      <c r="D4296" s="198" t="s">
        <v>33153</v>
      </c>
      <c r="E4296" s="198">
        <v>138</v>
      </c>
      <c r="F4296" s="199" t="s">
        <v>33154</v>
      </c>
      <c r="G4296" s="1" t="s">
        <v>33155</v>
      </c>
      <c r="H4296" s="1" t="s">
        <v>32591</v>
      </c>
      <c r="I4296" s="346"/>
      <c r="J4296" s="39">
        <v>104487</v>
      </c>
      <c r="K4296" s="36" t="str">
        <f>CONCATENATE(Cover!$D$6,"fdd/view?i=",J4296)</f>
        <v>https://www.dgiwg.org/FAD/fdd/view?i=104487</v>
      </c>
      <c r="L4296" s="36" t="s">
        <v>33156</v>
      </c>
      <c r="M4296" s="186"/>
      <c r="N4296" s="186"/>
      <c r="O4296" s="172"/>
    </row>
    <row r="4297" spans="1:15" ht="38.25" x14ac:dyDescent="0.2">
      <c r="A4297" s="197" t="str">
        <f t="shared" si="67"/>
        <v>HzdCode_kusaieAstro1951</v>
      </c>
      <c r="B4297" s="409"/>
      <c r="C4297" s="416"/>
      <c r="D4297" s="198" t="s">
        <v>33157</v>
      </c>
      <c r="E4297" s="198">
        <v>140</v>
      </c>
      <c r="F4297" s="199" t="s">
        <v>33158</v>
      </c>
      <c r="G4297" s="1" t="s">
        <v>33159</v>
      </c>
      <c r="H4297" s="1" t="s">
        <v>32591</v>
      </c>
      <c r="I4297" s="346"/>
      <c r="J4297" s="39">
        <v>104489</v>
      </c>
      <c r="K4297" s="36" t="str">
        <f>CONCATENATE(Cover!$D$6,"fdd/view?i=",J4297)</f>
        <v>https://www.dgiwg.org/FAD/fdd/view?i=104489</v>
      </c>
      <c r="L4297" s="36" t="s">
        <v>33160</v>
      </c>
      <c r="M4297" s="186"/>
      <c r="N4297" s="186"/>
      <c r="O4297" s="172"/>
    </row>
    <row r="4298" spans="1:15" ht="25.5" x14ac:dyDescent="0.2">
      <c r="A4298" s="197" t="str">
        <f t="shared" si="67"/>
        <v>HzdCode_kuwaitOilCompanyK28</v>
      </c>
      <c r="B4298" s="409"/>
      <c r="C4298" s="416"/>
      <c r="D4298" s="198" t="s">
        <v>33161</v>
      </c>
      <c r="E4298" s="198">
        <v>141</v>
      </c>
      <c r="F4298" s="199" t="s">
        <v>33162</v>
      </c>
      <c r="G4298" s="1" t="s">
        <v>33163</v>
      </c>
      <c r="H4298" s="1" t="s">
        <v>33164</v>
      </c>
      <c r="I4298" s="346"/>
      <c r="J4298" s="39">
        <v>104490</v>
      </c>
      <c r="K4298" s="36" t="str">
        <f>CONCATENATE(Cover!$D$6,"fdd/view?i=",J4298)</f>
        <v>https://www.dgiwg.org/FAD/fdd/view?i=104490</v>
      </c>
      <c r="L4298" s="36" t="s">
        <v>33165</v>
      </c>
      <c r="M4298" s="186"/>
      <c r="N4298" s="186"/>
      <c r="O4298" s="172"/>
    </row>
    <row r="4299" spans="1:15" ht="38.25" x14ac:dyDescent="0.2">
      <c r="A4299" s="197" t="str">
        <f t="shared" si="67"/>
        <v>HzdCode_lc5Astro1961CaymanBracIs</v>
      </c>
      <c r="B4299" s="409"/>
      <c r="C4299" s="416"/>
      <c r="D4299" s="198" t="s">
        <v>33166</v>
      </c>
      <c r="E4299" s="198">
        <v>142</v>
      </c>
      <c r="F4299" s="199" t="s">
        <v>33167</v>
      </c>
      <c r="G4299" s="1" t="s">
        <v>33168</v>
      </c>
      <c r="H4299" s="1" t="s">
        <v>32591</v>
      </c>
      <c r="I4299" s="346"/>
      <c r="J4299" s="39">
        <v>104491</v>
      </c>
      <c r="K4299" s="36" t="str">
        <f>CONCATENATE(Cover!$D$6,"fdd/view?i=",J4299)</f>
        <v>https://www.dgiwg.org/FAD/fdd/view?i=104491</v>
      </c>
      <c r="L4299" s="36" t="s">
        <v>33169</v>
      </c>
      <c r="M4299" s="186"/>
      <c r="N4299" s="186"/>
      <c r="O4299" s="172"/>
    </row>
    <row r="4300" spans="1:15" ht="38.25" x14ac:dyDescent="0.2">
      <c r="A4300" s="197" t="str">
        <f t="shared" si="67"/>
        <v>HzdCode_leigonGhana</v>
      </c>
      <c r="B4300" s="409"/>
      <c r="C4300" s="416"/>
      <c r="D4300" s="198" t="s">
        <v>33170</v>
      </c>
      <c r="E4300" s="198">
        <v>143</v>
      </c>
      <c r="F4300" s="199" t="s">
        <v>33171</v>
      </c>
      <c r="G4300" s="1" t="s">
        <v>33172</v>
      </c>
      <c r="H4300" s="1" t="s">
        <v>32591</v>
      </c>
      <c r="I4300" s="346"/>
      <c r="J4300" s="39">
        <v>104492</v>
      </c>
      <c r="K4300" s="36" t="str">
        <f>CONCATENATE(Cover!$D$6,"fdd/view?i=",J4300)</f>
        <v>https://www.dgiwg.org/FAD/fdd/view?i=104492</v>
      </c>
      <c r="L4300" s="36" t="s">
        <v>33173</v>
      </c>
      <c r="M4300" s="186"/>
      <c r="N4300" s="186"/>
      <c r="O4300" s="172"/>
    </row>
    <row r="4301" spans="1:15" ht="38.25" x14ac:dyDescent="0.2">
      <c r="A4301" s="197" t="str">
        <f t="shared" si="67"/>
        <v>HzdCode_liberia1964Liberia</v>
      </c>
      <c r="B4301" s="409"/>
      <c r="C4301" s="416"/>
      <c r="D4301" s="198" t="s">
        <v>33174</v>
      </c>
      <c r="E4301" s="198">
        <v>144</v>
      </c>
      <c r="F4301" s="199" t="s">
        <v>33175</v>
      </c>
      <c r="G4301" s="1" t="s">
        <v>33176</v>
      </c>
      <c r="H4301" s="1" t="s">
        <v>32591</v>
      </c>
      <c r="I4301" s="346"/>
      <c r="J4301" s="39">
        <v>104493</v>
      </c>
      <c r="K4301" s="36" t="str">
        <f>CONCATENATE(Cover!$D$6,"fdd/view?i=",J4301)</f>
        <v>https://www.dgiwg.org/FAD/fdd/view?i=104493</v>
      </c>
      <c r="L4301" s="36" t="s">
        <v>33177</v>
      </c>
      <c r="M4301" s="186"/>
      <c r="N4301" s="186"/>
      <c r="O4301" s="172"/>
    </row>
    <row r="4302" spans="1:15" ht="38.25" x14ac:dyDescent="0.2">
      <c r="A4302" s="197" t="str">
        <f t="shared" si="67"/>
        <v>HzdCode_lisbonCastelodiSaoJorge</v>
      </c>
      <c r="B4302" s="409"/>
      <c r="C4302" s="416"/>
      <c r="D4302" s="198" t="s">
        <v>33178</v>
      </c>
      <c r="E4302" s="198">
        <v>145</v>
      </c>
      <c r="F4302" s="199" t="s">
        <v>33179</v>
      </c>
      <c r="G4302" s="1" t="s">
        <v>33180</v>
      </c>
      <c r="H4302" s="1" t="s">
        <v>32591</v>
      </c>
      <c r="I4302" s="346"/>
      <c r="J4302" s="39">
        <v>104494</v>
      </c>
      <c r="K4302" s="36" t="str">
        <f>CONCATENATE(Cover!$D$6,"fdd/view?i=",J4302)</f>
        <v>https://www.dgiwg.org/FAD/fdd/view?i=104494</v>
      </c>
      <c r="L4302" s="36" t="s">
        <v>33181</v>
      </c>
      <c r="M4302" s="186"/>
      <c r="N4302" s="186"/>
      <c r="O4302" s="172"/>
    </row>
    <row r="4303" spans="1:15" ht="25.5" x14ac:dyDescent="0.2">
      <c r="A4303" s="197" t="str">
        <f t="shared" si="67"/>
        <v>HzdCode_localAstro</v>
      </c>
      <c r="B4303" s="409"/>
      <c r="C4303" s="416"/>
      <c r="D4303" s="198" t="s">
        <v>33182</v>
      </c>
      <c r="E4303" s="198">
        <v>146</v>
      </c>
      <c r="F4303" s="199" t="s">
        <v>33183</v>
      </c>
      <c r="G4303" s="1" t="s">
        <v>33184</v>
      </c>
      <c r="H4303" s="200"/>
      <c r="I4303" s="346"/>
      <c r="J4303" s="39">
        <v>104495</v>
      </c>
      <c r="K4303" s="36" t="str">
        <f>CONCATENATE(Cover!$D$6,"fdd/view?i=",J4303)</f>
        <v>https://www.dgiwg.org/FAD/fdd/view?i=104495</v>
      </c>
      <c r="L4303" s="36" t="s">
        <v>33185</v>
      </c>
      <c r="M4303" s="186"/>
      <c r="N4303" s="186"/>
      <c r="O4303" s="172"/>
    </row>
    <row r="4304" spans="1:15" ht="38.25" x14ac:dyDescent="0.2">
      <c r="A4304" s="197" t="str">
        <f t="shared" si="67"/>
        <v>HzdCode_lomaQuintanaVenezuela</v>
      </c>
      <c r="B4304" s="409"/>
      <c r="C4304" s="416"/>
      <c r="D4304" s="198" t="s">
        <v>33186</v>
      </c>
      <c r="E4304" s="198">
        <v>147</v>
      </c>
      <c r="F4304" s="199" t="s">
        <v>33187</v>
      </c>
      <c r="G4304" s="1" t="s">
        <v>33188</v>
      </c>
      <c r="H4304" s="1" t="s">
        <v>32591</v>
      </c>
      <c r="I4304" s="346"/>
      <c r="J4304" s="39">
        <v>104496</v>
      </c>
      <c r="K4304" s="36" t="str">
        <f>CONCATENATE(Cover!$D$6,"fdd/view?i=",J4304)</f>
        <v>https://www.dgiwg.org/FAD/fdd/view?i=104496</v>
      </c>
      <c r="L4304" s="36" t="s">
        <v>33189</v>
      </c>
      <c r="M4304" s="186"/>
      <c r="N4304" s="186"/>
      <c r="O4304" s="172"/>
    </row>
    <row r="4305" spans="1:15" ht="25.5" x14ac:dyDescent="0.2">
      <c r="A4305" s="197" t="str">
        <f t="shared" si="67"/>
        <v>HzdCode_luzon</v>
      </c>
      <c r="B4305" s="409"/>
      <c r="C4305" s="416"/>
      <c r="D4305" s="198" t="s">
        <v>33190</v>
      </c>
      <c r="E4305" s="198">
        <v>148</v>
      </c>
      <c r="F4305" s="199" t="s">
        <v>33191</v>
      </c>
      <c r="G4305" s="1" t="s">
        <v>33192</v>
      </c>
      <c r="H4305" s="1" t="s">
        <v>33193</v>
      </c>
      <c r="I4305" s="346"/>
      <c r="J4305" s="39">
        <v>104497</v>
      </c>
      <c r="K4305" s="36" t="str">
        <f>CONCATENATE(Cover!$D$6,"fdd/view?i=",J4305)</f>
        <v>https://www.dgiwg.org/FAD/fdd/view?i=104497</v>
      </c>
      <c r="L4305" s="36" t="s">
        <v>33194</v>
      </c>
      <c r="M4305" s="186"/>
      <c r="N4305" s="186"/>
      <c r="O4305" s="172"/>
    </row>
    <row r="4306" spans="1:15" ht="38.25" x14ac:dyDescent="0.2">
      <c r="A4306" s="197" t="str">
        <f t="shared" si="67"/>
        <v>HzdCode_luzonMindanaoIsland</v>
      </c>
      <c r="B4306" s="409"/>
      <c r="C4306" s="416"/>
      <c r="D4306" s="198" t="s">
        <v>33195</v>
      </c>
      <c r="E4306" s="198">
        <v>150</v>
      </c>
      <c r="F4306" s="199" t="s">
        <v>33196</v>
      </c>
      <c r="G4306" s="1" t="s">
        <v>33197</v>
      </c>
      <c r="H4306" s="1" t="s">
        <v>32591</v>
      </c>
      <c r="I4306" s="346"/>
      <c r="J4306" s="39">
        <v>104499</v>
      </c>
      <c r="K4306" s="36" t="str">
        <f>CONCATENATE(Cover!$D$6,"fdd/view?i=",J4306)</f>
        <v>https://www.dgiwg.org/FAD/fdd/view?i=104499</v>
      </c>
      <c r="L4306" s="36" t="s">
        <v>33198</v>
      </c>
      <c r="M4306" s="186"/>
      <c r="N4306" s="186"/>
      <c r="O4306" s="172"/>
    </row>
    <row r="4307" spans="1:15" ht="38.25" x14ac:dyDescent="0.2">
      <c r="A4307" s="197" t="str">
        <f t="shared" si="67"/>
        <v>HzdCode_luzonPhilipinesNotMindanao</v>
      </c>
      <c r="B4307" s="409"/>
      <c r="C4307" s="416"/>
      <c r="D4307" s="198" t="s">
        <v>33199</v>
      </c>
      <c r="E4307" s="198">
        <v>149</v>
      </c>
      <c r="F4307" s="199" t="s">
        <v>33200</v>
      </c>
      <c r="G4307" s="1" t="s">
        <v>33201</v>
      </c>
      <c r="H4307" s="1" t="s">
        <v>32591</v>
      </c>
      <c r="I4307" s="346"/>
      <c r="J4307" s="39">
        <v>104498</v>
      </c>
      <c r="K4307" s="36" t="str">
        <f>CONCATENATE(Cover!$D$6,"fdd/view?i=",J4307)</f>
        <v>https://www.dgiwg.org/FAD/fdd/view?i=104498</v>
      </c>
      <c r="L4307" s="36" t="s">
        <v>33202</v>
      </c>
      <c r="M4307" s="186"/>
      <c r="N4307" s="186"/>
      <c r="O4307" s="172"/>
    </row>
    <row r="4308" spans="1:15" ht="38.25" x14ac:dyDescent="0.2">
      <c r="A4308" s="197" t="str">
        <f t="shared" si="67"/>
        <v>HzdCode_mahe1971MaheIsland</v>
      </c>
      <c r="B4308" s="409"/>
      <c r="C4308" s="416"/>
      <c r="D4308" s="198" t="s">
        <v>33203</v>
      </c>
      <c r="E4308" s="198">
        <v>159</v>
      </c>
      <c r="F4308" s="199" t="s">
        <v>33204</v>
      </c>
      <c r="G4308" s="1" t="s">
        <v>33205</v>
      </c>
      <c r="H4308" s="1" t="s">
        <v>32591</v>
      </c>
      <c r="I4308" s="346"/>
      <c r="J4308" s="39">
        <v>104508</v>
      </c>
      <c r="K4308" s="36" t="str">
        <f>CONCATENATE(Cover!$D$6,"fdd/view?i=",J4308)</f>
        <v>https://www.dgiwg.org/FAD/fdd/view?i=104508</v>
      </c>
      <c r="L4308" s="36" t="s">
        <v>33206</v>
      </c>
      <c r="M4308" s="186"/>
      <c r="N4308" s="186"/>
      <c r="O4308" s="172"/>
    </row>
    <row r="4309" spans="1:15" ht="38.25" x14ac:dyDescent="0.2">
      <c r="A4309" s="197" t="str">
        <f t="shared" si="67"/>
        <v>HzdCode_manokwariWestIrian</v>
      </c>
      <c r="B4309" s="409"/>
      <c r="C4309" s="416"/>
      <c r="D4309" s="198" t="s">
        <v>33207</v>
      </c>
      <c r="E4309" s="198">
        <v>154</v>
      </c>
      <c r="F4309" s="199" t="s">
        <v>33208</v>
      </c>
      <c r="G4309" s="1" t="s">
        <v>33209</v>
      </c>
      <c r="H4309" s="1" t="s">
        <v>32591</v>
      </c>
      <c r="I4309" s="346"/>
      <c r="J4309" s="39">
        <v>104503</v>
      </c>
      <c r="K4309" s="36" t="str">
        <f>CONCATENATE(Cover!$D$6,"fdd/view?i=",J4309)</f>
        <v>https://www.dgiwg.org/FAD/fdd/view?i=104503</v>
      </c>
      <c r="L4309" s="36" t="s">
        <v>33210</v>
      </c>
      <c r="M4309" s="186"/>
      <c r="N4309" s="186"/>
      <c r="O4309" s="172"/>
    </row>
    <row r="4310" spans="1:15" ht="38.25" x14ac:dyDescent="0.2">
      <c r="A4310" s="197" t="str">
        <f t="shared" si="67"/>
        <v>HzdCode_marcoAstroSalvageIslands</v>
      </c>
      <c r="B4310" s="409"/>
      <c r="C4310" s="416"/>
      <c r="D4310" s="198" t="s">
        <v>33211</v>
      </c>
      <c r="E4310" s="198">
        <v>151</v>
      </c>
      <c r="F4310" s="199" t="s">
        <v>33212</v>
      </c>
      <c r="G4310" s="1" t="s">
        <v>33213</v>
      </c>
      <c r="H4310" s="1" t="s">
        <v>32591</v>
      </c>
      <c r="I4310" s="346"/>
      <c r="J4310" s="39">
        <v>104500</v>
      </c>
      <c r="K4310" s="36" t="str">
        <f>CONCATENATE(Cover!$D$6,"fdd/view?i=",J4310)</f>
        <v>https://www.dgiwg.org/FAD/fdd/view?i=104500</v>
      </c>
      <c r="L4310" s="36" t="s">
        <v>33214</v>
      </c>
      <c r="M4310" s="186"/>
      <c r="N4310" s="186"/>
      <c r="O4310" s="172"/>
    </row>
    <row r="4311" spans="1:15" ht="25.5" x14ac:dyDescent="0.2">
      <c r="A4311" s="197" t="str">
        <f t="shared" si="67"/>
        <v>HzdCode_martiniqueFortDesaix</v>
      </c>
      <c r="B4311" s="409"/>
      <c r="C4311" s="416"/>
      <c r="D4311" s="198" t="s">
        <v>33215</v>
      </c>
      <c r="E4311" s="198">
        <v>152</v>
      </c>
      <c r="F4311" s="199" t="s">
        <v>33216</v>
      </c>
      <c r="G4311" s="1" t="s">
        <v>33217</v>
      </c>
      <c r="H4311" s="1" t="s">
        <v>33218</v>
      </c>
      <c r="I4311" s="346"/>
      <c r="J4311" s="39">
        <v>104501</v>
      </c>
      <c r="K4311" s="36" t="str">
        <f>CONCATENATE(Cover!$D$6,"fdd/view?i=",J4311)</f>
        <v>https://www.dgiwg.org/FAD/fdd/view?i=104501</v>
      </c>
      <c r="L4311" s="36" t="s">
        <v>33219</v>
      </c>
      <c r="M4311" s="186"/>
      <c r="N4311" s="186"/>
      <c r="O4311" s="172"/>
    </row>
    <row r="4312" spans="1:15" ht="38.25" x14ac:dyDescent="0.2">
      <c r="A4312" s="197" t="str">
        <f t="shared" si="67"/>
        <v>HzdCode_massawEritreaEthiopia</v>
      </c>
      <c r="B4312" s="409"/>
      <c r="C4312" s="416"/>
      <c r="D4312" s="198" t="s">
        <v>33220</v>
      </c>
      <c r="E4312" s="198">
        <v>153</v>
      </c>
      <c r="F4312" s="199" t="s">
        <v>33221</v>
      </c>
      <c r="G4312" s="1" t="s">
        <v>33222</v>
      </c>
      <c r="H4312" s="1" t="s">
        <v>32591</v>
      </c>
      <c r="I4312" s="346"/>
      <c r="J4312" s="39">
        <v>104502</v>
      </c>
      <c r="K4312" s="36" t="str">
        <f>CONCATENATE(Cover!$D$6,"fdd/view?i=",J4312)</f>
        <v>https://www.dgiwg.org/FAD/fdd/view?i=104502</v>
      </c>
      <c r="L4312" s="36" t="s">
        <v>33223</v>
      </c>
      <c r="M4312" s="186"/>
      <c r="N4312" s="186"/>
      <c r="O4312" s="172"/>
    </row>
    <row r="4313" spans="1:15" ht="25.5" x14ac:dyDescent="0.2">
      <c r="A4313" s="197" t="str">
        <f t="shared" si="67"/>
        <v>HzdCode_mayotteCombani</v>
      </c>
      <c r="B4313" s="409"/>
      <c r="C4313" s="416"/>
      <c r="D4313" s="198" t="s">
        <v>33224</v>
      </c>
      <c r="E4313" s="198">
        <v>155</v>
      </c>
      <c r="F4313" s="199" t="s">
        <v>33225</v>
      </c>
      <c r="G4313" s="1" t="s">
        <v>33226</v>
      </c>
      <c r="H4313" s="1" t="s">
        <v>33227</v>
      </c>
      <c r="I4313" s="346"/>
      <c r="J4313" s="39">
        <v>104504</v>
      </c>
      <c r="K4313" s="36" t="str">
        <f>CONCATENATE(Cover!$D$6,"fdd/view?i=",J4313)</f>
        <v>https://www.dgiwg.org/FAD/fdd/view?i=104504</v>
      </c>
      <c r="L4313" s="36" t="s">
        <v>33228</v>
      </c>
      <c r="M4313" s="186"/>
      <c r="N4313" s="186"/>
      <c r="O4313" s="172"/>
    </row>
    <row r="4314" spans="1:15" ht="38.25" x14ac:dyDescent="0.2">
      <c r="A4314" s="197" t="str">
        <f t="shared" si="67"/>
        <v>HzdCode_merchichMorocco</v>
      </c>
      <c r="B4314" s="409"/>
      <c r="C4314" s="416"/>
      <c r="D4314" s="198" t="s">
        <v>33229</v>
      </c>
      <c r="E4314" s="198">
        <v>157</v>
      </c>
      <c r="F4314" s="199" t="s">
        <v>33230</v>
      </c>
      <c r="G4314" s="1" t="s">
        <v>33231</v>
      </c>
      <c r="H4314" s="1" t="s">
        <v>32591</v>
      </c>
      <c r="I4314" s="346"/>
      <c r="J4314" s="39">
        <v>104506</v>
      </c>
      <c r="K4314" s="36" t="str">
        <f>CONCATENATE(Cover!$D$6,"fdd/view?i=",J4314)</f>
        <v>https://www.dgiwg.org/FAD/fdd/view?i=104506</v>
      </c>
      <c r="L4314" s="36" t="s">
        <v>33232</v>
      </c>
      <c r="M4314" s="186"/>
      <c r="N4314" s="186"/>
      <c r="O4314" s="172"/>
    </row>
    <row r="4315" spans="1:15" ht="38.25" x14ac:dyDescent="0.2">
      <c r="A4315" s="197" t="str">
        <f t="shared" si="67"/>
        <v>HzdCode_midwayAstro1961MidwayIs</v>
      </c>
      <c r="B4315" s="409"/>
      <c r="C4315" s="416"/>
      <c r="D4315" s="198" t="s">
        <v>33233</v>
      </c>
      <c r="E4315" s="198">
        <v>158</v>
      </c>
      <c r="F4315" s="199" t="s">
        <v>33234</v>
      </c>
      <c r="G4315" s="1" t="s">
        <v>33235</v>
      </c>
      <c r="H4315" s="1" t="s">
        <v>32591</v>
      </c>
      <c r="I4315" s="346"/>
      <c r="J4315" s="39">
        <v>104507</v>
      </c>
      <c r="K4315" s="36" t="str">
        <f>CONCATENATE(Cover!$D$6,"fdd/view?i=",J4315)</f>
        <v>https://www.dgiwg.org/FAD/fdd/view?i=104507</v>
      </c>
      <c r="L4315" s="36" t="s">
        <v>33236</v>
      </c>
      <c r="M4315" s="186"/>
      <c r="N4315" s="186"/>
      <c r="O4315" s="172"/>
    </row>
    <row r="4316" spans="1:15" ht="25.5" x14ac:dyDescent="0.2">
      <c r="A4316" s="197" t="str">
        <f t="shared" si="67"/>
        <v>HzdCode_minna</v>
      </c>
      <c r="B4316" s="409"/>
      <c r="C4316" s="416"/>
      <c r="D4316" s="198" t="s">
        <v>33237</v>
      </c>
      <c r="E4316" s="198">
        <v>160</v>
      </c>
      <c r="F4316" s="199" t="s">
        <v>33238</v>
      </c>
      <c r="G4316" s="1" t="s">
        <v>33239</v>
      </c>
      <c r="H4316" s="1" t="s">
        <v>33240</v>
      </c>
      <c r="I4316" s="346"/>
      <c r="J4316" s="39">
        <v>104509</v>
      </c>
      <c r="K4316" s="36" t="str">
        <f>CONCATENATE(Cover!$D$6,"fdd/view?i=",J4316)</f>
        <v>https://www.dgiwg.org/FAD/fdd/view?i=104509</v>
      </c>
      <c r="L4316" s="36" t="s">
        <v>33241</v>
      </c>
      <c r="M4316" s="186"/>
      <c r="N4316" s="186"/>
      <c r="O4316" s="172"/>
    </row>
    <row r="4317" spans="1:15" ht="38.25" x14ac:dyDescent="0.2">
      <c r="A4317" s="197" t="str">
        <f t="shared" si="67"/>
        <v>HzdCode_minnaCameroon</v>
      </c>
      <c r="B4317" s="409"/>
      <c r="C4317" s="416"/>
      <c r="D4317" s="198" t="s">
        <v>33242</v>
      </c>
      <c r="E4317" s="198">
        <v>161</v>
      </c>
      <c r="F4317" s="199" t="s">
        <v>33243</v>
      </c>
      <c r="G4317" s="1" t="s">
        <v>33244</v>
      </c>
      <c r="H4317" s="1" t="s">
        <v>32591</v>
      </c>
      <c r="I4317" s="346"/>
      <c r="J4317" s="39">
        <v>104510</v>
      </c>
      <c r="K4317" s="36" t="str">
        <f>CONCATENATE(Cover!$D$6,"fdd/view?i=",J4317)</f>
        <v>https://www.dgiwg.org/FAD/fdd/view?i=104510</v>
      </c>
      <c r="L4317" s="36" t="s">
        <v>33245</v>
      </c>
      <c r="M4317" s="186"/>
      <c r="N4317" s="186"/>
      <c r="O4317" s="172"/>
    </row>
    <row r="4318" spans="1:15" ht="38.25" x14ac:dyDescent="0.2">
      <c r="A4318" s="197" t="str">
        <f t="shared" si="67"/>
        <v>HzdCode_minnaNigeria</v>
      </c>
      <c r="B4318" s="409"/>
      <c r="C4318" s="416"/>
      <c r="D4318" s="198" t="s">
        <v>33246</v>
      </c>
      <c r="E4318" s="198">
        <v>162</v>
      </c>
      <c r="F4318" s="199" t="s">
        <v>33247</v>
      </c>
      <c r="G4318" s="1" t="s">
        <v>33248</v>
      </c>
      <c r="H4318" s="1" t="s">
        <v>32591</v>
      </c>
      <c r="I4318" s="346"/>
      <c r="J4318" s="39">
        <v>104511</v>
      </c>
      <c r="K4318" s="36" t="str">
        <f>CONCATENATE(Cover!$D$6,"fdd/view?i=",J4318)</f>
        <v>https://www.dgiwg.org/FAD/fdd/view?i=104511</v>
      </c>
      <c r="L4318" s="36" t="s">
        <v>33249</v>
      </c>
      <c r="M4318" s="186"/>
      <c r="N4318" s="186"/>
      <c r="O4318" s="172"/>
    </row>
    <row r="4319" spans="1:15" ht="38.25" x14ac:dyDescent="0.2">
      <c r="A4319" s="197" t="str">
        <f t="shared" si="67"/>
        <v>HzdCode_modifiedBJZ54China</v>
      </c>
      <c r="B4319" s="409"/>
      <c r="C4319" s="416"/>
      <c r="D4319" s="198" t="s">
        <v>33250</v>
      </c>
      <c r="E4319" s="198">
        <v>46</v>
      </c>
      <c r="F4319" s="199" t="s">
        <v>33251</v>
      </c>
      <c r="G4319" s="1" t="s">
        <v>33252</v>
      </c>
      <c r="H4319" s="1" t="s">
        <v>32591</v>
      </c>
      <c r="I4319" s="346"/>
      <c r="J4319" s="39">
        <v>104395</v>
      </c>
      <c r="K4319" s="36" t="str">
        <f>CONCATENATE(Cover!$D$6,"fdd/view?i=",J4319)</f>
        <v>https://www.dgiwg.org/FAD/fdd/view?i=104395</v>
      </c>
      <c r="L4319" s="36" t="s">
        <v>33253</v>
      </c>
      <c r="M4319" s="186"/>
      <c r="N4319" s="186"/>
      <c r="O4319" s="172"/>
    </row>
    <row r="4320" spans="1:15" ht="25.5" x14ac:dyDescent="0.2">
      <c r="A4320" s="197" t="str">
        <f t="shared" si="67"/>
        <v>HzdCode_montjongLowe</v>
      </c>
      <c r="B4320" s="409"/>
      <c r="C4320" s="416"/>
      <c r="D4320" s="198" t="s">
        <v>33254</v>
      </c>
      <c r="E4320" s="198">
        <v>165</v>
      </c>
      <c r="F4320" s="199" t="s">
        <v>33255</v>
      </c>
      <c r="G4320" s="1" t="s">
        <v>33256</v>
      </c>
      <c r="H4320" s="1" t="s">
        <v>33257</v>
      </c>
      <c r="I4320" s="346"/>
      <c r="J4320" s="39">
        <v>104514</v>
      </c>
      <c r="K4320" s="36" t="str">
        <f>CONCATENATE(Cover!$D$6,"fdd/view?i=",J4320)</f>
        <v>https://www.dgiwg.org/FAD/fdd/view?i=104514</v>
      </c>
      <c r="L4320" s="36" t="s">
        <v>33258</v>
      </c>
      <c r="M4320" s="186"/>
      <c r="N4320" s="186"/>
      <c r="O4320" s="172"/>
    </row>
    <row r="4321" spans="1:15" ht="38.25" x14ac:dyDescent="0.2">
      <c r="A4321" s="197" t="str">
        <f t="shared" si="67"/>
        <v>HzdCode_montserratIslandAstro1958</v>
      </c>
      <c r="B4321" s="409"/>
      <c r="C4321" s="416"/>
      <c r="D4321" s="198" t="s">
        <v>33259</v>
      </c>
      <c r="E4321" s="198">
        <v>34</v>
      </c>
      <c r="F4321" s="199" t="s">
        <v>33260</v>
      </c>
      <c r="G4321" s="1" t="s">
        <v>33261</v>
      </c>
      <c r="H4321" s="1" t="s">
        <v>32591</v>
      </c>
      <c r="I4321" s="346"/>
      <c r="J4321" s="39">
        <v>104383</v>
      </c>
      <c r="K4321" s="36" t="str">
        <f>CONCATENATE(Cover!$D$6,"fdd/view?i=",J4321)</f>
        <v>https://www.dgiwg.org/FAD/fdd/view?i=104383</v>
      </c>
      <c r="L4321" s="36" t="s">
        <v>33262</v>
      </c>
      <c r="M4321" s="186"/>
      <c r="N4321" s="186"/>
      <c r="O4321" s="172"/>
    </row>
    <row r="4322" spans="1:15" ht="25.5" x14ac:dyDescent="0.2">
      <c r="A4322" s="197" t="str">
        <f t="shared" si="67"/>
        <v>HzdCode_mountDillonTobago</v>
      </c>
      <c r="B4322" s="409"/>
      <c r="C4322" s="416"/>
      <c r="D4322" s="198" t="s">
        <v>33263</v>
      </c>
      <c r="E4322" s="198">
        <v>156</v>
      </c>
      <c r="F4322" s="199" t="s">
        <v>33264</v>
      </c>
      <c r="G4322" s="1" t="s">
        <v>33265</v>
      </c>
      <c r="H4322" s="1" t="s">
        <v>33266</v>
      </c>
      <c r="I4322" s="346"/>
      <c r="J4322" s="39">
        <v>104505</v>
      </c>
      <c r="K4322" s="36" t="str">
        <f>CONCATENATE(Cover!$D$6,"fdd/view?i=",J4322)</f>
        <v>https://www.dgiwg.org/FAD/fdd/view?i=104505</v>
      </c>
      <c r="L4322" s="36" t="s">
        <v>33267</v>
      </c>
      <c r="M4322" s="186"/>
      <c r="N4322" s="186"/>
      <c r="O4322" s="172"/>
    </row>
    <row r="4323" spans="1:15" ht="38.25" x14ac:dyDescent="0.2">
      <c r="A4323" s="197" t="str">
        <f t="shared" si="67"/>
        <v>HzdCode_mPoralokoGabon</v>
      </c>
      <c r="B4323" s="409"/>
      <c r="C4323" s="416"/>
      <c r="D4323" s="198" t="s">
        <v>33268</v>
      </c>
      <c r="E4323" s="198">
        <v>166</v>
      </c>
      <c r="F4323" s="199" t="s">
        <v>33269</v>
      </c>
      <c r="G4323" s="1" t="s">
        <v>33270</v>
      </c>
      <c r="H4323" s="1" t="s">
        <v>32591</v>
      </c>
      <c r="I4323" s="346"/>
      <c r="J4323" s="39">
        <v>104515</v>
      </c>
      <c r="K4323" s="36" t="str">
        <f>CONCATENATE(Cover!$D$6,"fdd/view?i=",J4323)</f>
        <v>https://www.dgiwg.org/FAD/fdd/view?i=104515</v>
      </c>
      <c r="L4323" s="36" t="s">
        <v>33271</v>
      </c>
      <c r="M4323" s="186"/>
      <c r="N4323" s="186"/>
      <c r="O4323" s="172"/>
    </row>
    <row r="4324" spans="1:15" ht="25.5" x14ac:dyDescent="0.2">
      <c r="A4324" s="197" t="str">
        <f t="shared" si="67"/>
        <v>HzdCode_nahrwan</v>
      </c>
      <c r="B4324" s="409"/>
      <c r="C4324" s="416"/>
      <c r="D4324" s="198" t="s">
        <v>33272</v>
      </c>
      <c r="E4324" s="198">
        <v>168</v>
      </c>
      <c r="F4324" s="199" t="s">
        <v>33273</v>
      </c>
      <c r="G4324" s="1" t="s">
        <v>33274</v>
      </c>
      <c r="H4324" s="1" t="s">
        <v>33275</v>
      </c>
      <c r="I4324" s="346"/>
      <c r="J4324" s="39">
        <v>104517</v>
      </c>
      <c r="K4324" s="36" t="str">
        <f>CONCATENATE(Cover!$D$6,"fdd/view?i=",J4324)</f>
        <v>https://www.dgiwg.org/FAD/fdd/view?i=104517</v>
      </c>
      <c r="L4324" s="36" t="s">
        <v>33276</v>
      </c>
      <c r="M4324" s="186"/>
      <c r="N4324" s="186"/>
      <c r="O4324" s="172"/>
    </row>
    <row r="4325" spans="1:15" ht="38.25" x14ac:dyDescent="0.2">
      <c r="A4325" s="197" t="str">
        <f t="shared" si="67"/>
        <v>HzdCode_nahrwanMasirahIslandOman</v>
      </c>
      <c r="B4325" s="409"/>
      <c r="C4325" s="416"/>
      <c r="D4325" s="198" t="s">
        <v>33277</v>
      </c>
      <c r="E4325" s="198">
        <v>169</v>
      </c>
      <c r="F4325" s="199" t="s">
        <v>33278</v>
      </c>
      <c r="G4325" s="1" t="s">
        <v>33279</v>
      </c>
      <c r="H4325" s="1" t="s">
        <v>32591</v>
      </c>
      <c r="I4325" s="346"/>
      <c r="J4325" s="39">
        <v>104518</v>
      </c>
      <c r="K4325" s="36" t="str">
        <f>CONCATENATE(Cover!$D$6,"fdd/view?i=",J4325)</f>
        <v>https://www.dgiwg.org/FAD/fdd/view?i=104518</v>
      </c>
      <c r="L4325" s="36" t="s">
        <v>33280</v>
      </c>
      <c r="M4325" s="186"/>
      <c r="N4325" s="186"/>
      <c r="O4325" s="172"/>
    </row>
    <row r="4326" spans="1:15" ht="38.25" x14ac:dyDescent="0.2">
      <c r="A4326" s="197" t="str">
        <f t="shared" si="67"/>
        <v>HzdCode_nahrwanSaudiArabia</v>
      </c>
      <c r="B4326" s="409"/>
      <c r="C4326" s="416"/>
      <c r="D4326" s="198" t="s">
        <v>33281</v>
      </c>
      <c r="E4326" s="198">
        <v>171</v>
      </c>
      <c r="F4326" s="199" t="s">
        <v>33282</v>
      </c>
      <c r="G4326" s="1" t="s">
        <v>33283</v>
      </c>
      <c r="H4326" s="1" t="s">
        <v>32591</v>
      </c>
      <c r="I4326" s="346"/>
      <c r="J4326" s="39">
        <v>104520</v>
      </c>
      <c r="K4326" s="36" t="str">
        <f>CONCATENATE(Cover!$D$6,"fdd/view?i=",J4326)</f>
        <v>https://www.dgiwg.org/FAD/fdd/view?i=104520</v>
      </c>
      <c r="L4326" s="36" t="s">
        <v>33284</v>
      </c>
      <c r="M4326" s="186"/>
      <c r="N4326" s="186"/>
      <c r="O4326" s="172"/>
    </row>
    <row r="4327" spans="1:15" ht="38.25" x14ac:dyDescent="0.2">
      <c r="A4327" s="197" t="str">
        <f t="shared" si="67"/>
        <v>HzdCode_nahrwanUnitedArabEmirates</v>
      </c>
      <c r="B4327" s="409"/>
      <c r="C4327" s="416"/>
      <c r="D4327" s="198" t="s">
        <v>33285</v>
      </c>
      <c r="E4327" s="198">
        <v>170</v>
      </c>
      <c r="F4327" s="199" t="s">
        <v>33286</v>
      </c>
      <c r="G4327" s="1" t="s">
        <v>33287</v>
      </c>
      <c r="H4327" s="1" t="s">
        <v>32591</v>
      </c>
      <c r="I4327" s="346"/>
      <c r="J4327" s="39">
        <v>104519</v>
      </c>
      <c r="K4327" s="36" t="str">
        <f>CONCATENATE(Cover!$D$6,"fdd/view?i=",J4327)</f>
        <v>https://www.dgiwg.org/FAD/fdd/view?i=104519</v>
      </c>
      <c r="L4327" s="36" t="s">
        <v>33288</v>
      </c>
      <c r="M4327" s="186"/>
      <c r="N4327" s="186"/>
      <c r="O4327" s="172"/>
    </row>
    <row r="4328" spans="1:15" ht="38.25" x14ac:dyDescent="0.2">
      <c r="A4328" s="197" t="str">
        <f t="shared" si="67"/>
        <v>HzdCode_naparimaBwiTrinidadTobago</v>
      </c>
      <c r="B4328" s="409"/>
      <c r="C4328" s="416"/>
      <c r="D4328" s="198" t="s">
        <v>33289</v>
      </c>
      <c r="E4328" s="198">
        <v>172</v>
      </c>
      <c r="F4328" s="199" t="s">
        <v>33290</v>
      </c>
      <c r="G4328" s="1" t="s">
        <v>33291</v>
      </c>
      <c r="H4328" s="1" t="s">
        <v>32591</v>
      </c>
      <c r="I4328" s="346"/>
      <c r="J4328" s="39">
        <v>104521</v>
      </c>
      <c r="K4328" s="36" t="str">
        <f>CONCATENATE(Cover!$D$6,"fdd/view?i=",J4328)</f>
        <v>https://www.dgiwg.org/FAD/fdd/view?i=104521</v>
      </c>
      <c r="L4328" s="36" t="s">
        <v>33292</v>
      </c>
      <c r="M4328" s="186"/>
      <c r="N4328" s="186"/>
      <c r="O4328" s="172"/>
    </row>
    <row r="4329" spans="1:15" ht="63.75" x14ac:dyDescent="0.2">
      <c r="A4329" s="197" t="str">
        <f t="shared" si="67"/>
        <v>HzdCode_newFrenchZeroMeridianParis</v>
      </c>
      <c r="B4329" s="409"/>
      <c r="C4329" s="416"/>
      <c r="D4329" s="198" t="s">
        <v>33293</v>
      </c>
      <c r="E4329" s="198">
        <v>202</v>
      </c>
      <c r="F4329" s="199" t="s">
        <v>33294</v>
      </c>
      <c r="G4329" s="1" t="s">
        <v>33295</v>
      </c>
      <c r="H4329" s="1" t="s">
        <v>33296</v>
      </c>
      <c r="I4329" s="346"/>
      <c r="J4329" s="39">
        <v>104551</v>
      </c>
      <c r="K4329" s="36" t="str">
        <f>CONCATENATE(Cover!$D$6,"fdd/view?i=",J4329)</f>
        <v>https://www.dgiwg.org/FAD/fdd/view?i=104551</v>
      </c>
      <c r="L4329" s="36" t="s">
        <v>33297</v>
      </c>
      <c r="M4329" s="186"/>
      <c r="N4329" s="186"/>
      <c r="O4329" s="172"/>
    </row>
    <row r="4330" spans="1:15" ht="25.5" x14ac:dyDescent="0.2">
      <c r="A4330" s="197" t="str">
        <f t="shared" si="67"/>
        <v>HzdCode_northAm1927</v>
      </c>
      <c r="B4330" s="409"/>
      <c r="C4330" s="416"/>
      <c r="D4330" s="198" t="s">
        <v>33298</v>
      </c>
      <c r="E4330" s="198">
        <v>180</v>
      </c>
      <c r="F4330" s="199" t="s">
        <v>33299</v>
      </c>
      <c r="G4330" s="1" t="s">
        <v>33300</v>
      </c>
      <c r="H4330" s="1" t="s">
        <v>33301</v>
      </c>
      <c r="I4330" s="346"/>
      <c r="J4330" s="39">
        <v>104529</v>
      </c>
      <c r="K4330" s="36" t="str">
        <f>CONCATENATE(Cover!$D$6,"fdd/view?i=",J4330)</f>
        <v>https://www.dgiwg.org/FAD/fdd/view?i=104529</v>
      </c>
      <c r="L4330" s="36" t="s">
        <v>33302</v>
      </c>
      <c r="M4330" s="186"/>
      <c r="N4330" s="186"/>
      <c r="O4330" s="172"/>
    </row>
    <row r="4331" spans="1:15" ht="38.25" x14ac:dyDescent="0.2">
      <c r="A4331" s="197" t="str">
        <f t="shared" si="67"/>
        <v>HzdCode_northAm1927Alaska</v>
      </c>
      <c r="B4331" s="409"/>
      <c r="C4331" s="416"/>
      <c r="D4331" s="198" t="s">
        <v>33303</v>
      </c>
      <c r="E4331" s="198">
        <v>184</v>
      </c>
      <c r="F4331" s="199" t="s">
        <v>33304</v>
      </c>
      <c r="G4331" s="1" t="s">
        <v>33305</v>
      </c>
      <c r="H4331" s="1" t="s">
        <v>32591</v>
      </c>
      <c r="I4331" s="346"/>
      <c r="J4331" s="39">
        <v>104533</v>
      </c>
      <c r="K4331" s="36" t="str">
        <f>CONCATENATE(Cover!$D$6,"fdd/view?i=",J4331)</f>
        <v>https://www.dgiwg.org/FAD/fdd/view?i=104533</v>
      </c>
      <c r="L4331" s="36" t="s">
        <v>33306</v>
      </c>
      <c r="M4331" s="186"/>
      <c r="N4331" s="186"/>
      <c r="O4331" s="172"/>
    </row>
    <row r="4332" spans="1:15" ht="38.25" x14ac:dyDescent="0.2">
      <c r="A4332" s="197" t="str">
        <f t="shared" si="67"/>
        <v>HzdCode_northAm1927Alberta</v>
      </c>
      <c r="B4332" s="409"/>
      <c r="C4332" s="416"/>
      <c r="D4332" s="198" t="s">
        <v>33307</v>
      </c>
      <c r="E4332" s="198">
        <v>186</v>
      </c>
      <c r="F4332" s="199" t="s">
        <v>33308</v>
      </c>
      <c r="G4332" s="1" t="s">
        <v>33309</v>
      </c>
      <c r="H4332" s="1" t="s">
        <v>32591</v>
      </c>
      <c r="I4332" s="346"/>
      <c r="J4332" s="39">
        <v>104535</v>
      </c>
      <c r="K4332" s="36" t="str">
        <f>CONCATENATE(Cover!$D$6,"fdd/view?i=",J4332)</f>
        <v>https://www.dgiwg.org/FAD/fdd/view?i=104535</v>
      </c>
      <c r="L4332" s="36" t="s">
        <v>33310</v>
      </c>
      <c r="M4332" s="186"/>
      <c r="N4332" s="186"/>
      <c r="O4332" s="172"/>
    </row>
    <row r="4333" spans="1:15" ht="38.25" x14ac:dyDescent="0.2">
      <c r="A4333" s="197" t="str">
        <f t="shared" si="67"/>
        <v>HzdCode_northAm1927AleutianE</v>
      </c>
      <c r="B4333" s="409"/>
      <c r="C4333" s="416"/>
      <c r="D4333" s="198" t="s">
        <v>33311</v>
      </c>
      <c r="E4333" s="198">
        <v>199</v>
      </c>
      <c r="F4333" s="199" t="s">
        <v>33312</v>
      </c>
      <c r="G4333" s="1" t="s">
        <v>33313</v>
      </c>
      <c r="H4333" s="1" t="s">
        <v>32591</v>
      </c>
      <c r="I4333" s="346"/>
      <c r="J4333" s="39">
        <v>104548</v>
      </c>
      <c r="K4333" s="36" t="str">
        <f>CONCATENATE(Cover!$D$6,"fdd/view?i=",J4333)</f>
        <v>https://www.dgiwg.org/FAD/fdd/view?i=104548</v>
      </c>
      <c r="L4333" s="36" t="s">
        <v>33314</v>
      </c>
      <c r="M4333" s="186"/>
      <c r="N4333" s="186"/>
      <c r="O4333" s="172"/>
    </row>
    <row r="4334" spans="1:15" ht="38.25" x14ac:dyDescent="0.2">
      <c r="A4334" s="197" t="str">
        <f t="shared" si="67"/>
        <v>HzdCode_northAm1927AleutianW</v>
      </c>
      <c r="B4334" s="409"/>
      <c r="C4334" s="416"/>
      <c r="D4334" s="198" t="s">
        <v>33315</v>
      </c>
      <c r="E4334" s="198">
        <v>200</v>
      </c>
      <c r="F4334" s="199" t="s">
        <v>33316</v>
      </c>
      <c r="G4334" s="1" t="s">
        <v>33317</v>
      </c>
      <c r="H4334" s="1" t="s">
        <v>32591</v>
      </c>
      <c r="I4334" s="346"/>
      <c r="J4334" s="39">
        <v>104549</v>
      </c>
      <c r="K4334" s="36" t="str">
        <f>CONCATENATE(Cover!$D$6,"fdd/view?i=",J4334)</f>
        <v>https://www.dgiwg.org/FAD/fdd/view?i=104549</v>
      </c>
      <c r="L4334" s="36" t="s">
        <v>33318</v>
      </c>
      <c r="M4334" s="186"/>
      <c r="N4334" s="186"/>
      <c r="O4334" s="172"/>
    </row>
    <row r="4335" spans="1:15" ht="38.25" x14ac:dyDescent="0.2">
      <c r="A4335" s="197" t="str">
        <f t="shared" si="67"/>
        <v>HzdCode_northAm1927Bahamas</v>
      </c>
      <c r="B4335" s="409"/>
      <c r="C4335" s="416"/>
      <c r="D4335" s="198" t="s">
        <v>33319</v>
      </c>
      <c r="E4335" s="198">
        <v>195</v>
      </c>
      <c r="F4335" s="199" t="s">
        <v>33320</v>
      </c>
      <c r="G4335" s="1" t="s">
        <v>33321</v>
      </c>
      <c r="H4335" s="1" t="s">
        <v>32591</v>
      </c>
      <c r="I4335" s="346"/>
      <c r="J4335" s="39">
        <v>104544</v>
      </c>
      <c r="K4335" s="36" t="str">
        <f>CONCATENATE(Cover!$D$6,"fdd/view?i=",J4335)</f>
        <v>https://www.dgiwg.org/FAD/fdd/view?i=104544</v>
      </c>
      <c r="L4335" s="36" t="s">
        <v>33322</v>
      </c>
      <c r="M4335" s="186"/>
      <c r="N4335" s="186"/>
      <c r="O4335" s="172"/>
    </row>
    <row r="4336" spans="1:15" ht="38.25" x14ac:dyDescent="0.2">
      <c r="A4336" s="197" t="str">
        <f t="shared" si="67"/>
        <v>HzdCode_northAm1927CanadMean</v>
      </c>
      <c r="B4336" s="409"/>
      <c r="C4336" s="416"/>
      <c r="D4336" s="198" t="s">
        <v>33323</v>
      </c>
      <c r="E4336" s="198">
        <v>185</v>
      </c>
      <c r="F4336" s="199" t="s">
        <v>33324</v>
      </c>
      <c r="G4336" s="1" t="s">
        <v>33325</v>
      </c>
      <c r="H4336" s="1" t="s">
        <v>32591</v>
      </c>
      <c r="I4336" s="346"/>
      <c r="J4336" s="39">
        <v>104534</v>
      </c>
      <c r="K4336" s="36" t="str">
        <f>CONCATENATE(Cover!$D$6,"fdd/view?i=",J4336)</f>
        <v>https://www.dgiwg.org/FAD/fdd/view?i=104534</v>
      </c>
      <c r="L4336" s="36" t="s">
        <v>33326</v>
      </c>
      <c r="M4336" s="186"/>
      <c r="N4336" s="186"/>
      <c r="O4336" s="172"/>
    </row>
    <row r="4337" spans="1:15" ht="38.25" x14ac:dyDescent="0.2">
      <c r="A4337" s="197" t="str">
        <f t="shared" si="67"/>
        <v>HzdCode_northAm1927CanalZone</v>
      </c>
      <c r="B4337" s="409"/>
      <c r="C4337" s="416"/>
      <c r="D4337" s="198" t="s">
        <v>33327</v>
      </c>
      <c r="E4337" s="198">
        <v>193</v>
      </c>
      <c r="F4337" s="199" t="s">
        <v>33328</v>
      </c>
      <c r="G4337" s="1" t="s">
        <v>33329</v>
      </c>
      <c r="H4337" s="1" t="s">
        <v>32591</v>
      </c>
      <c r="I4337" s="346"/>
      <c r="J4337" s="39">
        <v>104542</v>
      </c>
      <c r="K4337" s="36" t="str">
        <f>CONCATENATE(Cover!$D$6,"fdd/view?i=",J4337)</f>
        <v>https://www.dgiwg.org/FAD/fdd/view?i=104542</v>
      </c>
      <c r="L4337" s="36" t="s">
        <v>33330</v>
      </c>
      <c r="M4337" s="186"/>
      <c r="N4337" s="186"/>
      <c r="O4337" s="172"/>
    </row>
    <row r="4338" spans="1:15" ht="51" x14ac:dyDescent="0.2">
      <c r="A4338" s="197" t="str">
        <f t="shared" si="67"/>
        <v>HzdCode_northAm1927Caribbean</v>
      </c>
      <c r="B4338" s="409"/>
      <c r="C4338" s="416"/>
      <c r="D4338" s="198" t="s">
        <v>33331</v>
      </c>
      <c r="E4338" s="198">
        <v>194</v>
      </c>
      <c r="F4338" s="199" t="s">
        <v>33332</v>
      </c>
      <c r="G4338" s="1" t="s">
        <v>33333</v>
      </c>
      <c r="H4338" s="1" t="s">
        <v>32591</v>
      </c>
      <c r="I4338" s="346"/>
      <c r="J4338" s="39">
        <v>104543</v>
      </c>
      <c r="K4338" s="36" t="str">
        <f>CONCATENATE(Cover!$D$6,"fdd/view?i=",J4338)</f>
        <v>https://www.dgiwg.org/FAD/fdd/view?i=104543</v>
      </c>
      <c r="L4338" s="36" t="s">
        <v>33334</v>
      </c>
      <c r="M4338" s="186"/>
      <c r="N4338" s="186"/>
      <c r="O4338" s="172"/>
    </row>
    <row r="4339" spans="1:15" ht="51" x14ac:dyDescent="0.2">
      <c r="A4339" s="197" t="str">
        <f t="shared" si="67"/>
        <v>HzdCode_northAm1927CentAmer</v>
      </c>
      <c r="B4339" s="409"/>
      <c r="C4339" s="416"/>
      <c r="D4339" s="198" t="s">
        <v>33335</v>
      </c>
      <c r="E4339" s="198">
        <v>192</v>
      </c>
      <c r="F4339" s="199" t="s">
        <v>33336</v>
      </c>
      <c r="G4339" s="1" t="s">
        <v>33337</v>
      </c>
      <c r="H4339" s="1" t="s">
        <v>32591</v>
      </c>
      <c r="I4339" s="346"/>
      <c r="J4339" s="39">
        <v>104541</v>
      </c>
      <c r="K4339" s="36" t="str">
        <f>CONCATENATE(Cover!$D$6,"fdd/view?i=",J4339)</f>
        <v>https://www.dgiwg.org/FAD/fdd/view?i=104541</v>
      </c>
      <c r="L4339" s="36" t="s">
        <v>33338</v>
      </c>
      <c r="M4339" s="186"/>
      <c r="N4339" s="186"/>
      <c r="O4339" s="172"/>
    </row>
    <row r="4340" spans="1:15" ht="38.25" x14ac:dyDescent="0.2">
      <c r="A4340" s="197" t="str">
        <f t="shared" si="67"/>
        <v>HzdCode_northAm1927ConusMean</v>
      </c>
      <c r="B4340" s="409"/>
      <c r="C4340" s="416"/>
      <c r="D4340" s="198" t="s">
        <v>33339</v>
      </c>
      <c r="E4340" s="198">
        <v>183</v>
      </c>
      <c r="F4340" s="199" t="s">
        <v>33340</v>
      </c>
      <c r="G4340" s="1" t="s">
        <v>33341</v>
      </c>
      <c r="H4340" s="1" t="s">
        <v>32591</v>
      </c>
      <c r="I4340" s="346"/>
      <c r="J4340" s="39">
        <v>104532</v>
      </c>
      <c r="K4340" s="36" t="str">
        <f>CONCATENATE(Cover!$D$6,"fdd/view?i=",J4340)</f>
        <v>https://www.dgiwg.org/FAD/fdd/view?i=104532</v>
      </c>
      <c r="L4340" s="36" t="s">
        <v>33342</v>
      </c>
      <c r="M4340" s="186"/>
      <c r="N4340" s="186"/>
      <c r="O4340" s="172"/>
    </row>
    <row r="4341" spans="1:15" ht="38.25" x14ac:dyDescent="0.2">
      <c r="A4341" s="197" t="str">
        <f t="shared" si="67"/>
        <v>HzdCode_northAm1927Cuba</v>
      </c>
      <c r="B4341" s="409"/>
      <c r="C4341" s="416"/>
      <c r="D4341" s="198" t="s">
        <v>33343</v>
      </c>
      <c r="E4341" s="198">
        <v>197</v>
      </c>
      <c r="F4341" s="199" t="s">
        <v>33344</v>
      </c>
      <c r="G4341" s="1" t="s">
        <v>33345</v>
      </c>
      <c r="H4341" s="1" t="s">
        <v>32591</v>
      </c>
      <c r="I4341" s="346"/>
      <c r="J4341" s="39">
        <v>104546</v>
      </c>
      <c r="K4341" s="36" t="str">
        <f>CONCATENATE(Cover!$D$6,"fdd/view?i=",J4341)</f>
        <v>https://www.dgiwg.org/FAD/fdd/view?i=104546</v>
      </c>
      <c r="L4341" s="36" t="s">
        <v>33346</v>
      </c>
      <c r="M4341" s="186"/>
      <c r="N4341" s="186"/>
      <c r="O4341" s="172"/>
    </row>
    <row r="4342" spans="1:15" ht="38.25" x14ac:dyDescent="0.2">
      <c r="A4342" s="197" t="str">
        <f t="shared" si="67"/>
        <v>HzdCode_northAm1927EasternUs</v>
      </c>
      <c r="B4342" s="409"/>
      <c r="C4342" s="416"/>
      <c r="D4342" s="198" t="s">
        <v>33347</v>
      </c>
      <c r="E4342" s="198">
        <v>181</v>
      </c>
      <c r="F4342" s="199" t="s">
        <v>33348</v>
      </c>
      <c r="G4342" s="1" t="s">
        <v>33349</v>
      </c>
      <c r="H4342" s="1" t="s">
        <v>32591</v>
      </c>
      <c r="I4342" s="346"/>
      <c r="J4342" s="39">
        <v>104530</v>
      </c>
      <c r="K4342" s="36" t="str">
        <f>CONCATENATE(Cover!$D$6,"fdd/view?i=",J4342)</f>
        <v>https://www.dgiwg.org/FAD/fdd/view?i=104530</v>
      </c>
      <c r="L4342" s="36" t="s">
        <v>33350</v>
      </c>
      <c r="M4342" s="186"/>
      <c r="N4342" s="186"/>
      <c r="O4342" s="172"/>
    </row>
    <row r="4343" spans="1:15" ht="38.25" x14ac:dyDescent="0.2">
      <c r="A4343" s="197" t="str">
        <f t="shared" si="67"/>
        <v>HzdCode_northAm1927HayesPen</v>
      </c>
      <c r="B4343" s="409"/>
      <c r="C4343" s="416"/>
      <c r="D4343" s="198" t="s">
        <v>33351</v>
      </c>
      <c r="E4343" s="198">
        <v>198</v>
      </c>
      <c r="F4343" s="199" t="s">
        <v>33352</v>
      </c>
      <c r="G4343" s="1" t="s">
        <v>33353</v>
      </c>
      <c r="H4343" s="1" t="s">
        <v>32591</v>
      </c>
      <c r="I4343" s="346"/>
      <c r="J4343" s="39">
        <v>104547</v>
      </c>
      <c r="K4343" s="36" t="str">
        <f>CONCATENATE(Cover!$D$6,"fdd/view?i=",J4343)</f>
        <v>https://www.dgiwg.org/FAD/fdd/view?i=104547</v>
      </c>
      <c r="L4343" s="36" t="s">
        <v>33354</v>
      </c>
      <c r="M4343" s="186"/>
      <c r="N4343" s="186"/>
      <c r="O4343" s="172"/>
    </row>
    <row r="4344" spans="1:15" ht="38.25" x14ac:dyDescent="0.2">
      <c r="A4344" s="197" t="str">
        <f t="shared" si="67"/>
        <v>HzdCode_northAm1927Manitoba</v>
      </c>
      <c r="B4344" s="409"/>
      <c r="C4344" s="416"/>
      <c r="D4344" s="198" t="s">
        <v>33355</v>
      </c>
      <c r="E4344" s="198">
        <v>188</v>
      </c>
      <c r="F4344" s="199" t="s">
        <v>33356</v>
      </c>
      <c r="G4344" s="1" t="s">
        <v>33357</v>
      </c>
      <c r="H4344" s="1" t="s">
        <v>32591</v>
      </c>
      <c r="I4344" s="346"/>
      <c r="J4344" s="39">
        <v>104537</v>
      </c>
      <c r="K4344" s="36" t="str">
        <f>CONCATENATE(Cover!$D$6,"fdd/view?i=",J4344)</f>
        <v>https://www.dgiwg.org/FAD/fdd/view?i=104537</v>
      </c>
      <c r="L4344" s="36" t="s">
        <v>33358</v>
      </c>
      <c r="M4344" s="186"/>
      <c r="N4344" s="186"/>
      <c r="O4344" s="172"/>
    </row>
    <row r="4345" spans="1:15" ht="38.25" x14ac:dyDescent="0.2">
      <c r="A4345" s="197" t="str">
        <f t="shared" si="67"/>
        <v>HzdCode_northAm1927Mexico</v>
      </c>
      <c r="B4345" s="409"/>
      <c r="C4345" s="416"/>
      <c r="D4345" s="198" t="s">
        <v>33359</v>
      </c>
      <c r="E4345" s="198">
        <v>191</v>
      </c>
      <c r="F4345" s="199" t="s">
        <v>33360</v>
      </c>
      <c r="G4345" s="1" t="s">
        <v>33361</v>
      </c>
      <c r="H4345" s="1" t="s">
        <v>32591</v>
      </c>
      <c r="I4345" s="346"/>
      <c r="J4345" s="39">
        <v>104540</v>
      </c>
      <c r="K4345" s="36" t="str">
        <f>CONCATENATE(Cover!$D$6,"fdd/view?i=",J4345)</f>
        <v>https://www.dgiwg.org/FAD/fdd/view?i=104540</v>
      </c>
      <c r="L4345" s="36" t="s">
        <v>33362</v>
      </c>
      <c r="M4345" s="186"/>
      <c r="N4345" s="186"/>
      <c r="O4345" s="172"/>
    </row>
    <row r="4346" spans="1:15" ht="51" x14ac:dyDescent="0.2">
      <c r="A4346" s="197" t="str">
        <f t="shared" si="67"/>
        <v>HzdCode_northAm1927Newfound</v>
      </c>
      <c r="B4346" s="409"/>
      <c r="C4346" s="416"/>
      <c r="D4346" s="198" t="s">
        <v>33363</v>
      </c>
      <c r="E4346" s="198">
        <v>187</v>
      </c>
      <c r="F4346" s="199" t="s">
        <v>33364</v>
      </c>
      <c r="G4346" s="1" t="s">
        <v>33365</v>
      </c>
      <c r="H4346" s="1" t="s">
        <v>32591</v>
      </c>
      <c r="I4346" s="346"/>
      <c r="J4346" s="39">
        <v>104536</v>
      </c>
      <c r="K4346" s="36" t="str">
        <f>CONCATENATE(Cover!$D$6,"fdd/view?i=",J4346)</f>
        <v>https://www.dgiwg.org/FAD/fdd/view?i=104536</v>
      </c>
      <c r="L4346" s="36" t="s">
        <v>33366</v>
      </c>
      <c r="M4346" s="186"/>
      <c r="N4346" s="186"/>
      <c r="O4346" s="172"/>
    </row>
    <row r="4347" spans="1:15" ht="38.25" x14ac:dyDescent="0.2">
      <c r="A4347" s="197" t="str">
        <f t="shared" si="67"/>
        <v>HzdCode_northAm1927NwTerSaskat</v>
      </c>
      <c r="B4347" s="409"/>
      <c r="C4347" s="416"/>
      <c r="D4347" s="198" t="s">
        <v>33367</v>
      </c>
      <c r="E4347" s="198">
        <v>189</v>
      </c>
      <c r="F4347" s="199" t="s">
        <v>33368</v>
      </c>
      <c r="G4347" s="1" t="s">
        <v>33369</v>
      </c>
      <c r="H4347" s="1" t="s">
        <v>32591</v>
      </c>
      <c r="I4347" s="346"/>
      <c r="J4347" s="39">
        <v>104538</v>
      </c>
      <c r="K4347" s="36" t="str">
        <f>CONCATENATE(Cover!$D$6,"fdd/view?i=",J4347)</f>
        <v>https://www.dgiwg.org/FAD/fdd/view?i=104538</v>
      </c>
      <c r="L4347" s="36" t="s">
        <v>33370</v>
      </c>
      <c r="M4347" s="186"/>
      <c r="N4347" s="186"/>
      <c r="O4347" s="172"/>
    </row>
    <row r="4348" spans="1:15" ht="38.25" x14ac:dyDescent="0.2">
      <c r="A4348" s="197" t="str">
        <f t="shared" si="67"/>
        <v>HzdCode_northAm1927Salvador</v>
      </c>
      <c r="B4348" s="409"/>
      <c r="C4348" s="416"/>
      <c r="D4348" s="198" t="s">
        <v>33371</v>
      </c>
      <c r="E4348" s="198">
        <v>196</v>
      </c>
      <c r="F4348" s="199" t="s">
        <v>33372</v>
      </c>
      <c r="G4348" s="1" t="s">
        <v>33373</v>
      </c>
      <c r="H4348" s="1" t="s">
        <v>32591</v>
      </c>
      <c r="I4348" s="346"/>
      <c r="J4348" s="39">
        <v>104545</v>
      </c>
      <c r="K4348" s="36" t="str">
        <f>CONCATENATE(Cover!$D$6,"fdd/view?i=",J4348)</f>
        <v>https://www.dgiwg.org/FAD/fdd/view?i=104545</v>
      </c>
      <c r="L4348" s="36" t="s">
        <v>33374</v>
      </c>
      <c r="M4348" s="186"/>
      <c r="N4348" s="186"/>
      <c r="O4348" s="172"/>
    </row>
    <row r="4349" spans="1:15" ht="38.25" x14ac:dyDescent="0.2">
      <c r="A4349" s="197" t="str">
        <f t="shared" si="67"/>
        <v>HzdCode_northAm1927WesternUs</v>
      </c>
      <c r="B4349" s="409"/>
      <c r="C4349" s="416"/>
      <c r="D4349" s="198" t="s">
        <v>33375</v>
      </c>
      <c r="E4349" s="198">
        <v>182</v>
      </c>
      <c r="F4349" s="199" t="s">
        <v>33376</v>
      </c>
      <c r="G4349" s="1" t="s">
        <v>33377</v>
      </c>
      <c r="H4349" s="1" t="s">
        <v>32591</v>
      </c>
      <c r="I4349" s="346"/>
      <c r="J4349" s="39">
        <v>104531</v>
      </c>
      <c r="K4349" s="36" t="str">
        <f>CONCATENATE(Cover!$D$6,"fdd/view?i=",J4349)</f>
        <v>https://www.dgiwg.org/FAD/fdd/view?i=104531</v>
      </c>
      <c r="L4349" s="36" t="s">
        <v>33378</v>
      </c>
      <c r="M4349" s="186"/>
      <c r="N4349" s="186"/>
      <c r="O4349" s="172"/>
    </row>
    <row r="4350" spans="1:15" ht="38.25" x14ac:dyDescent="0.2">
      <c r="A4350" s="197" t="str">
        <f t="shared" si="67"/>
        <v>HzdCode_northAm1927Yukon</v>
      </c>
      <c r="B4350" s="409"/>
      <c r="C4350" s="416"/>
      <c r="D4350" s="198" t="s">
        <v>33379</v>
      </c>
      <c r="E4350" s="198">
        <v>190</v>
      </c>
      <c r="F4350" s="199" t="s">
        <v>33380</v>
      </c>
      <c r="G4350" s="1" t="s">
        <v>33381</v>
      </c>
      <c r="H4350" s="1" t="s">
        <v>32591</v>
      </c>
      <c r="I4350" s="346"/>
      <c r="J4350" s="39">
        <v>104539</v>
      </c>
      <c r="K4350" s="36" t="str">
        <f>CONCATENATE(Cover!$D$6,"fdd/view?i=",J4350)</f>
        <v>https://www.dgiwg.org/FAD/fdd/view?i=104539</v>
      </c>
      <c r="L4350" s="36" t="s">
        <v>33382</v>
      </c>
      <c r="M4350" s="186"/>
      <c r="N4350" s="186"/>
      <c r="O4350" s="172"/>
    </row>
    <row r="4351" spans="1:15" ht="25.5" x14ac:dyDescent="0.2">
      <c r="A4351" s="197" t="str">
        <f t="shared" si="67"/>
        <v>HzdCode_northAm1983</v>
      </c>
      <c r="B4351" s="409"/>
      <c r="C4351" s="416"/>
      <c r="D4351" s="198" t="s">
        <v>33383</v>
      </c>
      <c r="E4351" s="198">
        <v>173</v>
      </c>
      <c r="F4351" s="199" t="s">
        <v>33384</v>
      </c>
      <c r="G4351" s="1" t="s">
        <v>33385</v>
      </c>
      <c r="H4351" s="1" t="s">
        <v>33386</v>
      </c>
      <c r="I4351" s="346"/>
      <c r="J4351" s="39">
        <v>104522</v>
      </c>
      <c r="K4351" s="36" t="str">
        <f>CONCATENATE(Cover!$D$6,"fdd/view?i=",J4351)</f>
        <v>https://www.dgiwg.org/FAD/fdd/view?i=104522</v>
      </c>
      <c r="L4351" s="36" t="s">
        <v>33387</v>
      </c>
      <c r="M4351" s="186"/>
      <c r="N4351" s="186"/>
      <c r="O4351" s="172"/>
    </row>
    <row r="4352" spans="1:15" ht="38.25" x14ac:dyDescent="0.2">
      <c r="A4352" s="197" t="str">
        <f t="shared" si="67"/>
        <v>HzdCode_northAm1983AlaskaExAleut</v>
      </c>
      <c r="B4352" s="409"/>
      <c r="C4352" s="416"/>
      <c r="D4352" s="198" t="s">
        <v>33388</v>
      </c>
      <c r="E4352" s="198">
        <v>174</v>
      </c>
      <c r="F4352" s="199" t="s">
        <v>33389</v>
      </c>
      <c r="G4352" s="1" t="s">
        <v>33390</v>
      </c>
      <c r="H4352" s="1" t="s">
        <v>32591</v>
      </c>
      <c r="I4352" s="346"/>
      <c r="J4352" s="39">
        <v>104523</v>
      </c>
      <c r="K4352" s="36" t="str">
        <f>CONCATENATE(Cover!$D$6,"fdd/view?i=",J4352)</f>
        <v>https://www.dgiwg.org/FAD/fdd/view?i=104523</v>
      </c>
      <c r="L4352" s="36" t="s">
        <v>33391</v>
      </c>
      <c r="M4352" s="186"/>
      <c r="N4352" s="186"/>
      <c r="O4352" s="172"/>
    </row>
    <row r="4353" spans="1:15" ht="38.25" x14ac:dyDescent="0.2">
      <c r="A4353" s="197" t="str">
        <f t="shared" si="67"/>
        <v>HzdCode_northAm1983Aleutian</v>
      </c>
      <c r="B4353" s="409"/>
      <c r="C4353" s="416"/>
      <c r="D4353" s="198" t="s">
        <v>33392</v>
      </c>
      <c r="E4353" s="198">
        <v>178</v>
      </c>
      <c r="F4353" s="199" t="s">
        <v>33393</v>
      </c>
      <c r="G4353" s="1" t="s">
        <v>33394</v>
      </c>
      <c r="H4353" s="1" t="s">
        <v>32591</v>
      </c>
      <c r="I4353" s="346"/>
      <c r="J4353" s="39">
        <v>104527</v>
      </c>
      <c r="K4353" s="36" t="str">
        <f>CONCATENATE(Cover!$D$6,"fdd/view?i=",J4353)</f>
        <v>https://www.dgiwg.org/FAD/fdd/view?i=104527</v>
      </c>
      <c r="L4353" s="36" t="s">
        <v>33395</v>
      </c>
      <c r="M4353" s="186"/>
      <c r="N4353" s="186"/>
      <c r="O4353" s="172"/>
    </row>
    <row r="4354" spans="1:15" ht="38.25" x14ac:dyDescent="0.2">
      <c r="A4354" s="197" t="str">
        <f t="shared" ref="A4354:A4417" si="68">HYPERLINK(K4354,L4354)</f>
        <v>HzdCode_northAm1983Canada</v>
      </c>
      <c r="B4354" s="409"/>
      <c r="C4354" s="416"/>
      <c r="D4354" s="198" t="s">
        <v>33396</v>
      </c>
      <c r="E4354" s="198">
        <v>175</v>
      </c>
      <c r="F4354" s="199" t="s">
        <v>33397</v>
      </c>
      <c r="G4354" s="1" t="s">
        <v>33398</v>
      </c>
      <c r="H4354" s="1" t="s">
        <v>32591</v>
      </c>
      <c r="I4354" s="346"/>
      <c r="J4354" s="39">
        <v>104524</v>
      </c>
      <c r="K4354" s="36" t="str">
        <f>CONCATENATE(Cover!$D$6,"fdd/view?i=",J4354)</f>
        <v>https://www.dgiwg.org/FAD/fdd/view?i=104524</v>
      </c>
      <c r="L4354" s="36" t="s">
        <v>33399</v>
      </c>
      <c r="M4354" s="186"/>
      <c r="N4354" s="186"/>
      <c r="O4354" s="172"/>
    </row>
    <row r="4355" spans="1:15" ht="38.25" x14ac:dyDescent="0.2">
      <c r="A4355" s="197" t="str">
        <f t="shared" si="68"/>
        <v>HzdCode_northAm1983Conus</v>
      </c>
      <c r="B4355" s="409"/>
      <c r="C4355" s="416"/>
      <c r="D4355" s="198" t="s">
        <v>33400</v>
      </c>
      <c r="E4355" s="198">
        <v>176</v>
      </c>
      <c r="F4355" s="199" t="s">
        <v>33401</v>
      </c>
      <c r="G4355" s="1" t="s">
        <v>33402</v>
      </c>
      <c r="H4355" s="1" t="s">
        <v>32591</v>
      </c>
      <c r="I4355" s="346"/>
      <c r="J4355" s="39">
        <v>104525</v>
      </c>
      <c r="K4355" s="36" t="str">
        <f>CONCATENATE(Cover!$D$6,"fdd/view?i=",J4355)</f>
        <v>https://www.dgiwg.org/FAD/fdd/view?i=104525</v>
      </c>
      <c r="L4355" s="36" t="s">
        <v>33403</v>
      </c>
      <c r="M4355" s="186"/>
      <c r="N4355" s="186"/>
      <c r="O4355" s="172"/>
    </row>
    <row r="4356" spans="1:15" ht="38.25" x14ac:dyDescent="0.2">
      <c r="A4356" s="197" t="str">
        <f t="shared" si="68"/>
        <v>HzdCode_northAm1983Hawaii</v>
      </c>
      <c r="B4356" s="409"/>
      <c r="C4356" s="416"/>
      <c r="D4356" s="198" t="s">
        <v>33404</v>
      </c>
      <c r="E4356" s="198">
        <v>179</v>
      </c>
      <c r="F4356" s="199" t="s">
        <v>33405</v>
      </c>
      <c r="G4356" s="1" t="s">
        <v>33406</v>
      </c>
      <c r="H4356" s="1" t="s">
        <v>32591</v>
      </c>
      <c r="I4356" s="346"/>
      <c r="J4356" s="39">
        <v>104528</v>
      </c>
      <c r="K4356" s="36" t="str">
        <f>CONCATENATE(Cover!$D$6,"fdd/view?i=",J4356)</f>
        <v>https://www.dgiwg.org/FAD/fdd/view?i=104528</v>
      </c>
      <c r="L4356" s="36" t="s">
        <v>33407</v>
      </c>
      <c r="M4356" s="186"/>
      <c r="N4356" s="186"/>
      <c r="O4356" s="172"/>
    </row>
    <row r="4357" spans="1:15" ht="38.25" x14ac:dyDescent="0.2">
      <c r="A4357" s="197" t="str">
        <f t="shared" si="68"/>
        <v>HzdCode_northAm1983Mexico</v>
      </c>
      <c r="B4357" s="409"/>
      <c r="C4357" s="416"/>
      <c r="D4357" s="198" t="s">
        <v>33408</v>
      </c>
      <c r="E4357" s="198">
        <v>177</v>
      </c>
      <c r="F4357" s="199" t="s">
        <v>33409</v>
      </c>
      <c r="G4357" s="1" t="s">
        <v>33410</v>
      </c>
      <c r="H4357" s="1" t="s">
        <v>32591</v>
      </c>
      <c r="I4357" s="346"/>
      <c r="J4357" s="39">
        <v>104526</v>
      </c>
      <c r="K4357" s="36" t="str">
        <f>CONCATENATE(Cover!$D$6,"fdd/view?i=",J4357)</f>
        <v>https://www.dgiwg.org/FAD/fdd/view?i=104526</v>
      </c>
      <c r="L4357" s="36" t="s">
        <v>33411</v>
      </c>
      <c r="M4357" s="186"/>
      <c r="N4357" s="186"/>
      <c r="O4357" s="172"/>
    </row>
    <row r="4358" spans="1:15" ht="38.25" x14ac:dyDescent="0.2">
      <c r="A4358" s="197" t="str">
        <f t="shared" si="68"/>
        <v>HzdCode_northSahara1959</v>
      </c>
      <c r="B4358" s="409"/>
      <c r="C4358" s="416"/>
      <c r="D4358" s="198" t="s">
        <v>33412</v>
      </c>
      <c r="E4358" s="198">
        <v>204</v>
      </c>
      <c r="F4358" s="199" t="s">
        <v>33413</v>
      </c>
      <c r="G4358" s="1" t="s">
        <v>33414</v>
      </c>
      <c r="H4358" s="1" t="s">
        <v>32591</v>
      </c>
      <c r="I4358" s="346"/>
      <c r="J4358" s="39">
        <v>104553</v>
      </c>
      <c r="K4358" s="36" t="str">
        <f>CONCATENATE(Cover!$D$6,"fdd/view?i=",J4358)</f>
        <v>https://www.dgiwg.org/FAD/fdd/view?i=104553</v>
      </c>
      <c r="L4358" s="36" t="s">
        <v>33415</v>
      </c>
      <c r="M4358" s="186"/>
      <c r="N4358" s="186"/>
      <c r="O4358" s="172"/>
    </row>
    <row r="4359" spans="1:15" ht="51" x14ac:dyDescent="0.2">
      <c r="A4359" s="197" t="str">
        <f t="shared" si="68"/>
        <v>HzdCode_observMeteorologico1939</v>
      </c>
      <c r="B4359" s="409"/>
      <c r="C4359" s="416"/>
      <c r="D4359" s="198" t="s">
        <v>33416</v>
      </c>
      <c r="E4359" s="198">
        <v>93</v>
      </c>
      <c r="F4359" s="199" t="s">
        <v>33417</v>
      </c>
      <c r="G4359" s="1" t="s">
        <v>33418</v>
      </c>
      <c r="H4359" s="1" t="s">
        <v>32591</v>
      </c>
      <c r="I4359" s="346"/>
      <c r="J4359" s="39">
        <v>104442</v>
      </c>
      <c r="K4359" s="36" t="str">
        <f>CONCATENATE(Cover!$D$6,"fdd/view?i=",J4359)</f>
        <v>https://www.dgiwg.org/FAD/fdd/view?i=104442</v>
      </c>
      <c r="L4359" s="36" t="s">
        <v>33419</v>
      </c>
      <c r="M4359" s="186"/>
      <c r="N4359" s="186"/>
      <c r="O4359" s="172"/>
    </row>
    <row r="4360" spans="1:15" ht="25.5" x14ac:dyDescent="0.2">
      <c r="A4360" s="197" t="str">
        <f t="shared" si="68"/>
        <v>HzdCode_ocotopequeGuatemala</v>
      </c>
      <c r="B4360" s="409"/>
      <c r="C4360" s="416"/>
      <c r="D4360" s="198" t="s">
        <v>33420</v>
      </c>
      <c r="E4360" s="198">
        <v>205</v>
      </c>
      <c r="F4360" s="199" t="s">
        <v>33421</v>
      </c>
      <c r="G4360" s="1" t="s">
        <v>33422</v>
      </c>
      <c r="H4360" s="1" t="s">
        <v>33423</v>
      </c>
      <c r="I4360" s="346"/>
      <c r="J4360" s="39">
        <v>104554</v>
      </c>
      <c r="K4360" s="36" t="str">
        <f>CONCATENATE(Cover!$D$6,"fdd/view?i=",J4360)</f>
        <v>https://www.dgiwg.org/FAD/fdd/view?i=104554</v>
      </c>
      <c r="L4360" s="36" t="s">
        <v>33424</v>
      </c>
      <c r="M4360" s="186"/>
      <c r="N4360" s="186"/>
      <c r="O4360" s="172"/>
    </row>
    <row r="4361" spans="1:15" ht="38.25" x14ac:dyDescent="0.2">
      <c r="A4361" s="197" t="str">
        <f t="shared" si="68"/>
        <v>HzdCode_oldEgyptian</v>
      </c>
      <c r="B4361" s="409"/>
      <c r="C4361" s="416"/>
      <c r="D4361" s="198" t="s">
        <v>33425</v>
      </c>
      <c r="E4361" s="198">
        <v>207</v>
      </c>
      <c r="F4361" s="199" t="s">
        <v>33426</v>
      </c>
      <c r="G4361" s="1" t="s">
        <v>33427</v>
      </c>
      <c r="H4361" s="1" t="s">
        <v>32591</v>
      </c>
      <c r="I4361" s="346"/>
      <c r="J4361" s="39">
        <v>104556</v>
      </c>
      <c r="K4361" s="36" t="str">
        <f>CONCATENATE(Cover!$D$6,"fdd/view?i=",J4361)</f>
        <v>https://www.dgiwg.org/FAD/fdd/view?i=104556</v>
      </c>
      <c r="L4361" s="36" t="s">
        <v>33428</v>
      </c>
      <c r="M4361" s="186"/>
      <c r="N4361" s="186"/>
      <c r="O4361" s="172"/>
    </row>
    <row r="4362" spans="1:15" ht="25.5" x14ac:dyDescent="0.2">
      <c r="A4362" s="197" t="str">
        <f t="shared" si="68"/>
        <v>HzdCode_oldHawaiian</v>
      </c>
      <c r="B4362" s="409"/>
      <c r="C4362" s="416"/>
      <c r="D4362" s="198" t="s">
        <v>33429</v>
      </c>
      <c r="E4362" s="198">
        <v>214</v>
      </c>
      <c r="F4362" s="199" t="s">
        <v>33430</v>
      </c>
      <c r="G4362" s="1" t="s">
        <v>33431</v>
      </c>
      <c r="H4362" s="1" t="s">
        <v>33432</v>
      </c>
      <c r="I4362" s="346"/>
      <c r="J4362" s="39">
        <v>104563</v>
      </c>
      <c r="K4362" s="36" t="str">
        <f>CONCATENATE(Cover!$D$6,"fdd/view?i=",J4362)</f>
        <v>https://www.dgiwg.org/FAD/fdd/view?i=104563</v>
      </c>
      <c r="L4362" s="36" t="s">
        <v>33433</v>
      </c>
      <c r="M4362" s="186"/>
      <c r="N4362" s="186"/>
      <c r="O4362" s="172"/>
    </row>
    <row r="4363" spans="1:15" ht="38.25" x14ac:dyDescent="0.2">
      <c r="A4363" s="197" t="str">
        <f t="shared" si="68"/>
        <v>HzdCode_oldHawaiianHawaiiIsland</v>
      </c>
      <c r="B4363" s="409"/>
      <c r="C4363" s="416"/>
      <c r="D4363" s="198" t="s">
        <v>33434</v>
      </c>
      <c r="E4363" s="198">
        <v>215</v>
      </c>
      <c r="F4363" s="199" t="s">
        <v>33435</v>
      </c>
      <c r="G4363" s="1" t="s">
        <v>33436</v>
      </c>
      <c r="H4363" s="1" t="s">
        <v>32591</v>
      </c>
      <c r="I4363" s="346"/>
      <c r="J4363" s="39">
        <v>104564</v>
      </c>
      <c r="K4363" s="36" t="str">
        <f>CONCATENATE(Cover!$D$6,"fdd/view?i=",J4363)</f>
        <v>https://www.dgiwg.org/FAD/fdd/view?i=104564</v>
      </c>
      <c r="L4363" s="36" t="s">
        <v>33437</v>
      </c>
      <c r="M4363" s="186"/>
      <c r="N4363" s="186"/>
      <c r="O4363" s="172"/>
    </row>
    <row r="4364" spans="1:15" ht="38.25" x14ac:dyDescent="0.2">
      <c r="A4364" s="197" t="str">
        <f t="shared" si="68"/>
        <v>HzdCode_oldHawaiianKauaiIsland</v>
      </c>
      <c r="B4364" s="409"/>
      <c r="C4364" s="416"/>
      <c r="D4364" s="198" t="s">
        <v>33438</v>
      </c>
      <c r="E4364" s="198">
        <v>216</v>
      </c>
      <c r="F4364" s="199" t="s">
        <v>33439</v>
      </c>
      <c r="G4364" s="1" t="s">
        <v>33440</v>
      </c>
      <c r="H4364" s="1" t="s">
        <v>32591</v>
      </c>
      <c r="I4364" s="346"/>
      <c r="J4364" s="39">
        <v>104565</v>
      </c>
      <c r="K4364" s="36" t="str">
        <f>CONCATENATE(Cover!$D$6,"fdd/view?i=",J4364)</f>
        <v>https://www.dgiwg.org/FAD/fdd/view?i=104565</v>
      </c>
      <c r="L4364" s="36" t="s">
        <v>33441</v>
      </c>
      <c r="M4364" s="186"/>
      <c r="N4364" s="186"/>
      <c r="O4364" s="172"/>
    </row>
    <row r="4365" spans="1:15" ht="38.25" x14ac:dyDescent="0.2">
      <c r="A4365" s="197" t="str">
        <f t="shared" si="68"/>
        <v>HzdCode_oldHawaiianMauiIsland</v>
      </c>
      <c r="B4365" s="409"/>
      <c r="C4365" s="416"/>
      <c r="D4365" s="198" t="s">
        <v>33442</v>
      </c>
      <c r="E4365" s="198">
        <v>217</v>
      </c>
      <c r="F4365" s="199" t="s">
        <v>33443</v>
      </c>
      <c r="G4365" s="1" t="s">
        <v>33444</v>
      </c>
      <c r="H4365" s="1" t="s">
        <v>32591</v>
      </c>
      <c r="I4365" s="346"/>
      <c r="J4365" s="39">
        <v>104566</v>
      </c>
      <c r="K4365" s="36" t="str">
        <f>CONCATENATE(Cover!$D$6,"fdd/view?i=",J4365)</f>
        <v>https://www.dgiwg.org/FAD/fdd/view?i=104566</v>
      </c>
      <c r="L4365" s="36" t="s">
        <v>33445</v>
      </c>
      <c r="M4365" s="186"/>
      <c r="N4365" s="186"/>
      <c r="O4365" s="172"/>
    </row>
    <row r="4366" spans="1:15" ht="38.25" x14ac:dyDescent="0.2">
      <c r="A4366" s="197" t="str">
        <f t="shared" si="68"/>
        <v>HzdCode_oldHawaiianMeanValue</v>
      </c>
      <c r="B4366" s="409"/>
      <c r="C4366" s="416"/>
      <c r="D4366" s="198" t="s">
        <v>33446</v>
      </c>
      <c r="E4366" s="198">
        <v>219</v>
      </c>
      <c r="F4366" s="199" t="s">
        <v>33447</v>
      </c>
      <c r="G4366" s="1" t="s">
        <v>33448</v>
      </c>
      <c r="H4366" s="1" t="s">
        <v>32591</v>
      </c>
      <c r="I4366" s="346"/>
      <c r="J4366" s="39">
        <v>104568</v>
      </c>
      <c r="K4366" s="36" t="str">
        <f>CONCATENATE(Cover!$D$6,"fdd/view?i=",J4366)</f>
        <v>https://www.dgiwg.org/FAD/fdd/view?i=104568</v>
      </c>
      <c r="L4366" s="36" t="s">
        <v>33449</v>
      </c>
      <c r="M4366" s="186"/>
      <c r="N4366" s="186"/>
      <c r="O4366" s="172"/>
    </row>
    <row r="4367" spans="1:15" ht="38.25" x14ac:dyDescent="0.2">
      <c r="A4367" s="197" t="str">
        <f t="shared" si="68"/>
        <v>HzdCode_oldHawaiianOahuIsland</v>
      </c>
      <c r="B4367" s="409"/>
      <c r="C4367" s="416"/>
      <c r="D4367" s="198" t="s">
        <v>33450</v>
      </c>
      <c r="E4367" s="198">
        <v>218</v>
      </c>
      <c r="F4367" s="199" t="s">
        <v>33451</v>
      </c>
      <c r="G4367" s="1" t="s">
        <v>33452</v>
      </c>
      <c r="H4367" s="1" t="s">
        <v>32591</v>
      </c>
      <c r="I4367" s="346"/>
      <c r="J4367" s="39">
        <v>104567</v>
      </c>
      <c r="K4367" s="36" t="str">
        <f>CONCATENATE(Cover!$D$6,"fdd/view?i=",J4367)</f>
        <v>https://www.dgiwg.org/FAD/fdd/view?i=104567</v>
      </c>
      <c r="L4367" s="36" t="s">
        <v>33453</v>
      </c>
      <c r="M4367" s="186"/>
      <c r="N4367" s="186"/>
      <c r="O4367" s="172"/>
    </row>
    <row r="4368" spans="1:15" ht="38.25" x14ac:dyDescent="0.2">
      <c r="A4368" s="197" t="str">
        <f t="shared" si="68"/>
        <v>HzdCode_oman</v>
      </c>
      <c r="B4368" s="409"/>
      <c r="C4368" s="416"/>
      <c r="D4368" s="198" t="s">
        <v>33454</v>
      </c>
      <c r="E4368" s="198">
        <v>92</v>
      </c>
      <c r="F4368" s="199" t="s">
        <v>33455</v>
      </c>
      <c r="G4368" s="1" t="s">
        <v>33456</v>
      </c>
      <c r="H4368" s="1" t="s">
        <v>32591</v>
      </c>
      <c r="I4368" s="346"/>
      <c r="J4368" s="39">
        <v>104441</v>
      </c>
      <c r="K4368" s="36" t="str">
        <f>CONCATENATE(Cover!$D$6,"fdd/view?i=",J4368)</f>
        <v>https://www.dgiwg.org/FAD/fdd/view?i=104441</v>
      </c>
      <c r="L4368" s="36" t="s">
        <v>33457</v>
      </c>
      <c r="M4368" s="186"/>
      <c r="N4368" s="186"/>
      <c r="O4368" s="172"/>
    </row>
    <row r="4369" spans="1:15" ht="38.25" x14ac:dyDescent="0.2">
      <c r="A4369" s="197" t="str">
        <f t="shared" si="68"/>
        <v>HzdCode_ordnanceSurvGB1936</v>
      </c>
      <c r="B4369" s="409"/>
      <c r="C4369" s="416"/>
      <c r="D4369" s="198" t="s">
        <v>33478</v>
      </c>
      <c r="E4369" s="198">
        <v>208</v>
      </c>
      <c r="F4369" s="199" t="s">
        <v>33479</v>
      </c>
      <c r="G4369" s="1" t="s">
        <v>33480</v>
      </c>
      <c r="H4369" s="1" t="s">
        <v>33481</v>
      </c>
      <c r="I4369" s="346"/>
      <c r="J4369" s="39">
        <v>104557</v>
      </c>
      <c r="K4369" s="36" t="str">
        <f>CONCATENATE(Cover!$D$6,"fdd/view?i=",J4369)</f>
        <v>https://www.dgiwg.org/FAD/fdd/view?i=104557</v>
      </c>
      <c r="L4369" s="36" t="s">
        <v>33482</v>
      </c>
      <c r="M4369" s="186"/>
      <c r="N4369" s="186"/>
      <c r="O4369" s="172"/>
    </row>
    <row r="4370" spans="1:15" ht="38.25" x14ac:dyDescent="0.2">
      <c r="A4370" s="197" t="str">
        <f t="shared" si="68"/>
        <v>HzdCode_ordnanceSurvGB1936England</v>
      </c>
      <c r="B4370" s="409"/>
      <c r="C4370" s="416"/>
      <c r="D4370" s="198" t="s">
        <v>33458</v>
      </c>
      <c r="E4370" s="198">
        <v>209</v>
      </c>
      <c r="F4370" s="199" t="s">
        <v>33459</v>
      </c>
      <c r="G4370" s="1" t="s">
        <v>33460</v>
      </c>
      <c r="H4370" s="1" t="s">
        <v>32591</v>
      </c>
      <c r="I4370" s="346"/>
      <c r="J4370" s="39">
        <v>104558</v>
      </c>
      <c r="K4370" s="36" t="str">
        <f>CONCATENATE(Cover!$D$6,"fdd/view?i=",J4370)</f>
        <v>https://www.dgiwg.org/FAD/fdd/view?i=104558</v>
      </c>
      <c r="L4370" s="36" t="s">
        <v>33461</v>
      </c>
      <c r="M4370" s="186"/>
      <c r="N4370" s="186"/>
      <c r="O4370" s="172"/>
    </row>
    <row r="4371" spans="1:15" ht="38.25" x14ac:dyDescent="0.2">
      <c r="A4371" s="197" t="str">
        <f t="shared" si="68"/>
        <v>HzdCode_ordnanceSurvGB1936MeanVal</v>
      </c>
      <c r="B4371" s="409"/>
      <c r="C4371" s="416"/>
      <c r="D4371" s="198" t="s">
        <v>33466</v>
      </c>
      <c r="E4371" s="198">
        <v>213</v>
      </c>
      <c r="F4371" s="199" t="s">
        <v>33467</v>
      </c>
      <c r="G4371" s="1" t="s">
        <v>33468</v>
      </c>
      <c r="H4371" s="1" t="s">
        <v>32591</v>
      </c>
      <c r="I4371" s="346"/>
      <c r="J4371" s="39">
        <v>104562</v>
      </c>
      <c r="K4371" s="36" t="str">
        <f>CONCATENATE(Cover!$D$6,"fdd/view?i=",J4371)</f>
        <v>https://www.dgiwg.org/FAD/fdd/view?i=104562</v>
      </c>
      <c r="L4371" s="36" t="s">
        <v>33469</v>
      </c>
      <c r="M4371" s="186"/>
      <c r="N4371" s="186"/>
      <c r="O4371" s="172"/>
    </row>
    <row r="4372" spans="1:15" ht="38.25" x14ac:dyDescent="0.2">
      <c r="A4372" s="197" t="str">
        <f t="shared" si="68"/>
        <v>HzdCode_ordnanceSurvGB1936ScotShet</v>
      </c>
      <c r="B4372" s="409"/>
      <c r="C4372" s="416"/>
      <c r="D4372" s="198" t="s">
        <v>33470</v>
      </c>
      <c r="E4372" s="198">
        <v>211</v>
      </c>
      <c r="F4372" s="199" t="s">
        <v>33471</v>
      </c>
      <c r="G4372" s="1" t="s">
        <v>33472</v>
      </c>
      <c r="H4372" s="1" t="s">
        <v>32591</v>
      </c>
      <c r="I4372" s="346"/>
      <c r="J4372" s="39">
        <v>104560</v>
      </c>
      <c r="K4372" s="36" t="str">
        <f>CONCATENATE(Cover!$D$6,"fdd/view?i=",J4372)</f>
        <v>https://www.dgiwg.org/FAD/fdd/view?i=104560</v>
      </c>
      <c r="L4372" s="36" t="s">
        <v>33473</v>
      </c>
      <c r="M4372" s="186"/>
      <c r="N4372" s="186"/>
      <c r="O4372" s="172"/>
    </row>
    <row r="4373" spans="1:15" ht="38.25" x14ac:dyDescent="0.2">
      <c r="A4373" s="197" t="str">
        <f t="shared" si="68"/>
        <v>HzdCode_ordnanceSurvGB1936ScotWale</v>
      </c>
      <c r="B4373" s="409"/>
      <c r="C4373" s="416"/>
      <c r="D4373" s="198" t="s">
        <v>33462</v>
      </c>
      <c r="E4373" s="198">
        <v>210</v>
      </c>
      <c r="F4373" s="199" t="s">
        <v>33463</v>
      </c>
      <c r="G4373" s="1" t="s">
        <v>33464</v>
      </c>
      <c r="H4373" s="1" t="s">
        <v>32591</v>
      </c>
      <c r="I4373" s="346"/>
      <c r="J4373" s="39">
        <v>104559</v>
      </c>
      <c r="K4373" s="36" t="str">
        <f>CONCATENATE(Cover!$D$6,"fdd/view?i=",J4373)</f>
        <v>https://www.dgiwg.org/FAD/fdd/view?i=104559</v>
      </c>
      <c r="L4373" s="36" t="s">
        <v>33465</v>
      </c>
      <c r="M4373" s="186"/>
      <c r="N4373" s="186"/>
      <c r="O4373" s="172"/>
    </row>
    <row r="4374" spans="1:15" ht="38.25" x14ac:dyDescent="0.2">
      <c r="A4374" s="197" t="str">
        <f t="shared" si="68"/>
        <v>HzdCode_ordnanceSurvGB1936Wales</v>
      </c>
      <c r="B4374" s="409"/>
      <c r="C4374" s="416"/>
      <c r="D4374" s="198" t="s">
        <v>33474</v>
      </c>
      <c r="E4374" s="198">
        <v>212</v>
      </c>
      <c r="F4374" s="199" t="s">
        <v>33475</v>
      </c>
      <c r="G4374" s="1" t="s">
        <v>33476</v>
      </c>
      <c r="H4374" s="1" t="s">
        <v>32591</v>
      </c>
      <c r="I4374" s="346"/>
      <c r="J4374" s="39">
        <v>104561</v>
      </c>
      <c r="K4374" s="36" t="str">
        <f>CONCATENATE(Cover!$D$6,"fdd/view?i=",J4374)</f>
        <v>https://www.dgiwg.org/FAD/fdd/view?i=104561</v>
      </c>
      <c r="L4374" s="36" t="s">
        <v>33477</v>
      </c>
      <c r="M4374" s="186"/>
      <c r="N4374" s="186"/>
      <c r="O4374" s="172"/>
    </row>
    <row r="4375" spans="1:15" ht="38.25" x14ac:dyDescent="0.2">
      <c r="A4375" s="197" t="str">
        <f t="shared" si="68"/>
        <v>HzdCode_osloObservatoryOld</v>
      </c>
      <c r="B4375" s="409"/>
      <c r="C4375" s="416"/>
      <c r="D4375" s="198" t="s">
        <v>33483</v>
      </c>
      <c r="E4375" s="198">
        <v>220</v>
      </c>
      <c r="F4375" s="199" t="s">
        <v>33484</v>
      </c>
      <c r="G4375" s="1" t="s">
        <v>33485</v>
      </c>
      <c r="H4375" s="1" t="s">
        <v>32591</v>
      </c>
      <c r="I4375" s="346"/>
      <c r="J4375" s="39">
        <v>104569</v>
      </c>
      <c r="K4375" s="36" t="str">
        <f>CONCATENATE(Cover!$D$6,"fdd/view?i=",J4375)</f>
        <v>https://www.dgiwg.org/FAD/fdd/view?i=104569</v>
      </c>
      <c r="L4375" s="36" t="s">
        <v>33486</v>
      </c>
      <c r="M4375" s="186"/>
      <c r="N4375" s="186"/>
      <c r="O4375" s="172"/>
    </row>
    <row r="4376" spans="1:15" ht="25.5" x14ac:dyDescent="0.2">
      <c r="A4376" s="197" t="str">
        <f t="shared" si="68"/>
        <v>HzdCode_otherKnownDatum</v>
      </c>
      <c r="B4376" s="409"/>
      <c r="C4376" s="416"/>
      <c r="D4376" s="198" t="s">
        <v>33487</v>
      </c>
      <c r="E4376" s="198">
        <v>303</v>
      </c>
      <c r="F4376" s="199" t="s">
        <v>33488</v>
      </c>
      <c r="G4376" s="1" t="s">
        <v>33489</v>
      </c>
      <c r="H4376" s="200"/>
      <c r="I4376" s="346"/>
      <c r="J4376" s="39">
        <v>104652</v>
      </c>
      <c r="K4376" s="36" t="str">
        <f>CONCATENATE(Cover!$D$6,"fdd/view?i=",J4376)</f>
        <v>https://www.dgiwg.org/FAD/fdd/view?i=104652</v>
      </c>
      <c r="L4376" s="36" t="s">
        <v>33490</v>
      </c>
      <c r="M4376" s="186"/>
      <c r="N4376" s="186"/>
      <c r="O4376" s="172"/>
    </row>
    <row r="4377" spans="1:15" ht="38.25" x14ac:dyDescent="0.2">
      <c r="A4377" s="197" t="str">
        <f t="shared" si="68"/>
        <v>HzdCode_padangBaseWestEnd</v>
      </c>
      <c r="B4377" s="409"/>
      <c r="C4377" s="416"/>
      <c r="D4377" s="198" t="s">
        <v>33491</v>
      </c>
      <c r="E4377" s="198">
        <v>221</v>
      </c>
      <c r="F4377" s="199" t="s">
        <v>33492</v>
      </c>
      <c r="G4377" s="1" t="s">
        <v>33493</v>
      </c>
      <c r="H4377" s="1" t="s">
        <v>32591</v>
      </c>
      <c r="I4377" s="346"/>
      <c r="J4377" s="39">
        <v>104570</v>
      </c>
      <c r="K4377" s="36" t="str">
        <f>CONCATENATE(Cover!$D$6,"fdd/view?i=",J4377)</f>
        <v>https://www.dgiwg.org/FAD/fdd/view?i=104570</v>
      </c>
      <c r="L4377" s="36" t="s">
        <v>33494</v>
      </c>
      <c r="M4377" s="186"/>
      <c r="N4377" s="186"/>
      <c r="O4377" s="172"/>
    </row>
    <row r="4378" spans="1:15" ht="51" x14ac:dyDescent="0.2">
      <c r="A4378" s="197" t="str">
        <f t="shared" si="68"/>
        <v>HzdCode_padangBaseWestEndZeroMerid</v>
      </c>
      <c r="B4378" s="409"/>
      <c r="C4378" s="416"/>
      <c r="D4378" s="198" t="s">
        <v>33495</v>
      </c>
      <c r="E4378" s="198">
        <v>222</v>
      </c>
      <c r="F4378" s="199" t="s">
        <v>33496</v>
      </c>
      <c r="G4378" s="1" t="s">
        <v>33497</v>
      </c>
      <c r="H4378" s="1" t="s">
        <v>32591</v>
      </c>
      <c r="I4378" s="346"/>
      <c r="J4378" s="39">
        <v>104571</v>
      </c>
      <c r="K4378" s="36" t="str">
        <f>CONCATENATE(Cover!$D$6,"fdd/view?i=",J4378)</f>
        <v>https://www.dgiwg.org/FAD/fdd/view?i=104571</v>
      </c>
      <c r="L4378" s="36" t="s">
        <v>33498</v>
      </c>
      <c r="M4378" s="186"/>
      <c r="N4378" s="186"/>
      <c r="O4378" s="172"/>
    </row>
    <row r="4379" spans="1:15" ht="38.25" x14ac:dyDescent="0.2">
      <c r="A4379" s="197" t="str">
        <f t="shared" si="68"/>
        <v>HzdCode_palestine1928</v>
      </c>
      <c r="B4379" s="409"/>
      <c r="C4379" s="416"/>
      <c r="D4379" s="198" t="s">
        <v>33499</v>
      </c>
      <c r="E4379" s="198">
        <v>223</v>
      </c>
      <c r="F4379" s="199" t="s">
        <v>33500</v>
      </c>
      <c r="G4379" s="1" t="s">
        <v>33501</v>
      </c>
      <c r="H4379" s="1" t="s">
        <v>32591</v>
      </c>
      <c r="I4379" s="346"/>
      <c r="J4379" s="39">
        <v>104572</v>
      </c>
      <c r="K4379" s="36" t="str">
        <f>CONCATENATE(Cover!$D$6,"fdd/view?i=",J4379)</f>
        <v>https://www.dgiwg.org/FAD/fdd/view?i=104572</v>
      </c>
      <c r="L4379" s="36" t="s">
        <v>33502</v>
      </c>
      <c r="M4379" s="186"/>
      <c r="N4379" s="186"/>
      <c r="O4379" s="172"/>
    </row>
    <row r="4380" spans="1:15" ht="38.25" x14ac:dyDescent="0.2">
      <c r="A4380" s="197" t="str">
        <f t="shared" si="68"/>
        <v>HzdCode_picoDeLasNievesCanaryIs</v>
      </c>
      <c r="B4380" s="409"/>
      <c r="C4380" s="416"/>
      <c r="D4380" s="198" t="s">
        <v>33503</v>
      </c>
      <c r="E4380" s="198">
        <v>227</v>
      </c>
      <c r="F4380" s="199" t="s">
        <v>33504</v>
      </c>
      <c r="G4380" s="1" t="s">
        <v>33505</v>
      </c>
      <c r="H4380" s="1" t="s">
        <v>32591</v>
      </c>
      <c r="I4380" s="346"/>
      <c r="J4380" s="39">
        <v>104576</v>
      </c>
      <c r="K4380" s="36" t="str">
        <f>CONCATENATE(Cover!$D$6,"fdd/view?i=",J4380)</f>
        <v>https://www.dgiwg.org/FAD/fdd/view?i=104576</v>
      </c>
      <c r="L4380" s="36" t="s">
        <v>33506</v>
      </c>
      <c r="M4380" s="186"/>
      <c r="N4380" s="186"/>
      <c r="O4380" s="172"/>
    </row>
    <row r="4381" spans="1:15" ht="38.25" x14ac:dyDescent="0.2">
      <c r="A4381" s="197" t="str">
        <f t="shared" si="68"/>
        <v>HzdCode_pitcairnAstro1967</v>
      </c>
      <c r="B4381" s="409"/>
      <c r="C4381" s="416"/>
      <c r="D4381" s="198" t="s">
        <v>33507</v>
      </c>
      <c r="E4381" s="198">
        <v>226</v>
      </c>
      <c r="F4381" s="199" t="s">
        <v>33508</v>
      </c>
      <c r="G4381" s="1" t="s">
        <v>33509</v>
      </c>
      <c r="H4381" s="1" t="s">
        <v>32591</v>
      </c>
      <c r="I4381" s="346"/>
      <c r="J4381" s="39">
        <v>104575</v>
      </c>
      <c r="K4381" s="36" t="str">
        <f>CONCATENATE(Cover!$D$6,"fdd/view?i=",J4381)</f>
        <v>https://www.dgiwg.org/FAD/fdd/view?i=104575</v>
      </c>
      <c r="L4381" s="36" t="s">
        <v>33510</v>
      </c>
      <c r="M4381" s="186"/>
      <c r="N4381" s="186"/>
      <c r="O4381" s="172"/>
    </row>
    <row r="4382" spans="1:15" ht="38.25" x14ac:dyDescent="0.2">
      <c r="A4382" s="197" t="str">
        <f t="shared" si="68"/>
        <v>HzdCode_point58MeanSolution</v>
      </c>
      <c r="B4382" s="409"/>
      <c r="C4382" s="416"/>
      <c r="D4382" s="198" t="s">
        <v>33511</v>
      </c>
      <c r="E4382" s="198">
        <v>239</v>
      </c>
      <c r="F4382" s="199" t="s">
        <v>33512</v>
      </c>
      <c r="G4382" s="1" t="s">
        <v>33513</v>
      </c>
      <c r="H4382" s="1" t="s">
        <v>32591</v>
      </c>
      <c r="I4382" s="346"/>
      <c r="J4382" s="39">
        <v>104588</v>
      </c>
      <c r="K4382" s="36" t="str">
        <f>CONCATENATE(Cover!$D$6,"fdd/view?i=",J4382)</f>
        <v>https://www.dgiwg.org/FAD/fdd/view?i=104588</v>
      </c>
      <c r="L4382" s="36" t="s">
        <v>33514</v>
      </c>
      <c r="M4382" s="186"/>
      <c r="N4382" s="186"/>
      <c r="O4382" s="172"/>
    </row>
    <row r="4383" spans="1:15" ht="38.25" x14ac:dyDescent="0.2">
      <c r="A4383" s="197" t="str">
        <f t="shared" si="68"/>
        <v>HzdCode_pointeNoire1948</v>
      </c>
      <c r="B4383" s="409"/>
      <c r="C4383" s="416"/>
      <c r="D4383" s="198" t="s">
        <v>33515</v>
      </c>
      <c r="E4383" s="198">
        <v>240</v>
      </c>
      <c r="F4383" s="199" t="s">
        <v>33516</v>
      </c>
      <c r="G4383" s="1" t="s">
        <v>33517</v>
      </c>
      <c r="H4383" s="1" t="s">
        <v>32591</v>
      </c>
      <c r="I4383" s="346"/>
      <c r="J4383" s="39">
        <v>104589</v>
      </c>
      <c r="K4383" s="36" t="str">
        <f>CONCATENATE(Cover!$D$6,"fdd/view?i=",J4383)</f>
        <v>https://www.dgiwg.org/FAD/fdd/view?i=104589</v>
      </c>
      <c r="L4383" s="36" t="s">
        <v>33518</v>
      </c>
      <c r="M4383" s="186"/>
      <c r="N4383" s="186"/>
      <c r="O4383" s="172"/>
    </row>
    <row r="4384" spans="1:15" ht="38.25" x14ac:dyDescent="0.2">
      <c r="A4384" s="197" t="str">
        <f t="shared" si="68"/>
        <v>HzdCode_potsdamHelmertturmGermany</v>
      </c>
      <c r="B4384" s="409"/>
      <c r="C4384" s="416"/>
      <c r="D4384" s="198" t="s">
        <v>33519</v>
      </c>
      <c r="E4384" s="198">
        <v>224</v>
      </c>
      <c r="F4384" s="199" t="s">
        <v>33520</v>
      </c>
      <c r="G4384" s="1" t="s">
        <v>33521</v>
      </c>
      <c r="H4384" s="1" t="s">
        <v>32591</v>
      </c>
      <c r="I4384" s="346"/>
      <c r="J4384" s="39">
        <v>104573</v>
      </c>
      <c r="K4384" s="36" t="str">
        <f>CONCATENATE(Cover!$D$6,"fdd/view?i=",J4384)</f>
        <v>https://www.dgiwg.org/FAD/fdd/view?i=104573</v>
      </c>
      <c r="L4384" s="36" t="s">
        <v>33522</v>
      </c>
      <c r="M4384" s="186"/>
      <c r="N4384" s="186"/>
      <c r="O4384" s="172"/>
    </row>
    <row r="4385" spans="1:15" ht="25.5" x14ac:dyDescent="0.2">
      <c r="A4385" s="197" t="str">
        <f t="shared" si="68"/>
        <v>HzdCode_provSouthAm1956</v>
      </c>
      <c r="B4385" s="409"/>
      <c r="C4385" s="416"/>
      <c r="D4385" s="198" t="s">
        <v>33559</v>
      </c>
      <c r="E4385" s="198">
        <v>229</v>
      </c>
      <c r="F4385" s="199" t="s">
        <v>33560</v>
      </c>
      <c r="G4385" s="1" t="s">
        <v>33561</v>
      </c>
      <c r="H4385" s="1" t="s">
        <v>33562</v>
      </c>
      <c r="I4385" s="346"/>
      <c r="J4385" s="39">
        <v>104578</v>
      </c>
      <c r="K4385" s="36" t="str">
        <f>CONCATENATE(Cover!$D$6,"fdd/view?i=",J4385)</f>
        <v>https://www.dgiwg.org/FAD/fdd/view?i=104578</v>
      </c>
      <c r="L4385" s="36" t="s">
        <v>33563</v>
      </c>
      <c r="M4385" s="186"/>
      <c r="N4385" s="186"/>
      <c r="O4385" s="172"/>
    </row>
    <row r="4386" spans="1:15" ht="38.25" x14ac:dyDescent="0.2">
      <c r="A4386" s="197" t="str">
        <f t="shared" si="68"/>
        <v>HzdCode_provSouthAm1956Bolivia</v>
      </c>
      <c r="B4386" s="409"/>
      <c r="C4386" s="416"/>
      <c r="D4386" s="198" t="s">
        <v>33523</v>
      </c>
      <c r="E4386" s="198">
        <v>230</v>
      </c>
      <c r="F4386" s="199" t="s">
        <v>33524</v>
      </c>
      <c r="G4386" s="1" t="s">
        <v>33525</v>
      </c>
      <c r="H4386" s="1" t="s">
        <v>32591</v>
      </c>
      <c r="I4386" s="346"/>
      <c r="J4386" s="39">
        <v>104579</v>
      </c>
      <c r="K4386" s="36" t="str">
        <f>CONCATENATE(Cover!$D$6,"fdd/view?i=",J4386)</f>
        <v>https://www.dgiwg.org/FAD/fdd/view?i=104579</v>
      </c>
      <c r="L4386" s="36" t="s">
        <v>33526</v>
      </c>
      <c r="M4386" s="186"/>
      <c r="N4386" s="186"/>
      <c r="O4386" s="172"/>
    </row>
    <row r="4387" spans="1:15" ht="38.25" x14ac:dyDescent="0.2">
      <c r="A4387" s="197" t="str">
        <f t="shared" si="68"/>
        <v>HzdCode_provSouthAm1956Columbia</v>
      </c>
      <c r="B4387" s="409"/>
      <c r="C4387" s="416"/>
      <c r="D4387" s="198" t="s">
        <v>33527</v>
      </c>
      <c r="E4387" s="198">
        <v>233</v>
      </c>
      <c r="F4387" s="199" t="s">
        <v>33528</v>
      </c>
      <c r="G4387" s="1" t="s">
        <v>33529</v>
      </c>
      <c r="H4387" s="1" t="s">
        <v>32591</v>
      </c>
      <c r="I4387" s="346"/>
      <c r="J4387" s="39">
        <v>104582</v>
      </c>
      <c r="K4387" s="36" t="str">
        <f>CONCATENATE(Cover!$D$6,"fdd/view?i=",J4387)</f>
        <v>https://www.dgiwg.org/FAD/fdd/view?i=104582</v>
      </c>
      <c r="L4387" s="36" t="s">
        <v>33530</v>
      </c>
      <c r="M4387" s="186"/>
      <c r="N4387" s="186"/>
      <c r="O4387" s="172"/>
    </row>
    <row r="4388" spans="1:15" ht="38.25" x14ac:dyDescent="0.2">
      <c r="A4388" s="197" t="str">
        <f t="shared" si="68"/>
        <v>HzdCode_provSouthAm1956Ecuador</v>
      </c>
      <c r="B4388" s="409"/>
      <c r="C4388" s="416"/>
      <c r="D4388" s="198" t="s">
        <v>33531</v>
      </c>
      <c r="E4388" s="198">
        <v>234</v>
      </c>
      <c r="F4388" s="199" t="s">
        <v>33532</v>
      </c>
      <c r="G4388" s="1" t="s">
        <v>33533</v>
      </c>
      <c r="H4388" s="1" t="s">
        <v>32591</v>
      </c>
      <c r="I4388" s="346"/>
      <c r="J4388" s="39">
        <v>104583</v>
      </c>
      <c r="K4388" s="36" t="str">
        <f>CONCATENATE(Cover!$D$6,"fdd/view?i=",J4388)</f>
        <v>https://www.dgiwg.org/FAD/fdd/view?i=104583</v>
      </c>
      <c r="L4388" s="36" t="s">
        <v>33534</v>
      </c>
      <c r="M4388" s="186"/>
      <c r="N4388" s="186"/>
      <c r="O4388" s="172"/>
    </row>
    <row r="4389" spans="1:15" ht="38.25" x14ac:dyDescent="0.2">
      <c r="A4389" s="197" t="str">
        <f t="shared" si="68"/>
        <v>HzdCode_provSouthAm1956Guyana</v>
      </c>
      <c r="B4389" s="409"/>
      <c r="C4389" s="416"/>
      <c r="D4389" s="198" t="s">
        <v>33535</v>
      </c>
      <c r="E4389" s="198">
        <v>235</v>
      </c>
      <c r="F4389" s="199" t="s">
        <v>33536</v>
      </c>
      <c r="G4389" s="1" t="s">
        <v>33537</v>
      </c>
      <c r="H4389" s="1" t="s">
        <v>32591</v>
      </c>
      <c r="I4389" s="346"/>
      <c r="J4389" s="39">
        <v>104584</v>
      </c>
      <c r="K4389" s="36" t="str">
        <f>CONCATENATE(Cover!$D$6,"fdd/view?i=",J4389)</f>
        <v>https://www.dgiwg.org/FAD/fdd/view?i=104584</v>
      </c>
      <c r="L4389" s="36" t="s">
        <v>33538</v>
      </c>
      <c r="M4389" s="186"/>
      <c r="N4389" s="186"/>
      <c r="O4389" s="172"/>
    </row>
    <row r="4390" spans="1:15" ht="38.25" x14ac:dyDescent="0.2">
      <c r="A4390" s="197" t="str">
        <f t="shared" si="68"/>
        <v>HzdCode_provSouthAm1956MeanValue</v>
      </c>
      <c r="B4390" s="409"/>
      <c r="C4390" s="416"/>
      <c r="D4390" s="198" t="s">
        <v>33539</v>
      </c>
      <c r="E4390" s="198">
        <v>238</v>
      </c>
      <c r="F4390" s="199" t="s">
        <v>33540</v>
      </c>
      <c r="G4390" s="1" t="s">
        <v>33541</v>
      </c>
      <c r="H4390" s="1" t="s">
        <v>32591</v>
      </c>
      <c r="I4390" s="346"/>
      <c r="J4390" s="39">
        <v>104587</v>
      </c>
      <c r="K4390" s="36" t="str">
        <f>CONCATENATE(Cover!$D$6,"fdd/view?i=",J4390)</f>
        <v>https://www.dgiwg.org/FAD/fdd/view?i=104587</v>
      </c>
      <c r="L4390" s="36" t="s">
        <v>33542</v>
      </c>
      <c r="M4390" s="186"/>
      <c r="N4390" s="186"/>
      <c r="O4390" s="172"/>
    </row>
    <row r="4391" spans="1:15" ht="38.25" x14ac:dyDescent="0.2">
      <c r="A4391" s="197" t="str">
        <f t="shared" si="68"/>
        <v>HzdCode_provSouthAm1956NChile</v>
      </c>
      <c r="B4391" s="409"/>
      <c r="C4391" s="416"/>
      <c r="D4391" s="198" t="s">
        <v>33543</v>
      </c>
      <c r="E4391" s="198">
        <v>231</v>
      </c>
      <c r="F4391" s="199" t="s">
        <v>33544</v>
      </c>
      <c r="G4391" s="1" t="s">
        <v>33545</v>
      </c>
      <c r="H4391" s="1" t="s">
        <v>32591</v>
      </c>
      <c r="I4391" s="346"/>
      <c r="J4391" s="39">
        <v>104580</v>
      </c>
      <c r="K4391" s="36" t="str">
        <f>CONCATENATE(Cover!$D$6,"fdd/view?i=",J4391)</f>
        <v>https://www.dgiwg.org/FAD/fdd/view?i=104580</v>
      </c>
      <c r="L4391" s="36" t="s">
        <v>33546</v>
      </c>
      <c r="M4391" s="186"/>
      <c r="N4391" s="186"/>
      <c r="O4391" s="172"/>
    </row>
    <row r="4392" spans="1:15" ht="38.25" x14ac:dyDescent="0.2">
      <c r="A4392" s="197" t="str">
        <f t="shared" si="68"/>
        <v>HzdCode_provSouthAm1956Peru</v>
      </c>
      <c r="B4392" s="409"/>
      <c r="C4392" s="416"/>
      <c r="D4392" s="198" t="s">
        <v>33547</v>
      </c>
      <c r="E4392" s="198">
        <v>236</v>
      </c>
      <c r="F4392" s="199" t="s">
        <v>33548</v>
      </c>
      <c r="G4392" s="1" t="s">
        <v>33549</v>
      </c>
      <c r="H4392" s="1" t="s">
        <v>32591</v>
      </c>
      <c r="I4392" s="346"/>
      <c r="J4392" s="39">
        <v>104585</v>
      </c>
      <c r="K4392" s="36" t="str">
        <f>CONCATENATE(Cover!$D$6,"fdd/view?i=",J4392)</f>
        <v>https://www.dgiwg.org/FAD/fdd/view?i=104585</v>
      </c>
      <c r="L4392" s="36" t="s">
        <v>33550</v>
      </c>
      <c r="M4392" s="186"/>
      <c r="N4392" s="186"/>
      <c r="O4392" s="172"/>
    </row>
    <row r="4393" spans="1:15" ht="38.25" x14ac:dyDescent="0.2">
      <c r="A4393" s="197" t="str">
        <f t="shared" si="68"/>
        <v>HzdCode_provSouthAm1956SChile</v>
      </c>
      <c r="B4393" s="409"/>
      <c r="C4393" s="416"/>
      <c r="D4393" s="198" t="s">
        <v>33551</v>
      </c>
      <c r="E4393" s="198">
        <v>232</v>
      </c>
      <c r="F4393" s="199" t="s">
        <v>33552</v>
      </c>
      <c r="G4393" s="1" t="s">
        <v>33553</v>
      </c>
      <c r="H4393" s="1" t="s">
        <v>32591</v>
      </c>
      <c r="I4393" s="346"/>
      <c r="J4393" s="39">
        <v>104581</v>
      </c>
      <c r="K4393" s="36" t="str">
        <f>CONCATENATE(Cover!$D$6,"fdd/view?i=",J4393)</f>
        <v>https://www.dgiwg.org/FAD/fdd/view?i=104581</v>
      </c>
      <c r="L4393" s="36" t="s">
        <v>33554</v>
      </c>
      <c r="M4393" s="186"/>
      <c r="N4393" s="186"/>
      <c r="O4393" s="172"/>
    </row>
    <row r="4394" spans="1:15" ht="38.25" x14ac:dyDescent="0.2">
      <c r="A4394" s="197" t="str">
        <f t="shared" si="68"/>
        <v>HzdCode_provSouthAm1956Venezuela</v>
      </c>
      <c r="B4394" s="409"/>
      <c r="C4394" s="416"/>
      <c r="D4394" s="198" t="s">
        <v>33555</v>
      </c>
      <c r="E4394" s="198">
        <v>237</v>
      </c>
      <c r="F4394" s="199" t="s">
        <v>33556</v>
      </c>
      <c r="G4394" s="1" t="s">
        <v>33557</v>
      </c>
      <c r="H4394" s="1" t="s">
        <v>32591</v>
      </c>
      <c r="I4394" s="346"/>
      <c r="J4394" s="39">
        <v>104586</v>
      </c>
      <c r="K4394" s="36" t="str">
        <f>CONCATENATE(Cover!$D$6,"fdd/view?i=",J4394)</f>
        <v>https://www.dgiwg.org/FAD/fdd/view?i=104586</v>
      </c>
      <c r="L4394" s="36" t="s">
        <v>33558</v>
      </c>
      <c r="M4394" s="186"/>
      <c r="N4394" s="186"/>
      <c r="O4394" s="172"/>
    </row>
    <row r="4395" spans="1:15" ht="51" x14ac:dyDescent="0.2">
      <c r="A4395" s="197" t="str">
        <f t="shared" si="68"/>
        <v>HzdCode_provSouthChilean1963</v>
      </c>
      <c r="B4395" s="409"/>
      <c r="C4395" s="416"/>
      <c r="D4395" s="198" t="s">
        <v>33564</v>
      </c>
      <c r="E4395" s="198">
        <v>109</v>
      </c>
      <c r="F4395" s="199" t="s">
        <v>33565</v>
      </c>
      <c r="G4395" s="1" t="s">
        <v>33566</v>
      </c>
      <c r="H4395" s="1" t="s">
        <v>32591</v>
      </c>
      <c r="I4395" s="346"/>
      <c r="J4395" s="39">
        <v>104458</v>
      </c>
      <c r="K4395" s="36" t="str">
        <f>CONCATENATE(Cover!$D$6,"fdd/view?i=",J4395)</f>
        <v>https://www.dgiwg.org/FAD/fdd/view?i=104458</v>
      </c>
      <c r="L4395" s="36" t="s">
        <v>33567</v>
      </c>
      <c r="M4395" s="186"/>
      <c r="N4395" s="186"/>
      <c r="O4395" s="172"/>
    </row>
    <row r="4396" spans="1:15" ht="38.25" x14ac:dyDescent="0.2">
      <c r="A4396" s="197" t="str">
        <f t="shared" si="68"/>
        <v>HzdCode_puertoRicoVirginIslands</v>
      </c>
      <c r="B4396" s="409"/>
      <c r="C4396" s="416"/>
      <c r="D4396" s="198" t="s">
        <v>33568</v>
      </c>
      <c r="E4396" s="198">
        <v>242</v>
      </c>
      <c r="F4396" s="199" t="s">
        <v>33569</v>
      </c>
      <c r="G4396" s="1" t="s">
        <v>33570</v>
      </c>
      <c r="H4396" s="1" t="s">
        <v>32591</v>
      </c>
      <c r="I4396" s="346"/>
      <c r="J4396" s="39">
        <v>104591</v>
      </c>
      <c r="K4396" s="36" t="str">
        <f>CONCATENATE(Cover!$D$6,"fdd/view?i=",J4396)</f>
        <v>https://www.dgiwg.org/FAD/fdd/view?i=104591</v>
      </c>
      <c r="L4396" s="36" t="s">
        <v>33571</v>
      </c>
      <c r="M4396" s="186"/>
      <c r="N4396" s="186"/>
      <c r="O4396" s="172"/>
    </row>
    <row r="4397" spans="1:15" ht="38.25" x14ac:dyDescent="0.2">
      <c r="A4397" s="197" t="str">
        <f t="shared" si="68"/>
        <v>HzdCode_pulkovo1942Albania</v>
      </c>
      <c r="B4397" s="409"/>
      <c r="C4397" s="416"/>
      <c r="D4397" s="198" t="s">
        <v>33572</v>
      </c>
      <c r="E4397" s="198">
        <v>313</v>
      </c>
      <c r="F4397" s="199" t="s">
        <v>33573</v>
      </c>
      <c r="G4397" s="1" t="s">
        <v>33574</v>
      </c>
      <c r="H4397" s="1" t="s">
        <v>32591</v>
      </c>
      <c r="I4397" s="346"/>
      <c r="J4397" s="39">
        <v>119105</v>
      </c>
      <c r="K4397" s="36" t="str">
        <f>CONCATENATE(Cover!$D$6,"fdd/view?i=",J4397)</f>
        <v>https://www.dgiwg.org/FAD/fdd/view?i=119105</v>
      </c>
      <c r="L4397" s="36" t="s">
        <v>33575</v>
      </c>
      <c r="M4397" s="186"/>
      <c r="N4397" s="186"/>
      <c r="O4397" s="172"/>
    </row>
    <row r="4398" spans="1:15" ht="38.25" x14ac:dyDescent="0.2">
      <c r="A4398" s="197" t="str">
        <f t="shared" si="68"/>
        <v>HzdCode_pulkovo1942Czechoslovakia</v>
      </c>
      <c r="B4398" s="409"/>
      <c r="C4398" s="416"/>
      <c r="D4398" s="198" t="s">
        <v>33576</v>
      </c>
      <c r="E4398" s="198">
        <v>310</v>
      </c>
      <c r="F4398" s="199" t="s">
        <v>33577</v>
      </c>
      <c r="G4398" s="1" t="s">
        <v>33578</v>
      </c>
      <c r="H4398" s="1" t="s">
        <v>32591</v>
      </c>
      <c r="I4398" s="346"/>
      <c r="J4398" s="39">
        <v>119102</v>
      </c>
      <c r="K4398" s="36" t="str">
        <f>CONCATENATE(Cover!$D$6,"fdd/view?i=",J4398)</f>
        <v>https://www.dgiwg.org/FAD/fdd/view?i=119102</v>
      </c>
      <c r="L4398" s="36" t="s">
        <v>33579</v>
      </c>
      <c r="M4398" s="186"/>
      <c r="N4398" s="186"/>
      <c r="O4398" s="172"/>
    </row>
    <row r="4399" spans="1:15" ht="38.25" x14ac:dyDescent="0.2">
      <c r="A4399" s="197" t="str">
        <f t="shared" si="68"/>
        <v>HzdCode_pulkovo1942Hungary</v>
      </c>
      <c r="B4399" s="409"/>
      <c r="C4399" s="416"/>
      <c r="D4399" s="198" t="s">
        <v>33580</v>
      </c>
      <c r="E4399" s="198">
        <v>308</v>
      </c>
      <c r="F4399" s="199" t="s">
        <v>33581</v>
      </c>
      <c r="G4399" s="1" t="s">
        <v>33582</v>
      </c>
      <c r="H4399" s="1" t="s">
        <v>32591</v>
      </c>
      <c r="I4399" s="346"/>
      <c r="J4399" s="39">
        <v>119100</v>
      </c>
      <c r="K4399" s="36" t="str">
        <f>CONCATENATE(Cover!$D$6,"fdd/view?i=",J4399)</f>
        <v>https://www.dgiwg.org/FAD/fdd/view?i=119100</v>
      </c>
      <c r="L4399" s="36" t="s">
        <v>33583</v>
      </c>
      <c r="M4399" s="186"/>
      <c r="N4399" s="186"/>
      <c r="O4399" s="172"/>
    </row>
    <row r="4400" spans="1:15" ht="38.25" x14ac:dyDescent="0.2">
      <c r="A4400" s="197" t="str">
        <f t="shared" si="68"/>
        <v>HzdCode_pulkovo1942Kazakhstan</v>
      </c>
      <c r="B4400" s="409"/>
      <c r="C4400" s="416"/>
      <c r="D4400" s="198" t="s">
        <v>33584</v>
      </c>
      <c r="E4400" s="198">
        <v>312</v>
      </c>
      <c r="F4400" s="199" t="s">
        <v>33585</v>
      </c>
      <c r="G4400" s="1" t="s">
        <v>33586</v>
      </c>
      <c r="H4400" s="1" t="s">
        <v>32591</v>
      </c>
      <c r="I4400" s="346"/>
      <c r="J4400" s="39">
        <v>119104</v>
      </c>
      <c r="K4400" s="36" t="str">
        <f>CONCATENATE(Cover!$D$6,"fdd/view?i=",J4400)</f>
        <v>https://www.dgiwg.org/FAD/fdd/view?i=119104</v>
      </c>
      <c r="L4400" s="36" t="s">
        <v>33587</v>
      </c>
      <c r="M4400" s="186"/>
      <c r="N4400" s="186"/>
      <c r="O4400" s="172"/>
    </row>
    <row r="4401" spans="1:15" ht="38.25" x14ac:dyDescent="0.2">
      <c r="A4401" s="197" t="str">
        <f t="shared" si="68"/>
        <v>HzdCode_pulkovo1942Latvia</v>
      </c>
      <c r="B4401" s="409"/>
      <c r="C4401" s="416"/>
      <c r="D4401" s="198" t="s">
        <v>33588</v>
      </c>
      <c r="E4401" s="198">
        <v>311</v>
      </c>
      <c r="F4401" s="199" t="s">
        <v>33589</v>
      </c>
      <c r="G4401" s="1" t="s">
        <v>33590</v>
      </c>
      <c r="H4401" s="1" t="s">
        <v>32591</v>
      </c>
      <c r="I4401" s="346"/>
      <c r="J4401" s="39">
        <v>119103</v>
      </c>
      <c r="K4401" s="36" t="str">
        <f>CONCATENATE(Cover!$D$6,"fdd/view?i=",J4401)</f>
        <v>https://www.dgiwg.org/FAD/fdd/view?i=119103</v>
      </c>
      <c r="L4401" s="36" t="s">
        <v>33591</v>
      </c>
      <c r="M4401" s="186"/>
      <c r="N4401" s="186"/>
      <c r="O4401" s="172"/>
    </row>
    <row r="4402" spans="1:15" ht="38.25" x14ac:dyDescent="0.2">
      <c r="A4402" s="197" t="str">
        <f t="shared" si="68"/>
        <v>HzdCode_pulkovo1942Poland</v>
      </c>
      <c r="B4402" s="409"/>
      <c r="C4402" s="416"/>
      <c r="D4402" s="198" t="s">
        <v>33592</v>
      </c>
      <c r="E4402" s="198">
        <v>309</v>
      </c>
      <c r="F4402" s="199" t="s">
        <v>33593</v>
      </c>
      <c r="G4402" s="1" t="s">
        <v>33594</v>
      </c>
      <c r="H4402" s="1" t="s">
        <v>32591</v>
      </c>
      <c r="I4402" s="346"/>
      <c r="J4402" s="39">
        <v>119101</v>
      </c>
      <c r="K4402" s="36" t="str">
        <f>CONCATENATE(Cover!$D$6,"fdd/view?i=",J4402)</f>
        <v>https://www.dgiwg.org/FAD/fdd/view?i=119101</v>
      </c>
      <c r="L4402" s="36" t="s">
        <v>33595</v>
      </c>
      <c r="M4402" s="186"/>
      <c r="N4402" s="186"/>
      <c r="O4402" s="172"/>
    </row>
    <row r="4403" spans="1:15" ht="38.25" x14ac:dyDescent="0.2">
      <c r="A4403" s="197" t="str">
        <f t="shared" si="68"/>
        <v>HzdCode_pulkovo1942Romania</v>
      </c>
      <c r="B4403" s="409"/>
      <c r="C4403" s="416"/>
      <c r="D4403" s="198" t="s">
        <v>33596</v>
      </c>
      <c r="E4403" s="198">
        <v>314</v>
      </c>
      <c r="F4403" s="199" t="s">
        <v>33597</v>
      </c>
      <c r="G4403" s="1" t="s">
        <v>33598</v>
      </c>
      <c r="H4403" s="1" t="s">
        <v>32591</v>
      </c>
      <c r="I4403" s="346"/>
      <c r="J4403" s="39">
        <v>119106</v>
      </c>
      <c r="K4403" s="36" t="str">
        <f>CONCATENATE(Cover!$D$6,"fdd/view?i=",J4403)</f>
        <v>https://www.dgiwg.org/FAD/fdd/view?i=119106</v>
      </c>
      <c r="L4403" s="36" t="s">
        <v>33599</v>
      </c>
      <c r="M4403" s="186"/>
      <c r="N4403" s="186"/>
      <c r="O4403" s="172"/>
    </row>
    <row r="4404" spans="1:15" ht="38.25" x14ac:dyDescent="0.2">
      <c r="A4404" s="197" t="str">
        <f t="shared" si="68"/>
        <v>HzdCode_pulkovo1942Russia</v>
      </c>
      <c r="B4404" s="409"/>
      <c r="C4404" s="416"/>
      <c r="D4404" s="198" t="s">
        <v>33600</v>
      </c>
      <c r="E4404" s="198">
        <v>241</v>
      </c>
      <c r="F4404" s="199" t="s">
        <v>33601</v>
      </c>
      <c r="G4404" s="1" t="s">
        <v>33602</v>
      </c>
      <c r="H4404" s="1" t="s">
        <v>32591</v>
      </c>
      <c r="I4404" s="346"/>
      <c r="J4404" s="39">
        <v>104590</v>
      </c>
      <c r="K4404" s="36" t="str">
        <f>CONCATENATE(Cover!$D$6,"fdd/view?i=",J4404)</f>
        <v>https://www.dgiwg.org/FAD/fdd/view?i=104590</v>
      </c>
      <c r="L4404" s="36" t="s">
        <v>33603</v>
      </c>
      <c r="M4404" s="186"/>
      <c r="N4404" s="186"/>
      <c r="O4404" s="172"/>
    </row>
    <row r="4405" spans="1:15" ht="38.25" x14ac:dyDescent="0.2">
      <c r="A4405" s="197" t="str">
        <f t="shared" si="68"/>
        <v>HzdCode_qatarNationalQatar</v>
      </c>
      <c r="B4405" s="409"/>
      <c r="C4405" s="416"/>
      <c r="D4405" s="198" t="s">
        <v>33604</v>
      </c>
      <c r="E4405" s="198">
        <v>243</v>
      </c>
      <c r="F4405" s="199" t="s">
        <v>33605</v>
      </c>
      <c r="G4405" s="1" t="s">
        <v>33606</v>
      </c>
      <c r="H4405" s="1" t="s">
        <v>32591</v>
      </c>
      <c r="I4405" s="346"/>
      <c r="J4405" s="39">
        <v>104592</v>
      </c>
      <c r="K4405" s="36" t="str">
        <f>CONCATENATE(Cover!$D$6,"fdd/view?i=",J4405)</f>
        <v>https://www.dgiwg.org/FAD/fdd/view?i=104592</v>
      </c>
      <c r="L4405" s="36" t="s">
        <v>33607</v>
      </c>
      <c r="M4405" s="186"/>
      <c r="N4405" s="186"/>
      <c r="O4405" s="172"/>
    </row>
    <row r="4406" spans="1:15" ht="38.25" x14ac:dyDescent="0.2">
      <c r="A4406" s="197" t="str">
        <f t="shared" si="68"/>
        <v>HzdCode_qornoqSouthGreenland</v>
      </c>
      <c r="B4406" s="409"/>
      <c r="C4406" s="416"/>
      <c r="D4406" s="198" t="s">
        <v>33608</v>
      </c>
      <c r="E4406" s="198">
        <v>244</v>
      </c>
      <c r="F4406" s="199" t="s">
        <v>33609</v>
      </c>
      <c r="G4406" s="1" t="s">
        <v>33610</v>
      </c>
      <c r="H4406" s="1" t="s">
        <v>32591</v>
      </c>
      <c r="I4406" s="346"/>
      <c r="J4406" s="39">
        <v>104593</v>
      </c>
      <c r="K4406" s="36" t="str">
        <f>CONCATENATE(Cover!$D$6,"fdd/view?i=",J4406)</f>
        <v>https://www.dgiwg.org/FAD/fdd/view?i=104593</v>
      </c>
      <c r="L4406" s="36" t="s">
        <v>33611</v>
      </c>
      <c r="M4406" s="186"/>
      <c r="N4406" s="186"/>
      <c r="O4406" s="172"/>
    </row>
    <row r="4407" spans="1:15" ht="38.25" x14ac:dyDescent="0.2">
      <c r="A4407" s="197" t="str">
        <f t="shared" si="68"/>
        <v>HzdCode_rauenbergBerlinGermany</v>
      </c>
      <c r="B4407" s="409"/>
      <c r="C4407" s="416"/>
      <c r="D4407" s="198" t="s">
        <v>33612</v>
      </c>
      <c r="E4407" s="198">
        <v>245</v>
      </c>
      <c r="F4407" s="199" t="s">
        <v>33613</v>
      </c>
      <c r="G4407" s="1" t="s">
        <v>33614</v>
      </c>
      <c r="H4407" s="1" t="s">
        <v>32591</v>
      </c>
      <c r="I4407" s="346"/>
      <c r="J4407" s="39">
        <v>104594</v>
      </c>
      <c r="K4407" s="36" t="str">
        <f>CONCATENATE(Cover!$D$6,"fdd/view?i=",J4407)</f>
        <v>https://www.dgiwg.org/FAD/fdd/view?i=104594</v>
      </c>
      <c r="L4407" s="36" t="s">
        <v>33615</v>
      </c>
      <c r="M4407" s="186"/>
      <c r="N4407" s="186"/>
      <c r="O4407" s="172"/>
    </row>
    <row r="4408" spans="1:15" ht="38.25" x14ac:dyDescent="0.2">
      <c r="A4408" s="197" t="str">
        <f t="shared" si="68"/>
        <v>HzdCode_reconTriangulationMorocco</v>
      </c>
      <c r="B4408" s="409"/>
      <c r="C4408" s="416"/>
      <c r="D4408" s="198" t="s">
        <v>33616</v>
      </c>
      <c r="E4408" s="198">
        <v>246</v>
      </c>
      <c r="F4408" s="199" t="s">
        <v>33617</v>
      </c>
      <c r="G4408" s="1" t="s">
        <v>33618</v>
      </c>
      <c r="H4408" s="1" t="s">
        <v>33619</v>
      </c>
      <c r="I4408" s="346"/>
      <c r="J4408" s="39">
        <v>104595</v>
      </c>
      <c r="K4408" s="36" t="str">
        <f>CONCATENATE(Cover!$D$6,"fdd/view?i=",J4408)</f>
        <v>https://www.dgiwg.org/FAD/fdd/view?i=104595</v>
      </c>
      <c r="L4408" s="36" t="s">
        <v>33620</v>
      </c>
      <c r="M4408" s="186"/>
      <c r="N4408" s="186"/>
      <c r="O4408" s="172"/>
    </row>
    <row r="4409" spans="1:15" ht="38.25" x14ac:dyDescent="0.2">
      <c r="A4409" s="197" t="str">
        <f t="shared" si="68"/>
        <v>HzdCode_reunion1947</v>
      </c>
      <c r="B4409" s="409"/>
      <c r="C4409" s="416"/>
      <c r="D4409" s="198" t="s">
        <v>33621</v>
      </c>
      <c r="E4409" s="198">
        <v>247</v>
      </c>
      <c r="F4409" s="199" t="s">
        <v>33622</v>
      </c>
      <c r="G4409" s="1" t="s">
        <v>33623</v>
      </c>
      <c r="H4409" s="1" t="s">
        <v>32591</v>
      </c>
      <c r="I4409" s="346"/>
      <c r="J4409" s="39">
        <v>104596</v>
      </c>
      <c r="K4409" s="36" t="str">
        <f>CONCATENATE(Cover!$D$6,"fdd/view?i=",J4409)</f>
        <v>https://www.dgiwg.org/FAD/fdd/view?i=104596</v>
      </c>
      <c r="L4409" s="36" t="s">
        <v>33624</v>
      </c>
      <c r="M4409" s="186"/>
      <c r="N4409" s="186"/>
      <c r="O4409" s="172"/>
    </row>
    <row r="4410" spans="1:15" ht="25.5" x14ac:dyDescent="0.2">
      <c r="A4410" s="197" t="str">
        <f t="shared" si="68"/>
        <v>HzdCode_revisedNahrwan</v>
      </c>
      <c r="B4410" s="409"/>
      <c r="C4410" s="416"/>
      <c r="D4410" s="198" t="s">
        <v>33625</v>
      </c>
      <c r="E4410" s="198">
        <v>201</v>
      </c>
      <c r="F4410" s="199" t="s">
        <v>33626</v>
      </c>
      <c r="G4410" s="1" t="s">
        <v>33627</v>
      </c>
      <c r="H4410" s="1" t="s">
        <v>33628</v>
      </c>
      <c r="I4410" s="346"/>
      <c r="J4410" s="39">
        <v>104550</v>
      </c>
      <c r="K4410" s="36" t="str">
        <f>CONCATENATE(Cover!$D$6,"fdd/view?i=",J4410)</f>
        <v>https://www.dgiwg.org/FAD/fdd/view?i=104550</v>
      </c>
      <c r="L4410" s="36" t="s">
        <v>33629</v>
      </c>
      <c r="M4410" s="186"/>
      <c r="N4410" s="186"/>
      <c r="O4410" s="172"/>
    </row>
    <row r="4411" spans="1:15" ht="38.25" x14ac:dyDescent="0.2">
      <c r="A4411" s="197" t="str">
        <f t="shared" si="68"/>
        <v>HzdCode_rome1940</v>
      </c>
      <c r="B4411" s="409"/>
      <c r="C4411" s="416"/>
      <c r="D4411" s="198" t="s">
        <v>33630</v>
      </c>
      <c r="E4411" s="198">
        <v>163</v>
      </c>
      <c r="F4411" s="199" t="s">
        <v>33631</v>
      </c>
      <c r="G4411" s="1" t="s">
        <v>33632</v>
      </c>
      <c r="H4411" s="1" t="s">
        <v>32591</v>
      </c>
      <c r="I4411" s="346"/>
      <c r="J4411" s="39">
        <v>104512</v>
      </c>
      <c r="K4411" s="36" t="str">
        <f>CONCATENATE(Cover!$D$6,"fdd/view?i=",J4411)</f>
        <v>https://www.dgiwg.org/FAD/fdd/view?i=104512</v>
      </c>
      <c r="L4411" s="36" t="s">
        <v>33633</v>
      </c>
      <c r="M4411" s="186"/>
      <c r="N4411" s="186"/>
      <c r="O4411" s="172"/>
    </row>
    <row r="4412" spans="1:15" ht="38.25" x14ac:dyDescent="0.2">
      <c r="A4412" s="197" t="str">
        <f t="shared" si="68"/>
        <v>HzdCode_rome1940ZeroMeridianRome</v>
      </c>
      <c r="B4412" s="409"/>
      <c r="C4412" s="416"/>
      <c r="D4412" s="198" t="s">
        <v>33634</v>
      </c>
      <c r="E4412" s="198">
        <v>164</v>
      </c>
      <c r="F4412" s="199" t="s">
        <v>33635</v>
      </c>
      <c r="G4412" s="1" t="s">
        <v>33636</v>
      </c>
      <c r="H4412" s="1" t="s">
        <v>32591</v>
      </c>
      <c r="I4412" s="346"/>
      <c r="J4412" s="39">
        <v>104513</v>
      </c>
      <c r="K4412" s="36" t="str">
        <f>CONCATENATE(Cover!$D$6,"fdd/view?i=",J4412)</f>
        <v>https://www.dgiwg.org/FAD/fdd/view?i=104513</v>
      </c>
      <c r="L4412" s="36" t="s">
        <v>33637</v>
      </c>
      <c r="M4412" s="186"/>
      <c r="N4412" s="186"/>
      <c r="O4412" s="172"/>
    </row>
    <row r="4413" spans="1:15" ht="25.5" x14ac:dyDescent="0.2">
      <c r="A4413" s="197" t="str">
        <f t="shared" si="68"/>
        <v>HzdCode_rt90StockholmSweden</v>
      </c>
      <c r="B4413" s="409"/>
      <c r="C4413" s="416"/>
      <c r="D4413" s="198" t="s">
        <v>33638</v>
      </c>
      <c r="E4413" s="198">
        <v>248</v>
      </c>
      <c r="F4413" s="199" t="s">
        <v>33639</v>
      </c>
      <c r="G4413" s="1" t="s">
        <v>33640</v>
      </c>
      <c r="H4413" s="1" t="s">
        <v>33641</v>
      </c>
      <c r="I4413" s="346"/>
      <c r="J4413" s="39">
        <v>104597</v>
      </c>
      <c r="K4413" s="36" t="str">
        <f>CONCATENATE(Cover!$D$6,"fdd/view?i=",J4413)</f>
        <v>https://www.dgiwg.org/FAD/fdd/view?i=104597</v>
      </c>
      <c r="L4413" s="36" t="s">
        <v>33642</v>
      </c>
      <c r="M4413" s="186"/>
      <c r="N4413" s="186"/>
      <c r="O4413" s="172"/>
    </row>
    <row r="4414" spans="1:15" ht="38.25" x14ac:dyDescent="0.2">
      <c r="A4414" s="197" t="str">
        <f t="shared" si="68"/>
        <v>HzdCode_s42Pulkovo</v>
      </c>
      <c r="B4414" s="409"/>
      <c r="C4414" s="416"/>
      <c r="D4414" s="198" t="s">
        <v>33643</v>
      </c>
      <c r="E4414" s="198">
        <v>275</v>
      </c>
      <c r="F4414" s="199" t="s">
        <v>33644</v>
      </c>
      <c r="G4414" s="1" t="s">
        <v>33645</v>
      </c>
      <c r="H4414" s="1" t="s">
        <v>32591</v>
      </c>
      <c r="I4414" s="346"/>
      <c r="J4414" s="39">
        <v>104624</v>
      </c>
      <c r="K4414" s="36" t="str">
        <f>CONCATENATE(Cover!$D$6,"fdd/view?i=",J4414)</f>
        <v>https://www.dgiwg.org/FAD/fdd/view?i=104624</v>
      </c>
      <c r="L4414" s="36" t="s">
        <v>33646</v>
      </c>
      <c r="M4414" s="186"/>
      <c r="N4414" s="186"/>
      <c r="O4414" s="172"/>
    </row>
    <row r="4415" spans="1:15" ht="38.25" x14ac:dyDescent="0.2">
      <c r="A4415" s="197" t="str">
        <f t="shared" si="68"/>
        <v>HzdCode_sainteAnneI1984Guadeloupe</v>
      </c>
      <c r="B4415" s="409"/>
      <c r="C4415" s="416"/>
      <c r="D4415" s="198" t="s">
        <v>33647</v>
      </c>
      <c r="E4415" s="198">
        <v>251</v>
      </c>
      <c r="F4415" s="199" t="s">
        <v>33648</v>
      </c>
      <c r="G4415" s="1" t="s">
        <v>33649</v>
      </c>
      <c r="H4415" s="1" t="s">
        <v>32591</v>
      </c>
      <c r="I4415" s="346"/>
      <c r="J4415" s="39">
        <v>104600</v>
      </c>
      <c r="K4415" s="36" t="str">
        <f>CONCATENATE(Cover!$D$6,"fdd/view?i=",J4415)</f>
        <v>https://www.dgiwg.org/FAD/fdd/view?i=104600</v>
      </c>
      <c r="L4415" s="36" t="s">
        <v>33650</v>
      </c>
      <c r="M4415" s="186"/>
      <c r="N4415" s="186"/>
      <c r="O4415" s="172"/>
    </row>
    <row r="4416" spans="1:15" ht="38.25" x14ac:dyDescent="0.2">
      <c r="A4416" s="197" t="str">
        <f t="shared" si="68"/>
        <v>HzdCode_santoDos1965EspiritoSanto</v>
      </c>
      <c r="B4416" s="409"/>
      <c r="C4416" s="416"/>
      <c r="D4416" s="198" t="s">
        <v>33651</v>
      </c>
      <c r="E4416" s="198">
        <v>249</v>
      </c>
      <c r="F4416" s="199" t="s">
        <v>33652</v>
      </c>
      <c r="G4416" s="1" t="s">
        <v>33653</v>
      </c>
      <c r="H4416" s="1" t="s">
        <v>32591</v>
      </c>
      <c r="I4416" s="346"/>
      <c r="J4416" s="39">
        <v>104598</v>
      </c>
      <c r="K4416" s="36" t="str">
        <f>CONCATENATE(Cover!$D$6,"fdd/view?i=",J4416)</f>
        <v>https://www.dgiwg.org/FAD/fdd/view?i=104598</v>
      </c>
      <c r="L4416" s="36" t="s">
        <v>33654</v>
      </c>
      <c r="M4416" s="186"/>
      <c r="N4416" s="186"/>
      <c r="O4416" s="172"/>
    </row>
    <row r="4417" spans="1:15" ht="38.25" x14ac:dyDescent="0.2">
      <c r="A4417" s="197" t="str">
        <f t="shared" si="68"/>
        <v>HzdCode_saoBrazSaoMiguelAzores</v>
      </c>
      <c r="B4417" s="409"/>
      <c r="C4417" s="416"/>
      <c r="D4417" s="198" t="s">
        <v>33655</v>
      </c>
      <c r="E4417" s="198">
        <v>266</v>
      </c>
      <c r="F4417" s="199" t="s">
        <v>33656</v>
      </c>
      <c r="G4417" s="1" t="s">
        <v>33657</v>
      </c>
      <c r="H4417" s="1" t="s">
        <v>32591</v>
      </c>
      <c r="I4417" s="346"/>
      <c r="J4417" s="39">
        <v>104615</v>
      </c>
      <c r="K4417" s="36" t="str">
        <f>CONCATENATE(Cover!$D$6,"fdd/view?i=",J4417)</f>
        <v>https://www.dgiwg.org/FAD/fdd/view?i=104615</v>
      </c>
      <c r="L4417" s="36" t="s">
        <v>33658</v>
      </c>
      <c r="M4417" s="186"/>
      <c r="N4417" s="186"/>
      <c r="O4417" s="172"/>
    </row>
    <row r="4418" spans="1:15" ht="38.25" x14ac:dyDescent="0.2">
      <c r="A4418" s="197" t="str">
        <f t="shared" ref="A4418:A4481" si="69">HYPERLINK(K4418,L4418)</f>
        <v>HzdCode_sapperHill1943EastFalkland</v>
      </c>
      <c r="B4418" s="409"/>
      <c r="C4418" s="416"/>
      <c r="D4418" s="198" t="s">
        <v>33659</v>
      </c>
      <c r="E4418" s="198">
        <v>267</v>
      </c>
      <c r="F4418" s="199" t="s">
        <v>33660</v>
      </c>
      <c r="G4418" s="1" t="s">
        <v>33661</v>
      </c>
      <c r="H4418" s="1" t="s">
        <v>32591</v>
      </c>
      <c r="I4418" s="346"/>
      <c r="J4418" s="39">
        <v>104616</v>
      </c>
      <c r="K4418" s="36" t="str">
        <f>CONCATENATE(Cover!$D$6,"fdd/view?i=",J4418)</f>
        <v>https://www.dgiwg.org/FAD/fdd/view?i=104616</v>
      </c>
      <c r="L4418" s="36" t="s">
        <v>33662</v>
      </c>
      <c r="M4418" s="186"/>
      <c r="N4418" s="186"/>
      <c r="O4418" s="172"/>
    </row>
    <row r="4419" spans="1:15" ht="38.25" x14ac:dyDescent="0.2">
      <c r="A4419" s="197" t="str">
        <f t="shared" si="69"/>
        <v>HzdCode_schwarzeckNamibia</v>
      </c>
      <c r="B4419" s="409"/>
      <c r="C4419" s="416"/>
      <c r="D4419" s="198" t="s">
        <v>33663</v>
      </c>
      <c r="E4419" s="198">
        <v>268</v>
      </c>
      <c r="F4419" s="199" t="s">
        <v>33664</v>
      </c>
      <c r="G4419" s="1" t="s">
        <v>33665</v>
      </c>
      <c r="H4419" s="1" t="s">
        <v>32591</v>
      </c>
      <c r="I4419" s="346"/>
      <c r="J4419" s="39">
        <v>104617</v>
      </c>
      <c r="K4419" s="36" t="str">
        <f>CONCATENATE(Cover!$D$6,"fdd/view?i=",J4419)</f>
        <v>https://www.dgiwg.org/FAD/fdd/view?i=104617</v>
      </c>
      <c r="L4419" s="36" t="s">
        <v>33666</v>
      </c>
      <c r="M4419" s="186"/>
      <c r="N4419" s="186"/>
      <c r="O4419" s="172"/>
    </row>
    <row r="4420" spans="1:15" ht="38.25" x14ac:dyDescent="0.2">
      <c r="A4420" s="197" t="str">
        <f t="shared" si="69"/>
        <v>HzdCode_seBasePortoSanto</v>
      </c>
      <c r="B4420" s="409"/>
      <c r="C4420" s="416"/>
      <c r="D4420" s="198" t="s">
        <v>33667</v>
      </c>
      <c r="E4420" s="198">
        <v>228</v>
      </c>
      <c r="F4420" s="199" t="s">
        <v>33668</v>
      </c>
      <c r="G4420" s="1" t="s">
        <v>33669</v>
      </c>
      <c r="H4420" s="1" t="s">
        <v>32591</v>
      </c>
      <c r="I4420" s="346"/>
      <c r="J4420" s="39">
        <v>104577</v>
      </c>
      <c r="K4420" s="36" t="str">
        <f>CONCATENATE(Cover!$D$6,"fdd/view?i=",J4420)</f>
        <v>https://www.dgiwg.org/FAD/fdd/view?i=104577</v>
      </c>
      <c r="L4420" s="36" t="s">
        <v>33670</v>
      </c>
      <c r="M4420" s="186"/>
      <c r="N4420" s="186"/>
      <c r="O4420" s="172"/>
    </row>
    <row r="4421" spans="1:15" ht="38.25" x14ac:dyDescent="0.2">
      <c r="A4421" s="197" t="str">
        <f t="shared" si="69"/>
        <v>HzdCode_selvagemGrande1938Salvage</v>
      </c>
      <c r="B4421" s="409"/>
      <c r="C4421" s="416"/>
      <c r="D4421" s="198" t="s">
        <v>33671</v>
      </c>
      <c r="E4421" s="198">
        <v>271</v>
      </c>
      <c r="F4421" s="199" t="s">
        <v>33672</v>
      </c>
      <c r="G4421" s="1" t="s">
        <v>33673</v>
      </c>
      <c r="H4421" s="1" t="s">
        <v>32591</v>
      </c>
      <c r="I4421" s="346"/>
      <c r="J4421" s="39">
        <v>104620</v>
      </c>
      <c r="K4421" s="36" t="str">
        <f>CONCATENATE(Cover!$D$6,"fdd/view?i=",J4421)</f>
        <v>https://www.dgiwg.org/FAD/fdd/view?i=104620</v>
      </c>
      <c r="L4421" s="36" t="s">
        <v>33674</v>
      </c>
      <c r="M4421" s="186"/>
      <c r="N4421" s="186"/>
      <c r="O4421" s="172"/>
    </row>
    <row r="4422" spans="1:15" ht="38.25" x14ac:dyDescent="0.2">
      <c r="A4422" s="197" t="str">
        <f t="shared" si="69"/>
        <v>HzdCode_sierraLeone1960</v>
      </c>
      <c r="B4422" s="409"/>
      <c r="C4422" s="416"/>
      <c r="D4422" s="198" t="s">
        <v>33675</v>
      </c>
      <c r="E4422" s="198">
        <v>273</v>
      </c>
      <c r="F4422" s="199" t="s">
        <v>33676</v>
      </c>
      <c r="G4422" s="1" t="s">
        <v>33677</v>
      </c>
      <c r="H4422" s="1" t="s">
        <v>32591</v>
      </c>
      <c r="I4422" s="346"/>
      <c r="J4422" s="39">
        <v>104622</v>
      </c>
      <c r="K4422" s="36" t="str">
        <f>CONCATENATE(Cover!$D$6,"fdd/view?i=",J4422)</f>
        <v>https://www.dgiwg.org/FAD/fdd/view?i=104622</v>
      </c>
      <c r="L4422" s="36" t="s">
        <v>33678</v>
      </c>
      <c r="M4422" s="186"/>
      <c r="N4422" s="186"/>
      <c r="O4422" s="172"/>
    </row>
    <row r="4423" spans="1:15" ht="38.25" x14ac:dyDescent="0.2">
      <c r="A4423" s="197" t="str">
        <f t="shared" si="69"/>
        <v>HzdCode_sirgas</v>
      </c>
      <c r="B4423" s="409"/>
      <c r="C4423" s="416"/>
      <c r="D4423" s="198" t="s">
        <v>33745</v>
      </c>
      <c r="E4423" s="198">
        <v>307</v>
      </c>
      <c r="F4423" s="199" t="s">
        <v>33746</v>
      </c>
      <c r="G4423" s="1" t="s">
        <v>33747</v>
      </c>
      <c r="H4423" s="1" t="s">
        <v>32591</v>
      </c>
      <c r="I4423" s="346"/>
      <c r="J4423" s="39">
        <v>119099</v>
      </c>
      <c r="K4423" s="36" t="str">
        <f>CONCATENATE(Cover!$D$6,"fdd/view?i=",J4423)</f>
        <v>https://www.dgiwg.org/FAD/fdd/view?i=119099</v>
      </c>
      <c r="L4423" s="36" t="s">
        <v>33748</v>
      </c>
      <c r="M4423" s="186"/>
      <c r="N4423" s="186"/>
      <c r="O4423" s="172"/>
    </row>
    <row r="4424" spans="1:15" ht="76.5" x14ac:dyDescent="0.2">
      <c r="A4424" s="197" t="str">
        <f t="shared" si="69"/>
        <v>HzdCode_sJtsk</v>
      </c>
      <c r="B4424" s="409"/>
      <c r="C4424" s="416"/>
      <c r="D4424" s="198" t="s">
        <v>33679</v>
      </c>
      <c r="E4424" s="198">
        <v>59</v>
      </c>
      <c r="F4424" s="199" t="s">
        <v>33680</v>
      </c>
      <c r="G4424" s="1" t="s">
        <v>33681</v>
      </c>
      <c r="H4424" s="1" t="s">
        <v>33682</v>
      </c>
      <c r="I4424" s="346"/>
      <c r="J4424" s="39">
        <v>104408</v>
      </c>
      <c r="K4424" s="36" t="str">
        <f>CONCATENATE(Cover!$D$6,"fdd/view?i=",J4424)</f>
        <v>https://www.dgiwg.org/FAD/fdd/view?i=104408</v>
      </c>
      <c r="L4424" s="36" t="s">
        <v>33683</v>
      </c>
      <c r="M4424" s="186"/>
      <c r="N4424" s="186"/>
      <c r="O4424" s="172"/>
    </row>
    <row r="4425" spans="1:15" ht="38.25" x14ac:dyDescent="0.2">
      <c r="A4425" s="197" t="str">
        <f t="shared" si="69"/>
        <v>HzdCode_southAfricanSouthAfrica</v>
      </c>
      <c r="B4425" s="409"/>
      <c r="C4425" s="416"/>
      <c r="D4425" s="198" t="s">
        <v>33684</v>
      </c>
      <c r="E4425" s="198">
        <v>250</v>
      </c>
      <c r="F4425" s="199" t="s">
        <v>33685</v>
      </c>
      <c r="G4425" s="1" t="s">
        <v>33686</v>
      </c>
      <c r="H4425" s="1" t="s">
        <v>32591</v>
      </c>
      <c r="I4425" s="346"/>
      <c r="J4425" s="39">
        <v>104599</v>
      </c>
      <c r="K4425" s="36" t="str">
        <f>CONCATENATE(Cover!$D$6,"fdd/view?i=",J4425)</f>
        <v>https://www.dgiwg.org/FAD/fdd/view?i=104599</v>
      </c>
      <c r="L4425" s="36" t="s">
        <v>33687</v>
      </c>
      <c r="M4425" s="186"/>
      <c r="N4425" s="186"/>
      <c r="O4425" s="172"/>
    </row>
    <row r="4426" spans="1:15" ht="25.5" x14ac:dyDescent="0.2">
      <c r="A4426" s="197" t="str">
        <f t="shared" si="69"/>
        <v>HzdCode_southAmerican1969</v>
      </c>
      <c r="B4426" s="409"/>
      <c r="C4426" s="416"/>
      <c r="D4426" s="198" t="s">
        <v>33688</v>
      </c>
      <c r="E4426" s="198">
        <v>252</v>
      </c>
      <c r="F4426" s="199" t="s">
        <v>33689</v>
      </c>
      <c r="G4426" s="1" t="s">
        <v>33690</v>
      </c>
      <c r="H4426" s="1" t="s">
        <v>33691</v>
      </c>
      <c r="I4426" s="346"/>
      <c r="J4426" s="39">
        <v>104601</v>
      </c>
      <c r="K4426" s="36" t="str">
        <f>CONCATENATE(Cover!$D$6,"fdd/view?i=",J4426)</f>
        <v>https://www.dgiwg.org/FAD/fdd/view?i=104601</v>
      </c>
      <c r="L4426" s="36" t="s">
        <v>33692</v>
      </c>
      <c r="M4426" s="186"/>
      <c r="N4426" s="186"/>
      <c r="O4426" s="172"/>
    </row>
    <row r="4427" spans="1:15" ht="38.25" x14ac:dyDescent="0.2">
      <c r="A4427" s="197" t="str">
        <f t="shared" si="69"/>
        <v>HzdCode_southAmerican1969Argentina</v>
      </c>
      <c r="B4427" s="409"/>
      <c r="C4427" s="416"/>
      <c r="D4427" s="198" t="s">
        <v>33693</v>
      </c>
      <c r="E4427" s="198">
        <v>253</v>
      </c>
      <c r="F4427" s="199" t="s">
        <v>33694</v>
      </c>
      <c r="G4427" s="1" t="s">
        <v>33695</v>
      </c>
      <c r="H4427" s="1" t="s">
        <v>32591</v>
      </c>
      <c r="I4427" s="346"/>
      <c r="J4427" s="39">
        <v>104602</v>
      </c>
      <c r="K4427" s="36" t="str">
        <f>CONCATENATE(Cover!$D$6,"fdd/view?i=",J4427)</f>
        <v>https://www.dgiwg.org/FAD/fdd/view?i=104602</v>
      </c>
      <c r="L4427" s="36" t="s">
        <v>33696</v>
      </c>
      <c r="M4427" s="186"/>
      <c r="N4427" s="186"/>
      <c r="O4427" s="172"/>
    </row>
    <row r="4428" spans="1:15" ht="38.25" x14ac:dyDescent="0.2">
      <c r="A4428" s="197" t="str">
        <f t="shared" si="69"/>
        <v>HzdCode_southAmerican1969BaltraIs</v>
      </c>
      <c r="B4428" s="409"/>
      <c r="C4428" s="416"/>
      <c r="D4428" s="198" t="s">
        <v>33697</v>
      </c>
      <c r="E4428" s="198">
        <v>262</v>
      </c>
      <c r="F4428" s="199" t="s">
        <v>33698</v>
      </c>
      <c r="G4428" s="1" t="s">
        <v>33699</v>
      </c>
      <c r="H4428" s="1" t="s">
        <v>32591</v>
      </c>
      <c r="I4428" s="346"/>
      <c r="J4428" s="39">
        <v>104611</v>
      </c>
      <c r="K4428" s="36" t="str">
        <f>CONCATENATE(Cover!$D$6,"fdd/view?i=",J4428)</f>
        <v>https://www.dgiwg.org/FAD/fdd/view?i=104611</v>
      </c>
      <c r="L4428" s="36" t="s">
        <v>33700</v>
      </c>
      <c r="M4428" s="186"/>
      <c r="N4428" s="186"/>
      <c r="O4428" s="172"/>
    </row>
    <row r="4429" spans="1:15" ht="38.25" x14ac:dyDescent="0.2">
      <c r="A4429" s="197" t="str">
        <f t="shared" si="69"/>
        <v>HzdCode_southAmerican1969Bolivia</v>
      </c>
      <c r="B4429" s="409"/>
      <c r="C4429" s="416"/>
      <c r="D4429" s="198" t="s">
        <v>33701</v>
      </c>
      <c r="E4429" s="198">
        <v>254</v>
      </c>
      <c r="F4429" s="199" t="s">
        <v>33702</v>
      </c>
      <c r="G4429" s="1" t="s">
        <v>33703</v>
      </c>
      <c r="H4429" s="1" t="s">
        <v>32591</v>
      </c>
      <c r="I4429" s="346"/>
      <c r="J4429" s="39">
        <v>104603</v>
      </c>
      <c r="K4429" s="36" t="str">
        <f>CONCATENATE(Cover!$D$6,"fdd/view?i=",J4429)</f>
        <v>https://www.dgiwg.org/FAD/fdd/view?i=104603</v>
      </c>
      <c r="L4429" s="36" t="s">
        <v>33704</v>
      </c>
      <c r="M4429" s="186"/>
      <c r="N4429" s="186"/>
      <c r="O4429" s="172"/>
    </row>
    <row r="4430" spans="1:15" ht="38.25" x14ac:dyDescent="0.2">
      <c r="A4430" s="197" t="str">
        <f t="shared" si="69"/>
        <v>HzdCode_southAmerican1969Brazil</v>
      </c>
      <c r="B4430" s="409"/>
      <c r="C4430" s="416"/>
      <c r="D4430" s="198" t="s">
        <v>33705</v>
      </c>
      <c r="E4430" s="198">
        <v>255</v>
      </c>
      <c r="F4430" s="199" t="s">
        <v>33706</v>
      </c>
      <c r="G4430" s="1" t="s">
        <v>33707</v>
      </c>
      <c r="H4430" s="1" t="s">
        <v>32591</v>
      </c>
      <c r="I4430" s="346"/>
      <c r="J4430" s="39">
        <v>104604</v>
      </c>
      <c r="K4430" s="36" t="str">
        <f>CONCATENATE(Cover!$D$6,"fdd/view?i=",J4430)</f>
        <v>https://www.dgiwg.org/FAD/fdd/view?i=104604</v>
      </c>
      <c r="L4430" s="36" t="s">
        <v>33708</v>
      </c>
      <c r="M4430" s="186"/>
      <c r="N4430" s="186"/>
      <c r="O4430" s="172"/>
    </row>
    <row r="4431" spans="1:15" ht="38.25" x14ac:dyDescent="0.2">
      <c r="A4431" s="197" t="str">
        <f t="shared" si="69"/>
        <v>HzdCode_southAmerican1969Chile</v>
      </c>
      <c r="B4431" s="409"/>
      <c r="C4431" s="416"/>
      <c r="D4431" s="198" t="s">
        <v>33709</v>
      </c>
      <c r="E4431" s="198">
        <v>256</v>
      </c>
      <c r="F4431" s="199" t="s">
        <v>33710</v>
      </c>
      <c r="G4431" s="1" t="s">
        <v>33711</v>
      </c>
      <c r="H4431" s="1" t="s">
        <v>32591</v>
      </c>
      <c r="I4431" s="346"/>
      <c r="J4431" s="39">
        <v>104605</v>
      </c>
      <c r="K4431" s="36" t="str">
        <f>CONCATENATE(Cover!$D$6,"fdd/view?i=",J4431)</f>
        <v>https://www.dgiwg.org/FAD/fdd/view?i=104605</v>
      </c>
      <c r="L4431" s="36" t="s">
        <v>33712</v>
      </c>
      <c r="M4431" s="186"/>
      <c r="N4431" s="186"/>
      <c r="O4431" s="172"/>
    </row>
    <row r="4432" spans="1:15" ht="38.25" x14ac:dyDescent="0.2">
      <c r="A4432" s="197" t="str">
        <f t="shared" si="69"/>
        <v>HzdCode_southAmerican1969Columbia</v>
      </c>
      <c r="B4432" s="409"/>
      <c r="C4432" s="416"/>
      <c r="D4432" s="198" t="s">
        <v>33713</v>
      </c>
      <c r="E4432" s="198">
        <v>257</v>
      </c>
      <c r="F4432" s="199" t="s">
        <v>33714</v>
      </c>
      <c r="G4432" s="1" t="s">
        <v>33715</v>
      </c>
      <c r="H4432" s="1" t="s">
        <v>32591</v>
      </c>
      <c r="I4432" s="346"/>
      <c r="J4432" s="39">
        <v>104606</v>
      </c>
      <c r="K4432" s="36" t="str">
        <f>CONCATENATE(Cover!$D$6,"fdd/view?i=",J4432)</f>
        <v>https://www.dgiwg.org/FAD/fdd/view?i=104606</v>
      </c>
      <c r="L4432" s="36" t="s">
        <v>33716</v>
      </c>
      <c r="M4432" s="186"/>
      <c r="N4432" s="186"/>
      <c r="O4432" s="172"/>
    </row>
    <row r="4433" spans="1:15" ht="38.25" x14ac:dyDescent="0.2">
      <c r="A4433" s="197" t="str">
        <f t="shared" si="69"/>
        <v>HzdCode_southAmerican1969Ecuador</v>
      </c>
      <c r="B4433" s="409"/>
      <c r="C4433" s="416"/>
      <c r="D4433" s="198" t="s">
        <v>33717</v>
      </c>
      <c r="E4433" s="198">
        <v>258</v>
      </c>
      <c r="F4433" s="199" t="s">
        <v>33718</v>
      </c>
      <c r="G4433" s="1" t="s">
        <v>33719</v>
      </c>
      <c r="H4433" s="1" t="s">
        <v>32591</v>
      </c>
      <c r="I4433" s="346"/>
      <c r="J4433" s="39">
        <v>104607</v>
      </c>
      <c r="K4433" s="36" t="str">
        <f>CONCATENATE(Cover!$D$6,"fdd/view?i=",J4433)</f>
        <v>https://www.dgiwg.org/FAD/fdd/view?i=104607</v>
      </c>
      <c r="L4433" s="36" t="s">
        <v>33720</v>
      </c>
      <c r="M4433" s="186"/>
      <c r="N4433" s="186"/>
      <c r="O4433" s="172"/>
    </row>
    <row r="4434" spans="1:15" ht="38.25" x14ac:dyDescent="0.2">
      <c r="A4434" s="197" t="str">
        <f t="shared" si="69"/>
        <v>HzdCode_southAmerican1969Guyana</v>
      </c>
      <c r="B4434" s="409"/>
      <c r="C4434" s="416"/>
      <c r="D4434" s="198" t="s">
        <v>33721</v>
      </c>
      <c r="E4434" s="198">
        <v>259</v>
      </c>
      <c r="F4434" s="199" t="s">
        <v>33722</v>
      </c>
      <c r="G4434" s="1" t="s">
        <v>33723</v>
      </c>
      <c r="H4434" s="1" t="s">
        <v>32591</v>
      </c>
      <c r="I4434" s="346"/>
      <c r="J4434" s="39">
        <v>104608</v>
      </c>
      <c r="K4434" s="36" t="str">
        <f>CONCATENATE(Cover!$D$6,"fdd/view?i=",J4434)</f>
        <v>https://www.dgiwg.org/FAD/fdd/view?i=104608</v>
      </c>
      <c r="L4434" s="36" t="s">
        <v>33724</v>
      </c>
      <c r="M4434" s="186"/>
      <c r="N4434" s="186"/>
      <c r="O4434" s="172"/>
    </row>
    <row r="4435" spans="1:15" ht="51" x14ac:dyDescent="0.2">
      <c r="A4435" s="197" t="str">
        <f t="shared" si="69"/>
        <v>HzdCode_southAmerican1969MeanValue</v>
      </c>
      <c r="B4435" s="409"/>
      <c r="C4435" s="416"/>
      <c r="D4435" s="198" t="s">
        <v>33725</v>
      </c>
      <c r="E4435" s="198">
        <v>265</v>
      </c>
      <c r="F4435" s="199" t="s">
        <v>33726</v>
      </c>
      <c r="G4435" s="1" t="s">
        <v>33727</v>
      </c>
      <c r="H4435" s="1" t="s">
        <v>32591</v>
      </c>
      <c r="I4435" s="346"/>
      <c r="J4435" s="39">
        <v>104614</v>
      </c>
      <c r="K4435" s="36" t="str">
        <f>CONCATENATE(Cover!$D$6,"fdd/view?i=",J4435)</f>
        <v>https://www.dgiwg.org/FAD/fdd/view?i=104614</v>
      </c>
      <c r="L4435" s="36" t="s">
        <v>33728</v>
      </c>
      <c r="M4435" s="186"/>
      <c r="N4435" s="186"/>
      <c r="O4435" s="172"/>
    </row>
    <row r="4436" spans="1:15" ht="38.25" x14ac:dyDescent="0.2">
      <c r="A4436" s="197" t="str">
        <f t="shared" si="69"/>
        <v>HzdCode_southAmerican1969Paraguay</v>
      </c>
      <c r="B4436" s="409"/>
      <c r="C4436" s="416"/>
      <c r="D4436" s="198" t="s">
        <v>33729</v>
      </c>
      <c r="E4436" s="198">
        <v>260</v>
      </c>
      <c r="F4436" s="199" t="s">
        <v>33730</v>
      </c>
      <c r="G4436" s="1" t="s">
        <v>33731</v>
      </c>
      <c r="H4436" s="1" t="s">
        <v>32591</v>
      </c>
      <c r="I4436" s="346"/>
      <c r="J4436" s="39">
        <v>104609</v>
      </c>
      <c r="K4436" s="36" t="str">
        <f>CONCATENATE(Cover!$D$6,"fdd/view?i=",J4436)</f>
        <v>https://www.dgiwg.org/FAD/fdd/view?i=104609</v>
      </c>
      <c r="L4436" s="36" t="s">
        <v>33732</v>
      </c>
      <c r="M4436" s="186"/>
      <c r="N4436" s="186"/>
      <c r="O4436" s="172"/>
    </row>
    <row r="4437" spans="1:15" ht="38.25" x14ac:dyDescent="0.2">
      <c r="A4437" s="197" t="str">
        <f t="shared" si="69"/>
        <v>HzdCode_southAmerican1969Peru</v>
      </c>
      <c r="B4437" s="409"/>
      <c r="C4437" s="416"/>
      <c r="D4437" s="198" t="s">
        <v>33733</v>
      </c>
      <c r="E4437" s="198">
        <v>261</v>
      </c>
      <c r="F4437" s="199" t="s">
        <v>33734</v>
      </c>
      <c r="G4437" s="1" t="s">
        <v>33735</v>
      </c>
      <c r="H4437" s="1" t="s">
        <v>32591</v>
      </c>
      <c r="I4437" s="346"/>
      <c r="J4437" s="39">
        <v>104610</v>
      </c>
      <c r="K4437" s="36" t="str">
        <f>CONCATENATE(Cover!$D$6,"fdd/view?i=",J4437)</f>
        <v>https://www.dgiwg.org/FAD/fdd/view?i=104610</v>
      </c>
      <c r="L4437" s="36" t="s">
        <v>33736</v>
      </c>
      <c r="M4437" s="186"/>
      <c r="N4437" s="186"/>
      <c r="O4437" s="172"/>
    </row>
    <row r="4438" spans="1:15" ht="38.25" x14ac:dyDescent="0.2">
      <c r="A4438" s="197" t="str">
        <f t="shared" si="69"/>
        <v>HzdCode_southAmerican1969Trinidad</v>
      </c>
      <c r="B4438" s="409"/>
      <c r="C4438" s="416"/>
      <c r="D4438" s="198" t="s">
        <v>33737</v>
      </c>
      <c r="E4438" s="198">
        <v>263</v>
      </c>
      <c r="F4438" s="199" t="s">
        <v>33738</v>
      </c>
      <c r="G4438" s="1" t="s">
        <v>33739</v>
      </c>
      <c r="H4438" s="1" t="s">
        <v>32591</v>
      </c>
      <c r="I4438" s="346"/>
      <c r="J4438" s="39">
        <v>104612</v>
      </c>
      <c r="K4438" s="36" t="str">
        <f>CONCATENATE(Cover!$D$6,"fdd/view?i=",J4438)</f>
        <v>https://www.dgiwg.org/FAD/fdd/view?i=104612</v>
      </c>
      <c r="L4438" s="36" t="s">
        <v>33740</v>
      </c>
      <c r="M4438" s="186"/>
      <c r="N4438" s="186"/>
      <c r="O4438" s="172"/>
    </row>
    <row r="4439" spans="1:15" ht="38.25" x14ac:dyDescent="0.2">
      <c r="A4439" s="197" t="str">
        <f t="shared" si="69"/>
        <v>HzdCode_southAmerican1969Venezuela</v>
      </c>
      <c r="B4439" s="409"/>
      <c r="C4439" s="416"/>
      <c r="D4439" s="198" t="s">
        <v>33741</v>
      </c>
      <c r="E4439" s="198">
        <v>264</v>
      </c>
      <c r="F4439" s="199" t="s">
        <v>33742</v>
      </c>
      <c r="G4439" s="1" t="s">
        <v>33743</v>
      </c>
      <c r="H4439" s="1" t="s">
        <v>32591</v>
      </c>
      <c r="I4439" s="346"/>
      <c r="J4439" s="39">
        <v>104613</v>
      </c>
      <c r="K4439" s="36" t="str">
        <f>CONCATENATE(Cover!$D$6,"fdd/view?i=",J4439)</f>
        <v>https://www.dgiwg.org/FAD/fdd/view?i=104613</v>
      </c>
      <c r="L4439" s="36" t="s">
        <v>33744</v>
      </c>
      <c r="M4439" s="186"/>
      <c r="N4439" s="186"/>
      <c r="O4439" s="172"/>
    </row>
    <row r="4440" spans="1:15" ht="38.25" x14ac:dyDescent="0.2">
      <c r="A4440" s="197" t="str">
        <f t="shared" si="69"/>
        <v>HzdCode_southAsiaSingapore</v>
      </c>
      <c r="B4440" s="409"/>
      <c r="C4440" s="416"/>
      <c r="D4440" s="198" t="s">
        <v>33749</v>
      </c>
      <c r="E4440" s="198">
        <v>274</v>
      </c>
      <c r="F4440" s="199" t="s">
        <v>33750</v>
      </c>
      <c r="G4440" s="1" t="s">
        <v>33751</v>
      </c>
      <c r="H4440" s="1" t="s">
        <v>32591</v>
      </c>
      <c r="I4440" s="346"/>
      <c r="J4440" s="39">
        <v>104623</v>
      </c>
      <c r="K4440" s="36" t="str">
        <f>CONCATENATE(Cover!$D$6,"fdd/view?i=",J4440)</f>
        <v>https://www.dgiwg.org/FAD/fdd/view?i=104623</v>
      </c>
      <c r="L4440" s="36" t="s">
        <v>33752</v>
      </c>
      <c r="M4440" s="186"/>
      <c r="N4440" s="186"/>
      <c r="O4440" s="172"/>
    </row>
    <row r="4441" spans="1:15" ht="38.25" x14ac:dyDescent="0.2">
      <c r="A4441" s="197" t="str">
        <f t="shared" si="69"/>
        <v>HzdCode_sovietGeodeticSystem1985</v>
      </c>
      <c r="B4441" s="409"/>
      <c r="C4441" s="416"/>
      <c r="D4441" s="198" t="s">
        <v>33753</v>
      </c>
      <c r="E4441" s="198">
        <v>269</v>
      </c>
      <c r="F4441" s="199" t="s">
        <v>33754</v>
      </c>
      <c r="G4441" s="1" t="s">
        <v>33755</v>
      </c>
      <c r="H4441" s="1" t="s">
        <v>32591</v>
      </c>
      <c r="I4441" s="346"/>
      <c r="J4441" s="39">
        <v>104618</v>
      </c>
      <c r="K4441" s="36" t="str">
        <f>CONCATENATE(Cover!$D$6,"fdd/view?i=",J4441)</f>
        <v>https://www.dgiwg.org/FAD/fdd/view?i=104618</v>
      </c>
      <c r="L4441" s="36" t="s">
        <v>33756</v>
      </c>
      <c r="M4441" s="186"/>
      <c r="N4441" s="186"/>
      <c r="O4441" s="172"/>
    </row>
    <row r="4442" spans="1:15" ht="38.25" x14ac:dyDescent="0.2">
      <c r="A4442" s="197" t="str">
        <f t="shared" si="69"/>
        <v>HzdCode_sovietGeodeticSystem1990</v>
      </c>
      <c r="B4442" s="409"/>
      <c r="C4442" s="416"/>
      <c r="D4442" s="198" t="s">
        <v>33757</v>
      </c>
      <c r="E4442" s="198">
        <v>270</v>
      </c>
      <c r="F4442" s="199" t="s">
        <v>33758</v>
      </c>
      <c r="G4442" s="1" t="s">
        <v>33759</v>
      </c>
      <c r="H4442" s="1" t="s">
        <v>32591</v>
      </c>
      <c r="I4442" s="346"/>
      <c r="J4442" s="39">
        <v>104619</v>
      </c>
      <c r="K4442" s="36" t="str">
        <f>CONCATENATE(Cover!$D$6,"fdd/view?i=",J4442)</f>
        <v>https://www.dgiwg.org/FAD/fdd/view?i=104619</v>
      </c>
      <c r="L4442" s="36" t="s">
        <v>33760</v>
      </c>
      <c r="M4442" s="186"/>
      <c r="N4442" s="186"/>
      <c r="O4442" s="172"/>
    </row>
    <row r="4443" spans="1:15" ht="38.25" x14ac:dyDescent="0.2">
      <c r="A4443" s="197" t="str">
        <f t="shared" si="69"/>
        <v>HzdCode_stockholm1938Sweden</v>
      </c>
      <c r="B4443" s="409"/>
      <c r="C4443" s="416"/>
      <c r="D4443" s="198" t="s">
        <v>33766</v>
      </c>
      <c r="E4443" s="198">
        <v>277</v>
      </c>
      <c r="F4443" s="199" t="s">
        <v>33767</v>
      </c>
      <c r="G4443" s="1" t="s">
        <v>33768</v>
      </c>
      <c r="H4443" s="1" t="s">
        <v>32591</v>
      </c>
      <c r="I4443" s="346"/>
      <c r="J4443" s="39">
        <v>104626</v>
      </c>
      <c r="K4443" s="36" t="str">
        <f>CONCATENATE(Cover!$D$6,"fdd/view?i=",J4443)</f>
        <v>https://www.dgiwg.org/FAD/fdd/view?i=104626</v>
      </c>
      <c r="L4443" s="36" t="s">
        <v>33769</v>
      </c>
      <c r="M4443" s="186"/>
      <c r="N4443" s="186"/>
      <c r="O4443" s="172"/>
    </row>
    <row r="4444" spans="1:15" ht="25.5" x14ac:dyDescent="0.2">
      <c r="A4444" s="197" t="str">
        <f t="shared" si="69"/>
        <v>HzdCode_stPierreetMiquelon1950</v>
      </c>
      <c r="B4444" s="409"/>
      <c r="C4444" s="416"/>
      <c r="D4444" s="198" t="s">
        <v>33761</v>
      </c>
      <c r="E4444" s="198">
        <v>276</v>
      </c>
      <c r="F4444" s="199" t="s">
        <v>33762</v>
      </c>
      <c r="G4444" s="1" t="s">
        <v>33763</v>
      </c>
      <c r="H4444" s="1" t="s">
        <v>33764</v>
      </c>
      <c r="I4444" s="346"/>
      <c r="J4444" s="39">
        <v>104625</v>
      </c>
      <c r="K4444" s="36" t="str">
        <f>CONCATENATE(Cover!$D$6,"fdd/view?i=",J4444)</f>
        <v>https://www.dgiwg.org/FAD/fdd/view?i=104625</v>
      </c>
      <c r="L4444" s="36" t="s">
        <v>33765</v>
      </c>
      <c r="M4444" s="186"/>
      <c r="N4444" s="186"/>
      <c r="O4444" s="172"/>
    </row>
    <row r="4445" spans="1:15" ht="38.25" x14ac:dyDescent="0.2">
      <c r="A4445" s="197" t="str">
        <f t="shared" si="69"/>
        <v>HzdCode_sydneyObservatoryNewSouth</v>
      </c>
      <c r="B4445" s="409"/>
      <c r="C4445" s="416"/>
      <c r="D4445" s="198" t="s">
        <v>33770</v>
      </c>
      <c r="E4445" s="198">
        <v>278</v>
      </c>
      <c r="F4445" s="199" t="s">
        <v>33771</v>
      </c>
      <c r="G4445" s="1" t="s">
        <v>33772</v>
      </c>
      <c r="H4445" s="1" t="s">
        <v>33773</v>
      </c>
      <c r="I4445" s="346"/>
      <c r="J4445" s="39">
        <v>104627</v>
      </c>
      <c r="K4445" s="36" t="str">
        <f>CONCATENATE(Cover!$D$6,"fdd/view?i=",J4445)</f>
        <v>https://www.dgiwg.org/FAD/fdd/view?i=104627</v>
      </c>
      <c r="L4445" s="36" t="s">
        <v>33774</v>
      </c>
      <c r="M4445" s="186"/>
      <c r="N4445" s="186"/>
      <c r="O4445" s="172"/>
    </row>
    <row r="4446" spans="1:15" ht="38.25" x14ac:dyDescent="0.2">
      <c r="A4446" s="197" t="str">
        <f t="shared" si="69"/>
        <v>HzdCode_tananariveObs1925ZerMerPar</v>
      </c>
      <c r="B4446" s="409"/>
      <c r="C4446" s="416"/>
      <c r="D4446" s="198" t="s">
        <v>33779</v>
      </c>
      <c r="E4446" s="198">
        <v>280</v>
      </c>
      <c r="F4446" s="199" t="s">
        <v>33780</v>
      </c>
      <c r="G4446" s="1" t="s">
        <v>33781</v>
      </c>
      <c r="H4446" s="1" t="s">
        <v>32591</v>
      </c>
      <c r="I4446" s="346"/>
      <c r="J4446" s="39">
        <v>104629</v>
      </c>
      <c r="K4446" s="36" t="str">
        <f>CONCATENATE(Cover!$D$6,"fdd/view?i=",J4446)</f>
        <v>https://www.dgiwg.org/FAD/fdd/view?i=104629</v>
      </c>
      <c r="L4446" s="36" t="s">
        <v>33782</v>
      </c>
      <c r="M4446" s="186"/>
      <c r="N4446" s="186"/>
      <c r="O4446" s="172"/>
    </row>
    <row r="4447" spans="1:15" ht="38.25" x14ac:dyDescent="0.2">
      <c r="A4447" s="197" t="str">
        <f t="shared" si="69"/>
        <v>HzdCode_tananariveObservatory1925</v>
      </c>
      <c r="B4447" s="409"/>
      <c r="C4447" s="416"/>
      <c r="D4447" s="198" t="s">
        <v>33775</v>
      </c>
      <c r="E4447" s="198">
        <v>279</v>
      </c>
      <c r="F4447" s="199" t="s">
        <v>33776</v>
      </c>
      <c r="G4447" s="1" t="s">
        <v>33777</v>
      </c>
      <c r="H4447" s="1" t="s">
        <v>32591</v>
      </c>
      <c r="I4447" s="346"/>
      <c r="J4447" s="39">
        <v>104628</v>
      </c>
      <c r="K4447" s="36" t="str">
        <f>CONCATENATE(Cover!$D$6,"fdd/view?i=",J4447)</f>
        <v>https://www.dgiwg.org/FAD/fdd/view?i=104628</v>
      </c>
      <c r="L4447" s="36" t="s">
        <v>33778</v>
      </c>
      <c r="M4447" s="186"/>
      <c r="N4447" s="186"/>
      <c r="O4447" s="172"/>
    </row>
    <row r="4448" spans="1:15" ht="38.25" x14ac:dyDescent="0.2">
      <c r="A4448" s="197" t="str">
        <f t="shared" si="69"/>
        <v>HzdCode_timbalai1948BruneiMalaysia</v>
      </c>
      <c r="B4448" s="409"/>
      <c r="C4448" s="416"/>
      <c r="D4448" s="198" t="s">
        <v>33783</v>
      </c>
      <c r="E4448" s="198">
        <v>282</v>
      </c>
      <c r="F4448" s="199" t="s">
        <v>33784</v>
      </c>
      <c r="G4448" s="1" t="s">
        <v>33785</v>
      </c>
      <c r="H4448" s="1" t="s">
        <v>32591</v>
      </c>
      <c r="I4448" s="346"/>
      <c r="J4448" s="39">
        <v>104631</v>
      </c>
      <c r="K4448" s="36" t="str">
        <f>CONCATENATE(Cover!$D$6,"fdd/view?i=",J4448)</f>
        <v>https://www.dgiwg.org/FAD/fdd/view?i=104631</v>
      </c>
      <c r="L4448" s="36" t="s">
        <v>33786</v>
      </c>
      <c r="M4448" s="186"/>
      <c r="N4448" s="186"/>
      <c r="O4448" s="172"/>
    </row>
    <row r="4449" spans="1:15" ht="25.5" x14ac:dyDescent="0.2">
      <c r="A4449" s="197" t="str">
        <f t="shared" si="69"/>
        <v>HzdCode_timbalai1968</v>
      </c>
      <c r="B4449" s="409"/>
      <c r="C4449" s="416"/>
      <c r="D4449" s="198" t="s">
        <v>33787</v>
      </c>
      <c r="E4449" s="198">
        <v>283</v>
      </c>
      <c r="F4449" s="199" t="s">
        <v>33788</v>
      </c>
      <c r="G4449" s="1" t="s">
        <v>33789</v>
      </c>
      <c r="H4449" s="1" t="s">
        <v>33790</v>
      </c>
      <c r="I4449" s="346"/>
      <c r="J4449" s="39">
        <v>104632</v>
      </c>
      <c r="K4449" s="36" t="str">
        <f>CONCATENATE(Cover!$D$6,"fdd/view?i=",J4449)</f>
        <v>https://www.dgiwg.org/FAD/fdd/view?i=104632</v>
      </c>
      <c r="L4449" s="36" t="s">
        <v>33791</v>
      </c>
      <c r="M4449" s="186"/>
      <c r="N4449" s="186"/>
      <c r="O4449" s="172"/>
    </row>
    <row r="4450" spans="1:15" ht="25.5" x14ac:dyDescent="0.2">
      <c r="A4450" s="197" t="str">
        <f t="shared" si="69"/>
        <v>HzdCode_tokyo</v>
      </c>
      <c r="B4450" s="409"/>
      <c r="C4450" s="416"/>
      <c r="D4450" s="198" t="s">
        <v>33792</v>
      </c>
      <c r="E4450" s="198">
        <v>284</v>
      </c>
      <c r="F4450" s="199" t="s">
        <v>33793</v>
      </c>
      <c r="G4450" s="1" t="s">
        <v>33794</v>
      </c>
      <c r="H4450" s="1" t="s">
        <v>33795</v>
      </c>
      <c r="I4450" s="346"/>
      <c r="J4450" s="39">
        <v>104633</v>
      </c>
      <c r="K4450" s="36" t="str">
        <f>CONCATENATE(Cover!$D$6,"fdd/view?i=",J4450)</f>
        <v>https://www.dgiwg.org/FAD/fdd/view?i=104633</v>
      </c>
      <c r="L4450" s="36" t="s">
        <v>33796</v>
      </c>
      <c r="M4450" s="186"/>
      <c r="N4450" s="186"/>
      <c r="O4450" s="172"/>
    </row>
    <row r="4451" spans="1:15" ht="38.25" x14ac:dyDescent="0.2">
      <c r="A4451" s="197" t="str">
        <f t="shared" si="69"/>
        <v>HzdCode_tokyoJapan</v>
      </c>
      <c r="B4451" s="409"/>
      <c r="C4451" s="416"/>
      <c r="D4451" s="198" t="s">
        <v>33797</v>
      </c>
      <c r="E4451" s="198">
        <v>285</v>
      </c>
      <c r="F4451" s="199" t="s">
        <v>33798</v>
      </c>
      <c r="G4451" s="1" t="s">
        <v>33799</v>
      </c>
      <c r="H4451" s="1" t="s">
        <v>32591</v>
      </c>
      <c r="I4451" s="346"/>
      <c r="J4451" s="39">
        <v>104634</v>
      </c>
      <c r="K4451" s="36" t="str">
        <f>CONCATENATE(Cover!$D$6,"fdd/view?i=",J4451)</f>
        <v>https://www.dgiwg.org/FAD/fdd/view?i=104634</v>
      </c>
      <c r="L4451" s="36" t="s">
        <v>33800</v>
      </c>
      <c r="M4451" s="186"/>
      <c r="N4451" s="186"/>
      <c r="O4451" s="172"/>
    </row>
    <row r="4452" spans="1:15" ht="38.25" x14ac:dyDescent="0.2">
      <c r="A4452" s="197" t="str">
        <f t="shared" si="69"/>
        <v>HzdCode_tokyoKorea</v>
      </c>
      <c r="B4452" s="409"/>
      <c r="C4452" s="416"/>
      <c r="D4452" s="198" t="s">
        <v>33801</v>
      </c>
      <c r="E4452" s="198">
        <v>286</v>
      </c>
      <c r="F4452" s="199" t="s">
        <v>33802</v>
      </c>
      <c r="G4452" s="1" t="s">
        <v>33803</v>
      </c>
      <c r="H4452" s="1" t="s">
        <v>32591</v>
      </c>
      <c r="I4452" s="346"/>
      <c r="J4452" s="39">
        <v>104635</v>
      </c>
      <c r="K4452" s="36" t="str">
        <f>CONCATENATE(Cover!$D$6,"fdd/view?i=",J4452)</f>
        <v>https://www.dgiwg.org/FAD/fdd/view?i=104635</v>
      </c>
      <c r="L4452" s="36" t="s">
        <v>33804</v>
      </c>
      <c r="M4452" s="186"/>
      <c r="N4452" s="186"/>
      <c r="O4452" s="172"/>
    </row>
    <row r="4453" spans="1:15" ht="38.25" x14ac:dyDescent="0.2">
      <c r="A4453" s="197" t="str">
        <f t="shared" si="69"/>
        <v>HzdCode_tokyoKoreaCycle1</v>
      </c>
      <c r="B4453" s="409"/>
      <c r="C4453" s="416"/>
      <c r="D4453" s="198" t="s">
        <v>33805</v>
      </c>
      <c r="E4453" s="198">
        <v>315</v>
      </c>
      <c r="F4453" s="199" t="s">
        <v>33806</v>
      </c>
      <c r="G4453" s="1" t="s">
        <v>33807</v>
      </c>
      <c r="H4453" s="1" t="s">
        <v>32591</v>
      </c>
      <c r="I4453" s="346"/>
      <c r="J4453" s="39">
        <v>119107</v>
      </c>
      <c r="K4453" s="36" t="str">
        <f>CONCATENATE(Cover!$D$6,"fdd/view?i=",J4453)</f>
        <v>https://www.dgiwg.org/FAD/fdd/view?i=119107</v>
      </c>
      <c r="L4453" s="36" t="s">
        <v>33808</v>
      </c>
      <c r="M4453" s="186"/>
      <c r="N4453" s="186"/>
      <c r="O4453" s="172"/>
    </row>
    <row r="4454" spans="1:15" ht="38.25" x14ac:dyDescent="0.2">
      <c r="A4454" s="197" t="str">
        <f t="shared" si="69"/>
        <v>HzdCode_tokyoMeanValue</v>
      </c>
      <c r="B4454" s="409"/>
      <c r="C4454" s="416"/>
      <c r="D4454" s="198" t="s">
        <v>33809</v>
      </c>
      <c r="E4454" s="198">
        <v>288</v>
      </c>
      <c r="F4454" s="199" t="s">
        <v>33810</v>
      </c>
      <c r="G4454" s="1" t="s">
        <v>33811</v>
      </c>
      <c r="H4454" s="1" t="s">
        <v>32591</v>
      </c>
      <c r="I4454" s="346"/>
      <c r="J4454" s="39">
        <v>104637</v>
      </c>
      <c r="K4454" s="36" t="str">
        <f>CONCATENATE(Cover!$D$6,"fdd/view?i=",J4454)</f>
        <v>https://www.dgiwg.org/FAD/fdd/view?i=104637</v>
      </c>
      <c r="L4454" s="36" t="s">
        <v>33812</v>
      </c>
      <c r="M4454" s="186"/>
      <c r="N4454" s="186"/>
      <c r="O4454" s="172"/>
    </row>
    <row r="4455" spans="1:15" ht="38.25" x14ac:dyDescent="0.2">
      <c r="A4455" s="197" t="str">
        <f t="shared" si="69"/>
        <v>HzdCode_tokyoOkinawa</v>
      </c>
      <c r="B4455" s="409"/>
      <c r="C4455" s="416"/>
      <c r="D4455" s="198" t="s">
        <v>33813</v>
      </c>
      <c r="E4455" s="198">
        <v>287</v>
      </c>
      <c r="F4455" s="199" t="s">
        <v>33814</v>
      </c>
      <c r="G4455" s="1" t="s">
        <v>33815</v>
      </c>
      <c r="H4455" s="1" t="s">
        <v>32591</v>
      </c>
      <c r="I4455" s="346"/>
      <c r="J4455" s="39">
        <v>104636</v>
      </c>
      <c r="K4455" s="36" t="str">
        <f>CONCATENATE(Cover!$D$6,"fdd/view?i=",J4455)</f>
        <v>https://www.dgiwg.org/FAD/fdd/view?i=104636</v>
      </c>
      <c r="L4455" s="36" t="s">
        <v>33816</v>
      </c>
      <c r="M4455" s="186"/>
      <c r="N4455" s="186"/>
      <c r="O4455" s="172"/>
    </row>
    <row r="4456" spans="1:15" ht="25.5" x14ac:dyDescent="0.2">
      <c r="A4456" s="197" t="str">
        <f t="shared" si="69"/>
        <v>HzdCode_trinidad1903</v>
      </c>
      <c r="B4456" s="409"/>
      <c r="C4456" s="416"/>
      <c r="D4456" s="198" t="s">
        <v>33817</v>
      </c>
      <c r="E4456" s="198">
        <v>289</v>
      </c>
      <c r="F4456" s="199" t="s">
        <v>33818</v>
      </c>
      <c r="G4456" s="1" t="s">
        <v>33819</v>
      </c>
      <c r="H4456" s="1" t="s">
        <v>33820</v>
      </c>
      <c r="I4456" s="346"/>
      <c r="J4456" s="39">
        <v>104638</v>
      </c>
      <c r="K4456" s="36" t="str">
        <f>CONCATENATE(Cover!$D$6,"fdd/view?i=",J4456)</f>
        <v>https://www.dgiwg.org/FAD/fdd/view?i=104638</v>
      </c>
      <c r="L4456" s="36" t="s">
        <v>33821</v>
      </c>
      <c r="M4456" s="186"/>
      <c r="N4456" s="186"/>
      <c r="O4456" s="172"/>
    </row>
    <row r="4457" spans="1:15" ht="38.25" x14ac:dyDescent="0.2">
      <c r="A4457" s="197" t="str">
        <f t="shared" si="69"/>
        <v>HzdCode_tristanAstro1968Cunha</v>
      </c>
      <c r="B4457" s="409"/>
      <c r="C4457" s="416"/>
      <c r="D4457" s="198" t="s">
        <v>33822</v>
      </c>
      <c r="E4457" s="198">
        <v>281</v>
      </c>
      <c r="F4457" s="199" t="s">
        <v>33823</v>
      </c>
      <c r="G4457" s="1" t="s">
        <v>33824</v>
      </c>
      <c r="H4457" s="1" t="s">
        <v>32591</v>
      </c>
      <c r="I4457" s="346"/>
      <c r="J4457" s="39">
        <v>104630</v>
      </c>
      <c r="K4457" s="36" t="str">
        <f>CONCATENATE(Cover!$D$6,"fdd/view?i=",J4457)</f>
        <v>https://www.dgiwg.org/FAD/fdd/view?i=104630</v>
      </c>
      <c r="L4457" s="36" t="s">
        <v>33825</v>
      </c>
      <c r="M4457" s="186"/>
      <c r="N4457" s="186"/>
      <c r="O4457" s="172"/>
    </row>
    <row r="4458" spans="1:15" ht="25.5" x14ac:dyDescent="0.2">
      <c r="A4458" s="197" t="str">
        <f t="shared" si="69"/>
        <v>HzdCode_undeterminedorUnknown</v>
      </c>
      <c r="B4458" s="409"/>
      <c r="C4458" s="416"/>
      <c r="D4458" s="198" t="s">
        <v>33826</v>
      </c>
      <c r="E4458" s="198">
        <v>291</v>
      </c>
      <c r="F4458" s="199" t="s">
        <v>33827</v>
      </c>
      <c r="G4458" s="1" t="s">
        <v>33828</v>
      </c>
      <c r="H4458" s="200"/>
      <c r="I4458" s="346"/>
      <c r="J4458" s="39">
        <v>104640</v>
      </c>
      <c r="K4458" s="36" t="str">
        <f>CONCATENATE(Cover!$D$6,"fdd/view?i=",J4458)</f>
        <v>https://www.dgiwg.org/FAD/fdd/view?i=104640</v>
      </c>
      <c r="L4458" s="36" t="s">
        <v>33829</v>
      </c>
      <c r="M4458" s="186"/>
      <c r="N4458" s="186"/>
      <c r="O4458" s="172"/>
    </row>
    <row r="4459" spans="1:15" ht="38.25" x14ac:dyDescent="0.2">
      <c r="A4459" s="197" t="str">
        <f t="shared" si="69"/>
        <v>HzdCode_vitiLevu1916FijiIslands</v>
      </c>
      <c r="B4459" s="409"/>
      <c r="C4459" s="416"/>
      <c r="D4459" s="198" t="s">
        <v>33830</v>
      </c>
      <c r="E4459" s="198">
        <v>167</v>
      </c>
      <c r="F4459" s="199" t="s">
        <v>33831</v>
      </c>
      <c r="G4459" s="1" t="s">
        <v>33832</v>
      </c>
      <c r="H4459" s="1" t="s">
        <v>32591</v>
      </c>
      <c r="I4459" s="346"/>
      <c r="J4459" s="39">
        <v>104516</v>
      </c>
      <c r="K4459" s="36" t="str">
        <f>CONCATENATE(Cover!$D$6,"fdd/view?i=",J4459)</f>
        <v>https://www.dgiwg.org/FAD/fdd/view?i=104516</v>
      </c>
      <c r="L4459" s="36" t="s">
        <v>33833</v>
      </c>
      <c r="M4459" s="186"/>
      <c r="N4459" s="186"/>
      <c r="O4459" s="172"/>
    </row>
    <row r="4460" spans="1:15" ht="38.25" x14ac:dyDescent="0.2">
      <c r="A4460" s="197" t="str">
        <f t="shared" si="69"/>
        <v>HzdCode_voirol1875</v>
      </c>
      <c r="B4460" s="409"/>
      <c r="C4460" s="416"/>
      <c r="D4460" s="198" t="s">
        <v>33834</v>
      </c>
      <c r="E4460" s="198">
        <v>292</v>
      </c>
      <c r="F4460" s="199" t="s">
        <v>33835</v>
      </c>
      <c r="G4460" s="1" t="s">
        <v>33836</v>
      </c>
      <c r="H4460" s="1" t="s">
        <v>32591</v>
      </c>
      <c r="I4460" s="346"/>
      <c r="J4460" s="39">
        <v>104641</v>
      </c>
      <c r="K4460" s="36" t="str">
        <f>CONCATENATE(Cover!$D$6,"fdd/view?i=",J4460)</f>
        <v>https://www.dgiwg.org/FAD/fdd/view?i=104641</v>
      </c>
      <c r="L4460" s="36" t="s">
        <v>33837</v>
      </c>
      <c r="M4460" s="186"/>
      <c r="N4460" s="186"/>
      <c r="O4460" s="172"/>
    </row>
    <row r="4461" spans="1:15" ht="38.25" x14ac:dyDescent="0.2">
      <c r="A4461" s="197" t="str">
        <f t="shared" si="69"/>
        <v>HzdCode_voirol1875ZeroMeridParis</v>
      </c>
      <c r="B4461" s="409"/>
      <c r="C4461" s="416"/>
      <c r="D4461" s="198" t="s">
        <v>33838</v>
      </c>
      <c r="E4461" s="198">
        <v>293</v>
      </c>
      <c r="F4461" s="199" t="s">
        <v>33839</v>
      </c>
      <c r="G4461" s="1" t="s">
        <v>33840</v>
      </c>
      <c r="H4461" s="1" t="s">
        <v>32591</v>
      </c>
      <c r="I4461" s="346"/>
      <c r="J4461" s="39">
        <v>104642</v>
      </c>
      <c r="K4461" s="36" t="str">
        <f>CONCATENATE(Cover!$D$6,"fdd/view?i=",J4461)</f>
        <v>https://www.dgiwg.org/FAD/fdd/view?i=104642</v>
      </c>
      <c r="L4461" s="36" t="s">
        <v>33841</v>
      </c>
      <c r="M4461" s="186"/>
      <c r="N4461" s="186"/>
      <c r="O4461" s="172"/>
    </row>
    <row r="4462" spans="1:15" ht="38.25" x14ac:dyDescent="0.2">
      <c r="A4462" s="197" t="str">
        <f t="shared" si="69"/>
        <v>HzdCode_voirol1960Algeria</v>
      </c>
      <c r="B4462" s="409"/>
      <c r="C4462" s="416"/>
      <c r="D4462" s="198" t="s">
        <v>33842</v>
      </c>
      <c r="E4462" s="198">
        <v>294</v>
      </c>
      <c r="F4462" s="199" t="s">
        <v>33843</v>
      </c>
      <c r="G4462" s="1" t="s">
        <v>33844</v>
      </c>
      <c r="H4462" s="1" t="s">
        <v>32591</v>
      </c>
      <c r="I4462" s="346"/>
      <c r="J4462" s="39">
        <v>104643</v>
      </c>
      <c r="K4462" s="36" t="str">
        <f>CONCATENATE(Cover!$D$6,"fdd/view?i=",J4462)</f>
        <v>https://www.dgiwg.org/FAD/fdd/view?i=104643</v>
      </c>
      <c r="L4462" s="36" t="s">
        <v>33845</v>
      </c>
      <c r="M4462" s="186"/>
      <c r="N4462" s="186"/>
      <c r="O4462" s="172"/>
    </row>
    <row r="4463" spans="1:15" ht="38.25" x14ac:dyDescent="0.2">
      <c r="A4463" s="197" t="str">
        <f t="shared" si="69"/>
        <v>HzdCode_voirol1960ZeroMeridParis</v>
      </c>
      <c r="B4463" s="409"/>
      <c r="C4463" s="416"/>
      <c r="D4463" s="198" t="s">
        <v>33846</v>
      </c>
      <c r="E4463" s="198">
        <v>295</v>
      </c>
      <c r="F4463" s="199" t="s">
        <v>33847</v>
      </c>
      <c r="G4463" s="1" t="s">
        <v>33848</v>
      </c>
      <c r="H4463" s="1" t="s">
        <v>32591</v>
      </c>
      <c r="I4463" s="346"/>
      <c r="J4463" s="39">
        <v>104644</v>
      </c>
      <c r="K4463" s="36" t="str">
        <f>CONCATENATE(Cover!$D$6,"fdd/view?i=",J4463)</f>
        <v>https://www.dgiwg.org/FAD/fdd/view?i=104644</v>
      </c>
      <c r="L4463" s="36" t="s">
        <v>33849</v>
      </c>
      <c r="M4463" s="186"/>
      <c r="N4463" s="186"/>
      <c r="O4463" s="172"/>
    </row>
    <row r="4464" spans="1:15" ht="38.25" x14ac:dyDescent="0.2">
      <c r="A4464" s="197" t="str">
        <f t="shared" si="69"/>
        <v>HzdCode_wakeEniwetok1960MarshallIs</v>
      </c>
      <c r="B4464" s="409"/>
      <c r="C4464" s="416"/>
      <c r="D4464" s="198" t="s">
        <v>33854</v>
      </c>
      <c r="E4464" s="198">
        <v>73</v>
      </c>
      <c r="F4464" s="199" t="s">
        <v>33855</v>
      </c>
      <c r="G4464" s="1" t="s">
        <v>33856</v>
      </c>
      <c r="H4464" s="1" t="s">
        <v>32591</v>
      </c>
      <c r="I4464" s="346"/>
      <c r="J4464" s="39">
        <v>104422</v>
      </c>
      <c r="K4464" s="36" t="str">
        <f>CONCATENATE(Cover!$D$6,"fdd/view?i=",J4464)</f>
        <v>https://www.dgiwg.org/FAD/fdd/view?i=104422</v>
      </c>
      <c r="L4464" s="36" t="s">
        <v>33857</v>
      </c>
      <c r="M4464" s="186"/>
      <c r="N4464" s="186"/>
      <c r="O4464" s="172"/>
    </row>
    <row r="4465" spans="1:15" ht="38.25" x14ac:dyDescent="0.2">
      <c r="A4465" s="197" t="str">
        <f t="shared" si="69"/>
        <v>HzdCode_wakeIslandAstro1952</v>
      </c>
      <c r="B4465" s="409"/>
      <c r="C4465" s="416"/>
      <c r="D4465" s="198" t="s">
        <v>33850</v>
      </c>
      <c r="E4465" s="198">
        <v>296</v>
      </c>
      <c r="F4465" s="199" t="s">
        <v>33851</v>
      </c>
      <c r="G4465" s="1" t="s">
        <v>33852</v>
      </c>
      <c r="H4465" s="1" t="s">
        <v>32591</v>
      </c>
      <c r="I4465" s="346"/>
      <c r="J4465" s="39">
        <v>104645</v>
      </c>
      <c r="K4465" s="36" t="str">
        <f>CONCATENATE(Cover!$D$6,"fdd/view?i=",J4465)</f>
        <v>https://www.dgiwg.org/FAD/fdd/view?i=104645</v>
      </c>
      <c r="L4465" s="36" t="s">
        <v>33853</v>
      </c>
      <c r="M4465" s="186"/>
      <c r="N4465" s="186"/>
      <c r="O4465" s="172"/>
    </row>
    <row r="4466" spans="1:15" ht="38.25" x14ac:dyDescent="0.2">
      <c r="A4466" s="197" t="str">
        <f t="shared" si="69"/>
        <v>HzdCode_worldGeodeticSystem1960</v>
      </c>
      <c r="B4466" s="409"/>
      <c r="C4466" s="416"/>
      <c r="D4466" s="198" t="s">
        <v>33858</v>
      </c>
      <c r="E4466" s="198">
        <v>297</v>
      </c>
      <c r="F4466" s="199" t="s">
        <v>33859</v>
      </c>
      <c r="G4466" s="1" t="s">
        <v>33860</v>
      </c>
      <c r="H4466" s="1" t="s">
        <v>32591</v>
      </c>
      <c r="I4466" s="346"/>
      <c r="J4466" s="39">
        <v>104646</v>
      </c>
      <c r="K4466" s="36" t="str">
        <f>CONCATENATE(Cover!$D$6,"fdd/view?i=",J4466)</f>
        <v>https://www.dgiwg.org/FAD/fdd/view?i=104646</v>
      </c>
      <c r="L4466" s="36" t="s">
        <v>33861</v>
      </c>
      <c r="M4466" s="186"/>
      <c r="N4466" s="186"/>
      <c r="O4466" s="172"/>
    </row>
    <row r="4467" spans="1:15" ht="38.25" x14ac:dyDescent="0.2">
      <c r="A4467" s="197" t="str">
        <f t="shared" si="69"/>
        <v>HzdCode_worldGeodeticSystem1966</v>
      </c>
      <c r="B4467" s="409"/>
      <c r="C4467" s="416"/>
      <c r="D4467" s="198" t="s">
        <v>33862</v>
      </c>
      <c r="E4467" s="198">
        <v>298</v>
      </c>
      <c r="F4467" s="199" t="s">
        <v>33863</v>
      </c>
      <c r="G4467" s="1" t="s">
        <v>33864</v>
      </c>
      <c r="H4467" s="1" t="s">
        <v>32591</v>
      </c>
      <c r="I4467" s="346"/>
      <c r="J4467" s="39">
        <v>104647</v>
      </c>
      <c r="K4467" s="36" t="str">
        <f>CONCATENATE(Cover!$D$6,"fdd/view?i=",J4467)</f>
        <v>https://www.dgiwg.org/FAD/fdd/view?i=104647</v>
      </c>
      <c r="L4467" s="36" t="s">
        <v>33865</v>
      </c>
      <c r="M4467" s="186"/>
      <c r="N4467" s="186"/>
      <c r="O4467" s="172"/>
    </row>
    <row r="4468" spans="1:15" ht="38.25" x14ac:dyDescent="0.2">
      <c r="A4468" s="197" t="str">
        <f t="shared" si="69"/>
        <v>HzdCode_worldGeodeticSystem1972</v>
      </c>
      <c r="B4468" s="409"/>
      <c r="C4468" s="416"/>
      <c r="D4468" s="198" t="s">
        <v>33866</v>
      </c>
      <c r="E4468" s="198">
        <v>299</v>
      </c>
      <c r="F4468" s="199" t="s">
        <v>33867</v>
      </c>
      <c r="G4468" s="1" t="s">
        <v>33868</v>
      </c>
      <c r="H4468" s="1" t="s">
        <v>32591</v>
      </c>
      <c r="I4468" s="346"/>
      <c r="J4468" s="39">
        <v>104648</v>
      </c>
      <c r="K4468" s="36" t="str">
        <f>CONCATENATE(Cover!$D$6,"fdd/view?i=",J4468)</f>
        <v>https://www.dgiwg.org/FAD/fdd/view?i=104648</v>
      </c>
      <c r="L4468" s="36" t="s">
        <v>33869</v>
      </c>
      <c r="M4468" s="186"/>
      <c r="N4468" s="186"/>
      <c r="O4468" s="172"/>
    </row>
    <row r="4469" spans="1:15" ht="38.25" x14ac:dyDescent="0.2">
      <c r="A4469" s="197" t="str">
        <f t="shared" si="69"/>
        <v>HzdCode_worldGeodeticSystem1984</v>
      </c>
      <c r="B4469" s="409"/>
      <c r="C4469" s="416"/>
      <c r="D4469" s="198" t="s">
        <v>33870</v>
      </c>
      <c r="E4469" s="198">
        <v>300</v>
      </c>
      <c r="F4469" s="199" t="s">
        <v>33871</v>
      </c>
      <c r="G4469" s="1" t="s">
        <v>33872</v>
      </c>
      <c r="H4469" s="1" t="s">
        <v>32591</v>
      </c>
      <c r="I4469" s="346"/>
      <c r="J4469" s="39">
        <v>104649</v>
      </c>
      <c r="K4469" s="36" t="str">
        <f>CONCATENATE(Cover!$D$6,"fdd/view?i=",J4469)</f>
        <v>https://www.dgiwg.org/FAD/fdd/view?i=104649</v>
      </c>
      <c r="L4469" s="36" t="s">
        <v>33873</v>
      </c>
      <c r="M4469" s="186"/>
      <c r="N4469" s="186"/>
      <c r="O4469" s="172"/>
    </row>
    <row r="4470" spans="1:15" ht="38.25" x14ac:dyDescent="0.2">
      <c r="A4470" s="197" t="str">
        <f t="shared" si="69"/>
        <v>HzdCode_yacareUruguay</v>
      </c>
      <c r="B4470" s="409"/>
      <c r="C4470" s="416"/>
      <c r="D4470" s="198" t="s">
        <v>33874</v>
      </c>
      <c r="E4470" s="198">
        <v>301</v>
      </c>
      <c r="F4470" s="199" t="s">
        <v>33875</v>
      </c>
      <c r="G4470" s="1" t="s">
        <v>33876</v>
      </c>
      <c r="H4470" s="1" t="s">
        <v>32591</v>
      </c>
      <c r="I4470" s="346"/>
      <c r="J4470" s="39">
        <v>104650</v>
      </c>
      <c r="K4470" s="36" t="str">
        <f>CONCATENATE(Cover!$D$6,"fdd/view?i=",J4470)</f>
        <v>https://www.dgiwg.org/FAD/fdd/view?i=104650</v>
      </c>
      <c r="L4470" s="36" t="s">
        <v>33877</v>
      </c>
      <c r="M4470" s="186"/>
      <c r="N4470" s="186"/>
      <c r="O4470" s="172"/>
    </row>
    <row r="4471" spans="1:15" ht="38.25" x14ac:dyDescent="0.2">
      <c r="A4471" s="203" t="str">
        <f t="shared" si="69"/>
        <v>HzdCode_zanderijSurinam</v>
      </c>
      <c r="B4471" s="410"/>
      <c r="C4471" s="417"/>
      <c r="D4471" s="204" t="s">
        <v>33878</v>
      </c>
      <c r="E4471" s="204">
        <v>302</v>
      </c>
      <c r="F4471" s="205" t="s">
        <v>33879</v>
      </c>
      <c r="G4471" s="206" t="s">
        <v>33880</v>
      </c>
      <c r="H4471" s="206" t="s">
        <v>32591</v>
      </c>
      <c r="I4471" s="347"/>
      <c r="J4471" s="39">
        <v>104651</v>
      </c>
      <c r="K4471" s="36" t="str">
        <f>CONCATENATE(Cover!$D$6,"fdd/view?i=",J4471)</f>
        <v>https://www.dgiwg.org/FAD/fdd/view?i=104651</v>
      </c>
      <c r="L4471" s="36" t="s">
        <v>33881</v>
      </c>
      <c r="M4471" s="186"/>
      <c r="N4471" s="186"/>
      <c r="O4471" s="172"/>
    </row>
    <row r="4472" spans="1:15" ht="25.5" x14ac:dyDescent="0.2">
      <c r="A4472" s="190" t="str">
        <f t="shared" si="69"/>
        <v>GntCode_conventional</v>
      </c>
      <c r="B4472" s="414" t="str">
        <f>HYPERLINK("[#]Datatypes!A630:L630","GntCode")</f>
        <v>GntCode</v>
      </c>
      <c r="C4472" s="415" t="s">
        <v>15205</v>
      </c>
      <c r="D4472" s="221" t="s">
        <v>33882</v>
      </c>
      <c r="E4472" s="221">
        <v>1</v>
      </c>
      <c r="F4472" s="222" t="s">
        <v>33883</v>
      </c>
      <c r="G4472" s="223" t="s">
        <v>33884</v>
      </c>
      <c r="H4472" s="224"/>
      <c r="I4472" s="345"/>
      <c r="J4472" s="39">
        <v>112704</v>
      </c>
      <c r="K4472" s="36" t="str">
        <f>CONCATENATE(Cover!$D$6,"fdd/view?i=",J4472)</f>
        <v>https://www.dgiwg.org/FAD/fdd/view?i=112704</v>
      </c>
      <c r="L4472" s="36" t="s">
        <v>33885</v>
      </c>
      <c r="M4472" s="186"/>
      <c r="N4472" s="186"/>
      <c r="O4472" s="172"/>
    </row>
    <row r="4473" spans="1:15" ht="25.5" x14ac:dyDescent="0.2">
      <c r="A4473" s="197" t="str">
        <f t="shared" si="69"/>
        <v>GntCode_historicalOriginal</v>
      </c>
      <c r="B4473" s="409"/>
      <c r="C4473" s="416"/>
      <c r="D4473" s="198" t="s">
        <v>33886</v>
      </c>
      <c r="E4473" s="198">
        <v>9</v>
      </c>
      <c r="F4473" s="199" t="s">
        <v>33887</v>
      </c>
      <c r="G4473" s="1" t="s">
        <v>33888</v>
      </c>
      <c r="H4473" s="200"/>
      <c r="I4473" s="346"/>
      <c r="J4473" s="39">
        <v>112720</v>
      </c>
      <c r="K4473" s="36" t="str">
        <f>CONCATENATE(Cover!$D$6,"fdd/view?i=",J4473)</f>
        <v>https://www.dgiwg.org/FAD/fdd/view?i=112720</v>
      </c>
      <c r="L4473" s="36" t="s">
        <v>33889</v>
      </c>
      <c r="M4473" s="186"/>
      <c r="N4473" s="186"/>
      <c r="O4473" s="172"/>
    </row>
    <row r="4474" spans="1:15" ht="25.5" x14ac:dyDescent="0.2">
      <c r="A4474" s="197" t="str">
        <f t="shared" si="69"/>
        <v>GntCode_historicalTransliterated</v>
      </c>
      <c r="B4474" s="409"/>
      <c r="C4474" s="416"/>
      <c r="D4474" s="198" t="s">
        <v>33890</v>
      </c>
      <c r="E4474" s="198">
        <v>8</v>
      </c>
      <c r="F4474" s="199" t="s">
        <v>33891</v>
      </c>
      <c r="G4474" s="1" t="s">
        <v>33892</v>
      </c>
      <c r="H4474" s="200"/>
      <c r="I4474" s="346"/>
      <c r="J4474" s="39">
        <v>112718</v>
      </c>
      <c r="K4474" s="36" t="str">
        <f>CONCATENATE(Cover!$D$6,"fdd/view?i=",J4474)</f>
        <v>https://www.dgiwg.org/FAD/fdd/view?i=112718</v>
      </c>
      <c r="L4474" s="36" t="s">
        <v>33893</v>
      </c>
      <c r="M4474" s="186"/>
      <c r="N4474" s="186"/>
      <c r="O4474" s="172"/>
    </row>
    <row r="4475" spans="1:15" ht="38.25" x14ac:dyDescent="0.2">
      <c r="A4475" s="197" t="str">
        <f t="shared" si="69"/>
        <v>GntCode_nativeOriginal</v>
      </c>
      <c r="B4475" s="409"/>
      <c r="C4475" s="416"/>
      <c r="D4475" s="198" t="s">
        <v>33894</v>
      </c>
      <c r="E4475" s="198">
        <v>5</v>
      </c>
      <c r="F4475" s="199" t="s">
        <v>33895</v>
      </c>
      <c r="G4475" s="1" t="s">
        <v>33896</v>
      </c>
      <c r="H4475" s="200"/>
      <c r="I4475" s="346"/>
      <c r="J4475" s="39">
        <v>112712</v>
      </c>
      <c r="K4475" s="36" t="str">
        <f>CONCATENATE(Cover!$D$6,"fdd/view?i=",J4475)</f>
        <v>https://www.dgiwg.org/FAD/fdd/view?i=112712</v>
      </c>
      <c r="L4475" s="36" t="s">
        <v>33897</v>
      </c>
      <c r="M4475" s="186"/>
      <c r="N4475" s="186"/>
      <c r="O4475" s="172"/>
    </row>
    <row r="4476" spans="1:15" ht="38.25" x14ac:dyDescent="0.2">
      <c r="A4476" s="197" t="str">
        <f t="shared" si="69"/>
        <v>GntCode_nativeTransliterated</v>
      </c>
      <c r="B4476" s="409"/>
      <c r="C4476" s="416"/>
      <c r="D4476" s="198" t="s">
        <v>33898</v>
      </c>
      <c r="E4476" s="198">
        <v>2</v>
      </c>
      <c r="F4476" s="199" t="s">
        <v>33899</v>
      </c>
      <c r="G4476" s="1" t="s">
        <v>33900</v>
      </c>
      <c r="H4476" s="200"/>
      <c r="I4476" s="346"/>
      <c r="J4476" s="39">
        <v>112706</v>
      </c>
      <c r="K4476" s="36" t="str">
        <f>CONCATENATE(Cover!$D$6,"fdd/view?i=",J4476)</f>
        <v>https://www.dgiwg.org/FAD/fdd/view?i=112706</v>
      </c>
      <c r="L4476" s="36" t="s">
        <v>33901</v>
      </c>
      <c r="M4476" s="186"/>
      <c r="N4476" s="186"/>
      <c r="O4476" s="172"/>
    </row>
    <row r="4477" spans="1:15" ht="25.5" x14ac:dyDescent="0.2">
      <c r="A4477" s="197" t="str">
        <f t="shared" si="69"/>
        <v>GntCode_provisional</v>
      </c>
      <c r="B4477" s="409"/>
      <c r="C4477" s="416"/>
      <c r="D4477" s="198" t="s">
        <v>33902</v>
      </c>
      <c r="E4477" s="198">
        <v>10</v>
      </c>
      <c r="F4477" s="199" t="s">
        <v>33903</v>
      </c>
      <c r="G4477" s="1" t="s">
        <v>33904</v>
      </c>
      <c r="H4477" s="200"/>
      <c r="I4477" s="346"/>
      <c r="J4477" s="39">
        <v>112722</v>
      </c>
      <c r="K4477" s="36" t="str">
        <f>CONCATENATE(Cover!$D$6,"fdd/view?i=",J4477)</f>
        <v>https://www.dgiwg.org/FAD/fdd/view?i=112722</v>
      </c>
      <c r="L4477" s="36" t="s">
        <v>33905</v>
      </c>
      <c r="M4477" s="186"/>
      <c r="N4477" s="186"/>
      <c r="O4477" s="172"/>
    </row>
    <row r="4478" spans="1:15" ht="63.75" x14ac:dyDescent="0.2">
      <c r="A4478" s="197" t="str">
        <f t="shared" si="69"/>
        <v>GntCode_unverifiedOriginal</v>
      </c>
      <c r="B4478" s="409"/>
      <c r="C4478" s="416"/>
      <c r="D4478" s="198" t="s">
        <v>33906</v>
      </c>
      <c r="E4478" s="198">
        <v>7</v>
      </c>
      <c r="F4478" s="199" t="s">
        <v>33907</v>
      </c>
      <c r="G4478" s="1" t="s">
        <v>33908</v>
      </c>
      <c r="H4478" s="1" t="s">
        <v>33909</v>
      </c>
      <c r="I4478" s="346"/>
      <c r="J4478" s="39">
        <v>112716</v>
      </c>
      <c r="K4478" s="36" t="str">
        <f>CONCATENATE(Cover!$D$6,"fdd/view?i=",J4478)</f>
        <v>https://www.dgiwg.org/FAD/fdd/view?i=112716</v>
      </c>
      <c r="L4478" s="36" t="s">
        <v>33910</v>
      </c>
      <c r="M4478" s="186"/>
      <c r="N4478" s="186"/>
      <c r="O4478" s="172"/>
    </row>
    <row r="4479" spans="1:15" ht="63.75" x14ac:dyDescent="0.2">
      <c r="A4479" s="197" t="str">
        <f t="shared" si="69"/>
        <v>GntCode_unverifiedTransliterated</v>
      </c>
      <c r="B4479" s="409"/>
      <c r="C4479" s="416"/>
      <c r="D4479" s="198" t="s">
        <v>33911</v>
      </c>
      <c r="E4479" s="198">
        <v>4</v>
      </c>
      <c r="F4479" s="199" t="s">
        <v>33912</v>
      </c>
      <c r="G4479" s="1" t="s">
        <v>33913</v>
      </c>
      <c r="H4479" s="1" t="s">
        <v>33909</v>
      </c>
      <c r="I4479" s="346"/>
      <c r="J4479" s="39">
        <v>112710</v>
      </c>
      <c r="K4479" s="36" t="str">
        <f>CONCATENATE(Cover!$D$6,"fdd/view?i=",J4479)</f>
        <v>https://www.dgiwg.org/FAD/fdd/view?i=112710</v>
      </c>
      <c r="L4479" s="36" t="s">
        <v>33914</v>
      </c>
      <c r="M4479" s="186"/>
      <c r="N4479" s="186"/>
      <c r="O4479" s="172"/>
    </row>
    <row r="4480" spans="1:15" ht="38.25" x14ac:dyDescent="0.2">
      <c r="A4480" s="197" t="str">
        <f t="shared" si="69"/>
        <v>GntCode_variantOriginal</v>
      </c>
      <c r="B4480" s="409"/>
      <c r="C4480" s="416"/>
      <c r="D4480" s="198" t="s">
        <v>33915</v>
      </c>
      <c r="E4480" s="198">
        <v>6</v>
      </c>
      <c r="F4480" s="199" t="s">
        <v>33916</v>
      </c>
      <c r="G4480" s="1" t="s">
        <v>33917</v>
      </c>
      <c r="H4480" s="1" t="s">
        <v>33918</v>
      </c>
      <c r="I4480" s="346"/>
      <c r="J4480" s="39">
        <v>112714</v>
      </c>
      <c r="K4480" s="36" t="str">
        <f>CONCATENATE(Cover!$D$6,"fdd/view?i=",J4480)</f>
        <v>https://www.dgiwg.org/FAD/fdd/view?i=112714</v>
      </c>
      <c r="L4480" s="36" t="s">
        <v>33919</v>
      </c>
      <c r="M4480" s="186"/>
      <c r="N4480" s="186"/>
      <c r="O4480" s="172"/>
    </row>
    <row r="4481" spans="1:15" ht="38.25" x14ac:dyDescent="0.2">
      <c r="A4481" s="203" t="str">
        <f t="shared" si="69"/>
        <v>GntCode_variantTransliterated</v>
      </c>
      <c r="B4481" s="410"/>
      <c r="C4481" s="417"/>
      <c r="D4481" s="204" t="s">
        <v>33920</v>
      </c>
      <c r="E4481" s="204">
        <v>3</v>
      </c>
      <c r="F4481" s="205" t="s">
        <v>33921</v>
      </c>
      <c r="G4481" s="206" t="s">
        <v>33922</v>
      </c>
      <c r="H4481" s="206" t="s">
        <v>33918</v>
      </c>
      <c r="I4481" s="347"/>
      <c r="J4481" s="39">
        <v>112708</v>
      </c>
      <c r="K4481" s="36" t="str">
        <f>CONCATENATE(Cover!$D$6,"fdd/view?i=",J4481)</f>
        <v>https://www.dgiwg.org/FAD/fdd/view?i=112708</v>
      </c>
      <c r="L4481" s="36" t="s">
        <v>33923</v>
      </c>
      <c r="M4481" s="186"/>
      <c r="N4481" s="186"/>
      <c r="O4481" s="172"/>
    </row>
    <row r="4482" spans="1:15" ht="38.25" x14ac:dyDescent="0.2">
      <c r="A4482" s="190" t="str">
        <f t="shared" ref="A4482:A4545" si="70">HYPERLINK(K4482,L4482)</f>
        <v>GeoCode_africa</v>
      </c>
      <c r="B4482" s="414" t="str">
        <f>HYPERLINK("[#]Datatypes!A632:L632","GeoCode")</f>
        <v>GeoCode</v>
      </c>
      <c r="C4482" s="415" t="s">
        <v>15207</v>
      </c>
      <c r="D4482" s="221" t="s">
        <v>33924</v>
      </c>
      <c r="E4482" s="221">
        <v>2</v>
      </c>
      <c r="F4482" s="222" t="s">
        <v>33925</v>
      </c>
      <c r="G4482" s="223" t="s">
        <v>33926</v>
      </c>
      <c r="H4482" s="224"/>
      <c r="I4482" s="345"/>
      <c r="J4482" s="39">
        <v>110178</v>
      </c>
      <c r="K4482" s="36" t="str">
        <f>CONCATENATE(Cover!$D$6,"fdd/view?i=",J4482)</f>
        <v>https://www.dgiwg.org/FAD/fdd/view?i=110178</v>
      </c>
      <c r="L4482" s="36" t="s">
        <v>33927</v>
      </c>
      <c r="M4482" s="186"/>
      <c r="N4482" s="186"/>
      <c r="O4482" s="172"/>
    </row>
    <row r="4483" spans="1:15" ht="25.5" x14ac:dyDescent="0.2">
      <c r="A4483" s="197" t="str">
        <f t="shared" si="70"/>
        <v>GeoCode_antarctica</v>
      </c>
      <c r="B4483" s="409"/>
      <c r="C4483" s="416"/>
      <c r="D4483" s="198" t="s">
        <v>33928</v>
      </c>
      <c r="E4483" s="198">
        <v>3</v>
      </c>
      <c r="F4483" s="199" t="s">
        <v>33929</v>
      </c>
      <c r="G4483" s="1" t="s">
        <v>33930</v>
      </c>
      <c r="H4483" s="200"/>
      <c r="I4483" s="346"/>
      <c r="J4483" s="39">
        <v>110179</v>
      </c>
      <c r="K4483" s="36" t="str">
        <f>CONCATENATE(Cover!$D$6,"fdd/view?i=",J4483)</f>
        <v>https://www.dgiwg.org/FAD/fdd/view?i=110179</v>
      </c>
      <c r="L4483" s="36" t="s">
        <v>33931</v>
      </c>
      <c r="M4483" s="186"/>
      <c r="N4483" s="186"/>
      <c r="O4483" s="172"/>
    </row>
    <row r="4484" spans="1:15" ht="51" x14ac:dyDescent="0.2">
      <c r="A4484" s="197" t="str">
        <f t="shared" si="70"/>
        <v>GeoCode_arctic</v>
      </c>
      <c r="B4484" s="409"/>
      <c r="C4484" s="416"/>
      <c r="D4484" s="198" t="s">
        <v>33932</v>
      </c>
      <c r="E4484" s="198">
        <v>1</v>
      </c>
      <c r="F4484" s="199" t="s">
        <v>33933</v>
      </c>
      <c r="G4484" s="1" t="s">
        <v>33934</v>
      </c>
      <c r="H4484" s="200"/>
      <c r="I4484" s="346"/>
      <c r="J4484" s="39">
        <v>103849</v>
      </c>
      <c r="K4484" s="36" t="str">
        <f>CONCATENATE(Cover!$D$6,"fdd/view?i=",J4484)</f>
        <v>https://www.dgiwg.org/FAD/fdd/view?i=103849</v>
      </c>
      <c r="L4484" s="36" t="s">
        <v>33935</v>
      </c>
      <c r="M4484" s="186"/>
      <c r="N4484" s="186"/>
      <c r="O4484" s="172"/>
    </row>
    <row r="4485" spans="1:15" ht="38.25" x14ac:dyDescent="0.2">
      <c r="A4485" s="197" t="str">
        <f t="shared" si="70"/>
        <v>GeoCode_arcticOcean</v>
      </c>
      <c r="B4485" s="409"/>
      <c r="C4485" s="416"/>
      <c r="D4485" s="198" t="s">
        <v>33936</v>
      </c>
      <c r="E4485" s="198">
        <v>11</v>
      </c>
      <c r="F4485" s="199" t="s">
        <v>33937</v>
      </c>
      <c r="G4485" s="1" t="s">
        <v>33938</v>
      </c>
      <c r="H4485" s="200"/>
      <c r="I4485" s="346"/>
      <c r="J4485" s="39">
        <v>110187</v>
      </c>
      <c r="K4485" s="36" t="str">
        <f>CONCATENATE(Cover!$D$6,"fdd/view?i=",J4485)</f>
        <v>https://www.dgiwg.org/FAD/fdd/view?i=110187</v>
      </c>
      <c r="L4485" s="36" t="s">
        <v>33939</v>
      </c>
      <c r="M4485" s="186"/>
      <c r="N4485" s="186"/>
      <c r="O4485" s="172"/>
    </row>
    <row r="4486" spans="1:15" ht="38.25" x14ac:dyDescent="0.2">
      <c r="A4486" s="197" t="str">
        <f t="shared" si="70"/>
        <v>GeoCode_asia</v>
      </c>
      <c r="B4486" s="409"/>
      <c r="C4486" s="416"/>
      <c r="D4486" s="198" t="s">
        <v>33940</v>
      </c>
      <c r="E4486" s="198">
        <v>4</v>
      </c>
      <c r="F4486" s="199" t="s">
        <v>33941</v>
      </c>
      <c r="G4486" s="1" t="s">
        <v>33942</v>
      </c>
      <c r="H4486" s="200"/>
      <c r="I4486" s="346"/>
      <c r="J4486" s="39">
        <v>110180</v>
      </c>
      <c r="K4486" s="36" t="str">
        <f>CONCATENATE(Cover!$D$6,"fdd/view?i=",J4486)</f>
        <v>https://www.dgiwg.org/FAD/fdd/view?i=110180</v>
      </c>
      <c r="L4486" s="36" t="s">
        <v>33943</v>
      </c>
      <c r="M4486" s="186"/>
      <c r="N4486" s="186"/>
      <c r="O4486" s="172"/>
    </row>
    <row r="4487" spans="1:15" ht="51" x14ac:dyDescent="0.2">
      <c r="A4487" s="197" t="str">
        <f t="shared" si="70"/>
        <v>GeoCode_atlanticOcean</v>
      </c>
      <c r="B4487" s="409"/>
      <c r="C4487" s="416"/>
      <c r="D4487" s="198" t="s">
        <v>33944</v>
      </c>
      <c r="E4487" s="198">
        <v>12</v>
      </c>
      <c r="F4487" s="199" t="s">
        <v>33945</v>
      </c>
      <c r="G4487" s="1" t="s">
        <v>33946</v>
      </c>
      <c r="H4487" s="200"/>
      <c r="I4487" s="346"/>
      <c r="J4487" s="39">
        <v>110188</v>
      </c>
      <c r="K4487" s="36" t="str">
        <f>CONCATENATE(Cover!$D$6,"fdd/view?i=",J4487)</f>
        <v>https://www.dgiwg.org/FAD/fdd/view?i=110188</v>
      </c>
      <c r="L4487" s="36" t="s">
        <v>33947</v>
      </c>
      <c r="M4487" s="186"/>
      <c r="N4487" s="186"/>
      <c r="O4487" s="172"/>
    </row>
    <row r="4488" spans="1:15" ht="38.25" x14ac:dyDescent="0.2">
      <c r="A4488" s="197" t="str">
        <f t="shared" si="70"/>
        <v>GeoCode_australia</v>
      </c>
      <c r="B4488" s="409"/>
      <c r="C4488" s="416"/>
      <c r="D4488" s="198" t="s">
        <v>33948</v>
      </c>
      <c r="E4488" s="198">
        <v>5</v>
      </c>
      <c r="F4488" s="199" t="s">
        <v>33949</v>
      </c>
      <c r="G4488" s="1" t="s">
        <v>33950</v>
      </c>
      <c r="H4488" s="200"/>
      <c r="I4488" s="346"/>
      <c r="J4488" s="39">
        <v>110181</v>
      </c>
      <c r="K4488" s="36" t="str">
        <f>CONCATENATE(Cover!$D$6,"fdd/view?i=",J4488)</f>
        <v>https://www.dgiwg.org/FAD/fdd/view?i=110181</v>
      </c>
      <c r="L4488" s="36" t="s">
        <v>33951</v>
      </c>
      <c r="M4488" s="186"/>
      <c r="N4488" s="186"/>
      <c r="O4488" s="172"/>
    </row>
    <row r="4489" spans="1:15" ht="38.25" x14ac:dyDescent="0.2">
      <c r="A4489" s="197" t="str">
        <f t="shared" si="70"/>
        <v>GeoCode_europe</v>
      </c>
      <c r="B4489" s="409"/>
      <c r="C4489" s="416"/>
      <c r="D4489" s="198" t="s">
        <v>33952</v>
      </c>
      <c r="E4489" s="198">
        <v>6</v>
      </c>
      <c r="F4489" s="199" t="s">
        <v>33953</v>
      </c>
      <c r="G4489" s="1" t="s">
        <v>33954</v>
      </c>
      <c r="H4489" s="200"/>
      <c r="I4489" s="346"/>
      <c r="J4489" s="39">
        <v>110182</v>
      </c>
      <c r="K4489" s="36" t="str">
        <f>CONCATENATE(Cover!$D$6,"fdd/view?i=",J4489)</f>
        <v>https://www.dgiwg.org/FAD/fdd/view?i=110182</v>
      </c>
      <c r="L4489" s="36" t="s">
        <v>33955</v>
      </c>
      <c r="M4489" s="186"/>
      <c r="N4489" s="186"/>
      <c r="O4489" s="172"/>
    </row>
    <row r="4490" spans="1:15" ht="38.25" x14ac:dyDescent="0.2">
      <c r="A4490" s="197" t="str">
        <f t="shared" si="70"/>
        <v>GeoCode_indianOcean</v>
      </c>
      <c r="B4490" s="409"/>
      <c r="C4490" s="416"/>
      <c r="D4490" s="198" t="s">
        <v>33956</v>
      </c>
      <c r="E4490" s="198">
        <v>13</v>
      </c>
      <c r="F4490" s="199" t="s">
        <v>33957</v>
      </c>
      <c r="G4490" s="1" t="s">
        <v>33958</v>
      </c>
      <c r="H4490" s="200"/>
      <c r="I4490" s="346"/>
      <c r="J4490" s="39">
        <v>110189</v>
      </c>
      <c r="K4490" s="36" t="str">
        <f>CONCATENATE(Cover!$D$6,"fdd/view?i=",J4490)</f>
        <v>https://www.dgiwg.org/FAD/fdd/view?i=110189</v>
      </c>
      <c r="L4490" s="36" t="s">
        <v>33959</v>
      </c>
      <c r="M4490" s="186"/>
      <c r="N4490" s="186"/>
      <c r="O4490" s="172"/>
    </row>
    <row r="4491" spans="1:15" ht="38.25" x14ac:dyDescent="0.2">
      <c r="A4491" s="197" t="str">
        <f t="shared" si="70"/>
        <v>GeoCode_mediterraneanSea</v>
      </c>
      <c r="B4491" s="409"/>
      <c r="C4491" s="416"/>
      <c r="D4491" s="198" t="s">
        <v>33960</v>
      </c>
      <c r="E4491" s="198">
        <v>14</v>
      </c>
      <c r="F4491" s="199" t="s">
        <v>33961</v>
      </c>
      <c r="G4491" s="1" t="s">
        <v>33962</v>
      </c>
      <c r="H4491" s="200"/>
      <c r="I4491" s="346"/>
      <c r="J4491" s="39">
        <v>110190</v>
      </c>
      <c r="K4491" s="36" t="str">
        <f>CONCATENATE(Cover!$D$6,"fdd/view?i=",J4491)</f>
        <v>https://www.dgiwg.org/FAD/fdd/view?i=110190</v>
      </c>
      <c r="L4491" s="36" t="s">
        <v>33963</v>
      </c>
      <c r="M4491" s="186"/>
      <c r="N4491" s="186"/>
      <c r="O4491" s="172"/>
    </row>
    <row r="4492" spans="1:15" ht="38.25" x14ac:dyDescent="0.2">
      <c r="A4492" s="197" t="str">
        <f t="shared" si="70"/>
        <v>GeoCode_northAmerica</v>
      </c>
      <c r="B4492" s="409"/>
      <c r="C4492" s="416"/>
      <c r="D4492" s="198" t="s">
        <v>33964</v>
      </c>
      <c r="E4492" s="198">
        <v>7</v>
      </c>
      <c r="F4492" s="199" t="s">
        <v>33965</v>
      </c>
      <c r="G4492" s="1" t="s">
        <v>33966</v>
      </c>
      <c r="H4492" s="200"/>
      <c r="I4492" s="346"/>
      <c r="J4492" s="39">
        <v>110183</v>
      </c>
      <c r="K4492" s="36" t="str">
        <f>CONCATENATE(Cover!$D$6,"fdd/view?i=",J4492)</f>
        <v>https://www.dgiwg.org/FAD/fdd/view?i=110183</v>
      </c>
      <c r="L4492" s="36" t="s">
        <v>33967</v>
      </c>
      <c r="M4492" s="186"/>
      <c r="N4492" s="186"/>
      <c r="O4492" s="172"/>
    </row>
    <row r="4493" spans="1:15" ht="38.25" x14ac:dyDescent="0.2">
      <c r="A4493" s="197" t="str">
        <f t="shared" si="70"/>
        <v>GeoCode_northAtlanticOcean</v>
      </c>
      <c r="B4493" s="409"/>
      <c r="C4493" s="416"/>
      <c r="D4493" s="198" t="s">
        <v>33968</v>
      </c>
      <c r="E4493" s="198">
        <v>15</v>
      </c>
      <c r="F4493" s="199" t="s">
        <v>33969</v>
      </c>
      <c r="G4493" s="1" t="s">
        <v>33970</v>
      </c>
      <c r="H4493" s="200"/>
      <c r="I4493" s="346"/>
      <c r="J4493" s="39">
        <v>110191</v>
      </c>
      <c r="K4493" s="36" t="str">
        <f>CONCATENATE(Cover!$D$6,"fdd/view?i=",J4493)</f>
        <v>https://www.dgiwg.org/FAD/fdd/view?i=110191</v>
      </c>
      <c r="L4493" s="36" t="s">
        <v>33971</v>
      </c>
      <c r="M4493" s="186"/>
      <c r="N4493" s="186"/>
      <c r="O4493" s="172"/>
    </row>
    <row r="4494" spans="1:15" ht="25.5" x14ac:dyDescent="0.2">
      <c r="A4494" s="197" t="str">
        <f t="shared" si="70"/>
        <v>GeoCode_northPacificOcean</v>
      </c>
      <c r="B4494" s="409"/>
      <c r="C4494" s="416"/>
      <c r="D4494" s="198" t="s">
        <v>33972</v>
      </c>
      <c r="E4494" s="198">
        <v>16</v>
      </c>
      <c r="F4494" s="199" t="s">
        <v>33973</v>
      </c>
      <c r="G4494" s="1" t="s">
        <v>33974</v>
      </c>
      <c r="H4494" s="200"/>
      <c r="I4494" s="346"/>
      <c r="J4494" s="39">
        <v>110192</v>
      </c>
      <c r="K4494" s="36" t="str">
        <f>CONCATENATE(Cover!$D$6,"fdd/view?i=",J4494)</f>
        <v>https://www.dgiwg.org/FAD/fdd/view?i=110192</v>
      </c>
      <c r="L4494" s="36" t="s">
        <v>33975</v>
      </c>
      <c r="M4494" s="186"/>
      <c r="N4494" s="186"/>
      <c r="O4494" s="172"/>
    </row>
    <row r="4495" spans="1:15" ht="25.5" x14ac:dyDescent="0.2">
      <c r="A4495" s="197" t="str">
        <f t="shared" si="70"/>
        <v>GeoCode_oceania</v>
      </c>
      <c r="B4495" s="409"/>
      <c r="C4495" s="416"/>
      <c r="D4495" s="198" t="s">
        <v>29185</v>
      </c>
      <c r="E4495" s="198">
        <v>8</v>
      </c>
      <c r="F4495" s="199" t="s">
        <v>29186</v>
      </c>
      <c r="G4495" s="1" t="s">
        <v>33976</v>
      </c>
      <c r="H4495" s="1" t="s">
        <v>33977</v>
      </c>
      <c r="I4495" s="346"/>
      <c r="J4495" s="39">
        <v>110184</v>
      </c>
      <c r="K4495" s="36" t="str">
        <f>CONCATENATE(Cover!$D$6,"fdd/view?i=",J4495)</f>
        <v>https://www.dgiwg.org/FAD/fdd/view?i=110184</v>
      </c>
      <c r="L4495" s="36" t="s">
        <v>33978</v>
      </c>
      <c r="M4495" s="186"/>
      <c r="N4495" s="186"/>
      <c r="O4495" s="172"/>
    </row>
    <row r="4496" spans="1:15" ht="51" x14ac:dyDescent="0.2">
      <c r="A4496" s="197" t="str">
        <f t="shared" si="70"/>
        <v>GeoCode_pacificOcean</v>
      </c>
      <c r="B4496" s="409"/>
      <c r="C4496" s="416"/>
      <c r="D4496" s="198" t="s">
        <v>33979</v>
      </c>
      <c r="E4496" s="198">
        <v>17</v>
      </c>
      <c r="F4496" s="199" t="s">
        <v>33980</v>
      </c>
      <c r="G4496" s="1" t="s">
        <v>33981</v>
      </c>
      <c r="H4496" s="200"/>
      <c r="I4496" s="346"/>
      <c r="J4496" s="39">
        <v>110193</v>
      </c>
      <c r="K4496" s="36" t="str">
        <f>CONCATENATE(Cover!$D$6,"fdd/view?i=",J4496)</f>
        <v>https://www.dgiwg.org/FAD/fdd/view?i=110193</v>
      </c>
      <c r="L4496" s="36" t="s">
        <v>33982</v>
      </c>
      <c r="M4496" s="186"/>
      <c r="N4496" s="186"/>
      <c r="O4496" s="172"/>
    </row>
    <row r="4497" spans="1:15" ht="25.5" x14ac:dyDescent="0.2">
      <c r="A4497" s="197" t="str">
        <f t="shared" si="70"/>
        <v>GeoCode_southAmerica</v>
      </c>
      <c r="B4497" s="409"/>
      <c r="C4497" s="416"/>
      <c r="D4497" s="198" t="s">
        <v>33983</v>
      </c>
      <c r="E4497" s="198">
        <v>9</v>
      </c>
      <c r="F4497" s="199" t="s">
        <v>33984</v>
      </c>
      <c r="G4497" s="1" t="s">
        <v>33985</v>
      </c>
      <c r="H4497" s="200"/>
      <c r="I4497" s="346"/>
      <c r="J4497" s="39">
        <v>110185</v>
      </c>
      <c r="K4497" s="36" t="str">
        <f>CONCATENATE(Cover!$D$6,"fdd/view?i=",J4497)</f>
        <v>https://www.dgiwg.org/FAD/fdd/view?i=110185</v>
      </c>
      <c r="L4497" s="36" t="s">
        <v>33986</v>
      </c>
      <c r="M4497" s="186"/>
      <c r="N4497" s="186"/>
      <c r="O4497" s="172"/>
    </row>
    <row r="4498" spans="1:15" ht="38.25" x14ac:dyDescent="0.2">
      <c r="A4498" s="197" t="str">
        <f t="shared" si="70"/>
        <v>GeoCode_southAtlanticOcean</v>
      </c>
      <c r="B4498" s="409"/>
      <c r="C4498" s="416"/>
      <c r="D4498" s="198" t="s">
        <v>33987</v>
      </c>
      <c r="E4498" s="198">
        <v>18</v>
      </c>
      <c r="F4498" s="199" t="s">
        <v>33988</v>
      </c>
      <c r="G4498" s="1" t="s">
        <v>33989</v>
      </c>
      <c r="H4498" s="200"/>
      <c r="I4498" s="346"/>
      <c r="J4498" s="39">
        <v>110194</v>
      </c>
      <c r="K4498" s="36" t="str">
        <f>CONCATENATE(Cover!$D$6,"fdd/view?i=",J4498)</f>
        <v>https://www.dgiwg.org/FAD/fdd/view?i=110194</v>
      </c>
      <c r="L4498" s="36" t="s">
        <v>33990</v>
      </c>
      <c r="M4498" s="186"/>
      <c r="N4498" s="186"/>
      <c r="O4498" s="172"/>
    </row>
    <row r="4499" spans="1:15" ht="51" x14ac:dyDescent="0.2">
      <c r="A4499" s="197" t="str">
        <f t="shared" si="70"/>
        <v>GeoCode_southChinaSea</v>
      </c>
      <c r="B4499" s="409"/>
      <c r="C4499" s="416"/>
      <c r="D4499" s="198" t="s">
        <v>33991</v>
      </c>
      <c r="E4499" s="198">
        <v>19</v>
      </c>
      <c r="F4499" s="199" t="s">
        <v>33992</v>
      </c>
      <c r="G4499" s="1" t="s">
        <v>33993</v>
      </c>
      <c r="H4499" s="200"/>
      <c r="I4499" s="346"/>
      <c r="J4499" s="39">
        <v>110195</v>
      </c>
      <c r="K4499" s="36" t="str">
        <f>CONCATENATE(Cover!$D$6,"fdd/view?i=",J4499)</f>
        <v>https://www.dgiwg.org/FAD/fdd/view?i=110195</v>
      </c>
      <c r="L4499" s="36" t="s">
        <v>33994</v>
      </c>
      <c r="M4499" s="186"/>
      <c r="N4499" s="186"/>
      <c r="O4499" s="172"/>
    </row>
    <row r="4500" spans="1:15" ht="38.25" x14ac:dyDescent="0.2">
      <c r="A4500" s="197" t="str">
        <f t="shared" si="70"/>
        <v>GeoCode_southernOcean</v>
      </c>
      <c r="B4500" s="409"/>
      <c r="C4500" s="416"/>
      <c r="D4500" s="198" t="s">
        <v>33999</v>
      </c>
      <c r="E4500" s="198">
        <v>10</v>
      </c>
      <c r="F4500" s="199" t="s">
        <v>34000</v>
      </c>
      <c r="G4500" s="1" t="s">
        <v>34001</v>
      </c>
      <c r="H4500" s="200"/>
      <c r="I4500" s="346"/>
      <c r="J4500" s="39">
        <v>110186</v>
      </c>
      <c r="K4500" s="36" t="str">
        <f>CONCATENATE(Cover!$D$6,"fdd/view?i=",J4500)</f>
        <v>https://www.dgiwg.org/FAD/fdd/view?i=110186</v>
      </c>
      <c r="L4500" s="36" t="s">
        <v>34002</v>
      </c>
      <c r="M4500" s="186"/>
      <c r="N4500" s="186"/>
      <c r="O4500" s="172"/>
    </row>
    <row r="4501" spans="1:15" ht="51" x14ac:dyDescent="0.2">
      <c r="A4501" s="203" t="str">
        <f t="shared" si="70"/>
        <v>GeoCode_southPacificOcean</v>
      </c>
      <c r="B4501" s="410"/>
      <c r="C4501" s="417"/>
      <c r="D4501" s="204" t="s">
        <v>33995</v>
      </c>
      <c r="E4501" s="204">
        <v>20</v>
      </c>
      <c r="F4501" s="205" t="s">
        <v>33996</v>
      </c>
      <c r="G4501" s="206" t="s">
        <v>33997</v>
      </c>
      <c r="H4501" s="207"/>
      <c r="I4501" s="347"/>
      <c r="J4501" s="39">
        <v>110196</v>
      </c>
      <c r="K4501" s="36" t="str">
        <f>CONCATENATE(Cover!$D$6,"fdd/view?i=",J4501)</f>
        <v>https://www.dgiwg.org/FAD/fdd/view?i=110196</v>
      </c>
      <c r="L4501" s="36" t="s">
        <v>33998</v>
      </c>
      <c r="M4501" s="186"/>
      <c r="N4501" s="186"/>
      <c r="O4501" s="172"/>
    </row>
    <row r="4502" spans="1:15" x14ac:dyDescent="0.2">
      <c r="A4502" s="190" t="str">
        <f t="shared" si="70"/>
        <v>GmaCode_continuous</v>
      </c>
      <c r="B4502" s="414" t="str">
        <f>HYPERLINK("[#]Datatypes!A634:L634","GmaCode")</f>
        <v>GmaCode</v>
      </c>
      <c r="C4502" s="415" t="s">
        <v>15209</v>
      </c>
      <c r="D4502" s="221" t="s">
        <v>30115</v>
      </c>
      <c r="E4502" s="221">
        <v>1</v>
      </c>
      <c r="F4502" s="222" t="s">
        <v>30116</v>
      </c>
      <c r="G4502" s="223" t="s">
        <v>34003</v>
      </c>
      <c r="H4502" s="224"/>
      <c r="I4502" s="345"/>
      <c r="J4502" s="39">
        <v>113361</v>
      </c>
      <c r="K4502" s="36" t="str">
        <f>CONCATENATE(Cover!$D$6,"fdd/view?i=",J4502)</f>
        <v>https://www.dgiwg.org/FAD/fdd/view?i=113361</v>
      </c>
      <c r="L4502" s="36" t="s">
        <v>34004</v>
      </c>
      <c r="M4502" s="186"/>
      <c r="N4502" s="186"/>
      <c r="O4502" s="172"/>
    </row>
    <row r="4503" spans="1:15" ht="25.5" x14ac:dyDescent="0.2">
      <c r="A4503" s="197" t="str">
        <f t="shared" si="70"/>
        <v>GmaCode_discontinuous</v>
      </c>
      <c r="B4503" s="409"/>
      <c r="C4503" s="416"/>
      <c r="D4503" s="198" t="s">
        <v>34005</v>
      </c>
      <c r="E4503" s="198">
        <v>2</v>
      </c>
      <c r="F4503" s="199" t="s">
        <v>34006</v>
      </c>
      <c r="G4503" s="1" t="s">
        <v>34007</v>
      </c>
      <c r="H4503" s="200"/>
      <c r="I4503" s="351" t="s">
        <v>20236</v>
      </c>
      <c r="J4503" s="39">
        <v>113362</v>
      </c>
      <c r="K4503" s="36" t="str">
        <f>CONCATENATE(Cover!$D$6,"fdd/view?i=",J4503)</f>
        <v>https://www.dgiwg.org/FAD/fdd/view?i=113362</v>
      </c>
      <c r="L4503" s="36" t="s">
        <v>34008</v>
      </c>
      <c r="M4503" s="186"/>
      <c r="N4503" s="186"/>
      <c r="O4503" s="172"/>
    </row>
    <row r="4504" spans="1:15" ht="25.5" x14ac:dyDescent="0.2">
      <c r="A4504" s="197" t="str">
        <f t="shared" si="70"/>
        <v>GmaCode_fast</v>
      </c>
      <c r="B4504" s="409"/>
      <c r="C4504" s="416"/>
      <c r="D4504" s="198" t="s">
        <v>34009</v>
      </c>
      <c r="E4504" s="198">
        <v>3</v>
      </c>
      <c r="F4504" s="199" t="s">
        <v>34010</v>
      </c>
      <c r="G4504" s="1" t="s">
        <v>34011</v>
      </c>
      <c r="H4504" s="1" t="s">
        <v>34012</v>
      </c>
      <c r="I4504" s="346"/>
      <c r="J4504" s="39">
        <v>113363</v>
      </c>
      <c r="K4504" s="36" t="str">
        <f>CONCATENATE(Cover!$D$6,"fdd/view?i=",J4504)</f>
        <v>https://www.dgiwg.org/FAD/fdd/view?i=113363</v>
      </c>
      <c r="L4504" s="36" t="s">
        <v>34013</v>
      </c>
      <c r="M4504" s="186"/>
      <c r="N4504" s="186"/>
      <c r="O4504" s="172"/>
    </row>
    <row r="4505" spans="1:15" ht="25.5" x14ac:dyDescent="0.2">
      <c r="A4505" s="203" t="str">
        <f t="shared" si="70"/>
        <v>GmaCode_slow</v>
      </c>
      <c r="B4505" s="410"/>
      <c r="C4505" s="417"/>
      <c r="D4505" s="204" t="s">
        <v>34014</v>
      </c>
      <c r="E4505" s="204">
        <v>4</v>
      </c>
      <c r="F4505" s="205" t="s">
        <v>34015</v>
      </c>
      <c r="G4505" s="206" t="s">
        <v>34016</v>
      </c>
      <c r="H4505" s="206" t="s">
        <v>34017</v>
      </c>
      <c r="I4505" s="347"/>
      <c r="J4505" s="39">
        <v>113364</v>
      </c>
      <c r="K4505" s="36" t="str">
        <f>CONCATENATE(Cover!$D$6,"fdd/view?i=",J4505)</f>
        <v>https://www.dgiwg.org/FAD/fdd/view?i=113364</v>
      </c>
      <c r="L4505" s="36" t="s">
        <v>34018</v>
      </c>
      <c r="M4505" s="186"/>
      <c r="N4505" s="186"/>
      <c r="O4505" s="172"/>
    </row>
    <row r="4506" spans="1:15" ht="38.25" x14ac:dyDescent="0.2">
      <c r="A4506" s="190" t="str">
        <f t="shared" si="70"/>
        <v>GmmCode_fluidizedSediments</v>
      </c>
      <c r="B4506" s="414" t="str">
        <f>HYPERLINK("[#]Datatypes!A636:L636","GmmCode")</f>
        <v>GmmCode</v>
      </c>
      <c r="C4506" s="415" t="s">
        <v>15211</v>
      </c>
      <c r="D4506" s="221" t="s">
        <v>34019</v>
      </c>
      <c r="E4506" s="221">
        <v>3</v>
      </c>
      <c r="F4506" s="222" t="s">
        <v>34020</v>
      </c>
      <c r="G4506" s="223" t="s">
        <v>34021</v>
      </c>
      <c r="H4506" s="223" t="s">
        <v>34022</v>
      </c>
      <c r="I4506" s="345"/>
      <c r="J4506" s="39">
        <v>113367</v>
      </c>
      <c r="K4506" s="36" t="str">
        <f>CONCATENATE(Cover!$D$6,"fdd/view?i=",J4506)</f>
        <v>https://www.dgiwg.org/FAD/fdd/view?i=113367</v>
      </c>
      <c r="L4506" s="36" t="s">
        <v>34023</v>
      </c>
      <c r="M4506" s="186"/>
      <c r="N4506" s="186"/>
      <c r="O4506" s="172"/>
    </row>
    <row r="4507" spans="1:15" ht="38.25" x14ac:dyDescent="0.2">
      <c r="A4507" s="197" t="str">
        <f t="shared" si="70"/>
        <v>GmmCode_glacierSurge</v>
      </c>
      <c r="B4507" s="409"/>
      <c r="C4507" s="416"/>
      <c r="D4507" s="198" t="s">
        <v>34024</v>
      </c>
      <c r="E4507" s="198">
        <v>1</v>
      </c>
      <c r="F4507" s="199" t="s">
        <v>34025</v>
      </c>
      <c r="G4507" s="1" t="s">
        <v>34026</v>
      </c>
      <c r="H4507" s="200"/>
      <c r="I4507" s="346"/>
      <c r="J4507" s="39">
        <v>113365</v>
      </c>
      <c r="K4507" s="36" t="str">
        <f>CONCATENATE(Cover!$D$6,"fdd/view?i=",J4507)</f>
        <v>https://www.dgiwg.org/FAD/fdd/view?i=113365</v>
      </c>
      <c r="L4507" s="36" t="s">
        <v>34027</v>
      </c>
      <c r="M4507" s="186"/>
      <c r="N4507" s="186"/>
      <c r="O4507" s="172"/>
    </row>
    <row r="4508" spans="1:15" ht="63.75" x14ac:dyDescent="0.2">
      <c r="A4508" s="197" t="str">
        <f t="shared" si="70"/>
        <v>GmmCode_lahar</v>
      </c>
      <c r="B4508" s="409"/>
      <c r="C4508" s="416"/>
      <c r="D4508" s="198" t="s">
        <v>34028</v>
      </c>
      <c r="E4508" s="198">
        <v>10</v>
      </c>
      <c r="F4508" s="199" t="s">
        <v>34029</v>
      </c>
      <c r="G4508" s="1" t="s">
        <v>34030</v>
      </c>
      <c r="H4508" s="1" t="s">
        <v>34031</v>
      </c>
      <c r="I4508" s="346"/>
      <c r="J4508" s="39">
        <v>113374</v>
      </c>
      <c r="K4508" s="36" t="str">
        <f>CONCATENATE(Cover!$D$6,"fdd/view?i=",J4508)</f>
        <v>https://www.dgiwg.org/FAD/fdd/view?i=113374</v>
      </c>
      <c r="L4508" s="36" t="s">
        <v>34032</v>
      </c>
      <c r="M4508" s="186"/>
      <c r="N4508" s="186"/>
      <c r="O4508" s="172"/>
    </row>
    <row r="4509" spans="1:15" ht="38.25" x14ac:dyDescent="0.2">
      <c r="A4509" s="197" t="str">
        <f t="shared" si="70"/>
        <v>GmmCode_landslide</v>
      </c>
      <c r="B4509" s="409"/>
      <c r="C4509" s="416"/>
      <c r="D4509" s="198" t="s">
        <v>29078</v>
      </c>
      <c r="E4509" s="198">
        <v>4</v>
      </c>
      <c r="F4509" s="199" t="s">
        <v>29079</v>
      </c>
      <c r="G4509" s="1" t="s">
        <v>29513</v>
      </c>
      <c r="H4509" s="200"/>
      <c r="I4509" s="346"/>
      <c r="J4509" s="39">
        <v>113368</v>
      </c>
      <c r="K4509" s="36" t="str">
        <f>CONCATENATE(Cover!$D$6,"fdd/view?i=",J4509)</f>
        <v>https://www.dgiwg.org/FAD/fdd/view?i=113368</v>
      </c>
      <c r="L4509" s="36" t="s">
        <v>34033</v>
      </c>
      <c r="M4509" s="186"/>
      <c r="N4509" s="186"/>
      <c r="O4509" s="172"/>
    </row>
    <row r="4510" spans="1:15" ht="51" x14ac:dyDescent="0.2">
      <c r="A4510" s="197" t="str">
        <f t="shared" si="70"/>
        <v>GmmCode_liquefaction</v>
      </c>
      <c r="B4510" s="409"/>
      <c r="C4510" s="416"/>
      <c r="D4510" s="198" t="s">
        <v>34034</v>
      </c>
      <c r="E4510" s="198">
        <v>2</v>
      </c>
      <c r="F4510" s="199" t="s">
        <v>34035</v>
      </c>
      <c r="G4510" s="1" t="s">
        <v>34036</v>
      </c>
      <c r="H4510" s="1" t="s">
        <v>34037</v>
      </c>
      <c r="I4510" s="346"/>
      <c r="J4510" s="39">
        <v>113366</v>
      </c>
      <c r="K4510" s="36" t="str">
        <f>CONCATENATE(Cover!$D$6,"fdd/view?i=",J4510)</f>
        <v>https://www.dgiwg.org/FAD/fdd/view?i=113366</v>
      </c>
      <c r="L4510" s="36" t="s">
        <v>34038</v>
      </c>
      <c r="M4510" s="186"/>
      <c r="N4510" s="186"/>
      <c r="O4510" s="172"/>
    </row>
    <row r="4511" spans="1:15" ht="38.25" x14ac:dyDescent="0.2">
      <c r="A4511" s="197" t="str">
        <f t="shared" si="70"/>
        <v>GmmCode_mudFlow</v>
      </c>
      <c r="B4511" s="409"/>
      <c r="C4511" s="416"/>
      <c r="D4511" s="198" t="s">
        <v>29082</v>
      </c>
      <c r="E4511" s="198">
        <v>5</v>
      </c>
      <c r="F4511" s="199" t="s">
        <v>29083</v>
      </c>
      <c r="G4511" s="1" t="s">
        <v>34039</v>
      </c>
      <c r="H4511" s="200"/>
      <c r="I4511" s="346"/>
      <c r="J4511" s="39">
        <v>113369</v>
      </c>
      <c r="K4511" s="36" t="str">
        <f>CONCATENATE(Cover!$D$6,"fdd/view?i=",J4511)</f>
        <v>https://www.dgiwg.org/FAD/fdd/view?i=113369</v>
      </c>
      <c r="L4511" s="36" t="s">
        <v>34040</v>
      </c>
      <c r="M4511" s="186"/>
      <c r="N4511" s="186"/>
      <c r="O4511" s="172"/>
    </row>
    <row r="4512" spans="1:15" ht="25.5" x14ac:dyDescent="0.2">
      <c r="A4512" s="197" t="str">
        <f t="shared" si="70"/>
        <v>GmmCode_rockAvalanche</v>
      </c>
      <c r="B4512" s="409"/>
      <c r="C4512" s="416"/>
      <c r="D4512" s="198" t="s">
        <v>34041</v>
      </c>
      <c r="E4512" s="198">
        <v>6</v>
      </c>
      <c r="F4512" s="199" t="s">
        <v>34042</v>
      </c>
      <c r="G4512" s="1" t="s">
        <v>34043</v>
      </c>
      <c r="H4512" s="200"/>
      <c r="I4512" s="346"/>
      <c r="J4512" s="39">
        <v>113370</v>
      </c>
      <c r="K4512" s="36" t="str">
        <f>CONCATENATE(Cover!$D$6,"fdd/view?i=",J4512)</f>
        <v>https://www.dgiwg.org/FAD/fdd/view?i=113370</v>
      </c>
      <c r="L4512" s="36" t="s">
        <v>34044</v>
      </c>
      <c r="M4512" s="186"/>
      <c r="N4512" s="186"/>
      <c r="O4512" s="172"/>
    </row>
    <row r="4513" spans="1:15" ht="38.25" x14ac:dyDescent="0.2">
      <c r="A4513" s="197" t="str">
        <f t="shared" si="70"/>
        <v>GmmCode_rockFall</v>
      </c>
      <c r="B4513" s="409"/>
      <c r="C4513" s="416"/>
      <c r="D4513" s="198" t="s">
        <v>29086</v>
      </c>
      <c r="E4513" s="198">
        <v>7</v>
      </c>
      <c r="F4513" s="199" t="s">
        <v>29087</v>
      </c>
      <c r="G4513" s="1" t="s">
        <v>34045</v>
      </c>
      <c r="H4513" s="200"/>
      <c r="I4513" s="346"/>
      <c r="J4513" s="39">
        <v>113371</v>
      </c>
      <c r="K4513" s="36" t="str">
        <f>CONCATENATE(Cover!$D$6,"fdd/view?i=",J4513)</f>
        <v>https://www.dgiwg.org/FAD/fdd/view?i=113371</v>
      </c>
      <c r="L4513" s="36" t="s">
        <v>34046</v>
      </c>
      <c r="M4513" s="186"/>
      <c r="N4513" s="186"/>
      <c r="O4513" s="172"/>
    </row>
    <row r="4514" spans="1:15" ht="38.25" x14ac:dyDescent="0.2">
      <c r="A4514" s="197" t="str">
        <f t="shared" si="70"/>
        <v>GmmCode_snowAvalanche</v>
      </c>
      <c r="B4514" s="409"/>
      <c r="C4514" s="416"/>
      <c r="D4514" s="198" t="s">
        <v>34047</v>
      </c>
      <c r="E4514" s="198">
        <v>8</v>
      </c>
      <c r="F4514" s="199" t="s">
        <v>34048</v>
      </c>
      <c r="G4514" s="1" t="s">
        <v>34049</v>
      </c>
      <c r="H4514" s="200"/>
      <c r="I4514" s="346"/>
      <c r="J4514" s="39">
        <v>113372</v>
      </c>
      <c r="K4514" s="36" t="str">
        <f>CONCATENATE(Cover!$D$6,"fdd/view?i=",J4514)</f>
        <v>https://www.dgiwg.org/FAD/fdd/view?i=113372</v>
      </c>
      <c r="L4514" s="36" t="s">
        <v>34050</v>
      </c>
      <c r="M4514" s="186"/>
      <c r="N4514" s="186"/>
      <c r="O4514" s="172"/>
    </row>
    <row r="4515" spans="1:15" ht="25.5" x14ac:dyDescent="0.2">
      <c r="A4515" s="203" t="str">
        <f t="shared" si="70"/>
        <v>GmmCode_terrainRupture</v>
      </c>
      <c r="B4515" s="410"/>
      <c r="C4515" s="417"/>
      <c r="D4515" s="204" t="s">
        <v>34051</v>
      </c>
      <c r="E4515" s="204">
        <v>9</v>
      </c>
      <c r="F4515" s="205" t="s">
        <v>34052</v>
      </c>
      <c r="G4515" s="206" t="s">
        <v>34053</v>
      </c>
      <c r="H4515" s="207"/>
      <c r="I4515" s="347"/>
      <c r="J4515" s="39">
        <v>113373</v>
      </c>
      <c r="K4515" s="36" t="str">
        <f>CONCATENATE(Cover!$D$6,"fdd/view?i=",J4515)</f>
        <v>https://www.dgiwg.org/FAD/fdd/view?i=113373</v>
      </c>
      <c r="L4515" s="36" t="s">
        <v>34054</v>
      </c>
      <c r="M4515" s="186"/>
      <c r="N4515" s="186"/>
      <c r="O4515" s="172"/>
    </row>
    <row r="4516" spans="1:15" ht="25.5" x14ac:dyDescent="0.2">
      <c r="A4516" s="190" t="str">
        <f t="shared" si="70"/>
        <v>GsgCode_anticlinalAxis</v>
      </c>
      <c r="B4516" s="414" t="str">
        <f>HYPERLINK("[#]Datatypes!A638:L638","GsgCode")</f>
        <v>GsgCode</v>
      </c>
      <c r="C4516" s="415" t="s">
        <v>15213</v>
      </c>
      <c r="D4516" s="221" t="s">
        <v>34055</v>
      </c>
      <c r="E4516" s="221">
        <v>1</v>
      </c>
      <c r="F4516" s="222" t="s">
        <v>34056</v>
      </c>
      <c r="G4516" s="223" t="s">
        <v>34057</v>
      </c>
      <c r="H4516" s="223" t="s">
        <v>34058</v>
      </c>
      <c r="I4516" s="345"/>
      <c r="J4516" s="39">
        <v>113375</v>
      </c>
      <c r="K4516" s="36" t="str">
        <f>CONCATENATE(Cover!$D$6,"fdd/view?i=",J4516)</f>
        <v>https://www.dgiwg.org/FAD/fdd/view?i=113375</v>
      </c>
      <c r="L4516" s="36" t="s">
        <v>34059</v>
      </c>
      <c r="M4516" s="186"/>
      <c r="N4516" s="186"/>
      <c r="O4516" s="172"/>
    </row>
    <row r="4517" spans="1:15" ht="38.25" x14ac:dyDescent="0.2">
      <c r="A4517" s="197" t="str">
        <f t="shared" si="70"/>
        <v>GsgCode_dipAngle</v>
      </c>
      <c r="B4517" s="409"/>
      <c r="C4517" s="416"/>
      <c r="D4517" s="198" t="s">
        <v>34060</v>
      </c>
      <c r="E4517" s="198">
        <v>6</v>
      </c>
      <c r="F4517" s="199" t="s">
        <v>34061</v>
      </c>
      <c r="G4517" s="1" t="s">
        <v>34062</v>
      </c>
      <c r="H4517" s="200"/>
      <c r="I4517" s="346"/>
      <c r="J4517" s="39">
        <v>113380</v>
      </c>
      <c r="K4517" s="36" t="str">
        <f>CONCATENATE(Cover!$D$6,"fdd/view?i=",J4517)</f>
        <v>https://www.dgiwg.org/FAD/fdd/view?i=113380</v>
      </c>
      <c r="L4517" s="36" t="s">
        <v>34063</v>
      </c>
      <c r="M4517" s="186"/>
      <c r="N4517" s="186"/>
      <c r="O4517" s="172"/>
    </row>
    <row r="4518" spans="1:15" ht="25.5" x14ac:dyDescent="0.2">
      <c r="A4518" s="197" t="str">
        <f t="shared" si="70"/>
        <v>GsgCode_dipDirection</v>
      </c>
      <c r="B4518" s="409"/>
      <c r="C4518" s="416"/>
      <c r="D4518" s="198" t="s">
        <v>34064</v>
      </c>
      <c r="E4518" s="198">
        <v>5</v>
      </c>
      <c r="F4518" s="199" t="s">
        <v>34065</v>
      </c>
      <c r="G4518" s="1" t="s">
        <v>34066</v>
      </c>
      <c r="H4518" s="1" t="s">
        <v>9199</v>
      </c>
      <c r="I4518" s="346"/>
      <c r="J4518" s="39">
        <v>113379</v>
      </c>
      <c r="K4518" s="36" t="str">
        <f>CONCATENATE(Cover!$D$6,"fdd/view?i=",J4518)</f>
        <v>https://www.dgiwg.org/FAD/fdd/view?i=113379</v>
      </c>
      <c r="L4518" s="36" t="s">
        <v>34067</v>
      </c>
      <c r="M4518" s="186"/>
      <c r="N4518" s="186"/>
      <c r="O4518" s="172"/>
    </row>
    <row r="4519" spans="1:15" x14ac:dyDescent="0.2">
      <c r="A4519" s="197" t="str">
        <f t="shared" si="70"/>
        <v>GsgCode_foldAxis</v>
      </c>
      <c r="B4519" s="409"/>
      <c r="C4519" s="416"/>
      <c r="D4519" s="198" t="s">
        <v>34068</v>
      </c>
      <c r="E4519" s="198">
        <v>2</v>
      </c>
      <c r="F4519" s="199" t="s">
        <v>34069</v>
      </c>
      <c r="G4519" s="1" t="s">
        <v>34070</v>
      </c>
      <c r="H4519" s="1" t="s">
        <v>34071</v>
      </c>
      <c r="I4519" s="346"/>
      <c r="J4519" s="39">
        <v>113376</v>
      </c>
      <c r="K4519" s="36" t="str">
        <f>CONCATENATE(Cover!$D$6,"fdd/view?i=",J4519)</f>
        <v>https://www.dgiwg.org/FAD/fdd/view?i=113376</v>
      </c>
      <c r="L4519" s="36" t="s">
        <v>34072</v>
      </c>
      <c r="M4519" s="186"/>
      <c r="N4519" s="186"/>
      <c r="O4519" s="172"/>
    </row>
    <row r="4520" spans="1:15" ht="25.5" x14ac:dyDescent="0.2">
      <c r="A4520" s="197" t="str">
        <f t="shared" si="70"/>
        <v>GsgCode_strike</v>
      </c>
      <c r="B4520" s="409"/>
      <c r="C4520" s="416"/>
      <c r="D4520" s="198" t="s">
        <v>34073</v>
      </c>
      <c r="E4520" s="198">
        <v>4</v>
      </c>
      <c r="F4520" s="199" t="s">
        <v>34074</v>
      </c>
      <c r="G4520" s="1" t="s">
        <v>34075</v>
      </c>
      <c r="H4520" s="1" t="s">
        <v>34076</v>
      </c>
      <c r="I4520" s="346"/>
      <c r="J4520" s="39">
        <v>113378</v>
      </c>
      <c r="K4520" s="36" t="str">
        <f>CONCATENATE(Cover!$D$6,"fdd/view?i=",J4520)</f>
        <v>https://www.dgiwg.org/FAD/fdd/view?i=113378</v>
      </c>
      <c r="L4520" s="36" t="s">
        <v>34077</v>
      </c>
      <c r="M4520" s="186"/>
      <c r="N4520" s="186"/>
      <c r="O4520" s="172"/>
    </row>
    <row r="4521" spans="1:15" ht="25.5" x14ac:dyDescent="0.2">
      <c r="A4521" s="203" t="str">
        <f t="shared" si="70"/>
        <v>GsgCode_synclinalAxis</v>
      </c>
      <c r="B4521" s="410"/>
      <c r="C4521" s="417"/>
      <c r="D4521" s="204" t="s">
        <v>34078</v>
      </c>
      <c r="E4521" s="204">
        <v>3</v>
      </c>
      <c r="F4521" s="205" t="s">
        <v>34079</v>
      </c>
      <c r="G4521" s="206" t="s">
        <v>34080</v>
      </c>
      <c r="H4521" s="206" t="s">
        <v>34081</v>
      </c>
      <c r="I4521" s="347"/>
      <c r="J4521" s="39">
        <v>113377</v>
      </c>
      <c r="K4521" s="36" t="str">
        <f>CONCATENATE(Cover!$D$6,"fdd/view?i=",J4521)</f>
        <v>https://www.dgiwg.org/FAD/fdd/view?i=113377</v>
      </c>
      <c r="L4521" s="36" t="s">
        <v>34082</v>
      </c>
      <c r="M4521" s="186"/>
      <c r="N4521" s="186"/>
      <c r="O4521" s="172"/>
    </row>
    <row r="4522" spans="1:15" ht="38.25" x14ac:dyDescent="0.2">
      <c r="A4522" s="190" t="str">
        <f t="shared" si="70"/>
        <v>GhpCode_abrasion</v>
      </c>
      <c r="B4522" s="414" t="str">
        <f>HYPERLINK("[#]Datatypes!A640:L640","GhpCode")</f>
        <v>GhpCode</v>
      </c>
      <c r="C4522" s="415" t="s">
        <v>15215</v>
      </c>
      <c r="D4522" s="221" t="s">
        <v>34083</v>
      </c>
      <c r="E4522" s="221">
        <v>1</v>
      </c>
      <c r="F4522" s="222" t="s">
        <v>34084</v>
      </c>
      <c r="G4522" s="223" t="s">
        <v>34085</v>
      </c>
      <c r="H4522" s="224"/>
      <c r="I4522" s="345"/>
      <c r="J4522" s="39">
        <v>113349</v>
      </c>
      <c r="K4522" s="36" t="str">
        <f>CONCATENATE(Cover!$D$6,"fdd/view?i=",J4522)</f>
        <v>https://www.dgiwg.org/FAD/fdd/view?i=113349</v>
      </c>
      <c r="L4522" s="36" t="s">
        <v>34086</v>
      </c>
      <c r="M4522" s="186"/>
      <c r="N4522" s="186"/>
      <c r="O4522" s="172"/>
    </row>
    <row r="4523" spans="1:15" ht="38.25" x14ac:dyDescent="0.2">
      <c r="A4523" s="197" t="str">
        <f t="shared" si="70"/>
        <v>GhpCode_avalanche</v>
      </c>
      <c r="B4523" s="409"/>
      <c r="C4523" s="416"/>
      <c r="D4523" s="198" t="s">
        <v>29061</v>
      </c>
      <c r="E4523" s="198">
        <v>2</v>
      </c>
      <c r="F4523" s="199" t="s">
        <v>29062</v>
      </c>
      <c r="G4523" s="1" t="s">
        <v>34087</v>
      </c>
      <c r="H4523" s="200"/>
      <c r="I4523" s="346"/>
      <c r="J4523" s="39">
        <v>113350</v>
      </c>
      <c r="K4523" s="36" t="str">
        <f>CONCATENATE(Cover!$D$6,"fdd/view?i=",J4523)</f>
        <v>https://www.dgiwg.org/FAD/fdd/view?i=113350</v>
      </c>
      <c r="L4523" s="36" t="s">
        <v>34088</v>
      </c>
      <c r="M4523" s="186"/>
      <c r="N4523" s="186"/>
      <c r="O4523" s="172"/>
    </row>
    <row r="4524" spans="1:15" ht="25.5" x14ac:dyDescent="0.2">
      <c r="A4524" s="197" t="str">
        <f t="shared" si="70"/>
        <v>GhpCode_circularSubsidence</v>
      </c>
      <c r="B4524" s="409"/>
      <c r="C4524" s="416"/>
      <c r="D4524" s="198" t="s">
        <v>34089</v>
      </c>
      <c r="E4524" s="198">
        <v>3</v>
      </c>
      <c r="F4524" s="199" t="s">
        <v>34090</v>
      </c>
      <c r="G4524" s="1" t="s">
        <v>34091</v>
      </c>
      <c r="H4524" s="200"/>
      <c r="I4524" s="351" t="s">
        <v>34092</v>
      </c>
      <c r="J4524" s="39">
        <v>113351</v>
      </c>
      <c r="K4524" s="36" t="str">
        <f>CONCATENATE(Cover!$D$6,"fdd/view?i=",J4524)</f>
        <v>https://www.dgiwg.org/FAD/fdd/view?i=113351</v>
      </c>
      <c r="L4524" s="36" t="s">
        <v>34093</v>
      </c>
      <c r="M4524" s="186"/>
      <c r="N4524" s="186"/>
      <c r="O4524" s="172"/>
    </row>
    <row r="4525" spans="1:15" ht="25.5" x14ac:dyDescent="0.2">
      <c r="A4525" s="197" t="str">
        <f t="shared" si="70"/>
        <v>GhpCode_coastalErosion</v>
      </c>
      <c r="B4525" s="409"/>
      <c r="C4525" s="416"/>
      <c r="D4525" s="198" t="s">
        <v>34094</v>
      </c>
      <c r="E4525" s="198">
        <v>14</v>
      </c>
      <c r="F4525" s="199" t="s">
        <v>34095</v>
      </c>
      <c r="G4525" s="1" t="s">
        <v>34096</v>
      </c>
      <c r="H4525" s="200"/>
      <c r="I4525" s="346"/>
      <c r="J4525" s="39">
        <v>113360</v>
      </c>
      <c r="K4525" s="36" t="str">
        <f>CONCATENATE(Cover!$D$6,"fdd/view?i=",J4525)</f>
        <v>https://www.dgiwg.org/FAD/fdd/view?i=113360</v>
      </c>
      <c r="L4525" s="36" t="s">
        <v>34097</v>
      </c>
      <c r="M4525" s="186"/>
      <c r="N4525" s="186"/>
      <c r="O4525" s="172"/>
    </row>
    <row r="4526" spans="1:15" x14ac:dyDescent="0.2">
      <c r="A4526" s="197" t="str">
        <f t="shared" si="70"/>
        <v>GhpCode_cryoturbation</v>
      </c>
      <c r="B4526" s="409"/>
      <c r="C4526" s="416"/>
      <c r="D4526" s="198" t="s">
        <v>34098</v>
      </c>
      <c r="E4526" s="198">
        <v>4</v>
      </c>
      <c r="F4526" s="199" t="s">
        <v>34099</v>
      </c>
      <c r="G4526" s="1" t="s">
        <v>34100</v>
      </c>
      <c r="H4526" s="200"/>
      <c r="I4526" s="346"/>
      <c r="J4526" s="39">
        <v>113352</v>
      </c>
      <c r="K4526" s="36" t="str">
        <f>CONCATENATE(Cover!$D$6,"fdd/view?i=",J4526)</f>
        <v>https://www.dgiwg.org/FAD/fdd/view?i=113352</v>
      </c>
      <c r="L4526" s="36" t="s">
        <v>34101</v>
      </c>
      <c r="M4526" s="186"/>
      <c r="N4526" s="186"/>
      <c r="O4526" s="172"/>
    </row>
    <row r="4527" spans="1:15" ht="25.5" x14ac:dyDescent="0.2">
      <c r="A4527" s="197" t="str">
        <f t="shared" si="70"/>
        <v>GhpCode_deflation</v>
      </c>
      <c r="B4527" s="409"/>
      <c r="C4527" s="416"/>
      <c r="D4527" s="198" t="s">
        <v>34102</v>
      </c>
      <c r="E4527" s="198">
        <v>5</v>
      </c>
      <c r="F4527" s="199" t="s">
        <v>34103</v>
      </c>
      <c r="G4527" s="1" t="s">
        <v>34104</v>
      </c>
      <c r="H4527" s="200"/>
      <c r="I4527" s="346"/>
      <c r="J4527" s="39">
        <v>113353</v>
      </c>
      <c r="K4527" s="36" t="str">
        <f>CONCATENATE(Cover!$D$6,"fdd/view?i=",J4527)</f>
        <v>https://www.dgiwg.org/FAD/fdd/view?i=113353</v>
      </c>
      <c r="L4527" s="36" t="s">
        <v>34105</v>
      </c>
      <c r="M4527" s="186"/>
      <c r="N4527" s="186"/>
      <c r="O4527" s="172"/>
    </row>
    <row r="4528" spans="1:15" ht="25.5" x14ac:dyDescent="0.2">
      <c r="A4528" s="197" t="str">
        <f t="shared" si="70"/>
        <v>GhpCode_drainageChannel</v>
      </c>
      <c r="B4528" s="409"/>
      <c r="C4528" s="416"/>
      <c r="D4528" s="198" t="s">
        <v>34106</v>
      </c>
      <c r="E4528" s="198">
        <v>6</v>
      </c>
      <c r="F4528" s="199" t="s">
        <v>34107</v>
      </c>
      <c r="G4528" s="1" t="s">
        <v>34108</v>
      </c>
      <c r="H4528" s="200"/>
      <c r="I4528" s="346"/>
      <c r="J4528" s="39">
        <v>113354</v>
      </c>
      <c r="K4528" s="36" t="str">
        <f>CONCATENATE(Cover!$D$6,"fdd/view?i=",J4528)</f>
        <v>https://www.dgiwg.org/FAD/fdd/view?i=113354</v>
      </c>
      <c r="L4528" s="36" t="s">
        <v>34109</v>
      </c>
      <c r="M4528" s="186"/>
      <c r="N4528" s="186"/>
      <c r="O4528" s="172"/>
    </row>
    <row r="4529" spans="1:15" ht="38.25" x14ac:dyDescent="0.2">
      <c r="A4529" s="197" t="str">
        <f t="shared" si="70"/>
        <v>GhpCode_karstification</v>
      </c>
      <c r="B4529" s="409"/>
      <c r="C4529" s="416"/>
      <c r="D4529" s="198" t="s">
        <v>34110</v>
      </c>
      <c r="E4529" s="198">
        <v>7</v>
      </c>
      <c r="F4529" s="199" t="s">
        <v>34111</v>
      </c>
      <c r="G4529" s="1" t="s">
        <v>34112</v>
      </c>
      <c r="H4529" s="200"/>
      <c r="I4529" s="346"/>
      <c r="J4529" s="39">
        <v>113355</v>
      </c>
      <c r="K4529" s="36" t="str">
        <f>CONCATENATE(Cover!$D$6,"fdd/view?i=",J4529)</f>
        <v>https://www.dgiwg.org/FAD/fdd/view?i=113355</v>
      </c>
      <c r="L4529" s="36" t="s">
        <v>34113</v>
      </c>
      <c r="M4529" s="186"/>
      <c r="N4529" s="186"/>
      <c r="O4529" s="172"/>
    </row>
    <row r="4530" spans="1:15" ht="25.5" x14ac:dyDescent="0.2">
      <c r="A4530" s="197" t="str">
        <f t="shared" si="70"/>
        <v>GhpCode_massFlow</v>
      </c>
      <c r="B4530" s="409"/>
      <c r="C4530" s="416"/>
      <c r="D4530" s="198" t="s">
        <v>34114</v>
      </c>
      <c r="E4530" s="198">
        <v>8</v>
      </c>
      <c r="F4530" s="199" t="s">
        <v>34115</v>
      </c>
      <c r="G4530" s="1" t="s">
        <v>34116</v>
      </c>
      <c r="H4530" s="1" t="s">
        <v>34117</v>
      </c>
      <c r="I4530" s="346"/>
      <c r="J4530" s="39">
        <v>113356</v>
      </c>
      <c r="K4530" s="36" t="str">
        <f>CONCATENATE(Cover!$D$6,"fdd/view?i=",J4530)</f>
        <v>https://www.dgiwg.org/FAD/fdd/view?i=113356</v>
      </c>
      <c r="L4530" s="36" t="s">
        <v>34118</v>
      </c>
      <c r="M4530" s="186"/>
      <c r="N4530" s="186"/>
      <c r="O4530" s="172"/>
    </row>
    <row r="4531" spans="1:15" ht="25.5" x14ac:dyDescent="0.2">
      <c r="A4531" s="197" t="str">
        <f t="shared" si="70"/>
        <v>GhpCode_solifluction</v>
      </c>
      <c r="B4531" s="409"/>
      <c r="C4531" s="416"/>
      <c r="D4531" s="198" t="s">
        <v>34119</v>
      </c>
      <c r="E4531" s="198">
        <v>10</v>
      </c>
      <c r="F4531" s="199" t="s">
        <v>34120</v>
      </c>
      <c r="G4531" s="1" t="s">
        <v>34121</v>
      </c>
      <c r="H4531" s="1" t="s">
        <v>34122</v>
      </c>
      <c r="I4531" s="351" t="s">
        <v>34123</v>
      </c>
      <c r="J4531" s="39">
        <v>113357</v>
      </c>
      <c r="K4531" s="36" t="str">
        <f>CONCATENATE(Cover!$D$6,"fdd/view?i=",J4531)</f>
        <v>https://www.dgiwg.org/FAD/fdd/view?i=113357</v>
      </c>
      <c r="L4531" s="36" t="s">
        <v>34124</v>
      </c>
      <c r="M4531" s="186"/>
      <c r="N4531" s="186"/>
      <c r="O4531" s="172"/>
    </row>
    <row r="4532" spans="1:15" ht="51" x14ac:dyDescent="0.2">
      <c r="A4532" s="197" t="str">
        <f t="shared" si="70"/>
        <v>GhpCode_suffosion</v>
      </c>
      <c r="B4532" s="409"/>
      <c r="C4532" s="416"/>
      <c r="D4532" s="198" t="s">
        <v>34125</v>
      </c>
      <c r="E4532" s="198">
        <v>12</v>
      </c>
      <c r="F4532" s="199" t="s">
        <v>34126</v>
      </c>
      <c r="G4532" s="1" t="s">
        <v>34127</v>
      </c>
      <c r="H4532" s="200"/>
      <c r="I4532" s="346"/>
      <c r="J4532" s="39">
        <v>113358</v>
      </c>
      <c r="K4532" s="36" t="str">
        <f>CONCATENATE(Cover!$D$6,"fdd/view?i=",J4532)</f>
        <v>https://www.dgiwg.org/FAD/fdd/view?i=113358</v>
      </c>
      <c r="L4532" s="36" t="s">
        <v>34128</v>
      </c>
      <c r="M4532" s="186"/>
      <c r="N4532" s="186"/>
      <c r="O4532" s="172"/>
    </row>
    <row r="4533" spans="1:15" ht="38.25" x14ac:dyDescent="0.2">
      <c r="A4533" s="203" t="str">
        <f t="shared" si="70"/>
        <v>GhpCode_washout</v>
      </c>
      <c r="B4533" s="410"/>
      <c r="C4533" s="417"/>
      <c r="D4533" s="204" t="s">
        <v>34129</v>
      </c>
      <c r="E4533" s="204">
        <v>13</v>
      </c>
      <c r="F4533" s="205" t="s">
        <v>34130</v>
      </c>
      <c r="G4533" s="206" t="s">
        <v>34131</v>
      </c>
      <c r="H4533" s="207"/>
      <c r="I4533" s="347"/>
      <c r="J4533" s="39">
        <v>113359</v>
      </c>
      <c r="K4533" s="36" t="str">
        <f>CONCATENATE(Cover!$D$6,"fdd/view?i=",J4533)</f>
        <v>https://www.dgiwg.org/FAD/fdd/view?i=113359</v>
      </c>
      <c r="L4533" s="36" t="s">
        <v>34132</v>
      </c>
      <c r="M4533" s="186"/>
      <c r="N4533" s="186"/>
      <c r="O4533" s="172"/>
    </row>
    <row r="4534" spans="1:15" ht="25.5" x14ac:dyDescent="0.2">
      <c r="A4534" s="190" t="str">
        <f t="shared" si="70"/>
        <v>GztCode_abruptSlopeChange</v>
      </c>
      <c r="B4534" s="414" t="str">
        <f>HYPERLINK("[#]Datatypes!A642:L642","GztCode")</f>
        <v>GztCode</v>
      </c>
      <c r="C4534" s="415" t="s">
        <v>15217</v>
      </c>
      <c r="D4534" s="221" t="s">
        <v>34133</v>
      </c>
      <c r="E4534" s="221">
        <v>10</v>
      </c>
      <c r="F4534" s="222" t="s">
        <v>34134</v>
      </c>
      <c r="G4534" s="223" t="s">
        <v>34135</v>
      </c>
      <c r="H4534" s="224"/>
      <c r="I4534" s="345"/>
      <c r="J4534" s="39">
        <v>118984</v>
      </c>
      <c r="K4534" s="36" t="str">
        <f>CONCATENATE(Cover!$D$6,"fdd/view?i=",J4534)</f>
        <v>https://www.dgiwg.org/FAD/fdd/view?i=118984</v>
      </c>
      <c r="L4534" s="36" t="s">
        <v>34136</v>
      </c>
      <c r="M4534" s="186"/>
      <c r="N4534" s="186"/>
      <c r="O4534" s="172"/>
    </row>
    <row r="4535" spans="1:15" ht="25.5" x14ac:dyDescent="0.2">
      <c r="A4535" s="197" t="str">
        <f t="shared" si="70"/>
        <v>GztCode_centerlineDrain</v>
      </c>
      <c r="B4535" s="409"/>
      <c r="C4535" s="416"/>
      <c r="D4535" s="198" t="s">
        <v>34137</v>
      </c>
      <c r="E4535" s="198">
        <v>7</v>
      </c>
      <c r="F4535" s="199" t="s">
        <v>34138</v>
      </c>
      <c r="G4535" s="1" t="s">
        <v>34139</v>
      </c>
      <c r="H4535" s="200"/>
      <c r="I4535" s="346"/>
      <c r="J4535" s="39">
        <v>118981</v>
      </c>
      <c r="K4535" s="36" t="str">
        <f>CONCATENATE(Cover!$D$6,"fdd/view?i=",J4535)</f>
        <v>https://www.dgiwg.org/FAD/fdd/view?i=118981</v>
      </c>
      <c r="L4535" s="36" t="s">
        <v>34140</v>
      </c>
      <c r="M4535" s="186"/>
      <c r="N4535" s="186"/>
      <c r="O4535" s="172"/>
    </row>
    <row r="4536" spans="1:15" ht="25.5" x14ac:dyDescent="0.2">
      <c r="A4536" s="197" t="str">
        <f t="shared" si="70"/>
        <v>GztCode_cliffBottom</v>
      </c>
      <c r="B4536" s="409"/>
      <c r="C4536" s="416"/>
      <c r="D4536" s="198" t="s">
        <v>34141</v>
      </c>
      <c r="E4536" s="198">
        <v>4</v>
      </c>
      <c r="F4536" s="199" t="s">
        <v>34142</v>
      </c>
      <c r="G4536" s="1" t="s">
        <v>34143</v>
      </c>
      <c r="H4536" s="200"/>
      <c r="I4536" s="346"/>
      <c r="J4536" s="39">
        <v>118978</v>
      </c>
      <c r="K4536" s="36" t="str">
        <f>CONCATENATE(Cover!$D$6,"fdd/view?i=",J4536)</f>
        <v>https://www.dgiwg.org/FAD/fdd/view?i=118978</v>
      </c>
      <c r="L4536" s="36" t="s">
        <v>34144</v>
      </c>
      <c r="M4536" s="186"/>
      <c r="N4536" s="186"/>
      <c r="O4536" s="172"/>
    </row>
    <row r="4537" spans="1:15" ht="25.5" x14ac:dyDescent="0.2">
      <c r="A4537" s="197" t="str">
        <f t="shared" si="70"/>
        <v>GztCode_cliffTop</v>
      </c>
      <c r="B4537" s="409"/>
      <c r="C4537" s="416"/>
      <c r="D4537" s="198" t="s">
        <v>34145</v>
      </c>
      <c r="E4537" s="198">
        <v>3</v>
      </c>
      <c r="F4537" s="199" t="s">
        <v>34146</v>
      </c>
      <c r="G4537" s="1" t="s">
        <v>34147</v>
      </c>
      <c r="H4537" s="200"/>
      <c r="I4537" s="346"/>
      <c r="J4537" s="39">
        <v>118977</v>
      </c>
      <c r="K4537" s="36" t="str">
        <f>CONCATENATE(Cover!$D$6,"fdd/view?i=",J4537)</f>
        <v>https://www.dgiwg.org/FAD/fdd/view?i=118977</v>
      </c>
      <c r="L4537" s="36" t="s">
        <v>34148</v>
      </c>
      <c r="M4537" s="186"/>
      <c r="N4537" s="186"/>
      <c r="O4537" s="172"/>
    </row>
    <row r="4538" spans="1:15" ht="25.5" x14ac:dyDescent="0.2">
      <c r="A4538" s="197" t="str">
        <f t="shared" si="70"/>
        <v>GztCode_faultlineBottom</v>
      </c>
      <c r="B4538" s="409"/>
      <c r="C4538" s="416"/>
      <c r="D4538" s="198" t="s">
        <v>34149</v>
      </c>
      <c r="E4538" s="198">
        <v>6</v>
      </c>
      <c r="F4538" s="199" t="s">
        <v>34150</v>
      </c>
      <c r="G4538" s="1" t="s">
        <v>34151</v>
      </c>
      <c r="H4538" s="200"/>
      <c r="I4538" s="346"/>
      <c r="J4538" s="39">
        <v>118980</v>
      </c>
      <c r="K4538" s="36" t="str">
        <f>CONCATENATE(Cover!$D$6,"fdd/view?i=",J4538)</f>
        <v>https://www.dgiwg.org/FAD/fdd/view?i=118980</v>
      </c>
      <c r="L4538" s="36" t="s">
        <v>34152</v>
      </c>
      <c r="M4538" s="186"/>
      <c r="N4538" s="186"/>
      <c r="O4538" s="172"/>
    </row>
    <row r="4539" spans="1:15" x14ac:dyDescent="0.2">
      <c r="A4539" s="197" t="str">
        <f t="shared" si="70"/>
        <v>GztCode_faultlineTop</v>
      </c>
      <c r="B4539" s="409"/>
      <c r="C4539" s="416"/>
      <c r="D4539" s="198" t="s">
        <v>34153</v>
      </c>
      <c r="E4539" s="198">
        <v>5</v>
      </c>
      <c r="F4539" s="199" t="s">
        <v>34154</v>
      </c>
      <c r="G4539" s="1" t="s">
        <v>34155</v>
      </c>
      <c r="H4539" s="200"/>
      <c r="I4539" s="346"/>
      <c r="J4539" s="39">
        <v>118979</v>
      </c>
      <c r="K4539" s="36" t="str">
        <f>CONCATENATE(Cover!$D$6,"fdd/view?i=",J4539)</f>
        <v>https://www.dgiwg.org/FAD/fdd/view?i=118979</v>
      </c>
      <c r="L4539" s="36" t="s">
        <v>34156</v>
      </c>
      <c r="M4539" s="186"/>
      <c r="N4539" s="186"/>
      <c r="O4539" s="172"/>
    </row>
    <row r="4540" spans="1:15" ht="25.5" x14ac:dyDescent="0.2">
      <c r="A4540" s="197" t="str">
        <f t="shared" si="70"/>
        <v>GztCode_peak</v>
      </c>
      <c r="B4540" s="409"/>
      <c r="C4540" s="416"/>
      <c r="D4540" s="198" t="s">
        <v>34157</v>
      </c>
      <c r="E4540" s="198">
        <v>1</v>
      </c>
      <c r="F4540" s="199" t="s">
        <v>34158</v>
      </c>
      <c r="G4540" s="1" t="s">
        <v>34159</v>
      </c>
      <c r="H4540" s="200"/>
      <c r="I4540" s="346"/>
      <c r="J4540" s="39">
        <v>118975</v>
      </c>
      <c r="K4540" s="36" t="str">
        <f>CONCATENATE(Cover!$D$6,"fdd/view?i=",J4540)</f>
        <v>https://www.dgiwg.org/FAD/fdd/view?i=118975</v>
      </c>
      <c r="L4540" s="36" t="s">
        <v>34160</v>
      </c>
      <c r="M4540" s="186"/>
      <c r="N4540" s="186"/>
      <c r="O4540" s="172"/>
    </row>
    <row r="4541" spans="1:15" ht="25.5" x14ac:dyDescent="0.2">
      <c r="A4541" s="197" t="str">
        <f t="shared" si="70"/>
        <v>GztCode_pit</v>
      </c>
      <c r="B4541" s="409"/>
      <c r="C4541" s="416"/>
      <c r="D4541" s="198" t="s">
        <v>34161</v>
      </c>
      <c r="E4541" s="198">
        <v>2</v>
      </c>
      <c r="F4541" s="199" t="s">
        <v>34162</v>
      </c>
      <c r="G4541" s="1" t="s">
        <v>34163</v>
      </c>
      <c r="H4541" s="200"/>
      <c r="I4541" s="346"/>
      <c r="J4541" s="39">
        <v>118976</v>
      </c>
      <c r="K4541" s="36" t="str">
        <f>CONCATENATE(Cover!$D$6,"fdd/view?i=",J4541)</f>
        <v>https://www.dgiwg.org/FAD/fdd/view?i=118976</v>
      </c>
      <c r="L4541" s="36" t="s">
        <v>34164</v>
      </c>
      <c r="M4541" s="186"/>
      <c r="N4541" s="186"/>
      <c r="O4541" s="172"/>
    </row>
    <row r="4542" spans="1:15" ht="25.5" x14ac:dyDescent="0.2">
      <c r="A4542" s="197" t="str">
        <f t="shared" si="70"/>
        <v>GztCode_ridgeline</v>
      </c>
      <c r="B4542" s="409"/>
      <c r="C4542" s="416"/>
      <c r="D4542" s="198" t="s">
        <v>24334</v>
      </c>
      <c r="E4542" s="198">
        <v>8</v>
      </c>
      <c r="F4542" s="199" t="s">
        <v>24335</v>
      </c>
      <c r="G4542" s="1" t="s">
        <v>34165</v>
      </c>
      <c r="H4542" s="200"/>
      <c r="I4542" s="346"/>
      <c r="J4542" s="39">
        <v>118982</v>
      </c>
      <c r="K4542" s="36" t="str">
        <f>CONCATENATE(Cover!$D$6,"fdd/view?i=",J4542)</f>
        <v>https://www.dgiwg.org/FAD/fdd/view?i=118982</v>
      </c>
      <c r="L4542" s="36" t="s">
        <v>34166</v>
      </c>
      <c r="M4542" s="186"/>
      <c r="N4542" s="186"/>
      <c r="O4542" s="172"/>
    </row>
    <row r="4543" spans="1:15" ht="25.5" x14ac:dyDescent="0.2">
      <c r="A4543" s="203" t="str">
        <f t="shared" si="70"/>
        <v>GztCode_valleyLine</v>
      </c>
      <c r="B4543" s="410"/>
      <c r="C4543" s="417"/>
      <c r="D4543" s="204" t="s">
        <v>34167</v>
      </c>
      <c r="E4543" s="204">
        <v>9</v>
      </c>
      <c r="F4543" s="205" t="s">
        <v>5672</v>
      </c>
      <c r="G4543" s="206" t="s">
        <v>34168</v>
      </c>
      <c r="H4543" s="207"/>
      <c r="I4543" s="347"/>
      <c r="J4543" s="39">
        <v>118983</v>
      </c>
      <c r="K4543" s="36" t="str">
        <f>CONCATENATE(Cover!$D$6,"fdd/view?i=",J4543)</f>
        <v>https://www.dgiwg.org/FAD/fdd/view?i=118983</v>
      </c>
      <c r="L4543" s="36" t="s">
        <v>34169</v>
      </c>
      <c r="M4543" s="186"/>
      <c r="N4543" s="186"/>
      <c r="O4543" s="172"/>
    </row>
    <row r="4544" spans="1:15" ht="51" x14ac:dyDescent="0.2">
      <c r="A4544" s="190" t="str">
        <f t="shared" si="70"/>
        <v>Va5Code_electromagnetic</v>
      </c>
      <c r="B4544" s="414" t="str">
        <f>HYPERLINK("[#]Datatypes!A644:L644","Va5Code")</f>
        <v>Va5Code</v>
      </c>
      <c r="C4544" s="415" t="s">
        <v>15219</v>
      </c>
      <c r="D4544" s="221" t="s">
        <v>34170</v>
      </c>
      <c r="E4544" s="221">
        <v>4</v>
      </c>
      <c r="F4544" s="222" t="s">
        <v>34171</v>
      </c>
      <c r="G4544" s="223" t="s">
        <v>34172</v>
      </c>
      <c r="H4544" s="223" t="s">
        <v>34173</v>
      </c>
      <c r="I4544" s="345"/>
      <c r="J4544" s="39">
        <v>114083</v>
      </c>
      <c r="K4544" s="36" t="str">
        <f>CONCATENATE(Cover!$D$6,"fdd/view?i=",J4544)</f>
        <v>https://www.dgiwg.org/FAD/fdd/view?i=114083</v>
      </c>
      <c r="L4544" s="36" t="s">
        <v>34174</v>
      </c>
      <c r="M4544" s="186"/>
      <c r="N4544" s="186"/>
      <c r="O4544" s="172"/>
    </row>
    <row r="4545" spans="1:15" ht="38.25" x14ac:dyDescent="0.2">
      <c r="A4545" s="197" t="str">
        <f t="shared" si="70"/>
        <v>Va5Code_gammaRay</v>
      </c>
      <c r="B4545" s="409"/>
      <c r="C4545" s="416"/>
      <c r="D4545" s="198" t="s">
        <v>34175</v>
      </c>
      <c r="E4545" s="198">
        <v>3</v>
      </c>
      <c r="F4545" s="199" t="s">
        <v>34176</v>
      </c>
      <c r="G4545" s="1" t="s">
        <v>34177</v>
      </c>
      <c r="H4545" s="200"/>
      <c r="I4545" s="346"/>
      <c r="J4545" s="39">
        <v>114082</v>
      </c>
      <c r="K4545" s="36" t="str">
        <f>CONCATENATE(Cover!$D$6,"fdd/view?i=",J4545)</f>
        <v>https://www.dgiwg.org/FAD/fdd/view?i=114082</v>
      </c>
      <c r="L4545" s="36" t="s">
        <v>34178</v>
      </c>
      <c r="M4545" s="186"/>
      <c r="N4545" s="186"/>
      <c r="O4545" s="172"/>
    </row>
    <row r="4546" spans="1:15" ht="38.25" x14ac:dyDescent="0.2">
      <c r="A4546" s="197" t="str">
        <f t="shared" ref="A4546:A4609" si="71">HYPERLINK(K4546,L4546)</f>
        <v>Va5Code_gravity</v>
      </c>
      <c r="B4546" s="409"/>
      <c r="C4546" s="416"/>
      <c r="D4546" s="198" t="s">
        <v>34179</v>
      </c>
      <c r="E4546" s="198">
        <v>1</v>
      </c>
      <c r="F4546" s="199" t="s">
        <v>34180</v>
      </c>
      <c r="G4546" s="1" t="s">
        <v>34181</v>
      </c>
      <c r="H4546" s="1" t="s">
        <v>34182</v>
      </c>
      <c r="I4546" s="346"/>
      <c r="J4546" s="39">
        <v>114080</v>
      </c>
      <c r="K4546" s="36" t="str">
        <f>CONCATENATE(Cover!$D$6,"fdd/view?i=",J4546)</f>
        <v>https://www.dgiwg.org/FAD/fdd/view?i=114080</v>
      </c>
      <c r="L4546" s="36" t="s">
        <v>34183</v>
      </c>
      <c r="M4546" s="186"/>
      <c r="N4546" s="186"/>
      <c r="O4546" s="172"/>
    </row>
    <row r="4547" spans="1:15" ht="38.25" x14ac:dyDescent="0.2">
      <c r="A4547" s="197" t="str">
        <f t="shared" si="71"/>
        <v>Va5Code_magnetic</v>
      </c>
      <c r="B4547" s="409"/>
      <c r="C4547" s="416"/>
      <c r="D4547" s="198" t="s">
        <v>34184</v>
      </c>
      <c r="E4547" s="198">
        <v>2</v>
      </c>
      <c r="F4547" s="199" t="s">
        <v>34185</v>
      </c>
      <c r="G4547" s="1" t="s">
        <v>34186</v>
      </c>
      <c r="H4547" s="1" t="s">
        <v>34187</v>
      </c>
      <c r="I4547" s="346"/>
      <c r="J4547" s="39">
        <v>114081</v>
      </c>
      <c r="K4547" s="36" t="str">
        <f>CONCATENATE(Cover!$D$6,"fdd/view?i=",J4547)</f>
        <v>https://www.dgiwg.org/FAD/fdd/view?i=114081</v>
      </c>
      <c r="L4547" s="36" t="s">
        <v>34188</v>
      </c>
      <c r="M4547" s="186"/>
      <c r="N4547" s="186"/>
      <c r="O4547" s="172"/>
    </row>
    <row r="4548" spans="1:15" ht="25.5" x14ac:dyDescent="0.2">
      <c r="A4548" s="197" t="str">
        <f t="shared" si="71"/>
        <v>Va5Code_resistivity</v>
      </c>
      <c r="B4548" s="409"/>
      <c r="C4548" s="416"/>
      <c r="D4548" s="198" t="s">
        <v>34189</v>
      </c>
      <c r="E4548" s="198">
        <v>5</v>
      </c>
      <c r="F4548" s="199" t="s">
        <v>34190</v>
      </c>
      <c r="G4548" s="1" t="s">
        <v>34191</v>
      </c>
      <c r="H4548" s="1" t="s">
        <v>34192</v>
      </c>
      <c r="I4548" s="346"/>
      <c r="J4548" s="39">
        <v>114084</v>
      </c>
      <c r="K4548" s="36" t="str">
        <f>CONCATENATE(Cover!$D$6,"fdd/view?i=",J4548)</f>
        <v>https://www.dgiwg.org/FAD/fdd/view?i=114084</v>
      </c>
      <c r="L4548" s="36" t="s">
        <v>34193</v>
      </c>
      <c r="M4548" s="186"/>
      <c r="N4548" s="186"/>
      <c r="O4548" s="172"/>
    </row>
    <row r="4549" spans="1:15" x14ac:dyDescent="0.2">
      <c r="A4549" s="203" t="str">
        <f t="shared" si="71"/>
        <v>Va5Code_seismic</v>
      </c>
      <c r="B4549" s="410"/>
      <c r="C4549" s="417"/>
      <c r="D4549" s="204" t="s">
        <v>34194</v>
      </c>
      <c r="E4549" s="204">
        <v>6</v>
      </c>
      <c r="F4549" s="205" t="s">
        <v>34195</v>
      </c>
      <c r="G4549" s="206" t="s">
        <v>34196</v>
      </c>
      <c r="H4549" s="207"/>
      <c r="I4549" s="347"/>
      <c r="J4549" s="39">
        <v>118505</v>
      </c>
      <c r="K4549" s="36" t="str">
        <f>CONCATENATE(Cover!$D$6,"fdd/view?i=",J4549)</f>
        <v>https://www.dgiwg.org/FAD/fdd/view?i=118505</v>
      </c>
      <c r="L4549" s="36" t="s">
        <v>34197</v>
      </c>
      <c r="M4549" s="186"/>
      <c r="N4549" s="186"/>
      <c r="O4549" s="172"/>
    </row>
    <row r="4550" spans="1:15" ht="25.5" x14ac:dyDescent="0.2">
      <c r="A4550" s="190" t="str">
        <f t="shared" si="71"/>
        <v>GecCode_adminSubdivision</v>
      </c>
      <c r="B4550" s="414" t="str">
        <f>HYPERLINK("[#]Datatypes!A646:L646","GecCode")</f>
        <v>GecCode</v>
      </c>
      <c r="C4550" s="415" t="s">
        <v>15221</v>
      </c>
      <c r="D4550" s="221" t="s">
        <v>34198</v>
      </c>
      <c r="E4550" s="221">
        <v>6</v>
      </c>
      <c r="F4550" s="222" t="s">
        <v>34199</v>
      </c>
      <c r="G4550" s="223" t="s">
        <v>34200</v>
      </c>
      <c r="H4550" s="224"/>
      <c r="I4550" s="345"/>
      <c r="J4550" s="39">
        <v>103834</v>
      </c>
      <c r="K4550" s="36" t="str">
        <f>CONCATENATE(Cover!$D$6,"fdd/view?i=",J4550)</f>
        <v>https://www.dgiwg.org/FAD/fdd/view?i=103834</v>
      </c>
      <c r="L4550" s="36" t="s">
        <v>34201</v>
      </c>
      <c r="M4550" s="186"/>
      <c r="N4550" s="186"/>
      <c r="O4550" s="172"/>
    </row>
    <row r="4551" spans="1:15" ht="25.5" x14ac:dyDescent="0.2">
      <c r="A4551" s="197" t="str">
        <f t="shared" si="71"/>
        <v>GecCode_areaOfNoSovereignty</v>
      </c>
      <c r="B4551" s="409"/>
      <c r="C4551" s="416"/>
      <c r="D4551" s="198" t="s">
        <v>34202</v>
      </c>
      <c r="E4551" s="198">
        <v>5</v>
      </c>
      <c r="F4551" s="199" t="s">
        <v>34203</v>
      </c>
      <c r="G4551" s="1" t="s">
        <v>34204</v>
      </c>
      <c r="H4551" s="1" t="s">
        <v>34205</v>
      </c>
      <c r="I4551" s="351" t="s">
        <v>34203</v>
      </c>
      <c r="J4551" s="39">
        <v>103833</v>
      </c>
      <c r="K4551" s="36" t="str">
        <f>CONCATENATE(Cover!$D$6,"fdd/view?i=",J4551)</f>
        <v>https://www.dgiwg.org/FAD/fdd/view?i=103833</v>
      </c>
      <c r="L4551" s="36" t="s">
        <v>34206</v>
      </c>
      <c r="M4551" s="186"/>
      <c r="N4551" s="186"/>
      <c r="O4551" s="172"/>
    </row>
    <row r="4552" spans="1:15" ht="51" x14ac:dyDescent="0.2">
      <c r="A4552" s="197" t="str">
        <f t="shared" si="71"/>
        <v>GecCode_bufferZone</v>
      </c>
      <c r="B4552" s="409"/>
      <c r="C4552" s="416"/>
      <c r="D4552" s="198" t="s">
        <v>34207</v>
      </c>
      <c r="E4552" s="198">
        <v>17</v>
      </c>
      <c r="F4552" s="199" t="s">
        <v>34208</v>
      </c>
      <c r="G4552" s="1" t="s">
        <v>34209</v>
      </c>
      <c r="H4552" s="1" t="s">
        <v>34210</v>
      </c>
      <c r="I4552" s="346"/>
      <c r="J4552" s="39">
        <v>110880</v>
      </c>
      <c r="K4552" s="36" t="str">
        <f>CONCATENATE(Cover!$D$6,"fdd/view?i=",J4552)</f>
        <v>https://www.dgiwg.org/FAD/fdd/view?i=110880</v>
      </c>
      <c r="L4552" s="36" t="s">
        <v>34211</v>
      </c>
      <c r="M4552" s="186"/>
      <c r="N4552" s="186"/>
      <c r="O4552" s="172"/>
    </row>
    <row r="4553" spans="1:15" ht="89.25" x14ac:dyDescent="0.2">
      <c r="A4553" s="197" t="str">
        <f t="shared" si="71"/>
        <v>GecCode_demilitarizedZone</v>
      </c>
      <c r="B4553" s="409"/>
      <c r="C4553" s="416"/>
      <c r="D4553" s="198" t="s">
        <v>34212</v>
      </c>
      <c r="E4553" s="198">
        <v>7</v>
      </c>
      <c r="F4553" s="199" t="s">
        <v>34213</v>
      </c>
      <c r="G4553" s="1" t="s">
        <v>34214</v>
      </c>
      <c r="H4553" s="1" t="s">
        <v>34215</v>
      </c>
      <c r="I4553" s="346"/>
      <c r="J4553" s="39">
        <v>103835</v>
      </c>
      <c r="K4553" s="36" t="str">
        <f>CONCATENATE(Cover!$D$6,"fdd/view?i=",J4553)</f>
        <v>https://www.dgiwg.org/FAD/fdd/view?i=103835</v>
      </c>
      <c r="L4553" s="36" t="s">
        <v>34216</v>
      </c>
      <c r="M4553" s="186"/>
      <c r="N4553" s="186"/>
      <c r="O4553" s="172"/>
    </row>
    <row r="4554" spans="1:15" ht="25.5" x14ac:dyDescent="0.2">
      <c r="A4554" s="197" t="str">
        <f t="shared" si="71"/>
        <v>GecCode_dependentPoliticalEntity</v>
      </c>
      <c r="B4554" s="409"/>
      <c r="C4554" s="416"/>
      <c r="D4554" s="198" t="s">
        <v>34217</v>
      </c>
      <c r="E4554" s="198">
        <v>11</v>
      </c>
      <c r="F4554" s="199" t="s">
        <v>34218</v>
      </c>
      <c r="G4554" s="1" t="s">
        <v>34219</v>
      </c>
      <c r="H4554" s="1" t="s">
        <v>34220</v>
      </c>
      <c r="I4554" s="346"/>
      <c r="J4554" s="39">
        <v>110874</v>
      </c>
      <c r="K4554" s="36" t="str">
        <f>CONCATENATE(Cover!$D$6,"fdd/view?i=",J4554)</f>
        <v>https://www.dgiwg.org/FAD/fdd/view?i=110874</v>
      </c>
      <c r="L4554" s="36" t="s">
        <v>34221</v>
      </c>
      <c r="M4554" s="186"/>
      <c r="N4554" s="186"/>
      <c r="O4554" s="172"/>
    </row>
    <row r="4555" spans="1:15" ht="25.5" x14ac:dyDescent="0.2">
      <c r="A4555" s="197" t="str">
        <f t="shared" si="71"/>
        <v>GecCode_economicRegion</v>
      </c>
      <c r="B4555" s="409"/>
      <c r="C4555" s="416"/>
      <c r="D4555" s="198" t="s">
        <v>34222</v>
      </c>
      <c r="E4555" s="198">
        <v>15</v>
      </c>
      <c r="F4555" s="199" t="s">
        <v>34223</v>
      </c>
      <c r="G4555" s="1" t="s">
        <v>34224</v>
      </c>
      <c r="H4555" s="1" t="s">
        <v>34225</v>
      </c>
      <c r="I4555" s="346"/>
      <c r="J4555" s="39">
        <v>110878</v>
      </c>
      <c r="K4555" s="36" t="str">
        <f>CONCATENATE(Cover!$D$6,"fdd/view?i=",J4555)</f>
        <v>https://www.dgiwg.org/FAD/fdd/view?i=110878</v>
      </c>
      <c r="L4555" s="36" t="s">
        <v>34226</v>
      </c>
      <c r="M4555" s="186"/>
      <c r="N4555" s="186"/>
      <c r="O4555" s="172"/>
    </row>
    <row r="4556" spans="1:15" ht="51" x14ac:dyDescent="0.2">
      <c r="A4556" s="197" t="str">
        <f t="shared" si="71"/>
        <v>GecCode_freelyAssociatedState</v>
      </c>
      <c r="B4556" s="409"/>
      <c r="C4556" s="416"/>
      <c r="D4556" s="198" t="s">
        <v>34227</v>
      </c>
      <c r="E4556" s="198">
        <v>12</v>
      </c>
      <c r="F4556" s="199" t="s">
        <v>34228</v>
      </c>
      <c r="G4556" s="1" t="s">
        <v>34229</v>
      </c>
      <c r="H4556" s="200"/>
      <c r="I4556" s="346"/>
      <c r="J4556" s="39">
        <v>110875</v>
      </c>
      <c r="K4556" s="36" t="str">
        <f>CONCATENATE(Cover!$D$6,"fdd/view?i=",J4556)</f>
        <v>https://www.dgiwg.org/FAD/fdd/view?i=110875</v>
      </c>
      <c r="L4556" s="36" t="s">
        <v>34230</v>
      </c>
      <c r="M4556" s="186"/>
      <c r="N4556" s="186"/>
      <c r="O4556" s="172"/>
    </row>
    <row r="4557" spans="1:15" ht="38.25" x14ac:dyDescent="0.2">
      <c r="A4557" s="197" t="str">
        <f t="shared" si="71"/>
        <v>GecCode_independentPoliEntity</v>
      </c>
      <c r="B4557" s="409"/>
      <c r="C4557" s="416"/>
      <c r="D4557" s="198" t="s">
        <v>34231</v>
      </c>
      <c r="E4557" s="198">
        <v>13</v>
      </c>
      <c r="F4557" s="199" t="s">
        <v>34232</v>
      </c>
      <c r="G4557" s="1" t="s">
        <v>34233</v>
      </c>
      <c r="H4557" s="1" t="s">
        <v>34234</v>
      </c>
      <c r="I4557" s="346"/>
      <c r="J4557" s="39">
        <v>110876</v>
      </c>
      <c r="K4557" s="36" t="str">
        <f>CONCATENATE(Cover!$D$6,"fdd/view?i=",J4557)</f>
        <v>https://www.dgiwg.org/FAD/fdd/view?i=110876</v>
      </c>
      <c r="L4557" s="36" t="s">
        <v>34235</v>
      </c>
      <c r="M4557" s="186"/>
      <c r="N4557" s="186"/>
      <c r="O4557" s="172"/>
    </row>
    <row r="4558" spans="1:15" ht="38.25" x14ac:dyDescent="0.2">
      <c r="A4558" s="197" t="str">
        <f t="shared" si="71"/>
        <v>GecCode_leasedArea</v>
      </c>
      <c r="B4558" s="409"/>
      <c r="C4558" s="416"/>
      <c r="D4558" s="198" t="s">
        <v>34236</v>
      </c>
      <c r="E4558" s="198">
        <v>9</v>
      </c>
      <c r="F4558" s="199" t="s">
        <v>34237</v>
      </c>
      <c r="G4558" s="1" t="s">
        <v>34238</v>
      </c>
      <c r="H4558" s="1" t="s">
        <v>34239</v>
      </c>
      <c r="I4558" s="346"/>
      <c r="J4558" s="39">
        <v>110872</v>
      </c>
      <c r="K4558" s="36" t="str">
        <f>CONCATENATE(Cover!$D$6,"fdd/view?i=",J4558)</f>
        <v>https://www.dgiwg.org/FAD/fdd/view?i=110872</v>
      </c>
      <c r="L4558" s="36" t="s">
        <v>34240</v>
      </c>
      <c r="M4558" s="186"/>
      <c r="N4558" s="186"/>
      <c r="O4558" s="172"/>
    </row>
    <row r="4559" spans="1:15" ht="25.5" x14ac:dyDescent="0.2">
      <c r="A4559" s="197" t="str">
        <f t="shared" si="71"/>
        <v>GecCode_politicalEntity</v>
      </c>
      <c r="B4559" s="409"/>
      <c r="C4559" s="416"/>
      <c r="D4559" s="198" t="s">
        <v>34241</v>
      </c>
      <c r="E4559" s="198">
        <v>10</v>
      </c>
      <c r="F4559" s="199" t="s">
        <v>34242</v>
      </c>
      <c r="G4559" s="1" t="s">
        <v>34243</v>
      </c>
      <c r="H4559" s="1" t="s">
        <v>34244</v>
      </c>
      <c r="I4559" s="346"/>
      <c r="J4559" s="39">
        <v>110873</v>
      </c>
      <c r="K4559" s="36" t="str">
        <f>CONCATENATE(Cover!$D$6,"fdd/view?i=",J4559)</f>
        <v>https://www.dgiwg.org/FAD/fdd/view?i=110873</v>
      </c>
      <c r="L4559" s="36" t="s">
        <v>34245</v>
      </c>
      <c r="M4559" s="186"/>
      <c r="N4559" s="186"/>
      <c r="O4559" s="172"/>
    </row>
    <row r="4560" spans="1:15" ht="38.25" x14ac:dyDescent="0.2">
      <c r="A4560" s="197" t="str">
        <f t="shared" si="71"/>
        <v>GecCode_semiIndependPolitEntity</v>
      </c>
      <c r="B4560" s="409"/>
      <c r="C4560" s="416"/>
      <c r="D4560" s="198" t="s">
        <v>34246</v>
      </c>
      <c r="E4560" s="198">
        <v>14</v>
      </c>
      <c r="F4560" s="199" t="s">
        <v>34247</v>
      </c>
      <c r="G4560" s="1" t="s">
        <v>34248</v>
      </c>
      <c r="H4560" s="1" t="s">
        <v>34249</v>
      </c>
      <c r="I4560" s="346"/>
      <c r="J4560" s="39">
        <v>110877</v>
      </c>
      <c r="K4560" s="36" t="str">
        <f>CONCATENATE(Cover!$D$6,"fdd/view?i=",J4560)</f>
        <v>https://www.dgiwg.org/FAD/fdd/view?i=110877</v>
      </c>
      <c r="L4560" s="36" t="s">
        <v>34250</v>
      </c>
      <c r="M4560" s="186"/>
      <c r="N4560" s="186"/>
      <c r="O4560" s="172"/>
    </row>
    <row r="4561" spans="1:15" ht="63.75" x14ac:dyDescent="0.2">
      <c r="A4561" s="197" t="str">
        <f t="shared" si="71"/>
        <v>GecCode_territory</v>
      </c>
      <c r="B4561" s="409"/>
      <c r="C4561" s="416"/>
      <c r="D4561" s="198" t="s">
        <v>27728</v>
      </c>
      <c r="E4561" s="198">
        <v>16</v>
      </c>
      <c r="F4561" s="199" t="s">
        <v>27729</v>
      </c>
      <c r="G4561" s="1" t="s">
        <v>34251</v>
      </c>
      <c r="H4561" s="1" t="s">
        <v>34252</v>
      </c>
      <c r="I4561" s="346"/>
      <c r="J4561" s="39">
        <v>110879</v>
      </c>
      <c r="K4561" s="36" t="str">
        <f>CONCATENATE(Cover!$D$6,"fdd/view?i=",J4561)</f>
        <v>https://www.dgiwg.org/FAD/fdd/view?i=110879</v>
      </c>
      <c r="L4561" s="36" t="s">
        <v>34253</v>
      </c>
      <c r="M4561" s="186"/>
      <c r="N4561" s="186"/>
      <c r="O4561" s="172"/>
    </row>
    <row r="4562" spans="1:15" ht="25.5" x14ac:dyDescent="0.2">
      <c r="A4562" s="203" t="str">
        <f t="shared" si="71"/>
        <v>GecCode_zoneOfOccupation</v>
      </c>
      <c r="B4562" s="410"/>
      <c r="C4562" s="417"/>
      <c r="D4562" s="204" t="s">
        <v>34254</v>
      </c>
      <c r="E4562" s="204">
        <v>8</v>
      </c>
      <c r="F4562" s="205" t="s">
        <v>34255</v>
      </c>
      <c r="G4562" s="206" t="s">
        <v>34256</v>
      </c>
      <c r="H4562" s="207"/>
      <c r="I4562" s="347"/>
      <c r="J4562" s="39">
        <v>103836</v>
      </c>
      <c r="K4562" s="36" t="str">
        <f>CONCATENATE(Cover!$D$6,"fdd/view?i=",J4562)</f>
        <v>https://www.dgiwg.org/FAD/fdd/view?i=103836</v>
      </c>
      <c r="L4562" s="36" t="s">
        <v>34257</v>
      </c>
      <c r="M4562" s="186"/>
      <c r="N4562" s="186"/>
      <c r="O4562" s="172"/>
    </row>
    <row r="4563" spans="1:15" ht="25.5" x14ac:dyDescent="0.2">
      <c r="A4563" s="190" t="str">
        <f t="shared" si="71"/>
        <v>LspCode_armisticeLine</v>
      </c>
      <c r="B4563" s="414" t="str">
        <f>HYPERLINK("[#]Datatypes!A648:L648","LspCode")</f>
        <v>LspCode</v>
      </c>
      <c r="C4563" s="415" t="s">
        <v>15223</v>
      </c>
      <c r="D4563" s="221" t="s">
        <v>34258</v>
      </c>
      <c r="E4563" s="221">
        <v>3</v>
      </c>
      <c r="F4563" s="222" t="s">
        <v>2134</v>
      </c>
      <c r="G4563" s="223" t="s">
        <v>34259</v>
      </c>
      <c r="H4563" s="223" t="s">
        <v>34260</v>
      </c>
      <c r="I4563" s="345"/>
      <c r="J4563" s="39">
        <v>105033</v>
      </c>
      <c r="K4563" s="36" t="str">
        <f>CONCATENATE(Cover!$D$6,"fdd/view?i=",J4563)</f>
        <v>https://www.dgiwg.org/FAD/fdd/view?i=105033</v>
      </c>
      <c r="L4563" s="36" t="s">
        <v>34261</v>
      </c>
      <c r="M4563" s="186"/>
      <c r="N4563" s="186"/>
      <c r="O4563" s="172"/>
    </row>
    <row r="4564" spans="1:15" ht="25.5" x14ac:dyDescent="0.2">
      <c r="A4564" s="197" t="str">
        <f t="shared" si="71"/>
        <v>LspCode_ceaseFireLine</v>
      </c>
      <c r="B4564" s="409"/>
      <c r="C4564" s="416"/>
      <c r="D4564" s="198" t="s">
        <v>34262</v>
      </c>
      <c r="E4564" s="198">
        <v>7</v>
      </c>
      <c r="F4564" s="199" t="s">
        <v>34263</v>
      </c>
      <c r="G4564" s="1" t="s">
        <v>34264</v>
      </c>
      <c r="H4564" s="200"/>
      <c r="I4564" s="346"/>
      <c r="J4564" s="39">
        <v>105037</v>
      </c>
      <c r="K4564" s="36" t="str">
        <f>CONCATENATE(Cover!$D$6,"fdd/view?i=",J4564)</f>
        <v>https://www.dgiwg.org/FAD/fdd/view?i=105037</v>
      </c>
      <c r="L4564" s="36" t="s">
        <v>34265</v>
      </c>
      <c r="M4564" s="186"/>
      <c r="N4564" s="186"/>
      <c r="O4564" s="172"/>
    </row>
    <row r="4565" spans="1:15" ht="38.25" x14ac:dyDescent="0.2">
      <c r="A4565" s="197" t="str">
        <f t="shared" si="71"/>
        <v>LspCode_claimLine</v>
      </c>
      <c r="B4565" s="409"/>
      <c r="C4565" s="416"/>
      <c r="D4565" s="198" t="s">
        <v>34266</v>
      </c>
      <c r="E4565" s="198">
        <v>9</v>
      </c>
      <c r="F4565" s="199" t="s">
        <v>2505</v>
      </c>
      <c r="G4565" s="1" t="s">
        <v>34267</v>
      </c>
      <c r="H4565" s="200"/>
      <c r="I4565" s="346"/>
      <c r="J4565" s="39">
        <v>105039</v>
      </c>
      <c r="K4565" s="36" t="str">
        <f>CONCATENATE(Cover!$D$6,"fdd/view?i=",J4565)</f>
        <v>https://www.dgiwg.org/FAD/fdd/view?i=105039</v>
      </c>
      <c r="L4565" s="36" t="s">
        <v>34268</v>
      </c>
      <c r="M4565" s="186"/>
      <c r="N4565" s="186"/>
      <c r="O4565" s="172"/>
    </row>
    <row r="4566" spans="1:15" ht="25.5" x14ac:dyDescent="0.2">
      <c r="A4566" s="197" t="str">
        <f t="shared" si="71"/>
        <v>LspCode_conventionLine</v>
      </c>
      <c r="B4566" s="409"/>
      <c r="C4566" s="416"/>
      <c r="D4566" s="198" t="s">
        <v>34269</v>
      </c>
      <c r="E4566" s="198">
        <v>8</v>
      </c>
      <c r="F4566" s="199" t="s">
        <v>2617</v>
      </c>
      <c r="G4566" s="1" t="s">
        <v>2618</v>
      </c>
      <c r="H4566" s="200"/>
      <c r="I4566" s="351" t="s">
        <v>2619</v>
      </c>
      <c r="J4566" s="39">
        <v>105038</v>
      </c>
      <c r="K4566" s="36" t="str">
        <f>CONCATENATE(Cover!$D$6,"fdd/view?i=",J4566)</f>
        <v>https://www.dgiwg.org/FAD/fdd/view?i=105038</v>
      </c>
      <c r="L4566" s="36" t="s">
        <v>34270</v>
      </c>
      <c r="M4566" s="186"/>
      <c r="N4566" s="186"/>
      <c r="O4566" s="172"/>
    </row>
    <row r="4567" spans="1:15" ht="25.5" x14ac:dyDescent="0.2">
      <c r="A4567" s="197" t="str">
        <f t="shared" si="71"/>
        <v>LspCode_demarcationLine</v>
      </c>
      <c r="B4567" s="409"/>
      <c r="C4567" s="416"/>
      <c r="D4567" s="198" t="s">
        <v>34271</v>
      </c>
      <c r="E4567" s="198">
        <v>5</v>
      </c>
      <c r="F4567" s="199" t="s">
        <v>34272</v>
      </c>
      <c r="G4567" s="1" t="s">
        <v>34273</v>
      </c>
      <c r="H4567" s="1" t="s">
        <v>34274</v>
      </c>
      <c r="I4567" s="346"/>
      <c r="J4567" s="39">
        <v>105035</v>
      </c>
      <c r="K4567" s="36" t="str">
        <f>CONCATENATE(Cover!$D$6,"fdd/view?i=",J4567)</f>
        <v>https://www.dgiwg.org/FAD/fdd/view?i=105035</v>
      </c>
      <c r="L4567" s="36" t="s">
        <v>34275</v>
      </c>
      <c r="M4567" s="186"/>
      <c r="N4567" s="186"/>
      <c r="O4567" s="172"/>
    </row>
    <row r="4568" spans="1:15" ht="102" x14ac:dyDescent="0.2">
      <c r="A4568" s="197" t="str">
        <f t="shared" si="71"/>
        <v>LspCode_genericAdminBoundary</v>
      </c>
      <c r="B4568" s="409"/>
      <c r="C4568" s="416"/>
      <c r="D4568" s="198" t="s">
        <v>34276</v>
      </c>
      <c r="E4568" s="198">
        <v>1</v>
      </c>
      <c r="F4568" s="199" t="s">
        <v>34277</v>
      </c>
      <c r="G4568" s="1" t="s">
        <v>34278</v>
      </c>
      <c r="H4568" s="1" t="s">
        <v>34279</v>
      </c>
      <c r="I4568" s="346"/>
      <c r="J4568" s="39">
        <v>105031</v>
      </c>
      <c r="K4568" s="36" t="str">
        <f>CONCATENATE(Cover!$D$6,"fdd/view?i=",J4568)</f>
        <v>https://www.dgiwg.org/FAD/fdd/view?i=105031</v>
      </c>
      <c r="L4568" s="36" t="s">
        <v>34280</v>
      </c>
      <c r="M4568" s="186"/>
      <c r="N4568" s="186"/>
      <c r="O4568" s="172"/>
    </row>
    <row r="4569" spans="1:15" ht="25.5" x14ac:dyDescent="0.2">
      <c r="A4569" s="197" t="str">
        <f t="shared" si="71"/>
        <v>LspCode_genericIntBoundary</v>
      </c>
      <c r="B4569" s="409"/>
      <c r="C4569" s="416"/>
      <c r="D4569" s="198" t="s">
        <v>34281</v>
      </c>
      <c r="E4569" s="198">
        <v>17</v>
      </c>
      <c r="F4569" s="199" t="s">
        <v>34282</v>
      </c>
      <c r="G4569" s="1" t="s">
        <v>34283</v>
      </c>
      <c r="H4569" s="200"/>
      <c r="I4569" s="346"/>
      <c r="J4569" s="39">
        <v>110881</v>
      </c>
      <c r="K4569" s="36" t="str">
        <f>CONCATENATE(Cover!$D$6,"fdd/view?i=",J4569)</f>
        <v>https://www.dgiwg.org/FAD/fdd/view?i=110881</v>
      </c>
      <c r="L4569" s="36" t="s">
        <v>34284</v>
      </c>
      <c r="M4569" s="186"/>
      <c r="N4569" s="186"/>
      <c r="O4569" s="172"/>
    </row>
    <row r="4570" spans="1:15" ht="127.5" x14ac:dyDescent="0.2">
      <c r="A4570" s="197" t="str">
        <f t="shared" si="71"/>
        <v>LspCode_intercolonialLine</v>
      </c>
      <c r="B4570" s="409"/>
      <c r="C4570" s="416"/>
      <c r="D4570" s="198" t="s">
        <v>34285</v>
      </c>
      <c r="E4570" s="198">
        <v>10</v>
      </c>
      <c r="F4570" s="199" t="s">
        <v>34286</v>
      </c>
      <c r="G4570" s="1" t="s">
        <v>34287</v>
      </c>
      <c r="H4570" s="1" t="s">
        <v>34288</v>
      </c>
      <c r="I4570" s="346"/>
      <c r="J4570" s="39">
        <v>105040</v>
      </c>
      <c r="K4570" s="36" t="str">
        <f>CONCATENATE(Cover!$D$6,"fdd/view?i=",J4570)</f>
        <v>https://www.dgiwg.org/FAD/fdd/view?i=105040</v>
      </c>
      <c r="L4570" s="36" t="s">
        <v>34289</v>
      </c>
      <c r="M4570" s="186"/>
      <c r="N4570" s="186"/>
      <c r="O4570" s="172"/>
    </row>
    <row r="4571" spans="1:15" ht="25.5" x14ac:dyDescent="0.2">
      <c r="A4571" s="197" t="str">
        <f t="shared" si="71"/>
        <v>LspCode_interentityLine</v>
      </c>
      <c r="B4571" s="409"/>
      <c r="C4571" s="416"/>
      <c r="D4571" s="198" t="s">
        <v>34290</v>
      </c>
      <c r="E4571" s="198">
        <v>11</v>
      </c>
      <c r="F4571" s="199" t="s">
        <v>34291</v>
      </c>
      <c r="G4571" s="1" t="s">
        <v>34292</v>
      </c>
      <c r="H4571" s="1" t="s">
        <v>34293</v>
      </c>
      <c r="I4571" s="346"/>
      <c r="J4571" s="39">
        <v>105041</v>
      </c>
      <c r="K4571" s="36" t="str">
        <f>CONCATENATE(Cover!$D$6,"fdd/view?i=",J4571)</f>
        <v>https://www.dgiwg.org/FAD/fdd/view?i=105041</v>
      </c>
      <c r="L4571" s="36" t="s">
        <v>34294</v>
      </c>
      <c r="M4571" s="186"/>
      <c r="N4571" s="186"/>
      <c r="O4571" s="172"/>
    </row>
    <row r="4572" spans="1:15" ht="76.5" x14ac:dyDescent="0.2">
      <c r="A4572" s="197" t="str">
        <f t="shared" si="71"/>
        <v>LspCode_lineOfAdjacency</v>
      </c>
      <c r="B4572" s="409"/>
      <c r="C4572" s="416"/>
      <c r="D4572" s="198" t="s">
        <v>34295</v>
      </c>
      <c r="E4572" s="198">
        <v>12</v>
      </c>
      <c r="F4572" s="199" t="s">
        <v>34296</v>
      </c>
      <c r="G4572" s="1" t="s">
        <v>34297</v>
      </c>
      <c r="H4572" s="1" t="s">
        <v>34298</v>
      </c>
      <c r="I4572" s="346"/>
      <c r="J4572" s="39">
        <v>105042</v>
      </c>
      <c r="K4572" s="36" t="str">
        <f>CONCATENATE(Cover!$D$6,"fdd/view?i=",J4572)</f>
        <v>https://www.dgiwg.org/FAD/fdd/view?i=105042</v>
      </c>
      <c r="L4572" s="36" t="s">
        <v>34299</v>
      </c>
      <c r="M4572" s="186"/>
      <c r="N4572" s="186"/>
      <c r="O4572" s="172"/>
    </row>
    <row r="4573" spans="1:15" ht="51" x14ac:dyDescent="0.2">
      <c r="A4573" s="197" t="str">
        <f t="shared" si="71"/>
        <v>LspCode_lineOfControl</v>
      </c>
      <c r="B4573" s="409"/>
      <c r="C4573" s="416"/>
      <c r="D4573" s="198" t="s">
        <v>34300</v>
      </c>
      <c r="E4573" s="198">
        <v>4</v>
      </c>
      <c r="F4573" s="199" t="s">
        <v>34301</v>
      </c>
      <c r="G4573" s="1" t="s">
        <v>34302</v>
      </c>
      <c r="H4573" s="1" t="s">
        <v>34303</v>
      </c>
      <c r="I4573" s="346"/>
      <c r="J4573" s="39">
        <v>105034</v>
      </c>
      <c r="K4573" s="36" t="str">
        <f>CONCATENATE(Cover!$D$6,"fdd/view?i=",J4573)</f>
        <v>https://www.dgiwg.org/FAD/fdd/view?i=105034</v>
      </c>
      <c r="L4573" s="36" t="s">
        <v>34304</v>
      </c>
      <c r="M4573" s="186"/>
      <c r="N4573" s="186"/>
      <c r="O4573" s="172"/>
    </row>
    <row r="4574" spans="1:15" ht="38.25" x14ac:dyDescent="0.2">
      <c r="A4574" s="197" t="str">
        <f t="shared" si="71"/>
        <v>LspCode_lineOfConvenience</v>
      </c>
      <c r="B4574" s="409"/>
      <c r="C4574" s="416"/>
      <c r="D4574" s="198" t="s">
        <v>34305</v>
      </c>
      <c r="E4574" s="198">
        <v>6</v>
      </c>
      <c r="F4574" s="199" t="s">
        <v>34306</v>
      </c>
      <c r="G4574" s="1" t="s">
        <v>34307</v>
      </c>
      <c r="H4574" s="1" t="s">
        <v>34308</v>
      </c>
      <c r="I4574" s="346"/>
      <c r="J4574" s="39">
        <v>105036</v>
      </c>
      <c r="K4574" s="36" t="str">
        <f>CONCATENATE(Cover!$D$6,"fdd/view?i=",J4574)</f>
        <v>https://www.dgiwg.org/FAD/fdd/view?i=105036</v>
      </c>
      <c r="L4574" s="36" t="s">
        <v>34309</v>
      </c>
      <c r="M4574" s="186"/>
      <c r="N4574" s="186"/>
      <c r="O4574" s="172"/>
    </row>
    <row r="4575" spans="1:15" ht="25.5" x14ac:dyDescent="0.2">
      <c r="A4575" s="197" t="str">
        <f t="shared" si="71"/>
        <v>LspCode_lineOfWithdrawal</v>
      </c>
      <c r="B4575" s="409"/>
      <c r="C4575" s="416"/>
      <c r="D4575" s="198" t="s">
        <v>34310</v>
      </c>
      <c r="E4575" s="198">
        <v>13</v>
      </c>
      <c r="F4575" s="199" t="s">
        <v>34311</v>
      </c>
      <c r="G4575" s="1" t="s">
        <v>34312</v>
      </c>
      <c r="H4575" s="200"/>
      <c r="I4575" s="351" t="s">
        <v>34313</v>
      </c>
      <c r="J4575" s="39">
        <v>105043</v>
      </c>
      <c r="K4575" s="36" t="str">
        <f>CONCATENATE(Cover!$D$6,"fdd/view?i=",J4575)</f>
        <v>https://www.dgiwg.org/FAD/fdd/view?i=105043</v>
      </c>
      <c r="L4575" s="36" t="s">
        <v>34314</v>
      </c>
      <c r="M4575" s="186"/>
      <c r="N4575" s="186"/>
      <c r="O4575" s="172"/>
    </row>
    <row r="4576" spans="1:15" ht="25.5" x14ac:dyDescent="0.2">
      <c r="A4576" s="197" t="str">
        <f t="shared" si="71"/>
        <v>LspCode_militaryDisengagementLine</v>
      </c>
      <c r="B4576" s="409"/>
      <c r="C4576" s="416"/>
      <c r="D4576" s="198" t="s">
        <v>34315</v>
      </c>
      <c r="E4576" s="198">
        <v>14</v>
      </c>
      <c r="F4576" s="199" t="s">
        <v>34316</v>
      </c>
      <c r="G4576" s="1" t="s">
        <v>34317</v>
      </c>
      <c r="H4576" s="1" t="s">
        <v>34318</v>
      </c>
      <c r="I4576" s="351" t="s">
        <v>34319</v>
      </c>
      <c r="J4576" s="39">
        <v>105044</v>
      </c>
      <c r="K4576" s="36" t="str">
        <f>CONCATENATE(Cover!$D$6,"fdd/view?i=",J4576)</f>
        <v>https://www.dgiwg.org/FAD/fdd/view?i=105044</v>
      </c>
      <c r="L4576" s="36" t="s">
        <v>34320</v>
      </c>
      <c r="M4576" s="186"/>
      <c r="N4576" s="186"/>
      <c r="O4576" s="172"/>
    </row>
    <row r="4577" spans="1:15" ht="38.25" x14ac:dyDescent="0.2">
      <c r="A4577" s="197" t="str">
        <f t="shared" si="71"/>
        <v>LspCode_provisionalAdminLine</v>
      </c>
      <c r="B4577" s="409"/>
      <c r="C4577" s="416"/>
      <c r="D4577" s="198" t="s">
        <v>34321</v>
      </c>
      <c r="E4577" s="198">
        <v>2</v>
      </c>
      <c r="F4577" s="199" t="s">
        <v>34322</v>
      </c>
      <c r="G4577" s="1" t="s">
        <v>34323</v>
      </c>
      <c r="H4577" s="1" t="s">
        <v>34324</v>
      </c>
      <c r="I4577" s="346"/>
      <c r="J4577" s="39">
        <v>105032</v>
      </c>
      <c r="K4577" s="36" t="str">
        <f>CONCATENATE(Cover!$D$6,"fdd/view?i=",J4577)</f>
        <v>https://www.dgiwg.org/FAD/fdd/view?i=105032</v>
      </c>
      <c r="L4577" s="36" t="s">
        <v>34325</v>
      </c>
      <c r="M4577" s="186"/>
      <c r="N4577" s="186"/>
      <c r="O4577" s="172"/>
    </row>
    <row r="4578" spans="1:15" ht="25.5" x14ac:dyDescent="0.2">
      <c r="A4578" s="197" t="str">
        <f t="shared" si="71"/>
        <v>LspCode_treatyLine</v>
      </c>
      <c r="B4578" s="409"/>
      <c r="C4578" s="416"/>
      <c r="D4578" s="198" t="s">
        <v>34326</v>
      </c>
      <c r="E4578" s="198">
        <v>15</v>
      </c>
      <c r="F4578" s="199" t="s">
        <v>34327</v>
      </c>
      <c r="G4578" s="1" t="s">
        <v>34328</v>
      </c>
      <c r="H4578" s="1" t="s">
        <v>34329</v>
      </c>
      <c r="I4578" s="346"/>
      <c r="J4578" s="39">
        <v>105045</v>
      </c>
      <c r="K4578" s="36" t="str">
        <f>CONCATENATE(Cover!$D$6,"fdd/view?i=",J4578)</f>
        <v>https://www.dgiwg.org/FAD/fdd/view?i=105045</v>
      </c>
      <c r="L4578" s="36" t="s">
        <v>34330</v>
      </c>
      <c r="M4578" s="186"/>
      <c r="N4578" s="186"/>
      <c r="O4578" s="172"/>
    </row>
    <row r="4579" spans="1:15" ht="63.75" x14ac:dyDescent="0.2">
      <c r="A4579" s="203" t="str">
        <f t="shared" si="71"/>
        <v>LspCode_unclosClaimBoundary</v>
      </c>
      <c r="B4579" s="410"/>
      <c r="C4579" s="417"/>
      <c r="D4579" s="204" t="s">
        <v>34331</v>
      </c>
      <c r="E4579" s="204">
        <v>16</v>
      </c>
      <c r="F4579" s="205" t="s">
        <v>34332</v>
      </c>
      <c r="G4579" s="206" t="s">
        <v>34333</v>
      </c>
      <c r="H4579" s="206" t="s">
        <v>34334</v>
      </c>
      <c r="I4579" s="347"/>
      <c r="J4579" s="39">
        <v>103422</v>
      </c>
      <c r="K4579" s="36" t="str">
        <f>CONCATENATE(Cover!$D$6,"fdd/view?i=",J4579)</f>
        <v>https://www.dgiwg.org/FAD/fdd/view?i=103422</v>
      </c>
      <c r="L4579" s="36" t="s">
        <v>34335</v>
      </c>
      <c r="M4579" s="186"/>
      <c r="N4579" s="186"/>
      <c r="O4579" s="172"/>
    </row>
    <row r="4580" spans="1:15" ht="38.25" x14ac:dyDescent="0.2">
      <c r="A4580" s="190" t="str">
        <f t="shared" si="71"/>
        <v>GotCode_fissure</v>
      </c>
      <c r="B4580" s="414" t="str">
        <f>HYPERLINK("[#]Datatypes!A650:L650","GotCode")</f>
        <v>GotCode</v>
      </c>
      <c r="C4580" s="415" t="s">
        <v>15225</v>
      </c>
      <c r="D4580" s="221" t="s">
        <v>34336</v>
      </c>
      <c r="E4580" s="221">
        <v>1</v>
      </c>
      <c r="F4580" s="222" t="s">
        <v>34337</v>
      </c>
      <c r="G4580" s="223" t="s">
        <v>34338</v>
      </c>
      <c r="H4580" s="223" t="s">
        <v>34339</v>
      </c>
      <c r="I4580" s="345"/>
      <c r="J4580" s="39">
        <v>110199</v>
      </c>
      <c r="K4580" s="36" t="str">
        <f>CONCATENATE(Cover!$D$6,"fdd/view?i=",J4580)</f>
        <v>https://www.dgiwg.org/FAD/fdd/view?i=110199</v>
      </c>
      <c r="L4580" s="36" t="s">
        <v>34340</v>
      </c>
      <c r="M4580" s="186"/>
      <c r="N4580" s="186"/>
      <c r="O4580" s="172"/>
    </row>
    <row r="4581" spans="1:15" ht="25.5" x14ac:dyDescent="0.2">
      <c r="A4581" s="197" t="str">
        <f t="shared" si="71"/>
        <v>GotCode_fumarole</v>
      </c>
      <c r="B4581" s="409"/>
      <c r="C4581" s="416"/>
      <c r="D4581" s="198" t="s">
        <v>34341</v>
      </c>
      <c r="E4581" s="198">
        <v>2</v>
      </c>
      <c r="F4581" s="199" t="s">
        <v>34342</v>
      </c>
      <c r="G4581" s="1" t="s">
        <v>34343</v>
      </c>
      <c r="H4581" s="1" t="s">
        <v>34344</v>
      </c>
      <c r="I4581" s="351" t="s">
        <v>34345</v>
      </c>
      <c r="J4581" s="39">
        <v>110200</v>
      </c>
      <c r="K4581" s="36" t="str">
        <f>CONCATENATE(Cover!$D$6,"fdd/view?i=",J4581)</f>
        <v>https://www.dgiwg.org/FAD/fdd/view?i=110200</v>
      </c>
      <c r="L4581" s="36" t="s">
        <v>34346</v>
      </c>
      <c r="M4581" s="186"/>
      <c r="N4581" s="186"/>
      <c r="O4581" s="172"/>
    </row>
    <row r="4582" spans="1:15" x14ac:dyDescent="0.2">
      <c r="A4582" s="197" t="str">
        <f t="shared" si="71"/>
        <v>GotCode_geyser</v>
      </c>
      <c r="B4582" s="409"/>
      <c r="C4582" s="416"/>
      <c r="D4582" s="198" t="s">
        <v>34347</v>
      </c>
      <c r="E4582" s="198">
        <v>5</v>
      </c>
      <c r="F4582" s="199" t="s">
        <v>34348</v>
      </c>
      <c r="G4582" s="1" t="s">
        <v>34349</v>
      </c>
      <c r="H4582" s="1" t="s">
        <v>34350</v>
      </c>
      <c r="I4582" s="346"/>
      <c r="J4582" s="39">
        <v>103062</v>
      </c>
      <c r="K4582" s="36" t="str">
        <f>CONCATENATE(Cover!$D$6,"fdd/view?i=",J4582)</f>
        <v>https://www.dgiwg.org/FAD/fdd/view?i=103062</v>
      </c>
      <c r="L4582" s="36" t="s">
        <v>34351</v>
      </c>
      <c r="M4582" s="186"/>
      <c r="N4582" s="186"/>
      <c r="O4582" s="172"/>
    </row>
    <row r="4583" spans="1:15" x14ac:dyDescent="0.2">
      <c r="A4583" s="197" t="str">
        <f t="shared" si="71"/>
        <v>GotCode_hotSpring</v>
      </c>
      <c r="B4583" s="409"/>
      <c r="C4583" s="416"/>
      <c r="D4583" s="198" t="s">
        <v>34352</v>
      </c>
      <c r="E4583" s="198">
        <v>3</v>
      </c>
      <c r="F4583" s="199" t="s">
        <v>34353</v>
      </c>
      <c r="G4583" s="1" t="s">
        <v>34354</v>
      </c>
      <c r="H4583" s="200"/>
      <c r="I4583" s="346"/>
      <c r="J4583" s="39">
        <v>110201</v>
      </c>
      <c r="K4583" s="36" t="str">
        <f>CONCATENATE(Cover!$D$6,"fdd/view?i=",J4583)</f>
        <v>https://www.dgiwg.org/FAD/fdd/view?i=110201</v>
      </c>
      <c r="L4583" s="36" t="s">
        <v>34355</v>
      </c>
      <c r="M4583" s="186"/>
      <c r="N4583" s="186"/>
      <c r="O4583" s="172"/>
    </row>
    <row r="4584" spans="1:15" x14ac:dyDescent="0.2">
      <c r="A4584" s="203" t="str">
        <f t="shared" si="71"/>
        <v>GotCode_sulphurSpring</v>
      </c>
      <c r="B4584" s="410"/>
      <c r="C4584" s="417"/>
      <c r="D4584" s="204" t="s">
        <v>34356</v>
      </c>
      <c r="E4584" s="204">
        <v>4</v>
      </c>
      <c r="F4584" s="205" t="s">
        <v>34357</v>
      </c>
      <c r="G4584" s="206" t="s">
        <v>34358</v>
      </c>
      <c r="H4584" s="207"/>
      <c r="I4584" s="347"/>
      <c r="J4584" s="39">
        <v>110202</v>
      </c>
      <c r="K4584" s="36" t="str">
        <f>CONCATENATE(Cover!$D$6,"fdd/view?i=",J4584)</f>
        <v>https://www.dgiwg.org/FAD/fdd/view?i=110202</v>
      </c>
      <c r="L4584" s="36" t="s">
        <v>34359</v>
      </c>
      <c r="M4584" s="186"/>
      <c r="N4584" s="186"/>
      <c r="O4584" s="172"/>
    </row>
    <row r="4585" spans="1:15" ht="38.25" x14ac:dyDescent="0.2">
      <c r="A4585" s="190" t="str">
        <f t="shared" si="71"/>
        <v>CngCode_globalOrbitNavSatelliteSys</v>
      </c>
      <c r="B4585" s="414" t="str">
        <f>HYPERLINK("[#]Datatypes!A652:L652","CngCode")</f>
        <v>CngCode</v>
      </c>
      <c r="C4585" s="415" t="s">
        <v>15227</v>
      </c>
      <c r="D4585" s="221" t="s">
        <v>34360</v>
      </c>
      <c r="E4585" s="221">
        <v>1</v>
      </c>
      <c r="F4585" s="222" t="s">
        <v>34361</v>
      </c>
      <c r="G4585" s="223" t="s">
        <v>34362</v>
      </c>
      <c r="H4585" s="224"/>
      <c r="I4585" s="345"/>
      <c r="J4585" s="39">
        <v>115376</v>
      </c>
      <c r="K4585" s="36" t="str">
        <f>CONCATENATE(Cover!$D$6,"fdd/view?i=",J4585)</f>
        <v>https://www.dgiwg.org/FAD/fdd/view?i=115376</v>
      </c>
      <c r="L4585" s="36" t="s">
        <v>34363</v>
      </c>
      <c r="M4585" s="186"/>
      <c r="N4585" s="186"/>
      <c r="O4585" s="172"/>
    </row>
    <row r="4586" spans="1:15" ht="25.5" x14ac:dyDescent="0.2">
      <c r="A4586" s="203" t="str">
        <f t="shared" si="71"/>
        <v>CngCode_globalPositioningSystem</v>
      </c>
      <c r="B4586" s="410"/>
      <c r="C4586" s="417"/>
      <c r="D4586" s="204" t="s">
        <v>22019</v>
      </c>
      <c r="E4586" s="204">
        <v>2</v>
      </c>
      <c r="F4586" s="205" t="s">
        <v>22020</v>
      </c>
      <c r="G4586" s="206" t="s">
        <v>34364</v>
      </c>
      <c r="H4586" s="207"/>
      <c r="I4586" s="347"/>
      <c r="J4586" s="39">
        <v>115377</v>
      </c>
      <c r="K4586" s="36" t="str">
        <f>CONCATENATE(Cover!$D$6,"fdd/view?i=",J4586)</f>
        <v>https://www.dgiwg.org/FAD/fdd/view?i=115377</v>
      </c>
      <c r="L4586" s="36" t="s">
        <v>34365</v>
      </c>
      <c r="M4586" s="186"/>
      <c r="N4586" s="186"/>
      <c r="O4586" s="172"/>
    </row>
    <row r="4587" spans="1:15" ht="25.5" x14ac:dyDescent="0.2">
      <c r="A4587" s="190" t="str">
        <f t="shared" si="71"/>
        <v>GfcCode_administration</v>
      </c>
      <c r="B4587" s="414" t="str">
        <f>HYPERLINK("[#]Datatypes!A654:L654","GfcCode")</f>
        <v>GfcCode</v>
      </c>
      <c r="C4587" s="415" t="s">
        <v>15229</v>
      </c>
      <c r="D4587" s="221" t="s">
        <v>30401</v>
      </c>
      <c r="E4587" s="221">
        <v>5</v>
      </c>
      <c r="F4587" s="222" t="s">
        <v>30402</v>
      </c>
      <c r="G4587" s="223" t="s">
        <v>34366</v>
      </c>
      <c r="H4587" s="224"/>
      <c r="I4587" s="345"/>
      <c r="J4587" s="39">
        <v>103858</v>
      </c>
      <c r="K4587" s="36" t="str">
        <f>CONCATENATE(Cover!$D$6,"fdd/view?i=",J4587)</f>
        <v>https://www.dgiwg.org/FAD/fdd/view?i=103858</v>
      </c>
      <c r="L4587" s="36" t="s">
        <v>34367</v>
      </c>
      <c r="M4587" s="186"/>
      <c r="N4587" s="186"/>
      <c r="O4587" s="172"/>
    </row>
    <row r="4588" spans="1:15" ht="38.25" x14ac:dyDescent="0.2">
      <c r="A4588" s="197" t="str">
        <f t="shared" si="71"/>
        <v>GfcCode_ambassadorialResidence</v>
      </c>
      <c r="B4588" s="409"/>
      <c r="C4588" s="416"/>
      <c r="D4588" s="198" t="s">
        <v>34368</v>
      </c>
      <c r="E4588" s="198">
        <v>11</v>
      </c>
      <c r="F4588" s="199" t="s">
        <v>34369</v>
      </c>
      <c r="G4588" s="1" t="s">
        <v>34370</v>
      </c>
      <c r="H4588" s="200"/>
      <c r="I4588" s="346"/>
      <c r="J4588" s="39">
        <v>103864</v>
      </c>
      <c r="K4588" s="36" t="str">
        <f>CONCATENATE(Cover!$D$6,"fdd/view?i=",J4588)</f>
        <v>https://www.dgiwg.org/FAD/fdd/view?i=103864</v>
      </c>
      <c r="L4588" s="36" t="s">
        <v>34371</v>
      </c>
      <c r="M4588" s="186"/>
      <c r="N4588" s="186"/>
      <c r="O4588" s="172"/>
    </row>
    <row r="4589" spans="1:15" x14ac:dyDescent="0.2">
      <c r="A4589" s="197" t="str">
        <f t="shared" si="71"/>
        <v>GfcCode_chancery</v>
      </c>
      <c r="B4589" s="409"/>
      <c r="C4589" s="416"/>
      <c r="D4589" s="198" t="s">
        <v>34372</v>
      </c>
      <c r="E4589" s="198">
        <v>10</v>
      </c>
      <c r="F4589" s="199" t="s">
        <v>34373</v>
      </c>
      <c r="G4589" s="1" t="s">
        <v>34374</v>
      </c>
      <c r="H4589" s="200"/>
      <c r="I4589" s="346"/>
      <c r="J4589" s="39">
        <v>103863</v>
      </c>
      <c r="K4589" s="36" t="str">
        <f>CONCATENATE(Cover!$D$6,"fdd/view?i=",J4589)</f>
        <v>https://www.dgiwg.org/FAD/fdd/view?i=103863</v>
      </c>
      <c r="L4589" s="36" t="s">
        <v>34375</v>
      </c>
      <c r="M4589" s="186"/>
      <c r="N4589" s="186"/>
      <c r="O4589" s="172"/>
    </row>
    <row r="4590" spans="1:15" ht="38.25" x14ac:dyDescent="0.2">
      <c r="A4590" s="197" t="str">
        <f t="shared" si="71"/>
        <v>GfcCode_consulate</v>
      </c>
      <c r="B4590" s="409"/>
      <c r="C4590" s="416"/>
      <c r="D4590" s="198" t="s">
        <v>34376</v>
      </c>
      <c r="E4590" s="198">
        <v>13</v>
      </c>
      <c r="F4590" s="199" t="s">
        <v>34377</v>
      </c>
      <c r="G4590" s="1" t="s">
        <v>34378</v>
      </c>
      <c r="H4590" s="200"/>
      <c r="I4590" s="346"/>
      <c r="J4590" s="39">
        <v>103866</v>
      </c>
      <c r="K4590" s="36" t="str">
        <f>CONCATENATE(Cover!$D$6,"fdd/view?i=",J4590)</f>
        <v>https://www.dgiwg.org/FAD/fdd/view?i=103866</v>
      </c>
      <c r="L4590" s="36" t="s">
        <v>34379</v>
      </c>
      <c r="M4590" s="186"/>
      <c r="N4590" s="186"/>
      <c r="O4590" s="172"/>
    </row>
    <row r="4591" spans="1:15" ht="25.5" x14ac:dyDescent="0.2">
      <c r="A4591" s="197" t="str">
        <f t="shared" si="71"/>
        <v>GfcCode_courthouse</v>
      </c>
      <c r="B4591" s="409"/>
      <c r="C4591" s="416"/>
      <c r="D4591" s="198" t="s">
        <v>34380</v>
      </c>
      <c r="E4591" s="198">
        <v>8</v>
      </c>
      <c r="F4591" s="199" t="s">
        <v>34381</v>
      </c>
      <c r="G4591" s="1" t="s">
        <v>34382</v>
      </c>
      <c r="H4591" s="200"/>
      <c r="I4591" s="351" t="s">
        <v>34383</v>
      </c>
      <c r="J4591" s="39">
        <v>103861</v>
      </c>
      <c r="K4591" s="36" t="str">
        <f>CONCATENATE(Cover!$D$6,"fdd/view?i=",J4591)</f>
        <v>https://www.dgiwg.org/FAD/fdd/view?i=103861</v>
      </c>
      <c r="L4591" s="36" t="s">
        <v>34384</v>
      </c>
      <c r="M4591" s="186"/>
      <c r="N4591" s="186"/>
      <c r="O4591" s="172"/>
    </row>
    <row r="4592" spans="1:15" ht="38.25" x14ac:dyDescent="0.2">
      <c r="A4592" s="197" t="str">
        <f t="shared" si="71"/>
        <v>GfcCode_customs</v>
      </c>
      <c r="B4592" s="409"/>
      <c r="C4592" s="416"/>
      <c r="D4592" s="198" t="s">
        <v>34385</v>
      </c>
      <c r="E4592" s="198">
        <v>6</v>
      </c>
      <c r="F4592" s="199" t="s">
        <v>34386</v>
      </c>
      <c r="G4592" s="1" t="s">
        <v>34387</v>
      </c>
      <c r="H4592" s="200"/>
      <c r="I4592" s="346"/>
      <c r="J4592" s="39">
        <v>103859</v>
      </c>
      <c r="K4592" s="36" t="str">
        <f>CONCATENATE(Cover!$D$6,"fdd/view?i=",J4592)</f>
        <v>https://www.dgiwg.org/FAD/fdd/view?i=103859</v>
      </c>
      <c r="L4592" s="36" t="s">
        <v>34388</v>
      </c>
      <c r="M4592" s="186"/>
      <c r="N4592" s="186"/>
      <c r="O4592" s="172"/>
    </row>
    <row r="4593" spans="1:15" ht="25.5" x14ac:dyDescent="0.2">
      <c r="A4593" s="197" t="str">
        <f t="shared" si="71"/>
        <v>GfcCode_diplomatic</v>
      </c>
      <c r="B4593" s="409"/>
      <c r="C4593" s="416"/>
      <c r="D4593" s="198" t="s">
        <v>34389</v>
      </c>
      <c r="E4593" s="198">
        <v>15</v>
      </c>
      <c r="F4593" s="199" t="s">
        <v>34390</v>
      </c>
      <c r="G4593" s="1" t="s">
        <v>34391</v>
      </c>
      <c r="H4593" s="200"/>
      <c r="I4593" s="346"/>
      <c r="J4593" s="39">
        <v>103868</v>
      </c>
      <c r="K4593" s="36" t="str">
        <f>CONCATENATE(Cover!$D$6,"fdd/view?i=",J4593)</f>
        <v>https://www.dgiwg.org/FAD/fdd/view?i=103868</v>
      </c>
      <c r="L4593" s="36" t="s">
        <v>34392</v>
      </c>
      <c r="M4593" s="186"/>
      <c r="N4593" s="186"/>
      <c r="O4593" s="172"/>
    </row>
    <row r="4594" spans="1:15" ht="25.5" x14ac:dyDescent="0.2">
      <c r="A4594" s="197" t="str">
        <f t="shared" si="71"/>
        <v>GfcCode_embassy</v>
      </c>
      <c r="B4594" s="409"/>
      <c r="C4594" s="416"/>
      <c r="D4594" s="198" t="s">
        <v>30718</v>
      </c>
      <c r="E4594" s="198">
        <v>12</v>
      </c>
      <c r="F4594" s="199" t="s">
        <v>30719</v>
      </c>
      <c r="G4594" s="1" t="s">
        <v>34393</v>
      </c>
      <c r="H4594" s="200"/>
      <c r="I4594" s="346"/>
      <c r="J4594" s="39">
        <v>103865</v>
      </c>
      <c r="K4594" s="36" t="str">
        <f>CONCATENATE(Cover!$D$6,"fdd/view?i=",J4594)</f>
        <v>https://www.dgiwg.org/FAD/fdd/view?i=103865</v>
      </c>
      <c r="L4594" s="36" t="s">
        <v>34394</v>
      </c>
      <c r="M4594" s="186"/>
      <c r="N4594" s="186"/>
      <c r="O4594" s="172"/>
    </row>
    <row r="4595" spans="1:15" ht="25.5" x14ac:dyDescent="0.2">
      <c r="A4595" s="197" t="str">
        <f t="shared" si="71"/>
        <v>GfcCode_executiveResidence</v>
      </c>
      <c r="B4595" s="409"/>
      <c r="C4595" s="416"/>
      <c r="D4595" s="198" t="s">
        <v>34395</v>
      </c>
      <c r="E4595" s="198">
        <v>18</v>
      </c>
      <c r="F4595" s="199" t="s">
        <v>34396</v>
      </c>
      <c r="G4595" s="1" t="s">
        <v>34397</v>
      </c>
      <c r="H4595" s="200"/>
      <c r="I4595" s="346"/>
      <c r="J4595" s="39">
        <v>110197</v>
      </c>
      <c r="K4595" s="36" t="str">
        <f>CONCATENATE(Cover!$D$6,"fdd/view?i=",J4595)</f>
        <v>https://www.dgiwg.org/FAD/fdd/view?i=110197</v>
      </c>
      <c r="L4595" s="36" t="s">
        <v>34398</v>
      </c>
      <c r="M4595" s="186"/>
      <c r="N4595" s="186"/>
      <c r="O4595" s="172"/>
    </row>
    <row r="4596" spans="1:15" ht="25.5" x14ac:dyDescent="0.2">
      <c r="A4596" s="197" t="str">
        <f t="shared" si="71"/>
        <v>GfcCode_government</v>
      </c>
      <c r="B4596" s="409"/>
      <c r="C4596" s="416"/>
      <c r="D4596" s="198" t="s">
        <v>30858</v>
      </c>
      <c r="E4596" s="198">
        <v>1</v>
      </c>
      <c r="F4596" s="199" t="s">
        <v>30859</v>
      </c>
      <c r="G4596" s="1" t="s">
        <v>34399</v>
      </c>
      <c r="H4596" s="200"/>
      <c r="I4596" s="346"/>
      <c r="J4596" s="39">
        <v>103854</v>
      </c>
      <c r="K4596" s="36" t="str">
        <f>CONCATENATE(Cover!$D$6,"fdd/view?i=",J4596)</f>
        <v>https://www.dgiwg.org/FAD/fdd/view?i=103854</v>
      </c>
      <c r="L4596" s="36" t="s">
        <v>34400</v>
      </c>
      <c r="M4596" s="186"/>
      <c r="N4596" s="186"/>
      <c r="O4596" s="172"/>
    </row>
    <row r="4597" spans="1:15" ht="25.5" x14ac:dyDescent="0.2">
      <c r="A4597" s="197" t="str">
        <f t="shared" si="71"/>
        <v>GfcCode_governmentAdministration</v>
      </c>
      <c r="B4597" s="409"/>
      <c r="C4597" s="416"/>
      <c r="D4597" s="198" t="s">
        <v>34401</v>
      </c>
      <c r="E4597" s="198">
        <v>3</v>
      </c>
      <c r="F4597" s="199" t="s">
        <v>34402</v>
      </c>
      <c r="G4597" s="1" t="s">
        <v>34403</v>
      </c>
      <c r="H4597" s="200"/>
      <c r="I4597" s="346"/>
      <c r="J4597" s="39">
        <v>103856</v>
      </c>
      <c r="K4597" s="36" t="str">
        <f>CONCATENATE(Cover!$D$6,"fdd/view?i=",J4597)</f>
        <v>https://www.dgiwg.org/FAD/fdd/view?i=103856</v>
      </c>
      <c r="L4597" s="36" t="s">
        <v>34404</v>
      </c>
      <c r="M4597" s="186"/>
      <c r="N4597" s="186"/>
      <c r="O4597" s="172"/>
    </row>
    <row r="4598" spans="1:15" ht="25.5" x14ac:dyDescent="0.2">
      <c r="A4598" s="197" t="str">
        <f t="shared" si="71"/>
        <v>GfcCode_legation</v>
      </c>
      <c r="B4598" s="409"/>
      <c r="C4598" s="416"/>
      <c r="D4598" s="198" t="s">
        <v>34405</v>
      </c>
      <c r="E4598" s="198">
        <v>9</v>
      </c>
      <c r="F4598" s="199" t="s">
        <v>34406</v>
      </c>
      <c r="G4598" s="1" t="s">
        <v>34407</v>
      </c>
      <c r="H4598" s="200"/>
      <c r="I4598" s="346"/>
      <c r="J4598" s="39">
        <v>103862</v>
      </c>
      <c r="K4598" s="36" t="str">
        <f>CONCATENATE(Cover!$D$6,"fdd/view?i=",J4598)</f>
        <v>https://www.dgiwg.org/FAD/fdd/view?i=103862</v>
      </c>
      <c r="L4598" s="36" t="s">
        <v>34408</v>
      </c>
      <c r="M4598" s="186"/>
      <c r="N4598" s="186"/>
      <c r="O4598" s="172"/>
    </row>
    <row r="4599" spans="1:15" ht="25.5" x14ac:dyDescent="0.2">
      <c r="A4599" s="197" t="str">
        <f t="shared" si="71"/>
        <v>GfcCode_legislative</v>
      </c>
      <c r="B4599" s="409"/>
      <c r="C4599" s="416"/>
      <c r="D4599" s="198" t="s">
        <v>34409</v>
      </c>
      <c r="E4599" s="198">
        <v>2</v>
      </c>
      <c r="F4599" s="199" t="s">
        <v>34410</v>
      </c>
      <c r="G4599" s="1" t="s">
        <v>34411</v>
      </c>
      <c r="H4599" s="200"/>
      <c r="I4599" s="346"/>
      <c r="J4599" s="39">
        <v>103855</v>
      </c>
      <c r="K4599" s="36" t="str">
        <f>CONCATENATE(Cover!$D$6,"fdd/view?i=",J4599)</f>
        <v>https://www.dgiwg.org/FAD/fdd/view?i=103855</v>
      </c>
      <c r="L4599" s="36" t="s">
        <v>34412</v>
      </c>
      <c r="M4599" s="186"/>
      <c r="N4599" s="186"/>
      <c r="O4599" s="172"/>
    </row>
    <row r="4600" spans="1:15" ht="25.5" x14ac:dyDescent="0.2">
      <c r="A4600" s="197" t="str">
        <f t="shared" si="71"/>
        <v>GfcCode_municipalHall</v>
      </c>
      <c r="B4600" s="409"/>
      <c r="C4600" s="416"/>
      <c r="D4600" s="198" t="s">
        <v>34413</v>
      </c>
      <c r="E4600" s="198">
        <v>17</v>
      </c>
      <c r="F4600" s="199" t="s">
        <v>34414</v>
      </c>
      <c r="G4600" s="1" t="s">
        <v>34415</v>
      </c>
      <c r="H4600" s="200"/>
      <c r="I4600" s="351" t="s">
        <v>34416</v>
      </c>
      <c r="J4600" s="39">
        <v>103870</v>
      </c>
      <c r="K4600" s="36" t="str">
        <f>CONCATENATE(Cover!$D$6,"fdd/view?i=",J4600)</f>
        <v>https://www.dgiwg.org/FAD/fdd/view?i=103870</v>
      </c>
      <c r="L4600" s="36" t="s">
        <v>34417</v>
      </c>
      <c r="M4600" s="186"/>
      <c r="N4600" s="186"/>
      <c r="O4600" s="172"/>
    </row>
    <row r="4601" spans="1:15" ht="38.25" x14ac:dyDescent="0.2">
      <c r="A4601" s="203" t="str">
        <f t="shared" si="71"/>
        <v>GfcCode_royalResidence</v>
      </c>
      <c r="B4601" s="410"/>
      <c r="C4601" s="417"/>
      <c r="D4601" s="204" t="s">
        <v>34418</v>
      </c>
      <c r="E4601" s="204">
        <v>4</v>
      </c>
      <c r="F4601" s="205" t="s">
        <v>34419</v>
      </c>
      <c r="G4601" s="206" t="s">
        <v>34420</v>
      </c>
      <c r="H4601" s="207"/>
      <c r="I4601" s="347"/>
      <c r="J4601" s="39">
        <v>103857</v>
      </c>
      <c r="K4601" s="36" t="str">
        <f>CONCATENATE(Cover!$D$6,"fdd/view?i=",J4601)</f>
        <v>https://www.dgiwg.org/FAD/fdd/view?i=103857</v>
      </c>
      <c r="L4601" s="36" t="s">
        <v>34421</v>
      </c>
      <c r="M4601" s="186"/>
      <c r="N4601" s="186"/>
      <c r="O4601" s="172"/>
    </row>
    <row r="4602" spans="1:15" x14ac:dyDescent="0.2">
      <c r="A4602" s="190" t="str">
        <f t="shared" si="71"/>
        <v>CetCode_manySides</v>
      </c>
      <c r="B4602" s="414" t="str">
        <f>HYPERLINK("[#]Datatypes!A656:L656","CetCode")</f>
        <v>CetCode</v>
      </c>
      <c r="C4602" s="415" t="s">
        <v>15231</v>
      </c>
      <c r="D4602" s="221" t="s">
        <v>34422</v>
      </c>
      <c r="E4602" s="221">
        <v>3</v>
      </c>
      <c r="F4602" s="222" t="s">
        <v>34423</v>
      </c>
      <c r="G4602" s="223" t="s">
        <v>34424</v>
      </c>
      <c r="H4602" s="224"/>
      <c r="I4602" s="345"/>
      <c r="J4602" s="39">
        <v>106762</v>
      </c>
      <c r="K4602" s="36" t="str">
        <f>CONCATENATE(Cover!$D$6,"fdd/view?i=",J4602)</f>
        <v>https://www.dgiwg.org/FAD/fdd/view?i=106762</v>
      </c>
      <c r="L4602" s="36" t="s">
        <v>34425</v>
      </c>
      <c r="M4602" s="186"/>
      <c r="N4602" s="186"/>
      <c r="O4602" s="172"/>
    </row>
    <row r="4603" spans="1:15" x14ac:dyDescent="0.2">
      <c r="A4603" s="197" t="str">
        <f t="shared" si="71"/>
        <v>CetCode_noSides</v>
      </c>
      <c r="B4603" s="409"/>
      <c r="C4603" s="416"/>
      <c r="D4603" s="198" t="s">
        <v>34426</v>
      </c>
      <c r="E4603" s="198">
        <v>4</v>
      </c>
      <c r="F4603" s="199" t="s">
        <v>34427</v>
      </c>
      <c r="G4603" s="1" t="s">
        <v>34428</v>
      </c>
      <c r="H4603" s="200"/>
      <c r="I4603" s="346"/>
      <c r="J4603" s="39">
        <v>106768</v>
      </c>
      <c r="K4603" s="36" t="str">
        <f>CONCATENATE(Cover!$D$6,"fdd/view?i=",J4603)</f>
        <v>https://www.dgiwg.org/FAD/fdd/view?i=106768</v>
      </c>
      <c r="L4603" s="36" t="s">
        <v>34429</v>
      </c>
      <c r="M4603" s="186"/>
      <c r="N4603" s="186"/>
      <c r="O4603" s="172"/>
    </row>
    <row r="4604" spans="1:15" x14ac:dyDescent="0.2">
      <c r="A4604" s="197" t="str">
        <f t="shared" si="71"/>
        <v>CetCode_oneSide</v>
      </c>
      <c r="B4604" s="409"/>
      <c r="C4604" s="416"/>
      <c r="D4604" s="198" t="s">
        <v>34430</v>
      </c>
      <c r="E4604" s="198">
        <v>1</v>
      </c>
      <c r="F4604" s="199" t="s">
        <v>34431</v>
      </c>
      <c r="G4604" s="1" t="s">
        <v>34432</v>
      </c>
      <c r="H4604" s="200"/>
      <c r="I4604" s="346"/>
      <c r="J4604" s="39">
        <v>102977</v>
      </c>
      <c r="K4604" s="36" t="str">
        <f>CONCATENATE(Cover!$D$6,"fdd/view?i=",J4604)</f>
        <v>https://www.dgiwg.org/FAD/fdd/view?i=102977</v>
      </c>
      <c r="L4604" s="36" t="s">
        <v>34433</v>
      </c>
      <c r="M4604" s="186"/>
      <c r="N4604" s="186"/>
      <c r="O4604" s="172"/>
    </row>
    <row r="4605" spans="1:15" x14ac:dyDescent="0.2">
      <c r="A4605" s="203" t="str">
        <f t="shared" si="71"/>
        <v>CetCode_twoSides</v>
      </c>
      <c r="B4605" s="410"/>
      <c r="C4605" s="417"/>
      <c r="D4605" s="204" t="s">
        <v>34434</v>
      </c>
      <c r="E4605" s="204">
        <v>2</v>
      </c>
      <c r="F4605" s="205" t="s">
        <v>34435</v>
      </c>
      <c r="G4605" s="206" t="s">
        <v>34436</v>
      </c>
      <c r="H4605" s="207"/>
      <c r="I4605" s="347"/>
      <c r="J4605" s="39">
        <v>102978</v>
      </c>
      <c r="K4605" s="36" t="str">
        <f>CONCATENATE(Cover!$D$6,"fdd/view?i=",J4605)</f>
        <v>https://www.dgiwg.org/FAD/fdd/view?i=102978</v>
      </c>
      <c r="L4605" s="36" t="s">
        <v>34437</v>
      </c>
      <c r="M4605" s="186"/>
      <c r="N4605" s="186"/>
      <c r="O4605" s="172"/>
    </row>
    <row r="4606" spans="1:15" x14ac:dyDescent="0.2">
      <c r="A4606" s="190" t="str">
        <f t="shared" si="71"/>
        <v>GvgCode_brushwood</v>
      </c>
      <c r="B4606" s="414" t="str">
        <f>HYPERLINK("[#]Datatypes!A660:L660","GvgCode")</f>
        <v>GvgCode</v>
      </c>
      <c r="C4606" s="415" t="s">
        <v>15235</v>
      </c>
      <c r="D4606" s="221" t="s">
        <v>34438</v>
      </c>
      <c r="E4606" s="221">
        <v>1</v>
      </c>
      <c r="F4606" s="222" t="s">
        <v>34439</v>
      </c>
      <c r="G4606" s="223" t="s">
        <v>34440</v>
      </c>
      <c r="H4606" s="224"/>
      <c r="I4606" s="345"/>
      <c r="J4606" s="39">
        <v>113381</v>
      </c>
      <c r="K4606" s="36" t="str">
        <f>CONCATENATE(Cover!$D$6,"fdd/view?i=",J4606)</f>
        <v>https://www.dgiwg.org/FAD/fdd/view?i=113381</v>
      </c>
      <c r="L4606" s="36" t="s">
        <v>34441</v>
      </c>
      <c r="M4606" s="186"/>
      <c r="N4606" s="186"/>
      <c r="O4606" s="172"/>
    </row>
    <row r="4607" spans="1:15" x14ac:dyDescent="0.2">
      <c r="A4607" s="197" t="str">
        <f t="shared" si="71"/>
        <v>GvgCode_grass</v>
      </c>
      <c r="B4607" s="409"/>
      <c r="C4607" s="416"/>
      <c r="D4607" s="198" t="s">
        <v>19622</v>
      </c>
      <c r="E4607" s="198">
        <v>3</v>
      </c>
      <c r="F4607" s="199" t="s">
        <v>19623</v>
      </c>
      <c r="G4607" s="1" t="s">
        <v>34442</v>
      </c>
      <c r="H4607" s="200"/>
      <c r="I4607" s="346"/>
      <c r="J4607" s="39">
        <v>113383</v>
      </c>
      <c r="K4607" s="36" t="str">
        <f>CONCATENATE(Cover!$D$6,"fdd/view?i=",J4607)</f>
        <v>https://www.dgiwg.org/FAD/fdd/view?i=113383</v>
      </c>
      <c r="L4607" s="36" t="s">
        <v>34443</v>
      </c>
      <c r="M4607" s="186"/>
      <c r="N4607" s="186"/>
      <c r="O4607" s="172"/>
    </row>
    <row r="4608" spans="1:15" ht="25.5" x14ac:dyDescent="0.2">
      <c r="A4608" s="197" t="str">
        <f t="shared" si="71"/>
        <v>GvgCode_herbaceousLayer</v>
      </c>
      <c r="B4608" s="409"/>
      <c r="C4608" s="416"/>
      <c r="D4608" s="198" t="s">
        <v>34444</v>
      </c>
      <c r="E4608" s="198">
        <v>2</v>
      </c>
      <c r="F4608" s="199" t="s">
        <v>34445</v>
      </c>
      <c r="G4608" s="1" t="s">
        <v>34446</v>
      </c>
      <c r="H4608" s="200"/>
      <c r="I4608" s="346"/>
      <c r="J4608" s="39">
        <v>113382</v>
      </c>
      <c r="K4608" s="36" t="str">
        <f>CONCATENATE(Cover!$D$6,"fdd/view?i=",J4608)</f>
        <v>https://www.dgiwg.org/FAD/fdd/view?i=113382</v>
      </c>
      <c r="L4608" s="36" t="s">
        <v>34447</v>
      </c>
      <c r="M4608" s="186"/>
      <c r="N4608" s="186"/>
      <c r="O4608" s="172"/>
    </row>
    <row r="4609" spans="1:15" ht="25.5" x14ac:dyDescent="0.2">
      <c r="A4609" s="203" t="str">
        <f t="shared" si="71"/>
        <v>GvgCode_moss</v>
      </c>
      <c r="B4609" s="410"/>
      <c r="C4609" s="417"/>
      <c r="D4609" s="204" t="s">
        <v>34448</v>
      </c>
      <c r="E4609" s="204">
        <v>4</v>
      </c>
      <c r="F4609" s="205" t="s">
        <v>34449</v>
      </c>
      <c r="G4609" s="206" t="s">
        <v>34450</v>
      </c>
      <c r="H4609" s="207"/>
      <c r="I4609" s="347"/>
      <c r="J4609" s="39">
        <v>113384</v>
      </c>
      <c r="K4609" s="36" t="str">
        <f>CONCATENATE(Cover!$D$6,"fdd/view?i=",J4609)</f>
        <v>https://www.dgiwg.org/FAD/fdd/view?i=113384</v>
      </c>
      <c r="L4609" s="36" t="s">
        <v>34451</v>
      </c>
      <c r="M4609" s="186"/>
      <c r="N4609" s="186"/>
      <c r="O4609" s="172"/>
    </row>
    <row r="4610" spans="1:15" ht="25.5" x14ac:dyDescent="0.2">
      <c r="A4610" s="190" t="str">
        <f t="shared" ref="A4610:A4673" si="72">HYPERLINK(K4610,L4610)</f>
        <v>AqaCode_aquitard</v>
      </c>
      <c r="B4610" s="414" t="str">
        <f>HYPERLINK("[#]Datatypes!A662:L662","AqaCode")</f>
        <v>AqaCode</v>
      </c>
      <c r="C4610" s="415" t="s">
        <v>15237</v>
      </c>
      <c r="D4610" s="221" t="s">
        <v>34452</v>
      </c>
      <c r="E4610" s="221">
        <v>3</v>
      </c>
      <c r="F4610" s="222" t="s">
        <v>34453</v>
      </c>
      <c r="G4610" s="223" t="s">
        <v>34454</v>
      </c>
      <c r="H4610" s="224"/>
      <c r="I4610" s="345"/>
      <c r="J4610" s="39">
        <v>112963</v>
      </c>
      <c r="K4610" s="36" t="str">
        <f>CONCATENATE(Cover!$D$6,"fdd/view?i=",J4610)</f>
        <v>https://www.dgiwg.org/FAD/fdd/view?i=112963</v>
      </c>
      <c r="L4610" s="36" t="s">
        <v>34455</v>
      </c>
      <c r="M4610" s="186"/>
      <c r="N4610" s="186"/>
      <c r="O4610" s="172"/>
    </row>
    <row r="4611" spans="1:15" ht="25.5" x14ac:dyDescent="0.2">
      <c r="A4611" s="197" t="str">
        <f t="shared" si="72"/>
        <v>AqaCode_fractureFlow</v>
      </c>
      <c r="B4611" s="409"/>
      <c r="C4611" s="416"/>
      <c r="D4611" s="198" t="s">
        <v>34461</v>
      </c>
      <c r="E4611" s="198">
        <v>1</v>
      </c>
      <c r="F4611" s="199" t="s">
        <v>34462</v>
      </c>
      <c r="G4611" s="1" t="s">
        <v>34463</v>
      </c>
      <c r="H4611" s="200"/>
      <c r="I4611" s="346"/>
      <c r="J4611" s="39">
        <v>112961</v>
      </c>
      <c r="K4611" s="36" t="str">
        <f>CONCATENATE(Cover!$D$6,"fdd/view?i=",J4611)</f>
        <v>https://www.dgiwg.org/FAD/fdd/view?i=112961</v>
      </c>
      <c r="L4611" s="36" t="s">
        <v>34464</v>
      </c>
      <c r="M4611" s="186"/>
      <c r="N4611" s="186"/>
      <c r="O4611" s="172"/>
    </row>
    <row r="4612" spans="1:15" ht="25.5" x14ac:dyDescent="0.2">
      <c r="A4612" s="197" t="str">
        <f t="shared" si="72"/>
        <v>AqaCode_fractureIntergranularFlow</v>
      </c>
      <c r="B4612" s="409"/>
      <c r="C4612" s="416"/>
      <c r="D4612" s="198" t="s">
        <v>34456</v>
      </c>
      <c r="E4612" s="198">
        <v>4</v>
      </c>
      <c r="F4612" s="199" t="s">
        <v>34457</v>
      </c>
      <c r="G4612" s="1" t="s">
        <v>34458</v>
      </c>
      <c r="H4612" s="200"/>
      <c r="I4612" s="351" t="s">
        <v>34459</v>
      </c>
      <c r="J4612" s="39">
        <v>112964</v>
      </c>
      <c r="K4612" s="36" t="str">
        <f>CONCATENATE(Cover!$D$6,"fdd/view?i=",J4612)</f>
        <v>https://www.dgiwg.org/FAD/fdd/view?i=112964</v>
      </c>
      <c r="L4612" s="36" t="s">
        <v>34460</v>
      </c>
      <c r="M4612" s="186"/>
      <c r="N4612" s="186"/>
      <c r="O4612" s="172"/>
    </row>
    <row r="4613" spans="1:15" ht="25.5" x14ac:dyDescent="0.2">
      <c r="A4613" s="197" t="str">
        <f t="shared" si="72"/>
        <v>AqaCode_karstFlow</v>
      </c>
      <c r="B4613" s="409"/>
      <c r="C4613" s="416"/>
      <c r="D4613" s="198" t="s">
        <v>34465</v>
      </c>
      <c r="E4613" s="198">
        <v>5</v>
      </c>
      <c r="F4613" s="199" t="s">
        <v>34466</v>
      </c>
      <c r="G4613" s="1" t="s">
        <v>34467</v>
      </c>
      <c r="H4613" s="200"/>
      <c r="I4613" s="346"/>
      <c r="J4613" s="39">
        <v>112965</v>
      </c>
      <c r="K4613" s="36" t="str">
        <f>CONCATENATE(Cover!$D$6,"fdd/view?i=",J4613)</f>
        <v>https://www.dgiwg.org/FAD/fdd/view?i=112965</v>
      </c>
      <c r="L4613" s="36" t="s">
        <v>34468</v>
      </c>
      <c r="M4613" s="186"/>
      <c r="N4613" s="186"/>
      <c r="O4613" s="172"/>
    </row>
    <row r="4614" spans="1:15" ht="25.5" x14ac:dyDescent="0.2">
      <c r="A4614" s="203" t="str">
        <f t="shared" si="72"/>
        <v>AqaCode_poreFlow</v>
      </c>
      <c r="B4614" s="410"/>
      <c r="C4614" s="417"/>
      <c r="D4614" s="204" t="s">
        <v>34469</v>
      </c>
      <c r="E4614" s="204">
        <v>2</v>
      </c>
      <c r="F4614" s="205" t="s">
        <v>34470</v>
      </c>
      <c r="G4614" s="206" t="s">
        <v>34471</v>
      </c>
      <c r="H4614" s="207"/>
      <c r="I4614" s="347"/>
      <c r="J4614" s="39">
        <v>112962</v>
      </c>
      <c r="K4614" s="36" t="str">
        <f>CONCATENATE(Cover!$D$6,"fdd/view?i=",J4614)</f>
        <v>https://www.dgiwg.org/FAD/fdd/view?i=112962</v>
      </c>
      <c r="L4614" s="36" t="s">
        <v>34472</v>
      </c>
      <c r="M4614" s="186"/>
      <c r="N4614" s="186"/>
      <c r="O4614" s="172"/>
    </row>
    <row r="4615" spans="1:15" x14ac:dyDescent="0.2">
      <c r="A4615" s="190" t="str">
        <f t="shared" si="72"/>
        <v>PthCode_blocksOfFlats</v>
      </c>
      <c r="B4615" s="414" t="str">
        <f>HYPERLINK("[#]Datatypes!A664:L664","PthCode")</f>
        <v>PthCode</v>
      </c>
      <c r="C4615" s="415" t="s">
        <v>15239</v>
      </c>
      <c r="D4615" s="221" t="s">
        <v>34473</v>
      </c>
      <c r="E4615" s="221">
        <v>2</v>
      </c>
      <c r="F4615" s="222" t="s">
        <v>34474</v>
      </c>
      <c r="G4615" s="223" t="s">
        <v>34475</v>
      </c>
      <c r="H4615" s="224"/>
      <c r="I4615" s="345"/>
      <c r="J4615" s="39">
        <v>113640</v>
      </c>
      <c r="K4615" s="36" t="str">
        <f>CONCATENATE(Cover!$D$6,"fdd/view?i=",J4615)</f>
        <v>https://www.dgiwg.org/FAD/fdd/view?i=113640</v>
      </c>
      <c r="L4615" s="36" t="s">
        <v>34476</v>
      </c>
      <c r="M4615" s="186"/>
      <c r="N4615" s="186"/>
      <c r="O4615" s="172"/>
    </row>
    <row r="4616" spans="1:15" x14ac:dyDescent="0.2">
      <c r="A4616" s="197" t="str">
        <f t="shared" si="72"/>
        <v>PthCode_caravans</v>
      </c>
      <c r="B4616" s="409"/>
      <c r="C4616" s="416"/>
      <c r="D4616" s="198" t="s">
        <v>34477</v>
      </c>
      <c r="E4616" s="198">
        <v>10</v>
      </c>
      <c r="F4616" s="199" t="s">
        <v>34478</v>
      </c>
      <c r="G4616" s="1" t="s">
        <v>34479</v>
      </c>
      <c r="H4616" s="200"/>
      <c r="I4616" s="351" t="s">
        <v>34480</v>
      </c>
      <c r="J4616" s="39">
        <v>113648</v>
      </c>
      <c r="K4616" s="36" t="str">
        <f>CONCATENATE(Cover!$D$6,"fdd/view?i=",J4616)</f>
        <v>https://www.dgiwg.org/FAD/fdd/view?i=113648</v>
      </c>
      <c r="L4616" s="36" t="s">
        <v>34481</v>
      </c>
      <c r="M4616" s="186"/>
      <c r="N4616" s="186"/>
      <c r="O4616" s="172"/>
    </row>
    <row r="4617" spans="1:15" ht="25.5" x14ac:dyDescent="0.2">
      <c r="A4617" s="197" t="str">
        <f t="shared" si="72"/>
        <v>PthCode_caveDwellings</v>
      </c>
      <c r="B4617" s="409"/>
      <c r="C4617" s="416"/>
      <c r="D4617" s="198" t="s">
        <v>34482</v>
      </c>
      <c r="E4617" s="198">
        <v>13</v>
      </c>
      <c r="F4617" s="199" t="s">
        <v>34483</v>
      </c>
      <c r="G4617" s="1" t="s">
        <v>34484</v>
      </c>
      <c r="H4617" s="200"/>
      <c r="I4617" s="346"/>
      <c r="J4617" s="39">
        <v>113651</v>
      </c>
      <c r="K4617" s="36" t="str">
        <f>CONCATENATE(Cover!$D$6,"fdd/view?i=",J4617)</f>
        <v>https://www.dgiwg.org/FAD/fdd/view?i=113651</v>
      </c>
      <c r="L4617" s="36" t="s">
        <v>34485</v>
      </c>
      <c r="M4617" s="186"/>
      <c r="N4617" s="186"/>
      <c r="O4617" s="172"/>
    </row>
    <row r="4618" spans="1:15" ht="25.5" x14ac:dyDescent="0.2">
      <c r="A4618" s="197" t="str">
        <f t="shared" si="72"/>
        <v>PthCode_houseboats</v>
      </c>
      <c r="B4618" s="409"/>
      <c r="C4618" s="416"/>
      <c r="D4618" s="198" t="s">
        <v>34486</v>
      </c>
      <c r="E4618" s="198">
        <v>12</v>
      </c>
      <c r="F4618" s="199" t="s">
        <v>34487</v>
      </c>
      <c r="G4618" s="1" t="s">
        <v>34488</v>
      </c>
      <c r="H4618" s="1" t="s">
        <v>34489</v>
      </c>
      <c r="I4618" s="346"/>
      <c r="J4618" s="39">
        <v>113650</v>
      </c>
      <c r="K4618" s="36" t="str">
        <f>CONCATENATE(Cover!$D$6,"fdd/view?i=",J4618)</f>
        <v>https://www.dgiwg.org/FAD/fdd/view?i=113650</v>
      </c>
      <c r="L4618" s="36" t="s">
        <v>34490</v>
      </c>
      <c r="M4618" s="186"/>
      <c r="N4618" s="186"/>
      <c r="O4618" s="172"/>
    </row>
    <row r="4619" spans="1:15" x14ac:dyDescent="0.2">
      <c r="A4619" s="197" t="str">
        <f t="shared" si="72"/>
        <v>PthCode_huts</v>
      </c>
      <c r="B4619" s="409"/>
      <c r="C4619" s="416"/>
      <c r="D4619" s="198" t="s">
        <v>34491</v>
      </c>
      <c r="E4619" s="198">
        <v>8</v>
      </c>
      <c r="F4619" s="199" t="s">
        <v>34492</v>
      </c>
      <c r="G4619" s="1" t="s">
        <v>34493</v>
      </c>
      <c r="H4619" s="200"/>
      <c r="I4619" s="346"/>
      <c r="J4619" s="39">
        <v>113646</v>
      </c>
      <c r="K4619" s="36" t="str">
        <f>CONCATENATE(Cover!$D$6,"fdd/view?i=",J4619)</f>
        <v>https://www.dgiwg.org/FAD/fdd/view?i=113646</v>
      </c>
      <c r="L4619" s="36" t="s">
        <v>34494</v>
      </c>
      <c r="M4619" s="186"/>
      <c r="N4619" s="186"/>
      <c r="O4619" s="172"/>
    </row>
    <row r="4620" spans="1:15" ht="25.5" x14ac:dyDescent="0.2">
      <c r="A4620" s="197" t="str">
        <f t="shared" si="72"/>
        <v>PthCode_otherResidentialBuildings</v>
      </c>
      <c r="B4620" s="409"/>
      <c r="C4620" s="416"/>
      <c r="D4620" s="198" t="s">
        <v>34495</v>
      </c>
      <c r="E4620" s="198">
        <v>7</v>
      </c>
      <c r="F4620" s="199" t="s">
        <v>34496</v>
      </c>
      <c r="G4620" s="1" t="s">
        <v>34497</v>
      </c>
      <c r="H4620" s="1" t="s">
        <v>34498</v>
      </c>
      <c r="I4620" s="346"/>
      <c r="J4620" s="39">
        <v>113645</v>
      </c>
      <c r="K4620" s="36" t="str">
        <f>CONCATENATE(Cover!$D$6,"fdd/view?i=",J4620)</f>
        <v>https://www.dgiwg.org/FAD/fdd/view?i=113645</v>
      </c>
      <c r="L4620" s="36" t="s">
        <v>34499</v>
      </c>
      <c r="M4620" s="186"/>
      <c r="N4620" s="186"/>
      <c r="O4620" s="172"/>
    </row>
    <row r="4621" spans="1:15" x14ac:dyDescent="0.2">
      <c r="A4621" s="197" t="str">
        <f t="shared" si="72"/>
        <v>PthCode_rowHouses</v>
      </c>
      <c r="B4621" s="409"/>
      <c r="C4621" s="416"/>
      <c r="D4621" s="198" t="s">
        <v>34500</v>
      </c>
      <c r="E4621" s="198">
        <v>3</v>
      </c>
      <c r="F4621" s="199" t="s">
        <v>34501</v>
      </c>
      <c r="G4621" s="1" t="s">
        <v>34502</v>
      </c>
      <c r="H4621" s="200"/>
      <c r="I4621" s="346"/>
      <c r="J4621" s="39">
        <v>113641</v>
      </c>
      <c r="K4621" s="36" t="str">
        <f>CONCATENATE(Cover!$D$6,"fdd/view?i=",J4621)</f>
        <v>https://www.dgiwg.org/FAD/fdd/view?i=113641</v>
      </c>
      <c r="L4621" s="36" t="s">
        <v>34503</v>
      </c>
      <c r="M4621" s="186"/>
      <c r="N4621" s="186"/>
      <c r="O4621" s="172"/>
    </row>
    <row r="4622" spans="1:15" x14ac:dyDescent="0.2">
      <c r="A4622" s="197" t="str">
        <f t="shared" si="72"/>
        <v>PthCode_shanties</v>
      </c>
      <c r="B4622" s="409"/>
      <c r="C4622" s="416"/>
      <c r="D4622" s="198" t="s">
        <v>34504</v>
      </c>
      <c r="E4622" s="198">
        <v>6</v>
      </c>
      <c r="F4622" s="199" t="s">
        <v>34505</v>
      </c>
      <c r="G4622" s="1" t="s">
        <v>34506</v>
      </c>
      <c r="H4622" s="1" t="s">
        <v>34507</v>
      </c>
      <c r="I4622" s="346"/>
      <c r="J4622" s="39">
        <v>113644</v>
      </c>
      <c r="K4622" s="36" t="str">
        <f>CONCATENATE(Cover!$D$6,"fdd/view?i=",J4622)</f>
        <v>https://www.dgiwg.org/FAD/fdd/view?i=113644</v>
      </c>
      <c r="L4622" s="36" t="s">
        <v>34508</v>
      </c>
      <c r="M4622" s="186"/>
      <c r="N4622" s="186"/>
      <c r="O4622" s="172"/>
    </row>
    <row r="4623" spans="1:15" ht="25.5" x14ac:dyDescent="0.2">
      <c r="A4623" s="197" t="str">
        <f t="shared" si="72"/>
        <v>PthCode_singleFamilyDwellings</v>
      </c>
      <c r="B4623" s="409"/>
      <c r="C4623" s="416"/>
      <c r="D4623" s="198" t="s">
        <v>34509</v>
      </c>
      <c r="E4623" s="198">
        <v>4</v>
      </c>
      <c r="F4623" s="199" t="s">
        <v>34510</v>
      </c>
      <c r="G4623" s="1" t="s">
        <v>34511</v>
      </c>
      <c r="H4623" s="200"/>
      <c r="I4623" s="346"/>
      <c r="J4623" s="39">
        <v>113642</v>
      </c>
      <c r="K4623" s="36" t="str">
        <f>CONCATENATE(Cover!$D$6,"fdd/view?i=",J4623)</f>
        <v>https://www.dgiwg.org/FAD/fdd/view?i=113642</v>
      </c>
      <c r="L4623" s="36" t="s">
        <v>34512</v>
      </c>
      <c r="M4623" s="186"/>
      <c r="N4623" s="186"/>
      <c r="O4623" s="172"/>
    </row>
    <row r="4624" spans="1:15" x14ac:dyDescent="0.2">
      <c r="A4624" s="197" t="str">
        <f t="shared" si="72"/>
        <v>PthCode_skyscrapers</v>
      </c>
      <c r="B4624" s="409"/>
      <c r="C4624" s="416"/>
      <c r="D4624" s="198" t="s">
        <v>34513</v>
      </c>
      <c r="E4624" s="198">
        <v>1</v>
      </c>
      <c r="F4624" s="199" t="s">
        <v>34514</v>
      </c>
      <c r="G4624" s="1" t="s">
        <v>34515</v>
      </c>
      <c r="H4624" s="200"/>
      <c r="I4624" s="351" t="s">
        <v>34516</v>
      </c>
      <c r="J4624" s="39">
        <v>113639</v>
      </c>
      <c r="K4624" s="36" t="str">
        <f>CONCATENATE(Cover!$D$6,"fdd/view?i=",J4624)</f>
        <v>https://www.dgiwg.org/FAD/fdd/view?i=113639</v>
      </c>
      <c r="L4624" s="36" t="s">
        <v>34517</v>
      </c>
      <c r="M4624" s="186"/>
      <c r="N4624" s="186"/>
      <c r="O4624" s="172"/>
    </row>
    <row r="4625" spans="1:15" ht="25.5" x14ac:dyDescent="0.2">
      <c r="A4625" s="197" t="str">
        <f t="shared" si="72"/>
        <v>PthCode_stiltHouses</v>
      </c>
      <c r="B4625" s="409"/>
      <c r="C4625" s="416"/>
      <c r="D4625" s="198" t="s">
        <v>34518</v>
      </c>
      <c r="E4625" s="198">
        <v>9</v>
      </c>
      <c r="F4625" s="199" t="s">
        <v>34519</v>
      </c>
      <c r="G4625" s="1" t="s">
        <v>34520</v>
      </c>
      <c r="H4625" s="200"/>
      <c r="I4625" s="351" t="s">
        <v>34521</v>
      </c>
      <c r="J4625" s="39">
        <v>113647</v>
      </c>
      <c r="K4625" s="36" t="str">
        <f>CONCATENATE(Cover!$D$6,"fdd/view?i=",J4625)</f>
        <v>https://www.dgiwg.org/FAD/fdd/view?i=113647</v>
      </c>
      <c r="L4625" s="36" t="s">
        <v>34522</v>
      </c>
      <c r="M4625" s="186"/>
      <c r="N4625" s="186"/>
      <c r="O4625" s="172"/>
    </row>
    <row r="4626" spans="1:15" ht="25.5" x14ac:dyDescent="0.2">
      <c r="A4626" s="197" t="str">
        <f t="shared" si="72"/>
        <v>PthCode_tents</v>
      </c>
      <c r="B4626" s="409"/>
      <c r="C4626" s="416"/>
      <c r="D4626" s="198" t="s">
        <v>34523</v>
      </c>
      <c r="E4626" s="198">
        <v>11</v>
      </c>
      <c r="F4626" s="199" t="s">
        <v>34524</v>
      </c>
      <c r="G4626" s="1" t="s">
        <v>34525</v>
      </c>
      <c r="H4626" s="200"/>
      <c r="I4626" s="346"/>
      <c r="J4626" s="39">
        <v>113649</v>
      </c>
      <c r="K4626" s="36" t="str">
        <f>CONCATENATE(Cover!$D$6,"fdd/view?i=",J4626)</f>
        <v>https://www.dgiwg.org/FAD/fdd/view?i=113649</v>
      </c>
      <c r="L4626" s="36" t="s">
        <v>34526</v>
      </c>
      <c r="M4626" s="186"/>
      <c r="N4626" s="186"/>
      <c r="O4626" s="172"/>
    </row>
    <row r="4627" spans="1:15" ht="25.5" x14ac:dyDescent="0.2">
      <c r="A4627" s="197" t="str">
        <f t="shared" si="72"/>
        <v>PthCode_undergroundDwellings</v>
      </c>
      <c r="B4627" s="409"/>
      <c r="C4627" s="416"/>
      <c r="D4627" s="198" t="s">
        <v>34527</v>
      </c>
      <c r="E4627" s="198">
        <v>14</v>
      </c>
      <c r="F4627" s="199" t="s">
        <v>34528</v>
      </c>
      <c r="G4627" s="1" t="s">
        <v>34529</v>
      </c>
      <c r="H4627" s="200"/>
      <c r="I4627" s="346"/>
      <c r="J4627" s="39">
        <v>113652</v>
      </c>
      <c r="K4627" s="36" t="str">
        <f>CONCATENATE(Cover!$D$6,"fdd/view?i=",J4627)</f>
        <v>https://www.dgiwg.org/FAD/fdd/view?i=113652</v>
      </c>
      <c r="L4627" s="36" t="s">
        <v>34530</v>
      </c>
      <c r="M4627" s="186"/>
      <c r="N4627" s="186"/>
      <c r="O4627" s="172"/>
    </row>
    <row r="4628" spans="1:15" ht="25.5" x14ac:dyDescent="0.2">
      <c r="A4628" s="203" t="str">
        <f t="shared" si="72"/>
        <v>PthCode_villas</v>
      </c>
      <c r="B4628" s="410"/>
      <c r="C4628" s="417"/>
      <c r="D4628" s="204" t="s">
        <v>34531</v>
      </c>
      <c r="E4628" s="204">
        <v>5</v>
      </c>
      <c r="F4628" s="205" t="s">
        <v>34532</v>
      </c>
      <c r="G4628" s="206" t="s">
        <v>34533</v>
      </c>
      <c r="H4628" s="207"/>
      <c r="I4628" s="347"/>
      <c r="J4628" s="39">
        <v>113643</v>
      </c>
      <c r="K4628" s="36" t="str">
        <f>CONCATENATE(Cover!$D$6,"fdd/view?i=",J4628)</f>
        <v>https://www.dgiwg.org/FAD/fdd/view?i=113643</v>
      </c>
      <c r="L4628" s="36" t="s">
        <v>34534</v>
      </c>
      <c r="M4628" s="186"/>
      <c r="N4628" s="186"/>
      <c r="O4628" s="172"/>
    </row>
    <row r="4629" spans="1:15" x14ac:dyDescent="0.2">
      <c r="A4629" s="190" t="str">
        <f t="shared" si="72"/>
        <v>HtpCode_doubleBay</v>
      </c>
      <c r="B4629" s="414" t="str">
        <f>HYPERLINK("[#]Datatypes!A666:L666","HtpCode")</f>
        <v>HtpCode</v>
      </c>
      <c r="C4629" s="415" t="s">
        <v>15241</v>
      </c>
      <c r="D4629" s="221" t="s">
        <v>34535</v>
      </c>
      <c r="E4629" s="221">
        <v>6</v>
      </c>
      <c r="F4629" s="222" t="s">
        <v>34536</v>
      </c>
      <c r="G4629" s="223" t="s">
        <v>34537</v>
      </c>
      <c r="H4629" s="224"/>
      <c r="I4629" s="345"/>
      <c r="J4629" s="39">
        <v>104297</v>
      </c>
      <c r="K4629" s="36" t="str">
        <f>CONCATENATE(Cover!$D$6,"fdd/view?i=",J4629)</f>
        <v>https://www.dgiwg.org/FAD/fdd/view?i=104297</v>
      </c>
      <c r="L4629" s="36" t="s">
        <v>34538</v>
      </c>
      <c r="M4629" s="186"/>
      <c r="N4629" s="186"/>
      <c r="O4629" s="172"/>
    </row>
    <row r="4630" spans="1:15" x14ac:dyDescent="0.2">
      <c r="A4630" s="197" t="str">
        <f t="shared" si="72"/>
        <v>HtpCode_multiBay</v>
      </c>
      <c r="B4630" s="409"/>
      <c r="C4630" s="416"/>
      <c r="D4630" s="198" t="s">
        <v>34541</v>
      </c>
      <c r="E4630" s="198">
        <v>1</v>
      </c>
      <c r="F4630" s="199" t="s">
        <v>34542</v>
      </c>
      <c r="G4630" s="1" t="s">
        <v>34543</v>
      </c>
      <c r="H4630" s="200"/>
      <c r="I4630" s="346"/>
      <c r="J4630" s="39">
        <v>104292</v>
      </c>
      <c r="K4630" s="36" t="str">
        <f>CONCATENATE(Cover!$D$6,"fdd/view?i=",J4630)</f>
        <v>https://www.dgiwg.org/FAD/fdd/view?i=104292</v>
      </c>
      <c r="L4630" s="36" t="s">
        <v>34544</v>
      </c>
      <c r="M4630" s="186"/>
      <c r="N4630" s="186"/>
      <c r="O4630" s="172"/>
    </row>
    <row r="4631" spans="1:15" x14ac:dyDescent="0.2">
      <c r="A4631" s="197" t="str">
        <f t="shared" si="72"/>
        <v>HtpCode_noseIn</v>
      </c>
      <c r="B4631" s="409"/>
      <c r="C4631" s="416"/>
      <c r="D4631" s="198" t="s">
        <v>21071</v>
      </c>
      <c r="E4631" s="198">
        <v>3</v>
      </c>
      <c r="F4631" s="199" t="s">
        <v>34545</v>
      </c>
      <c r="G4631" s="1" t="s">
        <v>34546</v>
      </c>
      <c r="H4631" s="200"/>
      <c r="I4631" s="346"/>
      <c r="J4631" s="39">
        <v>104294</v>
      </c>
      <c r="K4631" s="36" t="str">
        <f>CONCATENATE(Cover!$D$6,"fdd/view?i=",J4631)</f>
        <v>https://www.dgiwg.org/FAD/fdd/view?i=104294</v>
      </c>
      <c r="L4631" s="36" t="s">
        <v>34547</v>
      </c>
      <c r="M4631" s="186"/>
      <c r="N4631" s="186"/>
      <c r="O4631" s="172"/>
    </row>
    <row r="4632" spans="1:15" x14ac:dyDescent="0.2">
      <c r="A4632" s="197" t="str">
        <f t="shared" si="72"/>
        <v>HtpCode_openEnd</v>
      </c>
      <c r="B4632" s="409"/>
      <c r="C4632" s="416"/>
      <c r="D4632" s="198" t="s">
        <v>34548</v>
      </c>
      <c r="E4632" s="198">
        <v>2</v>
      </c>
      <c r="F4632" s="199" t="s">
        <v>34549</v>
      </c>
      <c r="G4632" s="1" t="s">
        <v>34550</v>
      </c>
      <c r="H4632" s="200"/>
      <c r="I4632" s="346"/>
      <c r="J4632" s="39">
        <v>104293</v>
      </c>
      <c r="K4632" s="36" t="str">
        <f>CONCATENATE(Cover!$D$6,"fdd/view?i=",J4632)</f>
        <v>https://www.dgiwg.org/FAD/fdd/view?i=104293</v>
      </c>
      <c r="L4632" s="36" t="s">
        <v>34551</v>
      </c>
      <c r="M4632" s="186"/>
      <c r="N4632" s="186"/>
      <c r="O4632" s="172"/>
    </row>
    <row r="4633" spans="1:15" x14ac:dyDescent="0.2">
      <c r="A4633" s="197" t="str">
        <f t="shared" si="72"/>
        <v>HtpCode_shapedLikeT</v>
      </c>
      <c r="B4633" s="409"/>
      <c r="C4633" s="416"/>
      <c r="D4633" s="198" t="s">
        <v>34556</v>
      </c>
      <c r="E4633" s="198">
        <v>7</v>
      </c>
      <c r="F4633" s="199" t="s">
        <v>34557</v>
      </c>
      <c r="G4633" s="1" t="s">
        <v>34558</v>
      </c>
      <c r="H4633" s="200"/>
      <c r="I4633" s="346"/>
      <c r="J4633" s="39">
        <v>104298</v>
      </c>
      <c r="K4633" s="36" t="str">
        <f>CONCATENATE(Cover!$D$6,"fdd/view?i=",J4633)</f>
        <v>https://www.dgiwg.org/FAD/fdd/view?i=104298</v>
      </c>
      <c r="L4633" s="36" t="s">
        <v>34559</v>
      </c>
      <c r="M4633" s="186"/>
      <c r="N4633" s="186"/>
      <c r="O4633" s="172"/>
    </row>
    <row r="4634" spans="1:15" x14ac:dyDescent="0.2">
      <c r="A4634" s="197" t="str">
        <f t="shared" si="72"/>
        <v>HtpCode_singleBay</v>
      </c>
      <c r="B4634" s="409"/>
      <c r="C4634" s="416"/>
      <c r="D4634" s="198" t="s">
        <v>34552</v>
      </c>
      <c r="E4634" s="198">
        <v>5</v>
      </c>
      <c r="F4634" s="199" t="s">
        <v>34553</v>
      </c>
      <c r="G4634" s="1" t="s">
        <v>34554</v>
      </c>
      <c r="H4634" s="200"/>
      <c r="I4634" s="346"/>
      <c r="J4634" s="39">
        <v>104296</v>
      </c>
      <c r="K4634" s="36" t="str">
        <f>CONCATENATE(Cover!$D$6,"fdd/view?i=",J4634)</f>
        <v>https://www.dgiwg.org/FAD/fdd/view?i=104296</v>
      </c>
      <c r="L4634" s="36" t="s">
        <v>34555</v>
      </c>
      <c r="M4634" s="186"/>
      <c r="N4634" s="186"/>
      <c r="O4634" s="172"/>
    </row>
    <row r="4635" spans="1:15" x14ac:dyDescent="0.2">
      <c r="A4635" s="203" t="str">
        <f t="shared" si="72"/>
        <v>HtpCode_underground</v>
      </c>
      <c r="B4635" s="410"/>
      <c r="C4635" s="417"/>
      <c r="D4635" s="204" t="s">
        <v>22289</v>
      </c>
      <c r="E4635" s="204">
        <v>4</v>
      </c>
      <c r="F4635" s="205" t="s">
        <v>34539</v>
      </c>
      <c r="G4635" s="206" t="s">
        <v>22290</v>
      </c>
      <c r="H4635" s="207"/>
      <c r="I4635" s="347"/>
      <c r="J4635" s="39">
        <v>104295</v>
      </c>
      <c r="K4635" s="36" t="str">
        <f>CONCATENATE(Cover!$D$6,"fdd/view?i=",J4635)</f>
        <v>https://www.dgiwg.org/FAD/fdd/view?i=104295</v>
      </c>
      <c r="L4635" s="36" t="s">
        <v>34540</v>
      </c>
      <c r="M4635" s="186"/>
      <c r="N4635" s="186"/>
      <c r="O4635" s="172"/>
    </row>
    <row r="4636" spans="1:15" ht="25.5" x14ac:dyDescent="0.2">
      <c r="A4636" s="190" t="str">
        <f t="shared" si="72"/>
        <v>FhcCode_bulkTerminal</v>
      </c>
      <c r="B4636" s="414" t="str">
        <f>HYPERLINK("[#]Datatypes!A668:L668","FhcCode")</f>
        <v>FhcCode</v>
      </c>
      <c r="C4636" s="415" t="s">
        <v>15243</v>
      </c>
      <c r="D4636" s="221" t="s">
        <v>34560</v>
      </c>
      <c r="E4636" s="221">
        <v>11</v>
      </c>
      <c r="F4636" s="222" t="s">
        <v>34561</v>
      </c>
      <c r="G4636" s="223" t="s">
        <v>34562</v>
      </c>
      <c r="H4636" s="224"/>
      <c r="I4636" s="345"/>
      <c r="J4636" s="39">
        <v>103685</v>
      </c>
      <c r="K4636" s="36" t="str">
        <f>CONCATENATE(Cover!$D$6,"fdd/view?i=",J4636)</f>
        <v>https://www.dgiwg.org/FAD/fdd/view?i=103685</v>
      </c>
      <c r="L4636" s="36" t="s">
        <v>34563</v>
      </c>
      <c r="M4636" s="186"/>
      <c r="N4636" s="186"/>
      <c r="O4636" s="172"/>
    </row>
    <row r="4637" spans="1:15" ht="25.5" x14ac:dyDescent="0.2">
      <c r="A4637" s="197" t="str">
        <f t="shared" si="72"/>
        <v>FhcCode_containerTerminal</v>
      </c>
      <c r="B4637" s="409"/>
      <c r="C4637" s="416"/>
      <c r="D4637" s="198" t="s">
        <v>34564</v>
      </c>
      <c r="E4637" s="198">
        <v>10</v>
      </c>
      <c r="F4637" s="199" t="s">
        <v>34565</v>
      </c>
      <c r="G4637" s="1" t="s">
        <v>34566</v>
      </c>
      <c r="H4637" s="200"/>
      <c r="I4637" s="346"/>
      <c r="J4637" s="39">
        <v>103684</v>
      </c>
      <c r="K4637" s="36" t="str">
        <f>CONCATENATE(Cover!$D$6,"fdd/view?i=",J4637)</f>
        <v>https://www.dgiwg.org/FAD/fdd/view?i=103684</v>
      </c>
      <c r="L4637" s="36" t="s">
        <v>34567</v>
      </c>
      <c r="M4637" s="186"/>
      <c r="N4637" s="186"/>
      <c r="O4637" s="172"/>
    </row>
    <row r="4638" spans="1:15" x14ac:dyDescent="0.2">
      <c r="A4638" s="197" t="str">
        <f t="shared" si="72"/>
        <v>FhcCode_ferryTerminal</v>
      </c>
      <c r="B4638" s="409"/>
      <c r="C4638" s="416"/>
      <c r="D4638" s="198" t="s">
        <v>34568</v>
      </c>
      <c r="E4638" s="198">
        <v>3</v>
      </c>
      <c r="F4638" s="199" t="s">
        <v>34569</v>
      </c>
      <c r="G4638" s="1" t="s">
        <v>34570</v>
      </c>
      <c r="H4638" s="200"/>
      <c r="I4638" s="346"/>
      <c r="J4638" s="39">
        <v>103677</v>
      </c>
      <c r="K4638" s="36" t="str">
        <f>CONCATENATE(Cover!$D$6,"fdd/view?i=",J4638)</f>
        <v>https://www.dgiwg.org/FAD/fdd/view?i=103677</v>
      </c>
      <c r="L4638" s="36" t="s">
        <v>34571</v>
      </c>
      <c r="M4638" s="186"/>
      <c r="N4638" s="186"/>
      <c r="O4638" s="172"/>
    </row>
    <row r="4639" spans="1:15" ht="25.5" x14ac:dyDescent="0.2">
      <c r="A4639" s="197" t="str">
        <f t="shared" si="72"/>
        <v>FhcCode_fishingHarbour</v>
      </c>
      <c r="B4639" s="409"/>
      <c r="C4639" s="416"/>
      <c r="D4639" s="198" t="s">
        <v>34572</v>
      </c>
      <c r="E4639" s="198">
        <v>4</v>
      </c>
      <c r="F4639" s="199" t="s">
        <v>3134</v>
      </c>
      <c r="G4639" s="1" t="s">
        <v>34573</v>
      </c>
      <c r="H4639" s="200"/>
      <c r="I4639" s="346"/>
      <c r="J4639" s="39">
        <v>103678</v>
      </c>
      <c r="K4639" s="36" t="str">
        <f>CONCATENATE(Cover!$D$6,"fdd/view?i=",J4639)</f>
        <v>https://www.dgiwg.org/FAD/fdd/view?i=103678</v>
      </c>
      <c r="L4639" s="36" t="s">
        <v>34574</v>
      </c>
      <c r="M4639" s="186"/>
      <c r="N4639" s="186"/>
      <c r="O4639" s="172"/>
    </row>
    <row r="4640" spans="1:15" ht="25.5" x14ac:dyDescent="0.2">
      <c r="A4640" s="197" t="str">
        <f t="shared" si="72"/>
        <v>FhcCode_marina</v>
      </c>
      <c r="B4640" s="409"/>
      <c r="C4640" s="416"/>
      <c r="D4640" s="198" t="s">
        <v>34575</v>
      </c>
      <c r="E4640" s="198">
        <v>5</v>
      </c>
      <c r="F4640" s="199" t="s">
        <v>34576</v>
      </c>
      <c r="G4640" s="1" t="s">
        <v>34577</v>
      </c>
      <c r="H4640" s="200"/>
      <c r="I4640" s="351" t="s">
        <v>34578</v>
      </c>
      <c r="J4640" s="39">
        <v>103679</v>
      </c>
      <c r="K4640" s="36" t="str">
        <f>CONCATENATE(Cover!$D$6,"fdd/view?i=",J4640)</f>
        <v>https://www.dgiwg.org/FAD/fdd/view?i=103679</v>
      </c>
      <c r="L4640" s="36" t="s">
        <v>34579</v>
      </c>
      <c r="M4640" s="186"/>
      <c r="N4640" s="186"/>
      <c r="O4640" s="172"/>
    </row>
    <row r="4641" spans="1:15" x14ac:dyDescent="0.2">
      <c r="A4641" s="197" t="str">
        <f t="shared" si="72"/>
        <v>FhcCode_navalBase</v>
      </c>
      <c r="B4641" s="409"/>
      <c r="C4641" s="416"/>
      <c r="D4641" s="198" t="s">
        <v>34580</v>
      </c>
      <c r="E4641" s="198">
        <v>6</v>
      </c>
      <c r="F4641" s="199" t="s">
        <v>34581</v>
      </c>
      <c r="G4641" s="1" t="s">
        <v>34582</v>
      </c>
      <c r="H4641" s="200"/>
      <c r="I4641" s="346"/>
      <c r="J4641" s="39">
        <v>103680</v>
      </c>
      <c r="K4641" s="36" t="str">
        <f>CONCATENATE(Cover!$D$6,"fdd/view?i=",J4641)</f>
        <v>https://www.dgiwg.org/FAD/fdd/view?i=103680</v>
      </c>
      <c r="L4641" s="36" t="s">
        <v>34583</v>
      </c>
      <c r="M4641" s="186"/>
      <c r="N4641" s="186"/>
      <c r="O4641" s="172"/>
    </row>
    <row r="4642" spans="1:15" ht="25.5" x14ac:dyDescent="0.2">
      <c r="A4642" s="197" t="str">
        <f t="shared" si="72"/>
        <v>FhcCode_passengerTerminal</v>
      </c>
      <c r="B4642" s="409"/>
      <c r="C4642" s="416"/>
      <c r="D4642" s="198" t="s">
        <v>34584</v>
      </c>
      <c r="E4642" s="198">
        <v>8</v>
      </c>
      <c r="F4642" s="199" t="s">
        <v>34585</v>
      </c>
      <c r="G4642" s="1" t="s">
        <v>34586</v>
      </c>
      <c r="H4642" s="200"/>
      <c r="I4642" s="346"/>
      <c r="J4642" s="39">
        <v>103682</v>
      </c>
      <c r="K4642" s="36" t="str">
        <f>CONCATENATE(Cover!$D$6,"fdd/view?i=",J4642)</f>
        <v>https://www.dgiwg.org/FAD/fdd/view?i=103682</v>
      </c>
      <c r="L4642" s="36" t="s">
        <v>34587</v>
      </c>
      <c r="M4642" s="186"/>
      <c r="N4642" s="186"/>
      <c r="O4642" s="172"/>
    </row>
    <row r="4643" spans="1:15" ht="25.5" x14ac:dyDescent="0.2">
      <c r="A4643" s="197" t="str">
        <f t="shared" si="72"/>
        <v>FhcCode_roRoTerminal</v>
      </c>
      <c r="B4643" s="409"/>
      <c r="C4643" s="416"/>
      <c r="D4643" s="198" t="s">
        <v>34588</v>
      </c>
      <c r="E4643" s="198">
        <v>1</v>
      </c>
      <c r="F4643" s="199" t="s">
        <v>34589</v>
      </c>
      <c r="G4643" s="1" t="s">
        <v>34590</v>
      </c>
      <c r="H4643" s="200"/>
      <c r="I4643" s="351" t="s">
        <v>34591</v>
      </c>
      <c r="J4643" s="39">
        <v>103675</v>
      </c>
      <c r="K4643" s="36" t="str">
        <f>CONCATENATE(Cover!$D$6,"fdd/view?i=",J4643)</f>
        <v>https://www.dgiwg.org/FAD/fdd/view?i=103675</v>
      </c>
      <c r="L4643" s="36" t="s">
        <v>34592</v>
      </c>
      <c r="M4643" s="186"/>
      <c r="N4643" s="186"/>
      <c r="O4643" s="172"/>
    </row>
    <row r="4644" spans="1:15" x14ac:dyDescent="0.2">
      <c r="A4644" s="197" t="str">
        <f t="shared" si="72"/>
        <v>FhcCode_shipyard</v>
      </c>
      <c r="B4644" s="409"/>
      <c r="C4644" s="416"/>
      <c r="D4644" s="198" t="s">
        <v>34593</v>
      </c>
      <c r="E4644" s="198">
        <v>9</v>
      </c>
      <c r="F4644" s="199" t="s">
        <v>5015</v>
      </c>
      <c r="G4644" s="1" t="s">
        <v>34594</v>
      </c>
      <c r="H4644" s="200"/>
      <c r="I4644" s="346"/>
      <c r="J4644" s="39">
        <v>103683</v>
      </c>
      <c r="K4644" s="36" t="str">
        <f>CONCATENATE(Cover!$D$6,"fdd/view?i=",J4644)</f>
        <v>https://www.dgiwg.org/FAD/fdd/view?i=103683</v>
      </c>
      <c r="L4644" s="36" t="s">
        <v>34595</v>
      </c>
      <c r="M4644" s="186"/>
      <c r="N4644" s="186"/>
      <c r="O4644" s="172"/>
    </row>
    <row r="4645" spans="1:15" ht="25.5" x14ac:dyDescent="0.2">
      <c r="A4645" s="197" t="str">
        <f t="shared" si="72"/>
        <v>FhcCode_tankerTerminal</v>
      </c>
      <c r="B4645" s="409"/>
      <c r="C4645" s="416"/>
      <c r="D4645" s="198" t="s">
        <v>34596</v>
      </c>
      <c r="E4645" s="198">
        <v>7</v>
      </c>
      <c r="F4645" s="199" t="s">
        <v>34597</v>
      </c>
      <c r="G4645" s="1" t="s">
        <v>34598</v>
      </c>
      <c r="H4645" s="200"/>
      <c r="I4645" s="346"/>
      <c r="J4645" s="39">
        <v>103681</v>
      </c>
      <c r="K4645" s="36" t="str">
        <f>CONCATENATE(Cover!$D$6,"fdd/view?i=",J4645)</f>
        <v>https://www.dgiwg.org/FAD/fdd/view?i=103681</v>
      </c>
      <c r="L4645" s="36" t="s">
        <v>34599</v>
      </c>
      <c r="M4645" s="186"/>
      <c r="N4645" s="186"/>
      <c r="O4645" s="172"/>
    </row>
    <row r="4646" spans="1:15" x14ac:dyDescent="0.2">
      <c r="A4646" s="203" t="str">
        <f t="shared" si="72"/>
        <v>FhcCode_timberYard</v>
      </c>
      <c r="B4646" s="410"/>
      <c r="C4646" s="417"/>
      <c r="D4646" s="204" t="s">
        <v>34600</v>
      </c>
      <c r="E4646" s="204">
        <v>2</v>
      </c>
      <c r="F4646" s="205" t="s">
        <v>34601</v>
      </c>
      <c r="G4646" s="206" t="s">
        <v>34602</v>
      </c>
      <c r="H4646" s="207"/>
      <c r="I4646" s="347"/>
      <c r="J4646" s="39">
        <v>103676</v>
      </c>
      <c r="K4646" s="36" t="str">
        <f>CONCATENATE(Cover!$D$6,"fdd/view?i=",J4646)</f>
        <v>https://www.dgiwg.org/FAD/fdd/view?i=103676</v>
      </c>
      <c r="L4646" s="36" t="s">
        <v>34603</v>
      </c>
      <c r="M4646" s="186"/>
      <c r="N4646" s="186"/>
      <c r="O4646" s="172"/>
    </row>
    <row r="4647" spans="1:15" ht="38.25" x14ac:dyDescent="0.2">
      <c r="A4647" s="190" t="str">
        <f t="shared" si="72"/>
        <v>HstCode_bombShelter</v>
      </c>
      <c r="B4647" s="414" t="str">
        <f>HYPERLINK("[#]Datatypes!A670:L670","HstCode")</f>
        <v>HstCode</v>
      </c>
      <c r="C4647" s="415" t="s">
        <v>15245</v>
      </c>
      <c r="D4647" s="221" t="s">
        <v>34604</v>
      </c>
      <c r="E4647" s="221">
        <v>1</v>
      </c>
      <c r="F4647" s="222" t="s">
        <v>34605</v>
      </c>
      <c r="G4647" s="223" t="s">
        <v>34606</v>
      </c>
      <c r="H4647" s="223" t="s">
        <v>34607</v>
      </c>
      <c r="I4647" s="345"/>
      <c r="J4647" s="39">
        <v>119672</v>
      </c>
      <c r="K4647" s="36" t="str">
        <f>CONCATENATE(Cover!$D$6,"fdd/view?i=",J4647)</f>
        <v>https://www.dgiwg.org/FAD/fdd/view?i=119672</v>
      </c>
      <c r="L4647" s="36" t="s">
        <v>34608</v>
      </c>
      <c r="M4647" s="186"/>
      <c r="N4647" s="186"/>
      <c r="O4647" s="172"/>
    </row>
    <row r="4648" spans="1:15" ht="51" x14ac:dyDescent="0.2">
      <c r="A4648" s="197" t="str">
        <f t="shared" si="72"/>
        <v>HstCode_falloutShelter</v>
      </c>
      <c r="B4648" s="409"/>
      <c r="C4648" s="416"/>
      <c r="D4648" s="198" t="s">
        <v>34609</v>
      </c>
      <c r="E4648" s="198">
        <v>2</v>
      </c>
      <c r="F4648" s="199" t="s">
        <v>34610</v>
      </c>
      <c r="G4648" s="1" t="s">
        <v>34611</v>
      </c>
      <c r="H4648" s="1" t="s">
        <v>34612</v>
      </c>
      <c r="I4648" s="346"/>
      <c r="J4648" s="39">
        <v>119673</v>
      </c>
      <c r="K4648" s="36" t="str">
        <f>CONCATENATE(Cover!$D$6,"fdd/view?i=",J4648)</f>
        <v>https://www.dgiwg.org/FAD/fdd/view?i=119673</v>
      </c>
      <c r="L4648" s="36" t="s">
        <v>34613</v>
      </c>
      <c r="M4648" s="186"/>
      <c r="N4648" s="186"/>
      <c r="O4648" s="172"/>
    </row>
    <row r="4649" spans="1:15" ht="38.25" x14ac:dyDescent="0.2">
      <c r="A4649" s="203" t="str">
        <f t="shared" si="72"/>
        <v>HstCode_stormShelter</v>
      </c>
      <c r="B4649" s="410"/>
      <c r="C4649" s="417"/>
      <c r="D4649" s="204" t="s">
        <v>34614</v>
      </c>
      <c r="E4649" s="204">
        <v>3</v>
      </c>
      <c r="F4649" s="205" t="s">
        <v>34615</v>
      </c>
      <c r="G4649" s="206" t="s">
        <v>34616</v>
      </c>
      <c r="H4649" s="207"/>
      <c r="I4649" s="347"/>
      <c r="J4649" s="39">
        <v>119674</v>
      </c>
      <c r="K4649" s="36" t="str">
        <f>CONCATENATE(Cover!$D$6,"fdd/view?i=",J4649)</f>
        <v>https://www.dgiwg.org/FAD/fdd/view?i=119674</v>
      </c>
      <c r="L4649" s="36" t="s">
        <v>34617</v>
      </c>
      <c r="M4649" s="186"/>
      <c r="N4649" s="186"/>
      <c r="O4649" s="172"/>
    </row>
    <row r="4650" spans="1:15" ht="51" x14ac:dyDescent="0.2">
      <c r="A4650" s="190" t="str">
        <f t="shared" si="72"/>
        <v>If1Code_amphibian</v>
      </c>
      <c r="B4650" s="414" t="str">
        <f>HYPERLINK("[#]Datatypes!A672:L672","If1Code")</f>
        <v>If1Code</v>
      </c>
      <c r="C4650" s="415" t="s">
        <v>15247</v>
      </c>
      <c r="D4650" s="221" t="s">
        <v>34618</v>
      </c>
      <c r="E4650" s="221">
        <v>4</v>
      </c>
      <c r="F4650" s="222" t="s">
        <v>34619</v>
      </c>
      <c r="G4650" s="223" t="s">
        <v>34620</v>
      </c>
      <c r="H4650" s="223" t="s">
        <v>34621</v>
      </c>
      <c r="I4650" s="345"/>
      <c r="J4650" s="39">
        <v>113402</v>
      </c>
      <c r="K4650" s="36" t="str">
        <f>CONCATENATE(Cover!$D$6,"fdd/view?i=",J4650)</f>
        <v>https://www.dgiwg.org/FAD/fdd/view?i=113402</v>
      </c>
      <c r="L4650" s="36" t="s">
        <v>34622</v>
      </c>
      <c r="M4650" s="186"/>
      <c r="N4650" s="186"/>
      <c r="O4650" s="172"/>
    </row>
    <row r="4651" spans="1:15" ht="25.5" x14ac:dyDescent="0.2">
      <c r="A4651" s="197" t="str">
        <f t="shared" si="72"/>
        <v>If1Code_anemones</v>
      </c>
      <c r="B4651" s="409"/>
      <c r="C4651" s="416"/>
      <c r="D4651" s="198" t="s">
        <v>34623</v>
      </c>
      <c r="E4651" s="198">
        <v>8</v>
      </c>
      <c r="F4651" s="199" t="s">
        <v>34624</v>
      </c>
      <c r="G4651" s="1" t="s">
        <v>34625</v>
      </c>
      <c r="H4651" s="200"/>
      <c r="I4651" s="346"/>
      <c r="J4651" s="39">
        <v>114556</v>
      </c>
      <c r="K4651" s="36" t="str">
        <f>CONCATENATE(Cover!$D$6,"fdd/view?i=",J4651)</f>
        <v>https://www.dgiwg.org/FAD/fdd/view?i=114556</v>
      </c>
      <c r="L4651" s="36" t="s">
        <v>34626</v>
      </c>
      <c r="M4651" s="186"/>
      <c r="N4651" s="186"/>
      <c r="O4651" s="172"/>
    </row>
    <row r="4652" spans="1:15" ht="38.25" x14ac:dyDescent="0.2">
      <c r="A4652" s="197" t="str">
        <f t="shared" si="72"/>
        <v>If1Code_arachnid</v>
      </c>
      <c r="B4652" s="409"/>
      <c r="C4652" s="416"/>
      <c r="D4652" s="198" t="s">
        <v>34627</v>
      </c>
      <c r="E4652" s="198">
        <v>2</v>
      </c>
      <c r="F4652" s="199" t="s">
        <v>34628</v>
      </c>
      <c r="G4652" s="1" t="s">
        <v>34629</v>
      </c>
      <c r="H4652" s="1" t="s">
        <v>34630</v>
      </c>
      <c r="I4652" s="346"/>
      <c r="J4652" s="39">
        <v>113400</v>
      </c>
      <c r="K4652" s="36" t="str">
        <f>CONCATENATE(Cover!$D$6,"fdd/view?i=",J4652)</f>
        <v>https://www.dgiwg.org/FAD/fdd/view?i=113400</v>
      </c>
      <c r="L4652" s="36" t="s">
        <v>34631</v>
      </c>
      <c r="M4652" s="186"/>
      <c r="N4652" s="186"/>
      <c r="O4652" s="172"/>
    </row>
    <row r="4653" spans="1:15" ht="25.5" x14ac:dyDescent="0.2">
      <c r="A4653" s="197" t="str">
        <f t="shared" si="72"/>
        <v>If1Code_fish</v>
      </c>
      <c r="B4653" s="409"/>
      <c r="C4653" s="416"/>
      <c r="D4653" s="198" t="s">
        <v>21884</v>
      </c>
      <c r="E4653" s="198">
        <v>6</v>
      </c>
      <c r="F4653" s="199" t="s">
        <v>21885</v>
      </c>
      <c r="G4653" s="1" t="s">
        <v>34632</v>
      </c>
      <c r="H4653" s="1" t="s">
        <v>34633</v>
      </c>
      <c r="I4653" s="346"/>
      <c r="J4653" s="39">
        <v>113404</v>
      </c>
      <c r="K4653" s="36" t="str">
        <f>CONCATENATE(Cover!$D$6,"fdd/view?i=",J4653)</f>
        <v>https://www.dgiwg.org/FAD/fdd/view?i=113404</v>
      </c>
      <c r="L4653" s="36" t="s">
        <v>34634</v>
      </c>
      <c r="M4653" s="186"/>
      <c r="N4653" s="186"/>
      <c r="O4653" s="172"/>
    </row>
    <row r="4654" spans="1:15" ht="38.25" x14ac:dyDescent="0.2">
      <c r="A4654" s="197" t="str">
        <f t="shared" si="72"/>
        <v>If1Code_insect</v>
      </c>
      <c r="B4654" s="409"/>
      <c r="C4654" s="416"/>
      <c r="D4654" s="198" t="s">
        <v>34635</v>
      </c>
      <c r="E4654" s="198">
        <v>3</v>
      </c>
      <c r="F4654" s="199" t="s">
        <v>34636</v>
      </c>
      <c r="G4654" s="1" t="s">
        <v>34637</v>
      </c>
      <c r="H4654" s="1" t="s">
        <v>34638</v>
      </c>
      <c r="I4654" s="346"/>
      <c r="J4654" s="39">
        <v>113401</v>
      </c>
      <c r="K4654" s="36" t="str">
        <f>CONCATENATE(Cover!$D$6,"fdd/view?i=",J4654)</f>
        <v>https://www.dgiwg.org/FAD/fdd/view?i=113401</v>
      </c>
      <c r="L4654" s="36" t="s">
        <v>34639</v>
      </c>
      <c r="M4654" s="186"/>
      <c r="N4654" s="186"/>
      <c r="O4654" s="172"/>
    </row>
    <row r="4655" spans="1:15" ht="38.25" x14ac:dyDescent="0.2">
      <c r="A4655" s="197" t="str">
        <f t="shared" si="72"/>
        <v>If1Code_jellyFish</v>
      </c>
      <c r="B4655" s="409"/>
      <c r="C4655" s="416"/>
      <c r="D4655" s="198" t="s">
        <v>34640</v>
      </c>
      <c r="E4655" s="198">
        <v>9</v>
      </c>
      <c r="F4655" s="199" t="s">
        <v>34641</v>
      </c>
      <c r="G4655" s="1" t="s">
        <v>34642</v>
      </c>
      <c r="H4655" s="200"/>
      <c r="I4655" s="346"/>
      <c r="J4655" s="39">
        <v>114557</v>
      </c>
      <c r="K4655" s="36" t="str">
        <f>CONCATENATE(Cover!$D$6,"fdd/view?i=",J4655)</f>
        <v>https://www.dgiwg.org/FAD/fdd/view?i=114557</v>
      </c>
      <c r="L4655" s="36" t="s">
        <v>34643</v>
      </c>
      <c r="M4655" s="186"/>
      <c r="N4655" s="186"/>
      <c r="O4655" s="172"/>
    </row>
    <row r="4656" spans="1:15" ht="51" x14ac:dyDescent="0.2">
      <c r="A4656" s="197" t="str">
        <f t="shared" si="72"/>
        <v>If1Code_landSnakes</v>
      </c>
      <c r="B4656" s="409"/>
      <c r="C4656" s="416"/>
      <c r="D4656" s="198" t="s">
        <v>34644</v>
      </c>
      <c r="E4656" s="198">
        <v>10</v>
      </c>
      <c r="F4656" s="199" t="s">
        <v>34645</v>
      </c>
      <c r="G4656" s="1" t="s">
        <v>34646</v>
      </c>
      <c r="H4656" s="200"/>
      <c r="I4656" s="346"/>
      <c r="J4656" s="39">
        <v>114558</v>
      </c>
      <c r="K4656" s="36" t="str">
        <f>CONCATENATE(Cover!$D$6,"fdd/view?i=",J4656)</f>
        <v>https://www.dgiwg.org/FAD/fdd/view?i=114558</v>
      </c>
      <c r="L4656" s="36" t="s">
        <v>34647</v>
      </c>
      <c r="M4656" s="186"/>
      <c r="N4656" s="186"/>
      <c r="O4656" s="172"/>
    </row>
    <row r="4657" spans="1:15" ht="63.75" x14ac:dyDescent="0.2">
      <c r="A4657" s="197" t="str">
        <f t="shared" si="72"/>
        <v>If1Code_mammal</v>
      </c>
      <c r="B4657" s="409"/>
      <c r="C4657" s="416"/>
      <c r="D4657" s="198" t="s">
        <v>34648</v>
      </c>
      <c r="E4657" s="198">
        <v>5</v>
      </c>
      <c r="F4657" s="199" t="s">
        <v>34649</v>
      </c>
      <c r="G4657" s="1" t="s">
        <v>34650</v>
      </c>
      <c r="H4657" s="1" t="s">
        <v>34651</v>
      </c>
      <c r="I4657" s="346"/>
      <c r="J4657" s="39">
        <v>113403</v>
      </c>
      <c r="K4657" s="36" t="str">
        <f>CONCATENATE(Cover!$D$6,"fdd/view?i=",J4657)</f>
        <v>https://www.dgiwg.org/FAD/fdd/view?i=113403</v>
      </c>
      <c r="L4657" s="36" t="s">
        <v>34652</v>
      </c>
      <c r="M4657" s="186"/>
      <c r="N4657" s="186"/>
      <c r="O4657" s="172"/>
    </row>
    <row r="4658" spans="1:15" ht="38.25" x14ac:dyDescent="0.2">
      <c r="A4658" s="197" t="str">
        <f t="shared" si="72"/>
        <v>If1Code_parasite</v>
      </c>
      <c r="B4658" s="409"/>
      <c r="C4658" s="416"/>
      <c r="D4658" s="198" t="s">
        <v>34653</v>
      </c>
      <c r="E4658" s="198">
        <v>7</v>
      </c>
      <c r="F4658" s="199" t="s">
        <v>34654</v>
      </c>
      <c r="G4658" s="1" t="s">
        <v>34655</v>
      </c>
      <c r="H4658" s="1" t="s">
        <v>34656</v>
      </c>
      <c r="I4658" s="346"/>
      <c r="J4658" s="39">
        <v>113405</v>
      </c>
      <c r="K4658" s="36" t="str">
        <f>CONCATENATE(Cover!$D$6,"fdd/view?i=",J4658)</f>
        <v>https://www.dgiwg.org/FAD/fdd/view?i=113405</v>
      </c>
      <c r="L4658" s="36" t="s">
        <v>34657</v>
      </c>
      <c r="M4658" s="186"/>
      <c r="N4658" s="186"/>
      <c r="O4658" s="172"/>
    </row>
    <row r="4659" spans="1:15" ht="38.25" x14ac:dyDescent="0.2">
      <c r="A4659" s="197" t="str">
        <f t="shared" si="72"/>
        <v>If1Code_reptile</v>
      </c>
      <c r="B4659" s="409"/>
      <c r="C4659" s="416"/>
      <c r="D4659" s="198" t="s">
        <v>34658</v>
      </c>
      <c r="E4659" s="198">
        <v>1</v>
      </c>
      <c r="F4659" s="199" t="s">
        <v>34659</v>
      </c>
      <c r="G4659" s="1" t="s">
        <v>34660</v>
      </c>
      <c r="H4659" s="1" t="s">
        <v>34661</v>
      </c>
      <c r="I4659" s="346"/>
      <c r="J4659" s="39">
        <v>113399</v>
      </c>
      <c r="K4659" s="36" t="str">
        <f>CONCATENATE(Cover!$D$6,"fdd/view?i=",J4659)</f>
        <v>https://www.dgiwg.org/FAD/fdd/view?i=113399</v>
      </c>
      <c r="L4659" s="36" t="s">
        <v>34662</v>
      </c>
      <c r="M4659" s="186"/>
      <c r="N4659" s="186"/>
      <c r="O4659" s="172"/>
    </row>
    <row r="4660" spans="1:15" ht="51" x14ac:dyDescent="0.2">
      <c r="A4660" s="197" t="str">
        <f t="shared" si="72"/>
        <v>If1Code_seaSnakes</v>
      </c>
      <c r="B4660" s="409"/>
      <c r="C4660" s="416"/>
      <c r="D4660" s="198" t="s">
        <v>34663</v>
      </c>
      <c r="E4660" s="198">
        <v>11</v>
      </c>
      <c r="F4660" s="199" t="s">
        <v>34664</v>
      </c>
      <c r="G4660" s="1" t="s">
        <v>34665</v>
      </c>
      <c r="H4660" s="200"/>
      <c r="I4660" s="346"/>
      <c r="J4660" s="39">
        <v>114559</v>
      </c>
      <c r="K4660" s="36" t="str">
        <f>CONCATENATE(Cover!$D$6,"fdd/view?i=",J4660)</f>
        <v>https://www.dgiwg.org/FAD/fdd/view?i=114559</v>
      </c>
      <c r="L4660" s="36" t="s">
        <v>34666</v>
      </c>
      <c r="M4660" s="186"/>
      <c r="N4660" s="186"/>
      <c r="O4660" s="172"/>
    </row>
    <row r="4661" spans="1:15" ht="25.5" x14ac:dyDescent="0.2">
      <c r="A4661" s="197" t="str">
        <f t="shared" si="72"/>
        <v>If1Code_seaUrchins</v>
      </c>
      <c r="B4661" s="409"/>
      <c r="C4661" s="416"/>
      <c r="D4661" s="198" t="s">
        <v>34667</v>
      </c>
      <c r="E4661" s="198">
        <v>12</v>
      </c>
      <c r="F4661" s="199" t="s">
        <v>34668</v>
      </c>
      <c r="G4661" s="1" t="s">
        <v>34669</v>
      </c>
      <c r="H4661" s="200"/>
      <c r="I4661" s="346"/>
      <c r="J4661" s="39">
        <v>114560</v>
      </c>
      <c r="K4661" s="36" t="str">
        <f>CONCATENATE(Cover!$D$6,"fdd/view?i=",J4661)</f>
        <v>https://www.dgiwg.org/FAD/fdd/view?i=114560</v>
      </c>
      <c r="L4661" s="36" t="s">
        <v>34670</v>
      </c>
      <c r="M4661" s="186"/>
      <c r="N4661" s="186"/>
      <c r="O4661" s="172"/>
    </row>
    <row r="4662" spans="1:15" ht="63.75" x14ac:dyDescent="0.2">
      <c r="A4662" s="197" t="str">
        <f t="shared" si="72"/>
        <v>If1Code_sharks</v>
      </c>
      <c r="B4662" s="409"/>
      <c r="C4662" s="416"/>
      <c r="D4662" s="198" t="s">
        <v>34671</v>
      </c>
      <c r="E4662" s="198">
        <v>13</v>
      </c>
      <c r="F4662" s="199" t="s">
        <v>34672</v>
      </c>
      <c r="G4662" s="1" t="s">
        <v>34673</v>
      </c>
      <c r="H4662" s="200"/>
      <c r="I4662" s="346"/>
      <c r="J4662" s="39">
        <v>114561</v>
      </c>
      <c r="K4662" s="36" t="str">
        <f>CONCATENATE(Cover!$D$6,"fdd/view?i=",J4662)</f>
        <v>https://www.dgiwg.org/FAD/fdd/view?i=114561</v>
      </c>
      <c r="L4662" s="36" t="s">
        <v>34674</v>
      </c>
      <c r="M4662" s="186"/>
      <c r="N4662" s="186"/>
      <c r="O4662" s="172"/>
    </row>
    <row r="4663" spans="1:15" ht="25.5" x14ac:dyDescent="0.2">
      <c r="A4663" s="203" t="str">
        <f t="shared" si="72"/>
        <v>If1Code_venomousFish</v>
      </c>
      <c r="B4663" s="410"/>
      <c r="C4663" s="417"/>
      <c r="D4663" s="204" t="s">
        <v>34675</v>
      </c>
      <c r="E4663" s="204">
        <v>14</v>
      </c>
      <c r="F4663" s="205" t="s">
        <v>34676</v>
      </c>
      <c r="G4663" s="206" t="s">
        <v>34677</v>
      </c>
      <c r="H4663" s="207"/>
      <c r="I4663" s="347"/>
      <c r="J4663" s="39">
        <v>114562</v>
      </c>
      <c r="K4663" s="36" t="str">
        <f>CONCATENATE(Cover!$D$6,"fdd/view?i=",J4663)</f>
        <v>https://www.dgiwg.org/FAD/fdd/view?i=114562</v>
      </c>
      <c r="L4663" s="36" t="s">
        <v>34678</v>
      </c>
      <c r="M4663" s="186"/>
      <c r="N4663" s="186"/>
      <c r="O4663" s="172"/>
    </row>
    <row r="4664" spans="1:15" ht="25.5" x14ac:dyDescent="0.2">
      <c r="A4664" s="190" t="str">
        <f t="shared" si="72"/>
        <v>HfsCode_poisonousMushroom</v>
      </c>
      <c r="B4664" s="414" t="str">
        <f>HYPERLINK("[#]Datatypes!A674:L674","HfsCode")</f>
        <v>HfsCode</v>
      </c>
      <c r="C4664" s="415" t="s">
        <v>15249</v>
      </c>
      <c r="D4664" s="221" t="s">
        <v>34679</v>
      </c>
      <c r="E4664" s="221">
        <v>2</v>
      </c>
      <c r="F4664" s="222" t="s">
        <v>34680</v>
      </c>
      <c r="G4664" s="223" t="s">
        <v>34681</v>
      </c>
      <c r="H4664" s="224"/>
      <c r="I4664" s="345"/>
      <c r="J4664" s="39">
        <v>113386</v>
      </c>
      <c r="K4664" s="36" t="str">
        <f>CONCATENATE(Cover!$D$6,"fdd/view?i=",J4664)</f>
        <v>https://www.dgiwg.org/FAD/fdd/view?i=113386</v>
      </c>
      <c r="L4664" s="36" t="s">
        <v>34682</v>
      </c>
      <c r="M4664" s="186"/>
      <c r="N4664" s="186"/>
      <c r="O4664" s="172"/>
    </row>
    <row r="4665" spans="1:15" ht="25.5" x14ac:dyDescent="0.2">
      <c r="A4665" s="203" t="str">
        <f t="shared" si="72"/>
        <v>HfsCode_poisonousPlant</v>
      </c>
      <c r="B4665" s="410"/>
      <c r="C4665" s="417"/>
      <c r="D4665" s="204" t="s">
        <v>34683</v>
      </c>
      <c r="E4665" s="204">
        <v>1</v>
      </c>
      <c r="F4665" s="205" t="s">
        <v>34684</v>
      </c>
      <c r="G4665" s="206" t="s">
        <v>34685</v>
      </c>
      <c r="H4665" s="207"/>
      <c r="I4665" s="347"/>
      <c r="J4665" s="39">
        <v>113385</v>
      </c>
      <c r="K4665" s="36" t="str">
        <f>CONCATENATE(Cover!$D$6,"fdd/view?i=",J4665)</f>
        <v>https://www.dgiwg.org/FAD/fdd/view?i=113385</v>
      </c>
      <c r="L4665" s="36" t="s">
        <v>34686</v>
      </c>
      <c r="M4665" s="186"/>
      <c r="N4665" s="186"/>
      <c r="O4665" s="172"/>
    </row>
    <row r="4666" spans="1:15" x14ac:dyDescent="0.2">
      <c r="A4666" s="190" t="str">
        <f t="shared" si="72"/>
        <v>DfpCode_allParts</v>
      </c>
      <c r="B4666" s="414" t="str">
        <f>HYPERLINK("[#]Datatypes!A676:L676","DfpCode")</f>
        <v>DfpCode</v>
      </c>
      <c r="C4666" s="415" t="s">
        <v>15251</v>
      </c>
      <c r="D4666" s="221" t="s">
        <v>34687</v>
      </c>
      <c r="E4666" s="221">
        <v>1</v>
      </c>
      <c r="F4666" s="222" t="s">
        <v>34688</v>
      </c>
      <c r="G4666" s="223" t="s">
        <v>34689</v>
      </c>
      <c r="H4666" s="224"/>
      <c r="I4666" s="345"/>
      <c r="J4666" s="39">
        <v>113104</v>
      </c>
      <c r="K4666" s="36" t="str">
        <f>CONCATENATE(Cover!$D$6,"fdd/view?i=",J4666)</f>
        <v>https://www.dgiwg.org/FAD/fdd/view?i=113104</v>
      </c>
      <c r="L4666" s="36" t="s">
        <v>34690</v>
      </c>
      <c r="M4666" s="186"/>
      <c r="N4666" s="186"/>
      <c r="O4666" s="172"/>
    </row>
    <row r="4667" spans="1:15" x14ac:dyDescent="0.2">
      <c r="A4667" s="197" t="str">
        <f t="shared" si="72"/>
        <v>DfpCode_bark</v>
      </c>
      <c r="B4667" s="409"/>
      <c r="C4667" s="416"/>
      <c r="D4667" s="198" t="s">
        <v>32190</v>
      </c>
      <c r="E4667" s="198">
        <v>4</v>
      </c>
      <c r="F4667" s="199" t="s">
        <v>32191</v>
      </c>
      <c r="G4667" s="1" t="s">
        <v>34691</v>
      </c>
      <c r="H4667" s="200"/>
      <c r="I4667" s="346"/>
      <c r="J4667" s="39">
        <v>113107</v>
      </c>
      <c r="K4667" s="36" t="str">
        <f>CONCATENATE(Cover!$D$6,"fdd/view?i=",J4667)</f>
        <v>https://www.dgiwg.org/FAD/fdd/view?i=113107</v>
      </c>
      <c r="L4667" s="36" t="s">
        <v>34692</v>
      </c>
      <c r="M4667" s="186"/>
      <c r="N4667" s="186"/>
      <c r="O4667" s="172"/>
    </row>
    <row r="4668" spans="1:15" x14ac:dyDescent="0.2">
      <c r="A4668" s="197" t="str">
        <f t="shared" si="72"/>
        <v>DfpCode_blossom</v>
      </c>
      <c r="B4668" s="409"/>
      <c r="C4668" s="416"/>
      <c r="D4668" s="198" t="s">
        <v>34693</v>
      </c>
      <c r="E4668" s="198">
        <v>7</v>
      </c>
      <c r="F4668" s="199" t="s">
        <v>34694</v>
      </c>
      <c r="G4668" s="1" t="s">
        <v>34695</v>
      </c>
      <c r="H4668" s="200"/>
      <c r="I4668" s="346"/>
      <c r="J4668" s="39">
        <v>113110</v>
      </c>
      <c r="K4668" s="36" t="str">
        <f>CONCATENATE(Cover!$D$6,"fdd/view?i=",J4668)</f>
        <v>https://www.dgiwg.org/FAD/fdd/view?i=113110</v>
      </c>
      <c r="L4668" s="36" t="s">
        <v>34696</v>
      </c>
      <c r="M4668" s="186"/>
      <c r="N4668" s="186"/>
      <c r="O4668" s="172"/>
    </row>
    <row r="4669" spans="1:15" ht="25.5" x14ac:dyDescent="0.2">
      <c r="A4669" s="197" t="str">
        <f t="shared" si="72"/>
        <v>DfpCode_bulb</v>
      </c>
      <c r="B4669" s="409"/>
      <c r="C4669" s="416"/>
      <c r="D4669" s="198" t="s">
        <v>34697</v>
      </c>
      <c r="E4669" s="198">
        <v>3</v>
      </c>
      <c r="F4669" s="199" t="s">
        <v>34698</v>
      </c>
      <c r="G4669" s="1" t="s">
        <v>34699</v>
      </c>
      <c r="H4669" s="200"/>
      <c r="I4669" s="346"/>
      <c r="J4669" s="39">
        <v>113106</v>
      </c>
      <c r="K4669" s="36" t="str">
        <f>CONCATENATE(Cover!$D$6,"fdd/view?i=",J4669)</f>
        <v>https://www.dgiwg.org/FAD/fdd/view?i=113106</v>
      </c>
      <c r="L4669" s="36" t="s">
        <v>34700</v>
      </c>
      <c r="M4669" s="186"/>
      <c r="N4669" s="186"/>
      <c r="O4669" s="172"/>
    </row>
    <row r="4670" spans="1:15" x14ac:dyDescent="0.2">
      <c r="A4670" s="197" t="str">
        <f t="shared" si="72"/>
        <v>DfpCode_cone</v>
      </c>
      <c r="B4670" s="409"/>
      <c r="C4670" s="416"/>
      <c r="D4670" s="198" t="s">
        <v>34701</v>
      </c>
      <c r="E4670" s="198">
        <v>11</v>
      </c>
      <c r="F4670" s="199" t="s">
        <v>34702</v>
      </c>
      <c r="G4670" s="1" t="s">
        <v>34703</v>
      </c>
      <c r="H4670" s="200"/>
      <c r="I4670" s="346"/>
      <c r="J4670" s="39">
        <v>113114</v>
      </c>
      <c r="K4670" s="36" t="str">
        <f>CONCATENATE(Cover!$D$6,"fdd/view?i=",J4670)</f>
        <v>https://www.dgiwg.org/FAD/fdd/view?i=113114</v>
      </c>
      <c r="L4670" s="36" t="s">
        <v>34704</v>
      </c>
      <c r="M4670" s="186"/>
      <c r="N4670" s="186"/>
      <c r="O4670" s="172"/>
    </row>
    <row r="4671" spans="1:15" ht="25.5" x14ac:dyDescent="0.2">
      <c r="A4671" s="197" t="str">
        <f t="shared" si="72"/>
        <v>DfpCode_fruit</v>
      </c>
      <c r="B4671" s="409"/>
      <c r="C4671" s="416"/>
      <c r="D4671" s="198" t="s">
        <v>34705</v>
      </c>
      <c r="E4671" s="198">
        <v>10</v>
      </c>
      <c r="F4671" s="199" t="s">
        <v>34706</v>
      </c>
      <c r="G4671" s="1" t="s">
        <v>34707</v>
      </c>
      <c r="H4671" s="1" t="s">
        <v>34708</v>
      </c>
      <c r="I4671" s="346"/>
      <c r="J4671" s="39">
        <v>113113</v>
      </c>
      <c r="K4671" s="36" t="str">
        <f>CONCATENATE(Cover!$D$6,"fdd/view?i=",J4671)</f>
        <v>https://www.dgiwg.org/FAD/fdd/view?i=113113</v>
      </c>
      <c r="L4671" s="36" t="s">
        <v>34709</v>
      </c>
      <c r="M4671" s="186"/>
      <c r="N4671" s="186"/>
      <c r="O4671" s="172"/>
    </row>
    <row r="4672" spans="1:15" ht="38.25" x14ac:dyDescent="0.2">
      <c r="A4672" s="197" t="str">
        <f t="shared" si="72"/>
        <v>DfpCode_leafNeedle</v>
      </c>
      <c r="B4672" s="409"/>
      <c r="C4672" s="416"/>
      <c r="D4672" s="198" t="s">
        <v>34710</v>
      </c>
      <c r="E4672" s="198">
        <v>6</v>
      </c>
      <c r="F4672" s="199" t="s">
        <v>34711</v>
      </c>
      <c r="G4672" s="1" t="s">
        <v>34712</v>
      </c>
      <c r="H4672" s="200"/>
      <c r="I4672" s="346"/>
      <c r="J4672" s="39">
        <v>113109</v>
      </c>
      <c r="K4672" s="36" t="str">
        <f>CONCATENATE(Cover!$D$6,"fdd/view?i=",J4672)</f>
        <v>https://www.dgiwg.org/FAD/fdd/view?i=113109</v>
      </c>
      <c r="L4672" s="36" t="s">
        <v>34713</v>
      </c>
      <c r="M4672" s="186"/>
      <c r="N4672" s="186"/>
      <c r="O4672" s="172"/>
    </row>
    <row r="4673" spans="1:15" ht="25.5" x14ac:dyDescent="0.2">
      <c r="A4673" s="197" t="str">
        <f t="shared" si="72"/>
        <v>DfpCode_pollen</v>
      </c>
      <c r="B4673" s="409"/>
      <c r="C4673" s="416"/>
      <c r="D4673" s="198" t="s">
        <v>34714</v>
      </c>
      <c r="E4673" s="198">
        <v>8</v>
      </c>
      <c r="F4673" s="199" t="s">
        <v>34715</v>
      </c>
      <c r="G4673" s="1" t="s">
        <v>34716</v>
      </c>
      <c r="H4673" s="200"/>
      <c r="I4673" s="346"/>
      <c r="J4673" s="39">
        <v>113111</v>
      </c>
      <c r="K4673" s="36" t="str">
        <f>CONCATENATE(Cover!$D$6,"fdd/view?i=",J4673)</f>
        <v>https://www.dgiwg.org/FAD/fdd/view?i=113111</v>
      </c>
      <c r="L4673" s="36" t="s">
        <v>34717</v>
      </c>
      <c r="M4673" s="186"/>
      <c r="N4673" s="186"/>
      <c r="O4673" s="172"/>
    </row>
    <row r="4674" spans="1:15" ht="25.5" x14ac:dyDescent="0.2">
      <c r="A4674" s="197" t="str">
        <f t="shared" ref="A4674:A4737" si="73">HYPERLINK(K4674,L4674)</f>
        <v>DfpCode_root</v>
      </c>
      <c r="B4674" s="409"/>
      <c r="C4674" s="416"/>
      <c r="D4674" s="198" t="s">
        <v>34718</v>
      </c>
      <c r="E4674" s="198">
        <v>2</v>
      </c>
      <c r="F4674" s="199" t="s">
        <v>34719</v>
      </c>
      <c r="G4674" s="1" t="s">
        <v>34720</v>
      </c>
      <c r="H4674" s="200"/>
      <c r="I4674" s="351" t="s">
        <v>34721</v>
      </c>
      <c r="J4674" s="39">
        <v>113105</v>
      </c>
      <c r="K4674" s="36" t="str">
        <f>CONCATENATE(Cover!$D$6,"fdd/view?i=",J4674)</f>
        <v>https://www.dgiwg.org/FAD/fdd/view?i=113105</v>
      </c>
      <c r="L4674" s="36" t="s">
        <v>34722</v>
      </c>
      <c r="M4674" s="186"/>
      <c r="N4674" s="186"/>
      <c r="O4674" s="172"/>
    </row>
    <row r="4675" spans="1:15" x14ac:dyDescent="0.2">
      <c r="A4675" s="197" t="str">
        <f t="shared" si="73"/>
        <v>DfpCode_sap</v>
      </c>
      <c r="B4675" s="409"/>
      <c r="C4675" s="416"/>
      <c r="D4675" s="198" t="s">
        <v>34723</v>
      </c>
      <c r="E4675" s="198">
        <v>12</v>
      </c>
      <c r="F4675" s="199" t="s">
        <v>34724</v>
      </c>
      <c r="G4675" s="1" t="s">
        <v>34725</v>
      </c>
      <c r="H4675" s="200"/>
      <c r="I4675" s="346"/>
      <c r="J4675" s="39">
        <v>113115</v>
      </c>
      <c r="K4675" s="36" t="str">
        <f>CONCATENATE(Cover!$D$6,"fdd/view?i=",J4675)</f>
        <v>https://www.dgiwg.org/FAD/fdd/view?i=113115</v>
      </c>
      <c r="L4675" s="36" t="s">
        <v>34726</v>
      </c>
      <c r="M4675" s="186"/>
      <c r="N4675" s="186"/>
      <c r="O4675" s="172"/>
    </row>
    <row r="4676" spans="1:15" x14ac:dyDescent="0.2">
      <c r="A4676" s="197" t="str">
        <f t="shared" si="73"/>
        <v>DfpCode_seed</v>
      </c>
      <c r="B4676" s="409"/>
      <c r="C4676" s="416"/>
      <c r="D4676" s="198" t="s">
        <v>34727</v>
      </c>
      <c r="E4676" s="198">
        <v>9</v>
      </c>
      <c r="F4676" s="199" t="s">
        <v>34728</v>
      </c>
      <c r="G4676" s="1" t="s">
        <v>34729</v>
      </c>
      <c r="H4676" s="200"/>
      <c r="I4676" s="346"/>
      <c r="J4676" s="39">
        <v>113112</v>
      </c>
      <c r="K4676" s="36" t="str">
        <f>CONCATENATE(Cover!$D$6,"fdd/view?i=",J4676)</f>
        <v>https://www.dgiwg.org/FAD/fdd/view?i=113112</v>
      </c>
      <c r="L4676" s="36" t="s">
        <v>34730</v>
      </c>
      <c r="M4676" s="186"/>
      <c r="N4676" s="186"/>
      <c r="O4676" s="172"/>
    </row>
    <row r="4677" spans="1:15" ht="25.5" x14ac:dyDescent="0.2">
      <c r="A4677" s="203" t="str">
        <f t="shared" si="73"/>
        <v>DfpCode_wood</v>
      </c>
      <c r="B4677" s="410"/>
      <c r="C4677" s="417"/>
      <c r="D4677" s="204" t="s">
        <v>19610</v>
      </c>
      <c r="E4677" s="204">
        <v>5</v>
      </c>
      <c r="F4677" s="205" t="s">
        <v>5911</v>
      </c>
      <c r="G4677" s="206" t="s">
        <v>34731</v>
      </c>
      <c r="H4677" s="207"/>
      <c r="I4677" s="347"/>
      <c r="J4677" s="39">
        <v>113108</v>
      </c>
      <c r="K4677" s="36" t="str">
        <f>CONCATENATE(Cover!$D$6,"fdd/view?i=",J4677)</f>
        <v>https://www.dgiwg.org/FAD/fdd/view?i=113108</v>
      </c>
      <c r="L4677" s="36" t="s">
        <v>34732</v>
      </c>
      <c r="M4677" s="186"/>
      <c r="N4677" s="186"/>
      <c r="O4677" s="172"/>
    </row>
    <row r="4678" spans="1:15" x14ac:dyDescent="0.2">
      <c r="A4678" s="190" t="str">
        <f t="shared" si="73"/>
        <v>DfdCode_poisonous</v>
      </c>
      <c r="B4678" s="414" t="str">
        <f>HYPERLINK("[#]Datatypes!A678:L678","DfdCode")</f>
        <v>DfdCode</v>
      </c>
      <c r="C4678" s="415" t="s">
        <v>15253</v>
      </c>
      <c r="D4678" s="221" t="s">
        <v>34733</v>
      </c>
      <c r="E4678" s="221">
        <v>2</v>
      </c>
      <c r="F4678" s="222" t="s">
        <v>34734</v>
      </c>
      <c r="G4678" s="223" t="s">
        <v>34735</v>
      </c>
      <c r="H4678" s="224"/>
      <c r="I4678" s="345"/>
      <c r="J4678" s="39">
        <v>113102</v>
      </c>
      <c r="K4678" s="36" t="str">
        <f>CONCATENATE(Cover!$D$6,"fdd/view?i=",J4678)</f>
        <v>https://www.dgiwg.org/FAD/fdd/view?i=113102</v>
      </c>
      <c r="L4678" s="36" t="s">
        <v>34736</v>
      </c>
      <c r="M4678" s="186"/>
      <c r="N4678" s="186"/>
      <c r="O4678" s="172"/>
    </row>
    <row r="4679" spans="1:15" ht="38.25" x14ac:dyDescent="0.2">
      <c r="A4679" s="197" t="str">
        <f t="shared" si="73"/>
        <v>DfdCode_stronglyPoisonous</v>
      </c>
      <c r="B4679" s="409"/>
      <c r="C4679" s="416"/>
      <c r="D4679" s="198" t="s">
        <v>34737</v>
      </c>
      <c r="E4679" s="198">
        <v>1</v>
      </c>
      <c r="F4679" s="199" t="s">
        <v>34738</v>
      </c>
      <c r="G4679" s="1" t="s">
        <v>34739</v>
      </c>
      <c r="H4679" s="200"/>
      <c r="I4679" s="346"/>
      <c r="J4679" s="39">
        <v>113101</v>
      </c>
      <c r="K4679" s="36" t="str">
        <f>CONCATENATE(Cover!$D$6,"fdd/view?i=",J4679)</f>
        <v>https://www.dgiwg.org/FAD/fdd/view?i=113101</v>
      </c>
      <c r="L4679" s="36" t="s">
        <v>34740</v>
      </c>
      <c r="M4679" s="186"/>
      <c r="N4679" s="186"/>
      <c r="O4679" s="172"/>
    </row>
    <row r="4680" spans="1:15" ht="25.5" x14ac:dyDescent="0.2">
      <c r="A4680" s="203" t="str">
        <f t="shared" si="73"/>
        <v>DfdCode_weaklyPoisonous</v>
      </c>
      <c r="B4680" s="410"/>
      <c r="C4680" s="417"/>
      <c r="D4680" s="204" t="s">
        <v>34741</v>
      </c>
      <c r="E4680" s="204">
        <v>3</v>
      </c>
      <c r="F4680" s="205" t="s">
        <v>34742</v>
      </c>
      <c r="G4680" s="206" t="s">
        <v>34743</v>
      </c>
      <c r="H4680" s="207"/>
      <c r="I4680" s="347"/>
      <c r="J4680" s="39">
        <v>113103</v>
      </c>
      <c r="K4680" s="36" t="str">
        <f>CONCATENATE(Cover!$D$6,"fdd/view?i=",J4680)</f>
        <v>https://www.dgiwg.org/FAD/fdd/view?i=113103</v>
      </c>
      <c r="L4680" s="36" t="s">
        <v>34744</v>
      </c>
      <c r="M4680" s="186"/>
      <c r="N4680" s="186"/>
      <c r="O4680" s="172"/>
    </row>
    <row r="4681" spans="1:15" ht="38.25" x14ac:dyDescent="0.2">
      <c r="A4681" s="190" t="str">
        <f t="shared" si="73"/>
        <v>HpcCode_helicopterClass1</v>
      </c>
      <c r="B4681" s="414" t="str">
        <f>HYPERLINK("[#]Datatypes!A680:L680","HpcCode")</f>
        <v>HpcCode</v>
      </c>
      <c r="C4681" s="415" t="s">
        <v>15255</v>
      </c>
      <c r="D4681" s="221" t="s">
        <v>34746</v>
      </c>
      <c r="E4681" s="221">
        <v>1</v>
      </c>
      <c r="F4681" s="222" t="s">
        <v>34747</v>
      </c>
      <c r="G4681" s="223" t="s">
        <v>34748</v>
      </c>
      <c r="H4681" s="224"/>
      <c r="I4681" s="345"/>
      <c r="J4681" s="39">
        <v>115755</v>
      </c>
      <c r="K4681" s="36" t="str">
        <f>CONCATENATE(Cover!$D$6,"fdd/view?i=",J4681)</f>
        <v>https://www.dgiwg.org/FAD/fdd/view?i=115755</v>
      </c>
      <c r="L4681" s="36" t="s">
        <v>34749</v>
      </c>
      <c r="M4681" s="186"/>
      <c r="N4681" s="186"/>
      <c r="O4681" s="13" t="s">
        <v>34745</v>
      </c>
    </row>
    <row r="4682" spans="1:15" ht="51" x14ac:dyDescent="0.2">
      <c r="A4682" s="197" t="str">
        <f t="shared" si="73"/>
        <v>HpcCode_helicopterClass2</v>
      </c>
      <c r="B4682" s="409"/>
      <c r="C4682" s="416"/>
      <c r="D4682" s="198" t="s">
        <v>34751</v>
      </c>
      <c r="E4682" s="198">
        <v>2</v>
      </c>
      <c r="F4682" s="199" t="s">
        <v>34752</v>
      </c>
      <c r="G4682" s="1" t="s">
        <v>34753</v>
      </c>
      <c r="H4682" s="200"/>
      <c r="I4682" s="346"/>
      <c r="J4682" s="39">
        <v>115756</v>
      </c>
      <c r="K4682" s="36" t="str">
        <f>CONCATENATE(Cover!$D$6,"fdd/view?i=",J4682)</f>
        <v>https://www.dgiwg.org/FAD/fdd/view?i=115756</v>
      </c>
      <c r="L4682" s="36" t="s">
        <v>34754</v>
      </c>
      <c r="M4682" s="186"/>
      <c r="N4682" s="186"/>
      <c r="O4682" s="13" t="s">
        <v>34750</v>
      </c>
    </row>
    <row r="4683" spans="1:15" ht="38.25" x14ac:dyDescent="0.2">
      <c r="A4683" s="203" t="str">
        <f t="shared" si="73"/>
        <v>HpcCode_helicopterClass3</v>
      </c>
      <c r="B4683" s="410"/>
      <c r="C4683" s="417"/>
      <c r="D4683" s="204" t="s">
        <v>34756</v>
      </c>
      <c r="E4683" s="204">
        <v>3</v>
      </c>
      <c r="F4683" s="205" t="s">
        <v>34757</v>
      </c>
      <c r="G4683" s="206" t="s">
        <v>34758</v>
      </c>
      <c r="H4683" s="207"/>
      <c r="I4683" s="347"/>
      <c r="J4683" s="39">
        <v>115757</v>
      </c>
      <c r="K4683" s="36" t="str">
        <f>CONCATENATE(Cover!$D$6,"fdd/view?i=",J4683)</f>
        <v>https://www.dgiwg.org/FAD/fdd/view?i=115757</v>
      </c>
      <c r="L4683" s="36" t="s">
        <v>34759</v>
      </c>
      <c r="M4683" s="186"/>
      <c r="N4683" s="186"/>
      <c r="O4683" s="13" t="s">
        <v>34755</v>
      </c>
    </row>
    <row r="4684" spans="1:15" ht="38.25" x14ac:dyDescent="0.2">
      <c r="A4684" s="190" t="str">
        <f t="shared" si="73"/>
        <v>HafCode_heliport</v>
      </c>
      <c r="B4684" s="414" t="str">
        <f>HYPERLINK("[#]Datatypes!A682:L682","HafCode")</f>
        <v>HafCode</v>
      </c>
      <c r="C4684" s="415" t="s">
        <v>15257</v>
      </c>
      <c r="D4684" s="221" t="s">
        <v>24934</v>
      </c>
      <c r="E4684" s="221">
        <v>1</v>
      </c>
      <c r="F4684" s="222" t="s">
        <v>3482</v>
      </c>
      <c r="G4684" s="223" t="s">
        <v>34760</v>
      </c>
      <c r="H4684" s="224"/>
      <c r="I4684" s="345"/>
      <c r="J4684" s="39">
        <v>103980</v>
      </c>
      <c r="K4684" s="36" t="str">
        <f>CONCATENATE(Cover!$D$6,"fdd/view?i=",J4684)</f>
        <v>https://www.dgiwg.org/FAD/fdd/view?i=103980</v>
      </c>
      <c r="L4684" s="36" t="s">
        <v>34761</v>
      </c>
      <c r="M4684" s="186"/>
      <c r="N4684" s="186"/>
      <c r="O4684" s="172"/>
    </row>
    <row r="4685" spans="1:15" ht="25.5" x14ac:dyDescent="0.2">
      <c r="A4685" s="197" t="str">
        <f t="shared" si="73"/>
        <v>HafCode_hospital</v>
      </c>
      <c r="B4685" s="409"/>
      <c r="C4685" s="416"/>
      <c r="D4685" s="198" t="s">
        <v>34762</v>
      </c>
      <c r="E4685" s="198">
        <v>3</v>
      </c>
      <c r="F4685" s="199" t="s">
        <v>34763</v>
      </c>
      <c r="G4685" s="1" t="s">
        <v>34764</v>
      </c>
      <c r="H4685" s="200"/>
      <c r="I4685" s="346"/>
      <c r="J4685" s="39">
        <v>103982</v>
      </c>
      <c r="K4685" s="36" t="str">
        <f>CONCATENATE(Cover!$D$6,"fdd/view?i=",J4685)</f>
        <v>https://www.dgiwg.org/FAD/fdd/view?i=103982</v>
      </c>
      <c r="L4685" s="36" t="s">
        <v>34765</v>
      </c>
      <c r="M4685" s="186"/>
      <c r="N4685" s="186"/>
      <c r="O4685" s="172"/>
    </row>
    <row r="4686" spans="1:15" ht="25.5" x14ac:dyDescent="0.2">
      <c r="A4686" s="197" t="str">
        <f t="shared" si="73"/>
        <v>HafCode_landAerodrome</v>
      </c>
      <c r="B4686" s="409"/>
      <c r="C4686" s="416"/>
      <c r="D4686" s="198" t="s">
        <v>34766</v>
      </c>
      <c r="E4686" s="198">
        <v>2</v>
      </c>
      <c r="F4686" s="199" t="s">
        <v>3781</v>
      </c>
      <c r="G4686" s="1" t="s">
        <v>3782</v>
      </c>
      <c r="H4686" s="200"/>
      <c r="I4686" s="346"/>
      <c r="J4686" s="39">
        <v>103981</v>
      </c>
      <c r="K4686" s="36" t="str">
        <f>CONCATENATE(Cover!$D$6,"fdd/view?i=",J4686)</f>
        <v>https://www.dgiwg.org/FAD/fdd/view?i=103981</v>
      </c>
      <c r="L4686" s="36" t="s">
        <v>34767</v>
      </c>
      <c r="M4686" s="186"/>
      <c r="N4686" s="186"/>
      <c r="O4686" s="172"/>
    </row>
    <row r="4687" spans="1:15" ht="25.5" x14ac:dyDescent="0.2">
      <c r="A4687" s="197" t="str">
        <f t="shared" si="73"/>
        <v>HafCode_militaryInstallation</v>
      </c>
      <c r="B4687" s="409"/>
      <c r="C4687" s="416"/>
      <c r="D4687" s="198" t="s">
        <v>34768</v>
      </c>
      <c r="E4687" s="198">
        <v>11</v>
      </c>
      <c r="F4687" s="199" t="s">
        <v>4118</v>
      </c>
      <c r="G4687" s="1" t="s">
        <v>34769</v>
      </c>
      <c r="H4687" s="200"/>
      <c r="I4687" s="346"/>
      <c r="J4687" s="39">
        <v>114390</v>
      </c>
      <c r="K4687" s="36" t="str">
        <f>CONCATENATE(Cover!$D$6,"fdd/view?i=",J4687)</f>
        <v>https://www.dgiwg.org/FAD/fdd/view?i=114390</v>
      </c>
      <c r="L4687" s="36" t="s">
        <v>34770</v>
      </c>
      <c r="M4687" s="186"/>
      <c r="N4687" s="186"/>
      <c r="O4687" s="172"/>
    </row>
    <row r="4688" spans="1:15" ht="38.25" x14ac:dyDescent="0.2">
      <c r="A4688" s="197" t="str">
        <f t="shared" si="73"/>
        <v>HafCode_mobileOffshoreDrillUnit</v>
      </c>
      <c r="B4688" s="409"/>
      <c r="C4688" s="416"/>
      <c r="D4688" s="198" t="s">
        <v>34771</v>
      </c>
      <c r="E4688" s="198">
        <v>8</v>
      </c>
      <c r="F4688" s="199" t="s">
        <v>4185</v>
      </c>
      <c r="G4688" s="1" t="s">
        <v>4186</v>
      </c>
      <c r="H4688" s="1" t="s">
        <v>4187</v>
      </c>
      <c r="I4688" s="346"/>
      <c r="J4688" s="39">
        <v>110912</v>
      </c>
      <c r="K4688" s="36" t="str">
        <f>CONCATENATE(Cover!$D$6,"fdd/view?i=",J4688)</f>
        <v>https://www.dgiwg.org/FAD/fdd/view?i=110912</v>
      </c>
      <c r="L4688" s="36" t="s">
        <v>34772</v>
      </c>
      <c r="M4688" s="186"/>
      <c r="N4688" s="186"/>
      <c r="O4688" s="172"/>
    </row>
    <row r="4689" spans="1:15" ht="25.5" x14ac:dyDescent="0.2">
      <c r="A4689" s="197" t="str">
        <f t="shared" si="73"/>
        <v>HafCode_nonHospitalBuilding</v>
      </c>
      <c r="B4689" s="409"/>
      <c r="C4689" s="416"/>
      <c r="D4689" s="198" t="s">
        <v>34773</v>
      </c>
      <c r="E4689" s="198">
        <v>4</v>
      </c>
      <c r="F4689" s="199" t="s">
        <v>34774</v>
      </c>
      <c r="G4689" s="1" t="s">
        <v>34775</v>
      </c>
      <c r="H4689" s="200"/>
      <c r="I4689" s="346"/>
      <c r="J4689" s="39">
        <v>103983</v>
      </c>
      <c r="K4689" s="36" t="str">
        <f>CONCATENATE(Cover!$D$6,"fdd/view?i=",J4689)</f>
        <v>https://www.dgiwg.org/FAD/fdd/view?i=103983</v>
      </c>
      <c r="L4689" s="36" t="s">
        <v>34776</v>
      </c>
      <c r="M4689" s="186"/>
      <c r="N4689" s="186"/>
      <c r="O4689" s="172"/>
    </row>
    <row r="4690" spans="1:15" ht="63.75" x14ac:dyDescent="0.2">
      <c r="A4690" s="197" t="str">
        <f t="shared" si="73"/>
        <v>HafCode_offshoreConstruction</v>
      </c>
      <c r="B4690" s="409"/>
      <c r="C4690" s="416"/>
      <c r="D4690" s="198" t="s">
        <v>34777</v>
      </c>
      <c r="E4690" s="198">
        <v>9</v>
      </c>
      <c r="F4690" s="199" t="s">
        <v>4357</v>
      </c>
      <c r="G4690" s="1" t="s">
        <v>4358</v>
      </c>
      <c r="H4690" s="1" t="s">
        <v>4359</v>
      </c>
      <c r="I4690" s="346"/>
      <c r="J4690" s="39">
        <v>117909</v>
      </c>
      <c r="K4690" s="36" t="str">
        <f>CONCATENATE(Cover!$D$6,"fdd/view?i=",J4690)</f>
        <v>https://www.dgiwg.org/FAD/fdd/view?i=117909</v>
      </c>
      <c r="L4690" s="36" t="s">
        <v>34778</v>
      </c>
      <c r="M4690" s="186"/>
      <c r="N4690" s="186"/>
      <c r="O4690" s="172"/>
    </row>
    <row r="4691" spans="1:15" ht="25.5" x14ac:dyDescent="0.2">
      <c r="A4691" s="197" t="str">
        <f t="shared" si="73"/>
        <v>HafCode_rig</v>
      </c>
      <c r="B4691" s="409"/>
      <c r="C4691" s="416"/>
      <c r="D4691" s="198" t="s">
        <v>34779</v>
      </c>
      <c r="E4691" s="198">
        <v>6</v>
      </c>
      <c r="F4691" s="199" t="s">
        <v>4744</v>
      </c>
      <c r="G4691" s="1" t="s">
        <v>4746</v>
      </c>
      <c r="H4691" s="200"/>
      <c r="I4691" s="346"/>
      <c r="J4691" s="39">
        <v>103985</v>
      </c>
      <c r="K4691" s="36" t="str">
        <f>CONCATENATE(Cover!$D$6,"fdd/view?i=",J4691)</f>
        <v>https://www.dgiwg.org/FAD/fdd/view?i=103985</v>
      </c>
      <c r="L4691" s="36" t="s">
        <v>34780</v>
      </c>
      <c r="M4691" s="186"/>
      <c r="N4691" s="186"/>
      <c r="O4691" s="172"/>
    </row>
    <row r="4692" spans="1:15" ht="38.25" x14ac:dyDescent="0.2">
      <c r="A4692" s="197" t="str">
        <f t="shared" si="73"/>
        <v>HafCode_singlePointMooring</v>
      </c>
      <c r="B4692" s="409"/>
      <c r="C4692" s="416"/>
      <c r="D4692" s="198" t="s">
        <v>34781</v>
      </c>
      <c r="E4692" s="198">
        <v>7</v>
      </c>
      <c r="F4692" s="199" t="s">
        <v>5070</v>
      </c>
      <c r="G4692" s="1" t="s">
        <v>5071</v>
      </c>
      <c r="H4692" s="1" t="s">
        <v>5072</v>
      </c>
      <c r="I4692" s="346"/>
      <c r="J4692" s="39">
        <v>110891</v>
      </c>
      <c r="K4692" s="36" t="str">
        <f>CONCATENATE(Cover!$D$6,"fdd/view?i=",J4692)</f>
        <v>https://www.dgiwg.org/FAD/fdd/view?i=110891</v>
      </c>
      <c r="L4692" s="36" t="s">
        <v>34782</v>
      </c>
      <c r="M4692" s="186"/>
      <c r="N4692" s="186"/>
      <c r="O4692" s="172"/>
    </row>
    <row r="4693" spans="1:15" ht="25.5" x14ac:dyDescent="0.2">
      <c r="A4693" s="203" t="str">
        <f t="shared" si="73"/>
        <v>HafCode_waterAerodrome</v>
      </c>
      <c r="B4693" s="410"/>
      <c r="C4693" s="417"/>
      <c r="D4693" s="204" t="s">
        <v>34783</v>
      </c>
      <c r="E4693" s="204">
        <v>10</v>
      </c>
      <c r="F4693" s="205" t="s">
        <v>5756</v>
      </c>
      <c r="G4693" s="206" t="s">
        <v>34784</v>
      </c>
      <c r="H4693" s="207"/>
      <c r="I4693" s="347"/>
      <c r="J4693" s="39">
        <v>112730</v>
      </c>
      <c r="K4693" s="36" t="str">
        <f>CONCATENATE(Cover!$D$6,"fdd/view?i=",J4693)</f>
        <v>https://www.dgiwg.org/FAD/fdd/view?i=112730</v>
      </c>
      <c r="L4693" s="36" t="s">
        <v>34785</v>
      </c>
      <c r="M4693" s="186"/>
      <c r="N4693" s="186"/>
      <c r="O4693" s="172"/>
    </row>
    <row r="4694" spans="1:15" ht="25.5" x14ac:dyDescent="0.2">
      <c r="A4694" s="190" t="str">
        <f t="shared" si="73"/>
        <v>HssCode_ancient</v>
      </c>
      <c r="B4694" s="414" t="str">
        <f>HYPERLINK("[#]Datatypes!A686:L686","HssCode")</f>
        <v>HssCode</v>
      </c>
      <c r="C4694" s="415" t="s">
        <v>15262</v>
      </c>
      <c r="D4694" s="221" t="s">
        <v>34786</v>
      </c>
      <c r="E4694" s="221">
        <v>1</v>
      </c>
      <c r="F4694" s="222" t="s">
        <v>34787</v>
      </c>
      <c r="G4694" s="223" t="s">
        <v>34788</v>
      </c>
      <c r="H4694" s="223" t="s">
        <v>34789</v>
      </c>
      <c r="I4694" s="345"/>
      <c r="J4694" s="39">
        <v>104286</v>
      </c>
      <c r="K4694" s="36" t="str">
        <f>CONCATENATE(Cover!$D$6,"fdd/view?i=",J4694)</f>
        <v>https://www.dgiwg.org/FAD/fdd/view?i=104286</v>
      </c>
      <c r="L4694" s="36" t="s">
        <v>34790</v>
      </c>
      <c r="M4694" s="186"/>
      <c r="N4694" s="186"/>
      <c r="O4694" s="172"/>
    </row>
    <row r="4695" spans="1:15" x14ac:dyDescent="0.2">
      <c r="A4695" s="197" t="str">
        <f t="shared" si="73"/>
        <v>HssCode_battlefield</v>
      </c>
      <c r="B4695" s="409"/>
      <c r="C4695" s="416"/>
      <c r="D4695" s="198" t="s">
        <v>34791</v>
      </c>
      <c r="E4695" s="198">
        <v>4</v>
      </c>
      <c r="F4695" s="199" t="s">
        <v>34792</v>
      </c>
      <c r="G4695" s="1" t="s">
        <v>34793</v>
      </c>
      <c r="H4695" s="200"/>
      <c r="I4695" s="346"/>
      <c r="J4695" s="39">
        <v>112736</v>
      </c>
      <c r="K4695" s="36" t="str">
        <f>CONCATENATE(Cover!$D$6,"fdd/view?i=",J4695)</f>
        <v>https://www.dgiwg.org/FAD/fdd/view?i=112736</v>
      </c>
      <c r="L4695" s="36" t="s">
        <v>34794</v>
      </c>
      <c r="M4695" s="186"/>
      <c r="N4695" s="186"/>
      <c r="O4695" s="172"/>
    </row>
    <row r="4696" spans="1:15" x14ac:dyDescent="0.2">
      <c r="A4696" s="197" t="str">
        <f t="shared" si="73"/>
        <v>HssCode_historic</v>
      </c>
      <c r="B4696" s="409"/>
      <c r="C4696" s="416"/>
      <c r="D4696" s="198" t="s">
        <v>24287</v>
      </c>
      <c r="E4696" s="198">
        <v>2</v>
      </c>
      <c r="F4696" s="199" t="s">
        <v>24288</v>
      </c>
      <c r="G4696" s="1" t="s">
        <v>34795</v>
      </c>
      <c r="H4696" s="1" t="s">
        <v>34796</v>
      </c>
      <c r="I4696" s="346"/>
      <c r="J4696" s="39">
        <v>104287</v>
      </c>
      <c r="K4696" s="36" t="str">
        <f>CONCATENATE(Cover!$D$6,"fdd/view?i=",J4696)</f>
        <v>https://www.dgiwg.org/FAD/fdd/view?i=104287</v>
      </c>
      <c r="L4696" s="36" t="s">
        <v>34797</v>
      </c>
      <c r="M4696" s="186"/>
      <c r="N4696" s="186"/>
      <c r="O4696" s="172"/>
    </row>
    <row r="4697" spans="1:15" ht="63.75" x14ac:dyDescent="0.2">
      <c r="A4697" s="197" t="str">
        <f t="shared" si="73"/>
        <v>HssCode_military</v>
      </c>
      <c r="B4697" s="409"/>
      <c r="C4697" s="416"/>
      <c r="D4697" s="198" t="s">
        <v>20503</v>
      </c>
      <c r="E4697" s="198">
        <v>5</v>
      </c>
      <c r="F4697" s="199" t="s">
        <v>20504</v>
      </c>
      <c r="G4697" s="1" t="s">
        <v>34798</v>
      </c>
      <c r="H4697" s="1" t="s">
        <v>34799</v>
      </c>
      <c r="I4697" s="346"/>
      <c r="J4697" s="39">
        <v>112729</v>
      </c>
      <c r="K4697" s="36" t="str">
        <f>CONCATENATE(Cover!$D$6,"fdd/view?i=",J4697)</f>
        <v>https://www.dgiwg.org/FAD/fdd/view?i=112729</v>
      </c>
      <c r="L4697" s="36" t="s">
        <v>34800</v>
      </c>
      <c r="M4697" s="186"/>
      <c r="N4697" s="186"/>
      <c r="O4697" s="172"/>
    </row>
    <row r="4698" spans="1:15" ht="38.25" x14ac:dyDescent="0.2">
      <c r="A4698" s="197" t="str">
        <f t="shared" si="73"/>
        <v>HssCode_national</v>
      </c>
      <c r="B4698" s="409"/>
      <c r="C4698" s="416"/>
      <c r="D4698" s="198" t="s">
        <v>16698</v>
      </c>
      <c r="E4698" s="198">
        <v>7</v>
      </c>
      <c r="F4698" s="199" t="s">
        <v>16699</v>
      </c>
      <c r="G4698" s="1" t="s">
        <v>34801</v>
      </c>
      <c r="H4698" s="1" t="s">
        <v>34802</v>
      </c>
      <c r="I4698" s="346"/>
      <c r="J4698" s="39">
        <v>112726</v>
      </c>
      <c r="K4698" s="36" t="str">
        <f>CONCATENATE(Cover!$D$6,"fdd/view?i=",J4698)</f>
        <v>https://www.dgiwg.org/FAD/fdd/view?i=112726</v>
      </c>
      <c r="L4698" s="36" t="s">
        <v>34803</v>
      </c>
      <c r="M4698" s="186"/>
      <c r="N4698" s="186"/>
      <c r="O4698" s="172"/>
    </row>
    <row r="4699" spans="1:15" ht="25.5" x14ac:dyDescent="0.2">
      <c r="A4699" s="197" t="str">
        <f t="shared" si="73"/>
        <v>HssCode_notSignificant</v>
      </c>
      <c r="B4699" s="409"/>
      <c r="C4699" s="416"/>
      <c r="D4699" s="198" t="s">
        <v>34804</v>
      </c>
      <c r="E4699" s="198">
        <v>3</v>
      </c>
      <c r="F4699" s="199" t="s">
        <v>34805</v>
      </c>
      <c r="G4699" s="1" t="s">
        <v>34806</v>
      </c>
      <c r="H4699" s="200"/>
      <c r="I4699" s="346"/>
      <c r="J4699" s="39">
        <v>110210</v>
      </c>
      <c r="K4699" s="36" t="str">
        <f>CONCATENATE(Cover!$D$6,"fdd/view?i=",J4699)</f>
        <v>https://www.dgiwg.org/FAD/fdd/view?i=110210</v>
      </c>
      <c r="L4699" s="36" t="s">
        <v>34807</v>
      </c>
      <c r="M4699" s="186"/>
      <c r="N4699" s="186"/>
      <c r="O4699" s="172"/>
    </row>
    <row r="4700" spans="1:15" ht="25.5" x14ac:dyDescent="0.2">
      <c r="A4700" s="197" t="str">
        <f t="shared" si="73"/>
        <v>HssCode_political</v>
      </c>
      <c r="B4700" s="409"/>
      <c r="C4700" s="416"/>
      <c r="D4700" s="198" t="s">
        <v>26430</v>
      </c>
      <c r="E4700" s="198">
        <v>6</v>
      </c>
      <c r="F4700" s="199" t="s">
        <v>26431</v>
      </c>
      <c r="G4700" s="1" t="s">
        <v>34808</v>
      </c>
      <c r="H4700" s="1" t="s">
        <v>34809</v>
      </c>
      <c r="I4700" s="346"/>
      <c r="J4700" s="39">
        <v>112728</v>
      </c>
      <c r="K4700" s="36" t="str">
        <f>CONCATENATE(Cover!$D$6,"fdd/view?i=",J4700)</f>
        <v>https://www.dgiwg.org/FAD/fdd/view?i=112728</v>
      </c>
      <c r="L4700" s="36" t="s">
        <v>34810</v>
      </c>
      <c r="M4700" s="186"/>
      <c r="N4700" s="186"/>
      <c r="O4700" s="172"/>
    </row>
    <row r="4701" spans="1:15" ht="25.5" x14ac:dyDescent="0.2">
      <c r="A4701" s="203" t="str">
        <f t="shared" si="73"/>
        <v>HssCode_religious</v>
      </c>
      <c r="B4701" s="410"/>
      <c r="C4701" s="417"/>
      <c r="D4701" s="204" t="s">
        <v>26434</v>
      </c>
      <c r="E4701" s="204">
        <v>8</v>
      </c>
      <c r="F4701" s="205" t="s">
        <v>26435</v>
      </c>
      <c r="G4701" s="206" t="s">
        <v>34811</v>
      </c>
      <c r="H4701" s="206" t="s">
        <v>34812</v>
      </c>
      <c r="I4701" s="347"/>
      <c r="J4701" s="39">
        <v>119634</v>
      </c>
      <c r="K4701" s="36" t="str">
        <f>CONCATENATE(Cover!$D$6,"fdd/view?i=",J4701)</f>
        <v>https://www.dgiwg.org/FAD/fdd/view?i=119634</v>
      </c>
      <c r="L4701" s="36" t="s">
        <v>34813</v>
      </c>
      <c r="M4701" s="186"/>
      <c r="N4701" s="186"/>
      <c r="O4701" s="172"/>
    </row>
    <row r="4702" spans="1:15" ht="25.5" x14ac:dyDescent="0.2">
      <c r="A4702" s="190" t="str">
        <f t="shared" si="73"/>
        <v>HpyCode_enRoute</v>
      </c>
      <c r="B4702" s="414" t="str">
        <f>HYPERLINK("[#]Datatypes!A688:L688","HpyCode")</f>
        <v>HpyCode</v>
      </c>
      <c r="C4702" s="415" t="s">
        <v>15264</v>
      </c>
      <c r="D4702" s="221" t="s">
        <v>34815</v>
      </c>
      <c r="E4702" s="221">
        <v>1</v>
      </c>
      <c r="F4702" s="222" t="s">
        <v>34816</v>
      </c>
      <c r="G4702" s="223" t="s">
        <v>34817</v>
      </c>
      <c r="H4702" s="224"/>
      <c r="I4702" s="345"/>
      <c r="J4702" s="39">
        <v>115673</v>
      </c>
      <c r="K4702" s="36" t="str">
        <f>CONCATENATE(Cover!$D$6,"fdd/view?i=",J4702)</f>
        <v>https://www.dgiwg.org/FAD/fdd/view?i=115673</v>
      </c>
      <c r="L4702" s="36" t="s">
        <v>34818</v>
      </c>
      <c r="M4702" s="186"/>
      <c r="N4702" s="186"/>
      <c r="O4702" s="13" t="s">
        <v>34814</v>
      </c>
    </row>
    <row r="4703" spans="1:15" ht="25.5" x14ac:dyDescent="0.2">
      <c r="A4703" s="203" t="str">
        <f t="shared" si="73"/>
        <v>HpyCode_terminalArea</v>
      </c>
      <c r="B4703" s="410"/>
      <c r="C4703" s="417"/>
      <c r="D4703" s="204" t="s">
        <v>34820</v>
      </c>
      <c r="E4703" s="204">
        <v>2</v>
      </c>
      <c r="F4703" s="205" t="s">
        <v>34821</v>
      </c>
      <c r="G4703" s="206" t="s">
        <v>34822</v>
      </c>
      <c r="H4703" s="207"/>
      <c r="I4703" s="347"/>
      <c r="J4703" s="39">
        <v>115674</v>
      </c>
      <c r="K4703" s="36" t="str">
        <f>CONCATENATE(Cover!$D$6,"fdd/view?i=",J4703)</f>
        <v>https://www.dgiwg.org/FAD/fdd/view?i=115674</v>
      </c>
      <c r="L4703" s="36" t="s">
        <v>34823</v>
      </c>
      <c r="M4703" s="186"/>
      <c r="N4703" s="186"/>
      <c r="O4703" s="13" t="s">
        <v>34819</v>
      </c>
    </row>
    <row r="4704" spans="1:15" x14ac:dyDescent="0.2">
      <c r="A4704" s="190" t="str">
        <f t="shared" si="73"/>
        <v>AccCode_accurate</v>
      </c>
      <c r="B4704" s="414" t="str">
        <f>HYPERLINK("[#]Datatypes!A690:L690","AccCode")</f>
        <v>AccCode</v>
      </c>
      <c r="C4704" s="415" t="s">
        <v>15266</v>
      </c>
      <c r="D4704" s="221" t="s">
        <v>29223</v>
      </c>
      <c r="E4704" s="221">
        <v>1</v>
      </c>
      <c r="F4704" s="222" t="s">
        <v>29224</v>
      </c>
      <c r="G4704" s="223" t="s">
        <v>29225</v>
      </c>
      <c r="H4704" s="224"/>
      <c r="I4704" s="352" t="s">
        <v>34824</v>
      </c>
      <c r="J4704" s="39">
        <v>101576</v>
      </c>
      <c r="K4704" s="36" t="str">
        <f>CONCATENATE(Cover!$D$6,"fdd/view?i=",J4704)</f>
        <v>https://www.dgiwg.org/FAD/fdd/view?i=101576</v>
      </c>
      <c r="L4704" s="36" t="s">
        <v>34825</v>
      </c>
      <c r="M4704" s="186"/>
      <c r="N4704" s="186"/>
      <c r="O4704" s="172"/>
    </row>
    <row r="4705" spans="1:15" ht="25.5" x14ac:dyDescent="0.2">
      <c r="A4705" s="197" t="str">
        <f t="shared" si="73"/>
        <v>AccCode_approximate</v>
      </c>
      <c r="B4705" s="409"/>
      <c r="C4705" s="416"/>
      <c r="D4705" s="198" t="s">
        <v>29227</v>
      </c>
      <c r="E4705" s="198">
        <v>2</v>
      </c>
      <c r="F4705" s="199" t="s">
        <v>29228</v>
      </c>
      <c r="G4705" s="1" t="s">
        <v>29229</v>
      </c>
      <c r="H4705" s="200"/>
      <c r="I4705" s="351" t="s">
        <v>34826</v>
      </c>
      <c r="J4705" s="39">
        <v>101577</v>
      </c>
      <c r="K4705" s="36" t="str">
        <f>CONCATENATE(Cover!$D$6,"fdd/view?i=",J4705)</f>
        <v>https://www.dgiwg.org/FAD/fdd/view?i=101577</v>
      </c>
      <c r="L4705" s="36" t="s">
        <v>34827</v>
      </c>
      <c r="M4705" s="186"/>
      <c r="N4705" s="186"/>
      <c r="O4705" s="172"/>
    </row>
    <row r="4706" spans="1:15" ht="25.5" x14ac:dyDescent="0.2">
      <c r="A4706" s="197" t="str">
        <f t="shared" si="73"/>
        <v>AccCode_doubtful</v>
      </c>
      <c r="B4706" s="409"/>
      <c r="C4706" s="416"/>
      <c r="D4706" s="198" t="s">
        <v>29845</v>
      </c>
      <c r="E4706" s="198">
        <v>3</v>
      </c>
      <c r="F4706" s="199" t="s">
        <v>29846</v>
      </c>
      <c r="G4706" s="1" t="s">
        <v>34828</v>
      </c>
      <c r="H4706" s="200"/>
      <c r="I4706" s="346"/>
      <c r="J4706" s="39">
        <v>101578</v>
      </c>
      <c r="K4706" s="36" t="str">
        <f>CONCATENATE(Cover!$D$6,"fdd/view?i=",J4706)</f>
        <v>https://www.dgiwg.org/FAD/fdd/view?i=101578</v>
      </c>
      <c r="L4706" s="36" t="s">
        <v>34829</v>
      </c>
      <c r="M4706" s="186"/>
      <c r="N4706" s="186"/>
      <c r="O4706" s="172"/>
    </row>
    <row r="4707" spans="1:15" x14ac:dyDescent="0.2">
      <c r="A4707" s="203" t="str">
        <f t="shared" si="73"/>
        <v>AccCode_precise</v>
      </c>
      <c r="B4707" s="410"/>
      <c r="C4707" s="417"/>
      <c r="D4707" s="204" t="s">
        <v>34830</v>
      </c>
      <c r="E4707" s="204">
        <v>7</v>
      </c>
      <c r="F4707" s="205" t="s">
        <v>34831</v>
      </c>
      <c r="G4707" s="206" t="s">
        <v>34832</v>
      </c>
      <c r="H4707" s="207"/>
      <c r="I4707" s="347"/>
      <c r="J4707" s="39">
        <v>101581</v>
      </c>
      <c r="K4707" s="36" t="str">
        <f>CONCATENATE(Cover!$D$6,"fdd/view?i=",J4707)</f>
        <v>https://www.dgiwg.org/FAD/fdd/view?i=101581</v>
      </c>
      <c r="L4707" s="36" t="s">
        <v>34833</v>
      </c>
      <c r="M4707" s="186"/>
      <c r="N4707" s="186"/>
      <c r="O4707" s="172"/>
    </row>
    <row r="4708" spans="1:15" x14ac:dyDescent="0.2">
      <c r="A4708" s="190" t="str">
        <f t="shared" si="73"/>
        <v>IdtCode_abduction</v>
      </c>
      <c r="B4708" s="414" t="str">
        <f>HYPERLINK("[#]Datatypes!A692:L692","IdtCode")</f>
        <v>IdtCode</v>
      </c>
      <c r="C4708" s="415" t="s">
        <v>15268</v>
      </c>
      <c r="D4708" s="221" t="s">
        <v>34834</v>
      </c>
      <c r="E4708" s="221">
        <v>11</v>
      </c>
      <c r="F4708" s="222" t="s">
        <v>34835</v>
      </c>
      <c r="G4708" s="223" t="s">
        <v>34836</v>
      </c>
      <c r="H4708" s="223" t="s">
        <v>34837</v>
      </c>
      <c r="I4708" s="345"/>
      <c r="J4708" s="39">
        <v>118283</v>
      </c>
      <c r="K4708" s="36" t="str">
        <f>CONCATENATE(Cover!$D$6,"fdd/view?i=",J4708)</f>
        <v>https://www.dgiwg.org/FAD/fdd/view?i=118283</v>
      </c>
      <c r="L4708" s="36" t="s">
        <v>34838</v>
      </c>
      <c r="M4708" s="186"/>
      <c r="N4708" s="186"/>
      <c r="O4708" s="172"/>
    </row>
    <row r="4709" spans="1:15" x14ac:dyDescent="0.2">
      <c r="A4709" s="197" t="str">
        <f t="shared" si="73"/>
        <v>IdtCode_ambush</v>
      </c>
      <c r="B4709" s="409"/>
      <c r="C4709" s="416"/>
      <c r="D4709" s="198" t="s">
        <v>34839</v>
      </c>
      <c r="E4709" s="198">
        <v>2</v>
      </c>
      <c r="F4709" s="199" t="s">
        <v>34840</v>
      </c>
      <c r="G4709" s="1" t="s">
        <v>34841</v>
      </c>
      <c r="H4709" s="200"/>
      <c r="I4709" s="346"/>
      <c r="J4709" s="39">
        <v>118274</v>
      </c>
      <c r="K4709" s="36" t="str">
        <f>CONCATENATE(Cover!$D$6,"fdd/view?i=",J4709)</f>
        <v>https://www.dgiwg.org/FAD/fdd/view?i=118274</v>
      </c>
      <c r="L4709" s="36" t="s">
        <v>34842</v>
      </c>
      <c r="M4709" s="186"/>
      <c r="N4709" s="186"/>
      <c r="O4709" s="172"/>
    </row>
    <row r="4710" spans="1:15" x14ac:dyDescent="0.2">
      <c r="A4710" s="197" t="str">
        <f t="shared" si="73"/>
        <v>IdtCode_armedRobbery</v>
      </c>
      <c r="B4710" s="409"/>
      <c r="C4710" s="416"/>
      <c r="D4710" s="198" t="s">
        <v>34843</v>
      </c>
      <c r="E4710" s="198">
        <v>13</v>
      </c>
      <c r="F4710" s="199" t="s">
        <v>34844</v>
      </c>
      <c r="G4710" s="1" t="s">
        <v>34845</v>
      </c>
      <c r="H4710" s="200"/>
      <c r="I4710" s="346"/>
      <c r="J4710" s="39">
        <v>118285</v>
      </c>
      <c r="K4710" s="36" t="str">
        <f>CONCATENATE(Cover!$D$6,"fdd/view?i=",J4710)</f>
        <v>https://www.dgiwg.org/FAD/fdd/view?i=118285</v>
      </c>
      <c r="L4710" s="36" t="s">
        <v>34846</v>
      </c>
      <c r="M4710" s="186"/>
      <c r="N4710" s="186"/>
      <c r="O4710" s="172"/>
    </row>
    <row r="4711" spans="1:15" ht="38.25" x14ac:dyDescent="0.2">
      <c r="A4711" s="197" t="str">
        <f t="shared" si="73"/>
        <v>IdtCode_blockade</v>
      </c>
      <c r="B4711" s="409"/>
      <c r="C4711" s="416"/>
      <c r="D4711" s="198" t="s">
        <v>34847</v>
      </c>
      <c r="E4711" s="198">
        <v>19</v>
      </c>
      <c r="F4711" s="199" t="s">
        <v>34848</v>
      </c>
      <c r="G4711" s="1" t="s">
        <v>34849</v>
      </c>
      <c r="H4711" s="1" t="s">
        <v>34850</v>
      </c>
      <c r="I4711" s="346"/>
      <c r="J4711" s="39">
        <v>118291</v>
      </c>
      <c r="K4711" s="36" t="str">
        <f>CONCATENATE(Cover!$D$6,"fdd/view?i=",J4711)</f>
        <v>https://www.dgiwg.org/FAD/fdd/view?i=118291</v>
      </c>
      <c r="L4711" s="36" t="s">
        <v>34851</v>
      </c>
      <c r="M4711" s="186"/>
      <c r="N4711" s="186"/>
      <c r="O4711" s="172"/>
    </row>
    <row r="4712" spans="1:15" x14ac:dyDescent="0.2">
      <c r="A4712" s="197" t="str">
        <f t="shared" si="73"/>
        <v>IdtCode_cbrnAttack</v>
      </c>
      <c r="B4712" s="409"/>
      <c r="C4712" s="416"/>
      <c r="D4712" s="198" t="s">
        <v>34852</v>
      </c>
      <c r="E4712" s="198">
        <v>17</v>
      </c>
      <c r="F4712" s="199" t="s">
        <v>34853</v>
      </c>
      <c r="G4712" s="1" t="s">
        <v>34854</v>
      </c>
      <c r="H4712" s="200"/>
      <c r="I4712" s="346"/>
      <c r="J4712" s="39">
        <v>118289</v>
      </c>
      <c r="K4712" s="36" t="str">
        <f>CONCATENATE(Cover!$D$6,"fdd/view?i=",J4712)</f>
        <v>https://www.dgiwg.org/FAD/fdd/view?i=118289</v>
      </c>
      <c r="L4712" s="36" t="s">
        <v>34855</v>
      </c>
      <c r="M4712" s="186"/>
      <c r="N4712" s="186"/>
      <c r="O4712" s="172"/>
    </row>
    <row r="4713" spans="1:15" ht="25.5" x14ac:dyDescent="0.2">
      <c r="A4713" s="197" t="str">
        <f t="shared" si="73"/>
        <v>IdtCode_directFire</v>
      </c>
      <c r="B4713" s="409"/>
      <c r="C4713" s="416"/>
      <c r="D4713" s="198" t="s">
        <v>34856</v>
      </c>
      <c r="E4713" s="198">
        <v>20</v>
      </c>
      <c r="F4713" s="199" t="s">
        <v>34857</v>
      </c>
      <c r="G4713" s="1" t="s">
        <v>34858</v>
      </c>
      <c r="H4713" s="200"/>
      <c r="I4713" s="346"/>
      <c r="J4713" s="39">
        <v>118514</v>
      </c>
      <c r="K4713" s="36" t="str">
        <f>CONCATENATE(Cover!$D$6,"fdd/view?i=",J4713)</f>
        <v>https://www.dgiwg.org/FAD/fdd/view?i=118514</v>
      </c>
      <c r="L4713" s="36" t="s">
        <v>34859</v>
      </c>
      <c r="M4713" s="186"/>
      <c r="N4713" s="186"/>
      <c r="O4713" s="172"/>
    </row>
    <row r="4714" spans="1:15" x14ac:dyDescent="0.2">
      <c r="A4714" s="197" t="str">
        <f t="shared" si="73"/>
        <v>IdtCode_hijacking</v>
      </c>
      <c r="B4714" s="409"/>
      <c r="C4714" s="416"/>
      <c r="D4714" s="198" t="s">
        <v>34860</v>
      </c>
      <c r="E4714" s="198">
        <v>14</v>
      </c>
      <c r="F4714" s="199" t="s">
        <v>34861</v>
      </c>
      <c r="G4714" s="1" t="s">
        <v>34862</v>
      </c>
      <c r="H4714" s="200"/>
      <c r="I4714" s="346"/>
      <c r="J4714" s="39">
        <v>118286</v>
      </c>
      <c r="K4714" s="36" t="str">
        <f>CONCATENATE(Cover!$D$6,"fdd/view?i=",J4714)</f>
        <v>https://www.dgiwg.org/FAD/fdd/view?i=118286</v>
      </c>
      <c r="L4714" s="36" t="s">
        <v>34863</v>
      </c>
      <c r="M4714" s="186"/>
      <c r="N4714" s="186"/>
      <c r="O4714" s="172"/>
    </row>
    <row r="4715" spans="1:15" ht="25.5" x14ac:dyDescent="0.2">
      <c r="A4715" s="197" t="str">
        <f t="shared" si="73"/>
        <v>IdtCode_hostageTaking</v>
      </c>
      <c r="B4715" s="409"/>
      <c r="C4715" s="416"/>
      <c r="D4715" s="198" t="s">
        <v>34864</v>
      </c>
      <c r="E4715" s="198">
        <v>12</v>
      </c>
      <c r="F4715" s="199" t="s">
        <v>34865</v>
      </c>
      <c r="G4715" s="1" t="s">
        <v>34866</v>
      </c>
      <c r="H4715" s="1" t="s">
        <v>34867</v>
      </c>
      <c r="I4715" s="346"/>
      <c r="J4715" s="39">
        <v>118284</v>
      </c>
      <c r="K4715" s="36" t="str">
        <f>CONCATENATE(Cover!$D$6,"fdd/view?i=",J4715)</f>
        <v>https://www.dgiwg.org/FAD/fdd/view?i=118284</v>
      </c>
      <c r="L4715" s="36" t="s">
        <v>34868</v>
      </c>
      <c r="M4715" s="186"/>
      <c r="N4715" s="186"/>
      <c r="O4715" s="172"/>
    </row>
    <row r="4716" spans="1:15" ht="63.75" x14ac:dyDescent="0.2">
      <c r="A4716" s="197" t="str">
        <f t="shared" si="73"/>
        <v>IdtCode_improvisedExplosiveDevice</v>
      </c>
      <c r="B4716" s="409"/>
      <c r="C4716" s="416"/>
      <c r="D4716" s="198" t="s">
        <v>34869</v>
      </c>
      <c r="E4716" s="198">
        <v>4</v>
      </c>
      <c r="F4716" s="199" t="s">
        <v>34870</v>
      </c>
      <c r="G4716" s="1" t="s">
        <v>34871</v>
      </c>
      <c r="H4716" s="1" t="s">
        <v>34872</v>
      </c>
      <c r="I4716" s="346"/>
      <c r="J4716" s="39">
        <v>118276</v>
      </c>
      <c r="K4716" s="36" t="str">
        <f>CONCATENATE(Cover!$D$6,"fdd/view?i=",J4716)</f>
        <v>https://www.dgiwg.org/FAD/fdd/view?i=118276</v>
      </c>
      <c r="L4716" s="36" t="s">
        <v>34873</v>
      </c>
      <c r="M4716" s="186"/>
      <c r="N4716" s="186"/>
      <c r="O4716" s="172"/>
    </row>
    <row r="4717" spans="1:15" x14ac:dyDescent="0.2">
      <c r="A4717" s="197" t="str">
        <f t="shared" si="73"/>
        <v>IdtCode_indirectFire</v>
      </c>
      <c r="B4717" s="409"/>
      <c r="C4717" s="416"/>
      <c r="D4717" s="198" t="s">
        <v>34874</v>
      </c>
      <c r="E4717" s="198">
        <v>21</v>
      </c>
      <c r="F4717" s="199" t="s">
        <v>34875</v>
      </c>
      <c r="G4717" s="1" t="s">
        <v>34876</v>
      </c>
      <c r="H4717" s="200"/>
      <c r="I4717" s="346"/>
      <c r="J4717" s="39">
        <v>118515</v>
      </c>
      <c r="K4717" s="36" t="str">
        <f>CONCATENATE(Cover!$D$6,"fdd/view?i=",J4717)</f>
        <v>https://www.dgiwg.org/FAD/fdd/view?i=118515</v>
      </c>
      <c r="L4717" s="36" t="s">
        <v>34877</v>
      </c>
      <c r="M4717" s="186"/>
      <c r="N4717" s="186"/>
      <c r="O4717" s="172"/>
    </row>
    <row r="4718" spans="1:15" ht="38.25" x14ac:dyDescent="0.2">
      <c r="A4718" s="197" t="str">
        <f t="shared" si="73"/>
        <v>IdtCode_landmine</v>
      </c>
      <c r="B4718" s="409"/>
      <c r="C4718" s="416"/>
      <c r="D4718" s="198" t="s">
        <v>34878</v>
      </c>
      <c r="E4718" s="198">
        <v>3</v>
      </c>
      <c r="F4718" s="199" t="s">
        <v>34879</v>
      </c>
      <c r="G4718" s="1" t="s">
        <v>34880</v>
      </c>
      <c r="H4718" s="1" t="s">
        <v>9808</v>
      </c>
      <c r="I4718" s="346"/>
      <c r="J4718" s="39">
        <v>118275</v>
      </c>
      <c r="K4718" s="36" t="str">
        <f>CONCATENATE(Cover!$D$6,"fdd/view?i=",J4718)</f>
        <v>https://www.dgiwg.org/FAD/fdd/view?i=118275</v>
      </c>
      <c r="L4718" s="36" t="s">
        <v>34881</v>
      </c>
      <c r="M4718" s="186"/>
      <c r="N4718" s="186"/>
      <c r="O4718" s="172"/>
    </row>
    <row r="4719" spans="1:15" ht="25.5" x14ac:dyDescent="0.2">
      <c r="A4719" s="197" t="str">
        <f t="shared" si="73"/>
        <v>IdtCode_protest</v>
      </c>
      <c r="B4719" s="409"/>
      <c r="C4719" s="416"/>
      <c r="D4719" s="198" t="s">
        <v>34882</v>
      </c>
      <c r="E4719" s="198">
        <v>18</v>
      </c>
      <c r="F4719" s="199" t="s">
        <v>34883</v>
      </c>
      <c r="G4719" s="1" t="s">
        <v>34884</v>
      </c>
      <c r="H4719" s="200"/>
      <c r="I4719" s="346"/>
      <c r="J4719" s="39">
        <v>118290</v>
      </c>
      <c r="K4719" s="36" t="str">
        <f>CONCATENATE(Cover!$D$6,"fdd/view?i=",J4719)</f>
        <v>https://www.dgiwg.org/FAD/fdd/view?i=118290</v>
      </c>
      <c r="L4719" s="36" t="s">
        <v>34885</v>
      </c>
      <c r="M4719" s="186"/>
      <c r="N4719" s="186"/>
      <c r="O4719" s="172"/>
    </row>
    <row r="4720" spans="1:15" x14ac:dyDescent="0.2">
      <c r="A4720" s="197" t="str">
        <f t="shared" si="73"/>
        <v>IdtCode_ramraiding</v>
      </c>
      <c r="B4720" s="409"/>
      <c r="C4720" s="416"/>
      <c r="D4720" s="198" t="s">
        <v>34886</v>
      </c>
      <c r="E4720" s="198">
        <v>10</v>
      </c>
      <c r="F4720" s="199" t="s">
        <v>34887</v>
      </c>
      <c r="G4720" s="1" t="s">
        <v>34888</v>
      </c>
      <c r="H4720" s="1" t="s">
        <v>34889</v>
      </c>
      <c r="I4720" s="346"/>
      <c r="J4720" s="39">
        <v>118282</v>
      </c>
      <c r="K4720" s="36" t="str">
        <f>CONCATENATE(Cover!$D$6,"fdd/view?i=",J4720)</f>
        <v>https://www.dgiwg.org/FAD/fdd/view?i=118282</v>
      </c>
      <c r="L4720" s="36" t="s">
        <v>34890</v>
      </c>
      <c r="M4720" s="186"/>
      <c r="N4720" s="186"/>
      <c r="O4720" s="172"/>
    </row>
    <row r="4721" spans="1:15" x14ac:dyDescent="0.2">
      <c r="A4721" s="197" t="str">
        <f t="shared" si="73"/>
        <v>IdtCode_riot</v>
      </c>
      <c r="B4721" s="409"/>
      <c r="C4721" s="416"/>
      <c r="D4721" s="198" t="s">
        <v>34891</v>
      </c>
      <c r="E4721" s="198">
        <v>1</v>
      </c>
      <c r="F4721" s="199" t="s">
        <v>34892</v>
      </c>
      <c r="G4721" s="1" t="s">
        <v>34893</v>
      </c>
      <c r="H4721" s="1" t="s">
        <v>34894</v>
      </c>
      <c r="I4721" s="346"/>
      <c r="J4721" s="39">
        <v>118273</v>
      </c>
      <c r="K4721" s="36" t="str">
        <f>CONCATENATE(Cover!$D$6,"fdd/view?i=",J4721)</f>
        <v>https://www.dgiwg.org/FAD/fdd/view?i=118273</v>
      </c>
      <c r="L4721" s="36" t="s">
        <v>34895</v>
      </c>
      <c r="M4721" s="186"/>
      <c r="N4721" s="186"/>
      <c r="O4721" s="172"/>
    </row>
    <row r="4722" spans="1:15" x14ac:dyDescent="0.2">
      <c r="A4722" s="197" t="str">
        <f t="shared" si="73"/>
        <v>IdtCode_sniper</v>
      </c>
      <c r="B4722" s="409"/>
      <c r="C4722" s="416"/>
      <c r="D4722" s="198" t="s">
        <v>34896</v>
      </c>
      <c r="E4722" s="198">
        <v>5</v>
      </c>
      <c r="F4722" s="199" t="s">
        <v>34897</v>
      </c>
      <c r="G4722" s="1" t="s">
        <v>34898</v>
      </c>
      <c r="H4722" s="200"/>
      <c r="I4722" s="346"/>
      <c r="J4722" s="39">
        <v>118277</v>
      </c>
      <c r="K4722" s="36" t="str">
        <f>CONCATENATE(Cover!$D$6,"fdd/view?i=",J4722)</f>
        <v>https://www.dgiwg.org/FAD/fdd/view?i=118277</v>
      </c>
      <c r="L4722" s="36" t="s">
        <v>34899</v>
      </c>
      <c r="M4722" s="186"/>
      <c r="N4722" s="186"/>
      <c r="O4722" s="172"/>
    </row>
    <row r="4723" spans="1:15" ht="25.5" x14ac:dyDescent="0.2">
      <c r="A4723" s="197" t="str">
        <f t="shared" si="73"/>
        <v>IdtCode_suicideBomber</v>
      </c>
      <c r="B4723" s="409"/>
      <c r="C4723" s="416"/>
      <c r="D4723" s="198" t="s">
        <v>34900</v>
      </c>
      <c r="E4723" s="198">
        <v>8</v>
      </c>
      <c r="F4723" s="199" t="s">
        <v>34901</v>
      </c>
      <c r="G4723" s="1" t="s">
        <v>34902</v>
      </c>
      <c r="H4723" s="200"/>
      <c r="I4723" s="346"/>
      <c r="J4723" s="39">
        <v>118280</v>
      </c>
      <c r="K4723" s="36" t="str">
        <f>CONCATENATE(Cover!$D$6,"fdd/view?i=",J4723)</f>
        <v>https://www.dgiwg.org/FAD/fdd/view?i=118280</v>
      </c>
      <c r="L4723" s="36" t="s">
        <v>34903</v>
      </c>
      <c r="M4723" s="186"/>
      <c r="N4723" s="186"/>
      <c r="O4723" s="172"/>
    </row>
    <row r="4724" spans="1:15" ht="25.5" x14ac:dyDescent="0.2">
      <c r="A4724" s="197" t="str">
        <f t="shared" si="73"/>
        <v>IdtCode_terroristAttack</v>
      </c>
      <c r="B4724" s="409"/>
      <c r="C4724" s="416"/>
      <c r="D4724" s="198" t="s">
        <v>34904</v>
      </c>
      <c r="E4724" s="198">
        <v>7</v>
      </c>
      <c r="F4724" s="199" t="s">
        <v>34905</v>
      </c>
      <c r="G4724" s="1" t="s">
        <v>34906</v>
      </c>
      <c r="H4724" s="200"/>
      <c r="I4724" s="346"/>
      <c r="J4724" s="39">
        <v>118279</v>
      </c>
      <c r="K4724" s="36" t="str">
        <f>CONCATENATE(Cover!$D$6,"fdd/view?i=",J4724)</f>
        <v>https://www.dgiwg.org/FAD/fdd/view?i=118279</v>
      </c>
      <c r="L4724" s="36" t="s">
        <v>34907</v>
      </c>
      <c r="M4724" s="186"/>
      <c r="N4724" s="186"/>
      <c r="O4724" s="172"/>
    </row>
    <row r="4725" spans="1:15" ht="25.5" x14ac:dyDescent="0.2">
      <c r="A4725" s="197" t="str">
        <f t="shared" si="73"/>
        <v>IdtCode_tribalConflicts</v>
      </c>
      <c r="B4725" s="409"/>
      <c r="C4725" s="416"/>
      <c r="D4725" s="198" t="s">
        <v>34908</v>
      </c>
      <c r="E4725" s="198">
        <v>6</v>
      </c>
      <c r="F4725" s="199" t="s">
        <v>34909</v>
      </c>
      <c r="G4725" s="1" t="s">
        <v>34910</v>
      </c>
      <c r="H4725" s="1" t="s">
        <v>34911</v>
      </c>
      <c r="I4725" s="346"/>
      <c r="J4725" s="39">
        <v>118278</v>
      </c>
      <c r="K4725" s="36" t="str">
        <f>CONCATENATE(Cover!$D$6,"fdd/view?i=",J4725)</f>
        <v>https://www.dgiwg.org/FAD/fdd/view?i=118278</v>
      </c>
      <c r="L4725" s="36" t="s">
        <v>34912</v>
      </c>
      <c r="M4725" s="186"/>
      <c r="N4725" s="186"/>
      <c r="O4725" s="172"/>
    </row>
    <row r="4726" spans="1:15" ht="25.5" x14ac:dyDescent="0.2">
      <c r="A4726" s="197" t="str">
        <f t="shared" si="73"/>
        <v>IdtCode_utilityDisruption</v>
      </c>
      <c r="B4726" s="409"/>
      <c r="C4726" s="416"/>
      <c r="D4726" s="198" t="s">
        <v>34917</v>
      </c>
      <c r="E4726" s="198">
        <v>15</v>
      </c>
      <c r="F4726" s="199" t="s">
        <v>34918</v>
      </c>
      <c r="G4726" s="1" t="s">
        <v>34919</v>
      </c>
      <c r="H4726" s="1" t="s">
        <v>34920</v>
      </c>
      <c r="I4726" s="346"/>
      <c r="J4726" s="39">
        <v>118287</v>
      </c>
      <c r="K4726" s="36" t="str">
        <f>CONCATENATE(Cover!$D$6,"fdd/view?i=",J4726)</f>
        <v>https://www.dgiwg.org/FAD/fdd/view?i=118287</v>
      </c>
      <c r="L4726" s="36" t="s">
        <v>34921</v>
      </c>
      <c r="M4726" s="186"/>
      <c r="N4726" s="186"/>
      <c r="O4726" s="172"/>
    </row>
    <row r="4727" spans="1:15" ht="25.5" x14ac:dyDescent="0.2">
      <c r="A4727" s="197" t="str">
        <f t="shared" si="73"/>
        <v>IdtCode_uXO</v>
      </c>
      <c r="B4727" s="409"/>
      <c r="C4727" s="416"/>
      <c r="D4727" s="198" t="s">
        <v>34913</v>
      </c>
      <c r="E4727" s="198">
        <v>22</v>
      </c>
      <c r="F4727" s="199" t="s">
        <v>34914</v>
      </c>
      <c r="G4727" s="1" t="s">
        <v>34915</v>
      </c>
      <c r="H4727" s="200"/>
      <c r="I4727" s="346"/>
      <c r="J4727" s="39">
        <v>118516</v>
      </c>
      <c r="K4727" s="36" t="str">
        <f>CONCATENATE(Cover!$D$6,"fdd/view?i=",J4727)</f>
        <v>https://www.dgiwg.org/FAD/fdd/view?i=118516</v>
      </c>
      <c r="L4727" s="36" t="s">
        <v>34916</v>
      </c>
      <c r="M4727" s="186"/>
      <c r="N4727" s="186"/>
      <c r="O4727" s="172"/>
    </row>
    <row r="4728" spans="1:15" x14ac:dyDescent="0.2">
      <c r="A4728" s="197" t="str">
        <f t="shared" si="73"/>
        <v>IdtCode_vandalism</v>
      </c>
      <c r="B4728" s="409"/>
      <c r="C4728" s="416"/>
      <c r="D4728" s="198" t="s">
        <v>34922</v>
      </c>
      <c r="E4728" s="198">
        <v>9</v>
      </c>
      <c r="F4728" s="199" t="s">
        <v>34923</v>
      </c>
      <c r="G4728" s="1" t="s">
        <v>34924</v>
      </c>
      <c r="H4728" s="200"/>
      <c r="I4728" s="346"/>
      <c r="J4728" s="39">
        <v>118281</v>
      </c>
      <c r="K4728" s="36" t="str">
        <f>CONCATENATE(Cover!$D$6,"fdd/view?i=",J4728)</f>
        <v>https://www.dgiwg.org/FAD/fdd/view?i=118281</v>
      </c>
      <c r="L4728" s="36" t="s">
        <v>34925</v>
      </c>
      <c r="M4728" s="186"/>
      <c r="N4728" s="186"/>
      <c r="O4728" s="172"/>
    </row>
    <row r="4729" spans="1:15" ht="25.5" x14ac:dyDescent="0.2">
      <c r="A4729" s="203" t="str">
        <f t="shared" si="73"/>
        <v>IdtCode_waterContamination</v>
      </c>
      <c r="B4729" s="410"/>
      <c r="C4729" s="417"/>
      <c r="D4729" s="204" t="s">
        <v>34926</v>
      </c>
      <c r="E4729" s="204">
        <v>16</v>
      </c>
      <c r="F4729" s="205" t="s">
        <v>34927</v>
      </c>
      <c r="G4729" s="206" t="s">
        <v>34928</v>
      </c>
      <c r="H4729" s="207"/>
      <c r="I4729" s="347"/>
      <c r="J4729" s="39">
        <v>118288</v>
      </c>
      <c r="K4729" s="36" t="str">
        <f>CONCATENATE(Cover!$D$6,"fdd/view?i=",J4729)</f>
        <v>https://www.dgiwg.org/FAD/fdd/view?i=118288</v>
      </c>
      <c r="L4729" s="36" t="s">
        <v>34929</v>
      </c>
      <c r="M4729" s="186"/>
      <c r="N4729" s="186"/>
      <c r="O4729" s="172"/>
    </row>
    <row r="4730" spans="1:15" x14ac:dyDescent="0.2">
      <c r="A4730" s="190" t="str">
        <f t="shared" si="73"/>
        <v>HwtCode_cathedral</v>
      </c>
      <c r="B4730" s="414" t="str">
        <f>HYPERLINK("[#]Datatypes!A694:L694","HwtCode")</f>
        <v>HwtCode</v>
      </c>
      <c r="C4730" s="415" t="s">
        <v>15270</v>
      </c>
      <c r="D4730" s="221" t="s">
        <v>34930</v>
      </c>
      <c r="E4730" s="221">
        <v>2</v>
      </c>
      <c r="F4730" s="222" t="s">
        <v>34931</v>
      </c>
      <c r="G4730" s="223" t="s">
        <v>34932</v>
      </c>
      <c r="H4730" s="224"/>
      <c r="I4730" s="345"/>
      <c r="J4730" s="39">
        <v>104316</v>
      </c>
      <c r="K4730" s="36" t="str">
        <f>CONCATENATE(Cover!$D$6,"fdd/view?i=",J4730)</f>
        <v>https://www.dgiwg.org/FAD/fdd/view?i=104316</v>
      </c>
      <c r="L4730" s="36" t="s">
        <v>34933</v>
      </c>
      <c r="M4730" s="186"/>
      <c r="N4730" s="186"/>
      <c r="O4730" s="172"/>
    </row>
    <row r="4731" spans="1:15" ht="38.25" x14ac:dyDescent="0.2">
      <c r="A4731" s="197" t="str">
        <f t="shared" si="73"/>
        <v>HwtCode_chapel</v>
      </c>
      <c r="B4731" s="409"/>
      <c r="C4731" s="416"/>
      <c r="D4731" s="198" t="s">
        <v>34934</v>
      </c>
      <c r="E4731" s="198">
        <v>3</v>
      </c>
      <c r="F4731" s="199" t="s">
        <v>34935</v>
      </c>
      <c r="G4731" s="1" t="s">
        <v>34936</v>
      </c>
      <c r="H4731" s="200"/>
      <c r="I4731" s="346"/>
      <c r="J4731" s="39">
        <v>104317</v>
      </c>
      <c r="K4731" s="36" t="str">
        <f>CONCATENATE(Cover!$D$6,"fdd/view?i=",J4731)</f>
        <v>https://www.dgiwg.org/FAD/fdd/view?i=104317</v>
      </c>
      <c r="L4731" s="36" t="s">
        <v>34937</v>
      </c>
      <c r="M4731" s="186"/>
      <c r="N4731" s="186"/>
      <c r="O4731" s="172"/>
    </row>
    <row r="4732" spans="1:15" ht="25.5" x14ac:dyDescent="0.2">
      <c r="A4732" s="197" t="str">
        <f t="shared" si="73"/>
        <v>HwtCode_church</v>
      </c>
      <c r="B4732" s="409"/>
      <c r="C4732" s="416"/>
      <c r="D4732" s="198" t="s">
        <v>34938</v>
      </c>
      <c r="E4732" s="198">
        <v>4</v>
      </c>
      <c r="F4732" s="199" t="s">
        <v>34939</v>
      </c>
      <c r="G4732" s="1" t="s">
        <v>34940</v>
      </c>
      <c r="H4732" s="200"/>
      <c r="I4732" s="346"/>
      <c r="J4732" s="39">
        <v>104318</v>
      </c>
      <c r="K4732" s="36" t="str">
        <f>CONCATENATE(Cover!$D$6,"fdd/view?i=",J4732)</f>
        <v>https://www.dgiwg.org/FAD/fdd/view?i=104318</v>
      </c>
      <c r="L4732" s="36" t="s">
        <v>34941</v>
      </c>
      <c r="M4732" s="186"/>
      <c r="N4732" s="186"/>
      <c r="O4732" s="172"/>
    </row>
    <row r="4733" spans="1:15" x14ac:dyDescent="0.2">
      <c r="A4733" s="197" t="str">
        <f t="shared" si="73"/>
        <v>HwtCode_marabout</v>
      </c>
      <c r="B4733" s="409"/>
      <c r="C4733" s="416"/>
      <c r="D4733" s="198" t="s">
        <v>34942</v>
      </c>
      <c r="E4733" s="198">
        <v>5</v>
      </c>
      <c r="F4733" s="199" t="s">
        <v>34943</v>
      </c>
      <c r="G4733" s="1" t="s">
        <v>34944</v>
      </c>
      <c r="H4733" s="200"/>
      <c r="I4733" s="346"/>
      <c r="J4733" s="39">
        <v>104319</v>
      </c>
      <c r="K4733" s="36" t="str">
        <f>CONCATENATE(Cover!$D$6,"fdd/view?i=",J4733)</f>
        <v>https://www.dgiwg.org/FAD/fdd/view?i=104319</v>
      </c>
      <c r="L4733" s="36" t="s">
        <v>34945</v>
      </c>
      <c r="M4733" s="186"/>
      <c r="N4733" s="186"/>
      <c r="O4733" s="172"/>
    </row>
    <row r="4734" spans="1:15" ht="38.25" x14ac:dyDescent="0.2">
      <c r="A4734" s="197" t="str">
        <f t="shared" si="73"/>
        <v>HwtCode_minaret</v>
      </c>
      <c r="B4734" s="409"/>
      <c r="C4734" s="416"/>
      <c r="D4734" s="198" t="s">
        <v>24637</v>
      </c>
      <c r="E4734" s="198">
        <v>6</v>
      </c>
      <c r="F4734" s="199" t="s">
        <v>24638</v>
      </c>
      <c r="G4734" s="1" t="s">
        <v>34946</v>
      </c>
      <c r="H4734" s="200"/>
      <c r="I4734" s="346"/>
      <c r="J4734" s="39">
        <v>104320</v>
      </c>
      <c r="K4734" s="36" t="str">
        <f>CONCATENATE(Cover!$D$6,"fdd/view?i=",J4734)</f>
        <v>https://www.dgiwg.org/FAD/fdd/view?i=104320</v>
      </c>
      <c r="L4734" s="36" t="s">
        <v>34947</v>
      </c>
      <c r="M4734" s="186"/>
      <c r="N4734" s="186"/>
      <c r="O4734" s="172"/>
    </row>
    <row r="4735" spans="1:15" x14ac:dyDescent="0.2">
      <c r="A4735" s="197" t="str">
        <f t="shared" si="73"/>
        <v>HwtCode_mosque</v>
      </c>
      <c r="B4735" s="409"/>
      <c r="C4735" s="416"/>
      <c r="D4735" s="198" t="s">
        <v>34948</v>
      </c>
      <c r="E4735" s="198">
        <v>9</v>
      </c>
      <c r="F4735" s="199" t="s">
        <v>34949</v>
      </c>
      <c r="G4735" s="1" t="s">
        <v>34950</v>
      </c>
      <c r="H4735" s="200"/>
      <c r="I4735" s="351" t="s">
        <v>34951</v>
      </c>
      <c r="J4735" s="39">
        <v>104322</v>
      </c>
      <c r="K4735" s="36" t="str">
        <f>CONCATENATE(Cover!$D$6,"fdd/view?i=",J4735)</f>
        <v>https://www.dgiwg.org/FAD/fdd/view?i=104322</v>
      </c>
      <c r="L4735" s="36" t="s">
        <v>34952</v>
      </c>
      <c r="M4735" s="186"/>
      <c r="N4735" s="186"/>
      <c r="O4735" s="172"/>
    </row>
    <row r="4736" spans="1:15" ht="38.25" x14ac:dyDescent="0.2">
      <c r="A4736" s="197" t="str">
        <f t="shared" si="73"/>
        <v>HwtCode_pagoda</v>
      </c>
      <c r="B4736" s="409"/>
      <c r="C4736" s="416"/>
      <c r="D4736" s="198" t="s">
        <v>34953</v>
      </c>
      <c r="E4736" s="198">
        <v>11</v>
      </c>
      <c r="F4736" s="199" t="s">
        <v>34954</v>
      </c>
      <c r="G4736" s="1" t="s">
        <v>34955</v>
      </c>
      <c r="H4736" s="200"/>
      <c r="I4736" s="346"/>
      <c r="J4736" s="39">
        <v>104323</v>
      </c>
      <c r="K4736" s="36" t="str">
        <f>CONCATENATE(Cover!$D$6,"fdd/view?i=",J4736)</f>
        <v>https://www.dgiwg.org/FAD/fdd/view?i=104323</v>
      </c>
      <c r="L4736" s="36" t="s">
        <v>34956</v>
      </c>
      <c r="M4736" s="186"/>
      <c r="N4736" s="186"/>
      <c r="O4736" s="172"/>
    </row>
    <row r="4737" spans="1:15" ht="25.5" x14ac:dyDescent="0.2">
      <c r="A4737" s="197" t="str">
        <f t="shared" si="73"/>
        <v>HwtCode_religiousCommunity</v>
      </c>
      <c r="B4737" s="409"/>
      <c r="C4737" s="416"/>
      <c r="D4737" s="198" t="s">
        <v>34957</v>
      </c>
      <c r="E4737" s="198">
        <v>7</v>
      </c>
      <c r="F4737" s="199" t="s">
        <v>34958</v>
      </c>
      <c r="G4737" s="1" t="s">
        <v>34959</v>
      </c>
      <c r="H4737" s="1" t="s">
        <v>34960</v>
      </c>
      <c r="I4737" s="346"/>
      <c r="J4737" s="39">
        <v>104321</v>
      </c>
      <c r="K4737" s="36" t="str">
        <f>CONCATENATE(Cover!$D$6,"fdd/view?i=",J4737)</f>
        <v>https://www.dgiwg.org/FAD/fdd/view?i=104321</v>
      </c>
      <c r="L4737" s="36" t="s">
        <v>34961</v>
      </c>
      <c r="M4737" s="186"/>
      <c r="N4737" s="186"/>
      <c r="O4737" s="172"/>
    </row>
    <row r="4738" spans="1:15" x14ac:dyDescent="0.2">
      <c r="A4738" s="197" t="str">
        <f t="shared" ref="A4738:A4801" si="74">HYPERLINK(K4738,L4738)</f>
        <v>HwtCode_shrine</v>
      </c>
      <c r="B4738" s="409"/>
      <c r="C4738" s="416"/>
      <c r="D4738" s="198" t="s">
        <v>34962</v>
      </c>
      <c r="E4738" s="198">
        <v>14</v>
      </c>
      <c r="F4738" s="199" t="s">
        <v>34963</v>
      </c>
      <c r="G4738" s="1" t="s">
        <v>34964</v>
      </c>
      <c r="H4738" s="200"/>
      <c r="I4738" s="346"/>
      <c r="J4738" s="39">
        <v>104324</v>
      </c>
      <c r="K4738" s="36" t="str">
        <f>CONCATENATE(Cover!$D$6,"fdd/view?i=",J4738)</f>
        <v>https://www.dgiwg.org/FAD/fdd/view?i=104324</v>
      </c>
      <c r="L4738" s="36" t="s">
        <v>34965</v>
      </c>
      <c r="M4738" s="186"/>
      <c r="N4738" s="186"/>
      <c r="O4738" s="172"/>
    </row>
    <row r="4739" spans="1:15" ht="25.5" x14ac:dyDescent="0.2">
      <c r="A4739" s="197" t="str">
        <f t="shared" si="74"/>
        <v>HwtCode_stupa</v>
      </c>
      <c r="B4739" s="409"/>
      <c r="C4739" s="416"/>
      <c r="D4739" s="198" t="s">
        <v>34966</v>
      </c>
      <c r="E4739" s="198">
        <v>21</v>
      </c>
      <c r="F4739" s="199" t="s">
        <v>34967</v>
      </c>
      <c r="G4739" s="1" t="s">
        <v>34968</v>
      </c>
      <c r="H4739" s="200"/>
      <c r="I4739" s="346"/>
      <c r="J4739" s="39">
        <v>104328</v>
      </c>
      <c r="K4739" s="36" t="str">
        <f>CONCATENATE(Cover!$D$6,"fdd/view?i=",J4739)</f>
        <v>https://www.dgiwg.org/FAD/fdd/view?i=104328</v>
      </c>
      <c r="L4739" s="36" t="s">
        <v>34969</v>
      </c>
      <c r="M4739" s="186"/>
      <c r="N4739" s="186"/>
      <c r="O4739" s="172"/>
    </row>
    <row r="4740" spans="1:15" x14ac:dyDescent="0.2">
      <c r="A4740" s="197" t="str">
        <f t="shared" si="74"/>
        <v>HwtCode_synagogue</v>
      </c>
      <c r="B4740" s="409"/>
      <c r="C4740" s="416"/>
      <c r="D4740" s="198" t="s">
        <v>34970</v>
      </c>
      <c r="E4740" s="198">
        <v>20</v>
      </c>
      <c r="F4740" s="199" t="s">
        <v>34971</v>
      </c>
      <c r="G4740" s="1" t="s">
        <v>34972</v>
      </c>
      <c r="H4740" s="200"/>
      <c r="I4740" s="346"/>
      <c r="J4740" s="39">
        <v>104327</v>
      </c>
      <c r="K4740" s="36" t="str">
        <f>CONCATENATE(Cover!$D$6,"fdd/view?i=",J4740)</f>
        <v>https://www.dgiwg.org/FAD/fdd/view?i=104327</v>
      </c>
      <c r="L4740" s="36" t="s">
        <v>34973</v>
      </c>
      <c r="M4740" s="186"/>
      <c r="N4740" s="186"/>
      <c r="O4740" s="172"/>
    </row>
    <row r="4741" spans="1:15" x14ac:dyDescent="0.2">
      <c r="A4741" s="197" t="str">
        <f t="shared" si="74"/>
        <v>HwtCode_tabernacle</v>
      </c>
      <c r="B4741" s="409"/>
      <c r="C4741" s="416"/>
      <c r="D4741" s="198" t="s">
        <v>34974</v>
      </c>
      <c r="E4741" s="198">
        <v>15</v>
      </c>
      <c r="F4741" s="199" t="s">
        <v>34975</v>
      </c>
      <c r="G4741" s="1" t="s">
        <v>34976</v>
      </c>
      <c r="H4741" s="200"/>
      <c r="I4741" s="346"/>
      <c r="J4741" s="39">
        <v>104325</v>
      </c>
      <c r="K4741" s="36" t="str">
        <f>CONCATENATE(Cover!$D$6,"fdd/view?i=",J4741)</f>
        <v>https://www.dgiwg.org/FAD/fdd/view?i=104325</v>
      </c>
      <c r="L4741" s="36" t="s">
        <v>34977</v>
      </c>
      <c r="M4741" s="186"/>
      <c r="N4741" s="186"/>
      <c r="O4741" s="172"/>
    </row>
    <row r="4742" spans="1:15" ht="25.5" x14ac:dyDescent="0.2">
      <c r="A4742" s="203" t="str">
        <f t="shared" si="74"/>
        <v>HwtCode_temple</v>
      </c>
      <c r="B4742" s="410"/>
      <c r="C4742" s="417"/>
      <c r="D4742" s="204" t="s">
        <v>34978</v>
      </c>
      <c r="E4742" s="204">
        <v>16</v>
      </c>
      <c r="F4742" s="205" t="s">
        <v>34979</v>
      </c>
      <c r="G4742" s="206" t="s">
        <v>34980</v>
      </c>
      <c r="H4742" s="207"/>
      <c r="I4742" s="347"/>
      <c r="J4742" s="39">
        <v>104326</v>
      </c>
      <c r="K4742" s="36" t="str">
        <f>CONCATENATE(Cover!$D$6,"fdd/view?i=",J4742)</f>
        <v>https://www.dgiwg.org/FAD/fdd/view?i=104326</v>
      </c>
      <c r="L4742" s="36" t="s">
        <v>34981</v>
      </c>
      <c r="M4742" s="186"/>
      <c r="N4742" s="186"/>
      <c r="O4742" s="172"/>
    </row>
    <row r="4743" spans="1:15" ht="25.5" x14ac:dyDescent="0.2">
      <c r="A4743" s="190" t="str">
        <f t="shared" si="74"/>
        <v>HlkCode_accommodation</v>
      </c>
      <c r="B4743" s="414" t="str">
        <f>HYPERLINK("[#]Datatypes!A696:L696","HlkCode")</f>
        <v>HlkCode</v>
      </c>
      <c r="C4743" s="415" t="s">
        <v>15272</v>
      </c>
      <c r="D4743" s="221" t="s">
        <v>30391</v>
      </c>
      <c r="E4743" s="221">
        <v>4</v>
      </c>
      <c r="F4743" s="222" t="s">
        <v>30392</v>
      </c>
      <c r="G4743" s="223" t="s">
        <v>34982</v>
      </c>
      <c r="H4743" s="223" t="s">
        <v>34983</v>
      </c>
      <c r="I4743" s="345"/>
      <c r="J4743" s="39">
        <v>104056</v>
      </c>
      <c r="K4743" s="36" t="str">
        <f>CONCATENATE(Cover!$D$6,"fdd/view?i=",J4743)</f>
        <v>https://www.dgiwg.org/FAD/fdd/view?i=104056</v>
      </c>
      <c r="L4743" s="36" t="s">
        <v>34984</v>
      </c>
      <c r="M4743" s="186"/>
      <c r="N4743" s="186"/>
      <c r="O4743" s="172"/>
    </row>
    <row r="4744" spans="1:15" ht="38.25" x14ac:dyDescent="0.2">
      <c r="A4744" s="197" t="str">
        <f t="shared" si="74"/>
        <v>HlkCode_casino</v>
      </c>
      <c r="B4744" s="409"/>
      <c r="C4744" s="416"/>
      <c r="D4744" s="198" t="s">
        <v>34985</v>
      </c>
      <c r="E4744" s="198">
        <v>6</v>
      </c>
      <c r="F4744" s="199" t="s">
        <v>34986</v>
      </c>
      <c r="G4744" s="1" t="s">
        <v>34987</v>
      </c>
      <c r="H4744" s="200"/>
      <c r="I4744" s="346"/>
      <c r="J4744" s="39">
        <v>110205</v>
      </c>
      <c r="K4744" s="36" t="str">
        <f>CONCATENATE(Cover!$D$6,"fdd/view?i=",J4744)</f>
        <v>https://www.dgiwg.org/FAD/fdd/view?i=110205</v>
      </c>
      <c r="L4744" s="36" t="s">
        <v>34988</v>
      </c>
      <c r="M4744" s="186"/>
      <c r="N4744" s="186"/>
      <c r="O4744" s="172"/>
    </row>
    <row r="4745" spans="1:15" ht="25.5" x14ac:dyDescent="0.2">
      <c r="A4745" s="197" t="str">
        <f t="shared" si="74"/>
        <v>HlkCode_derelict</v>
      </c>
      <c r="B4745" s="409"/>
      <c r="C4745" s="416"/>
      <c r="D4745" s="198" t="s">
        <v>34989</v>
      </c>
      <c r="E4745" s="198">
        <v>11</v>
      </c>
      <c r="F4745" s="199" t="s">
        <v>34990</v>
      </c>
      <c r="G4745" s="1" t="s">
        <v>34991</v>
      </c>
      <c r="H4745" s="1" t="s">
        <v>34992</v>
      </c>
      <c r="I4745" s="346"/>
      <c r="J4745" s="39">
        <v>112753</v>
      </c>
      <c r="K4745" s="36" t="str">
        <f>CONCATENATE(Cover!$D$6,"fdd/view?i=",J4745)</f>
        <v>https://www.dgiwg.org/FAD/fdd/view?i=112753</v>
      </c>
      <c r="L4745" s="36" t="s">
        <v>34993</v>
      </c>
      <c r="M4745" s="186"/>
      <c r="N4745" s="186"/>
      <c r="O4745" s="172"/>
    </row>
    <row r="4746" spans="1:15" ht="25.5" x14ac:dyDescent="0.2">
      <c r="A4746" s="197" t="str">
        <f t="shared" si="74"/>
        <v>HlkCode_floatingBreakwater</v>
      </c>
      <c r="B4746" s="409"/>
      <c r="C4746" s="416"/>
      <c r="D4746" s="198" t="s">
        <v>34994</v>
      </c>
      <c r="E4746" s="198">
        <v>5</v>
      </c>
      <c r="F4746" s="199" t="s">
        <v>34995</v>
      </c>
      <c r="G4746" s="1" t="s">
        <v>34996</v>
      </c>
      <c r="H4746" s="200"/>
      <c r="I4746" s="346"/>
      <c r="J4746" s="39">
        <v>104057</v>
      </c>
      <c r="K4746" s="36" t="str">
        <f>CONCATENATE(Cover!$D$6,"fdd/view?i=",J4746)</f>
        <v>https://www.dgiwg.org/FAD/fdd/view?i=104057</v>
      </c>
      <c r="L4746" s="36" t="s">
        <v>34997</v>
      </c>
      <c r="M4746" s="186"/>
      <c r="N4746" s="186"/>
      <c r="O4746" s="172"/>
    </row>
    <row r="4747" spans="1:15" ht="25.5" x14ac:dyDescent="0.2">
      <c r="A4747" s="197" t="str">
        <f t="shared" si="74"/>
        <v>HlkCode_floatingRestaurant</v>
      </c>
      <c r="B4747" s="409"/>
      <c r="C4747" s="416"/>
      <c r="D4747" s="198" t="s">
        <v>34998</v>
      </c>
      <c r="E4747" s="198">
        <v>1</v>
      </c>
      <c r="F4747" s="199" t="s">
        <v>34999</v>
      </c>
      <c r="G4747" s="1" t="s">
        <v>35000</v>
      </c>
      <c r="H4747" s="200"/>
      <c r="I4747" s="346"/>
      <c r="J4747" s="39">
        <v>104053</v>
      </c>
      <c r="K4747" s="36" t="str">
        <f>CONCATENATE(Cover!$D$6,"fdd/view?i=",J4747)</f>
        <v>https://www.dgiwg.org/FAD/fdd/view?i=104053</v>
      </c>
      <c r="L4747" s="36" t="s">
        <v>35001</v>
      </c>
      <c r="M4747" s="186"/>
      <c r="N4747" s="186"/>
      <c r="O4747" s="172"/>
    </row>
    <row r="4748" spans="1:15" ht="25.5" x14ac:dyDescent="0.2">
      <c r="A4748" s="197" t="str">
        <f t="shared" si="74"/>
        <v>HlkCode_historicShip</v>
      </c>
      <c r="B4748" s="409"/>
      <c r="C4748" s="416"/>
      <c r="D4748" s="198" t="s">
        <v>35002</v>
      </c>
      <c r="E4748" s="198">
        <v>2</v>
      </c>
      <c r="F4748" s="199" t="s">
        <v>35003</v>
      </c>
      <c r="G4748" s="1" t="s">
        <v>35004</v>
      </c>
      <c r="H4748" s="200"/>
      <c r="I4748" s="346"/>
      <c r="J4748" s="39">
        <v>104054</v>
      </c>
      <c r="K4748" s="36" t="str">
        <f>CONCATENATE(Cover!$D$6,"fdd/view?i=",J4748)</f>
        <v>https://www.dgiwg.org/FAD/fdd/view?i=104054</v>
      </c>
      <c r="L4748" s="36" t="s">
        <v>35005</v>
      </c>
      <c r="M4748" s="186"/>
      <c r="N4748" s="186"/>
      <c r="O4748" s="172"/>
    </row>
    <row r="4749" spans="1:15" ht="38.25" x14ac:dyDescent="0.2">
      <c r="A4749" s="197" t="str">
        <f t="shared" si="74"/>
        <v>HlkCode_hospital</v>
      </c>
      <c r="B4749" s="409"/>
      <c r="C4749" s="416"/>
      <c r="D4749" s="198" t="s">
        <v>34762</v>
      </c>
      <c r="E4749" s="198">
        <v>9</v>
      </c>
      <c r="F4749" s="199" t="s">
        <v>34763</v>
      </c>
      <c r="G4749" s="1" t="s">
        <v>35006</v>
      </c>
      <c r="H4749" s="200"/>
      <c r="I4749" s="346"/>
      <c r="J4749" s="39">
        <v>110208</v>
      </c>
      <c r="K4749" s="36" t="str">
        <f>CONCATENATE(Cover!$D$6,"fdd/view?i=",J4749)</f>
        <v>https://www.dgiwg.org/FAD/fdd/view?i=110208</v>
      </c>
      <c r="L4749" s="36" t="s">
        <v>35007</v>
      </c>
      <c r="M4749" s="186"/>
      <c r="N4749" s="186"/>
      <c r="O4749" s="172"/>
    </row>
    <row r="4750" spans="1:15" ht="51" x14ac:dyDescent="0.2">
      <c r="A4750" s="197" t="str">
        <f t="shared" si="74"/>
        <v>HlkCode_hotel</v>
      </c>
      <c r="B4750" s="409"/>
      <c r="C4750" s="416"/>
      <c r="D4750" s="198" t="s">
        <v>23131</v>
      </c>
      <c r="E4750" s="198">
        <v>7</v>
      </c>
      <c r="F4750" s="199" t="s">
        <v>23132</v>
      </c>
      <c r="G4750" s="1" t="s">
        <v>35008</v>
      </c>
      <c r="H4750" s="200"/>
      <c r="I4750" s="346"/>
      <c r="J4750" s="39">
        <v>110206</v>
      </c>
      <c r="K4750" s="36" t="str">
        <f>CONCATENATE(Cover!$D$6,"fdd/view?i=",J4750)</f>
        <v>https://www.dgiwg.org/FAD/fdd/view?i=110206</v>
      </c>
      <c r="L4750" s="36" t="s">
        <v>35009</v>
      </c>
      <c r="M4750" s="186"/>
      <c r="N4750" s="186"/>
      <c r="O4750" s="172"/>
    </row>
    <row r="4751" spans="1:15" ht="25.5" x14ac:dyDescent="0.2">
      <c r="A4751" s="197" t="str">
        <f t="shared" si="74"/>
        <v>HlkCode_museum</v>
      </c>
      <c r="B4751" s="409"/>
      <c r="C4751" s="416"/>
      <c r="D4751" s="198" t="s">
        <v>27791</v>
      </c>
      <c r="E4751" s="198">
        <v>3</v>
      </c>
      <c r="F4751" s="199" t="s">
        <v>27792</v>
      </c>
      <c r="G4751" s="1" t="s">
        <v>35010</v>
      </c>
      <c r="H4751" s="200"/>
      <c r="I4751" s="346"/>
      <c r="J4751" s="39">
        <v>104055</v>
      </c>
      <c r="K4751" s="36" t="str">
        <f>CONCATENATE(Cover!$D$6,"fdd/view?i=",J4751)</f>
        <v>https://www.dgiwg.org/FAD/fdd/view?i=104055</v>
      </c>
      <c r="L4751" s="36" t="s">
        <v>35011</v>
      </c>
      <c r="M4751" s="186"/>
      <c r="N4751" s="186"/>
      <c r="O4751" s="172"/>
    </row>
    <row r="4752" spans="1:15" ht="25.5" x14ac:dyDescent="0.2">
      <c r="A4752" s="197" t="str">
        <f t="shared" si="74"/>
        <v>HlkCode_storage</v>
      </c>
      <c r="B4752" s="409"/>
      <c r="C4752" s="416"/>
      <c r="D4752" s="198" t="s">
        <v>35012</v>
      </c>
      <c r="E4752" s="198">
        <v>8</v>
      </c>
      <c r="F4752" s="199" t="s">
        <v>35013</v>
      </c>
      <c r="G4752" s="1" t="s">
        <v>35014</v>
      </c>
      <c r="H4752" s="200"/>
      <c r="I4752" s="346"/>
      <c r="J4752" s="39">
        <v>110207</v>
      </c>
      <c r="K4752" s="36" t="str">
        <f>CONCATENATE(Cover!$D$6,"fdd/view?i=",J4752)</f>
        <v>https://www.dgiwg.org/FAD/fdd/view?i=110207</v>
      </c>
      <c r="L4752" s="36" t="s">
        <v>35015</v>
      </c>
      <c r="M4752" s="186"/>
      <c r="N4752" s="186"/>
      <c r="O4752" s="172"/>
    </row>
    <row r="4753" spans="1:15" ht="25.5" x14ac:dyDescent="0.2">
      <c r="A4753" s="203" t="str">
        <f t="shared" si="74"/>
        <v>HlkCode_temporaryHousing</v>
      </c>
      <c r="B4753" s="410"/>
      <c r="C4753" s="417"/>
      <c r="D4753" s="204" t="s">
        <v>35016</v>
      </c>
      <c r="E4753" s="204">
        <v>10</v>
      </c>
      <c r="F4753" s="205" t="s">
        <v>35017</v>
      </c>
      <c r="G4753" s="206" t="s">
        <v>35018</v>
      </c>
      <c r="H4753" s="206" t="s">
        <v>35019</v>
      </c>
      <c r="I4753" s="347"/>
      <c r="J4753" s="39">
        <v>110209</v>
      </c>
      <c r="K4753" s="36" t="str">
        <f>CONCATENATE(Cover!$D$6,"fdd/view?i=",J4753)</f>
        <v>https://www.dgiwg.org/FAD/fdd/view?i=110209</v>
      </c>
      <c r="L4753" s="36" t="s">
        <v>35020</v>
      </c>
      <c r="M4753" s="186"/>
      <c r="N4753" s="186"/>
      <c r="O4753" s="172"/>
    </row>
    <row r="4754" spans="1:15" ht="38.25" x14ac:dyDescent="0.2">
      <c r="A4754" s="190" t="str">
        <f t="shared" si="74"/>
        <v>DneCode_developing</v>
      </c>
      <c r="B4754" s="414" t="str">
        <f>HYPERLINK("[#]Datatypes!A698:L698","DneCode")</f>
        <v>DneCode</v>
      </c>
      <c r="C4754" s="415" t="s">
        <v>15274</v>
      </c>
      <c r="D4754" s="221" t="s">
        <v>35021</v>
      </c>
      <c r="E4754" s="221">
        <v>4</v>
      </c>
      <c r="F4754" s="222" t="s">
        <v>35022</v>
      </c>
      <c r="G4754" s="223" t="s">
        <v>35023</v>
      </c>
      <c r="H4754" s="224"/>
      <c r="I4754" s="345"/>
      <c r="J4754" s="39">
        <v>113119</v>
      </c>
      <c r="K4754" s="36" t="str">
        <f>CONCATENATE(Cover!$D$6,"fdd/view?i=",J4754)</f>
        <v>https://www.dgiwg.org/FAD/fdd/view?i=113119</v>
      </c>
      <c r="L4754" s="36" t="s">
        <v>35024</v>
      </c>
      <c r="M4754" s="186"/>
      <c r="N4754" s="186"/>
      <c r="O4754" s="172"/>
    </row>
    <row r="4755" spans="1:15" ht="25.5" x14ac:dyDescent="0.2">
      <c r="A4755" s="197" t="str">
        <f t="shared" si="74"/>
        <v>DneCode_highDevelopment</v>
      </c>
      <c r="B4755" s="409"/>
      <c r="C4755" s="416"/>
      <c r="D4755" s="198" t="s">
        <v>35025</v>
      </c>
      <c r="E4755" s="198">
        <v>2</v>
      </c>
      <c r="F4755" s="199" t="s">
        <v>35026</v>
      </c>
      <c r="G4755" s="1" t="s">
        <v>35027</v>
      </c>
      <c r="H4755" s="200"/>
      <c r="I4755" s="346"/>
      <c r="J4755" s="39">
        <v>113117</v>
      </c>
      <c r="K4755" s="36" t="str">
        <f>CONCATENATE(Cover!$D$6,"fdd/view?i=",J4755)</f>
        <v>https://www.dgiwg.org/FAD/fdd/view?i=113117</v>
      </c>
      <c r="L4755" s="36" t="s">
        <v>35028</v>
      </c>
      <c r="M4755" s="186"/>
      <c r="N4755" s="186"/>
      <c r="O4755" s="172"/>
    </row>
    <row r="4756" spans="1:15" ht="25.5" x14ac:dyDescent="0.2">
      <c r="A4756" s="197" t="str">
        <f t="shared" si="74"/>
        <v>DneCode_highestDevelopment</v>
      </c>
      <c r="B4756" s="409"/>
      <c r="C4756" s="416"/>
      <c r="D4756" s="198" t="s">
        <v>35029</v>
      </c>
      <c r="E4756" s="198">
        <v>1</v>
      </c>
      <c r="F4756" s="199" t="s">
        <v>35030</v>
      </c>
      <c r="G4756" s="1" t="s">
        <v>35031</v>
      </c>
      <c r="H4756" s="200"/>
      <c r="I4756" s="346"/>
      <c r="J4756" s="39">
        <v>113116</v>
      </c>
      <c r="K4756" s="36" t="str">
        <f>CONCATENATE(Cover!$D$6,"fdd/view?i=",J4756)</f>
        <v>https://www.dgiwg.org/FAD/fdd/view?i=113116</v>
      </c>
      <c r="L4756" s="36" t="s">
        <v>35032</v>
      </c>
      <c r="M4756" s="186"/>
      <c r="N4756" s="186"/>
      <c r="O4756" s="172"/>
    </row>
    <row r="4757" spans="1:15" ht="38.25" x14ac:dyDescent="0.2">
      <c r="A4757" s="197" t="str">
        <f t="shared" si="74"/>
        <v>DneCode_lowDevelopment</v>
      </c>
      <c r="B4757" s="409"/>
      <c r="C4757" s="416"/>
      <c r="D4757" s="198" t="s">
        <v>35033</v>
      </c>
      <c r="E4757" s="198">
        <v>5</v>
      </c>
      <c r="F4757" s="199" t="s">
        <v>35034</v>
      </c>
      <c r="G4757" s="1" t="s">
        <v>35035</v>
      </c>
      <c r="H4757" s="200"/>
      <c r="I4757" s="346"/>
      <c r="J4757" s="39">
        <v>113120</v>
      </c>
      <c r="K4757" s="36" t="str">
        <f>CONCATENATE(Cover!$D$6,"fdd/view?i=",J4757)</f>
        <v>https://www.dgiwg.org/FAD/fdd/view?i=113120</v>
      </c>
      <c r="L4757" s="36" t="s">
        <v>35036</v>
      </c>
      <c r="M4757" s="186"/>
      <c r="N4757" s="186"/>
      <c r="O4757" s="172"/>
    </row>
    <row r="4758" spans="1:15" ht="25.5" x14ac:dyDescent="0.2">
      <c r="A4758" s="203" t="str">
        <f t="shared" si="74"/>
        <v>DneCode_rapidDevelopment</v>
      </c>
      <c r="B4758" s="410"/>
      <c r="C4758" s="417"/>
      <c r="D4758" s="204" t="s">
        <v>35037</v>
      </c>
      <c r="E4758" s="204">
        <v>3</v>
      </c>
      <c r="F4758" s="205" t="s">
        <v>35038</v>
      </c>
      <c r="G4758" s="206" t="s">
        <v>35039</v>
      </c>
      <c r="H4758" s="207"/>
      <c r="I4758" s="347"/>
      <c r="J4758" s="39">
        <v>113118</v>
      </c>
      <c r="K4758" s="36" t="str">
        <f>CONCATENATE(Cover!$D$6,"fdd/view?i=",J4758)</f>
        <v>https://www.dgiwg.org/FAD/fdd/view?i=113118</v>
      </c>
      <c r="L4758" s="36" t="s">
        <v>35040</v>
      </c>
      <c r="M4758" s="186"/>
      <c r="N4758" s="186"/>
      <c r="O4758" s="172"/>
    </row>
    <row r="4759" spans="1:15" ht="25.5" x14ac:dyDescent="0.2">
      <c r="A4759" s="190" t="str">
        <f t="shared" si="74"/>
        <v>HhaCode_abrasion</v>
      </c>
      <c r="B4759" s="414" t="str">
        <f>HYPERLINK("[#]Datatypes!A700:L700","HhaCode")</f>
        <v>HhaCode</v>
      </c>
      <c r="C4759" s="415" t="s">
        <v>15276</v>
      </c>
      <c r="D4759" s="221" t="s">
        <v>34083</v>
      </c>
      <c r="E4759" s="221">
        <v>1</v>
      </c>
      <c r="F4759" s="222" t="s">
        <v>34084</v>
      </c>
      <c r="G4759" s="223" t="s">
        <v>35041</v>
      </c>
      <c r="H4759" s="224"/>
      <c r="I4759" s="345"/>
      <c r="J4759" s="39">
        <v>117917</v>
      </c>
      <c r="K4759" s="36" t="str">
        <f>CONCATENATE(Cover!$D$6,"fdd/view?i=",J4759)</f>
        <v>https://www.dgiwg.org/FAD/fdd/view?i=117917</v>
      </c>
      <c r="L4759" s="36" t="s">
        <v>35042</v>
      </c>
      <c r="M4759" s="186"/>
      <c r="N4759" s="186"/>
      <c r="O4759" s="172"/>
    </row>
    <row r="4760" spans="1:15" ht="63.75" x14ac:dyDescent="0.2">
      <c r="A4760" s="197" t="str">
        <f t="shared" si="74"/>
        <v>HhaCode_biological</v>
      </c>
      <c r="B4760" s="409"/>
      <c r="C4760" s="416"/>
      <c r="D4760" s="198" t="s">
        <v>35043</v>
      </c>
      <c r="E4760" s="198">
        <v>2</v>
      </c>
      <c r="F4760" s="199" t="s">
        <v>35044</v>
      </c>
      <c r="G4760" s="1" t="s">
        <v>35045</v>
      </c>
      <c r="H4760" s="1" t="s">
        <v>35046</v>
      </c>
      <c r="I4760" s="346"/>
      <c r="J4760" s="39">
        <v>117918</v>
      </c>
      <c r="K4760" s="36" t="str">
        <f>CONCATENATE(Cover!$D$6,"fdd/view?i=",J4760)</f>
        <v>https://www.dgiwg.org/FAD/fdd/view?i=117918</v>
      </c>
      <c r="L4760" s="36" t="s">
        <v>35047</v>
      </c>
      <c r="M4760" s="186"/>
      <c r="N4760" s="186"/>
      <c r="O4760" s="172"/>
    </row>
    <row r="4761" spans="1:15" ht="38.25" x14ac:dyDescent="0.2">
      <c r="A4761" s="197" t="str">
        <f t="shared" si="74"/>
        <v>HhaCode_drowning</v>
      </c>
      <c r="B4761" s="409"/>
      <c r="C4761" s="416"/>
      <c r="D4761" s="198" t="s">
        <v>35048</v>
      </c>
      <c r="E4761" s="198">
        <v>3</v>
      </c>
      <c r="F4761" s="199" t="s">
        <v>35049</v>
      </c>
      <c r="G4761" s="1" t="s">
        <v>35050</v>
      </c>
      <c r="H4761" s="200"/>
      <c r="I4761" s="346"/>
      <c r="J4761" s="39">
        <v>117919</v>
      </c>
      <c r="K4761" s="36" t="str">
        <f>CONCATENATE(Cover!$D$6,"fdd/view?i=",J4761)</f>
        <v>https://www.dgiwg.org/FAD/fdd/view?i=117919</v>
      </c>
      <c r="L4761" s="36" t="s">
        <v>35051</v>
      </c>
      <c r="M4761" s="186"/>
      <c r="N4761" s="186"/>
      <c r="O4761" s="172"/>
    </row>
    <row r="4762" spans="1:15" ht="25.5" x14ac:dyDescent="0.2">
      <c r="A4762" s="197" t="str">
        <f t="shared" si="74"/>
        <v>HhaCode_entanglement</v>
      </c>
      <c r="B4762" s="409"/>
      <c r="C4762" s="416"/>
      <c r="D4762" s="198" t="s">
        <v>35052</v>
      </c>
      <c r="E4762" s="198">
        <v>4</v>
      </c>
      <c r="F4762" s="199" t="s">
        <v>35053</v>
      </c>
      <c r="G4762" s="1" t="s">
        <v>35054</v>
      </c>
      <c r="H4762" s="200"/>
      <c r="I4762" s="346"/>
      <c r="J4762" s="39">
        <v>117920</v>
      </c>
      <c r="K4762" s="36" t="str">
        <f>CONCATENATE(Cover!$D$6,"fdd/view?i=",J4762)</f>
        <v>https://www.dgiwg.org/FAD/fdd/view?i=117920</v>
      </c>
      <c r="L4762" s="36" t="s">
        <v>35055</v>
      </c>
      <c r="M4762" s="186"/>
      <c r="N4762" s="186"/>
      <c r="O4762" s="172"/>
    </row>
    <row r="4763" spans="1:15" ht="25.5" x14ac:dyDescent="0.2">
      <c r="A4763" s="197" t="str">
        <f t="shared" si="74"/>
        <v>HhaCode_puncture</v>
      </c>
      <c r="B4763" s="409"/>
      <c r="C4763" s="416"/>
      <c r="D4763" s="198" t="s">
        <v>35056</v>
      </c>
      <c r="E4763" s="198">
        <v>5</v>
      </c>
      <c r="F4763" s="199" t="s">
        <v>35057</v>
      </c>
      <c r="G4763" s="1" t="s">
        <v>35058</v>
      </c>
      <c r="H4763" s="200"/>
      <c r="I4763" s="346"/>
      <c r="J4763" s="39">
        <v>117921</v>
      </c>
      <c r="K4763" s="36" t="str">
        <f>CONCATENATE(Cover!$D$6,"fdd/view?i=",J4763)</f>
        <v>https://www.dgiwg.org/FAD/fdd/view?i=117921</v>
      </c>
      <c r="L4763" s="36" t="s">
        <v>35059</v>
      </c>
      <c r="M4763" s="186"/>
      <c r="N4763" s="186"/>
      <c r="O4763" s="172"/>
    </row>
    <row r="4764" spans="1:15" ht="25.5" x14ac:dyDescent="0.2">
      <c r="A4764" s="203" t="str">
        <f t="shared" si="74"/>
        <v>HhaCode_slipping</v>
      </c>
      <c r="B4764" s="410"/>
      <c r="C4764" s="417"/>
      <c r="D4764" s="204" t="s">
        <v>35060</v>
      </c>
      <c r="E4764" s="204">
        <v>6</v>
      </c>
      <c r="F4764" s="205" t="s">
        <v>35061</v>
      </c>
      <c r="G4764" s="206" t="s">
        <v>35062</v>
      </c>
      <c r="H4764" s="206" t="s">
        <v>35063</v>
      </c>
      <c r="I4764" s="347"/>
      <c r="J4764" s="39">
        <v>117922</v>
      </c>
      <c r="K4764" s="36" t="str">
        <f>CONCATENATE(Cover!$D$6,"fdd/view?i=",J4764)</f>
        <v>https://www.dgiwg.org/FAD/fdd/view?i=117922</v>
      </c>
      <c r="L4764" s="36" t="s">
        <v>35064</v>
      </c>
      <c r="M4764" s="186"/>
      <c r="N4764" s="186"/>
      <c r="O4764" s="172"/>
    </row>
    <row r="4765" spans="1:15" ht="102" x14ac:dyDescent="0.2">
      <c r="A4765" s="212" t="str">
        <f t="shared" si="74"/>
        <v>HraCode_americanRedCross</v>
      </c>
      <c r="B4765" s="213" t="str">
        <f>HYPERLINK("[#]Datatypes!A702:L702","HraCode")</f>
        <v>HraCode</v>
      </c>
      <c r="C4765" s="214" t="s">
        <v>15278</v>
      </c>
      <c r="D4765" s="240" t="s">
        <v>35065</v>
      </c>
      <c r="E4765" s="240">
        <v>1</v>
      </c>
      <c r="F4765" s="241" t="s">
        <v>35066</v>
      </c>
      <c r="G4765" s="242" t="s">
        <v>35067</v>
      </c>
      <c r="H4765" s="242" t="s">
        <v>35068</v>
      </c>
      <c r="I4765" s="355"/>
      <c r="J4765" s="39">
        <v>119155</v>
      </c>
      <c r="K4765" s="36" t="str">
        <f>CONCATENATE(Cover!$D$6,"fdd/view?i=",J4765)</f>
        <v>https://www.dgiwg.org/FAD/fdd/view?i=119155</v>
      </c>
      <c r="L4765" s="36" t="s">
        <v>35069</v>
      </c>
      <c r="M4765" s="186"/>
      <c r="N4765" s="186"/>
      <c r="O4765" s="172"/>
    </row>
    <row r="4766" spans="1:15" ht="25.5" x14ac:dyDescent="0.2">
      <c r="A4766" s="190" t="str">
        <f t="shared" si="74"/>
        <v>HbrCode_highestHighWater</v>
      </c>
      <c r="B4766" s="414" t="str">
        <f>HYPERLINK("[#]Datatypes!A704:L704","HbrCode")</f>
        <v>HbrCode</v>
      </c>
      <c r="C4766" s="415" t="s">
        <v>15280</v>
      </c>
      <c r="D4766" s="221" t="s">
        <v>35070</v>
      </c>
      <c r="E4766" s="221">
        <v>28</v>
      </c>
      <c r="F4766" s="222" t="s">
        <v>35071</v>
      </c>
      <c r="G4766" s="223" t="s">
        <v>35072</v>
      </c>
      <c r="H4766" s="224"/>
      <c r="I4766" s="345"/>
      <c r="J4766" s="39">
        <v>117915</v>
      </c>
      <c r="K4766" s="36" t="str">
        <f>CONCATENATE(Cover!$D$6,"fdd/view?i=",J4766)</f>
        <v>https://www.dgiwg.org/FAD/fdd/view?i=117915</v>
      </c>
      <c r="L4766" s="36" t="s">
        <v>35073</v>
      </c>
      <c r="M4766" s="186"/>
      <c r="N4766" s="186"/>
      <c r="O4766" s="172"/>
    </row>
    <row r="4767" spans="1:15" ht="25.5" x14ac:dyDescent="0.2">
      <c r="A4767" s="197" t="str">
        <f t="shared" si="74"/>
        <v>HbrCode_indianSpringHighWater</v>
      </c>
      <c r="B4767" s="409"/>
      <c r="C4767" s="416"/>
      <c r="D4767" s="198" t="s">
        <v>35074</v>
      </c>
      <c r="E4767" s="198">
        <v>30</v>
      </c>
      <c r="F4767" s="199" t="s">
        <v>35075</v>
      </c>
      <c r="G4767" s="1" t="s">
        <v>35076</v>
      </c>
      <c r="H4767" s="200"/>
      <c r="I4767" s="346"/>
      <c r="J4767" s="39">
        <v>117916</v>
      </c>
      <c r="K4767" s="36" t="str">
        <f>CONCATENATE(Cover!$D$6,"fdd/view?i=",J4767)</f>
        <v>https://www.dgiwg.org/FAD/fdd/view?i=117916</v>
      </c>
      <c r="L4767" s="36" t="s">
        <v>35077</v>
      </c>
      <c r="M4767" s="186"/>
      <c r="N4767" s="186"/>
      <c r="O4767" s="172"/>
    </row>
    <row r="4768" spans="1:15" ht="25.5" x14ac:dyDescent="0.2">
      <c r="A4768" s="197" t="str">
        <f t="shared" si="74"/>
        <v>HbrCode_meanHigherHighWater</v>
      </c>
      <c r="B4768" s="409"/>
      <c r="C4768" s="416"/>
      <c r="D4768" s="198" t="s">
        <v>35086</v>
      </c>
      <c r="E4768" s="198">
        <v>10</v>
      </c>
      <c r="F4768" s="199" t="s">
        <v>35087</v>
      </c>
      <c r="G4768" s="1" t="s">
        <v>35088</v>
      </c>
      <c r="H4768" s="200"/>
      <c r="I4768" s="346"/>
      <c r="J4768" s="39">
        <v>117912</v>
      </c>
      <c r="K4768" s="36" t="str">
        <f>CONCATENATE(Cover!$D$6,"fdd/view?i=",J4768)</f>
        <v>https://www.dgiwg.org/FAD/fdd/view?i=117912</v>
      </c>
      <c r="L4768" s="36" t="s">
        <v>35089</v>
      </c>
      <c r="M4768" s="186"/>
      <c r="N4768" s="186"/>
      <c r="O4768" s="172"/>
    </row>
    <row r="4769" spans="1:15" ht="25.5" x14ac:dyDescent="0.2">
      <c r="A4769" s="197" t="str">
        <f t="shared" si="74"/>
        <v>HbrCode_meanHigherHighWaterSprings</v>
      </c>
      <c r="B4769" s="409"/>
      <c r="C4769" s="416"/>
      <c r="D4769" s="198" t="s">
        <v>35090</v>
      </c>
      <c r="E4769" s="198">
        <v>24</v>
      </c>
      <c r="F4769" s="199" t="s">
        <v>35091</v>
      </c>
      <c r="G4769" s="1" t="s">
        <v>35092</v>
      </c>
      <c r="H4769" s="200"/>
      <c r="I4769" s="346"/>
      <c r="J4769" s="39">
        <v>117914</v>
      </c>
      <c r="K4769" s="36" t="str">
        <f>CONCATENATE(Cover!$D$6,"fdd/view?i=",J4769)</f>
        <v>https://www.dgiwg.org/FAD/fdd/view?i=117914</v>
      </c>
      <c r="L4769" s="36" t="s">
        <v>35093</v>
      </c>
      <c r="M4769" s="186"/>
      <c r="N4769" s="186"/>
      <c r="O4769" s="172"/>
    </row>
    <row r="4770" spans="1:15" ht="25.5" x14ac:dyDescent="0.2">
      <c r="A4770" s="197" t="str">
        <f t="shared" si="74"/>
        <v>HbrCode_meanHighWater</v>
      </c>
      <c r="B4770" s="409"/>
      <c r="C4770" s="416"/>
      <c r="D4770" s="198" t="s">
        <v>35078</v>
      </c>
      <c r="E4770" s="198">
        <v>7</v>
      </c>
      <c r="F4770" s="199" t="s">
        <v>35079</v>
      </c>
      <c r="G4770" s="1" t="s">
        <v>35080</v>
      </c>
      <c r="H4770" s="200"/>
      <c r="I4770" s="346"/>
      <c r="J4770" s="39">
        <v>117910</v>
      </c>
      <c r="K4770" s="36" t="str">
        <f>CONCATENATE(Cover!$D$6,"fdd/view?i=",J4770)</f>
        <v>https://www.dgiwg.org/FAD/fdd/view?i=117910</v>
      </c>
      <c r="L4770" s="36" t="s">
        <v>35081</v>
      </c>
      <c r="M4770" s="186"/>
      <c r="N4770" s="186"/>
      <c r="O4770" s="172"/>
    </row>
    <row r="4771" spans="1:15" ht="25.5" x14ac:dyDescent="0.2">
      <c r="A4771" s="197" t="str">
        <f t="shared" si="74"/>
        <v>HbrCode_meanHighWaterSprings</v>
      </c>
      <c r="B4771" s="409"/>
      <c r="C4771" s="416"/>
      <c r="D4771" s="198" t="s">
        <v>35082</v>
      </c>
      <c r="E4771" s="198">
        <v>9</v>
      </c>
      <c r="F4771" s="199" t="s">
        <v>35083</v>
      </c>
      <c r="G4771" s="1" t="s">
        <v>35084</v>
      </c>
      <c r="H4771" s="200"/>
      <c r="I4771" s="346"/>
      <c r="J4771" s="39">
        <v>117911</v>
      </c>
      <c r="K4771" s="36" t="str">
        <f>CONCATENATE(Cover!$D$6,"fdd/view?i=",J4771)</f>
        <v>https://www.dgiwg.org/FAD/fdd/view?i=117911</v>
      </c>
      <c r="L4771" s="36" t="s">
        <v>35085</v>
      </c>
      <c r="M4771" s="186"/>
      <c r="N4771" s="186"/>
      <c r="O4771" s="172"/>
    </row>
    <row r="4772" spans="1:15" ht="25.5" x14ac:dyDescent="0.2">
      <c r="A4772" s="203" t="str">
        <f t="shared" si="74"/>
        <v>HbrCode_meanSeaLevel</v>
      </c>
      <c r="B4772" s="410"/>
      <c r="C4772" s="417"/>
      <c r="D4772" s="204" t="s">
        <v>35094</v>
      </c>
      <c r="E4772" s="204">
        <v>15</v>
      </c>
      <c r="F4772" s="205" t="s">
        <v>35095</v>
      </c>
      <c r="G4772" s="206" t="s">
        <v>35096</v>
      </c>
      <c r="H4772" s="207"/>
      <c r="I4772" s="347"/>
      <c r="J4772" s="39">
        <v>117913</v>
      </c>
      <c r="K4772" s="36" t="str">
        <f>CONCATENATE(Cover!$D$6,"fdd/view?i=",J4772)</f>
        <v>https://www.dgiwg.org/FAD/fdd/view?i=117913</v>
      </c>
      <c r="L4772" s="36" t="s">
        <v>35097</v>
      </c>
      <c r="M4772" s="186"/>
      <c r="N4772" s="186"/>
      <c r="O4772" s="172"/>
    </row>
    <row r="4773" spans="1:15" ht="25.5" x14ac:dyDescent="0.2">
      <c r="A4773" s="190" t="str">
        <f t="shared" si="74"/>
        <v>NscCode_ialaRegionA</v>
      </c>
      <c r="B4773" s="414" t="str">
        <f>HYPERLINK("[#]Datatypes!A706:L706","NscCode")</f>
        <v>NscCode</v>
      </c>
      <c r="C4773" s="415" t="s">
        <v>15282</v>
      </c>
      <c r="D4773" s="221" t="s">
        <v>35098</v>
      </c>
      <c r="E4773" s="221">
        <v>2</v>
      </c>
      <c r="F4773" s="222" t="s">
        <v>35099</v>
      </c>
      <c r="G4773" s="223" t="s">
        <v>35100</v>
      </c>
      <c r="H4773" s="224"/>
      <c r="I4773" s="345"/>
      <c r="J4773" s="39">
        <v>106074</v>
      </c>
      <c r="K4773" s="36" t="str">
        <f>CONCATENATE(Cover!$D$6,"fdd/view?i=",J4773)</f>
        <v>https://www.dgiwg.org/FAD/fdd/view?i=106074</v>
      </c>
      <c r="L4773" s="36" t="s">
        <v>35101</v>
      </c>
      <c r="M4773" s="186"/>
      <c r="N4773" s="186"/>
      <c r="O4773" s="172"/>
    </row>
    <row r="4774" spans="1:15" ht="25.5" x14ac:dyDescent="0.2">
      <c r="A4774" s="197" t="str">
        <f t="shared" si="74"/>
        <v>NscCode_ialaRegionB</v>
      </c>
      <c r="B4774" s="409"/>
      <c r="C4774" s="416"/>
      <c r="D4774" s="198" t="s">
        <v>35102</v>
      </c>
      <c r="E4774" s="198">
        <v>3</v>
      </c>
      <c r="F4774" s="199" t="s">
        <v>35103</v>
      </c>
      <c r="G4774" s="1" t="s">
        <v>35104</v>
      </c>
      <c r="H4774" s="200"/>
      <c r="I4774" s="346"/>
      <c r="J4774" s="39">
        <v>106075</v>
      </c>
      <c r="K4774" s="36" t="str">
        <f>CONCATENATE(Cover!$D$6,"fdd/view?i=",J4774)</f>
        <v>https://www.dgiwg.org/FAD/fdd/view?i=106075</v>
      </c>
      <c r="L4774" s="36" t="s">
        <v>35105</v>
      </c>
      <c r="M4774" s="186"/>
      <c r="N4774" s="186"/>
      <c r="O4774" s="172"/>
    </row>
    <row r="4775" spans="1:15" x14ac:dyDescent="0.2">
      <c r="A4775" s="197" t="str">
        <f t="shared" si="74"/>
        <v>NscCode_noSystem</v>
      </c>
      <c r="B4775" s="409"/>
      <c r="C4775" s="416"/>
      <c r="D4775" s="198" t="s">
        <v>35106</v>
      </c>
      <c r="E4775" s="198">
        <v>10</v>
      </c>
      <c r="F4775" s="199" t="s">
        <v>35107</v>
      </c>
      <c r="G4775" s="1" t="s">
        <v>35108</v>
      </c>
      <c r="H4775" s="200"/>
      <c r="I4775" s="346"/>
      <c r="J4775" s="39">
        <v>106082</v>
      </c>
      <c r="K4775" s="36" t="str">
        <f>CONCATENATE(Cover!$D$6,"fdd/view?i=",J4775)</f>
        <v>https://www.dgiwg.org/FAD/fdd/view?i=106082</v>
      </c>
      <c r="L4775" s="36" t="s">
        <v>35109</v>
      </c>
      <c r="M4775" s="186"/>
      <c r="N4775" s="186"/>
      <c r="O4775" s="172"/>
    </row>
    <row r="4776" spans="1:15" ht="25.5" x14ac:dyDescent="0.2">
      <c r="A4776" s="197" t="str">
        <f t="shared" si="74"/>
        <v>NscCode_signi</v>
      </c>
      <c r="B4776" s="409"/>
      <c r="C4776" s="416"/>
      <c r="D4776" s="198" t="s">
        <v>35110</v>
      </c>
      <c r="E4776" s="198">
        <v>6</v>
      </c>
      <c r="F4776" s="199" t="s">
        <v>35111</v>
      </c>
      <c r="G4776" s="1" t="s">
        <v>35112</v>
      </c>
      <c r="H4776" s="1" t="s">
        <v>35113</v>
      </c>
      <c r="I4776" s="346"/>
      <c r="J4776" s="39">
        <v>106078</v>
      </c>
      <c r="K4776" s="36" t="str">
        <f>CONCATENATE(Cover!$D$6,"fdd/view?i=",J4776)</f>
        <v>https://www.dgiwg.org/FAD/fdd/view?i=106078</v>
      </c>
      <c r="L4776" s="36" t="s">
        <v>35114</v>
      </c>
      <c r="M4776" s="186"/>
      <c r="N4776" s="186"/>
      <c r="O4776" s="172"/>
    </row>
    <row r="4777" spans="1:15" ht="51" x14ac:dyDescent="0.2">
      <c r="A4777" s="197" t="str">
        <f t="shared" si="74"/>
        <v>NscCode_usIntracoastalWaterway</v>
      </c>
      <c r="B4777" s="409"/>
      <c r="C4777" s="416"/>
      <c r="D4777" s="198" t="s">
        <v>35115</v>
      </c>
      <c r="E4777" s="198">
        <v>7</v>
      </c>
      <c r="F4777" s="199" t="s">
        <v>35116</v>
      </c>
      <c r="G4777" s="1" t="s">
        <v>35117</v>
      </c>
      <c r="H4777" s="200"/>
      <c r="I4777" s="346"/>
      <c r="J4777" s="39">
        <v>106079</v>
      </c>
      <c r="K4777" s="36" t="str">
        <f>CONCATENATE(Cover!$D$6,"fdd/view?i=",J4777)</f>
        <v>https://www.dgiwg.org/FAD/fdd/view?i=106079</v>
      </c>
      <c r="L4777" s="36" t="s">
        <v>35118</v>
      </c>
      <c r="M4777" s="186"/>
      <c r="N4777" s="186"/>
      <c r="O4777" s="172"/>
    </row>
    <row r="4778" spans="1:15" ht="25.5" x14ac:dyDescent="0.2">
      <c r="A4778" s="197" t="str">
        <f t="shared" si="74"/>
        <v>NscCode_usUniformState</v>
      </c>
      <c r="B4778" s="409"/>
      <c r="C4778" s="416"/>
      <c r="D4778" s="198" t="s">
        <v>35119</v>
      </c>
      <c r="E4778" s="198">
        <v>8</v>
      </c>
      <c r="F4778" s="199" t="s">
        <v>35120</v>
      </c>
      <c r="G4778" s="1" t="s">
        <v>35121</v>
      </c>
      <c r="H4778" s="200"/>
      <c r="I4778" s="346"/>
      <c r="J4778" s="39">
        <v>106080</v>
      </c>
      <c r="K4778" s="36" t="str">
        <f>CONCATENATE(Cover!$D$6,"fdd/view?i=",J4778)</f>
        <v>https://www.dgiwg.org/FAD/fdd/view?i=106080</v>
      </c>
      <c r="L4778" s="36" t="s">
        <v>35122</v>
      </c>
      <c r="M4778" s="186"/>
      <c r="N4778" s="186"/>
      <c r="O4778" s="172"/>
    </row>
    <row r="4779" spans="1:15" ht="25.5" x14ac:dyDescent="0.2">
      <c r="A4779" s="203" t="str">
        <f t="shared" si="74"/>
        <v>NscCode_usWesternRivers</v>
      </c>
      <c r="B4779" s="410"/>
      <c r="C4779" s="417"/>
      <c r="D4779" s="204" t="s">
        <v>35123</v>
      </c>
      <c r="E4779" s="204">
        <v>9</v>
      </c>
      <c r="F4779" s="205" t="s">
        <v>35124</v>
      </c>
      <c r="G4779" s="206" t="s">
        <v>35125</v>
      </c>
      <c r="H4779" s="207"/>
      <c r="I4779" s="347"/>
      <c r="J4779" s="39">
        <v>106081</v>
      </c>
      <c r="K4779" s="36" t="str">
        <f>CONCATENATE(Cover!$D$6,"fdd/view?i=",J4779)</f>
        <v>https://www.dgiwg.org/FAD/fdd/view?i=106081</v>
      </c>
      <c r="L4779" s="36" t="s">
        <v>35126</v>
      </c>
      <c r="M4779" s="186"/>
      <c r="N4779" s="186"/>
      <c r="O4779" s="172"/>
    </row>
    <row r="4780" spans="1:15" ht="38.25" x14ac:dyDescent="0.2">
      <c r="A4780" s="190" t="str">
        <f t="shared" si="74"/>
        <v>HypCode_dry</v>
      </c>
      <c r="B4780" s="414" t="str">
        <f>HYPERLINK("[#]Datatypes!A708:L708","HypCode")</f>
        <v>HypCode</v>
      </c>
      <c r="C4780" s="415" t="s">
        <v>15284</v>
      </c>
      <c r="D4780" s="221" t="s">
        <v>35127</v>
      </c>
      <c r="E4780" s="221">
        <v>4</v>
      </c>
      <c r="F4780" s="222" t="s">
        <v>35128</v>
      </c>
      <c r="G4780" s="223" t="s">
        <v>35129</v>
      </c>
      <c r="H4780" s="223" t="s">
        <v>35130</v>
      </c>
      <c r="I4780" s="345"/>
      <c r="J4780" s="39">
        <v>104345</v>
      </c>
      <c r="K4780" s="36" t="str">
        <f>CONCATENATE(Cover!$D$6,"fdd/view?i=",J4780)</f>
        <v>https://www.dgiwg.org/FAD/fdd/view?i=104345</v>
      </c>
      <c r="L4780" s="36" t="s">
        <v>35131</v>
      </c>
      <c r="M4780" s="186"/>
      <c r="N4780" s="186"/>
      <c r="O4780" s="172"/>
    </row>
    <row r="4781" spans="1:15" x14ac:dyDescent="0.2">
      <c r="A4781" s="197" t="str">
        <f t="shared" si="74"/>
        <v>HypCode_ephemeral</v>
      </c>
      <c r="B4781" s="409"/>
      <c r="C4781" s="416"/>
      <c r="D4781" s="198" t="s">
        <v>35132</v>
      </c>
      <c r="E4781" s="198">
        <v>3</v>
      </c>
      <c r="F4781" s="199" t="s">
        <v>35133</v>
      </c>
      <c r="G4781" s="1" t="s">
        <v>35134</v>
      </c>
      <c r="H4781" s="200"/>
      <c r="I4781" s="346"/>
      <c r="J4781" s="39">
        <v>104344</v>
      </c>
      <c r="K4781" s="36" t="str">
        <f>CONCATENATE(Cover!$D$6,"fdd/view?i=",J4781)</f>
        <v>https://www.dgiwg.org/FAD/fdd/view?i=104344</v>
      </c>
      <c r="L4781" s="36" t="s">
        <v>35135</v>
      </c>
      <c r="M4781" s="186"/>
      <c r="N4781" s="186"/>
      <c r="O4781" s="172"/>
    </row>
    <row r="4782" spans="1:15" x14ac:dyDescent="0.2">
      <c r="A4782" s="197" t="str">
        <f t="shared" si="74"/>
        <v>HypCode_intermittent</v>
      </c>
      <c r="B4782" s="409"/>
      <c r="C4782" s="416"/>
      <c r="D4782" s="198" t="s">
        <v>20227</v>
      </c>
      <c r="E4782" s="198">
        <v>2</v>
      </c>
      <c r="F4782" s="199" t="s">
        <v>20228</v>
      </c>
      <c r="G4782" s="1" t="s">
        <v>35136</v>
      </c>
      <c r="H4782" s="200"/>
      <c r="I4782" s="346"/>
      <c r="J4782" s="39">
        <v>104343</v>
      </c>
      <c r="K4782" s="36" t="str">
        <f>CONCATENATE(Cover!$D$6,"fdd/view?i=",J4782)</f>
        <v>https://www.dgiwg.org/FAD/fdd/view?i=104343</v>
      </c>
      <c r="L4782" s="36" t="s">
        <v>35137</v>
      </c>
      <c r="M4782" s="186"/>
      <c r="N4782" s="186"/>
      <c r="O4782" s="172"/>
    </row>
    <row r="4783" spans="1:15" ht="25.5" x14ac:dyDescent="0.2">
      <c r="A4783" s="203" t="str">
        <f t="shared" si="74"/>
        <v>HypCode_perennial</v>
      </c>
      <c r="B4783" s="410"/>
      <c r="C4783" s="417"/>
      <c r="D4783" s="204" t="s">
        <v>35138</v>
      </c>
      <c r="E4783" s="204">
        <v>1</v>
      </c>
      <c r="F4783" s="205" t="s">
        <v>35139</v>
      </c>
      <c r="G4783" s="206" t="s">
        <v>35140</v>
      </c>
      <c r="H4783" s="207"/>
      <c r="I4783" s="347"/>
      <c r="J4783" s="39">
        <v>104342</v>
      </c>
      <c r="K4783" s="36" t="str">
        <f>CONCATENATE(Cover!$D$6,"fdd/view?i=",J4783)</f>
        <v>https://www.dgiwg.org/FAD/fdd/view?i=104342</v>
      </c>
      <c r="L4783" s="36" t="s">
        <v>35141</v>
      </c>
      <c r="M4783" s="186"/>
      <c r="N4783" s="186"/>
      <c r="O4783" s="172"/>
    </row>
    <row r="4784" spans="1:15" ht="25.5" x14ac:dyDescent="0.2">
      <c r="A4784" s="190" t="str">
        <f t="shared" si="74"/>
        <v>RetCode_hyperbolicAboveBottom</v>
      </c>
      <c r="B4784" s="414" t="str">
        <f>HYPERLINK("[#]Datatypes!A710:L710","RetCode")</f>
        <v>RetCode</v>
      </c>
      <c r="C4784" s="415" t="s">
        <v>15286</v>
      </c>
      <c r="D4784" s="221" t="s">
        <v>35142</v>
      </c>
      <c r="E4784" s="221">
        <v>3</v>
      </c>
      <c r="F4784" s="222" t="s">
        <v>35143</v>
      </c>
      <c r="G4784" s="223" t="s">
        <v>35144</v>
      </c>
      <c r="H4784" s="224"/>
      <c r="I4784" s="345"/>
      <c r="J4784" s="39">
        <v>111264</v>
      </c>
      <c r="K4784" s="36" t="str">
        <f>CONCATENATE(Cover!$D$6,"fdd/view?i=",J4784)</f>
        <v>https://www.dgiwg.org/FAD/fdd/view?i=111264</v>
      </c>
      <c r="L4784" s="36" t="s">
        <v>35145</v>
      </c>
      <c r="M4784" s="186"/>
      <c r="N4784" s="186"/>
      <c r="O4784" s="172"/>
    </row>
    <row r="4785" spans="1:15" ht="25.5" x14ac:dyDescent="0.2">
      <c r="A4785" s="197" t="str">
        <f t="shared" si="74"/>
        <v>RetCode_hyperbolicAtBottom</v>
      </c>
      <c r="B4785" s="409"/>
      <c r="C4785" s="416"/>
      <c r="D4785" s="198" t="s">
        <v>35146</v>
      </c>
      <c r="E4785" s="198">
        <v>1</v>
      </c>
      <c r="F4785" s="199" t="s">
        <v>35147</v>
      </c>
      <c r="G4785" s="1" t="s">
        <v>35148</v>
      </c>
      <c r="H4785" s="200"/>
      <c r="I4785" s="346"/>
      <c r="J4785" s="39">
        <v>107141</v>
      </c>
      <c r="K4785" s="36" t="str">
        <f>CONCATENATE(Cover!$D$6,"fdd/view?i=",J4785)</f>
        <v>https://www.dgiwg.org/FAD/fdd/view?i=107141</v>
      </c>
      <c r="L4785" s="36" t="s">
        <v>35149</v>
      </c>
      <c r="M4785" s="186"/>
      <c r="N4785" s="186"/>
      <c r="O4785" s="172"/>
    </row>
    <row r="4786" spans="1:15" ht="25.5" x14ac:dyDescent="0.2">
      <c r="A4786" s="203" t="str">
        <f t="shared" si="74"/>
        <v>RetCode_hyperbolicBelowBottom</v>
      </c>
      <c r="B4786" s="410"/>
      <c r="C4786" s="417"/>
      <c r="D4786" s="204" t="s">
        <v>35150</v>
      </c>
      <c r="E4786" s="204">
        <v>2</v>
      </c>
      <c r="F4786" s="205" t="s">
        <v>35151</v>
      </c>
      <c r="G4786" s="206" t="s">
        <v>35152</v>
      </c>
      <c r="H4786" s="207"/>
      <c r="I4786" s="347"/>
      <c r="J4786" s="39">
        <v>107142</v>
      </c>
      <c r="K4786" s="36" t="str">
        <f>CONCATENATE(Cover!$D$6,"fdd/view?i=",J4786)</f>
        <v>https://www.dgiwg.org/FAD/fdd/view?i=107142</v>
      </c>
      <c r="L4786" s="36" t="s">
        <v>35153</v>
      </c>
      <c r="M4786" s="186"/>
      <c r="N4786" s="186"/>
      <c r="O4786" s="172"/>
    </row>
    <row r="4787" spans="1:15" ht="114.75" x14ac:dyDescent="0.2">
      <c r="A4787" s="190" t="str">
        <f t="shared" si="74"/>
        <v>HqcCode_approxAuxiliaryContour</v>
      </c>
      <c r="B4787" s="414" t="str">
        <f>HYPERLINK("[#]Datatypes!A712:L712","HqcCode")</f>
        <v>HqcCode</v>
      </c>
      <c r="C4787" s="415" t="s">
        <v>15288</v>
      </c>
      <c r="D4787" s="221" t="s">
        <v>35154</v>
      </c>
      <c r="E4787" s="221">
        <v>13</v>
      </c>
      <c r="F4787" s="222" t="s">
        <v>35155</v>
      </c>
      <c r="G4787" s="223" t="s">
        <v>35156</v>
      </c>
      <c r="H4787" s="223" t="s">
        <v>35157</v>
      </c>
      <c r="I4787" s="352" t="s">
        <v>35158</v>
      </c>
      <c r="J4787" s="39">
        <v>104212</v>
      </c>
      <c r="K4787" s="36" t="str">
        <f>CONCATENATE(Cover!$D$6,"fdd/view?i=",J4787)</f>
        <v>https://www.dgiwg.org/FAD/fdd/view?i=104212</v>
      </c>
      <c r="L4787" s="36" t="s">
        <v>35159</v>
      </c>
      <c r="M4787" s="186"/>
      <c r="N4787" s="186"/>
      <c r="O4787" s="172"/>
    </row>
    <row r="4788" spans="1:15" ht="153" x14ac:dyDescent="0.2">
      <c r="A4788" s="197" t="str">
        <f t="shared" si="74"/>
        <v>HqcCode_approxDepAuxiliaryContour</v>
      </c>
      <c r="B4788" s="409"/>
      <c r="C4788" s="416"/>
      <c r="D4788" s="198" t="s">
        <v>35160</v>
      </c>
      <c r="E4788" s="198">
        <v>23</v>
      </c>
      <c r="F4788" s="199" t="s">
        <v>35161</v>
      </c>
      <c r="G4788" s="1" t="s">
        <v>35162</v>
      </c>
      <c r="H4788" s="1" t="s">
        <v>35163</v>
      </c>
      <c r="I4788" s="351" t="s">
        <v>35164</v>
      </c>
      <c r="J4788" s="39">
        <v>104221</v>
      </c>
      <c r="K4788" s="36" t="str">
        <f>CONCATENATE(Cover!$D$6,"fdd/view?i=",J4788)</f>
        <v>https://www.dgiwg.org/FAD/fdd/view?i=104221</v>
      </c>
      <c r="L4788" s="36" t="s">
        <v>35165</v>
      </c>
      <c r="M4788" s="186"/>
      <c r="N4788" s="186"/>
      <c r="O4788" s="172"/>
    </row>
    <row r="4789" spans="1:15" ht="38.25" x14ac:dyDescent="0.2">
      <c r="A4789" s="197" t="str">
        <f t="shared" si="74"/>
        <v>HqcCode_approxDepIndexContour</v>
      </c>
      <c r="B4789" s="409"/>
      <c r="C4789" s="416"/>
      <c r="D4789" s="198" t="s">
        <v>35166</v>
      </c>
      <c r="E4789" s="198">
        <v>15</v>
      </c>
      <c r="F4789" s="199" t="s">
        <v>35167</v>
      </c>
      <c r="G4789" s="1" t="s">
        <v>35168</v>
      </c>
      <c r="H4789" s="1" t="s">
        <v>35169</v>
      </c>
      <c r="I4789" s="351" t="s">
        <v>35170</v>
      </c>
      <c r="J4789" s="39">
        <v>104214</v>
      </c>
      <c r="K4789" s="36" t="str">
        <f>CONCATENATE(Cover!$D$6,"fdd/view?i=",J4789)</f>
        <v>https://www.dgiwg.org/FAD/fdd/view?i=104214</v>
      </c>
      <c r="L4789" s="36" t="s">
        <v>35171</v>
      </c>
      <c r="M4789" s="186"/>
      <c r="N4789" s="186"/>
      <c r="O4789" s="172"/>
    </row>
    <row r="4790" spans="1:15" ht="51" x14ac:dyDescent="0.2">
      <c r="A4790" s="197" t="str">
        <f t="shared" si="74"/>
        <v>HqcCode_approxDepIntermedContour</v>
      </c>
      <c r="B4790" s="409"/>
      <c r="C4790" s="416"/>
      <c r="D4790" s="198" t="s">
        <v>35172</v>
      </c>
      <c r="E4790" s="198">
        <v>18</v>
      </c>
      <c r="F4790" s="199" t="s">
        <v>35173</v>
      </c>
      <c r="G4790" s="1" t="s">
        <v>35162</v>
      </c>
      <c r="H4790" s="1" t="s">
        <v>35174</v>
      </c>
      <c r="I4790" s="351" t="s">
        <v>35175</v>
      </c>
      <c r="J4790" s="39">
        <v>104216</v>
      </c>
      <c r="K4790" s="36" t="str">
        <f>CONCATENATE(Cover!$D$6,"fdd/view?i=",J4790)</f>
        <v>https://www.dgiwg.org/FAD/fdd/view?i=104216</v>
      </c>
      <c r="L4790" s="36" t="s">
        <v>35176</v>
      </c>
      <c r="M4790" s="186"/>
      <c r="N4790" s="186"/>
      <c r="O4790" s="172"/>
    </row>
    <row r="4791" spans="1:15" ht="38.25" x14ac:dyDescent="0.2">
      <c r="A4791" s="197" t="str">
        <f t="shared" si="74"/>
        <v>HqcCode_approxIndexContour</v>
      </c>
      <c r="B4791" s="409"/>
      <c r="C4791" s="416"/>
      <c r="D4791" s="198" t="s">
        <v>35177</v>
      </c>
      <c r="E4791" s="198">
        <v>7</v>
      </c>
      <c r="F4791" s="199" t="s">
        <v>35178</v>
      </c>
      <c r="G4791" s="1" t="s">
        <v>35179</v>
      </c>
      <c r="H4791" s="1" t="s">
        <v>35180</v>
      </c>
      <c r="I4791" s="351" t="s">
        <v>35181</v>
      </c>
      <c r="J4791" s="39">
        <v>104208</v>
      </c>
      <c r="K4791" s="36" t="str">
        <f>CONCATENATE(Cover!$D$6,"fdd/view?i=",J4791)</f>
        <v>https://www.dgiwg.org/FAD/fdd/view?i=104208</v>
      </c>
      <c r="L4791" s="36" t="s">
        <v>35182</v>
      </c>
      <c r="M4791" s="186"/>
      <c r="N4791" s="186"/>
      <c r="O4791" s="172"/>
    </row>
    <row r="4792" spans="1:15" ht="38.25" x14ac:dyDescent="0.2">
      <c r="A4792" s="197" t="str">
        <f t="shared" si="74"/>
        <v>HqcCode_approxIntermediateContour</v>
      </c>
      <c r="B4792" s="409"/>
      <c r="C4792" s="416"/>
      <c r="D4792" s="198" t="s">
        <v>35183</v>
      </c>
      <c r="E4792" s="198">
        <v>12</v>
      </c>
      <c r="F4792" s="199" t="s">
        <v>35184</v>
      </c>
      <c r="G4792" s="1" t="s">
        <v>35185</v>
      </c>
      <c r="H4792" s="1" t="s">
        <v>35186</v>
      </c>
      <c r="I4792" s="351" t="s">
        <v>35187</v>
      </c>
      <c r="J4792" s="39">
        <v>104211</v>
      </c>
      <c r="K4792" s="36" t="str">
        <f>CONCATENATE(Cover!$D$6,"fdd/view?i=",J4792)</f>
        <v>https://www.dgiwg.org/FAD/fdd/view?i=104211</v>
      </c>
      <c r="L4792" s="36" t="s">
        <v>35188</v>
      </c>
      <c r="M4792" s="186"/>
      <c r="N4792" s="186"/>
      <c r="O4792" s="172"/>
    </row>
    <row r="4793" spans="1:15" ht="102" x14ac:dyDescent="0.2">
      <c r="A4793" s="197" t="str">
        <f t="shared" si="74"/>
        <v>HqcCode_auxiliaryCarryingContour</v>
      </c>
      <c r="B4793" s="409"/>
      <c r="C4793" s="416"/>
      <c r="D4793" s="198" t="s">
        <v>35189</v>
      </c>
      <c r="E4793" s="198">
        <v>20</v>
      </c>
      <c r="F4793" s="199" t="s">
        <v>35190</v>
      </c>
      <c r="G4793" s="1" t="s">
        <v>35191</v>
      </c>
      <c r="H4793" s="1" t="s">
        <v>35192</v>
      </c>
      <c r="I4793" s="351" t="s">
        <v>35193</v>
      </c>
      <c r="J4793" s="39">
        <v>104218</v>
      </c>
      <c r="K4793" s="36" t="str">
        <f>CONCATENATE(Cover!$D$6,"fdd/view?i=",J4793)</f>
        <v>https://www.dgiwg.org/FAD/fdd/view?i=104218</v>
      </c>
      <c r="L4793" s="36" t="s">
        <v>35194</v>
      </c>
      <c r="M4793" s="186"/>
      <c r="N4793" s="186"/>
      <c r="O4793" s="172"/>
    </row>
    <row r="4794" spans="1:15" ht="89.25" x14ac:dyDescent="0.2">
      <c r="A4794" s="197" t="str">
        <f t="shared" si="74"/>
        <v>HqcCode_auxiliaryContour</v>
      </c>
      <c r="B4794" s="409"/>
      <c r="C4794" s="416"/>
      <c r="D4794" s="198" t="s">
        <v>35195</v>
      </c>
      <c r="E4794" s="198">
        <v>16</v>
      </c>
      <c r="F4794" s="199" t="s">
        <v>35196</v>
      </c>
      <c r="G4794" s="1" t="s">
        <v>35197</v>
      </c>
      <c r="H4794" s="1" t="s">
        <v>35198</v>
      </c>
      <c r="I4794" s="351" t="s">
        <v>35199</v>
      </c>
      <c r="J4794" s="39">
        <v>104215</v>
      </c>
      <c r="K4794" s="36" t="str">
        <f>CONCATENATE(Cover!$D$6,"fdd/view?i=",J4794)</f>
        <v>https://www.dgiwg.org/FAD/fdd/view?i=104215</v>
      </c>
      <c r="L4794" s="36" t="s">
        <v>35200</v>
      </c>
      <c r="M4794" s="186"/>
      <c r="N4794" s="186"/>
      <c r="O4794" s="172"/>
    </row>
    <row r="4795" spans="1:15" ht="25.5" x14ac:dyDescent="0.2">
      <c r="A4795" s="197" t="str">
        <f t="shared" si="74"/>
        <v>HqcCode_connectorLine</v>
      </c>
      <c r="B4795" s="409"/>
      <c r="C4795" s="416"/>
      <c r="D4795" s="198" t="s">
        <v>35201</v>
      </c>
      <c r="E4795" s="198">
        <v>99</v>
      </c>
      <c r="F4795" s="199" t="s">
        <v>35202</v>
      </c>
      <c r="G4795" s="1" t="s">
        <v>35203</v>
      </c>
      <c r="H4795" s="1" t="s">
        <v>35204</v>
      </c>
      <c r="I4795" s="346"/>
      <c r="J4795" s="39">
        <v>104223</v>
      </c>
      <c r="K4795" s="36" t="str">
        <f>CONCATENATE(Cover!$D$6,"fdd/view?i=",J4795)</f>
        <v>https://www.dgiwg.org/FAD/fdd/view?i=104223</v>
      </c>
      <c r="L4795" s="36" t="s">
        <v>35205</v>
      </c>
      <c r="M4795" s="186"/>
      <c r="N4795" s="186"/>
      <c r="O4795" s="172"/>
    </row>
    <row r="4796" spans="1:15" ht="102" x14ac:dyDescent="0.2">
      <c r="A4796" s="197" t="str">
        <f t="shared" si="74"/>
        <v>HqcCode_depressionAuxiliaryContour</v>
      </c>
      <c r="B4796" s="409"/>
      <c r="C4796" s="416"/>
      <c r="D4796" s="198" t="s">
        <v>35206</v>
      </c>
      <c r="E4796" s="198">
        <v>22</v>
      </c>
      <c r="F4796" s="199" t="s">
        <v>35207</v>
      </c>
      <c r="G4796" s="1" t="s">
        <v>35208</v>
      </c>
      <c r="H4796" s="1" t="s">
        <v>35209</v>
      </c>
      <c r="I4796" s="351" t="s">
        <v>35210</v>
      </c>
      <c r="J4796" s="39">
        <v>104220</v>
      </c>
      <c r="K4796" s="36" t="str">
        <f>CONCATENATE(Cover!$D$6,"fdd/view?i=",J4796)</f>
        <v>https://www.dgiwg.org/FAD/fdd/view?i=104220</v>
      </c>
      <c r="L4796" s="36" t="s">
        <v>35211</v>
      </c>
      <c r="M4796" s="186"/>
      <c r="N4796" s="186"/>
      <c r="O4796" s="172"/>
    </row>
    <row r="4797" spans="1:15" ht="38.25" x14ac:dyDescent="0.2">
      <c r="A4797" s="197" t="str">
        <f t="shared" si="74"/>
        <v>HqcCode_depressionIndexContour</v>
      </c>
      <c r="B4797" s="409"/>
      <c r="C4797" s="416"/>
      <c r="D4797" s="198" t="s">
        <v>35212</v>
      </c>
      <c r="E4797" s="198">
        <v>5</v>
      </c>
      <c r="F4797" s="199" t="s">
        <v>35213</v>
      </c>
      <c r="G4797" s="1" t="s">
        <v>35214</v>
      </c>
      <c r="H4797" s="1" t="s">
        <v>35215</v>
      </c>
      <c r="I4797" s="346"/>
      <c r="J4797" s="39">
        <v>104206</v>
      </c>
      <c r="K4797" s="36" t="str">
        <f>CONCATENATE(Cover!$D$6,"fdd/view?i=",J4797)</f>
        <v>https://www.dgiwg.org/FAD/fdd/view?i=104206</v>
      </c>
      <c r="L4797" s="36" t="s">
        <v>35216</v>
      </c>
      <c r="M4797" s="186"/>
      <c r="N4797" s="186"/>
      <c r="O4797" s="172"/>
    </row>
    <row r="4798" spans="1:15" ht="51" x14ac:dyDescent="0.2">
      <c r="A4798" s="197" t="str">
        <f t="shared" si="74"/>
        <v>HqcCode_depressionIntermedContour</v>
      </c>
      <c r="B4798" s="409"/>
      <c r="C4798" s="416"/>
      <c r="D4798" s="198" t="s">
        <v>35217</v>
      </c>
      <c r="E4798" s="198">
        <v>6</v>
      </c>
      <c r="F4798" s="199" t="s">
        <v>35218</v>
      </c>
      <c r="G4798" s="1" t="s">
        <v>35219</v>
      </c>
      <c r="H4798" s="1" t="s">
        <v>35220</v>
      </c>
      <c r="I4798" s="346"/>
      <c r="J4798" s="39">
        <v>104207</v>
      </c>
      <c r="K4798" s="36" t="str">
        <f>CONCATENATE(Cover!$D$6,"fdd/view?i=",J4798)</f>
        <v>https://www.dgiwg.org/FAD/fdd/view?i=104207</v>
      </c>
      <c r="L4798" s="36" t="s">
        <v>35221</v>
      </c>
      <c r="M4798" s="186"/>
      <c r="N4798" s="186"/>
      <c r="O4798" s="172"/>
    </row>
    <row r="4799" spans="1:15" ht="25.5" x14ac:dyDescent="0.2">
      <c r="A4799" s="197" t="str">
        <f t="shared" si="74"/>
        <v>HqcCode_formLine</v>
      </c>
      <c r="B4799" s="409"/>
      <c r="C4799" s="416"/>
      <c r="D4799" s="198" t="s">
        <v>35222</v>
      </c>
      <c r="E4799" s="198">
        <v>4</v>
      </c>
      <c r="F4799" s="199" t="s">
        <v>35223</v>
      </c>
      <c r="G4799" s="1" t="s">
        <v>35224</v>
      </c>
      <c r="H4799" s="200"/>
      <c r="I4799" s="346"/>
      <c r="J4799" s="39">
        <v>104205</v>
      </c>
      <c r="K4799" s="36" t="str">
        <f>CONCATENATE(Cover!$D$6,"fdd/view?i=",J4799)</f>
        <v>https://www.dgiwg.org/FAD/fdd/view?i=104205</v>
      </c>
      <c r="L4799" s="36" t="s">
        <v>35225</v>
      </c>
      <c r="M4799" s="186"/>
      <c r="N4799" s="186"/>
      <c r="O4799" s="172"/>
    </row>
    <row r="4800" spans="1:15" ht="38.25" x14ac:dyDescent="0.2">
      <c r="A4800" s="197" t="str">
        <f t="shared" si="74"/>
        <v>HqcCode_halfAuxiliaryContour</v>
      </c>
      <c r="B4800" s="409"/>
      <c r="C4800" s="416"/>
      <c r="D4800" s="198" t="s">
        <v>35226</v>
      </c>
      <c r="E4800" s="198">
        <v>3</v>
      </c>
      <c r="F4800" s="199" t="s">
        <v>35227</v>
      </c>
      <c r="G4800" s="1" t="s">
        <v>35228</v>
      </c>
      <c r="H4800" s="1" t="s">
        <v>35229</v>
      </c>
      <c r="I4800" s="351" t="s">
        <v>35230</v>
      </c>
      <c r="J4800" s="39">
        <v>104204</v>
      </c>
      <c r="K4800" s="36" t="str">
        <f>CONCATENATE(Cover!$D$6,"fdd/view?i=",J4800)</f>
        <v>https://www.dgiwg.org/FAD/fdd/view?i=104204</v>
      </c>
      <c r="L4800" s="36" t="s">
        <v>35231</v>
      </c>
      <c r="M4800" s="186"/>
      <c r="N4800" s="186"/>
      <c r="O4800" s="172"/>
    </row>
    <row r="4801" spans="1:15" ht="38.25" x14ac:dyDescent="0.2">
      <c r="A4801" s="197" t="str">
        <f t="shared" si="74"/>
        <v>HqcCode_indexCarryingContour</v>
      </c>
      <c r="B4801" s="409"/>
      <c r="C4801" s="416"/>
      <c r="D4801" s="198" t="s">
        <v>35232</v>
      </c>
      <c r="E4801" s="198">
        <v>21</v>
      </c>
      <c r="F4801" s="199" t="s">
        <v>35233</v>
      </c>
      <c r="G4801" s="1" t="s">
        <v>35234</v>
      </c>
      <c r="H4801" s="1" t="s">
        <v>35192</v>
      </c>
      <c r="I4801" s="351" t="s">
        <v>35235</v>
      </c>
      <c r="J4801" s="39">
        <v>104219</v>
      </c>
      <c r="K4801" s="36" t="str">
        <f>CONCATENATE(Cover!$D$6,"fdd/view?i=",J4801)</f>
        <v>https://www.dgiwg.org/FAD/fdd/view?i=104219</v>
      </c>
      <c r="L4801" s="36" t="s">
        <v>35236</v>
      </c>
      <c r="M4801" s="186"/>
      <c r="N4801" s="186"/>
      <c r="O4801" s="172"/>
    </row>
    <row r="4802" spans="1:15" ht="63.75" x14ac:dyDescent="0.2">
      <c r="A4802" s="197" t="str">
        <f t="shared" ref="A4802:A4865" si="75">HYPERLINK(K4802,L4802)</f>
        <v>HqcCode_indexContour</v>
      </c>
      <c r="B4802" s="409"/>
      <c r="C4802" s="416"/>
      <c r="D4802" s="198" t="s">
        <v>35237</v>
      </c>
      <c r="E4802" s="198">
        <v>1</v>
      </c>
      <c r="F4802" s="199" t="s">
        <v>35238</v>
      </c>
      <c r="G4802" s="1" t="s">
        <v>35239</v>
      </c>
      <c r="H4802" s="1" t="s">
        <v>35240</v>
      </c>
      <c r="I4802" s="346"/>
      <c r="J4802" s="39">
        <v>104202</v>
      </c>
      <c r="K4802" s="36" t="str">
        <f>CONCATENATE(Cover!$D$6,"fdd/view?i=",J4802)</f>
        <v>https://www.dgiwg.org/FAD/fdd/view?i=104202</v>
      </c>
      <c r="L4802" s="36" t="s">
        <v>35241</v>
      </c>
      <c r="M4802" s="186"/>
      <c r="N4802" s="186"/>
      <c r="O4802" s="172"/>
    </row>
    <row r="4803" spans="1:15" ht="38.25" x14ac:dyDescent="0.2">
      <c r="A4803" s="197" t="str">
        <f t="shared" si="75"/>
        <v>HqcCode_intermedCarryingContour</v>
      </c>
      <c r="B4803" s="409"/>
      <c r="C4803" s="416"/>
      <c r="D4803" s="198" t="s">
        <v>35242</v>
      </c>
      <c r="E4803" s="198">
        <v>19</v>
      </c>
      <c r="F4803" s="199" t="s">
        <v>35243</v>
      </c>
      <c r="G4803" s="1" t="s">
        <v>35244</v>
      </c>
      <c r="H4803" s="1" t="s">
        <v>35192</v>
      </c>
      <c r="I4803" s="351" t="s">
        <v>35245</v>
      </c>
      <c r="J4803" s="39">
        <v>104217</v>
      </c>
      <c r="K4803" s="36" t="str">
        <f>CONCATENATE(Cover!$D$6,"fdd/view?i=",J4803)</f>
        <v>https://www.dgiwg.org/FAD/fdd/view?i=104217</v>
      </c>
      <c r="L4803" s="36" t="s">
        <v>35246</v>
      </c>
      <c r="M4803" s="186"/>
      <c r="N4803" s="186"/>
      <c r="O4803" s="172"/>
    </row>
    <row r="4804" spans="1:15" ht="76.5" x14ac:dyDescent="0.2">
      <c r="A4804" s="197" t="str">
        <f t="shared" si="75"/>
        <v>HqcCode_intermediateContour</v>
      </c>
      <c r="B4804" s="409"/>
      <c r="C4804" s="416"/>
      <c r="D4804" s="198" t="s">
        <v>35247</v>
      </c>
      <c r="E4804" s="198">
        <v>2</v>
      </c>
      <c r="F4804" s="199" t="s">
        <v>35248</v>
      </c>
      <c r="G4804" s="1" t="s">
        <v>35249</v>
      </c>
      <c r="H4804" s="1" t="s">
        <v>35250</v>
      </c>
      <c r="I4804" s="346"/>
      <c r="J4804" s="39">
        <v>104203</v>
      </c>
      <c r="K4804" s="36" t="str">
        <f>CONCATENATE(Cover!$D$6,"fdd/view?i=",J4804)</f>
        <v>https://www.dgiwg.org/FAD/fdd/view?i=104203</v>
      </c>
      <c r="L4804" s="36" t="s">
        <v>35251</v>
      </c>
      <c r="M4804" s="186"/>
      <c r="N4804" s="186"/>
      <c r="O4804" s="172"/>
    </row>
    <row r="4805" spans="1:15" ht="38.25" x14ac:dyDescent="0.2">
      <c r="A4805" s="197" t="str">
        <f t="shared" si="75"/>
        <v>HqcCode_moundIndexContour</v>
      </c>
      <c r="B4805" s="409"/>
      <c r="C4805" s="416"/>
      <c r="D4805" s="198" t="s">
        <v>35252</v>
      </c>
      <c r="E4805" s="198">
        <v>8</v>
      </c>
      <c r="F4805" s="199" t="s">
        <v>35253</v>
      </c>
      <c r="G4805" s="1" t="s">
        <v>35254</v>
      </c>
      <c r="H4805" s="1" t="s">
        <v>35255</v>
      </c>
      <c r="I4805" s="346"/>
      <c r="J4805" s="39">
        <v>104209</v>
      </c>
      <c r="K4805" s="36" t="str">
        <f>CONCATENATE(Cover!$D$6,"fdd/view?i=",J4805)</f>
        <v>https://www.dgiwg.org/FAD/fdd/view?i=104209</v>
      </c>
      <c r="L4805" s="36" t="s">
        <v>35256</v>
      </c>
      <c r="M4805" s="186"/>
      <c r="N4805" s="186"/>
      <c r="O4805" s="172"/>
    </row>
    <row r="4806" spans="1:15" ht="51" x14ac:dyDescent="0.2">
      <c r="A4806" s="197" t="str">
        <f t="shared" si="75"/>
        <v>HqcCode_moundIntermediateContour</v>
      </c>
      <c r="B4806" s="409"/>
      <c r="C4806" s="416"/>
      <c r="D4806" s="198" t="s">
        <v>35257</v>
      </c>
      <c r="E4806" s="198">
        <v>9</v>
      </c>
      <c r="F4806" s="199" t="s">
        <v>35258</v>
      </c>
      <c r="G4806" s="1" t="s">
        <v>35259</v>
      </c>
      <c r="H4806" s="1" t="s">
        <v>35260</v>
      </c>
      <c r="I4806" s="346"/>
      <c r="J4806" s="39">
        <v>104210</v>
      </c>
      <c r="K4806" s="36" t="str">
        <f>CONCATENATE(Cover!$D$6,"fdd/view?i=",J4806)</f>
        <v>https://www.dgiwg.org/FAD/fdd/view?i=104210</v>
      </c>
      <c r="L4806" s="36" t="s">
        <v>35261</v>
      </c>
      <c r="M4806" s="186"/>
      <c r="N4806" s="186"/>
      <c r="O4806" s="172"/>
    </row>
    <row r="4807" spans="1:15" ht="38.25" x14ac:dyDescent="0.2">
      <c r="A4807" s="197" t="str">
        <f t="shared" si="75"/>
        <v>HqcCode_quarterAuxiliaryContour</v>
      </c>
      <c r="B4807" s="409"/>
      <c r="C4807" s="416"/>
      <c r="D4807" s="198" t="s">
        <v>35262</v>
      </c>
      <c r="E4807" s="198">
        <v>14</v>
      </c>
      <c r="F4807" s="199" t="s">
        <v>35263</v>
      </c>
      <c r="G4807" s="1" t="s">
        <v>35264</v>
      </c>
      <c r="H4807" s="1" t="s">
        <v>35265</v>
      </c>
      <c r="I4807" s="351" t="s">
        <v>35266</v>
      </c>
      <c r="J4807" s="39">
        <v>104213</v>
      </c>
      <c r="K4807" s="36" t="str">
        <f>CONCATENATE(Cover!$D$6,"fdd/view?i=",J4807)</f>
        <v>https://www.dgiwg.org/FAD/fdd/view?i=104213</v>
      </c>
      <c r="L4807" s="36" t="s">
        <v>35267</v>
      </c>
      <c r="M4807" s="186"/>
      <c r="N4807" s="186"/>
      <c r="O4807" s="172"/>
    </row>
    <row r="4808" spans="1:15" ht="38.25" x14ac:dyDescent="0.2">
      <c r="A4808" s="203" t="str">
        <f t="shared" si="75"/>
        <v>HqcCode_transitionLine</v>
      </c>
      <c r="B4808" s="410"/>
      <c r="C4808" s="417"/>
      <c r="D4808" s="204" t="s">
        <v>35268</v>
      </c>
      <c r="E4808" s="204">
        <v>98</v>
      </c>
      <c r="F4808" s="205" t="s">
        <v>35269</v>
      </c>
      <c r="G4808" s="206" t="s">
        <v>35270</v>
      </c>
      <c r="H4808" s="206" t="s">
        <v>35271</v>
      </c>
      <c r="I4808" s="353" t="s">
        <v>35272</v>
      </c>
      <c r="J4808" s="39">
        <v>104222</v>
      </c>
      <c r="K4808" s="36" t="str">
        <f>CONCATENATE(Cover!$D$6,"fdd/view?i=",J4808)</f>
        <v>https://www.dgiwg.org/FAD/fdd/view?i=104222</v>
      </c>
      <c r="L4808" s="36" t="s">
        <v>35273</v>
      </c>
      <c r="M4808" s="186"/>
      <c r="N4808" s="186"/>
      <c r="O4808" s="172"/>
    </row>
    <row r="4809" spans="1:15" ht="25.5" x14ac:dyDescent="0.2">
      <c r="A4809" s="190" t="str">
        <f t="shared" si="75"/>
        <v>IktCode_arcToFix</v>
      </c>
      <c r="B4809" s="414" t="str">
        <f>HYPERLINK("[#]Datatypes!A718:L718","IktCode")</f>
        <v>IktCode</v>
      </c>
      <c r="C4809" s="415" t="s">
        <v>15295</v>
      </c>
      <c r="D4809" s="221" t="s">
        <v>35275</v>
      </c>
      <c r="E4809" s="221">
        <v>1</v>
      </c>
      <c r="F4809" s="222" t="s">
        <v>22480</v>
      </c>
      <c r="G4809" s="223" t="s">
        <v>35276</v>
      </c>
      <c r="H4809" s="224"/>
      <c r="I4809" s="345"/>
      <c r="J4809" s="39">
        <v>115648</v>
      </c>
      <c r="K4809" s="36" t="str">
        <f>CONCATENATE(Cover!$D$6,"fdd/view?i=",J4809)</f>
        <v>https://www.dgiwg.org/FAD/fdd/view?i=115648</v>
      </c>
      <c r="L4809" s="36" t="s">
        <v>35277</v>
      </c>
      <c r="M4809" s="186"/>
      <c r="N4809" s="186"/>
      <c r="O4809" s="13" t="s">
        <v>35274</v>
      </c>
    </row>
    <row r="4810" spans="1:15" ht="25.5" x14ac:dyDescent="0.2">
      <c r="A4810" s="197" t="str">
        <f t="shared" si="75"/>
        <v>IktCode_courseToAltitude</v>
      </c>
      <c r="B4810" s="409"/>
      <c r="C4810" s="416"/>
      <c r="D4810" s="198" t="s">
        <v>35279</v>
      </c>
      <c r="E4810" s="198">
        <v>2</v>
      </c>
      <c r="F4810" s="199" t="s">
        <v>22670</v>
      </c>
      <c r="G4810" s="1" t="s">
        <v>35280</v>
      </c>
      <c r="H4810" s="200"/>
      <c r="I4810" s="346"/>
      <c r="J4810" s="39">
        <v>115649</v>
      </c>
      <c r="K4810" s="36" t="str">
        <f>CONCATENATE(Cover!$D$6,"fdd/view?i=",J4810)</f>
        <v>https://www.dgiwg.org/FAD/fdd/view?i=115649</v>
      </c>
      <c r="L4810" s="36" t="s">
        <v>35281</v>
      </c>
      <c r="M4810" s="186"/>
      <c r="N4810" s="186"/>
      <c r="O4810" s="13" t="s">
        <v>35278</v>
      </c>
    </row>
    <row r="4811" spans="1:15" ht="25.5" x14ac:dyDescent="0.2">
      <c r="A4811" s="197" t="str">
        <f t="shared" si="75"/>
        <v>IktCode_courseToDmeDistance</v>
      </c>
      <c r="B4811" s="409"/>
      <c r="C4811" s="416"/>
      <c r="D4811" s="198" t="s">
        <v>35283</v>
      </c>
      <c r="E4811" s="198">
        <v>3</v>
      </c>
      <c r="F4811" s="199" t="s">
        <v>35284</v>
      </c>
      <c r="G4811" s="1" t="s">
        <v>35285</v>
      </c>
      <c r="H4811" s="200"/>
      <c r="I4811" s="346"/>
      <c r="J4811" s="39">
        <v>115650</v>
      </c>
      <c r="K4811" s="36" t="str">
        <f>CONCATENATE(Cover!$D$6,"fdd/view?i=",J4811)</f>
        <v>https://www.dgiwg.org/FAD/fdd/view?i=115650</v>
      </c>
      <c r="L4811" s="36" t="s">
        <v>35286</v>
      </c>
      <c r="M4811" s="186"/>
      <c r="N4811" s="186"/>
      <c r="O4811" s="13" t="s">
        <v>35282</v>
      </c>
    </row>
    <row r="4812" spans="1:15" ht="25.5" x14ac:dyDescent="0.2">
      <c r="A4812" s="197" t="str">
        <f t="shared" si="75"/>
        <v>IktCode_courseToFix</v>
      </c>
      <c r="B4812" s="409"/>
      <c r="C4812" s="416"/>
      <c r="D4812" s="198" t="s">
        <v>35288</v>
      </c>
      <c r="E4812" s="198">
        <v>4</v>
      </c>
      <c r="F4812" s="199" t="s">
        <v>22650</v>
      </c>
      <c r="G4812" s="1" t="s">
        <v>35289</v>
      </c>
      <c r="H4812" s="200"/>
      <c r="I4812" s="346"/>
      <c r="J4812" s="39">
        <v>115651</v>
      </c>
      <c r="K4812" s="36" t="str">
        <f>CONCATENATE(Cover!$D$6,"fdd/view?i=",J4812)</f>
        <v>https://www.dgiwg.org/FAD/fdd/view?i=115651</v>
      </c>
      <c r="L4812" s="36" t="s">
        <v>35290</v>
      </c>
      <c r="M4812" s="186"/>
      <c r="N4812" s="186"/>
      <c r="O4812" s="13" t="s">
        <v>35287</v>
      </c>
    </row>
    <row r="4813" spans="1:15" ht="25.5" x14ac:dyDescent="0.2">
      <c r="A4813" s="197" t="str">
        <f t="shared" si="75"/>
        <v>IktCode_courseToLegFollowed</v>
      </c>
      <c r="B4813" s="409"/>
      <c r="C4813" s="416"/>
      <c r="D4813" s="198" t="s">
        <v>35292</v>
      </c>
      <c r="E4813" s="198">
        <v>5</v>
      </c>
      <c r="F4813" s="199" t="s">
        <v>22695</v>
      </c>
      <c r="G4813" s="1" t="s">
        <v>35293</v>
      </c>
      <c r="H4813" s="200"/>
      <c r="I4813" s="346"/>
      <c r="J4813" s="39">
        <v>115652</v>
      </c>
      <c r="K4813" s="36" t="str">
        <f>CONCATENATE(Cover!$D$6,"fdd/view?i=",J4813)</f>
        <v>https://www.dgiwg.org/FAD/fdd/view?i=115652</v>
      </c>
      <c r="L4813" s="36" t="s">
        <v>35294</v>
      </c>
      <c r="M4813" s="186"/>
      <c r="N4813" s="186"/>
      <c r="O4813" s="13" t="s">
        <v>35291</v>
      </c>
    </row>
    <row r="4814" spans="1:15" ht="25.5" x14ac:dyDescent="0.2">
      <c r="A4814" s="197" t="str">
        <f t="shared" si="75"/>
        <v>IktCode_courseToRadialTermination</v>
      </c>
      <c r="B4814" s="409"/>
      <c r="C4814" s="416"/>
      <c r="D4814" s="198" t="s">
        <v>35296</v>
      </c>
      <c r="E4814" s="198">
        <v>6</v>
      </c>
      <c r="F4814" s="199" t="s">
        <v>22726</v>
      </c>
      <c r="G4814" s="1" t="s">
        <v>35297</v>
      </c>
      <c r="H4814" s="200"/>
      <c r="I4814" s="346"/>
      <c r="J4814" s="39">
        <v>115653</v>
      </c>
      <c r="K4814" s="36" t="str">
        <f>CONCATENATE(Cover!$D$6,"fdd/view?i=",J4814)</f>
        <v>https://www.dgiwg.org/FAD/fdd/view?i=115653</v>
      </c>
      <c r="L4814" s="36" t="s">
        <v>35298</v>
      </c>
      <c r="M4814" s="186"/>
      <c r="N4814" s="186"/>
      <c r="O4814" s="13" t="s">
        <v>35295</v>
      </c>
    </row>
    <row r="4815" spans="1:15" ht="25.5" x14ac:dyDescent="0.2">
      <c r="A4815" s="197" t="str">
        <f t="shared" si="75"/>
        <v>IktCode_directToFix</v>
      </c>
      <c r="B4815" s="409"/>
      <c r="C4815" s="416"/>
      <c r="D4815" s="198" t="s">
        <v>35300</v>
      </c>
      <c r="E4815" s="198">
        <v>7</v>
      </c>
      <c r="F4815" s="199" t="s">
        <v>22769</v>
      </c>
      <c r="G4815" s="1" t="s">
        <v>35301</v>
      </c>
      <c r="H4815" s="200"/>
      <c r="I4815" s="346"/>
      <c r="J4815" s="39">
        <v>115654</v>
      </c>
      <c r="K4815" s="36" t="str">
        <f>CONCATENATE(Cover!$D$6,"fdd/view?i=",J4815)</f>
        <v>https://www.dgiwg.org/FAD/fdd/view?i=115654</v>
      </c>
      <c r="L4815" s="36" t="s">
        <v>35302</v>
      </c>
      <c r="M4815" s="186"/>
      <c r="N4815" s="186"/>
      <c r="O4815" s="13" t="s">
        <v>35299</v>
      </c>
    </row>
    <row r="4816" spans="1:15" ht="25.5" x14ac:dyDescent="0.2">
      <c r="A4816" s="197" t="str">
        <f t="shared" si="75"/>
        <v>IktCode_fixDuringSpecifiedTime</v>
      </c>
      <c r="B4816" s="409"/>
      <c r="C4816" s="416"/>
      <c r="D4816" s="198" t="s">
        <v>35324</v>
      </c>
      <c r="E4816" s="198">
        <v>12</v>
      </c>
      <c r="F4816" s="199" t="s">
        <v>35325</v>
      </c>
      <c r="G4816" s="1" t="s">
        <v>35326</v>
      </c>
      <c r="H4816" s="200"/>
      <c r="I4816" s="346"/>
      <c r="J4816" s="39">
        <v>115659</v>
      </c>
      <c r="K4816" s="36" t="str">
        <f>CONCATENATE(Cover!$D$6,"fdd/view?i=",J4816)</f>
        <v>https://www.dgiwg.org/FAD/fdd/view?i=115659</v>
      </c>
      <c r="L4816" s="36" t="s">
        <v>35327</v>
      </c>
      <c r="M4816" s="186"/>
      <c r="N4816" s="186"/>
      <c r="O4816" s="13" t="s">
        <v>35323</v>
      </c>
    </row>
    <row r="4817" spans="1:15" ht="25.5" x14ac:dyDescent="0.2">
      <c r="A4817" s="197" t="str">
        <f t="shared" si="75"/>
        <v>IktCode_fixToAltitude</v>
      </c>
      <c r="B4817" s="409"/>
      <c r="C4817" s="416"/>
      <c r="D4817" s="198" t="s">
        <v>35304</v>
      </c>
      <c r="E4817" s="198">
        <v>8</v>
      </c>
      <c r="F4817" s="199" t="s">
        <v>35305</v>
      </c>
      <c r="G4817" s="1" t="s">
        <v>35306</v>
      </c>
      <c r="H4817" s="200"/>
      <c r="I4817" s="346"/>
      <c r="J4817" s="39">
        <v>115655</v>
      </c>
      <c r="K4817" s="36" t="str">
        <f>CONCATENATE(Cover!$D$6,"fdd/view?i=",J4817)</f>
        <v>https://www.dgiwg.org/FAD/fdd/view?i=115655</v>
      </c>
      <c r="L4817" s="36" t="s">
        <v>35307</v>
      </c>
      <c r="M4817" s="186"/>
      <c r="N4817" s="186"/>
      <c r="O4817" s="13" t="s">
        <v>35303</v>
      </c>
    </row>
    <row r="4818" spans="1:15" ht="25.5" x14ac:dyDescent="0.2">
      <c r="A4818" s="197" t="str">
        <f t="shared" si="75"/>
        <v>IktCode_fixToDistance</v>
      </c>
      <c r="B4818" s="409"/>
      <c r="C4818" s="416"/>
      <c r="D4818" s="198" t="s">
        <v>35309</v>
      </c>
      <c r="E4818" s="198">
        <v>9</v>
      </c>
      <c r="F4818" s="199" t="s">
        <v>35310</v>
      </c>
      <c r="G4818" s="1" t="s">
        <v>35311</v>
      </c>
      <c r="H4818" s="200"/>
      <c r="I4818" s="346"/>
      <c r="J4818" s="39">
        <v>115656</v>
      </c>
      <c r="K4818" s="36" t="str">
        <f>CONCATENATE(Cover!$D$6,"fdd/view?i=",J4818)</f>
        <v>https://www.dgiwg.org/FAD/fdd/view?i=115656</v>
      </c>
      <c r="L4818" s="36" t="s">
        <v>35312</v>
      </c>
      <c r="M4818" s="186"/>
      <c r="N4818" s="186"/>
      <c r="O4818" s="13" t="s">
        <v>35308</v>
      </c>
    </row>
    <row r="4819" spans="1:15" ht="25.5" x14ac:dyDescent="0.2">
      <c r="A4819" s="197" t="str">
        <f t="shared" si="75"/>
        <v>IktCode_fixToDmeDistance</v>
      </c>
      <c r="B4819" s="409"/>
      <c r="C4819" s="416"/>
      <c r="D4819" s="198" t="s">
        <v>35314</v>
      </c>
      <c r="E4819" s="198">
        <v>10</v>
      </c>
      <c r="F4819" s="199" t="s">
        <v>35315</v>
      </c>
      <c r="G4819" s="1" t="s">
        <v>35316</v>
      </c>
      <c r="H4819" s="200"/>
      <c r="I4819" s="346"/>
      <c r="J4819" s="39">
        <v>115657</v>
      </c>
      <c r="K4819" s="36" t="str">
        <f>CONCATENATE(Cover!$D$6,"fdd/view?i=",J4819)</f>
        <v>https://www.dgiwg.org/FAD/fdd/view?i=115657</v>
      </c>
      <c r="L4819" s="36" t="s">
        <v>35317</v>
      </c>
      <c r="M4819" s="186"/>
      <c r="N4819" s="186"/>
      <c r="O4819" s="13" t="s">
        <v>35313</v>
      </c>
    </row>
    <row r="4820" spans="1:15" ht="25.5" x14ac:dyDescent="0.2">
      <c r="A4820" s="197" t="str">
        <f t="shared" si="75"/>
        <v>IktCode_fixToManualTermination</v>
      </c>
      <c r="B4820" s="409"/>
      <c r="C4820" s="416"/>
      <c r="D4820" s="198" t="s">
        <v>35319</v>
      </c>
      <c r="E4820" s="198">
        <v>11</v>
      </c>
      <c r="F4820" s="199" t="s">
        <v>35320</v>
      </c>
      <c r="G4820" s="1" t="s">
        <v>35321</v>
      </c>
      <c r="H4820" s="200"/>
      <c r="I4820" s="346"/>
      <c r="J4820" s="39">
        <v>115658</v>
      </c>
      <c r="K4820" s="36" t="str">
        <f>CONCATENATE(Cover!$D$6,"fdd/view?i=",J4820)</f>
        <v>https://www.dgiwg.org/FAD/fdd/view?i=115658</v>
      </c>
      <c r="L4820" s="36" t="s">
        <v>35322</v>
      </c>
      <c r="M4820" s="186"/>
      <c r="N4820" s="186"/>
      <c r="O4820" s="13" t="s">
        <v>35318</v>
      </c>
    </row>
    <row r="4821" spans="1:15" ht="25.5" x14ac:dyDescent="0.2">
      <c r="A4821" s="197" t="str">
        <f t="shared" si="75"/>
        <v>IktCode_holdAfterAltitude</v>
      </c>
      <c r="B4821" s="409"/>
      <c r="C4821" s="416"/>
      <c r="D4821" s="198" t="s">
        <v>35329</v>
      </c>
      <c r="E4821" s="198">
        <v>13</v>
      </c>
      <c r="F4821" s="199" t="s">
        <v>35330</v>
      </c>
      <c r="G4821" s="1" t="s">
        <v>35331</v>
      </c>
      <c r="H4821" s="200"/>
      <c r="I4821" s="346"/>
      <c r="J4821" s="39">
        <v>115660</v>
      </c>
      <c r="K4821" s="36" t="str">
        <f>CONCATENATE(Cover!$D$6,"fdd/view?i=",J4821)</f>
        <v>https://www.dgiwg.org/FAD/fdd/view?i=115660</v>
      </c>
      <c r="L4821" s="36" t="s">
        <v>35332</v>
      </c>
      <c r="M4821" s="186"/>
      <c r="N4821" s="186"/>
      <c r="O4821" s="13" t="s">
        <v>35328</v>
      </c>
    </row>
    <row r="4822" spans="1:15" ht="25.5" x14ac:dyDescent="0.2">
      <c r="A4822" s="197" t="str">
        <f t="shared" si="75"/>
        <v>IktCode_holdAtFix</v>
      </c>
      <c r="B4822" s="409"/>
      <c r="C4822" s="416"/>
      <c r="D4822" s="198" t="s">
        <v>35334</v>
      </c>
      <c r="E4822" s="198">
        <v>14</v>
      </c>
      <c r="F4822" s="199" t="s">
        <v>19869</v>
      </c>
      <c r="G4822" s="1" t="s">
        <v>35335</v>
      </c>
      <c r="H4822" s="200"/>
      <c r="I4822" s="346"/>
      <c r="J4822" s="39">
        <v>115661</v>
      </c>
      <c r="K4822" s="36" t="str">
        <f>CONCATENATE(Cover!$D$6,"fdd/view?i=",J4822)</f>
        <v>https://www.dgiwg.org/FAD/fdd/view?i=115661</v>
      </c>
      <c r="L4822" s="36" t="s">
        <v>35336</v>
      </c>
      <c r="M4822" s="186"/>
      <c r="N4822" s="186"/>
      <c r="O4822" s="13" t="s">
        <v>35333</v>
      </c>
    </row>
    <row r="4823" spans="1:15" ht="25.5" x14ac:dyDescent="0.2">
      <c r="A4823" s="197" t="str">
        <f t="shared" si="75"/>
        <v>IktCode_holdTerminatingManually</v>
      </c>
      <c r="B4823" s="409"/>
      <c r="C4823" s="416"/>
      <c r="D4823" s="198" t="s">
        <v>35338</v>
      </c>
      <c r="E4823" s="198">
        <v>15</v>
      </c>
      <c r="F4823" s="199" t="s">
        <v>35339</v>
      </c>
      <c r="G4823" s="1" t="s">
        <v>35340</v>
      </c>
      <c r="H4823" s="200"/>
      <c r="I4823" s="346"/>
      <c r="J4823" s="39">
        <v>115662</v>
      </c>
      <c r="K4823" s="36" t="str">
        <f>CONCATENATE(Cover!$D$6,"fdd/view?i=",J4823)</f>
        <v>https://www.dgiwg.org/FAD/fdd/view?i=115662</v>
      </c>
      <c r="L4823" s="36" t="s">
        <v>35341</v>
      </c>
      <c r="M4823" s="186"/>
      <c r="N4823" s="186"/>
      <c r="O4823" s="13" t="s">
        <v>35337</v>
      </c>
    </row>
    <row r="4824" spans="1:15" ht="25.5" x14ac:dyDescent="0.2">
      <c r="A4824" s="197" t="str">
        <f t="shared" si="75"/>
        <v>IktCode_initialFix</v>
      </c>
      <c r="B4824" s="409"/>
      <c r="C4824" s="416"/>
      <c r="D4824" s="198" t="s">
        <v>35343</v>
      </c>
      <c r="E4824" s="198">
        <v>16</v>
      </c>
      <c r="F4824" s="199" t="s">
        <v>35344</v>
      </c>
      <c r="G4824" s="1" t="s">
        <v>35345</v>
      </c>
      <c r="H4824" s="200"/>
      <c r="I4824" s="346"/>
      <c r="J4824" s="39">
        <v>115663</v>
      </c>
      <c r="K4824" s="36" t="str">
        <f>CONCATENATE(Cover!$D$6,"fdd/view?i=",J4824)</f>
        <v>https://www.dgiwg.org/FAD/fdd/view?i=115663</v>
      </c>
      <c r="L4824" s="36" t="s">
        <v>35346</v>
      </c>
      <c r="M4824" s="186"/>
      <c r="N4824" s="186"/>
      <c r="O4824" s="13" t="s">
        <v>35342</v>
      </c>
    </row>
    <row r="4825" spans="1:15" ht="25.5" x14ac:dyDescent="0.2">
      <c r="A4825" s="197" t="str">
        <f t="shared" si="75"/>
        <v>IktCode_procedureCourseToFix</v>
      </c>
      <c r="B4825" s="409"/>
      <c r="C4825" s="416"/>
      <c r="D4825" s="198" t="s">
        <v>35348</v>
      </c>
      <c r="E4825" s="198">
        <v>17</v>
      </c>
      <c r="F4825" s="199" t="s">
        <v>35349</v>
      </c>
      <c r="G4825" s="1" t="s">
        <v>35350</v>
      </c>
      <c r="H4825" s="200"/>
      <c r="I4825" s="346"/>
      <c r="J4825" s="39">
        <v>115664</v>
      </c>
      <c r="K4825" s="36" t="str">
        <f>CONCATENATE(Cover!$D$6,"fdd/view?i=",J4825)</f>
        <v>https://www.dgiwg.org/FAD/fdd/view?i=115664</v>
      </c>
      <c r="L4825" s="36" t="s">
        <v>35351</v>
      </c>
      <c r="M4825" s="186"/>
      <c r="N4825" s="186"/>
      <c r="O4825" s="13" t="s">
        <v>35347</v>
      </c>
    </row>
    <row r="4826" spans="1:15" ht="25.5" x14ac:dyDescent="0.2">
      <c r="A4826" s="197" t="str">
        <f t="shared" si="75"/>
        <v>IktCode_procedureTurn</v>
      </c>
      <c r="B4826" s="409"/>
      <c r="C4826" s="416"/>
      <c r="D4826" s="198" t="s">
        <v>35353</v>
      </c>
      <c r="E4826" s="198">
        <v>18</v>
      </c>
      <c r="F4826" s="199" t="s">
        <v>35354</v>
      </c>
      <c r="G4826" s="1" t="s">
        <v>35355</v>
      </c>
      <c r="H4826" s="200"/>
      <c r="I4826" s="346"/>
      <c r="J4826" s="39">
        <v>115665</v>
      </c>
      <c r="K4826" s="36" t="str">
        <f>CONCATENATE(Cover!$D$6,"fdd/view?i=",J4826)</f>
        <v>https://www.dgiwg.org/FAD/fdd/view?i=115665</v>
      </c>
      <c r="L4826" s="36" t="s">
        <v>35356</v>
      </c>
      <c r="M4826" s="186"/>
      <c r="N4826" s="186"/>
      <c r="O4826" s="13" t="s">
        <v>35352</v>
      </c>
    </row>
    <row r="4827" spans="1:15" ht="25.5" x14ac:dyDescent="0.2">
      <c r="A4827" s="197" t="str">
        <f t="shared" si="75"/>
        <v>IktCode_radiusToFix</v>
      </c>
      <c r="B4827" s="409"/>
      <c r="C4827" s="416"/>
      <c r="D4827" s="198" t="s">
        <v>35358</v>
      </c>
      <c r="E4827" s="198">
        <v>19</v>
      </c>
      <c r="F4827" s="199" t="s">
        <v>35359</v>
      </c>
      <c r="G4827" s="1" t="s">
        <v>35360</v>
      </c>
      <c r="H4827" s="200"/>
      <c r="I4827" s="346"/>
      <c r="J4827" s="39">
        <v>115666</v>
      </c>
      <c r="K4827" s="36" t="str">
        <f>CONCATENATE(Cover!$D$6,"fdd/view?i=",J4827)</f>
        <v>https://www.dgiwg.org/FAD/fdd/view?i=115666</v>
      </c>
      <c r="L4827" s="36" t="s">
        <v>35361</v>
      </c>
      <c r="M4827" s="186"/>
      <c r="N4827" s="186"/>
      <c r="O4827" s="13" t="s">
        <v>35357</v>
      </c>
    </row>
    <row r="4828" spans="1:15" ht="25.5" x14ac:dyDescent="0.2">
      <c r="A4828" s="197" t="str">
        <f t="shared" si="75"/>
        <v>IktCode_trackBetweenTwoFixes</v>
      </c>
      <c r="B4828" s="409"/>
      <c r="C4828" s="416"/>
      <c r="D4828" s="198" t="s">
        <v>35363</v>
      </c>
      <c r="E4828" s="198">
        <v>20</v>
      </c>
      <c r="F4828" s="199" t="s">
        <v>35364</v>
      </c>
      <c r="G4828" s="1" t="s">
        <v>35365</v>
      </c>
      <c r="H4828" s="200"/>
      <c r="I4828" s="346"/>
      <c r="J4828" s="39">
        <v>115667</v>
      </c>
      <c r="K4828" s="36" t="str">
        <f>CONCATENATE(Cover!$D$6,"fdd/view?i=",J4828)</f>
        <v>https://www.dgiwg.org/FAD/fdd/view?i=115667</v>
      </c>
      <c r="L4828" s="36" t="s">
        <v>35366</v>
      </c>
      <c r="M4828" s="186"/>
      <c r="N4828" s="186"/>
      <c r="O4828" s="13" t="s">
        <v>35362</v>
      </c>
    </row>
    <row r="4829" spans="1:15" ht="25.5" x14ac:dyDescent="0.2">
      <c r="A4829" s="197" t="str">
        <f t="shared" si="75"/>
        <v>IktCode_vectorToAltitude</v>
      </c>
      <c r="B4829" s="409"/>
      <c r="C4829" s="416"/>
      <c r="D4829" s="198" t="s">
        <v>35368</v>
      </c>
      <c r="E4829" s="198">
        <v>21</v>
      </c>
      <c r="F4829" s="199" t="s">
        <v>35369</v>
      </c>
      <c r="G4829" s="1" t="s">
        <v>35370</v>
      </c>
      <c r="H4829" s="200"/>
      <c r="I4829" s="346"/>
      <c r="J4829" s="39">
        <v>115668</v>
      </c>
      <c r="K4829" s="36" t="str">
        <f>CONCATENATE(Cover!$D$6,"fdd/view?i=",J4829)</f>
        <v>https://www.dgiwg.org/FAD/fdd/view?i=115668</v>
      </c>
      <c r="L4829" s="36" t="s">
        <v>35371</v>
      </c>
      <c r="M4829" s="186"/>
      <c r="N4829" s="186"/>
      <c r="O4829" s="13" t="s">
        <v>35367</v>
      </c>
    </row>
    <row r="4830" spans="1:15" ht="25.5" x14ac:dyDescent="0.2">
      <c r="A4830" s="197" t="str">
        <f t="shared" si="75"/>
        <v>IktCode_vectorToDmeDistance</v>
      </c>
      <c r="B4830" s="409"/>
      <c r="C4830" s="416"/>
      <c r="D4830" s="198" t="s">
        <v>35373</v>
      </c>
      <c r="E4830" s="198">
        <v>22</v>
      </c>
      <c r="F4830" s="199" t="s">
        <v>35374</v>
      </c>
      <c r="G4830" s="1" t="s">
        <v>35375</v>
      </c>
      <c r="H4830" s="200"/>
      <c r="I4830" s="346"/>
      <c r="J4830" s="39">
        <v>115669</v>
      </c>
      <c r="K4830" s="36" t="str">
        <f>CONCATENATE(Cover!$D$6,"fdd/view?i=",J4830)</f>
        <v>https://www.dgiwg.org/FAD/fdd/view?i=115669</v>
      </c>
      <c r="L4830" s="36" t="s">
        <v>35376</v>
      </c>
      <c r="M4830" s="186"/>
      <c r="N4830" s="186"/>
      <c r="O4830" s="13" t="s">
        <v>35372</v>
      </c>
    </row>
    <row r="4831" spans="1:15" ht="25.5" x14ac:dyDescent="0.2">
      <c r="A4831" s="197" t="str">
        <f t="shared" si="75"/>
        <v>IktCode_vectorToManualTermination</v>
      </c>
      <c r="B4831" s="409"/>
      <c r="C4831" s="416"/>
      <c r="D4831" s="198" t="s">
        <v>35383</v>
      </c>
      <c r="E4831" s="198">
        <v>24</v>
      </c>
      <c r="F4831" s="199" t="s">
        <v>35384</v>
      </c>
      <c r="G4831" s="1" t="s">
        <v>35385</v>
      </c>
      <c r="H4831" s="200"/>
      <c r="I4831" s="346"/>
      <c r="J4831" s="39">
        <v>115671</v>
      </c>
      <c r="K4831" s="36" t="str">
        <f>CONCATENATE(Cover!$D$6,"fdd/view?i=",J4831)</f>
        <v>https://www.dgiwg.org/FAD/fdd/view?i=115671</v>
      </c>
      <c r="L4831" s="36" t="s">
        <v>35386</v>
      </c>
      <c r="M4831" s="186"/>
      <c r="N4831" s="186"/>
      <c r="O4831" s="13" t="s">
        <v>35382</v>
      </c>
    </row>
    <row r="4832" spans="1:15" ht="25.5" x14ac:dyDescent="0.2">
      <c r="A4832" s="197" t="str">
        <f t="shared" si="75"/>
        <v>IktCode_vectorToNextLeg</v>
      </c>
      <c r="B4832" s="409"/>
      <c r="C4832" s="416"/>
      <c r="D4832" s="198" t="s">
        <v>35378</v>
      </c>
      <c r="E4832" s="198">
        <v>23</v>
      </c>
      <c r="F4832" s="199" t="s">
        <v>35379</v>
      </c>
      <c r="G4832" s="1" t="s">
        <v>35380</v>
      </c>
      <c r="H4832" s="200"/>
      <c r="I4832" s="346"/>
      <c r="J4832" s="39">
        <v>115670</v>
      </c>
      <c r="K4832" s="36" t="str">
        <f>CONCATENATE(Cover!$D$6,"fdd/view?i=",J4832)</f>
        <v>https://www.dgiwg.org/FAD/fdd/view?i=115670</v>
      </c>
      <c r="L4832" s="36" t="s">
        <v>35381</v>
      </c>
      <c r="M4832" s="186"/>
      <c r="N4832" s="186"/>
      <c r="O4832" s="13" t="s">
        <v>35377</v>
      </c>
    </row>
    <row r="4833" spans="1:15" ht="25.5" x14ac:dyDescent="0.2">
      <c r="A4833" s="203" t="str">
        <f t="shared" si="75"/>
        <v>IktCode_vectorToRadialTermination</v>
      </c>
      <c r="B4833" s="410"/>
      <c r="C4833" s="417"/>
      <c r="D4833" s="204" t="s">
        <v>35388</v>
      </c>
      <c r="E4833" s="204">
        <v>25</v>
      </c>
      <c r="F4833" s="205" t="s">
        <v>35389</v>
      </c>
      <c r="G4833" s="206" t="s">
        <v>35390</v>
      </c>
      <c r="H4833" s="207"/>
      <c r="I4833" s="347"/>
      <c r="J4833" s="39">
        <v>115672</v>
      </c>
      <c r="K4833" s="36" t="str">
        <f>CONCATENATE(Cover!$D$6,"fdd/view?i=",J4833)</f>
        <v>https://www.dgiwg.org/FAD/fdd/view?i=115672</v>
      </c>
      <c r="L4833" s="36" t="s">
        <v>35391</v>
      </c>
      <c r="M4833" s="186"/>
      <c r="N4833" s="186"/>
      <c r="O4833" s="13" t="s">
        <v>35387</v>
      </c>
    </row>
    <row r="4834" spans="1:15" ht="25.5" x14ac:dyDescent="0.2">
      <c r="A4834" s="190" t="str">
        <f t="shared" si="75"/>
        <v>IdsCode_incidentReported</v>
      </c>
      <c r="B4834" s="414" t="str">
        <f>HYPERLINK("[#]Datatypes!A720:L720","IdsCode")</f>
        <v>IdsCode</v>
      </c>
      <c r="C4834" s="415" t="s">
        <v>15297</v>
      </c>
      <c r="D4834" s="221" t="s">
        <v>35392</v>
      </c>
      <c r="E4834" s="221">
        <v>2</v>
      </c>
      <c r="F4834" s="222" t="s">
        <v>35393</v>
      </c>
      <c r="G4834" s="223" t="s">
        <v>35394</v>
      </c>
      <c r="H4834" s="224"/>
      <c r="I4834" s="345"/>
      <c r="J4834" s="39">
        <v>118266</v>
      </c>
      <c r="K4834" s="36" t="str">
        <f>CONCATENATE(Cover!$D$6,"fdd/view?i=",J4834)</f>
        <v>https://www.dgiwg.org/FAD/fdd/view?i=118266</v>
      </c>
      <c r="L4834" s="36" t="s">
        <v>35395</v>
      </c>
      <c r="M4834" s="186"/>
      <c r="N4834" s="186"/>
      <c r="O4834" s="172"/>
    </row>
    <row r="4835" spans="1:15" ht="25.5" x14ac:dyDescent="0.2">
      <c r="A4835" s="197" t="str">
        <f t="shared" si="75"/>
        <v>IdsCode_ongoingIncident</v>
      </c>
      <c r="B4835" s="409"/>
      <c r="C4835" s="416"/>
      <c r="D4835" s="198" t="s">
        <v>35396</v>
      </c>
      <c r="E4835" s="198">
        <v>8</v>
      </c>
      <c r="F4835" s="199" t="s">
        <v>35397</v>
      </c>
      <c r="G4835" s="1" t="s">
        <v>35398</v>
      </c>
      <c r="H4835" s="200"/>
      <c r="I4835" s="346"/>
      <c r="J4835" s="39">
        <v>118272</v>
      </c>
      <c r="K4835" s="36" t="str">
        <f>CONCATENATE(Cover!$D$6,"fdd/view?i=",J4835)</f>
        <v>https://www.dgiwg.org/FAD/fdd/view?i=118272</v>
      </c>
      <c r="L4835" s="36" t="s">
        <v>35399</v>
      </c>
      <c r="M4835" s="186"/>
      <c r="N4835" s="186"/>
      <c r="O4835" s="172"/>
    </row>
    <row r="4836" spans="1:15" x14ac:dyDescent="0.2">
      <c r="A4836" s="197" t="str">
        <f t="shared" si="75"/>
        <v>IdsCode_ongoingThreat</v>
      </c>
      <c r="B4836" s="409"/>
      <c r="C4836" s="416"/>
      <c r="D4836" s="198" t="s">
        <v>35400</v>
      </c>
      <c r="E4836" s="198">
        <v>7</v>
      </c>
      <c r="F4836" s="199" t="s">
        <v>35401</v>
      </c>
      <c r="G4836" s="1" t="s">
        <v>35402</v>
      </c>
      <c r="H4836" s="200"/>
      <c r="I4836" s="346"/>
      <c r="J4836" s="39">
        <v>118271</v>
      </c>
      <c r="K4836" s="36" t="str">
        <f>CONCATENATE(Cover!$D$6,"fdd/view?i=",J4836)</f>
        <v>https://www.dgiwg.org/FAD/fdd/view?i=118271</v>
      </c>
      <c r="L4836" s="36" t="s">
        <v>35403</v>
      </c>
      <c r="M4836" s="186"/>
      <c r="N4836" s="186"/>
      <c r="O4836" s="172"/>
    </row>
    <row r="4837" spans="1:15" x14ac:dyDescent="0.2">
      <c r="A4837" s="197" t="str">
        <f t="shared" si="75"/>
        <v>IdsCode_predicted</v>
      </c>
      <c r="B4837" s="409"/>
      <c r="C4837" s="416"/>
      <c r="D4837" s="198" t="s">
        <v>35404</v>
      </c>
      <c r="E4837" s="198">
        <v>4</v>
      </c>
      <c r="F4837" s="199" t="s">
        <v>35405</v>
      </c>
      <c r="G4837" s="1" t="s">
        <v>35406</v>
      </c>
      <c r="H4837" s="200"/>
      <c r="I4837" s="346"/>
      <c r="J4837" s="39">
        <v>118268</v>
      </c>
      <c r="K4837" s="36" t="str">
        <f>CONCATENATE(Cover!$D$6,"fdd/view?i=",J4837)</f>
        <v>https://www.dgiwg.org/FAD/fdd/view?i=118268</v>
      </c>
      <c r="L4837" s="36" t="s">
        <v>35407</v>
      </c>
      <c r="M4837" s="186"/>
      <c r="N4837" s="186"/>
      <c r="O4837" s="172"/>
    </row>
    <row r="4838" spans="1:15" ht="25.5" x14ac:dyDescent="0.2">
      <c r="A4838" s="197" t="str">
        <f t="shared" si="75"/>
        <v>IdsCode_resolved</v>
      </c>
      <c r="B4838" s="409"/>
      <c r="C4838" s="416"/>
      <c r="D4838" s="198" t="s">
        <v>35408</v>
      </c>
      <c r="E4838" s="198">
        <v>6</v>
      </c>
      <c r="F4838" s="199" t="s">
        <v>35409</v>
      </c>
      <c r="G4838" s="1" t="s">
        <v>35410</v>
      </c>
      <c r="H4838" s="200"/>
      <c r="I4838" s="346"/>
      <c r="J4838" s="39">
        <v>118270</v>
      </c>
      <c r="K4838" s="36" t="str">
        <f>CONCATENATE(Cover!$D$6,"fdd/view?i=",J4838)</f>
        <v>https://www.dgiwg.org/FAD/fdd/view?i=118270</v>
      </c>
      <c r="L4838" s="36" t="s">
        <v>35411</v>
      </c>
      <c r="M4838" s="186"/>
      <c r="N4838" s="186"/>
      <c r="O4838" s="172"/>
    </row>
    <row r="4839" spans="1:15" x14ac:dyDescent="0.2">
      <c r="A4839" s="197" t="str">
        <f t="shared" si="75"/>
        <v>IdsCode_riskAssessed</v>
      </c>
      <c r="B4839" s="409"/>
      <c r="C4839" s="416"/>
      <c r="D4839" s="198" t="s">
        <v>35412</v>
      </c>
      <c r="E4839" s="198">
        <v>5</v>
      </c>
      <c r="F4839" s="199" t="s">
        <v>35413</v>
      </c>
      <c r="G4839" s="1" t="s">
        <v>35414</v>
      </c>
      <c r="H4839" s="200"/>
      <c r="I4839" s="346"/>
      <c r="J4839" s="39">
        <v>118269</v>
      </c>
      <c r="K4839" s="36" t="str">
        <f>CONCATENATE(Cover!$D$6,"fdd/view?i=",J4839)</f>
        <v>https://www.dgiwg.org/FAD/fdd/view?i=118269</v>
      </c>
      <c r="L4839" s="36" t="s">
        <v>35415</v>
      </c>
      <c r="M4839" s="186"/>
      <c r="N4839" s="186"/>
      <c r="O4839" s="172"/>
    </row>
    <row r="4840" spans="1:15" x14ac:dyDescent="0.2">
      <c r="A4840" s="197" t="str">
        <f t="shared" si="75"/>
        <v>IdsCode_thwarted</v>
      </c>
      <c r="B4840" s="409"/>
      <c r="C4840" s="416"/>
      <c r="D4840" s="198" t="s">
        <v>35416</v>
      </c>
      <c r="E4840" s="198">
        <v>3</v>
      </c>
      <c r="F4840" s="199" t="s">
        <v>35417</v>
      </c>
      <c r="G4840" s="1" t="s">
        <v>35418</v>
      </c>
      <c r="H4840" s="200"/>
      <c r="I4840" s="346"/>
      <c r="J4840" s="39">
        <v>118267</v>
      </c>
      <c r="K4840" s="36" t="str">
        <f>CONCATENATE(Cover!$D$6,"fdd/view?i=",J4840)</f>
        <v>https://www.dgiwg.org/FAD/fdd/view?i=118267</v>
      </c>
      <c r="L4840" s="36" t="s">
        <v>35419</v>
      </c>
      <c r="M4840" s="186"/>
      <c r="N4840" s="186"/>
      <c r="O4840" s="172"/>
    </row>
    <row r="4841" spans="1:15" x14ac:dyDescent="0.2">
      <c r="A4841" s="203" t="str">
        <f t="shared" si="75"/>
        <v>IdsCode_warningIssued</v>
      </c>
      <c r="B4841" s="410"/>
      <c r="C4841" s="417"/>
      <c r="D4841" s="204" t="s">
        <v>35420</v>
      </c>
      <c r="E4841" s="204">
        <v>1</v>
      </c>
      <c r="F4841" s="205" t="s">
        <v>35421</v>
      </c>
      <c r="G4841" s="206" t="s">
        <v>35422</v>
      </c>
      <c r="H4841" s="206" t="s">
        <v>35423</v>
      </c>
      <c r="I4841" s="347"/>
      <c r="J4841" s="39">
        <v>118265</v>
      </c>
      <c r="K4841" s="36" t="str">
        <f>CONCATENATE(Cover!$D$6,"fdd/view?i=",J4841)</f>
        <v>https://www.dgiwg.org/FAD/fdd/view?i=118265</v>
      </c>
      <c r="L4841" s="36" t="s">
        <v>35424</v>
      </c>
      <c r="M4841" s="186"/>
      <c r="N4841" s="186"/>
      <c r="O4841" s="172"/>
    </row>
    <row r="4842" spans="1:15" ht="51" x14ac:dyDescent="0.2">
      <c r="A4842" s="190" t="str">
        <f t="shared" si="75"/>
        <v>ImiCode_asbestos</v>
      </c>
      <c r="B4842" s="414" t="str">
        <f>HYPERLINK("[#]Datatypes!A724:L724","ImiCode")</f>
        <v>ImiCode</v>
      </c>
      <c r="C4842" s="415" t="s">
        <v>15303</v>
      </c>
      <c r="D4842" s="221" t="s">
        <v>35425</v>
      </c>
      <c r="E4842" s="221">
        <v>1</v>
      </c>
      <c r="F4842" s="222" t="s">
        <v>35426</v>
      </c>
      <c r="G4842" s="223" t="s">
        <v>35427</v>
      </c>
      <c r="H4842" s="224"/>
      <c r="I4842" s="345"/>
      <c r="J4842" s="39">
        <v>113406</v>
      </c>
      <c r="K4842" s="36" t="str">
        <f>CONCATENATE(Cover!$D$6,"fdd/view?i=",J4842)</f>
        <v>https://www.dgiwg.org/FAD/fdd/view?i=113406</v>
      </c>
      <c r="L4842" s="36" t="s">
        <v>35428</v>
      </c>
      <c r="M4842" s="186"/>
      <c r="N4842" s="186"/>
      <c r="O4842" s="172"/>
    </row>
    <row r="4843" spans="1:15" ht="25.5" x14ac:dyDescent="0.2">
      <c r="A4843" s="197" t="str">
        <f t="shared" si="75"/>
        <v>ImiCode_barite</v>
      </c>
      <c r="B4843" s="409"/>
      <c r="C4843" s="416"/>
      <c r="D4843" s="198" t="s">
        <v>35429</v>
      </c>
      <c r="E4843" s="198">
        <v>2</v>
      </c>
      <c r="F4843" s="199" t="s">
        <v>35430</v>
      </c>
      <c r="G4843" s="1" t="s">
        <v>35431</v>
      </c>
      <c r="H4843" s="1" t="s">
        <v>35432</v>
      </c>
      <c r="I4843" s="346"/>
      <c r="J4843" s="39">
        <v>113407</v>
      </c>
      <c r="K4843" s="36" t="str">
        <f>CONCATENATE(Cover!$D$6,"fdd/view?i=",J4843)</f>
        <v>https://www.dgiwg.org/FAD/fdd/view?i=113407</v>
      </c>
      <c r="L4843" s="36" t="s">
        <v>35433</v>
      </c>
      <c r="M4843" s="186"/>
      <c r="N4843" s="186"/>
      <c r="O4843" s="172"/>
    </row>
    <row r="4844" spans="1:15" ht="25.5" x14ac:dyDescent="0.2">
      <c r="A4844" s="197" t="str">
        <f t="shared" si="75"/>
        <v>ImiCode_bauxite</v>
      </c>
      <c r="B4844" s="409"/>
      <c r="C4844" s="416"/>
      <c r="D4844" s="198" t="s">
        <v>35434</v>
      </c>
      <c r="E4844" s="198">
        <v>3</v>
      </c>
      <c r="F4844" s="199" t="s">
        <v>35435</v>
      </c>
      <c r="G4844" s="1" t="s">
        <v>35436</v>
      </c>
      <c r="H4844" s="200"/>
      <c r="I4844" s="346"/>
      <c r="J4844" s="39">
        <v>113408</v>
      </c>
      <c r="K4844" s="36" t="str">
        <f>CONCATENATE(Cover!$D$6,"fdd/view?i=",J4844)</f>
        <v>https://www.dgiwg.org/FAD/fdd/view?i=113408</v>
      </c>
      <c r="L4844" s="36" t="s">
        <v>35437</v>
      </c>
      <c r="M4844" s="186"/>
      <c r="N4844" s="186"/>
      <c r="O4844" s="172"/>
    </row>
    <row r="4845" spans="1:15" ht="25.5" x14ac:dyDescent="0.2">
      <c r="A4845" s="197" t="str">
        <f t="shared" si="75"/>
        <v>ImiCode_bentonite</v>
      </c>
      <c r="B4845" s="409"/>
      <c r="C4845" s="416"/>
      <c r="D4845" s="198" t="s">
        <v>35438</v>
      </c>
      <c r="E4845" s="198">
        <v>4</v>
      </c>
      <c r="F4845" s="199" t="s">
        <v>35439</v>
      </c>
      <c r="G4845" s="1" t="s">
        <v>35440</v>
      </c>
      <c r="H4845" s="200"/>
      <c r="I4845" s="346"/>
      <c r="J4845" s="39">
        <v>113409</v>
      </c>
      <c r="K4845" s="36" t="str">
        <f>CONCATENATE(Cover!$D$6,"fdd/view?i=",J4845)</f>
        <v>https://www.dgiwg.org/FAD/fdd/view?i=113409</v>
      </c>
      <c r="L4845" s="36" t="s">
        <v>35441</v>
      </c>
      <c r="M4845" s="186"/>
      <c r="N4845" s="186"/>
      <c r="O4845" s="172"/>
    </row>
    <row r="4846" spans="1:15" ht="38.25" x14ac:dyDescent="0.2">
      <c r="A4846" s="197" t="str">
        <f t="shared" si="75"/>
        <v>ImiCode_beryl</v>
      </c>
      <c r="B4846" s="409"/>
      <c r="C4846" s="416"/>
      <c r="D4846" s="198" t="s">
        <v>35442</v>
      </c>
      <c r="E4846" s="198">
        <v>5</v>
      </c>
      <c r="F4846" s="199" t="s">
        <v>35443</v>
      </c>
      <c r="G4846" s="1" t="s">
        <v>35444</v>
      </c>
      <c r="H4846" s="200"/>
      <c r="I4846" s="346"/>
      <c r="J4846" s="39">
        <v>113410</v>
      </c>
      <c r="K4846" s="36" t="str">
        <f>CONCATENATE(Cover!$D$6,"fdd/view?i=",J4846)</f>
        <v>https://www.dgiwg.org/FAD/fdd/view?i=113410</v>
      </c>
      <c r="L4846" s="36" t="s">
        <v>35445</v>
      </c>
      <c r="M4846" s="186"/>
      <c r="N4846" s="186"/>
      <c r="O4846" s="172"/>
    </row>
    <row r="4847" spans="1:15" ht="38.25" x14ac:dyDescent="0.2">
      <c r="A4847" s="197" t="str">
        <f t="shared" si="75"/>
        <v>ImiCode_corundum</v>
      </c>
      <c r="B4847" s="409"/>
      <c r="C4847" s="416"/>
      <c r="D4847" s="198" t="s">
        <v>35446</v>
      </c>
      <c r="E4847" s="198">
        <v>6</v>
      </c>
      <c r="F4847" s="199" t="s">
        <v>35447</v>
      </c>
      <c r="G4847" s="1" t="s">
        <v>35448</v>
      </c>
      <c r="H4847" s="1" t="s">
        <v>35449</v>
      </c>
      <c r="I4847" s="346"/>
      <c r="J4847" s="39">
        <v>113411</v>
      </c>
      <c r="K4847" s="36" t="str">
        <f>CONCATENATE(Cover!$D$6,"fdd/view?i=",J4847)</f>
        <v>https://www.dgiwg.org/FAD/fdd/view?i=113411</v>
      </c>
      <c r="L4847" s="36" t="s">
        <v>35450</v>
      </c>
      <c r="M4847" s="186"/>
      <c r="N4847" s="186"/>
      <c r="O4847" s="172"/>
    </row>
    <row r="4848" spans="1:15" ht="38.25" x14ac:dyDescent="0.2">
      <c r="A4848" s="197" t="str">
        <f t="shared" si="75"/>
        <v>ImiCode_diamond</v>
      </c>
      <c r="B4848" s="409"/>
      <c r="C4848" s="416"/>
      <c r="D4848" s="198" t="s">
        <v>24752</v>
      </c>
      <c r="E4848" s="198">
        <v>7</v>
      </c>
      <c r="F4848" s="199" t="s">
        <v>24753</v>
      </c>
      <c r="G4848" s="1" t="s">
        <v>35451</v>
      </c>
      <c r="H4848" s="1" t="s">
        <v>35452</v>
      </c>
      <c r="I4848" s="346"/>
      <c r="J4848" s="39">
        <v>113412</v>
      </c>
      <c r="K4848" s="36" t="str">
        <f>CONCATENATE(Cover!$D$6,"fdd/view?i=",J4848)</f>
        <v>https://www.dgiwg.org/FAD/fdd/view?i=113412</v>
      </c>
      <c r="L4848" s="36" t="s">
        <v>35453</v>
      </c>
      <c r="M4848" s="186"/>
      <c r="N4848" s="186"/>
      <c r="O4848" s="172"/>
    </row>
    <row r="4849" spans="1:15" ht="38.25" x14ac:dyDescent="0.2">
      <c r="A4849" s="197" t="str">
        <f t="shared" si="75"/>
        <v>ImiCode_feldspar</v>
      </c>
      <c r="B4849" s="409"/>
      <c r="C4849" s="416"/>
      <c r="D4849" s="198" t="s">
        <v>35454</v>
      </c>
      <c r="E4849" s="198">
        <v>8</v>
      </c>
      <c r="F4849" s="199" t="s">
        <v>35455</v>
      </c>
      <c r="G4849" s="1" t="s">
        <v>35456</v>
      </c>
      <c r="H4849" s="200"/>
      <c r="I4849" s="346"/>
      <c r="J4849" s="39">
        <v>113413</v>
      </c>
      <c r="K4849" s="36" t="str">
        <f>CONCATENATE(Cover!$D$6,"fdd/view?i=",J4849)</f>
        <v>https://www.dgiwg.org/FAD/fdd/view?i=113413</v>
      </c>
      <c r="L4849" s="36" t="s">
        <v>35457</v>
      </c>
      <c r="M4849" s="186"/>
      <c r="N4849" s="186"/>
      <c r="O4849" s="172"/>
    </row>
    <row r="4850" spans="1:15" ht="38.25" x14ac:dyDescent="0.2">
      <c r="A4850" s="197" t="str">
        <f t="shared" si="75"/>
        <v>ImiCode_fluorite</v>
      </c>
      <c r="B4850" s="409"/>
      <c r="C4850" s="416"/>
      <c r="D4850" s="198" t="s">
        <v>35458</v>
      </c>
      <c r="E4850" s="198">
        <v>9</v>
      </c>
      <c r="F4850" s="199" t="s">
        <v>35459</v>
      </c>
      <c r="G4850" s="1" t="s">
        <v>35460</v>
      </c>
      <c r="H4850" s="1" t="s">
        <v>35461</v>
      </c>
      <c r="I4850" s="346"/>
      <c r="J4850" s="39">
        <v>113414</v>
      </c>
      <c r="K4850" s="36" t="str">
        <f>CONCATENATE(Cover!$D$6,"fdd/view?i=",J4850)</f>
        <v>https://www.dgiwg.org/FAD/fdd/view?i=113414</v>
      </c>
      <c r="L4850" s="36" t="s">
        <v>35462</v>
      </c>
      <c r="M4850" s="186"/>
      <c r="N4850" s="186"/>
      <c r="O4850" s="172"/>
    </row>
    <row r="4851" spans="1:15" ht="38.25" x14ac:dyDescent="0.2">
      <c r="A4851" s="197" t="str">
        <f t="shared" si="75"/>
        <v>ImiCode_graphite</v>
      </c>
      <c r="B4851" s="409"/>
      <c r="C4851" s="416"/>
      <c r="D4851" s="198" t="s">
        <v>35463</v>
      </c>
      <c r="E4851" s="198">
        <v>10</v>
      </c>
      <c r="F4851" s="199" t="s">
        <v>35464</v>
      </c>
      <c r="G4851" s="1" t="s">
        <v>35465</v>
      </c>
      <c r="H4851" s="200"/>
      <c r="I4851" s="346"/>
      <c r="J4851" s="39">
        <v>113415</v>
      </c>
      <c r="K4851" s="36" t="str">
        <f>CONCATENATE(Cover!$D$6,"fdd/view?i=",J4851)</f>
        <v>https://www.dgiwg.org/FAD/fdd/view?i=113415</v>
      </c>
      <c r="L4851" s="36" t="s">
        <v>35466</v>
      </c>
      <c r="M4851" s="186"/>
      <c r="N4851" s="186"/>
      <c r="O4851" s="172"/>
    </row>
    <row r="4852" spans="1:15" ht="25.5" x14ac:dyDescent="0.2">
      <c r="A4852" s="197" t="str">
        <f t="shared" si="75"/>
        <v>ImiCode_kaolinite</v>
      </c>
      <c r="B4852" s="409"/>
      <c r="C4852" s="416"/>
      <c r="D4852" s="198" t="s">
        <v>35467</v>
      </c>
      <c r="E4852" s="198">
        <v>11</v>
      </c>
      <c r="F4852" s="199" t="s">
        <v>35468</v>
      </c>
      <c r="G4852" s="1" t="s">
        <v>35469</v>
      </c>
      <c r="H4852" s="200"/>
      <c r="I4852" s="346"/>
      <c r="J4852" s="39">
        <v>113416</v>
      </c>
      <c r="K4852" s="36" t="str">
        <f>CONCATENATE(Cover!$D$6,"fdd/view?i=",J4852)</f>
        <v>https://www.dgiwg.org/FAD/fdd/view?i=113416</v>
      </c>
      <c r="L4852" s="36" t="s">
        <v>35470</v>
      </c>
      <c r="M4852" s="186"/>
      <c r="N4852" s="186"/>
      <c r="O4852" s="172"/>
    </row>
    <row r="4853" spans="1:15" ht="38.25" x14ac:dyDescent="0.2">
      <c r="A4853" s="197" t="str">
        <f t="shared" si="75"/>
        <v>ImiCode_magnesite</v>
      </c>
      <c r="B4853" s="409"/>
      <c r="C4853" s="416"/>
      <c r="D4853" s="198" t="s">
        <v>35471</v>
      </c>
      <c r="E4853" s="198">
        <v>12</v>
      </c>
      <c r="F4853" s="199" t="s">
        <v>35472</v>
      </c>
      <c r="G4853" s="1" t="s">
        <v>35473</v>
      </c>
      <c r="H4853" s="200"/>
      <c r="I4853" s="346"/>
      <c r="J4853" s="39">
        <v>113417</v>
      </c>
      <c r="K4853" s="36" t="str">
        <f>CONCATENATE(Cover!$D$6,"fdd/view?i=",J4853)</f>
        <v>https://www.dgiwg.org/FAD/fdd/view?i=113417</v>
      </c>
      <c r="L4853" s="36" t="s">
        <v>35474</v>
      </c>
      <c r="M4853" s="186"/>
      <c r="N4853" s="186"/>
      <c r="O4853" s="172"/>
    </row>
    <row r="4854" spans="1:15" ht="51" x14ac:dyDescent="0.2">
      <c r="A4854" s="197" t="str">
        <f t="shared" si="75"/>
        <v>ImiCode_mica</v>
      </c>
      <c r="B4854" s="409"/>
      <c r="C4854" s="416"/>
      <c r="D4854" s="198" t="s">
        <v>35475</v>
      </c>
      <c r="E4854" s="198">
        <v>13</v>
      </c>
      <c r="F4854" s="199" t="s">
        <v>35476</v>
      </c>
      <c r="G4854" s="1" t="s">
        <v>35477</v>
      </c>
      <c r="H4854" s="200"/>
      <c r="I4854" s="346"/>
      <c r="J4854" s="39">
        <v>113418</v>
      </c>
      <c r="K4854" s="36" t="str">
        <f>CONCATENATE(Cover!$D$6,"fdd/view?i=",J4854)</f>
        <v>https://www.dgiwg.org/FAD/fdd/view?i=113418</v>
      </c>
      <c r="L4854" s="36" t="s">
        <v>35478</v>
      </c>
      <c r="M4854" s="186"/>
      <c r="N4854" s="186"/>
      <c r="O4854" s="172"/>
    </row>
    <row r="4855" spans="1:15" ht="38.25" x14ac:dyDescent="0.2">
      <c r="A4855" s="197" t="str">
        <f t="shared" si="75"/>
        <v>ImiCode_monazite</v>
      </c>
      <c r="B4855" s="409"/>
      <c r="C4855" s="416"/>
      <c r="D4855" s="198" t="s">
        <v>35479</v>
      </c>
      <c r="E4855" s="198">
        <v>14</v>
      </c>
      <c r="F4855" s="199" t="s">
        <v>35480</v>
      </c>
      <c r="G4855" s="1" t="s">
        <v>35481</v>
      </c>
      <c r="H4855" s="200"/>
      <c r="I4855" s="346"/>
      <c r="J4855" s="39">
        <v>113419</v>
      </c>
      <c r="K4855" s="36" t="str">
        <f>CONCATENATE(Cover!$D$6,"fdd/view?i=",J4855)</f>
        <v>https://www.dgiwg.org/FAD/fdd/view?i=113419</v>
      </c>
      <c r="L4855" s="36" t="s">
        <v>35482</v>
      </c>
      <c r="M4855" s="186"/>
      <c r="N4855" s="186"/>
      <c r="O4855" s="172"/>
    </row>
    <row r="4856" spans="1:15" ht="38.25" x14ac:dyDescent="0.2">
      <c r="A4856" s="197" t="str">
        <f t="shared" si="75"/>
        <v>ImiCode_phosphate</v>
      </c>
      <c r="B4856" s="409"/>
      <c r="C4856" s="416"/>
      <c r="D4856" s="198" t="s">
        <v>35483</v>
      </c>
      <c r="E4856" s="198">
        <v>15</v>
      </c>
      <c r="F4856" s="199" t="s">
        <v>35484</v>
      </c>
      <c r="G4856" s="1" t="s">
        <v>35485</v>
      </c>
      <c r="H4856" s="200"/>
      <c r="I4856" s="346"/>
      <c r="J4856" s="39">
        <v>113420</v>
      </c>
      <c r="K4856" s="36" t="str">
        <f>CONCATENATE(Cover!$D$6,"fdd/view?i=",J4856)</f>
        <v>https://www.dgiwg.org/FAD/fdd/view?i=113420</v>
      </c>
      <c r="L4856" s="36" t="s">
        <v>35486</v>
      </c>
      <c r="M4856" s="186"/>
      <c r="N4856" s="186"/>
      <c r="O4856" s="172"/>
    </row>
    <row r="4857" spans="1:15" ht="38.25" x14ac:dyDescent="0.2">
      <c r="A4857" s="197" t="str">
        <f t="shared" si="75"/>
        <v>ImiCode_quartz</v>
      </c>
      <c r="B4857" s="409"/>
      <c r="C4857" s="416"/>
      <c r="D4857" s="198" t="s">
        <v>35487</v>
      </c>
      <c r="E4857" s="198">
        <v>16</v>
      </c>
      <c r="F4857" s="199" t="s">
        <v>35488</v>
      </c>
      <c r="G4857" s="1" t="s">
        <v>35489</v>
      </c>
      <c r="H4857" s="200"/>
      <c r="I4857" s="346"/>
      <c r="J4857" s="39">
        <v>113421</v>
      </c>
      <c r="K4857" s="36" t="str">
        <f>CONCATENATE(Cover!$D$6,"fdd/view?i=",J4857)</f>
        <v>https://www.dgiwg.org/FAD/fdd/view?i=113421</v>
      </c>
      <c r="L4857" s="36" t="s">
        <v>35490</v>
      </c>
      <c r="M4857" s="186"/>
      <c r="N4857" s="186"/>
      <c r="O4857" s="172"/>
    </row>
    <row r="4858" spans="1:15" ht="38.25" x14ac:dyDescent="0.2">
      <c r="A4858" s="197" t="str">
        <f t="shared" si="75"/>
        <v>ImiCode_sulphur</v>
      </c>
      <c r="B4858" s="409"/>
      <c r="C4858" s="416"/>
      <c r="D4858" s="198" t="s">
        <v>25884</v>
      </c>
      <c r="E4858" s="198">
        <v>17</v>
      </c>
      <c r="F4858" s="199" t="s">
        <v>35491</v>
      </c>
      <c r="G4858" s="1" t="s">
        <v>35492</v>
      </c>
      <c r="H4858" s="1" t="s">
        <v>35493</v>
      </c>
      <c r="I4858" s="346"/>
      <c r="J4858" s="39">
        <v>113422</v>
      </c>
      <c r="K4858" s="36" t="str">
        <f>CONCATENATE(Cover!$D$6,"fdd/view?i=",J4858)</f>
        <v>https://www.dgiwg.org/FAD/fdd/view?i=113422</v>
      </c>
      <c r="L4858" s="36" t="s">
        <v>35494</v>
      </c>
      <c r="M4858" s="186"/>
      <c r="N4858" s="186"/>
      <c r="O4858" s="172"/>
    </row>
    <row r="4859" spans="1:15" ht="25.5" x14ac:dyDescent="0.2">
      <c r="A4859" s="197" t="str">
        <f t="shared" si="75"/>
        <v>ImiCode_talc</v>
      </c>
      <c r="B4859" s="409"/>
      <c r="C4859" s="416"/>
      <c r="D4859" s="198" t="s">
        <v>35495</v>
      </c>
      <c r="E4859" s="198">
        <v>18</v>
      </c>
      <c r="F4859" s="199" t="s">
        <v>35496</v>
      </c>
      <c r="G4859" s="1" t="s">
        <v>35497</v>
      </c>
      <c r="H4859" s="200"/>
      <c r="I4859" s="346"/>
      <c r="J4859" s="39">
        <v>113423</v>
      </c>
      <c r="K4859" s="36" t="str">
        <f>CONCATENATE(Cover!$D$6,"fdd/view?i=",J4859)</f>
        <v>https://www.dgiwg.org/FAD/fdd/view?i=113423</v>
      </c>
      <c r="L4859" s="36" t="s">
        <v>35498</v>
      </c>
      <c r="M4859" s="186"/>
      <c r="N4859" s="186"/>
      <c r="O4859" s="172"/>
    </row>
    <row r="4860" spans="1:15" ht="51" x14ac:dyDescent="0.2">
      <c r="A4860" s="197" t="str">
        <f t="shared" si="75"/>
        <v>ImiCode_vermiculite</v>
      </c>
      <c r="B4860" s="409"/>
      <c r="C4860" s="416"/>
      <c r="D4860" s="198" t="s">
        <v>35499</v>
      </c>
      <c r="E4860" s="198">
        <v>19</v>
      </c>
      <c r="F4860" s="199" t="s">
        <v>35500</v>
      </c>
      <c r="G4860" s="1" t="s">
        <v>35501</v>
      </c>
      <c r="H4860" s="200"/>
      <c r="I4860" s="346"/>
      <c r="J4860" s="39">
        <v>113424</v>
      </c>
      <c r="K4860" s="36" t="str">
        <f>CONCATENATE(Cover!$D$6,"fdd/view?i=",J4860)</f>
        <v>https://www.dgiwg.org/FAD/fdd/view?i=113424</v>
      </c>
      <c r="L4860" s="36" t="s">
        <v>35502</v>
      </c>
      <c r="M4860" s="186"/>
      <c r="N4860" s="186"/>
      <c r="O4860" s="172"/>
    </row>
    <row r="4861" spans="1:15" ht="38.25" x14ac:dyDescent="0.2">
      <c r="A4861" s="197" t="str">
        <f t="shared" si="75"/>
        <v>ImiCode_wollastonite</v>
      </c>
      <c r="B4861" s="409"/>
      <c r="C4861" s="416"/>
      <c r="D4861" s="198" t="s">
        <v>35503</v>
      </c>
      <c r="E4861" s="198">
        <v>20</v>
      </c>
      <c r="F4861" s="199" t="s">
        <v>35504</v>
      </c>
      <c r="G4861" s="1" t="s">
        <v>35505</v>
      </c>
      <c r="H4861" s="200"/>
      <c r="I4861" s="346"/>
      <c r="J4861" s="39">
        <v>113425</v>
      </c>
      <c r="K4861" s="36" t="str">
        <f>CONCATENATE(Cover!$D$6,"fdd/view?i=",J4861)</f>
        <v>https://www.dgiwg.org/FAD/fdd/view?i=113425</v>
      </c>
      <c r="L4861" s="36" t="s">
        <v>35506</v>
      </c>
      <c r="M4861" s="186"/>
      <c r="N4861" s="186"/>
      <c r="O4861" s="172"/>
    </row>
    <row r="4862" spans="1:15" ht="25.5" x14ac:dyDescent="0.2">
      <c r="A4862" s="197" t="str">
        <f t="shared" si="75"/>
        <v>ImiCode_zeolite</v>
      </c>
      <c r="B4862" s="409"/>
      <c r="C4862" s="416"/>
      <c r="D4862" s="198" t="s">
        <v>35507</v>
      </c>
      <c r="E4862" s="198">
        <v>21</v>
      </c>
      <c r="F4862" s="199" t="s">
        <v>35508</v>
      </c>
      <c r="G4862" s="1" t="s">
        <v>35509</v>
      </c>
      <c r="H4862" s="200"/>
      <c r="I4862" s="346"/>
      <c r="J4862" s="39">
        <v>113426</v>
      </c>
      <c r="K4862" s="36" t="str">
        <f>CONCATENATE(Cover!$D$6,"fdd/view?i=",J4862)</f>
        <v>https://www.dgiwg.org/FAD/fdd/view?i=113426</v>
      </c>
      <c r="L4862" s="36" t="s">
        <v>35510</v>
      </c>
      <c r="M4862" s="186"/>
      <c r="N4862" s="186"/>
      <c r="O4862" s="172"/>
    </row>
    <row r="4863" spans="1:15" ht="38.25" x14ac:dyDescent="0.2">
      <c r="A4863" s="203" t="str">
        <f t="shared" si="75"/>
        <v>ImiCode_zircon</v>
      </c>
      <c r="B4863" s="410"/>
      <c r="C4863" s="417"/>
      <c r="D4863" s="204" t="s">
        <v>35511</v>
      </c>
      <c r="E4863" s="204">
        <v>22</v>
      </c>
      <c r="F4863" s="205" t="s">
        <v>35512</v>
      </c>
      <c r="G4863" s="206" t="s">
        <v>35513</v>
      </c>
      <c r="H4863" s="207"/>
      <c r="I4863" s="347"/>
      <c r="J4863" s="39">
        <v>113427</v>
      </c>
      <c r="K4863" s="36" t="str">
        <f>CONCATENATE(Cover!$D$6,"fdd/view?i=",J4863)</f>
        <v>https://www.dgiwg.org/FAD/fdd/view?i=113427</v>
      </c>
      <c r="L4863" s="36" t="s">
        <v>35514</v>
      </c>
      <c r="M4863" s="186"/>
      <c r="N4863" s="186"/>
      <c r="O4863" s="172"/>
    </row>
    <row r="4864" spans="1:15" ht="25.5" x14ac:dyDescent="0.2">
      <c r="A4864" s="190" t="str">
        <f t="shared" si="75"/>
        <v>MiiCode_acoustic</v>
      </c>
      <c r="B4864" s="414" t="str">
        <f>HYPERLINK("[#]Datatypes!A726:L726","MiiCode")</f>
        <v>MiiCode</v>
      </c>
      <c r="C4864" s="415" t="s">
        <v>15305</v>
      </c>
      <c r="D4864" s="221" t="s">
        <v>35515</v>
      </c>
      <c r="E4864" s="221">
        <v>4</v>
      </c>
      <c r="F4864" s="222" t="s">
        <v>35516</v>
      </c>
      <c r="G4864" s="223" t="s">
        <v>35517</v>
      </c>
      <c r="H4864" s="223" t="s">
        <v>35518</v>
      </c>
      <c r="I4864" s="345"/>
      <c r="J4864" s="39">
        <v>105695</v>
      </c>
      <c r="K4864" s="36" t="str">
        <f>CONCATENATE(Cover!$D$6,"fdd/view?i=",J4864)</f>
        <v>https://www.dgiwg.org/FAD/fdd/view?i=105695</v>
      </c>
      <c r="L4864" s="36" t="s">
        <v>35519</v>
      </c>
      <c r="M4864" s="186"/>
      <c r="N4864" s="186"/>
      <c r="O4864" s="172"/>
    </row>
    <row r="4865" spans="1:15" ht="38.25" x14ac:dyDescent="0.2">
      <c r="A4865" s="197" t="str">
        <f t="shared" si="75"/>
        <v>MiiCode_combined</v>
      </c>
      <c r="B4865" s="409"/>
      <c r="C4865" s="416"/>
      <c r="D4865" s="198" t="s">
        <v>35520</v>
      </c>
      <c r="E4865" s="198">
        <v>2</v>
      </c>
      <c r="F4865" s="199" t="s">
        <v>35521</v>
      </c>
      <c r="G4865" s="1" t="s">
        <v>35522</v>
      </c>
      <c r="H4865" s="200"/>
      <c r="I4865" s="346"/>
      <c r="J4865" s="39">
        <v>105693</v>
      </c>
      <c r="K4865" s="36" t="str">
        <f>CONCATENATE(Cover!$D$6,"fdd/view?i=",J4865)</f>
        <v>https://www.dgiwg.org/FAD/fdd/view?i=105693</v>
      </c>
      <c r="L4865" s="36" t="s">
        <v>35523</v>
      </c>
      <c r="M4865" s="186"/>
      <c r="N4865" s="186"/>
      <c r="O4865" s="172"/>
    </row>
    <row r="4866" spans="1:15" ht="25.5" x14ac:dyDescent="0.2">
      <c r="A4866" s="197" t="str">
        <f t="shared" ref="A4866:A4929" si="76">HYPERLINK(K4866,L4866)</f>
        <v>MiiCode_magnetic</v>
      </c>
      <c r="B4866" s="409"/>
      <c r="C4866" s="416"/>
      <c r="D4866" s="198" t="s">
        <v>34184</v>
      </c>
      <c r="E4866" s="198">
        <v>3</v>
      </c>
      <c r="F4866" s="199" t="s">
        <v>34185</v>
      </c>
      <c r="G4866" s="1" t="s">
        <v>35524</v>
      </c>
      <c r="H4866" s="1" t="s">
        <v>35525</v>
      </c>
      <c r="I4866" s="346"/>
      <c r="J4866" s="39">
        <v>105694</v>
      </c>
      <c r="K4866" s="36" t="str">
        <f>CONCATENATE(Cover!$D$6,"fdd/view?i=",J4866)</f>
        <v>https://www.dgiwg.org/FAD/fdd/view?i=105694</v>
      </c>
      <c r="L4866" s="36" t="s">
        <v>35526</v>
      </c>
      <c r="M4866" s="186"/>
      <c r="N4866" s="186"/>
      <c r="O4866" s="172"/>
    </row>
    <row r="4867" spans="1:15" ht="38.25" x14ac:dyDescent="0.2">
      <c r="A4867" s="203" t="str">
        <f t="shared" si="76"/>
        <v>MiiCode_pressure</v>
      </c>
      <c r="B4867" s="410"/>
      <c r="C4867" s="417"/>
      <c r="D4867" s="204" t="s">
        <v>320</v>
      </c>
      <c r="E4867" s="204">
        <v>1</v>
      </c>
      <c r="F4867" s="205" t="s">
        <v>321</v>
      </c>
      <c r="G4867" s="206" t="s">
        <v>35527</v>
      </c>
      <c r="H4867" s="207"/>
      <c r="I4867" s="353" t="s">
        <v>35528</v>
      </c>
      <c r="J4867" s="39">
        <v>105692</v>
      </c>
      <c r="K4867" s="36" t="str">
        <f>CONCATENATE(Cover!$D$6,"fdd/view?i=",J4867)</f>
        <v>https://www.dgiwg.org/FAD/fdd/view?i=105692</v>
      </c>
      <c r="L4867" s="36" t="s">
        <v>35529</v>
      </c>
      <c r="M4867" s="186"/>
      <c r="N4867" s="186"/>
      <c r="O4867" s="172"/>
    </row>
    <row r="4868" spans="1:15" ht="25.5" x14ac:dyDescent="0.2">
      <c r="A4868" s="190" t="str">
        <f t="shared" si="76"/>
        <v>SleCode_dense</v>
      </c>
      <c r="B4868" s="414" t="str">
        <f>HYPERLINK("[#]Datatypes!A728:L728","SleCode")</f>
        <v>SleCode</v>
      </c>
      <c r="C4868" s="415" t="s">
        <v>15307</v>
      </c>
      <c r="D4868" s="221" t="s">
        <v>24687</v>
      </c>
      <c r="E4868" s="221">
        <v>3</v>
      </c>
      <c r="F4868" s="222" t="s">
        <v>24688</v>
      </c>
      <c r="G4868" s="223" t="s">
        <v>35530</v>
      </c>
      <c r="H4868" s="224"/>
      <c r="I4868" s="345"/>
      <c r="J4868" s="39">
        <v>113776</v>
      </c>
      <c r="K4868" s="36" t="str">
        <f>CONCATENATE(Cover!$D$6,"fdd/view?i=",J4868)</f>
        <v>https://www.dgiwg.org/FAD/fdd/view?i=113776</v>
      </c>
      <c r="L4868" s="36" t="s">
        <v>35531</v>
      </c>
      <c r="M4868" s="186"/>
      <c r="N4868" s="186"/>
      <c r="O4868" s="172"/>
    </row>
    <row r="4869" spans="1:15" ht="25.5" x14ac:dyDescent="0.2">
      <c r="A4869" s="197" t="str">
        <f t="shared" si="76"/>
        <v>SleCode_sparse</v>
      </c>
      <c r="B4869" s="409"/>
      <c r="C4869" s="416"/>
      <c r="D4869" s="198" t="s">
        <v>24695</v>
      </c>
      <c r="E4869" s="198">
        <v>2</v>
      </c>
      <c r="F4869" s="199" t="s">
        <v>24696</v>
      </c>
      <c r="G4869" s="1" t="s">
        <v>35532</v>
      </c>
      <c r="H4869" s="200"/>
      <c r="I4869" s="346"/>
      <c r="J4869" s="39">
        <v>113775</v>
      </c>
      <c r="K4869" s="36" t="str">
        <f>CONCATENATE(Cover!$D$6,"fdd/view?i=",J4869)</f>
        <v>https://www.dgiwg.org/FAD/fdd/view?i=113775</v>
      </c>
      <c r="L4869" s="36" t="s">
        <v>35533</v>
      </c>
      <c r="M4869" s="186"/>
      <c r="N4869" s="186"/>
      <c r="O4869" s="172"/>
    </row>
    <row r="4870" spans="1:15" ht="25.5" x14ac:dyDescent="0.2">
      <c r="A4870" s="197" t="str">
        <f t="shared" si="76"/>
        <v>SleCode_veryDense</v>
      </c>
      <c r="B4870" s="409"/>
      <c r="C4870" s="416"/>
      <c r="D4870" s="198" t="s">
        <v>35534</v>
      </c>
      <c r="E4870" s="198">
        <v>4</v>
      </c>
      <c r="F4870" s="199" t="s">
        <v>35535</v>
      </c>
      <c r="G4870" s="1" t="s">
        <v>35536</v>
      </c>
      <c r="H4870" s="200"/>
      <c r="I4870" s="346"/>
      <c r="J4870" s="39">
        <v>113777</v>
      </c>
      <c r="K4870" s="36" t="str">
        <f>CONCATENATE(Cover!$D$6,"fdd/view?i=",J4870)</f>
        <v>https://www.dgiwg.org/FAD/fdd/view?i=113777</v>
      </c>
      <c r="L4870" s="36" t="s">
        <v>35537</v>
      </c>
      <c r="M4870" s="186"/>
      <c r="N4870" s="186"/>
      <c r="O4870" s="172"/>
    </row>
    <row r="4871" spans="1:15" ht="25.5" x14ac:dyDescent="0.2">
      <c r="A4871" s="203" t="str">
        <f t="shared" si="76"/>
        <v>SleCode_verySparse</v>
      </c>
      <c r="B4871" s="410"/>
      <c r="C4871" s="417"/>
      <c r="D4871" s="204" t="s">
        <v>35538</v>
      </c>
      <c r="E4871" s="204">
        <v>1</v>
      </c>
      <c r="F4871" s="205" t="s">
        <v>35539</v>
      </c>
      <c r="G4871" s="206" t="s">
        <v>35540</v>
      </c>
      <c r="H4871" s="207"/>
      <c r="I4871" s="347"/>
      <c r="J4871" s="39">
        <v>113774</v>
      </c>
      <c r="K4871" s="36" t="str">
        <f>CONCATENATE(Cover!$D$6,"fdd/view?i=",J4871)</f>
        <v>https://www.dgiwg.org/FAD/fdd/view?i=113774</v>
      </c>
      <c r="L4871" s="36" t="s">
        <v>35541</v>
      </c>
      <c r="M4871" s="186"/>
      <c r="N4871" s="186"/>
      <c r="O4871" s="172"/>
    </row>
    <row r="4872" spans="1:15" ht="89.25" x14ac:dyDescent="0.2">
      <c r="A4872" s="190" t="str">
        <f t="shared" si="76"/>
        <v>FwbCode_aquaculture</v>
      </c>
      <c r="B4872" s="414" t="str">
        <f>HYPERLINK("[#]Datatypes!A730:L730","FwbCode")</f>
        <v>FwbCode</v>
      </c>
      <c r="C4872" s="415" t="s">
        <v>15309</v>
      </c>
      <c r="D4872" s="221" t="s">
        <v>30455</v>
      </c>
      <c r="E4872" s="221">
        <v>11</v>
      </c>
      <c r="F4872" s="222" t="s">
        <v>30456</v>
      </c>
      <c r="G4872" s="223" t="s">
        <v>35542</v>
      </c>
      <c r="H4872" s="223" t="s">
        <v>2098</v>
      </c>
      <c r="I4872" s="345"/>
      <c r="J4872" s="39">
        <v>118692</v>
      </c>
      <c r="K4872" s="36" t="str">
        <f>CONCATENATE(Cover!$D$6,"fdd/view?i=",J4872)</f>
        <v>https://www.dgiwg.org/FAD/fdd/view?i=118692</v>
      </c>
      <c r="L4872" s="36" t="s">
        <v>35543</v>
      </c>
      <c r="M4872" s="186"/>
      <c r="N4872" s="186"/>
      <c r="O4872" s="172"/>
    </row>
    <row r="4873" spans="1:15" x14ac:dyDescent="0.2">
      <c r="A4873" s="197" t="str">
        <f t="shared" si="76"/>
        <v>FwbCode_barrier</v>
      </c>
      <c r="B4873" s="409"/>
      <c r="C4873" s="416"/>
      <c r="D4873" s="198" t="s">
        <v>25352</v>
      </c>
      <c r="E4873" s="198">
        <v>5</v>
      </c>
      <c r="F4873" s="199" t="s">
        <v>25353</v>
      </c>
      <c r="G4873" s="1" t="s">
        <v>35544</v>
      </c>
      <c r="H4873" s="1" t="s">
        <v>35545</v>
      </c>
      <c r="I4873" s="346"/>
      <c r="J4873" s="39">
        <v>118686</v>
      </c>
      <c r="K4873" s="36" t="str">
        <f>CONCATENATE(Cover!$D$6,"fdd/view?i=",J4873)</f>
        <v>https://www.dgiwg.org/FAD/fdd/view?i=118686</v>
      </c>
      <c r="L4873" s="36" t="s">
        <v>35546</v>
      </c>
      <c r="M4873" s="186"/>
      <c r="N4873" s="186"/>
      <c r="O4873" s="172"/>
    </row>
    <row r="4874" spans="1:15" x14ac:dyDescent="0.2">
      <c r="A4874" s="197" t="str">
        <f t="shared" si="76"/>
        <v>FwbCode_drainage</v>
      </c>
      <c r="B4874" s="409"/>
      <c r="C4874" s="416"/>
      <c r="D4874" s="198" t="s">
        <v>28909</v>
      </c>
      <c r="E4874" s="198">
        <v>2</v>
      </c>
      <c r="F4874" s="199" t="s">
        <v>28910</v>
      </c>
      <c r="G4874" s="1" t="s">
        <v>28911</v>
      </c>
      <c r="H4874" s="1" t="s">
        <v>35547</v>
      </c>
      <c r="I4874" s="346"/>
      <c r="J4874" s="39">
        <v>118683</v>
      </c>
      <c r="K4874" s="36" t="str">
        <f>CONCATENATE(Cover!$D$6,"fdd/view?i=",J4874)</f>
        <v>https://www.dgiwg.org/FAD/fdd/view?i=118683</v>
      </c>
      <c r="L4874" s="36" t="s">
        <v>35548</v>
      </c>
      <c r="M4874" s="186"/>
      <c r="N4874" s="186"/>
      <c r="O4874" s="172"/>
    </row>
    <row r="4875" spans="1:15" ht="25.5" x14ac:dyDescent="0.2">
      <c r="A4875" s="197" t="str">
        <f t="shared" si="76"/>
        <v>FwbCode_energyGeneration</v>
      </c>
      <c r="B4875" s="409"/>
      <c r="C4875" s="416"/>
      <c r="D4875" s="198" t="s">
        <v>35549</v>
      </c>
      <c r="E4875" s="198">
        <v>4</v>
      </c>
      <c r="F4875" s="199" t="s">
        <v>35550</v>
      </c>
      <c r="G4875" s="1" t="s">
        <v>35551</v>
      </c>
      <c r="H4875" s="1" t="s">
        <v>35552</v>
      </c>
      <c r="I4875" s="346"/>
      <c r="J4875" s="39">
        <v>118685</v>
      </c>
      <c r="K4875" s="36" t="str">
        <f>CONCATENATE(Cover!$D$6,"fdd/view?i=",J4875)</f>
        <v>https://www.dgiwg.org/FAD/fdd/view?i=118685</v>
      </c>
      <c r="L4875" s="36" t="s">
        <v>35553</v>
      </c>
      <c r="M4875" s="186"/>
      <c r="N4875" s="186"/>
      <c r="O4875" s="172"/>
    </row>
    <row r="4876" spans="1:15" ht="25.5" x14ac:dyDescent="0.2">
      <c r="A4876" s="197" t="str">
        <f t="shared" si="76"/>
        <v>FwbCode_filtration</v>
      </c>
      <c r="B4876" s="409"/>
      <c r="C4876" s="416"/>
      <c r="D4876" s="198" t="s">
        <v>35554</v>
      </c>
      <c r="E4876" s="198">
        <v>13</v>
      </c>
      <c r="F4876" s="199" t="s">
        <v>35555</v>
      </c>
      <c r="G4876" s="1" t="s">
        <v>35556</v>
      </c>
      <c r="H4876" s="200"/>
      <c r="I4876" s="346"/>
      <c r="J4876" s="39">
        <v>118693</v>
      </c>
      <c r="K4876" s="36" t="str">
        <f>CONCATENATE(Cover!$D$6,"fdd/view?i=",J4876)</f>
        <v>https://www.dgiwg.org/FAD/fdd/view?i=118693</v>
      </c>
      <c r="L4876" s="36" t="s">
        <v>35557</v>
      </c>
      <c r="M4876" s="186"/>
      <c r="N4876" s="186"/>
      <c r="O4876" s="172"/>
    </row>
    <row r="4877" spans="1:15" x14ac:dyDescent="0.2">
      <c r="A4877" s="197" t="str">
        <f t="shared" si="76"/>
        <v>FwbCode_fireFighting</v>
      </c>
      <c r="B4877" s="409"/>
      <c r="C4877" s="416"/>
      <c r="D4877" s="198" t="s">
        <v>35558</v>
      </c>
      <c r="E4877" s="198">
        <v>7</v>
      </c>
      <c r="F4877" s="199" t="s">
        <v>35559</v>
      </c>
      <c r="G4877" s="1" t="s">
        <v>35560</v>
      </c>
      <c r="H4877" s="1" t="s">
        <v>35561</v>
      </c>
      <c r="I4877" s="346"/>
      <c r="J4877" s="39">
        <v>118688</v>
      </c>
      <c r="K4877" s="36" t="str">
        <f>CONCATENATE(Cover!$D$6,"fdd/view?i=",J4877)</f>
        <v>https://www.dgiwg.org/FAD/fdd/view?i=118688</v>
      </c>
      <c r="L4877" s="36" t="s">
        <v>35562</v>
      </c>
      <c r="M4877" s="186"/>
      <c r="N4877" s="186"/>
      <c r="O4877" s="172"/>
    </row>
    <row r="4878" spans="1:15" ht="25.5" x14ac:dyDescent="0.2">
      <c r="A4878" s="197" t="str">
        <f t="shared" si="76"/>
        <v>FwbCode_floodProtection</v>
      </c>
      <c r="B4878" s="409"/>
      <c r="C4878" s="416"/>
      <c r="D4878" s="198" t="s">
        <v>35563</v>
      </c>
      <c r="E4878" s="198">
        <v>6</v>
      </c>
      <c r="F4878" s="199" t="s">
        <v>35564</v>
      </c>
      <c r="G4878" s="1" t="s">
        <v>35565</v>
      </c>
      <c r="H4878" s="1" t="s">
        <v>35566</v>
      </c>
      <c r="I4878" s="346"/>
      <c r="J4878" s="39">
        <v>118687</v>
      </c>
      <c r="K4878" s="36" t="str">
        <f>CONCATENATE(Cover!$D$6,"fdd/view?i=",J4878)</f>
        <v>https://www.dgiwg.org/FAD/fdd/view?i=118687</v>
      </c>
      <c r="L4878" s="36" t="s">
        <v>35567</v>
      </c>
      <c r="M4878" s="186"/>
      <c r="N4878" s="186"/>
      <c r="O4878" s="172"/>
    </row>
    <row r="4879" spans="1:15" x14ac:dyDescent="0.2">
      <c r="A4879" s="197" t="str">
        <f t="shared" si="76"/>
        <v>FwbCode_industrial</v>
      </c>
      <c r="B4879" s="409"/>
      <c r="C4879" s="416"/>
      <c r="D4879" s="198" t="s">
        <v>32466</v>
      </c>
      <c r="E4879" s="198">
        <v>14</v>
      </c>
      <c r="F4879" s="199" t="s">
        <v>32467</v>
      </c>
      <c r="G4879" s="1" t="s">
        <v>35568</v>
      </c>
      <c r="H4879" s="200"/>
      <c r="I4879" s="346"/>
      <c r="J4879" s="39">
        <v>118694</v>
      </c>
      <c r="K4879" s="36" t="str">
        <f>CONCATENATE(Cover!$D$6,"fdd/view?i=",J4879)</f>
        <v>https://www.dgiwg.org/FAD/fdd/view?i=118694</v>
      </c>
      <c r="L4879" s="36" t="s">
        <v>35569</v>
      </c>
      <c r="M4879" s="186"/>
      <c r="N4879" s="186"/>
      <c r="O4879" s="172"/>
    </row>
    <row r="4880" spans="1:15" x14ac:dyDescent="0.2">
      <c r="A4880" s="197" t="str">
        <f t="shared" si="76"/>
        <v>FwbCode_irrigation</v>
      </c>
      <c r="B4880" s="409"/>
      <c r="C4880" s="416"/>
      <c r="D4880" s="198" t="s">
        <v>28913</v>
      </c>
      <c r="E4880" s="198">
        <v>1</v>
      </c>
      <c r="F4880" s="199" t="s">
        <v>28914</v>
      </c>
      <c r="G4880" s="1" t="s">
        <v>28915</v>
      </c>
      <c r="H4880" s="1" t="s">
        <v>35570</v>
      </c>
      <c r="I4880" s="346"/>
      <c r="J4880" s="39">
        <v>118682</v>
      </c>
      <c r="K4880" s="36" t="str">
        <f>CONCATENATE(Cover!$D$6,"fdd/view?i=",J4880)</f>
        <v>https://www.dgiwg.org/FAD/fdd/view?i=118682</v>
      </c>
      <c r="L4880" s="36" t="s">
        <v>35571</v>
      </c>
      <c r="M4880" s="186"/>
      <c r="N4880" s="186"/>
      <c r="O4880" s="172"/>
    </row>
    <row r="4881" spans="1:15" ht="25.5" x14ac:dyDescent="0.2">
      <c r="A4881" s="197" t="str">
        <f t="shared" si="76"/>
        <v>FwbCode_lockBasin</v>
      </c>
      <c r="B4881" s="409"/>
      <c r="C4881" s="416"/>
      <c r="D4881" s="198" t="s">
        <v>35572</v>
      </c>
      <c r="E4881" s="198">
        <v>9</v>
      </c>
      <c r="F4881" s="199" t="s">
        <v>3910</v>
      </c>
      <c r="G4881" s="1" t="s">
        <v>35573</v>
      </c>
      <c r="H4881" s="200"/>
      <c r="I4881" s="346"/>
      <c r="J4881" s="39">
        <v>118690</v>
      </c>
      <c r="K4881" s="36" t="str">
        <f>CONCATENATE(Cover!$D$6,"fdd/view?i=",J4881)</f>
        <v>https://www.dgiwg.org/FAD/fdd/view?i=118690</v>
      </c>
      <c r="L4881" s="36" t="s">
        <v>35574</v>
      </c>
      <c r="M4881" s="186"/>
      <c r="N4881" s="186"/>
      <c r="O4881" s="172"/>
    </row>
    <row r="4882" spans="1:15" ht="25.5" x14ac:dyDescent="0.2">
      <c r="A4882" s="197" t="str">
        <f t="shared" si="76"/>
        <v>FwbCode_saltEvaporation</v>
      </c>
      <c r="B4882" s="409"/>
      <c r="C4882" s="416"/>
      <c r="D4882" s="198" t="s">
        <v>35575</v>
      </c>
      <c r="E4882" s="198">
        <v>8</v>
      </c>
      <c r="F4882" s="199" t="s">
        <v>35576</v>
      </c>
      <c r="G4882" s="1" t="s">
        <v>35577</v>
      </c>
      <c r="H4882" s="200"/>
      <c r="I4882" s="346"/>
      <c r="J4882" s="39">
        <v>118689</v>
      </c>
      <c r="K4882" s="36" t="str">
        <f>CONCATENATE(Cover!$D$6,"fdd/view?i=",J4882)</f>
        <v>https://www.dgiwg.org/FAD/fdd/view?i=118689</v>
      </c>
      <c r="L4882" s="36" t="s">
        <v>35578</v>
      </c>
      <c r="M4882" s="186"/>
      <c r="N4882" s="186"/>
      <c r="O4882" s="172"/>
    </row>
    <row r="4883" spans="1:15" x14ac:dyDescent="0.2">
      <c r="A4883" s="197" t="str">
        <f t="shared" si="76"/>
        <v>FwbCode_swimming</v>
      </c>
      <c r="B4883" s="409"/>
      <c r="C4883" s="416"/>
      <c r="D4883" s="198" t="s">
        <v>35579</v>
      </c>
      <c r="E4883" s="198">
        <v>10</v>
      </c>
      <c r="F4883" s="199" t="s">
        <v>35580</v>
      </c>
      <c r="G4883" s="1" t="s">
        <v>35581</v>
      </c>
      <c r="H4883" s="200"/>
      <c r="I4883" s="346"/>
      <c r="J4883" s="39">
        <v>118691</v>
      </c>
      <c r="K4883" s="36" t="str">
        <f>CONCATENATE(Cover!$D$6,"fdd/view?i=",J4883)</f>
        <v>https://www.dgiwg.org/FAD/fdd/view?i=118691</v>
      </c>
      <c r="L4883" s="36" t="s">
        <v>35582</v>
      </c>
      <c r="M4883" s="186"/>
      <c r="N4883" s="186"/>
      <c r="O4883" s="172"/>
    </row>
    <row r="4884" spans="1:15" x14ac:dyDescent="0.2">
      <c r="A4884" s="203" t="str">
        <f t="shared" si="76"/>
        <v>FwbCode_waterSupply</v>
      </c>
      <c r="B4884" s="410"/>
      <c r="C4884" s="417"/>
      <c r="D4884" s="204" t="s">
        <v>35583</v>
      </c>
      <c r="E4884" s="204">
        <v>3</v>
      </c>
      <c r="F4884" s="205" t="s">
        <v>35584</v>
      </c>
      <c r="G4884" s="206" t="s">
        <v>35585</v>
      </c>
      <c r="H4884" s="206" t="s">
        <v>35586</v>
      </c>
      <c r="I4884" s="347"/>
      <c r="J4884" s="39">
        <v>118684</v>
      </c>
      <c r="K4884" s="36" t="str">
        <f>CONCATENATE(Cover!$D$6,"fdd/view?i=",J4884)</f>
        <v>https://www.dgiwg.org/FAD/fdd/view?i=118684</v>
      </c>
      <c r="L4884" s="36" t="s">
        <v>35587</v>
      </c>
      <c r="M4884" s="186"/>
      <c r="N4884" s="186"/>
      <c r="O4884" s="172"/>
    </row>
    <row r="4885" spans="1:15" ht="38.25" x14ac:dyDescent="0.2">
      <c r="A4885" s="190" t="str">
        <f t="shared" si="76"/>
        <v>IwtCode_aqueduct</v>
      </c>
      <c r="B4885" s="414" t="str">
        <f>HYPERLINK("[#]Datatypes!A732:L732","IwtCode")</f>
        <v>IwtCode</v>
      </c>
      <c r="C4885" s="415" t="s">
        <v>15311</v>
      </c>
      <c r="D4885" s="221" t="s">
        <v>35588</v>
      </c>
      <c r="E4885" s="221">
        <v>11</v>
      </c>
      <c r="F4885" s="222" t="s">
        <v>2104</v>
      </c>
      <c r="G4885" s="223" t="s">
        <v>2106</v>
      </c>
      <c r="H4885" s="223" t="s">
        <v>2107</v>
      </c>
      <c r="I4885" s="345"/>
      <c r="J4885" s="39">
        <v>118479</v>
      </c>
      <c r="K4885" s="36" t="str">
        <f>CONCATENATE(Cover!$D$6,"fdd/view?i=",J4885)</f>
        <v>https://www.dgiwg.org/FAD/fdd/view?i=118479</v>
      </c>
      <c r="L4885" s="36" t="s">
        <v>35589</v>
      </c>
      <c r="M4885" s="186"/>
      <c r="N4885" s="186"/>
      <c r="O4885" s="172"/>
    </row>
    <row r="4886" spans="1:15" ht="51" x14ac:dyDescent="0.2">
      <c r="A4886" s="197" t="str">
        <f t="shared" si="76"/>
        <v>IwtCode_basin</v>
      </c>
      <c r="B4886" s="409"/>
      <c r="C4886" s="416"/>
      <c r="D4886" s="198" t="s">
        <v>35590</v>
      </c>
      <c r="E4886" s="198">
        <v>5</v>
      </c>
      <c r="F4886" s="199" t="s">
        <v>35591</v>
      </c>
      <c r="G4886" s="1" t="s">
        <v>35592</v>
      </c>
      <c r="H4886" s="1" t="s">
        <v>35593</v>
      </c>
      <c r="I4886" s="346"/>
      <c r="J4886" s="39">
        <v>117931</v>
      </c>
      <c r="K4886" s="36" t="str">
        <f>CONCATENATE(Cover!$D$6,"fdd/view?i=",J4886)</f>
        <v>https://www.dgiwg.org/FAD/fdd/view?i=117931</v>
      </c>
      <c r="L4886" s="36" t="s">
        <v>35594</v>
      </c>
      <c r="M4886" s="186"/>
      <c r="N4886" s="186"/>
      <c r="O4886" s="172"/>
    </row>
    <row r="4887" spans="1:15" ht="25.5" x14ac:dyDescent="0.2">
      <c r="A4887" s="197" t="str">
        <f t="shared" si="76"/>
        <v>IwtCode_canal</v>
      </c>
      <c r="B4887" s="409"/>
      <c r="C4887" s="416"/>
      <c r="D4887" s="198" t="s">
        <v>35595</v>
      </c>
      <c r="E4887" s="198">
        <v>10</v>
      </c>
      <c r="F4887" s="199" t="s">
        <v>2414</v>
      </c>
      <c r="G4887" s="1" t="s">
        <v>2416</v>
      </c>
      <c r="H4887" s="200"/>
      <c r="I4887" s="346"/>
      <c r="J4887" s="39">
        <v>118478</v>
      </c>
      <c r="K4887" s="36" t="str">
        <f>CONCATENATE(Cover!$D$6,"fdd/view?i=",J4887)</f>
        <v>https://www.dgiwg.org/FAD/fdd/view?i=118478</v>
      </c>
      <c r="L4887" s="36" t="s">
        <v>35596</v>
      </c>
      <c r="M4887" s="186"/>
      <c r="N4887" s="186"/>
      <c r="O4887" s="172"/>
    </row>
    <row r="4888" spans="1:15" ht="25.5" x14ac:dyDescent="0.2">
      <c r="A4888" s="197" t="str">
        <f t="shared" si="76"/>
        <v>IwtCode_ditch</v>
      </c>
      <c r="B4888" s="409"/>
      <c r="C4888" s="416"/>
      <c r="D4888" s="198" t="s">
        <v>35597</v>
      </c>
      <c r="E4888" s="198">
        <v>13</v>
      </c>
      <c r="F4888" s="199" t="s">
        <v>2819</v>
      </c>
      <c r="G4888" s="1" t="s">
        <v>2821</v>
      </c>
      <c r="H4888" s="200"/>
      <c r="I4888" s="346"/>
      <c r="J4888" s="39">
        <v>119388</v>
      </c>
      <c r="K4888" s="36" t="str">
        <f>CONCATENATE(Cover!$D$6,"fdd/view?i=",J4888)</f>
        <v>https://www.dgiwg.org/FAD/fdd/view?i=119388</v>
      </c>
      <c r="L4888" s="36" t="s">
        <v>35598</v>
      </c>
      <c r="M4888" s="186"/>
      <c r="N4888" s="186"/>
      <c r="O4888" s="172"/>
    </row>
    <row r="4889" spans="1:15" ht="25.5" x14ac:dyDescent="0.2">
      <c r="A4889" s="197" t="str">
        <f t="shared" si="76"/>
        <v>IwtCode_lake</v>
      </c>
      <c r="B4889" s="409"/>
      <c r="C4889" s="416"/>
      <c r="D4889" s="198" t="s">
        <v>35599</v>
      </c>
      <c r="E4889" s="198">
        <v>1</v>
      </c>
      <c r="F4889" s="199" t="s">
        <v>3776</v>
      </c>
      <c r="G4889" s="1" t="s">
        <v>3778</v>
      </c>
      <c r="H4889" s="1" t="s">
        <v>35600</v>
      </c>
      <c r="I4889" s="346"/>
      <c r="J4889" s="39">
        <v>117927</v>
      </c>
      <c r="K4889" s="36" t="str">
        <f>CONCATENATE(Cover!$D$6,"fdd/view?i=",J4889)</f>
        <v>https://www.dgiwg.org/FAD/fdd/view?i=117927</v>
      </c>
      <c r="L4889" s="36" t="s">
        <v>35601</v>
      </c>
      <c r="M4889" s="186"/>
      <c r="N4889" s="186"/>
      <c r="O4889" s="172"/>
    </row>
    <row r="4890" spans="1:15" ht="51" x14ac:dyDescent="0.2">
      <c r="A4890" s="197" t="str">
        <f t="shared" si="76"/>
        <v>IwtCode_landlockedSea</v>
      </c>
      <c r="B4890" s="409"/>
      <c r="C4890" s="416"/>
      <c r="D4890" s="198" t="s">
        <v>35602</v>
      </c>
      <c r="E4890" s="198">
        <v>7</v>
      </c>
      <c r="F4890" s="199" t="s">
        <v>35603</v>
      </c>
      <c r="G4890" s="1" t="s">
        <v>35604</v>
      </c>
      <c r="H4890" s="1" t="s">
        <v>35605</v>
      </c>
      <c r="I4890" s="346"/>
      <c r="J4890" s="39">
        <v>117933</v>
      </c>
      <c r="K4890" s="36" t="str">
        <f>CONCATENATE(Cover!$D$6,"fdd/view?i=",J4890)</f>
        <v>https://www.dgiwg.org/FAD/fdd/view?i=117933</v>
      </c>
      <c r="L4890" s="36" t="s">
        <v>35606</v>
      </c>
      <c r="M4890" s="186"/>
      <c r="N4890" s="186"/>
      <c r="O4890" s="172"/>
    </row>
    <row r="4891" spans="1:15" ht="51" x14ac:dyDescent="0.2">
      <c r="A4891" s="197" t="str">
        <f t="shared" si="76"/>
        <v>IwtCode_pond</v>
      </c>
      <c r="B4891" s="409"/>
      <c r="C4891" s="416"/>
      <c r="D4891" s="198" t="s">
        <v>35607</v>
      </c>
      <c r="E4891" s="198">
        <v>2</v>
      </c>
      <c r="F4891" s="199" t="s">
        <v>4480</v>
      </c>
      <c r="G4891" s="1" t="s">
        <v>35608</v>
      </c>
      <c r="H4891" s="1" t="s">
        <v>35609</v>
      </c>
      <c r="I4891" s="346"/>
      <c r="J4891" s="39">
        <v>117928</v>
      </c>
      <c r="K4891" s="36" t="str">
        <f>CONCATENATE(Cover!$D$6,"fdd/view?i=",J4891)</f>
        <v>https://www.dgiwg.org/FAD/fdd/view?i=117928</v>
      </c>
      <c r="L4891" s="36" t="s">
        <v>35610</v>
      </c>
      <c r="M4891" s="186"/>
      <c r="N4891" s="186"/>
      <c r="O4891" s="172"/>
    </row>
    <row r="4892" spans="1:15" ht="38.25" x14ac:dyDescent="0.2">
      <c r="A4892" s="197" t="str">
        <f t="shared" si="76"/>
        <v>IwtCode_reservoir</v>
      </c>
      <c r="B4892" s="409"/>
      <c r="C4892" s="416"/>
      <c r="D4892" s="198" t="s">
        <v>35611</v>
      </c>
      <c r="E4892" s="198">
        <v>4</v>
      </c>
      <c r="F4892" s="199" t="s">
        <v>4716</v>
      </c>
      <c r="G4892" s="1" t="s">
        <v>35612</v>
      </c>
      <c r="H4892" s="1" t="s">
        <v>35613</v>
      </c>
      <c r="I4892" s="346"/>
      <c r="J4892" s="39">
        <v>117930</v>
      </c>
      <c r="K4892" s="36" t="str">
        <f>CONCATENATE(Cover!$D$6,"fdd/view?i=",J4892)</f>
        <v>https://www.dgiwg.org/FAD/fdd/view?i=117930</v>
      </c>
      <c r="L4892" s="36" t="s">
        <v>35614</v>
      </c>
      <c r="M4892" s="186"/>
      <c r="N4892" s="186"/>
      <c r="O4892" s="172"/>
    </row>
    <row r="4893" spans="1:15" x14ac:dyDescent="0.2">
      <c r="A4893" s="197" t="str">
        <f t="shared" si="76"/>
        <v>IwtCode_river</v>
      </c>
      <c r="B4893" s="409"/>
      <c r="C4893" s="416"/>
      <c r="D4893" s="198" t="s">
        <v>35615</v>
      </c>
      <c r="E4893" s="198">
        <v>9</v>
      </c>
      <c r="F4893" s="199" t="s">
        <v>4750</v>
      </c>
      <c r="G4893" s="1" t="s">
        <v>4752</v>
      </c>
      <c r="H4893" s="200"/>
      <c r="I4893" s="346"/>
      <c r="J4893" s="39">
        <v>118477</v>
      </c>
      <c r="K4893" s="36" t="str">
        <f>CONCATENATE(Cover!$D$6,"fdd/view?i=",J4893)</f>
        <v>https://www.dgiwg.org/FAD/fdd/view?i=118477</v>
      </c>
      <c r="L4893" s="36" t="s">
        <v>35616</v>
      </c>
      <c r="M4893" s="186"/>
      <c r="N4893" s="186"/>
      <c r="O4893" s="172"/>
    </row>
    <row r="4894" spans="1:15" ht="38.25" x14ac:dyDescent="0.2">
      <c r="A4894" s="197" t="str">
        <f t="shared" si="76"/>
        <v>IwtCode_undifferentiatedWaterBody</v>
      </c>
      <c r="B4894" s="409"/>
      <c r="C4894" s="416"/>
      <c r="D4894" s="198" t="s">
        <v>35617</v>
      </c>
      <c r="E4894" s="198">
        <v>3</v>
      </c>
      <c r="F4894" s="199" t="s">
        <v>35618</v>
      </c>
      <c r="G4894" s="1" t="s">
        <v>35619</v>
      </c>
      <c r="H4894" s="1" t="s">
        <v>35620</v>
      </c>
      <c r="I4894" s="346"/>
      <c r="J4894" s="39">
        <v>117929</v>
      </c>
      <c r="K4894" s="36" t="str">
        <f>CONCATENATE(Cover!$D$6,"fdd/view?i=",J4894)</f>
        <v>https://www.dgiwg.org/FAD/fdd/view?i=117929</v>
      </c>
      <c r="L4894" s="36" t="s">
        <v>35621</v>
      </c>
      <c r="M4894" s="186"/>
      <c r="N4894" s="186"/>
      <c r="O4894" s="172"/>
    </row>
    <row r="4895" spans="1:15" ht="25.5" x14ac:dyDescent="0.2">
      <c r="A4895" s="197" t="str">
        <f t="shared" si="76"/>
        <v>IwtCode_waterHole</v>
      </c>
      <c r="B4895" s="409"/>
      <c r="C4895" s="416"/>
      <c r="D4895" s="198" t="s">
        <v>35624</v>
      </c>
      <c r="E4895" s="198">
        <v>6</v>
      </c>
      <c r="F4895" s="199" t="s">
        <v>5849</v>
      </c>
      <c r="G4895" s="1" t="s">
        <v>5850</v>
      </c>
      <c r="H4895" s="200"/>
      <c r="I4895" s="346"/>
      <c r="J4895" s="39">
        <v>117932</v>
      </c>
      <c r="K4895" s="36" t="str">
        <f>CONCATENATE(Cover!$D$6,"fdd/view?i=",J4895)</f>
        <v>https://www.dgiwg.org/FAD/fdd/view?i=117932</v>
      </c>
      <c r="L4895" s="36" t="s">
        <v>35625</v>
      </c>
      <c r="M4895" s="186"/>
      <c r="N4895" s="186"/>
      <c r="O4895" s="172"/>
    </row>
    <row r="4896" spans="1:15" ht="38.25" x14ac:dyDescent="0.2">
      <c r="A4896" s="203" t="str">
        <f t="shared" si="76"/>
        <v>IwtCode_waterRace</v>
      </c>
      <c r="B4896" s="410"/>
      <c r="C4896" s="417"/>
      <c r="D4896" s="204" t="s">
        <v>35622</v>
      </c>
      <c r="E4896" s="204">
        <v>12</v>
      </c>
      <c r="F4896" s="205" t="s">
        <v>5794</v>
      </c>
      <c r="G4896" s="206" t="s">
        <v>5795</v>
      </c>
      <c r="H4896" s="206" t="s">
        <v>5796</v>
      </c>
      <c r="I4896" s="347"/>
      <c r="J4896" s="39">
        <v>118480</v>
      </c>
      <c r="K4896" s="36" t="str">
        <f>CONCATENATE(Cover!$D$6,"fdd/view?i=",J4896)</f>
        <v>https://www.dgiwg.org/FAD/fdd/view?i=118480</v>
      </c>
      <c r="L4896" s="36" t="s">
        <v>35623</v>
      </c>
      <c r="M4896" s="186"/>
      <c r="N4896" s="186"/>
      <c r="O4896" s="172"/>
    </row>
    <row r="4897" spans="1:15" ht="38.25" x14ac:dyDescent="0.2">
      <c r="A4897" s="190" t="str">
        <f t="shared" si="76"/>
        <v>IbcCode_catenaryAnchorLegMooring</v>
      </c>
      <c r="B4897" s="414" t="str">
        <f>HYPERLINK("[#]Datatypes!A734:L734","IbcCode")</f>
        <v>IbcCode</v>
      </c>
      <c r="C4897" s="415" t="s">
        <v>15313</v>
      </c>
      <c r="D4897" s="221" t="s">
        <v>35626</v>
      </c>
      <c r="E4897" s="221">
        <v>1</v>
      </c>
      <c r="F4897" s="222" t="s">
        <v>35627</v>
      </c>
      <c r="G4897" s="223" t="s">
        <v>35628</v>
      </c>
      <c r="H4897" s="223" t="s">
        <v>35629</v>
      </c>
      <c r="I4897" s="345"/>
      <c r="J4897" s="39">
        <v>104672</v>
      </c>
      <c r="K4897" s="36" t="str">
        <f>CONCATENATE(Cover!$D$6,"fdd/view?i=",J4897)</f>
        <v>https://www.dgiwg.org/FAD/fdd/view?i=104672</v>
      </c>
      <c r="L4897" s="36" t="s">
        <v>35630</v>
      </c>
      <c r="M4897" s="186"/>
      <c r="N4897" s="186"/>
      <c r="O4897" s="172"/>
    </row>
    <row r="4898" spans="1:15" ht="25.5" x14ac:dyDescent="0.2">
      <c r="A4898" s="203" t="str">
        <f t="shared" si="76"/>
        <v>IbcCode_singleBuoyMooring</v>
      </c>
      <c r="B4898" s="410"/>
      <c r="C4898" s="417"/>
      <c r="D4898" s="204" t="s">
        <v>35631</v>
      </c>
      <c r="E4898" s="204">
        <v>2</v>
      </c>
      <c r="F4898" s="205" t="s">
        <v>35632</v>
      </c>
      <c r="G4898" s="206" t="s">
        <v>35633</v>
      </c>
      <c r="H4898" s="206" t="s">
        <v>35634</v>
      </c>
      <c r="I4898" s="347"/>
      <c r="J4898" s="39">
        <v>104673</v>
      </c>
      <c r="K4898" s="36" t="str">
        <f>CONCATENATE(Cover!$D$6,"fdd/view?i=",J4898)</f>
        <v>https://www.dgiwg.org/FAD/fdd/view?i=104673</v>
      </c>
      <c r="L4898" s="36" t="s">
        <v>35635</v>
      </c>
      <c r="M4898" s="186"/>
      <c r="N4898" s="186"/>
      <c r="O4898" s="172"/>
    </row>
    <row r="4899" spans="1:15" ht="25.5" x14ac:dyDescent="0.2">
      <c r="A4899" s="190" t="str">
        <f t="shared" si="76"/>
        <v>IfrCode_finalApproachFix</v>
      </c>
      <c r="B4899" s="414" t="str">
        <f>HYPERLINK("[#]Datatypes!A736:L736","IfrCode")</f>
        <v>IfrCode</v>
      </c>
      <c r="C4899" s="415" t="s">
        <v>15315</v>
      </c>
      <c r="D4899" s="221" t="s">
        <v>35637</v>
      </c>
      <c r="E4899" s="221">
        <v>1</v>
      </c>
      <c r="F4899" s="222" t="s">
        <v>35638</v>
      </c>
      <c r="G4899" s="223" t="s">
        <v>35639</v>
      </c>
      <c r="H4899" s="224"/>
      <c r="I4899" s="345"/>
      <c r="J4899" s="39">
        <v>115675</v>
      </c>
      <c r="K4899" s="36" t="str">
        <f>CONCATENATE(Cover!$D$6,"fdd/view?i=",J4899)</f>
        <v>https://www.dgiwg.org/FAD/fdd/view?i=115675</v>
      </c>
      <c r="L4899" s="36" t="s">
        <v>35640</v>
      </c>
      <c r="M4899" s="186"/>
      <c r="N4899" s="186"/>
      <c r="O4899" s="13" t="s">
        <v>35636</v>
      </c>
    </row>
    <row r="4900" spans="1:15" ht="25.5" x14ac:dyDescent="0.2">
      <c r="A4900" s="197" t="str">
        <f t="shared" si="76"/>
        <v>IfrCode_initialApproachFix</v>
      </c>
      <c r="B4900" s="409"/>
      <c r="C4900" s="416"/>
      <c r="D4900" s="198" t="s">
        <v>35642</v>
      </c>
      <c r="E4900" s="198">
        <v>2</v>
      </c>
      <c r="F4900" s="199" t="s">
        <v>35643</v>
      </c>
      <c r="G4900" s="1" t="s">
        <v>35644</v>
      </c>
      <c r="H4900" s="200"/>
      <c r="I4900" s="346"/>
      <c r="J4900" s="39">
        <v>115676</v>
      </c>
      <c r="K4900" s="36" t="str">
        <f>CONCATENATE(Cover!$D$6,"fdd/view?i=",J4900)</f>
        <v>https://www.dgiwg.org/FAD/fdd/view?i=115676</v>
      </c>
      <c r="L4900" s="36" t="s">
        <v>35645</v>
      </c>
      <c r="M4900" s="186"/>
      <c r="N4900" s="186"/>
      <c r="O4900" s="13" t="s">
        <v>35641</v>
      </c>
    </row>
    <row r="4901" spans="1:15" ht="25.5" x14ac:dyDescent="0.2">
      <c r="A4901" s="197" t="str">
        <f t="shared" si="76"/>
        <v>IfrCode_intermediateApproachFix</v>
      </c>
      <c r="B4901" s="409"/>
      <c r="C4901" s="416"/>
      <c r="D4901" s="198" t="s">
        <v>35646</v>
      </c>
      <c r="E4901" s="198">
        <v>3</v>
      </c>
      <c r="F4901" s="199" t="s">
        <v>35647</v>
      </c>
      <c r="G4901" s="1" t="s">
        <v>35648</v>
      </c>
      <c r="H4901" s="200"/>
      <c r="I4901" s="346"/>
      <c r="J4901" s="39">
        <v>115677</v>
      </c>
      <c r="K4901" s="36" t="str">
        <f>CONCATENATE(Cover!$D$6,"fdd/view?i=",J4901)</f>
        <v>https://www.dgiwg.org/FAD/fdd/view?i=115677</v>
      </c>
      <c r="L4901" s="36" t="s">
        <v>35649</v>
      </c>
      <c r="M4901" s="186"/>
      <c r="N4901" s="186"/>
      <c r="O4901" s="13" t="s">
        <v>35342</v>
      </c>
    </row>
    <row r="4902" spans="1:15" ht="38.25" x14ac:dyDescent="0.2">
      <c r="A4902" s="203" t="str">
        <f t="shared" si="76"/>
        <v>IfrCode_missedApproachPoint</v>
      </c>
      <c r="B4902" s="410"/>
      <c r="C4902" s="417"/>
      <c r="D4902" s="204" t="s">
        <v>35651</v>
      </c>
      <c r="E4902" s="204">
        <v>4</v>
      </c>
      <c r="F4902" s="205" t="s">
        <v>35652</v>
      </c>
      <c r="G4902" s="206" t="s">
        <v>35653</v>
      </c>
      <c r="H4902" s="207"/>
      <c r="I4902" s="347"/>
      <c r="J4902" s="39">
        <v>115678</v>
      </c>
      <c r="K4902" s="36" t="str">
        <f>CONCATENATE(Cover!$D$6,"fdd/view?i=",J4902)</f>
        <v>https://www.dgiwg.org/FAD/fdd/view?i=115678</v>
      </c>
      <c r="L4902" s="36" t="s">
        <v>35654</v>
      </c>
      <c r="M4902" s="186"/>
      <c r="N4902" s="186"/>
      <c r="O4902" s="13" t="s">
        <v>35650</v>
      </c>
    </row>
    <row r="4903" spans="1:15" ht="63.75" x14ac:dyDescent="0.2">
      <c r="A4903" s="190" t="str">
        <f t="shared" si="76"/>
        <v>IlcCode_catIIIaOps</v>
      </c>
      <c r="B4903" s="414" t="str">
        <f>HYPERLINK("[#]Datatypes!A738:L738","IlcCode")</f>
        <v>IlcCode</v>
      </c>
      <c r="C4903" s="415" t="s">
        <v>15317</v>
      </c>
      <c r="D4903" s="221" t="s">
        <v>35671</v>
      </c>
      <c r="E4903" s="221">
        <v>4</v>
      </c>
      <c r="F4903" s="222" t="s">
        <v>35672</v>
      </c>
      <c r="G4903" s="223" t="s">
        <v>35668</v>
      </c>
      <c r="H4903" s="223" t="s">
        <v>35673</v>
      </c>
      <c r="I4903" s="345"/>
      <c r="J4903" s="39">
        <v>115125</v>
      </c>
      <c r="K4903" s="36" t="str">
        <f>CONCATENATE(Cover!$D$6,"fdd/view?i=",J4903)</f>
        <v>https://www.dgiwg.org/FAD/fdd/view?i=115125</v>
      </c>
      <c r="L4903" s="36" t="s">
        <v>35674</v>
      </c>
      <c r="M4903" s="186"/>
      <c r="N4903" s="186"/>
      <c r="O4903" s="13" t="s">
        <v>35670</v>
      </c>
    </row>
    <row r="4904" spans="1:15" ht="63.75" x14ac:dyDescent="0.2">
      <c r="A4904" s="197" t="str">
        <f t="shared" si="76"/>
        <v>IlcCode_catIIIbOps</v>
      </c>
      <c r="B4904" s="409"/>
      <c r="C4904" s="416"/>
      <c r="D4904" s="198" t="s">
        <v>35676</v>
      </c>
      <c r="E4904" s="198">
        <v>5</v>
      </c>
      <c r="F4904" s="199" t="s">
        <v>35677</v>
      </c>
      <c r="G4904" s="1" t="s">
        <v>35668</v>
      </c>
      <c r="H4904" s="1" t="s">
        <v>35678</v>
      </c>
      <c r="I4904" s="346"/>
      <c r="J4904" s="39">
        <v>115126</v>
      </c>
      <c r="K4904" s="36" t="str">
        <f>CONCATENATE(Cover!$D$6,"fdd/view?i=",J4904)</f>
        <v>https://www.dgiwg.org/FAD/fdd/view?i=115126</v>
      </c>
      <c r="L4904" s="36" t="s">
        <v>35679</v>
      </c>
      <c r="M4904" s="186"/>
      <c r="N4904" s="186"/>
      <c r="O4904" s="13" t="s">
        <v>35675</v>
      </c>
    </row>
    <row r="4905" spans="1:15" ht="51" x14ac:dyDescent="0.2">
      <c r="A4905" s="197" t="str">
        <f t="shared" si="76"/>
        <v>IlcCode_catIIIcOps</v>
      </c>
      <c r="B4905" s="409"/>
      <c r="C4905" s="416"/>
      <c r="D4905" s="198" t="s">
        <v>35681</v>
      </c>
      <c r="E4905" s="198">
        <v>6</v>
      </c>
      <c r="F4905" s="199" t="s">
        <v>35682</v>
      </c>
      <c r="G4905" s="1" t="s">
        <v>35668</v>
      </c>
      <c r="H4905" s="1" t="s">
        <v>35683</v>
      </c>
      <c r="I4905" s="346"/>
      <c r="J4905" s="39">
        <v>115127</v>
      </c>
      <c r="K4905" s="36" t="str">
        <f>CONCATENATE(Cover!$D$6,"fdd/view?i=",J4905)</f>
        <v>https://www.dgiwg.org/FAD/fdd/view?i=115127</v>
      </c>
      <c r="L4905" s="36" t="s">
        <v>35684</v>
      </c>
      <c r="M4905" s="186"/>
      <c r="N4905" s="186"/>
      <c r="O4905" s="13" t="s">
        <v>35680</v>
      </c>
    </row>
    <row r="4906" spans="1:15" ht="38.25" x14ac:dyDescent="0.2">
      <c r="A4906" s="197" t="str">
        <f t="shared" si="76"/>
        <v>IlcCode_catIIIOps</v>
      </c>
      <c r="B4906" s="409"/>
      <c r="C4906" s="416"/>
      <c r="D4906" s="198" t="s">
        <v>35666</v>
      </c>
      <c r="E4906" s="198">
        <v>3</v>
      </c>
      <c r="F4906" s="199" t="s">
        <v>35667</v>
      </c>
      <c r="G4906" s="1" t="s">
        <v>35668</v>
      </c>
      <c r="H4906" s="1" t="s">
        <v>35658</v>
      </c>
      <c r="I4906" s="346"/>
      <c r="J4906" s="39">
        <v>115124</v>
      </c>
      <c r="K4906" s="36" t="str">
        <f>CONCATENATE(Cover!$D$6,"fdd/view?i=",J4906)</f>
        <v>https://www.dgiwg.org/FAD/fdd/view?i=115124</v>
      </c>
      <c r="L4906" s="36" t="s">
        <v>35669</v>
      </c>
      <c r="M4906" s="186"/>
      <c r="N4906" s="186"/>
      <c r="O4906" s="13" t="s">
        <v>35665</v>
      </c>
    </row>
    <row r="4907" spans="1:15" ht="76.5" x14ac:dyDescent="0.2">
      <c r="A4907" s="197" t="str">
        <f t="shared" si="76"/>
        <v>IlcCode_catIIOps</v>
      </c>
      <c r="B4907" s="409"/>
      <c r="C4907" s="416"/>
      <c r="D4907" s="198" t="s">
        <v>35661</v>
      </c>
      <c r="E4907" s="198">
        <v>2</v>
      </c>
      <c r="F4907" s="199" t="s">
        <v>35662</v>
      </c>
      <c r="G4907" s="1" t="s">
        <v>35663</v>
      </c>
      <c r="H4907" s="1" t="s">
        <v>35658</v>
      </c>
      <c r="I4907" s="346"/>
      <c r="J4907" s="39">
        <v>115123</v>
      </c>
      <c r="K4907" s="36" t="str">
        <f>CONCATENATE(Cover!$D$6,"fdd/view?i=",J4907)</f>
        <v>https://www.dgiwg.org/FAD/fdd/view?i=115123</v>
      </c>
      <c r="L4907" s="36" t="s">
        <v>35664</v>
      </c>
      <c r="M4907" s="186"/>
      <c r="N4907" s="186"/>
      <c r="O4907" s="13" t="s">
        <v>35660</v>
      </c>
    </row>
    <row r="4908" spans="1:15" ht="76.5" x14ac:dyDescent="0.2">
      <c r="A4908" s="197" t="str">
        <f t="shared" si="76"/>
        <v>IlcCode_catIOps</v>
      </c>
      <c r="B4908" s="409"/>
      <c r="C4908" s="416"/>
      <c r="D4908" s="198" t="s">
        <v>35655</v>
      </c>
      <c r="E4908" s="198">
        <v>1</v>
      </c>
      <c r="F4908" s="199" t="s">
        <v>35656</v>
      </c>
      <c r="G4908" s="1" t="s">
        <v>35657</v>
      </c>
      <c r="H4908" s="1" t="s">
        <v>35658</v>
      </c>
      <c r="I4908" s="346"/>
      <c r="J4908" s="39">
        <v>115122</v>
      </c>
      <c r="K4908" s="36" t="str">
        <f>CONCATENATE(Cover!$D$6,"fdd/view?i=",J4908)</f>
        <v>https://www.dgiwg.org/FAD/fdd/view?i=115122</v>
      </c>
      <c r="L4908" s="36" t="s">
        <v>35659</v>
      </c>
      <c r="M4908" s="186"/>
      <c r="N4908" s="186"/>
      <c r="O4908" s="13" t="s">
        <v>31939</v>
      </c>
    </row>
    <row r="4909" spans="1:15" ht="51" x14ac:dyDescent="0.2">
      <c r="A4909" s="203" t="str">
        <f t="shared" si="76"/>
        <v>IlcCode_mlsCatIOps</v>
      </c>
      <c r="B4909" s="410"/>
      <c r="C4909" s="417"/>
      <c r="D4909" s="204" t="s">
        <v>35685</v>
      </c>
      <c r="E4909" s="204">
        <v>7</v>
      </c>
      <c r="F4909" s="205" t="s">
        <v>35686</v>
      </c>
      <c r="G4909" s="206" t="s">
        <v>35687</v>
      </c>
      <c r="H4909" s="207"/>
      <c r="I4909" s="347"/>
      <c r="J4909" s="39">
        <v>119638</v>
      </c>
      <c r="K4909" s="36" t="str">
        <f>CONCATENATE(Cover!$D$6,"fdd/view?i=",J4909)</f>
        <v>https://www.dgiwg.org/FAD/fdd/view?i=119638</v>
      </c>
      <c r="L4909" s="36" t="s">
        <v>35688</v>
      </c>
      <c r="M4909" s="186"/>
      <c r="N4909" s="186"/>
      <c r="O4909" s="172"/>
    </row>
    <row r="4910" spans="1:15" ht="38.25" x14ac:dyDescent="0.2">
      <c r="A4910" s="190" t="str">
        <f t="shared" si="76"/>
        <v>IaeCode_adfForIlsApproach</v>
      </c>
      <c r="B4910" s="414" t="str">
        <f>HYPERLINK("[#]Datatypes!A740:L740","IaeCode")</f>
        <v>IaeCode</v>
      </c>
      <c r="C4910" s="415" t="s">
        <v>15319</v>
      </c>
      <c r="D4910" s="221" t="s">
        <v>35695</v>
      </c>
      <c r="E4910" s="221">
        <v>3</v>
      </c>
      <c r="F4910" s="222" t="s">
        <v>35696</v>
      </c>
      <c r="G4910" s="223" t="s">
        <v>35697</v>
      </c>
      <c r="H4910" s="224"/>
      <c r="I4910" s="345"/>
      <c r="J4910" s="39">
        <v>116612</v>
      </c>
      <c r="K4910" s="36" t="str">
        <f>CONCATENATE(Cover!$D$6,"fdd/view?i=",J4910)</f>
        <v>https://www.dgiwg.org/FAD/fdd/view?i=116612</v>
      </c>
      <c r="L4910" s="36" t="s">
        <v>35698</v>
      </c>
      <c r="M4910" s="186"/>
      <c r="N4910" s="186"/>
      <c r="O4910" s="13" t="s">
        <v>35694</v>
      </c>
    </row>
    <row r="4911" spans="1:15" ht="38.25" x14ac:dyDescent="0.2">
      <c r="A4911" s="197" t="str">
        <f t="shared" si="76"/>
        <v>IaeCode_adfForMissedApproach</v>
      </c>
      <c r="B4911" s="409"/>
      <c r="C4911" s="416"/>
      <c r="D4911" s="198" t="s">
        <v>35700</v>
      </c>
      <c r="E4911" s="198">
        <v>2</v>
      </c>
      <c r="F4911" s="199" t="s">
        <v>35701</v>
      </c>
      <c r="G4911" s="1" t="s">
        <v>35702</v>
      </c>
      <c r="H4911" s="200"/>
      <c r="I4911" s="346"/>
      <c r="J4911" s="39">
        <v>116611</v>
      </c>
      <c r="K4911" s="36" t="str">
        <f>CONCATENATE(Cover!$D$6,"fdd/view?i=",J4911)</f>
        <v>https://www.dgiwg.org/FAD/fdd/view?i=116611</v>
      </c>
      <c r="L4911" s="36" t="s">
        <v>35703</v>
      </c>
      <c r="M4911" s="186"/>
      <c r="N4911" s="186"/>
      <c r="O4911" s="13" t="s">
        <v>35699</v>
      </c>
    </row>
    <row r="4912" spans="1:15" ht="25.5" x14ac:dyDescent="0.2">
      <c r="A4912" s="197" t="str">
        <f t="shared" si="76"/>
        <v>IaeCode_automaticDirectionFinder</v>
      </c>
      <c r="B4912" s="409"/>
      <c r="C4912" s="416"/>
      <c r="D4912" s="198" t="s">
        <v>35690</v>
      </c>
      <c r="E4912" s="198">
        <v>1</v>
      </c>
      <c r="F4912" s="199" t="s">
        <v>35691</v>
      </c>
      <c r="G4912" s="1" t="s">
        <v>35692</v>
      </c>
      <c r="H4912" s="200"/>
      <c r="I4912" s="346"/>
      <c r="J4912" s="39">
        <v>116610</v>
      </c>
      <c r="K4912" s="36" t="str">
        <f>CONCATENATE(Cover!$D$6,"fdd/view?i=",J4912)</f>
        <v>https://www.dgiwg.org/FAD/fdd/view?i=116610</v>
      </c>
      <c r="L4912" s="36" t="s">
        <v>35693</v>
      </c>
      <c r="M4912" s="186"/>
      <c r="N4912" s="186"/>
      <c r="O4912" s="13" t="s">
        <v>35689</v>
      </c>
    </row>
    <row r="4913" spans="1:15" ht="25.5" x14ac:dyDescent="0.2">
      <c r="A4913" s="197" t="str">
        <f t="shared" si="76"/>
        <v>IaeCode_distanceMeasuringEquipment</v>
      </c>
      <c r="B4913" s="409"/>
      <c r="C4913" s="416"/>
      <c r="D4913" s="198" t="s">
        <v>22007</v>
      </c>
      <c r="E4913" s="198">
        <v>4</v>
      </c>
      <c r="F4913" s="199" t="s">
        <v>2805</v>
      </c>
      <c r="G4913" s="1" t="s">
        <v>35704</v>
      </c>
      <c r="H4913" s="200"/>
      <c r="I4913" s="346"/>
      <c r="J4913" s="39">
        <v>116613</v>
      </c>
      <c r="K4913" s="36" t="str">
        <f>CONCATENATE(Cover!$D$6,"fdd/view?i=",J4913)</f>
        <v>https://www.dgiwg.org/FAD/fdd/view?i=116613</v>
      </c>
      <c r="L4913" s="36" t="s">
        <v>35705</v>
      </c>
      <c r="M4913" s="186"/>
      <c r="N4913" s="186"/>
      <c r="O4913" s="13" t="s">
        <v>22006</v>
      </c>
    </row>
    <row r="4914" spans="1:15" ht="63.75" x14ac:dyDescent="0.2">
      <c r="A4914" s="197" t="str">
        <f t="shared" si="76"/>
        <v>IaeCode_dualAdfAndDme</v>
      </c>
      <c r="B4914" s="409"/>
      <c r="C4914" s="416"/>
      <c r="D4914" s="198" t="s">
        <v>35712</v>
      </c>
      <c r="E4914" s="198">
        <v>6</v>
      </c>
      <c r="F4914" s="199" t="s">
        <v>35713</v>
      </c>
      <c r="G4914" s="1" t="s">
        <v>35714</v>
      </c>
      <c r="H4914" s="200"/>
      <c r="I4914" s="346"/>
      <c r="J4914" s="39">
        <v>116615</v>
      </c>
      <c r="K4914" s="36" t="str">
        <f>CONCATENATE(Cover!$D$6,"fdd/view?i=",J4914)</f>
        <v>https://www.dgiwg.org/FAD/fdd/view?i=116615</v>
      </c>
      <c r="L4914" s="36" t="s">
        <v>35715</v>
      </c>
      <c r="M4914" s="186"/>
      <c r="N4914" s="186"/>
      <c r="O4914" s="13" t="s">
        <v>35711</v>
      </c>
    </row>
    <row r="4915" spans="1:15" ht="25.5" x14ac:dyDescent="0.2">
      <c r="A4915" s="197" t="str">
        <f t="shared" si="76"/>
        <v>IaeCode_dualAutoDirectionFinder</v>
      </c>
      <c r="B4915" s="409"/>
      <c r="C4915" s="416"/>
      <c r="D4915" s="198" t="s">
        <v>35707</v>
      </c>
      <c r="E4915" s="198">
        <v>5</v>
      </c>
      <c r="F4915" s="199" t="s">
        <v>35708</v>
      </c>
      <c r="G4915" s="1" t="s">
        <v>35709</v>
      </c>
      <c r="H4915" s="200"/>
      <c r="I4915" s="346"/>
      <c r="J4915" s="39">
        <v>116614</v>
      </c>
      <c r="K4915" s="36" t="str">
        <f>CONCATENATE(Cover!$D$6,"fdd/view?i=",J4915)</f>
        <v>https://www.dgiwg.org/FAD/fdd/view?i=116614</v>
      </c>
      <c r="L4915" s="36" t="s">
        <v>35710</v>
      </c>
      <c r="M4915" s="186"/>
      <c r="N4915" s="186"/>
      <c r="O4915" s="13" t="s">
        <v>35706</v>
      </c>
    </row>
    <row r="4916" spans="1:15" ht="38.25" x14ac:dyDescent="0.2">
      <c r="A4916" s="197" t="str">
        <f t="shared" si="76"/>
        <v>IaeCode_dualVeryHighFreqRadios</v>
      </c>
      <c r="B4916" s="409"/>
      <c r="C4916" s="416"/>
      <c r="D4916" s="198" t="s">
        <v>35717</v>
      </c>
      <c r="E4916" s="198">
        <v>7</v>
      </c>
      <c r="F4916" s="199" t="s">
        <v>35718</v>
      </c>
      <c r="G4916" s="1" t="s">
        <v>35719</v>
      </c>
      <c r="H4916" s="200"/>
      <c r="I4916" s="346"/>
      <c r="J4916" s="39">
        <v>116616</v>
      </c>
      <c r="K4916" s="36" t="str">
        <f>CONCATENATE(Cover!$D$6,"fdd/view?i=",J4916)</f>
        <v>https://www.dgiwg.org/FAD/fdd/view?i=116616</v>
      </c>
      <c r="L4916" s="36" t="s">
        <v>35720</v>
      </c>
      <c r="M4916" s="186"/>
      <c r="N4916" s="186"/>
      <c r="O4916" s="13" t="s">
        <v>35716</v>
      </c>
    </row>
    <row r="4917" spans="1:15" ht="63.75" x14ac:dyDescent="0.2">
      <c r="A4917" s="197" t="str">
        <f t="shared" si="76"/>
        <v>IaeCode_dualVorOrVorWithDme</v>
      </c>
      <c r="B4917" s="409"/>
      <c r="C4917" s="416"/>
      <c r="D4917" s="198" t="s">
        <v>35722</v>
      </c>
      <c r="E4917" s="198">
        <v>8</v>
      </c>
      <c r="F4917" s="199" t="s">
        <v>35723</v>
      </c>
      <c r="G4917" s="1" t="s">
        <v>35724</v>
      </c>
      <c r="H4917" s="200"/>
      <c r="I4917" s="346"/>
      <c r="J4917" s="39">
        <v>116617</v>
      </c>
      <c r="K4917" s="36" t="str">
        <f>CONCATENATE(Cover!$D$6,"fdd/view?i=",J4917)</f>
        <v>https://www.dgiwg.org/FAD/fdd/view?i=116617</v>
      </c>
      <c r="L4917" s="36" t="s">
        <v>35725</v>
      </c>
      <c r="M4917" s="186"/>
      <c r="N4917" s="186"/>
      <c r="O4917" s="13" t="s">
        <v>35721</v>
      </c>
    </row>
    <row r="4918" spans="1:15" ht="63.75" x14ac:dyDescent="0.2">
      <c r="A4918" s="197" t="str">
        <f t="shared" si="76"/>
        <v>IaeCode_globalPosSysOrRnp3Equip</v>
      </c>
      <c r="B4918" s="409"/>
      <c r="C4918" s="416"/>
      <c r="D4918" s="198" t="s">
        <v>35727</v>
      </c>
      <c r="E4918" s="198">
        <v>9</v>
      </c>
      <c r="F4918" s="199" t="s">
        <v>35728</v>
      </c>
      <c r="G4918" s="1" t="s">
        <v>35729</v>
      </c>
      <c r="H4918" s="200"/>
      <c r="I4918" s="346"/>
      <c r="J4918" s="39">
        <v>116618</v>
      </c>
      <c r="K4918" s="36" t="str">
        <f>CONCATENATE(Cover!$D$6,"fdd/view?i=",J4918)</f>
        <v>https://www.dgiwg.org/FAD/fdd/view?i=116618</v>
      </c>
      <c r="L4918" s="36" t="s">
        <v>35730</v>
      </c>
      <c r="M4918" s="186"/>
      <c r="N4918" s="186"/>
      <c r="O4918" s="13" t="s">
        <v>35726</v>
      </c>
    </row>
    <row r="4919" spans="1:15" ht="25.5" x14ac:dyDescent="0.2">
      <c r="A4919" s="197" t="str">
        <f t="shared" si="76"/>
        <v>IaeCode_radar</v>
      </c>
      <c r="B4919" s="409"/>
      <c r="C4919" s="416"/>
      <c r="D4919" s="198" t="s">
        <v>26528</v>
      </c>
      <c r="E4919" s="198">
        <v>10</v>
      </c>
      <c r="F4919" s="199" t="s">
        <v>26529</v>
      </c>
      <c r="G4919" s="1" t="s">
        <v>35732</v>
      </c>
      <c r="H4919" s="200"/>
      <c r="I4919" s="346"/>
      <c r="J4919" s="39">
        <v>116619</v>
      </c>
      <c r="K4919" s="36" t="str">
        <f>CONCATENATE(Cover!$D$6,"fdd/view?i=",J4919)</f>
        <v>https://www.dgiwg.org/FAD/fdd/view?i=116619</v>
      </c>
      <c r="L4919" s="36" t="s">
        <v>35733</v>
      </c>
      <c r="M4919" s="186"/>
      <c r="N4919" s="186"/>
      <c r="O4919" s="13" t="s">
        <v>35731</v>
      </c>
    </row>
    <row r="4920" spans="1:15" ht="38.25" x14ac:dyDescent="0.2">
      <c r="A4920" s="197" t="str">
        <f t="shared" si="76"/>
        <v>IaeCode_radarOrDistMeasuringEquip</v>
      </c>
      <c r="B4920" s="409"/>
      <c r="C4920" s="416"/>
      <c r="D4920" s="198" t="s">
        <v>35735</v>
      </c>
      <c r="E4920" s="198">
        <v>11</v>
      </c>
      <c r="F4920" s="199" t="s">
        <v>35736</v>
      </c>
      <c r="G4920" s="1" t="s">
        <v>35737</v>
      </c>
      <c r="H4920" s="200"/>
      <c r="I4920" s="346"/>
      <c r="J4920" s="39">
        <v>116620</v>
      </c>
      <c r="K4920" s="36" t="str">
        <f>CONCATENATE(Cover!$D$6,"fdd/view?i=",J4920)</f>
        <v>https://www.dgiwg.org/FAD/fdd/view?i=116620</v>
      </c>
      <c r="L4920" s="36" t="s">
        <v>35738</v>
      </c>
      <c r="M4920" s="186"/>
      <c r="N4920" s="186"/>
      <c r="O4920" s="13" t="s">
        <v>35734</v>
      </c>
    </row>
    <row r="4921" spans="1:15" ht="25.5" x14ac:dyDescent="0.2">
      <c r="A4921" s="197" t="str">
        <f t="shared" si="76"/>
        <v>IaeCode_radarOrRnav</v>
      </c>
      <c r="B4921" s="409"/>
      <c r="C4921" s="416"/>
      <c r="D4921" s="198" t="s">
        <v>35740</v>
      </c>
      <c r="E4921" s="198">
        <v>12</v>
      </c>
      <c r="F4921" s="199" t="s">
        <v>35741</v>
      </c>
      <c r="G4921" s="1" t="s">
        <v>35742</v>
      </c>
      <c r="H4921" s="200"/>
      <c r="I4921" s="346"/>
      <c r="J4921" s="39">
        <v>116621</v>
      </c>
      <c r="K4921" s="36" t="str">
        <f>CONCATENATE(Cover!$D$6,"fdd/view?i=",J4921)</f>
        <v>https://www.dgiwg.org/FAD/fdd/view?i=116621</v>
      </c>
      <c r="L4921" s="36" t="s">
        <v>35743</v>
      </c>
      <c r="M4921" s="186"/>
      <c r="N4921" s="186"/>
      <c r="O4921" s="13" t="s">
        <v>35739</v>
      </c>
    </row>
    <row r="4922" spans="1:15" ht="25.5" x14ac:dyDescent="0.2">
      <c r="A4922" s="197" t="str">
        <f t="shared" si="76"/>
        <v>IaeCode_special</v>
      </c>
      <c r="B4922" s="409"/>
      <c r="C4922" s="416"/>
      <c r="D4922" s="198" t="s">
        <v>25125</v>
      </c>
      <c r="E4922" s="198">
        <v>13</v>
      </c>
      <c r="F4922" s="199" t="s">
        <v>25126</v>
      </c>
      <c r="G4922" s="1" t="s">
        <v>35745</v>
      </c>
      <c r="H4922" s="200"/>
      <c r="I4922" s="346"/>
      <c r="J4922" s="39">
        <v>116622</v>
      </c>
      <c r="K4922" s="36" t="str">
        <f>CONCATENATE(Cover!$D$6,"fdd/view?i=",J4922)</f>
        <v>https://www.dgiwg.org/FAD/fdd/view?i=116622</v>
      </c>
      <c r="L4922" s="36" t="s">
        <v>35746</v>
      </c>
      <c r="M4922" s="186"/>
      <c r="N4922" s="186"/>
      <c r="O4922" s="13" t="s">
        <v>35744</v>
      </c>
    </row>
    <row r="4923" spans="1:15" ht="51" x14ac:dyDescent="0.2">
      <c r="A4923" s="203" t="str">
        <f t="shared" si="76"/>
        <v>IaeCode_vorBeaconAndIlsLocalizer</v>
      </c>
      <c r="B4923" s="410"/>
      <c r="C4923" s="417"/>
      <c r="D4923" s="204" t="s">
        <v>35748</v>
      </c>
      <c r="E4923" s="204">
        <v>14</v>
      </c>
      <c r="F4923" s="205" t="s">
        <v>35749</v>
      </c>
      <c r="G4923" s="206" t="s">
        <v>35750</v>
      </c>
      <c r="H4923" s="207"/>
      <c r="I4923" s="347"/>
      <c r="J4923" s="39">
        <v>116623</v>
      </c>
      <c r="K4923" s="36" t="str">
        <f>CONCATENATE(Cover!$D$6,"fdd/view?i=",J4923)</f>
        <v>https://www.dgiwg.org/FAD/fdd/view?i=116623</v>
      </c>
      <c r="L4923" s="36" t="s">
        <v>35751</v>
      </c>
      <c r="M4923" s="186"/>
      <c r="N4923" s="186"/>
      <c r="O4923" s="13" t="s">
        <v>35747</v>
      </c>
    </row>
    <row r="4924" spans="1:15" ht="38.25" x14ac:dyDescent="0.2">
      <c r="A4924" s="190" t="str">
        <f t="shared" si="76"/>
        <v>IruCode_cargoTransport</v>
      </c>
      <c r="B4924" s="414" t="str">
        <f>HYPERLINK("[#]Datatypes!A750:L750","IruCode")</f>
        <v>IruCode</v>
      </c>
      <c r="C4924" s="415" t="s">
        <v>15335</v>
      </c>
      <c r="D4924" s="221" t="s">
        <v>35752</v>
      </c>
      <c r="E4924" s="221">
        <v>1</v>
      </c>
      <c r="F4924" s="222" t="s">
        <v>35753</v>
      </c>
      <c r="G4924" s="223" t="s">
        <v>35754</v>
      </c>
      <c r="H4924" s="224"/>
      <c r="I4924" s="345"/>
      <c r="J4924" s="39">
        <v>119526</v>
      </c>
      <c r="K4924" s="36" t="str">
        <f>CONCATENATE(Cover!$D$6,"fdd/view?i=",J4924)</f>
        <v>https://www.dgiwg.org/FAD/fdd/view?i=119526</v>
      </c>
      <c r="L4924" s="36" t="s">
        <v>35755</v>
      </c>
      <c r="M4924" s="186"/>
      <c r="N4924" s="186"/>
      <c r="O4924" s="172"/>
    </row>
    <row r="4925" spans="1:15" ht="25.5" x14ac:dyDescent="0.2">
      <c r="A4925" s="197" t="str">
        <f t="shared" si="76"/>
        <v>IruCode_evacuation</v>
      </c>
      <c r="B4925" s="409"/>
      <c r="C4925" s="416"/>
      <c r="D4925" s="198" t="s">
        <v>35756</v>
      </c>
      <c r="E4925" s="198">
        <v>2</v>
      </c>
      <c r="F4925" s="199" t="s">
        <v>35757</v>
      </c>
      <c r="G4925" s="1" t="s">
        <v>35758</v>
      </c>
      <c r="H4925" s="1" t="s">
        <v>35759</v>
      </c>
      <c r="I4925" s="346"/>
      <c r="J4925" s="39">
        <v>119527</v>
      </c>
      <c r="K4925" s="36" t="str">
        <f>CONCATENATE(Cover!$D$6,"fdd/view?i=",J4925)</f>
        <v>https://www.dgiwg.org/FAD/fdd/view?i=119527</v>
      </c>
      <c r="L4925" s="36" t="s">
        <v>35760</v>
      </c>
      <c r="M4925" s="186"/>
      <c r="N4925" s="186"/>
      <c r="O4925" s="172"/>
    </row>
    <row r="4926" spans="1:15" ht="25.5" x14ac:dyDescent="0.2">
      <c r="A4926" s="197" t="str">
        <f t="shared" si="76"/>
        <v>IruCode_maintenance</v>
      </c>
      <c r="B4926" s="409"/>
      <c r="C4926" s="416"/>
      <c r="D4926" s="198" t="s">
        <v>22214</v>
      </c>
      <c r="E4926" s="198">
        <v>3</v>
      </c>
      <c r="F4926" s="199" t="s">
        <v>22215</v>
      </c>
      <c r="G4926" s="1" t="s">
        <v>35761</v>
      </c>
      <c r="H4926" s="1" t="s">
        <v>35762</v>
      </c>
      <c r="I4926" s="346"/>
      <c r="J4926" s="39">
        <v>119528</v>
      </c>
      <c r="K4926" s="36" t="str">
        <f>CONCATENATE(Cover!$D$6,"fdd/view?i=",J4926)</f>
        <v>https://www.dgiwg.org/FAD/fdd/view?i=119528</v>
      </c>
      <c r="L4926" s="36" t="s">
        <v>35763</v>
      </c>
      <c r="M4926" s="186"/>
      <c r="N4926" s="186"/>
      <c r="O4926" s="172"/>
    </row>
    <row r="4927" spans="1:15" ht="25.5" x14ac:dyDescent="0.2">
      <c r="A4927" s="197" t="str">
        <f t="shared" si="76"/>
        <v>IruCode_militaryDeployment</v>
      </c>
      <c r="B4927" s="409"/>
      <c r="C4927" s="416"/>
      <c r="D4927" s="198" t="s">
        <v>35764</v>
      </c>
      <c r="E4927" s="198">
        <v>4</v>
      </c>
      <c r="F4927" s="199" t="s">
        <v>35765</v>
      </c>
      <c r="G4927" s="1" t="s">
        <v>35766</v>
      </c>
      <c r="H4927" s="1" t="s">
        <v>35767</v>
      </c>
      <c r="I4927" s="346"/>
      <c r="J4927" s="39">
        <v>119529</v>
      </c>
      <c r="K4927" s="36" t="str">
        <f>CONCATENATE(Cover!$D$6,"fdd/view?i=",J4927)</f>
        <v>https://www.dgiwg.org/FAD/fdd/view?i=119529</v>
      </c>
      <c r="L4927" s="36" t="s">
        <v>35768</v>
      </c>
      <c r="M4927" s="186"/>
      <c r="N4927" s="186"/>
      <c r="O4927" s="172"/>
    </row>
    <row r="4928" spans="1:15" x14ac:dyDescent="0.2">
      <c r="A4928" s="197" t="str">
        <f t="shared" si="76"/>
        <v>IruCode_monitoring</v>
      </c>
      <c r="B4928" s="409"/>
      <c r="C4928" s="416"/>
      <c r="D4928" s="198" t="s">
        <v>35769</v>
      </c>
      <c r="E4928" s="198">
        <v>5</v>
      </c>
      <c r="F4928" s="199" t="s">
        <v>35770</v>
      </c>
      <c r="G4928" s="1" t="s">
        <v>35771</v>
      </c>
      <c r="H4928" s="1" t="s">
        <v>35772</v>
      </c>
      <c r="I4928" s="346"/>
      <c r="J4928" s="39">
        <v>119530</v>
      </c>
      <c r="K4928" s="36" t="str">
        <f>CONCATENATE(Cover!$D$6,"fdd/view?i=",J4928)</f>
        <v>https://www.dgiwg.org/FAD/fdd/view?i=119530</v>
      </c>
      <c r="L4928" s="36" t="s">
        <v>35773</v>
      </c>
      <c r="M4928" s="186"/>
      <c r="N4928" s="186"/>
      <c r="O4928" s="172"/>
    </row>
    <row r="4929" spans="1:15" ht="25.5" x14ac:dyDescent="0.2">
      <c r="A4929" s="197" t="str">
        <f t="shared" si="76"/>
        <v>IruCode_passengerTransport</v>
      </c>
      <c r="B4929" s="409"/>
      <c r="C4929" s="416"/>
      <c r="D4929" s="198" t="s">
        <v>35774</v>
      </c>
      <c r="E4929" s="198">
        <v>6</v>
      </c>
      <c r="F4929" s="199" t="s">
        <v>35775</v>
      </c>
      <c r="G4929" s="1" t="s">
        <v>35776</v>
      </c>
      <c r="H4929" s="1" t="s">
        <v>35777</v>
      </c>
      <c r="I4929" s="346"/>
      <c r="J4929" s="39">
        <v>119531</v>
      </c>
      <c r="K4929" s="36" t="str">
        <f>CONCATENATE(Cover!$D$6,"fdd/view?i=",J4929)</f>
        <v>https://www.dgiwg.org/FAD/fdd/view?i=119531</v>
      </c>
      <c r="L4929" s="36" t="s">
        <v>35778</v>
      </c>
      <c r="M4929" s="186"/>
      <c r="N4929" s="186"/>
      <c r="O4929" s="172"/>
    </row>
    <row r="4930" spans="1:15" x14ac:dyDescent="0.2">
      <c r="A4930" s="197" t="str">
        <f t="shared" ref="A4930:A4993" si="77">HYPERLINK(K4930,L4930)</f>
        <v>IruCode_pilgrimage</v>
      </c>
      <c r="B4930" s="409"/>
      <c r="C4930" s="416"/>
      <c r="D4930" s="198" t="s">
        <v>35779</v>
      </c>
      <c r="E4930" s="198">
        <v>7</v>
      </c>
      <c r="F4930" s="199" t="s">
        <v>35780</v>
      </c>
      <c r="G4930" s="1" t="s">
        <v>35781</v>
      </c>
      <c r="H4930" s="1" t="s">
        <v>35782</v>
      </c>
      <c r="I4930" s="346"/>
      <c r="J4930" s="39">
        <v>119532</v>
      </c>
      <c r="K4930" s="36" t="str">
        <f>CONCATENATE(Cover!$D$6,"fdd/view?i=",J4930)</f>
        <v>https://www.dgiwg.org/FAD/fdd/view?i=119532</v>
      </c>
      <c r="L4930" s="36" t="s">
        <v>35783</v>
      </c>
      <c r="M4930" s="186"/>
      <c r="N4930" s="186"/>
      <c r="O4930" s="172"/>
    </row>
    <row r="4931" spans="1:15" ht="25.5" x14ac:dyDescent="0.2">
      <c r="A4931" s="197" t="str">
        <f t="shared" si="77"/>
        <v>IruCode_recreation</v>
      </c>
      <c r="B4931" s="409"/>
      <c r="C4931" s="416"/>
      <c r="D4931" s="198" t="s">
        <v>31420</v>
      </c>
      <c r="E4931" s="198">
        <v>8</v>
      </c>
      <c r="F4931" s="199" t="s">
        <v>31421</v>
      </c>
      <c r="G4931" s="1" t="s">
        <v>35784</v>
      </c>
      <c r="H4931" s="200"/>
      <c r="I4931" s="346"/>
      <c r="J4931" s="39">
        <v>119533</v>
      </c>
      <c r="K4931" s="36" t="str">
        <f>CONCATENATE(Cover!$D$6,"fdd/view?i=",J4931)</f>
        <v>https://www.dgiwg.org/FAD/fdd/view?i=119533</v>
      </c>
      <c r="L4931" s="36" t="s">
        <v>35785</v>
      </c>
      <c r="M4931" s="186"/>
      <c r="N4931" s="186"/>
      <c r="O4931" s="172"/>
    </row>
    <row r="4932" spans="1:15" x14ac:dyDescent="0.2">
      <c r="A4932" s="203" t="str">
        <f t="shared" si="77"/>
        <v>IruCode_rescue</v>
      </c>
      <c r="B4932" s="410"/>
      <c r="C4932" s="417"/>
      <c r="D4932" s="204" t="s">
        <v>35786</v>
      </c>
      <c r="E4932" s="204">
        <v>9</v>
      </c>
      <c r="F4932" s="205" t="s">
        <v>35787</v>
      </c>
      <c r="G4932" s="206" t="s">
        <v>35788</v>
      </c>
      <c r="H4932" s="206" t="s">
        <v>35789</v>
      </c>
      <c r="I4932" s="347"/>
      <c r="J4932" s="39">
        <v>119534</v>
      </c>
      <c r="K4932" s="36" t="str">
        <f>CONCATENATE(Cover!$D$6,"fdd/view?i=",J4932)</f>
        <v>https://www.dgiwg.org/FAD/fdd/view?i=119534</v>
      </c>
      <c r="L4932" s="36" t="s">
        <v>35790</v>
      </c>
      <c r="M4932" s="186"/>
      <c r="N4932" s="186"/>
      <c r="O4932" s="172"/>
    </row>
    <row r="4933" spans="1:15" ht="25.5" x14ac:dyDescent="0.2">
      <c r="A4933" s="190" t="str">
        <f t="shared" si="77"/>
        <v>IztCode_crisis</v>
      </c>
      <c r="B4933" s="414" t="str">
        <f>HYPERLINK("[#]Datatypes!A752:L752","IztCode")</f>
        <v>IztCode</v>
      </c>
      <c r="C4933" s="415" t="s">
        <v>15337</v>
      </c>
      <c r="D4933" s="221" t="s">
        <v>35791</v>
      </c>
      <c r="E4933" s="221">
        <v>2</v>
      </c>
      <c r="F4933" s="222" t="s">
        <v>35792</v>
      </c>
      <c r="G4933" s="223" t="s">
        <v>35793</v>
      </c>
      <c r="H4933" s="224"/>
      <c r="I4933" s="345"/>
      <c r="J4933" s="39">
        <v>118973</v>
      </c>
      <c r="K4933" s="36" t="str">
        <f>CONCATENATE(Cover!$D$6,"fdd/view?i=",J4933)</f>
        <v>https://www.dgiwg.org/FAD/fdd/view?i=118973</v>
      </c>
      <c r="L4933" s="36" t="s">
        <v>35794</v>
      </c>
      <c r="M4933" s="186"/>
      <c r="N4933" s="186"/>
      <c r="O4933" s="172"/>
    </row>
    <row r="4934" spans="1:15" ht="25.5" x14ac:dyDescent="0.2">
      <c r="A4934" s="197" t="str">
        <f t="shared" si="77"/>
        <v>IztCode_tension</v>
      </c>
      <c r="B4934" s="409"/>
      <c r="C4934" s="416"/>
      <c r="D4934" s="198" t="s">
        <v>35795</v>
      </c>
      <c r="E4934" s="198">
        <v>3</v>
      </c>
      <c r="F4934" s="199" t="s">
        <v>35796</v>
      </c>
      <c r="G4934" s="1" t="s">
        <v>35797</v>
      </c>
      <c r="H4934" s="200"/>
      <c r="I4934" s="346"/>
      <c r="J4934" s="39">
        <v>118974</v>
      </c>
      <c r="K4934" s="36" t="str">
        <f>CONCATENATE(Cover!$D$6,"fdd/view?i=",J4934)</f>
        <v>https://www.dgiwg.org/FAD/fdd/view?i=118974</v>
      </c>
      <c r="L4934" s="36" t="s">
        <v>35798</v>
      </c>
      <c r="M4934" s="186"/>
      <c r="N4934" s="186"/>
      <c r="O4934" s="172"/>
    </row>
    <row r="4935" spans="1:15" ht="25.5" x14ac:dyDescent="0.2">
      <c r="A4935" s="203" t="str">
        <f t="shared" si="77"/>
        <v>IztCode_war</v>
      </c>
      <c r="B4935" s="410"/>
      <c r="C4935" s="417"/>
      <c r="D4935" s="204" t="s">
        <v>35799</v>
      </c>
      <c r="E4935" s="204">
        <v>1</v>
      </c>
      <c r="F4935" s="205" t="s">
        <v>35800</v>
      </c>
      <c r="G4935" s="206" t="s">
        <v>35801</v>
      </c>
      <c r="H4935" s="207"/>
      <c r="I4935" s="347"/>
      <c r="J4935" s="39">
        <v>118972</v>
      </c>
      <c r="K4935" s="36" t="str">
        <f>CONCATENATE(Cover!$D$6,"fdd/view?i=",J4935)</f>
        <v>https://www.dgiwg.org/FAD/fdd/view?i=118972</v>
      </c>
      <c r="L4935" s="36" t="s">
        <v>35802</v>
      </c>
      <c r="M4935" s="186"/>
      <c r="N4935" s="186"/>
      <c r="O4935" s="172"/>
    </row>
    <row r="4936" spans="1:15" ht="51" x14ac:dyDescent="0.2">
      <c r="A4936" s="190" t="str">
        <f t="shared" si="77"/>
        <v>DamCode_acpGroupStates</v>
      </c>
      <c r="B4936" s="414" t="str">
        <f>HYPERLINK("[#]Datatypes!A756:L756","DamCode")</f>
        <v>DamCode</v>
      </c>
      <c r="C4936" s="415" t="s">
        <v>15342</v>
      </c>
      <c r="D4936" s="221" t="s">
        <v>35807</v>
      </c>
      <c r="E4936" s="221">
        <v>19</v>
      </c>
      <c r="F4936" s="222" t="s">
        <v>35808</v>
      </c>
      <c r="G4936" s="223" t="s">
        <v>35809</v>
      </c>
      <c r="H4936" s="224"/>
      <c r="I4936" s="345"/>
      <c r="J4936" s="39">
        <v>114549</v>
      </c>
      <c r="K4936" s="36" t="str">
        <f>CONCATENATE(Cover!$D$6,"fdd/view?i=",J4936)</f>
        <v>https://www.dgiwg.org/FAD/fdd/view?i=114549</v>
      </c>
      <c r="L4936" s="36" t="s">
        <v>35810</v>
      </c>
      <c r="M4936" s="186"/>
      <c r="N4936" s="186"/>
      <c r="O4936" s="172"/>
    </row>
    <row r="4937" spans="1:15" ht="51" x14ac:dyDescent="0.2">
      <c r="A4937" s="197" t="str">
        <f t="shared" si="77"/>
        <v>DamCode_africanUnion</v>
      </c>
      <c r="B4937" s="409"/>
      <c r="C4937" s="416"/>
      <c r="D4937" s="198" t="s">
        <v>35803</v>
      </c>
      <c r="E4937" s="198">
        <v>3</v>
      </c>
      <c r="F4937" s="199" t="s">
        <v>35804</v>
      </c>
      <c r="G4937" s="1" t="s">
        <v>35805</v>
      </c>
      <c r="H4937" s="200"/>
      <c r="I4937" s="346"/>
      <c r="J4937" s="39">
        <v>113080</v>
      </c>
      <c r="K4937" s="36" t="str">
        <f>CONCATENATE(Cover!$D$6,"fdd/view?i=",J4937)</f>
        <v>https://www.dgiwg.org/FAD/fdd/view?i=113080</v>
      </c>
      <c r="L4937" s="36" t="s">
        <v>35806</v>
      </c>
      <c r="M4937" s="186"/>
      <c r="N4937" s="186"/>
      <c r="O4937" s="172"/>
    </row>
    <row r="4938" spans="1:15" ht="38.25" x14ac:dyDescent="0.2">
      <c r="A4938" s="197" t="str">
        <f t="shared" si="77"/>
        <v>DamCode_assocSouthEastAsiaNation</v>
      </c>
      <c r="B4938" s="409"/>
      <c r="C4938" s="416"/>
      <c r="D4938" s="198" t="s">
        <v>35811</v>
      </c>
      <c r="E4938" s="198">
        <v>2</v>
      </c>
      <c r="F4938" s="199" t="s">
        <v>35812</v>
      </c>
      <c r="G4938" s="1" t="s">
        <v>35813</v>
      </c>
      <c r="H4938" s="200"/>
      <c r="I4938" s="346"/>
      <c r="J4938" s="39">
        <v>113079</v>
      </c>
      <c r="K4938" s="36" t="str">
        <f>CONCATENATE(Cover!$D$6,"fdd/view?i=",J4938)</f>
        <v>https://www.dgiwg.org/FAD/fdd/view?i=113079</v>
      </c>
      <c r="L4938" s="36" t="s">
        <v>35814</v>
      </c>
      <c r="M4938" s="186"/>
      <c r="N4938" s="186"/>
      <c r="O4938" s="172"/>
    </row>
    <row r="4939" spans="1:15" ht="38.25" x14ac:dyDescent="0.2">
      <c r="A4939" s="197" t="str">
        <f t="shared" si="77"/>
        <v>DamCode_commonwealthOfNations</v>
      </c>
      <c r="B4939" s="409"/>
      <c r="C4939" s="416"/>
      <c r="D4939" s="198" t="s">
        <v>35815</v>
      </c>
      <c r="E4939" s="198">
        <v>4</v>
      </c>
      <c r="F4939" s="199" t="s">
        <v>35816</v>
      </c>
      <c r="G4939" s="1" t="s">
        <v>35817</v>
      </c>
      <c r="H4939" s="200"/>
      <c r="I4939" s="346"/>
      <c r="J4939" s="39">
        <v>113081</v>
      </c>
      <c r="K4939" s="36" t="str">
        <f>CONCATENATE(Cover!$D$6,"fdd/view?i=",J4939)</f>
        <v>https://www.dgiwg.org/FAD/fdd/view?i=113081</v>
      </c>
      <c r="L4939" s="36" t="s">
        <v>35818</v>
      </c>
      <c r="M4939" s="186"/>
      <c r="N4939" s="186"/>
      <c r="O4939" s="172"/>
    </row>
    <row r="4940" spans="1:15" ht="51" x14ac:dyDescent="0.2">
      <c r="A4940" s="197" t="str">
        <f t="shared" si="77"/>
        <v>DamCode_euAssociatedCountry</v>
      </c>
      <c r="B4940" s="409"/>
      <c r="C4940" s="416"/>
      <c r="D4940" s="198" t="s">
        <v>35826</v>
      </c>
      <c r="E4940" s="198">
        <v>17</v>
      </c>
      <c r="F4940" s="199" t="s">
        <v>35827</v>
      </c>
      <c r="G4940" s="1" t="s">
        <v>35828</v>
      </c>
      <c r="H4940" s="200"/>
      <c r="I4940" s="346"/>
      <c r="J4940" s="39">
        <v>114547</v>
      </c>
      <c r="K4940" s="36" t="str">
        <f>CONCATENATE(Cover!$D$6,"fdd/view?i=",J4940)</f>
        <v>https://www.dgiwg.org/FAD/fdd/view?i=114547</v>
      </c>
      <c r="L4940" s="36" t="s">
        <v>35829</v>
      </c>
      <c r="M4940" s="186"/>
      <c r="N4940" s="186"/>
      <c r="O4940" s="172"/>
    </row>
    <row r="4941" spans="1:15" ht="51" x14ac:dyDescent="0.2">
      <c r="A4941" s="197" t="str">
        <f t="shared" si="77"/>
        <v>DamCode_euPartnerCoopAgreement</v>
      </c>
      <c r="B4941" s="409"/>
      <c r="C4941" s="416"/>
      <c r="D4941" s="198" t="s">
        <v>35830</v>
      </c>
      <c r="E4941" s="198">
        <v>18</v>
      </c>
      <c r="F4941" s="199" t="s">
        <v>35831</v>
      </c>
      <c r="G4941" s="1" t="s">
        <v>35832</v>
      </c>
      <c r="H4941" s="1" t="s">
        <v>35833</v>
      </c>
      <c r="I4941" s="346"/>
      <c r="J4941" s="39">
        <v>114548</v>
      </c>
      <c r="K4941" s="36" t="str">
        <f>CONCATENATE(Cover!$D$6,"fdd/view?i=",J4941)</f>
        <v>https://www.dgiwg.org/FAD/fdd/view?i=114548</v>
      </c>
      <c r="L4941" s="36" t="s">
        <v>35834</v>
      </c>
      <c r="M4941" s="186"/>
      <c r="N4941" s="186"/>
      <c r="O4941" s="172"/>
    </row>
    <row r="4942" spans="1:15" ht="25.5" x14ac:dyDescent="0.2">
      <c r="A4942" s="197" t="str">
        <f t="shared" si="77"/>
        <v>DamCode_europeanCouncil</v>
      </c>
      <c r="B4942" s="409"/>
      <c r="C4942" s="416"/>
      <c r="D4942" s="198" t="s">
        <v>35819</v>
      </c>
      <c r="E4942" s="198">
        <v>7</v>
      </c>
      <c r="F4942" s="199" t="s">
        <v>35820</v>
      </c>
      <c r="G4942" s="1" t="s">
        <v>35821</v>
      </c>
      <c r="H4942" s="200"/>
      <c r="I4942" s="346"/>
      <c r="J4942" s="39">
        <v>113083</v>
      </c>
      <c r="K4942" s="36" t="str">
        <f>CONCATENATE(Cover!$D$6,"fdd/view?i=",J4942)</f>
        <v>https://www.dgiwg.org/FAD/fdd/view?i=113083</v>
      </c>
      <c r="L4942" s="36" t="s">
        <v>35822</v>
      </c>
      <c r="M4942" s="186"/>
      <c r="N4942" s="186"/>
      <c r="O4942" s="172"/>
    </row>
    <row r="4943" spans="1:15" ht="51" x14ac:dyDescent="0.2">
      <c r="A4943" s="197" t="str">
        <f t="shared" si="77"/>
        <v>DamCode_europeanUnion</v>
      </c>
      <c r="B4943" s="409"/>
      <c r="C4943" s="416"/>
      <c r="D4943" s="198" t="s">
        <v>26703</v>
      </c>
      <c r="E4943" s="198">
        <v>6</v>
      </c>
      <c r="F4943" s="199" t="s">
        <v>35823</v>
      </c>
      <c r="G4943" s="1" t="s">
        <v>35824</v>
      </c>
      <c r="H4943" s="200"/>
      <c r="I4943" s="346"/>
      <c r="J4943" s="39">
        <v>113082</v>
      </c>
      <c r="K4943" s="36" t="str">
        <f>CONCATENATE(Cover!$D$6,"fdd/view?i=",J4943)</f>
        <v>https://www.dgiwg.org/FAD/fdd/view?i=113082</v>
      </c>
      <c r="L4943" s="36" t="s">
        <v>35825</v>
      </c>
      <c r="M4943" s="186"/>
      <c r="N4943" s="186"/>
      <c r="O4943" s="172"/>
    </row>
    <row r="4944" spans="1:15" ht="25.5" x14ac:dyDescent="0.2">
      <c r="A4944" s="197" t="str">
        <f t="shared" si="77"/>
        <v>DamCode_leagueArabStates</v>
      </c>
      <c r="B4944" s="409"/>
      <c r="C4944" s="416"/>
      <c r="D4944" s="198" t="s">
        <v>35835</v>
      </c>
      <c r="E4944" s="198">
        <v>1</v>
      </c>
      <c r="F4944" s="199" t="s">
        <v>35836</v>
      </c>
      <c r="G4944" s="1" t="s">
        <v>35837</v>
      </c>
      <c r="H4944" s="200"/>
      <c r="I4944" s="346"/>
      <c r="J4944" s="39">
        <v>113078</v>
      </c>
      <c r="K4944" s="36" t="str">
        <f>CONCATENATE(Cover!$D$6,"fdd/view?i=",J4944)</f>
        <v>https://www.dgiwg.org/FAD/fdd/view?i=113078</v>
      </c>
      <c r="L4944" s="36" t="s">
        <v>35838</v>
      </c>
      <c r="M4944" s="186"/>
      <c r="N4944" s="186"/>
      <c r="O4944" s="172"/>
    </row>
    <row r="4945" spans="1:15" ht="38.25" x14ac:dyDescent="0.2">
      <c r="A4945" s="197" t="str">
        <f t="shared" si="77"/>
        <v>DamCode_natoMemberNoForceInteg</v>
      </c>
      <c r="B4945" s="409"/>
      <c r="C4945" s="416"/>
      <c r="D4945" s="198" t="s">
        <v>35843</v>
      </c>
      <c r="E4945" s="198">
        <v>9</v>
      </c>
      <c r="F4945" s="199" t="s">
        <v>35844</v>
      </c>
      <c r="G4945" s="1" t="s">
        <v>35845</v>
      </c>
      <c r="H4945" s="200"/>
      <c r="I4945" s="346"/>
      <c r="J4945" s="39">
        <v>113085</v>
      </c>
      <c r="K4945" s="36" t="str">
        <f>CONCATENATE(Cover!$D$6,"fdd/view?i=",J4945)</f>
        <v>https://www.dgiwg.org/FAD/fdd/view?i=113085</v>
      </c>
      <c r="L4945" s="36" t="s">
        <v>35846</v>
      </c>
      <c r="M4945" s="186"/>
      <c r="N4945" s="186"/>
      <c r="O4945" s="172"/>
    </row>
    <row r="4946" spans="1:15" ht="51" x14ac:dyDescent="0.2">
      <c r="A4946" s="197" t="str">
        <f t="shared" si="77"/>
        <v>DamCode_natoPartnershipForPeace</v>
      </c>
      <c r="B4946" s="409"/>
      <c r="C4946" s="416"/>
      <c r="D4946" s="198" t="s">
        <v>35839</v>
      </c>
      <c r="E4946" s="198">
        <v>10</v>
      </c>
      <c r="F4946" s="199" t="s">
        <v>35840</v>
      </c>
      <c r="G4946" s="1" t="s">
        <v>35841</v>
      </c>
      <c r="H4946" s="200"/>
      <c r="I4946" s="346"/>
      <c r="J4946" s="39">
        <v>113086</v>
      </c>
      <c r="K4946" s="36" t="str">
        <f>CONCATENATE(Cover!$D$6,"fdd/view?i=",J4946)</f>
        <v>https://www.dgiwg.org/FAD/fdd/view?i=113086</v>
      </c>
      <c r="L4946" s="36" t="s">
        <v>35842</v>
      </c>
      <c r="M4946" s="186"/>
      <c r="N4946" s="186"/>
      <c r="O4946" s="172"/>
    </row>
    <row r="4947" spans="1:15" ht="38.25" x14ac:dyDescent="0.2">
      <c r="A4947" s="197" t="str">
        <f t="shared" si="77"/>
        <v>DamCode_northAmFreeTradeAgreement</v>
      </c>
      <c r="B4947" s="409"/>
      <c r="C4947" s="416"/>
      <c r="D4947" s="198" t="s">
        <v>35847</v>
      </c>
      <c r="E4947" s="198">
        <v>20</v>
      </c>
      <c r="F4947" s="199" t="s">
        <v>35848</v>
      </c>
      <c r="G4947" s="1" t="s">
        <v>35849</v>
      </c>
      <c r="H4947" s="1" t="s">
        <v>35850</v>
      </c>
      <c r="I4947" s="346"/>
      <c r="J4947" s="39">
        <v>114550</v>
      </c>
      <c r="K4947" s="36" t="str">
        <f>CONCATENATE(Cover!$D$6,"fdd/view?i=",J4947)</f>
        <v>https://www.dgiwg.org/FAD/fdd/view?i=114550</v>
      </c>
      <c r="L4947" s="36" t="s">
        <v>35851</v>
      </c>
      <c r="M4947" s="186"/>
      <c r="N4947" s="186"/>
      <c r="O4947" s="172"/>
    </row>
    <row r="4948" spans="1:15" ht="51" x14ac:dyDescent="0.2">
      <c r="A4948" s="197" t="str">
        <f t="shared" si="77"/>
        <v>DamCode_northAtlanticTreatyOrg</v>
      </c>
      <c r="B4948" s="409"/>
      <c r="C4948" s="416"/>
      <c r="D4948" s="198" t="s">
        <v>35852</v>
      </c>
      <c r="E4948" s="198">
        <v>8</v>
      </c>
      <c r="F4948" s="199" t="s">
        <v>35853</v>
      </c>
      <c r="G4948" s="1" t="s">
        <v>35854</v>
      </c>
      <c r="H4948" s="200"/>
      <c r="I4948" s="346"/>
      <c r="J4948" s="39">
        <v>113084</v>
      </c>
      <c r="K4948" s="36" t="str">
        <f>CONCATENATE(Cover!$D$6,"fdd/view?i=",J4948)</f>
        <v>https://www.dgiwg.org/FAD/fdd/view?i=113084</v>
      </c>
      <c r="L4948" s="36" t="s">
        <v>35855</v>
      </c>
      <c r="M4948" s="186"/>
      <c r="N4948" s="186"/>
      <c r="O4948" s="172"/>
    </row>
    <row r="4949" spans="1:15" ht="38.25" x14ac:dyDescent="0.2">
      <c r="A4949" s="197" t="str">
        <f t="shared" si="77"/>
        <v>DamCode_orgAmericanStates</v>
      </c>
      <c r="B4949" s="409"/>
      <c r="C4949" s="416"/>
      <c r="D4949" s="198" t="s">
        <v>35860</v>
      </c>
      <c r="E4949" s="198">
        <v>11</v>
      </c>
      <c r="F4949" s="199" t="s">
        <v>35861</v>
      </c>
      <c r="G4949" s="1" t="s">
        <v>35862</v>
      </c>
      <c r="H4949" s="200"/>
      <c r="I4949" s="346"/>
      <c r="J4949" s="39">
        <v>113087</v>
      </c>
      <c r="K4949" s="36" t="str">
        <f>CONCATENATE(Cover!$D$6,"fdd/view?i=",J4949)</f>
        <v>https://www.dgiwg.org/FAD/fdd/view?i=113087</v>
      </c>
      <c r="L4949" s="36" t="s">
        <v>35863</v>
      </c>
      <c r="M4949" s="186"/>
      <c r="N4949" s="186"/>
      <c r="O4949" s="172"/>
    </row>
    <row r="4950" spans="1:15" ht="51" x14ac:dyDescent="0.2">
      <c r="A4950" s="197" t="str">
        <f t="shared" si="77"/>
        <v>DamCode_orgEcoCoOpDevelopment</v>
      </c>
      <c r="B4950" s="409"/>
      <c r="C4950" s="416"/>
      <c r="D4950" s="198" t="s">
        <v>35856</v>
      </c>
      <c r="E4950" s="198">
        <v>13</v>
      </c>
      <c r="F4950" s="199" t="s">
        <v>35857</v>
      </c>
      <c r="G4950" s="1" t="s">
        <v>35858</v>
      </c>
      <c r="H4950" s="200"/>
      <c r="I4950" s="346"/>
      <c r="J4950" s="39">
        <v>113089</v>
      </c>
      <c r="K4950" s="36" t="str">
        <f>CONCATENATE(Cover!$D$6,"fdd/view?i=",J4950)</f>
        <v>https://www.dgiwg.org/FAD/fdd/view?i=113089</v>
      </c>
      <c r="L4950" s="36" t="s">
        <v>35859</v>
      </c>
      <c r="M4950" s="186"/>
      <c r="N4950" s="186"/>
      <c r="O4950" s="172"/>
    </row>
    <row r="4951" spans="1:15" ht="38.25" x14ac:dyDescent="0.2">
      <c r="A4951" s="197" t="str">
        <f t="shared" si="77"/>
        <v>DamCode_orgPetroExportCountries</v>
      </c>
      <c r="B4951" s="409"/>
      <c r="C4951" s="416"/>
      <c r="D4951" s="198" t="s">
        <v>35864</v>
      </c>
      <c r="E4951" s="198">
        <v>12</v>
      </c>
      <c r="F4951" s="199" t="s">
        <v>35865</v>
      </c>
      <c r="G4951" s="1" t="s">
        <v>35866</v>
      </c>
      <c r="H4951" s="200"/>
      <c r="I4951" s="346"/>
      <c r="J4951" s="39">
        <v>113088</v>
      </c>
      <c r="K4951" s="36" t="str">
        <f>CONCATENATE(Cover!$D$6,"fdd/view?i=",J4951)</f>
        <v>https://www.dgiwg.org/FAD/fdd/view?i=113088</v>
      </c>
      <c r="L4951" s="36" t="s">
        <v>35867</v>
      </c>
      <c r="M4951" s="186"/>
      <c r="N4951" s="186"/>
      <c r="O4951" s="172"/>
    </row>
    <row r="4952" spans="1:15" ht="38.25" x14ac:dyDescent="0.2">
      <c r="A4952" s="197" t="str">
        <f t="shared" si="77"/>
        <v>DamCode_unitedNations</v>
      </c>
      <c r="B4952" s="409"/>
      <c r="C4952" s="416"/>
      <c r="D4952" s="198" t="s">
        <v>26775</v>
      </c>
      <c r="E4952" s="198">
        <v>14</v>
      </c>
      <c r="F4952" s="199" t="s">
        <v>35868</v>
      </c>
      <c r="G4952" s="1" t="s">
        <v>35869</v>
      </c>
      <c r="H4952" s="200"/>
      <c r="I4952" s="346"/>
      <c r="J4952" s="39">
        <v>113090</v>
      </c>
      <c r="K4952" s="36" t="str">
        <f>CONCATENATE(Cover!$D$6,"fdd/view?i=",J4952)</f>
        <v>https://www.dgiwg.org/FAD/fdd/view?i=113090</v>
      </c>
      <c r="L4952" s="36" t="s">
        <v>35870</v>
      </c>
      <c r="M4952" s="186"/>
      <c r="N4952" s="186"/>
      <c r="O4952" s="172"/>
    </row>
    <row r="4953" spans="1:15" ht="51" x14ac:dyDescent="0.2">
      <c r="A4953" s="197" t="str">
        <f t="shared" si="77"/>
        <v>DamCode_unSecurityCouncilPermMem</v>
      </c>
      <c r="B4953" s="409"/>
      <c r="C4953" s="416"/>
      <c r="D4953" s="198" t="s">
        <v>35871</v>
      </c>
      <c r="E4953" s="198">
        <v>15</v>
      </c>
      <c r="F4953" s="199" t="s">
        <v>35872</v>
      </c>
      <c r="G4953" s="1" t="s">
        <v>35873</v>
      </c>
      <c r="H4953" s="200"/>
      <c r="I4953" s="346"/>
      <c r="J4953" s="39">
        <v>113091</v>
      </c>
      <c r="K4953" s="36" t="str">
        <f>CONCATENATE(Cover!$D$6,"fdd/view?i=",J4953)</f>
        <v>https://www.dgiwg.org/FAD/fdd/view?i=113091</v>
      </c>
      <c r="L4953" s="36" t="s">
        <v>35874</v>
      </c>
      <c r="M4953" s="186"/>
      <c r="N4953" s="186"/>
      <c r="O4953" s="172"/>
    </row>
    <row r="4954" spans="1:15" ht="25.5" x14ac:dyDescent="0.2">
      <c r="A4954" s="203" t="str">
        <f t="shared" si="77"/>
        <v>DamCode_worldTradeOrganisation</v>
      </c>
      <c r="B4954" s="410"/>
      <c r="C4954" s="417"/>
      <c r="D4954" s="204" t="s">
        <v>35875</v>
      </c>
      <c r="E4954" s="204">
        <v>16</v>
      </c>
      <c r="F4954" s="205" t="s">
        <v>35876</v>
      </c>
      <c r="G4954" s="206" t="s">
        <v>35877</v>
      </c>
      <c r="H4954" s="207"/>
      <c r="I4954" s="347"/>
      <c r="J4954" s="39">
        <v>113092</v>
      </c>
      <c r="K4954" s="36" t="str">
        <f>CONCATENATE(Cover!$D$6,"fdd/view?i=",J4954)</f>
        <v>https://www.dgiwg.org/FAD/fdd/view?i=113092</v>
      </c>
      <c r="L4954" s="36" t="s">
        <v>35878</v>
      </c>
      <c r="M4954" s="186"/>
      <c r="N4954" s="186"/>
      <c r="O4954" s="172"/>
    </row>
    <row r="4955" spans="1:15" ht="63.75" x14ac:dyDescent="0.2">
      <c r="A4955" s="190" t="str">
        <f t="shared" si="77"/>
        <v>CscCode_groundMarking</v>
      </c>
      <c r="B4955" s="414" t="str">
        <f>HYPERLINK("[#]Datatypes!A758:L758","CscCode")</f>
        <v>CscCode</v>
      </c>
      <c r="C4955" s="415" t="s">
        <v>15344</v>
      </c>
      <c r="D4955" s="221" t="s">
        <v>35879</v>
      </c>
      <c r="E4955" s="221">
        <v>5</v>
      </c>
      <c r="F4955" s="222" t="s">
        <v>35880</v>
      </c>
      <c r="G4955" s="223" t="s">
        <v>35881</v>
      </c>
      <c r="H4955" s="223" t="s">
        <v>35882</v>
      </c>
      <c r="I4955" s="345"/>
      <c r="J4955" s="39">
        <v>110111</v>
      </c>
      <c r="K4955" s="36" t="str">
        <f>CONCATENATE(Cover!$D$6,"fdd/view?i=",J4955)</f>
        <v>https://www.dgiwg.org/FAD/fdd/view?i=110111</v>
      </c>
      <c r="L4955" s="36" t="s">
        <v>35883</v>
      </c>
      <c r="M4955" s="186"/>
      <c r="N4955" s="186"/>
      <c r="O4955" s="172"/>
    </row>
    <row r="4956" spans="1:15" ht="25.5" x14ac:dyDescent="0.2">
      <c r="A4956" s="197" t="str">
        <f t="shared" si="77"/>
        <v>CscCode_noControl</v>
      </c>
      <c r="B4956" s="409"/>
      <c r="C4956" s="416"/>
      <c r="D4956" s="198" t="s">
        <v>35884</v>
      </c>
      <c r="E4956" s="198">
        <v>4</v>
      </c>
      <c r="F4956" s="199" t="s">
        <v>35885</v>
      </c>
      <c r="G4956" s="1" t="s">
        <v>35886</v>
      </c>
      <c r="H4956" s="1" t="s">
        <v>35887</v>
      </c>
      <c r="I4956" s="346"/>
      <c r="J4956" s="39">
        <v>103275</v>
      </c>
      <c r="K4956" s="36" t="str">
        <f>CONCATENATE(Cover!$D$6,"fdd/view?i=",J4956)</f>
        <v>https://www.dgiwg.org/FAD/fdd/view?i=103275</v>
      </c>
      <c r="L4956" s="36" t="s">
        <v>35888</v>
      </c>
      <c r="M4956" s="186"/>
      <c r="N4956" s="186"/>
      <c r="O4956" s="172"/>
    </row>
    <row r="4957" spans="1:15" ht="38.25" x14ac:dyDescent="0.2">
      <c r="A4957" s="197" t="str">
        <f t="shared" si="77"/>
        <v>CscCode_prioritySign</v>
      </c>
      <c r="B4957" s="409"/>
      <c r="C4957" s="416"/>
      <c r="D4957" s="198" t="s">
        <v>35889</v>
      </c>
      <c r="E4957" s="198">
        <v>7</v>
      </c>
      <c r="F4957" s="199" t="s">
        <v>35890</v>
      </c>
      <c r="G4957" s="1" t="s">
        <v>35891</v>
      </c>
      <c r="H4957" s="200"/>
      <c r="I4957" s="346"/>
      <c r="J4957" s="39">
        <v>110113</v>
      </c>
      <c r="K4957" s="36" t="str">
        <f>CONCATENATE(Cover!$D$6,"fdd/view?i=",J4957)</f>
        <v>https://www.dgiwg.org/FAD/fdd/view?i=110113</v>
      </c>
      <c r="L4957" s="36" t="s">
        <v>35892</v>
      </c>
      <c r="M4957" s="186"/>
      <c r="N4957" s="186"/>
      <c r="O4957" s="172"/>
    </row>
    <row r="4958" spans="1:15" ht="38.25" x14ac:dyDescent="0.2">
      <c r="A4958" s="197" t="str">
        <f t="shared" si="77"/>
        <v>CscCode_signalDevice</v>
      </c>
      <c r="B4958" s="409"/>
      <c r="C4958" s="416"/>
      <c r="D4958" s="198" t="s">
        <v>35893</v>
      </c>
      <c r="E4958" s="198">
        <v>2</v>
      </c>
      <c r="F4958" s="199" t="s">
        <v>35894</v>
      </c>
      <c r="G4958" s="1" t="s">
        <v>35895</v>
      </c>
      <c r="H4958" s="1" t="s">
        <v>35896</v>
      </c>
      <c r="I4958" s="346"/>
      <c r="J4958" s="39">
        <v>103273</v>
      </c>
      <c r="K4958" s="36" t="str">
        <f>CONCATENATE(Cover!$D$6,"fdd/view?i=",J4958)</f>
        <v>https://www.dgiwg.org/FAD/fdd/view?i=103273</v>
      </c>
      <c r="L4958" s="36" t="s">
        <v>35897</v>
      </c>
      <c r="M4958" s="186"/>
      <c r="N4958" s="186"/>
      <c r="O4958" s="172"/>
    </row>
    <row r="4959" spans="1:15" ht="51" x14ac:dyDescent="0.2">
      <c r="A4959" s="197" t="str">
        <f t="shared" si="77"/>
        <v>CscCode_stopSign</v>
      </c>
      <c r="B4959" s="409"/>
      <c r="C4959" s="416"/>
      <c r="D4959" s="198" t="s">
        <v>35898</v>
      </c>
      <c r="E4959" s="198">
        <v>3</v>
      </c>
      <c r="F4959" s="199" t="s">
        <v>35899</v>
      </c>
      <c r="G4959" s="1" t="s">
        <v>35900</v>
      </c>
      <c r="H4959" s="1" t="s">
        <v>35901</v>
      </c>
      <c r="I4959" s="346"/>
      <c r="J4959" s="39">
        <v>103274</v>
      </c>
      <c r="K4959" s="36" t="str">
        <f>CONCATENATE(Cover!$D$6,"fdd/view?i=",J4959)</f>
        <v>https://www.dgiwg.org/FAD/fdd/view?i=103274</v>
      </c>
      <c r="L4959" s="36" t="s">
        <v>35902</v>
      </c>
      <c r="M4959" s="186"/>
      <c r="N4959" s="186"/>
      <c r="O4959" s="172"/>
    </row>
    <row r="4960" spans="1:15" ht="25.5" x14ac:dyDescent="0.2">
      <c r="A4960" s="203" t="str">
        <f t="shared" si="77"/>
        <v>CscCode_yieldSign</v>
      </c>
      <c r="B4960" s="410"/>
      <c r="C4960" s="417"/>
      <c r="D4960" s="204" t="s">
        <v>35903</v>
      </c>
      <c r="E4960" s="204">
        <v>6</v>
      </c>
      <c r="F4960" s="205" t="s">
        <v>35904</v>
      </c>
      <c r="G4960" s="206" t="s">
        <v>35905</v>
      </c>
      <c r="H4960" s="206" t="s">
        <v>35906</v>
      </c>
      <c r="I4960" s="347"/>
      <c r="J4960" s="39">
        <v>110112</v>
      </c>
      <c r="K4960" s="36" t="str">
        <f>CONCATENATE(Cover!$D$6,"fdd/view?i=",J4960)</f>
        <v>https://www.dgiwg.org/FAD/fdd/view?i=110112</v>
      </c>
      <c r="L4960" s="36" t="s">
        <v>35907</v>
      </c>
      <c r="M4960" s="186"/>
      <c r="N4960" s="186"/>
      <c r="O4960" s="172"/>
    </row>
    <row r="4961" spans="1:15" x14ac:dyDescent="0.2">
      <c r="A4961" s="190" t="str">
        <f t="shared" si="77"/>
        <v>IncCode_closedInterval</v>
      </c>
      <c r="B4961" s="414" t="str">
        <f>HYPERLINK("[#]Datatypes!A760:L760","IncCode")</f>
        <v>IncCode</v>
      </c>
      <c r="C4961" s="415" t="s">
        <v>15347</v>
      </c>
      <c r="D4961" s="221" t="s">
        <v>35908</v>
      </c>
      <c r="E4961" s="221">
        <v>5</v>
      </c>
      <c r="F4961" s="222" t="s">
        <v>35909</v>
      </c>
      <c r="G4961" s="223" t="s">
        <v>35910</v>
      </c>
      <c r="H4961" s="224"/>
      <c r="I4961" s="345"/>
      <c r="J4961" s="39">
        <v>202228</v>
      </c>
      <c r="K4961" s="36" t="str">
        <f>CONCATENATE(Cover!$D$6,"fdd/view?i=",J4961)</f>
        <v>https://www.dgiwg.org/FAD/fdd/view?i=202228</v>
      </c>
      <c r="L4961" s="36" t="s">
        <v>35911</v>
      </c>
      <c r="M4961" s="186"/>
      <c r="N4961" s="186"/>
      <c r="O4961" s="172"/>
    </row>
    <row r="4962" spans="1:15" ht="25.5" x14ac:dyDescent="0.2">
      <c r="A4962" s="197" t="str">
        <f t="shared" si="77"/>
        <v>IncCode_gteSemiInterval</v>
      </c>
      <c r="B4962" s="409"/>
      <c r="C4962" s="416"/>
      <c r="D4962" s="198" t="s">
        <v>35912</v>
      </c>
      <c r="E4962" s="198">
        <v>7</v>
      </c>
      <c r="F4962" s="199" t="s">
        <v>35913</v>
      </c>
      <c r="G4962" s="1" t="s">
        <v>35914</v>
      </c>
      <c r="H4962" s="1" t="s">
        <v>35915</v>
      </c>
      <c r="I4962" s="346"/>
      <c r="J4962" s="39">
        <v>202230</v>
      </c>
      <c r="K4962" s="36" t="str">
        <f>CONCATENATE(Cover!$D$6,"fdd/view?i=",J4962)</f>
        <v>https://www.dgiwg.org/FAD/fdd/view?i=202230</v>
      </c>
      <c r="L4962" s="36" t="s">
        <v>35916</v>
      </c>
      <c r="M4962" s="186"/>
      <c r="N4962" s="186"/>
      <c r="O4962" s="172"/>
    </row>
    <row r="4963" spans="1:15" ht="25.5" x14ac:dyDescent="0.2">
      <c r="A4963" s="197" t="str">
        <f t="shared" si="77"/>
        <v>IncCode_gteToLtInterval</v>
      </c>
      <c r="B4963" s="409"/>
      <c r="C4963" s="416"/>
      <c r="D4963" s="198" t="s">
        <v>35925</v>
      </c>
      <c r="E4963" s="198">
        <v>3</v>
      </c>
      <c r="F4963" s="199" t="s">
        <v>35926</v>
      </c>
      <c r="G4963" s="1" t="s">
        <v>35927</v>
      </c>
      <c r="H4963" s="200"/>
      <c r="I4963" s="346"/>
      <c r="J4963" s="39">
        <v>202226</v>
      </c>
      <c r="K4963" s="36" t="str">
        <f>CONCATENATE(Cover!$D$6,"fdd/view?i=",J4963)</f>
        <v>https://www.dgiwg.org/FAD/fdd/view?i=202226</v>
      </c>
      <c r="L4963" s="36" t="s">
        <v>35928</v>
      </c>
      <c r="M4963" s="186"/>
      <c r="N4963" s="186"/>
      <c r="O4963" s="172"/>
    </row>
    <row r="4964" spans="1:15" ht="25.5" x14ac:dyDescent="0.2">
      <c r="A4964" s="197" t="str">
        <f t="shared" si="77"/>
        <v>IncCode_gtSemiInterval</v>
      </c>
      <c r="B4964" s="409"/>
      <c r="C4964" s="416"/>
      <c r="D4964" s="198" t="s">
        <v>35917</v>
      </c>
      <c r="E4964" s="198">
        <v>6</v>
      </c>
      <c r="F4964" s="199" t="s">
        <v>35918</v>
      </c>
      <c r="G4964" s="1" t="s">
        <v>35919</v>
      </c>
      <c r="H4964" s="1" t="s">
        <v>35915</v>
      </c>
      <c r="I4964" s="346"/>
      <c r="J4964" s="39">
        <v>202229</v>
      </c>
      <c r="K4964" s="36" t="str">
        <f>CONCATENATE(Cover!$D$6,"fdd/view?i=",J4964)</f>
        <v>https://www.dgiwg.org/FAD/fdd/view?i=202229</v>
      </c>
      <c r="L4964" s="36" t="s">
        <v>35920</v>
      </c>
      <c r="M4964" s="186"/>
      <c r="N4964" s="186"/>
      <c r="O4964" s="172"/>
    </row>
    <row r="4965" spans="1:15" ht="25.5" x14ac:dyDescent="0.2">
      <c r="A4965" s="197" t="str">
        <f t="shared" si="77"/>
        <v>IncCode_gtToLteInterval</v>
      </c>
      <c r="B4965" s="409"/>
      <c r="C4965" s="416"/>
      <c r="D4965" s="198" t="s">
        <v>35921</v>
      </c>
      <c r="E4965" s="198">
        <v>4</v>
      </c>
      <c r="F4965" s="199" t="s">
        <v>35922</v>
      </c>
      <c r="G4965" s="1" t="s">
        <v>35923</v>
      </c>
      <c r="H4965" s="200"/>
      <c r="I4965" s="346"/>
      <c r="J4965" s="39">
        <v>202227</v>
      </c>
      <c r="K4965" s="36" t="str">
        <f>CONCATENATE(Cover!$D$6,"fdd/view?i=",J4965)</f>
        <v>https://www.dgiwg.org/FAD/fdd/view?i=202227</v>
      </c>
      <c r="L4965" s="36" t="s">
        <v>35924</v>
      </c>
      <c r="M4965" s="186"/>
      <c r="N4965" s="186"/>
      <c r="O4965" s="172"/>
    </row>
    <row r="4966" spans="1:15" ht="25.5" x14ac:dyDescent="0.2">
      <c r="A4966" s="197" t="str">
        <f t="shared" si="77"/>
        <v>IncCode_lteSemiInterval</v>
      </c>
      <c r="B4966" s="409"/>
      <c r="C4966" s="416"/>
      <c r="D4966" s="198" t="s">
        <v>35929</v>
      </c>
      <c r="E4966" s="198">
        <v>9</v>
      </c>
      <c r="F4966" s="199" t="s">
        <v>35930</v>
      </c>
      <c r="G4966" s="1" t="s">
        <v>35931</v>
      </c>
      <c r="H4966" s="1" t="s">
        <v>35932</v>
      </c>
      <c r="I4966" s="346"/>
      <c r="J4966" s="39">
        <v>202232</v>
      </c>
      <c r="K4966" s="36" t="str">
        <f>CONCATENATE(Cover!$D$6,"fdd/view?i=",J4966)</f>
        <v>https://www.dgiwg.org/FAD/fdd/view?i=202232</v>
      </c>
      <c r="L4966" s="36" t="s">
        <v>35933</v>
      </c>
      <c r="M4966" s="186"/>
      <c r="N4966" s="186"/>
      <c r="O4966" s="172"/>
    </row>
    <row r="4967" spans="1:15" ht="25.5" x14ac:dyDescent="0.2">
      <c r="A4967" s="197" t="str">
        <f t="shared" si="77"/>
        <v>IncCode_ltSemiInterval</v>
      </c>
      <c r="B4967" s="409"/>
      <c r="C4967" s="416"/>
      <c r="D4967" s="198" t="s">
        <v>35934</v>
      </c>
      <c r="E4967" s="198">
        <v>8</v>
      </c>
      <c r="F4967" s="199" t="s">
        <v>35935</v>
      </c>
      <c r="G4967" s="1" t="s">
        <v>35936</v>
      </c>
      <c r="H4967" s="1" t="s">
        <v>35932</v>
      </c>
      <c r="I4967" s="346"/>
      <c r="J4967" s="39">
        <v>202231</v>
      </c>
      <c r="K4967" s="36" t="str">
        <f>CONCATENATE(Cover!$D$6,"fdd/view?i=",J4967)</f>
        <v>https://www.dgiwg.org/FAD/fdd/view?i=202231</v>
      </c>
      <c r="L4967" s="36" t="s">
        <v>35937</v>
      </c>
      <c r="M4967" s="186"/>
      <c r="N4967" s="186"/>
      <c r="O4967" s="172"/>
    </row>
    <row r="4968" spans="1:15" x14ac:dyDescent="0.2">
      <c r="A4968" s="197" t="str">
        <f t="shared" si="77"/>
        <v>IncCode_openInterval</v>
      </c>
      <c r="B4968" s="409"/>
      <c r="C4968" s="416"/>
      <c r="D4968" s="198" t="s">
        <v>35938</v>
      </c>
      <c r="E4968" s="198">
        <v>2</v>
      </c>
      <c r="F4968" s="199" t="s">
        <v>35939</v>
      </c>
      <c r="G4968" s="1" t="s">
        <v>35940</v>
      </c>
      <c r="H4968" s="200"/>
      <c r="I4968" s="346"/>
      <c r="J4968" s="39">
        <v>202225</v>
      </c>
      <c r="K4968" s="36" t="str">
        <f>CONCATENATE(Cover!$D$6,"fdd/view?i=",J4968)</f>
        <v>https://www.dgiwg.org/FAD/fdd/view?i=202225</v>
      </c>
      <c r="L4968" s="36" t="s">
        <v>35941</v>
      </c>
      <c r="M4968" s="186"/>
      <c r="N4968" s="186"/>
      <c r="O4968" s="172"/>
    </row>
    <row r="4969" spans="1:15" ht="25.5" x14ac:dyDescent="0.2">
      <c r="A4969" s="203" t="str">
        <f t="shared" si="77"/>
        <v>IncCode_singleValue</v>
      </c>
      <c r="B4969" s="410"/>
      <c r="C4969" s="417"/>
      <c r="D4969" s="204" t="s">
        <v>35942</v>
      </c>
      <c r="E4969" s="204">
        <v>1</v>
      </c>
      <c r="F4969" s="205" t="s">
        <v>35943</v>
      </c>
      <c r="G4969" s="206" t="s">
        <v>35944</v>
      </c>
      <c r="H4969" s="206" t="s">
        <v>35945</v>
      </c>
      <c r="I4969" s="347"/>
      <c r="J4969" s="39">
        <v>202224</v>
      </c>
      <c r="K4969" s="36" t="str">
        <f>CONCATENATE(Cover!$D$6,"fdd/view?i=",J4969)</f>
        <v>https://www.dgiwg.org/FAD/fdd/view?i=202224</v>
      </c>
      <c r="L4969" s="36" t="s">
        <v>35946</v>
      </c>
      <c r="M4969" s="186"/>
      <c r="N4969" s="186"/>
      <c r="O4969" s="172"/>
    </row>
    <row r="4970" spans="1:15" ht="25.5" x14ac:dyDescent="0.2">
      <c r="A4970" s="190" t="str">
        <f t="shared" si="77"/>
        <v>InuCode_controlled</v>
      </c>
      <c r="B4970" s="414" t="str">
        <f>HYPERLINK("[#]Datatypes!A764:L764","InuCode")</f>
        <v>InuCode</v>
      </c>
      <c r="C4970" s="415" t="s">
        <v>15352</v>
      </c>
      <c r="D4970" s="221" t="s">
        <v>7658</v>
      </c>
      <c r="E4970" s="221">
        <v>1</v>
      </c>
      <c r="F4970" s="222" t="s">
        <v>7660</v>
      </c>
      <c r="G4970" s="223" t="s">
        <v>35947</v>
      </c>
      <c r="H4970" s="224"/>
      <c r="I4970" s="345"/>
      <c r="J4970" s="39">
        <v>114364</v>
      </c>
      <c r="K4970" s="36" t="str">
        <f>CONCATENATE(Cover!$D$6,"fdd/view?i=",J4970)</f>
        <v>https://www.dgiwg.org/FAD/fdd/view?i=114364</v>
      </c>
      <c r="L4970" s="36" t="s">
        <v>35948</v>
      </c>
      <c r="M4970" s="186"/>
      <c r="N4970" s="186"/>
      <c r="O4970" s="172"/>
    </row>
    <row r="4971" spans="1:15" ht="25.5" x14ac:dyDescent="0.2">
      <c r="A4971" s="203" t="str">
        <f t="shared" si="77"/>
        <v>InuCode_natural</v>
      </c>
      <c r="B4971" s="410"/>
      <c r="C4971" s="417"/>
      <c r="D4971" s="204" t="s">
        <v>25518</v>
      </c>
      <c r="E4971" s="204">
        <v>2</v>
      </c>
      <c r="F4971" s="205" t="s">
        <v>25519</v>
      </c>
      <c r="G4971" s="206" t="s">
        <v>35949</v>
      </c>
      <c r="H4971" s="207"/>
      <c r="I4971" s="347"/>
      <c r="J4971" s="39">
        <v>114365</v>
      </c>
      <c r="K4971" s="36" t="str">
        <f>CONCATENATE(Cover!$D$6,"fdd/view?i=",J4971)</f>
        <v>https://www.dgiwg.org/FAD/fdd/view?i=114365</v>
      </c>
      <c r="L4971" s="36" t="s">
        <v>35950</v>
      </c>
      <c r="M4971" s="186"/>
      <c r="N4971" s="186"/>
      <c r="O4971" s="172"/>
    </row>
    <row r="4972" spans="1:15" ht="102" x14ac:dyDescent="0.2">
      <c r="A4972" s="190" t="str">
        <f t="shared" si="77"/>
        <v>IrgCode_centerPivot</v>
      </c>
      <c r="B4972" s="414" t="str">
        <f>HYPERLINK("[#]Datatypes!A766:L766","IrgCode")</f>
        <v>IrgCode</v>
      </c>
      <c r="C4972" s="415" t="s">
        <v>15354</v>
      </c>
      <c r="D4972" s="221" t="s">
        <v>35951</v>
      </c>
      <c r="E4972" s="221">
        <v>3</v>
      </c>
      <c r="F4972" s="222" t="s">
        <v>35952</v>
      </c>
      <c r="G4972" s="223" t="s">
        <v>35953</v>
      </c>
      <c r="H4972" s="223" t="s">
        <v>35954</v>
      </c>
      <c r="I4972" s="345"/>
      <c r="J4972" s="39">
        <v>110866</v>
      </c>
      <c r="K4972" s="36" t="str">
        <f>CONCATENATE(Cover!$D$6,"fdd/view?i=",J4972)</f>
        <v>https://www.dgiwg.org/FAD/fdd/view?i=110866</v>
      </c>
      <c r="L4972" s="36" t="s">
        <v>35955</v>
      </c>
      <c r="M4972" s="186"/>
      <c r="N4972" s="186"/>
      <c r="O4972" s="172"/>
    </row>
    <row r="4973" spans="1:15" ht="102" x14ac:dyDescent="0.2">
      <c r="A4973" s="197" t="str">
        <f t="shared" si="77"/>
        <v>IrgCode_drip</v>
      </c>
      <c r="B4973" s="409"/>
      <c r="C4973" s="416"/>
      <c r="D4973" s="198" t="s">
        <v>35956</v>
      </c>
      <c r="E4973" s="198">
        <v>6</v>
      </c>
      <c r="F4973" s="199" t="s">
        <v>35957</v>
      </c>
      <c r="G4973" s="1" t="s">
        <v>35958</v>
      </c>
      <c r="H4973" s="1" t="s">
        <v>35959</v>
      </c>
      <c r="I4973" s="351" t="s">
        <v>35960</v>
      </c>
      <c r="J4973" s="39">
        <v>110869</v>
      </c>
      <c r="K4973" s="36" t="str">
        <f>CONCATENATE(Cover!$D$6,"fdd/view?i=",J4973)</f>
        <v>https://www.dgiwg.org/FAD/fdd/view?i=110869</v>
      </c>
      <c r="L4973" s="36" t="s">
        <v>35961</v>
      </c>
      <c r="M4973" s="186"/>
      <c r="N4973" s="186"/>
      <c r="O4973" s="172"/>
    </row>
    <row r="4974" spans="1:15" ht="140.25" x14ac:dyDescent="0.2">
      <c r="A4974" s="197" t="str">
        <f t="shared" si="77"/>
        <v>IrgCode_furrow</v>
      </c>
      <c r="B4974" s="409"/>
      <c r="C4974" s="416"/>
      <c r="D4974" s="198" t="s">
        <v>35962</v>
      </c>
      <c r="E4974" s="198">
        <v>1</v>
      </c>
      <c r="F4974" s="199" t="s">
        <v>35963</v>
      </c>
      <c r="G4974" s="1" t="s">
        <v>35964</v>
      </c>
      <c r="H4974" s="1" t="s">
        <v>35965</v>
      </c>
      <c r="I4974" s="351" t="s">
        <v>29074</v>
      </c>
      <c r="J4974" s="39">
        <v>104745</v>
      </c>
      <c r="K4974" s="36" t="str">
        <f>CONCATENATE(Cover!$D$6,"fdd/view?i=",J4974)</f>
        <v>https://www.dgiwg.org/FAD/fdd/view?i=104745</v>
      </c>
      <c r="L4974" s="36" t="s">
        <v>35966</v>
      </c>
      <c r="M4974" s="186"/>
      <c r="N4974" s="186"/>
      <c r="O4974" s="172"/>
    </row>
    <row r="4975" spans="1:15" ht="127.5" x14ac:dyDescent="0.2">
      <c r="A4975" s="197" t="str">
        <f t="shared" si="77"/>
        <v>IrgCode_lateralMove</v>
      </c>
      <c r="B4975" s="409"/>
      <c r="C4975" s="416"/>
      <c r="D4975" s="198" t="s">
        <v>35967</v>
      </c>
      <c r="E4975" s="198">
        <v>5</v>
      </c>
      <c r="F4975" s="199" t="s">
        <v>35968</v>
      </c>
      <c r="G4975" s="1" t="s">
        <v>35969</v>
      </c>
      <c r="H4975" s="1" t="s">
        <v>35970</v>
      </c>
      <c r="I4975" s="351" t="s">
        <v>35971</v>
      </c>
      <c r="J4975" s="39">
        <v>110868</v>
      </c>
      <c r="K4975" s="36" t="str">
        <f>CONCATENATE(Cover!$D$6,"fdd/view?i=",J4975)</f>
        <v>https://www.dgiwg.org/FAD/fdd/view?i=110868</v>
      </c>
      <c r="L4975" s="36" t="s">
        <v>35972</v>
      </c>
      <c r="M4975" s="186"/>
      <c r="N4975" s="186"/>
      <c r="O4975" s="172"/>
    </row>
    <row r="4976" spans="1:15" ht="38.25" x14ac:dyDescent="0.2">
      <c r="A4976" s="197" t="str">
        <f t="shared" si="77"/>
        <v>IrgCode_linearMove</v>
      </c>
      <c r="B4976" s="409"/>
      <c r="C4976" s="416"/>
      <c r="D4976" s="198" t="s">
        <v>35973</v>
      </c>
      <c r="E4976" s="198">
        <v>4</v>
      </c>
      <c r="F4976" s="199" t="s">
        <v>35974</v>
      </c>
      <c r="G4976" s="1" t="s">
        <v>35975</v>
      </c>
      <c r="H4976" s="200"/>
      <c r="I4976" s="346"/>
      <c r="J4976" s="39">
        <v>110867</v>
      </c>
      <c r="K4976" s="36" t="str">
        <f>CONCATENATE(Cover!$D$6,"fdd/view?i=",J4976)</f>
        <v>https://www.dgiwg.org/FAD/fdd/view?i=110867</v>
      </c>
      <c r="L4976" s="36" t="s">
        <v>35976</v>
      </c>
      <c r="M4976" s="186"/>
      <c r="N4976" s="186"/>
      <c r="O4976" s="172"/>
    </row>
    <row r="4977" spans="1:15" ht="280.5" x14ac:dyDescent="0.2">
      <c r="A4977" s="197" t="str">
        <f t="shared" si="77"/>
        <v>IrgCode_overhead</v>
      </c>
      <c r="B4977" s="409"/>
      <c r="C4977" s="416"/>
      <c r="D4977" s="198" t="s">
        <v>35977</v>
      </c>
      <c r="E4977" s="198">
        <v>2</v>
      </c>
      <c r="F4977" s="199" t="s">
        <v>35978</v>
      </c>
      <c r="G4977" s="1" t="s">
        <v>35979</v>
      </c>
      <c r="H4977" s="1" t="s">
        <v>35980</v>
      </c>
      <c r="I4977" s="351" t="s">
        <v>35981</v>
      </c>
      <c r="J4977" s="39">
        <v>104746</v>
      </c>
      <c r="K4977" s="36" t="str">
        <f>CONCATENATE(Cover!$D$6,"fdd/view?i=",J4977)</f>
        <v>https://www.dgiwg.org/FAD/fdd/view?i=104746</v>
      </c>
      <c r="L4977" s="36" t="s">
        <v>35982</v>
      </c>
      <c r="M4977" s="186"/>
      <c r="N4977" s="186"/>
      <c r="O4977" s="172"/>
    </row>
    <row r="4978" spans="1:15" ht="102" x14ac:dyDescent="0.2">
      <c r="A4978" s="197" t="str">
        <f t="shared" si="77"/>
        <v>IrgCode_subirrigation</v>
      </c>
      <c r="B4978" s="409"/>
      <c r="C4978" s="416"/>
      <c r="D4978" s="198" t="s">
        <v>35983</v>
      </c>
      <c r="E4978" s="198">
        <v>7</v>
      </c>
      <c r="F4978" s="199" t="s">
        <v>35984</v>
      </c>
      <c r="G4978" s="1" t="s">
        <v>35985</v>
      </c>
      <c r="H4978" s="1" t="s">
        <v>35986</v>
      </c>
      <c r="I4978" s="346"/>
      <c r="J4978" s="39">
        <v>110870</v>
      </c>
      <c r="K4978" s="36" t="str">
        <f>CONCATENATE(Cover!$D$6,"fdd/view?i=",J4978)</f>
        <v>https://www.dgiwg.org/FAD/fdd/view?i=110870</v>
      </c>
      <c r="L4978" s="36" t="s">
        <v>35987</v>
      </c>
      <c r="M4978" s="186"/>
      <c r="N4978" s="186"/>
      <c r="O4978" s="172"/>
    </row>
    <row r="4979" spans="1:15" ht="102" x14ac:dyDescent="0.2">
      <c r="A4979" s="203" t="str">
        <f t="shared" si="77"/>
        <v>IrgCode_terrace</v>
      </c>
      <c r="B4979" s="410"/>
      <c r="C4979" s="417"/>
      <c r="D4979" s="204" t="s">
        <v>35988</v>
      </c>
      <c r="E4979" s="204">
        <v>8</v>
      </c>
      <c r="F4979" s="205" t="s">
        <v>35989</v>
      </c>
      <c r="G4979" s="206" t="s">
        <v>35990</v>
      </c>
      <c r="H4979" s="206" t="s">
        <v>35991</v>
      </c>
      <c r="I4979" s="347"/>
      <c r="J4979" s="39">
        <v>110871</v>
      </c>
      <c r="K4979" s="36" t="str">
        <f>CONCATENATE(Cover!$D$6,"fdd/view?i=",J4979)</f>
        <v>https://www.dgiwg.org/FAD/fdd/view?i=110871</v>
      </c>
      <c r="L4979" s="36" t="s">
        <v>35992</v>
      </c>
      <c r="M4979" s="186"/>
      <c r="N4979" s="186"/>
      <c r="O4979" s="172"/>
    </row>
    <row r="4980" spans="1:15" x14ac:dyDescent="0.2">
      <c r="A4980" s="190" t="str">
        <f t="shared" si="77"/>
        <v>JatCode_a_3AE</v>
      </c>
      <c r="B4980" s="414" t="str">
        <f>HYPERLINK("[#]Datatypes!A780:L780","JatCode")</f>
        <v>JatCode</v>
      </c>
      <c r="C4980" s="415" t="s">
        <v>15370</v>
      </c>
      <c r="D4980" s="221" t="s">
        <v>36023</v>
      </c>
      <c r="E4980" s="221">
        <v>66</v>
      </c>
      <c r="F4980" s="222" t="s">
        <v>36024</v>
      </c>
      <c r="G4980" s="223" t="s">
        <v>36025</v>
      </c>
      <c r="H4980" s="224"/>
      <c r="I4980" s="345"/>
      <c r="J4980" s="39">
        <v>116335</v>
      </c>
      <c r="K4980" s="36" t="str">
        <f>CONCATENATE(Cover!$D$6,"fdd/view?i=",J4980)</f>
        <v>https://www.dgiwg.org/FAD/fdd/view?i=116335</v>
      </c>
      <c r="L4980" s="36" t="s">
        <v>36026</v>
      </c>
      <c r="M4980" s="186"/>
      <c r="N4980" s="186"/>
      <c r="O4980" s="172"/>
    </row>
    <row r="4981" spans="1:15" ht="25.5" x14ac:dyDescent="0.2">
      <c r="A4981" s="197" t="str">
        <f t="shared" si="77"/>
        <v>JatCode_a_M32A_86</v>
      </c>
      <c r="B4981" s="409"/>
      <c r="C4981" s="416"/>
      <c r="D4981" s="198" t="s">
        <v>36005</v>
      </c>
      <c r="E4981" s="198">
        <v>2</v>
      </c>
      <c r="F4981" s="199" t="s">
        <v>36006</v>
      </c>
      <c r="G4981" s="1" t="s">
        <v>36007</v>
      </c>
      <c r="H4981" s="200"/>
      <c r="I4981" s="346"/>
      <c r="J4981" s="39">
        <v>116271</v>
      </c>
      <c r="K4981" s="36" t="str">
        <f>CONCATENATE(Cover!$D$6,"fdd/view?i=",J4981)</f>
        <v>https://www.dgiwg.org/FAD/fdd/view?i=116271</v>
      </c>
      <c r="L4981" s="36" t="s">
        <v>36008</v>
      </c>
      <c r="M4981" s="186"/>
      <c r="N4981" s="186"/>
      <c r="O4981" s="172"/>
    </row>
    <row r="4982" spans="1:15" ht="25.5" x14ac:dyDescent="0.2">
      <c r="A4982" s="197" t="str">
        <f t="shared" si="77"/>
        <v>JatCode_a_M47A_4</v>
      </c>
      <c r="B4982" s="409"/>
      <c r="C4982" s="416"/>
      <c r="D4982" s="198" t="s">
        <v>36009</v>
      </c>
      <c r="E4982" s="198">
        <v>39</v>
      </c>
      <c r="F4982" s="199" t="s">
        <v>36010</v>
      </c>
      <c r="G4982" s="1" t="s">
        <v>36011</v>
      </c>
      <c r="H4982" s="200"/>
      <c r="I4982" s="346"/>
      <c r="J4982" s="39">
        <v>116308</v>
      </c>
      <c r="K4982" s="36" t="str">
        <f>CONCATENATE(Cover!$D$6,"fdd/view?i=",J4982)</f>
        <v>https://www.dgiwg.org/FAD/fdd/view?i=116308</v>
      </c>
      <c r="L4982" s="36" t="s">
        <v>36012</v>
      </c>
      <c r="M4982" s="186"/>
      <c r="N4982" s="186"/>
      <c r="O4982" s="172"/>
    </row>
    <row r="4983" spans="1:15" x14ac:dyDescent="0.2">
      <c r="A4983" s="197" t="str">
        <f t="shared" si="77"/>
        <v>JatCode_a1</v>
      </c>
      <c r="B4983" s="409"/>
      <c r="C4983" s="416"/>
      <c r="D4983" s="198" t="s">
        <v>23224</v>
      </c>
      <c r="E4983" s="198">
        <v>132</v>
      </c>
      <c r="F4983" s="199" t="s">
        <v>23225</v>
      </c>
      <c r="G4983" s="1" t="s">
        <v>36013</v>
      </c>
      <c r="H4983" s="200"/>
      <c r="I4983" s="346"/>
      <c r="J4983" s="39">
        <v>116401</v>
      </c>
      <c r="K4983" s="36" t="str">
        <f>CONCATENATE(Cover!$D$6,"fdd/view?i=",J4983)</f>
        <v>https://www.dgiwg.org/FAD/fdd/view?i=116401</v>
      </c>
      <c r="L4983" s="36" t="s">
        <v>36014</v>
      </c>
      <c r="M4983" s="186"/>
      <c r="N4983" s="186"/>
      <c r="O4983" s="172"/>
    </row>
    <row r="4984" spans="1:15" x14ac:dyDescent="0.2">
      <c r="A4984" s="197" t="str">
        <f t="shared" si="77"/>
        <v>JatCode_a2</v>
      </c>
      <c r="B4984" s="409"/>
      <c r="C4984" s="416"/>
      <c r="D4984" s="198" t="s">
        <v>36015</v>
      </c>
      <c r="E4984" s="198">
        <v>133</v>
      </c>
      <c r="F4984" s="199" t="s">
        <v>36016</v>
      </c>
      <c r="G4984" s="1" t="s">
        <v>36017</v>
      </c>
      <c r="H4984" s="200"/>
      <c r="I4984" s="346"/>
      <c r="J4984" s="39">
        <v>116402</v>
      </c>
      <c r="K4984" s="36" t="str">
        <f>CONCATENATE(Cover!$D$6,"fdd/view?i=",J4984)</f>
        <v>https://www.dgiwg.org/FAD/fdd/view?i=116402</v>
      </c>
      <c r="L4984" s="36" t="s">
        <v>36018</v>
      </c>
      <c r="M4984" s="186"/>
      <c r="N4984" s="186"/>
      <c r="O4984" s="172"/>
    </row>
    <row r="4985" spans="1:15" x14ac:dyDescent="0.2">
      <c r="A4985" s="197" t="str">
        <f t="shared" si="77"/>
        <v>JatCode_a3</v>
      </c>
      <c r="B4985" s="409"/>
      <c r="C4985" s="416"/>
      <c r="D4985" s="198" t="s">
        <v>36019</v>
      </c>
      <c r="E4985" s="198">
        <v>134</v>
      </c>
      <c r="F4985" s="199" t="s">
        <v>36020</v>
      </c>
      <c r="G4985" s="1" t="s">
        <v>36021</v>
      </c>
      <c r="H4985" s="200"/>
      <c r="I4985" s="346"/>
      <c r="J4985" s="39">
        <v>116403</v>
      </c>
      <c r="K4985" s="36" t="str">
        <f>CONCATENATE(Cover!$D$6,"fdd/view?i=",J4985)</f>
        <v>https://www.dgiwg.org/FAD/fdd/view?i=116403</v>
      </c>
      <c r="L4985" s="36" t="s">
        <v>36022</v>
      </c>
      <c r="M4985" s="186"/>
      <c r="N4985" s="186"/>
      <c r="O4985" s="172"/>
    </row>
    <row r="4986" spans="1:15" x14ac:dyDescent="0.2">
      <c r="A4986" s="197" t="str">
        <f t="shared" si="77"/>
        <v>JatCode_a4</v>
      </c>
      <c r="B4986" s="409"/>
      <c r="C4986" s="416"/>
      <c r="D4986" s="198" t="s">
        <v>36027</v>
      </c>
      <c r="E4986" s="198">
        <v>135</v>
      </c>
      <c r="F4986" s="199" t="s">
        <v>36028</v>
      </c>
      <c r="G4986" s="1" t="s">
        <v>36029</v>
      </c>
      <c r="H4986" s="200"/>
      <c r="I4986" s="346"/>
      <c r="J4986" s="39">
        <v>116404</v>
      </c>
      <c r="K4986" s="36" t="str">
        <f>CONCATENATE(Cover!$D$6,"fdd/view?i=",J4986)</f>
        <v>https://www.dgiwg.org/FAD/fdd/view?i=116404</v>
      </c>
      <c r="L4986" s="36" t="s">
        <v>36030</v>
      </c>
      <c r="M4986" s="186"/>
      <c r="N4986" s="186"/>
      <c r="O4986" s="172"/>
    </row>
    <row r="4987" spans="1:15" x14ac:dyDescent="0.2">
      <c r="A4987" s="197" t="str">
        <f t="shared" si="77"/>
        <v>JatCode_a5</v>
      </c>
      <c r="B4987" s="409"/>
      <c r="C4987" s="416"/>
      <c r="D4987" s="198" t="s">
        <v>36031</v>
      </c>
      <c r="E4987" s="198">
        <v>136</v>
      </c>
      <c r="F4987" s="199" t="s">
        <v>36032</v>
      </c>
      <c r="G4987" s="1" t="s">
        <v>36033</v>
      </c>
      <c r="H4987" s="200"/>
      <c r="I4987" s="346"/>
      <c r="J4987" s="39">
        <v>116405</v>
      </c>
      <c r="K4987" s="36" t="str">
        <f>CONCATENATE(Cover!$D$6,"fdd/view?i=",J4987)</f>
        <v>https://www.dgiwg.org/FAD/fdd/view?i=116405</v>
      </c>
      <c r="L4987" s="36" t="s">
        <v>36034</v>
      </c>
      <c r="M4987" s="186"/>
      <c r="N4987" s="186"/>
      <c r="O4987" s="172"/>
    </row>
    <row r="4988" spans="1:15" x14ac:dyDescent="0.2">
      <c r="A4988" s="197" t="str">
        <f t="shared" si="77"/>
        <v>JatCode_a6</v>
      </c>
      <c r="B4988" s="409"/>
      <c r="C4988" s="416"/>
      <c r="D4988" s="198" t="s">
        <v>36035</v>
      </c>
      <c r="E4988" s="198">
        <v>137</v>
      </c>
      <c r="F4988" s="199" t="s">
        <v>36036</v>
      </c>
      <c r="G4988" s="1" t="s">
        <v>36037</v>
      </c>
      <c r="H4988" s="200"/>
      <c r="I4988" s="346"/>
      <c r="J4988" s="39">
        <v>116406</v>
      </c>
      <c r="K4988" s="36" t="str">
        <f>CONCATENATE(Cover!$D$6,"fdd/view?i=",J4988)</f>
        <v>https://www.dgiwg.org/FAD/fdd/view?i=116406</v>
      </c>
      <c r="L4988" s="36" t="s">
        <v>36038</v>
      </c>
      <c r="M4988" s="186"/>
      <c r="N4988" s="186"/>
      <c r="O4988" s="172"/>
    </row>
    <row r="4989" spans="1:15" x14ac:dyDescent="0.2">
      <c r="A4989" s="197" t="str">
        <f t="shared" si="77"/>
        <v>JatCode_ac_35</v>
      </c>
      <c r="B4989" s="409"/>
      <c r="C4989" s="416"/>
      <c r="D4989" s="198" t="s">
        <v>36039</v>
      </c>
      <c r="E4989" s="198">
        <v>138</v>
      </c>
      <c r="F4989" s="199" t="s">
        <v>36040</v>
      </c>
      <c r="G4989" s="1" t="s">
        <v>36041</v>
      </c>
      <c r="H4989" s="200"/>
      <c r="I4989" s="346"/>
      <c r="J4989" s="39">
        <v>116407</v>
      </c>
      <c r="K4989" s="36" t="str">
        <f>CONCATENATE(Cover!$D$6,"fdd/view?i=",J4989)</f>
        <v>https://www.dgiwg.org/FAD/fdd/view?i=116407</v>
      </c>
      <c r="L4989" s="36" t="s">
        <v>36042</v>
      </c>
      <c r="M4989" s="186"/>
      <c r="N4989" s="186"/>
      <c r="O4989" s="172"/>
    </row>
    <row r="4990" spans="1:15" x14ac:dyDescent="0.2">
      <c r="A4990" s="197" t="str">
        <f t="shared" si="77"/>
        <v>JatCode_ace_37A</v>
      </c>
      <c r="B4990" s="409"/>
      <c r="C4990" s="416"/>
      <c r="D4990" s="198" t="s">
        <v>36043</v>
      </c>
      <c r="E4990" s="198">
        <v>139</v>
      </c>
      <c r="F4990" s="199" t="s">
        <v>36044</v>
      </c>
      <c r="G4990" s="1" t="s">
        <v>36045</v>
      </c>
      <c r="H4990" s="200"/>
      <c r="I4990" s="346"/>
      <c r="J4990" s="39">
        <v>116408</v>
      </c>
      <c r="K4990" s="36" t="str">
        <f>CONCATENATE(Cover!$D$6,"fdd/view?i=",J4990)</f>
        <v>https://www.dgiwg.org/FAD/fdd/view?i=116408</v>
      </c>
      <c r="L4990" s="36" t="s">
        <v>36046</v>
      </c>
      <c r="M4990" s="186"/>
      <c r="N4990" s="186"/>
      <c r="O4990" s="172"/>
    </row>
    <row r="4991" spans="1:15" ht="25.5" x14ac:dyDescent="0.2">
      <c r="A4991" s="197" t="str">
        <f t="shared" si="77"/>
        <v>JatCode_aeg_30_KVA</v>
      </c>
      <c r="B4991" s="409"/>
      <c r="C4991" s="416"/>
      <c r="D4991" s="198" t="s">
        <v>36047</v>
      </c>
      <c r="E4991" s="198">
        <v>171</v>
      </c>
      <c r="F4991" s="199" t="s">
        <v>36048</v>
      </c>
      <c r="G4991" s="1" t="s">
        <v>36049</v>
      </c>
      <c r="H4991" s="200"/>
      <c r="I4991" s="346"/>
      <c r="J4991" s="39">
        <v>116440</v>
      </c>
      <c r="K4991" s="36" t="str">
        <f>CONCATENATE(Cover!$D$6,"fdd/view?i=",J4991)</f>
        <v>https://www.dgiwg.org/FAD/fdd/view?i=116440</v>
      </c>
      <c r="L4991" s="36" t="s">
        <v>36050</v>
      </c>
      <c r="M4991" s="186"/>
      <c r="N4991" s="186"/>
      <c r="O4991" s="172"/>
    </row>
    <row r="4992" spans="1:15" ht="25.5" x14ac:dyDescent="0.2">
      <c r="A4992" s="197" t="str">
        <f t="shared" si="77"/>
        <v>JatCode_af_M32A_10</v>
      </c>
      <c r="B4992" s="409"/>
      <c r="C4992" s="416"/>
      <c r="D4992" s="198" t="s">
        <v>36051</v>
      </c>
      <c r="E4992" s="198">
        <v>1</v>
      </c>
      <c r="F4992" s="199" t="s">
        <v>36052</v>
      </c>
      <c r="G4992" s="1" t="s">
        <v>36053</v>
      </c>
      <c r="H4992" s="200"/>
      <c r="I4992" s="346"/>
      <c r="J4992" s="39">
        <v>116270</v>
      </c>
      <c r="K4992" s="36" t="str">
        <f>CONCATENATE(Cover!$D$6,"fdd/view?i=",J4992)</f>
        <v>https://www.dgiwg.org/FAD/fdd/view?i=116270</v>
      </c>
      <c r="L4992" s="36" t="s">
        <v>36054</v>
      </c>
      <c r="M4992" s="186"/>
      <c r="N4992" s="186"/>
      <c r="O4992" s="172"/>
    </row>
    <row r="4993" spans="1:15" ht="25.5" x14ac:dyDescent="0.2">
      <c r="A4993" s="197" t="str">
        <f t="shared" si="77"/>
        <v>JatCode_af_M32M_10</v>
      </c>
      <c r="B4993" s="409"/>
      <c r="C4993" s="416"/>
      <c r="D4993" s="198" t="s">
        <v>36055</v>
      </c>
      <c r="E4993" s="198">
        <v>63</v>
      </c>
      <c r="F4993" s="199" t="s">
        <v>36056</v>
      </c>
      <c r="G4993" s="1" t="s">
        <v>36057</v>
      </c>
      <c r="H4993" s="200"/>
      <c r="I4993" s="346"/>
      <c r="J4993" s="39">
        <v>116332</v>
      </c>
      <c r="K4993" s="36" t="str">
        <f>CONCATENATE(Cover!$D$6,"fdd/view?i=",J4993)</f>
        <v>https://www.dgiwg.org/FAD/fdd/view?i=116332</v>
      </c>
      <c r="L4993" s="36" t="s">
        <v>36058</v>
      </c>
      <c r="M4993" s="186"/>
      <c r="N4993" s="186"/>
      <c r="O4993" s="172"/>
    </row>
    <row r="4994" spans="1:15" ht="25.5" x14ac:dyDescent="0.2">
      <c r="A4994" s="197" t="str">
        <f t="shared" ref="A4994:A5057" si="78">HYPERLINK(K4994,L4994)</f>
        <v>JatCode_agpu</v>
      </c>
      <c r="B4994" s="409"/>
      <c r="C4994" s="416"/>
      <c r="D4994" s="198" t="s">
        <v>36059</v>
      </c>
      <c r="E4994" s="198">
        <v>26</v>
      </c>
      <c r="F4994" s="199" t="s">
        <v>36060</v>
      </c>
      <c r="G4994" s="1" t="s">
        <v>36061</v>
      </c>
      <c r="H4994" s="200"/>
      <c r="I4994" s="346"/>
      <c r="J4994" s="39">
        <v>116295</v>
      </c>
      <c r="K4994" s="36" t="str">
        <f>CONCATENATE(Cover!$D$6,"fdd/view?i=",J4994)</f>
        <v>https://www.dgiwg.org/FAD/fdd/view?i=116295</v>
      </c>
      <c r="L4994" s="36" t="s">
        <v>36062</v>
      </c>
      <c r="M4994" s="186"/>
      <c r="N4994" s="186"/>
      <c r="O4994" s="172"/>
    </row>
    <row r="4995" spans="1:15" x14ac:dyDescent="0.2">
      <c r="A4995" s="197" t="str">
        <f t="shared" si="78"/>
        <v>JatCode_am32_95</v>
      </c>
      <c r="B4995" s="409"/>
      <c r="C4995" s="416"/>
      <c r="D4995" s="198" t="s">
        <v>36063</v>
      </c>
      <c r="E4995" s="198">
        <v>14</v>
      </c>
      <c r="F4995" s="199" t="s">
        <v>36064</v>
      </c>
      <c r="G4995" s="1" t="s">
        <v>36065</v>
      </c>
      <c r="H4995" s="200"/>
      <c r="I4995" s="346"/>
      <c r="J4995" s="39">
        <v>116283</v>
      </c>
      <c r="K4995" s="36" t="str">
        <f>CONCATENATE(Cover!$D$6,"fdd/view?i=",J4995)</f>
        <v>https://www.dgiwg.org/FAD/fdd/view?i=116283</v>
      </c>
      <c r="L4995" s="36" t="s">
        <v>36066</v>
      </c>
      <c r="M4995" s="186"/>
      <c r="N4995" s="186"/>
      <c r="O4995" s="172"/>
    </row>
    <row r="4996" spans="1:15" ht="25.5" x14ac:dyDescent="0.2">
      <c r="A4996" s="197" t="str">
        <f t="shared" si="78"/>
        <v>JatCode_am32A_108</v>
      </c>
      <c r="B4996" s="409"/>
      <c r="C4996" s="416"/>
      <c r="D4996" s="198" t="s">
        <v>36067</v>
      </c>
      <c r="E4996" s="198">
        <v>31</v>
      </c>
      <c r="F4996" s="199" t="s">
        <v>36068</v>
      </c>
      <c r="G4996" s="1" t="s">
        <v>36069</v>
      </c>
      <c r="H4996" s="200"/>
      <c r="I4996" s="346"/>
      <c r="J4996" s="39">
        <v>116300</v>
      </c>
      <c r="K4996" s="36" t="str">
        <f>CONCATENATE(Cover!$D$6,"fdd/view?i=",J4996)</f>
        <v>https://www.dgiwg.org/FAD/fdd/view?i=116300</v>
      </c>
      <c r="L4996" s="36" t="s">
        <v>36070</v>
      </c>
      <c r="M4996" s="186"/>
      <c r="N4996" s="186"/>
      <c r="O4996" s="172"/>
    </row>
    <row r="4997" spans="1:15" ht="38.25" x14ac:dyDescent="0.2">
      <c r="A4997" s="197" t="str">
        <f t="shared" si="78"/>
        <v>JatCode_am32A_60</v>
      </c>
      <c r="B4997" s="409"/>
      <c r="C4997" s="416"/>
      <c r="D4997" s="198" t="s">
        <v>36071</v>
      </c>
      <c r="E4997" s="198">
        <v>27</v>
      </c>
      <c r="F4997" s="199" t="s">
        <v>36072</v>
      </c>
      <c r="G4997" s="1" t="s">
        <v>36073</v>
      </c>
      <c r="H4997" s="200"/>
      <c r="I4997" s="346"/>
      <c r="J4997" s="39">
        <v>116296</v>
      </c>
      <c r="K4997" s="36" t="str">
        <f>CONCATENATE(Cover!$D$6,"fdd/view?i=",J4997)</f>
        <v>https://www.dgiwg.org/FAD/fdd/view?i=116296</v>
      </c>
      <c r="L4997" s="36" t="s">
        <v>36074</v>
      </c>
      <c r="M4997" s="186"/>
      <c r="N4997" s="186"/>
      <c r="O4997" s="172"/>
    </row>
    <row r="4998" spans="1:15" ht="38.25" x14ac:dyDescent="0.2">
      <c r="A4998" s="197" t="str">
        <f t="shared" si="78"/>
        <v>JatCode_am32A_60A</v>
      </c>
      <c r="B4998" s="409"/>
      <c r="C4998" s="416"/>
      <c r="D4998" s="198" t="s">
        <v>36075</v>
      </c>
      <c r="E4998" s="198">
        <v>28</v>
      </c>
      <c r="F4998" s="199" t="s">
        <v>36076</v>
      </c>
      <c r="G4998" s="1" t="s">
        <v>36077</v>
      </c>
      <c r="H4998" s="200"/>
      <c r="I4998" s="346"/>
      <c r="J4998" s="39">
        <v>116297</v>
      </c>
      <c r="K4998" s="36" t="str">
        <f>CONCATENATE(Cover!$D$6,"fdd/view?i=",J4998)</f>
        <v>https://www.dgiwg.org/FAD/fdd/view?i=116297</v>
      </c>
      <c r="L4998" s="36" t="s">
        <v>36078</v>
      </c>
      <c r="M4998" s="186"/>
      <c r="N4998" s="186"/>
      <c r="O4998" s="172"/>
    </row>
    <row r="4999" spans="1:15" ht="25.5" x14ac:dyDescent="0.2">
      <c r="A4999" s="197" t="str">
        <f t="shared" si="78"/>
        <v>JatCode_am32A_60B</v>
      </c>
      <c r="B4999" s="409"/>
      <c r="C4999" s="416"/>
      <c r="D4999" s="198" t="s">
        <v>36079</v>
      </c>
      <c r="E4999" s="198">
        <v>29</v>
      </c>
      <c r="F4999" s="199" t="s">
        <v>36080</v>
      </c>
      <c r="G4999" s="1" t="s">
        <v>36081</v>
      </c>
      <c r="H4999" s="200"/>
      <c r="I4999" s="346"/>
      <c r="J4999" s="39">
        <v>116298</v>
      </c>
      <c r="K4999" s="36" t="str">
        <f>CONCATENATE(Cover!$D$6,"fdd/view?i=",J4999)</f>
        <v>https://www.dgiwg.org/FAD/fdd/view?i=116298</v>
      </c>
      <c r="L4999" s="36" t="s">
        <v>36082</v>
      </c>
      <c r="M4999" s="186"/>
      <c r="N4999" s="186"/>
      <c r="O4999" s="172"/>
    </row>
    <row r="5000" spans="1:15" x14ac:dyDescent="0.2">
      <c r="A5000" s="197" t="str">
        <f t="shared" si="78"/>
        <v>JatCode_am32A_95</v>
      </c>
      <c r="B5000" s="409"/>
      <c r="C5000" s="416"/>
      <c r="D5000" s="198" t="s">
        <v>36083</v>
      </c>
      <c r="E5000" s="198">
        <v>15</v>
      </c>
      <c r="F5000" s="199" t="s">
        <v>36084</v>
      </c>
      <c r="G5000" s="1" t="s">
        <v>36085</v>
      </c>
      <c r="H5000" s="200"/>
      <c r="I5000" s="346"/>
      <c r="J5000" s="39">
        <v>116284</v>
      </c>
      <c r="K5000" s="36" t="str">
        <f>CONCATENATE(Cover!$D$6,"fdd/view?i=",J5000)</f>
        <v>https://www.dgiwg.org/FAD/fdd/view?i=116284</v>
      </c>
      <c r="L5000" s="36" t="s">
        <v>36086</v>
      </c>
      <c r="M5000" s="186"/>
      <c r="N5000" s="186"/>
      <c r="O5000" s="172"/>
    </row>
    <row r="5001" spans="1:15" ht="25.5" x14ac:dyDescent="0.2">
      <c r="A5001" s="197" t="str">
        <f t="shared" si="78"/>
        <v>JatCode_b10_or_B10A_or_B10B</v>
      </c>
      <c r="B5001" s="409"/>
      <c r="C5001" s="416"/>
      <c r="D5001" s="198" t="s">
        <v>36087</v>
      </c>
      <c r="E5001" s="198">
        <v>67</v>
      </c>
      <c r="F5001" s="199" t="s">
        <v>36088</v>
      </c>
      <c r="G5001" s="1" t="s">
        <v>36089</v>
      </c>
      <c r="H5001" s="200"/>
      <c r="I5001" s="346"/>
      <c r="J5001" s="39">
        <v>116336</v>
      </c>
      <c r="K5001" s="36" t="str">
        <f>CONCATENATE(Cover!$D$6,"fdd/view?i=",J5001)</f>
        <v>https://www.dgiwg.org/FAD/fdd/view?i=116336</v>
      </c>
      <c r="L5001" s="36" t="s">
        <v>36090</v>
      </c>
      <c r="M5001" s="186"/>
      <c r="N5001" s="186"/>
      <c r="O5001" s="172"/>
    </row>
    <row r="5002" spans="1:15" x14ac:dyDescent="0.2">
      <c r="A5002" s="197" t="str">
        <f t="shared" si="78"/>
        <v>JatCode_bc_3500</v>
      </c>
      <c r="B5002" s="409"/>
      <c r="C5002" s="416"/>
      <c r="D5002" s="198" t="s">
        <v>36091</v>
      </c>
      <c r="E5002" s="198">
        <v>68</v>
      </c>
      <c r="F5002" s="199" t="s">
        <v>36092</v>
      </c>
      <c r="G5002" s="1" t="s">
        <v>36093</v>
      </c>
      <c r="H5002" s="200"/>
      <c r="I5002" s="346"/>
      <c r="J5002" s="39">
        <v>116337</v>
      </c>
      <c r="K5002" s="36" t="str">
        <f>CONCATENATE(Cover!$D$6,"fdd/view?i=",J5002)</f>
        <v>https://www.dgiwg.org/FAD/fdd/view?i=116337</v>
      </c>
      <c r="L5002" s="36" t="s">
        <v>36094</v>
      </c>
      <c r="M5002" s="186"/>
      <c r="N5002" s="186"/>
      <c r="O5002" s="172"/>
    </row>
    <row r="5003" spans="1:15" x14ac:dyDescent="0.2">
      <c r="A5003" s="197" t="str">
        <f t="shared" si="78"/>
        <v>JatCode_c_21</v>
      </c>
      <c r="B5003" s="409"/>
      <c r="C5003" s="416"/>
      <c r="D5003" s="198" t="s">
        <v>36111</v>
      </c>
      <c r="E5003" s="198">
        <v>71</v>
      </c>
      <c r="F5003" s="199" t="s">
        <v>36112</v>
      </c>
      <c r="G5003" s="1" t="s">
        <v>36113</v>
      </c>
      <c r="H5003" s="200"/>
      <c r="I5003" s="346"/>
      <c r="J5003" s="39">
        <v>116340</v>
      </c>
      <c r="K5003" s="36" t="str">
        <f>CONCATENATE(Cover!$D$6,"fdd/view?i=",J5003)</f>
        <v>https://www.dgiwg.org/FAD/fdd/view?i=116340</v>
      </c>
      <c r="L5003" s="36" t="s">
        <v>36114</v>
      </c>
      <c r="M5003" s="186"/>
      <c r="N5003" s="186"/>
      <c r="O5003" s="172"/>
    </row>
    <row r="5004" spans="1:15" x14ac:dyDescent="0.2">
      <c r="A5004" s="197" t="str">
        <f t="shared" si="78"/>
        <v>JatCode_c_21_B</v>
      </c>
      <c r="B5004" s="409"/>
      <c r="C5004" s="416"/>
      <c r="D5004" s="198" t="s">
        <v>36115</v>
      </c>
      <c r="E5004" s="198">
        <v>72</v>
      </c>
      <c r="F5004" s="199" t="s">
        <v>36116</v>
      </c>
      <c r="G5004" s="1" t="s">
        <v>36117</v>
      </c>
      <c r="H5004" s="200"/>
      <c r="I5004" s="346"/>
      <c r="J5004" s="39">
        <v>116341</v>
      </c>
      <c r="K5004" s="36" t="str">
        <f>CONCATENATE(Cover!$D$6,"fdd/view?i=",J5004)</f>
        <v>https://www.dgiwg.org/FAD/fdd/view?i=116341</v>
      </c>
      <c r="L5004" s="36" t="s">
        <v>36118</v>
      </c>
      <c r="M5004" s="186"/>
      <c r="N5004" s="186"/>
      <c r="O5004" s="172"/>
    </row>
    <row r="5005" spans="1:15" x14ac:dyDescent="0.2">
      <c r="A5005" s="197" t="str">
        <f t="shared" si="78"/>
        <v>JatCode_c_22</v>
      </c>
      <c r="B5005" s="409"/>
      <c r="C5005" s="416"/>
      <c r="D5005" s="198" t="s">
        <v>36119</v>
      </c>
      <c r="E5005" s="198">
        <v>73</v>
      </c>
      <c r="F5005" s="199" t="s">
        <v>36120</v>
      </c>
      <c r="G5005" s="1" t="s">
        <v>36121</v>
      </c>
      <c r="H5005" s="200"/>
      <c r="I5005" s="346"/>
      <c r="J5005" s="39">
        <v>116342</v>
      </c>
      <c r="K5005" s="36" t="str">
        <f>CONCATENATE(Cover!$D$6,"fdd/view?i=",J5005)</f>
        <v>https://www.dgiwg.org/FAD/fdd/view?i=116342</v>
      </c>
      <c r="L5005" s="36" t="s">
        <v>36122</v>
      </c>
      <c r="M5005" s="186"/>
      <c r="N5005" s="186"/>
      <c r="O5005" s="172"/>
    </row>
    <row r="5006" spans="1:15" x14ac:dyDescent="0.2">
      <c r="A5006" s="197" t="str">
        <f t="shared" si="78"/>
        <v>JatCode_c_22A</v>
      </c>
      <c r="B5006" s="409"/>
      <c r="C5006" s="416"/>
      <c r="D5006" s="198" t="s">
        <v>36123</v>
      </c>
      <c r="E5006" s="198">
        <v>74</v>
      </c>
      <c r="F5006" s="199" t="s">
        <v>36124</v>
      </c>
      <c r="G5006" s="1" t="s">
        <v>36121</v>
      </c>
      <c r="H5006" s="200"/>
      <c r="I5006" s="346"/>
      <c r="J5006" s="39">
        <v>116343</v>
      </c>
      <c r="K5006" s="36" t="str">
        <f>CONCATENATE(Cover!$D$6,"fdd/view?i=",J5006)</f>
        <v>https://www.dgiwg.org/FAD/fdd/view?i=116343</v>
      </c>
      <c r="L5006" s="36" t="s">
        <v>36125</v>
      </c>
      <c r="M5006" s="186"/>
      <c r="N5006" s="186"/>
      <c r="O5006" s="172"/>
    </row>
    <row r="5007" spans="1:15" x14ac:dyDescent="0.2">
      <c r="A5007" s="197" t="str">
        <f t="shared" si="78"/>
        <v>JatCode_c_22B</v>
      </c>
      <c r="B5007" s="409"/>
      <c r="C5007" s="416"/>
      <c r="D5007" s="198" t="s">
        <v>36126</v>
      </c>
      <c r="E5007" s="198">
        <v>75</v>
      </c>
      <c r="F5007" s="199" t="s">
        <v>36127</v>
      </c>
      <c r="G5007" s="1" t="s">
        <v>36121</v>
      </c>
      <c r="H5007" s="200"/>
      <c r="I5007" s="346"/>
      <c r="J5007" s="39">
        <v>116344</v>
      </c>
      <c r="K5007" s="36" t="str">
        <f>CONCATENATE(Cover!$D$6,"fdd/view?i=",J5007)</f>
        <v>https://www.dgiwg.org/FAD/fdd/view?i=116344</v>
      </c>
      <c r="L5007" s="36" t="s">
        <v>36128</v>
      </c>
      <c r="M5007" s="186"/>
      <c r="N5007" s="186"/>
      <c r="O5007" s="172"/>
    </row>
    <row r="5008" spans="1:15" ht="25.5" x14ac:dyDescent="0.2">
      <c r="A5008" s="197" t="str">
        <f t="shared" si="78"/>
        <v>JatCode_c_26_B_or_C_26_C</v>
      </c>
      <c r="B5008" s="409"/>
      <c r="C5008" s="416"/>
      <c r="D5008" s="198" t="s">
        <v>36133</v>
      </c>
      <c r="E5008" s="198">
        <v>77</v>
      </c>
      <c r="F5008" s="199" t="s">
        <v>36134</v>
      </c>
      <c r="G5008" s="1" t="s">
        <v>36135</v>
      </c>
      <c r="H5008" s="200"/>
      <c r="I5008" s="346"/>
      <c r="J5008" s="39">
        <v>116346</v>
      </c>
      <c r="K5008" s="36" t="str">
        <f>CONCATENATE(Cover!$D$6,"fdd/view?i=",J5008)</f>
        <v>https://www.dgiwg.org/FAD/fdd/view?i=116346</v>
      </c>
      <c r="L5008" s="36" t="s">
        <v>36136</v>
      </c>
      <c r="M5008" s="186"/>
      <c r="N5008" s="186"/>
      <c r="O5008" s="172"/>
    </row>
    <row r="5009" spans="1:15" x14ac:dyDescent="0.2">
      <c r="A5009" s="197" t="str">
        <f t="shared" si="78"/>
        <v>JatCode_c_26_M</v>
      </c>
      <c r="B5009" s="409"/>
      <c r="C5009" s="416"/>
      <c r="D5009" s="198" t="s">
        <v>36141</v>
      </c>
      <c r="E5009" s="198">
        <v>78</v>
      </c>
      <c r="F5009" s="199" t="s">
        <v>36142</v>
      </c>
      <c r="G5009" s="1" t="s">
        <v>36143</v>
      </c>
      <c r="H5009" s="200"/>
      <c r="I5009" s="346"/>
      <c r="J5009" s="39">
        <v>116347</v>
      </c>
      <c r="K5009" s="36" t="str">
        <f>CONCATENATE(Cover!$D$6,"fdd/view?i=",J5009)</f>
        <v>https://www.dgiwg.org/FAD/fdd/view?i=116347</v>
      </c>
      <c r="L5009" s="36" t="s">
        <v>36144</v>
      </c>
      <c r="M5009" s="186"/>
      <c r="N5009" s="186"/>
      <c r="O5009" s="172"/>
    </row>
    <row r="5010" spans="1:15" ht="25.5" x14ac:dyDescent="0.2">
      <c r="A5010" s="197" t="str">
        <f t="shared" si="78"/>
        <v>JatCode_c_26B</v>
      </c>
      <c r="B5010" s="409"/>
      <c r="C5010" s="416"/>
      <c r="D5010" s="198" t="s">
        <v>36129</v>
      </c>
      <c r="E5010" s="198">
        <v>3</v>
      </c>
      <c r="F5010" s="199" t="s">
        <v>36130</v>
      </c>
      <c r="G5010" s="1" t="s">
        <v>36131</v>
      </c>
      <c r="H5010" s="200"/>
      <c r="I5010" s="346"/>
      <c r="J5010" s="39">
        <v>116272</v>
      </c>
      <c r="K5010" s="36" t="str">
        <f>CONCATENATE(Cover!$D$6,"fdd/view?i=",J5010)</f>
        <v>https://www.dgiwg.org/FAD/fdd/view?i=116272</v>
      </c>
      <c r="L5010" s="36" t="s">
        <v>36132</v>
      </c>
      <c r="M5010" s="186"/>
      <c r="N5010" s="186"/>
      <c r="O5010" s="172"/>
    </row>
    <row r="5011" spans="1:15" x14ac:dyDescent="0.2">
      <c r="A5011" s="197" t="str">
        <f t="shared" si="78"/>
        <v>JatCode_c_26B_1</v>
      </c>
      <c r="B5011" s="409"/>
      <c r="C5011" s="416"/>
      <c r="D5011" s="198" t="s">
        <v>36137</v>
      </c>
      <c r="E5011" s="198">
        <v>76</v>
      </c>
      <c r="F5011" s="199" t="s">
        <v>36138</v>
      </c>
      <c r="G5011" s="1" t="s">
        <v>36139</v>
      </c>
      <c r="H5011" s="200"/>
      <c r="I5011" s="346"/>
      <c r="J5011" s="39">
        <v>116345</v>
      </c>
      <c r="K5011" s="36" t="str">
        <f>CONCATENATE(Cover!$D$6,"fdd/view?i=",J5011)</f>
        <v>https://www.dgiwg.org/FAD/fdd/view?i=116345</v>
      </c>
      <c r="L5011" s="36" t="s">
        <v>36140</v>
      </c>
      <c r="M5011" s="186"/>
      <c r="N5011" s="186"/>
      <c r="O5011" s="172"/>
    </row>
    <row r="5012" spans="1:15" x14ac:dyDescent="0.2">
      <c r="A5012" s="197" t="str">
        <f t="shared" si="78"/>
        <v>JatCode_c_Cartridge</v>
      </c>
      <c r="B5012" s="409"/>
      <c r="C5012" s="416"/>
      <c r="D5012" s="198" t="s">
        <v>36095</v>
      </c>
      <c r="E5012" s="198">
        <v>160</v>
      </c>
      <c r="F5012" s="199" t="s">
        <v>36096</v>
      </c>
      <c r="G5012" s="1" t="s">
        <v>36097</v>
      </c>
      <c r="H5012" s="200"/>
      <c r="I5012" s="346"/>
      <c r="J5012" s="39">
        <v>116429</v>
      </c>
      <c r="K5012" s="36" t="str">
        <f>CONCATENATE(Cover!$D$6,"fdd/view?i=",J5012)</f>
        <v>https://www.dgiwg.org/FAD/fdd/view?i=116429</v>
      </c>
      <c r="L5012" s="36" t="s">
        <v>36098</v>
      </c>
      <c r="M5012" s="186"/>
      <c r="N5012" s="186"/>
      <c r="O5012" s="172"/>
    </row>
    <row r="5013" spans="1:15" x14ac:dyDescent="0.2">
      <c r="A5013" s="197" t="str">
        <f t="shared" si="78"/>
        <v>JatCode_c1</v>
      </c>
      <c r="B5013" s="409"/>
      <c r="C5013" s="416"/>
      <c r="D5013" s="198" t="s">
        <v>36099</v>
      </c>
      <c r="E5013" s="198">
        <v>69</v>
      </c>
      <c r="F5013" s="199" t="s">
        <v>36100</v>
      </c>
      <c r="G5013" s="1" t="s">
        <v>36101</v>
      </c>
      <c r="H5013" s="200"/>
      <c r="I5013" s="346"/>
      <c r="J5013" s="39">
        <v>116338</v>
      </c>
      <c r="K5013" s="36" t="str">
        <f>CONCATENATE(Cover!$D$6,"fdd/view?i=",J5013)</f>
        <v>https://www.dgiwg.org/FAD/fdd/view?i=116338</v>
      </c>
      <c r="L5013" s="36" t="s">
        <v>36102</v>
      </c>
      <c r="M5013" s="186"/>
      <c r="N5013" s="186"/>
      <c r="O5013" s="172"/>
    </row>
    <row r="5014" spans="1:15" x14ac:dyDescent="0.2">
      <c r="A5014" s="197" t="str">
        <f t="shared" si="78"/>
        <v>JatCode_c1_Cartridge</v>
      </c>
      <c r="B5014" s="409"/>
      <c r="C5014" s="416"/>
      <c r="D5014" s="198" t="s">
        <v>36103</v>
      </c>
      <c r="E5014" s="198">
        <v>162</v>
      </c>
      <c r="F5014" s="199" t="s">
        <v>36104</v>
      </c>
      <c r="G5014" s="1" t="s">
        <v>36105</v>
      </c>
      <c r="H5014" s="200"/>
      <c r="I5014" s="346"/>
      <c r="J5014" s="39">
        <v>116431</v>
      </c>
      <c r="K5014" s="36" t="str">
        <f>CONCATENATE(Cover!$D$6,"fdd/view?i=",J5014)</f>
        <v>https://www.dgiwg.org/FAD/fdd/view?i=116431</v>
      </c>
      <c r="L5014" s="36" t="s">
        <v>36106</v>
      </c>
      <c r="M5014" s="186"/>
      <c r="N5014" s="186"/>
      <c r="O5014" s="172"/>
    </row>
    <row r="5015" spans="1:15" x14ac:dyDescent="0.2">
      <c r="A5015" s="197" t="str">
        <f t="shared" si="78"/>
        <v>JatCode_c2_Cartridge</v>
      </c>
      <c r="B5015" s="409"/>
      <c r="C5015" s="416"/>
      <c r="D5015" s="198" t="s">
        <v>36107</v>
      </c>
      <c r="E5015" s="198">
        <v>163</v>
      </c>
      <c r="F5015" s="199" t="s">
        <v>36108</v>
      </c>
      <c r="G5015" s="1" t="s">
        <v>36109</v>
      </c>
      <c r="H5015" s="200"/>
      <c r="I5015" s="346"/>
      <c r="J5015" s="39">
        <v>116432</v>
      </c>
      <c r="K5015" s="36" t="str">
        <f>CONCATENATE(Cover!$D$6,"fdd/view?i=",J5015)</f>
        <v>https://www.dgiwg.org/FAD/fdd/view?i=116432</v>
      </c>
      <c r="L5015" s="36" t="s">
        <v>36110</v>
      </c>
      <c r="M5015" s="186"/>
      <c r="N5015" s="186"/>
      <c r="O5015" s="172"/>
    </row>
    <row r="5016" spans="1:15" x14ac:dyDescent="0.2">
      <c r="A5016" s="197" t="str">
        <f t="shared" si="78"/>
        <v>JatCode_c3</v>
      </c>
      <c r="B5016" s="409"/>
      <c r="C5016" s="416"/>
      <c r="D5016" s="198" t="s">
        <v>36145</v>
      </c>
      <c r="E5016" s="198">
        <v>70</v>
      </c>
      <c r="F5016" s="199" t="s">
        <v>36146</v>
      </c>
      <c r="G5016" s="1" t="s">
        <v>36147</v>
      </c>
      <c r="H5016" s="200"/>
      <c r="I5016" s="346"/>
      <c r="J5016" s="39">
        <v>116339</v>
      </c>
      <c r="K5016" s="36" t="str">
        <f>CONCATENATE(Cover!$D$6,"fdd/view?i=",J5016)</f>
        <v>https://www.dgiwg.org/FAD/fdd/view?i=116339</v>
      </c>
      <c r="L5016" s="36" t="s">
        <v>36148</v>
      </c>
      <c r="M5016" s="186"/>
      <c r="N5016" s="186"/>
      <c r="O5016" s="172"/>
    </row>
    <row r="5017" spans="1:15" x14ac:dyDescent="0.2">
      <c r="A5017" s="197" t="str">
        <f t="shared" si="78"/>
        <v>JatCode_c3_Cartridge</v>
      </c>
      <c r="B5017" s="409"/>
      <c r="C5017" s="416"/>
      <c r="D5017" s="198" t="s">
        <v>36149</v>
      </c>
      <c r="E5017" s="198">
        <v>164</v>
      </c>
      <c r="F5017" s="199" t="s">
        <v>36150</v>
      </c>
      <c r="G5017" s="1" t="s">
        <v>36151</v>
      </c>
      <c r="H5017" s="200"/>
      <c r="I5017" s="346"/>
      <c r="J5017" s="39">
        <v>116433</v>
      </c>
      <c r="K5017" s="36" t="str">
        <f>CONCATENATE(Cover!$D$6,"fdd/view?i=",J5017)</f>
        <v>https://www.dgiwg.org/FAD/fdd/view?i=116433</v>
      </c>
      <c r="L5017" s="36" t="s">
        <v>36152</v>
      </c>
      <c r="M5017" s="186"/>
      <c r="N5017" s="186"/>
      <c r="O5017" s="172"/>
    </row>
    <row r="5018" spans="1:15" x14ac:dyDescent="0.2">
      <c r="A5018" s="197" t="str">
        <f t="shared" si="78"/>
        <v>JatCode_c4_Cartridge</v>
      </c>
      <c r="B5018" s="409"/>
      <c r="C5018" s="416"/>
      <c r="D5018" s="198" t="s">
        <v>36153</v>
      </c>
      <c r="E5018" s="198">
        <v>165</v>
      </c>
      <c r="F5018" s="199" t="s">
        <v>36154</v>
      </c>
      <c r="G5018" s="1" t="s">
        <v>36155</v>
      </c>
      <c r="H5018" s="200"/>
      <c r="I5018" s="346"/>
      <c r="J5018" s="39">
        <v>116434</v>
      </c>
      <c r="K5018" s="36" t="str">
        <f>CONCATENATE(Cover!$D$6,"fdd/view?i=",J5018)</f>
        <v>https://www.dgiwg.org/FAD/fdd/view?i=116434</v>
      </c>
      <c r="L5018" s="36" t="s">
        <v>36156</v>
      </c>
      <c r="M5018" s="186"/>
      <c r="N5018" s="186"/>
      <c r="O5018" s="172"/>
    </row>
    <row r="5019" spans="1:15" x14ac:dyDescent="0.2">
      <c r="A5019" s="197" t="str">
        <f t="shared" si="78"/>
        <v>JatCode_c5_Cartridge</v>
      </c>
      <c r="B5019" s="409"/>
      <c r="C5019" s="416"/>
      <c r="D5019" s="198" t="s">
        <v>36157</v>
      </c>
      <c r="E5019" s="198">
        <v>166</v>
      </c>
      <c r="F5019" s="199" t="s">
        <v>36158</v>
      </c>
      <c r="G5019" s="1" t="s">
        <v>36159</v>
      </c>
      <c r="H5019" s="200"/>
      <c r="I5019" s="346"/>
      <c r="J5019" s="39">
        <v>116435</v>
      </c>
      <c r="K5019" s="36" t="str">
        <f>CONCATENATE(Cover!$D$6,"fdd/view?i=",J5019)</f>
        <v>https://www.dgiwg.org/FAD/fdd/view?i=116435</v>
      </c>
      <c r="L5019" s="36" t="s">
        <v>36160</v>
      </c>
      <c r="M5019" s="186"/>
      <c r="N5019" s="186"/>
      <c r="O5019" s="172"/>
    </row>
    <row r="5020" spans="1:15" x14ac:dyDescent="0.2">
      <c r="A5020" s="197" t="str">
        <f t="shared" si="78"/>
        <v>JatCode_c6_Cartridge</v>
      </c>
      <c r="B5020" s="409"/>
      <c r="C5020" s="416"/>
      <c r="D5020" s="198" t="s">
        <v>36161</v>
      </c>
      <c r="E5020" s="198">
        <v>167</v>
      </c>
      <c r="F5020" s="199" t="s">
        <v>36162</v>
      </c>
      <c r="G5020" s="1" t="s">
        <v>36163</v>
      </c>
      <c r="H5020" s="200"/>
      <c r="I5020" s="346"/>
      <c r="J5020" s="39">
        <v>116436</v>
      </c>
      <c r="K5020" s="36" t="str">
        <f>CONCATENATE(Cover!$D$6,"fdd/view?i=",J5020)</f>
        <v>https://www.dgiwg.org/FAD/fdd/view?i=116436</v>
      </c>
      <c r="L5020" s="36" t="s">
        <v>36164</v>
      </c>
      <c r="M5020" s="186"/>
      <c r="N5020" s="186"/>
      <c r="O5020" s="172"/>
    </row>
    <row r="5021" spans="1:15" x14ac:dyDescent="0.2">
      <c r="A5021" s="197" t="str">
        <f t="shared" si="78"/>
        <v>JatCode_c7_Cartridge</v>
      </c>
      <c r="B5021" s="409"/>
      <c r="C5021" s="416"/>
      <c r="D5021" s="198" t="s">
        <v>36165</v>
      </c>
      <c r="E5021" s="198">
        <v>168</v>
      </c>
      <c r="F5021" s="199" t="s">
        <v>36166</v>
      </c>
      <c r="G5021" s="1" t="s">
        <v>36167</v>
      </c>
      <c r="H5021" s="200"/>
      <c r="I5021" s="346"/>
      <c r="J5021" s="39">
        <v>116437</v>
      </c>
      <c r="K5021" s="36" t="str">
        <f>CONCATENATE(Cover!$D$6,"fdd/view?i=",J5021)</f>
        <v>https://www.dgiwg.org/FAD/fdd/view?i=116437</v>
      </c>
      <c r="L5021" s="36" t="s">
        <v>36168</v>
      </c>
      <c r="M5021" s="186"/>
      <c r="N5021" s="186"/>
      <c r="O5021" s="172"/>
    </row>
    <row r="5022" spans="1:15" x14ac:dyDescent="0.2">
      <c r="A5022" s="197" t="str">
        <f t="shared" si="78"/>
        <v>JatCode_ca1</v>
      </c>
      <c r="B5022" s="409"/>
      <c r="C5022" s="416"/>
      <c r="D5022" s="198" t="s">
        <v>36169</v>
      </c>
      <c r="E5022" s="198">
        <v>58</v>
      </c>
      <c r="F5022" s="199" t="s">
        <v>36170</v>
      </c>
      <c r="G5022" s="1" t="s">
        <v>36171</v>
      </c>
      <c r="H5022" s="200"/>
      <c r="I5022" s="346"/>
      <c r="J5022" s="39">
        <v>116327</v>
      </c>
      <c r="K5022" s="36" t="str">
        <f>CONCATENATE(Cover!$D$6,"fdd/view?i=",J5022)</f>
        <v>https://www.dgiwg.org/FAD/fdd/view?i=116327</v>
      </c>
      <c r="L5022" s="36" t="s">
        <v>36172</v>
      </c>
      <c r="M5022" s="186"/>
      <c r="N5022" s="186"/>
      <c r="O5022" s="172"/>
    </row>
    <row r="5023" spans="1:15" x14ac:dyDescent="0.2">
      <c r="A5023" s="197" t="str">
        <f t="shared" si="78"/>
        <v>JatCode_ca2</v>
      </c>
      <c r="B5023" s="409"/>
      <c r="C5023" s="416"/>
      <c r="D5023" s="198" t="s">
        <v>36173</v>
      </c>
      <c r="E5023" s="198">
        <v>59</v>
      </c>
      <c r="F5023" s="199" t="s">
        <v>36174</v>
      </c>
      <c r="G5023" s="1" t="s">
        <v>36175</v>
      </c>
      <c r="H5023" s="200"/>
      <c r="I5023" s="346"/>
      <c r="J5023" s="39">
        <v>116328</v>
      </c>
      <c r="K5023" s="36" t="str">
        <f>CONCATENATE(Cover!$D$6,"fdd/view?i=",J5023)</f>
        <v>https://www.dgiwg.org/FAD/fdd/view?i=116328</v>
      </c>
      <c r="L5023" s="36" t="s">
        <v>36176</v>
      </c>
      <c r="M5023" s="186"/>
      <c r="N5023" s="186"/>
      <c r="O5023" s="172"/>
    </row>
    <row r="5024" spans="1:15" x14ac:dyDescent="0.2">
      <c r="A5024" s="197" t="str">
        <f t="shared" si="78"/>
        <v>JatCode_ca3</v>
      </c>
      <c r="B5024" s="409"/>
      <c r="C5024" s="416"/>
      <c r="D5024" s="198" t="s">
        <v>36177</v>
      </c>
      <c r="E5024" s="198">
        <v>60</v>
      </c>
      <c r="F5024" s="199" t="s">
        <v>36178</v>
      </c>
      <c r="G5024" s="1" t="s">
        <v>36179</v>
      </c>
      <c r="H5024" s="200"/>
      <c r="I5024" s="346"/>
      <c r="J5024" s="39">
        <v>116329</v>
      </c>
      <c r="K5024" s="36" t="str">
        <f>CONCATENATE(Cover!$D$6,"fdd/view?i=",J5024)</f>
        <v>https://www.dgiwg.org/FAD/fdd/view?i=116329</v>
      </c>
      <c r="L5024" s="36" t="s">
        <v>36180</v>
      </c>
      <c r="M5024" s="186"/>
      <c r="N5024" s="186"/>
      <c r="O5024" s="172"/>
    </row>
    <row r="5025" spans="1:15" x14ac:dyDescent="0.2">
      <c r="A5025" s="197" t="str">
        <f t="shared" si="78"/>
        <v>JatCode_ce1</v>
      </c>
      <c r="B5025" s="409"/>
      <c r="C5025" s="416"/>
      <c r="D5025" s="198" t="s">
        <v>36181</v>
      </c>
      <c r="E5025" s="198">
        <v>42</v>
      </c>
      <c r="F5025" s="199" t="s">
        <v>36182</v>
      </c>
      <c r="G5025" s="1" t="s">
        <v>36183</v>
      </c>
      <c r="H5025" s="200"/>
      <c r="I5025" s="346"/>
      <c r="J5025" s="39">
        <v>116311</v>
      </c>
      <c r="K5025" s="36" t="str">
        <f>CONCATENATE(Cover!$D$6,"fdd/view?i=",J5025)</f>
        <v>https://www.dgiwg.org/FAD/fdd/view?i=116311</v>
      </c>
      <c r="L5025" s="36" t="s">
        <v>36184</v>
      </c>
      <c r="M5025" s="186"/>
      <c r="N5025" s="186"/>
      <c r="O5025" s="172"/>
    </row>
    <row r="5026" spans="1:15" x14ac:dyDescent="0.2">
      <c r="A5026" s="197" t="str">
        <f t="shared" si="78"/>
        <v>JatCode_ce10</v>
      </c>
      <c r="B5026" s="409"/>
      <c r="C5026" s="416"/>
      <c r="D5026" s="198" t="s">
        <v>36185</v>
      </c>
      <c r="E5026" s="198">
        <v>51</v>
      </c>
      <c r="F5026" s="199" t="s">
        <v>36186</v>
      </c>
      <c r="G5026" s="1" t="s">
        <v>36187</v>
      </c>
      <c r="H5026" s="200"/>
      <c r="I5026" s="346"/>
      <c r="J5026" s="39">
        <v>116320</v>
      </c>
      <c r="K5026" s="36" t="str">
        <f>CONCATENATE(Cover!$D$6,"fdd/view?i=",J5026)</f>
        <v>https://www.dgiwg.org/FAD/fdd/view?i=116320</v>
      </c>
      <c r="L5026" s="36" t="s">
        <v>36188</v>
      </c>
      <c r="M5026" s="186"/>
      <c r="N5026" s="186"/>
      <c r="O5026" s="172"/>
    </row>
    <row r="5027" spans="1:15" x14ac:dyDescent="0.2">
      <c r="A5027" s="197" t="str">
        <f t="shared" si="78"/>
        <v>JatCode_ce11</v>
      </c>
      <c r="B5027" s="409"/>
      <c r="C5027" s="416"/>
      <c r="D5027" s="198" t="s">
        <v>36189</v>
      </c>
      <c r="E5027" s="198">
        <v>52</v>
      </c>
      <c r="F5027" s="199" t="s">
        <v>36190</v>
      </c>
      <c r="G5027" s="1" t="s">
        <v>36191</v>
      </c>
      <c r="H5027" s="200"/>
      <c r="I5027" s="346"/>
      <c r="J5027" s="39">
        <v>116321</v>
      </c>
      <c r="K5027" s="36" t="str">
        <f>CONCATENATE(Cover!$D$6,"fdd/view?i=",J5027)</f>
        <v>https://www.dgiwg.org/FAD/fdd/view?i=116321</v>
      </c>
      <c r="L5027" s="36" t="s">
        <v>36192</v>
      </c>
      <c r="M5027" s="186"/>
      <c r="N5027" s="186"/>
      <c r="O5027" s="172"/>
    </row>
    <row r="5028" spans="1:15" x14ac:dyDescent="0.2">
      <c r="A5028" s="197" t="str">
        <f t="shared" si="78"/>
        <v>JatCode_ce12</v>
      </c>
      <c r="B5028" s="409"/>
      <c r="C5028" s="416"/>
      <c r="D5028" s="198" t="s">
        <v>36193</v>
      </c>
      <c r="E5028" s="198">
        <v>53</v>
      </c>
      <c r="F5028" s="199" t="s">
        <v>36194</v>
      </c>
      <c r="G5028" s="1" t="s">
        <v>36195</v>
      </c>
      <c r="H5028" s="200"/>
      <c r="I5028" s="346"/>
      <c r="J5028" s="39">
        <v>116322</v>
      </c>
      <c r="K5028" s="36" t="str">
        <f>CONCATENATE(Cover!$D$6,"fdd/view?i=",J5028)</f>
        <v>https://www.dgiwg.org/FAD/fdd/view?i=116322</v>
      </c>
      <c r="L5028" s="36" t="s">
        <v>36196</v>
      </c>
      <c r="M5028" s="186"/>
      <c r="N5028" s="186"/>
      <c r="O5028" s="172"/>
    </row>
    <row r="5029" spans="1:15" x14ac:dyDescent="0.2">
      <c r="A5029" s="197" t="str">
        <f t="shared" si="78"/>
        <v>JatCode_ce13</v>
      </c>
      <c r="B5029" s="409"/>
      <c r="C5029" s="416"/>
      <c r="D5029" s="198" t="s">
        <v>36197</v>
      </c>
      <c r="E5029" s="198">
        <v>54</v>
      </c>
      <c r="F5029" s="199" t="s">
        <v>36198</v>
      </c>
      <c r="G5029" s="1" t="s">
        <v>36199</v>
      </c>
      <c r="H5029" s="200"/>
      <c r="I5029" s="346"/>
      <c r="J5029" s="39">
        <v>116323</v>
      </c>
      <c r="K5029" s="36" t="str">
        <f>CONCATENATE(Cover!$D$6,"fdd/view?i=",J5029)</f>
        <v>https://www.dgiwg.org/FAD/fdd/view?i=116323</v>
      </c>
      <c r="L5029" s="36" t="s">
        <v>36200</v>
      </c>
      <c r="M5029" s="186"/>
      <c r="N5029" s="186"/>
      <c r="O5029" s="172"/>
    </row>
    <row r="5030" spans="1:15" x14ac:dyDescent="0.2">
      <c r="A5030" s="197" t="str">
        <f t="shared" si="78"/>
        <v>JatCode_ce14</v>
      </c>
      <c r="B5030" s="409"/>
      <c r="C5030" s="416"/>
      <c r="D5030" s="198" t="s">
        <v>36201</v>
      </c>
      <c r="E5030" s="198">
        <v>55</v>
      </c>
      <c r="F5030" s="199" t="s">
        <v>36202</v>
      </c>
      <c r="G5030" s="1" t="s">
        <v>36203</v>
      </c>
      <c r="H5030" s="200"/>
      <c r="I5030" s="346"/>
      <c r="J5030" s="39">
        <v>116324</v>
      </c>
      <c r="K5030" s="36" t="str">
        <f>CONCATENATE(Cover!$D$6,"fdd/view?i=",J5030)</f>
        <v>https://www.dgiwg.org/FAD/fdd/view?i=116324</v>
      </c>
      <c r="L5030" s="36" t="s">
        <v>36204</v>
      </c>
      <c r="M5030" s="186"/>
      <c r="N5030" s="186"/>
      <c r="O5030" s="172"/>
    </row>
    <row r="5031" spans="1:15" x14ac:dyDescent="0.2">
      <c r="A5031" s="197" t="str">
        <f t="shared" si="78"/>
        <v>JatCode_ce15</v>
      </c>
      <c r="B5031" s="409"/>
      <c r="C5031" s="416"/>
      <c r="D5031" s="198" t="s">
        <v>36205</v>
      </c>
      <c r="E5031" s="198">
        <v>56</v>
      </c>
      <c r="F5031" s="199" t="s">
        <v>36206</v>
      </c>
      <c r="G5031" s="1" t="s">
        <v>36207</v>
      </c>
      <c r="H5031" s="200"/>
      <c r="I5031" s="346"/>
      <c r="J5031" s="39">
        <v>116325</v>
      </c>
      <c r="K5031" s="36" t="str">
        <f>CONCATENATE(Cover!$D$6,"fdd/view?i=",J5031)</f>
        <v>https://www.dgiwg.org/FAD/fdd/view?i=116325</v>
      </c>
      <c r="L5031" s="36" t="s">
        <v>36208</v>
      </c>
      <c r="M5031" s="186"/>
      <c r="N5031" s="186"/>
      <c r="O5031" s="172"/>
    </row>
    <row r="5032" spans="1:15" x14ac:dyDescent="0.2">
      <c r="A5032" s="197" t="str">
        <f t="shared" si="78"/>
        <v>JatCode_ce16</v>
      </c>
      <c r="B5032" s="409"/>
      <c r="C5032" s="416"/>
      <c r="D5032" s="198" t="s">
        <v>36209</v>
      </c>
      <c r="E5032" s="198">
        <v>57</v>
      </c>
      <c r="F5032" s="199" t="s">
        <v>36210</v>
      </c>
      <c r="G5032" s="1" t="s">
        <v>36211</v>
      </c>
      <c r="H5032" s="200"/>
      <c r="I5032" s="346"/>
      <c r="J5032" s="39">
        <v>116326</v>
      </c>
      <c r="K5032" s="36" t="str">
        <f>CONCATENATE(Cover!$D$6,"fdd/view?i=",J5032)</f>
        <v>https://www.dgiwg.org/FAD/fdd/view?i=116326</v>
      </c>
      <c r="L5032" s="36" t="s">
        <v>36212</v>
      </c>
      <c r="M5032" s="186"/>
      <c r="N5032" s="186"/>
      <c r="O5032" s="172"/>
    </row>
    <row r="5033" spans="1:15" x14ac:dyDescent="0.2">
      <c r="A5033" s="197" t="str">
        <f t="shared" si="78"/>
        <v>JatCode_ce2</v>
      </c>
      <c r="B5033" s="409"/>
      <c r="C5033" s="416"/>
      <c r="D5033" s="198" t="s">
        <v>36213</v>
      </c>
      <c r="E5033" s="198">
        <v>43</v>
      </c>
      <c r="F5033" s="199" t="s">
        <v>36214</v>
      </c>
      <c r="G5033" s="1" t="s">
        <v>36215</v>
      </c>
      <c r="H5033" s="200"/>
      <c r="I5033" s="346"/>
      <c r="J5033" s="39">
        <v>116312</v>
      </c>
      <c r="K5033" s="36" t="str">
        <f>CONCATENATE(Cover!$D$6,"fdd/view?i=",J5033)</f>
        <v>https://www.dgiwg.org/FAD/fdd/view?i=116312</v>
      </c>
      <c r="L5033" s="36" t="s">
        <v>36216</v>
      </c>
      <c r="M5033" s="186"/>
      <c r="N5033" s="186"/>
      <c r="O5033" s="172"/>
    </row>
    <row r="5034" spans="1:15" x14ac:dyDescent="0.2">
      <c r="A5034" s="197" t="str">
        <f t="shared" si="78"/>
        <v>JatCode_ce3</v>
      </c>
      <c r="B5034" s="409"/>
      <c r="C5034" s="416"/>
      <c r="D5034" s="198" t="s">
        <v>36217</v>
      </c>
      <c r="E5034" s="198">
        <v>44</v>
      </c>
      <c r="F5034" s="199" t="s">
        <v>36218</v>
      </c>
      <c r="G5034" s="1" t="s">
        <v>36219</v>
      </c>
      <c r="H5034" s="200"/>
      <c r="I5034" s="346"/>
      <c r="J5034" s="39">
        <v>116313</v>
      </c>
      <c r="K5034" s="36" t="str">
        <f>CONCATENATE(Cover!$D$6,"fdd/view?i=",J5034)</f>
        <v>https://www.dgiwg.org/FAD/fdd/view?i=116313</v>
      </c>
      <c r="L5034" s="36" t="s">
        <v>36220</v>
      </c>
      <c r="M5034" s="186"/>
      <c r="N5034" s="186"/>
      <c r="O5034" s="172"/>
    </row>
    <row r="5035" spans="1:15" x14ac:dyDescent="0.2">
      <c r="A5035" s="197" t="str">
        <f t="shared" si="78"/>
        <v>JatCode_ce4</v>
      </c>
      <c r="B5035" s="409"/>
      <c r="C5035" s="416"/>
      <c r="D5035" s="198" t="s">
        <v>36221</v>
      </c>
      <c r="E5035" s="198">
        <v>45</v>
      </c>
      <c r="F5035" s="199" t="s">
        <v>36222</v>
      </c>
      <c r="G5035" s="1" t="s">
        <v>36223</v>
      </c>
      <c r="H5035" s="200"/>
      <c r="I5035" s="346"/>
      <c r="J5035" s="39">
        <v>116314</v>
      </c>
      <c r="K5035" s="36" t="str">
        <f>CONCATENATE(Cover!$D$6,"fdd/view?i=",J5035)</f>
        <v>https://www.dgiwg.org/FAD/fdd/view?i=116314</v>
      </c>
      <c r="L5035" s="36" t="s">
        <v>36224</v>
      </c>
      <c r="M5035" s="186"/>
      <c r="N5035" s="186"/>
      <c r="O5035" s="172"/>
    </row>
    <row r="5036" spans="1:15" x14ac:dyDescent="0.2">
      <c r="A5036" s="197" t="str">
        <f t="shared" si="78"/>
        <v>JatCode_ce5</v>
      </c>
      <c r="B5036" s="409"/>
      <c r="C5036" s="416"/>
      <c r="D5036" s="198" t="s">
        <v>36225</v>
      </c>
      <c r="E5036" s="198">
        <v>46</v>
      </c>
      <c r="F5036" s="199" t="s">
        <v>36226</v>
      </c>
      <c r="G5036" s="1" t="s">
        <v>36227</v>
      </c>
      <c r="H5036" s="200"/>
      <c r="I5036" s="346"/>
      <c r="J5036" s="39">
        <v>116315</v>
      </c>
      <c r="K5036" s="36" t="str">
        <f>CONCATENATE(Cover!$D$6,"fdd/view?i=",J5036)</f>
        <v>https://www.dgiwg.org/FAD/fdd/view?i=116315</v>
      </c>
      <c r="L5036" s="36" t="s">
        <v>36228</v>
      </c>
      <c r="M5036" s="186"/>
      <c r="N5036" s="186"/>
      <c r="O5036" s="172"/>
    </row>
    <row r="5037" spans="1:15" x14ac:dyDescent="0.2">
      <c r="A5037" s="197" t="str">
        <f t="shared" si="78"/>
        <v>JatCode_ce6</v>
      </c>
      <c r="B5037" s="409"/>
      <c r="C5037" s="416"/>
      <c r="D5037" s="198" t="s">
        <v>36229</v>
      </c>
      <c r="E5037" s="198">
        <v>47</v>
      </c>
      <c r="F5037" s="199" t="s">
        <v>36230</v>
      </c>
      <c r="G5037" s="1" t="s">
        <v>36231</v>
      </c>
      <c r="H5037" s="200"/>
      <c r="I5037" s="346"/>
      <c r="J5037" s="39">
        <v>116316</v>
      </c>
      <c r="K5037" s="36" t="str">
        <f>CONCATENATE(Cover!$D$6,"fdd/view?i=",J5037)</f>
        <v>https://www.dgiwg.org/FAD/fdd/view?i=116316</v>
      </c>
      <c r="L5037" s="36" t="s">
        <v>36232</v>
      </c>
      <c r="M5037" s="186"/>
      <c r="N5037" s="186"/>
      <c r="O5037" s="172"/>
    </row>
    <row r="5038" spans="1:15" x14ac:dyDescent="0.2">
      <c r="A5038" s="197" t="str">
        <f t="shared" si="78"/>
        <v>JatCode_ce7</v>
      </c>
      <c r="B5038" s="409"/>
      <c r="C5038" s="416"/>
      <c r="D5038" s="198" t="s">
        <v>36233</v>
      </c>
      <c r="E5038" s="198">
        <v>48</v>
      </c>
      <c r="F5038" s="199" t="s">
        <v>36234</v>
      </c>
      <c r="G5038" s="1" t="s">
        <v>36235</v>
      </c>
      <c r="H5038" s="200"/>
      <c r="I5038" s="346"/>
      <c r="J5038" s="39">
        <v>116317</v>
      </c>
      <c r="K5038" s="36" t="str">
        <f>CONCATENATE(Cover!$D$6,"fdd/view?i=",J5038)</f>
        <v>https://www.dgiwg.org/FAD/fdd/view?i=116317</v>
      </c>
      <c r="L5038" s="36" t="s">
        <v>36236</v>
      </c>
      <c r="M5038" s="186"/>
      <c r="N5038" s="186"/>
      <c r="O5038" s="172"/>
    </row>
    <row r="5039" spans="1:15" x14ac:dyDescent="0.2">
      <c r="A5039" s="197" t="str">
        <f t="shared" si="78"/>
        <v>JatCode_ce8</v>
      </c>
      <c r="B5039" s="409"/>
      <c r="C5039" s="416"/>
      <c r="D5039" s="198" t="s">
        <v>36237</v>
      </c>
      <c r="E5039" s="198">
        <v>49</v>
      </c>
      <c r="F5039" s="199" t="s">
        <v>36238</v>
      </c>
      <c r="G5039" s="1" t="s">
        <v>36239</v>
      </c>
      <c r="H5039" s="200"/>
      <c r="I5039" s="346"/>
      <c r="J5039" s="39">
        <v>116318</v>
      </c>
      <c r="K5039" s="36" t="str">
        <f>CONCATENATE(Cover!$D$6,"fdd/view?i=",J5039)</f>
        <v>https://www.dgiwg.org/FAD/fdd/view?i=116318</v>
      </c>
      <c r="L5039" s="36" t="s">
        <v>36240</v>
      </c>
      <c r="M5039" s="186"/>
      <c r="N5039" s="186"/>
      <c r="O5039" s="172"/>
    </row>
    <row r="5040" spans="1:15" x14ac:dyDescent="0.2">
      <c r="A5040" s="197" t="str">
        <f t="shared" si="78"/>
        <v>JatCode_ce9</v>
      </c>
      <c r="B5040" s="409"/>
      <c r="C5040" s="416"/>
      <c r="D5040" s="198" t="s">
        <v>36241</v>
      </c>
      <c r="E5040" s="198">
        <v>50</v>
      </c>
      <c r="F5040" s="199" t="s">
        <v>36242</v>
      </c>
      <c r="G5040" s="1" t="s">
        <v>36243</v>
      </c>
      <c r="H5040" s="200"/>
      <c r="I5040" s="346"/>
      <c r="J5040" s="39">
        <v>116319</v>
      </c>
      <c r="K5040" s="36" t="str">
        <f>CONCATENATE(Cover!$D$6,"fdd/view?i=",J5040)</f>
        <v>https://www.dgiwg.org/FAD/fdd/view?i=116319</v>
      </c>
      <c r="L5040" s="36" t="s">
        <v>36244</v>
      </c>
      <c r="M5040" s="186"/>
      <c r="N5040" s="186"/>
      <c r="O5040" s="172"/>
    </row>
    <row r="5041" spans="1:15" ht="25.5" x14ac:dyDescent="0.2">
      <c r="A5041" s="197" t="str">
        <f t="shared" si="78"/>
        <v>JatCode_cea1</v>
      </c>
      <c r="B5041" s="409"/>
      <c r="C5041" s="416"/>
      <c r="D5041" s="198" t="s">
        <v>36245</v>
      </c>
      <c r="E5041" s="198">
        <v>61</v>
      </c>
      <c r="F5041" s="199" t="s">
        <v>36246</v>
      </c>
      <c r="G5041" s="1" t="s">
        <v>36247</v>
      </c>
      <c r="H5041" s="200"/>
      <c r="I5041" s="346"/>
      <c r="J5041" s="39">
        <v>116330</v>
      </c>
      <c r="K5041" s="36" t="str">
        <f>CONCATENATE(Cover!$D$6,"fdd/view?i=",J5041)</f>
        <v>https://www.dgiwg.org/FAD/fdd/view?i=116330</v>
      </c>
      <c r="L5041" s="36" t="s">
        <v>36248</v>
      </c>
      <c r="M5041" s="186"/>
      <c r="N5041" s="186"/>
      <c r="O5041" s="172"/>
    </row>
    <row r="5042" spans="1:15" x14ac:dyDescent="0.2">
      <c r="A5042" s="197" t="str">
        <f t="shared" si="78"/>
        <v>JatCode_cea2</v>
      </c>
      <c r="B5042" s="409"/>
      <c r="C5042" s="416"/>
      <c r="D5042" s="198" t="s">
        <v>36249</v>
      </c>
      <c r="E5042" s="198">
        <v>62</v>
      </c>
      <c r="F5042" s="199" t="s">
        <v>36250</v>
      </c>
      <c r="G5042" s="1" t="s">
        <v>36251</v>
      </c>
      <c r="H5042" s="200"/>
      <c r="I5042" s="346"/>
      <c r="J5042" s="39">
        <v>116331</v>
      </c>
      <c r="K5042" s="36" t="str">
        <f>CONCATENATE(Cover!$D$6,"fdd/view?i=",J5042)</f>
        <v>https://www.dgiwg.org/FAD/fdd/view?i=116331</v>
      </c>
      <c r="L5042" s="36" t="s">
        <v>36252</v>
      </c>
      <c r="M5042" s="186"/>
      <c r="N5042" s="186"/>
      <c r="O5042" s="172"/>
    </row>
    <row r="5043" spans="1:15" x14ac:dyDescent="0.2">
      <c r="A5043" s="197" t="str">
        <f t="shared" si="78"/>
        <v>JatCode_cm_Cartridge</v>
      </c>
      <c r="B5043" s="409"/>
      <c r="C5043" s="416"/>
      <c r="D5043" s="198" t="s">
        <v>36253</v>
      </c>
      <c r="E5043" s="198">
        <v>161</v>
      </c>
      <c r="F5043" s="199" t="s">
        <v>36254</v>
      </c>
      <c r="G5043" s="1" t="s">
        <v>36255</v>
      </c>
      <c r="H5043" s="200"/>
      <c r="I5043" s="346"/>
      <c r="J5043" s="39">
        <v>116430</v>
      </c>
      <c r="K5043" s="36" t="str">
        <f>CONCATENATE(Cover!$D$6,"fdd/view?i=",J5043)</f>
        <v>https://www.dgiwg.org/FAD/fdd/view?i=116430</v>
      </c>
      <c r="L5043" s="36" t="s">
        <v>36256</v>
      </c>
      <c r="M5043" s="186"/>
      <c r="N5043" s="186"/>
      <c r="O5043" s="172"/>
    </row>
    <row r="5044" spans="1:15" x14ac:dyDescent="0.2">
      <c r="A5044" s="197" t="str">
        <f t="shared" si="78"/>
        <v>JatCode_dsa_150</v>
      </c>
      <c r="B5044" s="409"/>
      <c r="C5044" s="416"/>
      <c r="D5044" s="198" t="s">
        <v>36257</v>
      </c>
      <c r="E5044" s="198">
        <v>79</v>
      </c>
      <c r="F5044" s="199" t="s">
        <v>36258</v>
      </c>
      <c r="G5044" s="1" t="s">
        <v>36259</v>
      </c>
      <c r="H5044" s="200"/>
      <c r="I5044" s="346"/>
      <c r="J5044" s="39">
        <v>116348</v>
      </c>
      <c r="K5044" s="36" t="str">
        <f>CONCATENATE(Cover!$D$6,"fdd/view?i=",J5044)</f>
        <v>https://www.dgiwg.org/FAD/fdd/view?i=116348</v>
      </c>
      <c r="L5044" s="36" t="s">
        <v>36260</v>
      </c>
      <c r="M5044" s="186"/>
      <c r="N5044" s="186"/>
      <c r="O5044" s="172"/>
    </row>
    <row r="5045" spans="1:15" x14ac:dyDescent="0.2">
      <c r="A5045" s="197" t="str">
        <f t="shared" si="78"/>
        <v>JatCode_dsa_300</v>
      </c>
      <c r="B5045" s="409"/>
      <c r="C5045" s="416"/>
      <c r="D5045" s="198" t="s">
        <v>36261</v>
      </c>
      <c r="E5045" s="198">
        <v>80</v>
      </c>
      <c r="F5045" s="199" t="s">
        <v>36262</v>
      </c>
      <c r="G5045" s="1" t="s">
        <v>36263</v>
      </c>
      <c r="H5045" s="200"/>
      <c r="I5045" s="346"/>
      <c r="J5045" s="39">
        <v>116349</v>
      </c>
      <c r="K5045" s="36" t="str">
        <f>CONCATENATE(Cover!$D$6,"fdd/view?i=",J5045)</f>
        <v>https://www.dgiwg.org/FAD/fdd/view?i=116349</v>
      </c>
      <c r="L5045" s="36" t="s">
        <v>36264</v>
      </c>
      <c r="M5045" s="186"/>
      <c r="N5045" s="186"/>
      <c r="O5045" s="172"/>
    </row>
    <row r="5046" spans="1:15" x14ac:dyDescent="0.2">
      <c r="A5046" s="197" t="str">
        <f t="shared" si="78"/>
        <v>JatCode_dsa_560</v>
      </c>
      <c r="B5046" s="409"/>
      <c r="C5046" s="416"/>
      <c r="D5046" s="198" t="s">
        <v>36265</v>
      </c>
      <c r="E5046" s="198">
        <v>81</v>
      </c>
      <c r="F5046" s="199" t="s">
        <v>36266</v>
      </c>
      <c r="G5046" s="1" t="s">
        <v>36267</v>
      </c>
      <c r="H5046" s="200"/>
      <c r="I5046" s="346"/>
      <c r="J5046" s="39">
        <v>116350</v>
      </c>
      <c r="K5046" s="36" t="str">
        <f>CONCATENATE(Cover!$D$6,"fdd/view?i=",J5046)</f>
        <v>https://www.dgiwg.org/FAD/fdd/view?i=116350</v>
      </c>
      <c r="L5046" s="36" t="s">
        <v>36268</v>
      </c>
      <c r="M5046" s="186"/>
      <c r="N5046" s="186"/>
      <c r="O5046" s="172"/>
    </row>
    <row r="5047" spans="1:15" x14ac:dyDescent="0.2">
      <c r="A5047" s="197" t="str">
        <f t="shared" si="78"/>
        <v>JatCode_e1</v>
      </c>
      <c r="B5047" s="409"/>
      <c r="C5047" s="416"/>
      <c r="D5047" s="198" t="s">
        <v>36269</v>
      </c>
      <c r="E5047" s="198">
        <v>83</v>
      </c>
      <c r="F5047" s="199" t="s">
        <v>36270</v>
      </c>
      <c r="G5047" s="1" t="s">
        <v>36271</v>
      </c>
      <c r="H5047" s="200"/>
      <c r="I5047" s="346"/>
      <c r="J5047" s="39">
        <v>116352</v>
      </c>
      <c r="K5047" s="36" t="str">
        <f>CONCATENATE(Cover!$D$6,"fdd/view?i=",J5047)</f>
        <v>https://www.dgiwg.org/FAD/fdd/view?i=116352</v>
      </c>
      <c r="L5047" s="36" t="s">
        <v>36272</v>
      </c>
      <c r="M5047" s="186"/>
      <c r="N5047" s="186"/>
      <c r="O5047" s="172"/>
    </row>
    <row r="5048" spans="1:15" ht="25.5" x14ac:dyDescent="0.2">
      <c r="A5048" s="197" t="str">
        <f t="shared" si="78"/>
        <v>JatCode_e1_PacAustNewZea</v>
      </c>
      <c r="B5048" s="409"/>
      <c r="C5048" s="416"/>
      <c r="D5048" s="198" t="s">
        <v>36273</v>
      </c>
      <c r="E5048" s="198">
        <v>97</v>
      </c>
      <c r="F5048" s="199" t="s">
        <v>36274</v>
      </c>
      <c r="G5048" s="1" t="s">
        <v>36275</v>
      </c>
      <c r="H5048" s="200"/>
      <c r="I5048" s="346"/>
      <c r="J5048" s="39">
        <v>116366</v>
      </c>
      <c r="K5048" s="36" t="str">
        <f>CONCATENATE(Cover!$D$6,"fdd/view?i=",J5048)</f>
        <v>https://www.dgiwg.org/FAD/fdd/view?i=116366</v>
      </c>
      <c r="L5048" s="36" t="s">
        <v>36276</v>
      </c>
      <c r="M5048" s="186"/>
      <c r="N5048" s="186"/>
      <c r="O5048" s="172"/>
    </row>
    <row r="5049" spans="1:15" x14ac:dyDescent="0.2">
      <c r="A5049" s="197" t="str">
        <f t="shared" si="78"/>
        <v>JatCode_e10</v>
      </c>
      <c r="B5049" s="409"/>
      <c r="C5049" s="416"/>
      <c r="D5049" s="198" t="s">
        <v>36277</v>
      </c>
      <c r="E5049" s="198">
        <v>92</v>
      </c>
      <c r="F5049" s="199" t="s">
        <v>36278</v>
      </c>
      <c r="G5049" s="1" t="s">
        <v>36279</v>
      </c>
      <c r="H5049" s="200"/>
      <c r="I5049" s="346"/>
      <c r="J5049" s="39">
        <v>116361</v>
      </c>
      <c r="K5049" s="36" t="str">
        <f>CONCATENATE(Cover!$D$6,"fdd/view?i=",J5049)</f>
        <v>https://www.dgiwg.org/FAD/fdd/view?i=116361</v>
      </c>
      <c r="L5049" s="36" t="s">
        <v>36280</v>
      </c>
      <c r="M5049" s="186"/>
      <c r="N5049" s="186"/>
      <c r="O5049" s="172"/>
    </row>
    <row r="5050" spans="1:15" ht="25.5" x14ac:dyDescent="0.2">
      <c r="A5050" s="197" t="str">
        <f t="shared" si="78"/>
        <v>JatCode_e10_PacAustNewZea</v>
      </c>
      <c r="B5050" s="409"/>
      <c r="C5050" s="416"/>
      <c r="D5050" s="198" t="s">
        <v>36281</v>
      </c>
      <c r="E5050" s="198">
        <v>106</v>
      </c>
      <c r="F5050" s="199" t="s">
        <v>36282</v>
      </c>
      <c r="G5050" s="1" t="s">
        <v>36283</v>
      </c>
      <c r="H5050" s="200"/>
      <c r="I5050" s="346"/>
      <c r="J5050" s="39">
        <v>116375</v>
      </c>
      <c r="K5050" s="36" t="str">
        <f>CONCATENATE(Cover!$D$6,"fdd/view?i=",J5050)</f>
        <v>https://www.dgiwg.org/FAD/fdd/view?i=116375</v>
      </c>
      <c r="L5050" s="36" t="s">
        <v>36284</v>
      </c>
      <c r="M5050" s="186"/>
      <c r="N5050" s="186"/>
      <c r="O5050" s="172"/>
    </row>
    <row r="5051" spans="1:15" x14ac:dyDescent="0.2">
      <c r="A5051" s="197" t="str">
        <f t="shared" si="78"/>
        <v>JatCode_e11</v>
      </c>
      <c r="B5051" s="409"/>
      <c r="C5051" s="416"/>
      <c r="D5051" s="198" t="s">
        <v>36285</v>
      </c>
      <c r="E5051" s="198">
        <v>93</v>
      </c>
      <c r="F5051" s="199" t="s">
        <v>36286</v>
      </c>
      <c r="G5051" s="1" t="s">
        <v>36287</v>
      </c>
      <c r="H5051" s="200"/>
      <c r="I5051" s="346"/>
      <c r="J5051" s="39">
        <v>116362</v>
      </c>
      <c r="K5051" s="36" t="str">
        <f>CONCATENATE(Cover!$D$6,"fdd/view?i=",J5051)</f>
        <v>https://www.dgiwg.org/FAD/fdd/view?i=116362</v>
      </c>
      <c r="L5051" s="36" t="s">
        <v>36288</v>
      </c>
      <c r="M5051" s="186"/>
      <c r="N5051" s="186"/>
      <c r="O5051" s="172"/>
    </row>
    <row r="5052" spans="1:15" ht="25.5" x14ac:dyDescent="0.2">
      <c r="A5052" s="197" t="str">
        <f t="shared" si="78"/>
        <v>JatCode_e11_PacAustNewZea</v>
      </c>
      <c r="B5052" s="409"/>
      <c r="C5052" s="416"/>
      <c r="D5052" s="198" t="s">
        <v>36289</v>
      </c>
      <c r="E5052" s="198">
        <v>107</v>
      </c>
      <c r="F5052" s="199" t="s">
        <v>36290</v>
      </c>
      <c r="G5052" s="1" t="s">
        <v>36291</v>
      </c>
      <c r="H5052" s="200"/>
      <c r="I5052" s="346"/>
      <c r="J5052" s="39">
        <v>116376</v>
      </c>
      <c r="K5052" s="36" t="str">
        <f>CONCATENATE(Cover!$D$6,"fdd/view?i=",J5052)</f>
        <v>https://www.dgiwg.org/FAD/fdd/view?i=116376</v>
      </c>
      <c r="L5052" s="36" t="s">
        <v>36292</v>
      </c>
      <c r="M5052" s="186"/>
      <c r="N5052" s="186"/>
      <c r="O5052" s="172"/>
    </row>
    <row r="5053" spans="1:15" x14ac:dyDescent="0.2">
      <c r="A5053" s="197" t="str">
        <f t="shared" si="78"/>
        <v>JatCode_e12</v>
      </c>
      <c r="B5053" s="409"/>
      <c r="C5053" s="416"/>
      <c r="D5053" s="198" t="s">
        <v>36293</v>
      </c>
      <c r="E5053" s="198">
        <v>94</v>
      </c>
      <c r="F5053" s="199" t="s">
        <v>36294</v>
      </c>
      <c r="G5053" s="1" t="s">
        <v>36295</v>
      </c>
      <c r="H5053" s="200"/>
      <c r="I5053" s="346"/>
      <c r="J5053" s="39">
        <v>116363</v>
      </c>
      <c r="K5053" s="36" t="str">
        <f>CONCATENATE(Cover!$D$6,"fdd/view?i=",J5053)</f>
        <v>https://www.dgiwg.org/FAD/fdd/view?i=116363</v>
      </c>
      <c r="L5053" s="36" t="s">
        <v>36296</v>
      </c>
      <c r="M5053" s="186"/>
      <c r="N5053" s="186"/>
      <c r="O5053" s="172"/>
    </row>
    <row r="5054" spans="1:15" ht="25.5" x14ac:dyDescent="0.2">
      <c r="A5054" s="197" t="str">
        <f t="shared" si="78"/>
        <v>JatCode_e12_PacAustNewZea</v>
      </c>
      <c r="B5054" s="409"/>
      <c r="C5054" s="416"/>
      <c r="D5054" s="198" t="s">
        <v>36297</v>
      </c>
      <c r="E5054" s="198">
        <v>108</v>
      </c>
      <c r="F5054" s="199" t="s">
        <v>36298</v>
      </c>
      <c r="G5054" s="1" t="s">
        <v>36299</v>
      </c>
      <c r="H5054" s="200"/>
      <c r="I5054" s="346"/>
      <c r="J5054" s="39">
        <v>116377</v>
      </c>
      <c r="K5054" s="36" t="str">
        <f>CONCATENATE(Cover!$D$6,"fdd/view?i=",J5054)</f>
        <v>https://www.dgiwg.org/FAD/fdd/view?i=116377</v>
      </c>
      <c r="L5054" s="36" t="s">
        <v>36300</v>
      </c>
      <c r="M5054" s="186"/>
      <c r="N5054" s="186"/>
      <c r="O5054" s="172"/>
    </row>
    <row r="5055" spans="1:15" x14ac:dyDescent="0.2">
      <c r="A5055" s="197" t="str">
        <f t="shared" si="78"/>
        <v>JatCode_e13</v>
      </c>
      <c r="B5055" s="409"/>
      <c r="C5055" s="416"/>
      <c r="D5055" s="198" t="s">
        <v>36301</v>
      </c>
      <c r="E5055" s="198">
        <v>95</v>
      </c>
      <c r="F5055" s="199" t="s">
        <v>36302</v>
      </c>
      <c r="G5055" s="1" t="s">
        <v>36303</v>
      </c>
      <c r="H5055" s="200"/>
      <c r="I5055" s="346"/>
      <c r="J5055" s="39">
        <v>116364</v>
      </c>
      <c r="K5055" s="36" t="str">
        <f>CONCATENATE(Cover!$D$6,"fdd/view?i=",J5055)</f>
        <v>https://www.dgiwg.org/FAD/fdd/view?i=116364</v>
      </c>
      <c r="L5055" s="36" t="s">
        <v>36304</v>
      </c>
      <c r="M5055" s="186"/>
      <c r="N5055" s="186"/>
      <c r="O5055" s="172"/>
    </row>
    <row r="5056" spans="1:15" ht="25.5" x14ac:dyDescent="0.2">
      <c r="A5056" s="197" t="str">
        <f t="shared" si="78"/>
        <v>JatCode_e13_PacAustNewZea</v>
      </c>
      <c r="B5056" s="409"/>
      <c r="C5056" s="416"/>
      <c r="D5056" s="198" t="s">
        <v>36305</v>
      </c>
      <c r="E5056" s="198">
        <v>109</v>
      </c>
      <c r="F5056" s="199" t="s">
        <v>36306</v>
      </c>
      <c r="G5056" s="1" t="s">
        <v>36307</v>
      </c>
      <c r="H5056" s="200"/>
      <c r="I5056" s="346"/>
      <c r="J5056" s="39">
        <v>116378</v>
      </c>
      <c r="K5056" s="36" t="str">
        <f>CONCATENATE(Cover!$D$6,"fdd/view?i=",J5056)</f>
        <v>https://www.dgiwg.org/FAD/fdd/view?i=116378</v>
      </c>
      <c r="L5056" s="36" t="s">
        <v>36308</v>
      </c>
      <c r="M5056" s="186"/>
      <c r="N5056" s="186"/>
      <c r="O5056" s="172"/>
    </row>
    <row r="5057" spans="1:15" x14ac:dyDescent="0.2">
      <c r="A5057" s="197" t="str">
        <f t="shared" si="78"/>
        <v>JatCode_e14</v>
      </c>
      <c r="B5057" s="409"/>
      <c r="C5057" s="416"/>
      <c r="D5057" s="198" t="s">
        <v>36309</v>
      </c>
      <c r="E5057" s="198">
        <v>96</v>
      </c>
      <c r="F5057" s="199" t="s">
        <v>36310</v>
      </c>
      <c r="G5057" s="1" t="s">
        <v>36311</v>
      </c>
      <c r="H5057" s="200"/>
      <c r="I5057" s="346"/>
      <c r="J5057" s="39">
        <v>116365</v>
      </c>
      <c r="K5057" s="36" t="str">
        <f>CONCATENATE(Cover!$D$6,"fdd/view?i=",J5057)</f>
        <v>https://www.dgiwg.org/FAD/fdd/view?i=116365</v>
      </c>
      <c r="L5057" s="36" t="s">
        <v>36312</v>
      </c>
      <c r="M5057" s="186"/>
      <c r="N5057" s="186"/>
      <c r="O5057" s="172"/>
    </row>
    <row r="5058" spans="1:15" ht="25.5" x14ac:dyDescent="0.2">
      <c r="A5058" s="197" t="str">
        <f t="shared" ref="A5058:A5121" si="79">HYPERLINK(K5058,L5058)</f>
        <v>JatCode_e14_PacAustNewZea</v>
      </c>
      <c r="B5058" s="409"/>
      <c r="C5058" s="416"/>
      <c r="D5058" s="198" t="s">
        <v>36313</v>
      </c>
      <c r="E5058" s="198">
        <v>110</v>
      </c>
      <c r="F5058" s="199" t="s">
        <v>36314</v>
      </c>
      <c r="G5058" s="1" t="s">
        <v>36315</v>
      </c>
      <c r="H5058" s="200"/>
      <c r="I5058" s="346"/>
      <c r="J5058" s="39">
        <v>116379</v>
      </c>
      <c r="K5058" s="36" t="str">
        <f>CONCATENATE(Cover!$D$6,"fdd/view?i=",J5058)</f>
        <v>https://www.dgiwg.org/FAD/fdd/view?i=116379</v>
      </c>
      <c r="L5058" s="36" t="s">
        <v>36316</v>
      </c>
      <c r="M5058" s="186"/>
      <c r="N5058" s="186"/>
      <c r="O5058" s="172"/>
    </row>
    <row r="5059" spans="1:15" ht="25.5" x14ac:dyDescent="0.2">
      <c r="A5059" s="197" t="str">
        <f t="shared" si="79"/>
        <v>JatCode_e15_PacAustNewZea</v>
      </c>
      <c r="B5059" s="409"/>
      <c r="C5059" s="416"/>
      <c r="D5059" s="198" t="s">
        <v>36317</v>
      </c>
      <c r="E5059" s="198">
        <v>111</v>
      </c>
      <c r="F5059" s="199" t="s">
        <v>36318</v>
      </c>
      <c r="G5059" s="1" t="s">
        <v>36319</v>
      </c>
      <c r="H5059" s="200"/>
      <c r="I5059" s="346"/>
      <c r="J5059" s="39">
        <v>116380</v>
      </c>
      <c r="K5059" s="36" t="str">
        <f>CONCATENATE(Cover!$D$6,"fdd/view?i=",J5059)</f>
        <v>https://www.dgiwg.org/FAD/fdd/view?i=116380</v>
      </c>
      <c r="L5059" s="36" t="s">
        <v>36320</v>
      </c>
      <c r="M5059" s="186"/>
      <c r="N5059" s="186"/>
      <c r="O5059" s="172"/>
    </row>
    <row r="5060" spans="1:15" ht="25.5" x14ac:dyDescent="0.2">
      <c r="A5060" s="197" t="str">
        <f t="shared" si="79"/>
        <v>JatCode_e16_PacAustNewZea</v>
      </c>
      <c r="B5060" s="409"/>
      <c r="C5060" s="416"/>
      <c r="D5060" s="198" t="s">
        <v>36321</v>
      </c>
      <c r="E5060" s="198">
        <v>112</v>
      </c>
      <c r="F5060" s="199" t="s">
        <v>36322</v>
      </c>
      <c r="G5060" s="1" t="s">
        <v>36323</v>
      </c>
      <c r="H5060" s="200"/>
      <c r="I5060" s="346"/>
      <c r="J5060" s="39">
        <v>116381</v>
      </c>
      <c r="K5060" s="36" t="str">
        <f>CONCATENATE(Cover!$D$6,"fdd/view?i=",J5060)</f>
        <v>https://www.dgiwg.org/FAD/fdd/view?i=116381</v>
      </c>
      <c r="L5060" s="36" t="s">
        <v>36324</v>
      </c>
      <c r="M5060" s="186"/>
      <c r="N5060" s="186"/>
      <c r="O5060" s="172"/>
    </row>
    <row r="5061" spans="1:15" x14ac:dyDescent="0.2">
      <c r="A5061" s="197" t="str">
        <f t="shared" si="79"/>
        <v>JatCode_e2</v>
      </c>
      <c r="B5061" s="409"/>
      <c r="C5061" s="416"/>
      <c r="D5061" s="198" t="s">
        <v>36325</v>
      </c>
      <c r="E5061" s="198">
        <v>84</v>
      </c>
      <c r="F5061" s="199" t="s">
        <v>36326</v>
      </c>
      <c r="G5061" s="1" t="s">
        <v>36327</v>
      </c>
      <c r="H5061" s="200"/>
      <c r="I5061" s="346"/>
      <c r="J5061" s="39">
        <v>116353</v>
      </c>
      <c r="K5061" s="36" t="str">
        <f>CONCATENATE(Cover!$D$6,"fdd/view?i=",J5061)</f>
        <v>https://www.dgiwg.org/FAD/fdd/view?i=116353</v>
      </c>
      <c r="L5061" s="36" t="s">
        <v>36328</v>
      </c>
      <c r="M5061" s="186"/>
      <c r="N5061" s="186"/>
      <c r="O5061" s="172"/>
    </row>
    <row r="5062" spans="1:15" ht="25.5" x14ac:dyDescent="0.2">
      <c r="A5062" s="197" t="str">
        <f t="shared" si="79"/>
        <v>JatCode_e2_PacAustNewZea</v>
      </c>
      <c r="B5062" s="409"/>
      <c r="C5062" s="416"/>
      <c r="D5062" s="198" t="s">
        <v>36329</v>
      </c>
      <c r="E5062" s="198">
        <v>98</v>
      </c>
      <c r="F5062" s="199" t="s">
        <v>36330</v>
      </c>
      <c r="G5062" s="1" t="s">
        <v>36331</v>
      </c>
      <c r="H5062" s="200"/>
      <c r="I5062" s="346"/>
      <c r="J5062" s="39">
        <v>116367</v>
      </c>
      <c r="K5062" s="36" t="str">
        <f>CONCATENATE(Cover!$D$6,"fdd/view?i=",J5062)</f>
        <v>https://www.dgiwg.org/FAD/fdd/view?i=116367</v>
      </c>
      <c r="L5062" s="36" t="s">
        <v>36332</v>
      </c>
      <c r="M5062" s="186"/>
      <c r="N5062" s="186"/>
      <c r="O5062" s="172"/>
    </row>
    <row r="5063" spans="1:15" x14ac:dyDescent="0.2">
      <c r="A5063" s="197" t="str">
        <f t="shared" si="79"/>
        <v>JatCode_e3</v>
      </c>
      <c r="B5063" s="409"/>
      <c r="C5063" s="416"/>
      <c r="D5063" s="198" t="s">
        <v>36333</v>
      </c>
      <c r="E5063" s="198">
        <v>85</v>
      </c>
      <c r="F5063" s="199" t="s">
        <v>36334</v>
      </c>
      <c r="G5063" s="1" t="s">
        <v>36335</v>
      </c>
      <c r="H5063" s="200"/>
      <c r="I5063" s="346"/>
      <c r="J5063" s="39">
        <v>116354</v>
      </c>
      <c r="K5063" s="36" t="str">
        <f>CONCATENATE(Cover!$D$6,"fdd/view?i=",J5063)</f>
        <v>https://www.dgiwg.org/FAD/fdd/view?i=116354</v>
      </c>
      <c r="L5063" s="36" t="s">
        <v>36336</v>
      </c>
      <c r="M5063" s="186"/>
      <c r="N5063" s="186"/>
      <c r="O5063" s="172"/>
    </row>
    <row r="5064" spans="1:15" ht="25.5" x14ac:dyDescent="0.2">
      <c r="A5064" s="197" t="str">
        <f t="shared" si="79"/>
        <v>JatCode_e3_PacAustNewZea</v>
      </c>
      <c r="B5064" s="409"/>
      <c r="C5064" s="416"/>
      <c r="D5064" s="198" t="s">
        <v>36337</v>
      </c>
      <c r="E5064" s="198">
        <v>99</v>
      </c>
      <c r="F5064" s="199" t="s">
        <v>36338</v>
      </c>
      <c r="G5064" s="1" t="s">
        <v>36339</v>
      </c>
      <c r="H5064" s="200"/>
      <c r="I5064" s="346"/>
      <c r="J5064" s="39">
        <v>116368</v>
      </c>
      <c r="K5064" s="36" t="str">
        <f>CONCATENATE(Cover!$D$6,"fdd/view?i=",J5064)</f>
        <v>https://www.dgiwg.org/FAD/fdd/view?i=116368</v>
      </c>
      <c r="L5064" s="36" t="s">
        <v>36340</v>
      </c>
      <c r="M5064" s="186"/>
      <c r="N5064" s="186"/>
      <c r="O5064" s="172"/>
    </row>
    <row r="5065" spans="1:15" x14ac:dyDescent="0.2">
      <c r="A5065" s="197" t="str">
        <f t="shared" si="79"/>
        <v>JatCode_e4</v>
      </c>
      <c r="B5065" s="409"/>
      <c r="C5065" s="416"/>
      <c r="D5065" s="198" t="s">
        <v>36341</v>
      </c>
      <c r="E5065" s="198">
        <v>86</v>
      </c>
      <c r="F5065" s="199" t="s">
        <v>36342</v>
      </c>
      <c r="G5065" s="1" t="s">
        <v>36343</v>
      </c>
      <c r="H5065" s="200"/>
      <c r="I5065" s="346"/>
      <c r="J5065" s="39">
        <v>116355</v>
      </c>
      <c r="K5065" s="36" t="str">
        <f>CONCATENATE(Cover!$D$6,"fdd/view?i=",J5065)</f>
        <v>https://www.dgiwg.org/FAD/fdd/view?i=116355</v>
      </c>
      <c r="L5065" s="36" t="s">
        <v>36344</v>
      </c>
      <c r="M5065" s="186"/>
      <c r="N5065" s="186"/>
      <c r="O5065" s="172"/>
    </row>
    <row r="5066" spans="1:15" ht="25.5" x14ac:dyDescent="0.2">
      <c r="A5066" s="197" t="str">
        <f t="shared" si="79"/>
        <v>JatCode_e4_PacAustNewZea</v>
      </c>
      <c r="B5066" s="409"/>
      <c r="C5066" s="416"/>
      <c r="D5066" s="198" t="s">
        <v>36345</v>
      </c>
      <c r="E5066" s="198">
        <v>100</v>
      </c>
      <c r="F5066" s="199" t="s">
        <v>36346</v>
      </c>
      <c r="G5066" s="1" t="s">
        <v>36347</v>
      </c>
      <c r="H5066" s="200"/>
      <c r="I5066" s="346"/>
      <c r="J5066" s="39">
        <v>116369</v>
      </c>
      <c r="K5066" s="36" t="str">
        <f>CONCATENATE(Cover!$D$6,"fdd/view?i=",J5066)</f>
        <v>https://www.dgiwg.org/FAD/fdd/view?i=116369</v>
      </c>
      <c r="L5066" s="36" t="s">
        <v>36348</v>
      </c>
      <c r="M5066" s="186"/>
      <c r="N5066" s="186"/>
      <c r="O5066" s="172"/>
    </row>
    <row r="5067" spans="1:15" x14ac:dyDescent="0.2">
      <c r="A5067" s="197" t="str">
        <f t="shared" si="79"/>
        <v>JatCode_e5</v>
      </c>
      <c r="B5067" s="409"/>
      <c r="C5067" s="416"/>
      <c r="D5067" s="198" t="s">
        <v>36349</v>
      </c>
      <c r="E5067" s="198">
        <v>87</v>
      </c>
      <c r="F5067" s="199" t="s">
        <v>36350</v>
      </c>
      <c r="G5067" s="1" t="s">
        <v>36351</v>
      </c>
      <c r="H5067" s="200"/>
      <c r="I5067" s="346"/>
      <c r="J5067" s="39">
        <v>116356</v>
      </c>
      <c r="K5067" s="36" t="str">
        <f>CONCATENATE(Cover!$D$6,"fdd/view?i=",J5067)</f>
        <v>https://www.dgiwg.org/FAD/fdd/view?i=116356</v>
      </c>
      <c r="L5067" s="36" t="s">
        <v>36352</v>
      </c>
      <c r="M5067" s="186"/>
      <c r="N5067" s="186"/>
      <c r="O5067" s="172"/>
    </row>
    <row r="5068" spans="1:15" ht="25.5" x14ac:dyDescent="0.2">
      <c r="A5068" s="197" t="str">
        <f t="shared" si="79"/>
        <v>JatCode_e5_PacAustNewZea</v>
      </c>
      <c r="B5068" s="409"/>
      <c r="C5068" s="416"/>
      <c r="D5068" s="198" t="s">
        <v>36353</v>
      </c>
      <c r="E5068" s="198">
        <v>101</v>
      </c>
      <c r="F5068" s="199" t="s">
        <v>36354</v>
      </c>
      <c r="G5068" s="1" t="s">
        <v>36355</v>
      </c>
      <c r="H5068" s="200"/>
      <c r="I5068" s="346"/>
      <c r="J5068" s="39">
        <v>116370</v>
      </c>
      <c r="K5068" s="36" t="str">
        <f>CONCATENATE(Cover!$D$6,"fdd/view?i=",J5068)</f>
        <v>https://www.dgiwg.org/FAD/fdd/view?i=116370</v>
      </c>
      <c r="L5068" s="36" t="s">
        <v>36356</v>
      </c>
      <c r="M5068" s="186"/>
      <c r="N5068" s="186"/>
      <c r="O5068" s="172"/>
    </row>
    <row r="5069" spans="1:15" x14ac:dyDescent="0.2">
      <c r="A5069" s="197" t="str">
        <f t="shared" si="79"/>
        <v>JatCode_e6</v>
      </c>
      <c r="B5069" s="409"/>
      <c r="C5069" s="416"/>
      <c r="D5069" s="198" t="s">
        <v>36357</v>
      </c>
      <c r="E5069" s="198">
        <v>88</v>
      </c>
      <c r="F5069" s="199" t="s">
        <v>36358</v>
      </c>
      <c r="G5069" s="1" t="s">
        <v>36359</v>
      </c>
      <c r="H5069" s="200"/>
      <c r="I5069" s="346"/>
      <c r="J5069" s="39">
        <v>116357</v>
      </c>
      <c r="K5069" s="36" t="str">
        <f>CONCATENATE(Cover!$D$6,"fdd/view?i=",J5069)</f>
        <v>https://www.dgiwg.org/FAD/fdd/view?i=116357</v>
      </c>
      <c r="L5069" s="36" t="s">
        <v>36360</v>
      </c>
      <c r="M5069" s="186"/>
      <c r="N5069" s="186"/>
      <c r="O5069" s="172"/>
    </row>
    <row r="5070" spans="1:15" ht="25.5" x14ac:dyDescent="0.2">
      <c r="A5070" s="197" t="str">
        <f t="shared" si="79"/>
        <v>JatCode_e6_PacAustNewZea</v>
      </c>
      <c r="B5070" s="409"/>
      <c r="C5070" s="416"/>
      <c r="D5070" s="198" t="s">
        <v>36361</v>
      </c>
      <c r="E5070" s="198">
        <v>102</v>
      </c>
      <c r="F5070" s="199" t="s">
        <v>36362</v>
      </c>
      <c r="G5070" s="1" t="s">
        <v>36363</v>
      </c>
      <c r="H5070" s="200"/>
      <c r="I5070" s="346"/>
      <c r="J5070" s="39">
        <v>116371</v>
      </c>
      <c r="K5070" s="36" t="str">
        <f>CONCATENATE(Cover!$D$6,"fdd/view?i=",J5070)</f>
        <v>https://www.dgiwg.org/FAD/fdd/view?i=116371</v>
      </c>
      <c r="L5070" s="36" t="s">
        <v>36364</v>
      </c>
      <c r="M5070" s="186"/>
      <c r="N5070" s="186"/>
      <c r="O5070" s="172"/>
    </row>
    <row r="5071" spans="1:15" x14ac:dyDescent="0.2">
      <c r="A5071" s="197" t="str">
        <f t="shared" si="79"/>
        <v>JatCode_e7</v>
      </c>
      <c r="B5071" s="409"/>
      <c r="C5071" s="416"/>
      <c r="D5071" s="198" t="s">
        <v>36365</v>
      </c>
      <c r="E5071" s="198">
        <v>89</v>
      </c>
      <c r="F5071" s="199" t="s">
        <v>36366</v>
      </c>
      <c r="G5071" s="1" t="s">
        <v>36367</v>
      </c>
      <c r="H5071" s="200"/>
      <c r="I5071" s="346"/>
      <c r="J5071" s="39">
        <v>116358</v>
      </c>
      <c r="K5071" s="36" t="str">
        <f>CONCATENATE(Cover!$D$6,"fdd/view?i=",J5071)</f>
        <v>https://www.dgiwg.org/FAD/fdd/view?i=116358</v>
      </c>
      <c r="L5071" s="36" t="s">
        <v>36368</v>
      </c>
      <c r="M5071" s="186"/>
      <c r="N5071" s="186"/>
      <c r="O5071" s="172"/>
    </row>
    <row r="5072" spans="1:15" ht="25.5" x14ac:dyDescent="0.2">
      <c r="A5072" s="197" t="str">
        <f t="shared" si="79"/>
        <v>JatCode_e7_PacAustNewZea</v>
      </c>
      <c r="B5072" s="409"/>
      <c r="C5072" s="416"/>
      <c r="D5072" s="198" t="s">
        <v>36369</v>
      </c>
      <c r="E5072" s="198">
        <v>103</v>
      </c>
      <c r="F5072" s="199" t="s">
        <v>36370</v>
      </c>
      <c r="G5072" s="1" t="s">
        <v>36371</v>
      </c>
      <c r="H5072" s="200"/>
      <c r="I5072" s="346"/>
      <c r="J5072" s="39">
        <v>116372</v>
      </c>
      <c r="K5072" s="36" t="str">
        <f>CONCATENATE(Cover!$D$6,"fdd/view?i=",J5072)</f>
        <v>https://www.dgiwg.org/FAD/fdd/view?i=116372</v>
      </c>
      <c r="L5072" s="36" t="s">
        <v>36372</v>
      </c>
      <c r="M5072" s="186"/>
      <c r="N5072" s="186"/>
      <c r="O5072" s="172"/>
    </row>
    <row r="5073" spans="1:15" x14ac:dyDescent="0.2">
      <c r="A5073" s="197" t="str">
        <f t="shared" si="79"/>
        <v>JatCode_e8</v>
      </c>
      <c r="B5073" s="409"/>
      <c r="C5073" s="416"/>
      <c r="D5073" s="198" t="s">
        <v>36373</v>
      </c>
      <c r="E5073" s="198">
        <v>90</v>
      </c>
      <c r="F5073" s="199" t="s">
        <v>36374</v>
      </c>
      <c r="G5073" s="1" t="s">
        <v>36375</v>
      </c>
      <c r="H5073" s="200"/>
      <c r="I5073" s="346"/>
      <c r="J5073" s="39">
        <v>116359</v>
      </c>
      <c r="K5073" s="36" t="str">
        <f>CONCATENATE(Cover!$D$6,"fdd/view?i=",J5073)</f>
        <v>https://www.dgiwg.org/FAD/fdd/view?i=116359</v>
      </c>
      <c r="L5073" s="36" t="s">
        <v>36376</v>
      </c>
      <c r="M5073" s="186"/>
      <c r="N5073" s="186"/>
      <c r="O5073" s="172"/>
    </row>
    <row r="5074" spans="1:15" ht="25.5" x14ac:dyDescent="0.2">
      <c r="A5074" s="197" t="str">
        <f t="shared" si="79"/>
        <v>JatCode_e8_PacAustNewZea</v>
      </c>
      <c r="B5074" s="409"/>
      <c r="C5074" s="416"/>
      <c r="D5074" s="198" t="s">
        <v>36377</v>
      </c>
      <c r="E5074" s="198">
        <v>104</v>
      </c>
      <c r="F5074" s="199" t="s">
        <v>36378</v>
      </c>
      <c r="G5074" s="1" t="s">
        <v>36379</v>
      </c>
      <c r="H5074" s="200"/>
      <c r="I5074" s="346"/>
      <c r="J5074" s="39">
        <v>116373</v>
      </c>
      <c r="K5074" s="36" t="str">
        <f>CONCATENATE(Cover!$D$6,"fdd/view?i=",J5074)</f>
        <v>https://www.dgiwg.org/FAD/fdd/view?i=116373</v>
      </c>
      <c r="L5074" s="36" t="s">
        <v>36380</v>
      </c>
      <c r="M5074" s="186"/>
      <c r="N5074" s="186"/>
      <c r="O5074" s="172"/>
    </row>
    <row r="5075" spans="1:15" x14ac:dyDescent="0.2">
      <c r="A5075" s="197" t="str">
        <f t="shared" si="79"/>
        <v>JatCode_e9</v>
      </c>
      <c r="B5075" s="409"/>
      <c r="C5075" s="416"/>
      <c r="D5075" s="198" t="s">
        <v>36381</v>
      </c>
      <c r="E5075" s="198">
        <v>91</v>
      </c>
      <c r="F5075" s="199" t="s">
        <v>36382</v>
      </c>
      <c r="G5075" s="1" t="s">
        <v>36383</v>
      </c>
      <c r="H5075" s="200"/>
      <c r="I5075" s="346"/>
      <c r="J5075" s="39">
        <v>116360</v>
      </c>
      <c r="K5075" s="36" t="str">
        <f>CONCATENATE(Cover!$D$6,"fdd/view?i=",J5075)</f>
        <v>https://www.dgiwg.org/FAD/fdd/view?i=116360</v>
      </c>
      <c r="L5075" s="36" t="s">
        <v>36384</v>
      </c>
      <c r="M5075" s="186"/>
      <c r="N5075" s="186"/>
      <c r="O5075" s="172"/>
    </row>
    <row r="5076" spans="1:15" ht="25.5" x14ac:dyDescent="0.2">
      <c r="A5076" s="197" t="str">
        <f t="shared" si="79"/>
        <v>JatCode_e9_PacAustNewZea</v>
      </c>
      <c r="B5076" s="409"/>
      <c r="C5076" s="416"/>
      <c r="D5076" s="198" t="s">
        <v>36385</v>
      </c>
      <c r="E5076" s="198">
        <v>105</v>
      </c>
      <c r="F5076" s="199" t="s">
        <v>36386</v>
      </c>
      <c r="G5076" s="1" t="s">
        <v>36323</v>
      </c>
      <c r="H5076" s="200"/>
      <c r="I5076" s="346"/>
      <c r="J5076" s="39">
        <v>116374</v>
      </c>
      <c r="K5076" s="36" t="str">
        <f>CONCATENATE(Cover!$D$6,"fdd/view?i=",J5076)</f>
        <v>https://www.dgiwg.org/FAD/fdd/view?i=116374</v>
      </c>
      <c r="L5076" s="36" t="s">
        <v>36387</v>
      </c>
      <c r="M5076" s="186"/>
      <c r="N5076" s="186"/>
      <c r="O5076" s="172"/>
    </row>
    <row r="5077" spans="1:15" ht="25.5" x14ac:dyDescent="0.2">
      <c r="A5077" s="197" t="str">
        <f t="shared" si="79"/>
        <v>JatCode_ea1_PacAustNewZea</v>
      </c>
      <c r="B5077" s="409"/>
      <c r="C5077" s="416"/>
      <c r="D5077" s="198" t="s">
        <v>36388</v>
      </c>
      <c r="E5077" s="198">
        <v>113</v>
      </c>
      <c r="F5077" s="199" t="s">
        <v>36389</v>
      </c>
      <c r="G5077" s="1" t="s">
        <v>36390</v>
      </c>
      <c r="H5077" s="200"/>
      <c r="I5077" s="346"/>
      <c r="J5077" s="39">
        <v>116382</v>
      </c>
      <c r="K5077" s="36" t="str">
        <f>CONCATENATE(Cover!$D$6,"fdd/view?i=",J5077)</f>
        <v>https://www.dgiwg.org/FAD/fdd/view?i=116382</v>
      </c>
      <c r="L5077" s="36" t="s">
        <v>36391</v>
      </c>
      <c r="M5077" s="186"/>
      <c r="N5077" s="186"/>
      <c r="O5077" s="172"/>
    </row>
    <row r="5078" spans="1:15" ht="38.25" x14ac:dyDescent="0.2">
      <c r="A5078" s="197" t="str">
        <f t="shared" si="79"/>
        <v>JatCode_ea3_or_EA3A_PacAustNewZea</v>
      </c>
      <c r="B5078" s="409"/>
      <c r="C5078" s="416"/>
      <c r="D5078" s="198" t="s">
        <v>36392</v>
      </c>
      <c r="E5078" s="198">
        <v>114</v>
      </c>
      <c r="F5078" s="199" t="s">
        <v>36393</v>
      </c>
      <c r="G5078" s="1" t="s">
        <v>36394</v>
      </c>
      <c r="H5078" s="200"/>
      <c r="I5078" s="346"/>
      <c r="J5078" s="39">
        <v>116383</v>
      </c>
      <c r="K5078" s="36" t="str">
        <f>CONCATENATE(Cover!$D$6,"fdd/view?i=",J5078)</f>
        <v>https://www.dgiwg.org/FAD/fdd/view?i=116383</v>
      </c>
      <c r="L5078" s="36" t="s">
        <v>36395</v>
      </c>
      <c r="M5078" s="186"/>
      <c r="N5078" s="186"/>
      <c r="O5078" s="172"/>
    </row>
    <row r="5079" spans="1:15" ht="25.5" x14ac:dyDescent="0.2">
      <c r="A5079" s="197" t="str">
        <f t="shared" si="79"/>
        <v>JatCode_ea7_PacAustNewZea</v>
      </c>
      <c r="B5079" s="409"/>
      <c r="C5079" s="416"/>
      <c r="D5079" s="198" t="s">
        <v>36396</v>
      </c>
      <c r="E5079" s="198">
        <v>115</v>
      </c>
      <c r="F5079" s="199" t="s">
        <v>36397</v>
      </c>
      <c r="G5079" s="1" t="s">
        <v>36398</v>
      </c>
      <c r="H5079" s="200"/>
      <c r="I5079" s="346"/>
      <c r="J5079" s="39">
        <v>116384</v>
      </c>
      <c r="K5079" s="36" t="str">
        <f>CONCATENATE(Cover!$D$6,"fdd/view?i=",J5079)</f>
        <v>https://www.dgiwg.org/FAD/fdd/view?i=116384</v>
      </c>
      <c r="L5079" s="36" t="s">
        <v>36399</v>
      </c>
      <c r="M5079" s="186"/>
      <c r="N5079" s="186"/>
      <c r="O5079" s="172"/>
    </row>
    <row r="5080" spans="1:15" ht="38.25" x14ac:dyDescent="0.2">
      <c r="A5080" s="197" t="str">
        <f t="shared" si="79"/>
        <v>JatCode_ecu_9M_PacAustNewZea</v>
      </c>
      <c r="B5080" s="409"/>
      <c r="C5080" s="416"/>
      <c r="D5080" s="198" t="s">
        <v>36400</v>
      </c>
      <c r="E5080" s="198">
        <v>116</v>
      </c>
      <c r="F5080" s="199" t="s">
        <v>36401</v>
      </c>
      <c r="G5080" s="1" t="s">
        <v>36402</v>
      </c>
      <c r="H5080" s="200"/>
      <c r="I5080" s="346"/>
      <c r="J5080" s="39">
        <v>116385</v>
      </c>
      <c r="K5080" s="36" t="str">
        <f>CONCATENATE(Cover!$D$6,"fdd/view?i=",J5080)</f>
        <v>https://www.dgiwg.org/FAD/fdd/view?i=116385</v>
      </c>
      <c r="L5080" s="36" t="s">
        <v>36403</v>
      </c>
      <c r="M5080" s="186"/>
      <c r="N5080" s="186"/>
      <c r="O5080" s="172"/>
    </row>
    <row r="5081" spans="1:15" x14ac:dyDescent="0.2">
      <c r="A5081" s="197" t="str">
        <f t="shared" si="79"/>
        <v>JatCode_ernst</v>
      </c>
      <c r="B5081" s="409"/>
      <c r="C5081" s="416"/>
      <c r="D5081" s="198" t="s">
        <v>36404</v>
      </c>
      <c r="E5081" s="198">
        <v>82</v>
      </c>
      <c r="F5081" s="199" t="s">
        <v>36405</v>
      </c>
      <c r="G5081" s="1" t="s">
        <v>36406</v>
      </c>
      <c r="H5081" s="200"/>
      <c r="I5081" s="346"/>
      <c r="J5081" s="39">
        <v>116351</v>
      </c>
      <c r="K5081" s="36" t="str">
        <f>CONCATENATE(Cover!$D$6,"fdd/view?i=",J5081)</f>
        <v>https://www.dgiwg.org/FAD/fdd/view?i=116351</v>
      </c>
      <c r="L5081" s="36" t="s">
        <v>36407</v>
      </c>
      <c r="M5081" s="186"/>
      <c r="N5081" s="186"/>
      <c r="O5081" s="172"/>
    </row>
    <row r="5082" spans="1:15" ht="25.5" x14ac:dyDescent="0.2">
      <c r="A5082" s="197" t="str">
        <f t="shared" si="79"/>
        <v>JatCode_essex809</v>
      </c>
      <c r="B5082" s="409"/>
      <c r="C5082" s="416"/>
      <c r="D5082" s="198" t="s">
        <v>36408</v>
      </c>
      <c r="E5082" s="198">
        <v>4</v>
      </c>
      <c r="F5082" s="199" t="s">
        <v>36409</v>
      </c>
      <c r="G5082" s="1" t="s">
        <v>36410</v>
      </c>
      <c r="H5082" s="200"/>
      <c r="I5082" s="346"/>
      <c r="J5082" s="39">
        <v>116273</v>
      </c>
      <c r="K5082" s="36" t="str">
        <f>CONCATENATE(Cover!$D$6,"fdd/view?i=",J5082)</f>
        <v>https://www.dgiwg.org/FAD/fdd/view?i=116273</v>
      </c>
      <c r="L5082" s="36" t="s">
        <v>36411</v>
      </c>
      <c r="M5082" s="186"/>
      <c r="N5082" s="186"/>
      <c r="O5082" s="172"/>
    </row>
    <row r="5083" spans="1:15" x14ac:dyDescent="0.2">
      <c r="A5083" s="197" t="str">
        <f t="shared" si="79"/>
        <v>JatCode_f_52372</v>
      </c>
      <c r="B5083" s="409"/>
      <c r="C5083" s="416"/>
      <c r="D5083" s="198" t="s">
        <v>36416</v>
      </c>
      <c r="E5083" s="198">
        <v>140</v>
      </c>
      <c r="F5083" s="199" t="s">
        <v>36417</v>
      </c>
      <c r="G5083" s="1" t="s">
        <v>36418</v>
      </c>
      <c r="H5083" s="200"/>
      <c r="I5083" s="346"/>
      <c r="J5083" s="39">
        <v>116409</v>
      </c>
      <c r="K5083" s="36" t="str">
        <f>CONCATENATE(Cover!$D$6,"fdd/view?i=",J5083)</f>
        <v>https://www.dgiwg.org/FAD/fdd/view?i=116409</v>
      </c>
      <c r="L5083" s="36" t="s">
        <v>36419</v>
      </c>
      <c r="M5083" s="186"/>
      <c r="N5083" s="186"/>
      <c r="O5083" s="172"/>
    </row>
    <row r="5084" spans="1:15" x14ac:dyDescent="0.2">
      <c r="A5084" s="197" t="str">
        <f t="shared" si="79"/>
        <v>JatCode_f1_Cartridge</v>
      </c>
      <c r="B5084" s="409"/>
      <c r="C5084" s="416"/>
      <c r="D5084" s="198" t="s">
        <v>36412</v>
      </c>
      <c r="E5084" s="198">
        <v>169</v>
      </c>
      <c r="F5084" s="199" t="s">
        <v>36413</v>
      </c>
      <c r="G5084" s="1" t="s">
        <v>36414</v>
      </c>
      <c r="H5084" s="200"/>
      <c r="I5084" s="346"/>
      <c r="J5084" s="39">
        <v>116438</v>
      </c>
      <c r="K5084" s="36" t="str">
        <f>CONCATENATE(Cover!$D$6,"fdd/view?i=",J5084)</f>
        <v>https://www.dgiwg.org/FAD/fdd/view?i=116438</v>
      </c>
      <c r="L5084" s="36" t="s">
        <v>36415</v>
      </c>
      <c r="M5084" s="186"/>
      <c r="N5084" s="186"/>
      <c r="O5084" s="172"/>
    </row>
    <row r="5085" spans="1:15" x14ac:dyDescent="0.2">
      <c r="A5085" s="197" t="str">
        <f t="shared" si="79"/>
        <v>JatCode_g_10</v>
      </c>
      <c r="B5085" s="409"/>
      <c r="C5085" s="416"/>
      <c r="D5085" s="198" t="s">
        <v>36420</v>
      </c>
      <c r="E5085" s="198">
        <v>118</v>
      </c>
      <c r="F5085" s="199" t="s">
        <v>36421</v>
      </c>
      <c r="G5085" s="1" t="s">
        <v>36422</v>
      </c>
      <c r="H5085" s="200"/>
      <c r="I5085" s="346"/>
      <c r="J5085" s="39">
        <v>116387</v>
      </c>
      <c r="K5085" s="36" t="str">
        <f>CONCATENATE(Cover!$D$6,"fdd/view?i=",J5085)</f>
        <v>https://www.dgiwg.org/FAD/fdd/view?i=116387</v>
      </c>
      <c r="L5085" s="36" t="s">
        <v>36423</v>
      </c>
      <c r="M5085" s="186"/>
      <c r="N5085" s="186"/>
      <c r="O5085" s="172"/>
    </row>
    <row r="5086" spans="1:15" ht="38.25" x14ac:dyDescent="0.2">
      <c r="A5086" s="197" t="str">
        <f t="shared" si="79"/>
        <v>JatCode_g_38_PacAustNewZea</v>
      </c>
      <c r="B5086" s="409"/>
      <c r="C5086" s="416"/>
      <c r="D5086" s="198" t="s">
        <v>36424</v>
      </c>
      <c r="E5086" s="198">
        <v>119</v>
      </c>
      <c r="F5086" s="199" t="s">
        <v>36425</v>
      </c>
      <c r="G5086" s="1" t="s">
        <v>36426</v>
      </c>
      <c r="H5086" s="200"/>
      <c r="I5086" s="346"/>
      <c r="J5086" s="39">
        <v>116388</v>
      </c>
      <c r="K5086" s="36" t="str">
        <f>CONCATENATE(Cover!$D$6,"fdd/view?i=",J5086)</f>
        <v>https://www.dgiwg.org/FAD/fdd/view?i=116388</v>
      </c>
      <c r="L5086" s="36" t="s">
        <v>36427</v>
      </c>
      <c r="M5086" s="186"/>
      <c r="N5086" s="186"/>
      <c r="O5086" s="172"/>
    </row>
    <row r="5087" spans="1:15" x14ac:dyDescent="0.2">
      <c r="A5087" s="197" t="str">
        <f t="shared" si="79"/>
        <v>JatCode_g_40</v>
      </c>
      <c r="B5087" s="409"/>
      <c r="C5087" s="416"/>
      <c r="D5087" s="198" t="s">
        <v>36428</v>
      </c>
      <c r="E5087" s="198">
        <v>120</v>
      </c>
      <c r="F5087" s="199" t="s">
        <v>36429</v>
      </c>
      <c r="G5087" s="1" t="s">
        <v>36430</v>
      </c>
      <c r="H5087" s="200"/>
      <c r="I5087" s="346"/>
      <c r="J5087" s="39">
        <v>116389</v>
      </c>
      <c r="K5087" s="36" t="str">
        <f>CONCATENATE(Cover!$D$6,"fdd/view?i=",J5087)</f>
        <v>https://www.dgiwg.org/FAD/fdd/view?i=116389</v>
      </c>
      <c r="L5087" s="36" t="s">
        <v>36431</v>
      </c>
      <c r="M5087" s="186"/>
      <c r="N5087" s="186"/>
      <c r="O5087" s="172"/>
    </row>
    <row r="5088" spans="1:15" ht="25.5" x14ac:dyDescent="0.2">
      <c r="A5088" s="197" t="str">
        <f t="shared" si="79"/>
        <v>JatCode_g_6_PacAustNewZea</v>
      </c>
      <c r="B5088" s="409"/>
      <c r="C5088" s="416"/>
      <c r="D5088" s="198" t="s">
        <v>36432</v>
      </c>
      <c r="E5088" s="198">
        <v>117</v>
      </c>
      <c r="F5088" s="199" t="s">
        <v>36433</v>
      </c>
      <c r="G5088" s="1" t="s">
        <v>36434</v>
      </c>
      <c r="H5088" s="200"/>
      <c r="I5088" s="346"/>
      <c r="J5088" s="39">
        <v>116386</v>
      </c>
      <c r="K5088" s="36" t="str">
        <f>CONCATENATE(Cover!$D$6,"fdd/view?i=",J5088)</f>
        <v>https://www.dgiwg.org/FAD/fdd/view?i=116386</v>
      </c>
      <c r="L5088" s="36" t="s">
        <v>36435</v>
      </c>
      <c r="M5088" s="186"/>
      <c r="N5088" s="186"/>
      <c r="O5088" s="172"/>
    </row>
    <row r="5089" spans="1:15" ht="25.5" x14ac:dyDescent="0.2">
      <c r="A5089" s="197" t="str">
        <f t="shared" si="79"/>
        <v>JatCode_g_91_Cartridge</v>
      </c>
      <c r="B5089" s="409"/>
      <c r="C5089" s="416"/>
      <c r="D5089" s="198" t="s">
        <v>36436</v>
      </c>
      <c r="E5089" s="198">
        <v>170</v>
      </c>
      <c r="F5089" s="199" t="s">
        <v>36437</v>
      </c>
      <c r="G5089" s="1" t="s">
        <v>36438</v>
      </c>
      <c r="H5089" s="200"/>
      <c r="I5089" s="346"/>
      <c r="J5089" s="39">
        <v>116439</v>
      </c>
      <c r="K5089" s="36" t="str">
        <f>CONCATENATE(Cover!$D$6,"fdd/view?i=",J5089)</f>
        <v>https://www.dgiwg.org/FAD/fdd/view?i=116439</v>
      </c>
      <c r="L5089" s="36" t="s">
        <v>36439</v>
      </c>
      <c r="M5089" s="186"/>
      <c r="N5089" s="186"/>
      <c r="O5089" s="172"/>
    </row>
    <row r="5090" spans="1:15" ht="25.5" x14ac:dyDescent="0.2">
      <c r="A5090" s="197" t="str">
        <f t="shared" si="79"/>
        <v>JatCode_gpe_160</v>
      </c>
      <c r="B5090" s="409"/>
      <c r="C5090" s="416"/>
      <c r="D5090" s="198" t="s">
        <v>36440</v>
      </c>
      <c r="E5090" s="198">
        <v>150</v>
      </c>
      <c r="F5090" s="199" t="s">
        <v>36441</v>
      </c>
      <c r="G5090" s="1" t="s">
        <v>36442</v>
      </c>
      <c r="H5090" s="200"/>
      <c r="I5090" s="346"/>
      <c r="J5090" s="39">
        <v>116419</v>
      </c>
      <c r="K5090" s="36" t="str">
        <f>CONCATENATE(Cover!$D$6,"fdd/view?i=",J5090)</f>
        <v>https://www.dgiwg.org/FAD/fdd/view?i=116419</v>
      </c>
      <c r="L5090" s="36" t="s">
        <v>36443</v>
      </c>
      <c r="M5090" s="186"/>
      <c r="N5090" s="186"/>
      <c r="O5090" s="172"/>
    </row>
    <row r="5091" spans="1:15" x14ac:dyDescent="0.2">
      <c r="A5091" s="197" t="str">
        <f t="shared" si="79"/>
        <v>JatCode_gsu_160</v>
      </c>
      <c r="B5091" s="409"/>
      <c r="C5091" s="416"/>
      <c r="D5091" s="198" t="s">
        <v>36444</v>
      </c>
      <c r="E5091" s="198">
        <v>141</v>
      </c>
      <c r="F5091" s="199" t="s">
        <v>36445</v>
      </c>
      <c r="G5091" s="1" t="s">
        <v>36446</v>
      </c>
      <c r="H5091" s="200"/>
      <c r="I5091" s="346"/>
      <c r="J5091" s="39">
        <v>116410</v>
      </c>
      <c r="K5091" s="36" t="str">
        <f>CONCATENATE(Cover!$D$6,"fdd/view?i=",J5091)</f>
        <v>https://www.dgiwg.org/FAD/fdd/view?i=116410</v>
      </c>
      <c r="L5091" s="36" t="s">
        <v>36447</v>
      </c>
      <c r="M5091" s="186"/>
      <c r="N5091" s="186"/>
      <c r="O5091" s="172"/>
    </row>
    <row r="5092" spans="1:15" ht="25.5" x14ac:dyDescent="0.2">
      <c r="A5092" s="197" t="str">
        <f t="shared" si="79"/>
        <v>JatCode_gtc_85_GTE_85</v>
      </c>
      <c r="B5092" s="409"/>
      <c r="C5092" s="416"/>
      <c r="D5092" s="198" t="s">
        <v>36448</v>
      </c>
      <c r="E5092" s="198">
        <v>36</v>
      </c>
      <c r="F5092" s="199" t="s">
        <v>36449</v>
      </c>
      <c r="G5092" s="1" t="s">
        <v>36450</v>
      </c>
      <c r="H5092" s="200"/>
      <c r="I5092" s="346"/>
      <c r="J5092" s="39">
        <v>116305</v>
      </c>
      <c r="K5092" s="36" t="str">
        <f>CONCATENATE(Cover!$D$6,"fdd/view?i=",J5092)</f>
        <v>https://www.dgiwg.org/FAD/fdd/view?i=116305</v>
      </c>
      <c r="L5092" s="36" t="s">
        <v>36451</v>
      </c>
      <c r="M5092" s="186"/>
      <c r="N5092" s="186"/>
      <c r="O5092" s="172"/>
    </row>
    <row r="5093" spans="1:15" ht="25.5" x14ac:dyDescent="0.2">
      <c r="A5093" s="197" t="str">
        <f t="shared" si="79"/>
        <v>JatCode_houchin_265_3488249</v>
      </c>
      <c r="B5093" s="409"/>
      <c r="C5093" s="416"/>
      <c r="D5093" s="198" t="s">
        <v>36452</v>
      </c>
      <c r="E5093" s="198">
        <v>172</v>
      </c>
      <c r="F5093" s="199" t="s">
        <v>36453</v>
      </c>
      <c r="G5093" s="1" t="s">
        <v>36454</v>
      </c>
      <c r="H5093" s="200"/>
      <c r="I5093" s="346"/>
      <c r="J5093" s="39">
        <v>116441</v>
      </c>
      <c r="K5093" s="36" t="str">
        <f>CONCATENATE(Cover!$D$6,"fdd/view?i=",J5093)</f>
        <v>https://www.dgiwg.org/FAD/fdd/view?i=116441</v>
      </c>
      <c r="L5093" s="36" t="s">
        <v>36455</v>
      </c>
      <c r="M5093" s="186"/>
      <c r="N5093" s="186"/>
      <c r="O5093" s="172"/>
    </row>
    <row r="5094" spans="1:15" x14ac:dyDescent="0.2">
      <c r="A5094" s="197" t="str">
        <f t="shared" si="79"/>
        <v>JatCode_iass</v>
      </c>
      <c r="B5094" s="409"/>
      <c r="C5094" s="416"/>
      <c r="D5094" s="198" t="s">
        <v>36478</v>
      </c>
      <c r="E5094" s="198">
        <v>16</v>
      </c>
      <c r="F5094" s="199" t="s">
        <v>36479</v>
      </c>
      <c r="G5094" s="1" t="s">
        <v>36480</v>
      </c>
      <c r="H5094" s="200"/>
      <c r="I5094" s="346"/>
      <c r="J5094" s="39">
        <v>116285</v>
      </c>
      <c r="K5094" s="36" t="str">
        <f>CONCATENATE(Cover!$D$6,"fdd/view?i=",J5094)</f>
        <v>https://www.dgiwg.org/FAD/fdd/view?i=116285</v>
      </c>
      <c r="L5094" s="36" t="s">
        <v>36481</v>
      </c>
      <c r="M5094" s="186"/>
      <c r="N5094" s="186"/>
      <c r="O5094" s="172"/>
    </row>
    <row r="5095" spans="1:15" x14ac:dyDescent="0.2">
      <c r="A5095" s="197" t="str">
        <f t="shared" si="79"/>
        <v>JatCode_jas</v>
      </c>
      <c r="B5095" s="409"/>
      <c r="C5095" s="416"/>
      <c r="D5095" s="198" t="s">
        <v>36456</v>
      </c>
      <c r="E5095" s="198">
        <v>142</v>
      </c>
      <c r="F5095" s="199" t="s">
        <v>36457</v>
      </c>
      <c r="G5095" s="1" t="s">
        <v>36458</v>
      </c>
      <c r="H5095" s="200"/>
      <c r="I5095" s="346"/>
      <c r="J5095" s="39">
        <v>116411</v>
      </c>
      <c r="K5095" s="36" t="str">
        <f>CONCATENATE(Cover!$D$6,"fdd/view?i=",J5095)</f>
        <v>https://www.dgiwg.org/FAD/fdd/view?i=116411</v>
      </c>
      <c r="L5095" s="36" t="s">
        <v>36459</v>
      </c>
      <c r="M5095" s="186"/>
      <c r="N5095" s="186"/>
      <c r="O5095" s="172"/>
    </row>
    <row r="5096" spans="1:15" x14ac:dyDescent="0.2">
      <c r="A5096" s="197" t="str">
        <f t="shared" si="79"/>
        <v>JatCode_jasu_20_KVA</v>
      </c>
      <c r="B5096" s="409"/>
      <c r="C5096" s="416"/>
      <c r="D5096" s="198" t="s">
        <v>35993</v>
      </c>
      <c r="E5096" s="198">
        <v>65</v>
      </c>
      <c r="F5096" s="199" t="s">
        <v>35994</v>
      </c>
      <c r="G5096" s="1" t="s">
        <v>35995</v>
      </c>
      <c r="H5096" s="200"/>
      <c r="I5096" s="346"/>
      <c r="J5096" s="39">
        <v>116334</v>
      </c>
      <c r="K5096" s="36" t="str">
        <f>CONCATENATE(Cover!$D$6,"fdd/view?i=",J5096)</f>
        <v>https://www.dgiwg.org/FAD/fdd/view?i=116334</v>
      </c>
      <c r="L5096" s="36" t="s">
        <v>35996</v>
      </c>
      <c r="M5096" s="186"/>
      <c r="N5096" s="186"/>
      <c r="O5096" s="172"/>
    </row>
    <row r="5097" spans="1:15" ht="25.5" x14ac:dyDescent="0.2">
      <c r="A5097" s="197" t="str">
        <f t="shared" si="79"/>
        <v>JatCode_jasu_59B2_1B</v>
      </c>
      <c r="B5097" s="409"/>
      <c r="C5097" s="416"/>
      <c r="D5097" s="198" t="s">
        <v>35997</v>
      </c>
      <c r="E5097" s="198">
        <v>41</v>
      </c>
      <c r="F5097" s="199" t="s">
        <v>35998</v>
      </c>
      <c r="G5097" s="1" t="s">
        <v>35999</v>
      </c>
      <c r="H5097" s="200"/>
      <c r="I5097" s="346"/>
      <c r="J5097" s="39">
        <v>116310</v>
      </c>
      <c r="K5097" s="36" t="str">
        <f>CONCATENATE(Cover!$D$6,"fdd/view?i=",J5097)</f>
        <v>https://www.dgiwg.org/FAD/fdd/view?i=116310</v>
      </c>
      <c r="L5097" s="36" t="s">
        <v>36000</v>
      </c>
      <c r="M5097" s="186"/>
      <c r="N5097" s="186"/>
      <c r="O5097" s="172"/>
    </row>
    <row r="5098" spans="1:15" ht="25.5" x14ac:dyDescent="0.2">
      <c r="A5098" s="197" t="str">
        <f t="shared" si="79"/>
        <v>JatCode_jasu_90G_20P</v>
      </c>
      <c r="B5098" s="409"/>
      <c r="C5098" s="416"/>
      <c r="D5098" s="198" t="s">
        <v>36001</v>
      </c>
      <c r="E5098" s="198">
        <v>149</v>
      </c>
      <c r="F5098" s="199" t="s">
        <v>36002</v>
      </c>
      <c r="G5098" s="1" t="s">
        <v>36003</v>
      </c>
      <c r="H5098" s="200"/>
      <c r="I5098" s="346"/>
      <c r="J5098" s="39">
        <v>116418</v>
      </c>
      <c r="K5098" s="36" t="str">
        <f>CONCATENATE(Cover!$D$6,"fdd/view?i=",J5098)</f>
        <v>https://www.dgiwg.org/FAD/fdd/view?i=116418</v>
      </c>
      <c r="L5098" s="36" t="s">
        <v>36004</v>
      </c>
      <c r="M5098" s="186"/>
      <c r="N5098" s="186"/>
      <c r="O5098" s="172"/>
    </row>
    <row r="5099" spans="1:15" x14ac:dyDescent="0.2">
      <c r="A5099" s="197" t="str">
        <f t="shared" si="79"/>
        <v>JatCode_jeas</v>
      </c>
      <c r="B5099" s="409"/>
      <c r="C5099" s="416"/>
      <c r="D5099" s="198" t="s">
        <v>36460</v>
      </c>
      <c r="E5099" s="198">
        <v>143</v>
      </c>
      <c r="F5099" s="199" t="s">
        <v>36461</v>
      </c>
      <c r="G5099" s="1" t="s">
        <v>36462</v>
      </c>
      <c r="H5099" s="200"/>
      <c r="I5099" s="346"/>
      <c r="J5099" s="39">
        <v>116412</v>
      </c>
      <c r="K5099" s="36" t="str">
        <f>CONCATENATE(Cover!$D$6,"fdd/view?i=",J5099)</f>
        <v>https://www.dgiwg.org/FAD/fdd/view?i=116412</v>
      </c>
      <c r="L5099" s="36" t="s">
        <v>36463</v>
      </c>
      <c r="M5099" s="186"/>
      <c r="N5099" s="186"/>
      <c r="O5099" s="172"/>
    </row>
    <row r="5100" spans="1:15" ht="25.5" x14ac:dyDescent="0.2">
      <c r="A5100" s="197" t="str">
        <f t="shared" si="79"/>
        <v>JatCode_km1</v>
      </c>
      <c r="B5100" s="409"/>
      <c r="C5100" s="416"/>
      <c r="D5100" s="198" t="s">
        <v>36464</v>
      </c>
      <c r="E5100" s="198">
        <v>151</v>
      </c>
      <c r="F5100" s="199" t="s">
        <v>36465</v>
      </c>
      <c r="G5100" s="1" t="s">
        <v>36466</v>
      </c>
      <c r="H5100" s="200"/>
      <c r="I5100" s="346"/>
      <c r="J5100" s="39">
        <v>116420</v>
      </c>
      <c r="K5100" s="36" t="str">
        <f>CONCATENATE(Cover!$D$6,"fdd/view?i=",J5100)</f>
        <v>https://www.dgiwg.org/FAD/fdd/view?i=116420</v>
      </c>
      <c r="L5100" s="36" t="s">
        <v>36467</v>
      </c>
      <c r="M5100" s="186"/>
      <c r="N5100" s="186"/>
      <c r="O5100" s="172"/>
    </row>
    <row r="5101" spans="1:15" ht="25.5" x14ac:dyDescent="0.2">
      <c r="A5101" s="197" t="str">
        <f t="shared" si="79"/>
        <v>JatCode_km2</v>
      </c>
      <c r="B5101" s="409"/>
      <c r="C5101" s="416"/>
      <c r="D5101" s="198" t="s">
        <v>36468</v>
      </c>
      <c r="E5101" s="198">
        <v>152</v>
      </c>
      <c r="F5101" s="199" t="s">
        <v>36469</v>
      </c>
      <c r="G5101" s="1" t="s">
        <v>36466</v>
      </c>
      <c r="H5101" s="200"/>
      <c r="I5101" s="346"/>
      <c r="J5101" s="39">
        <v>116421</v>
      </c>
      <c r="K5101" s="36" t="str">
        <f>CONCATENATE(Cover!$D$6,"fdd/view?i=",J5101)</f>
        <v>https://www.dgiwg.org/FAD/fdd/view?i=116421</v>
      </c>
      <c r="L5101" s="36" t="s">
        <v>36470</v>
      </c>
      <c r="M5101" s="186"/>
      <c r="N5101" s="186"/>
      <c r="O5101" s="172"/>
    </row>
    <row r="5102" spans="1:15" ht="25.5" x14ac:dyDescent="0.2">
      <c r="A5102" s="197" t="str">
        <f t="shared" si="79"/>
        <v>JatCode_km3</v>
      </c>
      <c r="B5102" s="409"/>
      <c r="C5102" s="416"/>
      <c r="D5102" s="198" t="s">
        <v>36471</v>
      </c>
      <c r="E5102" s="198">
        <v>153</v>
      </c>
      <c r="F5102" s="199" t="s">
        <v>36472</v>
      </c>
      <c r="G5102" s="1" t="s">
        <v>36466</v>
      </c>
      <c r="H5102" s="200"/>
      <c r="I5102" s="346"/>
      <c r="J5102" s="39">
        <v>116422</v>
      </c>
      <c r="K5102" s="36" t="str">
        <f>CONCATENATE(Cover!$D$6,"fdd/view?i=",J5102)</f>
        <v>https://www.dgiwg.org/FAD/fdd/view?i=116422</v>
      </c>
      <c r="L5102" s="36" t="s">
        <v>36473</v>
      </c>
      <c r="M5102" s="186"/>
      <c r="N5102" s="186"/>
      <c r="O5102" s="172"/>
    </row>
    <row r="5103" spans="1:15" x14ac:dyDescent="0.2">
      <c r="A5103" s="197" t="str">
        <f t="shared" si="79"/>
        <v>JatCode_km4</v>
      </c>
      <c r="B5103" s="409"/>
      <c r="C5103" s="416"/>
      <c r="D5103" s="198" t="s">
        <v>36474</v>
      </c>
      <c r="E5103" s="198">
        <v>154</v>
      </c>
      <c r="F5103" s="199" t="s">
        <v>36475</v>
      </c>
      <c r="G5103" s="1" t="s">
        <v>36476</v>
      </c>
      <c r="H5103" s="200"/>
      <c r="I5103" s="346"/>
      <c r="J5103" s="39">
        <v>116423</v>
      </c>
      <c r="K5103" s="36" t="str">
        <f>CONCATENATE(Cover!$D$6,"fdd/view?i=",J5103)</f>
        <v>https://www.dgiwg.org/FAD/fdd/view?i=116423</v>
      </c>
      <c r="L5103" s="36" t="s">
        <v>36477</v>
      </c>
      <c r="M5103" s="186"/>
      <c r="N5103" s="186"/>
      <c r="O5103" s="172"/>
    </row>
    <row r="5104" spans="1:15" x14ac:dyDescent="0.2">
      <c r="A5104" s="197" t="str">
        <f t="shared" si="79"/>
        <v>JatCode_m32A_13</v>
      </c>
      <c r="B5104" s="409"/>
      <c r="C5104" s="416"/>
      <c r="D5104" s="198" t="s">
        <v>36482</v>
      </c>
      <c r="E5104" s="198">
        <v>64</v>
      </c>
      <c r="F5104" s="199" t="s">
        <v>36483</v>
      </c>
      <c r="G5104" s="1" t="s">
        <v>36484</v>
      </c>
      <c r="H5104" s="200"/>
      <c r="I5104" s="346"/>
      <c r="J5104" s="39">
        <v>116333</v>
      </c>
      <c r="K5104" s="36" t="str">
        <f>CONCATENATE(Cover!$D$6,"fdd/view?i=",J5104)</f>
        <v>https://www.dgiwg.org/FAD/fdd/view?i=116333</v>
      </c>
      <c r="L5104" s="36" t="s">
        <v>36485</v>
      </c>
      <c r="M5104" s="186"/>
      <c r="N5104" s="186"/>
      <c r="O5104" s="172"/>
    </row>
    <row r="5105" spans="1:15" x14ac:dyDescent="0.2">
      <c r="A5105" s="197" t="str">
        <f t="shared" si="79"/>
        <v>JatCode_ma_1</v>
      </c>
      <c r="B5105" s="409"/>
      <c r="C5105" s="416"/>
      <c r="D5105" s="198" t="s">
        <v>36486</v>
      </c>
      <c r="E5105" s="198">
        <v>144</v>
      </c>
      <c r="F5105" s="199" t="s">
        <v>36487</v>
      </c>
      <c r="G5105" s="1" t="s">
        <v>36488</v>
      </c>
      <c r="H5105" s="200"/>
      <c r="I5105" s="346"/>
      <c r="J5105" s="39">
        <v>116413</v>
      </c>
      <c r="K5105" s="36" t="str">
        <f>CONCATENATE(Cover!$D$6,"fdd/view?i=",J5105)</f>
        <v>https://www.dgiwg.org/FAD/fdd/view?i=116413</v>
      </c>
      <c r="L5105" s="36" t="s">
        <v>36489</v>
      </c>
      <c r="M5105" s="186"/>
      <c r="N5105" s="186"/>
      <c r="O5105" s="172"/>
    </row>
    <row r="5106" spans="1:15" ht="25.5" x14ac:dyDescent="0.2">
      <c r="A5106" s="197" t="str">
        <f t="shared" si="79"/>
        <v>JatCode_ma_1A</v>
      </c>
      <c r="B5106" s="409"/>
      <c r="C5106" s="416"/>
      <c r="D5106" s="198" t="s">
        <v>36490</v>
      </c>
      <c r="E5106" s="198">
        <v>17</v>
      </c>
      <c r="F5106" s="199" t="s">
        <v>36491</v>
      </c>
      <c r="G5106" s="1" t="s">
        <v>36492</v>
      </c>
      <c r="H5106" s="200"/>
      <c r="I5106" s="346"/>
      <c r="J5106" s="39">
        <v>116286</v>
      </c>
      <c r="K5106" s="36" t="str">
        <f>CONCATENATE(Cover!$D$6,"fdd/view?i=",J5106)</f>
        <v>https://www.dgiwg.org/FAD/fdd/view?i=116286</v>
      </c>
      <c r="L5106" s="36" t="s">
        <v>36493</v>
      </c>
      <c r="M5106" s="186"/>
      <c r="N5106" s="186"/>
      <c r="O5106" s="172"/>
    </row>
    <row r="5107" spans="1:15" ht="25.5" x14ac:dyDescent="0.2">
      <c r="A5107" s="197" t="str">
        <f t="shared" si="79"/>
        <v>JatCode_ma_1MPSU</v>
      </c>
      <c r="B5107" s="409"/>
      <c r="C5107" s="416"/>
      <c r="D5107" s="198" t="s">
        <v>36494</v>
      </c>
      <c r="E5107" s="198">
        <v>155</v>
      </c>
      <c r="F5107" s="199" t="s">
        <v>36495</v>
      </c>
      <c r="G5107" s="1" t="s">
        <v>36496</v>
      </c>
      <c r="H5107" s="200"/>
      <c r="I5107" s="346"/>
      <c r="J5107" s="39">
        <v>116424</v>
      </c>
      <c r="K5107" s="36" t="str">
        <f>CONCATENATE(Cover!$D$6,"fdd/view?i=",J5107)</f>
        <v>https://www.dgiwg.org/FAD/fdd/view?i=116424</v>
      </c>
      <c r="L5107" s="36" t="s">
        <v>36497</v>
      </c>
      <c r="M5107" s="186"/>
      <c r="N5107" s="186"/>
      <c r="O5107" s="172"/>
    </row>
    <row r="5108" spans="1:15" x14ac:dyDescent="0.2">
      <c r="A5108" s="197" t="str">
        <f t="shared" si="79"/>
        <v>JatCode_ma_2</v>
      </c>
      <c r="B5108" s="409"/>
      <c r="C5108" s="416"/>
      <c r="D5108" s="198" t="s">
        <v>36498</v>
      </c>
      <c r="E5108" s="198">
        <v>145</v>
      </c>
      <c r="F5108" s="199" t="s">
        <v>36499</v>
      </c>
      <c r="G5108" s="1" t="s">
        <v>36500</v>
      </c>
      <c r="H5108" s="200"/>
      <c r="I5108" s="346"/>
      <c r="J5108" s="39">
        <v>116414</v>
      </c>
      <c r="K5108" s="36" t="str">
        <f>CONCATENATE(Cover!$D$6,"fdd/view?i=",J5108)</f>
        <v>https://www.dgiwg.org/FAD/fdd/view?i=116414</v>
      </c>
      <c r="L5108" s="36" t="s">
        <v>36501</v>
      </c>
      <c r="M5108" s="186"/>
      <c r="N5108" s="186"/>
      <c r="O5108" s="172"/>
    </row>
    <row r="5109" spans="1:15" ht="25.5" x14ac:dyDescent="0.2">
      <c r="A5109" s="197" t="str">
        <f t="shared" si="79"/>
        <v>JatCode_ma_2MPSU</v>
      </c>
      <c r="B5109" s="409"/>
      <c r="C5109" s="416"/>
      <c r="D5109" s="198" t="s">
        <v>36502</v>
      </c>
      <c r="E5109" s="198">
        <v>156</v>
      </c>
      <c r="F5109" s="199" t="s">
        <v>36503</v>
      </c>
      <c r="G5109" s="1" t="s">
        <v>36504</v>
      </c>
      <c r="H5109" s="200"/>
      <c r="I5109" s="346"/>
      <c r="J5109" s="39">
        <v>116425</v>
      </c>
      <c r="K5109" s="36" t="str">
        <f>CONCATENATE(Cover!$D$6,"fdd/view?i=",J5109)</f>
        <v>https://www.dgiwg.org/FAD/fdd/view?i=116425</v>
      </c>
      <c r="L5109" s="36" t="s">
        <v>36505</v>
      </c>
      <c r="M5109" s="186"/>
      <c r="N5109" s="186"/>
      <c r="O5109" s="172"/>
    </row>
    <row r="5110" spans="1:15" ht="25.5" x14ac:dyDescent="0.2">
      <c r="A5110" s="197" t="str">
        <f t="shared" si="79"/>
        <v>JatCode_ma_3MPSU</v>
      </c>
      <c r="B5110" s="409"/>
      <c r="C5110" s="416"/>
      <c r="D5110" s="198" t="s">
        <v>36506</v>
      </c>
      <c r="E5110" s="198">
        <v>30</v>
      </c>
      <c r="F5110" s="199" t="s">
        <v>36507</v>
      </c>
      <c r="G5110" s="1" t="s">
        <v>36508</v>
      </c>
      <c r="H5110" s="200"/>
      <c r="I5110" s="346"/>
      <c r="J5110" s="39">
        <v>116299</v>
      </c>
      <c r="K5110" s="36" t="str">
        <f>CONCATENATE(Cover!$D$6,"fdd/view?i=",J5110)</f>
        <v>https://www.dgiwg.org/FAD/fdd/view?i=116299</v>
      </c>
      <c r="L5110" s="36" t="s">
        <v>36509</v>
      </c>
      <c r="M5110" s="186"/>
      <c r="N5110" s="186"/>
      <c r="O5110" s="172"/>
    </row>
    <row r="5111" spans="1:15" x14ac:dyDescent="0.2">
      <c r="A5111" s="197" t="str">
        <f t="shared" si="79"/>
        <v>JatCode_mb_1</v>
      </c>
      <c r="B5111" s="409"/>
      <c r="C5111" s="416"/>
      <c r="D5111" s="198" t="s">
        <v>36510</v>
      </c>
      <c r="E5111" s="198">
        <v>18</v>
      </c>
      <c r="F5111" s="199" t="s">
        <v>36511</v>
      </c>
      <c r="G5111" s="1" t="s">
        <v>36512</v>
      </c>
      <c r="H5111" s="200"/>
      <c r="I5111" s="346"/>
      <c r="J5111" s="39">
        <v>116287</v>
      </c>
      <c r="K5111" s="36" t="str">
        <f>CONCATENATE(Cover!$D$6,"fdd/view?i=",J5111)</f>
        <v>https://www.dgiwg.org/FAD/fdd/view?i=116287</v>
      </c>
      <c r="L5111" s="36" t="s">
        <v>36513</v>
      </c>
      <c r="M5111" s="186"/>
      <c r="N5111" s="186"/>
      <c r="O5111" s="172"/>
    </row>
    <row r="5112" spans="1:15" x14ac:dyDescent="0.2">
      <c r="A5112" s="197" t="str">
        <f t="shared" si="79"/>
        <v>JatCode_mb_9</v>
      </c>
      <c r="B5112" s="409"/>
      <c r="C5112" s="416"/>
      <c r="D5112" s="198" t="s">
        <v>36514</v>
      </c>
      <c r="E5112" s="198">
        <v>19</v>
      </c>
      <c r="F5112" s="199" t="s">
        <v>36515</v>
      </c>
      <c r="G5112" s="1" t="s">
        <v>36516</v>
      </c>
      <c r="H5112" s="200"/>
      <c r="I5112" s="346"/>
      <c r="J5112" s="39">
        <v>116288</v>
      </c>
      <c r="K5112" s="36" t="str">
        <f>CONCATENATE(Cover!$D$6,"fdd/view?i=",J5112)</f>
        <v>https://www.dgiwg.org/FAD/fdd/view?i=116288</v>
      </c>
      <c r="L5112" s="36" t="s">
        <v>36517</v>
      </c>
      <c r="M5112" s="186"/>
      <c r="N5112" s="186"/>
      <c r="O5112" s="172"/>
    </row>
    <row r="5113" spans="1:15" x14ac:dyDescent="0.2">
      <c r="A5113" s="197" t="str">
        <f t="shared" si="79"/>
        <v>JatCode_mc_1</v>
      </c>
      <c r="B5113" s="409"/>
      <c r="C5113" s="416"/>
      <c r="D5113" s="198" t="s">
        <v>36518</v>
      </c>
      <c r="E5113" s="198">
        <v>20</v>
      </c>
      <c r="F5113" s="199" t="s">
        <v>36519</v>
      </c>
      <c r="G5113" s="1" t="s">
        <v>36520</v>
      </c>
      <c r="H5113" s="200"/>
      <c r="I5113" s="346"/>
      <c r="J5113" s="39">
        <v>116289</v>
      </c>
      <c r="K5113" s="36" t="str">
        <f>CONCATENATE(Cover!$D$6,"fdd/view?i=",J5113)</f>
        <v>https://www.dgiwg.org/FAD/fdd/view?i=116289</v>
      </c>
      <c r="L5113" s="36" t="s">
        <v>36521</v>
      </c>
      <c r="M5113" s="186"/>
      <c r="N5113" s="186"/>
      <c r="O5113" s="172"/>
    </row>
    <row r="5114" spans="1:15" ht="25.5" x14ac:dyDescent="0.2">
      <c r="A5114" s="197" t="str">
        <f t="shared" si="79"/>
        <v>JatCode_mc_1_Modified</v>
      </c>
      <c r="B5114" s="409"/>
      <c r="C5114" s="416"/>
      <c r="D5114" s="198" t="s">
        <v>36522</v>
      </c>
      <c r="E5114" s="198">
        <v>21</v>
      </c>
      <c r="F5114" s="199" t="s">
        <v>36523</v>
      </c>
      <c r="G5114" s="1" t="s">
        <v>36524</v>
      </c>
      <c r="H5114" s="200"/>
      <c r="I5114" s="346"/>
      <c r="J5114" s="39">
        <v>116290</v>
      </c>
      <c r="K5114" s="36" t="str">
        <f>CONCATENATE(Cover!$D$6,"fdd/view?i=",J5114)</f>
        <v>https://www.dgiwg.org/FAD/fdd/view?i=116290</v>
      </c>
      <c r="L5114" s="36" t="s">
        <v>36525</v>
      </c>
      <c r="M5114" s="186"/>
      <c r="N5114" s="186"/>
      <c r="O5114" s="172"/>
    </row>
    <row r="5115" spans="1:15" x14ac:dyDescent="0.2">
      <c r="A5115" s="197" t="str">
        <f t="shared" si="79"/>
        <v>JatCode_mc_11</v>
      </c>
      <c r="B5115" s="409"/>
      <c r="C5115" s="416"/>
      <c r="D5115" s="198" t="s">
        <v>36526</v>
      </c>
      <c r="E5115" s="198">
        <v>24</v>
      </c>
      <c r="F5115" s="199" t="s">
        <v>36527</v>
      </c>
      <c r="G5115" s="1" t="s">
        <v>36528</v>
      </c>
      <c r="H5115" s="200"/>
      <c r="I5115" s="346"/>
      <c r="J5115" s="39">
        <v>116293</v>
      </c>
      <c r="K5115" s="36" t="str">
        <f>CONCATENATE(Cover!$D$6,"fdd/view?i=",J5115)</f>
        <v>https://www.dgiwg.org/FAD/fdd/view?i=116293</v>
      </c>
      <c r="L5115" s="36" t="s">
        <v>36529</v>
      </c>
      <c r="M5115" s="186"/>
      <c r="N5115" s="186"/>
      <c r="O5115" s="172"/>
    </row>
    <row r="5116" spans="1:15" ht="25.5" x14ac:dyDescent="0.2">
      <c r="A5116" s="197" t="str">
        <f t="shared" si="79"/>
        <v>JatCode_mc_1A</v>
      </c>
      <c r="B5116" s="409"/>
      <c r="C5116" s="416"/>
      <c r="D5116" s="198" t="s">
        <v>36530</v>
      </c>
      <c r="E5116" s="198">
        <v>5</v>
      </c>
      <c r="F5116" s="199" t="s">
        <v>36531</v>
      </c>
      <c r="G5116" s="1" t="s">
        <v>36532</v>
      </c>
      <c r="H5116" s="200"/>
      <c r="I5116" s="346"/>
      <c r="J5116" s="39">
        <v>116274</v>
      </c>
      <c r="K5116" s="36" t="str">
        <f>CONCATENATE(Cover!$D$6,"fdd/view?i=",J5116)</f>
        <v>https://www.dgiwg.org/FAD/fdd/view?i=116274</v>
      </c>
      <c r="L5116" s="36" t="s">
        <v>36533</v>
      </c>
      <c r="M5116" s="186"/>
      <c r="N5116" s="186"/>
      <c r="O5116" s="172"/>
    </row>
    <row r="5117" spans="1:15" x14ac:dyDescent="0.2">
      <c r="A5117" s="197" t="str">
        <f t="shared" si="79"/>
        <v>JatCode_mc_1A_1</v>
      </c>
      <c r="B5117" s="409"/>
      <c r="C5117" s="416"/>
      <c r="D5117" s="198" t="s">
        <v>36534</v>
      </c>
      <c r="E5117" s="198">
        <v>22</v>
      </c>
      <c r="F5117" s="199" t="s">
        <v>36535</v>
      </c>
      <c r="G5117" s="1" t="s">
        <v>36520</v>
      </c>
      <c r="H5117" s="200"/>
      <c r="I5117" s="346"/>
      <c r="J5117" s="39">
        <v>116291</v>
      </c>
      <c r="K5117" s="36" t="str">
        <f>CONCATENATE(Cover!$D$6,"fdd/view?i=",J5117)</f>
        <v>https://www.dgiwg.org/FAD/fdd/view?i=116291</v>
      </c>
      <c r="L5117" s="36" t="s">
        <v>36536</v>
      </c>
      <c r="M5117" s="186"/>
      <c r="N5117" s="186"/>
      <c r="O5117" s="172"/>
    </row>
    <row r="5118" spans="1:15" x14ac:dyDescent="0.2">
      <c r="A5118" s="197" t="str">
        <f t="shared" si="79"/>
        <v>JatCode_mc_2A</v>
      </c>
      <c r="B5118" s="409"/>
      <c r="C5118" s="416"/>
      <c r="D5118" s="198" t="s">
        <v>36537</v>
      </c>
      <c r="E5118" s="198">
        <v>23</v>
      </c>
      <c r="F5118" s="199" t="s">
        <v>36538</v>
      </c>
      <c r="G5118" s="1" t="s">
        <v>36539</v>
      </c>
      <c r="H5118" s="200"/>
      <c r="I5118" s="346"/>
      <c r="J5118" s="39">
        <v>116292</v>
      </c>
      <c r="K5118" s="36" t="str">
        <f>CONCATENATE(Cover!$D$6,"fdd/view?i=",J5118)</f>
        <v>https://www.dgiwg.org/FAD/fdd/view?i=116292</v>
      </c>
      <c r="L5118" s="36" t="s">
        <v>36540</v>
      </c>
      <c r="M5118" s="186"/>
      <c r="N5118" s="186"/>
      <c r="O5118" s="172"/>
    </row>
    <row r="5119" spans="1:15" ht="25.5" x14ac:dyDescent="0.2">
      <c r="A5119" s="197" t="str">
        <f t="shared" si="79"/>
        <v>JatCode_mc_8A_A1</v>
      </c>
      <c r="B5119" s="409"/>
      <c r="C5119" s="416"/>
      <c r="D5119" s="198" t="s">
        <v>36541</v>
      </c>
      <c r="E5119" s="198">
        <v>34</v>
      </c>
      <c r="F5119" s="199" t="s">
        <v>36542</v>
      </c>
      <c r="G5119" s="1" t="s">
        <v>36543</v>
      </c>
      <c r="H5119" s="200"/>
      <c r="I5119" s="346"/>
      <c r="J5119" s="39">
        <v>116303</v>
      </c>
      <c r="K5119" s="36" t="str">
        <f>CONCATENATE(Cover!$D$6,"fdd/view?i=",J5119)</f>
        <v>https://www.dgiwg.org/FAD/fdd/view?i=116303</v>
      </c>
      <c r="L5119" s="36" t="s">
        <v>36544</v>
      </c>
      <c r="M5119" s="186"/>
      <c r="N5119" s="186"/>
      <c r="O5119" s="172"/>
    </row>
    <row r="5120" spans="1:15" x14ac:dyDescent="0.2">
      <c r="A5120" s="197" t="str">
        <f t="shared" si="79"/>
        <v>JatCode_md_1</v>
      </c>
      <c r="B5120" s="409"/>
      <c r="C5120" s="416"/>
      <c r="D5120" s="198" t="s">
        <v>36545</v>
      </c>
      <c r="E5120" s="198">
        <v>6</v>
      </c>
      <c r="F5120" s="199" t="s">
        <v>36546</v>
      </c>
      <c r="G5120" s="1" t="s">
        <v>36547</v>
      </c>
      <c r="H5120" s="200"/>
      <c r="I5120" s="346"/>
      <c r="J5120" s="39">
        <v>116275</v>
      </c>
      <c r="K5120" s="36" t="str">
        <f>CONCATENATE(Cover!$D$6,"fdd/view?i=",J5120)</f>
        <v>https://www.dgiwg.org/FAD/fdd/view?i=116275</v>
      </c>
      <c r="L5120" s="36" t="s">
        <v>36548</v>
      </c>
      <c r="M5120" s="186"/>
      <c r="N5120" s="186"/>
      <c r="O5120" s="172"/>
    </row>
    <row r="5121" spans="1:15" x14ac:dyDescent="0.2">
      <c r="A5121" s="197" t="str">
        <f t="shared" si="79"/>
        <v>JatCode_md_2</v>
      </c>
      <c r="B5121" s="409"/>
      <c r="C5121" s="416"/>
      <c r="D5121" s="198" t="s">
        <v>36549</v>
      </c>
      <c r="E5121" s="198">
        <v>7</v>
      </c>
      <c r="F5121" s="199" t="s">
        <v>36550</v>
      </c>
      <c r="G5121" s="1" t="s">
        <v>36551</v>
      </c>
      <c r="H5121" s="200"/>
      <c r="I5121" s="346"/>
      <c r="J5121" s="39">
        <v>116276</v>
      </c>
      <c r="K5121" s="36" t="str">
        <f>CONCATENATE(Cover!$D$6,"fdd/view?i=",J5121)</f>
        <v>https://www.dgiwg.org/FAD/fdd/view?i=116276</v>
      </c>
      <c r="L5121" s="36" t="s">
        <v>36552</v>
      </c>
      <c r="M5121" s="186"/>
      <c r="N5121" s="186"/>
      <c r="O5121" s="172"/>
    </row>
    <row r="5122" spans="1:15" ht="25.5" x14ac:dyDescent="0.2">
      <c r="A5122" s="197" t="str">
        <f t="shared" ref="A5122:A5185" si="80">HYPERLINK(K5122,L5122)</f>
        <v>JatCode_md_3</v>
      </c>
      <c r="B5122" s="409"/>
      <c r="C5122" s="416"/>
      <c r="D5122" s="198" t="s">
        <v>36553</v>
      </c>
      <c r="E5122" s="198">
        <v>8</v>
      </c>
      <c r="F5122" s="199" t="s">
        <v>36554</v>
      </c>
      <c r="G5122" s="1" t="s">
        <v>36555</v>
      </c>
      <c r="H5122" s="200"/>
      <c r="I5122" s="346"/>
      <c r="J5122" s="39">
        <v>116277</v>
      </c>
      <c r="K5122" s="36" t="str">
        <f>CONCATENATE(Cover!$D$6,"fdd/view?i=",J5122)</f>
        <v>https://www.dgiwg.org/FAD/fdd/view?i=116277</v>
      </c>
      <c r="L5122" s="36" t="s">
        <v>36556</v>
      </c>
      <c r="M5122" s="186"/>
      <c r="N5122" s="186"/>
      <c r="O5122" s="172"/>
    </row>
    <row r="5123" spans="1:15" ht="25.5" x14ac:dyDescent="0.2">
      <c r="A5123" s="197" t="str">
        <f t="shared" si="80"/>
        <v>JatCode_md_3A</v>
      </c>
      <c r="B5123" s="409"/>
      <c r="C5123" s="416"/>
      <c r="D5123" s="198" t="s">
        <v>36557</v>
      </c>
      <c r="E5123" s="198">
        <v>9</v>
      </c>
      <c r="F5123" s="199" t="s">
        <v>36558</v>
      </c>
      <c r="G5123" s="1" t="s">
        <v>36555</v>
      </c>
      <c r="H5123" s="200"/>
      <c r="I5123" s="346"/>
      <c r="J5123" s="39">
        <v>116278</v>
      </c>
      <c r="K5123" s="36" t="str">
        <f>CONCATENATE(Cover!$D$6,"fdd/view?i=",J5123)</f>
        <v>https://www.dgiwg.org/FAD/fdd/view?i=116278</v>
      </c>
      <c r="L5123" s="36" t="s">
        <v>36559</v>
      </c>
      <c r="M5123" s="186"/>
      <c r="N5123" s="186"/>
      <c r="O5123" s="172"/>
    </row>
    <row r="5124" spans="1:15" ht="25.5" x14ac:dyDescent="0.2">
      <c r="A5124" s="197" t="str">
        <f t="shared" si="80"/>
        <v>JatCode_md_3B</v>
      </c>
      <c r="B5124" s="409"/>
      <c r="C5124" s="416"/>
      <c r="D5124" s="198" t="s">
        <v>36560</v>
      </c>
      <c r="E5124" s="198">
        <v>10</v>
      </c>
      <c r="F5124" s="199" t="s">
        <v>36561</v>
      </c>
      <c r="G5124" s="1" t="s">
        <v>36562</v>
      </c>
      <c r="H5124" s="200"/>
      <c r="I5124" s="346"/>
      <c r="J5124" s="39">
        <v>116279</v>
      </c>
      <c r="K5124" s="36" t="str">
        <f>CONCATENATE(Cover!$D$6,"fdd/view?i=",J5124)</f>
        <v>https://www.dgiwg.org/FAD/fdd/view?i=116279</v>
      </c>
      <c r="L5124" s="36" t="s">
        <v>36563</v>
      </c>
      <c r="M5124" s="186"/>
      <c r="N5124" s="186"/>
      <c r="O5124" s="172"/>
    </row>
    <row r="5125" spans="1:15" ht="25.5" x14ac:dyDescent="0.2">
      <c r="A5125" s="197" t="str">
        <f t="shared" si="80"/>
        <v>JatCode_md_3M</v>
      </c>
      <c r="B5125" s="409"/>
      <c r="C5125" s="416"/>
      <c r="D5125" s="198" t="s">
        <v>36564</v>
      </c>
      <c r="E5125" s="198">
        <v>11</v>
      </c>
      <c r="F5125" s="199" t="s">
        <v>36565</v>
      </c>
      <c r="G5125" s="1" t="s">
        <v>36566</v>
      </c>
      <c r="H5125" s="200"/>
      <c r="I5125" s="346"/>
      <c r="J5125" s="39">
        <v>116280</v>
      </c>
      <c r="K5125" s="36" t="str">
        <f>CONCATENATE(Cover!$D$6,"fdd/view?i=",J5125)</f>
        <v>https://www.dgiwg.org/FAD/fdd/view?i=116280</v>
      </c>
      <c r="L5125" s="36" t="s">
        <v>36567</v>
      </c>
      <c r="M5125" s="186"/>
      <c r="N5125" s="186"/>
      <c r="O5125" s="172"/>
    </row>
    <row r="5126" spans="1:15" ht="51" x14ac:dyDescent="0.2">
      <c r="A5126" s="197" t="str">
        <f t="shared" si="80"/>
        <v>JatCode_md_4</v>
      </c>
      <c r="B5126" s="409"/>
      <c r="C5126" s="416"/>
      <c r="D5126" s="198" t="s">
        <v>36568</v>
      </c>
      <c r="E5126" s="198">
        <v>12</v>
      </c>
      <c r="F5126" s="199" t="s">
        <v>36569</v>
      </c>
      <c r="G5126" s="1" t="s">
        <v>36570</v>
      </c>
      <c r="H5126" s="200"/>
      <c r="I5126" s="346"/>
      <c r="J5126" s="39">
        <v>116281</v>
      </c>
      <c r="K5126" s="36" t="str">
        <f>CONCATENATE(Cover!$D$6,"fdd/view?i=",J5126)</f>
        <v>https://www.dgiwg.org/FAD/fdd/view?i=116281</v>
      </c>
      <c r="L5126" s="36" t="s">
        <v>36571</v>
      </c>
      <c r="M5126" s="186"/>
      <c r="N5126" s="186"/>
      <c r="O5126" s="172"/>
    </row>
    <row r="5127" spans="1:15" x14ac:dyDescent="0.2">
      <c r="A5127" s="197" t="str">
        <f t="shared" si="80"/>
        <v>JatCode_mep_116A</v>
      </c>
      <c r="B5127" s="409"/>
      <c r="C5127" s="416"/>
      <c r="D5127" s="198" t="s">
        <v>36572</v>
      </c>
      <c r="E5127" s="198">
        <v>13</v>
      </c>
      <c r="F5127" s="199" t="s">
        <v>36573</v>
      </c>
      <c r="G5127" s="1" t="s">
        <v>36574</v>
      </c>
      <c r="H5127" s="200"/>
      <c r="I5127" s="346"/>
      <c r="J5127" s="39">
        <v>116282</v>
      </c>
      <c r="K5127" s="36" t="str">
        <f>CONCATENATE(Cover!$D$6,"fdd/view?i=",J5127)</f>
        <v>https://www.dgiwg.org/FAD/fdd/view?i=116282</v>
      </c>
      <c r="L5127" s="36" t="s">
        <v>36575</v>
      </c>
      <c r="M5127" s="186"/>
      <c r="N5127" s="186"/>
      <c r="O5127" s="172"/>
    </row>
    <row r="5128" spans="1:15" x14ac:dyDescent="0.2">
      <c r="A5128" s="197" t="str">
        <f t="shared" si="80"/>
        <v>JatCode_mj_1</v>
      </c>
      <c r="B5128" s="409"/>
      <c r="C5128" s="416"/>
      <c r="D5128" s="198" t="s">
        <v>36576</v>
      </c>
      <c r="E5128" s="198">
        <v>146</v>
      </c>
      <c r="F5128" s="199" t="s">
        <v>36577</v>
      </c>
      <c r="G5128" s="1" t="s">
        <v>36578</v>
      </c>
      <c r="H5128" s="200"/>
      <c r="I5128" s="346"/>
      <c r="J5128" s="39">
        <v>116415</v>
      </c>
      <c r="K5128" s="36" t="str">
        <f>CONCATENATE(Cover!$D$6,"fdd/view?i=",J5128)</f>
        <v>https://www.dgiwg.org/FAD/fdd/view?i=116415</v>
      </c>
      <c r="L5128" s="36" t="s">
        <v>36579</v>
      </c>
      <c r="M5128" s="186"/>
      <c r="N5128" s="186"/>
      <c r="O5128" s="172"/>
    </row>
    <row r="5129" spans="1:15" ht="38.25" x14ac:dyDescent="0.2">
      <c r="A5129" s="197" t="str">
        <f t="shared" si="80"/>
        <v>JatCode_mmg_1_1A</v>
      </c>
      <c r="B5129" s="409"/>
      <c r="C5129" s="416"/>
      <c r="D5129" s="198" t="s">
        <v>36580</v>
      </c>
      <c r="E5129" s="198">
        <v>32</v>
      </c>
      <c r="F5129" s="199" t="s">
        <v>36581</v>
      </c>
      <c r="G5129" s="1" t="s">
        <v>36582</v>
      </c>
      <c r="H5129" s="200"/>
      <c r="I5129" s="346"/>
      <c r="J5129" s="39">
        <v>116301</v>
      </c>
      <c r="K5129" s="36" t="str">
        <f>CONCATENATE(Cover!$D$6,"fdd/view?i=",J5129)</f>
        <v>https://www.dgiwg.org/FAD/fdd/view?i=116301</v>
      </c>
      <c r="L5129" s="36" t="s">
        <v>36583</v>
      </c>
      <c r="M5129" s="186"/>
      <c r="N5129" s="186"/>
      <c r="O5129" s="172"/>
    </row>
    <row r="5130" spans="1:15" ht="25.5" x14ac:dyDescent="0.2">
      <c r="A5130" s="197" t="str">
        <f t="shared" si="80"/>
        <v>JatCode_mmg_2</v>
      </c>
      <c r="B5130" s="409"/>
      <c r="C5130" s="416"/>
      <c r="D5130" s="198" t="s">
        <v>36584</v>
      </c>
      <c r="E5130" s="198">
        <v>33</v>
      </c>
      <c r="F5130" s="199" t="s">
        <v>36585</v>
      </c>
      <c r="G5130" s="1" t="s">
        <v>36586</v>
      </c>
      <c r="H5130" s="200"/>
      <c r="I5130" s="346"/>
      <c r="J5130" s="39">
        <v>116302</v>
      </c>
      <c r="K5130" s="36" t="str">
        <f>CONCATENATE(Cover!$D$6,"fdd/view?i=",J5130)</f>
        <v>https://www.dgiwg.org/FAD/fdd/view?i=116302</v>
      </c>
      <c r="L5130" s="36" t="s">
        <v>36587</v>
      </c>
      <c r="M5130" s="186"/>
      <c r="N5130" s="186"/>
      <c r="O5130" s="172"/>
    </row>
    <row r="5131" spans="1:15" ht="25.5" x14ac:dyDescent="0.2">
      <c r="A5131" s="197" t="str">
        <f t="shared" si="80"/>
        <v>JatCode_msu_200NAV_A_UA47A_5</v>
      </c>
      <c r="B5131" s="409"/>
      <c r="C5131" s="416"/>
      <c r="D5131" s="198" t="s">
        <v>36588</v>
      </c>
      <c r="E5131" s="198">
        <v>37</v>
      </c>
      <c r="F5131" s="199" t="s">
        <v>36589</v>
      </c>
      <c r="G5131" s="1" t="s">
        <v>36590</v>
      </c>
      <c r="H5131" s="200"/>
      <c r="I5131" s="346"/>
      <c r="J5131" s="39">
        <v>116306</v>
      </c>
      <c r="K5131" s="36" t="str">
        <f>CONCATENATE(Cover!$D$6,"fdd/view?i=",J5131)</f>
        <v>https://www.dgiwg.org/FAD/fdd/view?i=116306</v>
      </c>
      <c r="L5131" s="36" t="s">
        <v>36591</v>
      </c>
      <c r="M5131" s="186"/>
      <c r="N5131" s="186"/>
      <c r="O5131" s="172"/>
    </row>
    <row r="5132" spans="1:15" ht="25.5" x14ac:dyDescent="0.2">
      <c r="A5132" s="197" t="str">
        <f t="shared" si="80"/>
        <v>JatCode_mxu_129A_Cartridge</v>
      </c>
      <c r="B5132" s="409"/>
      <c r="C5132" s="416"/>
      <c r="D5132" s="198" t="s">
        <v>36592</v>
      </c>
      <c r="E5132" s="198">
        <v>159</v>
      </c>
      <c r="F5132" s="199" t="s">
        <v>36593</v>
      </c>
      <c r="G5132" s="1" t="s">
        <v>36594</v>
      </c>
      <c r="H5132" s="200"/>
      <c r="I5132" s="346"/>
      <c r="J5132" s="39">
        <v>116428</v>
      </c>
      <c r="K5132" s="36" t="str">
        <f>CONCATENATE(Cover!$D$6,"fdd/view?i=",J5132)</f>
        <v>https://www.dgiwg.org/FAD/fdd/view?i=116428</v>
      </c>
      <c r="L5132" s="36" t="s">
        <v>36595</v>
      </c>
      <c r="M5132" s="186"/>
      <c r="N5132" s="186"/>
      <c r="O5132" s="172"/>
    </row>
    <row r="5133" spans="1:15" ht="25.5" x14ac:dyDescent="0.2">
      <c r="A5133" s="197" t="str">
        <f t="shared" si="80"/>
        <v>JatCode_mxu_4A_Cartridge</v>
      </c>
      <c r="B5133" s="409"/>
      <c r="C5133" s="416"/>
      <c r="D5133" s="198" t="s">
        <v>36596</v>
      </c>
      <c r="E5133" s="198">
        <v>158</v>
      </c>
      <c r="F5133" s="199" t="s">
        <v>36597</v>
      </c>
      <c r="G5133" s="1" t="s">
        <v>36594</v>
      </c>
      <c r="H5133" s="200"/>
      <c r="I5133" s="346"/>
      <c r="J5133" s="39">
        <v>116427</v>
      </c>
      <c r="K5133" s="36" t="str">
        <f>CONCATENATE(Cover!$D$6,"fdd/view?i=",J5133)</f>
        <v>https://www.dgiwg.org/FAD/fdd/view?i=116427</v>
      </c>
      <c r="L5133" s="36" t="s">
        <v>36598</v>
      </c>
      <c r="M5133" s="186"/>
      <c r="N5133" s="186"/>
      <c r="O5133" s="172"/>
    </row>
    <row r="5134" spans="1:15" ht="25.5" x14ac:dyDescent="0.2">
      <c r="A5134" s="197" t="str">
        <f t="shared" si="80"/>
        <v>JatCode_nc_10A_A1_B_C</v>
      </c>
      <c r="B5134" s="409"/>
      <c r="C5134" s="416"/>
      <c r="D5134" s="198" t="s">
        <v>36599</v>
      </c>
      <c r="E5134" s="198">
        <v>35</v>
      </c>
      <c r="F5134" s="199" t="s">
        <v>36600</v>
      </c>
      <c r="G5134" s="1" t="s">
        <v>36601</v>
      </c>
      <c r="H5134" s="200"/>
      <c r="I5134" s="346"/>
      <c r="J5134" s="39">
        <v>116304</v>
      </c>
      <c r="K5134" s="36" t="str">
        <f>CONCATENATE(Cover!$D$6,"fdd/view?i=",J5134)</f>
        <v>https://www.dgiwg.org/FAD/fdd/view?i=116304</v>
      </c>
      <c r="L5134" s="36" t="s">
        <v>36602</v>
      </c>
      <c r="M5134" s="186"/>
      <c r="N5134" s="186"/>
      <c r="O5134" s="172"/>
    </row>
    <row r="5135" spans="1:15" ht="25.5" x14ac:dyDescent="0.2">
      <c r="A5135" s="197" t="str">
        <f t="shared" si="80"/>
        <v>JatCode_ncpp_105_RCPT</v>
      </c>
      <c r="B5135" s="409"/>
      <c r="C5135" s="416"/>
      <c r="D5135" s="198" t="s">
        <v>36603</v>
      </c>
      <c r="E5135" s="198">
        <v>40</v>
      </c>
      <c r="F5135" s="199" t="s">
        <v>36604</v>
      </c>
      <c r="G5135" s="1" t="s">
        <v>36605</v>
      </c>
      <c r="H5135" s="200"/>
      <c r="I5135" s="346"/>
      <c r="J5135" s="39">
        <v>116309</v>
      </c>
      <c r="K5135" s="36" t="str">
        <f>CONCATENATE(Cover!$D$6,"fdd/view?i=",J5135)</f>
        <v>https://www.dgiwg.org/FAD/fdd/view?i=116309</v>
      </c>
      <c r="L5135" s="36" t="s">
        <v>36606</v>
      </c>
      <c r="M5135" s="186"/>
      <c r="N5135" s="186"/>
      <c r="O5135" s="172"/>
    </row>
    <row r="5136" spans="1:15" ht="38.25" x14ac:dyDescent="0.2">
      <c r="A5136" s="197" t="str">
        <f t="shared" si="80"/>
        <v>JatCode_pe_75_PacAustNewZea</v>
      </c>
      <c r="B5136" s="409"/>
      <c r="C5136" s="416"/>
      <c r="D5136" s="198" t="s">
        <v>36607</v>
      </c>
      <c r="E5136" s="198">
        <v>121</v>
      </c>
      <c r="F5136" s="199" t="s">
        <v>36608</v>
      </c>
      <c r="G5136" s="1" t="s">
        <v>36609</v>
      </c>
      <c r="H5136" s="200"/>
      <c r="I5136" s="346"/>
      <c r="J5136" s="39">
        <v>116390</v>
      </c>
      <c r="K5136" s="36" t="str">
        <f>CONCATENATE(Cover!$D$6,"fdd/view?i=",J5136)</f>
        <v>https://www.dgiwg.org/FAD/fdd/view?i=116390</v>
      </c>
      <c r="L5136" s="36" t="s">
        <v>36610</v>
      </c>
      <c r="M5136" s="186"/>
      <c r="N5136" s="186"/>
      <c r="O5136" s="172"/>
    </row>
    <row r="5137" spans="1:15" x14ac:dyDescent="0.2">
      <c r="A5137" s="197" t="str">
        <f t="shared" si="80"/>
        <v>JatCode_rst_180</v>
      </c>
      <c r="B5137" s="409"/>
      <c r="C5137" s="416"/>
      <c r="D5137" s="198" t="s">
        <v>36611</v>
      </c>
      <c r="E5137" s="198">
        <v>157</v>
      </c>
      <c r="F5137" s="199" t="s">
        <v>36612</v>
      </c>
      <c r="G5137" s="1" t="s">
        <v>36613</v>
      </c>
      <c r="H5137" s="200"/>
      <c r="I5137" s="346"/>
      <c r="J5137" s="39">
        <v>116426</v>
      </c>
      <c r="K5137" s="36" t="str">
        <f>CONCATENATE(Cover!$D$6,"fdd/view?i=",J5137)</f>
        <v>https://www.dgiwg.org/FAD/fdd/view?i=116426</v>
      </c>
      <c r="L5137" s="36" t="s">
        <v>36614</v>
      </c>
      <c r="M5137" s="186"/>
      <c r="N5137" s="186"/>
      <c r="O5137" s="172"/>
    </row>
    <row r="5138" spans="1:15" x14ac:dyDescent="0.2">
      <c r="A5138" s="197" t="str">
        <f t="shared" si="80"/>
        <v>JatCode_sgnsc</v>
      </c>
      <c r="B5138" s="409"/>
      <c r="C5138" s="416"/>
      <c r="D5138" s="198" t="s">
        <v>36615</v>
      </c>
      <c r="E5138" s="198">
        <v>25</v>
      </c>
      <c r="F5138" s="199" t="s">
        <v>36616</v>
      </c>
      <c r="G5138" s="1" t="s">
        <v>36617</v>
      </c>
      <c r="H5138" s="200"/>
      <c r="I5138" s="346"/>
      <c r="J5138" s="39">
        <v>116294</v>
      </c>
      <c r="K5138" s="36" t="str">
        <f>CONCATENATE(Cover!$D$6,"fdd/view?i=",J5138)</f>
        <v>https://www.dgiwg.org/FAD/fdd/view?i=116294</v>
      </c>
      <c r="L5138" s="36" t="s">
        <v>36618</v>
      </c>
      <c r="M5138" s="186"/>
      <c r="N5138" s="186"/>
      <c r="O5138" s="172"/>
    </row>
    <row r="5139" spans="1:15" ht="38.25" x14ac:dyDescent="0.2">
      <c r="A5139" s="197" t="str">
        <f t="shared" si="80"/>
        <v>JatCode_st_22_28_PacAustNewZea</v>
      </c>
      <c r="B5139" s="409"/>
      <c r="C5139" s="416"/>
      <c r="D5139" s="198" t="s">
        <v>36619</v>
      </c>
      <c r="E5139" s="198">
        <v>122</v>
      </c>
      <c r="F5139" s="199" t="s">
        <v>36620</v>
      </c>
      <c r="G5139" s="1" t="s">
        <v>36621</v>
      </c>
      <c r="H5139" s="200"/>
      <c r="I5139" s="346"/>
      <c r="J5139" s="39">
        <v>116391</v>
      </c>
      <c r="K5139" s="36" t="str">
        <f>CONCATENATE(Cover!$D$6,"fdd/view?i=",J5139)</f>
        <v>https://www.dgiwg.org/FAD/fdd/view?i=116391</v>
      </c>
      <c r="L5139" s="36" t="s">
        <v>36622</v>
      </c>
      <c r="M5139" s="186"/>
      <c r="N5139" s="186"/>
      <c r="O5139" s="172"/>
    </row>
    <row r="5140" spans="1:15" ht="38.25" x14ac:dyDescent="0.2">
      <c r="A5140" s="197" t="str">
        <f t="shared" si="80"/>
        <v>JatCode_st_38_PacAustNewZea</v>
      </c>
      <c r="B5140" s="409"/>
      <c r="C5140" s="416"/>
      <c r="D5140" s="198" t="s">
        <v>36623</v>
      </c>
      <c r="E5140" s="198">
        <v>123</v>
      </c>
      <c r="F5140" s="199" t="s">
        <v>36624</v>
      </c>
      <c r="G5140" s="1" t="s">
        <v>36625</v>
      </c>
      <c r="H5140" s="200"/>
      <c r="I5140" s="346"/>
      <c r="J5140" s="39">
        <v>116392</v>
      </c>
      <c r="K5140" s="36" t="str">
        <f>CONCATENATE(Cover!$D$6,"fdd/view?i=",J5140)</f>
        <v>https://www.dgiwg.org/FAD/fdd/view?i=116392</v>
      </c>
      <c r="L5140" s="36" t="s">
        <v>36626</v>
      </c>
      <c r="M5140" s="186"/>
      <c r="N5140" s="186"/>
      <c r="O5140" s="172"/>
    </row>
    <row r="5141" spans="1:15" ht="38.25" x14ac:dyDescent="0.2">
      <c r="A5141" s="197" t="str">
        <f t="shared" si="80"/>
        <v>JatCode_st_45_PacAustNewZea</v>
      </c>
      <c r="B5141" s="409"/>
      <c r="C5141" s="416"/>
      <c r="D5141" s="198" t="s">
        <v>36627</v>
      </c>
      <c r="E5141" s="198">
        <v>124</v>
      </c>
      <c r="F5141" s="199" t="s">
        <v>36628</v>
      </c>
      <c r="G5141" s="1" t="s">
        <v>36629</v>
      </c>
      <c r="H5141" s="200"/>
      <c r="I5141" s="346"/>
      <c r="J5141" s="39">
        <v>116393</v>
      </c>
      <c r="K5141" s="36" t="str">
        <f>CONCATENATE(Cover!$D$6,"fdd/view?i=",J5141)</f>
        <v>https://www.dgiwg.org/FAD/fdd/view?i=116393</v>
      </c>
      <c r="L5141" s="36" t="s">
        <v>36630</v>
      </c>
      <c r="M5141" s="186"/>
      <c r="N5141" s="186"/>
      <c r="O5141" s="172"/>
    </row>
    <row r="5142" spans="1:15" ht="38.25" x14ac:dyDescent="0.2">
      <c r="A5142" s="197" t="str">
        <f t="shared" si="80"/>
        <v>JatCode_st_56_PacAustNewZea</v>
      </c>
      <c r="B5142" s="409"/>
      <c r="C5142" s="416"/>
      <c r="D5142" s="198" t="s">
        <v>36631</v>
      </c>
      <c r="E5142" s="198">
        <v>125</v>
      </c>
      <c r="F5142" s="199" t="s">
        <v>36632</v>
      </c>
      <c r="G5142" s="1" t="s">
        <v>36633</v>
      </c>
      <c r="H5142" s="200"/>
      <c r="I5142" s="346"/>
      <c r="J5142" s="39">
        <v>116394</v>
      </c>
      <c r="K5142" s="36" t="str">
        <f>CONCATENATE(Cover!$D$6,"fdd/view?i=",J5142)</f>
        <v>https://www.dgiwg.org/FAD/fdd/view?i=116394</v>
      </c>
      <c r="L5142" s="36" t="s">
        <v>36634</v>
      </c>
      <c r="M5142" s="186"/>
      <c r="N5142" s="186"/>
      <c r="O5142" s="172"/>
    </row>
    <row r="5143" spans="1:15" ht="38.25" x14ac:dyDescent="0.2">
      <c r="A5143" s="197" t="str">
        <f t="shared" si="80"/>
        <v>JatCode_st_60_PacAustNewZea</v>
      </c>
      <c r="B5143" s="409"/>
      <c r="C5143" s="416"/>
      <c r="D5143" s="198" t="s">
        <v>36635</v>
      </c>
      <c r="E5143" s="198">
        <v>126</v>
      </c>
      <c r="F5143" s="199" t="s">
        <v>36636</v>
      </c>
      <c r="G5143" s="1" t="s">
        <v>36637</v>
      </c>
      <c r="H5143" s="200"/>
      <c r="I5143" s="346"/>
      <c r="J5143" s="39">
        <v>116395</v>
      </c>
      <c r="K5143" s="36" t="str">
        <f>CONCATENATE(Cover!$D$6,"fdd/view?i=",J5143)</f>
        <v>https://www.dgiwg.org/FAD/fdd/view?i=116395</v>
      </c>
      <c r="L5143" s="36" t="s">
        <v>36638</v>
      </c>
      <c r="M5143" s="186"/>
      <c r="N5143" s="186"/>
      <c r="O5143" s="172"/>
    </row>
    <row r="5144" spans="1:15" ht="38.25" x14ac:dyDescent="0.2">
      <c r="A5144" s="197" t="str">
        <f t="shared" si="80"/>
        <v>JatCode_str_30_PacAustNewZea</v>
      </c>
      <c r="B5144" s="409"/>
      <c r="C5144" s="416"/>
      <c r="D5144" s="198" t="s">
        <v>36639</v>
      </c>
      <c r="E5144" s="198">
        <v>127</v>
      </c>
      <c r="F5144" s="199" t="s">
        <v>36640</v>
      </c>
      <c r="G5144" s="1" t="s">
        <v>36641</v>
      </c>
      <c r="H5144" s="200"/>
      <c r="I5144" s="346"/>
      <c r="J5144" s="39">
        <v>116396</v>
      </c>
      <c r="K5144" s="36" t="str">
        <f>CONCATENATE(Cover!$D$6,"fdd/view?i=",J5144)</f>
        <v>https://www.dgiwg.org/FAD/fdd/view?i=116396</v>
      </c>
      <c r="L5144" s="36" t="s">
        <v>36642</v>
      </c>
      <c r="M5144" s="186"/>
      <c r="N5144" s="186"/>
      <c r="O5144" s="172"/>
    </row>
    <row r="5145" spans="1:15" ht="38.25" x14ac:dyDescent="0.2">
      <c r="A5145" s="197" t="str">
        <f t="shared" si="80"/>
        <v>JatCode_str_45_PacAustNewZea</v>
      </c>
      <c r="B5145" s="409"/>
      <c r="C5145" s="416"/>
      <c r="D5145" s="198" t="s">
        <v>36643</v>
      </c>
      <c r="E5145" s="198">
        <v>128</v>
      </c>
      <c r="F5145" s="199" t="s">
        <v>36644</v>
      </c>
      <c r="G5145" s="1" t="s">
        <v>36645</v>
      </c>
      <c r="H5145" s="200"/>
      <c r="I5145" s="346"/>
      <c r="J5145" s="39">
        <v>116397</v>
      </c>
      <c r="K5145" s="36" t="str">
        <f>CONCATENATE(Cover!$D$6,"fdd/view?i=",J5145)</f>
        <v>https://www.dgiwg.org/FAD/fdd/view?i=116397</v>
      </c>
      <c r="L5145" s="36" t="s">
        <v>36646</v>
      </c>
      <c r="M5145" s="186"/>
      <c r="N5145" s="186"/>
      <c r="O5145" s="172"/>
    </row>
    <row r="5146" spans="1:15" x14ac:dyDescent="0.2">
      <c r="A5146" s="197" t="str">
        <f t="shared" si="80"/>
        <v>JatCode_tasu</v>
      </c>
      <c r="B5146" s="409"/>
      <c r="C5146" s="416"/>
      <c r="D5146" s="198" t="s">
        <v>36647</v>
      </c>
      <c r="E5146" s="198">
        <v>147</v>
      </c>
      <c r="F5146" s="199" t="s">
        <v>36648</v>
      </c>
      <c r="G5146" s="1" t="s">
        <v>36649</v>
      </c>
      <c r="H5146" s="200"/>
      <c r="I5146" s="346"/>
      <c r="J5146" s="39">
        <v>116416</v>
      </c>
      <c r="K5146" s="36" t="str">
        <f>CONCATENATE(Cover!$D$6,"fdd/view?i=",J5146)</f>
        <v>https://www.dgiwg.org/FAD/fdd/view?i=116416</v>
      </c>
      <c r="L5146" s="36" t="s">
        <v>36650</v>
      </c>
      <c r="M5146" s="186"/>
      <c r="N5146" s="186"/>
      <c r="O5146" s="172"/>
    </row>
    <row r="5147" spans="1:15" x14ac:dyDescent="0.2">
      <c r="A5147" s="197" t="str">
        <f t="shared" si="80"/>
        <v>JatCode_tc_50</v>
      </c>
      <c r="B5147" s="409"/>
      <c r="C5147" s="416"/>
      <c r="D5147" s="198" t="s">
        <v>36655</v>
      </c>
      <c r="E5147" s="198">
        <v>148</v>
      </c>
      <c r="F5147" s="199" t="s">
        <v>36656</v>
      </c>
      <c r="G5147" s="1" t="s">
        <v>36657</v>
      </c>
      <c r="H5147" s="200"/>
      <c r="I5147" s="346"/>
      <c r="J5147" s="39">
        <v>116417</v>
      </c>
      <c r="K5147" s="36" t="str">
        <f>CONCATENATE(Cover!$D$6,"fdd/view?i=",J5147)</f>
        <v>https://www.dgiwg.org/FAD/fdd/view?i=116417</v>
      </c>
      <c r="L5147" s="36" t="s">
        <v>36658</v>
      </c>
      <c r="M5147" s="186"/>
      <c r="N5147" s="186"/>
      <c r="O5147" s="172"/>
    </row>
    <row r="5148" spans="1:15" ht="25.5" x14ac:dyDescent="0.2">
      <c r="A5148" s="197" t="str">
        <f t="shared" si="80"/>
        <v>JatCode_tc1_PacAustNewZea</v>
      </c>
      <c r="B5148" s="409"/>
      <c r="C5148" s="416"/>
      <c r="D5148" s="198" t="s">
        <v>36651</v>
      </c>
      <c r="E5148" s="198">
        <v>129</v>
      </c>
      <c r="F5148" s="199" t="s">
        <v>36652</v>
      </c>
      <c r="G5148" s="1" t="s">
        <v>36653</v>
      </c>
      <c r="H5148" s="200"/>
      <c r="I5148" s="346"/>
      <c r="J5148" s="39">
        <v>116398</v>
      </c>
      <c r="K5148" s="36" t="str">
        <f>CONCATENATE(Cover!$D$6,"fdd/view?i=",J5148)</f>
        <v>https://www.dgiwg.org/FAD/fdd/view?i=116398</v>
      </c>
      <c r="L5148" s="36" t="s">
        <v>36654</v>
      </c>
      <c r="M5148" s="186"/>
      <c r="N5148" s="186"/>
      <c r="O5148" s="172"/>
    </row>
    <row r="5149" spans="1:15" ht="38.25" x14ac:dyDescent="0.2">
      <c r="A5149" s="197" t="str">
        <f t="shared" si="80"/>
        <v>JatCode_u1000_PacAustNewZea</v>
      </c>
      <c r="B5149" s="409"/>
      <c r="C5149" s="416"/>
      <c r="D5149" s="198" t="s">
        <v>36659</v>
      </c>
      <c r="E5149" s="198">
        <v>130</v>
      </c>
      <c r="F5149" s="199" t="s">
        <v>36660</v>
      </c>
      <c r="G5149" s="1" t="s">
        <v>36661</v>
      </c>
      <c r="H5149" s="200"/>
      <c r="I5149" s="346"/>
      <c r="J5149" s="39">
        <v>116399</v>
      </c>
      <c r="K5149" s="36" t="str">
        <f>CONCATENATE(Cover!$D$6,"fdd/view?i=",J5149)</f>
        <v>https://www.dgiwg.org/FAD/fdd/view?i=116399</v>
      </c>
      <c r="L5149" s="36" t="s">
        <v>36662</v>
      </c>
      <c r="M5149" s="186"/>
      <c r="N5149" s="186"/>
      <c r="O5149" s="172"/>
    </row>
    <row r="5150" spans="1:15" ht="38.25" x14ac:dyDescent="0.2">
      <c r="A5150" s="197" t="str">
        <f t="shared" si="80"/>
        <v>JatCode_u1003_PacAustNewZea</v>
      </c>
      <c r="B5150" s="409"/>
      <c r="C5150" s="416"/>
      <c r="D5150" s="198" t="s">
        <v>36663</v>
      </c>
      <c r="E5150" s="198">
        <v>131</v>
      </c>
      <c r="F5150" s="199" t="s">
        <v>36664</v>
      </c>
      <c r="G5150" s="1" t="s">
        <v>36661</v>
      </c>
      <c r="H5150" s="200"/>
      <c r="I5150" s="346"/>
      <c r="J5150" s="39">
        <v>116400</v>
      </c>
      <c r="K5150" s="36" t="str">
        <f>CONCATENATE(Cover!$D$6,"fdd/view?i=",J5150)</f>
        <v>https://www.dgiwg.org/FAD/fdd/view?i=116400</v>
      </c>
      <c r="L5150" s="36" t="s">
        <v>36665</v>
      </c>
      <c r="M5150" s="186"/>
      <c r="N5150" s="186"/>
      <c r="O5150" s="172"/>
    </row>
    <row r="5151" spans="1:15" ht="25.5" x14ac:dyDescent="0.2">
      <c r="A5151" s="203" t="str">
        <f t="shared" si="80"/>
        <v>JatCode_wellsAirStart</v>
      </c>
      <c r="B5151" s="410"/>
      <c r="C5151" s="417"/>
      <c r="D5151" s="204" t="s">
        <v>36666</v>
      </c>
      <c r="E5151" s="204">
        <v>38</v>
      </c>
      <c r="F5151" s="205" t="s">
        <v>36667</v>
      </c>
      <c r="G5151" s="206" t="s">
        <v>36668</v>
      </c>
      <c r="H5151" s="207"/>
      <c r="I5151" s="347"/>
      <c r="J5151" s="39">
        <v>116307</v>
      </c>
      <c r="K5151" s="36" t="str">
        <f>CONCATENATE(Cover!$D$6,"fdd/view?i=",J5151)</f>
        <v>https://www.dgiwg.org/FAD/fdd/view?i=116307</v>
      </c>
      <c r="L5151" s="36" t="s">
        <v>36669</v>
      </c>
      <c r="M5151" s="186"/>
      <c r="N5151" s="186"/>
      <c r="O5151" s="172"/>
    </row>
    <row r="5152" spans="1:15" ht="25.5" x14ac:dyDescent="0.2">
      <c r="A5152" s="190" t="str">
        <f t="shared" si="80"/>
        <v>LmtCode_antiAircraft</v>
      </c>
      <c r="B5152" s="414" t="str">
        <f>HYPERLINK("[#]Datatypes!A798:L798","LmtCode")</f>
        <v>LmtCode</v>
      </c>
      <c r="C5152" s="415" t="s">
        <v>15388</v>
      </c>
      <c r="D5152" s="221" t="s">
        <v>36670</v>
      </c>
      <c r="E5152" s="221">
        <v>8</v>
      </c>
      <c r="F5152" s="222" t="s">
        <v>36671</v>
      </c>
      <c r="G5152" s="223" t="s">
        <v>36672</v>
      </c>
      <c r="H5152" s="223" t="s">
        <v>36673</v>
      </c>
      <c r="I5152" s="345"/>
      <c r="J5152" s="39">
        <v>118517</v>
      </c>
      <c r="K5152" s="36" t="str">
        <f>CONCATENATE(Cover!$D$6,"fdd/view?i=",J5152)</f>
        <v>https://www.dgiwg.org/FAD/fdd/view?i=118517</v>
      </c>
      <c r="L5152" s="36" t="s">
        <v>36674</v>
      </c>
      <c r="M5152" s="186"/>
      <c r="N5152" s="186"/>
      <c r="O5152" s="172"/>
    </row>
    <row r="5153" spans="1:15" ht="25.5" x14ac:dyDescent="0.2">
      <c r="A5153" s="197" t="str">
        <f t="shared" si="80"/>
        <v>LmtCode_antiBoat</v>
      </c>
      <c r="B5153" s="409"/>
      <c r="C5153" s="416"/>
      <c r="D5153" s="198" t="s">
        <v>36675</v>
      </c>
      <c r="E5153" s="198">
        <v>9</v>
      </c>
      <c r="F5153" s="199" t="s">
        <v>36676</v>
      </c>
      <c r="G5153" s="1" t="s">
        <v>36677</v>
      </c>
      <c r="H5153" s="1" t="s">
        <v>36678</v>
      </c>
      <c r="I5153" s="346"/>
      <c r="J5153" s="39">
        <v>118518</v>
      </c>
      <c r="K5153" s="36" t="str">
        <f>CONCATENATE(Cover!$D$6,"fdd/view?i=",J5153)</f>
        <v>https://www.dgiwg.org/FAD/fdd/view?i=118518</v>
      </c>
      <c r="L5153" s="36" t="s">
        <v>36679</v>
      </c>
      <c r="M5153" s="186"/>
      <c r="N5153" s="186"/>
      <c r="O5153" s="172"/>
    </row>
    <row r="5154" spans="1:15" ht="25.5" x14ac:dyDescent="0.2">
      <c r="A5154" s="197" t="str">
        <f t="shared" si="80"/>
        <v>LmtCode_antiPersonnel</v>
      </c>
      <c r="B5154" s="409"/>
      <c r="C5154" s="416"/>
      <c r="D5154" s="198" t="s">
        <v>36680</v>
      </c>
      <c r="E5154" s="198">
        <v>2</v>
      </c>
      <c r="F5154" s="199" t="s">
        <v>36681</v>
      </c>
      <c r="G5154" s="1" t="s">
        <v>36682</v>
      </c>
      <c r="H5154" s="200"/>
      <c r="I5154" s="346"/>
      <c r="J5154" s="39">
        <v>104904</v>
      </c>
      <c r="K5154" s="36" t="str">
        <f>CONCATENATE(Cover!$D$6,"fdd/view?i=",J5154)</f>
        <v>https://www.dgiwg.org/FAD/fdd/view?i=104904</v>
      </c>
      <c r="L5154" s="36" t="s">
        <v>36683</v>
      </c>
      <c r="M5154" s="186"/>
      <c r="N5154" s="186"/>
      <c r="O5154" s="172"/>
    </row>
    <row r="5155" spans="1:15" ht="25.5" x14ac:dyDescent="0.2">
      <c r="A5155" s="197" t="str">
        <f t="shared" si="80"/>
        <v>LmtCode_antiTank</v>
      </c>
      <c r="B5155" s="409"/>
      <c r="C5155" s="416"/>
      <c r="D5155" s="198" t="s">
        <v>36684</v>
      </c>
      <c r="E5155" s="198">
        <v>1</v>
      </c>
      <c r="F5155" s="199" t="s">
        <v>36685</v>
      </c>
      <c r="G5155" s="1" t="s">
        <v>36686</v>
      </c>
      <c r="H5155" s="200"/>
      <c r="I5155" s="346"/>
      <c r="J5155" s="39">
        <v>104903</v>
      </c>
      <c r="K5155" s="36" t="str">
        <f>CONCATENATE(Cover!$D$6,"fdd/view?i=",J5155)</f>
        <v>https://www.dgiwg.org/FAD/fdd/view?i=104903</v>
      </c>
      <c r="L5155" s="36" t="s">
        <v>36687</v>
      </c>
      <c r="M5155" s="186"/>
      <c r="N5155" s="186"/>
      <c r="O5155" s="172"/>
    </row>
    <row r="5156" spans="1:15" ht="51" x14ac:dyDescent="0.2">
      <c r="A5156" s="197" t="str">
        <f t="shared" si="80"/>
        <v>LmtCode_antiTankSmart</v>
      </c>
      <c r="B5156" s="409"/>
      <c r="C5156" s="416"/>
      <c r="D5156" s="198" t="s">
        <v>36688</v>
      </c>
      <c r="E5156" s="198">
        <v>5</v>
      </c>
      <c r="F5156" s="199" t="s">
        <v>36689</v>
      </c>
      <c r="G5156" s="1" t="s">
        <v>36690</v>
      </c>
      <c r="H5156" s="1" t="s">
        <v>36691</v>
      </c>
      <c r="I5156" s="346"/>
      <c r="J5156" s="39">
        <v>110219</v>
      </c>
      <c r="K5156" s="36" t="str">
        <f>CONCATENATE(Cover!$D$6,"fdd/view?i=",J5156)</f>
        <v>https://www.dgiwg.org/FAD/fdd/view?i=110219</v>
      </c>
      <c r="L5156" s="36" t="s">
        <v>36692</v>
      </c>
      <c r="M5156" s="186"/>
      <c r="N5156" s="186"/>
      <c r="O5156" s="172"/>
    </row>
    <row r="5157" spans="1:15" x14ac:dyDescent="0.2">
      <c r="A5157" s="197" t="str">
        <f t="shared" si="80"/>
        <v>LmtCode_decoy</v>
      </c>
      <c r="B5157" s="409"/>
      <c r="C5157" s="416"/>
      <c r="D5157" s="198" t="s">
        <v>36693</v>
      </c>
      <c r="E5157" s="198">
        <v>6</v>
      </c>
      <c r="F5157" s="199" t="s">
        <v>36694</v>
      </c>
      <c r="G5157" s="1" t="s">
        <v>36695</v>
      </c>
      <c r="H5157" s="1" t="s">
        <v>36696</v>
      </c>
      <c r="I5157" s="346"/>
      <c r="J5157" s="39">
        <v>110220</v>
      </c>
      <c r="K5157" s="36" t="str">
        <f>CONCATENATE(Cover!$D$6,"fdd/view?i=",J5157)</f>
        <v>https://www.dgiwg.org/FAD/fdd/view?i=110220</v>
      </c>
      <c r="L5157" s="36" t="s">
        <v>36697</v>
      </c>
      <c r="M5157" s="186"/>
      <c r="N5157" s="186"/>
      <c r="O5157" s="172"/>
    </row>
    <row r="5158" spans="1:15" ht="25.5" x14ac:dyDescent="0.2">
      <c r="A5158" s="197" t="str">
        <f t="shared" si="80"/>
        <v>LmtCode_dualAntiTankAntiPersonnel</v>
      </c>
      <c r="B5158" s="409"/>
      <c r="C5158" s="416"/>
      <c r="D5158" s="198" t="s">
        <v>36698</v>
      </c>
      <c r="E5158" s="198">
        <v>3</v>
      </c>
      <c r="F5158" s="199" t="s">
        <v>36699</v>
      </c>
      <c r="G5158" s="1" t="s">
        <v>36700</v>
      </c>
      <c r="H5158" s="200"/>
      <c r="I5158" s="346"/>
      <c r="J5158" s="39">
        <v>104905</v>
      </c>
      <c r="K5158" s="36" t="str">
        <f>CONCATENATE(Cover!$D$6,"fdd/view?i=",J5158)</f>
        <v>https://www.dgiwg.org/FAD/fdd/view?i=104905</v>
      </c>
      <c r="L5158" s="36" t="s">
        <v>36701</v>
      </c>
      <c r="M5158" s="186"/>
      <c r="N5158" s="186"/>
      <c r="O5158" s="172"/>
    </row>
    <row r="5159" spans="1:15" x14ac:dyDescent="0.2">
      <c r="A5159" s="197" t="str">
        <f t="shared" si="80"/>
        <v>LmtCode_practice</v>
      </c>
      <c r="B5159" s="409"/>
      <c r="C5159" s="416"/>
      <c r="D5159" s="198" t="s">
        <v>36702</v>
      </c>
      <c r="E5159" s="198">
        <v>4</v>
      </c>
      <c r="F5159" s="199" t="s">
        <v>36703</v>
      </c>
      <c r="G5159" s="1" t="s">
        <v>36704</v>
      </c>
      <c r="H5159" s="200"/>
      <c r="I5159" s="346"/>
      <c r="J5159" s="39">
        <v>104906</v>
      </c>
      <c r="K5159" s="36" t="str">
        <f>CONCATENATE(Cover!$D$6,"fdd/view?i=",J5159)</f>
        <v>https://www.dgiwg.org/FAD/fdd/view?i=104906</v>
      </c>
      <c r="L5159" s="36" t="s">
        <v>36705</v>
      </c>
      <c r="M5159" s="186"/>
      <c r="N5159" s="186"/>
      <c r="O5159" s="172"/>
    </row>
    <row r="5160" spans="1:15" ht="38.25" x14ac:dyDescent="0.2">
      <c r="A5160" s="203" t="str">
        <f t="shared" si="80"/>
        <v>LmtCode_wideArea</v>
      </c>
      <c r="B5160" s="410"/>
      <c r="C5160" s="417"/>
      <c r="D5160" s="204" t="s">
        <v>36706</v>
      </c>
      <c r="E5160" s="204">
        <v>7</v>
      </c>
      <c r="F5160" s="205" t="s">
        <v>36707</v>
      </c>
      <c r="G5160" s="206" t="s">
        <v>36708</v>
      </c>
      <c r="H5160" s="207"/>
      <c r="I5160" s="347"/>
      <c r="J5160" s="39">
        <v>110221</v>
      </c>
      <c r="K5160" s="36" t="str">
        <f>CONCATENATE(Cover!$D$6,"fdd/view?i=",J5160)</f>
        <v>https://www.dgiwg.org/FAD/fdd/view?i=110221</v>
      </c>
      <c r="L5160" s="36" t="s">
        <v>36709</v>
      </c>
      <c r="M5160" s="186"/>
      <c r="N5160" s="186"/>
      <c r="O5160" s="172"/>
    </row>
    <row r="5161" spans="1:15" ht="25.5" x14ac:dyDescent="0.2">
      <c r="A5161" s="190" t="str">
        <f t="shared" si="80"/>
        <v>PrlCode_agricultureExpansion</v>
      </c>
      <c r="B5161" s="414" t="str">
        <f>HYPERLINK("[#]Datatypes!A800:L800","PrlCode")</f>
        <v>PrlCode</v>
      </c>
      <c r="C5161" s="415" t="s">
        <v>15390</v>
      </c>
      <c r="D5161" s="221" t="s">
        <v>36710</v>
      </c>
      <c r="E5161" s="221">
        <v>2</v>
      </c>
      <c r="F5161" s="222" t="s">
        <v>36711</v>
      </c>
      <c r="G5161" s="223" t="s">
        <v>36712</v>
      </c>
      <c r="H5161" s="224"/>
      <c r="I5161" s="345"/>
      <c r="J5161" s="39">
        <v>113628</v>
      </c>
      <c r="K5161" s="36" t="str">
        <f>CONCATENATE(Cover!$D$6,"fdd/view?i=",J5161)</f>
        <v>https://www.dgiwg.org/FAD/fdd/view?i=113628</v>
      </c>
      <c r="L5161" s="36" t="s">
        <v>36713</v>
      </c>
      <c r="M5161" s="186"/>
      <c r="N5161" s="186"/>
      <c r="O5161" s="172"/>
    </row>
    <row r="5162" spans="1:15" ht="25.5" x14ac:dyDescent="0.2">
      <c r="A5162" s="197" t="str">
        <f t="shared" si="80"/>
        <v>PrlCode_residentialAreaExpansion</v>
      </c>
      <c r="B5162" s="409"/>
      <c r="C5162" s="416"/>
      <c r="D5162" s="198" t="s">
        <v>36714</v>
      </c>
      <c r="E5162" s="198">
        <v>1</v>
      </c>
      <c r="F5162" s="199" t="s">
        <v>36715</v>
      </c>
      <c r="G5162" s="1" t="s">
        <v>36716</v>
      </c>
      <c r="H5162" s="200"/>
      <c r="I5162" s="346"/>
      <c r="J5162" s="39">
        <v>113627</v>
      </c>
      <c r="K5162" s="36" t="str">
        <f>CONCATENATE(Cover!$D$6,"fdd/view?i=",J5162)</f>
        <v>https://www.dgiwg.org/FAD/fdd/view?i=113627</v>
      </c>
      <c r="L5162" s="36" t="s">
        <v>36717</v>
      </c>
      <c r="M5162" s="186"/>
      <c r="N5162" s="186"/>
      <c r="O5162" s="172"/>
    </row>
    <row r="5163" spans="1:15" ht="25.5" x14ac:dyDescent="0.2">
      <c r="A5163" s="203" t="str">
        <f t="shared" si="80"/>
        <v>PrlCode_transportExpansion</v>
      </c>
      <c r="B5163" s="410"/>
      <c r="C5163" s="417"/>
      <c r="D5163" s="204" t="s">
        <v>36718</v>
      </c>
      <c r="E5163" s="204">
        <v>3</v>
      </c>
      <c r="F5163" s="205" t="s">
        <v>36719</v>
      </c>
      <c r="G5163" s="206" t="s">
        <v>36720</v>
      </c>
      <c r="H5163" s="207"/>
      <c r="I5163" s="347"/>
      <c r="J5163" s="39">
        <v>113629</v>
      </c>
      <c r="K5163" s="36" t="str">
        <f>CONCATENATE(Cover!$D$6,"fdd/view?i=",J5163)</f>
        <v>https://www.dgiwg.org/FAD/fdd/view?i=113629</v>
      </c>
      <c r="L5163" s="36" t="s">
        <v>36721</v>
      </c>
      <c r="M5163" s="186"/>
      <c r="N5163" s="186"/>
      <c r="O5163" s="172"/>
    </row>
    <row r="5164" spans="1:15" x14ac:dyDescent="0.2">
      <c r="A5164" s="190" t="str">
        <f t="shared" si="80"/>
        <v>AtpCode_archipelago</v>
      </c>
      <c r="B5164" s="414" t="str">
        <f>HYPERLINK("[#]Datatypes!A802:L802","AtpCode")</f>
        <v>AtpCode</v>
      </c>
      <c r="C5164" s="415" t="s">
        <v>15392</v>
      </c>
      <c r="D5164" s="221" t="s">
        <v>36722</v>
      </c>
      <c r="E5164" s="221">
        <v>10</v>
      </c>
      <c r="F5164" s="222" t="s">
        <v>36723</v>
      </c>
      <c r="G5164" s="223" t="s">
        <v>36724</v>
      </c>
      <c r="H5164" s="224"/>
      <c r="I5164" s="345"/>
      <c r="J5164" s="39">
        <v>112978</v>
      </c>
      <c r="K5164" s="36" t="str">
        <f>CONCATENATE(Cover!$D$6,"fdd/view?i=",J5164)</f>
        <v>https://www.dgiwg.org/FAD/fdd/view?i=112978</v>
      </c>
      <c r="L5164" s="36" t="s">
        <v>36725</v>
      </c>
      <c r="M5164" s="186"/>
      <c r="N5164" s="186"/>
      <c r="O5164" s="172"/>
    </row>
    <row r="5165" spans="1:15" ht="38.25" x14ac:dyDescent="0.2">
      <c r="A5165" s="197" t="str">
        <f t="shared" si="80"/>
        <v>AtpCode_badlands</v>
      </c>
      <c r="B5165" s="409"/>
      <c r="C5165" s="416"/>
      <c r="D5165" s="198" t="s">
        <v>36726</v>
      </c>
      <c r="E5165" s="198">
        <v>38</v>
      </c>
      <c r="F5165" s="199" t="s">
        <v>36727</v>
      </c>
      <c r="G5165" s="1" t="s">
        <v>36728</v>
      </c>
      <c r="H5165" s="200"/>
      <c r="I5165" s="346"/>
      <c r="J5165" s="39">
        <v>112988</v>
      </c>
      <c r="K5165" s="36" t="str">
        <f>CONCATENATE(Cover!$D$6,"fdd/view?i=",J5165)</f>
        <v>https://www.dgiwg.org/FAD/fdd/view?i=112988</v>
      </c>
      <c r="L5165" s="36" t="s">
        <v>36729</v>
      </c>
      <c r="M5165" s="186"/>
      <c r="N5165" s="186"/>
      <c r="O5165" s="172"/>
    </row>
    <row r="5166" spans="1:15" ht="25.5" x14ac:dyDescent="0.2">
      <c r="A5166" s="197" t="str">
        <f t="shared" si="80"/>
        <v>AtpCode_bogArea</v>
      </c>
      <c r="B5166" s="409"/>
      <c r="C5166" s="416"/>
      <c r="D5166" s="198" t="s">
        <v>36730</v>
      </c>
      <c r="E5166" s="198">
        <v>12</v>
      </c>
      <c r="F5166" s="199" t="s">
        <v>36731</v>
      </c>
      <c r="G5166" s="1" t="s">
        <v>2281</v>
      </c>
      <c r="H5166" s="1" t="s">
        <v>23571</v>
      </c>
      <c r="I5166" s="346"/>
      <c r="J5166" s="39">
        <v>118449</v>
      </c>
      <c r="K5166" s="36" t="str">
        <f>CONCATENATE(Cover!$D$6,"fdd/view?i=",J5166)</f>
        <v>https://www.dgiwg.org/FAD/fdd/view?i=118449</v>
      </c>
      <c r="L5166" s="36" t="s">
        <v>36732</v>
      </c>
      <c r="M5166" s="186"/>
      <c r="N5166" s="186"/>
      <c r="O5166" s="172"/>
    </row>
    <row r="5167" spans="1:15" x14ac:dyDescent="0.2">
      <c r="A5167" s="197" t="str">
        <f t="shared" si="80"/>
        <v>AtpCode_coast</v>
      </c>
      <c r="B5167" s="409"/>
      <c r="C5167" s="416"/>
      <c r="D5167" s="198" t="s">
        <v>36733</v>
      </c>
      <c r="E5167" s="198">
        <v>39</v>
      </c>
      <c r="F5167" s="199" t="s">
        <v>36734</v>
      </c>
      <c r="G5167" s="1" t="s">
        <v>36735</v>
      </c>
      <c r="H5167" s="1" t="s">
        <v>36736</v>
      </c>
      <c r="I5167" s="346"/>
      <c r="J5167" s="39">
        <v>112989</v>
      </c>
      <c r="K5167" s="36" t="str">
        <f>CONCATENATE(Cover!$D$6,"fdd/view?i=",J5167)</f>
        <v>https://www.dgiwg.org/FAD/fdd/view?i=112989</v>
      </c>
      <c r="L5167" s="36" t="s">
        <v>36737</v>
      </c>
      <c r="M5167" s="186"/>
      <c r="N5167" s="186"/>
      <c r="O5167" s="172"/>
    </row>
    <row r="5168" spans="1:15" x14ac:dyDescent="0.2">
      <c r="A5168" s="197" t="str">
        <f t="shared" si="80"/>
        <v>AtpCode_depression</v>
      </c>
      <c r="B5168" s="409"/>
      <c r="C5168" s="416"/>
      <c r="D5168" s="198" t="s">
        <v>36738</v>
      </c>
      <c r="E5168" s="198">
        <v>3</v>
      </c>
      <c r="F5168" s="199" t="s">
        <v>2747</v>
      </c>
      <c r="G5168" s="1" t="s">
        <v>36739</v>
      </c>
      <c r="H5168" s="200"/>
      <c r="I5168" s="346"/>
      <c r="J5168" s="39">
        <v>112972</v>
      </c>
      <c r="K5168" s="36" t="str">
        <f>CONCATENATE(Cover!$D$6,"fdd/view?i=",J5168)</f>
        <v>https://www.dgiwg.org/FAD/fdd/view?i=112972</v>
      </c>
      <c r="L5168" s="36" t="s">
        <v>36740</v>
      </c>
      <c r="M5168" s="186"/>
      <c r="N5168" s="186"/>
      <c r="O5168" s="172"/>
    </row>
    <row r="5169" spans="1:15" x14ac:dyDescent="0.2">
      <c r="A5169" s="197" t="str">
        <f t="shared" si="80"/>
        <v>AtpCode_desert</v>
      </c>
      <c r="B5169" s="409"/>
      <c r="C5169" s="416"/>
      <c r="D5169" s="198" t="s">
        <v>36741</v>
      </c>
      <c r="E5169" s="198">
        <v>52</v>
      </c>
      <c r="F5169" s="199" t="s">
        <v>2764</v>
      </c>
      <c r="G5169" s="1" t="s">
        <v>2766</v>
      </c>
      <c r="H5169" s="200"/>
      <c r="I5169" s="346"/>
      <c r="J5169" s="39">
        <v>118453</v>
      </c>
      <c r="K5169" s="36" t="str">
        <f>CONCATENATE(Cover!$D$6,"fdd/view?i=",J5169)</f>
        <v>https://www.dgiwg.org/FAD/fdd/view?i=118453</v>
      </c>
      <c r="L5169" s="36" t="s">
        <v>36742</v>
      </c>
      <c r="M5169" s="186"/>
      <c r="N5169" s="186"/>
      <c r="O5169" s="172"/>
    </row>
    <row r="5170" spans="1:15" ht="25.5" x14ac:dyDescent="0.2">
      <c r="A5170" s="197" t="str">
        <f t="shared" si="80"/>
        <v>AtpCode_duneArea</v>
      </c>
      <c r="B5170" s="409"/>
      <c r="C5170" s="416"/>
      <c r="D5170" s="198" t="s">
        <v>36743</v>
      </c>
      <c r="E5170" s="198">
        <v>8</v>
      </c>
      <c r="F5170" s="199" t="s">
        <v>36744</v>
      </c>
      <c r="G5170" s="1" t="s">
        <v>36745</v>
      </c>
      <c r="H5170" s="200"/>
      <c r="I5170" s="346"/>
      <c r="J5170" s="39">
        <v>112977</v>
      </c>
      <c r="K5170" s="36" t="str">
        <f>CONCATENATE(Cover!$D$6,"fdd/view?i=",J5170)</f>
        <v>https://www.dgiwg.org/FAD/fdd/view?i=112977</v>
      </c>
      <c r="L5170" s="36" t="s">
        <v>36746</v>
      </c>
      <c r="M5170" s="186"/>
      <c r="N5170" s="186"/>
      <c r="O5170" s="172"/>
    </row>
    <row r="5171" spans="1:15" ht="25.5" x14ac:dyDescent="0.2">
      <c r="A5171" s="197" t="str">
        <f t="shared" si="80"/>
        <v>AtpCode_glacierArea</v>
      </c>
      <c r="B5171" s="409"/>
      <c r="C5171" s="416"/>
      <c r="D5171" s="198" t="s">
        <v>36747</v>
      </c>
      <c r="E5171" s="198">
        <v>29</v>
      </c>
      <c r="F5171" s="199" t="s">
        <v>36748</v>
      </c>
      <c r="G5171" s="1" t="s">
        <v>36749</v>
      </c>
      <c r="H5171" s="200"/>
      <c r="I5171" s="346"/>
      <c r="J5171" s="39">
        <v>112986</v>
      </c>
      <c r="K5171" s="36" t="str">
        <f>CONCATENATE(Cover!$D$6,"fdd/view?i=",J5171)</f>
        <v>https://www.dgiwg.org/FAD/fdd/view?i=112986</v>
      </c>
      <c r="L5171" s="36" t="s">
        <v>36750</v>
      </c>
      <c r="M5171" s="186"/>
      <c r="N5171" s="186"/>
      <c r="O5171" s="172"/>
    </row>
    <row r="5172" spans="1:15" ht="25.5" x14ac:dyDescent="0.2">
      <c r="A5172" s="197" t="str">
        <f t="shared" si="80"/>
        <v>AtpCode_headland</v>
      </c>
      <c r="B5172" s="409"/>
      <c r="C5172" s="416"/>
      <c r="D5172" s="198" t="s">
        <v>36751</v>
      </c>
      <c r="E5172" s="198">
        <v>40</v>
      </c>
      <c r="F5172" s="199" t="s">
        <v>36752</v>
      </c>
      <c r="G5172" s="1" t="s">
        <v>36753</v>
      </c>
      <c r="H5172" s="200"/>
      <c r="I5172" s="346"/>
      <c r="J5172" s="39">
        <v>112990</v>
      </c>
      <c r="K5172" s="36" t="str">
        <f>CONCATENATE(Cover!$D$6,"fdd/view?i=",J5172)</f>
        <v>https://www.dgiwg.org/FAD/fdd/view?i=112990</v>
      </c>
      <c r="L5172" s="36" t="s">
        <v>36754</v>
      </c>
      <c r="M5172" s="186"/>
      <c r="N5172" s="186"/>
      <c r="O5172" s="172"/>
    </row>
    <row r="5173" spans="1:15" ht="25.5" x14ac:dyDescent="0.2">
      <c r="A5173" s="197" t="str">
        <f t="shared" si="80"/>
        <v>AtpCode_heathland</v>
      </c>
      <c r="B5173" s="409"/>
      <c r="C5173" s="416"/>
      <c r="D5173" s="198" t="s">
        <v>36755</v>
      </c>
      <c r="E5173" s="198">
        <v>13</v>
      </c>
      <c r="F5173" s="199" t="s">
        <v>3467</v>
      </c>
      <c r="G5173" s="1" t="s">
        <v>36756</v>
      </c>
      <c r="H5173" s="200"/>
      <c r="I5173" s="346"/>
      <c r="J5173" s="39">
        <v>118450</v>
      </c>
      <c r="K5173" s="36" t="str">
        <f>CONCATENATE(Cover!$D$6,"fdd/view?i=",J5173)</f>
        <v>https://www.dgiwg.org/FAD/fdd/view?i=118450</v>
      </c>
      <c r="L5173" s="36" t="s">
        <v>36757</v>
      </c>
      <c r="M5173" s="186"/>
      <c r="N5173" s="186"/>
      <c r="O5173" s="172"/>
    </row>
    <row r="5174" spans="1:15" x14ac:dyDescent="0.2">
      <c r="A5174" s="197" t="str">
        <f t="shared" si="80"/>
        <v>AtpCode_highlandPlain</v>
      </c>
      <c r="B5174" s="409"/>
      <c r="C5174" s="416"/>
      <c r="D5174" s="198" t="s">
        <v>36762</v>
      </c>
      <c r="E5174" s="198">
        <v>6</v>
      </c>
      <c r="F5174" s="199" t="s">
        <v>36763</v>
      </c>
      <c r="G5174" s="1" t="s">
        <v>36764</v>
      </c>
      <c r="H5174" s="200"/>
      <c r="I5174" s="351" t="s">
        <v>36765</v>
      </c>
      <c r="J5174" s="39">
        <v>112975</v>
      </c>
      <c r="K5174" s="36" t="str">
        <f>CONCATENATE(Cover!$D$6,"fdd/view?i=",J5174)</f>
        <v>https://www.dgiwg.org/FAD/fdd/view?i=112975</v>
      </c>
      <c r="L5174" s="36" t="s">
        <v>36766</v>
      </c>
      <c r="M5174" s="186"/>
      <c r="N5174" s="186"/>
      <c r="O5174" s="172"/>
    </row>
    <row r="5175" spans="1:15" ht="25.5" x14ac:dyDescent="0.2">
      <c r="A5175" s="197" t="str">
        <f t="shared" si="80"/>
        <v>AtpCode_highMountains</v>
      </c>
      <c r="B5175" s="409"/>
      <c r="C5175" s="416"/>
      <c r="D5175" s="198" t="s">
        <v>36758</v>
      </c>
      <c r="E5175" s="198">
        <v>15</v>
      </c>
      <c r="F5175" s="199" t="s">
        <v>36759</v>
      </c>
      <c r="G5175" s="1" t="s">
        <v>36760</v>
      </c>
      <c r="H5175" s="200"/>
      <c r="I5175" s="346"/>
      <c r="J5175" s="39">
        <v>112981</v>
      </c>
      <c r="K5175" s="36" t="str">
        <f>CONCATENATE(Cover!$D$6,"fdd/view?i=",J5175)</f>
        <v>https://www.dgiwg.org/FAD/fdd/view?i=112981</v>
      </c>
      <c r="L5175" s="36" t="s">
        <v>36761</v>
      </c>
      <c r="M5175" s="186"/>
      <c r="N5175" s="186"/>
      <c r="O5175" s="172"/>
    </row>
    <row r="5176" spans="1:15" ht="25.5" x14ac:dyDescent="0.2">
      <c r="A5176" s="197" t="str">
        <f t="shared" si="80"/>
        <v>AtpCode_hillCountry</v>
      </c>
      <c r="B5176" s="409"/>
      <c r="C5176" s="416"/>
      <c r="D5176" s="198" t="s">
        <v>36767</v>
      </c>
      <c r="E5176" s="198">
        <v>20</v>
      </c>
      <c r="F5176" s="199" t="s">
        <v>36768</v>
      </c>
      <c r="G5176" s="1" t="s">
        <v>36769</v>
      </c>
      <c r="H5176" s="200"/>
      <c r="I5176" s="346"/>
      <c r="J5176" s="39">
        <v>112983</v>
      </c>
      <c r="K5176" s="36" t="str">
        <f>CONCATENATE(Cover!$D$6,"fdd/view?i=",J5176)</f>
        <v>https://www.dgiwg.org/FAD/fdd/view?i=112983</v>
      </c>
      <c r="L5176" s="36" t="s">
        <v>36770</v>
      </c>
      <c r="M5176" s="186"/>
      <c r="N5176" s="186"/>
      <c r="O5176" s="172"/>
    </row>
    <row r="5177" spans="1:15" ht="25.5" x14ac:dyDescent="0.2">
      <c r="A5177" s="197" t="str">
        <f t="shared" si="80"/>
        <v>AtpCode_karst</v>
      </c>
      <c r="B5177" s="409"/>
      <c r="C5177" s="416"/>
      <c r="D5177" s="198" t="s">
        <v>22331</v>
      </c>
      <c r="E5177" s="198">
        <v>54</v>
      </c>
      <c r="F5177" s="199" t="s">
        <v>22332</v>
      </c>
      <c r="G5177" s="1" t="s">
        <v>36771</v>
      </c>
      <c r="H5177" s="200"/>
      <c r="I5177" s="346"/>
      <c r="J5177" s="39">
        <v>118455</v>
      </c>
      <c r="K5177" s="36" t="str">
        <f>CONCATENATE(Cover!$D$6,"fdd/view?i=",J5177)</f>
        <v>https://www.dgiwg.org/FAD/fdd/view?i=118455</v>
      </c>
      <c r="L5177" s="36" t="s">
        <v>36772</v>
      </c>
      <c r="M5177" s="186"/>
      <c r="N5177" s="186"/>
      <c r="O5177" s="172"/>
    </row>
    <row r="5178" spans="1:15" x14ac:dyDescent="0.2">
      <c r="A5178" s="197" t="str">
        <f t="shared" si="80"/>
        <v>AtpCode_lakeDistrict</v>
      </c>
      <c r="B5178" s="409"/>
      <c r="C5178" s="416"/>
      <c r="D5178" s="198" t="s">
        <v>36773</v>
      </c>
      <c r="E5178" s="198">
        <v>11</v>
      </c>
      <c r="F5178" s="199" t="s">
        <v>36774</v>
      </c>
      <c r="G5178" s="1" t="s">
        <v>36775</v>
      </c>
      <c r="H5178" s="200"/>
      <c r="I5178" s="351" t="s">
        <v>36776</v>
      </c>
      <c r="J5178" s="39">
        <v>112979</v>
      </c>
      <c r="K5178" s="36" t="str">
        <f>CONCATENATE(Cover!$D$6,"fdd/view?i=",J5178)</f>
        <v>https://www.dgiwg.org/FAD/fdd/view?i=112979</v>
      </c>
      <c r="L5178" s="36" t="s">
        <v>36777</v>
      </c>
      <c r="M5178" s="186"/>
      <c r="N5178" s="186"/>
      <c r="O5178" s="172"/>
    </row>
    <row r="5179" spans="1:15" x14ac:dyDescent="0.2">
      <c r="A5179" s="197" t="str">
        <f t="shared" si="80"/>
        <v>AtpCode_lowlandPlain</v>
      </c>
      <c r="B5179" s="409"/>
      <c r="C5179" s="416"/>
      <c r="D5179" s="198" t="s">
        <v>36778</v>
      </c>
      <c r="E5179" s="198">
        <v>5</v>
      </c>
      <c r="F5179" s="199" t="s">
        <v>36779</v>
      </c>
      <c r="G5179" s="1" t="s">
        <v>36780</v>
      </c>
      <c r="H5179" s="200"/>
      <c r="I5179" s="346"/>
      <c r="J5179" s="39">
        <v>112974</v>
      </c>
      <c r="K5179" s="36" t="str">
        <f>CONCATENATE(Cover!$D$6,"fdd/view?i=",J5179)</f>
        <v>https://www.dgiwg.org/FAD/fdd/view?i=112974</v>
      </c>
      <c r="L5179" s="36" t="s">
        <v>36781</v>
      </c>
      <c r="M5179" s="186"/>
      <c r="N5179" s="186"/>
      <c r="O5179" s="172"/>
    </row>
    <row r="5180" spans="1:15" ht="25.5" x14ac:dyDescent="0.2">
      <c r="A5180" s="197" t="str">
        <f t="shared" si="80"/>
        <v>AtpCode_marshland</v>
      </c>
      <c r="B5180" s="409"/>
      <c r="C5180" s="416"/>
      <c r="D5180" s="198" t="s">
        <v>36782</v>
      </c>
      <c r="E5180" s="198">
        <v>33</v>
      </c>
      <c r="F5180" s="199" t="s">
        <v>36783</v>
      </c>
      <c r="G5180" s="1" t="s">
        <v>36784</v>
      </c>
      <c r="H5180" s="200"/>
      <c r="I5180" s="346"/>
      <c r="J5180" s="39">
        <v>112987</v>
      </c>
      <c r="K5180" s="36" t="str">
        <f>CONCATENATE(Cover!$D$6,"fdd/view?i=",J5180)</f>
        <v>https://www.dgiwg.org/FAD/fdd/view?i=112987</v>
      </c>
      <c r="L5180" s="36" t="s">
        <v>36785</v>
      </c>
      <c r="M5180" s="186"/>
      <c r="N5180" s="186"/>
      <c r="O5180" s="172"/>
    </row>
    <row r="5181" spans="1:15" ht="38.25" x14ac:dyDescent="0.2">
      <c r="A5181" s="197" t="str">
        <f t="shared" si="80"/>
        <v>AtpCode_moderatelyHighMountains</v>
      </c>
      <c r="B5181" s="409"/>
      <c r="C5181" s="416"/>
      <c r="D5181" s="198" t="s">
        <v>36786</v>
      </c>
      <c r="E5181" s="198">
        <v>16</v>
      </c>
      <c r="F5181" s="199" t="s">
        <v>36787</v>
      </c>
      <c r="G5181" s="1" t="s">
        <v>36788</v>
      </c>
      <c r="H5181" s="200"/>
      <c r="I5181" s="346"/>
      <c r="J5181" s="39">
        <v>112982</v>
      </c>
      <c r="K5181" s="36" t="str">
        <f>CONCATENATE(Cover!$D$6,"fdd/view?i=",J5181)</f>
        <v>https://www.dgiwg.org/FAD/fdd/view?i=112982</v>
      </c>
      <c r="L5181" s="36" t="s">
        <v>36789</v>
      </c>
      <c r="M5181" s="186"/>
      <c r="N5181" s="186"/>
      <c r="O5181" s="172"/>
    </row>
    <row r="5182" spans="1:15" ht="25.5" x14ac:dyDescent="0.2">
      <c r="A5182" s="197" t="str">
        <f t="shared" si="80"/>
        <v>AtpCode_mountain</v>
      </c>
      <c r="B5182" s="409"/>
      <c r="C5182" s="416"/>
      <c r="D5182" s="198" t="s">
        <v>36790</v>
      </c>
      <c r="E5182" s="198">
        <v>2</v>
      </c>
      <c r="F5182" s="199" t="s">
        <v>4225</v>
      </c>
      <c r="G5182" s="1" t="s">
        <v>36791</v>
      </c>
      <c r="H5182" s="200"/>
      <c r="I5182" s="346"/>
      <c r="J5182" s="39">
        <v>112971</v>
      </c>
      <c r="K5182" s="36" t="str">
        <f>CONCATENATE(Cover!$D$6,"fdd/view?i=",J5182)</f>
        <v>https://www.dgiwg.org/FAD/fdd/view?i=112971</v>
      </c>
      <c r="L5182" s="36" t="s">
        <v>36792</v>
      </c>
      <c r="M5182" s="186"/>
      <c r="N5182" s="186"/>
      <c r="O5182" s="172"/>
    </row>
    <row r="5183" spans="1:15" x14ac:dyDescent="0.2">
      <c r="A5183" s="197" t="str">
        <f t="shared" si="80"/>
        <v>AtpCode_mountains</v>
      </c>
      <c r="B5183" s="409"/>
      <c r="C5183" s="416"/>
      <c r="D5183" s="198" t="s">
        <v>36793</v>
      </c>
      <c r="E5183" s="198">
        <v>1</v>
      </c>
      <c r="F5183" s="199" t="s">
        <v>36794</v>
      </c>
      <c r="G5183" s="1" t="s">
        <v>36795</v>
      </c>
      <c r="H5183" s="200"/>
      <c r="I5183" s="346"/>
      <c r="J5183" s="39">
        <v>118447</v>
      </c>
      <c r="K5183" s="36" t="str">
        <f>CONCATENATE(Cover!$D$6,"fdd/view?i=",J5183)</f>
        <v>https://www.dgiwg.org/FAD/fdd/view?i=118447</v>
      </c>
      <c r="L5183" s="36" t="s">
        <v>36796</v>
      </c>
      <c r="M5183" s="186"/>
      <c r="N5183" s="186"/>
      <c r="O5183" s="172"/>
    </row>
    <row r="5184" spans="1:15" ht="25.5" x14ac:dyDescent="0.2">
      <c r="A5184" s="197" t="str">
        <f t="shared" si="80"/>
        <v>AtpCode_pan</v>
      </c>
      <c r="B5184" s="409"/>
      <c r="C5184" s="416"/>
      <c r="D5184" s="198" t="s">
        <v>36797</v>
      </c>
      <c r="E5184" s="198">
        <v>41</v>
      </c>
      <c r="F5184" s="199" t="s">
        <v>36798</v>
      </c>
      <c r="G5184" s="1" t="s">
        <v>36799</v>
      </c>
      <c r="H5184" s="200"/>
      <c r="I5184" s="346"/>
      <c r="J5184" s="39">
        <v>112991</v>
      </c>
      <c r="K5184" s="36" t="str">
        <f>CONCATENATE(Cover!$D$6,"fdd/view?i=",J5184)</f>
        <v>https://www.dgiwg.org/FAD/fdd/view?i=112991</v>
      </c>
      <c r="L5184" s="36" t="s">
        <v>36800</v>
      </c>
      <c r="M5184" s="186"/>
      <c r="N5184" s="186"/>
      <c r="O5184" s="172"/>
    </row>
    <row r="5185" spans="1:15" ht="25.5" x14ac:dyDescent="0.2">
      <c r="A5185" s="197" t="str">
        <f t="shared" si="80"/>
        <v>AtpCode_peak</v>
      </c>
      <c r="B5185" s="409"/>
      <c r="C5185" s="416"/>
      <c r="D5185" s="198" t="s">
        <v>34157</v>
      </c>
      <c r="E5185" s="198">
        <v>43</v>
      </c>
      <c r="F5185" s="199" t="s">
        <v>34158</v>
      </c>
      <c r="G5185" s="1" t="s">
        <v>36801</v>
      </c>
      <c r="H5185" s="200"/>
      <c r="I5185" s="346"/>
      <c r="J5185" s="39">
        <v>112993</v>
      </c>
      <c r="K5185" s="36" t="str">
        <f>CONCATENATE(Cover!$D$6,"fdd/view?i=",J5185)</f>
        <v>https://www.dgiwg.org/FAD/fdd/view?i=112993</v>
      </c>
      <c r="L5185" s="36" t="s">
        <v>36802</v>
      </c>
      <c r="M5185" s="186"/>
      <c r="N5185" s="186"/>
      <c r="O5185" s="172"/>
    </row>
    <row r="5186" spans="1:15" ht="25.5" x14ac:dyDescent="0.2">
      <c r="A5186" s="197" t="str">
        <f t="shared" ref="A5186:A5249" si="81">HYPERLINK(K5186,L5186)</f>
        <v>AtpCode_peninsula</v>
      </c>
      <c r="B5186" s="409"/>
      <c r="C5186" s="416"/>
      <c r="D5186" s="198" t="s">
        <v>36803</v>
      </c>
      <c r="E5186" s="198">
        <v>42</v>
      </c>
      <c r="F5186" s="199" t="s">
        <v>36804</v>
      </c>
      <c r="G5186" s="1" t="s">
        <v>36805</v>
      </c>
      <c r="H5186" s="200"/>
      <c r="I5186" s="346"/>
      <c r="J5186" s="39">
        <v>112992</v>
      </c>
      <c r="K5186" s="36" t="str">
        <f>CONCATENATE(Cover!$D$6,"fdd/view?i=",J5186)</f>
        <v>https://www.dgiwg.org/FAD/fdd/view?i=112992</v>
      </c>
      <c r="L5186" s="36" t="s">
        <v>36806</v>
      </c>
      <c r="M5186" s="186"/>
      <c r="N5186" s="186"/>
      <c r="O5186" s="172"/>
    </row>
    <row r="5187" spans="1:15" x14ac:dyDescent="0.2">
      <c r="A5187" s="197" t="str">
        <f t="shared" si="81"/>
        <v>AtpCode_pinnacles</v>
      </c>
      <c r="B5187" s="409"/>
      <c r="C5187" s="416"/>
      <c r="D5187" s="198" t="s">
        <v>36807</v>
      </c>
      <c r="E5187" s="198">
        <v>21</v>
      </c>
      <c r="F5187" s="199" t="s">
        <v>36808</v>
      </c>
      <c r="G5187" s="1" t="s">
        <v>36809</v>
      </c>
      <c r="H5187" s="200"/>
      <c r="I5187" s="351" t="s">
        <v>36810</v>
      </c>
      <c r="J5187" s="39">
        <v>112984</v>
      </c>
      <c r="K5187" s="36" t="str">
        <f>CONCATENATE(Cover!$D$6,"fdd/view?i=",J5187)</f>
        <v>https://www.dgiwg.org/FAD/fdd/view?i=112984</v>
      </c>
      <c r="L5187" s="36" t="s">
        <v>36811</v>
      </c>
      <c r="M5187" s="186"/>
      <c r="N5187" s="186"/>
      <c r="O5187" s="172"/>
    </row>
    <row r="5188" spans="1:15" ht="25.5" x14ac:dyDescent="0.2">
      <c r="A5188" s="197" t="str">
        <f t="shared" si="81"/>
        <v>AtpCode_plain</v>
      </c>
      <c r="B5188" s="409"/>
      <c r="C5188" s="416"/>
      <c r="D5188" s="198" t="s">
        <v>36812</v>
      </c>
      <c r="E5188" s="198">
        <v>45</v>
      </c>
      <c r="F5188" s="199" t="s">
        <v>36813</v>
      </c>
      <c r="G5188" s="1" t="s">
        <v>36814</v>
      </c>
      <c r="H5188" s="200"/>
      <c r="I5188" s="346"/>
      <c r="J5188" s="39">
        <v>112995</v>
      </c>
      <c r="K5188" s="36" t="str">
        <f>CONCATENATE(Cover!$D$6,"fdd/view?i=",J5188)</f>
        <v>https://www.dgiwg.org/FAD/fdd/view?i=112995</v>
      </c>
      <c r="L5188" s="36" t="s">
        <v>36815</v>
      </c>
      <c r="M5188" s="186"/>
      <c r="N5188" s="186"/>
      <c r="O5188" s="172"/>
    </row>
    <row r="5189" spans="1:15" ht="25.5" x14ac:dyDescent="0.2">
      <c r="A5189" s="197" t="str">
        <f t="shared" si="81"/>
        <v>AtpCode_plateau</v>
      </c>
      <c r="B5189" s="409"/>
      <c r="C5189" s="416"/>
      <c r="D5189" s="198" t="s">
        <v>36816</v>
      </c>
      <c r="E5189" s="198">
        <v>44</v>
      </c>
      <c r="F5189" s="199" t="s">
        <v>36765</v>
      </c>
      <c r="G5189" s="1" t="s">
        <v>36817</v>
      </c>
      <c r="H5189" s="200"/>
      <c r="I5189" s="346"/>
      <c r="J5189" s="39">
        <v>112994</v>
      </c>
      <c r="K5189" s="36" t="str">
        <f>CONCATENATE(Cover!$D$6,"fdd/view?i=",J5189)</f>
        <v>https://www.dgiwg.org/FAD/fdd/view?i=112994</v>
      </c>
      <c r="L5189" s="36" t="s">
        <v>36818</v>
      </c>
      <c r="M5189" s="186"/>
      <c r="N5189" s="186"/>
      <c r="O5189" s="172"/>
    </row>
    <row r="5190" spans="1:15" ht="25.5" x14ac:dyDescent="0.2">
      <c r="A5190" s="197" t="str">
        <f t="shared" si="81"/>
        <v>AtpCode_ravine</v>
      </c>
      <c r="B5190" s="409"/>
      <c r="C5190" s="416"/>
      <c r="D5190" s="198" t="s">
        <v>36819</v>
      </c>
      <c r="E5190" s="198">
        <v>22</v>
      </c>
      <c r="F5190" s="199" t="s">
        <v>36820</v>
      </c>
      <c r="G5190" s="1" t="s">
        <v>36821</v>
      </c>
      <c r="H5190" s="200"/>
      <c r="I5190" s="351" t="s">
        <v>36822</v>
      </c>
      <c r="J5190" s="39">
        <v>112985</v>
      </c>
      <c r="K5190" s="36" t="str">
        <f>CONCATENATE(Cover!$D$6,"fdd/view?i=",J5190)</f>
        <v>https://www.dgiwg.org/FAD/fdd/view?i=112985</v>
      </c>
      <c r="L5190" s="36" t="s">
        <v>36823</v>
      </c>
      <c r="M5190" s="186"/>
      <c r="N5190" s="186"/>
      <c r="O5190" s="172"/>
    </row>
    <row r="5191" spans="1:15" ht="25.5" x14ac:dyDescent="0.2">
      <c r="A5191" s="197" t="str">
        <f t="shared" si="81"/>
        <v>AtpCode_ridge</v>
      </c>
      <c r="B5191" s="409"/>
      <c r="C5191" s="416"/>
      <c r="D5191" s="198" t="s">
        <v>36824</v>
      </c>
      <c r="E5191" s="198">
        <v>46</v>
      </c>
      <c r="F5191" s="199" t="s">
        <v>36825</v>
      </c>
      <c r="G5191" s="1" t="s">
        <v>36826</v>
      </c>
      <c r="H5191" s="200"/>
      <c r="I5191" s="346"/>
      <c r="J5191" s="39">
        <v>112996</v>
      </c>
      <c r="K5191" s="36" t="str">
        <f>CONCATENATE(Cover!$D$6,"fdd/view?i=",J5191)</f>
        <v>https://www.dgiwg.org/FAD/fdd/view?i=112996</v>
      </c>
      <c r="L5191" s="36" t="s">
        <v>36827</v>
      </c>
      <c r="M5191" s="186"/>
      <c r="N5191" s="186"/>
      <c r="O5191" s="172"/>
    </row>
    <row r="5192" spans="1:15" ht="25.5" x14ac:dyDescent="0.2">
      <c r="A5192" s="197" t="str">
        <f t="shared" si="81"/>
        <v>AtpCode_sabkha</v>
      </c>
      <c r="B5192" s="409"/>
      <c r="C5192" s="416"/>
      <c r="D5192" s="198" t="s">
        <v>36828</v>
      </c>
      <c r="E5192" s="198">
        <v>53</v>
      </c>
      <c r="F5192" s="199" t="s">
        <v>4863</v>
      </c>
      <c r="G5192" s="1" t="s">
        <v>4865</v>
      </c>
      <c r="H5192" s="200"/>
      <c r="I5192" s="346"/>
      <c r="J5192" s="39">
        <v>118454</v>
      </c>
      <c r="K5192" s="36" t="str">
        <f>CONCATENATE(Cover!$D$6,"fdd/view?i=",J5192)</f>
        <v>https://www.dgiwg.org/FAD/fdd/view?i=118454</v>
      </c>
      <c r="L5192" s="36" t="s">
        <v>36829</v>
      </c>
      <c r="M5192" s="186"/>
      <c r="N5192" s="186"/>
      <c r="O5192" s="172"/>
    </row>
    <row r="5193" spans="1:15" x14ac:dyDescent="0.2">
      <c r="A5193" s="197" t="str">
        <f t="shared" si="81"/>
        <v>AtpCode_steppe</v>
      </c>
      <c r="B5193" s="409"/>
      <c r="C5193" s="416"/>
      <c r="D5193" s="198" t="s">
        <v>36830</v>
      </c>
      <c r="E5193" s="198">
        <v>51</v>
      </c>
      <c r="F5193" s="199" t="s">
        <v>5265</v>
      </c>
      <c r="G5193" s="1" t="s">
        <v>5267</v>
      </c>
      <c r="H5193" s="200"/>
      <c r="I5193" s="346"/>
      <c r="J5193" s="39">
        <v>118452</v>
      </c>
      <c r="K5193" s="36" t="str">
        <f>CONCATENATE(Cover!$D$6,"fdd/view?i=",J5193)</f>
        <v>https://www.dgiwg.org/FAD/fdd/view?i=118452</v>
      </c>
      <c r="L5193" s="36" t="s">
        <v>36831</v>
      </c>
      <c r="M5193" s="186"/>
      <c r="N5193" s="186"/>
      <c r="O5193" s="172"/>
    </row>
    <row r="5194" spans="1:15" x14ac:dyDescent="0.2">
      <c r="A5194" s="197" t="str">
        <f t="shared" si="81"/>
        <v>AtpCode_tidalFlatArea</v>
      </c>
      <c r="B5194" s="409"/>
      <c r="C5194" s="416"/>
      <c r="D5194" s="198" t="s">
        <v>36832</v>
      </c>
      <c r="E5194" s="198">
        <v>14</v>
      </c>
      <c r="F5194" s="199" t="s">
        <v>36833</v>
      </c>
      <c r="G5194" s="1" t="s">
        <v>36834</v>
      </c>
      <c r="H5194" s="200"/>
      <c r="I5194" s="346"/>
      <c r="J5194" s="39">
        <v>112980</v>
      </c>
      <c r="K5194" s="36" t="str">
        <f>CONCATENATE(Cover!$D$6,"fdd/view?i=",J5194)</f>
        <v>https://www.dgiwg.org/FAD/fdd/view?i=112980</v>
      </c>
      <c r="L5194" s="36" t="s">
        <v>36835</v>
      </c>
      <c r="M5194" s="186"/>
      <c r="N5194" s="186"/>
      <c r="O5194" s="172"/>
    </row>
    <row r="5195" spans="1:15" ht="25.5" x14ac:dyDescent="0.2">
      <c r="A5195" s="197" t="str">
        <f t="shared" si="81"/>
        <v>AtpCode_upland</v>
      </c>
      <c r="B5195" s="409"/>
      <c r="C5195" s="416"/>
      <c r="D5195" s="198" t="s">
        <v>36836</v>
      </c>
      <c r="E5195" s="198">
        <v>47</v>
      </c>
      <c r="F5195" s="199" t="s">
        <v>36837</v>
      </c>
      <c r="G5195" s="1" t="s">
        <v>36838</v>
      </c>
      <c r="H5195" s="200"/>
      <c r="I5195" s="346"/>
      <c r="J5195" s="39">
        <v>112997</v>
      </c>
      <c r="K5195" s="36" t="str">
        <f>CONCATENATE(Cover!$D$6,"fdd/view?i=",J5195)</f>
        <v>https://www.dgiwg.org/FAD/fdd/view?i=112997</v>
      </c>
      <c r="L5195" s="36" t="s">
        <v>36839</v>
      </c>
      <c r="M5195" s="186"/>
      <c r="N5195" s="186"/>
      <c r="O5195" s="172"/>
    </row>
    <row r="5196" spans="1:15" ht="25.5" x14ac:dyDescent="0.2">
      <c r="A5196" s="197" t="str">
        <f t="shared" si="81"/>
        <v>AtpCode_valley</v>
      </c>
      <c r="B5196" s="409"/>
      <c r="C5196" s="416"/>
      <c r="D5196" s="198" t="s">
        <v>36840</v>
      </c>
      <c r="E5196" s="198">
        <v>4</v>
      </c>
      <c r="F5196" s="199" t="s">
        <v>36841</v>
      </c>
      <c r="G5196" s="1" t="s">
        <v>36842</v>
      </c>
      <c r="H5196" s="200"/>
      <c r="I5196" s="346"/>
      <c r="J5196" s="39">
        <v>112973</v>
      </c>
      <c r="K5196" s="36" t="str">
        <f>CONCATENATE(Cover!$D$6,"fdd/view?i=",J5196)</f>
        <v>https://www.dgiwg.org/FAD/fdd/view?i=112973</v>
      </c>
      <c r="L5196" s="36" t="s">
        <v>36843</v>
      </c>
      <c r="M5196" s="186"/>
      <c r="N5196" s="186"/>
      <c r="O5196" s="172"/>
    </row>
    <row r="5197" spans="1:15" ht="63.75" x14ac:dyDescent="0.2">
      <c r="A5197" s="197" t="str">
        <f t="shared" si="81"/>
        <v>AtpCode_volcanicField</v>
      </c>
      <c r="B5197" s="409"/>
      <c r="C5197" s="416"/>
      <c r="D5197" s="198" t="s">
        <v>36844</v>
      </c>
      <c r="E5197" s="198">
        <v>18</v>
      </c>
      <c r="F5197" s="199" t="s">
        <v>36845</v>
      </c>
      <c r="G5197" s="1" t="s">
        <v>36846</v>
      </c>
      <c r="H5197" s="1" t="s">
        <v>36847</v>
      </c>
      <c r="I5197" s="346"/>
      <c r="J5197" s="39">
        <v>118451</v>
      </c>
      <c r="K5197" s="36" t="str">
        <f>CONCATENATE(Cover!$D$6,"fdd/view?i=",J5197)</f>
        <v>https://www.dgiwg.org/FAD/fdd/view?i=118451</v>
      </c>
      <c r="L5197" s="36" t="s">
        <v>36848</v>
      </c>
      <c r="M5197" s="186"/>
      <c r="N5197" s="186"/>
      <c r="O5197" s="172"/>
    </row>
    <row r="5198" spans="1:15" ht="51" x14ac:dyDescent="0.2">
      <c r="A5198" s="197" t="str">
        <f t="shared" si="81"/>
        <v>AtpCode_watercourseDelta</v>
      </c>
      <c r="B5198" s="409"/>
      <c r="C5198" s="416"/>
      <c r="D5198" s="198" t="s">
        <v>36849</v>
      </c>
      <c r="E5198" s="198">
        <v>48</v>
      </c>
      <c r="F5198" s="199" t="s">
        <v>36850</v>
      </c>
      <c r="G5198" s="1" t="s">
        <v>36851</v>
      </c>
      <c r="H5198" s="200"/>
      <c r="I5198" s="346"/>
      <c r="J5198" s="39">
        <v>112998</v>
      </c>
      <c r="K5198" s="36" t="str">
        <f>CONCATENATE(Cover!$D$6,"fdd/view?i=",J5198)</f>
        <v>https://www.dgiwg.org/FAD/fdd/view?i=112998</v>
      </c>
      <c r="L5198" s="36" t="s">
        <v>36852</v>
      </c>
      <c r="M5198" s="186"/>
      <c r="N5198" s="186"/>
      <c r="O5198" s="172"/>
    </row>
    <row r="5199" spans="1:15" ht="25.5" x14ac:dyDescent="0.2">
      <c r="A5199" s="197" t="str">
        <f t="shared" si="81"/>
        <v>AtpCode_watercourseMouthArea</v>
      </c>
      <c r="B5199" s="409"/>
      <c r="C5199" s="416"/>
      <c r="D5199" s="198" t="s">
        <v>36853</v>
      </c>
      <c r="E5199" s="198">
        <v>7</v>
      </c>
      <c r="F5199" s="199" t="s">
        <v>36854</v>
      </c>
      <c r="G5199" s="1" t="s">
        <v>36855</v>
      </c>
      <c r="H5199" s="200"/>
      <c r="I5199" s="346"/>
      <c r="J5199" s="39">
        <v>112976</v>
      </c>
      <c r="K5199" s="36" t="str">
        <f>CONCATENATE(Cover!$D$6,"fdd/view?i=",J5199)</f>
        <v>https://www.dgiwg.org/FAD/fdd/view?i=112976</v>
      </c>
      <c r="L5199" s="36" t="s">
        <v>36856</v>
      </c>
      <c r="M5199" s="186"/>
      <c r="N5199" s="186"/>
      <c r="O5199" s="172"/>
    </row>
    <row r="5200" spans="1:15" ht="25.5" x14ac:dyDescent="0.2">
      <c r="A5200" s="197" t="str">
        <f t="shared" si="81"/>
        <v>AtpCode_wetland</v>
      </c>
      <c r="B5200" s="409"/>
      <c r="C5200" s="416"/>
      <c r="D5200" s="198" t="s">
        <v>36857</v>
      </c>
      <c r="E5200" s="198">
        <v>49</v>
      </c>
      <c r="F5200" s="199" t="s">
        <v>5882</v>
      </c>
      <c r="G5200" s="1" t="s">
        <v>36858</v>
      </c>
      <c r="H5200" s="1" t="s">
        <v>36859</v>
      </c>
      <c r="I5200" s="346"/>
      <c r="J5200" s="39">
        <v>112999</v>
      </c>
      <c r="K5200" s="36" t="str">
        <f>CONCATENATE(Cover!$D$6,"fdd/view?i=",J5200)</f>
        <v>https://www.dgiwg.org/FAD/fdd/view?i=112999</v>
      </c>
      <c r="L5200" s="36" t="s">
        <v>36860</v>
      </c>
      <c r="M5200" s="186"/>
      <c r="N5200" s="186"/>
      <c r="O5200" s="172"/>
    </row>
    <row r="5201" spans="1:15" x14ac:dyDescent="0.2">
      <c r="A5201" s="203" t="str">
        <f t="shared" si="81"/>
        <v>AtpCode_woodland</v>
      </c>
      <c r="B5201" s="410"/>
      <c r="C5201" s="417"/>
      <c r="D5201" s="204" t="s">
        <v>36861</v>
      </c>
      <c r="E5201" s="204">
        <v>9</v>
      </c>
      <c r="F5201" s="205" t="s">
        <v>36862</v>
      </c>
      <c r="G5201" s="206" t="s">
        <v>36863</v>
      </c>
      <c r="H5201" s="207"/>
      <c r="I5201" s="347"/>
      <c r="J5201" s="39">
        <v>118448</v>
      </c>
      <c r="K5201" s="36" t="str">
        <f>CONCATENATE(Cover!$D$6,"fdd/view?i=",J5201)</f>
        <v>https://www.dgiwg.org/FAD/fdd/view?i=118448</v>
      </c>
      <c r="L5201" s="36" t="s">
        <v>36864</v>
      </c>
      <c r="M5201" s="186"/>
      <c r="N5201" s="186"/>
      <c r="O5201" s="172"/>
    </row>
    <row r="5202" spans="1:15" ht="38.25" x14ac:dyDescent="0.2">
      <c r="A5202" s="190" t="str">
        <f t="shared" si="81"/>
        <v>LhcCode_highIncidence</v>
      </c>
      <c r="B5202" s="414" t="str">
        <f>HYPERLINK("[#]Datatypes!A804:L804","LhcCode")</f>
        <v>LhcCode</v>
      </c>
      <c r="C5202" s="415" t="s">
        <v>15394</v>
      </c>
      <c r="D5202" s="221" t="s">
        <v>36865</v>
      </c>
      <c r="E5202" s="221">
        <v>4</v>
      </c>
      <c r="F5202" s="222" t="s">
        <v>36866</v>
      </c>
      <c r="G5202" s="223" t="s">
        <v>36867</v>
      </c>
      <c r="H5202" s="223" t="s">
        <v>36868</v>
      </c>
      <c r="I5202" s="345"/>
      <c r="J5202" s="39">
        <v>118698</v>
      </c>
      <c r="K5202" s="36" t="str">
        <f>CONCATENATE(Cover!$D$6,"fdd/view?i=",J5202)</f>
        <v>https://www.dgiwg.org/FAD/fdd/view?i=118698</v>
      </c>
      <c r="L5202" s="36" t="s">
        <v>36869</v>
      </c>
      <c r="M5202" s="186"/>
      <c r="N5202" s="186"/>
      <c r="O5202" s="172"/>
    </row>
    <row r="5203" spans="1:15" ht="76.5" x14ac:dyDescent="0.2">
      <c r="A5203" s="197" t="str">
        <f t="shared" si="81"/>
        <v>LhcCode_highRisk</v>
      </c>
      <c r="B5203" s="409"/>
      <c r="C5203" s="416"/>
      <c r="D5203" s="198" t="s">
        <v>36870</v>
      </c>
      <c r="E5203" s="198">
        <v>1</v>
      </c>
      <c r="F5203" s="199" t="s">
        <v>36871</v>
      </c>
      <c r="G5203" s="1" t="s">
        <v>36872</v>
      </c>
      <c r="H5203" s="1" t="s">
        <v>36873</v>
      </c>
      <c r="I5203" s="346"/>
      <c r="J5203" s="39">
        <v>118695</v>
      </c>
      <c r="K5203" s="36" t="str">
        <f>CONCATENATE(Cover!$D$6,"fdd/view?i=",J5203)</f>
        <v>https://www.dgiwg.org/FAD/fdd/view?i=118695</v>
      </c>
      <c r="L5203" s="36" t="s">
        <v>36874</v>
      </c>
      <c r="M5203" s="186"/>
      <c r="N5203" s="186"/>
      <c r="O5203" s="172"/>
    </row>
    <row r="5204" spans="1:15" ht="38.25" x14ac:dyDescent="0.2">
      <c r="A5204" s="197" t="str">
        <f t="shared" si="81"/>
        <v>LhcCode_lowIncidence</v>
      </c>
      <c r="B5204" s="409"/>
      <c r="C5204" s="416"/>
      <c r="D5204" s="198" t="s">
        <v>36875</v>
      </c>
      <c r="E5204" s="198">
        <v>6</v>
      </c>
      <c r="F5204" s="199" t="s">
        <v>36876</v>
      </c>
      <c r="G5204" s="1" t="s">
        <v>36877</v>
      </c>
      <c r="H5204" s="1" t="s">
        <v>36868</v>
      </c>
      <c r="I5204" s="346"/>
      <c r="J5204" s="39">
        <v>118700</v>
      </c>
      <c r="K5204" s="36" t="str">
        <f>CONCATENATE(Cover!$D$6,"fdd/view?i=",J5204)</f>
        <v>https://www.dgiwg.org/FAD/fdd/view?i=118700</v>
      </c>
      <c r="L5204" s="36" t="s">
        <v>36878</v>
      </c>
      <c r="M5204" s="186"/>
      <c r="N5204" s="186"/>
      <c r="O5204" s="172"/>
    </row>
    <row r="5205" spans="1:15" ht="89.25" x14ac:dyDescent="0.2">
      <c r="A5205" s="197" t="str">
        <f t="shared" si="81"/>
        <v>LhcCode_lowRisk</v>
      </c>
      <c r="B5205" s="409"/>
      <c r="C5205" s="416"/>
      <c r="D5205" s="198" t="s">
        <v>36879</v>
      </c>
      <c r="E5205" s="198">
        <v>3</v>
      </c>
      <c r="F5205" s="199" t="s">
        <v>36880</v>
      </c>
      <c r="G5205" s="1" t="s">
        <v>36881</v>
      </c>
      <c r="H5205" s="1" t="s">
        <v>36882</v>
      </c>
      <c r="I5205" s="346"/>
      <c r="J5205" s="39">
        <v>118697</v>
      </c>
      <c r="K5205" s="36" t="str">
        <f>CONCATENATE(Cover!$D$6,"fdd/view?i=",J5205)</f>
        <v>https://www.dgiwg.org/FAD/fdd/view?i=118697</v>
      </c>
      <c r="L5205" s="36" t="s">
        <v>36883</v>
      </c>
      <c r="M5205" s="186"/>
      <c r="N5205" s="186"/>
      <c r="O5205" s="172"/>
    </row>
    <row r="5206" spans="1:15" ht="38.25" x14ac:dyDescent="0.2">
      <c r="A5206" s="197" t="str">
        <f t="shared" si="81"/>
        <v>LhcCode_moderateIncidence</v>
      </c>
      <c r="B5206" s="409"/>
      <c r="C5206" s="416"/>
      <c r="D5206" s="198" t="s">
        <v>36884</v>
      </c>
      <c r="E5206" s="198">
        <v>5</v>
      </c>
      <c r="F5206" s="199" t="s">
        <v>36885</v>
      </c>
      <c r="G5206" s="1" t="s">
        <v>36886</v>
      </c>
      <c r="H5206" s="1" t="s">
        <v>36868</v>
      </c>
      <c r="I5206" s="346"/>
      <c r="J5206" s="39">
        <v>118699</v>
      </c>
      <c r="K5206" s="36" t="str">
        <f>CONCATENATE(Cover!$D$6,"fdd/view?i=",J5206)</f>
        <v>https://www.dgiwg.org/FAD/fdd/view?i=118699</v>
      </c>
      <c r="L5206" s="36" t="s">
        <v>36887</v>
      </c>
      <c r="M5206" s="186"/>
      <c r="N5206" s="186"/>
      <c r="O5206" s="172"/>
    </row>
    <row r="5207" spans="1:15" ht="76.5" x14ac:dyDescent="0.2">
      <c r="A5207" s="203" t="str">
        <f t="shared" si="81"/>
        <v>LhcCode_moderateRisk</v>
      </c>
      <c r="B5207" s="410"/>
      <c r="C5207" s="417"/>
      <c r="D5207" s="204" t="s">
        <v>36888</v>
      </c>
      <c r="E5207" s="204">
        <v>2</v>
      </c>
      <c r="F5207" s="205" t="s">
        <v>36889</v>
      </c>
      <c r="G5207" s="206" t="s">
        <v>36890</v>
      </c>
      <c r="H5207" s="206" t="s">
        <v>36873</v>
      </c>
      <c r="I5207" s="347"/>
      <c r="J5207" s="39">
        <v>118696</v>
      </c>
      <c r="K5207" s="36" t="str">
        <f>CONCATENATE(Cover!$D$6,"fdd/view?i=",J5207)</f>
        <v>https://www.dgiwg.org/FAD/fdd/view?i=118696</v>
      </c>
      <c r="L5207" s="36" t="s">
        <v>36891</v>
      </c>
      <c r="M5207" s="186"/>
      <c r="N5207" s="186"/>
      <c r="O5207" s="172"/>
    </row>
    <row r="5208" spans="1:15" ht="25.5" x14ac:dyDescent="0.2">
      <c r="A5208" s="190" t="str">
        <f t="shared" si="81"/>
        <v>LclCode_dialect</v>
      </c>
      <c r="B5208" s="414" t="str">
        <f>HYPERLINK("[#]Datatypes!A806:L806","LclCode")</f>
        <v>LclCode</v>
      </c>
      <c r="C5208" s="415" t="s">
        <v>15396</v>
      </c>
      <c r="D5208" s="221" t="s">
        <v>36892</v>
      </c>
      <c r="E5208" s="221">
        <v>4</v>
      </c>
      <c r="F5208" s="222" t="s">
        <v>36893</v>
      </c>
      <c r="G5208" s="223" t="s">
        <v>36894</v>
      </c>
      <c r="H5208" s="223" t="s">
        <v>36895</v>
      </c>
      <c r="I5208" s="345"/>
      <c r="J5208" s="39">
        <v>113496</v>
      </c>
      <c r="K5208" s="36" t="str">
        <f>CONCATENATE(Cover!$D$6,"fdd/view?i=",J5208)</f>
        <v>https://www.dgiwg.org/FAD/fdd/view?i=113496</v>
      </c>
      <c r="L5208" s="36" t="s">
        <v>36896</v>
      </c>
      <c r="M5208" s="186"/>
      <c r="N5208" s="186"/>
      <c r="O5208" s="172"/>
    </row>
    <row r="5209" spans="1:15" ht="25.5" x14ac:dyDescent="0.2">
      <c r="A5209" s="197" t="str">
        <f t="shared" si="81"/>
        <v>LclCode_family</v>
      </c>
      <c r="B5209" s="409"/>
      <c r="C5209" s="416"/>
      <c r="D5209" s="198" t="s">
        <v>36897</v>
      </c>
      <c r="E5209" s="198">
        <v>1</v>
      </c>
      <c r="F5209" s="199" t="s">
        <v>36898</v>
      </c>
      <c r="G5209" s="1" t="s">
        <v>36899</v>
      </c>
      <c r="H5209" s="1" t="s">
        <v>36900</v>
      </c>
      <c r="I5209" s="346"/>
      <c r="J5209" s="39">
        <v>114576</v>
      </c>
      <c r="K5209" s="36" t="str">
        <f>CONCATENATE(Cover!$D$6,"fdd/view?i=",J5209)</f>
        <v>https://www.dgiwg.org/FAD/fdd/view?i=114576</v>
      </c>
      <c r="L5209" s="36" t="s">
        <v>36901</v>
      </c>
      <c r="M5209" s="186"/>
      <c r="N5209" s="186"/>
      <c r="O5209" s="172"/>
    </row>
    <row r="5210" spans="1:15" x14ac:dyDescent="0.2">
      <c r="A5210" s="197" t="str">
        <f t="shared" si="81"/>
        <v>LclCode_group</v>
      </c>
      <c r="B5210" s="409"/>
      <c r="C5210" s="416"/>
      <c r="D5210" s="198" t="s">
        <v>36902</v>
      </c>
      <c r="E5210" s="198">
        <v>2</v>
      </c>
      <c r="F5210" s="199" t="s">
        <v>36903</v>
      </c>
      <c r="G5210" s="1" t="s">
        <v>36904</v>
      </c>
      <c r="H5210" s="1" t="s">
        <v>36905</v>
      </c>
      <c r="I5210" s="346"/>
      <c r="J5210" s="39">
        <v>114577</v>
      </c>
      <c r="K5210" s="36" t="str">
        <f>CONCATENATE(Cover!$D$6,"fdd/view?i=",J5210)</f>
        <v>https://www.dgiwg.org/FAD/fdd/view?i=114577</v>
      </c>
      <c r="L5210" s="36" t="s">
        <v>36906</v>
      </c>
      <c r="M5210" s="186"/>
      <c r="N5210" s="186"/>
      <c r="O5210" s="172"/>
    </row>
    <row r="5211" spans="1:15" ht="38.25" x14ac:dyDescent="0.2">
      <c r="A5211" s="203" t="str">
        <f t="shared" si="81"/>
        <v>LclCode_language</v>
      </c>
      <c r="B5211" s="410"/>
      <c r="C5211" s="417"/>
      <c r="D5211" s="204" t="s">
        <v>9847</v>
      </c>
      <c r="E5211" s="204">
        <v>3</v>
      </c>
      <c r="F5211" s="205" t="s">
        <v>9849</v>
      </c>
      <c r="G5211" s="206" t="s">
        <v>36907</v>
      </c>
      <c r="H5211" s="206" t="s">
        <v>36908</v>
      </c>
      <c r="I5211" s="347"/>
      <c r="J5211" s="39">
        <v>114578</v>
      </c>
      <c r="K5211" s="36" t="str">
        <f>CONCATENATE(Cover!$D$6,"fdd/view?i=",J5211)</f>
        <v>https://www.dgiwg.org/FAD/fdd/view?i=114578</v>
      </c>
      <c r="L5211" s="36" t="s">
        <v>36909</v>
      </c>
      <c r="M5211" s="186"/>
      <c r="N5211" s="186"/>
      <c r="O5211" s="172"/>
    </row>
    <row r="5212" spans="1:15" x14ac:dyDescent="0.2">
      <c r="A5212" s="190" t="str">
        <f t="shared" si="81"/>
        <v>LngCode_afrikaans</v>
      </c>
      <c r="B5212" s="414" t="str">
        <f>HYPERLINK("[#]Datatypes!A808:L808","LngCode")</f>
        <v>LngCode</v>
      </c>
      <c r="C5212" s="415" t="s">
        <v>9861</v>
      </c>
      <c r="D5212" s="221" t="s">
        <v>36910</v>
      </c>
      <c r="E5212" s="221">
        <v>1</v>
      </c>
      <c r="F5212" s="222" t="s">
        <v>36911</v>
      </c>
      <c r="G5212" s="223" t="s">
        <v>36912</v>
      </c>
      <c r="H5212" s="224"/>
      <c r="I5212" s="345"/>
      <c r="J5212" s="39">
        <v>104917</v>
      </c>
      <c r="K5212" s="36" t="str">
        <f>CONCATENATE(Cover!$D$6,"fdd/view?i=",J5212)</f>
        <v>https://www.dgiwg.org/FAD/fdd/view?i=104917</v>
      </c>
      <c r="L5212" s="36" t="s">
        <v>36913</v>
      </c>
      <c r="M5212" s="186"/>
      <c r="N5212" s="186"/>
      <c r="O5212" s="172"/>
    </row>
    <row r="5213" spans="1:15" ht="25.5" x14ac:dyDescent="0.2">
      <c r="A5213" s="197" t="str">
        <f t="shared" si="81"/>
        <v>LngCode_albanian</v>
      </c>
      <c r="B5213" s="409"/>
      <c r="C5213" s="416"/>
      <c r="D5213" s="198" t="s">
        <v>36914</v>
      </c>
      <c r="E5213" s="198">
        <v>2</v>
      </c>
      <c r="F5213" s="199" t="s">
        <v>36915</v>
      </c>
      <c r="G5213" s="1" t="s">
        <v>36916</v>
      </c>
      <c r="H5213" s="200"/>
      <c r="I5213" s="346"/>
      <c r="J5213" s="39">
        <v>104918</v>
      </c>
      <c r="K5213" s="36" t="str">
        <f>CONCATENATE(Cover!$D$6,"fdd/view?i=",J5213)</f>
        <v>https://www.dgiwg.org/FAD/fdd/view?i=104918</v>
      </c>
      <c r="L5213" s="36" t="s">
        <v>36917</v>
      </c>
      <c r="M5213" s="186"/>
      <c r="N5213" s="186"/>
      <c r="O5213" s="172"/>
    </row>
    <row r="5214" spans="1:15" ht="25.5" x14ac:dyDescent="0.2">
      <c r="A5214" s="197" t="str">
        <f t="shared" si="81"/>
        <v>LngCode_amharic</v>
      </c>
      <c r="B5214" s="409"/>
      <c r="C5214" s="416"/>
      <c r="D5214" s="198" t="s">
        <v>36918</v>
      </c>
      <c r="E5214" s="198">
        <v>3</v>
      </c>
      <c r="F5214" s="199" t="s">
        <v>36919</v>
      </c>
      <c r="G5214" s="1" t="s">
        <v>36920</v>
      </c>
      <c r="H5214" s="200"/>
      <c r="I5214" s="346"/>
      <c r="J5214" s="39">
        <v>104919</v>
      </c>
      <c r="K5214" s="36" t="str">
        <f>CONCATENATE(Cover!$D$6,"fdd/view?i=",J5214)</f>
        <v>https://www.dgiwg.org/FAD/fdd/view?i=104919</v>
      </c>
      <c r="L5214" s="36" t="s">
        <v>36921</v>
      </c>
      <c r="M5214" s="186"/>
      <c r="N5214" s="186"/>
      <c r="O5214" s="172"/>
    </row>
    <row r="5215" spans="1:15" ht="25.5" x14ac:dyDescent="0.2">
      <c r="A5215" s="197" t="str">
        <f t="shared" si="81"/>
        <v>LngCode_arabic</v>
      </c>
      <c r="B5215" s="409"/>
      <c r="C5215" s="416"/>
      <c r="D5215" s="198" t="s">
        <v>36922</v>
      </c>
      <c r="E5215" s="198">
        <v>4</v>
      </c>
      <c r="F5215" s="199" t="s">
        <v>36923</v>
      </c>
      <c r="G5215" s="1" t="s">
        <v>36924</v>
      </c>
      <c r="H5215" s="200"/>
      <c r="I5215" s="346"/>
      <c r="J5215" s="39">
        <v>104920</v>
      </c>
      <c r="K5215" s="36" t="str">
        <f>CONCATENATE(Cover!$D$6,"fdd/view?i=",J5215)</f>
        <v>https://www.dgiwg.org/FAD/fdd/view?i=104920</v>
      </c>
      <c r="L5215" s="36" t="s">
        <v>36925</v>
      </c>
      <c r="M5215" s="186"/>
      <c r="N5215" s="186"/>
      <c r="O5215" s="172"/>
    </row>
    <row r="5216" spans="1:15" ht="25.5" x14ac:dyDescent="0.2">
      <c r="A5216" s="197" t="str">
        <f t="shared" si="81"/>
        <v>LngCode_bislama</v>
      </c>
      <c r="B5216" s="409"/>
      <c r="C5216" s="416"/>
      <c r="D5216" s="198" t="s">
        <v>36926</v>
      </c>
      <c r="E5216" s="198">
        <v>5</v>
      </c>
      <c r="F5216" s="199" t="s">
        <v>36927</v>
      </c>
      <c r="G5216" s="1" t="s">
        <v>36928</v>
      </c>
      <c r="H5216" s="200"/>
      <c r="I5216" s="346"/>
      <c r="J5216" s="39">
        <v>104921</v>
      </c>
      <c r="K5216" s="36" t="str">
        <f>CONCATENATE(Cover!$D$6,"fdd/view?i=",J5216)</f>
        <v>https://www.dgiwg.org/FAD/fdd/view?i=104921</v>
      </c>
      <c r="L5216" s="36" t="s">
        <v>36929</v>
      </c>
      <c r="M5216" s="186"/>
      <c r="N5216" s="186"/>
      <c r="O5216" s="172"/>
    </row>
    <row r="5217" spans="1:15" x14ac:dyDescent="0.2">
      <c r="A5217" s="197" t="str">
        <f t="shared" si="81"/>
        <v>LngCode_bulgarian</v>
      </c>
      <c r="B5217" s="409"/>
      <c r="C5217" s="416"/>
      <c r="D5217" s="198" t="s">
        <v>36930</v>
      </c>
      <c r="E5217" s="198">
        <v>6</v>
      </c>
      <c r="F5217" s="199" t="s">
        <v>36931</v>
      </c>
      <c r="G5217" s="1" t="s">
        <v>36932</v>
      </c>
      <c r="H5217" s="200"/>
      <c r="I5217" s="346"/>
      <c r="J5217" s="39">
        <v>104922</v>
      </c>
      <c r="K5217" s="36" t="str">
        <f>CONCATENATE(Cover!$D$6,"fdd/view?i=",J5217)</f>
        <v>https://www.dgiwg.org/FAD/fdd/view?i=104922</v>
      </c>
      <c r="L5217" s="36" t="s">
        <v>36933</v>
      </c>
      <c r="M5217" s="186"/>
      <c r="N5217" s="186"/>
      <c r="O5217" s="172"/>
    </row>
    <row r="5218" spans="1:15" x14ac:dyDescent="0.2">
      <c r="A5218" s="197" t="str">
        <f t="shared" si="81"/>
        <v>LngCode_burmese</v>
      </c>
      <c r="B5218" s="409"/>
      <c r="C5218" s="416"/>
      <c r="D5218" s="198" t="s">
        <v>36934</v>
      </c>
      <c r="E5218" s="198">
        <v>7</v>
      </c>
      <c r="F5218" s="199" t="s">
        <v>36935</v>
      </c>
      <c r="G5218" s="1" t="s">
        <v>36936</v>
      </c>
      <c r="H5218" s="200"/>
      <c r="I5218" s="346"/>
      <c r="J5218" s="39">
        <v>104923</v>
      </c>
      <c r="K5218" s="36" t="str">
        <f>CONCATENATE(Cover!$D$6,"fdd/view?i=",J5218)</f>
        <v>https://www.dgiwg.org/FAD/fdd/view?i=104923</v>
      </c>
      <c r="L5218" s="36" t="s">
        <v>36937</v>
      </c>
      <c r="M5218" s="186"/>
      <c r="N5218" s="186"/>
      <c r="O5218" s="172"/>
    </row>
    <row r="5219" spans="1:15" x14ac:dyDescent="0.2">
      <c r="A5219" s="197" t="str">
        <f t="shared" si="81"/>
        <v>LngCode_catalan</v>
      </c>
      <c r="B5219" s="409"/>
      <c r="C5219" s="416"/>
      <c r="D5219" s="198" t="s">
        <v>36938</v>
      </c>
      <c r="E5219" s="198">
        <v>8</v>
      </c>
      <c r="F5219" s="199" t="s">
        <v>36939</v>
      </c>
      <c r="G5219" s="1" t="s">
        <v>36940</v>
      </c>
      <c r="H5219" s="200"/>
      <c r="I5219" s="346"/>
      <c r="J5219" s="39">
        <v>104924</v>
      </c>
      <c r="K5219" s="36" t="str">
        <f>CONCATENATE(Cover!$D$6,"fdd/view?i=",J5219)</f>
        <v>https://www.dgiwg.org/FAD/fdd/view?i=104924</v>
      </c>
      <c r="L5219" s="36" t="s">
        <v>36941</v>
      </c>
      <c r="M5219" s="186"/>
      <c r="N5219" s="186"/>
      <c r="O5219" s="172"/>
    </row>
    <row r="5220" spans="1:15" ht="38.25" x14ac:dyDescent="0.2">
      <c r="A5220" s="197" t="str">
        <f t="shared" si="81"/>
        <v>LngCode_chinese</v>
      </c>
      <c r="B5220" s="409"/>
      <c r="C5220" s="416"/>
      <c r="D5220" s="198" t="s">
        <v>36942</v>
      </c>
      <c r="E5220" s="198">
        <v>9</v>
      </c>
      <c r="F5220" s="199" t="s">
        <v>36943</v>
      </c>
      <c r="G5220" s="1" t="s">
        <v>36944</v>
      </c>
      <c r="H5220" s="200"/>
      <c r="I5220" s="346"/>
      <c r="J5220" s="39">
        <v>104925</v>
      </c>
      <c r="K5220" s="36" t="str">
        <f>CONCATENATE(Cover!$D$6,"fdd/view?i=",J5220)</f>
        <v>https://www.dgiwg.org/FAD/fdd/view?i=104925</v>
      </c>
      <c r="L5220" s="36" t="s">
        <v>36945</v>
      </c>
      <c r="M5220" s="186"/>
      <c r="N5220" s="186"/>
      <c r="O5220" s="172"/>
    </row>
    <row r="5221" spans="1:15" x14ac:dyDescent="0.2">
      <c r="A5221" s="197" t="str">
        <f t="shared" si="81"/>
        <v>LngCode_czech</v>
      </c>
      <c r="B5221" s="409"/>
      <c r="C5221" s="416"/>
      <c r="D5221" s="198" t="s">
        <v>36946</v>
      </c>
      <c r="E5221" s="198">
        <v>10</v>
      </c>
      <c r="F5221" s="199" t="s">
        <v>36947</v>
      </c>
      <c r="G5221" s="1" t="s">
        <v>36948</v>
      </c>
      <c r="H5221" s="200"/>
      <c r="I5221" s="346"/>
      <c r="J5221" s="39">
        <v>104926</v>
      </c>
      <c r="K5221" s="36" t="str">
        <f>CONCATENATE(Cover!$D$6,"fdd/view?i=",J5221)</f>
        <v>https://www.dgiwg.org/FAD/fdd/view?i=104926</v>
      </c>
      <c r="L5221" s="36" t="s">
        <v>36949</v>
      </c>
      <c r="M5221" s="186"/>
      <c r="N5221" s="186"/>
      <c r="O5221" s="172"/>
    </row>
    <row r="5222" spans="1:15" x14ac:dyDescent="0.2">
      <c r="A5222" s="197" t="str">
        <f t="shared" si="81"/>
        <v>LngCode_danish</v>
      </c>
      <c r="B5222" s="409"/>
      <c r="C5222" s="416"/>
      <c r="D5222" s="198" t="s">
        <v>36950</v>
      </c>
      <c r="E5222" s="198">
        <v>11</v>
      </c>
      <c r="F5222" s="199" t="s">
        <v>36951</v>
      </c>
      <c r="G5222" s="1" t="s">
        <v>36952</v>
      </c>
      <c r="H5222" s="200"/>
      <c r="I5222" s="346"/>
      <c r="J5222" s="39">
        <v>104927</v>
      </c>
      <c r="K5222" s="36" t="str">
        <f>CONCATENATE(Cover!$D$6,"fdd/view?i=",J5222)</f>
        <v>https://www.dgiwg.org/FAD/fdd/view?i=104927</v>
      </c>
      <c r="L5222" s="36" t="s">
        <v>36953</v>
      </c>
      <c r="M5222" s="186"/>
      <c r="N5222" s="186"/>
      <c r="O5222" s="172"/>
    </row>
    <row r="5223" spans="1:15" ht="25.5" x14ac:dyDescent="0.2">
      <c r="A5223" s="197" t="str">
        <f t="shared" si="81"/>
        <v>LngCode_dutch</v>
      </c>
      <c r="B5223" s="409"/>
      <c r="C5223" s="416"/>
      <c r="D5223" s="198" t="s">
        <v>36954</v>
      </c>
      <c r="E5223" s="198">
        <v>12</v>
      </c>
      <c r="F5223" s="199" t="s">
        <v>36955</v>
      </c>
      <c r="G5223" s="1" t="s">
        <v>36956</v>
      </c>
      <c r="H5223" s="200"/>
      <c r="I5223" s="346"/>
      <c r="J5223" s="39">
        <v>104928</v>
      </c>
      <c r="K5223" s="36" t="str">
        <f>CONCATENATE(Cover!$D$6,"fdd/view?i=",J5223)</f>
        <v>https://www.dgiwg.org/FAD/fdd/view?i=104928</v>
      </c>
      <c r="L5223" s="36" t="s">
        <v>36957</v>
      </c>
      <c r="M5223" s="186"/>
      <c r="N5223" s="186"/>
      <c r="O5223" s="172"/>
    </row>
    <row r="5224" spans="1:15" ht="25.5" x14ac:dyDescent="0.2">
      <c r="A5224" s="197" t="str">
        <f t="shared" si="81"/>
        <v>LngCode_english</v>
      </c>
      <c r="B5224" s="409"/>
      <c r="C5224" s="416"/>
      <c r="D5224" s="198" t="s">
        <v>36958</v>
      </c>
      <c r="E5224" s="198">
        <v>13</v>
      </c>
      <c r="F5224" s="199" t="s">
        <v>36959</v>
      </c>
      <c r="G5224" s="1" t="s">
        <v>36960</v>
      </c>
      <c r="H5224" s="1" t="s">
        <v>36961</v>
      </c>
      <c r="I5224" s="346"/>
      <c r="J5224" s="39">
        <v>104929</v>
      </c>
      <c r="K5224" s="36" t="str">
        <f>CONCATENATE(Cover!$D$6,"fdd/view?i=",J5224)</f>
        <v>https://www.dgiwg.org/FAD/fdd/view?i=104929</v>
      </c>
      <c r="L5224" s="36" t="s">
        <v>36962</v>
      </c>
      <c r="M5224" s="186"/>
      <c r="N5224" s="186"/>
      <c r="O5224" s="172"/>
    </row>
    <row r="5225" spans="1:15" x14ac:dyDescent="0.2">
      <c r="A5225" s="197" t="str">
        <f t="shared" si="81"/>
        <v>LngCode_estonian</v>
      </c>
      <c r="B5225" s="409"/>
      <c r="C5225" s="416"/>
      <c r="D5225" s="198" t="s">
        <v>36963</v>
      </c>
      <c r="E5225" s="198">
        <v>14</v>
      </c>
      <c r="F5225" s="199" t="s">
        <v>36964</v>
      </c>
      <c r="G5225" s="1" t="s">
        <v>36965</v>
      </c>
      <c r="H5225" s="200"/>
      <c r="I5225" s="346"/>
      <c r="J5225" s="39">
        <v>104930</v>
      </c>
      <c r="K5225" s="36" t="str">
        <f>CONCATENATE(Cover!$D$6,"fdd/view?i=",J5225)</f>
        <v>https://www.dgiwg.org/FAD/fdd/view?i=104930</v>
      </c>
      <c r="L5225" s="36" t="s">
        <v>36966</v>
      </c>
      <c r="M5225" s="186"/>
      <c r="N5225" s="186"/>
      <c r="O5225" s="172"/>
    </row>
    <row r="5226" spans="1:15" x14ac:dyDescent="0.2">
      <c r="A5226" s="197" t="str">
        <f t="shared" si="81"/>
        <v>LngCode_faroese</v>
      </c>
      <c r="B5226" s="409"/>
      <c r="C5226" s="416"/>
      <c r="D5226" s="198" t="s">
        <v>36967</v>
      </c>
      <c r="E5226" s="198">
        <v>15</v>
      </c>
      <c r="F5226" s="199" t="s">
        <v>36968</v>
      </c>
      <c r="G5226" s="1" t="s">
        <v>36969</v>
      </c>
      <c r="H5226" s="200"/>
      <c r="I5226" s="346"/>
      <c r="J5226" s="39">
        <v>104931</v>
      </c>
      <c r="K5226" s="36" t="str">
        <f>CONCATENATE(Cover!$D$6,"fdd/view?i=",J5226)</f>
        <v>https://www.dgiwg.org/FAD/fdd/view?i=104931</v>
      </c>
      <c r="L5226" s="36" t="s">
        <v>36970</v>
      </c>
      <c r="M5226" s="186"/>
      <c r="N5226" s="186"/>
      <c r="O5226" s="172"/>
    </row>
    <row r="5227" spans="1:15" x14ac:dyDescent="0.2">
      <c r="A5227" s="197" t="str">
        <f t="shared" si="81"/>
        <v>LngCode_finnish</v>
      </c>
      <c r="B5227" s="409"/>
      <c r="C5227" s="416"/>
      <c r="D5227" s="198" t="s">
        <v>36971</v>
      </c>
      <c r="E5227" s="198">
        <v>16</v>
      </c>
      <c r="F5227" s="199" t="s">
        <v>36972</v>
      </c>
      <c r="G5227" s="1" t="s">
        <v>36973</v>
      </c>
      <c r="H5227" s="200"/>
      <c r="I5227" s="346"/>
      <c r="J5227" s="39">
        <v>104932</v>
      </c>
      <c r="K5227" s="36" t="str">
        <f>CONCATENATE(Cover!$D$6,"fdd/view?i=",J5227)</f>
        <v>https://www.dgiwg.org/FAD/fdd/view?i=104932</v>
      </c>
      <c r="L5227" s="36" t="s">
        <v>36974</v>
      </c>
      <c r="M5227" s="186"/>
      <c r="N5227" s="186"/>
      <c r="O5227" s="172"/>
    </row>
    <row r="5228" spans="1:15" ht="25.5" x14ac:dyDescent="0.2">
      <c r="A5228" s="197" t="str">
        <f t="shared" si="81"/>
        <v>LngCode_flemish</v>
      </c>
      <c r="B5228" s="409"/>
      <c r="C5228" s="416"/>
      <c r="D5228" s="198" t="s">
        <v>36975</v>
      </c>
      <c r="E5228" s="198">
        <v>17</v>
      </c>
      <c r="F5228" s="199" t="s">
        <v>36976</v>
      </c>
      <c r="G5228" s="1" t="s">
        <v>36977</v>
      </c>
      <c r="H5228" s="200"/>
      <c r="I5228" s="346"/>
      <c r="J5228" s="39">
        <v>104933</v>
      </c>
      <c r="K5228" s="36" t="str">
        <f>CONCATENATE(Cover!$D$6,"fdd/view?i=",J5228)</f>
        <v>https://www.dgiwg.org/FAD/fdd/view?i=104933</v>
      </c>
      <c r="L5228" s="36" t="s">
        <v>36978</v>
      </c>
      <c r="M5228" s="186"/>
      <c r="N5228" s="186"/>
      <c r="O5228" s="172"/>
    </row>
    <row r="5229" spans="1:15" ht="51" x14ac:dyDescent="0.2">
      <c r="A5229" s="197" t="str">
        <f t="shared" si="81"/>
        <v>LngCode_french</v>
      </c>
      <c r="B5229" s="409"/>
      <c r="C5229" s="416"/>
      <c r="D5229" s="198" t="s">
        <v>36979</v>
      </c>
      <c r="E5229" s="198">
        <v>18</v>
      </c>
      <c r="F5229" s="199" t="s">
        <v>36980</v>
      </c>
      <c r="G5229" s="1" t="s">
        <v>36981</v>
      </c>
      <c r="H5229" s="200"/>
      <c r="I5229" s="346"/>
      <c r="J5229" s="39">
        <v>104934</v>
      </c>
      <c r="K5229" s="36" t="str">
        <f>CONCATENATE(Cover!$D$6,"fdd/view?i=",J5229)</f>
        <v>https://www.dgiwg.org/FAD/fdd/view?i=104934</v>
      </c>
      <c r="L5229" s="36" t="s">
        <v>36982</v>
      </c>
      <c r="M5229" s="186"/>
      <c r="N5229" s="186"/>
      <c r="O5229" s="172"/>
    </row>
    <row r="5230" spans="1:15" ht="25.5" x14ac:dyDescent="0.2">
      <c r="A5230" s="197" t="str">
        <f t="shared" si="81"/>
        <v>LngCode_german</v>
      </c>
      <c r="B5230" s="409"/>
      <c r="C5230" s="416"/>
      <c r="D5230" s="198" t="s">
        <v>36983</v>
      </c>
      <c r="E5230" s="198">
        <v>19</v>
      </c>
      <c r="F5230" s="199" t="s">
        <v>36984</v>
      </c>
      <c r="G5230" s="1" t="s">
        <v>36985</v>
      </c>
      <c r="H5230" s="200"/>
      <c r="I5230" s="346"/>
      <c r="J5230" s="39">
        <v>104935</v>
      </c>
      <c r="K5230" s="36" t="str">
        <f>CONCATENATE(Cover!$D$6,"fdd/view?i=",J5230)</f>
        <v>https://www.dgiwg.org/FAD/fdd/view?i=104935</v>
      </c>
      <c r="L5230" s="36" t="s">
        <v>36986</v>
      </c>
      <c r="M5230" s="186"/>
      <c r="N5230" s="186"/>
      <c r="O5230" s="172"/>
    </row>
    <row r="5231" spans="1:15" ht="25.5" x14ac:dyDescent="0.2">
      <c r="A5231" s="197" t="str">
        <f t="shared" si="81"/>
        <v>LngCode_greek</v>
      </c>
      <c r="B5231" s="409"/>
      <c r="C5231" s="416"/>
      <c r="D5231" s="198" t="s">
        <v>36987</v>
      </c>
      <c r="E5231" s="198">
        <v>20</v>
      </c>
      <c r="F5231" s="199" t="s">
        <v>36988</v>
      </c>
      <c r="G5231" s="1" t="s">
        <v>36989</v>
      </c>
      <c r="H5231" s="200"/>
      <c r="I5231" s="346"/>
      <c r="J5231" s="39">
        <v>104936</v>
      </c>
      <c r="K5231" s="36" t="str">
        <f>CONCATENATE(Cover!$D$6,"fdd/view?i=",J5231)</f>
        <v>https://www.dgiwg.org/FAD/fdd/view?i=104936</v>
      </c>
      <c r="L5231" s="36" t="s">
        <v>36990</v>
      </c>
      <c r="M5231" s="186"/>
      <c r="N5231" s="186"/>
      <c r="O5231" s="172"/>
    </row>
    <row r="5232" spans="1:15" x14ac:dyDescent="0.2">
      <c r="A5232" s="197" t="str">
        <f t="shared" si="81"/>
        <v>LngCode_greenlandic</v>
      </c>
      <c r="B5232" s="409"/>
      <c r="C5232" s="416"/>
      <c r="D5232" s="198" t="s">
        <v>36991</v>
      </c>
      <c r="E5232" s="198">
        <v>21</v>
      </c>
      <c r="F5232" s="199" t="s">
        <v>36992</v>
      </c>
      <c r="G5232" s="1" t="s">
        <v>36993</v>
      </c>
      <c r="H5232" s="200"/>
      <c r="I5232" s="346"/>
      <c r="J5232" s="39">
        <v>104937</v>
      </c>
      <c r="K5232" s="36" t="str">
        <f>CONCATENATE(Cover!$D$6,"fdd/view?i=",J5232)</f>
        <v>https://www.dgiwg.org/FAD/fdd/view?i=104937</v>
      </c>
      <c r="L5232" s="36" t="s">
        <v>36994</v>
      </c>
      <c r="M5232" s="186"/>
      <c r="N5232" s="186"/>
      <c r="O5232" s="172"/>
    </row>
    <row r="5233" spans="1:15" ht="25.5" x14ac:dyDescent="0.2">
      <c r="A5233" s="197" t="str">
        <f t="shared" si="81"/>
        <v>LngCode_hebrew</v>
      </c>
      <c r="B5233" s="409"/>
      <c r="C5233" s="416"/>
      <c r="D5233" s="198" t="s">
        <v>36995</v>
      </c>
      <c r="E5233" s="198">
        <v>22</v>
      </c>
      <c r="F5233" s="199" t="s">
        <v>36996</v>
      </c>
      <c r="G5233" s="1" t="s">
        <v>36997</v>
      </c>
      <c r="H5233" s="200"/>
      <c r="I5233" s="346"/>
      <c r="J5233" s="39">
        <v>104938</v>
      </c>
      <c r="K5233" s="36" t="str">
        <f>CONCATENATE(Cover!$D$6,"fdd/view?i=",J5233)</f>
        <v>https://www.dgiwg.org/FAD/fdd/view?i=104938</v>
      </c>
      <c r="L5233" s="36" t="s">
        <v>36998</v>
      </c>
      <c r="M5233" s="186"/>
      <c r="N5233" s="186"/>
      <c r="O5233" s="172"/>
    </row>
    <row r="5234" spans="1:15" ht="25.5" x14ac:dyDescent="0.2">
      <c r="A5234" s="197" t="str">
        <f t="shared" si="81"/>
        <v>LngCode_hungarian</v>
      </c>
      <c r="B5234" s="409"/>
      <c r="C5234" s="416"/>
      <c r="D5234" s="198" t="s">
        <v>36999</v>
      </c>
      <c r="E5234" s="198">
        <v>23</v>
      </c>
      <c r="F5234" s="199" t="s">
        <v>37000</v>
      </c>
      <c r="G5234" s="1" t="s">
        <v>37001</v>
      </c>
      <c r="H5234" s="200"/>
      <c r="I5234" s="346"/>
      <c r="J5234" s="39">
        <v>104939</v>
      </c>
      <c r="K5234" s="36" t="str">
        <f>CONCATENATE(Cover!$D$6,"fdd/view?i=",J5234)</f>
        <v>https://www.dgiwg.org/FAD/fdd/view?i=104939</v>
      </c>
      <c r="L5234" s="36" t="s">
        <v>37002</v>
      </c>
      <c r="M5234" s="186"/>
      <c r="N5234" s="186"/>
      <c r="O5234" s="172"/>
    </row>
    <row r="5235" spans="1:15" x14ac:dyDescent="0.2">
      <c r="A5235" s="197" t="str">
        <f t="shared" si="81"/>
        <v>LngCode_icelandic</v>
      </c>
      <c r="B5235" s="409"/>
      <c r="C5235" s="416"/>
      <c r="D5235" s="198" t="s">
        <v>37003</v>
      </c>
      <c r="E5235" s="198">
        <v>24</v>
      </c>
      <c r="F5235" s="199" t="s">
        <v>37004</v>
      </c>
      <c r="G5235" s="1" t="s">
        <v>37005</v>
      </c>
      <c r="H5235" s="200"/>
      <c r="I5235" s="346"/>
      <c r="J5235" s="39">
        <v>104940</v>
      </c>
      <c r="K5235" s="36" t="str">
        <f>CONCATENATE(Cover!$D$6,"fdd/view?i=",J5235)</f>
        <v>https://www.dgiwg.org/FAD/fdd/view?i=104940</v>
      </c>
      <c r="L5235" s="36" t="s">
        <v>37006</v>
      </c>
      <c r="M5235" s="186"/>
      <c r="N5235" s="186"/>
      <c r="O5235" s="172"/>
    </row>
    <row r="5236" spans="1:15" ht="25.5" x14ac:dyDescent="0.2">
      <c r="A5236" s="197" t="str">
        <f t="shared" si="81"/>
        <v>LngCode_indonesian</v>
      </c>
      <c r="B5236" s="409"/>
      <c r="C5236" s="416"/>
      <c r="D5236" s="198" t="s">
        <v>37007</v>
      </c>
      <c r="E5236" s="198">
        <v>25</v>
      </c>
      <c r="F5236" s="199" t="s">
        <v>37008</v>
      </c>
      <c r="G5236" s="1" t="s">
        <v>37009</v>
      </c>
      <c r="H5236" s="200"/>
      <c r="I5236" s="346"/>
      <c r="J5236" s="39">
        <v>104941</v>
      </c>
      <c r="K5236" s="36" t="str">
        <f>CONCATENATE(Cover!$D$6,"fdd/view?i=",J5236)</f>
        <v>https://www.dgiwg.org/FAD/fdd/view?i=104941</v>
      </c>
      <c r="L5236" s="36" t="s">
        <v>37010</v>
      </c>
      <c r="M5236" s="186"/>
      <c r="N5236" s="186"/>
      <c r="O5236" s="172"/>
    </row>
    <row r="5237" spans="1:15" x14ac:dyDescent="0.2">
      <c r="A5237" s="197" t="str">
        <f t="shared" si="81"/>
        <v>LngCode_irish</v>
      </c>
      <c r="B5237" s="409"/>
      <c r="C5237" s="416"/>
      <c r="D5237" s="198" t="s">
        <v>37011</v>
      </c>
      <c r="E5237" s="198">
        <v>26</v>
      </c>
      <c r="F5237" s="199" t="s">
        <v>37012</v>
      </c>
      <c r="G5237" s="1" t="s">
        <v>37013</v>
      </c>
      <c r="H5237" s="200"/>
      <c r="I5237" s="346"/>
      <c r="J5237" s="39">
        <v>104942</v>
      </c>
      <c r="K5237" s="36" t="str">
        <f>CONCATENATE(Cover!$D$6,"fdd/view?i=",J5237)</f>
        <v>https://www.dgiwg.org/FAD/fdd/view?i=104942</v>
      </c>
      <c r="L5237" s="36" t="s">
        <v>37014</v>
      </c>
      <c r="M5237" s="186"/>
      <c r="N5237" s="186"/>
      <c r="O5237" s="172"/>
    </row>
    <row r="5238" spans="1:15" x14ac:dyDescent="0.2">
      <c r="A5238" s="197" t="str">
        <f t="shared" si="81"/>
        <v>LngCode_italian</v>
      </c>
      <c r="B5238" s="409"/>
      <c r="C5238" s="416"/>
      <c r="D5238" s="198" t="s">
        <v>37015</v>
      </c>
      <c r="E5238" s="198">
        <v>27</v>
      </c>
      <c r="F5238" s="199" t="s">
        <v>37016</v>
      </c>
      <c r="G5238" s="1" t="s">
        <v>37017</v>
      </c>
      <c r="H5238" s="200"/>
      <c r="I5238" s="346"/>
      <c r="J5238" s="39">
        <v>104943</v>
      </c>
      <c r="K5238" s="36" t="str">
        <f>CONCATENATE(Cover!$D$6,"fdd/view?i=",J5238)</f>
        <v>https://www.dgiwg.org/FAD/fdd/view?i=104943</v>
      </c>
      <c r="L5238" s="36" t="s">
        <v>37018</v>
      </c>
      <c r="M5238" s="186"/>
      <c r="N5238" s="186"/>
      <c r="O5238" s="172"/>
    </row>
    <row r="5239" spans="1:15" x14ac:dyDescent="0.2">
      <c r="A5239" s="197" t="str">
        <f t="shared" si="81"/>
        <v>LngCode_japanese</v>
      </c>
      <c r="B5239" s="409"/>
      <c r="C5239" s="416"/>
      <c r="D5239" s="198" t="s">
        <v>37019</v>
      </c>
      <c r="E5239" s="198">
        <v>28</v>
      </c>
      <c r="F5239" s="199" t="s">
        <v>37020</v>
      </c>
      <c r="G5239" s="1" t="s">
        <v>37021</v>
      </c>
      <c r="H5239" s="200"/>
      <c r="I5239" s="346"/>
      <c r="J5239" s="39">
        <v>104944</v>
      </c>
      <c r="K5239" s="36" t="str">
        <f>CONCATENATE(Cover!$D$6,"fdd/view?i=",J5239)</f>
        <v>https://www.dgiwg.org/FAD/fdd/view?i=104944</v>
      </c>
      <c r="L5239" s="36" t="s">
        <v>37022</v>
      </c>
      <c r="M5239" s="186"/>
      <c r="N5239" s="186"/>
      <c r="O5239" s="172"/>
    </row>
    <row r="5240" spans="1:15" ht="25.5" x14ac:dyDescent="0.2">
      <c r="A5240" s="197" t="str">
        <f t="shared" si="81"/>
        <v>LngCode_khmer</v>
      </c>
      <c r="B5240" s="409"/>
      <c r="C5240" s="416"/>
      <c r="D5240" s="198" t="s">
        <v>37023</v>
      </c>
      <c r="E5240" s="198">
        <v>29</v>
      </c>
      <c r="F5240" s="199" t="s">
        <v>37024</v>
      </c>
      <c r="G5240" s="1" t="s">
        <v>37025</v>
      </c>
      <c r="H5240" s="200"/>
      <c r="I5240" s="351" t="s">
        <v>37026</v>
      </c>
      <c r="J5240" s="39">
        <v>104945</v>
      </c>
      <c r="K5240" s="36" t="str">
        <f>CONCATENATE(Cover!$D$6,"fdd/view?i=",J5240)</f>
        <v>https://www.dgiwg.org/FAD/fdd/view?i=104945</v>
      </c>
      <c r="L5240" s="36" t="s">
        <v>37027</v>
      </c>
      <c r="M5240" s="186"/>
      <c r="N5240" s="186"/>
      <c r="O5240" s="172"/>
    </row>
    <row r="5241" spans="1:15" ht="25.5" x14ac:dyDescent="0.2">
      <c r="A5241" s="197" t="str">
        <f t="shared" si="81"/>
        <v>LngCode_kinyarwanda</v>
      </c>
      <c r="B5241" s="409"/>
      <c r="C5241" s="416"/>
      <c r="D5241" s="198" t="s">
        <v>37028</v>
      </c>
      <c r="E5241" s="198">
        <v>30</v>
      </c>
      <c r="F5241" s="199" t="s">
        <v>37029</v>
      </c>
      <c r="G5241" s="1" t="s">
        <v>37030</v>
      </c>
      <c r="H5241" s="1" t="s">
        <v>37031</v>
      </c>
      <c r="I5241" s="346"/>
      <c r="J5241" s="39">
        <v>104946</v>
      </c>
      <c r="K5241" s="36" t="str">
        <f>CONCATENATE(Cover!$D$6,"fdd/view?i=",J5241)</f>
        <v>https://www.dgiwg.org/FAD/fdd/view?i=104946</v>
      </c>
      <c r="L5241" s="36" t="s">
        <v>37032</v>
      </c>
      <c r="M5241" s="186"/>
      <c r="N5241" s="186"/>
      <c r="O5241" s="172"/>
    </row>
    <row r="5242" spans="1:15" ht="25.5" x14ac:dyDescent="0.2">
      <c r="A5242" s="197" t="str">
        <f t="shared" si="81"/>
        <v>LngCode_kirundi</v>
      </c>
      <c r="B5242" s="409"/>
      <c r="C5242" s="416"/>
      <c r="D5242" s="198" t="s">
        <v>37033</v>
      </c>
      <c r="E5242" s="198">
        <v>31</v>
      </c>
      <c r="F5242" s="199" t="s">
        <v>37034</v>
      </c>
      <c r="G5242" s="1" t="s">
        <v>37035</v>
      </c>
      <c r="H5242" s="200"/>
      <c r="I5242" s="346"/>
      <c r="J5242" s="39">
        <v>104947</v>
      </c>
      <c r="K5242" s="36" t="str">
        <f>CONCATENATE(Cover!$D$6,"fdd/view?i=",J5242)</f>
        <v>https://www.dgiwg.org/FAD/fdd/view?i=104947</v>
      </c>
      <c r="L5242" s="36" t="s">
        <v>37036</v>
      </c>
      <c r="M5242" s="186"/>
      <c r="N5242" s="186"/>
      <c r="O5242" s="172"/>
    </row>
    <row r="5243" spans="1:15" x14ac:dyDescent="0.2">
      <c r="A5243" s="197" t="str">
        <f t="shared" si="81"/>
        <v>LngCode_korean</v>
      </c>
      <c r="B5243" s="409"/>
      <c r="C5243" s="416"/>
      <c r="D5243" s="198" t="s">
        <v>37037</v>
      </c>
      <c r="E5243" s="198">
        <v>32</v>
      </c>
      <c r="F5243" s="199" t="s">
        <v>37038</v>
      </c>
      <c r="G5243" s="1" t="s">
        <v>37039</v>
      </c>
      <c r="H5243" s="200"/>
      <c r="I5243" s="346"/>
      <c r="J5243" s="39">
        <v>104948</v>
      </c>
      <c r="K5243" s="36" t="str">
        <f>CONCATENATE(Cover!$D$6,"fdd/view?i=",J5243)</f>
        <v>https://www.dgiwg.org/FAD/fdd/view?i=104948</v>
      </c>
      <c r="L5243" s="36" t="s">
        <v>37040</v>
      </c>
      <c r="M5243" s="186"/>
      <c r="N5243" s="186"/>
      <c r="O5243" s="172"/>
    </row>
    <row r="5244" spans="1:15" ht="25.5" x14ac:dyDescent="0.2">
      <c r="A5244" s="197" t="str">
        <f t="shared" si="81"/>
        <v>LngCode_lao</v>
      </c>
      <c r="B5244" s="409"/>
      <c r="C5244" s="416"/>
      <c r="D5244" s="198" t="s">
        <v>37041</v>
      </c>
      <c r="E5244" s="198">
        <v>33</v>
      </c>
      <c r="F5244" s="199" t="s">
        <v>37042</v>
      </c>
      <c r="G5244" s="1" t="s">
        <v>37043</v>
      </c>
      <c r="H5244" s="200"/>
      <c r="I5244" s="346"/>
      <c r="J5244" s="39">
        <v>104949</v>
      </c>
      <c r="K5244" s="36" t="str">
        <f>CONCATENATE(Cover!$D$6,"fdd/view?i=",J5244)</f>
        <v>https://www.dgiwg.org/FAD/fdd/view?i=104949</v>
      </c>
      <c r="L5244" s="36" t="s">
        <v>37044</v>
      </c>
      <c r="M5244" s="186"/>
      <c r="N5244" s="186"/>
      <c r="O5244" s="172"/>
    </row>
    <row r="5245" spans="1:15" x14ac:dyDescent="0.2">
      <c r="A5245" s="197" t="str">
        <f t="shared" si="81"/>
        <v>LngCode_latvian</v>
      </c>
      <c r="B5245" s="409"/>
      <c r="C5245" s="416"/>
      <c r="D5245" s="198" t="s">
        <v>37045</v>
      </c>
      <c r="E5245" s="198">
        <v>34</v>
      </c>
      <c r="F5245" s="199" t="s">
        <v>37046</v>
      </c>
      <c r="G5245" s="1" t="s">
        <v>37047</v>
      </c>
      <c r="H5245" s="200"/>
      <c r="I5245" s="346"/>
      <c r="J5245" s="39">
        <v>104950</v>
      </c>
      <c r="K5245" s="36" t="str">
        <f>CONCATENATE(Cover!$D$6,"fdd/view?i=",J5245)</f>
        <v>https://www.dgiwg.org/FAD/fdd/view?i=104950</v>
      </c>
      <c r="L5245" s="36" t="s">
        <v>37048</v>
      </c>
      <c r="M5245" s="186"/>
      <c r="N5245" s="186"/>
      <c r="O5245" s="172"/>
    </row>
    <row r="5246" spans="1:15" x14ac:dyDescent="0.2">
      <c r="A5246" s="197" t="str">
        <f t="shared" si="81"/>
        <v>LngCode_lithuanian</v>
      </c>
      <c r="B5246" s="409"/>
      <c r="C5246" s="416"/>
      <c r="D5246" s="198" t="s">
        <v>37049</v>
      </c>
      <c r="E5246" s="198">
        <v>35</v>
      </c>
      <c r="F5246" s="199" t="s">
        <v>37050</v>
      </c>
      <c r="G5246" s="1" t="s">
        <v>37051</v>
      </c>
      <c r="H5246" s="200"/>
      <c r="I5246" s="346"/>
      <c r="J5246" s="39">
        <v>104951</v>
      </c>
      <c r="K5246" s="36" t="str">
        <f>CONCATENATE(Cover!$D$6,"fdd/view?i=",J5246)</f>
        <v>https://www.dgiwg.org/FAD/fdd/view?i=104951</v>
      </c>
      <c r="L5246" s="36" t="s">
        <v>37052</v>
      </c>
      <c r="M5246" s="186"/>
      <c r="N5246" s="186"/>
      <c r="O5246" s="172"/>
    </row>
    <row r="5247" spans="1:15" x14ac:dyDescent="0.2">
      <c r="A5247" s="197" t="str">
        <f t="shared" si="81"/>
        <v>LngCode_malagasy</v>
      </c>
      <c r="B5247" s="409"/>
      <c r="C5247" s="416"/>
      <c r="D5247" s="198" t="s">
        <v>37053</v>
      </c>
      <c r="E5247" s="198">
        <v>36</v>
      </c>
      <c r="F5247" s="199" t="s">
        <v>37054</v>
      </c>
      <c r="G5247" s="1" t="s">
        <v>37055</v>
      </c>
      <c r="H5247" s="200"/>
      <c r="I5247" s="346"/>
      <c r="J5247" s="39">
        <v>104952</v>
      </c>
      <c r="K5247" s="36" t="str">
        <f>CONCATENATE(Cover!$D$6,"fdd/view?i=",J5247)</f>
        <v>https://www.dgiwg.org/FAD/fdd/view?i=104952</v>
      </c>
      <c r="L5247" s="36" t="s">
        <v>37056</v>
      </c>
      <c r="M5247" s="186"/>
      <c r="N5247" s="186"/>
      <c r="O5247" s="172"/>
    </row>
    <row r="5248" spans="1:15" ht="25.5" x14ac:dyDescent="0.2">
      <c r="A5248" s="197" t="str">
        <f t="shared" si="81"/>
        <v>LngCode_malay</v>
      </c>
      <c r="B5248" s="409"/>
      <c r="C5248" s="416"/>
      <c r="D5248" s="198" t="s">
        <v>37057</v>
      </c>
      <c r="E5248" s="198">
        <v>37</v>
      </c>
      <c r="F5248" s="199" t="s">
        <v>37058</v>
      </c>
      <c r="G5248" s="1" t="s">
        <v>37059</v>
      </c>
      <c r="H5248" s="200"/>
      <c r="I5248" s="346"/>
      <c r="J5248" s="39">
        <v>104953</v>
      </c>
      <c r="K5248" s="36" t="str">
        <f>CONCATENATE(Cover!$D$6,"fdd/view?i=",J5248)</f>
        <v>https://www.dgiwg.org/FAD/fdd/view?i=104953</v>
      </c>
      <c r="L5248" s="36" t="s">
        <v>37060</v>
      </c>
      <c r="M5248" s="186"/>
      <c r="N5248" s="186"/>
      <c r="O5248" s="172"/>
    </row>
    <row r="5249" spans="1:15" x14ac:dyDescent="0.2">
      <c r="A5249" s="197" t="str">
        <f t="shared" si="81"/>
        <v>LngCode_maltese</v>
      </c>
      <c r="B5249" s="409"/>
      <c r="C5249" s="416"/>
      <c r="D5249" s="198" t="s">
        <v>37061</v>
      </c>
      <c r="E5249" s="198">
        <v>38</v>
      </c>
      <c r="F5249" s="199" t="s">
        <v>37062</v>
      </c>
      <c r="G5249" s="1" t="s">
        <v>37063</v>
      </c>
      <c r="H5249" s="200"/>
      <c r="I5249" s="346"/>
      <c r="J5249" s="39">
        <v>104954</v>
      </c>
      <c r="K5249" s="36" t="str">
        <f>CONCATENATE(Cover!$D$6,"fdd/view?i=",J5249)</f>
        <v>https://www.dgiwg.org/FAD/fdd/view?i=104954</v>
      </c>
      <c r="L5249" s="36" t="s">
        <v>37064</v>
      </c>
      <c r="M5249" s="186"/>
      <c r="N5249" s="186"/>
      <c r="O5249" s="172"/>
    </row>
    <row r="5250" spans="1:15" ht="25.5" x14ac:dyDescent="0.2">
      <c r="A5250" s="197" t="str">
        <f t="shared" ref="A5250:A5313" si="82">HYPERLINK(K5250,L5250)</f>
        <v>LngCode_mongolian</v>
      </c>
      <c r="B5250" s="409"/>
      <c r="C5250" s="416"/>
      <c r="D5250" s="198" t="s">
        <v>37065</v>
      </c>
      <c r="E5250" s="198">
        <v>39</v>
      </c>
      <c r="F5250" s="199" t="s">
        <v>37066</v>
      </c>
      <c r="G5250" s="1" t="s">
        <v>37067</v>
      </c>
      <c r="H5250" s="200"/>
      <c r="I5250" s="346"/>
      <c r="J5250" s="39">
        <v>104955</v>
      </c>
      <c r="K5250" s="36" t="str">
        <f>CONCATENATE(Cover!$D$6,"fdd/view?i=",J5250)</f>
        <v>https://www.dgiwg.org/FAD/fdd/view?i=104955</v>
      </c>
      <c r="L5250" s="36" t="s">
        <v>37068</v>
      </c>
      <c r="M5250" s="186"/>
      <c r="N5250" s="186"/>
      <c r="O5250" s="172"/>
    </row>
    <row r="5251" spans="1:15" x14ac:dyDescent="0.2">
      <c r="A5251" s="197" t="str">
        <f t="shared" si="82"/>
        <v>LngCode_nauruan</v>
      </c>
      <c r="B5251" s="409"/>
      <c r="C5251" s="416"/>
      <c r="D5251" s="198" t="s">
        <v>37069</v>
      </c>
      <c r="E5251" s="198">
        <v>40</v>
      </c>
      <c r="F5251" s="199" t="s">
        <v>37070</v>
      </c>
      <c r="G5251" s="1" t="s">
        <v>37071</v>
      </c>
      <c r="H5251" s="200"/>
      <c r="I5251" s="346"/>
      <c r="J5251" s="39">
        <v>104956</v>
      </c>
      <c r="K5251" s="36" t="str">
        <f>CONCATENATE(Cover!$D$6,"fdd/view?i=",J5251)</f>
        <v>https://www.dgiwg.org/FAD/fdd/view?i=104956</v>
      </c>
      <c r="L5251" s="36" t="s">
        <v>37072</v>
      </c>
      <c r="M5251" s="186"/>
      <c r="N5251" s="186"/>
      <c r="O5251" s="172"/>
    </row>
    <row r="5252" spans="1:15" x14ac:dyDescent="0.2">
      <c r="A5252" s="197" t="str">
        <f t="shared" si="82"/>
        <v>LngCode_norwegian</v>
      </c>
      <c r="B5252" s="409"/>
      <c r="C5252" s="416"/>
      <c r="D5252" s="198" t="s">
        <v>37073</v>
      </c>
      <c r="E5252" s="198">
        <v>41</v>
      </c>
      <c r="F5252" s="199" t="s">
        <v>37074</v>
      </c>
      <c r="G5252" s="1" t="s">
        <v>37075</v>
      </c>
      <c r="H5252" s="200"/>
      <c r="I5252" s="346"/>
      <c r="J5252" s="39">
        <v>104957</v>
      </c>
      <c r="K5252" s="36" t="str">
        <f>CONCATENATE(Cover!$D$6,"fdd/view?i=",J5252)</f>
        <v>https://www.dgiwg.org/FAD/fdd/view?i=104957</v>
      </c>
      <c r="L5252" s="36" t="s">
        <v>37076</v>
      </c>
      <c r="M5252" s="186"/>
      <c r="N5252" s="186"/>
      <c r="O5252" s="172"/>
    </row>
    <row r="5253" spans="1:15" ht="25.5" x14ac:dyDescent="0.2">
      <c r="A5253" s="197" t="str">
        <f t="shared" si="82"/>
        <v>LngCode_persian</v>
      </c>
      <c r="B5253" s="409"/>
      <c r="C5253" s="416"/>
      <c r="D5253" s="198" t="s">
        <v>37077</v>
      </c>
      <c r="E5253" s="198">
        <v>42</v>
      </c>
      <c r="F5253" s="199" t="s">
        <v>37078</v>
      </c>
      <c r="G5253" s="1" t="s">
        <v>37079</v>
      </c>
      <c r="H5253" s="200"/>
      <c r="I5253" s="346"/>
      <c r="J5253" s="39">
        <v>104958</v>
      </c>
      <c r="K5253" s="36" t="str">
        <f>CONCATENATE(Cover!$D$6,"fdd/view?i=",J5253)</f>
        <v>https://www.dgiwg.org/FAD/fdd/view?i=104958</v>
      </c>
      <c r="L5253" s="36" t="s">
        <v>37080</v>
      </c>
      <c r="M5253" s="186"/>
      <c r="N5253" s="186"/>
      <c r="O5253" s="172"/>
    </row>
    <row r="5254" spans="1:15" x14ac:dyDescent="0.2">
      <c r="A5254" s="197" t="str">
        <f t="shared" si="82"/>
        <v>LngCode_polish</v>
      </c>
      <c r="B5254" s="409"/>
      <c r="C5254" s="416"/>
      <c r="D5254" s="198" t="s">
        <v>37081</v>
      </c>
      <c r="E5254" s="198">
        <v>44</v>
      </c>
      <c r="F5254" s="199" t="s">
        <v>37082</v>
      </c>
      <c r="G5254" s="1" t="s">
        <v>37083</v>
      </c>
      <c r="H5254" s="200"/>
      <c r="I5254" s="346"/>
      <c r="J5254" s="39">
        <v>104960</v>
      </c>
      <c r="K5254" s="36" t="str">
        <f>CONCATENATE(Cover!$D$6,"fdd/view?i=",J5254)</f>
        <v>https://www.dgiwg.org/FAD/fdd/view?i=104960</v>
      </c>
      <c r="L5254" s="36" t="s">
        <v>37084</v>
      </c>
      <c r="M5254" s="186"/>
      <c r="N5254" s="186"/>
      <c r="O5254" s="172"/>
    </row>
    <row r="5255" spans="1:15" ht="25.5" x14ac:dyDescent="0.2">
      <c r="A5255" s="197" t="str">
        <f t="shared" si="82"/>
        <v>LngCode_portuguese</v>
      </c>
      <c r="B5255" s="409"/>
      <c r="C5255" s="416"/>
      <c r="D5255" s="198" t="s">
        <v>37085</v>
      </c>
      <c r="E5255" s="198">
        <v>45</v>
      </c>
      <c r="F5255" s="199" t="s">
        <v>37086</v>
      </c>
      <c r="G5255" s="1" t="s">
        <v>37087</v>
      </c>
      <c r="H5255" s="1" t="s">
        <v>37088</v>
      </c>
      <c r="I5255" s="346"/>
      <c r="J5255" s="39">
        <v>104961</v>
      </c>
      <c r="K5255" s="36" t="str">
        <f>CONCATENATE(Cover!$D$6,"fdd/view?i=",J5255)</f>
        <v>https://www.dgiwg.org/FAD/fdd/view?i=104961</v>
      </c>
      <c r="L5255" s="36" t="s">
        <v>37089</v>
      </c>
      <c r="M5255" s="186"/>
      <c r="N5255" s="186"/>
      <c r="O5255" s="172"/>
    </row>
    <row r="5256" spans="1:15" x14ac:dyDescent="0.2">
      <c r="A5256" s="197" t="str">
        <f t="shared" si="82"/>
        <v>LngCode_romanian</v>
      </c>
      <c r="B5256" s="409"/>
      <c r="C5256" s="416"/>
      <c r="D5256" s="198" t="s">
        <v>37090</v>
      </c>
      <c r="E5256" s="198">
        <v>46</v>
      </c>
      <c r="F5256" s="199" t="s">
        <v>37091</v>
      </c>
      <c r="G5256" s="1" t="s">
        <v>37092</v>
      </c>
      <c r="H5256" s="200"/>
      <c r="I5256" s="346"/>
      <c r="J5256" s="39">
        <v>104962</v>
      </c>
      <c r="K5256" s="36" t="str">
        <f>CONCATENATE(Cover!$D$6,"fdd/view?i=",J5256)</f>
        <v>https://www.dgiwg.org/FAD/fdd/view?i=104962</v>
      </c>
      <c r="L5256" s="36" t="s">
        <v>37093</v>
      </c>
      <c r="M5256" s="186"/>
      <c r="N5256" s="186"/>
      <c r="O5256" s="172"/>
    </row>
    <row r="5257" spans="1:15" ht="25.5" x14ac:dyDescent="0.2">
      <c r="A5257" s="197" t="str">
        <f t="shared" si="82"/>
        <v>LngCode_russian</v>
      </c>
      <c r="B5257" s="409"/>
      <c r="C5257" s="416"/>
      <c r="D5257" s="198" t="s">
        <v>37094</v>
      </c>
      <c r="E5257" s="198">
        <v>47</v>
      </c>
      <c r="F5257" s="199" t="s">
        <v>37095</v>
      </c>
      <c r="G5257" s="1" t="s">
        <v>37096</v>
      </c>
      <c r="H5257" s="1" t="s">
        <v>37097</v>
      </c>
      <c r="I5257" s="346"/>
      <c r="J5257" s="39">
        <v>104963</v>
      </c>
      <c r="K5257" s="36" t="str">
        <f>CONCATENATE(Cover!$D$6,"fdd/view?i=",J5257)</f>
        <v>https://www.dgiwg.org/FAD/fdd/view?i=104963</v>
      </c>
      <c r="L5257" s="36" t="s">
        <v>37098</v>
      </c>
      <c r="M5257" s="186"/>
      <c r="N5257" s="186"/>
      <c r="O5257" s="172"/>
    </row>
    <row r="5258" spans="1:15" x14ac:dyDescent="0.2">
      <c r="A5258" s="197" t="str">
        <f t="shared" si="82"/>
        <v>LngCode_samoan</v>
      </c>
      <c r="B5258" s="409"/>
      <c r="C5258" s="416"/>
      <c r="D5258" s="198" t="s">
        <v>37099</v>
      </c>
      <c r="E5258" s="198">
        <v>48</v>
      </c>
      <c r="F5258" s="199" t="s">
        <v>37100</v>
      </c>
      <c r="G5258" s="1" t="s">
        <v>37101</v>
      </c>
      <c r="H5258" s="200"/>
      <c r="I5258" s="346"/>
      <c r="J5258" s="39">
        <v>104964</v>
      </c>
      <c r="K5258" s="36" t="str">
        <f>CONCATENATE(Cover!$D$6,"fdd/view?i=",J5258)</f>
        <v>https://www.dgiwg.org/FAD/fdd/view?i=104964</v>
      </c>
      <c r="L5258" s="36" t="s">
        <v>37102</v>
      </c>
      <c r="M5258" s="186"/>
      <c r="N5258" s="186"/>
      <c r="O5258" s="172"/>
    </row>
    <row r="5259" spans="1:15" ht="25.5" x14ac:dyDescent="0.2">
      <c r="A5259" s="197" t="str">
        <f t="shared" si="82"/>
        <v>LngCode_serboCroat</v>
      </c>
      <c r="B5259" s="409"/>
      <c r="C5259" s="416"/>
      <c r="D5259" s="198" t="s">
        <v>37103</v>
      </c>
      <c r="E5259" s="198">
        <v>49</v>
      </c>
      <c r="F5259" s="199" t="s">
        <v>37104</v>
      </c>
      <c r="G5259" s="1" t="s">
        <v>37105</v>
      </c>
      <c r="H5259" s="200"/>
      <c r="I5259" s="351" t="s">
        <v>37106</v>
      </c>
      <c r="J5259" s="39">
        <v>104965</v>
      </c>
      <c r="K5259" s="36" t="str">
        <f>CONCATENATE(Cover!$D$6,"fdd/view?i=",J5259)</f>
        <v>https://www.dgiwg.org/FAD/fdd/view?i=104965</v>
      </c>
      <c r="L5259" s="36" t="s">
        <v>37107</v>
      </c>
      <c r="M5259" s="186"/>
      <c r="N5259" s="186"/>
      <c r="O5259" s="172"/>
    </row>
    <row r="5260" spans="1:15" x14ac:dyDescent="0.2">
      <c r="A5260" s="197" t="str">
        <f t="shared" si="82"/>
        <v>LngCode_slovak</v>
      </c>
      <c r="B5260" s="409"/>
      <c r="C5260" s="416"/>
      <c r="D5260" s="198" t="s">
        <v>37108</v>
      </c>
      <c r="E5260" s="198">
        <v>50</v>
      </c>
      <c r="F5260" s="199" t="s">
        <v>37109</v>
      </c>
      <c r="G5260" s="1" t="s">
        <v>37110</v>
      </c>
      <c r="H5260" s="200"/>
      <c r="I5260" s="346"/>
      <c r="J5260" s="39">
        <v>104966</v>
      </c>
      <c r="K5260" s="36" t="str">
        <f>CONCATENATE(Cover!$D$6,"fdd/view?i=",J5260)</f>
        <v>https://www.dgiwg.org/FAD/fdd/view?i=104966</v>
      </c>
      <c r="L5260" s="36" t="s">
        <v>37111</v>
      </c>
      <c r="M5260" s="186"/>
      <c r="N5260" s="186"/>
      <c r="O5260" s="172"/>
    </row>
    <row r="5261" spans="1:15" ht="25.5" x14ac:dyDescent="0.2">
      <c r="A5261" s="197" t="str">
        <f t="shared" si="82"/>
        <v>LngCode_somali</v>
      </c>
      <c r="B5261" s="409"/>
      <c r="C5261" s="416"/>
      <c r="D5261" s="198" t="s">
        <v>37112</v>
      </c>
      <c r="E5261" s="198">
        <v>51</v>
      </c>
      <c r="F5261" s="199" t="s">
        <v>37113</v>
      </c>
      <c r="G5261" s="1" t="s">
        <v>37114</v>
      </c>
      <c r="H5261" s="200"/>
      <c r="I5261" s="346"/>
      <c r="J5261" s="39">
        <v>104967</v>
      </c>
      <c r="K5261" s="36" t="str">
        <f>CONCATENATE(Cover!$D$6,"fdd/view?i=",J5261)</f>
        <v>https://www.dgiwg.org/FAD/fdd/view?i=104967</v>
      </c>
      <c r="L5261" s="36" t="s">
        <v>37115</v>
      </c>
      <c r="M5261" s="186"/>
      <c r="N5261" s="186"/>
      <c r="O5261" s="172"/>
    </row>
    <row r="5262" spans="1:15" ht="25.5" x14ac:dyDescent="0.2">
      <c r="A5262" s="197" t="str">
        <f t="shared" si="82"/>
        <v>LngCode_spanish</v>
      </c>
      <c r="B5262" s="409"/>
      <c r="C5262" s="416"/>
      <c r="D5262" s="198" t="s">
        <v>37116</v>
      </c>
      <c r="E5262" s="198">
        <v>52</v>
      </c>
      <c r="F5262" s="199" t="s">
        <v>37117</v>
      </c>
      <c r="G5262" s="1" t="s">
        <v>37118</v>
      </c>
      <c r="H5262" s="1" t="s">
        <v>37119</v>
      </c>
      <c r="I5262" s="346"/>
      <c r="J5262" s="39">
        <v>104968</v>
      </c>
      <c r="K5262" s="36" t="str">
        <f>CONCATENATE(Cover!$D$6,"fdd/view?i=",J5262)</f>
        <v>https://www.dgiwg.org/FAD/fdd/view?i=104968</v>
      </c>
      <c r="L5262" s="36" t="s">
        <v>37120</v>
      </c>
      <c r="M5262" s="186"/>
      <c r="N5262" s="186"/>
      <c r="O5262" s="172"/>
    </row>
    <row r="5263" spans="1:15" ht="25.5" x14ac:dyDescent="0.2">
      <c r="A5263" s="197" t="str">
        <f t="shared" si="82"/>
        <v>LngCode_swahili</v>
      </c>
      <c r="B5263" s="409"/>
      <c r="C5263" s="416"/>
      <c r="D5263" s="198" t="s">
        <v>37121</v>
      </c>
      <c r="E5263" s="198">
        <v>53</v>
      </c>
      <c r="F5263" s="199" t="s">
        <v>37122</v>
      </c>
      <c r="G5263" s="1" t="s">
        <v>37123</v>
      </c>
      <c r="H5263" s="200"/>
      <c r="I5263" s="346"/>
      <c r="J5263" s="39">
        <v>104969</v>
      </c>
      <c r="K5263" s="36" t="str">
        <f>CONCATENATE(Cover!$D$6,"fdd/view?i=",J5263)</f>
        <v>https://www.dgiwg.org/FAD/fdd/view?i=104969</v>
      </c>
      <c r="L5263" s="36" t="s">
        <v>37124</v>
      </c>
      <c r="M5263" s="186"/>
      <c r="N5263" s="186"/>
      <c r="O5263" s="172"/>
    </row>
    <row r="5264" spans="1:15" x14ac:dyDescent="0.2">
      <c r="A5264" s="197" t="str">
        <f t="shared" si="82"/>
        <v>LngCode_swedish</v>
      </c>
      <c r="B5264" s="409"/>
      <c r="C5264" s="416"/>
      <c r="D5264" s="198" t="s">
        <v>37125</v>
      </c>
      <c r="E5264" s="198">
        <v>54</v>
      </c>
      <c r="F5264" s="199" t="s">
        <v>37126</v>
      </c>
      <c r="G5264" s="1" t="s">
        <v>37127</v>
      </c>
      <c r="H5264" s="200"/>
      <c r="I5264" s="346"/>
      <c r="J5264" s="39">
        <v>104970</v>
      </c>
      <c r="K5264" s="36" t="str">
        <f>CONCATENATE(Cover!$D$6,"fdd/view?i=",J5264)</f>
        <v>https://www.dgiwg.org/FAD/fdd/view?i=104970</v>
      </c>
      <c r="L5264" s="36" t="s">
        <v>37128</v>
      </c>
      <c r="M5264" s="186"/>
      <c r="N5264" s="186"/>
      <c r="O5264" s="172"/>
    </row>
    <row r="5265" spans="1:15" ht="38.25" x14ac:dyDescent="0.2">
      <c r="A5265" s="197" t="str">
        <f t="shared" si="82"/>
        <v>LngCode_tagalog</v>
      </c>
      <c r="B5265" s="409"/>
      <c r="C5265" s="416"/>
      <c r="D5265" s="198" t="s">
        <v>37129</v>
      </c>
      <c r="E5265" s="198">
        <v>43</v>
      </c>
      <c r="F5265" s="199" t="s">
        <v>37130</v>
      </c>
      <c r="G5265" s="1" t="s">
        <v>37131</v>
      </c>
      <c r="H5265" s="200"/>
      <c r="I5265" s="351" t="s">
        <v>37132</v>
      </c>
      <c r="J5265" s="39">
        <v>104959</v>
      </c>
      <c r="K5265" s="36" t="str">
        <f>CONCATENATE(Cover!$D$6,"fdd/view?i=",J5265)</f>
        <v>https://www.dgiwg.org/FAD/fdd/view?i=104959</v>
      </c>
      <c r="L5265" s="36" t="s">
        <v>37133</v>
      </c>
      <c r="M5265" s="186"/>
      <c r="N5265" s="186"/>
      <c r="O5265" s="172"/>
    </row>
    <row r="5266" spans="1:15" ht="25.5" x14ac:dyDescent="0.2">
      <c r="A5266" s="197" t="str">
        <f t="shared" si="82"/>
        <v>LngCode_turkish</v>
      </c>
      <c r="B5266" s="409"/>
      <c r="C5266" s="416"/>
      <c r="D5266" s="198" t="s">
        <v>37134</v>
      </c>
      <c r="E5266" s="198">
        <v>55</v>
      </c>
      <c r="F5266" s="199" t="s">
        <v>37135</v>
      </c>
      <c r="G5266" s="1" t="s">
        <v>37136</v>
      </c>
      <c r="H5266" s="200"/>
      <c r="I5266" s="346"/>
      <c r="J5266" s="39">
        <v>104971</v>
      </c>
      <c r="K5266" s="36" t="str">
        <f>CONCATENATE(Cover!$D$6,"fdd/view?i=",J5266)</f>
        <v>https://www.dgiwg.org/FAD/fdd/view?i=104971</v>
      </c>
      <c r="L5266" s="36" t="s">
        <v>37137</v>
      </c>
      <c r="M5266" s="186"/>
      <c r="N5266" s="186"/>
      <c r="O5266" s="172"/>
    </row>
    <row r="5267" spans="1:15" ht="25.5" x14ac:dyDescent="0.2">
      <c r="A5267" s="203" t="str">
        <f t="shared" si="82"/>
        <v>LngCode_vietnamese</v>
      </c>
      <c r="B5267" s="410"/>
      <c r="C5267" s="417"/>
      <c r="D5267" s="204" t="s">
        <v>37138</v>
      </c>
      <c r="E5267" s="204">
        <v>56</v>
      </c>
      <c r="F5267" s="205" t="s">
        <v>37139</v>
      </c>
      <c r="G5267" s="206" t="s">
        <v>37140</v>
      </c>
      <c r="H5267" s="207"/>
      <c r="I5267" s="347"/>
      <c r="J5267" s="39">
        <v>104972</v>
      </c>
      <c r="K5267" s="36" t="str">
        <f>CONCATENATE(Cover!$D$6,"fdd/view?i=",J5267)</f>
        <v>https://www.dgiwg.org/FAD/fdd/view?i=104972</v>
      </c>
      <c r="L5267" s="36" t="s">
        <v>37141</v>
      </c>
      <c r="M5267" s="186"/>
      <c r="N5267" s="186"/>
      <c r="O5267" s="172"/>
    </row>
    <row r="5268" spans="1:15" x14ac:dyDescent="0.2">
      <c r="A5268" s="190" t="str">
        <f t="shared" si="82"/>
        <v>AclCode_accurate</v>
      </c>
      <c r="B5268" s="414" t="str">
        <f>HYPERLINK("[#]Datatypes!A818:L818","AclCode")</f>
        <v>AclCode</v>
      </c>
      <c r="C5268" s="415" t="s">
        <v>15407</v>
      </c>
      <c r="D5268" s="221" t="s">
        <v>29223</v>
      </c>
      <c r="E5268" s="221">
        <v>1</v>
      </c>
      <c r="F5268" s="222" t="s">
        <v>29224</v>
      </c>
      <c r="G5268" s="223" t="s">
        <v>29225</v>
      </c>
      <c r="H5268" s="224"/>
      <c r="I5268" s="345"/>
      <c r="J5268" s="39">
        <v>101587</v>
      </c>
      <c r="K5268" s="36" t="str">
        <f>CONCATENATE(Cover!$D$6,"fdd/view?i=",J5268)</f>
        <v>https://www.dgiwg.org/FAD/fdd/view?i=101587</v>
      </c>
      <c r="L5268" s="36" t="s">
        <v>37142</v>
      </c>
      <c r="M5268" s="186"/>
      <c r="N5268" s="186"/>
      <c r="O5268" s="172"/>
    </row>
    <row r="5269" spans="1:15" ht="25.5" x14ac:dyDescent="0.2">
      <c r="A5269" s="203" t="str">
        <f t="shared" si="82"/>
        <v>AclCode_approximate</v>
      </c>
      <c r="B5269" s="410"/>
      <c r="C5269" s="417"/>
      <c r="D5269" s="204" t="s">
        <v>29227</v>
      </c>
      <c r="E5269" s="204">
        <v>2</v>
      </c>
      <c r="F5269" s="205" t="s">
        <v>29228</v>
      </c>
      <c r="G5269" s="206" t="s">
        <v>29229</v>
      </c>
      <c r="H5269" s="207"/>
      <c r="I5269" s="347"/>
      <c r="J5269" s="39">
        <v>101588</v>
      </c>
      <c r="K5269" s="36" t="str">
        <f>CONCATENATE(Cover!$D$6,"fdd/view?i=",J5269)</f>
        <v>https://www.dgiwg.org/FAD/fdd/view?i=101588</v>
      </c>
      <c r="L5269" s="36" t="s">
        <v>37143</v>
      </c>
      <c r="M5269" s="186"/>
      <c r="N5269" s="186"/>
      <c r="O5269" s="172"/>
    </row>
    <row r="5270" spans="1:15" ht="25.5" x14ac:dyDescent="0.2">
      <c r="A5270" s="190" t="str">
        <f t="shared" si="82"/>
        <v>ShlCode_buildingRubble</v>
      </c>
      <c r="B5270" s="414" t="str">
        <f>HYPERLINK("[#]Datatypes!A820:L820","ShlCode")</f>
        <v>ShlCode</v>
      </c>
      <c r="C5270" s="415" t="s">
        <v>15409</v>
      </c>
      <c r="D5270" s="221" t="s">
        <v>37144</v>
      </c>
      <c r="E5270" s="221">
        <v>11</v>
      </c>
      <c r="F5270" s="222" t="s">
        <v>37145</v>
      </c>
      <c r="G5270" s="223" t="s">
        <v>37146</v>
      </c>
      <c r="H5270" s="224"/>
      <c r="I5270" s="345"/>
      <c r="J5270" s="39">
        <v>107654</v>
      </c>
      <c r="K5270" s="36" t="str">
        <f>CONCATENATE(Cover!$D$6,"fdd/view?i=",J5270)</f>
        <v>https://www.dgiwg.org/FAD/fdd/view?i=107654</v>
      </c>
      <c r="L5270" s="36" t="s">
        <v>37147</v>
      </c>
      <c r="M5270" s="186"/>
      <c r="N5270" s="186"/>
      <c r="O5270" s="172"/>
    </row>
    <row r="5271" spans="1:15" ht="38.25" x14ac:dyDescent="0.2">
      <c r="A5271" s="197" t="str">
        <f t="shared" si="82"/>
        <v>ShlCode_erosionRubble</v>
      </c>
      <c r="B5271" s="409"/>
      <c r="C5271" s="416"/>
      <c r="D5271" s="198" t="s">
        <v>37148</v>
      </c>
      <c r="E5271" s="198">
        <v>12</v>
      </c>
      <c r="F5271" s="199" t="s">
        <v>37149</v>
      </c>
      <c r="G5271" s="1" t="s">
        <v>37150</v>
      </c>
      <c r="H5271" s="1" t="s">
        <v>37151</v>
      </c>
      <c r="I5271" s="346"/>
      <c r="J5271" s="39">
        <v>117752</v>
      </c>
      <c r="K5271" s="36" t="str">
        <f>CONCATENATE(Cover!$D$6,"fdd/view?i=",J5271)</f>
        <v>https://www.dgiwg.org/FAD/fdd/view?i=117752</v>
      </c>
      <c r="L5271" s="36" t="s">
        <v>37152</v>
      </c>
      <c r="M5271" s="186"/>
      <c r="N5271" s="186"/>
      <c r="O5271" s="172"/>
    </row>
    <row r="5272" spans="1:15" ht="38.25" x14ac:dyDescent="0.2">
      <c r="A5272" s="197" t="str">
        <f t="shared" si="82"/>
        <v>ShlCode_mangrove</v>
      </c>
      <c r="B5272" s="409"/>
      <c r="C5272" s="416"/>
      <c r="D5272" s="198" t="s">
        <v>26176</v>
      </c>
      <c r="E5272" s="198">
        <v>6</v>
      </c>
      <c r="F5272" s="199" t="s">
        <v>26177</v>
      </c>
      <c r="G5272" s="1" t="s">
        <v>37153</v>
      </c>
      <c r="H5272" s="200"/>
      <c r="I5272" s="346"/>
      <c r="J5272" s="39">
        <v>107651</v>
      </c>
      <c r="K5272" s="36" t="str">
        <f>CONCATENATE(Cover!$D$6,"fdd/view?i=",J5272)</f>
        <v>https://www.dgiwg.org/FAD/fdd/view?i=107651</v>
      </c>
      <c r="L5272" s="36" t="s">
        <v>37154</v>
      </c>
      <c r="M5272" s="186"/>
      <c r="N5272" s="186"/>
      <c r="O5272" s="172"/>
    </row>
    <row r="5273" spans="1:15" ht="38.25" x14ac:dyDescent="0.2">
      <c r="A5273" s="197" t="str">
        <f t="shared" si="82"/>
        <v>ShlCode_marshy</v>
      </c>
      <c r="B5273" s="409"/>
      <c r="C5273" s="416"/>
      <c r="D5273" s="198" t="s">
        <v>26180</v>
      </c>
      <c r="E5273" s="198">
        <v>8</v>
      </c>
      <c r="F5273" s="199" t="s">
        <v>26181</v>
      </c>
      <c r="G5273" s="1" t="s">
        <v>37155</v>
      </c>
      <c r="H5273" s="1" t="s">
        <v>37156</v>
      </c>
      <c r="I5273" s="346"/>
      <c r="J5273" s="39">
        <v>107652</v>
      </c>
      <c r="K5273" s="36" t="str">
        <f>CONCATENATE(Cover!$D$6,"fdd/view?i=",J5273)</f>
        <v>https://www.dgiwg.org/FAD/fdd/view?i=107652</v>
      </c>
      <c r="L5273" s="36" t="s">
        <v>37157</v>
      </c>
      <c r="M5273" s="186"/>
      <c r="N5273" s="186"/>
      <c r="O5273" s="172"/>
    </row>
    <row r="5274" spans="1:15" ht="38.25" x14ac:dyDescent="0.2">
      <c r="A5274" s="197" t="str">
        <f t="shared" si="82"/>
        <v>ShlCode_sandy</v>
      </c>
      <c r="B5274" s="409"/>
      <c r="C5274" s="416"/>
      <c r="D5274" s="198" t="s">
        <v>37158</v>
      </c>
      <c r="E5274" s="198">
        <v>13</v>
      </c>
      <c r="F5274" s="199" t="s">
        <v>37159</v>
      </c>
      <c r="G5274" s="1" t="s">
        <v>37160</v>
      </c>
      <c r="H5274" s="200"/>
      <c r="I5274" s="346"/>
      <c r="J5274" s="39">
        <v>107655</v>
      </c>
      <c r="K5274" s="36" t="str">
        <f>CONCATENATE(Cover!$D$6,"fdd/view?i=",J5274)</f>
        <v>https://www.dgiwg.org/FAD/fdd/view?i=107655</v>
      </c>
      <c r="L5274" s="36" t="s">
        <v>37161</v>
      </c>
      <c r="M5274" s="186"/>
      <c r="N5274" s="186"/>
      <c r="O5274" s="172"/>
    </row>
    <row r="5275" spans="1:15" ht="25.5" x14ac:dyDescent="0.2">
      <c r="A5275" s="197" t="str">
        <f t="shared" si="82"/>
        <v>ShlCode_shingly</v>
      </c>
      <c r="B5275" s="409"/>
      <c r="C5275" s="416"/>
      <c r="D5275" s="198" t="s">
        <v>37162</v>
      </c>
      <c r="E5275" s="198">
        <v>14</v>
      </c>
      <c r="F5275" s="199" t="s">
        <v>37163</v>
      </c>
      <c r="G5275" s="1" t="s">
        <v>37164</v>
      </c>
      <c r="H5275" s="200"/>
      <c r="I5275" s="346"/>
      <c r="J5275" s="39">
        <v>107656</v>
      </c>
      <c r="K5275" s="36" t="str">
        <f>CONCATENATE(Cover!$D$6,"fdd/view?i=",J5275)</f>
        <v>https://www.dgiwg.org/FAD/fdd/view?i=107656</v>
      </c>
      <c r="L5275" s="36" t="s">
        <v>37165</v>
      </c>
      <c r="M5275" s="186"/>
      <c r="N5275" s="186"/>
      <c r="O5275" s="172"/>
    </row>
    <row r="5276" spans="1:15" ht="25.5" x14ac:dyDescent="0.2">
      <c r="A5276" s="203" t="str">
        <f t="shared" si="82"/>
        <v>ShlCode_stony</v>
      </c>
      <c r="B5276" s="410"/>
      <c r="C5276" s="417"/>
      <c r="D5276" s="204" t="s">
        <v>37166</v>
      </c>
      <c r="E5276" s="204">
        <v>10</v>
      </c>
      <c r="F5276" s="205" t="s">
        <v>37167</v>
      </c>
      <c r="G5276" s="206" t="s">
        <v>37168</v>
      </c>
      <c r="H5276" s="207"/>
      <c r="I5276" s="347"/>
      <c r="J5276" s="39">
        <v>107653</v>
      </c>
      <c r="K5276" s="36" t="str">
        <f>CONCATENATE(Cover!$D$6,"fdd/view?i=",J5276)</f>
        <v>https://www.dgiwg.org/FAD/fdd/view?i=107653</v>
      </c>
      <c r="L5276" s="36" t="s">
        <v>37169</v>
      </c>
      <c r="M5276" s="186"/>
      <c r="N5276" s="186"/>
      <c r="O5276" s="172"/>
    </row>
    <row r="5277" spans="1:15" x14ac:dyDescent="0.2">
      <c r="A5277" s="190" t="str">
        <f t="shared" si="82"/>
        <v>LgaCode_illegal</v>
      </c>
      <c r="B5277" s="414" t="str">
        <f>HYPERLINK("[#]Datatypes!A822:L822","LgaCode")</f>
        <v>LgaCode</v>
      </c>
      <c r="C5277" s="415" t="s">
        <v>15411</v>
      </c>
      <c r="D5277" s="221" t="s">
        <v>37170</v>
      </c>
      <c r="E5277" s="221">
        <v>1</v>
      </c>
      <c r="F5277" s="222" t="s">
        <v>37171</v>
      </c>
      <c r="G5277" s="223" t="s">
        <v>37172</v>
      </c>
      <c r="H5277" s="224"/>
      <c r="I5277" s="345"/>
      <c r="J5277" s="39">
        <v>113497</v>
      </c>
      <c r="K5277" s="36" t="str">
        <f>CONCATENATE(Cover!$D$6,"fdd/view?i=",J5277)</f>
        <v>https://www.dgiwg.org/FAD/fdd/view?i=113497</v>
      </c>
      <c r="L5277" s="36" t="s">
        <v>37173</v>
      </c>
      <c r="M5277" s="186"/>
      <c r="N5277" s="186"/>
      <c r="O5277" s="172"/>
    </row>
    <row r="5278" spans="1:15" x14ac:dyDescent="0.2">
      <c r="A5278" s="197" t="str">
        <f t="shared" si="82"/>
        <v>LgaCode_legal</v>
      </c>
      <c r="B5278" s="409"/>
      <c r="C5278" s="416"/>
      <c r="D5278" s="198" t="s">
        <v>37174</v>
      </c>
      <c r="E5278" s="198">
        <v>3</v>
      </c>
      <c r="F5278" s="199" t="s">
        <v>37175</v>
      </c>
      <c r="G5278" s="1" t="s">
        <v>37176</v>
      </c>
      <c r="H5278" s="200"/>
      <c r="I5278" s="346"/>
      <c r="J5278" s="39">
        <v>113499</v>
      </c>
      <c r="K5278" s="36" t="str">
        <f>CONCATENATE(Cover!$D$6,"fdd/view?i=",J5278)</f>
        <v>https://www.dgiwg.org/FAD/fdd/view?i=113499</v>
      </c>
      <c r="L5278" s="36" t="s">
        <v>37177</v>
      </c>
      <c r="M5278" s="186"/>
      <c r="N5278" s="186"/>
      <c r="O5278" s="172"/>
    </row>
    <row r="5279" spans="1:15" x14ac:dyDescent="0.2">
      <c r="A5279" s="203" t="str">
        <f t="shared" si="82"/>
        <v>LgaCode_tolerated</v>
      </c>
      <c r="B5279" s="410"/>
      <c r="C5279" s="417"/>
      <c r="D5279" s="204" t="s">
        <v>37178</v>
      </c>
      <c r="E5279" s="204">
        <v>2</v>
      </c>
      <c r="F5279" s="205" t="s">
        <v>37179</v>
      </c>
      <c r="G5279" s="206" t="s">
        <v>37180</v>
      </c>
      <c r="H5279" s="207"/>
      <c r="I5279" s="347"/>
      <c r="J5279" s="39">
        <v>113498</v>
      </c>
      <c r="K5279" s="36" t="str">
        <f>CONCATENATE(Cover!$D$6,"fdd/view?i=",J5279)</f>
        <v>https://www.dgiwg.org/FAD/fdd/view?i=113498</v>
      </c>
      <c r="L5279" s="36" t="s">
        <v>37181</v>
      </c>
      <c r="M5279" s="186"/>
      <c r="N5279" s="186"/>
      <c r="O5279" s="172"/>
    </row>
    <row r="5280" spans="1:15" ht="63.75" x14ac:dyDescent="0.2">
      <c r="A5280" s="190" t="str">
        <f t="shared" si="82"/>
        <v>LisCode_high</v>
      </c>
      <c r="B5280" s="414" t="str">
        <f>HYPERLINK("[#]Datatypes!A824:L824","LisCode")</f>
        <v>LisCode</v>
      </c>
      <c r="C5280" s="415" t="s">
        <v>15413</v>
      </c>
      <c r="D5280" s="221" t="s">
        <v>20199</v>
      </c>
      <c r="E5280" s="221">
        <v>1</v>
      </c>
      <c r="F5280" s="222" t="s">
        <v>20200</v>
      </c>
      <c r="G5280" s="223" t="s">
        <v>37182</v>
      </c>
      <c r="H5280" s="223" t="s">
        <v>37183</v>
      </c>
      <c r="I5280" s="345"/>
      <c r="J5280" s="39">
        <v>115616</v>
      </c>
      <c r="K5280" s="36" t="str">
        <f>CONCATENATE(Cover!$D$6,"fdd/view?i=",J5280)</f>
        <v>https://www.dgiwg.org/FAD/fdd/view?i=115616</v>
      </c>
      <c r="L5280" s="36" t="s">
        <v>37184</v>
      </c>
      <c r="M5280" s="186"/>
      <c r="N5280" s="186"/>
      <c r="O5280" s="172"/>
    </row>
    <row r="5281" spans="1:15" x14ac:dyDescent="0.2">
      <c r="A5281" s="197" t="str">
        <f t="shared" si="82"/>
        <v>LisCode_low</v>
      </c>
      <c r="B5281" s="409"/>
      <c r="C5281" s="416"/>
      <c r="D5281" s="198" t="s">
        <v>20203</v>
      </c>
      <c r="E5281" s="198">
        <v>3</v>
      </c>
      <c r="F5281" s="199" t="s">
        <v>20204</v>
      </c>
      <c r="G5281" s="1" t="s">
        <v>37185</v>
      </c>
      <c r="H5281" s="200"/>
      <c r="I5281" s="346"/>
      <c r="J5281" s="39">
        <v>115618</v>
      </c>
      <c r="K5281" s="36" t="str">
        <f>CONCATENATE(Cover!$D$6,"fdd/view?i=",J5281)</f>
        <v>https://www.dgiwg.org/FAD/fdd/view?i=115618</v>
      </c>
      <c r="L5281" s="36" t="s">
        <v>37186</v>
      </c>
      <c r="M5281" s="186"/>
      <c r="N5281" s="186"/>
      <c r="O5281" s="172"/>
    </row>
    <row r="5282" spans="1:15" x14ac:dyDescent="0.2">
      <c r="A5282" s="203" t="str">
        <f t="shared" si="82"/>
        <v>LisCode_medium</v>
      </c>
      <c r="B5282" s="410"/>
      <c r="C5282" s="417"/>
      <c r="D5282" s="204" t="s">
        <v>37187</v>
      </c>
      <c r="E5282" s="204">
        <v>2</v>
      </c>
      <c r="F5282" s="205" t="s">
        <v>37188</v>
      </c>
      <c r="G5282" s="206" t="s">
        <v>37189</v>
      </c>
      <c r="H5282" s="207"/>
      <c r="I5282" s="347"/>
      <c r="J5282" s="39">
        <v>115617</v>
      </c>
      <c r="K5282" s="36" t="str">
        <f>CONCATENATE(Cover!$D$6,"fdd/view?i=",J5282)</f>
        <v>https://www.dgiwg.org/FAD/fdd/view?i=115617</v>
      </c>
      <c r="L5282" s="36" t="s">
        <v>37190</v>
      </c>
      <c r="M5282" s="186"/>
      <c r="N5282" s="186"/>
      <c r="O5282" s="172"/>
    </row>
    <row r="5283" spans="1:15" x14ac:dyDescent="0.2">
      <c r="A5283" s="190" t="str">
        <f t="shared" si="82"/>
        <v>LivCode_fixed</v>
      </c>
      <c r="B5283" s="414" t="str">
        <f>HYPERLINK("[#]Datatypes!A826:L826","LivCode")</f>
        <v>LivCode</v>
      </c>
      <c r="C5283" s="415" t="s">
        <v>15415</v>
      </c>
      <c r="D5283" s="221" t="s">
        <v>24466</v>
      </c>
      <c r="E5283" s="221">
        <v>2</v>
      </c>
      <c r="F5283" s="222" t="s">
        <v>24467</v>
      </c>
      <c r="G5283" s="223" t="s">
        <v>37191</v>
      </c>
      <c r="H5283" s="224"/>
      <c r="I5283" s="345"/>
      <c r="J5283" s="39">
        <v>115620</v>
      </c>
      <c r="K5283" s="36" t="str">
        <f>CONCATENATE(Cover!$D$6,"fdd/view?i=",J5283)</f>
        <v>https://www.dgiwg.org/FAD/fdd/view?i=115620</v>
      </c>
      <c r="L5283" s="36" t="s">
        <v>37192</v>
      </c>
      <c r="M5283" s="186"/>
      <c r="N5283" s="186"/>
      <c r="O5283" s="172"/>
    </row>
    <row r="5284" spans="1:15" ht="25.5" x14ac:dyDescent="0.2">
      <c r="A5284" s="203" t="str">
        <f t="shared" si="82"/>
        <v>LivCode_variable</v>
      </c>
      <c r="B5284" s="410"/>
      <c r="C5284" s="417"/>
      <c r="D5284" s="204" t="s">
        <v>25602</v>
      </c>
      <c r="E5284" s="204">
        <v>1</v>
      </c>
      <c r="F5284" s="205" t="s">
        <v>37193</v>
      </c>
      <c r="G5284" s="206" t="s">
        <v>37194</v>
      </c>
      <c r="H5284" s="206" t="s">
        <v>37195</v>
      </c>
      <c r="I5284" s="347"/>
      <c r="J5284" s="39">
        <v>115619</v>
      </c>
      <c r="K5284" s="36" t="str">
        <f>CONCATENATE(Cover!$D$6,"fdd/view?i=",J5284)</f>
        <v>https://www.dgiwg.org/FAD/fdd/view?i=115619</v>
      </c>
      <c r="L5284" s="36" t="s">
        <v>37196</v>
      </c>
      <c r="M5284" s="186"/>
      <c r="N5284" s="186"/>
      <c r="O5284" s="172"/>
    </row>
    <row r="5285" spans="1:15" x14ac:dyDescent="0.2">
      <c r="A5285" s="190" t="str">
        <f t="shared" si="82"/>
        <v>VisCode_faint</v>
      </c>
      <c r="B5285" s="414" t="str">
        <f>HYPERLINK("[#]Datatypes!A828:L828","VisCode")</f>
        <v>VisCode</v>
      </c>
      <c r="C5285" s="415" t="s">
        <v>15417</v>
      </c>
      <c r="D5285" s="221" t="s">
        <v>37197</v>
      </c>
      <c r="E5285" s="221">
        <v>3</v>
      </c>
      <c r="F5285" s="222" t="s">
        <v>37198</v>
      </c>
      <c r="G5285" s="223" t="s">
        <v>37199</v>
      </c>
      <c r="H5285" s="223" t="s">
        <v>37200</v>
      </c>
      <c r="I5285" s="345"/>
      <c r="J5285" s="39">
        <v>109303</v>
      </c>
      <c r="K5285" s="36" t="str">
        <f>CONCATENATE(Cover!$D$6,"fdd/view?i=",J5285)</f>
        <v>https://www.dgiwg.org/FAD/fdd/view?i=109303</v>
      </c>
      <c r="L5285" s="36" t="s">
        <v>37201</v>
      </c>
      <c r="M5285" s="186"/>
      <c r="N5285" s="186"/>
      <c r="O5285" s="172"/>
    </row>
    <row r="5286" spans="1:15" ht="25.5" x14ac:dyDescent="0.2">
      <c r="A5286" s="197" t="str">
        <f t="shared" si="82"/>
        <v>VisCode_highIntensity</v>
      </c>
      <c r="B5286" s="409"/>
      <c r="C5286" s="416"/>
      <c r="D5286" s="198" t="s">
        <v>37202</v>
      </c>
      <c r="E5286" s="198">
        <v>1</v>
      </c>
      <c r="F5286" s="199" t="s">
        <v>37203</v>
      </c>
      <c r="G5286" s="1" t="s">
        <v>37204</v>
      </c>
      <c r="H5286" s="200"/>
      <c r="I5286" s="351" t="s">
        <v>37205</v>
      </c>
      <c r="J5286" s="39">
        <v>109301</v>
      </c>
      <c r="K5286" s="36" t="str">
        <f>CONCATENATE(Cover!$D$6,"fdd/view?i=",J5286)</f>
        <v>https://www.dgiwg.org/FAD/fdd/view?i=109301</v>
      </c>
      <c r="L5286" s="36" t="s">
        <v>37206</v>
      </c>
      <c r="M5286" s="186"/>
      <c r="N5286" s="186"/>
      <c r="O5286" s="172"/>
    </row>
    <row r="5287" spans="1:15" ht="25.5" x14ac:dyDescent="0.2">
      <c r="A5287" s="197" t="str">
        <f t="shared" si="82"/>
        <v>VisCode_intensified</v>
      </c>
      <c r="B5287" s="409"/>
      <c r="C5287" s="416"/>
      <c r="D5287" s="198" t="s">
        <v>37207</v>
      </c>
      <c r="E5287" s="198">
        <v>4</v>
      </c>
      <c r="F5287" s="199" t="s">
        <v>37208</v>
      </c>
      <c r="G5287" s="1" t="s">
        <v>37209</v>
      </c>
      <c r="H5287" s="200"/>
      <c r="I5287" s="346"/>
      <c r="J5287" s="39">
        <v>109304</v>
      </c>
      <c r="K5287" s="36" t="str">
        <f>CONCATENATE(Cover!$D$6,"fdd/view?i=",J5287)</f>
        <v>https://www.dgiwg.org/FAD/fdd/view?i=109304</v>
      </c>
      <c r="L5287" s="36" t="s">
        <v>37210</v>
      </c>
      <c r="M5287" s="186"/>
      <c r="N5287" s="186"/>
      <c r="O5287" s="172"/>
    </row>
    <row r="5288" spans="1:15" x14ac:dyDescent="0.2">
      <c r="A5288" s="197" t="str">
        <f t="shared" si="82"/>
        <v>VisCode_lowIntensity</v>
      </c>
      <c r="B5288" s="409"/>
      <c r="C5288" s="416"/>
      <c r="D5288" s="198" t="s">
        <v>37211</v>
      </c>
      <c r="E5288" s="198">
        <v>2</v>
      </c>
      <c r="F5288" s="199" t="s">
        <v>37212</v>
      </c>
      <c r="G5288" s="1" t="s">
        <v>37213</v>
      </c>
      <c r="H5288" s="200"/>
      <c r="I5288" s="346"/>
      <c r="J5288" s="39">
        <v>109302</v>
      </c>
      <c r="K5288" s="36" t="str">
        <f>CONCATENATE(Cover!$D$6,"fdd/view?i=",J5288)</f>
        <v>https://www.dgiwg.org/FAD/fdd/view?i=109302</v>
      </c>
      <c r="L5288" s="36" t="s">
        <v>37214</v>
      </c>
      <c r="M5288" s="186"/>
      <c r="N5288" s="186"/>
      <c r="O5288" s="172"/>
    </row>
    <row r="5289" spans="1:15" ht="25.5" x14ac:dyDescent="0.2">
      <c r="A5289" s="197" t="str">
        <f t="shared" si="82"/>
        <v>VisCode_obscured</v>
      </c>
      <c r="B5289" s="409"/>
      <c r="C5289" s="416"/>
      <c r="D5289" s="198" t="s">
        <v>37215</v>
      </c>
      <c r="E5289" s="198">
        <v>7</v>
      </c>
      <c r="F5289" s="199" t="s">
        <v>37216</v>
      </c>
      <c r="G5289" s="1" t="s">
        <v>37217</v>
      </c>
      <c r="H5289" s="200"/>
      <c r="I5289" s="346"/>
      <c r="J5289" s="39">
        <v>109307</v>
      </c>
      <c r="K5289" s="36" t="str">
        <f>CONCATENATE(Cover!$D$6,"fdd/view?i=",J5289)</f>
        <v>https://www.dgiwg.org/FAD/fdd/view?i=109307</v>
      </c>
      <c r="L5289" s="36" t="s">
        <v>37218</v>
      </c>
      <c r="M5289" s="186"/>
      <c r="N5289" s="186"/>
      <c r="O5289" s="172"/>
    </row>
    <row r="5290" spans="1:15" ht="25.5" x14ac:dyDescent="0.2">
      <c r="A5290" s="197" t="str">
        <f t="shared" si="82"/>
        <v>VisCode_partiallyObscured</v>
      </c>
      <c r="B5290" s="409"/>
      <c r="C5290" s="416"/>
      <c r="D5290" s="198" t="s">
        <v>37219</v>
      </c>
      <c r="E5290" s="198">
        <v>8</v>
      </c>
      <c r="F5290" s="199" t="s">
        <v>37220</v>
      </c>
      <c r="G5290" s="1" t="s">
        <v>37221</v>
      </c>
      <c r="H5290" s="200"/>
      <c r="I5290" s="346"/>
      <c r="J5290" s="39">
        <v>109308</v>
      </c>
      <c r="K5290" s="36" t="str">
        <f>CONCATENATE(Cover!$D$6,"fdd/view?i=",J5290)</f>
        <v>https://www.dgiwg.org/FAD/fdd/view?i=109308</v>
      </c>
      <c r="L5290" s="36" t="s">
        <v>37222</v>
      </c>
      <c r="M5290" s="186"/>
      <c r="N5290" s="186"/>
      <c r="O5290" s="172"/>
    </row>
    <row r="5291" spans="1:15" ht="25.5" x14ac:dyDescent="0.2">
      <c r="A5291" s="197" t="str">
        <f t="shared" si="82"/>
        <v>VisCode_unintensified</v>
      </c>
      <c r="B5291" s="409"/>
      <c r="C5291" s="416"/>
      <c r="D5291" s="198" t="s">
        <v>37223</v>
      </c>
      <c r="E5291" s="198">
        <v>5</v>
      </c>
      <c r="F5291" s="199" t="s">
        <v>37224</v>
      </c>
      <c r="G5291" s="1" t="s">
        <v>37225</v>
      </c>
      <c r="H5291" s="200"/>
      <c r="I5291" s="346"/>
      <c r="J5291" s="39">
        <v>109305</v>
      </c>
      <c r="K5291" s="36" t="str">
        <f>CONCATENATE(Cover!$D$6,"fdd/view?i=",J5291)</f>
        <v>https://www.dgiwg.org/FAD/fdd/view?i=109305</v>
      </c>
      <c r="L5291" s="36" t="s">
        <v>37226</v>
      </c>
      <c r="M5291" s="186"/>
      <c r="N5291" s="186"/>
      <c r="O5291" s="172"/>
    </row>
    <row r="5292" spans="1:15" ht="25.5" x14ac:dyDescent="0.2">
      <c r="A5292" s="203" t="str">
        <f t="shared" si="82"/>
        <v>VisCode_visDeliberatelyRestricted</v>
      </c>
      <c r="B5292" s="410"/>
      <c r="C5292" s="417"/>
      <c r="D5292" s="204" t="s">
        <v>37227</v>
      </c>
      <c r="E5292" s="204">
        <v>6</v>
      </c>
      <c r="F5292" s="205" t="s">
        <v>37228</v>
      </c>
      <c r="G5292" s="206" t="s">
        <v>37229</v>
      </c>
      <c r="H5292" s="207"/>
      <c r="I5292" s="347"/>
      <c r="J5292" s="39">
        <v>109306</v>
      </c>
      <c r="K5292" s="36" t="str">
        <f>CONCATENATE(Cover!$D$6,"fdd/view?i=",J5292)</f>
        <v>https://www.dgiwg.org/FAD/fdd/view?i=109306</v>
      </c>
      <c r="L5292" s="36" t="s">
        <v>37230</v>
      </c>
      <c r="M5292" s="186"/>
      <c r="N5292" s="186"/>
      <c r="O5292" s="172"/>
    </row>
    <row r="5293" spans="1:15" ht="25.5" x14ac:dyDescent="0.2">
      <c r="A5293" s="190" t="str">
        <f t="shared" si="82"/>
        <v>RtaCode_doubleArrangement</v>
      </c>
      <c r="B5293" s="414" t="str">
        <f>HYPERLINK("[#]Datatypes!A830:L830","RtaCode")</f>
        <v>RtaCode</v>
      </c>
      <c r="C5293" s="415" t="s">
        <v>15419</v>
      </c>
      <c r="D5293" s="221" t="s">
        <v>37231</v>
      </c>
      <c r="E5293" s="221">
        <v>2</v>
      </c>
      <c r="F5293" s="222" t="s">
        <v>37232</v>
      </c>
      <c r="G5293" s="223" t="s">
        <v>37233</v>
      </c>
      <c r="H5293" s="224"/>
      <c r="I5293" s="345"/>
      <c r="J5293" s="39">
        <v>103811</v>
      </c>
      <c r="K5293" s="36" t="str">
        <f>CONCATENATE(Cover!$D$6,"fdd/view?i=",J5293)</f>
        <v>https://www.dgiwg.org/FAD/fdd/view?i=103811</v>
      </c>
      <c r="L5293" s="36" t="s">
        <v>37234</v>
      </c>
      <c r="M5293" s="186"/>
      <c r="N5293" s="186"/>
      <c r="O5293" s="172"/>
    </row>
    <row r="5294" spans="1:15" ht="25.5" x14ac:dyDescent="0.2">
      <c r="A5294" s="197" t="str">
        <f t="shared" si="82"/>
        <v>RtaCode_multipleArrangements</v>
      </c>
      <c r="B5294" s="409"/>
      <c r="C5294" s="416"/>
      <c r="D5294" s="198" t="s">
        <v>37235</v>
      </c>
      <c r="E5294" s="198">
        <v>3</v>
      </c>
      <c r="F5294" s="199" t="s">
        <v>37236</v>
      </c>
      <c r="G5294" s="1" t="s">
        <v>37237</v>
      </c>
      <c r="H5294" s="200"/>
      <c r="I5294" s="346"/>
      <c r="J5294" s="39">
        <v>103812</v>
      </c>
      <c r="K5294" s="36" t="str">
        <f>CONCATENATE(Cover!$D$6,"fdd/view?i=",J5294)</f>
        <v>https://www.dgiwg.org/FAD/fdd/view?i=103812</v>
      </c>
      <c r="L5294" s="36" t="s">
        <v>37238</v>
      </c>
      <c r="M5294" s="186"/>
      <c r="N5294" s="186"/>
      <c r="O5294" s="172"/>
    </row>
    <row r="5295" spans="1:15" ht="25.5" x14ac:dyDescent="0.2">
      <c r="A5295" s="203" t="str">
        <f t="shared" si="82"/>
        <v>RtaCode_singleArrangement</v>
      </c>
      <c r="B5295" s="410"/>
      <c r="C5295" s="417"/>
      <c r="D5295" s="204" t="s">
        <v>37239</v>
      </c>
      <c r="E5295" s="204">
        <v>1</v>
      </c>
      <c r="F5295" s="205" t="s">
        <v>37240</v>
      </c>
      <c r="G5295" s="206" t="s">
        <v>37241</v>
      </c>
      <c r="H5295" s="207"/>
      <c r="I5295" s="347"/>
      <c r="J5295" s="39">
        <v>103810</v>
      </c>
      <c r="K5295" s="36" t="str">
        <f>CONCATENATE(Cover!$D$6,"fdd/view?i=",J5295)</f>
        <v>https://www.dgiwg.org/FAD/fdd/view?i=103810</v>
      </c>
      <c r="L5295" s="36" t="s">
        <v>37242</v>
      </c>
      <c r="M5295" s="186"/>
      <c r="N5295" s="186"/>
      <c r="O5295" s="172"/>
    </row>
    <row r="5296" spans="1:15" x14ac:dyDescent="0.2">
      <c r="A5296" s="190" t="str">
        <f t="shared" si="82"/>
        <v>ImlCode_convergent</v>
      </c>
      <c r="B5296" s="414" t="str">
        <f>HYPERLINK("[#]Datatypes!A832:L832","ImlCode")</f>
        <v>ImlCode</v>
      </c>
      <c r="C5296" s="415" t="s">
        <v>15421</v>
      </c>
      <c r="D5296" s="221" t="s">
        <v>37243</v>
      </c>
      <c r="E5296" s="221">
        <v>1</v>
      </c>
      <c r="F5296" s="222" t="s">
        <v>37244</v>
      </c>
      <c r="G5296" s="223" t="s">
        <v>37245</v>
      </c>
      <c r="H5296" s="224"/>
      <c r="I5296" s="345"/>
      <c r="J5296" s="39">
        <v>113428</v>
      </c>
      <c r="K5296" s="36" t="str">
        <f>CONCATENATE(Cover!$D$6,"fdd/view?i=",J5296)</f>
        <v>https://www.dgiwg.org/FAD/fdd/view?i=113428</v>
      </c>
      <c r="L5296" s="36" t="s">
        <v>37246</v>
      </c>
      <c r="M5296" s="186"/>
      <c r="N5296" s="186"/>
      <c r="O5296" s="172"/>
    </row>
    <row r="5297" spans="1:15" x14ac:dyDescent="0.2">
      <c r="A5297" s="197" t="str">
        <f t="shared" si="82"/>
        <v>ImlCode_divergent</v>
      </c>
      <c r="B5297" s="409"/>
      <c r="C5297" s="416"/>
      <c r="D5297" s="198" t="s">
        <v>37247</v>
      </c>
      <c r="E5297" s="198">
        <v>2</v>
      </c>
      <c r="F5297" s="199" t="s">
        <v>37248</v>
      </c>
      <c r="G5297" s="1" t="s">
        <v>37249</v>
      </c>
      <c r="H5297" s="200"/>
      <c r="I5297" s="346"/>
      <c r="J5297" s="39">
        <v>113429</v>
      </c>
      <c r="K5297" s="36" t="str">
        <f>CONCATENATE(Cover!$D$6,"fdd/view?i=",J5297)</f>
        <v>https://www.dgiwg.org/FAD/fdd/view?i=113429</v>
      </c>
      <c r="L5297" s="36" t="s">
        <v>37250</v>
      </c>
      <c r="M5297" s="186"/>
      <c r="N5297" s="186"/>
      <c r="O5297" s="172"/>
    </row>
    <row r="5298" spans="1:15" ht="25.5" x14ac:dyDescent="0.2">
      <c r="A5298" s="197" t="str">
        <f t="shared" si="82"/>
        <v>ImlCode_obduction</v>
      </c>
      <c r="B5298" s="409"/>
      <c r="C5298" s="416"/>
      <c r="D5298" s="198" t="s">
        <v>37251</v>
      </c>
      <c r="E5298" s="198">
        <v>3</v>
      </c>
      <c r="F5298" s="199" t="s">
        <v>37252</v>
      </c>
      <c r="G5298" s="1" t="s">
        <v>37253</v>
      </c>
      <c r="H5298" s="200"/>
      <c r="I5298" s="346"/>
      <c r="J5298" s="39">
        <v>113430</v>
      </c>
      <c r="K5298" s="36" t="str">
        <f>CONCATENATE(Cover!$D$6,"fdd/view?i=",J5298)</f>
        <v>https://www.dgiwg.org/FAD/fdd/view?i=113430</v>
      </c>
      <c r="L5298" s="36" t="s">
        <v>37254</v>
      </c>
      <c r="M5298" s="186"/>
      <c r="N5298" s="186"/>
      <c r="O5298" s="172"/>
    </row>
    <row r="5299" spans="1:15" x14ac:dyDescent="0.2">
      <c r="A5299" s="197" t="str">
        <f t="shared" si="82"/>
        <v>ImlCode_subduction</v>
      </c>
      <c r="B5299" s="409"/>
      <c r="C5299" s="416"/>
      <c r="D5299" s="198" t="s">
        <v>37255</v>
      </c>
      <c r="E5299" s="198">
        <v>4</v>
      </c>
      <c r="F5299" s="199" t="s">
        <v>37256</v>
      </c>
      <c r="G5299" s="1" t="s">
        <v>37257</v>
      </c>
      <c r="H5299" s="200"/>
      <c r="I5299" s="346"/>
      <c r="J5299" s="39">
        <v>113431</v>
      </c>
      <c r="K5299" s="36" t="str">
        <f>CONCATENATE(Cover!$D$6,"fdd/view?i=",J5299)</f>
        <v>https://www.dgiwg.org/FAD/fdd/view?i=113431</v>
      </c>
      <c r="L5299" s="36" t="s">
        <v>37258</v>
      </c>
      <c r="M5299" s="186"/>
      <c r="N5299" s="186"/>
      <c r="O5299" s="172"/>
    </row>
    <row r="5300" spans="1:15" x14ac:dyDescent="0.2">
      <c r="A5300" s="203" t="str">
        <f t="shared" si="82"/>
        <v>ImlCode_transform</v>
      </c>
      <c r="B5300" s="410"/>
      <c r="C5300" s="417"/>
      <c r="D5300" s="204" t="s">
        <v>37259</v>
      </c>
      <c r="E5300" s="204">
        <v>5</v>
      </c>
      <c r="F5300" s="205" t="s">
        <v>37260</v>
      </c>
      <c r="G5300" s="206" t="s">
        <v>37261</v>
      </c>
      <c r="H5300" s="207"/>
      <c r="I5300" s="347"/>
      <c r="J5300" s="39">
        <v>113432</v>
      </c>
      <c r="K5300" s="36" t="str">
        <f>CONCATENATE(Cover!$D$6,"fdd/view?i=",J5300)</f>
        <v>https://www.dgiwg.org/FAD/fdd/view?i=113432</v>
      </c>
      <c r="L5300" s="36" t="s">
        <v>37262</v>
      </c>
      <c r="M5300" s="186"/>
      <c r="N5300" s="186"/>
      <c r="O5300" s="172"/>
    </row>
    <row r="5301" spans="1:15" ht="76.5" x14ac:dyDescent="0.2">
      <c r="A5301" s="190" t="str">
        <f t="shared" si="82"/>
        <v>NapCode_aegeanSeaPlate</v>
      </c>
      <c r="B5301" s="414" t="str">
        <f>HYPERLINK("[#]Datatypes!A834:L834","NapCode")</f>
        <v>NapCode</v>
      </c>
      <c r="C5301" s="415" t="s">
        <v>15423</v>
      </c>
      <c r="D5301" s="221" t="s">
        <v>37263</v>
      </c>
      <c r="E5301" s="221">
        <v>18</v>
      </c>
      <c r="F5301" s="222" t="s">
        <v>37264</v>
      </c>
      <c r="G5301" s="223" t="s">
        <v>37265</v>
      </c>
      <c r="H5301" s="223" t="s">
        <v>37266</v>
      </c>
      <c r="I5301" s="352" t="s">
        <v>37267</v>
      </c>
      <c r="J5301" s="39">
        <v>118485</v>
      </c>
      <c r="K5301" s="36" t="str">
        <f>CONCATENATE(Cover!$D$6,"fdd/view?i=",J5301)</f>
        <v>https://www.dgiwg.org/FAD/fdd/view?i=118485</v>
      </c>
      <c r="L5301" s="36" t="s">
        <v>37268</v>
      </c>
      <c r="M5301" s="186"/>
      <c r="N5301" s="186"/>
      <c r="O5301" s="172"/>
    </row>
    <row r="5302" spans="1:15" ht="25.5" x14ac:dyDescent="0.2">
      <c r="A5302" s="197" t="str">
        <f t="shared" si="82"/>
        <v>NapCode_africanPlate</v>
      </c>
      <c r="B5302" s="409"/>
      <c r="C5302" s="416"/>
      <c r="D5302" s="198" t="s">
        <v>37269</v>
      </c>
      <c r="E5302" s="198">
        <v>1</v>
      </c>
      <c r="F5302" s="199" t="s">
        <v>37270</v>
      </c>
      <c r="G5302" s="1" t="s">
        <v>37271</v>
      </c>
      <c r="H5302" s="200"/>
      <c r="I5302" s="346"/>
      <c r="J5302" s="39">
        <v>113565</v>
      </c>
      <c r="K5302" s="36" t="str">
        <f>CONCATENATE(Cover!$D$6,"fdd/view?i=",J5302)</f>
        <v>https://www.dgiwg.org/FAD/fdd/view?i=113565</v>
      </c>
      <c r="L5302" s="36" t="s">
        <v>37272</v>
      </c>
      <c r="M5302" s="186"/>
      <c r="N5302" s="186"/>
      <c r="O5302" s="172"/>
    </row>
    <row r="5303" spans="1:15" ht="76.5" x14ac:dyDescent="0.2">
      <c r="A5303" s="197" t="str">
        <f t="shared" si="82"/>
        <v>NapCode_anatolianPlate</v>
      </c>
      <c r="B5303" s="409"/>
      <c r="C5303" s="416"/>
      <c r="D5303" s="198" t="s">
        <v>37273</v>
      </c>
      <c r="E5303" s="198">
        <v>19</v>
      </c>
      <c r="F5303" s="199" t="s">
        <v>37274</v>
      </c>
      <c r="G5303" s="1" t="s">
        <v>37275</v>
      </c>
      <c r="H5303" s="1" t="s">
        <v>37276</v>
      </c>
      <c r="I5303" s="346"/>
      <c r="J5303" s="39">
        <v>118486</v>
      </c>
      <c r="K5303" s="36" t="str">
        <f>CONCATENATE(Cover!$D$6,"fdd/view?i=",J5303)</f>
        <v>https://www.dgiwg.org/FAD/fdd/view?i=118486</v>
      </c>
      <c r="L5303" s="36" t="s">
        <v>37277</v>
      </c>
      <c r="M5303" s="186"/>
      <c r="N5303" s="186"/>
      <c r="O5303" s="172"/>
    </row>
    <row r="5304" spans="1:15" ht="38.25" x14ac:dyDescent="0.2">
      <c r="A5304" s="197" t="str">
        <f t="shared" si="82"/>
        <v>NapCode_antarcticPlate</v>
      </c>
      <c r="B5304" s="409"/>
      <c r="C5304" s="416"/>
      <c r="D5304" s="198" t="s">
        <v>37278</v>
      </c>
      <c r="E5304" s="198">
        <v>2</v>
      </c>
      <c r="F5304" s="199" t="s">
        <v>37279</v>
      </c>
      <c r="G5304" s="1" t="s">
        <v>37280</v>
      </c>
      <c r="H5304" s="1" t="s">
        <v>37281</v>
      </c>
      <c r="I5304" s="346"/>
      <c r="J5304" s="39">
        <v>113566</v>
      </c>
      <c r="K5304" s="36" t="str">
        <f>CONCATENATE(Cover!$D$6,"fdd/view?i=",J5304)</f>
        <v>https://www.dgiwg.org/FAD/fdd/view?i=113566</v>
      </c>
      <c r="L5304" s="36" t="s">
        <v>37282</v>
      </c>
      <c r="M5304" s="186"/>
      <c r="N5304" s="186"/>
      <c r="O5304" s="172"/>
    </row>
    <row r="5305" spans="1:15" ht="25.5" x14ac:dyDescent="0.2">
      <c r="A5305" s="197" t="str">
        <f t="shared" si="82"/>
        <v>NapCode_apulianPlate</v>
      </c>
      <c r="B5305" s="409"/>
      <c r="C5305" s="416"/>
      <c r="D5305" s="198" t="s">
        <v>37283</v>
      </c>
      <c r="E5305" s="198">
        <v>20</v>
      </c>
      <c r="F5305" s="199" t="s">
        <v>37284</v>
      </c>
      <c r="G5305" s="1" t="s">
        <v>37285</v>
      </c>
      <c r="H5305" s="1" t="s">
        <v>37286</v>
      </c>
      <c r="I5305" s="346"/>
      <c r="J5305" s="39">
        <v>118487</v>
      </c>
      <c r="K5305" s="36" t="str">
        <f>CONCATENATE(Cover!$D$6,"fdd/view?i=",J5305)</f>
        <v>https://www.dgiwg.org/FAD/fdd/view?i=118487</v>
      </c>
      <c r="L5305" s="36" t="s">
        <v>37287</v>
      </c>
      <c r="M5305" s="186"/>
      <c r="N5305" s="186"/>
      <c r="O5305" s="172"/>
    </row>
    <row r="5306" spans="1:15" ht="25.5" x14ac:dyDescent="0.2">
      <c r="A5306" s="197" t="str">
        <f t="shared" si="82"/>
        <v>NapCode_arabianPlate</v>
      </c>
      <c r="B5306" s="409"/>
      <c r="C5306" s="416"/>
      <c r="D5306" s="198" t="s">
        <v>37288</v>
      </c>
      <c r="E5306" s="198">
        <v>3</v>
      </c>
      <c r="F5306" s="199" t="s">
        <v>37289</v>
      </c>
      <c r="G5306" s="1" t="s">
        <v>37290</v>
      </c>
      <c r="H5306" s="200"/>
      <c r="I5306" s="346"/>
      <c r="J5306" s="39">
        <v>113567</v>
      </c>
      <c r="K5306" s="36" t="str">
        <f>CONCATENATE(Cover!$D$6,"fdd/view?i=",J5306)</f>
        <v>https://www.dgiwg.org/FAD/fdd/view?i=113567</v>
      </c>
      <c r="L5306" s="36" t="s">
        <v>37291</v>
      </c>
      <c r="M5306" s="186"/>
      <c r="N5306" s="186"/>
      <c r="O5306" s="172"/>
    </row>
    <row r="5307" spans="1:15" ht="63.75" x14ac:dyDescent="0.2">
      <c r="A5307" s="197" t="str">
        <f t="shared" si="82"/>
        <v>NapCode_australianPlate</v>
      </c>
      <c r="B5307" s="409"/>
      <c r="C5307" s="416"/>
      <c r="D5307" s="198" t="s">
        <v>37292</v>
      </c>
      <c r="E5307" s="198">
        <v>23</v>
      </c>
      <c r="F5307" s="199" t="s">
        <v>37293</v>
      </c>
      <c r="G5307" s="1" t="s">
        <v>37294</v>
      </c>
      <c r="H5307" s="1" t="s">
        <v>37295</v>
      </c>
      <c r="I5307" s="346"/>
      <c r="J5307" s="39">
        <v>118490</v>
      </c>
      <c r="K5307" s="36" t="str">
        <f>CONCATENATE(Cover!$D$6,"fdd/view?i=",J5307)</f>
        <v>https://www.dgiwg.org/FAD/fdd/view?i=118490</v>
      </c>
      <c r="L5307" s="36" t="s">
        <v>37296</v>
      </c>
      <c r="M5307" s="186"/>
      <c r="N5307" s="186"/>
      <c r="O5307" s="172"/>
    </row>
    <row r="5308" spans="1:15" ht="25.5" x14ac:dyDescent="0.2">
      <c r="A5308" s="197" t="str">
        <f t="shared" si="82"/>
        <v>NapCode_bismarckPlate</v>
      </c>
      <c r="B5308" s="409"/>
      <c r="C5308" s="416"/>
      <c r="D5308" s="198" t="s">
        <v>37297</v>
      </c>
      <c r="E5308" s="198">
        <v>22</v>
      </c>
      <c r="F5308" s="199" t="s">
        <v>37298</v>
      </c>
      <c r="G5308" s="1" t="s">
        <v>37299</v>
      </c>
      <c r="H5308" s="1" t="s">
        <v>37300</v>
      </c>
      <c r="I5308" s="346"/>
      <c r="J5308" s="39">
        <v>118489</v>
      </c>
      <c r="K5308" s="36" t="str">
        <f>CONCATENATE(Cover!$D$6,"fdd/view?i=",J5308)</f>
        <v>https://www.dgiwg.org/FAD/fdd/view?i=118489</v>
      </c>
      <c r="L5308" s="36" t="s">
        <v>37301</v>
      </c>
      <c r="M5308" s="186"/>
      <c r="N5308" s="186"/>
      <c r="O5308" s="172"/>
    </row>
    <row r="5309" spans="1:15" ht="25.5" x14ac:dyDescent="0.2">
      <c r="A5309" s="197" t="str">
        <f t="shared" si="82"/>
        <v>NapCode_caribbeanPlate</v>
      </c>
      <c r="B5309" s="409"/>
      <c r="C5309" s="416"/>
      <c r="D5309" s="198" t="s">
        <v>37302</v>
      </c>
      <c r="E5309" s="198">
        <v>4</v>
      </c>
      <c r="F5309" s="199" t="s">
        <v>37303</v>
      </c>
      <c r="G5309" s="1" t="s">
        <v>37304</v>
      </c>
      <c r="H5309" s="1" t="s">
        <v>37305</v>
      </c>
      <c r="I5309" s="346"/>
      <c r="J5309" s="39">
        <v>113568</v>
      </c>
      <c r="K5309" s="36" t="str">
        <f>CONCATENATE(Cover!$D$6,"fdd/view?i=",J5309)</f>
        <v>https://www.dgiwg.org/FAD/fdd/view?i=113568</v>
      </c>
      <c r="L5309" s="36" t="s">
        <v>37306</v>
      </c>
      <c r="M5309" s="186"/>
      <c r="N5309" s="186"/>
      <c r="O5309" s="172"/>
    </row>
    <row r="5310" spans="1:15" ht="25.5" x14ac:dyDescent="0.2">
      <c r="A5310" s="197" t="str">
        <f t="shared" si="82"/>
        <v>NapCode_cocosPlate</v>
      </c>
      <c r="B5310" s="409"/>
      <c r="C5310" s="416"/>
      <c r="D5310" s="198" t="s">
        <v>37307</v>
      </c>
      <c r="E5310" s="198">
        <v>5</v>
      </c>
      <c r="F5310" s="199" t="s">
        <v>37308</v>
      </c>
      <c r="G5310" s="1" t="s">
        <v>37309</v>
      </c>
      <c r="H5310" s="200"/>
      <c r="I5310" s="346"/>
      <c r="J5310" s="39">
        <v>113569</v>
      </c>
      <c r="K5310" s="36" t="str">
        <f>CONCATENATE(Cover!$D$6,"fdd/view?i=",J5310)</f>
        <v>https://www.dgiwg.org/FAD/fdd/view?i=113569</v>
      </c>
      <c r="L5310" s="36" t="s">
        <v>37310</v>
      </c>
      <c r="M5310" s="186"/>
      <c r="N5310" s="186"/>
      <c r="O5310" s="172"/>
    </row>
    <row r="5311" spans="1:15" ht="51" x14ac:dyDescent="0.2">
      <c r="A5311" s="197" t="str">
        <f t="shared" si="82"/>
        <v>NapCode_eurasianPlate</v>
      </c>
      <c r="B5311" s="409"/>
      <c r="C5311" s="416"/>
      <c r="D5311" s="198" t="s">
        <v>37311</v>
      </c>
      <c r="E5311" s="198">
        <v>6</v>
      </c>
      <c r="F5311" s="199" t="s">
        <v>37312</v>
      </c>
      <c r="G5311" s="1" t="s">
        <v>37313</v>
      </c>
      <c r="H5311" s="1" t="s">
        <v>37314</v>
      </c>
      <c r="I5311" s="346"/>
      <c r="J5311" s="39">
        <v>113570</v>
      </c>
      <c r="K5311" s="36" t="str">
        <f>CONCATENATE(Cover!$D$6,"fdd/view?i=",J5311)</f>
        <v>https://www.dgiwg.org/FAD/fdd/view?i=113570</v>
      </c>
      <c r="L5311" s="36" t="s">
        <v>37315</v>
      </c>
      <c r="M5311" s="186"/>
      <c r="N5311" s="186"/>
      <c r="O5311" s="172"/>
    </row>
    <row r="5312" spans="1:15" ht="51" x14ac:dyDescent="0.2">
      <c r="A5312" s="197" t="str">
        <f t="shared" si="82"/>
        <v>NapCode_fijiPlate</v>
      </c>
      <c r="B5312" s="409"/>
      <c r="C5312" s="416"/>
      <c r="D5312" s="198" t="s">
        <v>37316</v>
      </c>
      <c r="E5312" s="198">
        <v>16</v>
      </c>
      <c r="F5312" s="199" t="s">
        <v>37317</v>
      </c>
      <c r="G5312" s="1" t="s">
        <v>37318</v>
      </c>
      <c r="H5312" s="1" t="s">
        <v>37319</v>
      </c>
      <c r="I5312" s="346"/>
      <c r="J5312" s="39">
        <v>118483</v>
      </c>
      <c r="K5312" s="36" t="str">
        <f>CONCATENATE(Cover!$D$6,"fdd/view?i=",J5312)</f>
        <v>https://www.dgiwg.org/FAD/fdd/view?i=118483</v>
      </c>
      <c r="L5312" s="36" t="s">
        <v>37320</v>
      </c>
      <c r="M5312" s="186"/>
      <c r="N5312" s="186"/>
      <c r="O5312" s="172"/>
    </row>
    <row r="5313" spans="1:15" ht="25.5" x14ac:dyDescent="0.2">
      <c r="A5313" s="197" t="str">
        <f t="shared" si="82"/>
        <v>NapCode_gordaPlate</v>
      </c>
      <c r="B5313" s="409"/>
      <c r="C5313" s="416"/>
      <c r="D5313" s="198" t="s">
        <v>37321</v>
      </c>
      <c r="E5313" s="198">
        <v>17</v>
      </c>
      <c r="F5313" s="199" t="s">
        <v>37322</v>
      </c>
      <c r="G5313" s="1" t="s">
        <v>37323</v>
      </c>
      <c r="H5313" s="1" t="s">
        <v>37324</v>
      </c>
      <c r="I5313" s="346"/>
      <c r="J5313" s="39">
        <v>118484</v>
      </c>
      <c r="K5313" s="36" t="str">
        <f>CONCATENATE(Cover!$D$6,"fdd/view?i=",J5313)</f>
        <v>https://www.dgiwg.org/FAD/fdd/view?i=118484</v>
      </c>
      <c r="L5313" s="36" t="s">
        <v>37325</v>
      </c>
      <c r="M5313" s="186"/>
      <c r="N5313" s="186"/>
      <c r="O5313" s="172"/>
    </row>
    <row r="5314" spans="1:15" ht="89.25" x14ac:dyDescent="0.2">
      <c r="A5314" s="197" t="str">
        <f t="shared" ref="A5314:A5377" si="83">HYPERLINK(K5314,L5314)</f>
        <v>NapCode_indianPlate</v>
      </c>
      <c r="B5314" s="409"/>
      <c r="C5314" s="416"/>
      <c r="D5314" s="198" t="s">
        <v>37326</v>
      </c>
      <c r="E5314" s="198">
        <v>24</v>
      </c>
      <c r="F5314" s="199" t="s">
        <v>37327</v>
      </c>
      <c r="G5314" s="1" t="s">
        <v>37328</v>
      </c>
      <c r="H5314" s="1" t="s">
        <v>37329</v>
      </c>
      <c r="I5314" s="346"/>
      <c r="J5314" s="39">
        <v>118491</v>
      </c>
      <c r="K5314" s="36" t="str">
        <f>CONCATENATE(Cover!$D$6,"fdd/view?i=",J5314)</f>
        <v>https://www.dgiwg.org/FAD/fdd/view?i=118491</v>
      </c>
      <c r="L5314" s="36" t="s">
        <v>37330</v>
      </c>
      <c r="M5314" s="186"/>
      <c r="N5314" s="186"/>
      <c r="O5314" s="172"/>
    </row>
    <row r="5315" spans="1:15" ht="38.25" x14ac:dyDescent="0.2">
      <c r="A5315" s="197" t="str">
        <f t="shared" si="83"/>
        <v>NapCode_iranianPlate</v>
      </c>
      <c r="B5315" s="409"/>
      <c r="C5315" s="416"/>
      <c r="D5315" s="198" t="s">
        <v>37331</v>
      </c>
      <c r="E5315" s="198">
        <v>21</v>
      </c>
      <c r="F5315" s="199" t="s">
        <v>37332</v>
      </c>
      <c r="G5315" s="1" t="s">
        <v>37333</v>
      </c>
      <c r="H5315" s="1" t="s">
        <v>37334</v>
      </c>
      <c r="I5315" s="346"/>
      <c r="J5315" s="39">
        <v>118488</v>
      </c>
      <c r="K5315" s="36" t="str">
        <f>CONCATENATE(Cover!$D$6,"fdd/view?i=",J5315)</f>
        <v>https://www.dgiwg.org/FAD/fdd/view?i=118488</v>
      </c>
      <c r="L5315" s="36" t="s">
        <v>37335</v>
      </c>
      <c r="M5315" s="186"/>
      <c r="N5315" s="186"/>
      <c r="O5315" s="172"/>
    </row>
    <row r="5316" spans="1:15" ht="38.25" x14ac:dyDescent="0.2">
      <c r="A5316" s="197" t="str">
        <f t="shared" si="83"/>
        <v>NapCode_juanDeFucaPlate</v>
      </c>
      <c r="B5316" s="409"/>
      <c r="C5316" s="416"/>
      <c r="D5316" s="198" t="s">
        <v>37336</v>
      </c>
      <c r="E5316" s="198">
        <v>8</v>
      </c>
      <c r="F5316" s="199" t="s">
        <v>37337</v>
      </c>
      <c r="G5316" s="1" t="s">
        <v>37338</v>
      </c>
      <c r="H5316" s="200"/>
      <c r="I5316" s="346"/>
      <c r="J5316" s="39">
        <v>113572</v>
      </c>
      <c r="K5316" s="36" t="str">
        <f>CONCATENATE(Cover!$D$6,"fdd/view?i=",J5316)</f>
        <v>https://www.dgiwg.org/FAD/fdd/view?i=113572</v>
      </c>
      <c r="L5316" s="36" t="s">
        <v>37339</v>
      </c>
      <c r="M5316" s="186"/>
      <c r="N5316" s="186"/>
      <c r="O5316" s="172"/>
    </row>
    <row r="5317" spans="1:15" ht="25.5" x14ac:dyDescent="0.2">
      <c r="A5317" s="197" t="str">
        <f t="shared" si="83"/>
        <v>NapCode_nazcaPlate</v>
      </c>
      <c r="B5317" s="409"/>
      <c r="C5317" s="416"/>
      <c r="D5317" s="198" t="s">
        <v>37340</v>
      </c>
      <c r="E5317" s="198">
        <v>9</v>
      </c>
      <c r="F5317" s="199" t="s">
        <v>37341</v>
      </c>
      <c r="G5317" s="1" t="s">
        <v>37342</v>
      </c>
      <c r="H5317" s="200"/>
      <c r="I5317" s="346"/>
      <c r="J5317" s="39">
        <v>113573</v>
      </c>
      <c r="K5317" s="36" t="str">
        <f>CONCATENATE(Cover!$D$6,"fdd/view?i=",J5317)</f>
        <v>https://www.dgiwg.org/FAD/fdd/view?i=113573</v>
      </c>
      <c r="L5317" s="36" t="s">
        <v>37343</v>
      </c>
      <c r="M5317" s="186"/>
      <c r="N5317" s="186"/>
      <c r="O5317" s="172"/>
    </row>
    <row r="5318" spans="1:15" ht="38.25" x14ac:dyDescent="0.2">
      <c r="A5318" s="197" t="str">
        <f t="shared" si="83"/>
        <v>NapCode_northAmericanPlate</v>
      </c>
      <c r="B5318" s="409"/>
      <c r="C5318" s="416"/>
      <c r="D5318" s="198" t="s">
        <v>37344</v>
      </c>
      <c r="E5318" s="198">
        <v>10</v>
      </c>
      <c r="F5318" s="199" t="s">
        <v>37345</v>
      </c>
      <c r="G5318" s="1" t="s">
        <v>37346</v>
      </c>
      <c r="H5318" s="200"/>
      <c r="I5318" s="346"/>
      <c r="J5318" s="39">
        <v>113574</v>
      </c>
      <c r="K5318" s="36" t="str">
        <f>CONCATENATE(Cover!$D$6,"fdd/view?i=",J5318)</f>
        <v>https://www.dgiwg.org/FAD/fdd/view?i=113574</v>
      </c>
      <c r="L5318" s="36" t="s">
        <v>37347</v>
      </c>
      <c r="M5318" s="186"/>
      <c r="N5318" s="186"/>
      <c r="O5318" s="172"/>
    </row>
    <row r="5319" spans="1:15" x14ac:dyDescent="0.2">
      <c r="A5319" s="197" t="str">
        <f t="shared" si="83"/>
        <v>NapCode_pacificPlate</v>
      </c>
      <c r="B5319" s="409"/>
      <c r="C5319" s="416"/>
      <c r="D5319" s="198" t="s">
        <v>37348</v>
      </c>
      <c r="E5319" s="198">
        <v>11</v>
      </c>
      <c r="F5319" s="199" t="s">
        <v>37349</v>
      </c>
      <c r="G5319" s="1" t="s">
        <v>37350</v>
      </c>
      <c r="H5319" s="200"/>
      <c r="I5319" s="346"/>
      <c r="J5319" s="39">
        <v>113575</v>
      </c>
      <c r="K5319" s="36" t="str">
        <f>CONCATENATE(Cover!$D$6,"fdd/view?i=",J5319)</f>
        <v>https://www.dgiwg.org/FAD/fdd/view?i=113575</v>
      </c>
      <c r="L5319" s="36" t="s">
        <v>37351</v>
      </c>
      <c r="M5319" s="186"/>
      <c r="N5319" s="186"/>
      <c r="O5319" s="172"/>
    </row>
    <row r="5320" spans="1:15" ht="25.5" x14ac:dyDescent="0.2">
      <c r="A5320" s="197" t="str">
        <f t="shared" si="83"/>
        <v>NapCode_phillippinePlate</v>
      </c>
      <c r="B5320" s="409"/>
      <c r="C5320" s="416"/>
      <c r="D5320" s="198" t="s">
        <v>37352</v>
      </c>
      <c r="E5320" s="198">
        <v>12</v>
      </c>
      <c r="F5320" s="199" t="s">
        <v>37353</v>
      </c>
      <c r="G5320" s="1" t="s">
        <v>37354</v>
      </c>
      <c r="H5320" s="200"/>
      <c r="I5320" s="346"/>
      <c r="J5320" s="39">
        <v>113576</v>
      </c>
      <c r="K5320" s="36" t="str">
        <f>CONCATENATE(Cover!$D$6,"fdd/view?i=",J5320)</f>
        <v>https://www.dgiwg.org/FAD/fdd/view?i=113576</v>
      </c>
      <c r="L5320" s="36" t="s">
        <v>37355</v>
      </c>
      <c r="M5320" s="186"/>
      <c r="N5320" s="186"/>
      <c r="O5320" s="172"/>
    </row>
    <row r="5321" spans="1:15" ht="25.5" x14ac:dyDescent="0.2">
      <c r="A5321" s="197" t="str">
        <f t="shared" si="83"/>
        <v>NapCode_scotiaPlate</v>
      </c>
      <c r="B5321" s="409"/>
      <c r="C5321" s="416"/>
      <c r="D5321" s="198" t="s">
        <v>37356</v>
      </c>
      <c r="E5321" s="198">
        <v>25</v>
      </c>
      <c r="F5321" s="199" t="s">
        <v>37357</v>
      </c>
      <c r="G5321" s="1" t="s">
        <v>37358</v>
      </c>
      <c r="H5321" s="1" t="s">
        <v>37359</v>
      </c>
      <c r="I5321" s="346"/>
      <c r="J5321" s="39">
        <v>118492</v>
      </c>
      <c r="K5321" s="36" t="str">
        <f>CONCATENATE(Cover!$D$6,"fdd/view?i=",J5321)</f>
        <v>https://www.dgiwg.org/FAD/fdd/view?i=118492</v>
      </c>
      <c r="L5321" s="36" t="s">
        <v>37360</v>
      </c>
      <c r="M5321" s="186"/>
      <c r="N5321" s="186"/>
      <c r="O5321" s="172"/>
    </row>
    <row r="5322" spans="1:15" ht="25.5" x14ac:dyDescent="0.2">
      <c r="A5322" s="197" t="str">
        <f t="shared" si="83"/>
        <v>NapCode_solomonSeaPlate</v>
      </c>
      <c r="B5322" s="409"/>
      <c r="C5322" s="416"/>
      <c r="D5322" s="198" t="s">
        <v>37361</v>
      </c>
      <c r="E5322" s="198">
        <v>15</v>
      </c>
      <c r="F5322" s="199" t="s">
        <v>37362</v>
      </c>
      <c r="G5322" s="1" t="s">
        <v>37363</v>
      </c>
      <c r="H5322" s="1" t="s">
        <v>37364</v>
      </c>
      <c r="I5322" s="346"/>
      <c r="J5322" s="39">
        <v>118482</v>
      </c>
      <c r="K5322" s="36" t="str">
        <f>CONCATENATE(Cover!$D$6,"fdd/view?i=",J5322)</f>
        <v>https://www.dgiwg.org/FAD/fdd/view?i=118482</v>
      </c>
      <c r="L5322" s="36" t="s">
        <v>37365</v>
      </c>
      <c r="M5322" s="186"/>
      <c r="N5322" s="186"/>
      <c r="O5322" s="172"/>
    </row>
    <row r="5323" spans="1:15" ht="38.25" x14ac:dyDescent="0.2">
      <c r="A5323" s="197" t="str">
        <f t="shared" si="83"/>
        <v>NapCode_somaliSubPlate</v>
      </c>
      <c r="B5323" s="409"/>
      <c r="C5323" s="416"/>
      <c r="D5323" s="198" t="s">
        <v>37366</v>
      </c>
      <c r="E5323" s="198">
        <v>13</v>
      </c>
      <c r="F5323" s="199" t="s">
        <v>37367</v>
      </c>
      <c r="G5323" s="1" t="s">
        <v>37368</v>
      </c>
      <c r="H5323" s="200"/>
      <c r="I5323" s="351" t="s">
        <v>37369</v>
      </c>
      <c r="J5323" s="39">
        <v>113577</v>
      </c>
      <c r="K5323" s="36" t="str">
        <f>CONCATENATE(Cover!$D$6,"fdd/view?i=",J5323)</f>
        <v>https://www.dgiwg.org/FAD/fdd/view?i=113577</v>
      </c>
      <c r="L5323" s="36" t="s">
        <v>37370</v>
      </c>
      <c r="M5323" s="186"/>
      <c r="N5323" s="186"/>
      <c r="O5323" s="172"/>
    </row>
    <row r="5324" spans="1:15" ht="25.5" x14ac:dyDescent="0.2">
      <c r="A5324" s="203" t="str">
        <f t="shared" si="83"/>
        <v>NapCode_southAmericanPlate</v>
      </c>
      <c r="B5324" s="410"/>
      <c r="C5324" s="417"/>
      <c r="D5324" s="204" t="s">
        <v>37371</v>
      </c>
      <c r="E5324" s="204">
        <v>14</v>
      </c>
      <c r="F5324" s="205" t="s">
        <v>37372</v>
      </c>
      <c r="G5324" s="206" t="s">
        <v>37373</v>
      </c>
      <c r="H5324" s="207"/>
      <c r="I5324" s="347"/>
      <c r="J5324" s="39">
        <v>113578</v>
      </c>
      <c r="K5324" s="36" t="str">
        <f>CONCATENATE(Cover!$D$6,"fdd/view?i=",J5324)</f>
        <v>https://www.dgiwg.org/FAD/fdd/view?i=113578</v>
      </c>
      <c r="L5324" s="36" t="s">
        <v>37374</v>
      </c>
      <c r="M5324" s="186"/>
      <c r="N5324" s="186"/>
      <c r="O5324" s="172"/>
    </row>
    <row r="5325" spans="1:15" ht="38.25" x14ac:dyDescent="0.2">
      <c r="A5325" s="190" t="str">
        <f t="shared" si="83"/>
        <v>LptCode_continental</v>
      </c>
      <c r="B5325" s="414" t="str">
        <f>HYPERLINK("[#]Datatypes!A836:L836","LptCode")</f>
        <v>LptCode</v>
      </c>
      <c r="C5325" s="415" t="s">
        <v>15425</v>
      </c>
      <c r="D5325" s="221" t="s">
        <v>25990</v>
      </c>
      <c r="E5325" s="221">
        <v>2</v>
      </c>
      <c r="F5325" s="222" t="s">
        <v>37375</v>
      </c>
      <c r="G5325" s="223" t="s">
        <v>37376</v>
      </c>
      <c r="H5325" s="224"/>
      <c r="I5325" s="345"/>
      <c r="J5325" s="39">
        <v>113501</v>
      </c>
      <c r="K5325" s="36" t="str">
        <f>CONCATENATE(Cover!$D$6,"fdd/view?i=",J5325)</f>
        <v>https://www.dgiwg.org/FAD/fdd/view?i=113501</v>
      </c>
      <c r="L5325" s="36" t="s">
        <v>37377</v>
      </c>
      <c r="M5325" s="186"/>
      <c r="N5325" s="186"/>
      <c r="O5325" s="172"/>
    </row>
    <row r="5326" spans="1:15" ht="38.25" x14ac:dyDescent="0.2">
      <c r="A5326" s="203" t="str">
        <f t="shared" si="83"/>
        <v>LptCode_oceanic</v>
      </c>
      <c r="B5326" s="410"/>
      <c r="C5326" s="417"/>
      <c r="D5326" s="204" t="s">
        <v>37378</v>
      </c>
      <c r="E5326" s="204">
        <v>1</v>
      </c>
      <c r="F5326" s="205" t="s">
        <v>37379</v>
      </c>
      <c r="G5326" s="206" t="s">
        <v>37380</v>
      </c>
      <c r="H5326" s="207"/>
      <c r="I5326" s="347"/>
      <c r="J5326" s="39">
        <v>113500</v>
      </c>
      <c r="K5326" s="36" t="str">
        <f>CONCATENATE(Cover!$D$6,"fdd/view?i=",J5326)</f>
        <v>https://www.dgiwg.org/FAD/fdd/view?i=113500</v>
      </c>
      <c r="L5326" s="36" t="s">
        <v>37381</v>
      </c>
      <c r="M5326" s="186"/>
      <c r="N5326" s="186"/>
      <c r="O5326" s="172"/>
    </row>
    <row r="5327" spans="1:15" ht="25.5" x14ac:dyDescent="0.2">
      <c r="A5327" s="190" t="str">
        <f t="shared" si="83"/>
        <v>LcvCode_construction</v>
      </c>
      <c r="B5327" s="414" t="str">
        <f>HYPERLINK("[#]Datatypes!A838:L838","LcvCode")</f>
        <v>LcvCode</v>
      </c>
      <c r="C5327" s="415" t="s">
        <v>15427</v>
      </c>
      <c r="D5327" s="221" t="s">
        <v>37382</v>
      </c>
      <c r="E5327" s="221">
        <v>1</v>
      </c>
      <c r="F5327" s="222" t="s">
        <v>37383</v>
      </c>
      <c r="G5327" s="223" t="s">
        <v>37384</v>
      </c>
      <c r="H5327" s="224"/>
      <c r="I5327" s="345"/>
      <c r="J5327" s="39">
        <v>119244</v>
      </c>
      <c r="K5327" s="36" t="str">
        <f>CONCATENATE(Cover!$D$6,"fdd/view?i=",J5327)</f>
        <v>https://www.dgiwg.org/FAD/fdd/view?i=119244</v>
      </c>
      <c r="L5327" s="36" t="s">
        <v>37385</v>
      </c>
      <c r="M5327" s="186"/>
      <c r="N5327" s="186"/>
      <c r="O5327" s="172"/>
    </row>
    <row r="5328" spans="1:15" ht="38.25" x14ac:dyDescent="0.2">
      <c r="A5328" s="197" t="str">
        <f t="shared" si="83"/>
        <v>LcvCode_estimated</v>
      </c>
      <c r="B5328" s="409"/>
      <c r="C5328" s="416"/>
      <c r="D5328" s="198" t="s">
        <v>24448</v>
      </c>
      <c r="E5328" s="198">
        <v>6</v>
      </c>
      <c r="F5328" s="199" t="s">
        <v>24449</v>
      </c>
      <c r="G5328" s="1" t="s">
        <v>37386</v>
      </c>
      <c r="H5328" s="200"/>
      <c r="I5328" s="346"/>
      <c r="J5328" s="39">
        <v>119248</v>
      </c>
      <c r="K5328" s="36" t="str">
        <f>CONCATENATE(Cover!$D$6,"fdd/view?i=",J5328)</f>
        <v>https://www.dgiwg.org/FAD/fdd/view?i=119248</v>
      </c>
      <c r="L5328" s="36" t="s">
        <v>37387</v>
      </c>
      <c r="M5328" s="186"/>
      <c r="N5328" s="186"/>
      <c r="O5328" s="172"/>
    </row>
    <row r="5329" spans="1:15" ht="38.25" x14ac:dyDescent="0.2">
      <c r="A5329" s="197" t="str">
        <f t="shared" si="83"/>
        <v>LcvCode_operations</v>
      </c>
      <c r="B5329" s="409"/>
      <c r="C5329" s="416"/>
      <c r="D5329" s="198" t="s">
        <v>37388</v>
      </c>
      <c r="E5329" s="198">
        <v>3</v>
      </c>
      <c r="F5329" s="199" t="s">
        <v>37389</v>
      </c>
      <c r="G5329" s="1" t="s">
        <v>37390</v>
      </c>
      <c r="H5329" s="200"/>
      <c r="I5329" s="346"/>
      <c r="J5329" s="39">
        <v>119246</v>
      </c>
      <c r="K5329" s="36" t="str">
        <f>CONCATENATE(Cover!$D$6,"fdd/view?i=",J5329)</f>
        <v>https://www.dgiwg.org/FAD/fdd/view?i=119246</v>
      </c>
      <c r="L5329" s="36" t="s">
        <v>37391</v>
      </c>
      <c r="M5329" s="186"/>
      <c r="N5329" s="186"/>
      <c r="O5329" s="172"/>
    </row>
    <row r="5330" spans="1:15" ht="25.5" x14ac:dyDescent="0.2">
      <c r="A5330" s="197" t="str">
        <f t="shared" si="83"/>
        <v>LcvCode_reported</v>
      </c>
      <c r="B5330" s="409"/>
      <c r="C5330" s="416"/>
      <c r="D5330" s="198" t="s">
        <v>29849</v>
      </c>
      <c r="E5330" s="198">
        <v>5</v>
      </c>
      <c r="F5330" s="199" t="s">
        <v>29850</v>
      </c>
      <c r="G5330" s="1" t="s">
        <v>37392</v>
      </c>
      <c r="H5330" s="200"/>
      <c r="I5330" s="346"/>
      <c r="J5330" s="39">
        <v>119247</v>
      </c>
      <c r="K5330" s="36" t="str">
        <f>CONCATENATE(Cover!$D$6,"fdd/view?i=",J5330)</f>
        <v>https://www.dgiwg.org/FAD/fdd/view?i=119247</v>
      </c>
      <c r="L5330" s="36" t="s">
        <v>37393</v>
      </c>
      <c r="M5330" s="186"/>
      <c r="N5330" s="186"/>
      <c r="O5330" s="172"/>
    </row>
    <row r="5331" spans="1:15" ht="25.5" x14ac:dyDescent="0.2">
      <c r="A5331" s="203" t="str">
        <f t="shared" si="83"/>
        <v>LcvCode_test</v>
      </c>
      <c r="B5331" s="410"/>
      <c r="C5331" s="417"/>
      <c r="D5331" s="204" t="s">
        <v>37394</v>
      </c>
      <c r="E5331" s="204">
        <v>2</v>
      </c>
      <c r="F5331" s="205" t="s">
        <v>37395</v>
      </c>
      <c r="G5331" s="206" t="s">
        <v>37396</v>
      </c>
      <c r="H5331" s="207"/>
      <c r="I5331" s="347"/>
      <c r="J5331" s="39">
        <v>119245</v>
      </c>
      <c r="K5331" s="36" t="str">
        <f>CONCATENATE(Cover!$D$6,"fdd/view?i=",J5331)</f>
        <v>https://www.dgiwg.org/FAD/fdd/view?i=119245</v>
      </c>
      <c r="L5331" s="36" t="s">
        <v>37397</v>
      </c>
      <c r="M5331" s="186"/>
      <c r="N5331" s="186"/>
      <c r="O5331" s="172"/>
    </row>
    <row r="5332" spans="1:15" ht="89.25" x14ac:dyDescent="0.2">
      <c r="A5332" s="190" t="str">
        <f t="shared" si="83"/>
        <v>RstCode_asphaltic</v>
      </c>
      <c r="B5332" s="414" t="str">
        <f>HYPERLINK("[#]Datatypes!A840:L840","RstCode")</f>
        <v>RstCode</v>
      </c>
      <c r="C5332" s="415" t="s">
        <v>15429</v>
      </c>
      <c r="D5332" s="221" t="s">
        <v>37402</v>
      </c>
      <c r="E5332" s="221">
        <v>29</v>
      </c>
      <c r="F5332" s="222" t="s">
        <v>37403</v>
      </c>
      <c r="G5332" s="223" t="s">
        <v>37404</v>
      </c>
      <c r="H5332" s="223" t="s">
        <v>37405</v>
      </c>
      <c r="I5332" s="345"/>
      <c r="J5332" s="39">
        <v>109828</v>
      </c>
      <c r="K5332" s="36" t="str">
        <f>CONCATENATE(Cover!$D$6,"fdd/view?i=",J5332)</f>
        <v>https://www.dgiwg.org/FAD/fdd/view?i=109828</v>
      </c>
      <c r="L5332" s="36" t="s">
        <v>37406</v>
      </c>
      <c r="M5332" s="186"/>
      <c r="N5332" s="186"/>
      <c r="O5332" s="172"/>
    </row>
    <row r="5333" spans="1:15" ht="38.25" x14ac:dyDescent="0.2">
      <c r="A5333" s="197" t="str">
        <f t="shared" si="83"/>
        <v>RstCode_asphaltOverConcrete</v>
      </c>
      <c r="B5333" s="409"/>
      <c r="C5333" s="416"/>
      <c r="D5333" s="198" t="s">
        <v>19524</v>
      </c>
      <c r="E5333" s="198">
        <v>22</v>
      </c>
      <c r="F5333" s="199" t="s">
        <v>37398</v>
      </c>
      <c r="G5333" s="1" t="s">
        <v>37399</v>
      </c>
      <c r="H5333" s="1" t="s">
        <v>37400</v>
      </c>
      <c r="I5333" s="346"/>
      <c r="J5333" s="39">
        <v>109821</v>
      </c>
      <c r="K5333" s="36" t="str">
        <f>CONCATENATE(Cover!$D$6,"fdd/view?i=",J5333)</f>
        <v>https://www.dgiwg.org/FAD/fdd/view?i=109821</v>
      </c>
      <c r="L5333" s="36" t="s">
        <v>37401</v>
      </c>
      <c r="M5333" s="186"/>
      <c r="N5333" s="186"/>
      <c r="O5333" s="172"/>
    </row>
    <row r="5334" spans="1:15" x14ac:dyDescent="0.2">
      <c r="A5334" s="197" t="str">
        <f t="shared" si="83"/>
        <v>RstCode_bituminous</v>
      </c>
      <c r="B5334" s="409"/>
      <c r="C5334" s="416"/>
      <c r="D5334" s="198" t="s">
        <v>37407</v>
      </c>
      <c r="E5334" s="198">
        <v>11</v>
      </c>
      <c r="F5334" s="199" t="s">
        <v>37408</v>
      </c>
      <c r="G5334" s="1" t="s">
        <v>37409</v>
      </c>
      <c r="H5334" s="200"/>
      <c r="I5334" s="346"/>
      <c r="J5334" s="39">
        <v>109736</v>
      </c>
      <c r="K5334" s="36" t="str">
        <f>CONCATENATE(Cover!$D$6,"fdd/view?i=",J5334)</f>
        <v>https://www.dgiwg.org/FAD/fdd/view?i=109736</v>
      </c>
      <c r="L5334" s="36" t="s">
        <v>37410</v>
      </c>
      <c r="M5334" s="186"/>
      <c r="N5334" s="186"/>
      <c r="O5334" s="172"/>
    </row>
    <row r="5335" spans="1:15" x14ac:dyDescent="0.2">
      <c r="A5335" s="197" t="str">
        <f t="shared" si="83"/>
        <v>RstCode_brick</v>
      </c>
      <c r="B5335" s="409"/>
      <c r="C5335" s="416"/>
      <c r="D5335" s="198" t="s">
        <v>19533</v>
      </c>
      <c r="E5335" s="198">
        <v>28</v>
      </c>
      <c r="F5335" s="199" t="s">
        <v>19534</v>
      </c>
      <c r="G5335" s="1" t="s">
        <v>37411</v>
      </c>
      <c r="H5335" s="200"/>
      <c r="I5335" s="346"/>
      <c r="J5335" s="39">
        <v>109827</v>
      </c>
      <c r="K5335" s="36" t="str">
        <f>CONCATENATE(Cover!$D$6,"fdd/view?i=",J5335)</f>
        <v>https://www.dgiwg.org/FAD/fdd/view?i=109827</v>
      </c>
      <c r="L5335" s="36" t="s">
        <v>37412</v>
      </c>
      <c r="M5335" s="186"/>
      <c r="N5335" s="186"/>
      <c r="O5335" s="172"/>
    </row>
    <row r="5336" spans="1:15" ht="25.5" x14ac:dyDescent="0.2">
      <c r="A5336" s="197" t="str">
        <f t="shared" si="83"/>
        <v>RstCode_cinder</v>
      </c>
      <c r="B5336" s="409"/>
      <c r="C5336" s="416"/>
      <c r="D5336" s="198" t="s">
        <v>37413</v>
      </c>
      <c r="E5336" s="198">
        <v>30</v>
      </c>
      <c r="F5336" s="199" t="s">
        <v>37414</v>
      </c>
      <c r="G5336" s="1" t="s">
        <v>37415</v>
      </c>
      <c r="H5336" s="200"/>
      <c r="I5336" s="346"/>
      <c r="J5336" s="39">
        <v>112785</v>
      </c>
      <c r="K5336" s="36" t="str">
        <f>CONCATENATE(Cover!$D$6,"fdd/view?i=",J5336)</f>
        <v>https://www.dgiwg.org/FAD/fdd/view?i=112785</v>
      </c>
      <c r="L5336" s="36" t="s">
        <v>37416</v>
      </c>
      <c r="M5336" s="186"/>
      <c r="N5336" s="186"/>
      <c r="O5336" s="172"/>
    </row>
    <row r="5337" spans="1:15" ht="25.5" x14ac:dyDescent="0.2">
      <c r="A5337" s="197" t="str">
        <f t="shared" si="83"/>
        <v>RstCode_clay</v>
      </c>
      <c r="B5337" s="409"/>
      <c r="C5337" s="416"/>
      <c r="D5337" s="198" t="s">
        <v>19537</v>
      </c>
      <c r="E5337" s="198">
        <v>26</v>
      </c>
      <c r="F5337" s="199" t="s">
        <v>19538</v>
      </c>
      <c r="G5337" s="1" t="s">
        <v>37417</v>
      </c>
      <c r="H5337" s="200"/>
      <c r="I5337" s="346"/>
      <c r="J5337" s="39">
        <v>109825</v>
      </c>
      <c r="K5337" s="36" t="str">
        <f>CONCATENATE(Cover!$D$6,"fdd/view?i=",J5337)</f>
        <v>https://www.dgiwg.org/FAD/fdd/view?i=109825</v>
      </c>
      <c r="L5337" s="36" t="s">
        <v>37418</v>
      </c>
      <c r="M5337" s="186"/>
      <c r="N5337" s="186"/>
      <c r="O5337" s="172"/>
    </row>
    <row r="5338" spans="1:15" ht="63.75" x14ac:dyDescent="0.2">
      <c r="A5338" s="197" t="str">
        <f t="shared" si="83"/>
        <v>RstCode_cobbleStone</v>
      </c>
      <c r="B5338" s="409"/>
      <c r="C5338" s="416"/>
      <c r="D5338" s="198" t="s">
        <v>37419</v>
      </c>
      <c r="E5338" s="198">
        <v>31</v>
      </c>
      <c r="F5338" s="199" t="s">
        <v>37420</v>
      </c>
      <c r="G5338" s="1" t="s">
        <v>37421</v>
      </c>
      <c r="H5338" s="1" t="s">
        <v>37422</v>
      </c>
      <c r="I5338" s="346"/>
      <c r="J5338" s="39">
        <v>112786</v>
      </c>
      <c r="K5338" s="36" t="str">
        <f>CONCATENATE(Cover!$D$6,"fdd/view?i=",J5338)</f>
        <v>https://www.dgiwg.org/FAD/fdd/view?i=112786</v>
      </c>
      <c r="L5338" s="36" t="s">
        <v>37423</v>
      </c>
      <c r="M5338" s="186"/>
      <c r="N5338" s="186"/>
      <c r="O5338" s="172"/>
    </row>
    <row r="5339" spans="1:15" ht="25.5" x14ac:dyDescent="0.2">
      <c r="A5339" s="197" t="str">
        <f t="shared" si="83"/>
        <v>RstCode_compositeHard</v>
      </c>
      <c r="B5339" s="409"/>
      <c r="C5339" s="416"/>
      <c r="D5339" s="198" t="s">
        <v>37424</v>
      </c>
      <c r="E5339" s="198">
        <v>9</v>
      </c>
      <c r="F5339" s="199" t="s">
        <v>37425</v>
      </c>
      <c r="G5339" s="1" t="s">
        <v>37426</v>
      </c>
      <c r="H5339" s="200"/>
      <c r="I5339" s="346"/>
      <c r="J5339" s="39">
        <v>109734</v>
      </c>
      <c r="K5339" s="36" t="str">
        <f>CONCATENATE(Cover!$D$6,"fdd/view?i=",J5339)</f>
        <v>https://www.dgiwg.org/FAD/fdd/view?i=109734</v>
      </c>
      <c r="L5339" s="36" t="s">
        <v>37427</v>
      </c>
      <c r="M5339" s="186"/>
      <c r="N5339" s="186"/>
      <c r="O5339" s="172"/>
    </row>
    <row r="5340" spans="1:15" ht="25.5" x14ac:dyDescent="0.2">
      <c r="A5340" s="197" t="str">
        <f t="shared" si="83"/>
        <v>RstCode_compositeSoft</v>
      </c>
      <c r="B5340" s="409"/>
      <c r="C5340" s="416"/>
      <c r="D5340" s="198" t="s">
        <v>37428</v>
      </c>
      <c r="E5340" s="198">
        <v>12</v>
      </c>
      <c r="F5340" s="199" t="s">
        <v>37429</v>
      </c>
      <c r="G5340" s="1" t="s">
        <v>37430</v>
      </c>
      <c r="H5340" s="200"/>
      <c r="I5340" s="346"/>
      <c r="J5340" s="39">
        <v>109811</v>
      </c>
      <c r="K5340" s="36" t="str">
        <f>CONCATENATE(Cover!$D$6,"fdd/view?i=",J5340)</f>
        <v>https://www.dgiwg.org/FAD/fdd/view?i=109811</v>
      </c>
      <c r="L5340" s="36" t="s">
        <v>37431</v>
      </c>
      <c r="M5340" s="186"/>
      <c r="N5340" s="186"/>
      <c r="O5340" s="172"/>
    </row>
    <row r="5341" spans="1:15" ht="76.5" x14ac:dyDescent="0.2">
      <c r="A5341" s="197" t="str">
        <f t="shared" si="83"/>
        <v>RstCode_concrete</v>
      </c>
      <c r="B5341" s="409"/>
      <c r="C5341" s="416"/>
      <c r="D5341" s="198" t="s">
        <v>19541</v>
      </c>
      <c r="E5341" s="198">
        <v>27</v>
      </c>
      <c r="F5341" s="199" t="s">
        <v>19542</v>
      </c>
      <c r="G5341" s="1" t="s">
        <v>24150</v>
      </c>
      <c r="H5341" s="1" t="s">
        <v>19544</v>
      </c>
      <c r="I5341" s="346"/>
      <c r="J5341" s="39">
        <v>109826</v>
      </c>
      <c r="K5341" s="36" t="str">
        <f>CONCATENATE(Cover!$D$6,"fdd/view?i=",J5341)</f>
        <v>https://www.dgiwg.org/FAD/fdd/view?i=109826</v>
      </c>
      <c r="L5341" s="36" t="s">
        <v>37432</v>
      </c>
      <c r="M5341" s="186"/>
      <c r="N5341" s="186"/>
      <c r="O5341" s="172"/>
    </row>
    <row r="5342" spans="1:15" x14ac:dyDescent="0.2">
      <c r="A5342" s="197" t="str">
        <f t="shared" si="83"/>
        <v>RstCode_coral</v>
      </c>
      <c r="B5342" s="409"/>
      <c r="C5342" s="416"/>
      <c r="D5342" s="198" t="s">
        <v>19546</v>
      </c>
      <c r="E5342" s="198">
        <v>25</v>
      </c>
      <c r="F5342" s="199" t="s">
        <v>19547</v>
      </c>
      <c r="G5342" s="1" t="s">
        <v>37433</v>
      </c>
      <c r="H5342" s="1" t="s">
        <v>37434</v>
      </c>
      <c r="I5342" s="346"/>
      <c r="J5342" s="39">
        <v>109824</v>
      </c>
      <c r="K5342" s="36" t="str">
        <f>CONCATENATE(Cover!$D$6,"fdd/view?i=",J5342)</f>
        <v>https://www.dgiwg.org/FAD/fdd/view?i=109824</v>
      </c>
      <c r="L5342" s="36" t="s">
        <v>37435</v>
      </c>
      <c r="M5342" s="186"/>
      <c r="N5342" s="186"/>
      <c r="O5342" s="172"/>
    </row>
    <row r="5343" spans="1:15" x14ac:dyDescent="0.2">
      <c r="A5343" s="197" t="str">
        <f t="shared" si="83"/>
        <v>RstCode_corduroy</v>
      </c>
      <c r="B5343" s="409"/>
      <c r="C5343" s="416"/>
      <c r="D5343" s="198" t="s">
        <v>37436</v>
      </c>
      <c r="E5343" s="198">
        <v>4</v>
      </c>
      <c r="F5343" s="199" t="s">
        <v>37437</v>
      </c>
      <c r="G5343" s="1" t="s">
        <v>37438</v>
      </c>
      <c r="H5343" s="200"/>
      <c r="I5343" s="346"/>
      <c r="J5343" s="39">
        <v>107318</v>
      </c>
      <c r="K5343" s="36" t="str">
        <f>CONCATENATE(Cover!$D$6,"fdd/view?i=",J5343)</f>
        <v>https://www.dgiwg.org/FAD/fdd/view?i=107318</v>
      </c>
      <c r="L5343" s="36" t="s">
        <v>37439</v>
      </c>
      <c r="M5343" s="186"/>
      <c r="N5343" s="186"/>
      <c r="O5343" s="172"/>
    </row>
    <row r="5344" spans="1:15" x14ac:dyDescent="0.2">
      <c r="A5344" s="197" t="str">
        <f t="shared" si="83"/>
        <v>RstCode_gradedEarth</v>
      </c>
      <c r="B5344" s="409"/>
      <c r="C5344" s="416"/>
      <c r="D5344" s="198" t="s">
        <v>37440</v>
      </c>
      <c r="E5344" s="198">
        <v>13</v>
      </c>
      <c r="F5344" s="199" t="s">
        <v>37441</v>
      </c>
      <c r="G5344" s="1" t="s">
        <v>37442</v>
      </c>
      <c r="H5344" s="200"/>
      <c r="I5344" s="346"/>
      <c r="J5344" s="39">
        <v>109812</v>
      </c>
      <c r="K5344" s="36" t="str">
        <f>CONCATENATE(Cover!$D$6,"fdd/view?i=",J5344)</f>
        <v>https://www.dgiwg.org/FAD/fdd/view?i=109812</v>
      </c>
      <c r="L5344" s="36" t="s">
        <v>37443</v>
      </c>
      <c r="M5344" s="186"/>
      <c r="N5344" s="186"/>
      <c r="O5344" s="172"/>
    </row>
    <row r="5345" spans="1:15" x14ac:dyDescent="0.2">
      <c r="A5345" s="197" t="str">
        <f t="shared" si="83"/>
        <v>RstCode_grassSodSoft</v>
      </c>
      <c r="B5345" s="409"/>
      <c r="C5345" s="416"/>
      <c r="D5345" s="198" t="s">
        <v>37444</v>
      </c>
      <c r="E5345" s="198">
        <v>5</v>
      </c>
      <c r="F5345" s="199" t="s">
        <v>37445</v>
      </c>
      <c r="G5345" s="200"/>
      <c r="H5345" s="200"/>
      <c r="I5345" s="346"/>
      <c r="J5345" s="39">
        <v>107319</v>
      </c>
      <c r="K5345" s="36" t="str">
        <f>CONCATENATE(Cover!$D$6,"fdd/view?i=",J5345)</f>
        <v>https://www.dgiwg.org/FAD/fdd/view?i=107319</v>
      </c>
      <c r="L5345" s="36" t="s">
        <v>37446</v>
      </c>
      <c r="M5345" s="186"/>
      <c r="N5345" s="186"/>
      <c r="O5345" s="172"/>
    </row>
    <row r="5346" spans="1:15" x14ac:dyDescent="0.2">
      <c r="A5346" s="197" t="str">
        <f t="shared" si="83"/>
        <v>RstCode_gravel</v>
      </c>
      <c r="B5346" s="409"/>
      <c r="C5346" s="416"/>
      <c r="D5346" s="198" t="s">
        <v>19556</v>
      </c>
      <c r="E5346" s="198">
        <v>24</v>
      </c>
      <c r="F5346" s="199" t="s">
        <v>19557</v>
      </c>
      <c r="G5346" s="1" t="s">
        <v>37447</v>
      </c>
      <c r="H5346" s="1" t="s">
        <v>37434</v>
      </c>
      <c r="I5346" s="346"/>
      <c r="J5346" s="39">
        <v>109823</v>
      </c>
      <c r="K5346" s="36" t="str">
        <f>CONCATENATE(Cover!$D$6,"fdd/view?i=",J5346)</f>
        <v>https://www.dgiwg.org/FAD/fdd/view?i=109823</v>
      </c>
      <c r="L5346" s="36" t="s">
        <v>37448</v>
      </c>
      <c r="M5346" s="186"/>
      <c r="N5346" s="186"/>
      <c r="O5346" s="172"/>
    </row>
    <row r="5347" spans="1:15" x14ac:dyDescent="0.2">
      <c r="A5347" s="197" t="str">
        <f t="shared" si="83"/>
        <v>RstCode_hardPaved</v>
      </c>
      <c r="B5347" s="409"/>
      <c r="C5347" s="416"/>
      <c r="D5347" s="198" t="s">
        <v>37449</v>
      </c>
      <c r="E5347" s="198">
        <v>1</v>
      </c>
      <c r="F5347" s="199" t="s">
        <v>37450</v>
      </c>
      <c r="G5347" s="200"/>
      <c r="H5347" s="200"/>
      <c r="I5347" s="346"/>
      <c r="J5347" s="39">
        <v>107315</v>
      </c>
      <c r="K5347" s="36" t="str">
        <f>CONCATENATE(Cover!$D$6,"fdd/view?i=",J5347)</f>
        <v>https://www.dgiwg.org/FAD/fdd/view?i=107315</v>
      </c>
      <c r="L5347" s="36" t="s">
        <v>37451</v>
      </c>
      <c r="M5347" s="186"/>
      <c r="N5347" s="186"/>
      <c r="O5347" s="172"/>
    </row>
    <row r="5348" spans="1:15" x14ac:dyDescent="0.2">
      <c r="A5348" s="197" t="str">
        <f t="shared" si="83"/>
        <v>RstCode_ice</v>
      </c>
      <c r="B5348" s="409"/>
      <c r="C5348" s="416"/>
      <c r="D5348" s="198" t="s">
        <v>19560</v>
      </c>
      <c r="E5348" s="198">
        <v>15</v>
      </c>
      <c r="F5348" s="199" t="s">
        <v>19561</v>
      </c>
      <c r="G5348" s="1" t="s">
        <v>37452</v>
      </c>
      <c r="H5348" s="200"/>
      <c r="I5348" s="346"/>
      <c r="J5348" s="39">
        <v>109814</v>
      </c>
      <c r="K5348" s="36" t="str">
        <f>CONCATENATE(Cover!$D$6,"fdd/view?i=",J5348)</f>
        <v>https://www.dgiwg.org/FAD/fdd/view?i=109814</v>
      </c>
      <c r="L5348" s="36" t="s">
        <v>37453</v>
      </c>
      <c r="M5348" s="186"/>
      <c r="N5348" s="186"/>
      <c r="O5348" s="172"/>
    </row>
    <row r="5349" spans="1:15" ht="89.25" x14ac:dyDescent="0.2">
      <c r="A5349" s="197" t="str">
        <f t="shared" si="83"/>
        <v>RstCode_laterite</v>
      </c>
      <c r="B5349" s="409"/>
      <c r="C5349" s="416"/>
      <c r="D5349" s="198" t="s">
        <v>19570</v>
      </c>
      <c r="E5349" s="198">
        <v>20</v>
      </c>
      <c r="F5349" s="199" t="s">
        <v>19571</v>
      </c>
      <c r="G5349" s="1" t="s">
        <v>37454</v>
      </c>
      <c r="H5349" s="1" t="s">
        <v>37455</v>
      </c>
      <c r="I5349" s="346"/>
      <c r="J5349" s="39">
        <v>109819</v>
      </c>
      <c r="K5349" s="36" t="str">
        <f>CONCATENATE(Cover!$D$6,"fdd/view?i=",J5349)</f>
        <v>https://www.dgiwg.org/FAD/fdd/view?i=109819</v>
      </c>
      <c r="L5349" s="36" t="s">
        <v>37456</v>
      </c>
      <c r="M5349" s="186"/>
      <c r="N5349" s="186"/>
      <c r="O5349" s="172"/>
    </row>
    <row r="5350" spans="1:15" x14ac:dyDescent="0.2">
      <c r="A5350" s="197" t="str">
        <f t="shared" si="83"/>
        <v>RstCode_looseLight</v>
      </c>
      <c r="B5350" s="409"/>
      <c r="C5350" s="416"/>
      <c r="D5350" s="198" t="s">
        <v>37457</v>
      </c>
      <c r="E5350" s="198">
        <v>3</v>
      </c>
      <c r="F5350" s="199" t="s">
        <v>37458</v>
      </c>
      <c r="G5350" s="200"/>
      <c r="H5350" s="200"/>
      <c r="I5350" s="346"/>
      <c r="J5350" s="39">
        <v>107317</v>
      </c>
      <c r="K5350" s="36" t="str">
        <f>CONCATENATE(Cover!$D$6,"fdd/view?i=",J5350)</f>
        <v>https://www.dgiwg.org/FAD/fdd/view?i=107317</v>
      </c>
      <c r="L5350" s="36" t="s">
        <v>37459</v>
      </c>
      <c r="M5350" s="186"/>
      <c r="N5350" s="186"/>
      <c r="O5350" s="172"/>
    </row>
    <row r="5351" spans="1:15" x14ac:dyDescent="0.2">
      <c r="A5351" s="197" t="str">
        <f t="shared" si="83"/>
        <v>RstCode_looseUnpaved</v>
      </c>
      <c r="B5351" s="409"/>
      <c r="C5351" s="416"/>
      <c r="D5351" s="198" t="s">
        <v>37460</v>
      </c>
      <c r="E5351" s="198">
        <v>2</v>
      </c>
      <c r="F5351" s="199" t="s">
        <v>37461</v>
      </c>
      <c r="G5351" s="200"/>
      <c r="H5351" s="200"/>
      <c r="I5351" s="346"/>
      <c r="J5351" s="39">
        <v>107316</v>
      </c>
      <c r="K5351" s="36" t="str">
        <f>CONCATENATE(Cover!$D$6,"fdd/view?i=",J5351)</f>
        <v>https://www.dgiwg.org/FAD/fdd/view?i=107316</v>
      </c>
      <c r="L5351" s="36" t="s">
        <v>37462</v>
      </c>
      <c r="M5351" s="186"/>
      <c r="N5351" s="186"/>
      <c r="O5351" s="172"/>
    </row>
    <row r="5352" spans="1:15" x14ac:dyDescent="0.2">
      <c r="A5352" s="197" t="str">
        <f t="shared" si="83"/>
        <v>RstCode_macadam</v>
      </c>
      <c r="B5352" s="409"/>
      <c r="C5352" s="416"/>
      <c r="D5352" s="198" t="s">
        <v>19575</v>
      </c>
      <c r="E5352" s="198">
        <v>17</v>
      </c>
      <c r="F5352" s="199" t="s">
        <v>19576</v>
      </c>
      <c r="G5352" s="1" t="s">
        <v>37463</v>
      </c>
      <c r="H5352" s="200"/>
      <c r="I5352" s="346"/>
      <c r="J5352" s="39">
        <v>109816</v>
      </c>
      <c r="K5352" s="36" t="str">
        <f>CONCATENATE(Cover!$D$6,"fdd/view?i=",J5352)</f>
        <v>https://www.dgiwg.org/FAD/fdd/view?i=109816</v>
      </c>
      <c r="L5352" s="36" t="s">
        <v>37464</v>
      </c>
      <c r="M5352" s="186"/>
      <c r="N5352" s="186"/>
      <c r="O5352" s="172"/>
    </row>
    <row r="5353" spans="1:15" x14ac:dyDescent="0.2">
      <c r="A5353" s="197" t="str">
        <f t="shared" si="83"/>
        <v>RstCode_membrane</v>
      </c>
      <c r="B5353" s="409"/>
      <c r="C5353" s="416"/>
      <c r="D5353" s="198" t="s">
        <v>19580</v>
      </c>
      <c r="E5353" s="198">
        <v>18</v>
      </c>
      <c r="F5353" s="199" t="s">
        <v>19581</v>
      </c>
      <c r="G5353" s="1" t="s">
        <v>37465</v>
      </c>
      <c r="H5353" s="200"/>
      <c r="I5353" s="346"/>
      <c r="J5353" s="39">
        <v>109817</v>
      </c>
      <c r="K5353" s="36" t="str">
        <f>CONCATENATE(Cover!$D$6,"fdd/view?i=",J5353)</f>
        <v>https://www.dgiwg.org/FAD/fdd/view?i=109817</v>
      </c>
      <c r="L5353" s="36" t="s">
        <v>37466</v>
      </c>
      <c r="M5353" s="186"/>
      <c r="N5353" s="186"/>
      <c r="O5353" s="172"/>
    </row>
    <row r="5354" spans="1:15" ht="25.5" x14ac:dyDescent="0.2">
      <c r="A5354" s="197" t="str">
        <f t="shared" si="83"/>
        <v>RstCode_mix</v>
      </c>
      <c r="B5354" s="409"/>
      <c r="C5354" s="416"/>
      <c r="D5354" s="198" t="s">
        <v>37467</v>
      </c>
      <c r="E5354" s="198">
        <v>19</v>
      </c>
      <c r="F5354" s="199" t="s">
        <v>37468</v>
      </c>
      <c r="G5354" s="1" t="s">
        <v>37469</v>
      </c>
      <c r="H5354" s="200"/>
      <c r="I5354" s="346"/>
      <c r="J5354" s="39">
        <v>109818</v>
      </c>
      <c r="K5354" s="36" t="str">
        <f>CONCATENATE(Cover!$D$6,"fdd/view?i=",J5354)</f>
        <v>https://www.dgiwg.org/FAD/fdd/view?i=109818</v>
      </c>
      <c r="L5354" s="36" t="s">
        <v>37470</v>
      </c>
      <c r="M5354" s="186"/>
      <c r="N5354" s="186"/>
      <c r="O5354" s="172"/>
    </row>
    <row r="5355" spans="1:15" x14ac:dyDescent="0.2">
      <c r="A5355" s="197" t="str">
        <f t="shared" si="83"/>
        <v>RstCode_pem</v>
      </c>
      <c r="B5355" s="409"/>
      <c r="C5355" s="416"/>
      <c r="D5355" s="198" t="s">
        <v>37471</v>
      </c>
      <c r="E5355" s="198">
        <v>10</v>
      </c>
      <c r="F5355" s="199" t="s">
        <v>37472</v>
      </c>
      <c r="G5355" s="1" t="s">
        <v>37473</v>
      </c>
      <c r="H5355" s="200"/>
      <c r="I5355" s="346"/>
      <c r="J5355" s="39">
        <v>109735</v>
      </c>
      <c r="K5355" s="36" t="str">
        <f>CONCATENATE(Cover!$D$6,"fdd/view?i=",J5355)</f>
        <v>https://www.dgiwg.org/FAD/fdd/view?i=109735</v>
      </c>
      <c r="L5355" s="36" t="s">
        <v>37474</v>
      </c>
      <c r="M5355" s="186"/>
      <c r="N5355" s="186"/>
      <c r="O5355" s="172"/>
    </row>
    <row r="5356" spans="1:15" x14ac:dyDescent="0.2">
      <c r="A5356" s="197" t="str">
        <f t="shared" si="83"/>
        <v>RstCode_permanent</v>
      </c>
      <c r="B5356" s="409"/>
      <c r="C5356" s="416"/>
      <c r="D5356" s="198" t="s">
        <v>11451</v>
      </c>
      <c r="E5356" s="198">
        <v>7</v>
      </c>
      <c r="F5356" s="199" t="s">
        <v>11453</v>
      </c>
      <c r="G5356" s="1" t="s">
        <v>37475</v>
      </c>
      <c r="H5356" s="200"/>
      <c r="I5356" s="346"/>
      <c r="J5356" s="39">
        <v>107321</v>
      </c>
      <c r="K5356" s="36" t="str">
        <f>CONCATENATE(Cover!$D$6,"fdd/view?i=",J5356)</f>
        <v>https://www.dgiwg.org/FAD/fdd/view?i=107321</v>
      </c>
      <c r="L5356" s="36" t="s">
        <v>37476</v>
      </c>
      <c r="M5356" s="186"/>
      <c r="N5356" s="186"/>
      <c r="O5356" s="172"/>
    </row>
    <row r="5357" spans="1:15" ht="25.5" x14ac:dyDescent="0.2">
      <c r="A5357" s="197" t="str">
        <f t="shared" si="83"/>
        <v>RstCode_piercedSteelPlanking</v>
      </c>
      <c r="B5357" s="409"/>
      <c r="C5357" s="416"/>
      <c r="D5357" s="198" t="s">
        <v>19589</v>
      </c>
      <c r="E5357" s="198">
        <v>23</v>
      </c>
      <c r="F5357" s="199" t="s">
        <v>19590</v>
      </c>
      <c r="G5357" s="1" t="s">
        <v>37477</v>
      </c>
      <c r="H5357" s="1" t="s">
        <v>19592</v>
      </c>
      <c r="I5357" s="351" t="s">
        <v>37478</v>
      </c>
      <c r="J5357" s="39">
        <v>109822</v>
      </c>
      <c r="K5357" s="36" t="str">
        <f>CONCATENATE(Cover!$D$6,"fdd/view?i=",J5357)</f>
        <v>https://www.dgiwg.org/FAD/fdd/view?i=109822</v>
      </c>
      <c r="L5357" s="36" t="s">
        <v>37479</v>
      </c>
      <c r="M5357" s="186"/>
      <c r="N5357" s="186"/>
      <c r="O5357" s="172"/>
    </row>
    <row r="5358" spans="1:15" x14ac:dyDescent="0.2">
      <c r="A5358" s="197" t="str">
        <f t="shared" si="83"/>
        <v>RstCode_sand</v>
      </c>
      <c r="B5358" s="409"/>
      <c r="C5358" s="416"/>
      <c r="D5358" s="198" t="s">
        <v>19594</v>
      </c>
      <c r="E5358" s="198">
        <v>21</v>
      </c>
      <c r="F5358" s="199" t="s">
        <v>19595</v>
      </c>
      <c r="G5358" s="1" t="s">
        <v>37480</v>
      </c>
      <c r="H5358" s="200"/>
      <c r="I5358" s="346"/>
      <c r="J5358" s="39">
        <v>109820</v>
      </c>
      <c r="K5358" s="36" t="str">
        <f>CONCATENATE(Cover!$D$6,"fdd/view?i=",J5358)</f>
        <v>https://www.dgiwg.org/FAD/fdd/view?i=109820</v>
      </c>
      <c r="L5358" s="36" t="s">
        <v>37481</v>
      </c>
      <c r="M5358" s="186"/>
      <c r="N5358" s="186"/>
      <c r="O5358" s="172"/>
    </row>
    <row r="5359" spans="1:15" x14ac:dyDescent="0.2">
      <c r="A5359" s="197" t="str">
        <f t="shared" si="83"/>
        <v>RstCode_shell</v>
      </c>
      <c r="B5359" s="409"/>
      <c r="C5359" s="416"/>
      <c r="D5359" s="198" t="s">
        <v>37482</v>
      </c>
      <c r="E5359" s="198">
        <v>32</v>
      </c>
      <c r="F5359" s="199" t="s">
        <v>37483</v>
      </c>
      <c r="G5359" s="1" t="s">
        <v>37484</v>
      </c>
      <c r="H5359" s="1" t="s">
        <v>37434</v>
      </c>
      <c r="I5359" s="346"/>
      <c r="J5359" s="39">
        <v>112787</v>
      </c>
      <c r="K5359" s="36" t="str">
        <f>CONCATENATE(Cover!$D$6,"fdd/view?i=",J5359)</f>
        <v>https://www.dgiwg.org/FAD/fdd/view?i=112787</v>
      </c>
      <c r="L5359" s="36" t="s">
        <v>37485</v>
      </c>
      <c r="M5359" s="186"/>
      <c r="N5359" s="186"/>
      <c r="O5359" s="172"/>
    </row>
    <row r="5360" spans="1:15" x14ac:dyDescent="0.2">
      <c r="A5360" s="197" t="str">
        <f t="shared" si="83"/>
        <v>RstCode_snow</v>
      </c>
      <c r="B5360" s="409"/>
      <c r="C5360" s="416"/>
      <c r="D5360" s="198" t="s">
        <v>19598</v>
      </c>
      <c r="E5360" s="198">
        <v>16</v>
      </c>
      <c r="F5360" s="199" t="s">
        <v>19599</v>
      </c>
      <c r="G5360" s="1" t="s">
        <v>37486</v>
      </c>
      <c r="H5360" s="200"/>
      <c r="I5360" s="346"/>
      <c r="J5360" s="39">
        <v>109815</v>
      </c>
      <c r="K5360" s="36" t="str">
        <f>CONCATENATE(Cover!$D$6,"fdd/view?i=",J5360)</f>
        <v>https://www.dgiwg.org/FAD/fdd/view?i=109815</v>
      </c>
      <c r="L5360" s="36" t="s">
        <v>37487</v>
      </c>
      <c r="M5360" s="186"/>
      <c r="N5360" s="186"/>
      <c r="O5360" s="172"/>
    </row>
    <row r="5361" spans="1:15" x14ac:dyDescent="0.2">
      <c r="A5361" s="197" t="str">
        <f t="shared" si="83"/>
        <v>RstCode_temporary</v>
      </c>
      <c r="B5361" s="409"/>
      <c r="C5361" s="416"/>
      <c r="D5361" s="198" t="s">
        <v>30159</v>
      </c>
      <c r="E5361" s="198">
        <v>8</v>
      </c>
      <c r="F5361" s="199" t="s">
        <v>30160</v>
      </c>
      <c r="G5361" s="1" t="s">
        <v>37488</v>
      </c>
      <c r="H5361" s="200"/>
      <c r="I5361" s="346"/>
      <c r="J5361" s="39">
        <v>107322</v>
      </c>
      <c r="K5361" s="36" t="str">
        <f>CONCATENATE(Cover!$D$6,"fdd/view?i=",J5361)</f>
        <v>https://www.dgiwg.org/FAD/fdd/view?i=107322</v>
      </c>
      <c r="L5361" s="36" t="s">
        <v>37489</v>
      </c>
      <c r="M5361" s="186"/>
      <c r="N5361" s="186"/>
      <c r="O5361" s="172"/>
    </row>
    <row r="5362" spans="1:15" ht="25.5" x14ac:dyDescent="0.2">
      <c r="A5362" s="197" t="str">
        <f t="shared" si="83"/>
        <v>RstCode_ungradedEarth</v>
      </c>
      <c r="B5362" s="409"/>
      <c r="C5362" s="416"/>
      <c r="D5362" s="198" t="s">
        <v>37490</v>
      </c>
      <c r="E5362" s="198">
        <v>14</v>
      </c>
      <c r="F5362" s="199" t="s">
        <v>37491</v>
      </c>
      <c r="G5362" s="1" t="s">
        <v>37492</v>
      </c>
      <c r="H5362" s="200"/>
      <c r="I5362" s="346"/>
      <c r="J5362" s="39">
        <v>109813</v>
      </c>
      <c r="K5362" s="36" t="str">
        <f>CONCATENATE(Cover!$D$6,"fdd/view?i=",J5362)</f>
        <v>https://www.dgiwg.org/FAD/fdd/view?i=109813</v>
      </c>
      <c r="L5362" s="36" t="s">
        <v>37493</v>
      </c>
      <c r="M5362" s="186"/>
      <c r="N5362" s="186"/>
      <c r="O5362" s="172"/>
    </row>
    <row r="5363" spans="1:15" x14ac:dyDescent="0.2">
      <c r="A5363" s="197" t="str">
        <f t="shared" si="83"/>
        <v>RstCode_unimproved</v>
      </c>
      <c r="B5363" s="409"/>
      <c r="C5363" s="416"/>
      <c r="D5363" s="198" t="s">
        <v>37494</v>
      </c>
      <c r="E5363" s="198">
        <v>6</v>
      </c>
      <c r="F5363" s="199" t="s">
        <v>37495</v>
      </c>
      <c r="G5363" s="1" t="s">
        <v>37496</v>
      </c>
      <c r="H5363" s="200"/>
      <c r="I5363" s="346"/>
      <c r="J5363" s="39">
        <v>107320</v>
      </c>
      <c r="K5363" s="36" t="str">
        <f>CONCATENATE(Cover!$D$6,"fdd/view?i=",J5363)</f>
        <v>https://www.dgiwg.org/FAD/fdd/view?i=107320</v>
      </c>
      <c r="L5363" s="36" t="s">
        <v>37497</v>
      </c>
      <c r="M5363" s="186"/>
      <c r="N5363" s="186"/>
      <c r="O5363" s="172"/>
    </row>
    <row r="5364" spans="1:15" x14ac:dyDescent="0.2">
      <c r="A5364" s="203" t="str">
        <f t="shared" si="83"/>
        <v>RstCode_woodPlank</v>
      </c>
      <c r="B5364" s="410"/>
      <c r="C5364" s="417"/>
      <c r="D5364" s="204" t="s">
        <v>37498</v>
      </c>
      <c r="E5364" s="204">
        <v>33</v>
      </c>
      <c r="F5364" s="205" t="s">
        <v>37499</v>
      </c>
      <c r="G5364" s="206" t="s">
        <v>37500</v>
      </c>
      <c r="H5364" s="207"/>
      <c r="I5364" s="347"/>
      <c r="J5364" s="39">
        <v>112788</v>
      </c>
      <c r="K5364" s="36" t="str">
        <f>CONCATENATE(Cover!$D$6,"fdd/view?i=",J5364)</f>
        <v>https://www.dgiwg.org/FAD/fdd/view?i=112788</v>
      </c>
      <c r="L5364" s="36" t="s">
        <v>37501</v>
      </c>
      <c r="M5364" s="186"/>
      <c r="N5364" s="186"/>
      <c r="O5364" s="172"/>
    </row>
    <row r="5365" spans="1:15" x14ac:dyDescent="0.2">
      <c r="A5365" s="190" t="str">
        <f t="shared" si="83"/>
        <v>SrlCode_atShoreline</v>
      </c>
      <c r="B5365" s="414" t="str">
        <f>HYPERLINK("[#]Datatypes!A842:L842","SrlCode")</f>
        <v>SrlCode</v>
      </c>
      <c r="C5365" s="415" t="s">
        <v>15431</v>
      </c>
      <c r="D5365" s="221" t="s">
        <v>37502</v>
      </c>
      <c r="E5365" s="221">
        <v>3</v>
      </c>
      <c r="F5365" s="222" t="s">
        <v>37503</v>
      </c>
      <c r="G5365" s="223" t="s">
        <v>37504</v>
      </c>
      <c r="H5365" s="223" t="s">
        <v>37505</v>
      </c>
      <c r="I5365" s="345"/>
      <c r="J5365" s="39">
        <v>108080</v>
      </c>
      <c r="K5365" s="36" t="str">
        <f>CONCATENATE(Cover!$D$6,"fdd/view?i=",J5365)</f>
        <v>https://www.dgiwg.org/FAD/fdd/view?i=108080</v>
      </c>
      <c r="L5365" s="36" t="s">
        <v>37506</v>
      </c>
      <c r="M5365" s="186"/>
      <c r="N5365" s="186"/>
      <c r="O5365" s="172"/>
    </row>
    <row r="5366" spans="1:15" x14ac:dyDescent="0.2">
      <c r="A5366" s="197" t="str">
        <f t="shared" si="83"/>
        <v>SrlCode_inland</v>
      </c>
      <c r="B5366" s="409"/>
      <c r="C5366" s="416"/>
      <c r="D5366" s="198" t="s">
        <v>37507</v>
      </c>
      <c r="E5366" s="198">
        <v>2</v>
      </c>
      <c r="F5366" s="199" t="s">
        <v>37508</v>
      </c>
      <c r="G5366" s="1" t="s">
        <v>37509</v>
      </c>
      <c r="H5366" s="1" t="s">
        <v>37510</v>
      </c>
      <c r="I5366" s="346"/>
      <c r="J5366" s="39">
        <v>108079</v>
      </c>
      <c r="K5366" s="36" t="str">
        <f>CONCATENATE(Cover!$D$6,"fdd/view?i=",J5366)</f>
        <v>https://www.dgiwg.org/FAD/fdd/view?i=108079</v>
      </c>
      <c r="L5366" s="36" t="s">
        <v>37511</v>
      </c>
      <c r="M5366" s="186"/>
      <c r="N5366" s="186"/>
      <c r="O5366" s="172"/>
    </row>
    <row r="5367" spans="1:15" x14ac:dyDescent="0.2">
      <c r="A5367" s="203" t="str">
        <f t="shared" si="83"/>
        <v>SrlCode_offshore</v>
      </c>
      <c r="B5367" s="410"/>
      <c r="C5367" s="417"/>
      <c r="D5367" s="204" t="s">
        <v>37512</v>
      </c>
      <c r="E5367" s="204">
        <v>1</v>
      </c>
      <c r="F5367" s="205" t="s">
        <v>4352</v>
      </c>
      <c r="G5367" s="206" t="s">
        <v>37513</v>
      </c>
      <c r="H5367" s="206" t="s">
        <v>37514</v>
      </c>
      <c r="I5367" s="347"/>
      <c r="J5367" s="39">
        <v>108078</v>
      </c>
      <c r="K5367" s="36" t="str">
        <f>CONCATENATE(Cover!$D$6,"fdd/view?i=",J5367)</f>
        <v>https://www.dgiwg.org/FAD/fdd/view?i=108078</v>
      </c>
      <c r="L5367" s="36" t="s">
        <v>37515</v>
      </c>
      <c r="M5367" s="186"/>
      <c r="N5367" s="186"/>
      <c r="O5367" s="172"/>
    </row>
    <row r="5368" spans="1:15" ht="25.5" x14ac:dyDescent="0.2">
      <c r="A5368" s="190" t="str">
        <f t="shared" si="83"/>
        <v>LvhCode_catI</v>
      </c>
      <c r="B5368" s="414" t="str">
        <f>HYPERLINK("[#]Datatypes!A844:L844","LvhCode")</f>
        <v>LvhCode</v>
      </c>
      <c r="C5368" s="415" t="s">
        <v>10095</v>
      </c>
      <c r="D5368" s="221" t="s">
        <v>37516</v>
      </c>
      <c r="E5368" s="221">
        <v>2</v>
      </c>
      <c r="F5368" s="222" t="s">
        <v>37517</v>
      </c>
      <c r="G5368" s="223" t="s">
        <v>37518</v>
      </c>
      <c r="H5368" s="224"/>
      <c r="I5368" s="345"/>
      <c r="J5368" s="39">
        <v>119153</v>
      </c>
      <c r="K5368" s="36" t="str">
        <f>CONCATENATE(Cover!$D$6,"fdd/view?i=",J5368)</f>
        <v>https://www.dgiwg.org/FAD/fdd/view?i=119153</v>
      </c>
      <c r="L5368" s="36" t="s">
        <v>37519</v>
      </c>
      <c r="M5368" s="186"/>
      <c r="N5368" s="186"/>
      <c r="O5368" s="172"/>
    </row>
    <row r="5369" spans="1:15" ht="25.5" x14ac:dyDescent="0.2">
      <c r="A5369" s="197" t="str">
        <f t="shared" si="83"/>
        <v>LvhCode_catII_III</v>
      </c>
      <c r="B5369" s="409"/>
      <c r="C5369" s="416"/>
      <c r="D5369" s="198" t="s">
        <v>37520</v>
      </c>
      <c r="E5369" s="198">
        <v>3</v>
      </c>
      <c r="F5369" s="199" t="s">
        <v>37521</v>
      </c>
      <c r="G5369" s="1" t="s">
        <v>37522</v>
      </c>
      <c r="H5369" s="200"/>
      <c r="I5369" s="346"/>
      <c r="J5369" s="39">
        <v>119154</v>
      </c>
      <c r="K5369" s="36" t="str">
        <f>CONCATENATE(Cover!$D$6,"fdd/view?i=",J5369)</f>
        <v>https://www.dgiwg.org/FAD/fdd/view?i=119154</v>
      </c>
      <c r="L5369" s="36" t="s">
        <v>37523</v>
      </c>
      <c r="M5369" s="186"/>
      <c r="N5369" s="186"/>
      <c r="O5369" s="172"/>
    </row>
    <row r="5370" spans="1:15" x14ac:dyDescent="0.2">
      <c r="A5370" s="203" t="str">
        <f t="shared" si="83"/>
        <v>LvhCode_none</v>
      </c>
      <c r="B5370" s="410"/>
      <c r="C5370" s="417"/>
      <c r="D5370" s="204" t="s">
        <v>32026</v>
      </c>
      <c r="E5370" s="204">
        <v>1</v>
      </c>
      <c r="F5370" s="205" t="s">
        <v>32027</v>
      </c>
      <c r="G5370" s="206" t="s">
        <v>37524</v>
      </c>
      <c r="H5370" s="207"/>
      <c r="I5370" s="347"/>
      <c r="J5370" s="39">
        <v>119152</v>
      </c>
      <c r="K5370" s="36" t="str">
        <f>CONCATENATE(Cover!$D$6,"fdd/view?i=",J5370)</f>
        <v>https://www.dgiwg.org/FAD/fdd/view?i=119152</v>
      </c>
      <c r="L5370" s="36" t="s">
        <v>37525</v>
      </c>
      <c r="M5370" s="186"/>
      <c r="N5370" s="186"/>
      <c r="O5370" s="172"/>
    </row>
    <row r="5371" spans="1:15" x14ac:dyDescent="0.2">
      <c r="A5371" s="190" t="str">
        <f t="shared" si="83"/>
        <v>MadCode_moderate</v>
      </c>
      <c r="B5371" s="414" t="str">
        <f>HYPERLINK("[#]Datatypes!A848:L848","MadCode")</f>
        <v>MadCode</v>
      </c>
      <c r="C5371" s="415" t="s">
        <v>15436</v>
      </c>
      <c r="D5371" s="221" t="s">
        <v>22411</v>
      </c>
      <c r="E5371" s="221">
        <v>3</v>
      </c>
      <c r="F5371" s="222" t="s">
        <v>22412</v>
      </c>
      <c r="G5371" s="223" t="s">
        <v>37526</v>
      </c>
      <c r="H5371" s="224"/>
      <c r="I5371" s="345"/>
      <c r="J5371" s="39">
        <v>114444</v>
      </c>
      <c r="K5371" s="36" t="str">
        <f>CONCATENATE(Cover!$D$6,"fdd/view?i=",J5371)</f>
        <v>https://www.dgiwg.org/FAD/fdd/view?i=114444</v>
      </c>
      <c r="L5371" s="36" t="s">
        <v>37527</v>
      </c>
      <c r="M5371" s="186"/>
      <c r="N5371" s="186"/>
      <c r="O5371" s="172"/>
    </row>
    <row r="5372" spans="1:15" x14ac:dyDescent="0.2">
      <c r="A5372" s="197" t="str">
        <f t="shared" si="83"/>
        <v>MadCode_nil</v>
      </c>
      <c r="B5372" s="409"/>
      <c r="C5372" s="416"/>
      <c r="D5372" s="198" t="s">
        <v>37528</v>
      </c>
      <c r="E5372" s="198">
        <v>1</v>
      </c>
      <c r="F5372" s="199" t="s">
        <v>37529</v>
      </c>
      <c r="G5372" s="1" t="s">
        <v>37530</v>
      </c>
      <c r="H5372" s="200"/>
      <c r="I5372" s="346"/>
      <c r="J5372" s="39">
        <v>114442</v>
      </c>
      <c r="K5372" s="36" t="str">
        <f>CONCATENATE(Cover!$D$6,"fdd/view?i=",J5372)</f>
        <v>https://www.dgiwg.org/FAD/fdd/view?i=114442</v>
      </c>
      <c r="L5372" s="36" t="s">
        <v>37531</v>
      </c>
      <c r="M5372" s="186"/>
      <c r="N5372" s="186"/>
      <c r="O5372" s="172"/>
    </row>
    <row r="5373" spans="1:15" x14ac:dyDescent="0.2">
      <c r="A5373" s="197" t="str">
        <f t="shared" si="83"/>
        <v>MadCode_slight</v>
      </c>
      <c r="B5373" s="409"/>
      <c r="C5373" s="416"/>
      <c r="D5373" s="198" t="s">
        <v>37532</v>
      </c>
      <c r="E5373" s="198">
        <v>2</v>
      </c>
      <c r="F5373" s="199" t="s">
        <v>37533</v>
      </c>
      <c r="G5373" s="1" t="s">
        <v>37534</v>
      </c>
      <c r="H5373" s="200"/>
      <c r="I5373" s="346"/>
      <c r="J5373" s="39">
        <v>114443</v>
      </c>
      <c r="K5373" s="36" t="str">
        <f>CONCATENATE(Cover!$D$6,"fdd/view?i=",J5373)</f>
        <v>https://www.dgiwg.org/FAD/fdd/view?i=114443</v>
      </c>
      <c r="L5373" s="36" t="s">
        <v>37535</v>
      </c>
      <c r="M5373" s="186"/>
      <c r="N5373" s="186"/>
      <c r="O5373" s="172"/>
    </row>
    <row r="5374" spans="1:15" x14ac:dyDescent="0.2">
      <c r="A5374" s="203" t="str">
        <f t="shared" si="83"/>
        <v>MadCode_strong</v>
      </c>
      <c r="B5374" s="410"/>
      <c r="C5374" s="417"/>
      <c r="D5374" s="204" t="s">
        <v>37536</v>
      </c>
      <c r="E5374" s="204">
        <v>4</v>
      </c>
      <c r="F5374" s="205" t="s">
        <v>37537</v>
      </c>
      <c r="G5374" s="206" t="s">
        <v>37538</v>
      </c>
      <c r="H5374" s="207"/>
      <c r="I5374" s="347"/>
      <c r="J5374" s="39">
        <v>114445</v>
      </c>
      <c r="K5374" s="36" t="str">
        <f>CONCATENATE(Cover!$D$6,"fdd/view?i=",J5374)</f>
        <v>https://www.dgiwg.org/FAD/fdd/view?i=114445</v>
      </c>
      <c r="L5374" s="36" t="s">
        <v>37539</v>
      </c>
      <c r="M5374" s="186"/>
      <c r="N5374" s="186"/>
      <c r="O5374" s="172"/>
    </row>
    <row r="5375" spans="1:15" ht="25.5" x14ac:dyDescent="0.2">
      <c r="A5375" s="190" t="str">
        <f t="shared" si="83"/>
        <v>IcfCode_aeration</v>
      </c>
      <c r="B5375" s="414" t="str">
        <f>HYPERLINK("[#]Datatypes!A852:L852","IcfCode")</f>
        <v>IcfCode</v>
      </c>
      <c r="C5375" s="415" t="s">
        <v>15441</v>
      </c>
      <c r="D5375" s="221" t="s">
        <v>37540</v>
      </c>
      <c r="E5375" s="221">
        <v>11</v>
      </c>
      <c r="F5375" s="222" t="s">
        <v>37541</v>
      </c>
      <c r="G5375" s="223" t="s">
        <v>37542</v>
      </c>
      <c r="H5375" s="224"/>
      <c r="I5375" s="345"/>
      <c r="J5375" s="39">
        <v>104704</v>
      </c>
      <c r="K5375" s="36" t="str">
        <f>CONCATENATE(Cover!$D$6,"fdd/view?i=",J5375)</f>
        <v>https://www.dgiwg.org/FAD/fdd/view?i=104704</v>
      </c>
      <c r="L5375" s="36" t="s">
        <v>37543</v>
      </c>
      <c r="M5375" s="186"/>
      <c r="N5375" s="186"/>
      <c r="O5375" s="172"/>
    </row>
    <row r="5376" spans="1:15" ht="204" x14ac:dyDescent="0.2">
      <c r="A5376" s="197" t="str">
        <f t="shared" si="83"/>
        <v>IcfCode_aerospaceIndustry</v>
      </c>
      <c r="B5376" s="409"/>
      <c r="C5376" s="416"/>
      <c r="D5376" s="198" t="s">
        <v>37544</v>
      </c>
      <c r="E5376" s="198">
        <v>50</v>
      </c>
      <c r="F5376" s="199" t="s">
        <v>37545</v>
      </c>
      <c r="G5376" s="1" t="s">
        <v>30430</v>
      </c>
      <c r="H5376" s="1" t="s">
        <v>30431</v>
      </c>
      <c r="I5376" s="346"/>
      <c r="J5376" s="39">
        <v>118476</v>
      </c>
      <c r="K5376" s="36" t="str">
        <f>CONCATENATE(Cover!$D$6,"fdd/view?i=",J5376)</f>
        <v>https://www.dgiwg.org/FAD/fdd/view?i=118476</v>
      </c>
      <c r="L5376" s="36" t="s">
        <v>37546</v>
      </c>
      <c r="M5376" s="186"/>
      <c r="N5376" s="186"/>
      <c r="O5376" s="172"/>
    </row>
    <row r="5377" spans="1:15" ht="25.5" x14ac:dyDescent="0.2">
      <c r="A5377" s="197" t="str">
        <f t="shared" si="83"/>
        <v>IcfCode_automotivePlant</v>
      </c>
      <c r="B5377" s="409"/>
      <c r="C5377" s="416"/>
      <c r="D5377" s="198" t="s">
        <v>37547</v>
      </c>
      <c r="E5377" s="198">
        <v>26</v>
      </c>
      <c r="F5377" s="199" t="s">
        <v>37548</v>
      </c>
      <c r="G5377" s="1" t="s">
        <v>37549</v>
      </c>
      <c r="H5377" s="200"/>
      <c r="I5377" s="351" t="s">
        <v>37550</v>
      </c>
      <c r="J5377" s="39">
        <v>104719</v>
      </c>
      <c r="K5377" s="36" t="str">
        <f>CONCATENATE(Cover!$D$6,"fdd/view?i=",J5377)</f>
        <v>https://www.dgiwg.org/FAD/fdd/view?i=104719</v>
      </c>
      <c r="L5377" s="36" t="s">
        <v>37551</v>
      </c>
      <c r="M5377" s="186"/>
      <c r="N5377" s="186"/>
      <c r="O5377" s="172"/>
    </row>
    <row r="5378" spans="1:15" ht="25.5" x14ac:dyDescent="0.2">
      <c r="A5378" s="197" t="str">
        <f t="shared" ref="A5378:A5441" si="84">HYPERLINK(K5378,L5378)</f>
        <v>IcfCode_carpentry</v>
      </c>
      <c r="B5378" s="409"/>
      <c r="C5378" s="416"/>
      <c r="D5378" s="198" t="s">
        <v>26255</v>
      </c>
      <c r="E5378" s="198">
        <v>12</v>
      </c>
      <c r="F5378" s="199" t="s">
        <v>26256</v>
      </c>
      <c r="G5378" s="1" t="s">
        <v>37552</v>
      </c>
      <c r="H5378" s="200"/>
      <c r="I5378" s="346"/>
      <c r="J5378" s="39">
        <v>104705</v>
      </c>
      <c r="K5378" s="36" t="str">
        <f>CONCATENATE(Cover!$D$6,"fdd/view?i=",J5378)</f>
        <v>https://www.dgiwg.org/FAD/fdd/view?i=104705</v>
      </c>
      <c r="L5378" s="36" t="s">
        <v>37553</v>
      </c>
      <c r="M5378" s="186"/>
      <c r="N5378" s="186"/>
      <c r="O5378" s="172"/>
    </row>
    <row r="5379" spans="1:15" ht="242.25" x14ac:dyDescent="0.2">
      <c r="A5379" s="197" t="str">
        <f t="shared" si="84"/>
        <v>IcfCode_cementProdManufac</v>
      </c>
      <c r="B5379" s="409"/>
      <c r="C5379" s="416"/>
      <c r="D5379" s="198" t="s">
        <v>30542</v>
      </c>
      <c r="E5379" s="198">
        <v>39</v>
      </c>
      <c r="F5379" s="199" t="s">
        <v>30543</v>
      </c>
      <c r="G5379" s="1" t="s">
        <v>30544</v>
      </c>
      <c r="H5379" s="1" t="s">
        <v>30545</v>
      </c>
      <c r="I5379" s="346"/>
      <c r="J5379" s="39">
        <v>118472</v>
      </c>
      <c r="K5379" s="36" t="str">
        <f>CONCATENATE(Cover!$D$6,"fdd/view?i=",J5379)</f>
        <v>https://www.dgiwg.org/FAD/fdd/view?i=118472</v>
      </c>
      <c r="L5379" s="36" t="s">
        <v>37554</v>
      </c>
      <c r="M5379" s="186"/>
      <c r="N5379" s="186"/>
      <c r="O5379" s="172"/>
    </row>
    <row r="5380" spans="1:15" ht="25.5" x14ac:dyDescent="0.2">
      <c r="A5380" s="197" t="str">
        <f t="shared" si="84"/>
        <v>IcfCode_cooling</v>
      </c>
      <c r="B5380" s="409"/>
      <c r="C5380" s="416"/>
      <c r="D5380" s="198" t="s">
        <v>30626</v>
      </c>
      <c r="E5380" s="198">
        <v>30</v>
      </c>
      <c r="F5380" s="199" t="s">
        <v>30627</v>
      </c>
      <c r="G5380" s="1" t="s">
        <v>37555</v>
      </c>
      <c r="H5380" s="200"/>
      <c r="I5380" s="346"/>
      <c r="J5380" s="39">
        <v>104723</v>
      </c>
      <c r="K5380" s="36" t="str">
        <f>CONCATENATE(Cover!$D$6,"fdd/view?i=",J5380)</f>
        <v>https://www.dgiwg.org/FAD/fdd/view?i=104723</v>
      </c>
      <c r="L5380" s="36" t="s">
        <v>37556</v>
      </c>
      <c r="M5380" s="186"/>
      <c r="N5380" s="186"/>
      <c r="O5380" s="172"/>
    </row>
    <row r="5381" spans="1:15" ht="25.5" x14ac:dyDescent="0.2">
      <c r="A5381" s="197" t="str">
        <f t="shared" si="84"/>
        <v>IcfCode_desalinationPlant</v>
      </c>
      <c r="B5381" s="409"/>
      <c r="C5381" s="416"/>
      <c r="D5381" s="198" t="s">
        <v>37557</v>
      </c>
      <c r="E5381" s="198">
        <v>37</v>
      </c>
      <c r="F5381" s="199" t="s">
        <v>37558</v>
      </c>
      <c r="G5381" s="1" t="s">
        <v>37559</v>
      </c>
      <c r="H5381" s="200"/>
      <c r="I5381" s="346"/>
      <c r="J5381" s="39">
        <v>112869</v>
      </c>
      <c r="K5381" s="36" t="str">
        <f>CONCATENATE(Cover!$D$6,"fdd/view?i=",J5381)</f>
        <v>https://www.dgiwg.org/FAD/fdd/view?i=112869</v>
      </c>
      <c r="L5381" s="36" t="s">
        <v>37560</v>
      </c>
      <c r="M5381" s="186"/>
      <c r="N5381" s="186"/>
      <c r="O5381" s="172"/>
    </row>
    <row r="5382" spans="1:15" ht="38.25" x14ac:dyDescent="0.2">
      <c r="A5382" s="197" t="str">
        <f t="shared" si="84"/>
        <v>IcfCode_fertilizerFactory</v>
      </c>
      <c r="B5382" s="409"/>
      <c r="C5382" s="416"/>
      <c r="D5382" s="198" t="s">
        <v>37561</v>
      </c>
      <c r="E5382" s="198">
        <v>41</v>
      </c>
      <c r="F5382" s="199" t="s">
        <v>37562</v>
      </c>
      <c r="G5382" s="1" t="s">
        <v>37563</v>
      </c>
      <c r="H5382" s="200"/>
      <c r="I5382" s="346"/>
      <c r="J5382" s="39">
        <v>118474</v>
      </c>
      <c r="K5382" s="36" t="str">
        <f>CONCATENATE(Cover!$D$6,"fdd/view?i=",J5382)</f>
        <v>https://www.dgiwg.org/FAD/fdd/view?i=118474</v>
      </c>
      <c r="L5382" s="36" t="s">
        <v>37564</v>
      </c>
      <c r="M5382" s="186"/>
      <c r="N5382" s="186"/>
      <c r="O5382" s="172"/>
    </row>
    <row r="5383" spans="1:15" ht="51" x14ac:dyDescent="0.2">
      <c r="A5383" s="197" t="str">
        <f t="shared" si="84"/>
        <v>IcfCode_foundry</v>
      </c>
      <c r="B5383" s="409"/>
      <c r="C5383" s="416"/>
      <c r="D5383" s="198" t="s">
        <v>30812</v>
      </c>
      <c r="E5383" s="198">
        <v>49</v>
      </c>
      <c r="F5383" s="199" t="s">
        <v>30813</v>
      </c>
      <c r="G5383" s="1" t="s">
        <v>30814</v>
      </c>
      <c r="H5383" s="200"/>
      <c r="I5383" s="346"/>
      <c r="J5383" s="39">
        <v>118475</v>
      </c>
      <c r="K5383" s="36" t="str">
        <f>CONCATENATE(Cover!$D$6,"fdd/view?i=",J5383)</f>
        <v>https://www.dgiwg.org/FAD/fdd/view?i=118475</v>
      </c>
      <c r="L5383" s="36" t="s">
        <v>37565</v>
      </c>
      <c r="M5383" s="186"/>
      <c r="N5383" s="186"/>
      <c r="O5383" s="172"/>
    </row>
    <row r="5384" spans="1:15" ht="178.5" x14ac:dyDescent="0.2">
      <c r="A5384" s="197" t="str">
        <f t="shared" si="84"/>
        <v>IcfCode_glassWorks</v>
      </c>
      <c r="B5384" s="409"/>
      <c r="C5384" s="416"/>
      <c r="D5384" s="198" t="s">
        <v>37566</v>
      </c>
      <c r="E5384" s="198">
        <v>38</v>
      </c>
      <c r="F5384" s="199" t="s">
        <v>37567</v>
      </c>
      <c r="G5384" s="1" t="s">
        <v>30855</v>
      </c>
      <c r="H5384" s="1" t="s">
        <v>30856</v>
      </c>
      <c r="I5384" s="346"/>
      <c r="J5384" s="39">
        <v>118471</v>
      </c>
      <c r="K5384" s="36" t="str">
        <f>CONCATENATE(Cover!$D$6,"fdd/view?i=",J5384)</f>
        <v>https://www.dgiwg.org/FAD/fdd/view?i=118471</v>
      </c>
      <c r="L5384" s="36" t="s">
        <v>37568</v>
      </c>
      <c r="M5384" s="186"/>
      <c r="N5384" s="186"/>
      <c r="O5384" s="172"/>
    </row>
    <row r="5385" spans="1:15" ht="38.25" x14ac:dyDescent="0.2">
      <c r="A5385" s="197" t="str">
        <f t="shared" si="84"/>
        <v>IcfCode_kiln</v>
      </c>
      <c r="B5385" s="409"/>
      <c r="C5385" s="416"/>
      <c r="D5385" s="198" t="s">
        <v>37569</v>
      </c>
      <c r="E5385" s="198">
        <v>14</v>
      </c>
      <c r="F5385" s="199" t="s">
        <v>37570</v>
      </c>
      <c r="G5385" s="1" t="s">
        <v>37571</v>
      </c>
      <c r="H5385" s="1" t="s">
        <v>37572</v>
      </c>
      <c r="I5385" s="346"/>
      <c r="J5385" s="39">
        <v>104707</v>
      </c>
      <c r="K5385" s="36" t="str">
        <f>CONCATENATE(Cover!$D$6,"fdd/view?i=",J5385)</f>
        <v>https://www.dgiwg.org/FAD/fdd/view?i=104707</v>
      </c>
      <c r="L5385" s="36" t="s">
        <v>37573</v>
      </c>
      <c r="M5385" s="186"/>
      <c r="N5385" s="186"/>
      <c r="O5385" s="172"/>
    </row>
    <row r="5386" spans="1:15" ht="38.25" x14ac:dyDescent="0.2">
      <c r="A5386" s="197" t="str">
        <f t="shared" si="84"/>
        <v>IcfCode_manufacture</v>
      </c>
      <c r="B5386" s="409"/>
      <c r="C5386" s="416"/>
      <c r="D5386" s="198" t="s">
        <v>37574</v>
      </c>
      <c r="E5386" s="198">
        <v>1</v>
      </c>
      <c r="F5386" s="199" t="s">
        <v>37575</v>
      </c>
      <c r="G5386" s="1" t="s">
        <v>37576</v>
      </c>
      <c r="H5386" s="200"/>
      <c r="I5386" s="351" t="s">
        <v>37577</v>
      </c>
      <c r="J5386" s="39">
        <v>104694</v>
      </c>
      <c r="K5386" s="36" t="str">
        <f>CONCATENATE(Cover!$D$6,"fdd/view?i=",J5386)</f>
        <v>https://www.dgiwg.org/FAD/fdd/view?i=104694</v>
      </c>
      <c r="L5386" s="36" t="s">
        <v>37578</v>
      </c>
      <c r="M5386" s="186"/>
      <c r="N5386" s="186"/>
      <c r="O5386" s="172"/>
    </row>
    <row r="5387" spans="1:15" ht="63.75" x14ac:dyDescent="0.2">
      <c r="A5387" s="197" t="str">
        <f t="shared" si="84"/>
        <v>IcfCode_nuclearEnrichPlant</v>
      </c>
      <c r="B5387" s="409"/>
      <c r="C5387" s="416"/>
      <c r="D5387" s="198" t="s">
        <v>37579</v>
      </c>
      <c r="E5387" s="198">
        <v>40</v>
      </c>
      <c r="F5387" s="199" t="s">
        <v>37580</v>
      </c>
      <c r="G5387" s="1" t="s">
        <v>37581</v>
      </c>
      <c r="H5387" s="1" t="s">
        <v>37582</v>
      </c>
      <c r="I5387" s="346"/>
      <c r="J5387" s="39">
        <v>118473</v>
      </c>
      <c r="K5387" s="36" t="str">
        <f>CONCATENATE(Cover!$D$6,"fdd/view?i=",J5387)</f>
        <v>https://www.dgiwg.org/FAD/fdd/view?i=118473</v>
      </c>
      <c r="L5387" s="36" t="s">
        <v>37583</v>
      </c>
      <c r="M5387" s="186"/>
      <c r="N5387" s="186"/>
      <c r="O5387" s="172"/>
    </row>
    <row r="5388" spans="1:15" ht="25.5" x14ac:dyDescent="0.2">
      <c r="A5388" s="197" t="str">
        <f t="shared" si="84"/>
        <v>IcfCode_oilMill</v>
      </c>
      <c r="B5388" s="409"/>
      <c r="C5388" s="416"/>
      <c r="D5388" s="198" t="s">
        <v>31228</v>
      </c>
      <c r="E5388" s="198">
        <v>10</v>
      </c>
      <c r="F5388" s="199" t="s">
        <v>31229</v>
      </c>
      <c r="G5388" s="1" t="s">
        <v>37584</v>
      </c>
      <c r="H5388" s="200"/>
      <c r="I5388" s="346"/>
      <c r="J5388" s="39">
        <v>104703</v>
      </c>
      <c r="K5388" s="36" t="str">
        <f>CONCATENATE(Cover!$D$6,"fdd/view?i=",J5388)</f>
        <v>https://www.dgiwg.org/FAD/fdd/view?i=104703</v>
      </c>
      <c r="L5388" s="36" t="s">
        <v>37585</v>
      </c>
      <c r="M5388" s="186"/>
      <c r="N5388" s="186"/>
      <c r="O5388" s="172"/>
    </row>
    <row r="5389" spans="1:15" ht="25.5" x14ac:dyDescent="0.2">
      <c r="A5389" s="197" t="str">
        <f t="shared" si="84"/>
        <v>IcfCode_outbuilding</v>
      </c>
      <c r="B5389" s="409"/>
      <c r="C5389" s="416"/>
      <c r="D5389" s="198" t="s">
        <v>20547</v>
      </c>
      <c r="E5389" s="198">
        <v>35</v>
      </c>
      <c r="F5389" s="199" t="s">
        <v>20548</v>
      </c>
      <c r="G5389" s="1" t="s">
        <v>37586</v>
      </c>
      <c r="H5389" s="200"/>
      <c r="I5389" s="346"/>
      <c r="J5389" s="39">
        <v>104728</v>
      </c>
      <c r="K5389" s="36" t="str">
        <f>CONCATENATE(Cover!$D$6,"fdd/view?i=",J5389)</f>
        <v>https://www.dgiwg.org/FAD/fdd/view?i=104728</v>
      </c>
      <c r="L5389" s="36" t="s">
        <v>37587</v>
      </c>
      <c r="M5389" s="186"/>
      <c r="N5389" s="186"/>
      <c r="O5389" s="172"/>
    </row>
    <row r="5390" spans="1:15" ht="38.25" x14ac:dyDescent="0.2">
      <c r="A5390" s="197" t="str">
        <f t="shared" si="84"/>
        <v>IcfCode_paperMill</v>
      </c>
      <c r="B5390" s="409"/>
      <c r="C5390" s="416"/>
      <c r="D5390" s="198" t="s">
        <v>31251</v>
      </c>
      <c r="E5390" s="198">
        <v>22</v>
      </c>
      <c r="F5390" s="199" t="s">
        <v>31252</v>
      </c>
      <c r="G5390" s="1" t="s">
        <v>37588</v>
      </c>
      <c r="H5390" s="200"/>
      <c r="I5390" s="351" t="s">
        <v>37589</v>
      </c>
      <c r="J5390" s="39">
        <v>104715</v>
      </c>
      <c r="K5390" s="36" t="str">
        <f>CONCATENATE(Cover!$D$6,"fdd/view?i=",J5390)</f>
        <v>https://www.dgiwg.org/FAD/fdd/view?i=104715</v>
      </c>
      <c r="L5390" s="36" t="s">
        <v>37590</v>
      </c>
      <c r="M5390" s="186"/>
      <c r="N5390" s="186"/>
      <c r="O5390" s="172"/>
    </row>
    <row r="5391" spans="1:15" ht="25.5" x14ac:dyDescent="0.2">
      <c r="A5391" s="197" t="str">
        <f t="shared" si="84"/>
        <v>IcfCode_petrochemicalRefinery</v>
      </c>
      <c r="B5391" s="409"/>
      <c r="C5391" s="416"/>
      <c r="D5391" s="198" t="s">
        <v>21380</v>
      </c>
      <c r="E5391" s="198">
        <v>36</v>
      </c>
      <c r="F5391" s="199" t="s">
        <v>21381</v>
      </c>
      <c r="G5391" s="1" t="s">
        <v>21382</v>
      </c>
      <c r="H5391" s="200"/>
      <c r="I5391" s="346"/>
      <c r="J5391" s="39">
        <v>104729</v>
      </c>
      <c r="K5391" s="36" t="str">
        <f>CONCATENATE(Cover!$D$6,"fdd/view?i=",J5391)</f>
        <v>https://www.dgiwg.org/FAD/fdd/view?i=104729</v>
      </c>
      <c r="L5391" s="36" t="s">
        <v>37591</v>
      </c>
      <c r="M5391" s="186"/>
      <c r="N5391" s="186"/>
      <c r="O5391" s="172"/>
    </row>
    <row r="5392" spans="1:15" ht="25.5" x14ac:dyDescent="0.2">
      <c r="A5392" s="197" t="str">
        <f t="shared" si="84"/>
        <v>IcfCode_petroleumFacility</v>
      </c>
      <c r="B5392" s="409"/>
      <c r="C5392" s="416"/>
      <c r="D5392" s="198" t="s">
        <v>37592</v>
      </c>
      <c r="E5392" s="198">
        <v>21</v>
      </c>
      <c r="F5392" s="199" t="s">
        <v>37593</v>
      </c>
      <c r="G5392" s="1" t="s">
        <v>37594</v>
      </c>
      <c r="H5392" s="200"/>
      <c r="I5392" s="346"/>
      <c r="J5392" s="39">
        <v>104714</v>
      </c>
      <c r="K5392" s="36" t="str">
        <f>CONCATENATE(Cover!$D$6,"fdd/view?i=",J5392)</f>
        <v>https://www.dgiwg.org/FAD/fdd/view?i=104714</v>
      </c>
      <c r="L5392" s="36" t="s">
        <v>37595</v>
      </c>
      <c r="M5392" s="186"/>
      <c r="N5392" s="186"/>
      <c r="O5392" s="172"/>
    </row>
    <row r="5393" spans="1:15" ht="38.25" x14ac:dyDescent="0.2">
      <c r="A5393" s="197" t="str">
        <f t="shared" si="84"/>
        <v>IcfCode_processing</v>
      </c>
      <c r="B5393" s="409"/>
      <c r="C5393" s="416"/>
      <c r="D5393" s="198" t="s">
        <v>29822</v>
      </c>
      <c r="E5393" s="198">
        <v>18</v>
      </c>
      <c r="F5393" s="199" t="s">
        <v>29823</v>
      </c>
      <c r="G5393" s="1" t="s">
        <v>37596</v>
      </c>
      <c r="H5393" s="200"/>
      <c r="I5393" s="351" t="s">
        <v>37597</v>
      </c>
      <c r="J5393" s="39">
        <v>104711</v>
      </c>
      <c r="K5393" s="36" t="str">
        <f>CONCATENATE(Cover!$D$6,"fdd/view?i=",J5393)</f>
        <v>https://www.dgiwg.org/FAD/fdd/view?i=104711</v>
      </c>
      <c r="L5393" s="36" t="s">
        <v>37598</v>
      </c>
      <c r="M5393" s="186"/>
      <c r="N5393" s="186"/>
      <c r="O5393" s="172"/>
    </row>
    <row r="5394" spans="1:15" ht="25.5" x14ac:dyDescent="0.2">
      <c r="A5394" s="197" t="str">
        <f t="shared" si="84"/>
        <v>IcfCode_pumpRoom</v>
      </c>
      <c r="B5394" s="409"/>
      <c r="C5394" s="416"/>
      <c r="D5394" s="198" t="s">
        <v>37599</v>
      </c>
      <c r="E5394" s="198">
        <v>19</v>
      </c>
      <c r="F5394" s="199" t="s">
        <v>37600</v>
      </c>
      <c r="G5394" s="1" t="s">
        <v>37601</v>
      </c>
      <c r="H5394" s="200"/>
      <c r="I5394" s="351" t="s">
        <v>37602</v>
      </c>
      <c r="J5394" s="39">
        <v>104712</v>
      </c>
      <c r="K5394" s="36" t="str">
        <f>CONCATENATE(Cover!$D$6,"fdd/view?i=",J5394)</f>
        <v>https://www.dgiwg.org/FAD/fdd/view?i=104712</v>
      </c>
      <c r="L5394" s="36" t="s">
        <v>37603</v>
      </c>
      <c r="M5394" s="186"/>
      <c r="N5394" s="186"/>
      <c r="O5394" s="172"/>
    </row>
    <row r="5395" spans="1:15" ht="25.5" x14ac:dyDescent="0.2">
      <c r="A5395" s="197" t="str">
        <f t="shared" si="84"/>
        <v>IcfCode_repair</v>
      </c>
      <c r="B5395" s="409"/>
      <c r="C5395" s="416"/>
      <c r="D5395" s="198" t="s">
        <v>37604</v>
      </c>
      <c r="E5395" s="198">
        <v>28</v>
      </c>
      <c r="F5395" s="199" t="s">
        <v>37605</v>
      </c>
      <c r="G5395" s="1" t="s">
        <v>37606</v>
      </c>
      <c r="H5395" s="200"/>
      <c r="I5395" s="346"/>
      <c r="J5395" s="39">
        <v>104721</v>
      </c>
      <c r="K5395" s="36" t="str">
        <f>CONCATENATE(Cover!$D$6,"fdd/view?i=",J5395)</f>
        <v>https://www.dgiwg.org/FAD/fdd/view?i=104721</v>
      </c>
      <c r="L5395" s="36" t="s">
        <v>37607</v>
      </c>
      <c r="M5395" s="186"/>
      <c r="N5395" s="186"/>
      <c r="O5395" s="172"/>
    </row>
    <row r="5396" spans="1:15" ht="25.5" x14ac:dyDescent="0.2">
      <c r="A5396" s="197" t="str">
        <f t="shared" si="84"/>
        <v>IcfCode_sawmill</v>
      </c>
      <c r="B5396" s="409"/>
      <c r="C5396" s="416"/>
      <c r="D5396" s="198" t="s">
        <v>37608</v>
      </c>
      <c r="E5396" s="198">
        <v>13</v>
      </c>
      <c r="F5396" s="199" t="s">
        <v>37609</v>
      </c>
      <c r="G5396" s="1" t="s">
        <v>37610</v>
      </c>
      <c r="H5396" s="200"/>
      <c r="I5396" s="346"/>
      <c r="J5396" s="39">
        <v>104706</v>
      </c>
      <c r="K5396" s="36" t="str">
        <f>CONCATENATE(Cover!$D$6,"fdd/view?i=",J5396)</f>
        <v>https://www.dgiwg.org/FAD/fdd/view?i=104706</v>
      </c>
      <c r="L5396" s="36" t="s">
        <v>37611</v>
      </c>
      <c r="M5396" s="186"/>
      <c r="N5396" s="186"/>
      <c r="O5396" s="172"/>
    </row>
    <row r="5397" spans="1:15" x14ac:dyDescent="0.2">
      <c r="A5397" s="197" t="str">
        <f t="shared" si="84"/>
        <v>IcfCode_shipyard</v>
      </c>
      <c r="B5397" s="409"/>
      <c r="C5397" s="416"/>
      <c r="D5397" s="198" t="s">
        <v>34593</v>
      </c>
      <c r="E5397" s="198">
        <v>23</v>
      </c>
      <c r="F5397" s="199" t="s">
        <v>5015</v>
      </c>
      <c r="G5397" s="1" t="s">
        <v>34594</v>
      </c>
      <c r="H5397" s="200"/>
      <c r="I5397" s="346"/>
      <c r="J5397" s="39">
        <v>104716</v>
      </c>
      <c r="K5397" s="36" t="str">
        <f>CONCATENATE(Cover!$D$6,"fdd/view?i=",J5397)</f>
        <v>https://www.dgiwg.org/FAD/fdd/view?i=104716</v>
      </c>
      <c r="L5397" s="36" t="s">
        <v>37612</v>
      </c>
      <c r="M5397" s="186"/>
      <c r="N5397" s="186"/>
      <c r="O5397" s="172"/>
    </row>
    <row r="5398" spans="1:15" ht="25.5" x14ac:dyDescent="0.2">
      <c r="A5398" s="197" t="str">
        <f t="shared" si="84"/>
        <v>IcfCode_steelMill</v>
      </c>
      <c r="B5398" s="409"/>
      <c r="C5398" s="416"/>
      <c r="D5398" s="198" t="s">
        <v>31619</v>
      </c>
      <c r="E5398" s="198">
        <v>24</v>
      </c>
      <c r="F5398" s="199" t="s">
        <v>31620</v>
      </c>
      <c r="G5398" s="1" t="s">
        <v>37613</v>
      </c>
      <c r="H5398" s="1" t="s">
        <v>37614</v>
      </c>
      <c r="I5398" s="346"/>
      <c r="J5398" s="39">
        <v>104717</v>
      </c>
      <c r="K5398" s="36" t="str">
        <f>CONCATENATE(Cover!$D$6,"fdd/view?i=",J5398)</f>
        <v>https://www.dgiwg.org/FAD/fdd/view?i=104717</v>
      </c>
      <c r="L5398" s="36" t="s">
        <v>37615</v>
      </c>
      <c r="M5398" s="186"/>
      <c r="N5398" s="186"/>
      <c r="O5398" s="172"/>
    </row>
    <row r="5399" spans="1:15" ht="38.25" x14ac:dyDescent="0.2">
      <c r="A5399" s="197" t="str">
        <f t="shared" si="84"/>
        <v>IcfCode_warehouse</v>
      </c>
      <c r="B5399" s="409"/>
      <c r="C5399" s="416"/>
      <c r="D5399" s="198" t="s">
        <v>26308</v>
      </c>
      <c r="E5399" s="198">
        <v>5</v>
      </c>
      <c r="F5399" s="199" t="s">
        <v>26309</v>
      </c>
      <c r="G5399" s="1" t="s">
        <v>37616</v>
      </c>
      <c r="H5399" s="200"/>
      <c r="I5399" s="346"/>
      <c r="J5399" s="39">
        <v>104698</v>
      </c>
      <c r="K5399" s="36" t="str">
        <f>CONCATENATE(Cover!$D$6,"fdd/view?i=",J5399)</f>
        <v>https://www.dgiwg.org/FAD/fdd/view?i=104698</v>
      </c>
      <c r="L5399" s="36" t="s">
        <v>37617</v>
      </c>
      <c r="M5399" s="186"/>
      <c r="N5399" s="186"/>
      <c r="O5399" s="172"/>
    </row>
    <row r="5400" spans="1:15" ht="25.5" x14ac:dyDescent="0.2">
      <c r="A5400" s="197" t="str">
        <f t="shared" si="84"/>
        <v>IcfCode_waterDrivenGristMill</v>
      </c>
      <c r="B5400" s="409"/>
      <c r="C5400" s="416"/>
      <c r="D5400" s="198" t="s">
        <v>37618</v>
      </c>
      <c r="E5400" s="198">
        <v>3</v>
      </c>
      <c r="F5400" s="199" t="s">
        <v>37619</v>
      </c>
      <c r="G5400" s="1" t="s">
        <v>37620</v>
      </c>
      <c r="H5400" s="200"/>
      <c r="I5400" s="346"/>
      <c r="J5400" s="39">
        <v>104696</v>
      </c>
      <c r="K5400" s="36" t="str">
        <f>CONCATENATE(Cover!$D$6,"fdd/view?i=",J5400)</f>
        <v>https://www.dgiwg.org/FAD/fdd/view?i=104696</v>
      </c>
      <c r="L5400" s="36" t="s">
        <v>37621</v>
      </c>
      <c r="M5400" s="186"/>
      <c r="N5400" s="186"/>
      <c r="O5400" s="172"/>
    </row>
    <row r="5401" spans="1:15" ht="25.5" x14ac:dyDescent="0.2">
      <c r="A5401" s="197" t="str">
        <f t="shared" si="84"/>
        <v>IcfCode_waterworks</v>
      </c>
      <c r="B5401" s="409"/>
      <c r="C5401" s="416"/>
      <c r="D5401" s="198" t="s">
        <v>37622</v>
      </c>
      <c r="E5401" s="198">
        <v>32</v>
      </c>
      <c r="F5401" s="199" t="s">
        <v>37623</v>
      </c>
      <c r="G5401" s="1" t="s">
        <v>37624</v>
      </c>
      <c r="H5401" s="200"/>
      <c r="I5401" s="346"/>
      <c r="J5401" s="39">
        <v>104725</v>
      </c>
      <c r="K5401" s="36" t="str">
        <f>CONCATENATE(Cover!$D$6,"fdd/view?i=",J5401)</f>
        <v>https://www.dgiwg.org/FAD/fdd/view?i=104725</v>
      </c>
      <c r="L5401" s="36" t="s">
        <v>37625</v>
      </c>
      <c r="M5401" s="186"/>
      <c r="N5401" s="186"/>
      <c r="O5401" s="172"/>
    </row>
    <row r="5402" spans="1:15" ht="38.25" x14ac:dyDescent="0.2">
      <c r="A5402" s="203" t="str">
        <f t="shared" si="84"/>
        <v>IcfCode_windTunnel</v>
      </c>
      <c r="B5402" s="410"/>
      <c r="C5402" s="417"/>
      <c r="D5402" s="204" t="s">
        <v>31773</v>
      </c>
      <c r="E5402" s="204">
        <v>4</v>
      </c>
      <c r="F5402" s="205" t="s">
        <v>31774</v>
      </c>
      <c r="G5402" s="206" t="s">
        <v>31775</v>
      </c>
      <c r="H5402" s="207"/>
      <c r="I5402" s="347"/>
      <c r="J5402" s="39">
        <v>104697</v>
      </c>
      <c r="K5402" s="36" t="str">
        <f>CONCATENATE(Cover!$D$6,"fdd/view?i=",J5402)</f>
        <v>https://www.dgiwg.org/FAD/fdd/view?i=104697</v>
      </c>
      <c r="L5402" s="36" t="s">
        <v>37626</v>
      </c>
      <c r="M5402" s="186"/>
      <c r="N5402" s="186"/>
      <c r="O5402" s="172"/>
    </row>
    <row r="5403" spans="1:15" ht="25.5" x14ac:dyDescent="0.2">
      <c r="A5403" s="190" t="str">
        <f t="shared" si="84"/>
        <v>MbgCode_feeding</v>
      </c>
      <c r="B5403" s="414" t="str">
        <f>HYPERLINK("[#]Datatypes!A854:L854","MbgCode")</f>
        <v>MbgCode</v>
      </c>
      <c r="C5403" s="415" t="s">
        <v>15443</v>
      </c>
      <c r="D5403" s="221" t="s">
        <v>37627</v>
      </c>
      <c r="E5403" s="221">
        <v>2</v>
      </c>
      <c r="F5403" s="222" t="s">
        <v>37628</v>
      </c>
      <c r="G5403" s="223" t="s">
        <v>37629</v>
      </c>
      <c r="H5403" s="224"/>
      <c r="I5403" s="345"/>
      <c r="J5403" s="39">
        <v>119364</v>
      </c>
      <c r="K5403" s="36" t="str">
        <f>CONCATENATE(Cover!$D$6,"fdd/view?i=",J5403)</f>
        <v>https://www.dgiwg.org/FAD/fdd/view?i=119364</v>
      </c>
      <c r="L5403" s="36" t="s">
        <v>37630</v>
      </c>
      <c r="M5403" s="186"/>
      <c r="N5403" s="186"/>
      <c r="O5403" s="172"/>
    </row>
    <row r="5404" spans="1:15" ht="25.5" x14ac:dyDescent="0.2">
      <c r="A5404" s="197" t="str">
        <f t="shared" si="84"/>
        <v>MbgCode_general</v>
      </c>
      <c r="B5404" s="409"/>
      <c r="C5404" s="416"/>
      <c r="D5404" s="198" t="s">
        <v>37631</v>
      </c>
      <c r="E5404" s="198">
        <v>1</v>
      </c>
      <c r="F5404" s="199" t="s">
        <v>37632</v>
      </c>
      <c r="G5404" s="1" t="s">
        <v>37633</v>
      </c>
      <c r="H5404" s="1" t="s">
        <v>37634</v>
      </c>
      <c r="I5404" s="346"/>
      <c r="J5404" s="39">
        <v>119363</v>
      </c>
      <c r="K5404" s="36" t="str">
        <f>CONCATENATE(Cover!$D$6,"fdd/view?i=",J5404)</f>
        <v>https://www.dgiwg.org/FAD/fdd/view?i=119363</v>
      </c>
      <c r="L5404" s="36" t="s">
        <v>37635</v>
      </c>
      <c r="M5404" s="186"/>
      <c r="N5404" s="186"/>
      <c r="O5404" s="172"/>
    </row>
    <row r="5405" spans="1:15" x14ac:dyDescent="0.2">
      <c r="A5405" s="197" t="str">
        <f t="shared" si="84"/>
        <v>MbgCode_spawning</v>
      </c>
      <c r="B5405" s="409"/>
      <c r="C5405" s="416"/>
      <c r="D5405" s="198" t="s">
        <v>37636</v>
      </c>
      <c r="E5405" s="198">
        <v>3</v>
      </c>
      <c r="F5405" s="199" t="s">
        <v>37637</v>
      </c>
      <c r="G5405" s="1" t="s">
        <v>37638</v>
      </c>
      <c r="H5405" s="200"/>
      <c r="I5405" s="346"/>
      <c r="J5405" s="39">
        <v>119365</v>
      </c>
      <c r="K5405" s="36" t="str">
        <f>CONCATENATE(Cover!$D$6,"fdd/view?i=",J5405)</f>
        <v>https://www.dgiwg.org/FAD/fdd/view?i=119365</v>
      </c>
      <c r="L5405" s="36" t="s">
        <v>37639</v>
      </c>
      <c r="M5405" s="186"/>
      <c r="N5405" s="186"/>
      <c r="O5405" s="172"/>
    </row>
    <row r="5406" spans="1:15" ht="25.5" x14ac:dyDescent="0.2">
      <c r="A5406" s="203" t="str">
        <f t="shared" si="84"/>
        <v>MbgCode_wintering</v>
      </c>
      <c r="B5406" s="410"/>
      <c r="C5406" s="417"/>
      <c r="D5406" s="204" t="s">
        <v>37640</v>
      </c>
      <c r="E5406" s="204">
        <v>4</v>
      </c>
      <c r="F5406" s="205" t="s">
        <v>37641</v>
      </c>
      <c r="G5406" s="206" t="s">
        <v>37642</v>
      </c>
      <c r="H5406" s="207"/>
      <c r="I5406" s="347"/>
      <c r="J5406" s="39">
        <v>119366</v>
      </c>
      <c r="K5406" s="36" t="str">
        <f>CONCATENATE(Cover!$D$6,"fdd/view?i=",J5406)</f>
        <v>https://www.dgiwg.org/FAD/fdd/view?i=119366</v>
      </c>
      <c r="L5406" s="36" t="s">
        <v>37643</v>
      </c>
      <c r="M5406" s="186"/>
      <c r="N5406" s="186"/>
      <c r="O5406" s="172"/>
    </row>
    <row r="5407" spans="1:15" ht="25.5" x14ac:dyDescent="0.2">
      <c r="A5407" s="190" t="str">
        <f t="shared" si="84"/>
        <v>MfeCode_fencing</v>
      </c>
      <c r="B5407" s="414" t="str">
        <f>HYPERLINK("[#]Datatypes!A856:L856","MfeCode")</f>
        <v>MfeCode</v>
      </c>
      <c r="C5407" s="415" t="s">
        <v>15445</v>
      </c>
      <c r="D5407" s="221" t="s">
        <v>37644</v>
      </c>
      <c r="E5407" s="221">
        <v>1</v>
      </c>
      <c r="F5407" s="222" t="s">
        <v>37645</v>
      </c>
      <c r="G5407" s="223" t="s">
        <v>37646</v>
      </c>
      <c r="H5407" s="224"/>
      <c r="I5407" s="345"/>
      <c r="J5407" s="39">
        <v>117934</v>
      </c>
      <c r="K5407" s="36" t="str">
        <f>CONCATENATE(Cover!$D$6,"fdd/view?i=",J5407)</f>
        <v>https://www.dgiwg.org/FAD/fdd/view?i=117934</v>
      </c>
      <c r="L5407" s="36" t="s">
        <v>37647</v>
      </c>
      <c r="M5407" s="186"/>
      <c r="N5407" s="186"/>
      <c r="O5407" s="172"/>
    </row>
    <row r="5408" spans="1:15" ht="25.5" x14ac:dyDescent="0.2">
      <c r="A5408" s="197" t="str">
        <f t="shared" si="84"/>
        <v>MfeCode_fishingStakes</v>
      </c>
      <c r="B5408" s="409"/>
      <c r="C5408" s="416"/>
      <c r="D5408" s="198" t="s">
        <v>37648</v>
      </c>
      <c r="E5408" s="198">
        <v>2</v>
      </c>
      <c r="F5408" s="199" t="s">
        <v>3139</v>
      </c>
      <c r="G5408" s="1" t="s">
        <v>3140</v>
      </c>
      <c r="H5408" s="200"/>
      <c r="I5408" s="346"/>
      <c r="J5408" s="39">
        <v>117935</v>
      </c>
      <c r="K5408" s="36" t="str">
        <f>CONCATENATE(Cover!$D$6,"fdd/view?i=",J5408)</f>
        <v>https://www.dgiwg.org/FAD/fdd/view?i=117935</v>
      </c>
      <c r="L5408" s="36" t="s">
        <v>37649</v>
      </c>
      <c r="M5408" s="186"/>
      <c r="N5408" s="186"/>
      <c r="O5408" s="172"/>
    </row>
    <row r="5409" spans="1:15" x14ac:dyDescent="0.2">
      <c r="A5409" s="203" t="str">
        <f t="shared" si="84"/>
        <v>MfeCode_nets</v>
      </c>
      <c r="B5409" s="410"/>
      <c r="C5409" s="417"/>
      <c r="D5409" s="204" t="s">
        <v>37650</v>
      </c>
      <c r="E5409" s="204">
        <v>3</v>
      </c>
      <c r="F5409" s="205" t="s">
        <v>37651</v>
      </c>
      <c r="G5409" s="206" t="s">
        <v>37652</v>
      </c>
      <c r="H5409" s="207"/>
      <c r="I5409" s="347"/>
      <c r="J5409" s="39">
        <v>117936</v>
      </c>
      <c r="K5409" s="36" t="str">
        <f>CONCATENATE(Cover!$D$6,"fdd/view?i=",J5409)</f>
        <v>https://www.dgiwg.org/FAD/fdd/view?i=117936</v>
      </c>
      <c r="L5409" s="36" t="s">
        <v>37653</v>
      </c>
      <c r="M5409" s="186"/>
      <c r="N5409" s="186"/>
      <c r="O5409" s="172"/>
    </row>
    <row r="5410" spans="1:15" ht="25.5" x14ac:dyDescent="0.2">
      <c r="A5410" s="190" t="str">
        <f t="shared" si="84"/>
        <v>NlcCode_clearingLine</v>
      </c>
      <c r="B5410" s="414" t="str">
        <f>HYPERLINK("[#]Datatypes!A858:L858","NlcCode")</f>
        <v>NlcCode</v>
      </c>
      <c r="C5410" s="415" t="s">
        <v>15447</v>
      </c>
      <c r="D5410" s="221" t="s">
        <v>24841</v>
      </c>
      <c r="E5410" s="221">
        <v>2</v>
      </c>
      <c r="F5410" s="222" t="s">
        <v>24842</v>
      </c>
      <c r="G5410" s="223" t="s">
        <v>37654</v>
      </c>
      <c r="H5410" s="223" t="s">
        <v>37655</v>
      </c>
      <c r="I5410" s="345"/>
      <c r="J5410" s="39">
        <v>105992</v>
      </c>
      <c r="K5410" s="36" t="str">
        <f>CONCATENATE(Cover!$D$6,"fdd/view?i=",J5410)</f>
        <v>https://www.dgiwg.org/FAD/fdd/view?i=105992</v>
      </c>
      <c r="L5410" s="36" t="s">
        <v>37656</v>
      </c>
      <c r="M5410" s="186"/>
      <c r="N5410" s="186"/>
      <c r="O5410" s="172"/>
    </row>
    <row r="5411" spans="1:15" ht="38.25" x14ac:dyDescent="0.2">
      <c r="A5411" s="197" t="str">
        <f t="shared" si="84"/>
        <v>NlcCode_leadingLine</v>
      </c>
      <c r="B5411" s="409"/>
      <c r="C5411" s="416"/>
      <c r="D5411" s="198" t="s">
        <v>24973</v>
      </c>
      <c r="E5411" s="198">
        <v>4</v>
      </c>
      <c r="F5411" s="199" t="s">
        <v>3861</v>
      </c>
      <c r="G5411" s="1" t="s">
        <v>37657</v>
      </c>
      <c r="H5411" s="200"/>
      <c r="I5411" s="346"/>
      <c r="J5411" s="39">
        <v>110281</v>
      </c>
      <c r="K5411" s="36" t="str">
        <f>CONCATENATE(Cover!$D$6,"fdd/view?i=",J5411)</f>
        <v>https://www.dgiwg.org/FAD/fdd/view?i=110281</v>
      </c>
      <c r="L5411" s="36" t="s">
        <v>37658</v>
      </c>
      <c r="M5411" s="186"/>
      <c r="N5411" s="186"/>
      <c r="O5411" s="172"/>
    </row>
    <row r="5412" spans="1:15" x14ac:dyDescent="0.2">
      <c r="A5412" s="203" t="str">
        <f t="shared" si="84"/>
        <v>NlcCode_transitLine</v>
      </c>
      <c r="B5412" s="410"/>
      <c r="C5412" s="417"/>
      <c r="D5412" s="204" t="s">
        <v>37659</v>
      </c>
      <c r="E5412" s="204">
        <v>3</v>
      </c>
      <c r="F5412" s="205" t="s">
        <v>37660</v>
      </c>
      <c r="G5412" s="206" t="s">
        <v>37661</v>
      </c>
      <c r="H5412" s="207"/>
      <c r="I5412" s="347"/>
      <c r="J5412" s="39">
        <v>105993</v>
      </c>
      <c r="K5412" s="36" t="str">
        <f>CONCATENATE(Cover!$D$6,"fdd/view?i=",J5412)</f>
        <v>https://www.dgiwg.org/FAD/fdd/view?i=105993</v>
      </c>
      <c r="L5412" s="36" t="s">
        <v>37662</v>
      </c>
      <c r="M5412" s="186"/>
      <c r="N5412" s="186"/>
      <c r="O5412" s="172"/>
    </row>
    <row r="5413" spans="1:15" ht="25.5" x14ac:dyDescent="0.2">
      <c r="A5413" s="190" t="str">
        <f t="shared" si="84"/>
        <v>RscCode_emergencyRadio</v>
      </c>
      <c r="B5413" s="414" t="str">
        <f>HYPERLINK("[#]Datatypes!A860:L860","RscCode")</f>
        <v>RscCode</v>
      </c>
      <c r="C5413" s="415" t="s">
        <v>15449</v>
      </c>
      <c r="D5413" s="221" t="s">
        <v>37663</v>
      </c>
      <c r="E5413" s="221">
        <v>7</v>
      </c>
      <c r="F5413" s="222" t="s">
        <v>37664</v>
      </c>
      <c r="G5413" s="223" t="s">
        <v>37665</v>
      </c>
      <c r="H5413" s="223" t="s">
        <v>37666</v>
      </c>
      <c r="I5413" s="345"/>
      <c r="J5413" s="39">
        <v>107302</v>
      </c>
      <c r="K5413" s="36" t="str">
        <f>CONCATENATE(Cover!$D$6,"fdd/view?i=",J5413)</f>
        <v>https://www.dgiwg.org/FAD/fdd/view?i=107302</v>
      </c>
      <c r="L5413" s="36" t="s">
        <v>37667</v>
      </c>
      <c r="M5413" s="186"/>
      <c r="N5413" s="186"/>
      <c r="O5413" s="172"/>
    </row>
    <row r="5414" spans="1:15" ht="25.5" x14ac:dyDescent="0.2">
      <c r="A5414" s="197" t="str">
        <f t="shared" si="84"/>
        <v>RscCode_firstAidEquipment</v>
      </c>
      <c r="B5414" s="409"/>
      <c r="C5414" s="416"/>
      <c r="D5414" s="198" t="s">
        <v>37668</v>
      </c>
      <c r="E5414" s="198">
        <v>8</v>
      </c>
      <c r="F5414" s="199" t="s">
        <v>37669</v>
      </c>
      <c r="G5414" s="1" t="s">
        <v>37670</v>
      </c>
      <c r="H5414" s="200"/>
      <c r="I5414" s="346"/>
      <c r="J5414" s="39">
        <v>107303</v>
      </c>
      <c r="K5414" s="36" t="str">
        <f>CONCATENATE(Cover!$D$6,"fdd/view?i=",J5414)</f>
        <v>https://www.dgiwg.org/FAD/fdd/view?i=107303</v>
      </c>
      <c r="L5414" s="36" t="s">
        <v>37671</v>
      </c>
      <c r="M5414" s="186"/>
      <c r="N5414" s="186"/>
      <c r="O5414" s="172"/>
    </row>
    <row r="5415" spans="1:15" ht="25.5" x14ac:dyDescent="0.2">
      <c r="A5415" s="197" t="str">
        <f t="shared" si="84"/>
        <v>RscCode_intertidalRefuge</v>
      </c>
      <c r="B5415" s="409"/>
      <c r="C5415" s="416"/>
      <c r="D5415" s="198" t="s">
        <v>37672</v>
      </c>
      <c r="E5415" s="198">
        <v>5</v>
      </c>
      <c r="F5415" s="199" t="s">
        <v>37673</v>
      </c>
      <c r="G5415" s="1" t="s">
        <v>37674</v>
      </c>
      <c r="H5415" s="200"/>
      <c r="I5415" s="346"/>
      <c r="J5415" s="39">
        <v>107300</v>
      </c>
      <c r="K5415" s="36" t="str">
        <f>CONCATENATE(Cover!$D$6,"fdd/view?i=",J5415)</f>
        <v>https://www.dgiwg.org/FAD/fdd/view?i=107300</v>
      </c>
      <c r="L5415" s="36" t="s">
        <v>37675</v>
      </c>
      <c r="M5415" s="186"/>
      <c r="N5415" s="186"/>
      <c r="O5415" s="172"/>
    </row>
    <row r="5416" spans="1:15" ht="25.5" x14ac:dyDescent="0.2">
      <c r="A5416" s="197" t="str">
        <f t="shared" si="84"/>
        <v>RscCode_lifeboat</v>
      </c>
      <c r="B5416" s="409"/>
      <c r="C5416" s="416"/>
      <c r="D5416" s="198" t="s">
        <v>37676</v>
      </c>
      <c r="E5416" s="198">
        <v>1</v>
      </c>
      <c r="F5416" s="199" t="s">
        <v>37677</v>
      </c>
      <c r="G5416" s="1" t="s">
        <v>37678</v>
      </c>
      <c r="H5416" s="1" t="s">
        <v>37679</v>
      </c>
      <c r="I5416" s="346"/>
      <c r="J5416" s="39">
        <v>107296</v>
      </c>
      <c r="K5416" s="36" t="str">
        <f>CONCATENATE(Cover!$D$6,"fdd/view?i=",J5416)</f>
        <v>https://www.dgiwg.org/FAD/fdd/view?i=107296</v>
      </c>
      <c r="L5416" s="36" t="s">
        <v>37680</v>
      </c>
      <c r="M5416" s="186"/>
      <c r="N5416" s="186"/>
      <c r="O5416" s="172"/>
    </row>
    <row r="5417" spans="1:15" ht="25.5" x14ac:dyDescent="0.2">
      <c r="A5417" s="197" t="str">
        <f t="shared" si="84"/>
        <v>RscCode_lifeboatAndRocket</v>
      </c>
      <c r="B5417" s="409"/>
      <c r="C5417" s="416"/>
      <c r="D5417" s="198" t="s">
        <v>37681</v>
      </c>
      <c r="E5417" s="198">
        <v>3</v>
      </c>
      <c r="F5417" s="199" t="s">
        <v>37682</v>
      </c>
      <c r="G5417" s="1" t="s">
        <v>37683</v>
      </c>
      <c r="H5417" s="200"/>
      <c r="I5417" s="346"/>
      <c r="J5417" s="39">
        <v>107298</v>
      </c>
      <c r="K5417" s="36" t="str">
        <f>CONCATENATE(Cover!$D$6,"fdd/view?i=",J5417)</f>
        <v>https://www.dgiwg.org/FAD/fdd/view?i=107298</v>
      </c>
      <c r="L5417" s="36" t="s">
        <v>37684</v>
      </c>
      <c r="M5417" s="186"/>
      <c r="N5417" s="186"/>
      <c r="O5417" s="172"/>
    </row>
    <row r="5418" spans="1:15" ht="25.5" x14ac:dyDescent="0.2">
      <c r="A5418" s="197" t="str">
        <f t="shared" si="84"/>
        <v>RscCode_mooredLifeboat</v>
      </c>
      <c r="B5418" s="409"/>
      <c r="C5418" s="416"/>
      <c r="D5418" s="198" t="s">
        <v>37685</v>
      </c>
      <c r="E5418" s="198">
        <v>6</v>
      </c>
      <c r="F5418" s="199" t="s">
        <v>37686</v>
      </c>
      <c r="G5418" s="1" t="s">
        <v>37687</v>
      </c>
      <c r="H5418" s="200"/>
      <c r="I5418" s="346"/>
      <c r="J5418" s="39">
        <v>107301</v>
      </c>
      <c r="K5418" s="36" t="str">
        <f>CONCATENATE(Cover!$D$6,"fdd/view?i=",J5418)</f>
        <v>https://www.dgiwg.org/FAD/fdd/view?i=107301</v>
      </c>
      <c r="L5418" s="36" t="s">
        <v>37688</v>
      </c>
      <c r="M5418" s="186"/>
      <c r="N5418" s="186"/>
      <c r="O5418" s="172"/>
    </row>
    <row r="5419" spans="1:15" ht="25.5" x14ac:dyDescent="0.2">
      <c r="A5419" s="197" t="str">
        <f t="shared" si="84"/>
        <v>RscCode_rocket</v>
      </c>
      <c r="B5419" s="409"/>
      <c r="C5419" s="416"/>
      <c r="D5419" s="198" t="s">
        <v>37689</v>
      </c>
      <c r="E5419" s="198">
        <v>2</v>
      </c>
      <c r="F5419" s="199" t="s">
        <v>37690</v>
      </c>
      <c r="G5419" s="1" t="s">
        <v>37691</v>
      </c>
      <c r="H5419" s="1" t="s">
        <v>37692</v>
      </c>
      <c r="I5419" s="346"/>
      <c r="J5419" s="39">
        <v>107297</v>
      </c>
      <c r="K5419" s="36" t="str">
        <f>CONCATENATE(Cover!$D$6,"fdd/view?i=",J5419)</f>
        <v>https://www.dgiwg.org/FAD/fdd/view?i=107297</v>
      </c>
      <c r="L5419" s="36" t="s">
        <v>37693</v>
      </c>
      <c r="M5419" s="186"/>
      <c r="N5419" s="186"/>
      <c r="O5419" s="172"/>
    </row>
    <row r="5420" spans="1:15" ht="25.5" x14ac:dyDescent="0.2">
      <c r="A5420" s="203" t="str">
        <f t="shared" si="84"/>
        <v>RscCode_shipwreckRefuge</v>
      </c>
      <c r="B5420" s="410"/>
      <c r="C5420" s="417"/>
      <c r="D5420" s="204" t="s">
        <v>37694</v>
      </c>
      <c r="E5420" s="204">
        <v>4</v>
      </c>
      <c r="F5420" s="205" t="s">
        <v>37695</v>
      </c>
      <c r="G5420" s="206" t="s">
        <v>37696</v>
      </c>
      <c r="H5420" s="207"/>
      <c r="I5420" s="347"/>
      <c r="J5420" s="39">
        <v>107299</v>
      </c>
      <c r="K5420" s="36" t="str">
        <f>CONCATENATE(Cover!$D$6,"fdd/view?i=",J5420)</f>
        <v>https://www.dgiwg.org/FAD/fdd/view?i=107299</v>
      </c>
      <c r="L5420" s="36" t="s">
        <v>37697</v>
      </c>
      <c r="M5420" s="186"/>
      <c r="N5420" s="186"/>
      <c r="O5420" s="172"/>
    </row>
    <row r="5421" spans="1:15" ht="38.25" x14ac:dyDescent="0.2">
      <c r="A5421" s="190" t="str">
        <f t="shared" si="84"/>
        <v>MhaCode_demersal</v>
      </c>
      <c r="B5421" s="414" t="str">
        <f>HYPERLINK("[#]Datatypes!A862:L862","MhaCode")</f>
        <v>MhaCode</v>
      </c>
      <c r="C5421" s="415" t="s">
        <v>15451</v>
      </c>
      <c r="D5421" s="221" t="s">
        <v>37698</v>
      </c>
      <c r="E5421" s="221">
        <v>1</v>
      </c>
      <c r="F5421" s="222" t="s">
        <v>37699</v>
      </c>
      <c r="G5421" s="223" t="s">
        <v>37700</v>
      </c>
      <c r="H5421" s="223" t="s">
        <v>37701</v>
      </c>
      <c r="I5421" s="345"/>
      <c r="J5421" s="39">
        <v>119361</v>
      </c>
      <c r="K5421" s="36" t="str">
        <f>CONCATENATE(Cover!$D$6,"fdd/view?i=",J5421)</f>
        <v>https://www.dgiwg.org/FAD/fdd/view?i=119361</v>
      </c>
      <c r="L5421" s="36" t="s">
        <v>37702</v>
      </c>
      <c r="M5421" s="186"/>
      <c r="N5421" s="186"/>
      <c r="O5421" s="172"/>
    </row>
    <row r="5422" spans="1:15" ht="25.5" x14ac:dyDescent="0.2">
      <c r="A5422" s="203" t="str">
        <f t="shared" si="84"/>
        <v>MhaCode_pelagic</v>
      </c>
      <c r="B5422" s="410"/>
      <c r="C5422" s="417"/>
      <c r="D5422" s="204" t="s">
        <v>37703</v>
      </c>
      <c r="E5422" s="204">
        <v>2</v>
      </c>
      <c r="F5422" s="205" t="s">
        <v>37704</v>
      </c>
      <c r="G5422" s="206" t="s">
        <v>37705</v>
      </c>
      <c r="H5422" s="206" t="s">
        <v>37706</v>
      </c>
      <c r="I5422" s="347"/>
      <c r="J5422" s="39">
        <v>119362</v>
      </c>
      <c r="K5422" s="36" t="str">
        <f>CONCATENATE(Cover!$D$6,"fdd/view?i=",J5422)</f>
        <v>https://www.dgiwg.org/FAD/fdd/view?i=119362</v>
      </c>
      <c r="L5422" s="36" t="s">
        <v>37707</v>
      </c>
      <c r="M5422" s="186"/>
      <c r="N5422" s="186"/>
      <c r="O5422" s="172"/>
    </row>
    <row r="5423" spans="1:15" x14ac:dyDescent="0.2">
      <c r="A5423" s="190" t="str">
        <f t="shared" si="84"/>
        <v>SawCode_cable</v>
      </c>
      <c r="B5423" s="414" t="str">
        <f>HYPERLINK("[#]Datatypes!A864:L864","SawCode")</f>
        <v>SawCode</v>
      </c>
      <c r="C5423" s="415" t="s">
        <v>15453</v>
      </c>
      <c r="D5423" s="221" t="s">
        <v>22425</v>
      </c>
      <c r="E5423" s="221">
        <v>3</v>
      </c>
      <c r="F5423" s="222" t="s">
        <v>2381</v>
      </c>
      <c r="G5423" s="223" t="s">
        <v>37708</v>
      </c>
      <c r="H5423" s="224"/>
      <c r="I5423" s="345"/>
      <c r="J5423" s="39">
        <v>107409</v>
      </c>
      <c r="K5423" s="36" t="str">
        <f>CONCATENATE(Cover!$D$6,"fdd/view?i=",J5423)</f>
        <v>https://www.dgiwg.org/FAD/fdd/view?i=107409</v>
      </c>
      <c r="L5423" s="36" t="s">
        <v>37709</v>
      </c>
      <c r="M5423" s="186"/>
      <c r="N5423" s="186"/>
      <c r="O5423" s="172"/>
    </row>
    <row r="5424" spans="1:15" x14ac:dyDescent="0.2">
      <c r="A5424" s="197" t="str">
        <f t="shared" si="84"/>
        <v>SawCode_danger</v>
      </c>
      <c r="B5424" s="409"/>
      <c r="C5424" s="416"/>
      <c r="D5424" s="198" t="s">
        <v>37710</v>
      </c>
      <c r="E5424" s="198">
        <v>1</v>
      </c>
      <c r="F5424" s="199" t="s">
        <v>37711</v>
      </c>
      <c r="G5424" s="1" t="s">
        <v>37712</v>
      </c>
      <c r="H5424" s="200"/>
      <c r="I5424" s="346"/>
      <c r="J5424" s="39">
        <v>107407</v>
      </c>
      <c r="K5424" s="36" t="str">
        <f>CONCATENATE(Cover!$D$6,"fdd/view?i=",J5424)</f>
        <v>https://www.dgiwg.org/FAD/fdd/view?i=107407</v>
      </c>
      <c r="L5424" s="36" t="s">
        <v>37713</v>
      </c>
      <c r="M5424" s="186"/>
      <c r="N5424" s="186"/>
      <c r="O5424" s="172"/>
    </row>
    <row r="5425" spans="1:15" x14ac:dyDescent="0.2">
      <c r="A5425" s="197" t="str">
        <f t="shared" si="84"/>
        <v>SawCode_distress</v>
      </c>
      <c r="B5425" s="409"/>
      <c r="C5425" s="416"/>
      <c r="D5425" s="198" t="s">
        <v>37714</v>
      </c>
      <c r="E5425" s="198">
        <v>5</v>
      </c>
      <c r="F5425" s="199" t="s">
        <v>37715</v>
      </c>
      <c r="G5425" s="1" t="s">
        <v>37716</v>
      </c>
      <c r="H5425" s="200"/>
      <c r="I5425" s="346"/>
      <c r="J5425" s="39">
        <v>107411</v>
      </c>
      <c r="K5425" s="36" t="str">
        <f>CONCATENATE(Cover!$D$6,"fdd/view?i=",J5425)</f>
        <v>https://www.dgiwg.org/FAD/fdd/view?i=107411</v>
      </c>
      <c r="L5425" s="36" t="s">
        <v>37717</v>
      </c>
      <c r="M5425" s="186"/>
      <c r="N5425" s="186"/>
      <c r="O5425" s="172"/>
    </row>
    <row r="5426" spans="1:15" x14ac:dyDescent="0.2">
      <c r="A5426" s="197" t="str">
        <f t="shared" si="84"/>
        <v>SawCode_diving</v>
      </c>
      <c r="B5426" s="409"/>
      <c r="C5426" s="416"/>
      <c r="D5426" s="198" t="s">
        <v>24869</v>
      </c>
      <c r="E5426" s="198">
        <v>14</v>
      </c>
      <c r="F5426" s="199" t="s">
        <v>24870</v>
      </c>
      <c r="G5426" s="1" t="s">
        <v>37718</v>
      </c>
      <c r="H5426" s="200"/>
      <c r="I5426" s="346"/>
      <c r="J5426" s="39">
        <v>107420</v>
      </c>
      <c r="K5426" s="36" t="str">
        <f>CONCATENATE(Cover!$D$6,"fdd/view?i=",J5426)</f>
        <v>https://www.dgiwg.org/FAD/fdd/view?i=107420</v>
      </c>
      <c r="L5426" s="36" t="s">
        <v>37719</v>
      </c>
      <c r="M5426" s="186"/>
      <c r="N5426" s="186"/>
      <c r="O5426" s="172"/>
    </row>
    <row r="5427" spans="1:15" x14ac:dyDescent="0.2">
      <c r="A5427" s="197" t="str">
        <f t="shared" si="84"/>
        <v>SawCode_ice</v>
      </c>
      <c r="B5427" s="409"/>
      <c r="C5427" s="416"/>
      <c r="D5427" s="198" t="s">
        <v>19560</v>
      </c>
      <c r="E5427" s="198">
        <v>8</v>
      </c>
      <c r="F5427" s="199" t="s">
        <v>19561</v>
      </c>
      <c r="G5427" s="1" t="s">
        <v>37720</v>
      </c>
      <c r="H5427" s="200"/>
      <c r="I5427" s="346"/>
      <c r="J5427" s="39">
        <v>107414</v>
      </c>
      <c r="K5427" s="36" t="str">
        <f>CONCATENATE(Cover!$D$6,"fdd/view?i=",J5427)</f>
        <v>https://www.dgiwg.org/FAD/fdd/view?i=107414</v>
      </c>
      <c r="L5427" s="36" t="s">
        <v>37721</v>
      </c>
      <c r="M5427" s="186"/>
      <c r="N5427" s="186"/>
      <c r="O5427" s="172"/>
    </row>
    <row r="5428" spans="1:15" ht="25.5" x14ac:dyDescent="0.2">
      <c r="A5428" s="197" t="str">
        <f t="shared" si="84"/>
        <v>SawCode_maritimeObstruction</v>
      </c>
      <c r="B5428" s="409"/>
      <c r="C5428" s="416"/>
      <c r="D5428" s="198" t="s">
        <v>37722</v>
      </c>
      <c r="E5428" s="198">
        <v>2</v>
      </c>
      <c r="F5428" s="199" t="s">
        <v>37723</v>
      </c>
      <c r="G5428" s="1" t="s">
        <v>37724</v>
      </c>
      <c r="H5428" s="200"/>
      <c r="I5428" s="346"/>
      <c r="J5428" s="39">
        <v>107408</v>
      </c>
      <c r="K5428" s="36" t="str">
        <f>CONCATENATE(Cover!$D$6,"fdd/view?i=",J5428)</f>
        <v>https://www.dgiwg.org/FAD/fdd/view?i=107408</v>
      </c>
      <c r="L5428" s="36" t="s">
        <v>37725</v>
      </c>
      <c r="M5428" s="186"/>
      <c r="N5428" s="186"/>
      <c r="O5428" s="172"/>
    </row>
    <row r="5429" spans="1:15" ht="25.5" x14ac:dyDescent="0.2">
      <c r="A5429" s="197" t="str">
        <f t="shared" si="84"/>
        <v>SawCode_militaryPractice</v>
      </c>
      <c r="B5429" s="409"/>
      <c r="C5429" s="416"/>
      <c r="D5429" s="198" t="s">
        <v>37726</v>
      </c>
      <c r="E5429" s="198">
        <v>4</v>
      </c>
      <c r="F5429" s="199" t="s">
        <v>37727</v>
      </c>
      <c r="G5429" s="1" t="s">
        <v>37728</v>
      </c>
      <c r="H5429" s="200"/>
      <c r="I5429" s="346"/>
      <c r="J5429" s="39">
        <v>107410</v>
      </c>
      <c r="K5429" s="36" t="str">
        <f>CONCATENATE(Cover!$D$6,"fdd/view?i=",J5429)</f>
        <v>https://www.dgiwg.org/FAD/fdd/view?i=107410</v>
      </c>
      <c r="L5429" s="36" t="s">
        <v>37729</v>
      </c>
      <c r="M5429" s="186"/>
      <c r="N5429" s="186"/>
      <c r="O5429" s="172"/>
    </row>
    <row r="5430" spans="1:15" x14ac:dyDescent="0.2">
      <c r="A5430" s="197" t="str">
        <f t="shared" si="84"/>
        <v>SawCode_storm</v>
      </c>
      <c r="B5430" s="409"/>
      <c r="C5430" s="416"/>
      <c r="D5430" s="198" t="s">
        <v>37730</v>
      </c>
      <c r="E5430" s="198">
        <v>7</v>
      </c>
      <c r="F5430" s="199" t="s">
        <v>37731</v>
      </c>
      <c r="G5430" s="1" t="s">
        <v>37732</v>
      </c>
      <c r="H5430" s="200"/>
      <c r="I5430" s="346"/>
      <c r="J5430" s="39">
        <v>107413</v>
      </c>
      <c r="K5430" s="36" t="str">
        <f>CONCATENATE(Cover!$D$6,"fdd/view?i=",J5430)</f>
        <v>https://www.dgiwg.org/FAD/fdd/view?i=107413</v>
      </c>
      <c r="L5430" s="36" t="s">
        <v>37733</v>
      </c>
      <c r="M5430" s="186"/>
      <c r="N5430" s="186"/>
      <c r="O5430" s="172"/>
    </row>
    <row r="5431" spans="1:15" ht="25.5" x14ac:dyDescent="0.2">
      <c r="A5431" s="197" t="str">
        <f t="shared" si="84"/>
        <v>SawCode_tidalStream</v>
      </c>
      <c r="B5431" s="409"/>
      <c r="C5431" s="416"/>
      <c r="D5431" s="198" t="s">
        <v>37734</v>
      </c>
      <c r="E5431" s="198">
        <v>11</v>
      </c>
      <c r="F5431" s="199" t="s">
        <v>37735</v>
      </c>
      <c r="G5431" s="1" t="s">
        <v>37736</v>
      </c>
      <c r="H5431" s="200"/>
      <c r="I5431" s="346"/>
      <c r="J5431" s="39">
        <v>107417</v>
      </c>
      <c r="K5431" s="36" t="str">
        <f>CONCATENATE(Cover!$D$6,"fdd/view?i=",J5431)</f>
        <v>https://www.dgiwg.org/FAD/fdd/view?i=107417</v>
      </c>
      <c r="L5431" s="36" t="s">
        <v>37737</v>
      </c>
      <c r="M5431" s="186"/>
      <c r="N5431" s="186"/>
      <c r="O5431" s="172"/>
    </row>
    <row r="5432" spans="1:15" x14ac:dyDescent="0.2">
      <c r="A5432" s="197" t="str">
        <f t="shared" si="84"/>
        <v>SawCode_tide</v>
      </c>
      <c r="B5432" s="409"/>
      <c r="C5432" s="416"/>
      <c r="D5432" s="198" t="s">
        <v>37738</v>
      </c>
      <c r="E5432" s="198">
        <v>10</v>
      </c>
      <c r="F5432" s="199" t="s">
        <v>37739</v>
      </c>
      <c r="G5432" s="1" t="s">
        <v>37740</v>
      </c>
      <c r="H5432" s="200"/>
      <c r="I5432" s="346"/>
      <c r="J5432" s="39">
        <v>107416</v>
      </c>
      <c r="K5432" s="36" t="str">
        <f>CONCATENATE(Cover!$D$6,"fdd/view?i=",J5432)</f>
        <v>https://www.dgiwg.org/FAD/fdd/view?i=107416</v>
      </c>
      <c r="L5432" s="36" t="s">
        <v>37741</v>
      </c>
      <c r="M5432" s="186"/>
      <c r="N5432" s="186"/>
      <c r="O5432" s="172"/>
    </row>
    <row r="5433" spans="1:15" ht="25.5" x14ac:dyDescent="0.2">
      <c r="A5433" s="197" t="str">
        <f t="shared" si="84"/>
        <v>SawCode_tideGauge</v>
      </c>
      <c r="B5433" s="409"/>
      <c r="C5433" s="416"/>
      <c r="D5433" s="198" t="s">
        <v>37742</v>
      </c>
      <c r="E5433" s="198">
        <v>12</v>
      </c>
      <c r="F5433" s="199" t="s">
        <v>37743</v>
      </c>
      <c r="G5433" s="1" t="s">
        <v>37744</v>
      </c>
      <c r="H5433" s="200"/>
      <c r="I5433" s="346"/>
      <c r="J5433" s="39">
        <v>107418</v>
      </c>
      <c r="K5433" s="36" t="str">
        <f>CONCATENATE(Cover!$D$6,"fdd/view?i=",J5433)</f>
        <v>https://www.dgiwg.org/FAD/fdd/view?i=107418</v>
      </c>
      <c r="L5433" s="36" t="s">
        <v>37745</v>
      </c>
      <c r="M5433" s="186"/>
      <c r="N5433" s="186"/>
      <c r="O5433" s="172"/>
    </row>
    <row r="5434" spans="1:15" ht="25.5" x14ac:dyDescent="0.2">
      <c r="A5434" s="197" t="str">
        <f t="shared" si="84"/>
        <v>SawCode_tideScale</v>
      </c>
      <c r="B5434" s="409"/>
      <c r="C5434" s="416"/>
      <c r="D5434" s="198" t="s">
        <v>37746</v>
      </c>
      <c r="E5434" s="198">
        <v>13</v>
      </c>
      <c r="F5434" s="199" t="s">
        <v>37747</v>
      </c>
      <c r="G5434" s="1" t="s">
        <v>37748</v>
      </c>
      <c r="H5434" s="200"/>
      <c r="I5434" s="346"/>
      <c r="J5434" s="39">
        <v>107419</v>
      </c>
      <c r="K5434" s="36" t="str">
        <f>CONCATENATE(Cover!$D$6,"fdd/view?i=",J5434)</f>
        <v>https://www.dgiwg.org/FAD/fdd/view?i=107419</v>
      </c>
      <c r="L5434" s="36" t="s">
        <v>37749</v>
      </c>
      <c r="M5434" s="186"/>
      <c r="N5434" s="186"/>
      <c r="O5434" s="172"/>
    </row>
    <row r="5435" spans="1:15" ht="51" x14ac:dyDescent="0.2">
      <c r="A5435" s="197" t="str">
        <f t="shared" si="84"/>
        <v>SawCode_time</v>
      </c>
      <c r="B5435" s="409"/>
      <c r="C5435" s="416"/>
      <c r="D5435" s="198" t="s">
        <v>360</v>
      </c>
      <c r="E5435" s="198">
        <v>9</v>
      </c>
      <c r="F5435" s="199" t="s">
        <v>361</v>
      </c>
      <c r="G5435" s="1" t="s">
        <v>37750</v>
      </c>
      <c r="H5435" s="1" t="s">
        <v>37751</v>
      </c>
      <c r="I5435" s="346"/>
      <c r="J5435" s="39">
        <v>107415</v>
      </c>
      <c r="K5435" s="36" t="str">
        <f>CONCATENATE(Cover!$D$6,"fdd/view?i=",J5435)</f>
        <v>https://www.dgiwg.org/FAD/fdd/view?i=107415</v>
      </c>
      <c r="L5435" s="36" t="s">
        <v>37752</v>
      </c>
      <c r="M5435" s="186"/>
      <c r="N5435" s="186"/>
      <c r="O5435" s="172"/>
    </row>
    <row r="5436" spans="1:15" ht="25.5" x14ac:dyDescent="0.2">
      <c r="A5436" s="197" t="str">
        <f t="shared" si="84"/>
        <v>SawCode_waterLevelGauge</v>
      </c>
      <c r="B5436" s="409"/>
      <c r="C5436" s="416"/>
      <c r="D5436" s="198" t="s">
        <v>37753</v>
      </c>
      <c r="E5436" s="198">
        <v>15</v>
      </c>
      <c r="F5436" s="199" t="s">
        <v>37754</v>
      </c>
      <c r="G5436" s="1" t="s">
        <v>37755</v>
      </c>
      <c r="H5436" s="200"/>
      <c r="I5436" s="346"/>
      <c r="J5436" s="39">
        <v>107421</v>
      </c>
      <c r="K5436" s="36" t="str">
        <f>CONCATENATE(Cover!$D$6,"fdd/view?i=",J5436)</f>
        <v>https://www.dgiwg.org/FAD/fdd/view?i=107421</v>
      </c>
      <c r="L5436" s="36" t="s">
        <v>37756</v>
      </c>
      <c r="M5436" s="186"/>
      <c r="N5436" s="186"/>
      <c r="O5436" s="172"/>
    </row>
    <row r="5437" spans="1:15" x14ac:dyDescent="0.2">
      <c r="A5437" s="203" t="str">
        <f t="shared" si="84"/>
        <v>SawCode_weather</v>
      </c>
      <c r="B5437" s="410"/>
      <c r="C5437" s="417"/>
      <c r="D5437" s="204" t="s">
        <v>37757</v>
      </c>
      <c r="E5437" s="204">
        <v>6</v>
      </c>
      <c r="F5437" s="205" t="s">
        <v>37758</v>
      </c>
      <c r="G5437" s="206" t="s">
        <v>37759</v>
      </c>
      <c r="H5437" s="207"/>
      <c r="I5437" s="347"/>
      <c r="J5437" s="39">
        <v>107412</v>
      </c>
      <c r="K5437" s="36" t="str">
        <f>CONCATENATE(Cover!$D$6,"fdd/view?i=",J5437)</f>
        <v>https://www.dgiwg.org/FAD/fdd/view?i=107412</v>
      </c>
      <c r="L5437" s="36" t="s">
        <v>37760</v>
      </c>
      <c r="M5437" s="186"/>
      <c r="N5437" s="186"/>
      <c r="O5437" s="172"/>
    </row>
    <row r="5438" spans="1:15" x14ac:dyDescent="0.2">
      <c r="A5438" s="190" t="str">
        <f t="shared" si="84"/>
        <v>AgrCode_attack</v>
      </c>
      <c r="B5438" s="414" t="str">
        <f>HYPERLINK("[#]Datatypes!A866:L866","AgrCode")</f>
        <v>AgrCode</v>
      </c>
      <c r="C5438" s="415" t="s">
        <v>15455</v>
      </c>
      <c r="D5438" s="221" t="s">
        <v>37761</v>
      </c>
      <c r="E5438" s="221">
        <v>3</v>
      </c>
      <c r="F5438" s="222" t="s">
        <v>37762</v>
      </c>
      <c r="G5438" s="223" t="s">
        <v>37763</v>
      </c>
      <c r="H5438" s="223" t="s">
        <v>37764</v>
      </c>
      <c r="I5438" s="345"/>
      <c r="J5438" s="39">
        <v>118508</v>
      </c>
      <c r="K5438" s="36" t="str">
        <f>CONCATENATE(Cover!$D$6,"fdd/view?i=",J5438)</f>
        <v>https://www.dgiwg.org/FAD/fdd/view?i=118508</v>
      </c>
      <c r="L5438" s="36" t="s">
        <v>37765</v>
      </c>
      <c r="M5438" s="186"/>
      <c r="N5438" s="186"/>
      <c r="O5438" s="172"/>
    </row>
    <row r="5439" spans="1:15" ht="38.25" x14ac:dyDescent="0.2">
      <c r="A5439" s="197" t="str">
        <f t="shared" si="84"/>
        <v>AgrCode_pirateBoarding</v>
      </c>
      <c r="B5439" s="409"/>
      <c r="C5439" s="416"/>
      <c r="D5439" s="198" t="s">
        <v>37766</v>
      </c>
      <c r="E5439" s="198">
        <v>2</v>
      </c>
      <c r="F5439" s="199" t="s">
        <v>37767</v>
      </c>
      <c r="G5439" s="1" t="s">
        <v>37768</v>
      </c>
      <c r="H5439" s="200"/>
      <c r="I5439" s="346"/>
      <c r="J5439" s="39">
        <v>112610</v>
      </c>
      <c r="K5439" s="36" t="str">
        <f>CONCATENATE(Cover!$D$6,"fdd/view?i=",J5439)</f>
        <v>https://www.dgiwg.org/FAD/fdd/view?i=112610</v>
      </c>
      <c r="L5439" s="36" t="s">
        <v>37769</v>
      </c>
      <c r="M5439" s="186"/>
      <c r="N5439" s="186"/>
      <c r="O5439" s="172"/>
    </row>
    <row r="5440" spans="1:15" ht="25.5" x14ac:dyDescent="0.2">
      <c r="A5440" s="203" t="str">
        <f t="shared" si="84"/>
        <v>AgrCode_suspiciousApproach</v>
      </c>
      <c r="B5440" s="410"/>
      <c r="C5440" s="417"/>
      <c r="D5440" s="204" t="s">
        <v>37770</v>
      </c>
      <c r="E5440" s="204">
        <v>1</v>
      </c>
      <c r="F5440" s="205" t="s">
        <v>37771</v>
      </c>
      <c r="G5440" s="206" t="s">
        <v>37772</v>
      </c>
      <c r="H5440" s="207"/>
      <c r="I5440" s="347"/>
      <c r="J5440" s="39">
        <v>112608</v>
      </c>
      <c r="K5440" s="36" t="str">
        <f>CONCATENATE(Cover!$D$6,"fdd/view?i=",J5440)</f>
        <v>https://www.dgiwg.org/FAD/fdd/view?i=112608</v>
      </c>
      <c r="L5440" s="36" t="s">
        <v>37773</v>
      </c>
      <c r="M5440" s="186"/>
      <c r="N5440" s="186"/>
      <c r="O5440" s="172"/>
    </row>
    <row r="5441" spans="1:15" x14ac:dyDescent="0.2">
      <c r="A5441" s="190" t="str">
        <f t="shared" si="84"/>
        <v>AgtCode_aircraft</v>
      </c>
      <c r="B5441" s="414" t="str">
        <f>HYPERLINK("[#]Datatypes!A868:L868","AgtCode")</f>
        <v>AgtCode</v>
      </c>
      <c r="C5441" s="415" t="s">
        <v>15457</v>
      </c>
      <c r="D5441" s="221" t="s">
        <v>26569</v>
      </c>
      <c r="E5441" s="221">
        <v>8</v>
      </c>
      <c r="F5441" s="222" t="s">
        <v>26570</v>
      </c>
      <c r="G5441" s="223" t="s">
        <v>37774</v>
      </c>
      <c r="H5441" s="224"/>
      <c r="I5441" s="345"/>
      <c r="J5441" s="39">
        <v>118509</v>
      </c>
      <c r="K5441" s="36" t="str">
        <f>CONCATENATE(Cover!$D$6,"fdd/view?i=",J5441)</f>
        <v>https://www.dgiwg.org/FAD/fdd/view?i=118509</v>
      </c>
      <c r="L5441" s="36" t="s">
        <v>37775</v>
      </c>
      <c r="M5441" s="186"/>
      <c r="N5441" s="186"/>
      <c r="O5441" s="172"/>
    </row>
    <row r="5442" spans="1:15" x14ac:dyDescent="0.2">
      <c r="A5442" s="197" t="str">
        <f t="shared" ref="A5442:A5505" si="85">HYPERLINK(K5442,L5442)</f>
        <v>AgtCode_fishingBoat</v>
      </c>
      <c r="B5442" s="409"/>
      <c r="C5442" s="416"/>
      <c r="D5442" s="198" t="s">
        <v>37776</v>
      </c>
      <c r="E5442" s="198">
        <v>4</v>
      </c>
      <c r="F5442" s="199" t="s">
        <v>37777</v>
      </c>
      <c r="G5442" s="1" t="s">
        <v>37778</v>
      </c>
      <c r="H5442" s="200"/>
      <c r="I5442" s="346"/>
      <c r="J5442" s="39">
        <v>112618</v>
      </c>
      <c r="K5442" s="36" t="str">
        <f>CONCATENATE(Cover!$D$6,"fdd/view?i=",J5442)</f>
        <v>https://www.dgiwg.org/FAD/fdd/view?i=112618</v>
      </c>
      <c r="L5442" s="36" t="s">
        <v>37779</v>
      </c>
      <c r="M5442" s="186"/>
      <c r="N5442" s="186"/>
      <c r="O5442" s="172"/>
    </row>
    <row r="5443" spans="1:15" ht="25.5" x14ac:dyDescent="0.2">
      <c r="A5443" s="197" t="str">
        <f t="shared" si="85"/>
        <v>AgtCode_inflatableSmallCraft</v>
      </c>
      <c r="B5443" s="409"/>
      <c r="C5443" s="416"/>
      <c r="D5443" s="198" t="s">
        <v>37780</v>
      </c>
      <c r="E5443" s="198">
        <v>3</v>
      </c>
      <c r="F5443" s="199" t="s">
        <v>37781</v>
      </c>
      <c r="G5443" s="1" t="s">
        <v>37782</v>
      </c>
      <c r="H5443" s="200"/>
      <c r="I5443" s="346"/>
      <c r="J5443" s="39">
        <v>112616</v>
      </c>
      <c r="K5443" s="36" t="str">
        <f>CONCATENATE(Cover!$D$6,"fdd/view?i=",J5443)</f>
        <v>https://www.dgiwg.org/FAD/fdd/view?i=112616</v>
      </c>
      <c r="L5443" s="36" t="s">
        <v>37783</v>
      </c>
      <c r="M5443" s="186"/>
      <c r="N5443" s="186"/>
      <c r="O5443" s="172"/>
    </row>
    <row r="5444" spans="1:15" ht="25.5" x14ac:dyDescent="0.2">
      <c r="A5444" s="197" t="str">
        <f t="shared" si="85"/>
        <v>AgtCode_militaryTransport</v>
      </c>
      <c r="B5444" s="409"/>
      <c r="C5444" s="416"/>
      <c r="D5444" s="198" t="s">
        <v>37784</v>
      </c>
      <c r="E5444" s="198">
        <v>7</v>
      </c>
      <c r="F5444" s="199" t="s">
        <v>37785</v>
      </c>
      <c r="G5444" s="1" t="s">
        <v>37786</v>
      </c>
      <c r="H5444" s="200"/>
      <c r="I5444" s="346"/>
      <c r="J5444" s="39">
        <v>112624</v>
      </c>
      <c r="K5444" s="36" t="str">
        <f>CONCATENATE(Cover!$D$6,"fdd/view?i=",J5444)</f>
        <v>https://www.dgiwg.org/FAD/fdd/view?i=112624</v>
      </c>
      <c r="L5444" s="36" t="s">
        <v>37787</v>
      </c>
      <c r="M5444" s="186"/>
      <c r="N5444" s="186"/>
      <c r="O5444" s="172"/>
    </row>
    <row r="5445" spans="1:15" x14ac:dyDescent="0.2">
      <c r="A5445" s="197" t="str">
        <f t="shared" si="85"/>
        <v>AgtCode_onFoot</v>
      </c>
      <c r="B5445" s="409"/>
      <c r="C5445" s="416"/>
      <c r="D5445" s="198" t="s">
        <v>37788</v>
      </c>
      <c r="E5445" s="198">
        <v>1</v>
      </c>
      <c r="F5445" s="199" t="s">
        <v>37789</v>
      </c>
      <c r="G5445" s="1" t="s">
        <v>37790</v>
      </c>
      <c r="H5445" s="200"/>
      <c r="I5445" s="346"/>
      <c r="J5445" s="39">
        <v>112612</v>
      </c>
      <c r="K5445" s="36" t="str">
        <f>CONCATENATE(Cover!$D$6,"fdd/view?i=",J5445)</f>
        <v>https://www.dgiwg.org/FAD/fdd/view?i=112612</v>
      </c>
      <c r="L5445" s="36" t="s">
        <v>37791</v>
      </c>
      <c r="M5445" s="186"/>
      <c r="N5445" s="186"/>
      <c r="O5445" s="172"/>
    </row>
    <row r="5446" spans="1:15" x14ac:dyDescent="0.2">
      <c r="A5446" s="197" t="str">
        <f t="shared" si="85"/>
        <v>AgtCode_speedboat</v>
      </c>
      <c r="B5446" s="409"/>
      <c r="C5446" s="416"/>
      <c r="D5446" s="198" t="s">
        <v>37792</v>
      </c>
      <c r="E5446" s="198">
        <v>6</v>
      </c>
      <c r="F5446" s="199" t="s">
        <v>37793</v>
      </c>
      <c r="G5446" s="1" t="s">
        <v>37794</v>
      </c>
      <c r="H5446" s="200"/>
      <c r="I5446" s="346"/>
      <c r="J5446" s="39">
        <v>112622</v>
      </c>
      <c r="K5446" s="36" t="str">
        <f>CONCATENATE(Cover!$D$6,"fdd/view?i=",J5446)</f>
        <v>https://www.dgiwg.org/FAD/fdd/view?i=112622</v>
      </c>
      <c r="L5446" s="36" t="s">
        <v>37795</v>
      </c>
      <c r="M5446" s="186"/>
      <c r="N5446" s="186"/>
      <c r="O5446" s="172"/>
    </row>
    <row r="5447" spans="1:15" x14ac:dyDescent="0.2">
      <c r="A5447" s="197" t="str">
        <f t="shared" si="85"/>
        <v>AgtCode_swim</v>
      </c>
      <c r="B5447" s="409"/>
      <c r="C5447" s="416"/>
      <c r="D5447" s="198" t="s">
        <v>25155</v>
      </c>
      <c r="E5447" s="198">
        <v>2</v>
      </c>
      <c r="F5447" s="199" t="s">
        <v>25156</v>
      </c>
      <c r="G5447" s="1" t="s">
        <v>37796</v>
      </c>
      <c r="H5447" s="200"/>
      <c r="I5447" s="346"/>
      <c r="J5447" s="39">
        <v>112614</v>
      </c>
      <c r="K5447" s="36" t="str">
        <f>CONCATENATE(Cover!$D$6,"fdd/view?i=",J5447)</f>
        <v>https://www.dgiwg.org/FAD/fdd/view?i=112614</v>
      </c>
      <c r="L5447" s="36" t="s">
        <v>37797</v>
      </c>
      <c r="M5447" s="186"/>
      <c r="N5447" s="186"/>
      <c r="O5447" s="172"/>
    </row>
    <row r="5448" spans="1:15" x14ac:dyDescent="0.2">
      <c r="A5448" s="203" t="str">
        <f t="shared" si="85"/>
        <v>AgtCode_yacht</v>
      </c>
      <c r="B5448" s="410"/>
      <c r="C5448" s="417"/>
      <c r="D5448" s="204" t="s">
        <v>37798</v>
      </c>
      <c r="E5448" s="204">
        <v>5</v>
      </c>
      <c r="F5448" s="205" t="s">
        <v>37799</v>
      </c>
      <c r="G5448" s="206" t="s">
        <v>37800</v>
      </c>
      <c r="H5448" s="207"/>
      <c r="I5448" s="347"/>
      <c r="J5448" s="39">
        <v>112620</v>
      </c>
      <c r="K5448" s="36" t="str">
        <f>CONCATENATE(Cover!$D$6,"fdd/view?i=",J5448)</f>
        <v>https://www.dgiwg.org/FAD/fdd/view?i=112620</v>
      </c>
      <c r="L5448" s="36" t="s">
        <v>37801</v>
      </c>
      <c r="M5448" s="186"/>
      <c r="N5448" s="186"/>
      <c r="O5448" s="172"/>
    </row>
    <row r="5449" spans="1:15" x14ac:dyDescent="0.2">
      <c r="A5449" s="190" t="str">
        <f t="shared" si="85"/>
        <v>MrrCode_birdSanctuary</v>
      </c>
      <c r="B5449" s="414" t="str">
        <f>HYPERLINK("[#]Datatypes!A870:L870","MrrCode")</f>
        <v>MrrCode</v>
      </c>
      <c r="C5449" s="415" t="s">
        <v>15459</v>
      </c>
      <c r="D5449" s="221" t="s">
        <v>37802</v>
      </c>
      <c r="E5449" s="221">
        <v>2</v>
      </c>
      <c r="F5449" s="222" t="s">
        <v>37803</v>
      </c>
      <c r="G5449" s="223" t="s">
        <v>37804</v>
      </c>
      <c r="H5449" s="224"/>
      <c r="I5449" s="345"/>
      <c r="J5449" s="39">
        <v>111224</v>
      </c>
      <c r="K5449" s="36" t="str">
        <f>CONCATENATE(Cover!$D$6,"fdd/view?i=",J5449)</f>
        <v>https://www.dgiwg.org/FAD/fdd/view?i=111224</v>
      </c>
      <c r="L5449" s="36" t="s">
        <v>37805</v>
      </c>
      <c r="M5449" s="186"/>
      <c r="N5449" s="186"/>
      <c r="O5449" s="172"/>
    </row>
    <row r="5450" spans="1:15" ht="76.5" x14ac:dyDescent="0.2">
      <c r="A5450" s="197" t="str">
        <f t="shared" si="85"/>
        <v>MrrCode_compassAdjustment</v>
      </c>
      <c r="B5450" s="409"/>
      <c r="C5450" s="416"/>
      <c r="D5450" s="198" t="s">
        <v>24846</v>
      </c>
      <c r="E5450" s="198">
        <v>15</v>
      </c>
      <c r="F5450" s="199" t="s">
        <v>24847</v>
      </c>
      <c r="G5450" s="1" t="s">
        <v>37806</v>
      </c>
      <c r="H5450" s="1" t="s">
        <v>37807</v>
      </c>
      <c r="I5450" s="346"/>
      <c r="J5450" s="39">
        <v>111237</v>
      </c>
      <c r="K5450" s="36" t="str">
        <f>CONCATENATE(Cover!$D$6,"fdd/view?i=",J5450)</f>
        <v>https://www.dgiwg.org/FAD/fdd/view?i=111237</v>
      </c>
      <c r="L5450" s="36" t="s">
        <v>37808</v>
      </c>
      <c r="M5450" s="186"/>
      <c r="N5450" s="186"/>
      <c r="O5450" s="172"/>
    </row>
    <row r="5451" spans="1:15" ht="25.5" x14ac:dyDescent="0.2">
      <c r="A5451" s="197" t="str">
        <f t="shared" si="85"/>
        <v>MrrCode_conserveManageZone</v>
      </c>
      <c r="B5451" s="409"/>
      <c r="C5451" s="416"/>
      <c r="D5451" s="198" t="s">
        <v>37809</v>
      </c>
      <c r="E5451" s="198">
        <v>3</v>
      </c>
      <c r="F5451" s="199" t="s">
        <v>37810</v>
      </c>
      <c r="G5451" s="1" t="s">
        <v>37811</v>
      </c>
      <c r="H5451" s="200"/>
      <c r="I5451" s="346"/>
      <c r="J5451" s="39">
        <v>111225</v>
      </c>
      <c r="K5451" s="36" t="str">
        <f>CONCATENATE(Cover!$D$6,"fdd/view?i=",J5451)</f>
        <v>https://www.dgiwg.org/FAD/fdd/view?i=111225</v>
      </c>
      <c r="L5451" s="36" t="s">
        <v>37812</v>
      </c>
      <c r="M5451" s="186"/>
      <c r="N5451" s="186"/>
      <c r="O5451" s="172"/>
    </row>
    <row r="5452" spans="1:15" ht="38.25" x14ac:dyDescent="0.2">
      <c r="A5452" s="197" t="str">
        <f t="shared" si="85"/>
        <v>MrrCode_contiguousZone</v>
      </c>
      <c r="B5452" s="409"/>
      <c r="C5452" s="416"/>
      <c r="D5452" s="198" t="s">
        <v>37813</v>
      </c>
      <c r="E5452" s="198">
        <v>38</v>
      </c>
      <c r="F5452" s="199" t="s">
        <v>37814</v>
      </c>
      <c r="G5452" s="1" t="s">
        <v>37815</v>
      </c>
      <c r="H5452" s="1" t="s">
        <v>37816</v>
      </c>
      <c r="I5452" s="346"/>
      <c r="J5452" s="39">
        <v>111287</v>
      </c>
      <c r="K5452" s="36" t="str">
        <f>CONCATENATE(Cover!$D$6,"fdd/view?i=",J5452)</f>
        <v>https://www.dgiwg.org/FAD/fdd/view?i=111287</v>
      </c>
      <c r="L5452" s="36" t="s">
        <v>37817</v>
      </c>
      <c r="M5452" s="186"/>
      <c r="N5452" s="186"/>
      <c r="O5452" s="172"/>
    </row>
    <row r="5453" spans="1:15" ht="127.5" x14ac:dyDescent="0.2">
      <c r="A5453" s="197" t="str">
        <f t="shared" si="85"/>
        <v>MrrCode_continentalShelfArea</v>
      </c>
      <c r="B5453" s="409"/>
      <c r="C5453" s="416"/>
      <c r="D5453" s="198" t="s">
        <v>37818</v>
      </c>
      <c r="E5453" s="198">
        <v>37</v>
      </c>
      <c r="F5453" s="199" t="s">
        <v>37819</v>
      </c>
      <c r="G5453" s="1" t="s">
        <v>37820</v>
      </c>
      <c r="H5453" s="1" t="s">
        <v>24329</v>
      </c>
      <c r="I5453" s="346"/>
      <c r="J5453" s="39">
        <v>111286</v>
      </c>
      <c r="K5453" s="36" t="str">
        <f>CONCATENATE(Cover!$D$6,"fdd/view?i=",J5453)</f>
        <v>https://www.dgiwg.org/FAD/fdd/view?i=111286</v>
      </c>
      <c r="L5453" s="36" t="s">
        <v>37821</v>
      </c>
      <c r="M5453" s="186"/>
      <c r="N5453" s="186"/>
      <c r="O5453" s="172"/>
    </row>
    <row r="5454" spans="1:15" ht="51" x14ac:dyDescent="0.2">
      <c r="A5454" s="197" t="str">
        <f t="shared" si="85"/>
        <v>MrrCode_degaussingRange</v>
      </c>
      <c r="B5454" s="409"/>
      <c r="C5454" s="416"/>
      <c r="D5454" s="198" t="s">
        <v>24864</v>
      </c>
      <c r="E5454" s="198">
        <v>16</v>
      </c>
      <c r="F5454" s="199" t="s">
        <v>24865</v>
      </c>
      <c r="G5454" s="1" t="s">
        <v>37822</v>
      </c>
      <c r="H5454" s="200"/>
      <c r="I5454" s="346"/>
      <c r="J5454" s="39">
        <v>111238</v>
      </c>
      <c r="K5454" s="36" t="str">
        <f>CONCATENATE(Cover!$D$6,"fdd/view?i=",J5454)</f>
        <v>https://www.dgiwg.org/FAD/fdd/view?i=111238</v>
      </c>
      <c r="L5454" s="36" t="s">
        <v>37823</v>
      </c>
      <c r="M5454" s="186"/>
      <c r="N5454" s="186"/>
      <c r="O5454" s="172"/>
    </row>
    <row r="5455" spans="1:15" x14ac:dyDescent="0.2">
      <c r="A5455" s="197" t="str">
        <f t="shared" si="85"/>
        <v>MrrCode_dredgingArea</v>
      </c>
      <c r="B5455" s="409"/>
      <c r="C5455" s="416"/>
      <c r="D5455" s="198" t="s">
        <v>37824</v>
      </c>
      <c r="E5455" s="198">
        <v>17</v>
      </c>
      <c r="F5455" s="199" t="s">
        <v>37825</v>
      </c>
      <c r="G5455" s="1" t="s">
        <v>37826</v>
      </c>
      <c r="H5455" s="200"/>
      <c r="I5455" s="346"/>
      <c r="J5455" s="39">
        <v>111239</v>
      </c>
      <c r="K5455" s="36" t="str">
        <f>CONCATENATE(Cover!$D$6,"fdd/view?i=",J5455)</f>
        <v>https://www.dgiwg.org/FAD/fdd/view?i=111239</v>
      </c>
      <c r="L5455" s="36" t="s">
        <v>37827</v>
      </c>
      <c r="M5455" s="186"/>
      <c r="N5455" s="186"/>
      <c r="O5455" s="172"/>
    </row>
    <row r="5456" spans="1:15" ht="25.5" x14ac:dyDescent="0.2">
      <c r="A5456" s="197" t="str">
        <f t="shared" si="85"/>
        <v>MrrCode_ecologicalReserve</v>
      </c>
      <c r="B5456" s="409"/>
      <c r="C5456" s="416"/>
      <c r="D5456" s="198" t="s">
        <v>37828</v>
      </c>
      <c r="E5456" s="198">
        <v>4</v>
      </c>
      <c r="F5456" s="199" t="s">
        <v>37829</v>
      </c>
      <c r="G5456" s="1" t="s">
        <v>37830</v>
      </c>
      <c r="H5456" s="200"/>
      <c r="I5456" s="346"/>
      <c r="J5456" s="39">
        <v>111226</v>
      </c>
      <c r="K5456" s="36" t="str">
        <f>CONCATENATE(Cover!$D$6,"fdd/view?i=",J5456)</f>
        <v>https://www.dgiwg.org/FAD/fdd/view?i=111226</v>
      </c>
      <c r="L5456" s="36" t="s">
        <v>37831</v>
      </c>
      <c r="M5456" s="186"/>
      <c r="N5456" s="186"/>
      <c r="O5456" s="172"/>
    </row>
    <row r="5457" spans="1:15" ht="51" x14ac:dyDescent="0.2">
      <c r="A5457" s="197" t="str">
        <f t="shared" si="85"/>
        <v>MrrCode_exclusiveEconomicZone</v>
      </c>
      <c r="B5457" s="409"/>
      <c r="C5457" s="416"/>
      <c r="D5457" s="198" t="s">
        <v>37832</v>
      </c>
      <c r="E5457" s="198">
        <v>35</v>
      </c>
      <c r="F5457" s="199" t="s">
        <v>37833</v>
      </c>
      <c r="G5457" s="1" t="s">
        <v>37834</v>
      </c>
      <c r="H5457" s="200"/>
      <c r="I5457" s="346"/>
      <c r="J5457" s="39">
        <v>111284</v>
      </c>
      <c r="K5457" s="36" t="str">
        <f>CONCATENATE(Cover!$D$6,"fdd/view?i=",J5457)</f>
        <v>https://www.dgiwg.org/FAD/fdd/view?i=111284</v>
      </c>
      <c r="L5457" s="36" t="s">
        <v>37835</v>
      </c>
      <c r="M5457" s="186"/>
      <c r="N5457" s="186"/>
      <c r="O5457" s="172"/>
    </row>
    <row r="5458" spans="1:15" ht="102" x14ac:dyDescent="0.2">
      <c r="A5458" s="197" t="str">
        <f t="shared" si="85"/>
        <v>MrrCode_extendContinentShelfArea</v>
      </c>
      <c r="B5458" s="409"/>
      <c r="C5458" s="416"/>
      <c r="D5458" s="198" t="s">
        <v>37836</v>
      </c>
      <c r="E5458" s="198">
        <v>36</v>
      </c>
      <c r="F5458" s="199" t="s">
        <v>37837</v>
      </c>
      <c r="G5458" s="1" t="s">
        <v>37838</v>
      </c>
      <c r="H5458" s="1" t="s">
        <v>24280</v>
      </c>
      <c r="I5458" s="346"/>
      <c r="J5458" s="39">
        <v>111285</v>
      </c>
      <c r="K5458" s="36" t="str">
        <f>CONCATENATE(Cover!$D$6,"fdd/view?i=",J5458)</f>
        <v>https://www.dgiwg.org/FAD/fdd/view?i=111285</v>
      </c>
      <c r="L5458" s="36" t="s">
        <v>37839</v>
      </c>
      <c r="M5458" s="186"/>
      <c r="N5458" s="186"/>
      <c r="O5458" s="172"/>
    </row>
    <row r="5459" spans="1:15" x14ac:dyDescent="0.2">
      <c r="A5459" s="197" t="str">
        <f t="shared" si="85"/>
        <v>MrrCode_fairway</v>
      </c>
      <c r="B5459" s="409"/>
      <c r="C5459" s="416"/>
      <c r="D5459" s="198" t="s">
        <v>24897</v>
      </c>
      <c r="E5459" s="198">
        <v>18</v>
      </c>
      <c r="F5459" s="199" t="s">
        <v>24898</v>
      </c>
      <c r="G5459" s="1" t="s">
        <v>37840</v>
      </c>
      <c r="H5459" s="200"/>
      <c r="I5459" s="346"/>
      <c r="J5459" s="39">
        <v>111240</v>
      </c>
      <c r="K5459" s="36" t="str">
        <f>CONCATENATE(Cover!$D$6,"fdd/view?i=",J5459)</f>
        <v>https://www.dgiwg.org/FAD/fdd/view?i=111240</v>
      </c>
      <c r="L5459" s="36" t="s">
        <v>37841</v>
      </c>
      <c r="M5459" s="186"/>
      <c r="N5459" s="186"/>
      <c r="O5459" s="172"/>
    </row>
    <row r="5460" spans="1:15" ht="25.5" x14ac:dyDescent="0.2">
      <c r="A5460" s="197" t="str">
        <f t="shared" si="85"/>
        <v>MrrCode_fisheryZone</v>
      </c>
      <c r="B5460" s="409"/>
      <c r="C5460" s="416"/>
      <c r="D5460" s="198" t="s">
        <v>37847</v>
      </c>
      <c r="E5460" s="198">
        <v>11</v>
      </c>
      <c r="F5460" s="199" t="s">
        <v>37848</v>
      </c>
      <c r="G5460" s="1" t="s">
        <v>37849</v>
      </c>
      <c r="H5460" s="200"/>
      <c r="I5460" s="346"/>
      <c r="J5460" s="39">
        <v>111233</v>
      </c>
      <c r="K5460" s="36" t="str">
        <f>CONCATENATE(Cover!$D$6,"fdd/view?i=",J5460)</f>
        <v>https://www.dgiwg.org/FAD/fdd/view?i=111233</v>
      </c>
      <c r="L5460" s="36" t="s">
        <v>37850</v>
      </c>
      <c r="M5460" s="186"/>
      <c r="N5460" s="186"/>
      <c r="O5460" s="172"/>
    </row>
    <row r="5461" spans="1:15" x14ac:dyDescent="0.2">
      <c r="A5461" s="197" t="str">
        <f t="shared" si="85"/>
        <v>MrrCode_fishingGround</v>
      </c>
      <c r="B5461" s="409"/>
      <c r="C5461" s="416"/>
      <c r="D5461" s="198" t="s">
        <v>37851</v>
      </c>
      <c r="E5461" s="198">
        <v>10</v>
      </c>
      <c r="F5461" s="199" t="s">
        <v>37852</v>
      </c>
      <c r="G5461" s="1" t="s">
        <v>37853</v>
      </c>
      <c r="H5461" s="200"/>
      <c r="I5461" s="346"/>
      <c r="J5461" s="39">
        <v>111232</v>
      </c>
      <c r="K5461" s="36" t="str">
        <f>CONCATENATE(Cover!$D$6,"fdd/view?i=",J5461)</f>
        <v>https://www.dgiwg.org/FAD/fdd/view?i=111232</v>
      </c>
      <c r="L5461" s="36" t="s">
        <v>37854</v>
      </c>
      <c r="M5461" s="186"/>
      <c r="N5461" s="186"/>
      <c r="O5461" s="172"/>
    </row>
    <row r="5462" spans="1:15" ht="25.5" x14ac:dyDescent="0.2">
      <c r="A5462" s="197" t="str">
        <f t="shared" si="85"/>
        <v>MrrCode_fishSanctuary</v>
      </c>
      <c r="B5462" s="409"/>
      <c r="C5462" s="416"/>
      <c r="D5462" s="198" t="s">
        <v>37842</v>
      </c>
      <c r="E5462" s="198">
        <v>5</v>
      </c>
      <c r="F5462" s="199" t="s">
        <v>37843</v>
      </c>
      <c r="G5462" s="1" t="s">
        <v>37844</v>
      </c>
      <c r="H5462" s="200"/>
      <c r="I5462" s="351" t="s">
        <v>37845</v>
      </c>
      <c r="J5462" s="39">
        <v>111227</v>
      </c>
      <c r="K5462" s="36" t="str">
        <f>CONCATENATE(Cover!$D$6,"fdd/view?i=",J5462)</f>
        <v>https://www.dgiwg.org/FAD/fdd/view?i=111227</v>
      </c>
      <c r="L5462" s="36" t="s">
        <v>37846</v>
      </c>
      <c r="M5462" s="186"/>
      <c r="N5462" s="186"/>
      <c r="O5462" s="172"/>
    </row>
    <row r="5463" spans="1:15" ht="25.5" x14ac:dyDescent="0.2">
      <c r="A5463" s="197" t="str">
        <f t="shared" si="85"/>
        <v>MrrCode_foreignFishingRightsZone</v>
      </c>
      <c r="B5463" s="409"/>
      <c r="C5463" s="416"/>
      <c r="D5463" s="198" t="s">
        <v>37855</v>
      </c>
      <c r="E5463" s="198">
        <v>12</v>
      </c>
      <c r="F5463" s="199" t="s">
        <v>37856</v>
      </c>
      <c r="G5463" s="1" t="s">
        <v>37857</v>
      </c>
      <c r="H5463" s="200"/>
      <c r="I5463" s="346"/>
      <c r="J5463" s="39">
        <v>111234</v>
      </c>
      <c r="K5463" s="36" t="str">
        <f>CONCATENATE(Cover!$D$6,"fdd/view?i=",J5463)</f>
        <v>https://www.dgiwg.org/FAD/fdd/view?i=111234</v>
      </c>
      <c r="L5463" s="36" t="s">
        <v>37858</v>
      </c>
      <c r="M5463" s="186"/>
      <c r="N5463" s="186"/>
      <c r="O5463" s="172"/>
    </row>
    <row r="5464" spans="1:15" ht="25.5" x14ac:dyDescent="0.2">
      <c r="A5464" s="197" t="str">
        <f t="shared" si="85"/>
        <v>MrrCode_formerMineDangerArea</v>
      </c>
      <c r="B5464" s="409"/>
      <c r="C5464" s="416"/>
      <c r="D5464" s="198" t="s">
        <v>37859</v>
      </c>
      <c r="E5464" s="198">
        <v>25</v>
      </c>
      <c r="F5464" s="199" t="s">
        <v>37860</v>
      </c>
      <c r="G5464" s="1" t="s">
        <v>37861</v>
      </c>
      <c r="H5464" s="1" t="s">
        <v>37862</v>
      </c>
      <c r="I5464" s="346"/>
      <c r="J5464" s="39">
        <v>111247</v>
      </c>
      <c r="K5464" s="36" t="str">
        <f>CONCATENATE(Cover!$D$6,"fdd/view?i=",J5464)</f>
        <v>https://www.dgiwg.org/FAD/fdd/view?i=111247</v>
      </c>
      <c r="L5464" s="36" t="s">
        <v>37863</v>
      </c>
      <c r="M5464" s="186"/>
      <c r="N5464" s="186"/>
      <c r="O5464" s="172"/>
    </row>
    <row r="5465" spans="1:15" ht="25.5" x14ac:dyDescent="0.2">
      <c r="A5465" s="197" t="str">
        <f t="shared" si="85"/>
        <v>MrrCode_gamePreserve</v>
      </c>
      <c r="B5465" s="409"/>
      <c r="C5465" s="416"/>
      <c r="D5465" s="198" t="s">
        <v>37864</v>
      </c>
      <c r="E5465" s="198">
        <v>6</v>
      </c>
      <c r="F5465" s="199" t="s">
        <v>37865</v>
      </c>
      <c r="G5465" s="1" t="s">
        <v>37866</v>
      </c>
      <c r="H5465" s="200"/>
      <c r="I5465" s="346"/>
      <c r="J5465" s="39">
        <v>111228</v>
      </c>
      <c r="K5465" s="36" t="str">
        <f>CONCATENATE(Cover!$D$6,"fdd/view?i=",J5465)</f>
        <v>https://www.dgiwg.org/FAD/fdd/view?i=111228</v>
      </c>
      <c r="L5465" s="36" t="s">
        <v>37867</v>
      </c>
      <c r="M5465" s="186"/>
      <c r="N5465" s="186"/>
      <c r="O5465" s="172"/>
    </row>
    <row r="5466" spans="1:15" ht="38.25" x14ac:dyDescent="0.2">
      <c r="A5466" s="197" t="str">
        <f t="shared" si="85"/>
        <v>MrrCode_historicWreckArea</v>
      </c>
      <c r="B5466" s="409"/>
      <c r="C5466" s="416"/>
      <c r="D5466" s="198" t="s">
        <v>37868</v>
      </c>
      <c r="E5466" s="198">
        <v>19</v>
      </c>
      <c r="F5466" s="199" t="s">
        <v>37869</v>
      </c>
      <c r="G5466" s="1" t="s">
        <v>37870</v>
      </c>
      <c r="H5466" s="200"/>
      <c r="I5466" s="346"/>
      <c r="J5466" s="39">
        <v>111241</v>
      </c>
      <c r="K5466" s="36" t="str">
        <f>CONCATENATE(Cover!$D$6,"fdd/view?i=",J5466)</f>
        <v>https://www.dgiwg.org/FAD/fdd/view?i=111241</v>
      </c>
      <c r="L5466" s="36" t="s">
        <v>37871</v>
      </c>
      <c r="M5466" s="186"/>
      <c r="N5466" s="186"/>
      <c r="O5466" s="172"/>
    </row>
    <row r="5467" spans="1:15" ht="38.25" x14ac:dyDescent="0.2">
      <c r="A5467" s="197" t="str">
        <f t="shared" si="85"/>
        <v>MrrCode_icesFisheryZone</v>
      </c>
      <c r="B5467" s="409"/>
      <c r="C5467" s="416"/>
      <c r="D5467" s="198" t="s">
        <v>37880</v>
      </c>
      <c r="E5467" s="198">
        <v>14</v>
      </c>
      <c r="F5467" s="199" t="s">
        <v>37881</v>
      </c>
      <c r="G5467" s="1" t="s">
        <v>37882</v>
      </c>
      <c r="H5467" s="200"/>
      <c r="I5467" s="346"/>
      <c r="J5467" s="39">
        <v>111236</v>
      </c>
      <c r="K5467" s="36" t="str">
        <f>CONCATENATE(Cover!$D$6,"fdd/view?i=",J5467)</f>
        <v>https://www.dgiwg.org/FAD/fdd/view?i=111236</v>
      </c>
      <c r="L5467" s="36" t="s">
        <v>37883</v>
      </c>
      <c r="M5467" s="186"/>
      <c r="N5467" s="186"/>
      <c r="O5467" s="172"/>
    </row>
    <row r="5468" spans="1:15" ht="25.5" x14ac:dyDescent="0.2">
      <c r="A5468" s="197" t="str">
        <f t="shared" si="85"/>
        <v>MrrCode_incinerationArea</v>
      </c>
      <c r="B5468" s="409"/>
      <c r="C5468" s="416"/>
      <c r="D5468" s="198" t="s">
        <v>37872</v>
      </c>
      <c r="E5468" s="198">
        <v>20</v>
      </c>
      <c r="F5468" s="199" t="s">
        <v>37873</v>
      </c>
      <c r="G5468" s="1" t="s">
        <v>37874</v>
      </c>
      <c r="H5468" s="200"/>
      <c r="I5468" s="346"/>
      <c r="J5468" s="39">
        <v>111242</v>
      </c>
      <c r="K5468" s="36" t="str">
        <f>CONCATENATE(Cover!$D$6,"fdd/view?i=",J5468)</f>
        <v>https://www.dgiwg.org/FAD/fdd/view?i=111242</v>
      </c>
      <c r="L5468" s="36" t="s">
        <v>37875</v>
      </c>
      <c r="M5468" s="186"/>
      <c r="N5468" s="186"/>
      <c r="O5468" s="172"/>
    </row>
    <row r="5469" spans="1:15" ht="25.5" x14ac:dyDescent="0.2">
      <c r="A5469" s="197" t="str">
        <f t="shared" si="85"/>
        <v>MrrCode_internalWaters</v>
      </c>
      <c r="B5469" s="409"/>
      <c r="C5469" s="416"/>
      <c r="D5469" s="198" t="s">
        <v>37876</v>
      </c>
      <c r="E5469" s="198">
        <v>40</v>
      </c>
      <c r="F5469" s="199" t="s">
        <v>37877</v>
      </c>
      <c r="G5469" s="1" t="s">
        <v>37878</v>
      </c>
      <c r="H5469" s="200"/>
      <c r="I5469" s="346"/>
      <c r="J5469" s="39">
        <v>111289</v>
      </c>
      <c r="K5469" s="36" t="str">
        <f>CONCATENATE(Cover!$D$6,"fdd/view?i=",J5469)</f>
        <v>https://www.dgiwg.org/FAD/fdd/view?i=111289</v>
      </c>
      <c r="L5469" s="36" t="s">
        <v>37879</v>
      </c>
      <c r="M5469" s="186"/>
      <c r="N5469" s="186"/>
      <c r="O5469" s="172"/>
    </row>
    <row r="5470" spans="1:15" ht="63.75" x14ac:dyDescent="0.2">
      <c r="A5470" s="197" t="str">
        <f t="shared" si="85"/>
        <v>MrrCode_jointEconomicDevelopZone</v>
      </c>
      <c r="B5470" s="409"/>
      <c r="C5470" s="416"/>
      <c r="D5470" s="198" t="s">
        <v>37884</v>
      </c>
      <c r="E5470" s="198">
        <v>21</v>
      </c>
      <c r="F5470" s="199" t="s">
        <v>37885</v>
      </c>
      <c r="G5470" s="1" t="s">
        <v>37886</v>
      </c>
      <c r="H5470" s="1" t="s">
        <v>37887</v>
      </c>
      <c r="I5470" s="346"/>
      <c r="J5470" s="39">
        <v>111243</v>
      </c>
      <c r="K5470" s="36" t="str">
        <f>CONCATENATE(Cover!$D$6,"fdd/view?i=",J5470)</f>
        <v>https://www.dgiwg.org/FAD/fdd/view?i=111243</v>
      </c>
      <c r="L5470" s="36" t="s">
        <v>37888</v>
      </c>
      <c r="M5470" s="186"/>
      <c r="N5470" s="186"/>
      <c r="O5470" s="172"/>
    </row>
    <row r="5471" spans="1:15" ht="38.25" x14ac:dyDescent="0.2">
      <c r="A5471" s="197" t="str">
        <f t="shared" si="85"/>
        <v>MrrCode_marineNatureReserve</v>
      </c>
      <c r="B5471" s="409"/>
      <c r="C5471" s="416"/>
      <c r="D5471" s="198" t="s">
        <v>37889</v>
      </c>
      <c r="E5471" s="198">
        <v>7</v>
      </c>
      <c r="F5471" s="199" t="s">
        <v>37890</v>
      </c>
      <c r="G5471" s="1" t="s">
        <v>37891</v>
      </c>
      <c r="H5471" s="200"/>
      <c r="I5471" s="351" t="s">
        <v>37892</v>
      </c>
      <c r="J5471" s="39">
        <v>111229</v>
      </c>
      <c r="K5471" s="36" t="str">
        <f>CONCATENATE(Cover!$D$6,"fdd/view?i=",J5471)</f>
        <v>https://www.dgiwg.org/FAD/fdd/view?i=111229</v>
      </c>
      <c r="L5471" s="36" t="s">
        <v>37893</v>
      </c>
      <c r="M5471" s="186"/>
      <c r="N5471" s="186"/>
      <c r="O5471" s="172"/>
    </row>
    <row r="5472" spans="1:15" ht="51" x14ac:dyDescent="0.2">
      <c r="A5472" s="197" t="str">
        <f t="shared" si="85"/>
        <v>MrrCode_maritimeMassGrave</v>
      </c>
      <c r="B5472" s="409"/>
      <c r="C5472" s="416"/>
      <c r="D5472" s="198" t="s">
        <v>37894</v>
      </c>
      <c r="E5472" s="198">
        <v>22</v>
      </c>
      <c r="F5472" s="199" t="s">
        <v>37895</v>
      </c>
      <c r="G5472" s="1" t="s">
        <v>37896</v>
      </c>
      <c r="H5472" s="1" t="s">
        <v>37897</v>
      </c>
      <c r="I5472" s="346"/>
      <c r="J5472" s="39">
        <v>111244</v>
      </c>
      <c r="K5472" s="36" t="str">
        <f>CONCATENATE(Cover!$D$6,"fdd/view?i=",J5472)</f>
        <v>https://www.dgiwg.org/FAD/fdd/view?i=111244</v>
      </c>
      <c r="L5472" s="36" t="s">
        <v>37898</v>
      </c>
      <c r="M5472" s="186"/>
      <c r="N5472" s="186"/>
      <c r="O5472" s="172"/>
    </row>
    <row r="5473" spans="1:15" ht="38.25" x14ac:dyDescent="0.2">
      <c r="A5473" s="197" t="str">
        <f t="shared" si="85"/>
        <v>MrrCode_marpolReportingArea</v>
      </c>
      <c r="B5473" s="409"/>
      <c r="C5473" s="416"/>
      <c r="D5473" s="198" t="s">
        <v>37899</v>
      </c>
      <c r="E5473" s="198">
        <v>23</v>
      </c>
      <c r="F5473" s="199" t="s">
        <v>37900</v>
      </c>
      <c r="G5473" s="1" t="s">
        <v>37901</v>
      </c>
      <c r="H5473" s="200"/>
      <c r="I5473" s="346"/>
      <c r="J5473" s="39">
        <v>111245</v>
      </c>
      <c r="K5473" s="36" t="str">
        <f>CONCATENATE(Cover!$D$6,"fdd/view?i=",J5473)</f>
        <v>https://www.dgiwg.org/FAD/fdd/view?i=111245</v>
      </c>
      <c r="L5473" s="36" t="s">
        <v>37902</v>
      </c>
      <c r="M5473" s="186"/>
      <c r="N5473" s="186"/>
      <c r="O5473" s="172"/>
    </row>
    <row r="5474" spans="1:15" ht="25.5" x14ac:dyDescent="0.2">
      <c r="A5474" s="197" t="str">
        <f t="shared" si="85"/>
        <v>MrrCode_mineDangerArea</v>
      </c>
      <c r="B5474" s="409"/>
      <c r="C5474" s="416"/>
      <c r="D5474" s="198" t="s">
        <v>37903</v>
      </c>
      <c r="E5474" s="198">
        <v>24</v>
      </c>
      <c r="F5474" s="199" t="s">
        <v>37904</v>
      </c>
      <c r="G5474" s="1" t="s">
        <v>37905</v>
      </c>
      <c r="H5474" s="1" t="s">
        <v>37862</v>
      </c>
      <c r="I5474" s="346"/>
      <c r="J5474" s="39">
        <v>111246</v>
      </c>
      <c r="K5474" s="36" t="str">
        <f>CONCATENATE(Cover!$D$6,"fdd/view?i=",J5474)</f>
        <v>https://www.dgiwg.org/FAD/fdd/view?i=111246</v>
      </c>
      <c r="L5474" s="36" t="s">
        <v>37906</v>
      </c>
      <c r="M5474" s="186"/>
      <c r="N5474" s="186"/>
      <c r="O5474" s="172"/>
    </row>
    <row r="5475" spans="1:15" ht="25.5" x14ac:dyDescent="0.2">
      <c r="A5475" s="197" t="str">
        <f t="shared" si="85"/>
        <v>MrrCode_naturalGasField</v>
      </c>
      <c r="B5475" s="409"/>
      <c r="C5475" s="416"/>
      <c r="D5475" s="198" t="s">
        <v>37907</v>
      </c>
      <c r="E5475" s="198">
        <v>26</v>
      </c>
      <c r="F5475" s="199" t="s">
        <v>37908</v>
      </c>
      <c r="G5475" s="1" t="s">
        <v>37909</v>
      </c>
      <c r="H5475" s="1" t="s">
        <v>37910</v>
      </c>
      <c r="I5475" s="346"/>
      <c r="J5475" s="39">
        <v>111248</v>
      </c>
      <c r="K5475" s="36" t="str">
        <f>CONCATENATE(Cover!$D$6,"fdd/view?i=",J5475)</f>
        <v>https://www.dgiwg.org/FAD/fdd/view?i=111248</v>
      </c>
      <c r="L5475" s="36" t="s">
        <v>37911</v>
      </c>
      <c r="M5475" s="186"/>
      <c r="N5475" s="186"/>
      <c r="O5475" s="172"/>
    </row>
    <row r="5476" spans="1:15" ht="25.5" x14ac:dyDescent="0.2">
      <c r="A5476" s="197" t="str">
        <f t="shared" si="85"/>
        <v>MrrCode_natureReserve</v>
      </c>
      <c r="B5476" s="409"/>
      <c r="C5476" s="416"/>
      <c r="D5476" s="198" t="s">
        <v>37912</v>
      </c>
      <c r="E5476" s="198">
        <v>8</v>
      </c>
      <c r="F5476" s="199" t="s">
        <v>37913</v>
      </c>
      <c r="G5476" s="1" t="s">
        <v>37914</v>
      </c>
      <c r="H5476" s="1" t="s">
        <v>37915</v>
      </c>
      <c r="I5476" s="346"/>
      <c r="J5476" s="39">
        <v>111230</v>
      </c>
      <c r="K5476" s="36" t="str">
        <f>CONCATENATE(Cover!$D$6,"fdd/view?i=",J5476)</f>
        <v>https://www.dgiwg.org/FAD/fdd/view?i=111230</v>
      </c>
      <c r="L5476" s="36" t="s">
        <v>37916</v>
      </c>
      <c r="M5476" s="186"/>
      <c r="N5476" s="186"/>
      <c r="O5476" s="172"/>
    </row>
    <row r="5477" spans="1:15" ht="25.5" x14ac:dyDescent="0.2">
      <c r="A5477" s="197" t="str">
        <f t="shared" si="85"/>
        <v>MrrCode_noWakeArea</v>
      </c>
      <c r="B5477" s="409"/>
      <c r="C5477" s="416"/>
      <c r="D5477" s="198" t="s">
        <v>37917</v>
      </c>
      <c r="E5477" s="198">
        <v>41</v>
      </c>
      <c r="F5477" s="199" t="s">
        <v>37918</v>
      </c>
      <c r="G5477" s="1" t="s">
        <v>37919</v>
      </c>
      <c r="H5477" s="200"/>
      <c r="I5477" s="346"/>
      <c r="J5477" s="39">
        <v>111325</v>
      </c>
      <c r="K5477" s="36" t="str">
        <f>CONCATENATE(Cover!$D$6,"fdd/view?i=",J5477)</f>
        <v>https://www.dgiwg.org/FAD/fdd/view?i=111325</v>
      </c>
      <c r="L5477" s="36" t="s">
        <v>37920</v>
      </c>
      <c r="M5477" s="186"/>
      <c r="N5477" s="186"/>
      <c r="O5477" s="172"/>
    </row>
    <row r="5478" spans="1:15" ht="25.5" x14ac:dyDescent="0.2">
      <c r="A5478" s="197" t="str">
        <f t="shared" si="85"/>
        <v>MrrCode_petroleumField</v>
      </c>
      <c r="B5478" s="409"/>
      <c r="C5478" s="416"/>
      <c r="D5478" s="198" t="s">
        <v>37921</v>
      </c>
      <c r="E5478" s="198">
        <v>27</v>
      </c>
      <c r="F5478" s="199" t="s">
        <v>37922</v>
      </c>
      <c r="G5478" s="1" t="s">
        <v>37923</v>
      </c>
      <c r="H5478" s="1" t="s">
        <v>37910</v>
      </c>
      <c r="I5478" s="351" t="s">
        <v>21364</v>
      </c>
      <c r="J5478" s="39">
        <v>111249</v>
      </c>
      <c r="K5478" s="36" t="str">
        <f>CONCATENATE(Cover!$D$6,"fdd/view?i=",J5478)</f>
        <v>https://www.dgiwg.org/FAD/fdd/view?i=111249</v>
      </c>
      <c r="L5478" s="36" t="s">
        <v>37924</v>
      </c>
      <c r="M5478" s="186"/>
      <c r="N5478" s="186"/>
      <c r="O5478" s="172"/>
    </row>
    <row r="5479" spans="1:15" ht="25.5" x14ac:dyDescent="0.2">
      <c r="A5479" s="197" t="str">
        <f t="shared" si="85"/>
        <v>MrrCode_reclamationArea</v>
      </c>
      <c r="B5479" s="409"/>
      <c r="C5479" s="416"/>
      <c r="D5479" s="198" t="s">
        <v>37925</v>
      </c>
      <c r="E5479" s="198">
        <v>28</v>
      </c>
      <c r="F5479" s="199" t="s">
        <v>37926</v>
      </c>
      <c r="G5479" s="1" t="s">
        <v>37927</v>
      </c>
      <c r="H5479" s="200"/>
      <c r="I5479" s="346"/>
      <c r="J5479" s="39">
        <v>111250</v>
      </c>
      <c r="K5479" s="36" t="str">
        <f>CONCATENATE(Cover!$D$6,"fdd/view?i=",J5479)</f>
        <v>https://www.dgiwg.org/FAD/fdd/view?i=111250</v>
      </c>
      <c r="L5479" s="36" t="s">
        <v>37928</v>
      </c>
      <c r="M5479" s="186"/>
      <c r="N5479" s="186"/>
      <c r="O5479" s="172"/>
    </row>
    <row r="5480" spans="1:15" x14ac:dyDescent="0.2">
      <c r="A5480" s="197" t="str">
        <f t="shared" si="85"/>
        <v>MrrCode_researchArea</v>
      </c>
      <c r="B5480" s="409"/>
      <c r="C5480" s="416"/>
      <c r="D5480" s="198" t="s">
        <v>37929</v>
      </c>
      <c r="E5480" s="198">
        <v>29</v>
      </c>
      <c r="F5480" s="199" t="s">
        <v>37930</v>
      </c>
      <c r="G5480" s="1" t="s">
        <v>37931</v>
      </c>
      <c r="H5480" s="200"/>
      <c r="I5480" s="346"/>
      <c r="J5480" s="39">
        <v>111251</v>
      </c>
      <c r="K5480" s="36" t="str">
        <f>CONCATENATE(Cover!$D$6,"fdd/view?i=",J5480)</f>
        <v>https://www.dgiwg.org/FAD/fdd/view?i=111251</v>
      </c>
      <c r="L5480" s="36" t="s">
        <v>37932</v>
      </c>
      <c r="M5480" s="186"/>
      <c r="N5480" s="186"/>
      <c r="O5480" s="172"/>
    </row>
    <row r="5481" spans="1:15" ht="25.5" x14ac:dyDescent="0.2">
      <c r="A5481" s="197" t="str">
        <f t="shared" si="85"/>
        <v>MrrCode_sealSanctuary</v>
      </c>
      <c r="B5481" s="409"/>
      <c r="C5481" s="416"/>
      <c r="D5481" s="198" t="s">
        <v>37933</v>
      </c>
      <c r="E5481" s="198">
        <v>9</v>
      </c>
      <c r="F5481" s="199" t="s">
        <v>37934</v>
      </c>
      <c r="G5481" s="1" t="s">
        <v>37935</v>
      </c>
      <c r="H5481" s="200"/>
      <c r="I5481" s="346"/>
      <c r="J5481" s="39">
        <v>111231</v>
      </c>
      <c r="K5481" s="36" t="str">
        <f>CONCATENATE(Cover!$D$6,"fdd/view?i=",J5481)</f>
        <v>https://www.dgiwg.org/FAD/fdd/view?i=111231</v>
      </c>
      <c r="L5481" s="36" t="s">
        <v>37936</v>
      </c>
      <c r="M5481" s="186"/>
      <c r="N5481" s="186"/>
      <c r="O5481" s="172"/>
    </row>
    <row r="5482" spans="1:15" ht="25.5" x14ac:dyDescent="0.2">
      <c r="A5482" s="197" t="str">
        <f t="shared" si="85"/>
        <v>MrrCode_strandingDangerArea</v>
      </c>
      <c r="B5482" s="409"/>
      <c r="C5482" s="416"/>
      <c r="D5482" s="198" t="s">
        <v>37937</v>
      </c>
      <c r="E5482" s="198">
        <v>30</v>
      </c>
      <c r="F5482" s="199" t="s">
        <v>37938</v>
      </c>
      <c r="G5482" s="1" t="s">
        <v>37939</v>
      </c>
      <c r="H5482" s="200"/>
      <c r="I5482" s="346"/>
      <c r="J5482" s="39">
        <v>111252</v>
      </c>
      <c r="K5482" s="36" t="str">
        <f>CONCATENATE(Cover!$D$6,"fdd/view?i=",J5482)</f>
        <v>https://www.dgiwg.org/FAD/fdd/view?i=111252</v>
      </c>
      <c r="L5482" s="36" t="s">
        <v>37940</v>
      </c>
      <c r="M5482" s="186"/>
      <c r="N5482" s="186"/>
      <c r="O5482" s="172"/>
    </row>
    <row r="5483" spans="1:15" ht="25.5" x14ac:dyDescent="0.2">
      <c r="A5483" s="197" t="str">
        <f t="shared" si="85"/>
        <v>MrrCode_swimmingArea</v>
      </c>
      <c r="B5483" s="409"/>
      <c r="C5483" s="416"/>
      <c r="D5483" s="198" t="s">
        <v>37941</v>
      </c>
      <c r="E5483" s="198">
        <v>31</v>
      </c>
      <c r="F5483" s="199" t="s">
        <v>37942</v>
      </c>
      <c r="G5483" s="1" t="s">
        <v>37943</v>
      </c>
      <c r="H5483" s="200"/>
      <c r="I5483" s="346"/>
      <c r="J5483" s="39">
        <v>111253</v>
      </c>
      <c r="K5483" s="36" t="str">
        <f>CONCATENATE(Cover!$D$6,"fdd/view?i=",J5483)</f>
        <v>https://www.dgiwg.org/FAD/fdd/view?i=111253</v>
      </c>
      <c r="L5483" s="36" t="s">
        <v>37944</v>
      </c>
      <c r="M5483" s="186"/>
      <c r="N5483" s="186"/>
      <c r="O5483" s="172"/>
    </row>
    <row r="5484" spans="1:15" ht="25.5" x14ac:dyDescent="0.2">
      <c r="A5484" s="197" t="str">
        <f t="shared" si="85"/>
        <v>MrrCode_swingingArea</v>
      </c>
      <c r="B5484" s="409"/>
      <c r="C5484" s="416"/>
      <c r="D5484" s="198" t="s">
        <v>37945</v>
      </c>
      <c r="E5484" s="198">
        <v>32</v>
      </c>
      <c r="F5484" s="199" t="s">
        <v>37946</v>
      </c>
      <c r="G5484" s="1" t="s">
        <v>37947</v>
      </c>
      <c r="H5484" s="200"/>
      <c r="I5484" s="351" t="s">
        <v>37948</v>
      </c>
      <c r="J5484" s="39">
        <v>111254</v>
      </c>
      <c r="K5484" s="36" t="str">
        <f>CONCATENATE(Cover!$D$6,"fdd/view?i=",J5484)</f>
        <v>https://www.dgiwg.org/FAD/fdd/view?i=111254</v>
      </c>
      <c r="L5484" s="36" t="s">
        <v>37949</v>
      </c>
      <c r="M5484" s="186"/>
      <c r="N5484" s="186"/>
      <c r="O5484" s="172"/>
    </row>
    <row r="5485" spans="1:15" ht="25.5" x14ac:dyDescent="0.2">
      <c r="A5485" s="197" t="str">
        <f t="shared" si="85"/>
        <v>MrrCode_territorialSeaArea</v>
      </c>
      <c r="B5485" s="409"/>
      <c r="C5485" s="416"/>
      <c r="D5485" s="198" t="s">
        <v>37950</v>
      </c>
      <c r="E5485" s="198">
        <v>39</v>
      </c>
      <c r="F5485" s="199" t="s">
        <v>37951</v>
      </c>
      <c r="G5485" s="1" t="s">
        <v>37952</v>
      </c>
      <c r="H5485" s="200"/>
      <c r="I5485" s="346"/>
      <c r="J5485" s="39">
        <v>111288</v>
      </c>
      <c r="K5485" s="36" t="str">
        <f>CONCATENATE(Cover!$D$6,"fdd/view?i=",J5485)</f>
        <v>https://www.dgiwg.org/FAD/fdd/view?i=111288</v>
      </c>
      <c r="L5485" s="36" t="s">
        <v>37953</v>
      </c>
      <c r="M5485" s="186"/>
      <c r="N5485" s="186"/>
      <c r="O5485" s="172"/>
    </row>
    <row r="5486" spans="1:15" ht="51" x14ac:dyDescent="0.2">
      <c r="A5486" s="197" t="str">
        <f t="shared" si="85"/>
        <v>MrrCode_trafficServicesLimit</v>
      </c>
      <c r="B5486" s="409"/>
      <c r="C5486" s="416"/>
      <c r="D5486" s="198" t="s">
        <v>37954</v>
      </c>
      <c r="E5486" s="198">
        <v>42</v>
      </c>
      <c r="F5486" s="199" t="s">
        <v>37955</v>
      </c>
      <c r="G5486" s="1" t="s">
        <v>37956</v>
      </c>
      <c r="H5486" s="1" t="s">
        <v>37957</v>
      </c>
      <c r="I5486" s="346"/>
      <c r="J5486" s="39">
        <v>111326</v>
      </c>
      <c r="K5486" s="36" t="str">
        <f>CONCATENATE(Cover!$D$6,"fdd/view?i=",J5486)</f>
        <v>https://www.dgiwg.org/FAD/fdd/view?i=111326</v>
      </c>
      <c r="L5486" s="36" t="s">
        <v>37958</v>
      </c>
      <c r="M5486" s="186"/>
      <c r="N5486" s="186"/>
      <c r="O5486" s="172"/>
    </row>
    <row r="5487" spans="1:15" ht="25.5" x14ac:dyDescent="0.2">
      <c r="A5487" s="197" t="str">
        <f t="shared" si="85"/>
        <v>MrrCode_unilateralFishingZone</v>
      </c>
      <c r="B5487" s="409"/>
      <c r="C5487" s="416"/>
      <c r="D5487" s="198" t="s">
        <v>37959</v>
      </c>
      <c r="E5487" s="198">
        <v>13</v>
      </c>
      <c r="F5487" s="199" t="s">
        <v>37960</v>
      </c>
      <c r="G5487" s="1" t="s">
        <v>37961</v>
      </c>
      <c r="H5487" s="200"/>
      <c r="I5487" s="346"/>
      <c r="J5487" s="39">
        <v>111235</v>
      </c>
      <c r="K5487" s="36" t="str">
        <f>CONCATENATE(Cover!$D$6,"fdd/view?i=",J5487)</f>
        <v>https://www.dgiwg.org/FAD/fdd/view?i=111235</v>
      </c>
      <c r="L5487" s="36" t="s">
        <v>37962</v>
      </c>
      <c r="M5487" s="186"/>
      <c r="N5487" s="186"/>
      <c r="O5487" s="172"/>
    </row>
    <row r="5488" spans="1:15" ht="25.5" x14ac:dyDescent="0.2">
      <c r="A5488" s="197" t="str">
        <f t="shared" si="85"/>
        <v>MrrCode_unrestrictedArea</v>
      </c>
      <c r="B5488" s="409"/>
      <c r="C5488" s="416"/>
      <c r="D5488" s="198" t="s">
        <v>37963</v>
      </c>
      <c r="E5488" s="198">
        <v>1</v>
      </c>
      <c r="F5488" s="199" t="s">
        <v>37964</v>
      </c>
      <c r="G5488" s="1" t="s">
        <v>37965</v>
      </c>
      <c r="H5488" s="200"/>
      <c r="I5488" s="346"/>
      <c r="J5488" s="39">
        <v>111223</v>
      </c>
      <c r="K5488" s="36" t="str">
        <f>CONCATENATE(Cover!$D$6,"fdd/view?i=",J5488)</f>
        <v>https://www.dgiwg.org/FAD/fdd/view?i=111223</v>
      </c>
      <c r="L5488" s="36" t="s">
        <v>37966</v>
      </c>
      <c r="M5488" s="186"/>
      <c r="N5488" s="186"/>
      <c r="O5488" s="172"/>
    </row>
    <row r="5489" spans="1:15" x14ac:dyDescent="0.2">
      <c r="A5489" s="197" t="str">
        <f t="shared" si="85"/>
        <v>MrrCode_waitingArea</v>
      </c>
      <c r="B5489" s="409"/>
      <c r="C5489" s="416"/>
      <c r="D5489" s="198" t="s">
        <v>37967</v>
      </c>
      <c r="E5489" s="198">
        <v>33</v>
      </c>
      <c r="F5489" s="199" t="s">
        <v>37968</v>
      </c>
      <c r="G5489" s="1" t="s">
        <v>37969</v>
      </c>
      <c r="H5489" s="200"/>
      <c r="I5489" s="346"/>
      <c r="J5489" s="39">
        <v>111255</v>
      </c>
      <c r="K5489" s="36" t="str">
        <f>CONCATENATE(Cover!$D$6,"fdd/view?i=",J5489)</f>
        <v>https://www.dgiwg.org/FAD/fdd/view?i=111255</v>
      </c>
      <c r="L5489" s="36" t="s">
        <v>37970</v>
      </c>
      <c r="M5489" s="186"/>
      <c r="N5489" s="186"/>
      <c r="O5489" s="172"/>
    </row>
    <row r="5490" spans="1:15" ht="25.5" x14ac:dyDescent="0.2">
      <c r="A5490" s="203" t="str">
        <f t="shared" si="85"/>
        <v>MrrCode_waterSkiingArea</v>
      </c>
      <c r="B5490" s="410"/>
      <c r="C5490" s="417"/>
      <c r="D5490" s="204" t="s">
        <v>37971</v>
      </c>
      <c r="E5490" s="204">
        <v>34</v>
      </c>
      <c r="F5490" s="205" t="s">
        <v>37972</v>
      </c>
      <c r="G5490" s="206" t="s">
        <v>37973</v>
      </c>
      <c r="H5490" s="207"/>
      <c r="I5490" s="347"/>
      <c r="J5490" s="39">
        <v>111256</v>
      </c>
      <c r="K5490" s="36" t="str">
        <f>CONCATENATE(Cover!$D$6,"fdd/view?i=",J5490)</f>
        <v>https://www.dgiwg.org/FAD/fdd/view?i=111256</v>
      </c>
      <c r="L5490" s="36" t="s">
        <v>37974</v>
      </c>
      <c r="M5490" s="186"/>
      <c r="N5490" s="186"/>
      <c r="O5490" s="172"/>
    </row>
    <row r="5491" spans="1:15" ht="25.5" x14ac:dyDescent="0.2">
      <c r="A5491" s="190" t="str">
        <f t="shared" si="85"/>
        <v>McyCode_cargoTransshipment</v>
      </c>
      <c r="B5491" s="414" t="str">
        <f>HYPERLINK("[#]Datatypes!A872:L872","McyCode")</f>
        <v>McyCode</v>
      </c>
      <c r="C5491" s="415" t="s">
        <v>15461</v>
      </c>
      <c r="D5491" s="221" t="s">
        <v>37975</v>
      </c>
      <c r="E5491" s="221">
        <v>1</v>
      </c>
      <c r="F5491" s="222" t="s">
        <v>37976</v>
      </c>
      <c r="G5491" s="223" t="s">
        <v>37977</v>
      </c>
      <c r="H5491" s="224"/>
      <c r="I5491" s="352" t="s">
        <v>37978</v>
      </c>
      <c r="J5491" s="39">
        <v>111149</v>
      </c>
      <c r="K5491" s="36" t="str">
        <f>CONCATENATE(Cover!$D$6,"fdd/view?i=",J5491)</f>
        <v>https://www.dgiwg.org/FAD/fdd/view?i=111149</v>
      </c>
      <c r="L5491" s="36" t="s">
        <v>37979</v>
      </c>
      <c r="M5491" s="186"/>
      <c r="N5491" s="186"/>
      <c r="O5491" s="172"/>
    </row>
    <row r="5492" spans="1:15" ht="38.25" x14ac:dyDescent="0.2">
      <c r="A5492" s="197" t="str">
        <f t="shared" si="85"/>
        <v>McyCode_clearingLine</v>
      </c>
      <c r="B5492" s="409"/>
      <c r="C5492" s="416"/>
      <c r="D5492" s="198" t="s">
        <v>24841</v>
      </c>
      <c r="E5492" s="198">
        <v>10</v>
      </c>
      <c r="F5492" s="199" t="s">
        <v>24842</v>
      </c>
      <c r="G5492" s="1" t="s">
        <v>37980</v>
      </c>
      <c r="H5492" s="1" t="s">
        <v>37655</v>
      </c>
      <c r="I5492" s="346"/>
      <c r="J5492" s="39">
        <v>111319</v>
      </c>
      <c r="K5492" s="36" t="str">
        <f>CONCATENATE(Cover!$D$6,"fdd/view?i=",J5492)</f>
        <v>https://www.dgiwg.org/FAD/fdd/view?i=111319</v>
      </c>
      <c r="L5492" s="36" t="s">
        <v>37981</v>
      </c>
      <c r="M5492" s="186"/>
      <c r="N5492" s="186"/>
      <c r="O5492" s="172"/>
    </row>
    <row r="5493" spans="1:15" ht="25.5" x14ac:dyDescent="0.2">
      <c r="A5493" s="197" t="str">
        <f t="shared" si="85"/>
        <v>McyCode_colregsDemarcationLine</v>
      </c>
      <c r="B5493" s="409"/>
      <c r="C5493" s="416"/>
      <c r="D5493" s="198" t="s">
        <v>37982</v>
      </c>
      <c r="E5493" s="198">
        <v>11</v>
      </c>
      <c r="F5493" s="199" t="s">
        <v>37983</v>
      </c>
      <c r="G5493" s="1" t="s">
        <v>37984</v>
      </c>
      <c r="H5493" s="200"/>
      <c r="I5493" s="346"/>
      <c r="J5493" s="39">
        <v>111320</v>
      </c>
      <c r="K5493" s="36" t="str">
        <f>CONCATENATE(Cover!$D$6,"fdd/view?i=",J5493)</f>
        <v>https://www.dgiwg.org/FAD/fdd/view?i=111320</v>
      </c>
      <c r="L5493" s="36" t="s">
        <v>37985</v>
      </c>
      <c r="M5493" s="186"/>
      <c r="N5493" s="186"/>
      <c r="O5493" s="172"/>
    </row>
    <row r="5494" spans="1:15" x14ac:dyDescent="0.2">
      <c r="A5494" s="197" t="str">
        <f t="shared" si="85"/>
        <v>McyCode_harbourArea</v>
      </c>
      <c r="B5494" s="409"/>
      <c r="C5494" s="416"/>
      <c r="D5494" s="198" t="s">
        <v>37986</v>
      </c>
      <c r="E5494" s="198">
        <v>12</v>
      </c>
      <c r="F5494" s="199" t="s">
        <v>37987</v>
      </c>
      <c r="G5494" s="1" t="s">
        <v>37988</v>
      </c>
      <c r="H5494" s="200"/>
      <c r="I5494" s="346"/>
      <c r="J5494" s="39">
        <v>111321</v>
      </c>
      <c r="K5494" s="36" t="str">
        <f>CONCATENATE(Cover!$D$6,"fdd/view?i=",J5494)</f>
        <v>https://www.dgiwg.org/FAD/fdd/view?i=111321</v>
      </c>
      <c r="L5494" s="36" t="s">
        <v>37989</v>
      </c>
      <c r="M5494" s="186"/>
      <c r="N5494" s="186"/>
      <c r="O5494" s="172"/>
    </row>
    <row r="5495" spans="1:15" ht="25.5" x14ac:dyDescent="0.2">
      <c r="A5495" s="197" t="str">
        <f t="shared" si="85"/>
        <v>McyCode_iceAdvisory</v>
      </c>
      <c r="B5495" s="409"/>
      <c r="C5495" s="416"/>
      <c r="D5495" s="198" t="s">
        <v>37990</v>
      </c>
      <c r="E5495" s="198">
        <v>2</v>
      </c>
      <c r="F5495" s="199" t="s">
        <v>37991</v>
      </c>
      <c r="G5495" s="1" t="s">
        <v>37992</v>
      </c>
      <c r="H5495" s="200"/>
      <c r="I5495" s="346"/>
      <c r="J5495" s="39">
        <v>111150</v>
      </c>
      <c r="K5495" s="36" t="str">
        <f>CONCATENATE(Cover!$D$6,"fdd/view?i=",J5495)</f>
        <v>https://www.dgiwg.org/FAD/fdd/view?i=111150</v>
      </c>
      <c r="L5495" s="36" t="s">
        <v>37993</v>
      </c>
      <c r="M5495" s="186"/>
      <c r="N5495" s="186"/>
      <c r="O5495" s="172"/>
    </row>
    <row r="5496" spans="1:15" ht="25.5" x14ac:dyDescent="0.2">
      <c r="A5496" s="197" t="str">
        <f t="shared" si="85"/>
        <v>McyCode_intakeArea</v>
      </c>
      <c r="B5496" s="409"/>
      <c r="C5496" s="416"/>
      <c r="D5496" s="198" t="s">
        <v>37994</v>
      </c>
      <c r="E5496" s="198">
        <v>3</v>
      </c>
      <c r="F5496" s="199" t="s">
        <v>37995</v>
      </c>
      <c r="G5496" s="1" t="s">
        <v>37996</v>
      </c>
      <c r="H5496" s="200"/>
      <c r="I5496" s="346"/>
      <c r="J5496" s="39">
        <v>111151</v>
      </c>
      <c r="K5496" s="36" t="str">
        <f>CONCATENATE(Cover!$D$6,"fdd/view?i=",J5496)</f>
        <v>https://www.dgiwg.org/FAD/fdd/view?i=111151</v>
      </c>
      <c r="L5496" s="36" t="s">
        <v>37997</v>
      </c>
      <c r="M5496" s="186"/>
      <c r="N5496" s="186"/>
      <c r="O5496" s="172"/>
    </row>
    <row r="5497" spans="1:15" ht="51" x14ac:dyDescent="0.2">
      <c r="A5497" s="197" t="str">
        <f t="shared" si="85"/>
        <v>McyCode_oceanCurrentMargin</v>
      </c>
      <c r="B5497" s="409"/>
      <c r="C5497" s="416"/>
      <c r="D5497" s="198" t="s">
        <v>37998</v>
      </c>
      <c r="E5497" s="198">
        <v>13</v>
      </c>
      <c r="F5497" s="199" t="s">
        <v>37999</v>
      </c>
      <c r="G5497" s="1" t="s">
        <v>38000</v>
      </c>
      <c r="H5497" s="1" t="s">
        <v>38001</v>
      </c>
      <c r="I5497" s="346"/>
      <c r="J5497" s="39">
        <v>112765</v>
      </c>
      <c r="K5497" s="36" t="str">
        <f>CONCATENATE(Cover!$D$6,"fdd/view?i=",J5497)</f>
        <v>https://www.dgiwg.org/FAD/fdd/view?i=112765</v>
      </c>
      <c r="L5497" s="36" t="s">
        <v>38002</v>
      </c>
      <c r="M5497" s="186"/>
      <c r="N5497" s="186"/>
      <c r="O5497" s="172"/>
    </row>
    <row r="5498" spans="1:15" ht="38.25" x14ac:dyDescent="0.2">
      <c r="A5498" s="197" t="str">
        <f t="shared" si="85"/>
        <v>McyCode_outfallArea</v>
      </c>
      <c r="B5498" s="409"/>
      <c r="C5498" s="416"/>
      <c r="D5498" s="198" t="s">
        <v>38003</v>
      </c>
      <c r="E5498" s="198">
        <v>4</v>
      </c>
      <c r="F5498" s="199" t="s">
        <v>38004</v>
      </c>
      <c r="G5498" s="1" t="s">
        <v>38005</v>
      </c>
      <c r="H5498" s="200"/>
      <c r="I5498" s="346"/>
      <c r="J5498" s="39">
        <v>111152</v>
      </c>
      <c r="K5498" s="36" t="str">
        <f>CONCATENATE(Cover!$D$6,"fdd/view?i=",J5498)</f>
        <v>https://www.dgiwg.org/FAD/fdd/view?i=111152</v>
      </c>
      <c r="L5498" s="36" t="s">
        <v>38006</v>
      </c>
      <c r="M5498" s="186"/>
      <c r="N5498" s="186"/>
      <c r="O5498" s="172"/>
    </row>
    <row r="5499" spans="1:15" ht="25.5" x14ac:dyDescent="0.2">
      <c r="A5499" s="197" t="str">
        <f t="shared" si="85"/>
        <v>McyCode_pollutionZone</v>
      </c>
      <c r="B5499" s="409"/>
      <c r="C5499" s="416"/>
      <c r="D5499" s="198" t="s">
        <v>38007</v>
      </c>
      <c r="E5499" s="198">
        <v>5</v>
      </c>
      <c r="F5499" s="199" t="s">
        <v>38008</v>
      </c>
      <c r="G5499" s="1" t="s">
        <v>38009</v>
      </c>
      <c r="H5499" s="200"/>
      <c r="I5499" s="346"/>
      <c r="J5499" s="39">
        <v>111153</v>
      </c>
      <c r="K5499" s="36" t="str">
        <f>CONCATENATE(Cover!$D$6,"fdd/view?i=",J5499)</f>
        <v>https://www.dgiwg.org/FAD/fdd/view?i=111153</v>
      </c>
      <c r="L5499" s="36" t="s">
        <v>38010</v>
      </c>
      <c r="M5499" s="186"/>
      <c r="N5499" s="186"/>
      <c r="O5499" s="172"/>
    </row>
    <row r="5500" spans="1:15" ht="25.5" x14ac:dyDescent="0.2">
      <c r="A5500" s="197" t="str">
        <f t="shared" si="85"/>
        <v>McyCode_submarineCable</v>
      </c>
      <c r="B5500" s="409"/>
      <c r="C5500" s="416"/>
      <c r="D5500" s="198" t="s">
        <v>38011</v>
      </c>
      <c r="E5500" s="198">
        <v>6</v>
      </c>
      <c r="F5500" s="199" t="s">
        <v>38012</v>
      </c>
      <c r="G5500" s="1" t="s">
        <v>38013</v>
      </c>
      <c r="H5500" s="200"/>
      <c r="I5500" s="346"/>
      <c r="J5500" s="39">
        <v>111154</v>
      </c>
      <c r="K5500" s="36" t="str">
        <f>CONCATENATE(Cover!$D$6,"fdd/view?i=",J5500)</f>
        <v>https://www.dgiwg.org/FAD/fdd/view?i=111154</v>
      </c>
      <c r="L5500" s="36" t="s">
        <v>38014</v>
      </c>
      <c r="M5500" s="186"/>
      <c r="N5500" s="186"/>
      <c r="O5500" s="172"/>
    </row>
    <row r="5501" spans="1:15" ht="25.5" x14ac:dyDescent="0.2">
      <c r="A5501" s="197" t="str">
        <f t="shared" si="85"/>
        <v>McyCode_submarinePipeline</v>
      </c>
      <c r="B5501" s="409"/>
      <c r="C5501" s="416"/>
      <c r="D5501" s="198" t="s">
        <v>38015</v>
      </c>
      <c r="E5501" s="198">
        <v>7</v>
      </c>
      <c r="F5501" s="199" t="s">
        <v>38016</v>
      </c>
      <c r="G5501" s="1" t="s">
        <v>38017</v>
      </c>
      <c r="H5501" s="200"/>
      <c r="I5501" s="346"/>
      <c r="J5501" s="39">
        <v>111155</v>
      </c>
      <c r="K5501" s="36" t="str">
        <f>CONCATENATE(Cover!$D$6,"fdd/view?i=",J5501)</f>
        <v>https://www.dgiwg.org/FAD/fdd/view?i=111155</v>
      </c>
      <c r="L5501" s="36" t="s">
        <v>38018</v>
      </c>
      <c r="M5501" s="186"/>
      <c r="N5501" s="186"/>
      <c r="O5501" s="172"/>
    </row>
    <row r="5502" spans="1:15" ht="25.5" x14ac:dyDescent="0.2">
      <c r="A5502" s="197" t="str">
        <f t="shared" si="85"/>
        <v>McyCode_submarineSewer</v>
      </c>
      <c r="B5502" s="409"/>
      <c r="C5502" s="416"/>
      <c r="D5502" s="198" t="s">
        <v>38019</v>
      </c>
      <c r="E5502" s="198">
        <v>8</v>
      </c>
      <c r="F5502" s="199" t="s">
        <v>38020</v>
      </c>
      <c r="G5502" s="1" t="s">
        <v>38021</v>
      </c>
      <c r="H5502" s="200"/>
      <c r="I5502" s="346"/>
      <c r="J5502" s="39">
        <v>111156</v>
      </c>
      <c r="K5502" s="36" t="str">
        <f>CONCATENATE(Cover!$D$6,"fdd/view?i=",J5502)</f>
        <v>https://www.dgiwg.org/FAD/fdd/view?i=111156</v>
      </c>
      <c r="L5502" s="36" t="s">
        <v>38022</v>
      </c>
      <c r="M5502" s="186"/>
      <c r="N5502" s="186"/>
      <c r="O5502" s="172"/>
    </row>
    <row r="5503" spans="1:15" ht="63.75" x14ac:dyDescent="0.2">
      <c r="A5503" s="197" t="str">
        <f t="shared" si="85"/>
        <v>McyCode_unexplodedOrdnance</v>
      </c>
      <c r="B5503" s="409"/>
      <c r="C5503" s="416"/>
      <c r="D5503" s="198" t="s">
        <v>26608</v>
      </c>
      <c r="E5503" s="198">
        <v>9</v>
      </c>
      <c r="F5503" s="199" t="s">
        <v>29533</v>
      </c>
      <c r="G5503" s="1" t="s">
        <v>38023</v>
      </c>
      <c r="H5503" s="1" t="s">
        <v>38024</v>
      </c>
      <c r="I5503" s="346"/>
      <c r="J5503" s="39">
        <v>111157</v>
      </c>
      <c r="K5503" s="36" t="str">
        <f>CONCATENATE(Cover!$D$6,"fdd/view?i=",J5503)</f>
        <v>https://www.dgiwg.org/FAD/fdd/view?i=111157</v>
      </c>
      <c r="L5503" s="36" t="s">
        <v>38025</v>
      </c>
      <c r="M5503" s="186"/>
      <c r="N5503" s="186"/>
      <c r="O5503" s="172"/>
    </row>
    <row r="5504" spans="1:15" ht="76.5" x14ac:dyDescent="0.2">
      <c r="A5504" s="203" t="str">
        <f t="shared" si="85"/>
        <v>McyCode_worksInProgressArea</v>
      </c>
      <c r="B5504" s="410"/>
      <c r="C5504" s="417"/>
      <c r="D5504" s="204" t="s">
        <v>38026</v>
      </c>
      <c r="E5504" s="204">
        <v>14</v>
      </c>
      <c r="F5504" s="205" t="s">
        <v>38027</v>
      </c>
      <c r="G5504" s="206" t="s">
        <v>38028</v>
      </c>
      <c r="H5504" s="206" t="s">
        <v>38029</v>
      </c>
      <c r="I5504" s="347"/>
      <c r="J5504" s="39">
        <v>112766</v>
      </c>
      <c r="K5504" s="36" t="str">
        <f>CONCATENATE(Cover!$D$6,"fdd/view?i=",J5504)</f>
        <v>https://www.dgiwg.org/FAD/fdd/view?i=112766</v>
      </c>
      <c r="L5504" s="36" t="s">
        <v>38030</v>
      </c>
      <c r="M5504" s="186"/>
      <c r="N5504" s="186"/>
      <c r="O5504" s="172"/>
    </row>
    <row r="5505" spans="1:15" ht="38.25" x14ac:dyDescent="0.2">
      <c r="A5505" s="190" t="str">
        <f t="shared" si="85"/>
        <v>MglCode_contiguousZoneLimit</v>
      </c>
      <c r="B5505" s="414" t="str">
        <f>HYPERLINK("[#]Datatypes!A874:L874","MglCode")</f>
        <v>MglCode</v>
      </c>
      <c r="C5505" s="415" t="s">
        <v>15463</v>
      </c>
      <c r="D5505" s="221" t="s">
        <v>38031</v>
      </c>
      <c r="E5505" s="221">
        <v>5</v>
      </c>
      <c r="F5505" s="222" t="s">
        <v>38032</v>
      </c>
      <c r="G5505" s="223" t="s">
        <v>38033</v>
      </c>
      <c r="H5505" s="223" t="s">
        <v>37816</v>
      </c>
      <c r="I5505" s="345"/>
      <c r="J5505" s="39">
        <v>111127</v>
      </c>
      <c r="K5505" s="36" t="str">
        <f>CONCATENATE(Cover!$D$6,"fdd/view?i=",J5505)</f>
        <v>https://www.dgiwg.org/FAD/fdd/view?i=111127</v>
      </c>
      <c r="L5505" s="36" t="s">
        <v>38034</v>
      </c>
      <c r="M5505" s="186"/>
      <c r="N5505" s="186"/>
      <c r="O5505" s="172"/>
    </row>
    <row r="5506" spans="1:15" ht="127.5" x14ac:dyDescent="0.2">
      <c r="A5506" s="197" t="str">
        <f t="shared" ref="A5506:A5569" si="86">HYPERLINK(K5506,L5506)</f>
        <v>MglCode_continentalShelfLimit</v>
      </c>
      <c r="B5506" s="409"/>
      <c r="C5506" s="416"/>
      <c r="D5506" s="198" t="s">
        <v>38035</v>
      </c>
      <c r="E5506" s="198">
        <v>6</v>
      </c>
      <c r="F5506" s="199" t="s">
        <v>38036</v>
      </c>
      <c r="G5506" s="1" t="s">
        <v>38037</v>
      </c>
      <c r="H5506" s="1" t="s">
        <v>24329</v>
      </c>
      <c r="I5506" s="346"/>
      <c r="J5506" s="39">
        <v>111128</v>
      </c>
      <c r="K5506" s="36" t="str">
        <f>CONCATENATE(Cover!$D$6,"fdd/view?i=",J5506)</f>
        <v>https://www.dgiwg.org/FAD/fdd/view?i=111128</v>
      </c>
      <c r="L5506" s="36" t="s">
        <v>38038</v>
      </c>
      <c r="M5506" s="186"/>
      <c r="N5506" s="186"/>
      <c r="O5506" s="172"/>
    </row>
    <row r="5507" spans="1:15" ht="25.5" x14ac:dyDescent="0.2">
      <c r="A5507" s="197" t="str">
        <f t="shared" si="86"/>
        <v>MglCode_customsBoundary</v>
      </c>
      <c r="B5507" s="409"/>
      <c r="C5507" s="416"/>
      <c r="D5507" s="198" t="s">
        <v>38039</v>
      </c>
      <c r="E5507" s="198">
        <v>9</v>
      </c>
      <c r="F5507" s="199" t="s">
        <v>38040</v>
      </c>
      <c r="G5507" s="1" t="s">
        <v>38041</v>
      </c>
      <c r="H5507" s="200"/>
      <c r="I5507" s="346"/>
      <c r="J5507" s="39">
        <v>111322</v>
      </c>
      <c r="K5507" s="36" t="str">
        <f>CONCATENATE(Cover!$D$6,"fdd/view?i=",J5507)</f>
        <v>https://www.dgiwg.org/FAD/fdd/view?i=111322</v>
      </c>
      <c r="L5507" s="36" t="s">
        <v>38042</v>
      </c>
      <c r="M5507" s="186"/>
      <c r="N5507" s="186"/>
      <c r="O5507" s="172"/>
    </row>
    <row r="5508" spans="1:15" ht="63.75" x14ac:dyDescent="0.2">
      <c r="A5508" s="197" t="str">
        <f t="shared" si="86"/>
        <v>MglCode_exclusiveEcoZoneLimit</v>
      </c>
      <c r="B5508" s="409"/>
      <c r="C5508" s="416"/>
      <c r="D5508" s="198" t="s">
        <v>38043</v>
      </c>
      <c r="E5508" s="198">
        <v>8</v>
      </c>
      <c r="F5508" s="199" t="s">
        <v>38044</v>
      </c>
      <c r="G5508" s="1" t="s">
        <v>38045</v>
      </c>
      <c r="H5508" s="200"/>
      <c r="I5508" s="346"/>
      <c r="J5508" s="39">
        <v>111130</v>
      </c>
      <c r="K5508" s="36" t="str">
        <f>CONCATENATE(Cover!$D$6,"fdd/view?i=",J5508)</f>
        <v>https://www.dgiwg.org/FAD/fdd/view?i=111130</v>
      </c>
      <c r="L5508" s="36" t="s">
        <v>38046</v>
      </c>
      <c r="M5508" s="186"/>
      <c r="N5508" s="186"/>
      <c r="O5508" s="172"/>
    </row>
    <row r="5509" spans="1:15" ht="102" x14ac:dyDescent="0.2">
      <c r="A5509" s="197" t="str">
        <f t="shared" si="86"/>
        <v>MglCode_extendContinentShelfLimit</v>
      </c>
      <c r="B5509" s="409"/>
      <c r="C5509" s="416"/>
      <c r="D5509" s="198" t="s">
        <v>38047</v>
      </c>
      <c r="E5509" s="198">
        <v>7</v>
      </c>
      <c r="F5509" s="199" t="s">
        <v>38048</v>
      </c>
      <c r="G5509" s="1" t="s">
        <v>38049</v>
      </c>
      <c r="H5509" s="1" t="s">
        <v>24280</v>
      </c>
      <c r="I5509" s="346"/>
      <c r="J5509" s="39">
        <v>111129</v>
      </c>
      <c r="K5509" s="36" t="str">
        <f>CONCATENATE(Cover!$D$6,"fdd/view?i=",J5509)</f>
        <v>https://www.dgiwg.org/FAD/fdd/view?i=111129</v>
      </c>
      <c r="L5509" s="36" t="s">
        <v>38050</v>
      </c>
      <c r="M5509" s="186"/>
      <c r="N5509" s="186"/>
      <c r="O5509" s="172"/>
    </row>
    <row r="5510" spans="1:15" ht="25.5" x14ac:dyDescent="0.2">
      <c r="A5510" s="197" t="str">
        <f t="shared" si="86"/>
        <v>MglCode_internationalBoundary</v>
      </c>
      <c r="B5510" s="409"/>
      <c r="C5510" s="416"/>
      <c r="D5510" s="198" t="s">
        <v>38051</v>
      </c>
      <c r="E5510" s="198">
        <v>1</v>
      </c>
      <c r="F5510" s="199" t="s">
        <v>38052</v>
      </c>
      <c r="G5510" s="1" t="s">
        <v>38053</v>
      </c>
      <c r="H5510" s="200"/>
      <c r="I5510" s="346"/>
      <c r="J5510" s="39">
        <v>111123</v>
      </c>
      <c r="K5510" s="36" t="str">
        <f>CONCATENATE(Cover!$D$6,"fdd/view?i=",J5510)</f>
        <v>https://www.dgiwg.org/FAD/fdd/view?i=111123</v>
      </c>
      <c r="L5510" s="36" t="s">
        <v>38054</v>
      </c>
      <c r="M5510" s="186"/>
      <c r="N5510" s="186"/>
      <c r="O5510" s="172"/>
    </row>
    <row r="5511" spans="1:15" ht="25.5" x14ac:dyDescent="0.2">
      <c r="A5511" s="197" t="str">
        <f t="shared" si="86"/>
        <v>MglCode_territorialSeaBaseline</v>
      </c>
      <c r="B5511" s="409"/>
      <c r="C5511" s="416"/>
      <c r="D5511" s="198" t="s">
        <v>38055</v>
      </c>
      <c r="E5511" s="198">
        <v>2</v>
      </c>
      <c r="F5511" s="199" t="s">
        <v>38056</v>
      </c>
      <c r="G5511" s="1" t="s">
        <v>38057</v>
      </c>
      <c r="H5511" s="200"/>
      <c r="I5511" s="351" t="s">
        <v>38058</v>
      </c>
      <c r="J5511" s="39">
        <v>111124</v>
      </c>
      <c r="K5511" s="36" t="str">
        <f>CONCATENATE(Cover!$D$6,"fdd/view?i=",J5511)</f>
        <v>https://www.dgiwg.org/FAD/fdd/view?i=111124</v>
      </c>
      <c r="L5511" s="36" t="s">
        <v>38059</v>
      </c>
      <c r="M5511" s="186"/>
      <c r="N5511" s="186"/>
      <c r="O5511" s="172"/>
    </row>
    <row r="5512" spans="1:15" ht="38.25" x14ac:dyDescent="0.2">
      <c r="A5512" s="197" t="str">
        <f t="shared" si="86"/>
        <v>MglCode_territorialWatersLimitSov</v>
      </c>
      <c r="B5512" s="409"/>
      <c r="C5512" s="416"/>
      <c r="D5512" s="198" t="s">
        <v>38060</v>
      </c>
      <c r="E5512" s="198">
        <v>4</v>
      </c>
      <c r="F5512" s="199" t="s">
        <v>38061</v>
      </c>
      <c r="G5512" s="1" t="s">
        <v>38062</v>
      </c>
      <c r="H5512" s="200"/>
      <c r="I5512" s="346"/>
      <c r="J5512" s="39">
        <v>111126</v>
      </c>
      <c r="K5512" s="36" t="str">
        <f>CONCATENATE(Cover!$D$6,"fdd/view?i=",J5512)</f>
        <v>https://www.dgiwg.org/FAD/fdd/view?i=111126</v>
      </c>
      <c r="L5512" s="36" t="s">
        <v>38063</v>
      </c>
      <c r="M5512" s="186"/>
      <c r="N5512" s="186"/>
      <c r="O5512" s="172"/>
    </row>
    <row r="5513" spans="1:15" ht="25.5" x14ac:dyDescent="0.2">
      <c r="A5513" s="203" t="str">
        <f t="shared" si="86"/>
        <v>MglCode_threeNauticalMileLimit</v>
      </c>
      <c r="B5513" s="410"/>
      <c r="C5513" s="417"/>
      <c r="D5513" s="204" t="s">
        <v>38064</v>
      </c>
      <c r="E5513" s="204">
        <v>3</v>
      </c>
      <c r="F5513" s="205" t="s">
        <v>38065</v>
      </c>
      <c r="G5513" s="206" t="s">
        <v>38066</v>
      </c>
      <c r="H5513" s="207"/>
      <c r="I5513" s="347"/>
      <c r="J5513" s="39">
        <v>111125</v>
      </c>
      <c r="K5513" s="36" t="str">
        <f>CONCATENATE(Cover!$D$6,"fdd/view?i=",J5513)</f>
        <v>https://www.dgiwg.org/FAD/fdd/view?i=111125</v>
      </c>
      <c r="L5513" s="36" t="s">
        <v>38067</v>
      </c>
      <c r="M5513" s="186"/>
      <c r="N5513" s="186"/>
      <c r="O5513" s="172"/>
    </row>
    <row r="5514" spans="1:15" ht="25.5" x14ac:dyDescent="0.2">
      <c r="A5514" s="190" t="str">
        <f t="shared" si="86"/>
        <v>LfcCode_aeroLight</v>
      </c>
      <c r="B5514" s="414" t="str">
        <f>HYPERLINK("[#]Datatypes!A876:L876","LfcCode")</f>
        <v>LfcCode</v>
      </c>
      <c r="C5514" s="415" t="s">
        <v>15465</v>
      </c>
      <c r="D5514" s="221" t="s">
        <v>38068</v>
      </c>
      <c r="E5514" s="221">
        <v>5</v>
      </c>
      <c r="F5514" s="222" t="s">
        <v>37205</v>
      </c>
      <c r="G5514" s="223" t="s">
        <v>38069</v>
      </c>
      <c r="H5514" s="224"/>
      <c r="I5514" s="345"/>
      <c r="J5514" s="39">
        <v>104879</v>
      </c>
      <c r="K5514" s="36" t="str">
        <f>CONCATENATE(Cover!$D$6,"fdd/view?i=",J5514)</f>
        <v>https://www.dgiwg.org/FAD/fdd/view?i=104879</v>
      </c>
      <c r="L5514" s="36" t="s">
        <v>38070</v>
      </c>
      <c r="M5514" s="186"/>
      <c r="N5514" s="186"/>
      <c r="O5514" s="172"/>
    </row>
    <row r="5515" spans="1:15" ht="25.5" x14ac:dyDescent="0.2">
      <c r="A5515" s="197" t="str">
        <f t="shared" si="86"/>
        <v>LfcCode_airObstructionLight</v>
      </c>
      <c r="B5515" s="409"/>
      <c r="C5515" s="416"/>
      <c r="D5515" s="198" t="s">
        <v>38071</v>
      </c>
      <c r="E5515" s="198">
        <v>6</v>
      </c>
      <c r="F5515" s="199" t="s">
        <v>38072</v>
      </c>
      <c r="G5515" s="1" t="s">
        <v>38073</v>
      </c>
      <c r="H5515" s="200"/>
      <c r="I5515" s="346"/>
      <c r="J5515" s="39">
        <v>104880</v>
      </c>
      <c r="K5515" s="36" t="str">
        <f>CONCATENATE(Cover!$D$6,"fdd/view?i=",J5515)</f>
        <v>https://www.dgiwg.org/FAD/fdd/view?i=104880</v>
      </c>
      <c r="L5515" s="36" t="s">
        <v>38074</v>
      </c>
      <c r="M5515" s="186"/>
      <c r="N5515" s="186"/>
      <c r="O5515" s="172"/>
    </row>
    <row r="5516" spans="1:15" ht="25.5" x14ac:dyDescent="0.2">
      <c r="A5516" s="197" t="str">
        <f t="shared" si="86"/>
        <v>LfcCode_bearingLight</v>
      </c>
      <c r="B5516" s="409"/>
      <c r="C5516" s="416"/>
      <c r="D5516" s="198" t="s">
        <v>38075</v>
      </c>
      <c r="E5516" s="198">
        <v>13</v>
      </c>
      <c r="F5516" s="199" t="s">
        <v>38076</v>
      </c>
      <c r="G5516" s="1" t="s">
        <v>38077</v>
      </c>
      <c r="H5516" s="200"/>
      <c r="I5516" s="346"/>
      <c r="J5516" s="39">
        <v>104887</v>
      </c>
      <c r="K5516" s="36" t="str">
        <f>CONCATENATE(Cover!$D$6,"fdd/view?i=",J5516)</f>
        <v>https://www.dgiwg.org/FAD/fdd/view?i=104887</v>
      </c>
      <c r="L5516" s="36" t="s">
        <v>38078</v>
      </c>
      <c r="M5516" s="186"/>
      <c r="N5516" s="186"/>
      <c r="O5516" s="172"/>
    </row>
    <row r="5517" spans="1:15" ht="25.5" x14ac:dyDescent="0.2">
      <c r="A5517" s="197" t="str">
        <f t="shared" si="86"/>
        <v>LfcCode_directionalFunction</v>
      </c>
      <c r="B5517" s="409"/>
      <c r="C5517" s="416"/>
      <c r="D5517" s="198" t="s">
        <v>38079</v>
      </c>
      <c r="E5517" s="198">
        <v>1</v>
      </c>
      <c r="F5517" s="199" t="s">
        <v>38080</v>
      </c>
      <c r="G5517" s="1" t="s">
        <v>38081</v>
      </c>
      <c r="H5517" s="200"/>
      <c r="I5517" s="346"/>
      <c r="J5517" s="39">
        <v>104875</v>
      </c>
      <c r="K5517" s="36" t="str">
        <f>CONCATENATE(Cover!$D$6,"fdd/view?i=",J5517)</f>
        <v>https://www.dgiwg.org/FAD/fdd/view?i=104875</v>
      </c>
      <c r="L5517" s="36" t="s">
        <v>38082</v>
      </c>
      <c r="M5517" s="186"/>
      <c r="N5517" s="186"/>
      <c r="O5517" s="172"/>
    </row>
    <row r="5518" spans="1:15" ht="25.5" x14ac:dyDescent="0.2">
      <c r="A5518" s="197" t="str">
        <f t="shared" si="86"/>
        <v>LfcCode_emergencyLight</v>
      </c>
      <c r="B5518" s="409"/>
      <c r="C5518" s="416"/>
      <c r="D5518" s="198" t="s">
        <v>38083</v>
      </c>
      <c r="E5518" s="198">
        <v>12</v>
      </c>
      <c r="F5518" s="199" t="s">
        <v>38084</v>
      </c>
      <c r="G5518" s="1" t="s">
        <v>38085</v>
      </c>
      <c r="H5518" s="200"/>
      <c r="I5518" s="346"/>
      <c r="J5518" s="39">
        <v>104886</v>
      </c>
      <c r="K5518" s="36" t="str">
        <f>CONCATENATE(Cover!$D$6,"fdd/view?i=",J5518)</f>
        <v>https://www.dgiwg.org/FAD/fdd/view?i=104886</v>
      </c>
      <c r="L5518" s="36" t="s">
        <v>38086</v>
      </c>
      <c r="M5518" s="186"/>
      <c r="N5518" s="186"/>
      <c r="O5518" s="172"/>
    </row>
    <row r="5519" spans="1:15" x14ac:dyDescent="0.2">
      <c r="A5519" s="197" t="str">
        <f t="shared" si="86"/>
        <v>LfcCode_floodLight</v>
      </c>
      <c r="B5519" s="409"/>
      <c r="C5519" s="416"/>
      <c r="D5519" s="198" t="s">
        <v>38087</v>
      </c>
      <c r="E5519" s="198">
        <v>8</v>
      </c>
      <c r="F5519" s="199" t="s">
        <v>38088</v>
      </c>
      <c r="G5519" s="1" t="s">
        <v>38089</v>
      </c>
      <c r="H5519" s="200"/>
      <c r="I5519" s="346"/>
      <c r="J5519" s="39">
        <v>104882</v>
      </c>
      <c r="K5519" s="36" t="str">
        <f>CONCATENATE(Cover!$D$6,"fdd/view?i=",J5519)</f>
        <v>https://www.dgiwg.org/FAD/fdd/view?i=104882</v>
      </c>
      <c r="L5519" s="36" t="s">
        <v>38090</v>
      </c>
      <c r="M5519" s="186"/>
      <c r="N5519" s="186"/>
      <c r="O5519" s="172"/>
    </row>
    <row r="5520" spans="1:15" ht="25.5" x14ac:dyDescent="0.2">
      <c r="A5520" s="197" t="str">
        <f t="shared" si="86"/>
        <v>LfcCode_fogDetectorLight</v>
      </c>
      <c r="B5520" s="409"/>
      <c r="C5520" s="416"/>
      <c r="D5520" s="198" t="s">
        <v>38091</v>
      </c>
      <c r="E5520" s="198">
        <v>7</v>
      </c>
      <c r="F5520" s="199" t="s">
        <v>38092</v>
      </c>
      <c r="G5520" s="1" t="s">
        <v>38093</v>
      </c>
      <c r="H5520" s="200"/>
      <c r="I5520" s="346"/>
      <c r="J5520" s="39">
        <v>104881</v>
      </c>
      <c r="K5520" s="36" t="str">
        <f>CONCATENATE(Cover!$D$6,"fdd/view?i=",J5520)</f>
        <v>https://www.dgiwg.org/FAD/fdd/view?i=104881</v>
      </c>
      <c r="L5520" s="36" t="s">
        <v>38094</v>
      </c>
      <c r="M5520" s="186"/>
      <c r="N5520" s="186"/>
      <c r="O5520" s="172"/>
    </row>
    <row r="5521" spans="1:15" ht="25.5" x14ac:dyDescent="0.2">
      <c r="A5521" s="197" t="str">
        <f t="shared" si="86"/>
        <v>LfcCode_front</v>
      </c>
      <c r="B5521" s="409"/>
      <c r="C5521" s="416"/>
      <c r="D5521" s="198" t="s">
        <v>38095</v>
      </c>
      <c r="E5521" s="198">
        <v>19</v>
      </c>
      <c r="F5521" s="199" t="s">
        <v>38096</v>
      </c>
      <c r="G5521" s="1" t="s">
        <v>38097</v>
      </c>
      <c r="H5521" s="200"/>
      <c r="I5521" s="346"/>
      <c r="J5521" s="39">
        <v>110213</v>
      </c>
      <c r="K5521" s="36" t="str">
        <f>CONCATENATE(Cover!$D$6,"fdd/view?i=",J5521)</f>
        <v>https://www.dgiwg.org/FAD/fdd/view?i=110213</v>
      </c>
      <c r="L5521" s="36" t="s">
        <v>38098</v>
      </c>
      <c r="M5521" s="186"/>
      <c r="N5521" s="186"/>
      <c r="O5521" s="172"/>
    </row>
    <row r="5522" spans="1:15" ht="25.5" x14ac:dyDescent="0.2">
      <c r="A5522" s="197" t="str">
        <f t="shared" si="86"/>
        <v>LfcCode_horizontallyDisposed</v>
      </c>
      <c r="B5522" s="409"/>
      <c r="C5522" s="416"/>
      <c r="D5522" s="198" t="s">
        <v>38099</v>
      </c>
      <c r="E5522" s="198">
        <v>17</v>
      </c>
      <c r="F5522" s="199" t="s">
        <v>38100</v>
      </c>
      <c r="G5522" s="1" t="s">
        <v>38101</v>
      </c>
      <c r="H5522" s="200"/>
      <c r="I5522" s="346"/>
      <c r="J5522" s="39">
        <v>104891</v>
      </c>
      <c r="K5522" s="36" t="str">
        <f>CONCATENATE(Cover!$D$6,"fdd/view?i=",J5522)</f>
        <v>https://www.dgiwg.org/FAD/fdd/view?i=104891</v>
      </c>
      <c r="L5522" s="36" t="s">
        <v>38102</v>
      </c>
      <c r="M5522" s="186"/>
      <c r="N5522" s="186"/>
      <c r="O5522" s="172"/>
    </row>
    <row r="5523" spans="1:15" ht="25.5" x14ac:dyDescent="0.2">
      <c r="A5523" s="197" t="str">
        <f t="shared" si="86"/>
        <v>LfcCode_leadingLight</v>
      </c>
      <c r="B5523" s="409"/>
      <c r="C5523" s="416"/>
      <c r="D5523" s="198" t="s">
        <v>38103</v>
      </c>
      <c r="E5523" s="198">
        <v>4</v>
      </c>
      <c r="F5523" s="199" t="s">
        <v>38104</v>
      </c>
      <c r="G5523" s="1" t="s">
        <v>38105</v>
      </c>
      <c r="H5523" s="200"/>
      <c r="I5523" s="346"/>
      <c r="J5523" s="39">
        <v>104878</v>
      </c>
      <c r="K5523" s="36" t="str">
        <f>CONCATENATE(Cover!$D$6,"fdd/view?i=",J5523)</f>
        <v>https://www.dgiwg.org/FAD/fdd/view?i=104878</v>
      </c>
      <c r="L5523" s="36" t="s">
        <v>38106</v>
      </c>
      <c r="M5523" s="186"/>
      <c r="N5523" s="186"/>
      <c r="O5523" s="172"/>
    </row>
    <row r="5524" spans="1:15" ht="25.5" x14ac:dyDescent="0.2">
      <c r="A5524" s="197" t="str">
        <f t="shared" si="86"/>
        <v>LfcCode_lower</v>
      </c>
      <c r="B5524" s="409"/>
      <c r="C5524" s="416"/>
      <c r="D5524" s="198" t="s">
        <v>38107</v>
      </c>
      <c r="E5524" s="198">
        <v>16</v>
      </c>
      <c r="F5524" s="199" t="s">
        <v>38108</v>
      </c>
      <c r="G5524" s="1" t="s">
        <v>38109</v>
      </c>
      <c r="H5524" s="200"/>
      <c r="I5524" s="346"/>
      <c r="J5524" s="39">
        <v>104890</v>
      </c>
      <c r="K5524" s="36" t="str">
        <f>CONCATENATE(Cover!$D$6,"fdd/view?i=",J5524)</f>
        <v>https://www.dgiwg.org/FAD/fdd/view?i=104890</v>
      </c>
      <c r="L5524" s="36" t="s">
        <v>38110</v>
      </c>
      <c r="M5524" s="186"/>
      <c r="N5524" s="186"/>
      <c r="O5524" s="172"/>
    </row>
    <row r="5525" spans="1:15" ht="38.25" x14ac:dyDescent="0.2">
      <c r="A5525" s="197" t="str">
        <f t="shared" si="86"/>
        <v>LfcCode_moireEffectLight</v>
      </c>
      <c r="B5525" s="409"/>
      <c r="C5525" s="416"/>
      <c r="D5525" s="198" t="s">
        <v>38111</v>
      </c>
      <c r="E5525" s="198">
        <v>21</v>
      </c>
      <c r="F5525" s="199" t="s">
        <v>38112</v>
      </c>
      <c r="G5525" s="1" t="s">
        <v>38113</v>
      </c>
      <c r="H5525" s="1" t="s">
        <v>38114</v>
      </c>
      <c r="I5525" s="346"/>
      <c r="J5525" s="39">
        <v>110215</v>
      </c>
      <c r="K5525" s="36" t="str">
        <f>CONCATENATE(Cover!$D$6,"fdd/view?i=",J5525)</f>
        <v>https://www.dgiwg.org/FAD/fdd/view?i=110215</v>
      </c>
      <c r="L5525" s="36" t="s">
        <v>38115</v>
      </c>
      <c r="M5525" s="186"/>
      <c r="N5525" s="186"/>
      <c r="O5525" s="172"/>
    </row>
    <row r="5526" spans="1:15" ht="25.5" x14ac:dyDescent="0.2">
      <c r="A5526" s="197" t="str">
        <f t="shared" si="86"/>
        <v>LfcCode_rear</v>
      </c>
      <c r="B5526" s="409"/>
      <c r="C5526" s="416"/>
      <c r="D5526" s="198" t="s">
        <v>38116</v>
      </c>
      <c r="E5526" s="198">
        <v>20</v>
      </c>
      <c r="F5526" s="199" t="s">
        <v>38117</v>
      </c>
      <c r="G5526" s="1" t="s">
        <v>38118</v>
      </c>
      <c r="H5526" s="200"/>
      <c r="I5526" s="346"/>
      <c r="J5526" s="39">
        <v>110214</v>
      </c>
      <c r="K5526" s="36" t="str">
        <f>CONCATENATE(Cover!$D$6,"fdd/view?i=",J5526)</f>
        <v>https://www.dgiwg.org/FAD/fdd/view?i=110214</v>
      </c>
      <c r="L5526" s="36" t="s">
        <v>38119</v>
      </c>
      <c r="M5526" s="186"/>
      <c r="N5526" s="186"/>
      <c r="O5526" s="172"/>
    </row>
    <row r="5527" spans="1:15" ht="38.25" x14ac:dyDescent="0.2">
      <c r="A5527" s="197" t="str">
        <f t="shared" si="86"/>
        <v>LfcCode_sectoredLight</v>
      </c>
      <c r="B5527" s="409"/>
      <c r="C5527" s="416"/>
      <c r="D5527" s="198" t="s">
        <v>38120</v>
      </c>
      <c r="E5527" s="198">
        <v>22</v>
      </c>
      <c r="F5527" s="199" t="s">
        <v>38121</v>
      </c>
      <c r="G5527" s="1" t="s">
        <v>38122</v>
      </c>
      <c r="H5527" s="200"/>
      <c r="I5527" s="346"/>
      <c r="J5527" s="39">
        <v>110216</v>
      </c>
      <c r="K5527" s="36" t="str">
        <f>CONCATENATE(Cover!$D$6,"fdd/view?i=",J5527)</f>
        <v>https://www.dgiwg.org/FAD/fdd/view?i=110216</v>
      </c>
      <c r="L5527" s="36" t="s">
        <v>38123</v>
      </c>
      <c r="M5527" s="186"/>
      <c r="N5527" s="186"/>
      <c r="O5527" s="172"/>
    </row>
    <row r="5528" spans="1:15" x14ac:dyDescent="0.2">
      <c r="A5528" s="197" t="str">
        <f t="shared" si="86"/>
        <v>LfcCode_spotlight</v>
      </c>
      <c r="B5528" s="409"/>
      <c r="C5528" s="416"/>
      <c r="D5528" s="198" t="s">
        <v>38124</v>
      </c>
      <c r="E5528" s="198">
        <v>11</v>
      </c>
      <c r="F5528" s="199" t="s">
        <v>38125</v>
      </c>
      <c r="G5528" s="1" t="s">
        <v>38126</v>
      </c>
      <c r="H5528" s="200"/>
      <c r="I5528" s="346"/>
      <c r="J5528" s="39">
        <v>104885</v>
      </c>
      <c r="K5528" s="36" t="str">
        <f>CONCATENATE(Cover!$D$6,"fdd/view?i=",J5528)</f>
        <v>https://www.dgiwg.org/FAD/fdd/view?i=104885</v>
      </c>
      <c r="L5528" s="36" t="s">
        <v>38127</v>
      </c>
      <c r="M5528" s="186"/>
      <c r="N5528" s="186"/>
      <c r="O5528" s="172"/>
    </row>
    <row r="5529" spans="1:15" ht="25.5" x14ac:dyDescent="0.2">
      <c r="A5529" s="197" t="str">
        <f t="shared" si="86"/>
        <v>LfcCode_stripLight</v>
      </c>
      <c r="B5529" s="409"/>
      <c r="C5529" s="416"/>
      <c r="D5529" s="198" t="s">
        <v>38128</v>
      </c>
      <c r="E5529" s="198">
        <v>9</v>
      </c>
      <c r="F5529" s="199" t="s">
        <v>38129</v>
      </c>
      <c r="G5529" s="1" t="s">
        <v>38130</v>
      </c>
      <c r="H5529" s="200"/>
      <c r="I5529" s="346"/>
      <c r="J5529" s="39">
        <v>104883</v>
      </c>
      <c r="K5529" s="36" t="str">
        <f>CONCATENATE(Cover!$D$6,"fdd/view?i=",J5529)</f>
        <v>https://www.dgiwg.org/FAD/fdd/view?i=104883</v>
      </c>
      <c r="L5529" s="36" t="s">
        <v>38131</v>
      </c>
      <c r="M5529" s="186"/>
      <c r="N5529" s="186"/>
      <c r="O5529" s="172"/>
    </row>
    <row r="5530" spans="1:15" ht="25.5" x14ac:dyDescent="0.2">
      <c r="A5530" s="197" t="str">
        <f t="shared" si="86"/>
        <v>LfcCode_subsidiaryLight</v>
      </c>
      <c r="B5530" s="409"/>
      <c r="C5530" s="416"/>
      <c r="D5530" s="198" t="s">
        <v>38132</v>
      </c>
      <c r="E5530" s="198">
        <v>10</v>
      </c>
      <c r="F5530" s="199" t="s">
        <v>38133</v>
      </c>
      <c r="G5530" s="1" t="s">
        <v>38134</v>
      </c>
      <c r="H5530" s="200"/>
      <c r="I5530" s="346"/>
      <c r="J5530" s="39">
        <v>104884</v>
      </c>
      <c r="K5530" s="36" t="str">
        <f>CONCATENATE(Cover!$D$6,"fdd/view?i=",J5530)</f>
        <v>https://www.dgiwg.org/FAD/fdd/view?i=104884</v>
      </c>
      <c r="L5530" s="36" t="s">
        <v>38135</v>
      </c>
      <c r="M5530" s="186"/>
      <c r="N5530" s="186"/>
      <c r="O5530" s="172"/>
    </row>
    <row r="5531" spans="1:15" ht="25.5" x14ac:dyDescent="0.2">
      <c r="A5531" s="197" t="str">
        <f t="shared" si="86"/>
        <v>LfcCode_upper</v>
      </c>
      <c r="B5531" s="409"/>
      <c r="C5531" s="416"/>
      <c r="D5531" s="198" t="s">
        <v>38136</v>
      </c>
      <c r="E5531" s="198">
        <v>14</v>
      </c>
      <c r="F5531" s="199" t="s">
        <v>38137</v>
      </c>
      <c r="G5531" s="1" t="s">
        <v>38138</v>
      </c>
      <c r="H5531" s="200"/>
      <c r="I5531" s="346"/>
      <c r="J5531" s="39">
        <v>104888</v>
      </c>
      <c r="K5531" s="36" t="str">
        <f>CONCATENATE(Cover!$D$6,"fdd/view?i=",J5531)</f>
        <v>https://www.dgiwg.org/FAD/fdd/view?i=104888</v>
      </c>
      <c r="L5531" s="36" t="s">
        <v>38139</v>
      </c>
      <c r="M5531" s="186"/>
      <c r="N5531" s="186"/>
      <c r="O5531" s="172"/>
    </row>
    <row r="5532" spans="1:15" ht="25.5" x14ac:dyDescent="0.2">
      <c r="A5532" s="203" t="str">
        <f t="shared" si="86"/>
        <v>LfcCode_verticallyDisposed</v>
      </c>
      <c r="B5532" s="410"/>
      <c r="C5532" s="417"/>
      <c r="D5532" s="204" t="s">
        <v>38140</v>
      </c>
      <c r="E5532" s="204">
        <v>18</v>
      </c>
      <c r="F5532" s="205" t="s">
        <v>38141</v>
      </c>
      <c r="G5532" s="206" t="s">
        <v>38142</v>
      </c>
      <c r="H5532" s="207"/>
      <c r="I5532" s="347"/>
      <c r="J5532" s="39">
        <v>104892</v>
      </c>
      <c r="K5532" s="36" t="str">
        <f>CONCATENATE(Cover!$D$6,"fdd/view?i=",J5532)</f>
        <v>https://www.dgiwg.org/FAD/fdd/view?i=104892</v>
      </c>
      <c r="L5532" s="36" t="s">
        <v>38143</v>
      </c>
      <c r="M5532" s="186"/>
      <c r="N5532" s="186"/>
      <c r="O5532" s="172"/>
    </row>
    <row r="5533" spans="1:15" ht="51" x14ac:dyDescent="0.2">
      <c r="A5533" s="190" t="str">
        <f t="shared" si="86"/>
        <v>MnbCode_articulatedBeacon</v>
      </c>
      <c r="B5533" s="414" t="str">
        <f>HYPERLINK("[#]Datatypes!A878:L878","MnbCode")</f>
        <v>MnbCode</v>
      </c>
      <c r="C5533" s="415" t="s">
        <v>15467</v>
      </c>
      <c r="D5533" s="221" t="s">
        <v>38144</v>
      </c>
      <c r="E5533" s="221">
        <v>1</v>
      </c>
      <c r="F5533" s="222" t="s">
        <v>38145</v>
      </c>
      <c r="G5533" s="223" t="s">
        <v>38146</v>
      </c>
      <c r="H5533" s="223" t="s">
        <v>38147</v>
      </c>
      <c r="I5533" s="345"/>
      <c r="J5533" s="39">
        <v>119811</v>
      </c>
      <c r="K5533" s="36" t="str">
        <f>CONCATENATE(Cover!$D$6,"fdd/view?i=",J5533)</f>
        <v>https://www.dgiwg.org/FAD/fdd/view?i=119811</v>
      </c>
      <c r="L5533" s="36" t="s">
        <v>38148</v>
      </c>
      <c r="M5533" s="186"/>
      <c r="N5533" s="186"/>
      <c r="O5533" s="172"/>
    </row>
    <row r="5534" spans="1:15" ht="25.5" x14ac:dyDescent="0.2">
      <c r="A5534" s="197" t="str">
        <f t="shared" si="86"/>
        <v>MnbCode_beaconTower</v>
      </c>
      <c r="B5534" s="409"/>
      <c r="C5534" s="416"/>
      <c r="D5534" s="198" t="s">
        <v>38149</v>
      </c>
      <c r="E5534" s="198">
        <v>2</v>
      </c>
      <c r="F5534" s="199" t="s">
        <v>38150</v>
      </c>
      <c r="G5534" s="1" t="s">
        <v>38151</v>
      </c>
      <c r="H5534" s="200"/>
      <c r="I5534" s="346"/>
      <c r="J5534" s="39">
        <v>119812</v>
      </c>
      <c r="K5534" s="36" t="str">
        <f>CONCATENATE(Cover!$D$6,"fdd/view?i=",J5534)</f>
        <v>https://www.dgiwg.org/FAD/fdd/view?i=119812</v>
      </c>
      <c r="L5534" s="36" t="s">
        <v>38152</v>
      </c>
      <c r="M5534" s="186"/>
      <c r="N5534" s="186"/>
      <c r="O5534" s="172"/>
    </row>
    <row r="5535" spans="1:15" ht="25.5" x14ac:dyDescent="0.2">
      <c r="A5535" s="197" t="str">
        <f t="shared" si="86"/>
        <v>MnbCode_cairn</v>
      </c>
      <c r="B5535" s="409"/>
      <c r="C5535" s="416"/>
      <c r="D5535" s="198" t="s">
        <v>38153</v>
      </c>
      <c r="E5535" s="198">
        <v>3</v>
      </c>
      <c r="F5535" s="199" t="s">
        <v>2394</v>
      </c>
      <c r="G5535" s="1" t="s">
        <v>38154</v>
      </c>
      <c r="H5535" s="200"/>
      <c r="I5535" s="346"/>
      <c r="J5535" s="39">
        <v>119813</v>
      </c>
      <c r="K5535" s="36" t="str">
        <f>CONCATENATE(Cover!$D$6,"fdd/view?i=",J5535)</f>
        <v>https://www.dgiwg.org/FAD/fdd/view?i=119813</v>
      </c>
      <c r="L5535" s="36" t="s">
        <v>38155</v>
      </c>
      <c r="M5535" s="186"/>
      <c r="N5535" s="186"/>
      <c r="O5535" s="172"/>
    </row>
    <row r="5536" spans="1:15" ht="38.25" x14ac:dyDescent="0.2">
      <c r="A5536" s="197" t="str">
        <f t="shared" si="86"/>
        <v>MnbCode_latticeBeacon</v>
      </c>
      <c r="B5536" s="409"/>
      <c r="C5536" s="416"/>
      <c r="D5536" s="198" t="s">
        <v>38156</v>
      </c>
      <c r="E5536" s="198">
        <v>4</v>
      </c>
      <c r="F5536" s="199" t="s">
        <v>38157</v>
      </c>
      <c r="G5536" s="1" t="s">
        <v>38158</v>
      </c>
      <c r="H5536" s="200"/>
      <c r="I5536" s="346"/>
      <c r="J5536" s="39">
        <v>119814</v>
      </c>
      <c r="K5536" s="36" t="str">
        <f>CONCATENATE(Cover!$D$6,"fdd/view?i=",J5536)</f>
        <v>https://www.dgiwg.org/FAD/fdd/view?i=119814</v>
      </c>
      <c r="L5536" s="36" t="s">
        <v>38159</v>
      </c>
      <c r="M5536" s="186"/>
      <c r="N5536" s="186"/>
      <c r="O5536" s="172"/>
    </row>
    <row r="5537" spans="1:15" ht="38.25" x14ac:dyDescent="0.2">
      <c r="A5537" s="197" t="str">
        <f t="shared" si="86"/>
        <v>MnbCode_pileBeacon</v>
      </c>
      <c r="B5537" s="409"/>
      <c r="C5537" s="416"/>
      <c r="D5537" s="198" t="s">
        <v>38160</v>
      </c>
      <c r="E5537" s="198">
        <v>5</v>
      </c>
      <c r="F5537" s="199" t="s">
        <v>38161</v>
      </c>
      <c r="G5537" s="1" t="s">
        <v>38162</v>
      </c>
      <c r="H5537" s="1" t="s">
        <v>38163</v>
      </c>
      <c r="I5537" s="346"/>
      <c r="J5537" s="39">
        <v>119815</v>
      </c>
      <c r="K5537" s="36" t="str">
        <f>CONCATENATE(Cover!$D$6,"fdd/view?i=",J5537)</f>
        <v>https://www.dgiwg.org/FAD/fdd/view?i=119815</v>
      </c>
      <c r="L5537" s="36" t="s">
        <v>38164</v>
      </c>
      <c r="M5537" s="186"/>
      <c r="N5537" s="186"/>
      <c r="O5537" s="172"/>
    </row>
    <row r="5538" spans="1:15" ht="25.5" x14ac:dyDescent="0.2">
      <c r="A5538" s="203" t="str">
        <f t="shared" si="86"/>
        <v>MnbCode_withy</v>
      </c>
      <c r="B5538" s="410"/>
      <c r="C5538" s="417"/>
      <c r="D5538" s="204" t="s">
        <v>38165</v>
      </c>
      <c r="E5538" s="204">
        <v>6</v>
      </c>
      <c r="F5538" s="205" t="s">
        <v>38166</v>
      </c>
      <c r="G5538" s="206" t="s">
        <v>38167</v>
      </c>
      <c r="H5538" s="207"/>
      <c r="I5538" s="347"/>
      <c r="J5538" s="39">
        <v>119816</v>
      </c>
      <c r="K5538" s="36" t="str">
        <f>CONCATENATE(Cover!$D$6,"fdd/view?i=",J5538)</f>
        <v>https://www.dgiwg.org/FAD/fdd/view?i=119816</v>
      </c>
      <c r="L5538" s="36" t="s">
        <v>38168</v>
      </c>
      <c r="M5538" s="186"/>
      <c r="N5538" s="186"/>
      <c r="O5538" s="172"/>
    </row>
    <row r="5539" spans="1:15" ht="25.5" x14ac:dyDescent="0.2">
      <c r="A5539" s="190" t="str">
        <f t="shared" si="86"/>
        <v>BetCode_aeronauticalAnchorage</v>
      </c>
      <c r="B5539" s="414" t="str">
        <f>HYPERLINK("[#]Datatypes!A880:L880","BetCode")</f>
        <v>BetCode</v>
      </c>
      <c r="C5539" s="415" t="s">
        <v>15469</v>
      </c>
      <c r="D5539" s="221" t="s">
        <v>24781</v>
      </c>
      <c r="E5539" s="221">
        <v>31</v>
      </c>
      <c r="F5539" s="222" t="s">
        <v>24782</v>
      </c>
      <c r="G5539" s="223" t="s">
        <v>38169</v>
      </c>
      <c r="H5539" s="224"/>
      <c r="I5539" s="352" t="s">
        <v>24784</v>
      </c>
      <c r="J5539" s="39">
        <v>102223</v>
      </c>
      <c r="K5539" s="36" t="str">
        <f>CONCATENATE(Cover!$D$6,"fdd/view?i=",J5539)</f>
        <v>https://www.dgiwg.org/FAD/fdd/view?i=102223</v>
      </c>
      <c r="L5539" s="36" t="s">
        <v>38170</v>
      </c>
      <c r="M5539" s="186"/>
      <c r="N5539" s="186"/>
      <c r="O5539" s="172"/>
    </row>
    <row r="5540" spans="1:15" x14ac:dyDescent="0.2">
      <c r="A5540" s="197" t="str">
        <f t="shared" si="86"/>
        <v>BetCode_anchorage</v>
      </c>
      <c r="B5540" s="409"/>
      <c r="C5540" s="416"/>
      <c r="D5540" s="198" t="s">
        <v>24786</v>
      </c>
      <c r="E5540" s="198">
        <v>118</v>
      </c>
      <c r="F5540" s="199" t="s">
        <v>2063</v>
      </c>
      <c r="G5540" s="1" t="s">
        <v>38171</v>
      </c>
      <c r="H5540" s="200"/>
      <c r="I5540" s="351" t="s">
        <v>24788</v>
      </c>
      <c r="J5540" s="39">
        <v>102301</v>
      </c>
      <c r="K5540" s="36" t="str">
        <f>CONCATENATE(Cover!$D$6,"fdd/view?i=",J5540)</f>
        <v>https://www.dgiwg.org/FAD/fdd/view?i=102301</v>
      </c>
      <c r="L5540" s="36" t="s">
        <v>38172</v>
      </c>
      <c r="M5540" s="186"/>
      <c r="N5540" s="186"/>
      <c r="O5540" s="172"/>
    </row>
    <row r="5541" spans="1:15" ht="25.5" x14ac:dyDescent="0.2">
      <c r="A5541" s="197" t="str">
        <f t="shared" si="86"/>
        <v>BetCode_anchoringProhib</v>
      </c>
      <c r="B5541" s="409"/>
      <c r="C5541" s="416"/>
      <c r="D5541" s="198" t="s">
        <v>38173</v>
      </c>
      <c r="E5541" s="198">
        <v>56</v>
      </c>
      <c r="F5541" s="199" t="s">
        <v>24791</v>
      </c>
      <c r="G5541" s="1" t="s">
        <v>38174</v>
      </c>
      <c r="H5541" s="200"/>
      <c r="I5541" s="351" t="s">
        <v>24793</v>
      </c>
      <c r="J5541" s="39">
        <v>102243</v>
      </c>
      <c r="K5541" s="36" t="str">
        <f>CONCATENATE(Cover!$D$6,"fdd/view?i=",J5541)</f>
        <v>https://www.dgiwg.org/FAD/fdd/view?i=102243</v>
      </c>
      <c r="L5541" s="36" t="s">
        <v>38175</v>
      </c>
      <c r="M5541" s="186"/>
      <c r="N5541" s="186"/>
      <c r="O5541" s="172"/>
    </row>
    <row r="5542" spans="1:15" ht="51" x14ac:dyDescent="0.2">
      <c r="A5542" s="197" t="str">
        <f t="shared" si="86"/>
        <v>BetCode_articulatedBeacon</v>
      </c>
      <c r="B5542" s="409"/>
      <c r="C5542" s="416"/>
      <c r="D5542" s="198" t="s">
        <v>38144</v>
      </c>
      <c r="E5542" s="198">
        <v>35</v>
      </c>
      <c r="F5542" s="199" t="s">
        <v>38145</v>
      </c>
      <c r="G5542" s="1" t="s">
        <v>38146</v>
      </c>
      <c r="H5542" s="1" t="s">
        <v>38147</v>
      </c>
      <c r="I5542" s="351" t="s">
        <v>38176</v>
      </c>
      <c r="J5542" s="39">
        <v>102225</v>
      </c>
      <c r="K5542" s="36" t="str">
        <f>CONCATENATE(Cover!$D$6,"fdd/view?i=",J5542)</f>
        <v>https://www.dgiwg.org/FAD/fdd/view?i=102225</v>
      </c>
      <c r="L5542" s="36" t="s">
        <v>38177</v>
      </c>
      <c r="M5542" s="186"/>
      <c r="N5542" s="186"/>
      <c r="O5542" s="172"/>
    </row>
    <row r="5543" spans="1:15" ht="76.5" x14ac:dyDescent="0.2">
      <c r="A5543" s="197" t="str">
        <f t="shared" si="86"/>
        <v>BetCode_articulatedDaybeacon</v>
      </c>
      <c r="B5543" s="409"/>
      <c r="C5543" s="416"/>
      <c r="D5543" s="198" t="s">
        <v>38178</v>
      </c>
      <c r="E5543" s="198">
        <v>104</v>
      </c>
      <c r="F5543" s="199" t="s">
        <v>38179</v>
      </c>
      <c r="G5543" s="1" t="s">
        <v>38180</v>
      </c>
      <c r="H5543" s="1" t="s">
        <v>38181</v>
      </c>
      <c r="I5543" s="351" t="s">
        <v>38182</v>
      </c>
      <c r="J5543" s="39">
        <v>102287</v>
      </c>
      <c r="K5543" s="36" t="str">
        <f>CONCATENATE(Cover!$D$6,"fdd/view?i=",J5543)</f>
        <v>https://www.dgiwg.org/FAD/fdd/view?i=102287</v>
      </c>
      <c r="L5543" s="36" t="s">
        <v>38183</v>
      </c>
      <c r="M5543" s="186"/>
      <c r="N5543" s="186"/>
      <c r="O5543" s="172"/>
    </row>
    <row r="5544" spans="1:15" ht="25.5" x14ac:dyDescent="0.2">
      <c r="A5544" s="197" t="str">
        <f t="shared" si="86"/>
        <v>BetCode_artificialReef</v>
      </c>
      <c r="B5544" s="409"/>
      <c r="C5544" s="416"/>
      <c r="D5544" s="198" t="s">
        <v>24805</v>
      </c>
      <c r="E5544" s="198">
        <v>114</v>
      </c>
      <c r="F5544" s="199" t="s">
        <v>24806</v>
      </c>
      <c r="G5544" s="1" t="s">
        <v>38184</v>
      </c>
      <c r="H5544" s="200"/>
      <c r="I5544" s="351" t="s">
        <v>24808</v>
      </c>
      <c r="J5544" s="39">
        <v>102297</v>
      </c>
      <c r="K5544" s="36" t="str">
        <f>CONCATENATE(Cover!$D$6,"fdd/view?i=",J5544)</f>
        <v>https://www.dgiwg.org/FAD/fdd/view?i=102297</v>
      </c>
      <c r="L5544" s="36" t="s">
        <v>38185</v>
      </c>
      <c r="M5544" s="186"/>
      <c r="N5544" s="186"/>
      <c r="O5544" s="172"/>
    </row>
    <row r="5545" spans="1:15" x14ac:dyDescent="0.2">
      <c r="A5545" s="197" t="str">
        <f t="shared" si="86"/>
        <v>BetCode_barge</v>
      </c>
      <c r="B5545" s="409"/>
      <c r="C5545" s="416"/>
      <c r="D5545" s="198" t="s">
        <v>24810</v>
      </c>
      <c r="E5545" s="198">
        <v>48</v>
      </c>
      <c r="F5545" s="199" t="s">
        <v>24811</v>
      </c>
      <c r="G5545" s="1" t="s">
        <v>38186</v>
      </c>
      <c r="H5545" s="200"/>
      <c r="I5545" s="351" t="s">
        <v>24813</v>
      </c>
      <c r="J5545" s="39">
        <v>102235</v>
      </c>
      <c r="K5545" s="36" t="str">
        <f>CONCATENATE(Cover!$D$6,"fdd/view?i=",J5545)</f>
        <v>https://www.dgiwg.org/FAD/fdd/view?i=102235</v>
      </c>
      <c r="L5545" s="36" t="s">
        <v>38187</v>
      </c>
      <c r="M5545" s="186"/>
      <c r="N5545" s="186"/>
      <c r="O5545" s="172"/>
    </row>
    <row r="5546" spans="1:15" ht="25.5" x14ac:dyDescent="0.2">
      <c r="A5546" s="197" t="str">
        <f t="shared" si="86"/>
        <v>BetCode_beaconTower</v>
      </c>
      <c r="B5546" s="409"/>
      <c r="C5546" s="416"/>
      <c r="D5546" s="198" t="s">
        <v>38149</v>
      </c>
      <c r="E5546" s="198">
        <v>109</v>
      </c>
      <c r="F5546" s="199" t="s">
        <v>38150</v>
      </c>
      <c r="G5546" s="1" t="s">
        <v>38151</v>
      </c>
      <c r="H5546" s="200"/>
      <c r="I5546" s="346"/>
      <c r="J5546" s="39">
        <v>102292</v>
      </c>
      <c r="K5546" s="36" t="str">
        <f>CONCATENATE(Cover!$D$6,"fdd/view?i=",J5546)</f>
        <v>https://www.dgiwg.org/FAD/fdd/view?i=102292</v>
      </c>
      <c r="L5546" s="36" t="s">
        <v>38188</v>
      </c>
      <c r="M5546" s="186"/>
      <c r="N5546" s="186"/>
      <c r="O5546" s="172"/>
    </row>
    <row r="5547" spans="1:15" ht="25.5" x14ac:dyDescent="0.2">
      <c r="A5547" s="197" t="str">
        <f t="shared" si="86"/>
        <v>BetCode_berthingPermitted</v>
      </c>
      <c r="B5547" s="409"/>
      <c r="C5547" s="416"/>
      <c r="D5547" s="198" t="s">
        <v>24815</v>
      </c>
      <c r="E5547" s="198">
        <v>68</v>
      </c>
      <c r="F5547" s="199" t="s">
        <v>24816</v>
      </c>
      <c r="G5547" s="1" t="s">
        <v>38189</v>
      </c>
      <c r="H5547" s="200"/>
      <c r="I5547" s="351" t="s">
        <v>24818</v>
      </c>
      <c r="J5547" s="39">
        <v>102255</v>
      </c>
      <c r="K5547" s="36" t="str">
        <f>CONCATENATE(Cover!$D$6,"fdd/view?i=",J5547)</f>
        <v>https://www.dgiwg.org/FAD/fdd/view?i=102255</v>
      </c>
      <c r="L5547" s="36" t="s">
        <v>38190</v>
      </c>
      <c r="M5547" s="186"/>
      <c r="N5547" s="186"/>
      <c r="O5547" s="172"/>
    </row>
    <row r="5548" spans="1:15" ht="25.5" x14ac:dyDescent="0.2">
      <c r="A5548" s="197" t="str">
        <f t="shared" si="86"/>
        <v>BetCode_berthingProhib</v>
      </c>
      <c r="B5548" s="409"/>
      <c r="C5548" s="416"/>
      <c r="D5548" s="198" t="s">
        <v>38191</v>
      </c>
      <c r="E5548" s="198">
        <v>57</v>
      </c>
      <c r="F5548" s="199" t="s">
        <v>24821</v>
      </c>
      <c r="G5548" s="1" t="s">
        <v>38192</v>
      </c>
      <c r="H5548" s="200"/>
      <c r="I5548" s="351" t="s">
        <v>24823</v>
      </c>
      <c r="J5548" s="39">
        <v>102244</v>
      </c>
      <c r="K5548" s="36" t="str">
        <f>CONCATENATE(Cover!$D$6,"fdd/view?i=",J5548)</f>
        <v>https://www.dgiwg.org/FAD/fdd/view?i=102244</v>
      </c>
      <c r="L5548" s="36" t="s">
        <v>38193</v>
      </c>
      <c r="M5548" s="186"/>
      <c r="N5548" s="186"/>
      <c r="O5548" s="172"/>
    </row>
    <row r="5549" spans="1:15" ht="38.25" x14ac:dyDescent="0.2">
      <c r="A5549" s="197" t="str">
        <f t="shared" si="86"/>
        <v>BetCode_buoyantBeacon</v>
      </c>
      <c r="B5549" s="409"/>
      <c r="C5549" s="416"/>
      <c r="D5549" s="198" t="s">
        <v>38194</v>
      </c>
      <c r="E5549" s="198">
        <v>43</v>
      </c>
      <c r="F5549" s="199" t="s">
        <v>38195</v>
      </c>
      <c r="G5549" s="1" t="s">
        <v>38196</v>
      </c>
      <c r="H5549" s="200"/>
      <c r="I5549" s="346"/>
      <c r="J5549" s="39">
        <v>102230</v>
      </c>
      <c r="K5549" s="36" t="str">
        <f>CONCATENATE(Cover!$D$6,"fdd/view?i=",J5549)</f>
        <v>https://www.dgiwg.org/FAD/fdd/view?i=102230</v>
      </c>
      <c r="L5549" s="36" t="s">
        <v>38197</v>
      </c>
      <c r="M5549" s="186"/>
      <c r="N5549" s="186"/>
      <c r="O5549" s="172"/>
    </row>
    <row r="5550" spans="1:15" ht="25.5" x14ac:dyDescent="0.2">
      <c r="A5550" s="197" t="str">
        <f t="shared" si="86"/>
        <v>BetCode_cable</v>
      </c>
      <c r="B5550" s="409"/>
      <c r="C5550" s="416"/>
      <c r="D5550" s="198" t="s">
        <v>22425</v>
      </c>
      <c r="E5550" s="198">
        <v>49</v>
      </c>
      <c r="F5550" s="199" t="s">
        <v>2381</v>
      </c>
      <c r="G5550" s="1" t="s">
        <v>38198</v>
      </c>
      <c r="H5550" s="200"/>
      <c r="I5550" s="351" t="s">
        <v>24830</v>
      </c>
      <c r="J5550" s="39">
        <v>102236</v>
      </c>
      <c r="K5550" s="36" t="str">
        <f>CONCATENATE(Cover!$D$6,"fdd/view?i=",J5550)</f>
        <v>https://www.dgiwg.org/FAD/fdd/view?i=102236</v>
      </c>
      <c r="L5550" s="36" t="s">
        <v>38199</v>
      </c>
      <c r="M5550" s="186"/>
      <c r="N5550" s="186"/>
      <c r="O5550" s="172"/>
    </row>
    <row r="5551" spans="1:15" ht="25.5" x14ac:dyDescent="0.2">
      <c r="A5551" s="197" t="str">
        <f t="shared" si="86"/>
        <v>BetCode_cairn</v>
      </c>
      <c r="B5551" s="409"/>
      <c r="C5551" s="416"/>
      <c r="D5551" s="198" t="s">
        <v>38153</v>
      </c>
      <c r="E5551" s="198">
        <v>42</v>
      </c>
      <c r="F5551" s="199" t="s">
        <v>2394</v>
      </c>
      <c r="G5551" s="1" t="s">
        <v>38154</v>
      </c>
      <c r="H5551" s="200"/>
      <c r="I5551" s="346"/>
      <c r="J5551" s="39">
        <v>102229</v>
      </c>
      <c r="K5551" s="36" t="str">
        <f>CONCATENATE(Cover!$D$6,"fdd/view?i=",J5551)</f>
        <v>https://www.dgiwg.org/FAD/fdd/view?i=102229</v>
      </c>
      <c r="L5551" s="36" t="s">
        <v>38200</v>
      </c>
      <c r="M5551" s="186"/>
      <c r="N5551" s="186"/>
      <c r="O5551" s="172"/>
    </row>
    <row r="5552" spans="1:15" ht="51" x14ac:dyDescent="0.2">
      <c r="A5552" s="197" t="str">
        <f t="shared" si="86"/>
        <v>BetCode_cardinal</v>
      </c>
      <c r="B5552" s="409"/>
      <c r="C5552" s="416"/>
      <c r="D5552" s="198" t="s">
        <v>24832</v>
      </c>
      <c r="E5552" s="198">
        <v>1</v>
      </c>
      <c r="F5552" s="199" t="s">
        <v>24833</v>
      </c>
      <c r="G5552" s="1" t="s">
        <v>38201</v>
      </c>
      <c r="H5552" s="200"/>
      <c r="I5552" s="346"/>
      <c r="J5552" s="39">
        <v>102219</v>
      </c>
      <c r="K5552" s="36" t="str">
        <f>CONCATENATE(Cover!$D$6,"fdd/view?i=",J5552)</f>
        <v>https://www.dgiwg.org/FAD/fdd/view?i=102219</v>
      </c>
      <c r="L5552" s="36" t="s">
        <v>38202</v>
      </c>
      <c r="M5552" s="186"/>
      <c r="N5552" s="186"/>
      <c r="O5552" s="172"/>
    </row>
    <row r="5553" spans="1:15" ht="25.5" x14ac:dyDescent="0.2">
      <c r="A5553" s="197" t="str">
        <f t="shared" si="86"/>
        <v>BetCode_channelEdgeGradient</v>
      </c>
      <c r="B5553" s="409"/>
      <c r="C5553" s="416"/>
      <c r="D5553" s="198" t="s">
        <v>24836</v>
      </c>
      <c r="E5553" s="198">
        <v>70</v>
      </c>
      <c r="F5553" s="199" t="s">
        <v>24837</v>
      </c>
      <c r="G5553" s="1" t="s">
        <v>38203</v>
      </c>
      <c r="H5553" s="200"/>
      <c r="I5553" s="354" t="s">
        <v>24839</v>
      </c>
      <c r="J5553" s="39">
        <v>102257</v>
      </c>
      <c r="K5553" s="36" t="str">
        <f>CONCATENATE(Cover!$D$6,"fdd/view?i=",J5553)</f>
        <v>https://www.dgiwg.org/FAD/fdd/view?i=102257</v>
      </c>
      <c r="L5553" s="36" t="s">
        <v>38204</v>
      </c>
      <c r="M5553" s="186"/>
      <c r="N5553" s="186"/>
      <c r="O5553" s="172"/>
    </row>
    <row r="5554" spans="1:15" ht="25.5" x14ac:dyDescent="0.2">
      <c r="A5554" s="197" t="str">
        <f t="shared" si="86"/>
        <v>BetCode_channelSeparation</v>
      </c>
      <c r="B5554" s="409"/>
      <c r="C5554" s="416"/>
      <c r="D5554" s="198" t="s">
        <v>38205</v>
      </c>
      <c r="E5554" s="198">
        <v>112</v>
      </c>
      <c r="F5554" s="199" t="s">
        <v>38206</v>
      </c>
      <c r="G5554" s="1" t="s">
        <v>38207</v>
      </c>
      <c r="H5554" s="200"/>
      <c r="I5554" s="351" t="s">
        <v>38208</v>
      </c>
      <c r="J5554" s="39">
        <v>102295</v>
      </c>
      <c r="K5554" s="36" t="str">
        <f>CONCATENATE(Cover!$D$6,"fdd/view?i=",J5554)</f>
        <v>https://www.dgiwg.org/FAD/fdd/view?i=102295</v>
      </c>
      <c r="L5554" s="36" t="s">
        <v>38209</v>
      </c>
      <c r="M5554" s="186"/>
      <c r="N5554" s="186"/>
      <c r="O5554" s="172"/>
    </row>
    <row r="5555" spans="1:15" x14ac:dyDescent="0.2">
      <c r="A5555" s="197" t="str">
        <f t="shared" si="86"/>
        <v>BetCode_clearingLine</v>
      </c>
      <c r="B5555" s="409"/>
      <c r="C5555" s="416"/>
      <c r="D5555" s="198" t="s">
        <v>24841</v>
      </c>
      <c r="E5555" s="198">
        <v>74</v>
      </c>
      <c r="F5555" s="199" t="s">
        <v>24842</v>
      </c>
      <c r="G5555" s="1" t="s">
        <v>38210</v>
      </c>
      <c r="H5555" s="200"/>
      <c r="I5555" s="351" t="s">
        <v>24844</v>
      </c>
      <c r="J5555" s="39">
        <v>102261</v>
      </c>
      <c r="K5555" s="36" t="str">
        <f>CONCATENATE(Cover!$D$6,"fdd/view?i=",J5555)</f>
        <v>https://www.dgiwg.org/FAD/fdd/view?i=102261</v>
      </c>
      <c r="L5555" s="36" t="s">
        <v>38211</v>
      </c>
      <c r="M5555" s="186"/>
      <c r="N5555" s="186"/>
      <c r="O5555" s="172"/>
    </row>
    <row r="5556" spans="1:15" ht="25.5" x14ac:dyDescent="0.2">
      <c r="A5556" s="197" t="str">
        <f t="shared" si="86"/>
        <v>BetCode_control</v>
      </c>
      <c r="B5556" s="409"/>
      <c r="C5556" s="416"/>
      <c r="D5556" s="198" t="s">
        <v>24851</v>
      </c>
      <c r="E5556" s="198">
        <v>119</v>
      </c>
      <c r="F5556" s="199" t="s">
        <v>24852</v>
      </c>
      <c r="G5556" s="1" t="s">
        <v>38212</v>
      </c>
      <c r="H5556" s="200"/>
      <c r="I5556" s="351" t="s">
        <v>24854</v>
      </c>
      <c r="J5556" s="39">
        <v>102302</v>
      </c>
      <c r="K5556" s="36" t="str">
        <f>CONCATENATE(Cover!$D$6,"fdd/view?i=",J5556)</f>
        <v>https://www.dgiwg.org/FAD/fdd/view?i=102302</v>
      </c>
      <c r="L5556" s="36" t="s">
        <v>38213</v>
      </c>
      <c r="M5556" s="186"/>
      <c r="N5556" s="186"/>
      <c r="O5556" s="172"/>
    </row>
    <row r="5557" spans="1:15" ht="38.25" x14ac:dyDescent="0.2">
      <c r="A5557" s="197" t="str">
        <f t="shared" si="86"/>
        <v>BetCode_daybeacon</v>
      </c>
      <c r="B5557" s="409"/>
      <c r="C5557" s="416"/>
      <c r="D5557" s="198" t="s">
        <v>24860</v>
      </c>
      <c r="E5557" s="198">
        <v>90</v>
      </c>
      <c r="F5557" s="199" t="s">
        <v>24861</v>
      </c>
      <c r="G5557" s="1" t="s">
        <v>38214</v>
      </c>
      <c r="H5557" s="200"/>
      <c r="I5557" s="346"/>
      <c r="J5557" s="39">
        <v>102275</v>
      </c>
      <c r="K5557" s="36" t="str">
        <f>CONCATENATE(Cover!$D$6,"fdd/view?i=",J5557)</f>
        <v>https://www.dgiwg.org/FAD/fdd/view?i=102275</v>
      </c>
      <c r="L5557" s="36" t="s">
        <v>38215</v>
      </c>
      <c r="M5557" s="186"/>
      <c r="N5557" s="186"/>
      <c r="O5557" s="172"/>
    </row>
    <row r="5558" spans="1:15" ht="25.5" x14ac:dyDescent="0.2">
      <c r="A5558" s="197" t="str">
        <f t="shared" si="86"/>
        <v>BetCode_degaussingRange</v>
      </c>
      <c r="B5558" s="409"/>
      <c r="C5558" s="416"/>
      <c r="D5558" s="198" t="s">
        <v>24864</v>
      </c>
      <c r="E5558" s="198">
        <v>47</v>
      </c>
      <c r="F5558" s="199" t="s">
        <v>24865</v>
      </c>
      <c r="G5558" s="1" t="s">
        <v>38216</v>
      </c>
      <c r="H5558" s="200"/>
      <c r="I5558" s="351" t="s">
        <v>24867</v>
      </c>
      <c r="J5558" s="39">
        <v>102234</v>
      </c>
      <c r="K5558" s="36" t="str">
        <f>CONCATENATE(Cover!$D$6,"fdd/view?i=",J5558)</f>
        <v>https://www.dgiwg.org/FAD/fdd/view?i=102234</v>
      </c>
      <c r="L5558" s="36" t="s">
        <v>38217</v>
      </c>
      <c r="M5558" s="186"/>
      <c r="N5558" s="186"/>
      <c r="O5558" s="172"/>
    </row>
    <row r="5559" spans="1:15" ht="25.5" x14ac:dyDescent="0.2">
      <c r="A5559" s="197" t="str">
        <f t="shared" si="86"/>
        <v>BetCode_diving</v>
      </c>
      <c r="B5559" s="409"/>
      <c r="C5559" s="416"/>
      <c r="D5559" s="198" t="s">
        <v>24869</v>
      </c>
      <c r="E5559" s="198">
        <v>81</v>
      </c>
      <c r="F5559" s="199" t="s">
        <v>24870</v>
      </c>
      <c r="G5559" s="1" t="s">
        <v>38218</v>
      </c>
      <c r="H5559" s="200"/>
      <c r="I5559" s="351" t="s">
        <v>24872</v>
      </c>
      <c r="J5559" s="39">
        <v>102268</v>
      </c>
      <c r="K5559" s="36" t="str">
        <f>CONCATENATE(Cover!$D$6,"fdd/view?i=",J5559)</f>
        <v>https://www.dgiwg.org/FAD/fdd/view?i=102268</v>
      </c>
      <c r="L5559" s="36" t="s">
        <v>38219</v>
      </c>
      <c r="M5559" s="186"/>
      <c r="N5559" s="186"/>
      <c r="O5559" s="172"/>
    </row>
    <row r="5560" spans="1:15" ht="38.25" x14ac:dyDescent="0.2">
      <c r="A5560" s="197" t="str">
        <f t="shared" si="86"/>
        <v>BetCode_eastCardinal</v>
      </c>
      <c r="B5560" s="409"/>
      <c r="C5560" s="416"/>
      <c r="D5560" s="198" t="s">
        <v>24878</v>
      </c>
      <c r="E5560" s="198">
        <v>97</v>
      </c>
      <c r="F5560" s="199" t="s">
        <v>24879</v>
      </c>
      <c r="G5560" s="1" t="s">
        <v>38220</v>
      </c>
      <c r="H5560" s="200"/>
      <c r="I5560" s="351" t="s">
        <v>24881</v>
      </c>
      <c r="J5560" s="39">
        <v>102282</v>
      </c>
      <c r="K5560" s="36" t="str">
        <f>CONCATENATE(Cover!$D$6,"fdd/view?i=",J5560)</f>
        <v>https://www.dgiwg.org/FAD/fdd/view?i=102282</v>
      </c>
      <c r="L5560" s="36" t="s">
        <v>38221</v>
      </c>
      <c r="M5560" s="186"/>
      <c r="N5560" s="186"/>
      <c r="O5560" s="172"/>
    </row>
    <row r="5561" spans="1:15" ht="25.5" x14ac:dyDescent="0.2">
      <c r="A5561" s="197" t="str">
        <f t="shared" si="86"/>
        <v>BetCode_entryProhibited</v>
      </c>
      <c r="B5561" s="409"/>
      <c r="C5561" s="416"/>
      <c r="D5561" s="198" t="s">
        <v>24883</v>
      </c>
      <c r="E5561" s="198">
        <v>102</v>
      </c>
      <c r="F5561" s="199" t="s">
        <v>24884</v>
      </c>
      <c r="G5561" s="1" t="s">
        <v>38222</v>
      </c>
      <c r="H5561" s="200"/>
      <c r="I5561" s="351" t="s">
        <v>24886</v>
      </c>
      <c r="J5561" s="39">
        <v>102285</v>
      </c>
      <c r="K5561" s="36" t="str">
        <f>CONCATENATE(Cover!$D$6,"fdd/view?i=",J5561)</f>
        <v>https://www.dgiwg.org/FAD/fdd/view?i=102285</v>
      </c>
      <c r="L5561" s="36" t="s">
        <v>38223</v>
      </c>
      <c r="M5561" s="186"/>
      <c r="N5561" s="186"/>
      <c r="O5561" s="172"/>
    </row>
    <row r="5562" spans="1:15" ht="25.5" x14ac:dyDescent="0.2">
      <c r="A5562" s="197" t="str">
        <f t="shared" si="86"/>
        <v>BetCode_ferryCrossing</v>
      </c>
      <c r="B5562" s="409"/>
      <c r="C5562" s="416"/>
      <c r="D5562" s="198" t="s">
        <v>24902</v>
      </c>
      <c r="E5562" s="198">
        <v>72</v>
      </c>
      <c r="F5562" s="199" t="s">
        <v>3068</v>
      </c>
      <c r="G5562" s="1" t="s">
        <v>38224</v>
      </c>
      <c r="H5562" s="1" t="s">
        <v>24904</v>
      </c>
      <c r="I5562" s="351" t="s">
        <v>24905</v>
      </c>
      <c r="J5562" s="39">
        <v>102259</v>
      </c>
      <c r="K5562" s="36" t="str">
        <f>CONCATENATE(Cover!$D$6,"fdd/view?i=",J5562)</f>
        <v>https://www.dgiwg.org/FAD/fdd/view?i=102259</v>
      </c>
      <c r="L5562" s="36" t="s">
        <v>38225</v>
      </c>
      <c r="M5562" s="186"/>
      <c r="N5562" s="186"/>
      <c r="O5562" s="172"/>
    </row>
    <row r="5563" spans="1:15" ht="25.5" x14ac:dyDescent="0.2">
      <c r="A5563" s="197" t="str">
        <f t="shared" si="86"/>
        <v>BetCode_firingDangerArea</v>
      </c>
      <c r="B5563" s="409"/>
      <c r="C5563" s="416"/>
      <c r="D5563" s="198" t="s">
        <v>24907</v>
      </c>
      <c r="E5563" s="198">
        <v>44</v>
      </c>
      <c r="F5563" s="199" t="s">
        <v>24908</v>
      </c>
      <c r="G5563" s="1" t="s">
        <v>38226</v>
      </c>
      <c r="H5563" s="200"/>
      <c r="I5563" s="351" t="s">
        <v>24910</v>
      </c>
      <c r="J5563" s="39">
        <v>102231</v>
      </c>
      <c r="K5563" s="36" t="str">
        <f>CONCATENATE(Cover!$D$6,"fdd/view?i=",J5563)</f>
        <v>https://www.dgiwg.org/FAD/fdd/view?i=102231</v>
      </c>
      <c r="L5563" s="36" t="s">
        <v>38227</v>
      </c>
      <c r="M5563" s="186"/>
      <c r="N5563" s="186"/>
      <c r="O5563" s="172"/>
    </row>
    <row r="5564" spans="1:15" ht="25.5" x14ac:dyDescent="0.2">
      <c r="A5564" s="197" t="str">
        <f t="shared" si="86"/>
        <v>BetCode_floatingRadiobeacon</v>
      </c>
      <c r="B5564" s="409"/>
      <c r="C5564" s="416"/>
      <c r="D5564" s="198" t="s">
        <v>38228</v>
      </c>
      <c r="E5564" s="198">
        <v>36</v>
      </c>
      <c r="F5564" s="199" t="s">
        <v>38229</v>
      </c>
      <c r="G5564" s="1" t="s">
        <v>25074</v>
      </c>
      <c r="H5564" s="200"/>
      <c r="I5564" s="346"/>
      <c r="J5564" s="39">
        <v>102226</v>
      </c>
      <c r="K5564" s="36" t="str">
        <f>CONCATENATE(Cover!$D$6,"fdd/view?i=",J5564)</f>
        <v>https://www.dgiwg.org/FAD/fdd/view?i=102226</v>
      </c>
      <c r="L5564" s="36" t="s">
        <v>38230</v>
      </c>
      <c r="M5564" s="186"/>
      <c r="N5564" s="186"/>
      <c r="O5564" s="172"/>
    </row>
    <row r="5565" spans="1:15" ht="25.5" x14ac:dyDescent="0.2">
      <c r="A5565" s="197" t="str">
        <f t="shared" si="86"/>
        <v>BetCode_foulGround</v>
      </c>
      <c r="B5565" s="409"/>
      <c r="C5565" s="416"/>
      <c r="D5565" s="198" t="s">
        <v>24921</v>
      </c>
      <c r="E5565" s="198">
        <v>76</v>
      </c>
      <c r="F5565" s="199" t="s">
        <v>3226</v>
      </c>
      <c r="G5565" s="1" t="s">
        <v>38231</v>
      </c>
      <c r="H5565" s="200"/>
      <c r="I5565" s="351" t="s">
        <v>24923</v>
      </c>
      <c r="J5565" s="39">
        <v>102263</v>
      </c>
      <c r="K5565" s="36" t="str">
        <f>CONCATENATE(Cover!$D$6,"fdd/view?i=",J5565)</f>
        <v>https://www.dgiwg.org/FAD/fdd/view?i=102263</v>
      </c>
      <c r="L5565" s="36" t="s">
        <v>38232</v>
      </c>
      <c r="M5565" s="186"/>
      <c r="N5565" s="186"/>
      <c r="O5565" s="172"/>
    </row>
    <row r="5566" spans="1:15" ht="25.5" x14ac:dyDescent="0.2">
      <c r="A5566" s="197" t="str">
        <f t="shared" si="86"/>
        <v>BetCode_generalWarning</v>
      </c>
      <c r="B5566" s="409"/>
      <c r="C5566" s="416"/>
      <c r="D5566" s="198" t="s">
        <v>24925</v>
      </c>
      <c r="E5566" s="198">
        <v>117</v>
      </c>
      <c r="F5566" s="199" t="s">
        <v>24926</v>
      </c>
      <c r="G5566" s="1" t="s">
        <v>38233</v>
      </c>
      <c r="H5566" s="200"/>
      <c r="I5566" s="351" t="s">
        <v>24928</v>
      </c>
      <c r="J5566" s="39">
        <v>102300</v>
      </c>
      <c r="K5566" s="36" t="str">
        <f>CONCATENATE(Cover!$D$6,"fdd/view?i=",J5566)</f>
        <v>https://www.dgiwg.org/FAD/fdd/view?i=102300</v>
      </c>
      <c r="L5566" s="36" t="s">
        <v>38234</v>
      </c>
      <c r="M5566" s="186"/>
      <c r="N5566" s="186"/>
      <c r="O5566" s="172"/>
    </row>
    <row r="5567" spans="1:15" ht="25.5" x14ac:dyDescent="0.2">
      <c r="A5567" s="197" t="str">
        <f t="shared" si="86"/>
        <v>BetCode_gps</v>
      </c>
      <c r="B5567" s="409"/>
      <c r="C5567" s="416"/>
      <c r="D5567" s="198" t="s">
        <v>38235</v>
      </c>
      <c r="E5567" s="198">
        <v>79</v>
      </c>
      <c r="F5567" s="199" t="s">
        <v>24931</v>
      </c>
      <c r="G5567" s="1" t="s">
        <v>38236</v>
      </c>
      <c r="H5567" s="200"/>
      <c r="I5567" s="351" t="s">
        <v>24931</v>
      </c>
      <c r="J5567" s="39">
        <v>102266</v>
      </c>
      <c r="K5567" s="36" t="str">
        <f>CONCATENATE(Cover!$D$6,"fdd/view?i=",J5567)</f>
        <v>https://www.dgiwg.org/FAD/fdd/view?i=102266</v>
      </c>
      <c r="L5567" s="36" t="s">
        <v>38237</v>
      </c>
      <c r="M5567" s="186"/>
      <c r="N5567" s="186"/>
      <c r="O5567" s="172"/>
    </row>
    <row r="5568" spans="1:15" x14ac:dyDescent="0.2">
      <c r="A5568" s="197" t="str">
        <f t="shared" si="86"/>
        <v>BetCode_heliport</v>
      </c>
      <c r="B5568" s="409"/>
      <c r="C5568" s="416"/>
      <c r="D5568" s="198" t="s">
        <v>24934</v>
      </c>
      <c r="E5568" s="198">
        <v>78</v>
      </c>
      <c r="F5568" s="199" t="s">
        <v>3482</v>
      </c>
      <c r="G5568" s="1" t="s">
        <v>38238</v>
      </c>
      <c r="H5568" s="200"/>
      <c r="I5568" s="351" t="s">
        <v>24936</v>
      </c>
      <c r="J5568" s="39">
        <v>102265</v>
      </c>
      <c r="K5568" s="36" t="str">
        <f>CONCATENATE(Cover!$D$6,"fdd/view?i=",J5568)</f>
        <v>https://www.dgiwg.org/FAD/fdd/view?i=102265</v>
      </c>
      <c r="L5568" s="36" t="s">
        <v>38239</v>
      </c>
      <c r="M5568" s="186"/>
      <c r="N5568" s="186"/>
      <c r="O5568" s="172"/>
    </row>
    <row r="5569" spans="1:15" ht="25.5" x14ac:dyDescent="0.2">
      <c r="A5569" s="197" t="str">
        <f t="shared" si="86"/>
        <v>BetCode_installation</v>
      </c>
      <c r="B5569" s="409"/>
      <c r="C5569" s="416"/>
      <c r="D5569" s="198" t="s">
        <v>24946</v>
      </c>
      <c r="E5569" s="198">
        <v>99</v>
      </c>
      <c r="F5569" s="199" t="s">
        <v>3669</v>
      </c>
      <c r="G5569" s="1" t="s">
        <v>38240</v>
      </c>
      <c r="H5569" s="1" t="s">
        <v>24948</v>
      </c>
      <c r="I5569" s="346"/>
      <c r="J5569" s="39">
        <v>102284</v>
      </c>
      <c r="K5569" s="36" t="str">
        <f>CONCATENATE(Cover!$D$6,"fdd/view?i=",J5569)</f>
        <v>https://www.dgiwg.org/FAD/fdd/view?i=102284</v>
      </c>
      <c r="L5569" s="36" t="s">
        <v>38241</v>
      </c>
      <c r="M5569" s="186"/>
      <c r="N5569" s="186"/>
      <c r="O5569" s="172"/>
    </row>
    <row r="5570" spans="1:15" ht="25.5" x14ac:dyDescent="0.2">
      <c r="A5570" s="197" t="str">
        <f t="shared" ref="A5570:A5633" si="87">HYPERLINK(K5570,L5570)</f>
        <v>BetCode_insubstantialNavMark</v>
      </c>
      <c r="B5570" s="409"/>
      <c r="C5570" s="416"/>
      <c r="D5570" s="198" t="s">
        <v>38242</v>
      </c>
      <c r="E5570" s="198">
        <v>107</v>
      </c>
      <c r="F5570" s="199" t="s">
        <v>3720</v>
      </c>
      <c r="G5570" s="1" t="s">
        <v>3721</v>
      </c>
      <c r="H5570" s="1" t="s">
        <v>3722</v>
      </c>
      <c r="I5570" s="346"/>
      <c r="J5570" s="39">
        <v>102290</v>
      </c>
      <c r="K5570" s="36" t="str">
        <f>CONCATENATE(Cover!$D$6,"fdd/view?i=",J5570)</f>
        <v>https://www.dgiwg.org/FAD/fdd/view?i=102290</v>
      </c>
      <c r="L5570" s="36" t="s">
        <v>38243</v>
      </c>
      <c r="M5570" s="186"/>
      <c r="N5570" s="186"/>
      <c r="O5570" s="172"/>
    </row>
    <row r="5571" spans="1:15" x14ac:dyDescent="0.2">
      <c r="A5571" s="197" t="str">
        <f t="shared" si="87"/>
        <v>BetCode_lateral</v>
      </c>
      <c r="B5571" s="409"/>
      <c r="C5571" s="416"/>
      <c r="D5571" s="198" t="s">
        <v>24970</v>
      </c>
      <c r="E5571" s="198">
        <v>5</v>
      </c>
      <c r="F5571" s="199" t="s">
        <v>24971</v>
      </c>
      <c r="G5571" s="1" t="s">
        <v>38244</v>
      </c>
      <c r="H5571" s="200"/>
      <c r="I5571" s="346"/>
      <c r="J5571" s="39">
        <v>102220</v>
      </c>
      <c r="K5571" s="36" t="str">
        <f>CONCATENATE(Cover!$D$6,"fdd/view?i=",J5571)</f>
        <v>https://www.dgiwg.org/FAD/fdd/view?i=102220</v>
      </c>
      <c r="L5571" s="36" t="s">
        <v>38245</v>
      </c>
      <c r="M5571" s="186"/>
      <c r="N5571" s="186"/>
      <c r="O5571" s="172"/>
    </row>
    <row r="5572" spans="1:15" ht="38.25" x14ac:dyDescent="0.2">
      <c r="A5572" s="197" t="str">
        <f t="shared" si="87"/>
        <v>BetCode_latticeBeacon</v>
      </c>
      <c r="B5572" s="409"/>
      <c r="C5572" s="416"/>
      <c r="D5572" s="198" t="s">
        <v>38156</v>
      </c>
      <c r="E5572" s="198">
        <v>110</v>
      </c>
      <c r="F5572" s="199" t="s">
        <v>38157</v>
      </c>
      <c r="G5572" s="1" t="s">
        <v>38158</v>
      </c>
      <c r="H5572" s="200"/>
      <c r="I5572" s="346"/>
      <c r="J5572" s="39">
        <v>102293</v>
      </c>
      <c r="K5572" s="36" t="str">
        <f>CONCATENATE(Cover!$D$6,"fdd/view?i=",J5572)</f>
        <v>https://www.dgiwg.org/FAD/fdd/view?i=102293</v>
      </c>
      <c r="L5572" s="36" t="s">
        <v>38246</v>
      </c>
      <c r="M5572" s="186"/>
      <c r="N5572" s="186"/>
      <c r="O5572" s="172"/>
    </row>
    <row r="5573" spans="1:15" ht="25.5" x14ac:dyDescent="0.2">
      <c r="A5573" s="197" t="str">
        <f t="shared" si="87"/>
        <v>BetCode_leadingLine</v>
      </c>
      <c r="B5573" s="409"/>
      <c r="C5573" s="416"/>
      <c r="D5573" s="198" t="s">
        <v>24973</v>
      </c>
      <c r="E5573" s="198">
        <v>53</v>
      </c>
      <c r="F5573" s="199" t="s">
        <v>3861</v>
      </c>
      <c r="G5573" s="1" t="s">
        <v>38247</v>
      </c>
      <c r="H5573" s="1" t="s">
        <v>24975</v>
      </c>
      <c r="I5573" s="351" t="s">
        <v>24976</v>
      </c>
      <c r="J5573" s="39">
        <v>102240</v>
      </c>
      <c r="K5573" s="36" t="str">
        <f>CONCATENATE(Cover!$D$6,"fdd/view?i=",J5573)</f>
        <v>https://www.dgiwg.org/FAD/fdd/view?i=102240</v>
      </c>
      <c r="L5573" s="36" t="s">
        <v>38248</v>
      </c>
      <c r="M5573" s="186"/>
      <c r="N5573" s="186"/>
      <c r="O5573" s="172"/>
    </row>
    <row r="5574" spans="1:15" ht="25.5" x14ac:dyDescent="0.2">
      <c r="A5574" s="197" t="str">
        <f t="shared" si="87"/>
        <v>BetCode_marineFarm</v>
      </c>
      <c r="B5574" s="409"/>
      <c r="C5574" s="416"/>
      <c r="D5574" s="198" t="s">
        <v>24982</v>
      </c>
      <c r="E5574" s="198">
        <v>113</v>
      </c>
      <c r="F5574" s="199" t="s">
        <v>24983</v>
      </c>
      <c r="G5574" s="1" t="s">
        <v>38249</v>
      </c>
      <c r="H5574" s="200"/>
      <c r="I5574" s="351" t="s">
        <v>24985</v>
      </c>
      <c r="J5574" s="39">
        <v>102296</v>
      </c>
      <c r="K5574" s="36" t="str">
        <f>CONCATENATE(Cover!$D$6,"fdd/view?i=",J5574)</f>
        <v>https://www.dgiwg.org/FAD/fdd/view?i=102296</v>
      </c>
      <c r="L5574" s="36" t="s">
        <v>38250</v>
      </c>
      <c r="M5574" s="186"/>
      <c r="N5574" s="186"/>
      <c r="O5574" s="172"/>
    </row>
    <row r="5575" spans="1:15" ht="25.5" x14ac:dyDescent="0.2">
      <c r="A5575" s="197" t="str">
        <f t="shared" si="87"/>
        <v>BetCode_markerShip</v>
      </c>
      <c r="B5575" s="409"/>
      <c r="C5575" s="416"/>
      <c r="D5575" s="198" t="s">
        <v>24987</v>
      </c>
      <c r="E5575" s="198">
        <v>46</v>
      </c>
      <c r="F5575" s="199" t="s">
        <v>24988</v>
      </c>
      <c r="G5575" s="1" t="s">
        <v>38251</v>
      </c>
      <c r="H5575" s="200"/>
      <c r="I5575" s="351" t="s">
        <v>24990</v>
      </c>
      <c r="J5575" s="39">
        <v>102233</v>
      </c>
      <c r="K5575" s="36" t="str">
        <f>CONCATENATE(Cover!$D$6,"fdd/view?i=",J5575)</f>
        <v>https://www.dgiwg.org/FAD/fdd/view?i=102233</v>
      </c>
      <c r="L5575" s="36" t="s">
        <v>38252</v>
      </c>
      <c r="M5575" s="186"/>
      <c r="N5575" s="186"/>
      <c r="O5575" s="172"/>
    </row>
    <row r="5576" spans="1:15" ht="38.25" x14ac:dyDescent="0.2">
      <c r="A5576" s="197" t="str">
        <f t="shared" si="87"/>
        <v>BetCode_maximumVesselsDraught</v>
      </c>
      <c r="B5576" s="409"/>
      <c r="C5576" s="416"/>
      <c r="D5576" s="198" t="s">
        <v>38253</v>
      </c>
      <c r="E5576" s="198">
        <v>65</v>
      </c>
      <c r="F5576" s="199" t="s">
        <v>38254</v>
      </c>
      <c r="G5576" s="1" t="s">
        <v>38255</v>
      </c>
      <c r="H5576" s="200"/>
      <c r="I5576" s="351" t="s">
        <v>24995</v>
      </c>
      <c r="J5576" s="39">
        <v>102252</v>
      </c>
      <c r="K5576" s="36" t="str">
        <f>CONCATENATE(Cover!$D$6,"fdd/view?i=",J5576)</f>
        <v>https://www.dgiwg.org/FAD/fdd/view?i=102252</v>
      </c>
      <c r="L5576" s="36" t="s">
        <v>38256</v>
      </c>
      <c r="M5576" s="186"/>
      <c r="N5576" s="186"/>
      <c r="O5576" s="172"/>
    </row>
    <row r="5577" spans="1:15" ht="25.5" x14ac:dyDescent="0.2">
      <c r="A5577" s="197" t="str">
        <f t="shared" si="87"/>
        <v>BetCode_measuredDistance</v>
      </c>
      <c r="B5577" s="409"/>
      <c r="C5577" s="416"/>
      <c r="D5577" s="198" t="s">
        <v>24997</v>
      </c>
      <c r="E5577" s="198">
        <v>54</v>
      </c>
      <c r="F5577" s="199" t="s">
        <v>24998</v>
      </c>
      <c r="G5577" s="1" t="s">
        <v>38257</v>
      </c>
      <c r="H5577" s="200"/>
      <c r="I5577" s="351" t="s">
        <v>25000</v>
      </c>
      <c r="J5577" s="39">
        <v>102241</v>
      </c>
      <c r="K5577" s="36" t="str">
        <f>CONCATENATE(Cover!$D$6,"fdd/view?i=",J5577)</f>
        <v>https://www.dgiwg.org/FAD/fdd/view?i=102241</v>
      </c>
      <c r="L5577" s="36" t="s">
        <v>38258</v>
      </c>
      <c r="M5577" s="186"/>
      <c r="N5577" s="186"/>
      <c r="O5577" s="172"/>
    </row>
    <row r="5578" spans="1:15" x14ac:dyDescent="0.2">
      <c r="A5578" s="197" t="str">
        <f t="shared" si="87"/>
        <v>BetCode_mooring</v>
      </c>
      <c r="B5578" s="409"/>
      <c r="C5578" s="416"/>
      <c r="D5578" s="198" t="s">
        <v>24016</v>
      </c>
      <c r="E5578" s="198">
        <v>7</v>
      </c>
      <c r="F5578" s="199" t="s">
        <v>24017</v>
      </c>
      <c r="G5578" s="1" t="s">
        <v>38259</v>
      </c>
      <c r="H5578" s="200"/>
      <c r="I5578" s="351" t="s">
        <v>25007</v>
      </c>
      <c r="J5578" s="39">
        <v>102221</v>
      </c>
      <c r="K5578" s="36" t="str">
        <f>CONCATENATE(Cover!$D$6,"fdd/view?i=",J5578)</f>
        <v>https://www.dgiwg.org/FAD/fdd/view?i=102221</v>
      </c>
      <c r="L5578" s="36" t="s">
        <v>38260</v>
      </c>
      <c r="M5578" s="186"/>
      <c r="N5578" s="186"/>
      <c r="O5578" s="172"/>
    </row>
    <row r="5579" spans="1:15" ht="38.25" x14ac:dyDescent="0.2">
      <c r="A5579" s="197" t="str">
        <f t="shared" si="87"/>
        <v>BetCode_northCardinal</v>
      </c>
      <c r="B5579" s="409"/>
      <c r="C5579" s="416"/>
      <c r="D5579" s="198" t="s">
        <v>25013</v>
      </c>
      <c r="E5579" s="198">
        <v>98</v>
      </c>
      <c r="F5579" s="199" t="s">
        <v>25014</v>
      </c>
      <c r="G5579" s="1" t="s">
        <v>38261</v>
      </c>
      <c r="H5579" s="200"/>
      <c r="I5579" s="351" t="s">
        <v>25016</v>
      </c>
      <c r="J5579" s="39">
        <v>102283</v>
      </c>
      <c r="K5579" s="36" t="str">
        <f>CONCATENATE(Cover!$D$6,"fdd/view?i=",J5579)</f>
        <v>https://www.dgiwg.org/FAD/fdd/view?i=102283</v>
      </c>
      <c r="L5579" s="36" t="s">
        <v>38262</v>
      </c>
      <c r="M5579" s="186"/>
      <c r="N5579" s="186"/>
      <c r="O5579" s="172"/>
    </row>
    <row r="5580" spans="1:15" x14ac:dyDescent="0.2">
      <c r="A5580" s="197" t="str">
        <f t="shared" si="87"/>
        <v>BetCode_notice</v>
      </c>
      <c r="B5580" s="409"/>
      <c r="C5580" s="416"/>
      <c r="D5580" s="198" t="s">
        <v>25018</v>
      </c>
      <c r="E5580" s="198">
        <v>116</v>
      </c>
      <c r="F5580" s="199" t="s">
        <v>25019</v>
      </c>
      <c r="G5580" s="1" t="s">
        <v>38263</v>
      </c>
      <c r="H5580" s="200"/>
      <c r="I5580" s="351" t="s">
        <v>25021</v>
      </c>
      <c r="J5580" s="39">
        <v>102299</v>
      </c>
      <c r="K5580" s="36" t="str">
        <f>CONCATENATE(Cover!$D$6,"fdd/view?i=",J5580)</f>
        <v>https://www.dgiwg.org/FAD/fdd/view?i=102299</v>
      </c>
      <c r="L5580" s="36" t="s">
        <v>38264</v>
      </c>
      <c r="M5580" s="186"/>
      <c r="N5580" s="186"/>
      <c r="O5580" s="172"/>
    </row>
    <row r="5581" spans="1:15" ht="76.5" x14ac:dyDescent="0.2">
      <c r="A5581" s="197" t="str">
        <f t="shared" si="87"/>
        <v>BetCode_oceanDataAcqSystemBuoy</v>
      </c>
      <c r="B5581" s="409"/>
      <c r="C5581" s="416"/>
      <c r="D5581" s="198" t="s">
        <v>38265</v>
      </c>
      <c r="E5581" s="198">
        <v>10</v>
      </c>
      <c r="F5581" s="199" t="s">
        <v>25026</v>
      </c>
      <c r="G5581" s="1" t="s">
        <v>38266</v>
      </c>
      <c r="H5581" s="1" t="s">
        <v>38267</v>
      </c>
      <c r="I5581" s="346"/>
      <c r="J5581" s="39">
        <v>102222</v>
      </c>
      <c r="K5581" s="36" t="str">
        <f>CONCATENATE(Cover!$D$6,"fdd/view?i=",J5581)</f>
        <v>https://www.dgiwg.org/FAD/fdd/view?i=102222</v>
      </c>
      <c r="L5581" s="36" t="s">
        <v>38268</v>
      </c>
      <c r="M5581" s="186"/>
      <c r="N5581" s="186"/>
      <c r="O5581" s="172"/>
    </row>
    <row r="5582" spans="1:15" ht="25.5" x14ac:dyDescent="0.2">
      <c r="A5582" s="197" t="str">
        <f t="shared" si="87"/>
        <v>BetCode_outfall</v>
      </c>
      <c r="B5582" s="409"/>
      <c r="C5582" s="416"/>
      <c r="D5582" s="198" t="s">
        <v>25030</v>
      </c>
      <c r="E5582" s="198">
        <v>50</v>
      </c>
      <c r="F5582" s="199" t="s">
        <v>25031</v>
      </c>
      <c r="G5582" s="1" t="s">
        <v>38269</v>
      </c>
      <c r="H5582" s="200"/>
      <c r="I5582" s="351" t="s">
        <v>25033</v>
      </c>
      <c r="J5582" s="39">
        <v>102237</v>
      </c>
      <c r="K5582" s="36" t="str">
        <f>CONCATENATE(Cover!$D$6,"fdd/view?i=",J5582)</f>
        <v>https://www.dgiwg.org/FAD/fdd/view?i=102237</v>
      </c>
      <c r="L5582" s="36" t="s">
        <v>38270</v>
      </c>
      <c r="M5582" s="186"/>
      <c r="N5582" s="186"/>
      <c r="O5582" s="172"/>
    </row>
    <row r="5583" spans="1:15" ht="25.5" x14ac:dyDescent="0.2">
      <c r="A5583" s="197" t="str">
        <f t="shared" si="87"/>
        <v>BetCode_overheadPowerCable</v>
      </c>
      <c r="B5583" s="409"/>
      <c r="C5583" s="416"/>
      <c r="D5583" s="198" t="s">
        <v>25035</v>
      </c>
      <c r="E5583" s="198">
        <v>69</v>
      </c>
      <c r="F5583" s="199" t="s">
        <v>25036</v>
      </c>
      <c r="G5583" s="1" t="s">
        <v>38271</v>
      </c>
      <c r="H5583" s="200"/>
      <c r="I5583" s="351" t="s">
        <v>25038</v>
      </c>
      <c r="J5583" s="39">
        <v>102256</v>
      </c>
      <c r="K5583" s="36" t="str">
        <f>CONCATENATE(Cover!$D$6,"fdd/view?i=",J5583)</f>
        <v>https://www.dgiwg.org/FAD/fdd/view?i=102256</v>
      </c>
      <c r="L5583" s="36" t="s">
        <v>38272</v>
      </c>
      <c r="M5583" s="186"/>
      <c r="N5583" s="186"/>
      <c r="O5583" s="172"/>
    </row>
    <row r="5584" spans="1:15" ht="25.5" x14ac:dyDescent="0.2">
      <c r="A5584" s="197" t="str">
        <f t="shared" si="87"/>
        <v>BetCode_overtakingProhib</v>
      </c>
      <c r="B5584" s="409"/>
      <c r="C5584" s="416"/>
      <c r="D5584" s="198" t="s">
        <v>38273</v>
      </c>
      <c r="E5584" s="198">
        <v>58</v>
      </c>
      <c r="F5584" s="199" t="s">
        <v>25041</v>
      </c>
      <c r="G5584" s="1" t="s">
        <v>38274</v>
      </c>
      <c r="H5584" s="200"/>
      <c r="I5584" s="351" t="s">
        <v>25043</v>
      </c>
      <c r="J5584" s="39">
        <v>102245</v>
      </c>
      <c r="K5584" s="36" t="str">
        <f>CONCATENATE(Cover!$D$6,"fdd/view?i=",J5584)</f>
        <v>https://www.dgiwg.org/FAD/fdd/view?i=102245</v>
      </c>
      <c r="L5584" s="36" t="s">
        <v>38275</v>
      </c>
      <c r="M5584" s="186"/>
      <c r="N5584" s="186"/>
      <c r="O5584" s="172"/>
    </row>
    <row r="5585" spans="1:15" ht="38.25" x14ac:dyDescent="0.2">
      <c r="A5585" s="197" t="str">
        <f t="shared" si="87"/>
        <v>BetCode_pileBeacon</v>
      </c>
      <c r="B5585" s="409"/>
      <c r="C5585" s="416"/>
      <c r="D5585" s="198" t="s">
        <v>38160</v>
      </c>
      <c r="E5585" s="198">
        <v>41</v>
      </c>
      <c r="F5585" s="199" t="s">
        <v>38161</v>
      </c>
      <c r="G5585" s="1" t="s">
        <v>38162</v>
      </c>
      <c r="H5585" s="1" t="s">
        <v>38163</v>
      </c>
      <c r="I5585" s="346"/>
      <c r="J5585" s="39">
        <v>102228</v>
      </c>
      <c r="K5585" s="36" t="str">
        <f>CONCATENATE(Cover!$D$6,"fdd/view?i=",J5585)</f>
        <v>https://www.dgiwg.org/FAD/fdd/view?i=102228</v>
      </c>
      <c r="L5585" s="36" t="s">
        <v>38276</v>
      </c>
      <c r="M5585" s="186"/>
      <c r="N5585" s="186"/>
      <c r="O5585" s="172"/>
    </row>
    <row r="5586" spans="1:15" ht="25.5" x14ac:dyDescent="0.2">
      <c r="A5586" s="197" t="str">
        <f t="shared" si="87"/>
        <v>BetCode_pipeline</v>
      </c>
      <c r="B5586" s="409"/>
      <c r="C5586" s="416"/>
      <c r="D5586" s="198" t="s">
        <v>25045</v>
      </c>
      <c r="E5586" s="198">
        <v>73</v>
      </c>
      <c r="F5586" s="199" t="s">
        <v>4440</v>
      </c>
      <c r="G5586" s="1" t="s">
        <v>38277</v>
      </c>
      <c r="H5586" s="200"/>
      <c r="I5586" s="351" t="s">
        <v>25047</v>
      </c>
      <c r="J5586" s="39">
        <v>102260</v>
      </c>
      <c r="K5586" s="36" t="str">
        <f>CONCATENATE(Cover!$D$6,"fdd/view?i=",J5586)</f>
        <v>https://www.dgiwg.org/FAD/fdd/view?i=102260</v>
      </c>
      <c r="L5586" s="36" t="s">
        <v>38278</v>
      </c>
      <c r="M5586" s="186"/>
      <c r="N5586" s="186"/>
      <c r="O5586" s="172"/>
    </row>
    <row r="5587" spans="1:15" ht="38.25" x14ac:dyDescent="0.2">
      <c r="A5587" s="197" t="str">
        <f t="shared" si="87"/>
        <v>BetCode_portHandEdge</v>
      </c>
      <c r="B5587" s="409"/>
      <c r="C5587" s="416"/>
      <c r="D5587" s="198" t="s">
        <v>25049</v>
      </c>
      <c r="E5587" s="198">
        <v>94</v>
      </c>
      <c r="F5587" s="199" t="s">
        <v>25050</v>
      </c>
      <c r="G5587" s="1" t="s">
        <v>38279</v>
      </c>
      <c r="H5587" s="1" t="s">
        <v>25052</v>
      </c>
      <c r="I5587" s="351" t="s">
        <v>25053</v>
      </c>
      <c r="J5587" s="39">
        <v>102279</v>
      </c>
      <c r="K5587" s="36" t="str">
        <f>CONCATENATE(Cover!$D$6,"fdd/view?i=",J5587)</f>
        <v>https://www.dgiwg.org/FAD/fdd/view?i=102279</v>
      </c>
      <c r="L5587" s="36" t="s">
        <v>38280</v>
      </c>
      <c r="M5587" s="186"/>
      <c r="N5587" s="186"/>
      <c r="O5587" s="172"/>
    </row>
    <row r="5588" spans="1:15" ht="38.25" x14ac:dyDescent="0.2">
      <c r="A5588" s="197" t="str">
        <f t="shared" si="87"/>
        <v>BetCode_preferredChannelPort</v>
      </c>
      <c r="B5588" s="409"/>
      <c r="C5588" s="416"/>
      <c r="D5588" s="198" t="s">
        <v>25055</v>
      </c>
      <c r="E5588" s="198">
        <v>91</v>
      </c>
      <c r="F5588" s="199" t="s">
        <v>25056</v>
      </c>
      <c r="G5588" s="1" t="s">
        <v>38281</v>
      </c>
      <c r="H5588" s="200"/>
      <c r="I5588" s="351" t="s">
        <v>25058</v>
      </c>
      <c r="J5588" s="39">
        <v>102276</v>
      </c>
      <c r="K5588" s="36" t="str">
        <f>CONCATENATE(Cover!$D$6,"fdd/view?i=",J5588)</f>
        <v>https://www.dgiwg.org/FAD/fdd/view?i=102276</v>
      </c>
      <c r="L5588" s="36" t="s">
        <v>38282</v>
      </c>
      <c r="M5588" s="186"/>
      <c r="N5588" s="186"/>
      <c r="O5588" s="172"/>
    </row>
    <row r="5589" spans="1:15" ht="51" x14ac:dyDescent="0.2">
      <c r="A5589" s="197" t="str">
        <f t="shared" si="87"/>
        <v>BetCode_preferredChannelStarboard</v>
      </c>
      <c r="B5589" s="409"/>
      <c r="C5589" s="416"/>
      <c r="D5589" s="198" t="s">
        <v>25060</v>
      </c>
      <c r="E5589" s="198">
        <v>92</v>
      </c>
      <c r="F5589" s="199" t="s">
        <v>25061</v>
      </c>
      <c r="G5589" s="1" t="s">
        <v>38283</v>
      </c>
      <c r="H5589" s="200"/>
      <c r="I5589" s="351" t="s">
        <v>25063</v>
      </c>
      <c r="J5589" s="39">
        <v>102277</v>
      </c>
      <c r="K5589" s="36" t="str">
        <f>CONCATENATE(Cover!$D$6,"fdd/view?i=",J5589)</f>
        <v>https://www.dgiwg.org/FAD/fdd/view?i=102277</v>
      </c>
      <c r="L5589" s="36" t="s">
        <v>38284</v>
      </c>
      <c r="M5589" s="186"/>
      <c r="N5589" s="186"/>
      <c r="O5589" s="172"/>
    </row>
    <row r="5590" spans="1:15" x14ac:dyDescent="0.2">
      <c r="A5590" s="197" t="str">
        <f t="shared" si="87"/>
        <v>BetCode_private</v>
      </c>
      <c r="B5590" s="409"/>
      <c r="C5590" s="416"/>
      <c r="D5590" s="198" t="s">
        <v>20069</v>
      </c>
      <c r="E5590" s="198">
        <v>86</v>
      </c>
      <c r="F5590" s="199" t="s">
        <v>20070</v>
      </c>
      <c r="G5590" s="1" t="s">
        <v>38285</v>
      </c>
      <c r="H5590" s="200"/>
      <c r="I5590" s="351" t="s">
        <v>25066</v>
      </c>
      <c r="J5590" s="39">
        <v>102271</v>
      </c>
      <c r="K5590" s="36" t="str">
        <f>CONCATENATE(Cover!$D$6,"fdd/view?i=",J5590)</f>
        <v>https://www.dgiwg.org/FAD/fdd/view?i=102271</v>
      </c>
      <c r="L5590" s="36" t="s">
        <v>38286</v>
      </c>
      <c r="M5590" s="186"/>
      <c r="N5590" s="186"/>
      <c r="O5590" s="172"/>
    </row>
    <row r="5591" spans="1:15" ht="38.25" x14ac:dyDescent="0.2">
      <c r="A5591" s="197" t="str">
        <f t="shared" si="87"/>
        <v>BetCode_radarTransponder</v>
      </c>
      <c r="B5591" s="409"/>
      <c r="C5591" s="416"/>
      <c r="D5591" s="198" t="s">
        <v>38287</v>
      </c>
      <c r="E5591" s="198">
        <v>40</v>
      </c>
      <c r="F5591" s="199" t="s">
        <v>38288</v>
      </c>
      <c r="G5591" s="1" t="s">
        <v>38289</v>
      </c>
      <c r="H5591" s="200"/>
      <c r="I5591" s="351" t="s">
        <v>38290</v>
      </c>
      <c r="J5591" s="39">
        <v>102227</v>
      </c>
      <c r="K5591" s="36" t="str">
        <f>CONCATENATE(Cover!$D$6,"fdd/view?i=",J5591)</f>
        <v>https://www.dgiwg.org/FAD/fdd/view?i=102227</v>
      </c>
      <c r="L5591" s="36" t="s">
        <v>38291</v>
      </c>
      <c r="M5591" s="186"/>
      <c r="N5591" s="186"/>
      <c r="O5591" s="172"/>
    </row>
    <row r="5592" spans="1:15" x14ac:dyDescent="0.2">
      <c r="A5592" s="197" t="str">
        <f t="shared" si="87"/>
        <v>BetCode_recording</v>
      </c>
      <c r="B5592" s="409"/>
      <c r="C5592" s="416"/>
      <c r="D5592" s="198" t="s">
        <v>25076</v>
      </c>
      <c r="E5592" s="198">
        <v>51</v>
      </c>
      <c r="F5592" s="199" t="s">
        <v>25077</v>
      </c>
      <c r="G5592" s="1" t="s">
        <v>38292</v>
      </c>
      <c r="H5592" s="200"/>
      <c r="I5592" s="351" t="s">
        <v>25079</v>
      </c>
      <c r="J5592" s="39">
        <v>102238</v>
      </c>
      <c r="K5592" s="36" t="str">
        <f>CONCATENATE(Cover!$D$6,"fdd/view?i=",J5592)</f>
        <v>https://www.dgiwg.org/FAD/fdd/view?i=102238</v>
      </c>
      <c r="L5592" s="36" t="s">
        <v>38293</v>
      </c>
      <c r="M5592" s="186"/>
      <c r="N5592" s="186"/>
      <c r="O5592" s="172"/>
    </row>
    <row r="5593" spans="1:15" ht="25.5" x14ac:dyDescent="0.2">
      <c r="A5593" s="197" t="str">
        <f t="shared" si="87"/>
        <v>BetCode_recreationZone</v>
      </c>
      <c r="B5593" s="409"/>
      <c r="C5593" s="416"/>
      <c r="D5593" s="198" t="s">
        <v>25081</v>
      </c>
      <c r="E5593" s="198">
        <v>52</v>
      </c>
      <c r="F5593" s="199" t="s">
        <v>25082</v>
      </c>
      <c r="G5593" s="1" t="s">
        <v>38294</v>
      </c>
      <c r="H5593" s="200"/>
      <c r="I5593" s="351" t="s">
        <v>25084</v>
      </c>
      <c r="J5593" s="39">
        <v>102239</v>
      </c>
      <c r="K5593" s="36" t="str">
        <f>CONCATENATE(Cover!$D$6,"fdd/view?i=",J5593)</f>
        <v>https://www.dgiwg.org/FAD/fdd/view?i=102239</v>
      </c>
      <c r="L5593" s="36" t="s">
        <v>38295</v>
      </c>
      <c r="M5593" s="186"/>
      <c r="N5593" s="186"/>
      <c r="O5593" s="172"/>
    </row>
    <row r="5594" spans="1:15" ht="51" x14ac:dyDescent="0.2">
      <c r="A5594" s="197" t="str">
        <f t="shared" si="87"/>
        <v>BetCode_rectangleDaybeacon</v>
      </c>
      <c r="B5594" s="409"/>
      <c r="C5594" s="416"/>
      <c r="D5594" s="198" t="s">
        <v>38296</v>
      </c>
      <c r="E5594" s="198">
        <v>106</v>
      </c>
      <c r="F5594" s="199" t="s">
        <v>38297</v>
      </c>
      <c r="G5594" s="1" t="s">
        <v>38298</v>
      </c>
      <c r="H5594" s="200"/>
      <c r="I5594" s="351" t="s">
        <v>38299</v>
      </c>
      <c r="J5594" s="39">
        <v>102289</v>
      </c>
      <c r="K5594" s="36" t="str">
        <f>CONCATENATE(Cover!$D$6,"fdd/view?i=",J5594)</f>
        <v>https://www.dgiwg.org/FAD/fdd/view?i=102289</v>
      </c>
      <c r="L5594" s="36" t="s">
        <v>38300</v>
      </c>
      <c r="M5594" s="186"/>
      <c r="N5594" s="186"/>
      <c r="O5594" s="172"/>
    </row>
    <row r="5595" spans="1:15" ht="25.5" x14ac:dyDescent="0.2">
      <c r="A5595" s="197" t="str">
        <f t="shared" si="87"/>
        <v>BetCode_reducedWake</v>
      </c>
      <c r="B5595" s="409"/>
      <c r="C5595" s="416"/>
      <c r="D5595" s="198" t="s">
        <v>25086</v>
      </c>
      <c r="E5595" s="198">
        <v>60</v>
      </c>
      <c r="F5595" s="199" t="s">
        <v>25087</v>
      </c>
      <c r="G5595" s="1" t="s">
        <v>38301</v>
      </c>
      <c r="H5595" s="200"/>
      <c r="I5595" s="354" t="s">
        <v>25089</v>
      </c>
      <c r="J5595" s="39">
        <v>102247</v>
      </c>
      <c r="K5595" s="36" t="str">
        <f>CONCATENATE(Cover!$D$6,"fdd/view?i=",J5595)</f>
        <v>https://www.dgiwg.org/FAD/fdd/view?i=102247</v>
      </c>
      <c r="L5595" s="36" t="s">
        <v>38302</v>
      </c>
      <c r="M5595" s="186"/>
      <c r="N5595" s="186"/>
      <c r="O5595" s="172"/>
    </row>
    <row r="5596" spans="1:15" x14ac:dyDescent="0.2">
      <c r="A5596" s="197" t="str">
        <f t="shared" si="87"/>
        <v>BetCode_refuge</v>
      </c>
      <c r="B5596" s="409"/>
      <c r="C5596" s="416"/>
      <c r="D5596" s="198" t="s">
        <v>25091</v>
      </c>
      <c r="E5596" s="198">
        <v>75</v>
      </c>
      <c r="F5596" s="199" t="s">
        <v>25092</v>
      </c>
      <c r="G5596" s="1" t="s">
        <v>38303</v>
      </c>
      <c r="H5596" s="200"/>
      <c r="I5596" s="351" t="s">
        <v>25094</v>
      </c>
      <c r="J5596" s="39">
        <v>102262</v>
      </c>
      <c r="K5596" s="36" t="str">
        <f>CONCATENATE(Cover!$D$6,"fdd/view?i=",J5596)</f>
        <v>https://www.dgiwg.org/FAD/fdd/view?i=102262</v>
      </c>
      <c r="L5596" s="36" t="s">
        <v>38304</v>
      </c>
      <c r="M5596" s="186"/>
      <c r="N5596" s="186"/>
      <c r="O5596" s="172"/>
    </row>
    <row r="5597" spans="1:15" ht="38.25" x14ac:dyDescent="0.2">
      <c r="A5597" s="197" t="str">
        <f t="shared" si="87"/>
        <v>BetCode_restrictedHorizClear</v>
      </c>
      <c r="B5597" s="409"/>
      <c r="C5597" s="416"/>
      <c r="D5597" s="198" t="s">
        <v>38305</v>
      </c>
      <c r="E5597" s="198">
        <v>66</v>
      </c>
      <c r="F5597" s="199" t="s">
        <v>12197</v>
      </c>
      <c r="G5597" s="1" t="s">
        <v>38306</v>
      </c>
      <c r="H5597" s="200"/>
      <c r="I5597" s="351" t="s">
        <v>25098</v>
      </c>
      <c r="J5597" s="39">
        <v>102253</v>
      </c>
      <c r="K5597" s="36" t="str">
        <f>CONCATENATE(Cover!$D$6,"fdd/view?i=",J5597)</f>
        <v>https://www.dgiwg.org/FAD/fdd/view?i=102253</v>
      </c>
      <c r="L5597" s="36" t="s">
        <v>38307</v>
      </c>
      <c r="M5597" s="186"/>
      <c r="N5597" s="186"/>
      <c r="O5597" s="172"/>
    </row>
    <row r="5598" spans="1:15" ht="38.25" x14ac:dyDescent="0.2">
      <c r="A5598" s="197" t="str">
        <f t="shared" si="87"/>
        <v>BetCode_restrictedVerClear</v>
      </c>
      <c r="B5598" s="409"/>
      <c r="C5598" s="416"/>
      <c r="D5598" s="198" t="s">
        <v>38308</v>
      </c>
      <c r="E5598" s="198">
        <v>64</v>
      </c>
      <c r="F5598" s="199" t="s">
        <v>25101</v>
      </c>
      <c r="G5598" s="1" t="s">
        <v>38309</v>
      </c>
      <c r="H5598" s="200"/>
      <c r="I5598" s="351" t="s">
        <v>25103</v>
      </c>
      <c r="J5598" s="39">
        <v>102251</v>
      </c>
      <c r="K5598" s="36" t="str">
        <f>CONCATENATE(Cover!$D$6,"fdd/view?i=",J5598)</f>
        <v>https://www.dgiwg.org/FAD/fdd/view?i=102251</v>
      </c>
      <c r="L5598" s="36" t="s">
        <v>38310</v>
      </c>
      <c r="M5598" s="186"/>
      <c r="N5598" s="186"/>
      <c r="O5598" s="172"/>
    </row>
    <row r="5599" spans="1:15" ht="25.5" x14ac:dyDescent="0.2">
      <c r="A5599" s="197" t="str">
        <f t="shared" si="87"/>
        <v>BetCode_seaplaneLanding</v>
      </c>
      <c r="B5599" s="409"/>
      <c r="C5599" s="416"/>
      <c r="D5599" s="198" t="s">
        <v>25110</v>
      </c>
      <c r="E5599" s="198">
        <v>80</v>
      </c>
      <c r="F5599" s="199" t="s">
        <v>25111</v>
      </c>
      <c r="G5599" s="1" t="s">
        <v>38311</v>
      </c>
      <c r="H5599" s="200"/>
      <c r="I5599" s="351" t="s">
        <v>25113</v>
      </c>
      <c r="J5599" s="39">
        <v>102267</v>
      </c>
      <c r="K5599" s="36" t="str">
        <f>CONCATENATE(Cover!$D$6,"fdd/view?i=",J5599)</f>
        <v>https://www.dgiwg.org/FAD/fdd/view?i=102267</v>
      </c>
      <c r="L5599" s="36" t="s">
        <v>38312</v>
      </c>
      <c r="M5599" s="186"/>
      <c r="N5599" s="186"/>
      <c r="O5599" s="172"/>
    </row>
    <row r="5600" spans="1:15" ht="25.5" x14ac:dyDescent="0.2">
      <c r="A5600" s="197" t="str">
        <f t="shared" si="87"/>
        <v>BetCode_soundShipsSiren</v>
      </c>
      <c r="B5600" s="409"/>
      <c r="C5600" s="416"/>
      <c r="D5600" s="198" t="s">
        <v>25115</v>
      </c>
      <c r="E5600" s="198">
        <v>63</v>
      </c>
      <c r="F5600" s="199" t="s">
        <v>25116</v>
      </c>
      <c r="G5600" s="1" t="s">
        <v>38313</v>
      </c>
      <c r="H5600" s="200"/>
      <c r="I5600" s="354" t="s">
        <v>25118</v>
      </c>
      <c r="J5600" s="39">
        <v>102250</v>
      </c>
      <c r="K5600" s="36" t="str">
        <f>CONCATENATE(Cover!$D$6,"fdd/view?i=",J5600)</f>
        <v>https://www.dgiwg.org/FAD/fdd/view?i=102250</v>
      </c>
      <c r="L5600" s="36" t="s">
        <v>38314</v>
      </c>
      <c r="M5600" s="186"/>
      <c r="N5600" s="186"/>
      <c r="O5600" s="172"/>
    </row>
    <row r="5601" spans="1:15" ht="38.25" x14ac:dyDescent="0.2">
      <c r="A5601" s="197" t="str">
        <f t="shared" si="87"/>
        <v>BetCode_southCardinal</v>
      </c>
      <c r="B5601" s="409"/>
      <c r="C5601" s="416"/>
      <c r="D5601" s="198" t="s">
        <v>25120</v>
      </c>
      <c r="E5601" s="198">
        <v>96</v>
      </c>
      <c r="F5601" s="199" t="s">
        <v>25121</v>
      </c>
      <c r="G5601" s="1" t="s">
        <v>38315</v>
      </c>
      <c r="H5601" s="200"/>
      <c r="I5601" s="351" t="s">
        <v>25123</v>
      </c>
      <c r="J5601" s="39">
        <v>102281</v>
      </c>
      <c r="K5601" s="36" t="str">
        <f>CONCATENATE(Cover!$D$6,"fdd/view?i=",J5601)</f>
        <v>https://www.dgiwg.org/FAD/fdd/view?i=102281</v>
      </c>
      <c r="L5601" s="36" t="s">
        <v>38316</v>
      </c>
      <c r="M5601" s="186"/>
      <c r="N5601" s="186"/>
      <c r="O5601" s="172"/>
    </row>
    <row r="5602" spans="1:15" ht="38.25" x14ac:dyDescent="0.2">
      <c r="A5602" s="197" t="str">
        <f t="shared" si="87"/>
        <v>BetCode_special</v>
      </c>
      <c r="B5602" s="409"/>
      <c r="C5602" s="416"/>
      <c r="D5602" s="198" t="s">
        <v>25125</v>
      </c>
      <c r="E5602" s="198">
        <v>115</v>
      </c>
      <c r="F5602" s="199" t="s">
        <v>25126</v>
      </c>
      <c r="G5602" s="1" t="s">
        <v>38317</v>
      </c>
      <c r="H5602" s="200"/>
      <c r="I5602" s="351" t="s">
        <v>25128</v>
      </c>
      <c r="J5602" s="39">
        <v>102298</v>
      </c>
      <c r="K5602" s="36" t="str">
        <f>CONCATENATE(Cover!$D$6,"fdd/view?i=",J5602)</f>
        <v>https://www.dgiwg.org/FAD/fdd/view?i=102298</v>
      </c>
      <c r="L5602" s="36" t="s">
        <v>38318</v>
      </c>
      <c r="M5602" s="186"/>
      <c r="N5602" s="186"/>
      <c r="O5602" s="172"/>
    </row>
    <row r="5603" spans="1:15" ht="25.5" x14ac:dyDescent="0.2">
      <c r="A5603" s="197" t="str">
        <f t="shared" si="87"/>
        <v>BetCode_speedLimit</v>
      </c>
      <c r="B5603" s="409"/>
      <c r="C5603" s="416"/>
      <c r="D5603" s="198" t="s">
        <v>25130</v>
      </c>
      <c r="E5603" s="198">
        <v>61</v>
      </c>
      <c r="F5603" s="199" t="s">
        <v>25131</v>
      </c>
      <c r="G5603" s="1" t="s">
        <v>38319</v>
      </c>
      <c r="H5603" s="200"/>
      <c r="I5603" s="351" t="s">
        <v>25133</v>
      </c>
      <c r="J5603" s="39">
        <v>102248</v>
      </c>
      <c r="K5603" s="36" t="str">
        <f>CONCATENATE(Cover!$D$6,"fdd/view?i=",J5603)</f>
        <v>https://www.dgiwg.org/FAD/fdd/view?i=102248</v>
      </c>
      <c r="L5603" s="36" t="s">
        <v>38320</v>
      </c>
      <c r="M5603" s="186"/>
      <c r="N5603" s="186"/>
      <c r="O5603" s="172"/>
    </row>
    <row r="5604" spans="1:15" ht="25.5" x14ac:dyDescent="0.2">
      <c r="A5604" s="197" t="str">
        <f t="shared" si="87"/>
        <v>BetCode_spoilGround</v>
      </c>
      <c r="B5604" s="409"/>
      <c r="C5604" s="416"/>
      <c r="D5604" s="198" t="s">
        <v>25135</v>
      </c>
      <c r="E5604" s="198">
        <v>34</v>
      </c>
      <c r="F5604" s="199" t="s">
        <v>25136</v>
      </c>
      <c r="G5604" s="1" t="s">
        <v>38321</v>
      </c>
      <c r="H5604" s="200"/>
      <c r="I5604" s="351" t="s">
        <v>25138</v>
      </c>
      <c r="J5604" s="39">
        <v>102224</v>
      </c>
      <c r="K5604" s="36" t="str">
        <f>CONCATENATE(Cover!$D$6,"fdd/view?i=",J5604)</f>
        <v>https://www.dgiwg.org/FAD/fdd/view?i=102224</v>
      </c>
      <c r="L5604" s="36" t="s">
        <v>38322</v>
      </c>
      <c r="M5604" s="186"/>
      <c r="N5604" s="186"/>
      <c r="O5604" s="172"/>
    </row>
    <row r="5605" spans="1:15" ht="51" x14ac:dyDescent="0.2">
      <c r="A5605" s="197" t="str">
        <f t="shared" si="87"/>
        <v>BetCode_squareDaybeacon</v>
      </c>
      <c r="B5605" s="409"/>
      <c r="C5605" s="416"/>
      <c r="D5605" s="198" t="s">
        <v>38323</v>
      </c>
      <c r="E5605" s="198">
        <v>120</v>
      </c>
      <c r="F5605" s="199" t="s">
        <v>38324</v>
      </c>
      <c r="G5605" s="1" t="s">
        <v>38325</v>
      </c>
      <c r="H5605" s="200"/>
      <c r="I5605" s="351" t="s">
        <v>38326</v>
      </c>
      <c r="J5605" s="39">
        <v>110058</v>
      </c>
      <c r="K5605" s="36" t="str">
        <f>CONCATENATE(Cover!$D$6,"fdd/view?i=",J5605)</f>
        <v>https://www.dgiwg.org/FAD/fdd/view?i=110058</v>
      </c>
      <c r="L5605" s="36" t="s">
        <v>38327</v>
      </c>
      <c r="M5605" s="186"/>
      <c r="N5605" s="186"/>
      <c r="O5605" s="172"/>
    </row>
    <row r="5606" spans="1:15" ht="38.25" x14ac:dyDescent="0.2">
      <c r="A5606" s="197" t="str">
        <f t="shared" si="87"/>
        <v>BetCode_starboardHandEdge</v>
      </c>
      <c r="B5606" s="409"/>
      <c r="C5606" s="416"/>
      <c r="D5606" s="198" t="s">
        <v>25140</v>
      </c>
      <c r="E5606" s="198">
        <v>93</v>
      </c>
      <c r="F5606" s="199" t="s">
        <v>25141</v>
      </c>
      <c r="G5606" s="1" t="s">
        <v>38328</v>
      </c>
      <c r="H5606" s="1" t="s">
        <v>25052</v>
      </c>
      <c r="I5606" s="351" t="s">
        <v>25143</v>
      </c>
      <c r="J5606" s="39">
        <v>102278</v>
      </c>
      <c r="K5606" s="36" t="str">
        <f>CONCATENATE(Cover!$D$6,"fdd/view?i=",J5606)</f>
        <v>https://www.dgiwg.org/FAD/fdd/view?i=102278</v>
      </c>
      <c r="L5606" s="36" t="s">
        <v>38329</v>
      </c>
      <c r="M5606" s="186"/>
      <c r="N5606" s="186"/>
      <c r="O5606" s="172"/>
    </row>
    <row r="5607" spans="1:15" ht="25.5" x14ac:dyDescent="0.2">
      <c r="A5607" s="197" t="str">
        <f t="shared" si="87"/>
        <v>BetCode_stop</v>
      </c>
      <c r="B5607" s="409"/>
      <c r="C5607" s="416"/>
      <c r="D5607" s="198" t="s">
        <v>25145</v>
      </c>
      <c r="E5607" s="198">
        <v>62</v>
      </c>
      <c r="F5607" s="199" t="s">
        <v>25146</v>
      </c>
      <c r="G5607" s="1" t="s">
        <v>38330</v>
      </c>
      <c r="H5607" s="200"/>
      <c r="I5607" s="351" t="s">
        <v>25148</v>
      </c>
      <c r="J5607" s="39">
        <v>102249</v>
      </c>
      <c r="K5607" s="36" t="str">
        <f>CONCATENATE(Cover!$D$6,"fdd/view?i=",J5607)</f>
        <v>https://www.dgiwg.org/FAD/fdd/view?i=102249</v>
      </c>
      <c r="L5607" s="36" t="s">
        <v>38331</v>
      </c>
      <c r="M5607" s="186"/>
      <c r="N5607" s="186"/>
      <c r="O5607" s="172"/>
    </row>
    <row r="5608" spans="1:15" ht="25.5" x14ac:dyDescent="0.2">
      <c r="A5608" s="197" t="str">
        <f t="shared" si="87"/>
        <v>BetCode_strongCurrentWarning</v>
      </c>
      <c r="B5608" s="409"/>
      <c r="C5608" s="416"/>
      <c r="D5608" s="198" t="s">
        <v>25150</v>
      </c>
      <c r="E5608" s="198">
        <v>67</v>
      </c>
      <c r="F5608" s="199" t="s">
        <v>25151</v>
      </c>
      <c r="G5608" s="1" t="s">
        <v>38332</v>
      </c>
      <c r="H5608" s="200"/>
      <c r="I5608" s="351" t="s">
        <v>25153</v>
      </c>
      <c r="J5608" s="39">
        <v>102254</v>
      </c>
      <c r="K5608" s="36" t="str">
        <f>CONCATENATE(Cover!$D$6,"fdd/view?i=",J5608)</f>
        <v>https://www.dgiwg.org/FAD/fdd/view?i=102254</v>
      </c>
      <c r="L5608" s="36" t="s">
        <v>38333</v>
      </c>
      <c r="M5608" s="186"/>
      <c r="N5608" s="186"/>
      <c r="O5608" s="172"/>
    </row>
    <row r="5609" spans="1:15" ht="25.5" x14ac:dyDescent="0.2">
      <c r="A5609" s="197" t="str">
        <f t="shared" si="87"/>
        <v>BetCode_swim</v>
      </c>
      <c r="B5609" s="409"/>
      <c r="C5609" s="416"/>
      <c r="D5609" s="198" t="s">
        <v>25155</v>
      </c>
      <c r="E5609" s="198">
        <v>87</v>
      </c>
      <c r="F5609" s="199" t="s">
        <v>25156</v>
      </c>
      <c r="G5609" s="1" t="s">
        <v>38334</v>
      </c>
      <c r="H5609" s="200"/>
      <c r="I5609" s="346"/>
      <c r="J5609" s="39">
        <v>102272</v>
      </c>
      <c r="K5609" s="36" t="str">
        <f>CONCATENATE(Cover!$D$6,"fdd/view?i=",J5609)</f>
        <v>https://www.dgiwg.org/FAD/fdd/view?i=102272</v>
      </c>
      <c r="L5609" s="36" t="s">
        <v>38335</v>
      </c>
      <c r="M5609" s="186"/>
      <c r="N5609" s="186"/>
      <c r="O5609" s="172"/>
    </row>
    <row r="5610" spans="1:15" ht="38.25" x14ac:dyDescent="0.2">
      <c r="A5610" s="197" t="str">
        <f t="shared" si="87"/>
        <v>BetCode_target</v>
      </c>
      <c r="B5610" s="409"/>
      <c r="C5610" s="416"/>
      <c r="D5610" s="198" t="s">
        <v>25159</v>
      </c>
      <c r="E5610" s="198">
        <v>45</v>
      </c>
      <c r="F5610" s="199" t="s">
        <v>25160</v>
      </c>
      <c r="G5610" s="1" t="s">
        <v>38336</v>
      </c>
      <c r="H5610" s="200"/>
      <c r="I5610" s="351" t="s">
        <v>25162</v>
      </c>
      <c r="J5610" s="39">
        <v>102232</v>
      </c>
      <c r="K5610" s="36" t="str">
        <f>CONCATENATE(Cover!$D$6,"fdd/view?i=",J5610)</f>
        <v>https://www.dgiwg.org/FAD/fdd/view?i=102232</v>
      </c>
      <c r="L5610" s="36" t="s">
        <v>38337</v>
      </c>
      <c r="M5610" s="186"/>
      <c r="N5610" s="186"/>
      <c r="O5610" s="172"/>
    </row>
    <row r="5611" spans="1:15" x14ac:dyDescent="0.2">
      <c r="A5611" s="197" t="str">
        <f t="shared" si="87"/>
        <v>BetCode_telephone</v>
      </c>
      <c r="B5611" s="409"/>
      <c r="C5611" s="416"/>
      <c r="D5611" s="198" t="s">
        <v>16581</v>
      </c>
      <c r="E5611" s="198">
        <v>71</v>
      </c>
      <c r="F5611" s="199" t="s">
        <v>16582</v>
      </c>
      <c r="G5611" s="1" t="s">
        <v>38338</v>
      </c>
      <c r="H5611" s="200"/>
      <c r="I5611" s="351" t="s">
        <v>25169</v>
      </c>
      <c r="J5611" s="39">
        <v>102258</v>
      </c>
      <c r="K5611" s="36" t="str">
        <f>CONCATENATE(Cover!$D$6,"fdd/view?i=",J5611)</f>
        <v>https://www.dgiwg.org/FAD/fdd/view?i=102258</v>
      </c>
      <c r="L5611" s="36" t="s">
        <v>38339</v>
      </c>
      <c r="M5611" s="186"/>
      <c r="N5611" s="186"/>
      <c r="O5611" s="172"/>
    </row>
    <row r="5612" spans="1:15" ht="51" x14ac:dyDescent="0.2">
      <c r="A5612" s="197" t="str">
        <f t="shared" si="87"/>
        <v>BetCode_triangleDaybeacon</v>
      </c>
      <c r="B5612" s="409"/>
      <c r="C5612" s="416"/>
      <c r="D5612" s="198" t="s">
        <v>38340</v>
      </c>
      <c r="E5612" s="198">
        <v>105</v>
      </c>
      <c r="F5612" s="199" t="s">
        <v>38341</v>
      </c>
      <c r="G5612" s="1" t="s">
        <v>38342</v>
      </c>
      <c r="H5612" s="200"/>
      <c r="I5612" s="351" t="s">
        <v>38343</v>
      </c>
      <c r="J5612" s="39">
        <v>102288</v>
      </c>
      <c r="K5612" s="36" t="str">
        <f>CONCATENATE(Cover!$D$6,"fdd/view?i=",J5612)</f>
        <v>https://www.dgiwg.org/FAD/fdd/view?i=102288</v>
      </c>
      <c r="L5612" s="36" t="s">
        <v>38344</v>
      </c>
      <c r="M5612" s="186"/>
      <c r="N5612" s="186"/>
      <c r="O5612" s="172"/>
    </row>
    <row r="5613" spans="1:15" x14ac:dyDescent="0.2">
      <c r="A5613" s="197" t="str">
        <f t="shared" si="87"/>
        <v>BetCode_tss</v>
      </c>
      <c r="B5613" s="409"/>
      <c r="C5613" s="416"/>
      <c r="D5613" s="198" t="s">
        <v>25175</v>
      </c>
      <c r="E5613" s="198">
        <v>55</v>
      </c>
      <c r="F5613" s="199" t="s">
        <v>13848</v>
      </c>
      <c r="G5613" s="1" t="s">
        <v>38345</v>
      </c>
      <c r="H5613" s="200"/>
      <c r="I5613" s="351" t="s">
        <v>25177</v>
      </c>
      <c r="J5613" s="39">
        <v>102242</v>
      </c>
      <c r="K5613" s="36" t="str">
        <f>CONCATENATE(Cover!$D$6,"fdd/view?i=",J5613)</f>
        <v>https://www.dgiwg.org/FAD/fdd/view?i=102242</v>
      </c>
      <c r="L5613" s="36" t="s">
        <v>38346</v>
      </c>
      <c r="M5613" s="186"/>
      <c r="N5613" s="186"/>
      <c r="O5613" s="172"/>
    </row>
    <row r="5614" spans="1:15" ht="25.5" x14ac:dyDescent="0.2">
      <c r="A5614" s="197" t="str">
        <f t="shared" si="87"/>
        <v>BetCode_twoWayTrafficProhib</v>
      </c>
      <c r="B5614" s="409"/>
      <c r="C5614" s="416"/>
      <c r="D5614" s="198" t="s">
        <v>38347</v>
      </c>
      <c r="E5614" s="198">
        <v>59</v>
      </c>
      <c r="F5614" s="199" t="s">
        <v>38348</v>
      </c>
      <c r="G5614" s="1" t="s">
        <v>38349</v>
      </c>
      <c r="H5614" s="200"/>
      <c r="I5614" s="351" t="s">
        <v>25182</v>
      </c>
      <c r="J5614" s="39">
        <v>102246</v>
      </c>
      <c r="K5614" s="36" t="str">
        <f>CONCATENATE(Cover!$D$6,"fdd/view?i=",J5614)</f>
        <v>https://www.dgiwg.org/FAD/fdd/view?i=102246</v>
      </c>
      <c r="L5614" s="36" t="s">
        <v>38350</v>
      </c>
      <c r="M5614" s="186"/>
      <c r="N5614" s="186"/>
      <c r="O5614" s="172"/>
    </row>
    <row r="5615" spans="1:15" ht="25.5" x14ac:dyDescent="0.2">
      <c r="A5615" s="197" t="str">
        <f t="shared" si="87"/>
        <v>BetCode_wellhead</v>
      </c>
      <c r="B5615" s="409"/>
      <c r="C5615" s="416"/>
      <c r="D5615" s="198" t="s">
        <v>25197</v>
      </c>
      <c r="E5615" s="198">
        <v>111</v>
      </c>
      <c r="F5615" s="199" t="s">
        <v>25198</v>
      </c>
      <c r="G5615" s="1" t="s">
        <v>38351</v>
      </c>
      <c r="H5615" s="200"/>
      <c r="I5615" s="351" t="s">
        <v>25200</v>
      </c>
      <c r="J5615" s="39">
        <v>102294</v>
      </c>
      <c r="K5615" s="36" t="str">
        <f>CONCATENATE(Cover!$D$6,"fdd/view?i=",J5615)</f>
        <v>https://www.dgiwg.org/FAD/fdd/view?i=102294</v>
      </c>
      <c r="L5615" s="36" t="s">
        <v>38352</v>
      </c>
      <c r="M5615" s="186"/>
      <c r="N5615" s="186"/>
      <c r="O5615" s="172"/>
    </row>
    <row r="5616" spans="1:15" ht="38.25" x14ac:dyDescent="0.2">
      <c r="A5616" s="197" t="str">
        <f t="shared" si="87"/>
        <v>BetCode_westCardinal</v>
      </c>
      <c r="B5616" s="409"/>
      <c r="C5616" s="416"/>
      <c r="D5616" s="198" t="s">
        <v>25202</v>
      </c>
      <c r="E5616" s="198">
        <v>95</v>
      </c>
      <c r="F5616" s="199" t="s">
        <v>25203</v>
      </c>
      <c r="G5616" s="1" t="s">
        <v>38353</v>
      </c>
      <c r="H5616" s="200"/>
      <c r="I5616" s="351" t="s">
        <v>25205</v>
      </c>
      <c r="J5616" s="39">
        <v>102280</v>
      </c>
      <c r="K5616" s="36" t="str">
        <f>CONCATENATE(Cover!$D$6,"fdd/view?i=",J5616)</f>
        <v>https://www.dgiwg.org/FAD/fdd/view?i=102280</v>
      </c>
      <c r="L5616" s="36" t="s">
        <v>38354</v>
      </c>
      <c r="M5616" s="186"/>
      <c r="N5616" s="186"/>
      <c r="O5616" s="172"/>
    </row>
    <row r="5617" spans="1:15" ht="25.5" x14ac:dyDescent="0.2">
      <c r="A5617" s="197" t="str">
        <f t="shared" si="87"/>
        <v>BetCode_withy</v>
      </c>
      <c r="B5617" s="409"/>
      <c r="C5617" s="416"/>
      <c r="D5617" s="198" t="s">
        <v>38165</v>
      </c>
      <c r="E5617" s="198">
        <v>108</v>
      </c>
      <c r="F5617" s="199" t="s">
        <v>38166</v>
      </c>
      <c r="G5617" s="1" t="s">
        <v>38167</v>
      </c>
      <c r="H5617" s="200"/>
      <c r="I5617" s="346"/>
      <c r="J5617" s="39">
        <v>102291</v>
      </c>
      <c r="K5617" s="36" t="str">
        <f>CONCATENATE(Cover!$D$6,"fdd/view?i=",J5617)</f>
        <v>https://www.dgiwg.org/FAD/fdd/view?i=102291</v>
      </c>
      <c r="L5617" s="36" t="s">
        <v>38355</v>
      </c>
      <c r="M5617" s="186"/>
      <c r="N5617" s="186"/>
      <c r="O5617" s="172"/>
    </row>
    <row r="5618" spans="1:15" ht="25.5" x14ac:dyDescent="0.2">
      <c r="A5618" s="197" t="str">
        <f t="shared" si="87"/>
        <v>BetCode_workInProgress</v>
      </c>
      <c r="B5618" s="409"/>
      <c r="C5618" s="416"/>
      <c r="D5618" s="198" t="s">
        <v>19697</v>
      </c>
      <c r="E5618" s="198">
        <v>103</v>
      </c>
      <c r="F5618" s="199" t="s">
        <v>25207</v>
      </c>
      <c r="G5618" s="1" t="s">
        <v>38356</v>
      </c>
      <c r="H5618" s="200"/>
      <c r="I5618" s="351" t="s">
        <v>25209</v>
      </c>
      <c r="J5618" s="39">
        <v>102286</v>
      </c>
      <c r="K5618" s="36" t="str">
        <f>CONCATENATE(Cover!$D$6,"fdd/view?i=",J5618)</f>
        <v>https://www.dgiwg.org/FAD/fdd/view?i=102286</v>
      </c>
      <c r="L5618" s="36" t="s">
        <v>38357</v>
      </c>
      <c r="M5618" s="186"/>
      <c r="N5618" s="186"/>
      <c r="O5618" s="172"/>
    </row>
    <row r="5619" spans="1:15" x14ac:dyDescent="0.2">
      <c r="A5619" s="203" t="str">
        <f t="shared" si="87"/>
        <v>BetCode_yachting</v>
      </c>
      <c r="B5619" s="410"/>
      <c r="C5619" s="417"/>
      <c r="D5619" s="204" t="s">
        <v>25214</v>
      </c>
      <c r="E5619" s="204">
        <v>77</v>
      </c>
      <c r="F5619" s="205" t="s">
        <v>25215</v>
      </c>
      <c r="G5619" s="206" t="s">
        <v>38358</v>
      </c>
      <c r="H5619" s="207"/>
      <c r="I5619" s="353" t="s">
        <v>25217</v>
      </c>
      <c r="J5619" s="39">
        <v>102264</v>
      </c>
      <c r="K5619" s="36" t="str">
        <f>CONCATENATE(Cover!$D$6,"fdd/view?i=",J5619)</f>
        <v>https://www.dgiwg.org/FAD/fdd/view?i=102264</v>
      </c>
      <c r="L5619" s="36" t="s">
        <v>38359</v>
      </c>
      <c r="M5619" s="186"/>
      <c r="N5619" s="186"/>
      <c r="O5619" s="172"/>
    </row>
    <row r="5620" spans="1:15" ht="25.5" x14ac:dyDescent="0.2">
      <c r="A5620" s="190" t="str">
        <f t="shared" si="87"/>
        <v>LafCode_directionalLight</v>
      </c>
      <c r="B5620" s="414" t="str">
        <f>HYPERLINK("[#]Datatypes!A882:L882","LafCode")</f>
        <v>LafCode</v>
      </c>
      <c r="C5620" s="415" t="s">
        <v>15471</v>
      </c>
      <c r="D5620" s="221" t="s">
        <v>38360</v>
      </c>
      <c r="E5620" s="221">
        <v>2</v>
      </c>
      <c r="F5620" s="222" t="s">
        <v>38361</v>
      </c>
      <c r="G5620" s="223" t="s">
        <v>38362</v>
      </c>
      <c r="H5620" s="224"/>
      <c r="I5620" s="345"/>
      <c r="J5620" s="39">
        <v>104770</v>
      </c>
      <c r="K5620" s="36" t="str">
        <f>CONCATENATE(Cover!$D$6,"fdd/view?i=",J5620)</f>
        <v>https://www.dgiwg.org/FAD/fdd/view?i=104770</v>
      </c>
      <c r="L5620" s="36" t="s">
        <v>38363</v>
      </c>
      <c r="M5620" s="186"/>
      <c r="N5620" s="186"/>
      <c r="O5620" s="172"/>
    </row>
    <row r="5621" spans="1:15" ht="25.5" x14ac:dyDescent="0.2">
      <c r="A5621" s="197" t="str">
        <f t="shared" si="87"/>
        <v>LafCode_directionalRadiobeacon</v>
      </c>
      <c r="B5621" s="409"/>
      <c r="C5621" s="416"/>
      <c r="D5621" s="198" t="s">
        <v>38364</v>
      </c>
      <c r="E5621" s="198">
        <v>7</v>
      </c>
      <c r="F5621" s="199" t="s">
        <v>38365</v>
      </c>
      <c r="G5621" s="1" t="s">
        <v>38366</v>
      </c>
      <c r="H5621" s="200"/>
      <c r="I5621" s="346"/>
      <c r="J5621" s="39">
        <v>104775</v>
      </c>
      <c r="K5621" s="36" t="str">
        <f>CONCATENATE(Cover!$D$6,"fdd/view?i=",J5621)</f>
        <v>https://www.dgiwg.org/FAD/fdd/view?i=104775</v>
      </c>
      <c r="L5621" s="36" t="s">
        <v>38367</v>
      </c>
      <c r="M5621" s="186"/>
      <c r="N5621" s="186"/>
      <c r="O5621" s="172"/>
    </row>
    <row r="5622" spans="1:15" ht="25.5" x14ac:dyDescent="0.2">
      <c r="A5622" s="197" t="str">
        <f t="shared" si="87"/>
        <v>LafCode_leadingRadioTranspondBeac</v>
      </c>
      <c r="B5622" s="409"/>
      <c r="C5622" s="416"/>
      <c r="D5622" s="198" t="s">
        <v>38368</v>
      </c>
      <c r="E5622" s="198">
        <v>9</v>
      </c>
      <c r="F5622" s="199" t="s">
        <v>38369</v>
      </c>
      <c r="G5622" s="1" t="s">
        <v>38370</v>
      </c>
      <c r="H5622" s="200"/>
      <c r="I5622" s="346"/>
      <c r="J5622" s="39">
        <v>104777</v>
      </c>
      <c r="K5622" s="36" t="str">
        <f>CONCATENATE(Cover!$D$6,"fdd/view?i=",J5622)</f>
        <v>https://www.dgiwg.org/FAD/fdd/view?i=104777</v>
      </c>
      <c r="L5622" s="36" t="s">
        <v>38371</v>
      </c>
      <c r="M5622" s="186"/>
      <c r="N5622" s="186"/>
      <c r="O5622" s="172"/>
    </row>
    <row r="5623" spans="1:15" ht="25.5" x14ac:dyDescent="0.2">
      <c r="A5623" s="197" t="str">
        <f t="shared" si="87"/>
        <v>LafCode_measuredDistanceMarkers</v>
      </c>
      <c r="B5623" s="409"/>
      <c r="C5623" s="416"/>
      <c r="D5623" s="198" t="s">
        <v>38372</v>
      </c>
      <c r="E5623" s="198">
        <v>6</v>
      </c>
      <c r="F5623" s="199" t="s">
        <v>38373</v>
      </c>
      <c r="G5623" s="1" t="s">
        <v>38374</v>
      </c>
      <c r="H5623" s="200"/>
      <c r="I5623" s="346"/>
      <c r="J5623" s="39">
        <v>104774</v>
      </c>
      <c r="K5623" s="36" t="str">
        <f>CONCATENATE(Cover!$D$6,"fdd/view?i=",J5623)</f>
        <v>https://www.dgiwg.org/FAD/fdd/view?i=104774</v>
      </c>
      <c r="L5623" s="36" t="s">
        <v>38375</v>
      </c>
      <c r="M5623" s="186"/>
      <c r="N5623" s="186"/>
      <c r="O5623" s="172"/>
    </row>
    <row r="5624" spans="1:15" ht="51" x14ac:dyDescent="0.2">
      <c r="A5624" s="197" t="str">
        <f t="shared" si="87"/>
        <v>LafCode_moireEffectLight</v>
      </c>
      <c r="B5624" s="409"/>
      <c r="C5624" s="416"/>
      <c r="D5624" s="198" t="s">
        <v>38111</v>
      </c>
      <c r="E5624" s="198">
        <v>8</v>
      </c>
      <c r="F5624" s="199" t="s">
        <v>38112</v>
      </c>
      <c r="G5624" s="1" t="s">
        <v>38376</v>
      </c>
      <c r="H5624" s="1" t="s">
        <v>38377</v>
      </c>
      <c r="I5624" s="346"/>
      <c r="J5624" s="39">
        <v>104776</v>
      </c>
      <c r="K5624" s="36" t="str">
        <f>CONCATENATE(Cover!$D$6,"fdd/view?i=",J5624)</f>
        <v>https://www.dgiwg.org/FAD/fdd/view?i=104776</v>
      </c>
      <c r="L5624" s="36" t="s">
        <v>38378</v>
      </c>
      <c r="M5624" s="186"/>
      <c r="N5624" s="186"/>
      <c r="O5624" s="172"/>
    </row>
    <row r="5625" spans="1:15" ht="25.5" x14ac:dyDescent="0.2">
      <c r="A5625" s="197" t="str">
        <f t="shared" si="87"/>
        <v>LafCode_oneOtherThanDirectionLight</v>
      </c>
      <c r="B5625" s="409"/>
      <c r="C5625" s="416"/>
      <c r="D5625" s="198" t="s">
        <v>38379</v>
      </c>
      <c r="E5625" s="198">
        <v>1</v>
      </c>
      <c r="F5625" s="199" t="s">
        <v>38380</v>
      </c>
      <c r="G5625" s="1" t="s">
        <v>38381</v>
      </c>
      <c r="H5625" s="200"/>
      <c r="I5625" s="346"/>
      <c r="J5625" s="39">
        <v>104769</v>
      </c>
      <c r="K5625" s="36" t="str">
        <f>CONCATENATE(Cover!$D$6,"fdd/view?i=",J5625)</f>
        <v>https://www.dgiwg.org/FAD/fdd/view?i=104769</v>
      </c>
      <c r="L5625" s="36" t="s">
        <v>38382</v>
      </c>
      <c r="M5625" s="186"/>
      <c r="N5625" s="186"/>
      <c r="O5625" s="172"/>
    </row>
    <row r="5626" spans="1:15" ht="25.5" x14ac:dyDescent="0.2">
      <c r="A5626" s="197" t="str">
        <f t="shared" si="87"/>
        <v>LafCode_twoBeaconsOrMore</v>
      </c>
      <c r="B5626" s="409"/>
      <c r="C5626" s="416"/>
      <c r="D5626" s="198" t="s">
        <v>38383</v>
      </c>
      <c r="E5626" s="198">
        <v>4</v>
      </c>
      <c r="F5626" s="199" t="s">
        <v>38384</v>
      </c>
      <c r="G5626" s="1" t="s">
        <v>38385</v>
      </c>
      <c r="H5626" s="200"/>
      <c r="I5626" s="346"/>
      <c r="J5626" s="39">
        <v>104772</v>
      </c>
      <c r="K5626" s="36" t="str">
        <f>CONCATENATE(Cover!$D$6,"fdd/view?i=",J5626)</f>
        <v>https://www.dgiwg.org/FAD/fdd/view?i=104772</v>
      </c>
      <c r="L5626" s="36" t="s">
        <v>38386</v>
      </c>
      <c r="M5626" s="186"/>
      <c r="N5626" s="186"/>
      <c r="O5626" s="172"/>
    </row>
    <row r="5627" spans="1:15" ht="25.5" x14ac:dyDescent="0.2">
      <c r="A5627" s="197" t="str">
        <f t="shared" si="87"/>
        <v>LafCode_twoLightsOrMore</v>
      </c>
      <c r="B5627" s="409"/>
      <c r="C5627" s="416"/>
      <c r="D5627" s="198" t="s">
        <v>38387</v>
      </c>
      <c r="E5627" s="198">
        <v>3</v>
      </c>
      <c r="F5627" s="199" t="s">
        <v>38388</v>
      </c>
      <c r="G5627" s="1" t="s">
        <v>38389</v>
      </c>
      <c r="H5627" s="200"/>
      <c r="I5627" s="346"/>
      <c r="J5627" s="39">
        <v>104771</v>
      </c>
      <c r="K5627" s="36" t="str">
        <f>CONCATENATE(Cover!$D$6,"fdd/view?i=",J5627)</f>
        <v>https://www.dgiwg.org/FAD/fdd/view?i=104771</v>
      </c>
      <c r="L5627" s="36" t="s">
        <v>38390</v>
      </c>
      <c r="M5627" s="186"/>
      <c r="N5627" s="186"/>
      <c r="O5627" s="172"/>
    </row>
    <row r="5628" spans="1:15" ht="25.5" x14ac:dyDescent="0.2">
      <c r="A5628" s="203" t="str">
        <f t="shared" si="87"/>
        <v>LafCode_twoNotTwoLightsOrBeacons</v>
      </c>
      <c r="B5628" s="410"/>
      <c r="C5628" s="417"/>
      <c r="D5628" s="204" t="s">
        <v>38391</v>
      </c>
      <c r="E5628" s="204">
        <v>5</v>
      </c>
      <c r="F5628" s="205" t="s">
        <v>38392</v>
      </c>
      <c r="G5628" s="206" t="s">
        <v>38393</v>
      </c>
      <c r="H5628" s="207"/>
      <c r="I5628" s="347"/>
      <c r="J5628" s="39">
        <v>104773</v>
      </c>
      <c r="K5628" s="36" t="str">
        <f>CONCATENATE(Cover!$D$6,"fdd/view?i=",J5628)</f>
        <v>https://www.dgiwg.org/FAD/fdd/view?i=104773</v>
      </c>
      <c r="L5628" s="36" t="s">
        <v>38394</v>
      </c>
      <c r="M5628" s="186"/>
      <c r="N5628" s="186"/>
      <c r="O5628" s="172"/>
    </row>
    <row r="5629" spans="1:15" ht="25.5" x14ac:dyDescent="0.2">
      <c r="A5629" s="190" t="str">
        <f t="shared" si="87"/>
        <v>MnrCode_anchoringProhibited</v>
      </c>
      <c r="B5629" s="414" t="str">
        <f>HYPERLINK("[#]Datatypes!A884:L884","MnrCode")</f>
        <v>MnrCode</v>
      </c>
      <c r="C5629" s="415" t="s">
        <v>15473</v>
      </c>
      <c r="D5629" s="221" t="s">
        <v>24790</v>
      </c>
      <c r="E5629" s="221">
        <v>1</v>
      </c>
      <c r="F5629" s="222" t="s">
        <v>24791</v>
      </c>
      <c r="G5629" s="223" t="s">
        <v>38395</v>
      </c>
      <c r="H5629" s="224"/>
      <c r="I5629" s="345"/>
      <c r="J5629" s="39">
        <v>111193</v>
      </c>
      <c r="K5629" s="36" t="str">
        <f>CONCATENATE(Cover!$D$6,"fdd/view?i=",J5629)</f>
        <v>https://www.dgiwg.org/FAD/fdd/view?i=111193</v>
      </c>
      <c r="L5629" s="36" t="s">
        <v>38396</v>
      </c>
      <c r="M5629" s="186"/>
      <c r="N5629" s="186"/>
      <c r="O5629" s="172"/>
    </row>
    <row r="5630" spans="1:15" ht="38.25" x14ac:dyDescent="0.2">
      <c r="A5630" s="197" t="str">
        <f t="shared" si="87"/>
        <v>MnrCode_anchoringRestricted</v>
      </c>
      <c r="B5630" s="409"/>
      <c r="C5630" s="416"/>
      <c r="D5630" s="198" t="s">
        <v>38397</v>
      </c>
      <c r="E5630" s="198">
        <v>2</v>
      </c>
      <c r="F5630" s="199" t="s">
        <v>38398</v>
      </c>
      <c r="G5630" s="1" t="s">
        <v>38399</v>
      </c>
      <c r="H5630" s="200"/>
      <c r="I5630" s="346"/>
      <c r="J5630" s="39">
        <v>111194</v>
      </c>
      <c r="K5630" s="36" t="str">
        <f>CONCATENATE(Cover!$D$6,"fdd/view?i=",J5630)</f>
        <v>https://www.dgiwg.org/FAD/fdd/view?i=111194</v>
      </c>
      <c r="L5630" s="36" t="s">
        <v>38400</v>
      </c>
      <c r="M5630" s="186"/>
      <c r="N5630" s="186"/>
      <c r="O5630" s="172"/>
    </row>
    <row r="5631" spans="1:15" ht="25.5" x14ac:dyDescent="0.2">
      <c r="A5631" s="197" t="str">
        <f t="shared" si="87"/>
        <v>MnrCode_artifactRemovalProhib</v>
      </c>
      <c r="B5631" s="409"/>
      <c r="C5631" s="416"/>
      <c r="D5631" s="198" t="s">
        <v>38401</v>
      </c>
      <c r="E5631" s="198">
        <v>22</v>
      </c>
      <c r="F5631" s="199" t="s">
        <v>38402</v>
      </c>
      <c r="G5631" s="1" t="s">
        <v>38403</v>
      </c>
      <c r="H5631" s="200"/>
      <c r="I5631" s="346"/>
      <c r="J5631" s="39">
        <v>111214</v>
      </c>
      <c r="K5631" s="36" t="str">
        <f>CONCATENATE(Cover!$D$6,"fdd/view?i=",J5631)</f>
        <v>https://www.dgiwg.org/FAD/fdd/view?i=111214</v>
      </c>
      <c r="L5631" s="36" t="s">
        <v>38404</v>
      </c>
      <c r="M5631" s="186"/>
      <c r="N5631" s="186"/>
      <c r="O5631" s="172"/>
    </row>
    <row r="5632" spans="1:15" ht="25.5" x14ac:dyDescent="0.2">
      <c r="A5632" s="197" t="str">
        <f t="shared" si="87"/>
        <v>MnrCode_avoidanceArea</v>
      </c>
      <c r="B5632" s="409"/>
      <c r="C5632" s="416"/>
      <c r="D5632" s="198" t="s">
        <v>38405</v>
      </c>
      <c r="E5632" s="198">
        <v>14</v>
      </c>
      <c r="F5632" s="199" t="s">
        <v>38406</v>
      </c>
      <c r="G5632" s="1" t="s">
        <v>38407</v>
      </c>
      <c r="H5632" s="200"/>
      <c r="I5632" s="346"/>
      <c r="J5632" s="39">
        <v>111206</v>
      </c>
      <c r="K5632" s="36" t="str">
        <f>CONCATENATE(Cover!$D$6,"fdd/view?i=",J5632)</f>
        <v>https://www.dgiwg.org/FAD/fdd/view?i=111206</v>
      </c>
      <c r="L5632" s="36" t="s">
        <v>38408</v>
      </c>
      <c r="M5632" s="186"/>
      <c r="N5632" s="186"/>
      <c r="O5632" s="172"/>
    </row>
    <row r="5633" spans="1:15" ht="25.5" x14ac:dyDescent="0.2">
      <c r="A5633" s="197" t="str">
        <f t="shared" si="87"/>
        <v>MnrCode_cargoTranshipmentProhib</v>
      </c>
      <c r="B5633" s="409"/>
      <c r="C5633" s="416"/>
      <c r="D5633" s="198" t="s">
        <v>38409</v>
      </c>
      <c r="E5633" s="198">
        <v>23</v>
      </c>
      <c r="F5633" s="199" t="s">
        <v>38410</v>
      </c>
      <c r="G5633" s="1" t="s">
        <v>38411</v>
      </c>
      <c r="H5633" s="200"/>
      <c r="I5633" s="346"/>
      <c r="J5633" s="39">
        <v>111215</v>
      </c>
      <c r="K5633" s="36" t="str">
        <f>CONCATENATE(Cover!$D$6,"fdd/view?i=",J5633)</f>
        <v>https://www.dgiwg.org/FAD/fdd/view?i=111215</v>
      </c>
      <c r="L5633" s="36" t="s">
        <v>38412</v>
      </c>
      <c r="M5633" s="186"/>
      <c r="N5633" s="186"/>
      <c r="O5633" s="172"/>
    </row>
    <row r="5634" spans="1:15" ht="25.5" x14ac:dyDescent="0.2">
      <c r="A5634" s="197" t="str">
        <f t="shared" ref="A5634:A5697" si="88">HYPERLINK(K5634,L5634)</f>
        <v>MnrCode_constructionProhibited</v>
      </c>
      <c r="B5634" s="409"/>
      <c r="C5634" s="416"/>
      <c r="D5634" s="198" t="s">
        <v>38413</v>
      </c>
      <c r="E5634" s="198">
        <v>15</v>
      </c>
      <c r="F5634" s="199" t="s">
        <v>38414</v>
      </c>
      <c r="G5634" s="1" t="s">
        <v>38415</v>
      </c>
      <c r="H5634" s="200"/>
      <c r="I5634" s="346"/>
      <c r="J5634" s="39">
        <v>111207</v>
      </c>
      <c r="K5634" s="36" t="str">
        <f>CONCATENATE(Cover!$D$6,"fdd/view?i=",J5634)</f>
        <v>https://www.dgiwg.org/FAD/fdd/view?i=111207</v>
      </c>
      <c r="L5634" s="36" t="s">
        <v>38416</v>
      </c>
      <c r="M5634" s="186"/>
      <c r="N5634" s="186"/>
      <c r="O5634" s="172"/>
    </row>
    <row r="5635" spans="1:15" ht="25.5" x14ac:dyDescent="0.2">
      <c r="A5635" s="197" t="str">
        <f t="shared" si="88"/>
        <v>MnrCode_dischargingProhibited</v>
      </c>
      <c r="B5635" s="409"/>
      <c r="C5635" s="416"/>
      <c r="D5635" s="198" t="s">
        <v>38417</v>
      </c>
      <c r="E5635" s="198">
        <v>16</v>
      </c>
      <c r="F5635" s="199" t="s">
        <v>38418</v>
      </c>
      <c r="G5635" s="1" t="s">
        <v>38419</v>
      </c>
      <c r="H5635" s="200"/>
      <c r="I5635" s="346"/>
      <c r="J5635" s="39">
        <v>111208</v>
      </c>
      <c r="K5635" s="36" t="str">
        <f>CONCATENATE(Cover!$D$6,"fdd/view?i=",J5635)</f>
        <v>https://www.dgiwg.org/FAD/fdd/view?i=111208</v>
      </c>
      <c r="L5635" s="36" t="s">
        <v>38420</v>
      </c>
      <c r="M5635" s="186"/>
      <c r="N5635" s="186"/>
      <c r="O5635" s="172"/>
    </row>
    <row r="5636" spans="1:15" ht="38.25" x14ac:dyDescent="0.2">
      <c r="A5636" s="197" t="str">
        <f t="shared" si="88"/>
        <v>MnrCode_dischargingRestricted</v>
      </c>
      <c r="B5636" s="409"/>
      <c r="C5636" s="416"/>
      <c r="D5636" s="198" t="s">
        <v>38421</v>
      </c>
      <c r="E5636" s="198">
        <v>17</v>
      </c>
      <c r="F5636" s="199" t="s">
        <v>38422</v>
      </c>
      <c r="G5636" s="1" t="s">
        <v>38423</v>
      </c>
      <c r="H5636" s="200"/>
      <c r="I5636" s="346"/>
      <c r="J5636" s="39">
        <v>111209</v>
      </c>
      <c r="K5636" s="36" t="str">
        <f>CONCATENATE(Cover!$D$6,"fdd/view?i=",J5636)</f>
        <v>https://www.dgiwg.org/FAD/fdd/view?i=111209</v>
      </c>
      <c r="L5636" s="36" t="s">
        <v>38424</v>
      </c>
      <c r="M5636" s="186"/>
      <c r="N5636" s="186"/>
      <c r="O5636" s="172"/>
    </row>
    <row r="5637" spans="1:15" ht="25.5" x14ac:dyDescent="0.2">
      <c r="A5637" s="197" t="str">
        <f t="shared" si="88"/>
        <v>MnrCode_divingProhibited</v>
      </c>
      <c r="B5637" s="409"/>
      <c r="C5637" s="416"/>
      <c r="D5637" s="198" t="s">
        <v>38425</v>
      </c>
      <c r="E5637" s="198">
        <v>11</v>
      </c>
      <c r="F5637" s="199" t="s">
        <v>38426</v>
      </c>
      <c r="G5637" s="1" t="s">
        <v>38427</v>
      </c>
      <c r="H5637" s="200"/>
      <c r="I5637" s="346"/>
      <c r="J5637" s="39">
        <v>111203</v>
      </c>
      <c r="K5637" s="36" t="str">
        <f>CONCATENATE(Cover!$D$6,"fdd/view?i=",J5637)</f>
        <v>https://www.dgiwg.org/FAD/fdd/view?i=111203</v>
      </c>
      <c r="L5637" s="36" t="s">
        <v>38428</v>
      </c>
      <c r="M5637" s="186"/>
      <c r="N5637" s="186"/>
      <c r="O5637" s="172"/>
    </row>
    <row r="5638" spans="1:15" ht="25.5" x14ac:dyDescent="0.2">
      <c r="A5638" s="197" t="str">
        <f t="shared" si="88"/>
        <v>MnrCode_divingRestricted</v>
      </c>
      <c r="B5638" s="409"/>
      <c r="C5638" s="416"/>
      <c r="D5638" s="198" t="s">
        <v>38429</v>
      </c>
      <c r="E5638" s="198">
        <v>12</v>
      </c>
      <c r="F5638" s="199" t="s">
        <v>38430</v>
      </c>
      <c r="G5638" s="1" t="s">
        <v>38431</v>
      </c>
      <c r="H5638" s="200"/>
      <c r="I5638" s="346"/>
      <c r="J5638" s="39">
        <v>111204</v>
      </c>
      <c r="K5638" s="36" t="str">
        <f>CONCATENATE(Cover!$D$6,"fdd/view?i=",J5638)</f>
        <v>https://www.dgiwg.org/FAD/fdd/view?i=111204</v>
      </c>
      <c r="L5638" s="36" t="s">
        <v>38432</v>
      </c>
      <c r="M5638" s="186"/>
      <c r="N5638" s="186"/>
      <c r="O5638" s="172"/>
    </row>
    <row r="5639" spans="1:15" ht="25.5" x14ac:dyDescent="0.2">
      <c r="A5639" s="197" t="str">
        <f t="shared" si="88"/>
        <v>MnrCode_draggingProhibited</v>
      </c>
      <c r="B5639" s="409"/>
      <c r="C5639" s="416"/>
      <c r="D5639" s="198" t="s">
        <v>38433</v>
      </c>
      <c r="E5639" s="198">
        <v>24</v>
      </c>
      <c r="F5639" s="199" t="s">
        <v>38434</v>
      </c>
      <c r="G5639" s="1" t="s">
        <v>38435</v>
      </c>
      <c r="H5639" s="200"/>
      <c r="I5639" s="346"/>
      <c r="J5639" s="39">
        <v>111216</v>
      </c>
      <c r="K5639" s="36" t="str">
        <f>CONCATENATE(Cover!$D$6,"fdd/view?i=",J5639)</f>
        <v>https://www.dgiwg.org/FAD/fdd/view?i=111216</v>
      </c>
      <c r="L5639" s="36" t="s">
        <v>38436</v>
      </c>
      <c r="M5639" s="186"/>
      <c r="N5639" s="186"/>
      <c r="O5639" s="172"/>
    </row>
    <row r="5640" spans="1:15" ht="25.5" x14ac:dyDescent="0.2">
      <c r="A5640" s="197" t="str">
        <f t="shared" si="88"/>
        <v>MnrCode_dredgingProhibited</v>
      </c>
      <c r="B5640" s="409"/>
      <c r="C5640" s="416"/>
      <c r="D5640" s="198" t="s">
        <v>38437</v>
      </c>
      <c r="E5640" s="198">
        <v>9</v>
      </c>
      <c r="F5640" s="199" t="s">
        <v>38438</v>
      </c>
      <c r="G5640" s="1" t="s">
        <v>38439</v>
      </c>
      <c r="H5640" s="200"/>
      <c r="I5640" s="346"/>
      <c r="J5640" s="39">
        <v>111201</v>
      </c>
      <c r="K5640" s="36" t="str">
        <f>CONCATENATE(Cover!$D$6,"fdd/view?i=",J5640)</f>
        <v>https://www.dgiwg.org/FAD/fdd/view?i=111201</v>
      </c>
      <c r="L5640" s="36" t="s">
        <v>38440</v>
      </c>
      <c r="M5640" s="186"/>
      <c r="N5640" s="186"/>
      <c r="O5640" s="172"/>
    </row>
    <row r="5641" spans="1:15" ht="38.25" x14ac:dyDescent="0.2">
      <c r="A5641" s="197" t="str">
        <f t="shared" si="88"/>
        <v>MnrCode_dredgingRestricted</v>
      </c>
      <c r="B5641" s="409"/>
      <c r="C5641" s="416"/>
      <c r="D5641" s="198" t="s">
        <v>38441</v>
      </c>
      <c r="E5641" s="198">
        <v>10</v>
      </c>
      <c r="F5641" s="199" t="s">
        <v>38442</v>
      </c>
      <c r="G5641" s="1" t="s">
        <v>38443</v>
      </c>
      <c r="H5641" s="200"/>
      <c r="I5641" s="346"/>
      <c r="J5641" s="39">
        <v>111202</v>
      </c>
      <c r="K5641" s="36" t="str">
        <f>CONCATENATE(Cover!$D$6,"fdd/view?i=",J5641)</f>
        <v>https://www.dgiwg.org/FAD/fdd/view?i=111202</v>
      </c>
      <c r="L5641" s="36" t="s">
        <v>38444</v>
      </c>
      <c r="M5641" s="186"/>
      <c r="N5641" s="186"/>
      <c r="O5641" s="172"/>
    </row>
    <row r="5642" spans="1:15" ht="25.5" x14ac:dyDescent="0.2">
      <c r="A5642" s="197" t="str">
        <f t="shared" si="88"/>
        <v>MnrCode_drillingProhibited</v>
      </c>
      <c r="B5642" s="409"/>
      <c r="C5642" s="416"/>
      <c r="D5642" s="198" t="s">
        <v>38445</v>
      </c>
      <c r="E5642" s="198">
        <v>20</v>
      </c>
      <c r="F5642" s="199" t="s">
        <v>38446</v>
      </c>
      <c r="G5642" s="1" t="s">
        <v>38447</v>
      </c>
      <c r="H5642" s="200"/>
      <c r="I5642" s="346"/>
      <c r="J5642" s="39">
        <v>111212</v>
      </c>
      <c r="K5642" s="36" t="str">
        <f>CONCATENATE(Cover!$D$6,"fdd/view?i=",J5642)</f>
        <v>https://www.dgiwg.org/FAD/fdd/view?i=111212</v>
      </c>
      <c r="L5642" s="36" t="s">
        <v>38448</v>
      </c>
      <c r="M5642" s="186"/>
      <c r="N5642" s="186"/>
      <c r="O5642" s="172"/>
    </row>
    <row r="5643" spans="1:15" ht="38.25" x14ac:dyDescent="0.2">
      <c r="A5643" s="197" t="str">
        <f t="shared" si="88"/>
        <v>MnrCode_drillingRestricted</v>
      </c>
      <c r="B5643" s="409"/>
      <c r="C5643" s="416"/>
      <c r="D5643" s="198" t="s">
        <v>38449</v>
      </c>
      <c r="E5643" s="198">
        <v>21</v>
      </c>
      <c r="F5643" s="199" t="s">
        <v>38450</v>
      </c>
      <c r="G5643" s="1" t="s">
        <v>38451</v>
      </c>
      <c r="H5643" s="200"/>
      <c r="I5643" s="346"/>
      <c r="J5643" s="39">
        <v>111213</v>
      </c>
      <c r="K5643" s="36" t="str">
        <f>CONCATENATE(Cover!$D$6,"fdd/view?i=",J5643)</f>
        <v>https://www.dgiwg.org/FAD/fdd/view?i=111213</v>
      </c>
      <c r="L5643" s="36" t="s">
        <v>38452</v>
      </c>
      <c r="M5643" s="186"/>
      <c r="N5643" s="186"/>
      <c r="O5643" s="172"/>
    </row>
    <row r="5644" spans="1:15" ht="25.5" x14ac:dyDescent="0.2">
      <c r="A5644" s="197" t="str">
        <f t="shared" si="88"/>
        <v>MnrCode_entryProhibited</v>
      </c>
      <c r="B5644" s="409"/>
      <c r="C5644" s="416"/>
      <c r="D5644" s="198" t="s">
        <v>24883</v>
      </c>
      <c r="E5644" s="198">
        <v>7</v>
      </c>
      <c r="F5644" s="199" t="s">
        <v>24884</v>
      </c>
      <c r="G5644" s="1" t="s">
        <v>38453</v>
      </c>
      <c r="H5644" s="200"/>
      <c r="I5644" s="346"/>
      <c r="J5644" s="39">
        <v>111199</v>
      </c>
      <c r="K5644" s="36" t="str">
        <f>CONCATENATE(Cover!$D$6,"fdd/view?i=",J5644)</f>
        <v>https://www.dgiwg.org/FAD/fdd/view?i=111199</v>
      </c>
      <c r="L5644" s="36" t="s">
        <v>38454</v>
      </c>
      <c r="M5644" s="186"/>
      <c r="N5644" s="186"/>
      <c r="O5644" s="172"/>
    </row>
    <row r="5645" spans="1:15" ht="38.25" x14ac:dyDescent="0.2">
      <c r="A5645" s="197" t="str">
        <f t="shared" si="88"/>
        <v>MnrCode_entryRestricted</v>
      </c>
      <c r="B5645" s="409"/>
      <c r="C5645" s="416"/>
      <c r="D5645" s="198" t="s">
        <v>38455</v>
      </c>
      <c r="E5645" s="198">
        <v>8</v>
      </c>
      <c r="F5645" s="199" t="s">
        <v>38456</v>
      </c>
      <c r="G5645" s="1" t="s">
        <v>38457</v>
      </c>
      <c r="H5645" s="200"/>
      <c r="I5645" s="346"/>
      <c r="J5645" s="39">
        <v>111200</v>
      </c>
      <c r="K5645" s="36" t="str">
        <f>CONCATENATE(Cover!$D$6,"fdd/view?i=",J5645)</f>
        <v>https://www.dgiwg.org/FAD/fdd/view?i=111200</v>
      </c>
      <c r="L5645" s="36" t="s">
        <v>38458</v>
      </c>
      <c r="M5645" s="186"/>
      <c r="N5645" s="186"/>
      <c r="O5645" s="172"/>
    </row>
    <row r="5646" spans="1:15" ht="38.25" x14ac:dyDescent="0.2">
      <c r="A5646" s="197" t="str">
        <f t="shared" si="88"/>
        <v>MnrCode_exploreDevelopProhibited</v>
      </c>
      <c r="B5646" s="409"/>
      <c r="C5646" s="416"/>
      <c r="D5646" s="198" t="s">
        <v>38459</v>
      </c>
      <c r="E5646" s="198">
        <v>18</v>
      </c>
      <c r="F5646" s="199" t="s">
        <v>38460</v>
      </c>
      <c r="G5646" s="1" t="s">
        <v>38461</v>
      </c>
      <c r="H5646" s="200"/>
      <c r="I5646" s="346"/>
      <c r="J5646" s="39">
        <v>111210</v>
      </c>
      <c r="K5646" s="36" t="str">
        <f>CONCATENATE(Cover!$D$6,"fdd/view?i=",J5646)</f>
        <v>https://www.dgiwg.org/FAD/fdd/view?i=111210</v>
      </c>
      <c r="L5646" s="36" t="s">
        <v>38462</v>
      </c>
      <c r="M5646" s="186"/>
      <c r="N5646" s="186"/>
      <c r="O5646" s="172"/>
    </row>
    <row r="5647" spans="1:15" ht="38.25" x14ac:dyDescent="0.2">
      <c r="A5647" s="197" t="str">
        <f t="shared" si="88"/>
        <v>MnrCode_exploreDevelopRestricted</v>
      </c>
      <c r="B5647" s="409"/>
      <c r="C5647" s="416"/>
      <c r="D5647" s="198" t="s">
        <v>38463</v>
      </c>
      <c r="E5647" s="198">
        <v>19</v>
      </c>
      <c r="F5647" s="199" t="s">
        <v>38464</v>
      </c>
      <c r="G5647" s="1" t="s">
        <v>38465</v>
      </c>
      <c r="H5647" s="200"/>
      <c r="I5647" s="346"/>
      <c r="J5647" s="39">
        <v>111211</v>
      </c>
      <c r="K5647" s="36" t="str">
        <f>CONCATENATE(Cover!$D$6,"fdd/view?i=",J5647)</f>
        <v>https://www.dgiwg.org/FAD/fdd/view?i=111211</v>
      </c>
      <c r="L5647" s="36" t="s">
        <v>38466</v>
      </c>
      <c r="M5647" s="186"/>
      <c r="N5647" s="186"/>
      <c r="O5647" s="172"/>
    </row>
    <row r="5648" spans="1:15" ht="25.5" x14ac:dyDescent="0.2">
      <c r="A5648" s="197" t="str">
        <f t="shared" si="88"/>
        <v>MnrCode_fishingProhibited</v>
      </c>
      <c r="B5648" s="409"/>
      <c r="C5648" s="416"/>
      <c r="D5648" s="198" t="s">
        <v>38467</v>
      </c>
      <c r="E5648" s="198">
        <v>3</v>
      </c>
      <c r="F5648" s="199" t="s">
        <v>38468</v>
      </c>
      <c r="G5648" s="1" t="s">
        <v>38469</v>
      </c>
      <c r="H5648" s="200"/>
      <c r="I5648" s="346"/>
      <c r="J5648" s="39">
        <v>111195</v>
      </c>
      <c r="K5648" s="36" t="str">
        <f>CONCATENATE(Cover!$D$6,"fdd/view?i=",J5648)</f>
        <v>https://www.dgiwg.org/FAD/fdd/view?i=111195</v>
      </c>
      <c r="L5648" s="36" t="s">
        <v>38470</v>
      </c>
      <c r="M5648" s="186"/>
      <c r="N5648" s="186"/>
      <c r="O5648" s="172"/>
    </row>
    <row r="5649" spans="1:15" ht="25.5" x14ac:dyDescent="0.2">
      <c r="A5649" s="197" t="str">
        <f t="shared" si="88"/>
        <v>MnrCode_fishingRestricted</v>
      </c>
      <c r="B5649" s="409"/>
      <c r="C5649" s="416"/>
      <c r="D5649" s="198" t="s">
        <v>38471</v>
      </c>
      <c r="E5649" s="198">
        <v>4</v>
      </c>
      <c r="F5649" s="199" t="s">
        <v>38472</v>
      </c>
      <c r="G5649" s="1" t="s">
        <v>38473</v>
      </c>
      <c r="H5649" s="200"/>
      <c r="I5649" s="346"/>
      <c r="J5649" s="39">
        <v>111196</v>
      </c>
      <c r="K5649" s="36" t="str">
        <f>CONCATENATE(Cover!$D$6,"fdd/view?i=",J5649)</f>
        <v>https://www.dgiwg.org/FAD/fdd/view?i=111196</v>
      </c>
      <c r="L5649" s="36" t="s">
        <v>38474</v>
      </c>
      <c r="M5649" s="186"/>
      <c r="N5649" s="186"/>
      <c r="O5649" s="172"/>
    </row>
    <row r="5650" spans="1:15" ht="25.5" x14ac:dyDescent="0.2">
      <c r="A5650" s="197" t="str">
        <f t="shared" si="88"/>
        <v>MnrCode_landingProhibited</v>
      </c>
      <c r="B5650" s="409"/>
      <c r="C5650" s="416"/>
      <c r="D5650" s="198" t="s">
        <v>38475</v>
      </c>
      <c r="E5650" s="198">
        <v>26</v>
      </c>
      <c r="F5650" s="199" t="s">
        <v>38476</v>
      </c>
      <c r="G5650" s="1" t="s">
        <v>38477</v>
      </c>
      <c r="H5650" s="200"/>
      <c r="I5650" s="346"/>
      <c r="J5650" s="39">
        <v>111218</v>
      </c>
      <c r="K5650" s="36" t="str">
        <f>CONCATENATE(Cover!$D$6,"fdd/view?i=",J5650)</f>
        <v>https://www.dgiwg.org/FAD/fdd/view?i=111218</v>
      </c>
      <c r="L5650" s="36" t="s">
        <v>38478</v>
      </c>
      <c r="M5650" s="186"/>
      <c r="N5650" s="186"/>
      <c r="O5650" s="172"/>
    </row>
    <row r="5651" spans="1:15" ht="25.5" x14ac:dyDescent="0.2">
      <c r="A5651" s="197" t="str">
        <f t="shared" si="88"/>
        <v>MnrCode_limitedSpeedArea</v>
      </c>
      <c r="B5651" s="409"/>
      <c r="C5651" s="416"/>
      <c r="D5651" s="198" t="s">
        <v>38479</v>
      </c>
      <c r="E5651" s="198">
        <v>27</v>
      </c>
      <c r="F5651" s="199" t="s">
        <v>38480</v>
      </c>
      <c r="G5651" s="1" t="s">
        <v>38481</v>
      </c>
      <c r="H5651" s="200"/>
      <c r="I5651" s="346"/>
      <c r="J5651" s="39">
        <v>111219</v>
      </c>
      <c r="K5651" s="36" t="str">
        <f>CONCATENATE(Cover!$D$6,"fdd/view?i=",J5651)</f>
        <v>https://www.dgiwg.org/FAD/fdd/view?i=111219</v>
      </c>
      <c r="L5651" s="36" t="s">
        <v>38482</v>
      </c>
      <c r="M5651" s="186"/>
      <c r="N5651" s="186"/>
      <c r="O5651" s="172"/>
    </row>
    <row r="5652" spans="1:15" ht="25.5" x14ac:dyDescent="0.2">
      <c r="A5652" s="197" t="str">
        <f t="shared" si="88"/>
        <v>MnrCode_navigationalAidSafetyZone</v>
      </c>
      <c r="B5652" s="409"/>
      <c r="C5652" s="416"/>
      <c r="D5652" s="198" t="s">
        <v>38483</v>
      </c>
      <c r="E5652" s="198">
        <v>28</v>
      </c>
      <c r="F5652" s="199" t="s">
        <v>38484</v>
      </c>
      <c r="G5652" s="1" t="s">
        <v>38485</v>
      </c>
      <c r="H5652" s="200"/>
      <c r="I5652" s="346"/>
      <c r="J5652" s="39">
        <v>111220</v>
      </c>
      <c r="K5652" s="36" t="str">
        <f>CONCATENATE(Cover!$D$6,"fdd/view?i=",J5652)</f>
        <v>https://www.dgiwg.org/FAD/fdd/view?i=111220</v>
      </c>
      <c r="L5652" s="36" t="s">
        <v>38486</v>
      </c>
      <c r="M5652" s="186"/>
      <c r="N5652" s="186"/>
      <c r="O5652" s="172"/>
    </row>
    <row r="5653" spans="1:15" ht="51" x14ac:dyDescent="0.2">
      <c r="A5653" s="197" t="str">
        <f t="shared" si="88"/>
        <v>MnrCode_offshoreSafetyZone</v>
      </c>
      <c r="B5653" s="409"/>
      <c r="C5653" s="416"/>
      <c r="D5653" s="198" t="s">
        <v>38487</v>
      </c>
      <c r="E5653" s="198">
        <v>29</v>
      </c>
      <c r="F5653" s="199" t="s">
        <v>38488</v>
      </c>
      <c r="G5653" s="1" t="s">
        <v>38489</v>
      </c>
      <c r="H5653" s="200"/>
      <c r="I5653" s="346"/>
      <c r="J5653" s="39">
        <v>111221</v>
      </c>
      <c r="K5653" s="36" t="str">
        <f>CONCATENATE(Cover!$D$6,"fdd/view?i=",J5653)</f>
        <v>https://www.dgiwg.org/FAD/fdd/view?i=111221</v>
      </c>
      <c r="L5653" s="36" t="s">
        <v>38490</v>
      </c>
      <c r="M5653" s="186"/>
      <c r="N5653" s="186"/>
      <c r="O5653" s="172"/>
    </row>
    <row r="5654" spans="1:15" ht="38.25" x14ac:dyDescent="0.2">
      <c r="A5654" s="197" t="str">
        <f t="shared" si="88"/>
        <v>MnrCode_reducedWakeArea</v>
      </c>
      <c r="B5654" s="409"/>
      <c r="C5654" s="416"/>
      <c r="D5654" s="198" t="s">
        <v>38491</v>
      </c>
      <c r="E5654" s="198">
        <v>13</v>
      </c>
      <c r="F5654" s="199" t="s">
        <v>38492</v>
      </c>
      <c r="G5654" s="1" t="s">
        <v>38493</v>
      </c>
      <c r="H5654" s="1" t="s">
        <v>38494</v>
      </c>
      <c r="I5654" s="346"/>
      <c r="J5654" s="39">
        <v>111205</v>
      </c>
      <c r="K5654" s="36" t="str">
        <f>CONCATENATE(Cover!$D$6,"fdd/view?i=",J5654)</f>
        <v>https://www.dgiwg.org/FAD/fdd/view?i=111205</v>
      </c>
      <c r="L5654" s="36" t="s">
        <v>38495</v>
      </c>
      <c r="M5654" s="186"/>
      <c r="N5654" s="186"/>
      <c r="O5654" s="172"/>
    </row>
    <row r="5655" spans="1:15" ht="25.5" x14ac:dyDescent="0.2">
      <c r="A5655" s="197" t="str">
        <f t="shared" si="88"/>
        <v>MnrCode_shippingProhibited</v>
      </c>
      <c r="B5655" s="409"/>
      <c r="C5655" s="416"/>
      <c r="D5655" s="198" t="s">
        <v>38496</v>
      </c>
      <c r="E5655" s="198">
        <v>30</v>
      </c>
      <c r="F5655" s="199" t="s">
        <v>38497</v>
      </c>
      <c r="G5655" s="1" t="s">
        <v>38498</v>
      </c>
      <c r="H5655" s="1" t="s">
        <v>38499</v>
      </c>
      <c r="I5655" s="346"/>
      <c r="J5655" s="39">
        <v>111222</v>
      </c>
      <c r="K5655" s="36" t="str">
        <f>CONCATENATE(Cover!$D$6,"fdd/view?i=",J5655)</f>
        <v>https://www.dgiwg.org/FAD/fdd/view?i=111222</v>
      </c>
      <c r="L5655" s="36" t="s">
        <v>38500</v>
      </c>
      <c r="M5655" s="186"/>
      <c r="N5655" s="186"/>
      <c r="O5655" s="172"/>
    </row>
    <row r="5656" spans="1:15" ht="25.5" x14ac:dyDescent="0.2">
      <c r="A5656" s="197" t="str">
        <f t="shared" si="88"/>
        <v>MnrCode_stoppingProhibited</v>
      </c>
      <c r="B5656" s="409"/>
      <c r="C5656" s="416"/>
      <c r="D5656" s="198" t="s">
        <v>38501</v>
      </c>
      <c r="E5656" s="198">
        <v>25</v>
      </c>
      <c r="F5656" s="199" t="s">
        <v>38502</v>
      </c>
      <c r="G5656" s="1" t="s">
        <v>38503</v>
      </c>
      <c r="H5656" s="200"/>
      <c r="I5656" s="346"/>
      <c r="J5656" s="39">
        <v>111217</v>
      </c>
      <c r="K5656" s="36" t="str">
        <f>CONCATENATE(Cover!$D$6,"fdd/view?i=",J5656)</f>
        <v>https://www.dgiwg.org/FAD/fdd/view?i=111217</v>
      </c>
      <c r="L5656" s="36" t="s">
        <v>38504</v>
      </c>
      <c r="M5656" s="186"/>
      <c r="N5656" s="186"/>
      <c r="O5656" s="172"/>
    </row>
    <row r="5657" spans="1:15" ht="25.5" x14ac:dyDescent="0.2">
      <c r="A5657" s="197" t="str">
        <f t="shared" si="88"/>
        <v>MnrCode_trawlingProhibited</v>
      </c>
      <c r="B5657" s="409"/>
      <c r="C5657" s="416"/>
      <c r="D5657" s="198" t="s">
        <v>38505</v>
      </c>
      <c r="E5657" s="198">
        <v>5</v>
      </c>
      <c r="F5657" s="199" t="s">
        <v>38506</v>
      </c>
      <c r="G5657" s="1" t="s">
        <v>38507</v>
      </c>
      <c r="H5657" s="200"/>
      <c r="I5657" s="346"/>
      <c r="J5657" s="39">
        <v>111197</v>
      </c>
      <c r="K5657" s="36" t="str">
        <f>CONCATENATE(Cover!$D$6,"fdd/view?i=",J5657)</f>
        <v>https://www.dgiwg.org/FAD/fdd/view?i=111197</v>
      </c>
      <c r="L5657" s="36" t="s">
        <v>38508</v>
      </c>
      <c r="M5657" s="186"/>
      <c r="N5657" s="186"/>
      <c r="O5657" s="172"/>
    </row>
    <row r="5658" spans="1:15" ht="38.25" x14ac:dyDescent="0.2">
      <c r="A5658" s="203" t="str">
        <f t="shared" si="88"/>
        <v>MnrCode_trawlingRestricted</v>
      </c>
      <c r="B5658" s="410"/>
      <c r="C5658" s="417"/>
      <c r="D5658" s="204" t="s">
        <v>38509</v>
      </c>
      <c r="E5658" s="204">
        <v>6</v>
      </c>
      <c r="F5658" s="205" t="s">
        <v>38510</v>
      </c>
      <c r="G5658" s="206" t="s">
        <v>38511</v>
      </c>
      <c r="H5658" s="207"/>
      <c r="I5658" s="347"/>
      <c r="J5658" s="39">
        <v>111198</v>
      </c>
      <c r="K5658" s="36" t="str">
        <f>CONCATENATE(Cover!$D$6,"fdd/view?i=",J5658)</f>
        <v>https://www.dgiwg.org/FAD/fdd/view?i=111198</v>
      </c>
      <c r="L5658" s="36" t="s">
        <v>38512</v>
      </c>
      <c r="M5658" s="186"/>
      <c r="N5658" s="186"/>
      <c r="O5658" s="172"/>
    </row>
    <row r="5659" spans="1:15" ht="102" x14ac:dyDescent="0.2">
      <c r="A5659" s="190" t="str">
        <f t="shared" si="88"/>
        <v>MrtCode_automatedIdentSystem</v>
      </c>
      <c r="B5659" s="414" t="str">
        <f>HYPERLINK("[#]Datatypes!A886:L886","MrtCode")</f>
        <v>MrtCode</v>
      </c>
      <c r="C5659" s="415" t="s">
        <v>15475</v>
      </c>
      <c r="D5659" s="221" t="s">
        <v>38513</v>
      </c>
      <c r="E5659" s="221">
        <v>1</v>
      </c>
      <c r="F5659" s="222" t="s">
        <v>38514</v>
      </c>
      <c r="G5659" s="223" t="s">
        <v>38515</v>
      </c>
      <c r="H5659" s="223" t="s">
        <v>38516</v>
      </c>
      <c r="I5659" s="345"/>
      <c r="J5659" s="39">
        <v>114327</v>
      </c>
      <c r="K5659" s="36" t="str">
        <f>CONCATENATE(Cover!$D$6,"fdd/view?i=",J5659)</f>
        <v>https://www.dgiwg.org/FAD/fdd/view?i=114327</v>
      </c>
      <c r="L5659" s="36" t="s">
        <v>38517</v>
      </c>
      <c r="M5659" s="186"/>
      <c r="N5659" s="186"/>
      <c r="O5659" s="172"/>
    </row>
    <row r="5660" spans="1:15" ht="38.25" x14ac:dyDescent="0.2">
      <c r="A5660" s="197" t="str">
        <f t="shared" si="88"/>
        <v>MrtCode_circularRadiobeacon</v>
      </c>
      <c r="B5660" s="409"/>
      <c r="C5660" s="416"/>
      <c r="D5660" s="198" t="s">
        <v>38518</v>
      </c>
      <c r="E5660" s="198">
        <v>2</v>
      </c>
      <c r="F5660" s="199" t="s">
        <v>38519</v>
      </c>
      <c r="G5660" s="1" t="s">
        <v>38520</v>
      </c>
      <c r="H5660" s="200"/>
      <c r="I5660" s="346"/>
      <c r="J5660" s="39">
        <v>114328</v>
      </c>
      <c r="K5660" s="36" t="str">
        <f>CONCATENATE(Cover!$D$6,"fdd/view?i=",J5660)</f>
        <v>https://www.dgiwg.org/FAD/fdd/view?i=114328</v>
      </c>
      <c r="L5660" s="36" t="s">
        <v>38521</v>
      </c>
      <c r="M5660" s="186"/>
      <c r="N5660" s="186"/>
      <c r="O5660" s="172"/>
    </row>
    <row r="5661" spans="1:15" ht="25.5" x14ac:dyDescent="0.2">
      <c r="A5661" s="197" t="str">
        <f t="shared" si="88"/>
        <v>MrtCode_directionalRadiobeacon</v>
      </c>
      <c r="B5661" s="409"/>
      <c r="C5661" s="416"/>
      <c r="D5661" s="198" t="s">
        <v>38364</v>
      </c>
      <c r="E5661" s="198">
        <v>3</v>
      </c>
      <c r="F5661" s="199" t="s">
        <v>38365</v>
      </c>
      <c r="G5661" s="1" t="s">
        <v>38522</v>
      </c>
      <c r="H5661" s="200"/>
      <c r="I5661" s="346"/>
      <c r="J5661" s="39">
        <v>114329</v>
      </c>
      <c r="K5661" s="36" t="str">
        <f>CONCATENATE(Cover!$D$6,"fdd/view?i=",J5661)</f>
        <v>https://www.dgiwg.org/FAD/fdd/view?i=114329</v>
      </c>
      <c r="L5661" s="36" t="s">
        <v>38523</v>
      </c>
      <c r="M5661" s="186"/>
      <c r="N5661" s="186"/>
      <c r="O5661" s="172"/>
    </row>
    <row r="5662" spans="1:15" ht="51" x14ac:dyDescent="0.2">
      <c r="A5662" s="197" t="str">
        <f t="shared" si="88"/>
        <v>MrtCode_loranC</v>
      </c>
      <c r="B5662" s="409"/>
      <c r="C5662" s="416"/>
      <c r="D5662" s="198" t="s">
        <v>38524</v>
      </c>
      <c r="E5662" s="198">
        <v>4</v>
      </c>
      <c r="F5662" s="199" t="s">
        <v>38525</v>
      </c>
      <c r="G5662" s="1" t="s">
        <v>38526</v>
      </c>
      <c r="H5662" s="1" t="s">
        <v>38527</v>
      </c>
      <c r="I5662" s="346"/>
      <c r="J5662" s="39">
        <v>114330</v>
      </c>
      <c r="K5662" s="36" t="str">
        <f>CONCATENATE(Cover!$D$6,"fdd/view?i=",J5662)</f>
        <v>https://www.dgiwg.org/FAD/fdd/view?i=114330</v>
      </c>
      <c r="L5662" s="36" t="s">
        <v>38528</v>
      </c>
      <c r="M5662" s="186"/>
      <c r="N5662" s="186"/>
      <c r="O5662" s="172"/>
    </row>
    <row r="5663" spans="1:15" ht="51" x14ac:dyDescent="0.2">
      <c r="A5663" s="197" t="str">
        <f t="shared" si="88"/>
        <v>MrtCode_qtgStation</v>
      </c>
      <c r="B5663" s="409"/>
      <c r="C5663" s="416"/>
      <c r="D5663" s="198" t="s">
        <v>38529</v>
      </c>
      <c r="E5663" s="198">
        <v>5</v>
      </c>
      <c r="F5663" s="199" t="s">
        <v>38530</v>
      </c>
      <c r="G5663" s="1" t="s">
        <v>38531</v>
      </c>
      <c r="H5663" s="1" t="s">
        <v>38532</v>
      </c>
      <c r="I5663" s="346"/>
      <c r="J5663" s="39">
        <v>114331</v>
      </c>
      <c r="K5663" s="36" t="str">
        <f>CONCATENATE(Cover!$D$6,"fdd/view?i=",J5663)</f>
        <v>https://www.dgiwg.org/FAD/fdd/view?i=114331</v>
      </c>
      <c r="L5663" s="36" t="s">
        <v>38533</v>
      </c>
      <c r="M5663" s="186"/>
      <c r="N5663" s="186"/>
      <c r="O5663" s="172"/>
    </row>
    <row r="5664" spans="1:15" ht="127.5" x14ac:dyDescent="0.2">
      <c r="A5664" s="197" t="str">
        <f t="shared" si="88"/>
        <v>MrtCode_radarMarker</v>
      </c>
      <c r="B5664" s="409"/>
      <c r="C5664" s="416"/>
      <c r="D5664" s="198" t="s">
        <v>38534</v>
      </c>
      <c r="E5664" s="198">
        <v>6</v>
      </c>
      <c r="F5664" s="199" t="s">
        <v>38535</v>
      </c>
      <c r="G5664" s="1" t="s">
        <v>38536</v>
      </c>
      <c r="H5664" s="1" t="s">
        <v>38537</v>
      </c>
      <c r="I5664" s="346"/>
      <c r="J5664" s="39">
        <v>114332</v>
      </c>
      <c r="K5664" s="36" t="str">
        <f>CONCATENATE(Cover!$D$6,"fdd/view?i=",J5664)</f>
        <v>https://www.dgiwg.org/FAD/fdd/view?i=114332</v>
      </c>
      <c r="L5664" s="36" t="s">
        <v>38538</v>
      </c>
      <c r="M5664" s="186"/>
      <c r="N5664" s="186"/>
      <c r="O5664" s="172"/>
    </row>
    <row r="5665" spans="1:15" ht="114.75" x14ac:dyDescent="0.2">
      <c r="A5665" s="197" t="str">
        <f t="shared" si="88"/>
        <v>MrtCode_radarResponderBeacon</v>
      </c>
      <c r="B5665" s="409"/>
      <c r="C5665" s="416"/>
      <c r="D5665" s="198" t="s">
        <v>38539</v>
      </c>
      <c r="E5665" s="198">
        <v>7</v>
      </c>
      <c r="F5665" s="199" t="s">
        <v>38540</v>
      </c>
      <c r="G5665" s="1" t="s">
        <v>38541</v>
      </c>
      <c r="H5665" s="1" t="s">
        <v>38542</v>
      </c>
      <c r="I5665" s="346"/>
      <c r="J5665" s="39">
        <v>114333</v>
      </c>
      <c r="K5665" s="36" t="str">
        <f>CONCATENATE(Cover!$D$6,"fdd/view?i=",J5665)</f>
        <v>https://www.dgiwg.org/FAD/fdd/view?i=114333</v>
      </c>
      <c r="L5665" s="36" t="s">
        <v>38543</v>
      </c>
      <c r="M5665" s="186"/>
      <c r="N5665" s="186"/>
      <c r="O5665" s="172"/>
    </row>
    <row r="5666" spans="1:15" ht="25.5" x14ac:dyDescent="0.2">
      <c r="A5666" s="197" t="str">
        <f t="shared" si="88"/>
        <v>MrtCode_radioDirectFindStation</v>
      </c>
      <c r="B5666" s="409"/>
      <c r="C5666" s="416"/>
      <c r="D5666" s="198" t="s">
        <v>38544</v>
      </c>
      <c r="E5666" s="198">
        <v>8</v>
      </c>
      <c r="F5666" s="199" t="s">
        <v>38545</v>
      </c>
      <c r="G5666" s="1" t="s">
        <v>38546</v>
      </c>
      <c r="H5666" s="200"/>
      <c r="I5666" s="346"/>
      <c r="J5666" s="39">
        <v>114334</v>
      </c>
      <c r="K5666" s="36" t="str">
        <f>CONCATENATE(Cover!$D$6,"fdd/view?i=",J5666)</f>
        <v>https://www.dgiwg.org/FAD/fdd/view?i=114334</v>
      </c>
      <c r="L5666" s="36" t="s">
        <v>38547</v>
      </c>
      <c r="M5666" s="186"/>
      <c r="N5666" s="186"/>
      <c r="O5666" s="172"/>
    </row>
    <row r="5667" spans="1:15" ht="51" x14ac:dyDescent="0.2">
      <c r="A5667" s="203" t="str">
        <f t="shared" si="88"/>
        <v>MrtCode_rotatingPatRadiobeacon</v>
      </c>
      <c r="B5667" s="410"/>
      <c r="C5667" s="417"/>
      <c r="D5667" s="204" t="s">
        <v>38548</v>
      </c>
      <c r="E5667" s="204">
        <v>9</v>
      </c>
      <c r="F5667" s="205" t="s">
        <v>38549</v>
      </c>
      <c r="G5667" s="206" t="s">
        <v>38550</v>
      </c>
      <c r="H5667" s="206" t="s">
        <v>38551</v>
      </c>
      <c r="I5667" s="347"/>
      <c r="J5667" s="39">
        <v>114335</v>
      </c>
      <c r="K5667" s="36" t="str">
        <f>CONCATENATE(Cover!$D$6,"fdd/view?i=",J5667)</f>
        <v>https://www.dgiwg.org/FAD/fdd/view?i=114335</v>
      </c>
      <c r="L5667" s="36" t="s">
        <v>38552</v>
      </c>
      <c r="M5667" s="186"/>
      <c r="N5667" s="186"/>
      <c r="O5667" s="172"/>
    </row>
    <row r="5668" spans="1:15" ht="25.5" x14ac:dyDescent="0.2">
      <c r="A5668" s="190" t="str">
        <f t="shared" si="88"/>
        <v>StaCode_bridgeSignalStation</v>
      </c>
      <c r="B5668" s="414" t="str">
        <f>HYPERLINK("[#]Datatypes!A888:L888","StaCode")</f>
        <v>StaCode</v>
      </c>
      <c r="C5668" s="415" t="s">
        <v>15477</v>
      </c>
      <c r="D5668" s="221" t="s">
        <v>38553</v>
      </c>
      <c r="E5668" s="221">
        <v>29</v>
      </c>
      <c r="F5668" s="222" t="s">
        <v>38554</v>
      </c>
      <c r="G5668" s="223" t="s">
        <v>38555</v>
      </c>
      <c r="H5668" s="224"/>
      <c r="I5668" s="345"/>
      <c r="J5668" s="39">
        <v>108255</v>
      </c>
      <c r="K5668" s="36" t="str">
        <f>CONCATENATE(Cover!$D$6,"fdd/view?i=",J5668)</f>
        <v>https://www.dgiwg.org/FAD/fdd/view?i=108255</v>
      </c>
      <c r="L5668" s="36" t="s">
        <v>38556</v>
      </c>
      <c r="M5668" s="186"/>
      <c r="N5668" s="186"/>
      <c r="O5668" s="172"/>
    </row>
    <row r="5669" spans="1:15" ht="25.5" x14ac:dyDescent="0.2">
      <c r="A5669" s="197" t="str">
        <f t="shared" si="88"/>
        <v>StaCode_coastGuardStation</v>
      </c>
      <c r="B5669" s="409"/>
      <c r="C5669" s="416"/>
      <c r="D5669" s="198" t="s">
        <v>38557</v>
      </c>
      <c r="E5669" s="198">
        <v>1</v>
      </c>
      <c r="F5669" s="199" t="s">
        <v>38558</v>
      </c>
      <c r="G5669" s="1" t="s">
        <v>38559</v>
      </c>
      <c r="H5669" s="200"/>
      <c r="I5669" s="346"/>
      <c r="J5669" s="39">
        <v>108228</v>
      </c>
      <c r="K5669" s="36" t="str">
        <f>CONCATENATE(Cover!$D$6,"fdd/view?i=",J5669)</f>
        <v>https://www.dgiwg.org/FAD/fdd/view?i=108228</v>
      </c>
      <c r="L5669" s="36" t="s">
        <v>38560</v>
      </c>
      <c r="M5669" s="186"/>
      <c r="N5669" s="186"/>
      <c r="O5669" s="172"/>
    </row>
    <row r="5670" spans="1:15" ht="25.5" x14ac:dyDescent="0.2">
      <c r="A5670" s="197" t="str">
        <f t="shared" si="88"/>
        <v>StaCode_fireboatStation</v>
      </c>
      <c r="B5670" s="409"/>
      <c r="C5670" s="416"/>
      <c r="D5670" s="198" t="s">
        <v>38561</v>
      </c>
      <c r="E5670" s="198">
        <v>2</v>
      </c>
      <c r="F5670" s="199" t="s">
        <v>38562</v>
      </c>
      <c r="G5670" s="1" t="s">
        <v>38563</v>
      </c>
      <c r="H5670" s="200"/>
      <c r="I5670" s="346"/>
      <c r="J5670" s="39">
        <v>108229</v>
      </c>
      <c r="K5670" s="36" t="str">
        <f>CONCATENATE(Cover!$D$6,"fdd/view?i=",J5670)</f>
        <v>https://www.dgiwg.org/FAD/fdd/view?i=108229</v>
      </c>
      <c r="L5670" s="36" t="s">
        <v>38564</v>
      </c>
      <c r="M5670" s="186"/>
      <c r="N5670" s="186"/>
      <c r="O5670" s="172"/>
    </row>
    <row r="5671" spans="1:15" ht="38.25" x14ac:dyDescent="0.2">
      <c r="A5671" s="197" t="str">
        <f t="shared" si="88"/>
        <v>StaCode_fogSignal</v>
      </c>
      <c r="B5671" s="409"/>
      <c r="C5671" s="416"/>
      <c r="D5671" s="198" t="s">
        <v>38565</v>
      </c>
      <c r="E5671" s="198">
        <v>22</v>
      </c>
      <c r="F5671" s="199" t="s">
        <v>3194</v>
      </c>
      <c r="G5671" s="1" t="s">
        <v>3195</v>
      </c>
      <c r="H5671" s="200"/>
      <c r="I5671" s="346"/>
      <c r="J5671" s="39">
        <v>108249</v>
      </c>
      <c r="K5671" s="36" t="str">
        <f>CONCATENATE(Cover!$D$6,"fdd/view?i=",J5671)</f>
        <v>https://www.dgiwg.org/FAD/fdd/view?i=108249</v>
      </c>
      <c r="L5671" s="36" t="s">
        <v>38566</v>
      </c>
      <c r="M5671" s="186"/>
      <c r="N5671" s="186"/>
      <c r="O5671" s="172"/>
    </row>
    <row r="5672" spans="1:15" ht="25.5" x14ac:dyDescent="0.2">
      <c r="A5672" s="197" t="str">
        <f t="shared" si="88"/>
        <v>StaCode_iceSignalStation</v>
      </c>
      <c r="B5672" s="409"/>
      <c r="C5672" s="416"/>
      <c r="D5672" s="198" t="s">
        <v>38567</v>
      </c>
      <c r="E5672" s="198">
        <v>4</v>
      </c>
      <c r="F5672" s="199" t="s">
        <v>38568</v>
      </c>
      <c r="G5672" s="1" t="s">
        <v>38569</v>
      </c>
      <c r="H5672" s="200"/>
      <c r="I5672" s="346"/>
      <c r="J5672" s="39">
        <v>108231</v>
      </c>
      <c r="K5672" s="36" t="str">
        <f>CONCATENATE(Cover!$D$6,"fdd/view?i=",J5672)</f>
        <v>https://www.dgiwg.org/FAD/fdd/view?i=108231</v>
      </c>
      <c r="L5672" s="36" t="s">
        <v>38570</v>
      </c>
      <c r="M5672" s="186"/>
      <c r="N5672" s="186"/>
      <c r="O5672" s="172"/>
    </row>
    <row r="5673" spans="1:15" ht="25.5" x14ac:dyDescent="0.2">
      <c r="A5673" s="197" t="str">
        <f t="shared" si="88"/>
        <v>StaCode_internatPortSigStation</v>
      </c>
      <c r="B5673" s="409"/>
      <c r="C5673" s="416"/>
      <c r="D5673" s="198" t="s">
        <v>38571</v>
      </c>
      <c r="E5673" s="198">
        <v>32</v>
      </c>
      <c r="F5673" s="199" t="s">
        <v>38572</v>
      </c>
      <c r="G5673" s="1" t="s">
        <v>38573</v>
      </c>
      <c r="H5673" s="200"/>
      <c r="I5673" s="346"/>
      <c r="J5673" s="39">
        <v>108258</v>
      </c>
      <c r="K5673" s="36" t="str">
        <f>CONCATENATE(Cover!$D$6,"fdd/view?i=",J5673)</f>
        <v>https://www.dgiwg.org/FAD/fdd/view?i=108258</v>
      </c>
      <c r="L5673" s="36" t="s">
        <v>38574</v>
      </c>
      <c r="M5673" s="186"/>
      <c r="N5673" s="186"/>
      <c r="O5673" s="172"/>
    </row>
    <row r="5674" spans="1:15" ht="25.5" x14ac:dyDescent="0.2">
      <c r="A5674" s="197" t="str">
        <f t="shared" si="88"/>
        <v>StaCode_lockSignalStation</v>
      </c>
      <c r="B5674" s="409"/>
      <c r="C5674" s="416"/>
      <c r="D5674" s="198" t="s">
        <v>38575</v>
      </c>
      <c r="E5674" s="198">
        <v>30</v>
      </c>
      <c r="F5674" s="199" t="s">
        <v>38576</v>
      </c>
      <c r="G5674" s="1" t="s">
        <v>38577</v>
      </c>
      <c r="H5674" s="200"/>
      <c r="I5674" s="346"/>
      <c r="J5674" s="39">
        <v>108256</v>
      </c>
      <c r="K5674" s="36" t="str">
        <f>CONCATENATE(Cover!$D$6,"fdd/view?i=",J5674)</f>
        <v>https://www.dgiwg.org/FAD/fdd/view?i=108256</v>
      </c>
      <c r="L5674" s="36" t="s">
        <v>38578</v>
      </c>
      <c r="M5674" s="186"/>
      <c r="N5674" s="186"/>
      <c r="O5674" s="172"/>
    </row>
    <row r="5675" spans="1:15" ht="25.5" x14ac:dyDescent="0.2">
      <c r="A5675" s="197" t="str">
        <f t="shared" si="88"/>
        <v>StaCode_militaryPracticeSigStation</v>
      </c>
      <c r="B5675" s="409"/>
      <c r="C5675" s="416"/>
      <c r="D5675" s="198" t="s">
        <v>38579</v>
      </c>
      <c r="E5675" s="198">
        <v>33</v>
      </c>
      <c r="F5675" s="199" t="s">
        <v>38580</v>
      </c>
      <c r="G5675" s="1" t="s">
        <v>38581</v>
      </c>
      <c r="H5675" s="200"/>
      <c r="I5675" s="346"/>
      <c r="J5675" s="39">
        <v>108259</v>
      </c>
      <c r="K5675" s="36" t="str">
        <f>CONCATENATE(Cover!$D$6,"fdd/view?i=",J5675)</f>
        <v>https://www.dgiwg.org/FAD/fdd/view?i=108259</v>
      </c>
      <c r="L5675" s="36" t="s">
        <v>38582</v>
      </c>
      <c r="M5675" s="186"/>
      <c r="N5675" s="186"/>
      <c r="O5675" s="172"/>
    </row>
    <row r="5676" spans="1:15" ht="25.5" x14ac:dyDescent="0.2">
      <c r="A5676" s="197" t="str">
        <f t="shared" si="88"/>
        <v>StaCode_pilotLookoutStation</v>
      </c>
      <c r="B5676" s="409"/>
      <c r="C5676" s="416"/>
      <c r="D5676" s="198" t="s">
        <v>38583</v>
      </c>
      <c r="E5676" s="198">
        <v>37</v>
      </c>
      <c r="F5676" s="199" t="s">
        <v>38584</v>
      </c>
      <c r="G5676" s="1" t="s">
        <v>38585</v>
      </c>
      <c r="H5676" s="200"/>
      <c r="I5676" s="346"/>
      <c r="J5676" s="39">
        <v>108263</v>
      </c>
      <c r="K5676" s="36" t="str">
        <f>CONCATENATE(Cover!$D$6,"fdd/view?i=",J5676)</f>
        <v>https://www.dgiwg.org/FAD/fdd/view?i=108263</v>
      </c>
      <c r="L5676" s="36" t="s">
        <v>38586</v>
      </c>
      <c r="M5676" s="186"/>
      <c r="N5676" s="186"/>
      <c r="O5676" s="172"/>
    </row>
    <row r="5677" spans="1:15" ht="25.5" x14ac:dyDescent="0.2">
      <c r="A5677" s="197" t="str">
        <f t="shared" si="88"/>
        <v>StaCode_pilotStation</v>
      </c>
      <c r="B5677" s="409"/>
      <c r="C5677" s="416"/>
      <c r="D5677" s="198" t="s">
        <v>31298</v>
      </c>
      <c r="E5677" s="198">
        <v>11</v>
      </c>
      <c r="F5677" s="199" t="s">
        <v>31299</v>
      </c>
      <c r="G5677" s="1" t="s">
        <v>38587</v>
      </c>
      <c r="H5677" s="200"/>
      <c r="I5677" s="346"/>
      <c r="J5677" s="39">
        <v>108238</v>
      </c>
      <c r="K5677" s="36" t="str">
        <f>CONCATENATE(Cover!$D$6,"fdd/view?i=",J5677)</f>
        <v>https://www.dgiwg.org/FAD/fdd/view?i=108238</v>
      </c>
      <c r="L5677" s="36" t="s">
        <v>38588</v>
      </c>
      <c r="M5677" s="186"/>
      <c r="N5677" s="186"/>
      <c r="O5677" s="172"/>
    </row>
    <row r="5678" spans="1:15" ht="25.5" x14ac:dyDescent="0.2">
      <c r="A5678" s="197" t="str">
        <f t="shared" si="88"/>
        <v>StaCode_portControlStation</v>
      </c>
      <c r="B5678" s="409"/>
      <c r="C5678" s="416"/>
      <c r="D5678" s="198" t="s">
        <v>38589</v>
      </c>
      <c r="E5678" s="198">
        <v>6</v>
      </c>
      <c r="F5678" s="199" t="s">
        <v>38590</v>
      </c>
      <c r="G5678" s="1" t="s">
        <v>38591</v>
      </c>
      <c r="H5678" s="200"/>
      <c r="I5678" s="346"/>
      <c r="J5678" s="39">
        <v>108233</v>
      </c>
      <c r="K5678" s="36" t="str">
        <f>CONCATENATE(Cover!$D$6,"fdd/view?i=",J5678)</f>
        <v>https://www.dgiwg.org/FAD/fdd/view?i=108233</v>
      </c>
      <c r="L5678" s="36" t="s">
        <v>38592</v>
      </c>
      <c r="M5678" s="186"/>
      <c r="N5678" s="186"/>
      <c r="O5678" s="172"/>
    </row>
    <row r="5679" spans="1:15" ht="25.5" x14ac:dyDescent="0.2">
      <c r="A5679" s="197" t="str">
        <f t="shared" si="88"/>
        <v>StaCode_radarSurveillanceStation</v>
      </c>
      <c r="B5679" s="409"/>
      <c r="C5679" s="416"/>
      <c r="D5679" s="198" t="s">
        <v>38593</v>
      </c>
      <c r="E5679" s="198">
        <v>36</v>
      </c>
      <c r="F5679" s="199" t="s">
        <v>38594</v>
      </c>
      <c r="G5679" s="1" t="s">
        <v>38595</v>
      </c>
      <c r="H5679" s="200"/>
      <c r="I5679" s="346"/>
      <c r="J5679" s="39">
        <v>108262</v>
      </c>
      <c r="K5679" s="36" t="str">
        <f>CONCATENATE(Cover!$D$6,"fdd/view?i=",J5679)</f>
        <v>https://www.dgiwg.org/FAD/fdd/view?i=108262</v>
      </c>
      <c r="L5679" s="36" t="s">
        <v>38596</v>
      </c>
      <c r="M5679" s="186"/>
      <c r="N5679" s="186"/>
      <c r="O5679" s="172"/>
    </row>
    <row r="5680" spans="1:15" x14ac:dyDescent="0.2">
      <c r="A5680" s="197" t="str">
        <f t="shared" si="88"/>
        <v>StaCode_rescueStation</v>
      </c>
      <c r="B5680" s="409"/>
      <c r="C5680" s="416"/>
      <c r="D5680" s="198" t="s">
        <v>38597</v>
      </c>
      <c r="E5680" s="198">
        <v>5</v>
      </c>
      <c r="F5680" s="199" t="s">
        <v>38598</v>
      </c>
      <c r="G5680" s="1" t="s">
        <v>38599</v>
      </c>
      <c r="H5680" s="200"/>
      <c r="I5680" s="346"/>
      <c r="J5680" s="39">
        <v>108232</v>
      </c>
      <c r="K5680" s="36" t="str">
        <f>CONCATENATE(Cover!$D$6,"fdd/view?i=",J5680)</f>
        <v>https://www.dgiwg.org/FAD/fdd/view?i=108232</v>
      </c>
      <c r="L5680" s="36" t="s">
        <v>38600</v>
      </c>
      <c r="M5680" s="186"/>
      <c r="N5680" s="186"/>
      <c r="O5680" s="172"/>
    </row>
    <row r="5681" spans="1:15" ht="38.25" x14ac:dyDescent="0.2">
      <c r="A5681" s="197" t="str">
        <f t="shared" si="88"/>
        <v>StaCode_signalMast</v>
      </c>
      <c r="B5681" s="409"/>
      <c r="C5681" s="416"/>
      <c r="D5681" s="198" t="s">
        <v>38601</v>
      </c>
      <c r="E5681" s="198">
        <v>14</v>
      </c>
      <c r="F5681" s="199" t="s">
        <v>38602</v>
      </c>
      <c r="G5681" s="1" t="s">
        <v>38603</v>
      </c>
      <c r="H5681" s="1" t="s">
        <v>38604</v>
      </c>
      <c r="I5681" s="346"/>
      <c r="J5681" s="39">
        <v>108241</v>
      </c>
      <c r="K5681" s="36" t="str">
        <f>CONCATENATE(Cover!$D$6,"fdd/view?i=",J5681)</f>
        <v>https://www.dgiwg.org/FAD/fdd/view?i=108241</v>
      </c>
      <c r="L5681" s="36" t="s">
        <v>38605</v>
      </c>
      <c r="M5681" s="186"/>
      <c r="N5681" s="186"/>
      <c r="O5681" s="172"/>
    </row>
    <row r="5682" spans="1:15" x14ac:dyDescent="0.2">
      <c r="A5682" s="197" t="str">
        <f t="shared" si="88"/>
        <v>StaCode_signalStation</v>
      </c>
      <c r="B5682" s="409"/>
      <c r="C5682" s="416"/>
      <c r="D5682" s="198" t="s">
        <v>38606</v>
      </c>
      <c r="E5682" s="198">
        <v>13</v>
      </c>
      <c r="F5682" s="199" t="s">
        <v>38607</v>
      </c>
      <c r="G5682" s="1" t="s">
        <v>38608</v>
      </c>
      <c r="H5682" s="200"/>
      <c r="I5682" s="346"/>
      <c r="J5682" s="39">
        <v>108240</v>
      </c>
      <c r="K5682" s="36" t="str">
        <f>CONCATENATE(Cover!$D$6,"fdd/view?i=",J5682)</f>
        <v>https://www.dgiwg.org/FAD/fdd/view?i=108240</v>
      </c>
      <c r="L5682" s="36" t="s">
        <v>38609</v>
      </c>
      <c r="M5682" s="186"/>
      <c r="N5682" s="186"/>
      <c r="O5682" s="172"/>
    </row>
    <row r="5683" spans="1:15" ht="25.5" x14ac:dyDescent="0.2">
      <c r="A5683" s="197" t="str">
        <f t="shared" si="88"/>
        <v>StaCode_stormSignalStation</v>
      </c>
      <c r="B5683" s="409"/>
      <c r="C5683" s="416"/>
      <c r="D5683" s="198" t="s">
        <v>38610</v>
      </c>
      <c r="E5683" s="198">
        <v>15</v>
      </c>
      <c r="F5683" s="199" t="s">
        <v>38611</v>
      </c>
      <c r="G5683" s="1" t="s">
        <v>38612</v>
      </c>
      <c r="H5683" s="200"/>
      <c r="I5683" s="346"/>
      <c r="J5683" s="39">
        <v>108242</v>
      </c>
      <c r="K5683" s="36" t="str">
        <f>CONCATENATE(Cover!$D$6,"fdd/view?i=",J5683)</f>
        <v>https://www.dgiwg.org/FAD/fdd/view?i=108242</v>
      </c>
      <c r="L5683" s="36" t="s">
        <v>38613</v>
      </c>
      <c r="M5683" s="186"/>
      <c r="N5683" s="186"/>
      <c r="O5683" s="172"/>
    </row>
    <row r="5684" spans="1:15" ht="25.5" x14ac:dyDescent="0.2">
      <c r="A5684" s="197" t="str">
        <f t="shared" si="88"/>
        <v>StaCode_tidalStreamStation</v>
      </c>
      <c r="B5684" s="409"/>
      <c r="C5684" s="416"/>
      <c r="D5684" s="198" t="s">
        <v>38614</v>
      </c>
      <c r="E5684" s="198">
        <v>27</v>
      </c>
      <c r="F5684" s="199" t="s">
        <v>38615</v>
      </c>
      <c r="G5684" s="1" t="s">
        <v>38616</v>
      </c>
      <c r="H5684" s="200"/>
      <c r="I5684" s="346"/>
      <c r="J5684" s="39">
        <v>108253</v>
      </c>
      <c r="K5684" s="36" t="str">
        <f>CONCATENATE(Cover!$D$6,"fdd/view?i=",J5684)</f>
        <v>https://www.dgiwg.org/FAD/fdd/view?i=108253</v>
      </c>
      <c r="L5684" s="36" t="s">
        <v>38617</v>
      </c>
      <c r="M5684" s="186"/>
      <c r="N5684" s="186"/>
      <c r="O5684" s="172"/>
    </row>
    <row r="5685" spans="1:15" ht="25.5" x14ac:dyDescent="0.2">
      <c r="A5685" s="197" t="str">
        <f t="shared" si="88"/>
        <v>StaCode_tideStation</v>
      </c>
      <c r="B5685" s="409"/>
      <c r="C5685" s="416"/>
      <c r="D5685" s="198" t="s">
        <v>38618</v>
      </c>
      <c r="E5685" s="198">
        <v>17</v>
      </c>
      <c r="F5685" s="199" t="s">
        <v>38619</v>
      </c>
      <c r="G5685" s="1" t="s">
        <v>38620</v>
      </c>
      <c r="H5685" s="200"/>
      <c r="I5685" s="346"/>
      <c r="J5685" s="39">
        <v>108244</v>
      </c>
      <c r="K5685" s="36" t="str">
        <f>CONCATENATE(Cover!$D$6,"fdd/view?i=",J5685)</f>
        <v>https://www.dgiwg.org/FAD/fdd/view?i=108244</v>
      </c>
      <c r="L5685" s="36" t="s">
        <v>38621</v>
      </c>
      <c r="M5685" s="186"/>
      <c r="N5685" s="186"/>
      <c r="O5685" s="172"/>
    </row>
    <row r="5686" spans="1:15" ht="25.5" x14ac:dyDescent="0.2">
      <c r="A5686" s="197" t="str">
        <f t="shared" si="88"/>
        <v>StaCode_timeBallStation</v>
      </c>
      <c r="B5686" s="409"/>
      <c r="C5686" s="416"/>
      <c r="D5686" s="198" t="s">
        <v>38622</v>
      </c>
      <c r="E5686" s="198">
        <v>18</v>
      </c>
      <c r="F5686" s="199" t="s">
        <v>38623</v>
      </c>
      <c r="G5686" s="1" t="s">
        <v>38624</v>
      </c>
      <c r="H5686" s="200"/>
      <c r="I5686" s="346"/>
      <c r="J5686" s="39">
        <v>108245</v>
      </c>
      <c r="K5686" s="36" t="str">
        <f>CONCATENATE(Cover!$D$6,"fdd/view?i=",J5686)</f>
        <v>https://www.dgiwg.org/FAD/fdd/view?i=108245</v>
      </c>
      <c r="L5686" s="36" t="s">
        <v>38625</v>
      </c>
      <c r="M5686" s="186"/>
      <c r="N5686" s="186"/>
      <c r="O5686" s="172"/>
    </row>
    <row r="5687" spans="1:15" ht="25.5" x14ac:dyDescent="0.2">
      <c r="A5687" s="197" t="str">
        <f t="shared" si="88"/>
        <v>StaCode_timeSignalStation</v>
      </c>
      <c r="B5687" s="409"/>
      <c r="C5687" s="416"/>
      <c r="D5687" s="198" t="s">
        <v>38626</v>
      </c>
      <c r="E5687" s="198">
        <v>19</v>
      </c>
      <c r="F5687" s="199" t="s">
        <v>38627</v>
      </c>
      <c r="G5687" s="1" t="s">
        <v>38628</v>
      </c>
      <c r="H5687" s="1" t="s">
        <v>38629</v>
      </c>
      <c r="I5687" s="346"/>
      <c r="J5687" s="39">
        <v>108246</v>
      </c>
      <c r="K5687" s="36" t="str">
        <f>CONCATENATE(Cover!$D$6,"fdd/view?i=",J5687)</f>
        <v>https://www.dgiwg.org/FAD/fdd/view?i=108246</v>
      </c>
      <c r="L5687" s="36" t="s">
        <v>38630</v>
      </c>
      <c r="M5687" s="186"/>
      <c r="N5687" s="186"/>
      <c r="O5687" s="172"/>
    </row>
    <row r="5688" spans="1:15" ht="25.5" x14ac:dyDescent="0.2">
      <c r="A5688" s="197" t="str">
        <f t="shared" si="88"/>
        <v>StaCode_trafficSignalStation</v>
      </c>
      <c r="B5688" s="409"/>
      <c r="C5688" s="416"/>
      <c r="D5688" s="198" t="s">
        <v>38631</v>
      </c>
      <c r="E5688" s="198">
        <v>28</v>
      </c>
      <c r="F5688" s="199" t="s">
        <v>38632</v>
      </c>
      <c r="G5688" s="1" t="s">
        <v>38633</v>
      </c>
      <c r="H5688" s="200"/>
      <c r="I5688" s="346"/>
      <c r="J5688" s="39">
        <v>108254</v>
      </c>
      <c r="K5688" s="36" t="str">
        <f>CONCATENATE(Cover!$D$6,"fdd/view?i=",J5688)</f>
        <v>https://www.dgiwg.org/FAD/fdd/view?i=108254</v>
      </c>
      <c r="L5688" s="36" t="s">
        <v>38634</v>
      </c>
      <c r="M5688" s="186"/>
      <c r="N5688" s="186"/>
      <c r="O5688" s="172"/>
    </row>
    <row r="5689" spans="1:15" ht="38.25" x14ac:dyDescent="0.2">
      <c r="A5689" s="197" t="str">
        <f t="shared" si="88"/>
        <v>StaCode_unmannedOceanoStation</v>
      </c>
      <c r="B5689" s="409"/>
      <c r="C5689" s="416"/>
      <c r="D5689" s="198" t="s">
        <v>38635</v>
      </c>
      <c r="E5689" s="198">
        <v>20</v>
      </c>
      <c r="F5689" s="199" t="s">
        <v>38636</v>
      </c>
      <c r="G5689" s="1" t="s">
        <v>38637</v>
      </c>
      <c r="H5689" s="200"/>
      <c r="I5689" s="346"/>
      <c r="J5689" s="39">
        <v>108247</v>
      </c>
      <c r="K5689" s="36" t="str">
        <f>CONCATENATE(Cover!$D$6,"fdd/view?i=",J5689)</f>
        <v>https://www.dgiwg.org/FAD/fdd/view?i=108247</v>
      </c>
      <c r="L5689" s="36" t="s">
        <v>38638</v>
      </c>
      <c r="M5689" s="186"/>
      <c r="N5689" s="186"/>
      <c r="O5689" s="172"/>
    </row>
    <row r="5690" spans="1:15" ht="25.5" x14ac:dyDescent="0.2">
      <c r="A5690" s="197" t="str">
        <f t="shared" si="88"/>
        <v>StaCode_warningSignalStation</v>
      </c>
      <c r="B5690" s="409"/>
      <c r="C5690" s="416"/>
      <c r="D5690" s="198" t="s">
        <v>38639</v>
      </c>
      <c r="E5690" s="198">
        <v>35</v>
      </c>
      <c r="F5690" s="199" t="s">
        <v>38640</v>
      </c>
      <c r="G5690" s="1" t="s">
        <v>38641</v>
      </c>
      <c r="H5690" s="200"/>
      <c r="I5690" s="346"/>
      <c r="J5690" s="39">
        <v>108261</v>
      </c>
      <c r="K5690" s="36" t="str">
        <f>CONCATENATE(Cover!$D$6,"fdd/view?i=",J5690)</f>
        <v>https://www.dgiwg.org/FAD/fdd/view?i=108261</v>
      </c>
      <c r="L5690" s="36" t="s">
        <v>38642</v>
      </c>
      <c r="M5690" s="186"/>
      <c r="N5690" s="186"/>
      <c r="O5690" s="172"/>
    </row>
    <row r="5691" spans="1:15" ht="25.5" x14ac:dyDescent="0.2">
      <c r="A5691" s="197" t="str">
        <f t="shared" si="88"/>
        <v>StaCode_waterPoliceStation</v>
      </c>
      <c r="B5691" s="409"/>
      <c r="C5691" s="416"/>
      <c r="D5691" s="198" t="s">
        <v>23211</v>
      </c>
      <c r="E5691" s="198">
        <v>3</v>
      </c>
      <c r="F5691" s="199" t="s">
        <v>23212</v>
      </c>
      <c r="G5691" s="1" t="s">
        <v>23213</v>
      </c>
      <c r="H5691" s="200"/>
      <c r="I5691" s="346"/>
      <c r="J5691" s="39">
        <v>108230</v>
      </c>
      <c r="K5691" s="36" t="str">
        <f>CONCATENATE(Cover!$D$6,"fdd/view?i=",J5691)</f>
        <v>https://www.dgiwg.org/FAD/fdd/view?i=108230</v>
      </c>
      <c r="L5691" s="36" t="s">
        <v>38643</v>
      </c>
      <c r="M5691" s="186"/>
      <c r="N5691" s="186"/>
      <c r="O5691" s="172"/>
    </row>
    <row r="5692" spans="1:15" ht="25.5" x14ac:dyDescent="0.2">
      <c r="A5692" s="203" t="str">
        <f t="shared" si="88"/>
        <v>StaCode_weatherSignalStation</v>
      </c>
      <c r="B5692" s="410"/>
      <c r="C5692" s="417"/>
      <c r="D5692" s="204" t="s">
        <v>38644</v>
      </c>
      <c r="E5692" s="204">
        <v>21</v>
      </c>
      <c r="F5692" s="205" t="s">
        <v>38645</v>
      </c>
      <c r="G5692" s="206" t="s">
        <v>37759</v>
      </c>
      <c r="H5692" s="207"/>
      <c r="I5692" s="347"/>
      <c r="J5692" s="39">
        <v>108248</v>
      </c>
      <c r="K5692" s="36" t="str">
        <f>CONCATENATE(Cover!$D$6,"fdd/view?i=",J5692)</f>
        <v>https://www.dgiwg.org/FAD/fdd/view?i=108248</v>
      </c>
      <c r="L5692" s="36" t="s">
        <v>38646</v>
      </c>
      <c r="M5692" s="186"/>
      <c r="N5692" s="186"/>
      <c r="O5692" s="172"/>
    </row>
    <row r="5693" spans="1:15" ht="25.5" x14ac:dyDescent="0.2">
      <c r="A5693" s="190" t="str">
        <f t="shared" si="88"/>
        <v>StiCode_fuel</v>
      </c>
      <c r="B5693" s="414" t="str">
        <f>HYPERLINK("[#]Datatypes!A890:L890","StiCode")</f>
        <v>StiCode</v>
      </c>
      <c r="C5693" s="415" t="s">
        <v>15479</v>
      </c>
      <c r="D5693" s="221" t="s">
        <v>38647</v>
      </c>
      <c r="E5693" s="221">
        <v>4</v>
      </c>
      <c r="F5693" s="222" t="s">
        <v>38648</v>
      </c>
      <c r="G5693" s="223" t="s">
        <v>38649</v>
      </c>
      <c r="H5693" s="223" t="s">
        <v>38650</v>
      </c>
      <c r="I5693" s="345"/>
      <c r="J5693" s="39">
        <v>112652</v>
      </c>
      <c r="K5693" s="36" t="str">
        <f>CONCATENATE(Cover!$D$6,"fdd/view?i=",J5693)</f>
        <v>https://www.dgiwg.org/FAD/fdd/view?i=112652</v>
      </c>
      <c r="L5693" s="36" t="s">
        <v>38651</v>
      </c>
      <c r="M5693" s="186"/>
      <c r="N5693" s="186"/>
      <c r="O5693" s="172"/>
    </row>
    <row r="5694" spans="1:15" x14ac:dyDescent="0.2">
      <c r="A5694" s="197" t="str">
        <f t="shared" si="88"/>
        <v>StiCode_generalCargo</v>
      </c>
      <c r="B5694" s="409"/>
      <c r="C5694" s="416"/>
      <c r="D5694" s="198" t="s">
        <v>38652</v>
      </c>
      <c r="E5694" s="198">
        <v>1</v>
      </c>
      <c r="F5694" s="199" t="s">
        <v>38653</v>
      </c>
      <c r="G5694" s="1" t="s">
        <v>38654</v>
      </c>
      <c r="H5694" s="200"/>
      <c r="I5694" s="346"/>
      <c r="J5694" s="39">
        <v>112646</v>
      </c>
      <c r="K5694" s="36" t="str">
        <f>CONCATENATE(Cover!$D$6,"fdd/view?i=",J5694)</f>
        <v>https://www.dgiwg.org/FAD/fdd/view?i=112646</v>
      </c>
      <c r="L5694" s="36" t="s">
        <v>38655</v>
      </c>
      <c r="M5694" s="186"/>
      <c r="N5694" s="186"/>
      <c r="O5694" s="172"/>
    </row>
    <row r="5695" spans="1:15" ht="25.5" x14ac:dyDescent="0.2">
      <c r="A5695" s="197" t="str">
        <f t="shared" si="88"/>
        <v>StiCode_potentialHazardCargo</v>
      </c>
      <c r="B5695" s="409"/>
      <c r="C5695" s="416"/>
      <c r="D5695" s="198" t="s">
        <v>38656</v>
      </c>
      <c r="E5695" s="198">
        <v>2</v>
      </c>
      <c r="F5695" s="199" t="s">
        <v>38657</v>
      </c>
      <c r="G5695" s="1" t="s">
        <v>38658</v>
      </c>
      <c r="H5695" s="200"/>
      <c r="I5695" s="346"/>
      <c r="J5695" s="39">
        <v>112648</v>
      </c>
      <c r="K5695" s="36" t="str">
        <f>CONCATENATE(Cover!$D$6,"fdd/view?i=",J5695)</f>
        <v>https://www.dgiwg.org/FAD/fdd/view?i=112648</v>
      </c>
      <c r="L5695" s="36" t="s">
        <v>38659</v>
      </c>
      <c r="M5695" s="186"/>
      <c r="N5695" s="186"/>
      <c r="O5695" s="172"/>
    </row>
    <row r="5696" spans="1:15" ht="25.5" x14ac:dyDescent="0.2">
      <c r="A5696" s="197" t="str">
        <f t="shared" si="88"/>
        <v>StiCode_radioEquipment</v>
      </c>
      <c r="B5696" s="409"/>
      <c r="C5696" s="416"/>
      <c r="D5696" s="198" t="s">
        <v>38660</v>
      </c>
      <c r="E5696" s="198">
        <v>8</v>
      </c>
      <c r="F5696" s="199" t="s">
        <v>38661</v>
      </c>
      <c r="G5696" s="1" t="s">
        <v>38662</v>
      </c>
      <c r="H5696" s="200"/>
      <c r="I5696" s="346"/>
      <c r="J5696" s="39">
        <v>119327</v>
      </c>
      <c r="K5696" s="36" t="str">
        <f>CONCATENATE(Cover!$D$6,"fdd/view?i=",J5696)</f>
        <v>https://www.dgiwg.org/FAD/fdd/view?i=119327</v>
      </c>
      <c r="L5696" s="36" t="s">
        <v>38663</v>
      </c>
      <c r="M5696" s="186"/>
      <c r="N5696" s="186"/>
      <c r="O5696" s="172"/>
    </row>
    <row r="5697" spans="1:15" ht="25.5" x14ac:dyDescent="0.2">
      <c r="A5697" s="197" t="str">
        <f t="shared" si="88"/>
        <v>StiCode_safetyEquipment</v>
      </c>
      <c r="B5697" s="409"/>
      <c r="C5697" s="416"/>
      <c r="D5697" s="198" t="s">
        <v>38664</v>
      </c>
      <c r="E5697" s="198">
        <v>9</v>
      </c>
      <c r="F5697" s="199" t="s">
        <v>38665</v>
      </c>
      <c r="G5697" s="1" t="s">
        <v>38666</v>
      </c>
      <c r="H5697" s="200"/>
      <c r="I5697" s="346"/>
      <c r="J5697" s="39">
        <v>119328</v>
      </c>
      <c r="K5697" s="36" t="str">
        <f>CONCATENATE(Cover!$D$6,"fdd/view?i=",J5697)</f>
        <v>https://www.dgiwg.org/FAD/fdd/view?i=119328</v>
      </c>
      <c r="L5697" s="36" t="s">
        <v>38667</v>
      </c>
      <c r="M5697" s="186"/>
      <c r="N5697" s="186"/>
      <c r="O5697" s="172"/>
    </row>
    <row r="5698" spans="1:15" ht="25.5" x14ac:dyDescent="0.2">
      <c r="A5698" s="197" t="str">
        <f t="shared" ref="A5698:A5761" si="89">HYPERLINK(K5698,L5698)</f>
        <v>StiCode_significantMoney</v>
      </c>
      <c r="B5698" s="409"/>
      <c r="C5698" s="416"/>
      <c r="D5698" s="198" t="s">
        <v>38668</v>
      </c>
      <c r="E5698" s="198">
        <v>3</v>
      </c>
      <c r="F5698" s="199" t="s">
        <v>38669</v>
      </c>
      <c r="G5698" s="1" t="s">
        <v>38670</v>
      </c>
      <c r="H5698" s="200"/>
      <c r="I5698" s="346"/>
      <c r="J5698" s="39">
        <v>112650</v>
      </c>
      <c r="K5698" s="36" t="str">
        <f>CONCATENATE(Cover!$D$6,"fdd/view?i=",J5698)</f>
        <v>https://www.dgiwg.org/FAD/fdd/view?i=112650</v>
      </c>
      <c r="L5698" s="36" t="s">
        <v>38671</v>
      </c>
      <c r="M5698" s="186"/>
      <c r="N5698" s="186"/>
      <c r="O5698" s="172"/>
    </row>
    <row r="5699" spans="1:15" x14ac:dyDescent="0.2">
      <c r="A5699" s="197" t="str">
        <f t="shared" si="89"/>
        <v>StiCode_spareParts</v>
      </c>
      <c r="B5699" s="409"/>
      <c r="C5699" s="416"/>
      <c r="D5699" s="198" t="s">
        <v>38672</v>
      </c>
      <c r="E5699" s="198">
        <v>6</v>
      </c>
      <c r="F5699" s="199" t="s">
        <v>38673</v>
      </c>
      <c r="G5699" s="1" t="s">
        <v>38674</v>
      </c>
      <c r="H5699" s="200"/>
      <c r="I5699" s="346"/>
      <c r="J5699" s="39">
        <v>112656</v>
      </c>
      <c r="K5699" s="36" t="str">
        <f>CONCATENATE(Cover!$D$6,"fdd/view?i=",J5699)</f>
        <v>https://www.dgiwg.org/FAD/fdd/view?i=112656</v>
      </c>
      <c r="L5699" s="36" t="s">
        <v>38675</v>
      </c>
      <c r="M5699" s="186"/>
      <c r="N5699" s="186"/>
      <c r="O5699" s="172"/>
    </row>
    <row r="5700" spans="1:15" ht="25.5" x14ac:dyDescent="0.2">
      <c r="A5700" s="197" t="str">
        <f t="shared" si="89"/>
        <v>StiCode_vesselStores</v>
      </c>
      <c r="B5700" s="409"/>
      <c r="C5700" s="416"/>
      <c r="D5700" s="198" t="s">
        <v>38676</v>
      </c>
      <c r="E5700" s="198">
        <v>5</v>
      </c>
      <c r="F5700" s="199" t="s">
        <v>38677</v>
      </c>
      <c r="G5700" s="1" t="s">
        <v>38678</v>
      </c>
      <c r="H5700" s="200"/>
      <c r="I5700" s="346"/>
      <c r="J5700" s="39">
        <v>112654</v>
      </c>
      <c r="K5700" s="36" t="str">
        <f>CONCATENATE(Cover!$D$6,"fdd/view?i=",J5700)</f>
        <v>https://www.dgiwg.org/FAD/fdd/view?i=112654</v>
      </c>
      <c r="L5700" s="36" t="s">
        <v>38679</v>
      </c>
      <c r="M5700" s="186"/>
      <c r="N5700" s="186"/>
      <c r="O5700" s="172"/>
    </row>
    <row r="5701" spans="1:15" x14ac:dyDescent="0.2">
      <c r="A5701" s="203" t="str">
        <f t="shared" si="89"/>
        <v>StiCode_weapons</v>
      </c>
      <c r="B5701" s="410"/>
      <c r="C5701" s="417"/>
      <c r="D5701" s="204" t="s">
        <v>38680</v>
      </c>
      <c r="E5701" s="204">
        <v>7</v>
      </c>
      <c r="F5701" s="205" t="s">
        <v>38681</v>
      </c>
      <c r="G5701" s="206" t="s">
        <v>38682</v>
      </c>
      <c r="H5701" s="207"/>
      <c r="I5701" s="347"/>
      <c r="J5701" s="39">
        <v>112658</v>
      </c>
      <c r="K5701" s="36" t="str">
        <f>CONCATENATE(Cover!$D$6,"fdd/view?i=",J5701)</f>
        <v>https://www.dgiwg.org/FAD/fdd/view?i=112658</v>
      </c>
      <c r="L5701" s="36" t="s">
        <v>38683</v>
      </c>
      <c r="M5701" s="186"/>
      <c r="N5701" s="186"/>
      <c r="O5701" s="172"/>
    </row>
    <row r="5702" spans="1:15" ht="51" x14ac:dyDescent="0.2">
      <c r="A5702" s="190" t="str">
        <f t="shared" si="89"/>
        <v>MttCode_basedOnFixedMarks</v>
      </c>
      <c r="B5702" s="414" t="str">
        <f>HYPERLINK("[#]Datatypes!A892:L892","MttCode")</f>
        <v>MttCode</v>
      </c>
      <c r="C5702" s="415" t="s">
        <v>15481</v>
      </c>
      <c r="D5702" s="221" t="s">
        <v>38684</v>
      </c>
      <c r="E5702" s="221">
        <v>1</v>
      </c>
      <c r="F5702" s="222" t="s">
        <v>38685</v>
      </c>
      <c r="G5702" s="223" t="s">
        <v>38686</v>
      </c>
      <c r="H5702" s="223" t="s">
        <v>38687</v>
      </c>
      <c r="I5702" s="345"/>
      <c r="J5702" s="39">
        <v>105941</v>
      </c>
      <c r="K5702" s="36" t="str">
        <f>CONCATENATE(Cover!$D$6,"fdd/view?i=",J5702)</f>
        <v>https://www.dgiwg.org/FAD/fdd/view?i=105941</v>
      </c>
      <c r="L5702" s="36" t="s">
        <v>38688</v>
      </c>
      <c r="M5702" s="186"/>
      <c r="N5702" s="186"/>
      <c r="O5702" s="172"/>
    </row>
    <row r="5703" spans="1:15" ht="25.5" x14ac:dyDescent="0.2">
      <c r="A5703" s="197" t="str">
        <f t="shared" si="89"/>
        <v>MttCode_mandatoryDirection</v>
      </c>
      <c r="B5703" s="409"/>
      <c r="C5703" s="416"/>
      <c r="D5703" s="198" t="s">
        <v>38689</v>
      </c>
      <c r="E5703" s="198">
        <v>4</v>
      </c>
      <c r="F5703" s="199" t="s">
        <v>38690</v>
      </c>
      <c r="G5703" s="200"/>
      <c r="H5703" s="200"/>
      <c r="I5703" s="346"/>
      <c r="J5703" s="39">
        <v>105944</v>
      </c>
      <c r="K5703" s="36" t="str">
        <f>CONCATENATE(Cover!$D$6,"fdd/view?i=",J5703)</f>
        <v>https://www.dgiwg.org/FAD/fdd/view?i=105944</v>
      </c>
      <c r="L5703" s="36" t="s">
        <v>38691</v>
      </c>
      <c r="M5703" s="186"/>
      <c r="N5703" s="186"/>
      <c r="O5703" s="172"/>
    </row>
    <row r="5704" spans="1:15" ht="25.5" x14ac:dyDescent="0.2">
      <c r="A5704" s="197" t="str">
        <f t="shared" si="89"/>
        <v>MttCode_maximumAuthorizedDraft</v>
      </c>
      <c r="B5704" s="409"/>
      <c r="C5704" s="416"/>
      <c r="D5704" s="198" t="s">
        <v>38692</v>
      </c>
      <c r="E5704" s="198">
        <v>3</v>
      </c>
      <c r="F5704" s="199" t="s">
        <v>38693</v>
      </c>
      <c r="G5704" s="200"/>
      <c r="H5704" s="200"/>
      <c r="I5704" s="346"/>
      <c r="J5704" s="39">
        <v>105943</v>
      </c>
      <c r="K5704" s="36" t="str">
        <f>CONCATENATE(Cover!$D$6,"fdd/view?i=",J5704)</f>
        <v>https://www.dgiwg.org/FAD/fdd/view?i=105943</v>
      </c>
      <c r="L5704" s="36" t="s">
        <v>38694</v>
      </c>
      <c r="M5704" s="186"/>
      <c r="N5704" s="186"/>
      <c r="O5704" s="172"/>
    </row>
    <row r="5705" spans="1:15" ht="25.5" x14ac:dyDescent="0.2">
      <c r="A5705" s="197" t="str">
        <f t="shared" si="89"/>
        <v>MttCode_notBasedOnFixedMarks</v>
      </c>
      <c r="B5705" s="409"/>
      <c r="C5705" s="416"/>
      <c r="D5705" s="198" t="s">
        <v>38695</v>
      </c>
      <c r="E5705" s="198">
        <v>2</v>
      </c>
      <c r="F5705" s="199" t="s">
        <v>38696</v>
      </c>
      <c r="G5705" s="1" t="s">
        <v>38697</v>
      </c>
      <c r="H5705" s="200"/>
      <c r="I5705" s="346"/>
      <c r="J5705" s="39">
        <v>105942</v>
      </c>
      <c r="K5705" s="36" t="str">
        <f>CONCATENATE(Cover!$D$6,"fdd/view?i=",J5705)</f>
        <v>https://www.dgiwg.org/FAD/fdd/view?i=105942</v>
      </c>
      <c r="L5705" s="36" t="s">
        <v>38698</v>
      </c>
      <c r="M5705" s="186"/>
      <c r="N5705" s="186"/>
      <c r="O5705" s="172"/>
    </row>
    <row r="5706" spans="1:15" ht="25.5" x14ac:dyDescent="0.2">
      <c r="A5706" s="203" t="str">
        <f t="shared" si="89"/>
        <v>MttCode_recommendedDirection</v>
      </c>
      <c r="B5706" s="410"/>
      <c r="C5706" s="417"/>
      <c r="D5706" s="204" t="s">
        <v>38699</v>
      </c>
      <c r="E5706" s="204">
        <v>5</v>
      </c>
      <c r="F5706" s="205" t="s">
        <v>38700</v>
      </c>
      <c r="G5706" s="207"/>
      <c r="H5706" s="207"/>
      <c r="I5706" s="347"/>
      <c r="J5706" s="39">
        <v>105945</v>
      </c>
      <c r="K5706" s="36" t="str">
        <f>CONCATENATE(Cover!$D$6,"fdd/view?i=",J5706)</f>
        <v>https://www.dgiwg.org/FAD/fdd/view?i=105945</v>
      </c>
      <c r="L5706" s="36" t="s">
        <v>38701</v>
      </c>
      <c r="M5706" s="186"/>
      <c r="N5706" s="186"/>
      <c r="O5706" s="172"/>
    </row>
    <row r="5707" spans="1:15" x14ac:dyDescent="0.2">
      <c r="A5707" s="190" t="str">
        <f t="shared" si="89"/>
        <v>TspCode_boundary</v>
      </c>
      <c r="B5707" s="414" t="str">
        <f>HYPERLINK("[#]Datatypes!A894:L894","TspCode")</f>
        <v>TspCode</v>
      </c>
      <c r="C5707" s="415" t="s">
        <v>15483</v>
      </c>
      <c r="D5707" s="221" t="s">
        <v>19928</v>
      </c>
      <c r="E5707" s="221">
        <v>2</v>
      </c>
      <c r="F5707" s="222" t="s">
        <v>2314</v>
      </c>
      <c r="G5707" s="223" t="s">
        <v>38702</v>
      </c>
      <c r="H5707" s="224"/>
      <c r="I5707" s="345"/>
      <c r="J5707" s="39">
        <v>108752</v>
      </c>
      <c r="K5707" s="36" t="str">
        <f>CONCATENATE(Cover!$D$6,"fdd/view?i=",J5707)</f>
        <v>https://www.dgiwg.org/FAD/fdd/view?i=108752</v>
      </c>
      <c r="L5707" s="36" t="s">
        <v>38703</v>
      </c>
      <c r="M5707" s="186"/>
      <c r="N5707" s="186"/>
      <c r="O5707" s="172"/>
    </row>
    <row r="5708" spans="1:15" x14ac:dyDescent="0.2">
      <c r="A5708" s="197" t="str">
        <f t="shared" si="89"/>
        <v>TspCode_crossing</v>
      </c>
      <c r="B5708" s="409"/>
      <c r="C5708" s="416"/>
      <c r="D5708" s="198" t="s">
        <v>24029</v>
      </c>
      <c r="E5708" s="198">
        <v>10</v>
      </c>
      <c r="F5708" s="199" t="s">
        <v>2669</v>
      </c>
      <c r="G5708" s="1" t="s">
        <v>38704</v>
      </c>
      <c r="H5708" s="200"/>
      <c r="I5708" s="346"/>
      <c r="J5708" s="39">
        <v>111267</v>
      </c>
      <c r="K5708" s="36" t="str">
        <f>CONCATENATE(Cover!$D$6,"fdd/view?i=",J5708)</f>
        <v>https://www.dgiwg.org/FAD/fdd/view?i=111267</v>
      </c>
      <c r="L5708" s="36" t="s">
        <v>38705</v>
      </c>
      <c r="M5708" s="186"/>
      <c r="N5708" s="186"/>
      <c r="O5708" s="172"/>
    </row>
    <row r="5709" spans="1:15" ht="63.75" x14ac:dyDescent="0.2">
      <c r="A5709" s="197" t="str">
        <f t="shared" si="89"/>
        <v>TspCode_inboundLane</v>
      </c>
      <c r="B5709" s="409"/>
      <c r="C5709" s="416"/>
      <c r="D5709" s="198" t="s">
        <v>38706</v>
      </c>
      <c r="E5709" s="198">
        <v>6</v>
      </c>
      <c r="F5709" s="199" t="s">
        <v>38707</v>
      </c>
      <c r="G5709" s="1" t="s">
        <v>38708</v>
      </c>
      <c r="H5709" s="1" t="s">
        <v>38709</v>
      </c>
      <c r="I5709" s="346"/>
      <c r="J5709" s="39">
        <v>108756</v>
      </c>
      <c r="K5709" s="36" t="str">
        <f>CONCATENATE(Cover!$D$6,"fdd/view?i=",J5709)</f>
        <v>https://www.dgiwg.org/FAD/fdd/view?i=108756</v>
      </c>
      <c r="L5709" s="36" t="s">
        <v>38710</v>
      </c>
      <c r="M5709" s="186"/>
      <c r="N5709" s="186"/>
      <c r="O5709" s="172"/>
    </row>
    <row r="5710" spans="1:15" ht="51" x14ac:dyDescent="0.2">
      <c r="A5710" s="197" t="str">
        <f t="shared" si="89"/>
        <v>TspCode_inshoreTrafficZone</v>
      </c>
      <c r="B5710" s="409"/>
      <c r="C5710" s="416"/>
      <c r="D5710" s="198" t="s">
        <v>38711</v>
      </c>
      <c r="E5710" s="198">
        <v>12</v>
      </c>
      <c r="F5710" s="199" t="s">
        <v>3667</v>
      </c>
      <c r="G5710" s="1" t="s">
        <v>3668</v>
      </c>
      <c r="H5710" s="200"/>
      <c r="I5710" s="346"/>
      <c r="J5710" s="39">
        <v>111160</v>
      </c>
      <c r="K5710" s="36" t="str">
        <f>CONCATENATE(Cover!$D$6,"fdd/view?i=",J5710)</f>
        <v>https://www.dgiwg.org/FAD/fdd/view?i=111160</v>
      </c>
      <c r="L5710" s="36" t="s">
        <v>38712</v>
      </c>
      <c r="M5710" s="186"/>
      <c r="N5710" s="186"/>
      <c r="O5710" s="172"/>
    </row>
    <row r="5711" spans="1:15" ht="25.5" x14ac:dyDescent="0.2">
      <c r="A5711" s="197" t="str">
        <f t="shared" si="89"/>
        <v>TspCode_lanePart</v>
      </c>
      <c r="B5711" s="409"/>
      <c r="C5711" s="416"/>
      <c r="D5711" s="198" t="s">
        <v>38713</v>
      </c>
      <c r="E5711" s="198">
        <v>8</v>
      </c>
      <c r="F5711" s="199" t="s">
        <v>38714</v>
      </c>
      <c r="G5711" s="1" t="s">
        <v>38715</v>
      </c>
      <c r="H5711" s="200"/>
      <c r="I5711" s="346"/>
      <c r="J5711" s="39">
        <v>111265</v>
      </c>
      <c r="K5711" s="36" t="str">
        <f>CONCATENATE(Cover!$D$6,"fdd/view?i=",J5711)</f>
        <v>https://www.dgiwg.org/FAD/fdd/view?i=111265</v>
      </c>
      <c r="L5711" s="36" t="s">
        <v>38716</v>
      </c>
      <c r="M5711" s="186"/>
      <c r="N5711" s="186"/>
      <c r="O5711" s="172"/>
    </row>
    <row r="5712" spans="1:15" ht="51" x14ac:dyDescent="0.2">
      <c r="A5712" s="197" t="str">
        <f t="shared" si="89"/>
        <v>TspCode_line</v>
      </c>
      <c r="B5712" s="409"/>
      <c r="C5712" s="416"/>
      <c r="D5712" s="198" t="s">
        <v>38717</v>
      </c>
      <c r="E5712" s="198">
        <v>4</v>
      </c>
      <c r="F5712" s="199" t="s">
        <v>38718</v>
      </c>
      <c r="G5712" s="1" t="s">
        <v>38719</v>
      </c>
      <c r="H5712" s="200"/>
      <c r="I5712" s="346"/>
      <c r="J5712" s="39">
        <v>108754</v>
      </c>
      <c r="K5712" s="36" t="str">
        <f>CONCATENATE(Cover!$D$6,"fdd/view?i=",J5712)</f>
        <v>https://www.dgiwg.org/FAD/fdd/view?i=108754</v>
      </c>
      <c r="L5712" s="36" t="s">
        <v>38720</v>
      </c>
      <c r="M5712" s="186"/>
      <c r="N5712" s="186"/>
      <c r="O5712" s="172"/>
    </row>
    <row r="5713" spans="1:15" ht="63.75" x14ac:dyDescent="0.2">
      <c r="A5713" s="197" t="str">
        <f t="shared" si="89"/>
        <v>TspCode_outboundLane</v>
      </c>
      <c r="B5713" s="409"/>
      <c r="C5713" s="416"/>
      <c r="D5713" s="198" t="s">
        <v>38721</v>
      </c>
      <c r="E5713" s="198">
        <v>7</v>
      </c>
      <c r="F5713" s="199" t="s">
        <v>38722</v>
      </c>
      <c r="G5713" s="1" t="s">
        <v>38723</v>
      </c>
      <c r="H5713" s="1" t="s">
        <v>38724</v>
      </c>
      <c r="I5713" s="346"/>
      <c r="J5713" s="39">
        <v>108757</v>
      </c>
      <c r="K5713" s="36" t="str">
        <f>CONCATENATE(Cover!$D$6,"fdd/view?i=",J5713)</f>
        <v>https://www.dgiwg.org/FAD/fdd/view?i=108757</v>
      </c>
      <c r="L5713" s="36" t="s">
        <v>38725</v>
      </c>
      <c r="M5713" s="186"/>
      <c r="N5713" s="186"/>
      <c r="O5713" s="172"/>
    </row>
    <row r="5714" spans="1:15" ht="25.5" x14ac:dyDescent="0.2">
      <c r="A5714" s="197" t="str">
        <f t="shared" si="89"/>
        <v>TspCode_point</v>
      </c>
      <c r="B5714" s="409"/>
      <c r="C5714" s="416"/>
      <c r="D5714" s="198" t="s">
        <v>38726</v>
      </c>
      <c r="E5714" s="198">
        <v>5</v>
      </c>
      <c r="F5714" s="199" t="s">
        <v>38727</v>
      </c>
      <c r="G5714" s="1" t="s">
        <v>38728</v>
      </c>
      <c r="H5714" s="200"/>
      <c r="I5714" s="346"/>
      <c r="J5714" s="39">
        <v>108755</v>
      </c>
      <c r="K5714" s="36" t="str">
        <f>CONCATENATE(Cover!$D$6,"fdd/view?i=",J5714)</f>
        <v>https://www.dgiwg.org/FAD/fdd/view?i=108755</v>
      </c>
      <c r="L5714" s="36" t="s">
        <v>38729</v>
      </c>
      <c r="M5714" s="186"/>
      <c r="N5714" s="186"/>
      <c r="O5714" s="172"/>
    </row>
    <row r="5715" spans="1:15" ht="38.25" x14ac:dyDescent="0.2">
      <c r="A5715" s="197" t="str">
        <f t="shared" si="89"/>
        <v>TspCode_precautionaryArea</v>
      </c>
      <c r="B5715" s="409"/>
      <c r="C5715" s="416"/>
      <c r="D5715" s="198" t="s">
        <v>38730</v>
      </c>
      <c r="E5715" s="198">
        <v>11</v>
      </c>
      <c r="F5715" s="199" t="s">
        <v>38731</v>
      </c>
      <c r="G5715" s="1" t="s">
        <v>38732</v>
      </c>
      <c r="H5715" s="1" t="s">
        <v>38733</v>
      </c>
      <c r="I5715" s="346"/>
      <c r="J5715" s="39">
        <v>111268</v>
      </c>
      <c r="K5715" s="36" t="str">
        <f>CONCATENATE(Cover!$D$6,"fdd/view?i=",J5715)</f>
        <v>https://www.dgiwg.org/FAD/fdd/view?i=111268</v>
      </c>
      <c r="L5715" s="36" t="s">
        <v>38734</v>
      </c>
      <c r="M5715" s="186"/>
      <c r="N5715" s="186"/>
      <c r="O5715" s="172"/>
    </row>
    <row r="5716" spans="1:15" ht="25.5" x14ac:dyDescent="0.2">
      <c r="A5716" s="197" t="str">
        <f t="shared" si="89"/>
        <v>TspCode_roundabout</v>
      </c>
      <c r="B5716" s="409"/>
      <c r="C5716" s="416"/>
      <c r="D5716" s="198" t="s">
        <v>38735</v>
      </c>
      <c r="E5716" s="198">
        <v>9</v>
      </c>
      <c r="F5716" s="199" t="s">
        <v>38736</v>
      </c>
      <c r="G5716" s="1" t="s">
        <v>38737</v>
      </c>
      <c r="H5716" s="200"/>
      <c r="I5716" s="346"/>
      <c r="J5716" s="39">
        <v>111266</v>
      </c>
      <c r="K5716" s="36" t="str">
        <f>CONCATENATE(Cover!$D$6,"fdd/view?i=",J5716)</f>
        <v>https://www.dgiwg.org/FAD/fdd/view?i=111266</v>
      </c>
      <c r="L5716" s="36" t="s">
        <v>38738</v>
      </c>
      <c r="M5716" s="186"/>
      <c r="N5716" s="186"/>
      <c r="O5716" s="172"/>
    </row>
    <row r="5717" spans="1:15" ht="51" x14ac:dyDescent="0.2">
      <c r="A5717" s="203" t="str">
        <f t="shared" si="89"/>
        <v>TspCode_separationZone</v>
      </c>
      <c r="B5717" s="410"/>
      <c r="C5717" s="417"/>
      <c r="D5717" s="204" t="s">
        <v>38739</v>
      </c>
      <c r="E5717" s="204">
        <v>3</v>
      </c>
      <c r="F5717" s="205" t="s">
        <v>38740</v>
      </c>
      <c r="G5717" s="206" t="s">
        <v>38741</v>
      </c>
      <c r="H5717" s="207"/>
      <c r="I5717" s="347"/>
      <c r="J5717" s="39">
        <v>108753</v>
      </c>
      <c r="K5717" s="36" t="str">
        <f>CONCATENATE(Cover!$D$6,"fdd/view?i=",J5717)</f>
        <v>https://www.dgiwg.org/FAD/fdd/view?i=108753</v>
      </c>
      <c r="L5717" s="36" t="s">
        <v>38742</v>
      </c>
      <c r="M5717" s="186"/>
      <c r="N5717" s="186"/>
      <c r="O5717" s="172"/>
    </row>
    <row r="5718" spans="1:15" ht="51" x14ac:dyDescent="0.2">
      <c r="A5718" s="190" t="str">
        <f t="shared" si="89"/>
        <v>MclCode_boneShapedFanMarker</v>
      </c>
      <c r="B5718" s="414" t="str">
        <f>HYPERLINK("[#]Datatypes!A896:L896","MclCode")</f>
        <v>MclCode</v>
      </c>
      <c r="C5718" s="415" t="s">
        <v>15485</v>
      </c>
      <c r="D5718" s="221" t="s">
        <v>38743</v>
      </c>
      <c r="E5718" s="221">
        <v>4</v>
      </c>
      <c r="F5718" s="222" t="s">
        <v>38744</v>
      </c>
      <c r="G5718" s="223" t="s">
        <v>38745</v>
      </c>
      <c r="H5718" s="224"/>
      <c r="I5718" s="345"/>
      <c r="J5718" s="39">
        <v>119639</v>
      </c>
      <c r="K5718" s="36" t="str">
        <f>CONCATENATE(Cover!$D$6,"fdd/view?i=",J5718)</f>
        <v>https://www.dgiwg.org/FAD/fdd/view?i=119639</v>
      </c>
      <c r="L5718" s="36" t="s">
        <v>38746</v>
      </c>
      <c r="M5718" s="186"/>
      <c r="N5718" s="186"/>
      <c r="O5718" s="172"/>
    </row>
    <row r="5719" spans="1:15" ht="25.5" x14ac:dyDescent="0.2">
      <c r="A5719" s="197" t="str">
        <f t="shared" si="89"/>
        <v>MclCode_fanMarker</v>
      </c>
      <c r="B5719" s="409"/>
      <c r="C5719" s="416"/>
      <c r="D5719" s="198" t="s">
        <v>38747</v>
      </c>
      <c r="E5719" s="198">
        <v>1</v>
      </c>
      <c r="F5719" s="199" t="s">
        <v>38748</v>
      </c>
      <c r="G5719" s="1" t="s">
        <v>38749</v>
      </c>
      <c r="H5719" s="200"/>
      <c r="I5719" s="346"/>
      <c r="J5719" s="39">
        <v>115128</v>
      </c>
      <c r="K5719" s="36" t="str">
        <f>CONCATENATE(Cover!$D$6,"fdd/view?i=",J5719)</f>
        <v>https://www.dgiwg.org/FAD/fdd/view?i=115128</v>
      </c>
      <c r="L5719" s="36" t="s">
        <v>38750</v>
      </c>
      <c r="M5719" s="186"/>
      <c r="N5719" s="186"/>
      <c r="O5719" s="13" t="s">
        <v>35318</v>
      </c>
    </row>
    <row r="5720" spans="1:15" ht="38.25" x14ac:dyDescent="0.2">
      <c r="A5720" s="197" t="str">
        <f t="shared" si="89"/>
        <v>MclCode_lowPoweredFanMarker</v>
      </c>
      <c r="B5720" s="409"/>
      <c r="C5720" s="416"/>
      <c r="D5720" s="198" t="s">
        <v>38752</v>
      </c>
      <c r="E5720" s="198">
        <v>2</v>
      </c>
      <c r="F5720" s="199" t="s">
        <v>38753</v>
      </c>
      <c r="G5720" s="1" t="s">
        <v>38754</v>
      </c>
      <c r="H5720" s="1" t="s">
        <v>38755</v>
      </c>
      <c r="I5720" s="346"/>
      <c r="J5720" s="39">
        <v>115129</v>
      </c>
      <c r="K5720" s="36" t="str">
        <f>CONCATENATE(Cover!$D$6,"fdd/view?i=",J5720)</f>
        <v>https://www.dgiwg.org/FAD/fdd/view?i=115129</v>
      </c>
      <c r="L5720" s="36" t="s">
        <v>38756</v>
      </c>
      <c r="M5720" s="186"/>
      <c r="N5720" s="186"/>
      <c r="O5720" s="13" t="s">
        <v>38751</v>
      </c>
    </row>
    <row r="5721" spans="1:15" ht="25.5" x14ac:dyDescent="0.2">
      <c r="A5721" s="203" t="str">
        <f t="shared" si="89"/>
        <v>MclCode_zMarker</v>
      </c>
      <c r="B5721" s="410"/>
      <c r="C5721" s="417"/>
      <c r="D5721" s="204" t="s">
        <v>38758</v>
      </c>
      <c r="E5721" s="204">
        <v>3</v>
      </c>
      <c r="F5721" s="205" t="s">
        <v>38759</v>
      </c>
      <c r="G5721" s="206" t="s">
        <v>38760</v>
      </c>
      <c r="H5721" s="207"/>
      <c r="I5721" s="347"/>
      <c r="J5721" s="39">
        <v>115130</v>
      </c>
      <c r="K5721" s="36" t="str">
        <f>CONCATENATE(Cover!$D$6,"fdd/view?i=",J5721)</f>
        <v>https://www.dgiwg.org/FAD/fdd/view?i=115130</v>
      </c>
      <c r="L5721" s="36" t="s">
        <v>38761</v>
      </c>
      <c r="M5721" s="186"/>
      <c r="N5721" s="186"/>
      <c r="O5721" s="13" t="s">
        <v>38757</v>
      </c>
    </row>
    <row r="5722" spans="1:15" ht="51" x14ac:dyDescent="0.2">
      <c r="A5722" s="190" t="str">
        <f t="shared" si="89"/>
        <v>MbtCode_backcourse</v>
      </c>
      <c r="B5722" s="414" t="str">
        <f>HYPERLINK("[#]Datatypes!A898:L898","MbtCode")</f>
        <v>MbtCode</v>
      </c>
      <c r="C5722" s="415" t="s">
        <v>15487</v>
      </c>
      <c r="D5722" s="221" t="s">
        <v>38762</v>
      </c>
      <c r="E5722" s="221">
        <v>1</v>
      </c>
      <c r="F5722" s="222" t="s">
        <v>38763</v>
      </c>
      <c r="G5722" s="223" t="s">
        <v>38764</v>
      </c>
      <c r="H5722" s="223" t="s">
        <v>38765</v>
      </c>
      <c r="I5722" s="345"/>
      <c r="J5722" s="39">
        <v>115337</v>
      </c>
      <c r="K5722" s="36" t="str">
        <f>CONCATENATE(Cover!$D$6,"fdd/view?i=",J5722)</f>
        <v>https://www.dgiwg.org/FAD/fdd/view?i=115337</v>
      </c>
      <c r="L5722" s="36" t="s">
        <v>38766</v>
      </c>
      <c r="M5722" s="186"/>
      <c r="N5722" s="186"/>
      <c r="O5722" s="13" t="s">
        <v>20664</v>
      </c>
    </row>
    <row r="5723" spans="1:15" ht="102" x14ac:dyDescent="0.2">
      <c r="A5723" s="197" t="str">
        <f t="shared" si="89"/>
        <v>MbtCode_inner</v>
      </c>
      <c r="B5723" s="409"/>
      <c r="C5723" s="416"/>
      <c r="D5723" s="198" t="s">
        <v>38767</v>
      </c>
      <c r="E5723" s="198">
        <v>2</v>
      </c>
      <c r="F5723" s="199" t="s">
        <v>38768</v>
      </c>
      <c r="G5723" s="1" t="s">
        <v>38769</v>
      </c>
      <c r="H5723" s="1" t="s">
        <v>38770</v>
      </c>
      <c r="I5723" s="346"/>
      <c r="J5723" s="39">
        <v>115338</v>
      </c>
      <c r="K5723" s="36" t="str">
        <f>CONCATENATE(Cover!$D$6,"fdd/view?i=",J5723)</f>
        <v>https://www.dgiwg.org/FAD/fdd/view?i=115338</v>
      </c>
      <c r="L5723" s="36" t="s">
        <v>38771</v>
      </c>
      <c r="M5723" s="186"/>
      <c r="N5723" s="186"/>
      <c r="O5723" s="13" t="s">
        <v>31939</v>
      </c>
    </row>
    <row r="5724" spans="1:15" ht="127.5" x14ac:dyDescent="0.2">
      <c r="A5724" s="197" t="str">
        <f t="shared" si="89"/>
        <v>MbtCode_middle</v>
      </c>
      <c r="B5724" s="409"/>
      <c r="C5724" s="416"/>
      <c r="D5724" s="198" t="s">
        <v>32239</v>
      </c>
      <c r="E5724" s="198">
        <v>3</v>
      </c>
      <c r="F5724" s="199" t="s">
        <v>32240</v>
      </c>
      <c r="G5724" s="1" t="s">
        <v>38773</v>
      </c>
      <c r="H5724" s="1" t="s">
        <v>38774</v>
      </c>
      <c r="I5724" s="346"/>
      <c r="J5724" s="39">
        <v>115339</v>
      </c>
      <c r="K5724" s="36" t="str">
        <f>CONCATENATE(Cover!$D$6,"fdd/view?i=",J5724)</f>
        <v>https://www.dgiwg.org/FAD/fdd/view?i=115339</v>
      </c>
      <c r="L5724" s="36" t="s">
        <v>38775</v>
      </c>
      <c r="M5724" s="186"/>
      <c r="N5724" s="186"/>
      <c r="O5724" s="13" t="s">
        <v>38772</v>
      </c>
    </row>
    <row r="5725" spans="1:15" ht="76.5" x14ac:dyDescent="0.2">
      <c r="A5725" s="203" t="str">
        <f t="shared" si="89"/>
        <v>MbtCode_outer</v>
      </c>
      <c r="B5725" s="410"/>
      <c r="C5725" s="417"/>
      <c r="D5725" s="204" t="s">
        <v>38777</v>
      </c>
      <c r="E5725" s="204">
        <v>4</v>
      </c>
      <c r="F5725" s="205" t="s">
        <v>38778</v>
      </c>
      <c r="G5725" s="206" t="s">
        <v>38779</v>
      </c>
      <c r="H5725" s="206" t="s">
        <v>38780</v>
      </c>
      <c r="I5725" s="347"/>
      <c r="J5725" s="39">
        <v>115340</v>
      </c>
      <c r="K5725" s="36" t="str">
        <f>CONCATENATE(Cover!$D$6,"fdd/view?i=",J5725)</f>
        <v>https://www.dgiwg.org/FAD/fdd/view?i=115340</v>
      </c>
      <c r="L5725" s="36" t="s">
        <v>38781</v>
      </c>
      <c r="M5725" s="186"/>
      <c r="N5725" s="186"/>
      <c r="O5725" s="13" t="s">
        <v>38776</v>
      </c>
    </row>
    <row r="5726" spans="1:15" ht="38.25" x14ac:dyDescent="0.2">
      <c r="A5726" s="190" t="str">
        <f t="shared" si="89"/>
        <v>MtyCode_shallowBasinMarsh</v>
      </c>
      <c r="B5726" s="414" t="str">
        <f>HYPERLINK("[#]Datatypes!A900:L900","MtyCode")</f>
        <v>MtyCode</v>
      </c>
      <c r="C5726" s="415" t="s">
        <v>15489</v>
      </c>
      <c r="D5726" s="221" t="s">
        <v>38782</v>
      </c>
      <c r="E5726" s="221">
        <v>1</v>
      </c>
      <c r="F5726" s="222" t="s">
        <v>38783</v>
      </c>
      <c r="G5726" s="223" t="s">
        <v>38784</v>
      </c>
      <c r="H5726" s="223" t="s">
        <v>38785</v>
      </c>
      <c r="I5726" s="345"/>
      <c r="J5726" s="39">
        <v>110275</v>
      </c>
      <c r="K5726" s="36" t="str">
        <f>CONCATENATE(Cover!$D$6,"fdd/view?i=",J5726)</f>
        <v>https://www.dgiwg.org/FAD/fdd/view?i=110275</v>
      </c>
      <c r="L5726" s="36" t="s">
        <v>38786</v>
      </c>
      <c r="M5726" s="186"/>
      <c r="N5726" s="186"/>
      <c r="O5726" s="172"/>
    </row>
    <row r="5727" spans="1:15" ht="51" x14ac:dyDescent="0.2">
      <c r="A5727" s="197" t="str">
        <f t="shared" si="89"/>
        <v>MtyCode_shoreMarsh</v>
      </c>
      <c r="B5727" s="409"/>
      <c r="C5727" s="416"/>
      <c r="D5727" s="198" t="s">
        <v>38787</v>
      </c>
      <c r="E5727" s="198">
        <v>2</v>
      </c>
      <c r="F5727" s="199" t="s">
        <v>38788</v>
      </c>
      <c r="G5727" s="1" t="s">
        <v>38789</v>
      </c>
      <c r="H5727" s="1" t="s">
        <v>38790</v>
      </c>
      <c r="I5727" s="346"/>
      <c r="J5727" s="39">
        <v>110276</v>
      </c>
      <c r="K5727" s="36" t="str">
        <f>CONCATENATE(Cover!$D$6,"fdd/view?i=",J5727)</f>
        <v>https://www.dgiwg.org/FAD/fdd/view?i=110276</v>
      </c>
      <c r="L5727" s="36" t="s">
        <v>38791</v>
      </c>
      <c r="M5727" s="186"/>
      <c r="N5727" s="186"/>
      <c r="O5727" s="172"/>
    </row>
    <row r="5728" spans="1:15" ht="38.25" x14ac:dyDescent="0.2">
      <c r="A5728" s="203" t="str">
        <f t="shared" si="89"/>
        <v>MtyCode_streamMarsh</v>
      </c>
      <c r="B5728" s="410"/>
      <c r="C5728" s="417"/>
      <c r="D5728" s="204" t="s">
        <v>38792</v>
      </c>
      <c r="E5728" s="204">
        <v>3</v>
      </c>
      <c r="F5728" s="205" t="s">
        <v>38793</v>
      </c>
      <c r="G5728" s="206" t="s">
        <v>38794</v>
      </c>
      <c r="H5728" s="206" t="s">
        <v>38795</v>
      </c>
      <c r="I5728" s="347"/>
      <c r="J5728" s="39">
        <v>110277</v>
      </c>
      <c r="K5728" s="36" t="str">
        <f>CONCATENATE(Cover!$D$6,"fdd/view?i=",J5728)</f>
        <v>https://www.dgiwg.org/FAD/fdd/view?i=110277</v>
      </c>
      <c r="L5728" s="36" t="s">
        <v>38796</v>
      </c>
      <c r="M5728" s="186"/>
      <c r="N5728" s="186"/>
      <c r="O5728" s="172"/>
    </row>
    <row r="5729" spans="1:15" x14ac:dyDescent="0.2">
      <c r="A5729" s="190" t="str">
        <f t="shared" si="89"/>
        <v>MtcCode_flagMast</v>
      </c>
      <c r="B5729" s="414" t="str">
        <f>HYPERLINK("[#]Datatypes!A902:L902","MtcCode")</f>
        <v>MtcCode</v>
      </c>
      <c r="C5729" s="415" t="s">
        <v>15491</v>
      </c>
      <c r="D5729" s="221" t="s">
        <v>38797</v>
      </c>
      <c r="E5729" s="221">
        <v>1</v>
      </c>
      <c r="F5729" s="222" t="s">
        <v>38798</v>
      </c>
      <c r="G5729" s="223" t="s">
        <v>3154</v>
      </c>
      <c r="H5729" s="224"/>
      <c r="I5729" s="352" t="s">
        <v>3152</v>
      </c>
      <c r="J5729" s="39">
        <v>118704</v>
      </c>
      <c r="K5729" s="36" t="str">
        <f>CONCATENATE(Cover!$D$6,"fdd/view?i=",J5729)</f>
        <v>https://www.dgiwg.org/FAD/fdd/view?i=118704</v>
      </c>
      <c r="L5729" s="36" t="s">
        <v>38799</v>
      </c>
      <c r="M5729" s="186"/>
      <c r="N5729" s="186"/>
      <c r="O5729" s="172"/>
    </row>
    <row r="5730" spans="1:15" ht="38.25" x14ac:dyDescent="0.2">
      <c r="A5730" s="197" t="str">
        <f t="shared" si="89"/>
        <v>MtcCode_lightningMast</v>
      </c>
      <c r="B5730" s="409"/>
      <c r="C5730" s="416"/>
      <c r="D5730" s="198" t="s">
        <v>38802</v>
      </c>
      <c r="E5730" s="198">
        <v>9</v>
      </c>
      <c r="F5730" s="199" t="s">
        <v>38803</v>
      </c>
      <c r="G5730" s="1" t="s">
        <v>38804</v>
      </c>
      <c r="H5730" s="200"/>
      <c r="I5730" s="346"/>
      <c r="J5730" s="39">
        <v>118707</v>
      </c>
      <c r="K5730" s="36" t="str">
        <f>CONCATENATE(Cover!$D$6,"fdd/view?i=",J5730)</f>
        <v>https://www.dgiwg.org/FAD/fdd/view?i=118707</v>
      </c>
      <c r="L5730" s="36" t="s">
        <v>38805</v>
      </c>
      <c r="M5730" s="186"/>
      <c r="N5730" s="186"/>
      <c r="O5730" s="172"/>
    </row>
    <row r="5731" spans="1:15" ht="25.5" x14ac:dyDescent="0.2">
      <c r="A5731" s="197" t="str">
        <f t="shared" si="89"/>
        <v>MtcCode_lightSupportStructure</v>
      </c>
      <c r="B5731" s="409"/>
      <c r="C5731" s="416"/>
      <c r="D5731" s="198" t="s">
        <v>38800</v>
      </c>
      <c r="E5731" s="198">
        <v>8</v>
      </c>
      <c r="F5731" s="199" t="s">
        <v>3869</v>
      </c>
      <c r="G5731" s="1" t="s">
        <v>3870</v>
      </c>
      <c r="H5731" s="1" t="s">
        <v>3871</v>
      </c>
      <c r="I5731" s="346"/>
      <c r="J5731" s="39">
        <v>118706</v>
      </c>
      <c r="K5731" s="36" t="str">
        <f>CONCATENATE(Cover!$D$6,"fdd/view?i=",J5731)</f>
        <v>https://www.dgiwg.org/FAD/fdd/view?i=118706</v>
      </c>
      <c r="L5731" s="36" t="s">
        <v>38801</v>
      </c>
      <c r="M5731" s="186"/>
      <c r="N5731" s="186"/>
      <c r="O5731" s="172"/>
    </row>
    <row r="5732" spans="1:15" x14ac:dyDescent="0.2">
      <c r="A5732" s="203" t="str">
        <f t="shared" si="89"/>
        <v>MtcCode_mooringMast</v>
      </c>
      <c r="B5732" s="410"/>
      <c r="C5732" s="417"/>
      <c r="D5732" s="204" t="s">
        <v>38806</v>
      </c>
      <c r="E5732" s="204">
        <v>7</v>
      </c>
      <c r="F5732" s="205" t="s">
        <v>4206</v>
      </c>
      <c r="G5732" s="206" t="s">
        <v>4207</v>
      </c>
      <c r="H5732" s="207"/>
      <c r="I5732" s="347"/>
      <c r="J5732" s="39">
        <v>118705</v>
      </c>
      <c r="K5732" s="36" t="str">
        <f>CONCATENATE(Cover!$D$6,"fdd/view?i=",J5732)</f>
        <v>https://www.dgiwg.org/FAD/fdd/view?i=118705</v>
      </c>
      <c r="L5732" s="36" t="s">
        <v>38807</v>
      </c>
      <c r="M5732" s="186"/>
      <c r="N5732" s="186"/>
      <c r="O5732" s="172"/>
    </row>
    <row r="5733" spans="1:15" ht="38.25" x14ac:dyDescent="0.2">
      <c r="A5733" s="190" t="str">
        <f t="shared" si="89"/>
        <v>MhfCode_bulkFuel</v>
      </c>
      <c r="B5733" s="414" t="str">
        <f>HYPERLINK("[#]Datatypes!A904:L904","MhfCode")</f>
        <v>MhfCode</v>
      </c>
      <c r="C5733" s="415" t="s">
        <v>15493</v>
      </c>
      <c r="D5733" s="221" t="s">
        <v>38808</v>
      </c>
      <c r="E5733" s="221">
        <v>8</v>
      </c>
      <c r="F5733" s="222" t="s">
        <v>38809</v>
      </c>
      <c r="G5733" s="223" t="s">
        <v>38810</v>
      </c>
      <c r="H5733" s="223" t="s">
        <v>38811</v>
      </c>
      <c r="I5733" s="345"/>
      <c r="J5733" s="39">
        <v>105656</v>
      </c>
      <c r="K5733" s="36" t="str">
        <f>CONCATENATE(Cover!$D$6,"fdd/view?i=",J5733)</f>
        <v>https://www.dgiwg.org/FAD/fdd/view?i=105656</v>
      </c>
      <c r="L5733" s="36" t="s">
        <v>38812</v>
      </c>
      <c r="M5733" s="186"/>
      <c r="N5733" s="186"/>
      <c r="O5733" s="172"/>
    </row>
    <row r="5734" spans="1:15" ht="51" x14ac:dyDescent="0.2">
      <c r="A5734" s="197" t="str">
        <f t="shared" si="89"/>
        <v>MhfCode_bulkGrain</v>
      </c>
      <c r="B5734" s="409"/>
      <c r="C5734" s="416"/>
      <c r="D5734" s="198" t="s">
        <v>38813</v>
      </c>
      <c r="E5734" s="198">
        <v>1</v>
      </c>
      <c r="F5734" s="199" t="s">
        <v>38814</v>
      </c>
      <c r="G5734" s="1" t="s">
        <v>38815</v>
      </c>
      <c r="H5734" s="1" t="s">
        <v>38816</v>
      </c>
      <c r="I5734" s="346"/>
      <c r="J5734" s="39">
        <v>105649</v>
      </c>
      <c r="K5734" s="36" t="str">
        <f>CONCATENATE(Cover!$D$6,"fdd/view?i=",J5734)</f>
        <v>https://www.dgiwg.org/FAD/fdd/view?i=105649</v>
      </c>
      <c r="L5734" s="36" t="s">
        <v>38817</v>
      </c>
      <c r="M5734" s="186"/>
      <c r="N5734" s="186"/>
      <c r="O5734" s="172"/>
    </row>
    <row r="5735" spans="1:15" ht="38.25" x14ac:dyDescent="0.2">
      <c r="A5735" s="197" t="str">
        <f t="shared" si="89"/>
        <v>MhfCode_bulkLiquid</v>
      </c>
      <c r="B5735" s="409"/>
      <c r="C5735" s="416"/>
      <c r="D5735" s="198" t="s">
        <v>38818</v>
      </c>
      <c r="E5735" s="198">
        <v>7</v>
      </c>
      <c r="F5735" s="199" t="s">
        <v>38819</v>
      </c>
      <c r="G5735" s="1" t="s">
        <v>38820</v>
      </c>
      <c r="H5735" s="1" t="s">
        <v>38821</v>
      </c>
      <c r="I5735" s="346"/>
      <c r="J5735" s="39">
        <v>105655</v>
      </c>
      <c r="K5735" s="36" t="str">
        <f>CONCATENATE(Cover!$D$6,"fdd/view?i=",J5735)</f>
        <v>https://www.dgiwg.org/FAD/fdd/view?i=105655</v>
      </c>
      <c r="L5735" s="36" t="s">
        <v>38822</v>
      </c>
      <c r="M5735" s="186"/>
      <c r="N5735" s="186"/>
      <c r="O5735" s="172"/>
    </row>
    <row r="5736" spans="1:15" ht="38.25" x14ac:dyDescent="0.2">
      <c r="A5736" s="197" t="str">
        <f t="shared" si="89"/>
        <v>MhfCode_bulkOre</v>
      </c>
      <c r="B5736" s="409"/>
      <c r="C5736" s="416"/>
      <c r="D5736" s="198" t="s">
        <v>38823</v>
      </c>
      <c r="E5736" s="198">
        <v>2</v>
      </c>
      <c r="F5736" s="199" t="s">
        <v>38824</v>
      </c>
      <c r="G5736" s="1" t="s">
        <v>38825</v>
      </c>
      <c r="H5736" s="1" t="s">
        <v>38826</v>
      </c>
      <c r="I5736" s="346"/>
      <c r="J5736" s="39">
        <v>105650</v>
      </c>
      <c r="K5736" s="36" t="str">
        <f>CONCATENATE(Cover!$D$6,"fdd/view?i=",J5736)</f>
        <v>https://www.dgiwg.org/FAD/fdd/view?i=105650</v>
      </c>
      <c r="L5736" s="36" t="s">
        <v>38827</v>
      </c>
      <c r="M5736" s="186"/>
      <c r="N5736" s="186"/>
      <c r="O5736" s="172"/>
    </row>
    <row r="5737" spans="1:15" ht="38.25" x14ac:dyDescent="0.2">
      <c r="A5737" s="197" t="str">
        <f t="shared" si="89"/>
        <v>MhfCode_civilianLabour</v>
      </c>
      <c r="B5737" s="409"/>
      <c r="C5737" s="416"/>
      <c r="D5737" s="198" t="s">
        <v>38828</v>
      </c>
      <c r="E5737" s="198">
        <v>10</v>
      </c>
      <c r="F5737" s="199" t="s">
        <v>38829</v>
      </c>
      <c r="G5737" s="1" t="s">
        <v>38830</v>
      </c>
      <c r="H5737" s="1" t="s">
        <v>38831</v>
      </c>
      <c r="I5737" s="346"/>
      <c r="J5737" s="39">
        <v>105658</v>
      </c>
      <c r="K5737" s="36" t="str">
        <f>CONCATENATE(Cover!$D$6,"fdd/view?i=",J5737)</f>
        <v>https://www.dgiwg.org/FAD/fdd/view?i=105658</v>
      </c>
      <c r="L5737" s="36" t="s">
        <v>38832</v>
      </c>
      <c r="M5737" s="186"/>
      <c r="N5737" s="186"/>
      <c r="O5737" s="172"/>
    </row>
    <row r="5738" spans="1:15" ht="51" x14ac:dyDescent="0.2">
      <c r="A5738" s="197" t="str">
        <f t="shared" si="89"/>
        <v>MhfCode_containerHandling</v>
      </c>
      <c r="B5738" s="409"/>
      <c r="C5738" s="416"/>
      <c r="D5738" s="198" t="s">
        <v>38833</v>
      </c>
      <c r="E5738" s="198">
        <v>3</v>
      </c>
      <c r="F5738" s="199" t="s">
        <v>38834</v>
      </c>
      <c r="G5738" s="1" t="s">
        <v>38835</v>
      </c>
      <c r="H5738" s="1" t="s">
        <v>38836</v>
      </c>
      <c r="I5738" s="346"/>
      <c r="J5738" s="39">
        <v>105651</v>
      </c>
      <c r="K5738" s="36" t="str">
        <f>CONCATENATE(Cover!$D$6,"fdd/view?i=",J5738)</f>
        <v>https://www.dgiwg.org/FAD/fdd/view?i=105651</v>
      </c>
      <c r="L5738" s="36" t="s">
        <v>38837</v>
      </c>
      <c r="M5738" s="186"/>
      <c r="N5738" s="186"/>
      <c r="O5738" s="172"/>
    </row>
    <row r="5739" spans="1:15" x14ac:dyDescent="0.2">
      <c r="A5739" s="197" t="str">
        <f t="shared" si="89"/>
        <v>MhfCode_cranes</v>
      </c>
      <c r="B5739" s="409"/>
      <c r="C5739" s="416"/>
      <c r="D5739" s="198" t="s">
        <v>38838</v>
      </c>
      <c r="E5739" s="198">
        <v>6</v>
      </c>
      <c r="F5739" s="199" t="s">
        <v>38839</v>
      </c>
      <c r="G5739" s="1" t="s">
        <v>38840</v>
      </c>
      <c r="H5739" s="200"/>
      <c r="I5739" s="346"/>
      <c r="J5739" s="39">
        <v>105654</v>
      </c>
      <c r="K5739" s="36" t="str">
        <f>CONCATENATE(Cover!$D$6,"fdd/view?i=",J5739)</f>
        <v>https://www.dgiwg.org/FAD/fdd/view?i=105654</v>
      </c>
      <c r="L5739" s="36" t="s">
        <v>38841</v>
      </c>
      <c r="M5739" s="186"/>
      <c r="N5739" s="186"/>
      <c r="O5739" s="172"/>
    </row>
    <row r="5740" spans="1:15" ht="38.25" x14ac:dyDescent="0.2">
      <c r="A5740" s="197" t="str">
        <f t="shared" si="89"/>
        <v>MhfCode_dockLevelling</v>
      </c>
      <c r="B5740" s="409"/>
      <c r="C5740" s="416"/>
      <c r="D5740" s="198" t="s">
        <v>38842</v>
      </c>
      <c r="E5740" s="198">
        <v>12</v>
      </c>
      <c r="F5740" s="199" t="s">
        <v>38843</v>
      </c>
      <c r="G5740" s="1" t="s">
        <v>38844</v>
      </c>
      <c r="H5740" s="1" t="s">
        <v>38845</v>
      </c>
      <c r="I5740" s="346"/>
      <c r="J5740" s="39">
        <v>105660</v>
      </c>
      <c r="K5740" s="36" t="str">
        <f>CONCATENATE(Cover!$D$6,"fdd/view?i=",J5740)</f>
        <v>https://www.dgiwg.org/FAD/fdd/view?i=105660</v>
      </c>
      <c r="L5740" s="36" t="s">
        <v>38846</v>
      </c>
      <c r="M5740" s="186"/>
      <c r="N5740" s="186"/>
      <c r="O5740" s="172"/>
    </row>
    <row r="5741" spans="1:15" x14ac:dyDescent="0.2">
      <c r="A5741" s="197" t="str">
        <f t="shared" si="89"/>
        <v>MhfCode_forkLiftTrucks</v>
      </c>
      <c r="B5741" s="409"/>
      <c r="C5741" s="416"/>
      <c r="D5741" s="198" t="s">
        <v>38847</v>
      </c>
      <c r="E5741" s="198">
        <v>11</v>
      </c>
      <c r="F5741" s="199" t="s">
        <v>38848</v>
      </c>
      <c r="G5741" s="1" t="s">
        <v>38849</v>
      </c>
      <c r="H5741" s="200"/>
      <c r="I5741" s="346"/>
      <c r="J5741" s="39">
        <v>105659</v>
      </c>
      <c r="K5741" s="36" t="str">
        <f>CONCATENATE(Cover!$D$6,"fdd/view?i=",J5741)</f>
        <v>https://www.dgiwg.org/FAD/fdd/view?i=105659</v>
      </c>
      <c r="L5741" s="36" t="s">
        <v>38850</v>
      </c>
      <c r="M5741" s="186"/>
      <c r="N5741" s="186"/>
      <c r="O5741" s="172"/>
    </row>
    <row r="5742" spans="1:15" ht="25.5" x14ac:dyDescent="0.2">
      <c r="A5742" s="197" t="str">
        <f t="shared" si="89"/>
        <v>MhfCode_noneAvailable</v>
      </c>
      <c r="B5742" s="409"/>
      <c r="C5742" s="416"/>
      <c r="D5742" s="198" t="s">
        <v>20027</v>
      </c>
      <c r="E5742" s="198">
        <v>16</v>
      </c>
      <c r="F5742" s="199" t="s">
        <v>23045</v>
      </c>
      <c r="G5742" s="1" t="s">
        <v>38851</v>
      </c>
      <c r="H5742" s="1" t="s">
        <v>38852</v>
      </c>
      <c r="I5742" s="346"/>
      <c r="J5742" s="39">
        <v>105664</v>
      </c>
      <c r="K5742" s="36" t="str">
        <f>CONCATENATE(Cover!$D$6,"fdd/view?i=",J5742)</f>
        <v>https://www.dgiwg.org/FAD/fdd/view?i=105664</v>
      </c>
      <c r="L5742" s="36" t="s">
        <v>38853</v>
      </c>
      <c r="M5742" s="186"/>
      <c r="N5742" s="186"/>
      <c r="O5742" s="172"/>
    </row>
    <row r="5743" spans="1:15" ht="25.5" x14ac:dyDescent="0.2">
      <c r="A5743" s="197" t="str">
        <f t="shared" si="89"/>
        <v>MhfCode_railTransferEquipment</v>
      </c>
      <c r="B5743" s="409"/>
      <c r="C5743" s="416"/>
      <c r="D5743" s="198" t="s">
        <v>38854</v>
      </c>
      <c r="E5743" s="198">
        <v>9</v>
      </c>
      <c r="F5743" s="199" t="s">
        <v>38855</v>
      </c>
      <c r="G5743" s="1" t="s">
        <v>38856</v>
      </c>
      <c r="H5743" s="1" t="s">
        <v>38857</v>
      </c>
      <c r="I5743" s="346"/>
      <c r="J5743" s="39">
        <v>105657</v>
      </c>
      <c r="K5743" s="36" t="str">
        <f>CONCATENATE(Cover!$D$6,"fdd/view?i=",J5743)</f>
        <v>https://www.dgiwg.org/FAD/fdd/view?i=105657</v>
      </c>
      <c r="L5743" s="36" t="s">
        <v>38858</v>
      </c>
      <c r="M5743" s="186"/>
      <c r="N5743" s="186"/>
      <c r="O5743" s="172"/>
    </row>
    <row r="5744" spans="1:15" ht="25.5" x14ac:dyDescent="0.2">
      <c r="A5744" s="197" t="str">
        <f t="shared" si="89"/>
        <v>MhfCode_road</v>
      </c>
      <c r="B5744" s="409"/>
      <c r="C5744" s="416"/>
      <c r="D5744" s="198" t="s">
        <v>38859</v>
      </c>
      <c r="E5744" s="198">
        <v>15</v>
      </c>
      <c r="F5744" s="199" t="s">
        <v>4754</v>
      </c>
      <c r="G5744" s="1" t="s">
        <v>38860</v>
      </c>
      <c r="H5744" s="200"/>
      <c r="I5744" s="346"/>
      <c r="J5744" s="39">
        <v>105663</v>
      </c>
      <c r="K5744" s="36" t="str">
        <f>CONCATENATE(Cover!$D$6,"fdd/view?i=",J5744)</f>
        <v>https://www.dgiwg.org/FAD/fdd/view?i=105663</v>
      </c>
      <c r="L5744" s="36" t="s">
        <v>38861</v>
      </c>
      <c r="M5744" s="186"/>
      <c r="N5744" s="186"/>
      <c r="O5744" s="172"/>
    </row>
    <row r="5745" spans="1:15" ht="38.25" x14ac:dyDescent="0.2">
      <c r="A5745" s="197" t="str">
        <f t="shared" si="89"/>
        <v>MhfCode_rollOnRollOff</v>
      </c>
      <c r="B5745" s="409"/>
      <c r="C5745" s="416"/>
      <c r="D5745" s="198" t="s">
        <v>38862</v>
      </c>
      <c r="E5745" s="198">
        <v>5</v>
      </c>
      <c r="F5745" s="199" t="s">
        <v>38863</v>
      </c>
      <c r="G5745" s="1" t="s">
        <v>38864</v>
      </c>
      <c r="H5745" s="200"/>
      <c r="I5745" s="346"/>
      <c r="J5745" s="39">
        <v>105653</v>
      </c>
      <c r="K5745" s="36" t="str">
        <f>CONCATENATE(Cover!$D$6,"fdd/view?i=",J5745)</f>
        <v>https://www.dgiwg.org/FAD/fdd/view?i=105653</v>
      </c>
      <c r="L5745" s="36" t="s">
        <v>38865</v>
      </c>
      <c r="M5745" s="186"/>
      <c r="N5745" s="186"/>
      <c r="O5745" s="172"/>
    </row>
    <row r="5746" spans="1:15" ht="25.5" x14ac:dyDescent="0.2">
      <c r="A5746" s="197" t="str">
        <f t="shared" si="89"/>
        <v>MhfCode_straddleCarrier</v>
      </c>
      <c r="B5746" s="409"/>
      <c r="C5746" s="416"/>
      <c r="D5746" s="198" t="s">
        <v>38866</v>
      </c>
      <c r="E5746" s="198">
        <v>14</v>
      </c>
      <c r="F5746" s="199" t="s">
        <v>38867</v>
      </c>
      <c r="G5746" s="1" t="s">
        <v>38868</v>
      </c>
      <c r="H5746" s="1" t="s">
        <v>38869</v>
      </c>
      <c r="I5746" s="346"/>
      <c r="J5746" s="39">
        <v>105662</v>
      </c>
      <c r="K5746" s="36" t="str">
        <f>CONCATENATE(Cover!$D$6,"fdd/view?i=",J5746)</f>
        <v>https://www.dgiwg.org/FAD/fdd/view?i=105662</v>
      </c>
      <c r="L5746" s="36" t="s">
        <v>38870</v>
      </c>
      <c r="M5746" s="186"/>
      <c r="N5746" s="186"/>
      <c r="O5746" s="172"/>
    </row>
    <row r="5747" spans="1:15" ht="25.5" x14ac:dyDescent="0.2">
      <c r="A5747" s="197" t="str">
        <f t="shared" si="89"/>
        <v>MhfCode_syncrolift</v>
      </c>
      <c r="B5747" s="409"/>
      <c r="C5747" s="416"/>
      <c r="D5747" s="198" t="s">
        <v>38871</v>
      </c>
      <c r="E5747" s="198">
        <v>13</v>
      </c>
      <c r="F5747" s="199" t="s">
        <v>38872</v>
      </c>
      <c r="G5747" s="1" t="s">
        <v>38873</v>
      </c>
      <c r="H5747" s="200"/>
      <c r="I5747" s="346"/>
      <c r="J5747" s="39">
        <v>105661</v>
      </c>
      <c r="K5747" s="36" t="str">
        <f>CONCATENATE(Cover!$D$6,"fdd/view?i=",J5747)</f>
        <v>https://www.dgiwg.org/FAD/fdd/view?i=105661</v>
      </c>
      <c r="L5747" s="36" t="s">
        <v>38874</v>
      </c>
      <c r="M5747" s="186"/>
      <c r="N5747" s="186"/>
      <c r="O5747" s="172"/>
    </row>
    <row r="5748" spans="1:15" ht="25.5" x14ac:dyDescent="0.2">
      <c r="A5748" s="203" t="str">
        <f t="shared" si="89"/>
        <v>MhfCode_tractors</v>
      </c>
      <c r="B5748" s="410"/>
      <c r="C5748" s="417"/>
      <c r="D5748" s="204" t="s">
        <v>38875</v>
      </c>
      <c r="E5748" s="204">
        <v>4</v>
      </c>
      <c r="F5748" s="205" t="s">
        <v>38876</v>
      </c>
      <c r="G5748" s="206" t="s">
        <v>38877</v>
      </c>
      <c r="H5748" s="207"/>
      <c r="I5748" s="347"/>
      <c r="J5748" s="39">
        <v>105652</v>
      </c>
      <c r="K5748" s="36" t="str">
        <f>CONCATENATE(Cover!$D$6,"fdd/view?i=",J5748)</f>
        <v>https://www.dgiwg.org/FAD/fdd/view?i=105652</v>
      </c>
      <c r="L5748" s="36" t="s">
        <v>38878</v>
      </c>
      <c r="M5748" s="186"/>
      <c r="N5748" s="186"/>
      <c r="O5748" s="172"/>
    </row>
    <row r="5749" spans="1:15" ht="51" x14ac:dyDescent="0.2">
      <c r="A5749" s="190" t="str">
        <f t="shared" si="89"/>
        <v>MelCode_accidentEmergency</v>
      </c>
      <c r="B5749" s="414" t="str">
        <f>HYPERLINK("[#]Datatypes!A906:L906","MelCode")</f>
        <v>MelCode</v>
      </c>
      <c r="C5749" s="415" t="s">
        <v>15495</v>
      </c>
      <c r="D5749" s="221" t="s">
        <v>38879</v>
      </c>
      <c r="E5749" s="221">
        <v>1</v>
      </c>
      <c r="F5749" s="222" t="s">
        <v>38880</v>
      </c>
      <c r="G5749" s="223" t="s">
        <v>38881</v>
      </c>
      <c r="H5749" s="223" t="s">
        <v>38882</v>
      </c>
      <c r="I5749" s="345"/>
      <c r="J5749" s="39">
        <v>119451</v>
      </c>
      <c r="K5749" s="36" t="str">
        <f>CONCATENATE(Cover!$D$6,"fdd/view?i=",J5749)</f>
        <v>https://www.dgiwg.org/FAD/fdd/view?i=119451</v>
      </c>
      <c r="L5749" s="36" t="s">
        <v>38883</v>
      </c>
      <c r="M5749" s="186"/>
      <c r="N5749" s="186"/>
      <c r="O5749" s="172"/>
    </row>
    <row r="5750" spans="1:15" ht="38.25" x14ac:dyDescent="0.2">
      <c r="A5750" s="197" t="str">
        <f t="shared" si="89"/>
        <v>MelCode_anaesthetics</v>
      </c>
      <c r="B5750" s="409"/>
      <c r="C5750" s="416"/>
      <c r="D5750" s="198" t="s">
        <v>38884</v>
      </c>
      <c r="E5750" s="198">
        <v>2</v>
      </c>
      <c r="F5750" s="199" t="s">
        <v>38885</v>
      </c>
      <c r="G5750" s="1" t="s">
        <v>38886</v>
      </c>
      <c r="H5750" s="1" t="s">
        <v>38887</v>
      </c>
      <c r="I5750" s="346"/>
      <c r="J5750" s="39">
        <v>119452</v>
      </c>
      <c r="K5750" s="36" t="str">
        <f>CONCATENATE(Cover!$D$6,"fdd/view?i=",J5750)</f>
        <v>https://www.dgiwg.org/FAD/fdd/view?i=119452</v>
      </c>
      <c r="L5750" s="36" t="s">
        <v>38888</v>
      </c>
      <c r="M5750" s="186"/>
      <c r="N5750" s="186"/>
      <c r="O5750" s="172"/>
    </row>
    <row r="5751" spans="1:15" ht="63.75" x14ac:dyDescent="0.2">
      <c r="A5751" s="197" t="str">
        <f t="shared" si="89"/>
        <v>MelCode_bloodBank</v>
      </c>
      <c r="B5751" s="409"/>
      <c r="C5751" s="416"/>
      <c r="D5751" s="198" t="s">
        <v>38889</v>
      </c>
      <c r="E5751" s="198">
        <v>21</v>
      </c>
      <c r="F5751" s="199" t="s">
        <v>38890</v>
      </c>
      <c r="G5751" s="1" t="s">
        <v>38891</v>
      </c>
      <c r="H5751" s="1" t="s">
        <v>38892</v>
      </c>
      <c r="I5751" s="346"/>
      <c r="J5751" s="39">
        <v>119471</v>
      </c>
      <c r="K5751" s="36" t="str">
        <f>CONCATENATE(Cover!$D$6,"fdd/view?i=",J5751)</f>
        <v>https://www.dgiwg.org/FAD/fdd/view?i=119471</v>
      </c>
      <c r="L5751" s="36" t="s">
        <v>38893</v>
      </c>
      <c r="M5751" s="186"/>
      <c r="N5751" s="186"/>
      <c r="O5751" s="172"/>
    </row>
    <row r="5752" spans="1:15" ht="51" x14ac:dyDescent="0.2">
      <c r="A5752" s="197" t="str">
        <f t="shared" si="89"/>
        <v>MelCode_burnsUnit</v>
      </c>
      <c r="B5752" s="409"/>
      <c r="C5752" s="416"/>
      <c r="D5752" s="198" t="s">
        <v>38894</v>
      </c>
      <c r="E5752" s="198">
        <v>24</v>
      </c>
      <c r="F5752" s="199" t="s">
        <v>38895</v>
      </c>
      <c r="G5752" s="1" t="s">
        <v>38896</v>
      </c>
      <c r="H5752" s="1" t="s">
        <v>38897</v>
      </c>
      <c r="I5752" s="346"/>
      <c r="J5752" s="39">
        <v>119474</v>
      </c>
      <c r="K5752" s="36" t="str">
        <f>CONCATENATE(Cover!$D$6,"fdd/view?i=",J5752)</f>
        <v>https://www.dgiwg.org/FAD/fdd/view?i=119474</v>
      </c>
      <c r="L5752" s="36" t="s">
        <v>38898</v>
      </c>
      <c r="M5752" s="186"/>
      <c r="N5752" s="186"/>
      <c r="O5752" s="172"/>
    </row>
    <row r="5753" spans="1:15" ht="38.25" x14ac:dyDescent="0.2">
      <c r="A5753" s="197" t="str">
        <f t="shared" si="89"/>
        <v>MelCode_cardiolog</v>
      </c>
      <c r="B5753" s="409"/>
      <c r="C5753" s="416"/>
      <c r="D5753" s="198" t="s">
        <v>38899</v>
      </c>
      <c r="E5753" s="198">
        <v>3</v>
      </c>
      <c r="F5753" s="199" t="s">
        <v>38900</v>
      </c>
      <c r="G5753" s="1" t="s">
        <v>38901</v>
      </c>
      <c r="H5753" s="1" t="s">
        <v>38902</v>
      </c>
      <c r="I5753" s="346"/>
      <c r="J5753" s="39">
        <v>119453</v>
      </c>
      <c r="K5753" s="36" t="str">
        <f>CONCATENATE(Cover!$D$6,"fdd/view?i=",J5753)</f>
        <v>https://www.dgiwg.org/FAD/fdd/view?i=119453</v>
      </c>
      <c r="L5753" s="36" t="s">
        <v>38903</v>
      </c>
      <c r="M5753" s="186"/>
      <c r="N5753" s="186"/>
      <c r="O5753" s="172"/>
    </row>
    <row r="5754" spans="1:15" ht="63.75" x14ac:dyDescent="0.2">
      <c r="A5754" s="197" t="str">
        <f t="shared" si="89"/>
        <v>MelCode_clinicalServices</v>
      </c>
      <c r="B5754" s="409"/>
      <c r="C5754" s="416"/>
      <c r="D5754" s="198" t="s">
        <v>38904</v>
      </c>
      <c r="E5754" s="198">
        <v>26</v>
      </c>
      <c r="F5754" s="199" t="s">
        <v>38905</v>
      </c>
      <c r="G5754" s="1" t="s">
        <v>38906</v>
      </c>
      <c r="H5754" s="1" t="s">
        <v>38907</v>
      </c>
      <c r="I5754" s="346"/>
      <c r="J5754" s="39">
        <v>119476</v>
      </c>
      <c r="K5754" s="36" t="str">
        <f>CONCATENATE(Cover!$D$6,"fdd/view?i=",J5754)</f>
        <v>https://www.dgiwg.org/FAD/fdd/view?i=119476</v>
      </c>
      <c r="L5754" s="36" t="s">
        <v>38908</v>
      </c>
      <c r="M5754" s="186"/>
      <c r="N5754" s="186"/>
      <c r="O5754" s="172"/>
    </row>
    <row r="5755" spans="1:15" ht="38.25" x14ac:dyDescent="0.2">
      <c r="A5755" s="197" t="str">
        <f t="shared" si="89"/>
        <v>MelCode_criticalCare</v>
      </c>
      <c r="B5755" s="409"/>
      <c r="C5755" s="416"/>
      <c r="D5755" s="198" t="s">
        <v>38909</v>
      </c>
      <c r="E5755" s="198">
        <v>4</v>
      </c>
      <c r="F5755" s="199" t="s">
        <v>38910</v>
      </c>
      <c r="G5755" s="1" t="s">
        <v>38911</v>
      </c>
      <c r="H5755" s="1" t="s">
        <v>38912</v>
      </c>
      <c r="I5755" s="346"/>
      <c r="J5755" s="39">
        <v>119454</v>
      </c>
      <c r="K5755" s="36" t="str">
        <f>CONCATENATE(Cover!$D$6,"fdd/view?i=",J5755)</f>
        <v>https://www.dgiwg.org/FAD/fdd/view?i=119454</v>
      </c>
      <c r="L5755" s="36" t="s">
        <v>38913</v>
      </c>
      <c r="M5755" s="186"/>
      <c r="N5755" s="186"/>
      <c r="O5755" s="172"/>
    </row>
    <row r="5756" spans="1:15" ht="76.5" x14ac:dyDescent="0.2">
      <c r="A5756" s="197" t="str">
        <f t="shared" si="89"/>
        <v>MelCode_diagnosticImaging</v>
      </c>
      <c r="B5756" s="409"/>
      <c r="C5756" s="416"/>
      <c r="D5756" s="198" t="s">
        <v>38914</v>
      </c>
      <c r="E5756" s="198">
        <v>5</v>
      </c>
      <c r="F5756" s="199" t="s">
        <v>38915</v>
      </c>
      <c r="G5756" s="1" t="s">
        <v>38916</v>
      </c>
      <c r="H5756" s="1" t="s">
        <v>38917</v>
      </c>
      <c r="I5756" s="346"/>
      <c r="J5756" s="39">
        <v>119455</v>
      </c>
      <c r="K5756" s="36" t="str">
        <f>CONCATENATE(Cover!$D$6,"fdd/view?i=",J5756)</f>
        <v>https://www.dgiwg.org/FAD/fdd/view?i=119455</v>
      </c>
      <c r="L5756" s="36" t="s">
        <v>38918</v>
      </c>
      <c r="M5756" s="186"/>
      <c r="N5756" s="186"/>
      <c r="O5756" s="172"/>
    </row>
    <row r="5757" spans="1:15" ht="38.25" x14ac:dyDescent="0.2">
      <c r="A5757" s="197" t="str">
        <f t="shared" si="89"/>
        <v>MelCode_dietetics</v>
      </c>
      <c r="B5757" s="409"/>
      <c r="C5757" s="416"/>
      <c r="D5757" s="198" t="s">
        <v>38919</v>
      </c>
      <c r="E5757" s="198">
        <v>19</v>
      </c>
      <c r="F5757" s="199" t="s">
        <v>38920</v>
      </c>
      <c r="G5757" s="1" t="s">
        <v>38921</v>
      </c>
      <c r="H5757" s="1" t="s">
        <v>38922</v>
      </c>
      <c r="I5757" s="346"/>
      <c r="J5757" s="39">
        <v>119469</v>
      </c>
      <c r="K5757" s="36" t="str">
        <f>CONCATENATE(Cover!$D$6,"fdd/view?i=",J5757)</f>
        <v>https://www.dgiwg.org/FAD/fdd/view?i=119469</v>
      </c>
      <c r="L5757" s="36" t="s">
        <v>38923</v>
      </c>
      <c r="M5757" s="186"/>
      <c r="N5757" s="186"/>
      <c r="O5757" s="172"/>
    </row>
    <row r="5758" spans="1:15" ht="51" x14ac:dyDescent="0.2">
      <c r="A5758" s="197" t="str">
        <f t="shared" si="89"/>
        <v>MelCode_earNoseThroat</v>
      </c>
      <c r="B5758" s="409"/>
      <c r="C5758" s="416"/>
      <c r="D5758" s="198" t="s">
        <v>38924</v>
      </c>
      <c r="E5758" s="198">
        <v>6</v>
      </c>
      <c r="F5758" s="199" t="s">
        <v>38925</v>
      </c>
      <c r="G5758" s="1" t="s">
        <v>38926</v>
      </c>
      <c r="H5758" s="1" t="s">
        <v>38927</v>
      </c>
      <c r="I5758" s="346"/>
      <c r="J5758" s="39">
        <v>119456</v>
      </c>
      <c r="K5758" s="36" t="str">
        <f>CONCATENATE(Cover!$D$6,"fdd/view?i=",J5758)</f>
        <v>https://www.dgiwg.org/FAD/fdd/view?i=119456</v>
      </c>
      <c r="L5758" s="36" t="s">
        <v>38928</v>
      </c>
      <c r="M5758" s="186"/>
      <c r="N5758" s="186"/>
      <c r="O5758" s="172"/>
    </row>
    <row r="5759" spans="1:15" ht="76.5" x14ac:dyDescent="0.2">
      <c r="A5759" s="197" t="str">
        <f t="shared" si="89"/>
        <v>MelCode_generalPractice</v>
      </c>
      <c r="B5759" s="409"/>
      <c r="C5759" s="416"/>
      <c r="D5759" s="198" t="s">
        <v>38929</v>
      </c>
      <c r="E5759" s="198">
        <v>25</v>
      </c>
      <c r="F5759" s="199" t="s">
        <v>38930</v>
      </c>
      <c r="G5759" s="1" t="s">
        <v>38931</v>
      </c>
      <c r="H5759" s="1" t="s">
        <v>38932</v>
      </c>
      <c r="I5759" s="346"/>
      <c r="J5759" s="39">
        <v>119475</v>
      </c>
      <c r="K5759" s="36" t="str">
        <f>CONCATENATE(Cover!$D$6,"fdd/view?i=",J5759)</f>
        <v>https://www.dgiwg.org/FAD/fdd/view?i=119475</v>
      </c>
      <c r="L5759" s="36" t="s">
        <v>38933</v>
      </c>
      <c r="M5759" s="186"/>
      <c r="N5759" s="186"/>
      <c r="O5759" s="172"/>
    </row>
    <row r="5760" spans="1:15" ht="38.25" x14ac:dyDescent="0.2">
      <c r="A5760" s="197" t="str">
        <f t="shared" si="89"/>
        <v>MelCode_generalSurgery</v>
      </c>
      <c r="B5760" s="409"/>
      <c r="C5760" s="416"/>
      <c r="D5760" s="198" t="s">
        <v>38934</v>
      </c>
      <c r="E5760" s="198">
        <v>7</v>
      </c>
      <c r="F5760" s="199" t="s">
        <v>38935</v>
      </c>
      <c r="G5760" s="1" t="s">
        <v>38936</v>
      </c>
      <c r="H5760" s="200"/>
      <c r="I5760" s="346"/>
      <c r="J5760" s="39">
        <v>119457</v>
      </c>
      <c r="K5760" s="36" t="str">
        <f>CONCATENATE(Cover!$D$6,"fdd/view?i=",J5760)</f>
        <v>https://www.dgiwg.org/FAD/fdd/view?i=119457</v>
      </c>
      <c r="L5760" s="36" t="s">
        <v>38937</v>
      </c>
      <c r="M5760" s="186"/>
      <c r="N5760" s="186"/>
      <c r="O5760" s="172"/>
    </row>
    <row r="5761" spans="1:15" ht="38.25" x14ac:dyDescent="0.2">
      <c r="A5761" s="197" t="str">
        <f t="shared" si="89"/>
        <v>MelCode_gynaecology</v>
      </c>
      <c r="B5761" s="409"/>
      <c r="C5761" s="416"/>
      <c r="D5761" s="198" t="s">
        <v>38938</v>
      </c>
      <c r="E5761" s="198">
        <v>8</v>
      </c>
      <c r="F5761" s="199" t="s">
        <v>38939</v>
      </c>
      <c r="G5761" s="1" t="s">
        <v>38940</v>
      </c>
      <c r="H5761" s="200"/>
      <c r="I5761" s="346"/>
      <c r="J5761" s="39">
        <v>119458</v>
      </c>
      <c r="K5761" s="36" t="str">
        <f>CONCATENATE(Cover!$D$6,"fdd/view?i=",J5761)</f>
        <v>https://www.dgiwg.org/FAD/fdd/view?i=119458</v>
      </c>
      <c r="L5761" s="36" t="s">
        <v>38941</v>
      </c>
      <c r="M5761" s="186"/>
      <c r="N5761" s="186"/>
      <c r="O5761" s="172"/>
    </row>
    <row r="5762" spans="1:15" ht="38.25" x14ac:dyDescent="0.2">
      <c r="A5762" s="197" t="str">
        <f t="shared" ref="A5762:A5825" si="90">HYPERLINK(K5762,L5762)</f>
        <v>MelCode_haematology</v>
      </c>
      <c r="B5762" s="409"/>
      <c r="C5762" s="416"/>
      <c r="D5762" s="198" t="s">
        <v>38942</v>
      </c>
      <c r="E5762" s="198">
        <v>17</v>
      </c>
      <c r="F5762" s="199" t="s">
        <v>38943</v>
      </c>
      <c r="G5762" s="1" t="s">
        <v>38944</v>
      </c>
      <c r="H5762" s="1" t="s">
        <v>38945</v>
      </c>
      <c r="I5762" s="346"/>
      <c r="J5762" s="39">
        <v>119467</v>
      </c>
      <c r="K5762" s="36" t="str">
        <f>CONCATENATE(Cover!$D$6,"fdd/view?i=",J5762)</f>
        <v>https://www.dgiwg.org/FAD/fdd/view?i=119467</v>
      </c>
      <c r="L5762" s="36" t="s">
        <v>38946</v>
      </c>
      <c r="M5762" s="186"/>
      <c r="N5762" s="186"/>
      <c r="O5762" s="172"/>
    </row>
    <row r="5763" spans="1:15" ht="25.5" x14ac:dyDescent="0.2">
      <c r="A5763" s="197" t="str">
        <f t="shared" si="90"/>
        <v>MelCode_maternity</v>
      </c>
      <c r="B5763" s="409"/>
      <c r="C5763" s="416"/>
      <c r="D5763" s="198" t="s">
        <v>38947</v>
      </c>
      <c r="E5763" s="198">
        <v>9</v>
      </c>
      <c r="F5763" s="199" t="s">
        <v>38948</v>
      </c>
      <c r="G5763" s="1" t="s">
        <v>38949</v>
      </c>
      <c r="H5763" s="200"/>
      <c r="I5763" s="346"/>
      <c r="J5763" s="39">
        <v>119459</v>
      </c>
      <c r="K5763" s="36" t="str">
        <f>CONCATENATE(Cover!$D$6,"fdd/view?i=",J5763)</f>
        <v>https://www.dgiwg.org/FAD/fdd/view?i=119459</v>
      </c>
      <c r="L5763" s="36" t="s">
        <v>38950</v>
      </c>
      <c r="M5763" s="186"/>
      <c r="N5763" s="186"/>
      <c r="O5763" s="172"/>
    </row>
    <row r="5764" spans="1:15" ht="63.75" x14ac:dyDescent="0.2">
      <c r="A5764" s="197" t="str">
        <f t="shared" si="90"/>
        <v>MelCode_neurology</v>
      </c>
      <c r="B5764" s="409"/>
      <c r="C5764" s="416"/>
      <c r="D5764" s="198" t="s">
        <v>38951</v>
      </c>
      <c r="E5764" s="198">
        <v>10</v>
      </c>
      <c r="F5764" s="199" t="s">
        <v>38952</v>
      </c>
      <c r="G5764" s="1" t="s">
        <v>38953</v>
      </c>
      <c r="H5764" s="1" t="s">
        <v>38954</v>
      </c>
      <c r="I5764" s="346"/>
      <c r="J5764" s="39">
        <v>119460</v>
      </c>
      <c r="K5764" s="36" t="str">
        <f>CONCATENATE(Cover!$D$6,"fdd/view?i=",J5764)</f>
        <v>https://www.dgiwg.org/FAD/fdd/view?i=119460</v>
      </c>
      <c r="L5764" s="36" t="s">
        <v>38955</v>
      </c>
      <c r="M5764" s="186"/>
      <c r="N5764" s="186"/>
      <c r="O5764" s="172"/>
    </row>
    <row r="5765" spans="1:15" ht="38.25" x14ac:dyDescent="0.2">
      <c r="A5765" s="197" t="str">
        <f t="shared" si="90"/>
        <v>MelCode_oncology</v>
      </c>
      <c r="B5765" s="409"/>
      <c r="C5765" s="416"/>
      <c r="D5765" s="198" t="s">
        <v>38956</v>
      </c>
      <c r="E5765" s="198">
        <v>11</v>
      </c>
      <c r="F5765" s="199" t="s">
        <v>38957</v>
      </c>
      <c r="G5765" s="1" t="s">
        <v>38958</v>
      </c>
      <c r="H5765" s="1" t="s">
        <v>38959</v>
      </c>
      <c r="I5765" s="346"/>
      <c r="J5765" s="39">
        <v>119461</v>
      </c>
      <c r="K5765" s="36" t="str">
        <f>CONCATENATE(Cover!$D$6,"fdd/view?i=",J5765)</f>
        <v>https://www.dgiwg.org/FAD/fdd/view?i=119461</v>
      </c>
      <c r="L5765" s="36" t="s">
        <v>38960</v>
      </c>
      <c r="M5765" s="186"/>
      <c r="N5765" s="186"/>
      <c r="O5765" s="172"/>
    </row>
    <row r="5766" spans="1:15" ht="25.5" x14ac:dyDescent="0.2">
      <c r="A5766" s="197" t="str">
        <f t="shared" si="90"/>
        <v>MelCode_ophthalmology</v>
      </c>
      <c r="B5766" s="409"/>
      <c r="C5766" s="416"/>
      <c r="D5766" s="198" t="s">
        <v>38961</v>
      </c>
      <c r="E5766" s="198">
        <v>12</v>
      </c>
      <c r="F5766" s="199" t="s">
        <v>38962</v>
      </c>
      <c r="G5766" s="1" t="s">
        <v>38963</v>
      </c>
      <c r="H5766" s="1" t="s">
        <v>38964</v>
      </c>
      <c r="I5766" s="346"/>
      <c r="J5766" s="39">
        <v>119462</v>
      </c>
      <c r="K5766" s="36" t="str">
        <f>CONCATENATE(Cover!$D$6,"fdd/view?i=",J5766)</f>
        <v>https://www.dgiwg.org/FAD/fdd/view?i=119462</v>
      </c>
      <c r="L5766" s="36" t="s">
        <v>38965</v>
      </c>
      <c r="M5766" s="186"/>
      <c r="N5766" s="186"/>
      <c r="O5766" s="172"/>
    </row>
    <row r="5767" spans="1:15" ht="76.5" x14ac:dyDescent="0.2">
      <c r="A5767" s="197" t="str">
        <f t="shared" si="90"/>
        <v>MelCode_orthopaedics</v>
      </c>
      <c r="B5767" s="409"/>
      <c r="C5767" s="416"/>
      <c r="D5767" s="198" t="s">
        <v>38966</v>
      </c>
      <c r="E5767" s="198">
        <v>13</v>
      </c>
      <c r="F5767" s="199" t="s">
        <v>38967</v>
      </c>
      <c r="G5767" s="1" t="s">
        <v>38968</v>
      </c>
      <c r="H5767" s="1" t="s">
        <v>38969</v>
      </c>
      <c r="I5767" s="346"/>
      <c r="J5767" s="39">
        <v>119463</v>
      </c>
      <c r="K5767" s="36" t="str">
        <f>CONCATENATE(Cover!$D$6,"fdd/view?i=",J5767)</f>
        <v>https://www.dgiwg.org/FAD/fdd/view?i=119463</v>
      </c>
      <c r="L5767" s="36" t="s">
        <v>38970</v>
      </c>
      <c r="M5767" s="186"/>
      <c r="N5767" s="186"/>
      <c r="O5767" s="172"/>
    </row>
    <row r="5768" spans="1:15" ht="38.25" x14ac:dyDescent="0.2">
      <c r="A5768" s="197" t="str">
        <f t="shared" si="90"/>
        <v>MelCode_paediatrics</v>
      </c>
      <c r="B5768" s="409"/>
      <c r="C5768" s="416"/>
      <c r="D5768" s="198" t="s">
        <v>38971</v>
      </c>
      <c r="E5768" s="198">
        <v>22</v>
      </c>
      <c r="F5768" s="199" t="s">
        <v>38972</v>
      </c>
      <c r="G5768" s="1" t="s">
        <v>38973</v>
      </c>
      <c r="H5768" s="1" t="s">
        <v>38974</v>
      </c>
      <c r="I5768" s="346"/>
      <c r="J5768" s="39">
        <v>119472</v>
      </c>
      <c r="K5768" s="36" t="str">
        <f>CONCATENATE(Cover!$D$6,"fdd/view?i=",J5768)</f>
        <v>https://www.dgiwg.org/FAD/fdd/view?i=119472</v>
      </c>
      <c r="L5768" s="36" t="s">
        <v>38975</v>
      </c>
      <c r="M5768" s="186"/>
      <c r="N5768" s="186"/>
      <c r="O5768" s="172"/>
    </row>
    <row r="5769" spans="1:15" ht="51" x14ac:dyDescent="0.2">
      <c r="A5769" s="197" t="str">
        <f t="shared" si="90"/>
        <v>MelCode_pharmacy</v>
      </c>
      <c r="B5769" s="409"/>
      <c r="C5769" s="416"/>
      <c r="D5769" s="198" t="s">
        <v>23144</v>
      </c>
      <c r="E5769" s="198">
        <v>14</v>
      </c>
      <c r="F5769" s="199" t="s">
        <v>23145</v>
      </c>
      <c r="G5769" s="1" t="s">
        <v>38976</v>
      </c>
      <c r="H5769" s="1" t="s">
        <v>38977</v>
      </c>
      <c r="I5769" s="346"/>
      <c r="J5769" s="39">
        <v>119464</v>
      </c>
      <c r="K5769" s="36" t="str">
        <f>CONCATENATE(Cover!$D$6,"fdd/view?i=",J5769)</f>
        <v>https://www.dgiwg.org/FAD/fdd/view?i=119464</v>
      </c>
      <c r="L5769" s="36" t="s">
        <v>38978</v>
      </c>
      <c r="M5769" s="186"/>
      <c r="N5769" s="186"/>
      <c r="O5769" s="172"/>
    </row>
    <row r="5770" spans="1:15" ht="38.25" x14ac:dyDescent="0.2">
      <c r="A5770" s="197" t="str">
        <f t="shared" si="90"/>
        <v>MelCode_physiotherapy</v>
      </c>
      <c r="B5770" s="409"/>
      <c r="C5770" s="416"/>
      <c r="D5770" s="198" t="s">
        <v>38979</v>
      </c>
      <c r="E5770" s="198">
        <v>18</v>
      </c>
      <c r="F5770" s="199" t="s">
        <v>38980</v>
      </c>
      <c r="G5770" s="1" t="s">
        <v>38981</v>
      </c>
      <c r="H5770" s="1" t="s">
        <v>38982</v>
      </c>
      <c r="I5770" s="346"/>
      <c r="J5770" s="39">
        <v>119468</v>
      </c>
      <c r="K5770" s="36" t="str">
        <f>CONCATENATE(Cover!$D$6,"fdd/view?i=",J5770)</f>
        <v>https://www.dgiwg.org/FAD/fdd/view?i=119468</v>
      </c>
      <c r="L5770" s="36" t="s">
        <v>38983</v>
      </c>
      <c r="M5770" s="186"/>
      <c r="N5770" s="186"/>
      <c r="O5770" s="172"/>
    </row>
    <row r="5771" spans="1:15" ht="63.75" x14ac:dyDescent="0.2">
      <c r="A5771" s="197" t="str">
        <f t="shared" si="90"/>
        <v>MelCode_preventiveMedicine</v>
      </c>
      <c r="B5771" s="409"/>
      <c r="C5771" s="416"/>
      <c r="D5771" s="198" t="s">
        <v>38984</v>
      </c>
      <c r="E5771" s="198">
        <v>20</v>
      </c>
      <c r="F5771" s="199" t="s">
        <v>38985</v>
      </c>
      <c r="G5771" s="1" t="s">
        <v>38986</v>
      </c>
      <c r="H5771" s="1" t="s">
        <v>38987</v>
      </c>
      <c r="I5771" s="346"/>
      <c r="J5771" s="39">
        <v>119470</v>
      </c>
      <c r="K5771" s="36" t="str">
        <f>CONCATENATE(Cover!$D$6,"fdd/view?i=",J5771)</f>
        <v>https://www.dgiwg.org/FAD/fdd/view?i=119470</v>
      </c>
      <c r="L5771" s="36" t="s">
        <v>38988</v>
      </c>
      <c r="M5771" s="186"/>
      <c r="N5771" s="186"/>
      <c r="O5771" s="172"/>
    </row>
    <row r="5772" spans="1:15" ht="63.75" x14ac:dyDescent="0.2">
      <c r="A5772" s="197" t="str">
        <f t="shared" si="90"/>
        <v>MelCode_psychiatry</v>
      </c>
      <c r="B5772" s="409"/>
      <c r="C5772" s="416"/>
      <c r="D5772" s="198" t="s">
        <v>38989</v>
      </c>
      <c r="E5772" s="198">
        <v>23</v>
      </c>
      <c r="F5772" s="199" t="s">
        <v>38990</v>
      </c>
      <c r="G5772" s="1" t="s">
        <v>38991</v>
      </c>
      <c r="H5772" s="1" t="s">
        <v>38992</v>
      </c>
      <c r="I5772" s="346"/>
      <c r="J5772" s="39">
        <v>119473</v>
      </c>
      <c r="K5772" s="36" t="str">
        <f>CONCATENATE(Cover!$D$6,"fdd/view?i=",J5772)</f>
        <v>https://www.dgiwg.org/FAD/fdd/view?i=119473</v>
      </c>
      <c r="L5772" s="36" t="s">
        <v>38993</v>
      </c>
      <c r="M5772" s="186"/>
      <c r="N5772" s="186"/>
      <c r="O5772" s="172"/>
    </row>
    <row r="5773" spans="1:15" ht="25.5" x14ac:dyDescent="0.2">
      <c r="A5773" s="197" t="str">
        <f t="shared" si="90"/>
        <v>MelCode_sexualHealth</v>
      </c>
      <c r="B5773" s="409"/>
      <c r="C5773" s="416"/>
      <c r="D5773" s="198" t="s">
        <v>38994</v>
      </c>
      <c r="E5773" s="198">
        <v>16</v>
      </c>
      <c r="F5773" s="199" t="s">
        <v>38995</v>
      </c>
      <c r="G5773" s="1" t="s">
        <v>38996</v>
      </c>
      <c r="H5773" s="1" t="s">
        <v>38997</v>
      </c>
      <c r="I5773" s="346"/>
      <c r="J5773" s="39">
        <v>119466</v>
      </c>
      <c r="K5773" s="36" t="str">
        <f>CONCATENATE(Cover!$D$6,"fdd/view?i=",J5773)</f>
        <v>https://www.dgiwg.org/FAD/fdd/view?i=119466</v>
      </c>
      <c r="L5773" s="36" t="s">
        <v>38998</v>
      </c>
      <c r="M5773" s="186"/>
      <c r="N5773" s="186"/>
      <c r="O5773" s="172"/>
    </row>
    <row r="5774" spans="1:15" ht="25.5" x14ac:dyDescent="0.2">
      <c r="A5774" s="203" t="str">
        <f t="shared" si="90"/>
        <v>MelCode_urology</v>
      </c>
      <c r="B5774" s="410"/>
      <c r="C5774" s="417"/>
      <c r="D5774" s="204" t="s">
        <v>38999</v>
      </c>
      <c r="E5774" s="204">
        <v>15</v>
      </c>
      <c r="F5774" s="205" t="s">
        <v>39000</v>
      </c>
      <c r="G5774" s="206" t="s">
        <v>39001</v>
      </c>
      <c r="H5774" s="206" t="s">
        <v>38997</v>
      </c>
      <c r="I5774" s="347"/>
      <c r="J5774" s="39">
        <v>119465</v>
      </c>
      <c r="K5774" s="36" t="str">
        <f>CONCATENATE(Cover!$D$6,"fdd/view?i=",J5774)</f>
        <v>https://www.dgiwg.org/FAD/fdd/view?i=119465</v>
      </c>
      <c r="L5774" s="36" t="s">
        <v>39002</v>
      </c>
      <c r="M5774" s="186"/>
      <c r="N5774" s="186"/>
      <c r="O5774" s="172"/>
    </row>
    <row r="5775" spans="1:15" ht="38.25" x14ac:dyDescent="0.2">
      <c r="A5775" s="190" t="str">
        <f t="shared" si="90"/>
        <v>MetCode_aeronauticalSON</v>
      </c>
      <c r="B5775" s="414" t="str">
        <f>HYPERLINK("[#]Datatypes!A908:L908","MetCode")</f>
        <v>MetCode</v>
      </c>
      <c r="C5775" s="415" t="s">
        <v>15497</v>
      </c>
      <c r="D5775" s="221" t="s">
        <v>39003</v>
      </c>
      <c r="E5775" s="221">
        <v>2</v>
      </c>
      <c r="F5775" s="222" t="s">
        <v>39004</v>
      </c>
      <c r="G5775" s="223" t="s">
        <v>39005</v>
      </c>
      <c r="H5775" s="223" t="s">
        <v>39006</v>
      </c>
      <c r="I5775" s="345"/>
      <c r="J5775" s="39">
        <v>112682</v>
      </c>
      <c r="K5775" s="36" t="str">
        <f>CONCATENATE(Cover!$D$6,"fdd/view?i=",J5775)</f>
        <v>https://www.dgiwg.org/FAD/fdd/view?i=112682</v>
      </c>
      <c r="L5775" s="36" t="s">
        <v>39007</v>
      </c>
      <c r="M5775" s="186"/>
      <c r="N5775" s="186"/>
      <c r="O5775" s="172"/>
    </row>
    <row r="5776" spans="1:15" x14ac:dyDescent="0.2">
      <c r="A5776" s="197" t="str">
        <f t="shared" si="90"/>
        <v>MetCode_general</v>
      </c>
      <c r="B5776" s="409"/>
      <c r="C5776" s="416"/>
      <c r="D5776" s="198" t="s">
        <v>37631</v>
      </c>
      <c r="E5776" s="198">
        <v>1</v>
      </c>
      <c r="F5776" s="199" t="s">
        <v>37632</v>
      </c>
      <c r="G5776" s="1" t="s">
        <v>39008</v>
      </c>
      <c r="H5776" s="200"/>
      <c r="I5776" s="346"/>
      <c r="J5776" s="39">
        <v>112680</v>
      </c>
      <c r="K5776" s="36" t="str">
        <f>CONCATENATE(Cover!$D$6,"fdd/view?i=",J5776)</f>
        <v>https://www.dgiwg.org/FAD/fdd/view?i=112680</v>
      </c>
      <c r="L5776" s="36" t="s">
        <v>39009</v>
      </c>
      <c r="M5776" s="186"/>
      <c r="N5776" s="186"/>
      <c r="O5776" s="172"/>
    </row>
    <row r="5777" spans="1:15" ht="38.25" x14ac:dyDescent="0.2">
      <c r="A5777" s="197" t="str">
        <f t="shared" si="90"/>
        <v>MetCode_geographicNaming</v>
      </c>
      <c r="B5777" s="409"/>
      <c r="C5777" s="416"/>
      <c r="D5777" s="198" t="s">
        <v>39010</v>
      </c>
      <c r="E5777" s="198">
        <v>5</v>
      </c>
      <c r="F5777" s="199" t="s">
        <v>39011</v>
      </c>
      <c r="G5777" s="1" t="s">
        <v>39012</v>
      </c>
      <c r="H5777" s="1" t="s">
        <v>39013</v>
      </c>
      <c r="I5777" s="346"/>
      <c r="J5777" s="39">
        <v>112688</v>
      </c>
      <c r="K5777" s="36" t="str">
        <f>CONCATENATE(Cover!$D$6,"fdd/view?i=",J5777)</f>
        <v>https://www.dgiwg.org/FAD/fdd/view?i=112688</v>
      </c>
      <c r="L5777" s="36" t="s">
        <v>39014</v>
      </c>
      <c r="M5777" s="186"/>
      <c r="N5777" s="186"/>
      <c r="O5777" s="172"/>
    </row>
    <row r="5778" spans="1:15" ht="38.25" x14ac:dyDescent="0.2">
      <c r="A5778" s="197" t="str">
        <f t="shared" si="90"/>
        <v>MetCode_landSON</v>
      </c>
      <c r="B5778" s="409"/>
      <c r="C5778" s="416"/>
      <c r="D5778" s="198" t="s">
        <v>39015</v>
      </c>
      <c r="E5778" s="198">
        <v>4</v>
      </c>
      <c r="F5778" s="199" t="s">
        <v>39016</v>
      </c>
      <c r="G5778" s="1" t="s">
        <v>39017</v>
      </c>
      <c r="H5778" s="1" t="s">
        <v>39018</v>
      </c>
      <c r="I5778" s="346"/>
      <c r="J5778" s="39">
        <v>112686</v>
      </c>
      <c r="K5778" s="36" t="str">
        <f>CONCATENATE(Cover!$D$6,"fdd/view?i=",J5778)</f>
        <v>https://www.dgiwg.org/FAD/fdd/view?i=112686</v>
      </c>
      <c r="L5778" s="36" t="s">
        <v>39019</v>
      </c>
      <c r="M5778" s="186"/>
      <c r="N5778" s="186"/>
      <c r="O5778" s="172"/>
    </row>
    <row r="5779" spans="1:15" ht="25.5" x14ac:dyDescent="0.2">
      <c r="A5779" s="203" t="str">
        <f t="shared" si="90"/>
        <v>MetCode_maritimeSON</v>
      </c>
      <c r="B5779" s="410"/>
      <c r="C5779" s="417"/>
      <c r="D5779" s="204" t="s">
        <v>39020</v>
      </c>
      <c r="E5779" s="204">
        <v>3</v>
      </c>
      <c r="F5779" s="205" t="s">
        <v>39021</v>
      </c>
      <c r="G5779" s="206" t="s">
        <v>39022</v>
      </c>
      <c r="H5779" s="206" t="s">
        <v>39023</v>
      </c>
      <c r="I5779" s="347"/>
      <c r="J5779" s="39">
        <v>112684</v>
      </c>
      <c r="K5779" s="36" t="str">
        <f>CONCATENATE(Cover!$D$6,"fdd/view?i=",J5779)</f>
        <v>https://www.dgiwg.org/FAD/fdd/view?i=112684</v>
      </c>
      <c r="L5779" s="36" t="s">
        <v>39024</v>
      </c>
      <c r="M5779" s="186"/>
      <c r="N5779" s="186"/>
      <c r="O5779" s="172"/>
    </row>
    <row r="5780" spans="1:15" ht="38.25" x14ac:dyDescent="0.2">
      <c r="A5780" s="190" t="str">
        <f t="shared" si="90"/>
        <v>MeoCode_antimonyOre</v>
      </c>
      <c r="B5780" s="414" t="str">
        <f>HYPERLINK("[#]Datatypes!A912:L912","MeoCode")</f>
        <v>MeoCode</v>
      </c>
      <c r="C5780" s="415" t="s">
        <v>15501</v>
      </c>
      <c r="D5780" s="221" t="s">
        <v>39025</v>
      </c>
      <c r="E5780" s="221">
        <v>1</v>
      </c>
      <c r="F5780" s="222" t="s">
        <v>39026</v>
      </c>
      <c r="G5780" s="223" t="s">
        <v>39027</v>
      </c>
      <c r="H5780" s="223" t="s">
        <v>39028</v>
      </c>
      <c r="I5780" s="345"/>
      <c r="J5780" s="39">
        <v>113502</v>
      </c>
      <c r="K5780" s="36" t="str">
        <f>CONCATENATE(Cover!$D$6,"fdd/view?i=",J5780)</f>
        <v>https://www.dgiwg.org/FAD/fdd/view?i=113502</v>
      </c>
      <c r="L5780" s="36" t="s">
        <v>39029</v>
      </c>
      <c r="M5780" s="186"/>
      <c r="N5780" s="186"/>
      <c r="O5780" s="172"/>
    </row>
    <row r="5781" spans="1:15" ht="38.25" x14ac:dyDescent="0.2">
      <c r="A5781" s="197" t="str">
        <f t="shared" si="90"/>
        <v>MeoCode_berylliumOre</v>
      </c>
      <c r="B5781" s="409"/>
      <c r="C5781" s="416"/>
      <c r="D5781" s="198" t="s">
        <v>39030</v>
      </c>
      <c r="E5781" s="198">
        <v>22</v>
      </c>
      <c r="F5781" s="199" t="s">
        <v>39031</v>
      </c>
      <c r="G5781" s="1" t="s">
        <v>39032</v>
      </c>
      <c r="H5781" s="1" t="s">
        <v>39033</v>
      </c>
      <c r="I5781" s="346"/>
      <c r="J5781" s="39">
        <v>113523</v>
      </c>
      <c r="K5781" s="36" t="str">
        <f>CONCATENATE(Cover!$D$6,"fdd/view?i=",J5781)</f>
        <v>https://www.dgiwg.org/FAD/fdd/view?i=113523</v>
      </c>
      <c r="L5781" s="36" t="s">
        <v>39034</v>
      </c>
      <c r="M5781" s="186"/>
      <c r="N5781" s="186"/>
      <c r="O5781" s="172"/>
    </row>
    <row r="5782" spans="1:15" ht="38.25" x14ac:dyDescent="0.2">
      <c r="A5782" s="197" t="str">
        <f t="shared" si="90"/>
        <v>MeoCode_bismuthOre</v>
      </c>
      <c r="B5782" s="409"/>
      <c r="C5782" s="416"/>
      <c r="D5782" s="198" t="s">
        <v>39035</v>
      </c>
      <c r="E5782" s="198">
        <v>2</v>
      </c>
      <c r="F5782" s="199" t="s">
        <v>39036</v>
      </c>
      <c r="G5782" s="1" t="s">
        <v>39037</v>
      </c>
      <c r="H5782" s="1" t="s">
        <v>39038</v>
      </c>
      <c r="I5782" s="346"/>
      <c r="J5782" s="39">
        <v>113503</v>
      </c>
      <c r="K5782" s="36" t="str">
        <f>CONCATENATE(Cover!$D$6,"fdd/view?i=",J5782)</f>
        <v>https://www.dgiwg.org/FAD/fdd/view?i=113503</v>
      </c>
      <c r="L5782" s="36" t="s">
        <v>39039</v>
      </c>
      <c r="M5782" s="186"/>
      <c r="N5782" s="186"/>
      <c r="O5782" s="172"/>
    </row>
    <row r="5783" spans="1:15" ht="38.25" x14ac:dyDescent="0.2">
      <c r="A5783" s="197" t="str">
        <f t="shared" si="90"/>
        <v>MeoCode_caesiumOre</v>
      </c>
      <c r="B5783" s="409"/>
      <c r="C5783" s="416"/>
      <c r="D5783" s="198" t="s">
        <v>39040</v>
      </c>
      <c r="E5783" s="198">
        <v>3</v>
      </c>
      <c r="F5783" s="199" t="s">
        <v>39041</v>
      </c>
      <c r="G5783" s="1" t="s">
        <v>39042</v>
      </c>
      <c r="H5783" s="1" t="s">
        <v>39043</v>
      </c>
      <c r="I5783" s="346"/>
      <c r="J5783" s="39">
        <v>113504</v>
      </c>
      <c r="K5783" s="36" t="str">
        <f>CONCATENATE(Cover!$D$6,"fdd/view?i=",J5783)</f>
        <v>https://www.dgiwg.org/FAD/fdd/view?i=113504</v>
      </c>
      <c r="L5783" s="36" t="s">
        <v>39044</v>
      </c>
      <c r="M5783" s="186"/>
      <c r="N5783" s="186"/>
      <c r="O5783" s="172"/>
    </row>
    <row r="5784" spans="1:15" ht="25.5" x14ac:dyDescent="0.2">
      <c r="A5784" s="197" t="str">
        <f t="shared" si="90"/>
        <v>MeoCode_chromeOre</v>
      </c>
      <c r="B5784" s="409"/>
      <c r="C5784" s="416"/>
      <c r="D5784" s="198" t="s">
        <v>39045</v>
      </c>
      <c r="E5784" s="198">
        <v>4</v>
      </c>
      <c r="F5784" s="199" t="s">
        <v>39046</v>
      </c>
      <c r="G5784" s="1" t="s">
        <v>39047</v>
      </c>
      <c r="H5784" s="1" t="s">
        <v>39048</v>
      </c>
      <c r="I5784" s="346"/>
      <c r="J5784" s="39">
        <v>113505</v>
      </c>
      <c r="K5784" s="36" t="str">
        <f>CONCATENATE(Cover!$D$6,"fdd/view?i=",J5784)</f>
        <v>https://www.dgiwg.org/FAD/fdd/view?i=113505</v>
      </c>
      <c r="L5784" s="36" t="s">
        <v>39049</v>
      </c>
      <c r="M5784" s="186"/>
      <c r="N5784" s="186"/>
      <c r="O5784" s="172"/>
    </row>
    <row r="5785" spans="1:15" ht="63.75" x14ac:dyDescent="0.2">
      <c r="A5785" s="197" t="str">
        <f t="shared" si="90"/>
        <v>MeoCode_cobaltOre</v>
      </c>
      <c r="B5785" s="409"/>
      <c r="C5785" s="416"/>
      <c r="D5785" s="198" t="s">
        <v>39050</v>
      </c>
      <c r="E5785" s="198">
        <v>5</v>
      </c>
      <c r="F5785" s="199" t="s">
        <v>39051</v>
      </c>
      <c r="G5785" s="1" t="s">
        <v>39052</v>
      </c>
      <c r="H5785" s="1" t="s">
        <v>39053</v>
      </c>
      <c r="I5785" s="346"/>
      <c r="J5785" s="39">
        <v>113506</v>
      </c>
      <c r="K5785" s="36" t="str">
        <f>CONCATENATE(Cover!$D$6,"fdd/view?i=",J5785)</f>
        <v>https://www.dgiwg.org/FAD/fdd/view?i=113506</v>
      </c>
      <c r="L5785" s="36" t="s">
        <v>39054</v>
      </c>
      <c r="M5785" s="186"/>
      <c r="N5785" s="186"/>
      <c r="O5785" s="172"/>
    </row>
    <row r="5786" spans="1:15" ht="25.5" x14ac:dyDescent="0.2">
      <c r="A5786" s="197" t="str">
        <f t="shared" si="90"/>
        <v>MeoCode_coltanOre</v>
      </c>
      <c r="B5786" s="409"/>
      <c r="C5786" s="416"/>
      <c r="D5786" s="198" t="s">
        <v>39055</v>
      </c>
      <c r="E5786" s="198">
        <v>23</v>
      </c>
      <c r="F5786" s="199" t="s">
        <v>39056</v>
      </c>
      <c r="G5786" s="1" t="s">
        <v>39057</v>
      </c>
      <c r="H5786" s="1" t="s">
        <v>39058</v>
      </c>
      <c r="I5786" s="346"/>
      <c r="J5786" s="39">
        <v>118481</v>
      </c>
      <c r="K5786" s="36" t="str">
        <f>CONCATENATE(Cover!$D$6,"fdd/view?i=",J5786)</f>
        <v>https://www.dgiwg.org/FAD/fdd/view?i=118481</v>
      </c>
      <c r="L5786" s="36" t="s">
        <v>39059</v>
      </c>
      <c r="M5786" s="186"/>
      <c r="N5786" s="186"/>
      <c r="O5786" s="172"/>
    </row>
    <row r="5787" spans="1:15" ht="38.25" x14ac:dyDescent="0.2">
      <c r="A5787" s="197" t="str">
        <f t="shared" si="90"/>
        <v>MeoCode_copperOre</v>
      </c>
      <c r="B5787" s="409"/>
      <c r="C5787" s="416"/>
      <c r="D5787" s="198" t="s">
        <v>39060</v>
      </c>
      <c r="E5787" s="198">
        <v>6</v>
      </c>
      <c r="F5787" s="199" t="s">
        <v>39061</v>
      </c>
      <c r="G5787" s="1" t="s">
        <v>39062</v>
      </c>
      <c r="H5787" s="1" t="s">
        <v>39063</v>
      </c>
      <c r="I5787" s="346"/>
      <c r="J5787" s="39">
        <v>113507</v>
      </c>
      <c r="K5787" s="36" t="str">
        <f>CONCATENATE(Cover!$D$6,"fdd/view?i=",J5787)</f>
        <v>https://www.dgiwg.org/FAD/fdd/view?i=113507</v>
      </c>
      <c r="L5787" s="36" t="s">
        <v>39064</v>
      </c>
      <c r="M5787" s="186"/>
      <c r="N5787" s="186"/>
      <c r="O5787" s="172"/>
    </row>
    <row r="5788" spans="1:15" ht="25.5" x14ac:dyDescent="0.2">
      <c r="A5788" s="197" t="str">
        <f t="shared" si="90"/>
        <v>MeoCode_ironOre</v>
      </c>
      <c r="B5788" s="409"/>
      <c r="C5788" s="416"/>
      <c r="D5788" s="198" t="s">
        <v>39065</v>
      </c>
      <c r="E5788" s="198">
        <v>7</v>
      </c>
      <c r="F5788" s="199" t="s">
        <v>39066</v>
      </c>
      <c r="G5788" s="1" t="s">
        <v>39067</v>
      </c>
      <c r="H5788" s="1" t="s">
        <v>39068</v>
      </c>
      <c r="I5788" s="346"/>
      <c r="J5788" s="39">
        <v>113508</v>
      </c>
      <c r="K5788" s="36" t="str">
        <f>CONCATENATE(Cover!$D$6,"fdd/view?i=",J5788)</f>
        <v>https://www.dgiwg.org/FAD/fdd/view?i=113508</v>
      </c>
      <c r="L5788" s="36" t="s">
        <v>39069</v>
      </c>
      <c r="M5788" s="186"/>
      <c r="N5788" s="186"/>
      <c r="O5788" s="172"/>
    </row>
    <row r="5789" spans="1:15" ht="25.5" x14ac:dyDescent="0.2">
      <c r="A5789" s="197" t="str">
        <f t="shared" si="90"/>
        <v>MeoCode_leadOre</v>
      </c>
      <c r="B5789" s="409"/>
      <c r="C5789" s="416"/>
      <c r="D5789" s="198" t="s">
        <v>39070</v>
      </c>
      <c r="E5789" s="198">
        <v>8</v>
      </c>
      <c r="F5789" s="199" t="s">
        <v>39071</v>
      </c>
      <c r="G5789" s="1" t="s">
        <v>39072</v>
      </c>
      <c r="H5789" s="1" t="s">
        <v>39073</v>
      </c>
      <c r="I5789" s="346"/>
      <c r="J5789" s="39">
        <v>113509</v>
      </c>
      <c r="K5789" s="36" t="str">
        <f>CONCATENATE(Cover!$D$6,"fdd/view?i=",J5789)</f>
        <v>https://www.dgiwg.org/FAD/fdd/view?i=113509</v>
      </c>
      <c r="L5789" s="36" t="s">
        <v>39074</v>
      </c>
      <c r="M5789" s="186"/>
      <c r="N5789" s="186"/>
      <c r="O5789" s="172"/>
    </row>
    <row r="5790" spans="1:15" ht="76.5" x14ac:dyDescent="0.2">
      <c r="A5790" s="197" t="str">
        <f t="shared" si="90"/>
        <v>MeoCode_lithiumOre</v>
      </c>
      <c r="B5790" s="409"/>
      <c r="C5790" s="416"/>
      <c r="D5790" s="198" t="s">
        <v>39075</v>
      </c>
      <c r="E5790" s="198">
        <v>9</v>
      </c>
      <c r="F5790" s="199" t="s">
        <v>39076</v>
      </c>
      <c r="G5790" s="1" t="s">
        <v>39077</v>
      </c>
      <c r="H5790" s="1" t="s">
        <v>39078</v>
      </c>
      <c r="I5790" s="346"/>
      <c r="J5790" s="39">
        <v>113510</v>
      </c>
      <c r="K5790" s="36" t="str">
        <f>CONCATENATE(Cover!$D$6,"fdd/view?i=",J5790)</f>
        <v>https://www.dgiwg.org/FAD/fdd/view?i=113510</v>
      </c>
      <c r="L5790" s="36" t="s">
        <v>39079</v>
      </c>
      <c r="M5790" s="186"/>
      <c r="N5790" s="186"/>
      <c r="O5790" s="172"/>
    </row>
    <row r="5791" spans="1:15" ht="76.5" x14ac:dyDescent="0.2">
      <c r="A5791" s="197" t="str">
        <f t="shared" si="90"/>
        <v>MeoCode_manganeseOre</v>
      </c>
      <c r="B5791" s="409"/>
      <c r="C5791" s="416"/>
      <c r="D5791" s="198" t="s">
        <v>39080</v>
      </c>
      <c r="E5791" s="198">
        <v>10</v>
      </c>
      <c r="F5791" s="199" t="s">
        <v>39081</v>
      </c>
      <c r="G5791" s="1" t="s">
        <v>39082</v>
      </c>
      <c r="H5791" s="1" t="s">
        <v>39083</v>
      </c>
      <c r="I5791" s="346"/>
      <c r="J5791" s="39">
        <v>113511</v>
      </c>
      <c r="K5791" s="36" t="str">
        <f>CONCATENATE(Cover!$D$6,"fdd/view?i=",J5791)</f>
        <v>https://www.dgiwg.org/FAD/fdd/view?i=113511</v>
      </c>
      <c r="L5791" s="36" t="s">
        <v>39084</v>
      </c>
      <c r="M5791" s="186"/>
      <c r="N5791" s="186"/>
      <c r="O5791" s="172"/>
    </row>
    <row r="5792" spans="1:15" ht="25.5" x14ac:dyDescent="0.2">
      <c r="A5792" s="197" t="str">
        <f t="shared" si="90"/>
        <v>MeoCode_mercuryOre</v>
      </c>
      <c r="B5792" s="409"/>
      <c r="C5792" s="416"/>
      <c r="D5792" s="198" t="s">
        <v>39085</v>
      </c>
      <c r="E5792" s="198">
        <v>11</v>
      </c>
      <c r="F5792" s="199" t="s">
        <v>39086</v>
      </c>
      <c r="G5792" s="1" t="s">
        <v>39087</v>
      </c>
      <c r="H5792" s="1" t="s">
        <v>39088</v>
      </c>
      <c r="I5792" s="351" t="s">
        <v>25798</v>
      </c>
      <c r="J5792" s="39">
        <v>113512</v>
      </c>
      <c r="K5792" s="36" t="str">
        <f>CONCATENATE(Cover!$D$6,"fdd/view?i=",J5792)</f>
        <v>https://www.dgiwg.org/FAD/fdd/view?i=113512</v>
      </c>
      <c r="L5792" s="36" t="s">
        <v>39089</v>
      </c>
      <c r="M5792" s="186"/>
      <c r="N5792" s="186"/>
      <c r="O5792" s="172"/>
    </row>
    <row r="5793" spans="1:15" ht="38.25" x14ac:dyDescent="0.2">
      <c r="A5793" s="197" t="str">
        <f t="shared" si="90"/>
        <v>MeoCode_molybdenumOre</v>
      </c>
      <c r="B5793" s="409"/>
      <c r="C5793" s="416"/>
      <c r="D5793" s="198" t="s">
        <v>39090</v>
      </c>
      <c r="E5793" s="198">
        <v>12</v>
      </c>
      <c r="F5793" s="199" t="s">
        <v>39091</v>
      </c>
      <c r="G5793" s="1" t="s">
        <v>39092</v>
      </c>
      <c r="H5793" s="1" t="s">
        <v>39093</v>
      </c>
      <c r="I5793" s="346"/>
      <c r="J5793" s="39">
        <v>113513</v>
      </c>
      <c r="K5793" s="36" t="str">
        <f>CONCATENATE(Cover!$D$6,"fdd/view?i=",J5793)</f>
        <v>https://www.dgiwg.org/FAD/fdd/view?i=113513</v>
      </c>
      <c r="L5793" s="36" t="s">
        <v>39094</v>
      </c>
      <c r="M5793" s="186"/>
      <c r="N5793" s="186"/>
      <c r="O5793" s="172"/>
    </row>
    <row r="5794" spans="1:15" ht="38.25" x14ac:dyDescent="0.2">
      <c r="A5794" s="197" t="str">
        <f t="shared" si="90"/>
        <v>MeoCode_nickelOre</v>
      </c>
      <c r="B5794" s="409"/>
      <c r="C5794" s="416"/>
      <c r="D5794" s="198" t="s">
        <v>39095</v>
      </c>
      <c r="E5794" s="198">
        <v>13</v>
      </c>
      <c r="F5794" s="199" t="s">
        <v>39096</v>
      </c>
      <c r="G5794" s="1" t="s">
        <v>39097</v>
      </c>
      <c r="H5794" s="1" t="s">
        <v>39098</v>
      </c>
      <c r="I5794" s="346"/>
      <c r="J5794" s="39">
        <v>113514</v>
      </c>
      <c r="K5794" s="36" t="str">
        <f>CONCATENATE(Cover!$D$6,"fdd/view?i=",J5794)</f>
        <v>https://www.dgiwg.org/FAD/fdd/view?i=113514</v>
      </c>
      <c r="L5794" s="36" t="s">
        <v>39099</v>
      </c>
      <c r="M5794" s="186"/>
      <c r="N5794" s="186"/>
      <c r="O5794" s="172"/>
    </row>
    <row r="5795" spans="1:15" ht="63.75" x14ac:dyDescent="0.2">
      <c r="A5795" s="197" t="str">
        <f t="shared" si="90"/>
        <v>MeoCode_niobiumOre</v>
      </c>
      <c r="B5795" s="409"/>
      <c r="C5795" s="416"/>
      <c r="D5795" s="198" t="s">
        <v>39100</v>
      </c>
      <c r="E5795" s="198">
        <v>14</v>
      </c>
      <c r="F5795" s="199" t="s">
        <v>39101</v>
      </c>
      <c r="G5795" s="1" t="s">
        <v>39102</v>
      </c>
      <c r="H5795" s="1" t="s">
        <v>39103</v>
      </c>
      <c r="I5795" s="346"/>
      <c r="J5795" s="39">
        <v>113515</v>
      </c>
      <c r="K5795" s="36" t="str">
        <f>CONCATENATE(Cover!$D$6,"fdd/view?i=",J5795)</f>
        <v>https://www.dgiwg.org/FAD/fdd/view?i=113515</v>
      </c>
      <c r="L5795" s="36" t="s">
        <v>39104</v>
      </c>
      <c r="M5795" s="186"/>
      <c r="N5795" s="186"/>
      <c r="O5795" s="172"/>
    </row>
    <row r="5796" spans="1:15" ht="76.5" x14ac:dyDescent="0.2">
      <c r="A5796" s="197" t="str">
        <f t="shared" si="90"/>
        <v>MeoCode_tantalumOre</v>
      </c>
      <c r="B5796" s="409"/>
      <c r="C5796" s="416"/>
      <c r="D5796" s="198" t="s">
        <v>39105</v>
      </c>
      <c r="E5796" s="198">
        <v>15</v>
      </c>
      <c r="F5796" s="199" t="s">
        <v>39106</v>
      </c>
      <c r="G5796" s="1" t="s">
        <v>39107</v>
      </c>
      <c r="H5796" s="1" t="s">
        <v>39108</v>
      </c>
      <c r="I5796" s="346"/>
      <c r="J5796" s="39">
        <v>113516</v>
      </c>
      <c r="K5796" s="36" t="str">
        <f>CONCATENATE(Cover!$D$6,"fdd/view?i=",J5796)</f>
        <v>https://www.dgiwg.org/FAD/fdd/view?i=113516</v>
      </c>
      <c r="L5796" s="36" t="s">
        <v>39109</v>
      </c>
      <c r="M5796" s="186"/>
      <c r="N5796" s="186"/>
      <c r="O5796" s="172"/>
    </row>
    <row r="5797" spans="1:15" ht="38.25" x14ac:dyDescent="0.2">
      <c r="A5797" s="197" t="str">
        <f t="shared" si="90"/>
        <v>MeoCode_tinOre</v>
      </c>
      <c r="B5797" s="409"/>
      <c r="C5797" s="416"/>
      <c r="D5797" s="198" t="s">
        <v>39110</v>
      </c>
      <c r="E5797" s="198">
        <v>16</v>
      </c>
      <c r="F5797" s="199" t="s">
        <v>39111</v>
      </c>
      <c r="G5797" s="1" t="s">
        <v>39112</v>
      </c>
      <c r="H5797" s="1" t="s">
        <v>39113</v>
      </c>
      <c r="I5797" s="346"/>
      <c r="J5797" s="39">
        <v>113517</v>
      </c>
      <c r="K5797" s="36" t="str">
        <f>CONCATENATE(Cover!$D$6,"fdd/view?i=",J5797)</f>
        <v>https://www.dgiwg.org/FAD/fdd/view?i=113517</v>
      </c>
      <c r="L5797" s="36" t="s">
        <v>39114</v>
      </c>
      <c r="M5797" s="186"/>
      <c r="N5797" s="186"/>
      <c r="O5797" s="172"/>
    </row>
    <row r="5798" spans="1:15" ht="25.5" x14ac:dyDescent="0.2">
      <c r="A5798" s="197" t="str">
        <f t="shared" si="90"/>
        <v>MeoCode_titaniumOre</v>
      </c>
      <c r="B5798" s="409"/>
      <c r="C5798" s="416"/>
      <c r="D5798" s="198" t="s">
        <v>39115</v>
      </c>
      <c r="E5798" s="198">
        <v>17</v>
      </c>
      <c r="F5798" s="199" t="s">
        <v>39116</v>
      </c>
      <c r="G5798" s="1" t="s">
        <v>39117</v>
      </c>
      <c r="H5798" s="1" t="s">
        <v>39118</v>
      </c>
      <c r="I5798" s="346"/>
      <c r="J5798" s="39">
        <v>113518</v>
      </c>
      <c r="K5798" s="36" t="str">
        <f>CONCATENATE(Cover!$D$6,"fdd/view?i=",J5798)</f>
        <v>https://www.dgiwg.org/FAD/fdd/view?i=113518</v>
      </c>
      <c r="L5798" s="36" t="s">
        <v>39119</v>
      </c>
      <c r="M5798" s="186"/>
      <c r="N5798" s="186"/>
      <c r="O5798" s="172"/>
    </row>
    <row r="5799" spans="1:15" ht="38.25" x14ac:dyDescent="0.2">
      <c r="A5799" s="197" t="str">
        <f t="shared" si="90"/>
        <v>MeoCode_tungstenOre</v>
      </c>
      <c r="B5799" s="409"/>
      <c r="C5799" s="416"/>
      <c r="D5799" s="198" t="s">
        <v>39120</v>
      </c>
      <c r="E5799" s="198">
        <v>18</v>
      </c>
      <c r="F5799" s="199" t="s">
        <v>39121</v>
      </c>
      <c r="G5799" s="1" t="s">
        <v>39122</v>
      </c>
      <c r="H5799" s="1" t="s">
        <v>39123</v>
      </c>
      <c r="I5799" s="346"/>
      <c r="J5799" s="39">
        <v>113519</v>
      </c>
      <c r="K5799" s="36" t="str">
        <f>CONCATENATE(Cover!$D$6,"fdd/view?i=",J5799)</f>
        <v>https://www.dgiwg.org/FAD/fdd/view?i=113519</v>
      </c>
      <c r="L5799" s="36" t="s">
        <v>39124</v>
      </c>
      <c r="M5799" s="186"/>
      <c r="N5799" s="186"/>
      <c r="O5799" s="172"/>
    </row>
    <row r="5800" spans="1:15" ht="38.25" x14ac:dyDescent="0.2">
      <c r="A5800" s="197" t="str">
        <f t="shared" si="90"/>
        <v>MeoCode_uraniumOre</v>
      </c>
      <c r="B5800" s="409"/>
      <c r="C5800" s="416"/>
      <c r="D5800" s="198" t="s">
        <v>39125</v>
      </c>
      <c r="E5800" s="198">
        <v>19</v>
      </c>
      <c r="F5800" s="199" t="s">
        <v>39126</v>
      </c>
      <c r="G5800" s="1" t="s">
        <v>39127</v>
      </c>
      <c r="H5800" s="1" t="s">
        <v>39128</v>
      </c>
      <c r="I5800" s="346"/>
      <c r="J5800" s="39">
        <v>113520</v>
      </c>
      <c r="K5800" s="36" t="str">
        <f>CONCATENATE(Cover!$D$6,"fdd/view?i=",J5800)</f>
        <v>https://www.dgiwg.org/FAD/fdd/view?i=113520</v>
      </c>
      <c r="L5800" s="36" t="s">
        <v>39129</v>
      </c>
      <c r="M5800" s="186"/>
      <c r="N5800" s="186"/>
      <c r="O5800" s="172"/>
    </row>
    <row r="5801" spans="1:15" ht="63.75" x14ac:dyDescent="0.2">
      <c r="A5801" s="197" t="str">
        <f t="shared" si="90"/>
        <v>MeoCode_vanadiumOre</v>
      </c>
      <c r="B5801" s="409"/>
      <c r="C5801" s="416"/>
      <c r="D5801" s="198" t="s">
        <v>39130</v>
      </c>
      <c r="E5801" s="198">
        <v>20</v>
      </c>
      <c r="F5801" s="199" t="s">
        <v>39131</v>
      </c>
      <c r="G5801" s="1" t="s">
        <v>39132</v>
      </c>
      <c r="H5801" s="1" t="s">
        <v>39133</v>
      </c>
      <c r="I5801" s="346"/>
      <c r="J5801" s="39">
        <v>113521</v>
      </c>
      <c r="K5801" s="36" t="str">
        <f>CONCATENATE(Cover!$D$6,"fdd/view?i=",J5801)</f>
        <v>https://www.dgiwg.org/FAD/fdd/view?i=113521</v>
      </c>
      <c r="L5801" s="36" t="s">
        <v>39134</v>
      </c>
      <c r="M5801" s="186"/>
      <c r="N5801" s="186"/>
      <c r="O5801" s="172"/>
    </row>
    <row r="5802" spans="1:15" ht="38.25" x14ac:dyDescent="0.2">
      <c r="A5802" s="203" t="str">
        <f t="shared" si="90"/>
        <v>MeoCode_zincOre</v>
      </c>
      <c r="B5802" s="410"/>
      <c r="C5802" s="417"/>
      <c r="D5802" s="204" t="s">
        <v>39135</v>
      </c>
      <c r="E5802" s="204">
        <v>21</v>
      </c>
      <c r="F5802" s="205" t="s">
        <v>39136</v>
      </c>
      <c r="G5802" s="206" t="s">
        <v>39137</v>
      </c>
      <c r="H5802" s="206" t="s">
        <v>39138</v>
      </c>
      <c r="I5802" s="347"/>
      <c r="J5802" s="39">
        <v>113522</v>
      </c>
      <c r="K5802" s="36" t="str">
        <f>CONCATENATE(Cover!$D$6,"fdd/view?i=",J5802)</f>
        <v>https://www.dgiwg.org/FAD/fdd/view?i=113522</v>
      </c>
      <c r="L5802" s="36" t="s">
        <v>39139</v>
      </c>
      <c r="M5802" s="186"/>
      <c r="N5802" s="186"/>
      <c r="O5802" s="172"/>
    </row>
    <row r="5803" spans="1:15" ht="25.5" x14ac:dyDescent="0.2">
      <c r="A5803" s="190" t="str">
        <f t="shared" si="90"/>
        <v>CmlCode_chan500</v>
      </c>
      <c r="B5803" s="414" t="str">
        <f>HYPERLINK("[#]Datatypes!A914:L914","CmlCode")</f>
        <v>CmlCode</v>
      </c>
      <c r="C5803" s="415" t="s">
        <v>15503</v>
      </c>
      <c r="D5803" s="221" t="s">
        <v>39141</v>
      </c>
      <c r="E5803" s="221">
        <v>1</v>
      </c>
      <c r="F5803" s="222" t="s">
        <v>39142</v>
      </c>
      <c r="G5803" s="223" t="s">
        <v>39143</v>
      </c>
      <c r="H5803" s="223" t="s">
        <v>16716</v>
      </c>
      <c r="I5803" s="345"/>
      <c r="J5803" s="39">
        <v>115131</v>
      </c>
      <c r="K5803" s="36" t="str">
        <f>CONCATENATE(Cover!$D$6,"fdd/view?i=",J5803)</f>
        <v>https://www.dgiwg.org/FAD/fdd/view?i=115131</v>
      </c>
      <c r="L5803" s="36" t="s">
        <v>39144</v>
      </c>
      <c r="M5803" s="186"/>
      <c r="N5803" s="186"/>
      <c r="O5803" s="13" t="s">
        <v>39140</v>
      </c>
    </row>
    <row r="5804" spans="1:15" ht="25.5" x14ac:dyDescent="0.2">
      <c r="A5804" s="197" t="str">
        <f t="shared" si="90"/>
        <v>CmlCode_chan501</v>
      </c>
      <c r="B5804" s="409"/>
      <c r="C5804" s="416"/>
      <c r="D5804" s="198" t="s">
        <v>39146</v>
      </c>
      <c r="E5804" s="198">
        <v>2</v>
      </c>
      <c r="F5804" s="199" t="s">
        <v>39147</v>
      </c>
      <c r="G5804" s="1" t="s">
        <v>39148</v>
      </c>
      <c r="H5804" s="1" t="s">
        <v>16716</v>
      </c>
      <c r="I5804" s="346"/>
      <c r="J5804" s="39">
        <v>115132</v>
      </c>
      <c r="K5804" s="36" t="str">
        <f>CONCATENATE(Cover!$D$6,"fdd/view?i=",J5804)</f>
        <v>https://www.dgiwg.org/FAD/fdd/view?i=115132</v>
      </c>
      <c r="L5804" s="36" t="s">
        <v>39149</v>
      </c>
      <c r="M5804" s="186"/>
      <c r="N5804" s="186"/>
      <c r="O5804" s="13" t="s">
        <v>39145</v>
      </c>
    </row>
    <row r="5805" spans="1:15" ht="25.5" x14ac:dyDescent="0.2">
      <c r="A5805" s="197" t="str">
        <f t="shared" si="90"/>
        <v>CmlCode_chan502</v>
      </c>
      <c r="B5805" s="409"/>
      <c r="C5805" s="416"/>
      <c r="D5805" s="198" t="s">
        <v>39151</v>
      </c>
      <c r="E5805" s="198">
        <v>3</v>
      </c>
      <c r="F5805" s="199" t="s">
        <v>39152</v>
      </c>
      <c r="G5805" s="1" t="s">
        <v>39153</v>
      </c>
      <c r="H5805" s="1" t="s">
        <v>16716</v>
      </c>
      <c r="I5805" s="346"/>
      <c r="J5805" s="39">
        <v>115133</v>
      </c>
      <c r="K5805" s="36" t="str">
        <f>CONCATENATE(Cover!$D$6,"fdd/view?i=",J5805)</f>
        <v>https://www.dgiwg.org/FAD/fdd/view?i=115133</v>
      </c>
      <c r="L5805" s="36" t="s">
        <v>39154</v>
      </c>
      <c r="M5805" s="186"/>
      <c r="N5805" s="186"/>
      <c r="O5805" s="13" t="s">
        <v>39150</v>
      </c>
    </row>
    <row r="5806" spans="1:15" ht="25.5" x14ac:dyDescent="0.2">
      <c r="A5806" s="197" t="str">
        <f t="shared" si="90"/>
        <v>CmlCode_chan503</v>
      </c>
      <c r="B5806" s="409"/>
      <c r="C5806" s="416"/>
      <c r="D5806" s="198" t="s">
        <v>39156</v>
      </c>
      <c r="E5806" s="198">
        <v>4</v>
      </c>
      <c r="F5806" s="199" t="s">
        <v>39157</v>
      </c>
      <c r="G5806" s="1" t="s">
        <v>39158</v>
      </c>
      <c r="H5806" s="1" t="s">
        <v>16716</v>
      </c>
      <c r="I5806" s="346"/>
      <c r="J5806" s="39">
        <v>115134</v>
      </c>
      <c r="K5806" s="36" t="str">
        <f>CONCATENATE(Cover!$D$6,"fdd/view?i=",J5806)</f>
        <v>https://www.dgiwg.org/FAD/fdd/view?i=115134</v>
      </c>
      <c r="L5806" s="36" t="s">
        <v>39159</v>
      </c>
      <c r="M5806" s="186"/>
      <c r="N5806" s="186"/>
      <c r="O5806" s="13" t="s">
        <v>39155</v>
      </c>
    </row>
    <row r="5807" spans="1:15" ht="25.5" x14ac:dyDescent="0.2">
      <c r="A5807" s="197" t="str">
        <f t="shared" si="90"/>
        <v>CmlCode_chan504</v>
      </c>
      <c r="B5807" s="409"/>
      <c r="C5807" s="416"/>
      <c r="D5807" s="198" t="s">
        <v>39161</v>
      </c>
      <c r="E5807" s="198">
        <v>5</v>
      </c>
      <c r="F5807" s="199" t="s">
        <v>39162</v>
      </c>
      <c r="G5807" s="1" t="s">
        <v>39163</v>
      </c>
      <c r="H5807" s="1" t="s">
        <v>16716</v>
      </c>
      <c r="I5807" s="346"/>
      <c r="J5807" s="39">
        <v>115135</v>
      </c>
      <c r="K5807" s="36" t="str">
        <f>CONCATENATE(Cover!$D$6,"fdd/view?i=",J5807)</f>
        <v>https://www.dgiwg.org/FAD/fdd/view?i=115135</v>
      </c>
      <c r="L5807" s="36" t="s">
        <v>39164</v>
      </c>
      <c r="M5807" s="186"/>
      <c r="N5807" s="186"/>
      <c r="O5807" s="13" t="s">
        <v>39160</v>
      </c>
    </row>
    <row r="5808" spans="1:15" ht="25.5" x14ac:dyDescent="0.2">
      <c r="A5808" s="197" t="str">
        <f t="shared" si="90"/>
        <v>CmlCode_chan505</v>
      </c>
      <c r="B5808" s="409"/>
      <c r="C5808" s="416"/>
      <c r="D5808" s="198" t="s">
        <v>39166</v>
      </c>
      <c r="E5808" s="198">
        <v>6</v>
      </c>
      <c r="F5808" s="199" t="s">
        <v>39167</v>
      </c>
      <c r="G5808" s="1" t="s">
        <v>39168</v>
      </c>
      <c r="H5808" s="1" t="s">
        <v>16716</v>
      </c>
      <c r="I5808" s="346"/>
      <c r="J5808" s="39">
        <v>115136</v>
      </c>
      <c r="K5808" s="36" t="str">
        <f>CONCATENATE(Cover!$D$6,"fdd/view?i=",J5808)</f>
        <v>https://www.dgiwg.org/FAD/fdd/view?i=115136</v>
      </c>
      <c r="L5808" s="36" t="s">
        <v>39169</v>
      </c>
      <c r="M5808" s="186"/>
      <c r="N5808" s="186"/>
      <c r="O5808" s="13" t="s">
        <v>39165</v>
      </c>
    </row>
    <row r="5809" spans="1:15" ht="25.5" x14ac:dyDescent="0.2">
      <c r="A5809" s="197" t="str">
        <f t="shared" si="90"/>
        <v>CmlCode_chan506</v>
      </c>
      <c r="B5809" s="409"/>
      <c r="C5809" s="416"/>
      <c r="D5809" s="198" t="s">
        <v>39171</v>
      </c>
      <c r="E5809" s="198">
        <v>7</v>
      </c>
      <c r="F5809" s="199" t="s">
        <v>39172</v>
      </c>
      <c r="G5809" s="1" t="s">
        <v>39173</v>
      </c>
      <c r="H5809" s="1" t="s">
        <v>16716</v>
      </c>
      <c r="I5809" s="346"/>
      <c r="J5809" s="39">
        <v>115137</v>
      </c>
      <c r="K5809" s="36" t="str">
        <f>CONCATENATE(Cover!$D$6,"fdd/view?i=",J5809)</f>
        <v>https://www.dgiwg.org/FAD/fdd/view?i=115137</v>
      </c>
      <c r="L5809" s="36" t="s">
        <v>39174</v>
      </c>
      <c r="M5809" s="186"/>
      <c r="N5809" s="186"/>
      <c r="O5809" s="13" t="s">
        <v>39170</v>
      </c>
    </row>
    <row r="5810" spans="1:15" ht="25.5" x14ac:dyDescent="0.2">
      <c r="A5810" s="197" t="str">
        <f t="shared" si="90"/>
        <v>CmlCode_chan507</v>
      </c>
      <c r="B5810" s="409"/>
      <c r="C5810" s="416"/>
      <c r="D5810" s="198" t="s">
        <v>39176</v>
      </c>
      <c r="E5810" s="198">
        <v>8</v>
      </c>
      <c r="F5810" s="199" t="s">
        <v>39177</v>
      </c>
      <c r="G5810" s="1" t="s">
        <v>39178</v>
      </c>
      <c r="H5810" s="1" t="s">
        <v>16716</v>
      </c>
      <c r="I5810" s="346"/>
      <c r="J5810" s="39">
        <v>115138</v>
      </c>
      <c r="K5810" s="36" t="str">
        <f>CONCATENATE(Cover!$D$6,"fdd/view?i=",J5810)</f>
        <v>https://www.dgiwg.org/FAD/fdd/view?i=115138</v>
      </c>
      <c r="L5810" s="36" t="s">
        <v>39179</v>
      </c>
      <c r="M5810" s="186"/>
      <c r="N5810" s="186"/>
      <c r="O5810" s="13" t="s">
        <v>39175</v>
      </c>
    </row>
    <row r="5811" spans="1:15" ht="25.5" x14ac:dyDescent="0.2">
      <c r="A5811" s="197" t="str">
        <f t="shared" si="90"/>
        <v>CmlCode_chan508</v>
      </c>
      <c r="B5811" s="409"/>
      <c r="C5811" s="416"/>
      <c r="D5811" s="198" t="s">
        <v>39181</v>
      </c>
      <c r="E5811" s="198">
        <v>9</v>
      </c>
      <c r="F5811" s="199" t="s">
        <v>39182</v>
      </c>
      <c r="G5811" s="1" t="s">
        <v>39183</v>
      </c>
      <c r="H5811" s="1" t="s">
        <v>16716</v>
      </c>
      <c r="I5811" s="346"/>
      <c r="J5811" s="39">
        <v>115139</v>
      </c>
      <c r="K5811" s="36" t="str">
        <f>CONCATENATE(Cover!$D$6,"fdd/view?i=",J5811)</f>
        <v>https://www.dgiwg.org/FAD/fdd/view?i=115139</v>
      </c>
      <c r="L5811" s="36" t="s">
        <v>39184</v>
      </c>
      <c r="M5811" s="186"/>
      <c r="N5811" s="186"/>
      <c r="O5811" s="13" t="s">
        <v>39180</v>
      </c>
    </row>
    <row r="5812" spans="1:15" ht="25.5" x14ac:dyDescent="0.2">
      <c r="A5812" s="197" t="str">
        <f t="shared" si="90"/>
        <v>CmlCode_chan509</v>
      </c>
      <c r="B5812" s="409"/>
      <c r="C5812" s="416"/>
      <c r="D5812" s="198" t="s">
        <v>39186</v>
      </c>
      <c r="E5812" s="198">
        <v>10</v>
      </c>
      <c r="F5812" s="199" t="s">
        <v>39187</v>
      </c>
      <c r="G5812" s="1" t="s">
        <v>39188</v>
      </c>
      <c r="H5812" s="1" t="s">
        <v>16716</v>
      </c>
      <c r="I5812" s="346"/>
      <c r="J5812" s="39">
        <v>115140</v>
      </c>
      <c r="K5812" s="36" t="str">
        <f>CONCATENATE(Cover!$D$6,"fdd/view?i=",J5812)</f>
        <v>https://www.dgiwg.org/FAD/fdd/view?i=115140</v>
      </c>
      <c r="L5812" s="36" t="s">
        <v>39189</v>
      </c>
      <c r="M5812" s="186"/>
      <c r="N5812" s="186"/>
      <c r="O5812" s="13" t="s">
        <v>39185</v>
      </c>
    </row>
    <row r="5813" spans="1:15" ht="25.5" x14ac:dyDescent="0.2">
      <c r="A5813" s="197" t="str">
        <f t="shared" si="90"/>
        <v>CmlCode_chan510</v>
      </c>
      <c r="B5813" s="409"/>
      <c r="C5813" s="416"/>
      <c r="D5813" s="198" t="s">
        <v>39191</v>
      </c>
      <c r="E5813" s="198">
        <v>11</v>
      </c>
      <c r="F5813" s="199" t="s">
        <v>39192</v>
      </c>
      <c r="G5813" s="1" t="s">
        <v>39193</v>
      </c>
      <c r="H5813" s="1" t="s">
        <v>16716</v>
      </c>
      <c r="I5813" s="346"/>
      <c r="J5813" s="39">
        <v>115141</v>
      </c>
      <c r="K5813" s="36" t="str">
        <f>CONCATENATE(Cover!$D$6,"fdd/view?i=",J5813)</f>
        <v>https://www.dgiwg.org/FAD/fdd/view?i=115141</v>
      </c>
      <c r="L5813" s="36" t="s">
        <v>39194</v>
      </c>
      <c r="M5813" s="186"/>
      <c r="N5813" s="186"/>
      <c r="O5813" s="13" t="s">
        <v>39190</v>
      </c>
    </row>
    <row r="5814" spans="1:15" ht="25.5" x14ac:dyDescent="0.2">
      <c r="A5814" s="197" t="str">
        <f t="shared" si="90"/>
        <v>CmlCode_chan511</v>
      </c>
      <c r="B5814" s="409"/>
      <c r="C5814" s="416"/>
      <c r="D5814" s="198" t="s">
        <v>39196</v>
      </c>
      <c r="E5814" s="198">
        <v>12</v>
      </c>
      <c r="F5814" s="199" t="s">
        <v>39197</v>
      </c>
      <c r="G5814" s="1" t="s">
        <v>39198</v>
      </c>
      <c r="H5814" s="1" t="s">
        <v>16716</v>
      </c>
      <c r="I5814" s="346"/>
      <c r="J5814" s="39">
        <v>115142</v>
      </c>
      <c r="K5814" s="36" t="str">
        <f>CONCATENATE(Cover!$D$6,"fdd/view?i=",J5814)</f>
        <v>https://www.dgiwg.org/FAD/fdd/view?i=115142</v>
      </c>
      <c r="L5814" s="36" t="s">
        <v>39199</v>
      </c>
      <c r="M5814" s="186"/>
      <c r="N5814" s="186"/>
      <c r="O5814" s="13" t="s">
        <v>39195</v>
      </c>
    </row>
    <row r="5815" spans="1:15" ht="25.5" x14ac:dyDescent="0.2">
      <c r="A5815" s="197" t="str">
        <f t="shared" si="90"/>
        <v>CmlCode_chan512</v>
      </c>
      <c r="B5815" s="409"/>
      <c r="C5815" s="416"/>
      <c r="D5815" s="198" t="s">
        <v>39201</v>
      </c>
      <c r="E5815" s="198">
        <v>13</v>
      </c>
      <c r="F5815" s="199" t="s">
        <v>39202</v>
      </c>
      <c r="G5815" s="1" t="s">
        <v>39203</v>
      </c>
      <c r="H5815" s="1" t="s">
        <v>16716</v>
      </c>
      <c r="I5815" s="346"/>
      <c r="J5815" s="39">
        <v>115143</v>
      </c>
      <c r="K5815" s="36" t="str">
        <f>CONCATENATE(Cover!$D$6,"fdd/view?i=",J5815)</f>
        <v>https://www.dgiwg.org/FAD/fdd/view?i=115143</v>
      </c>
      <c r="L5815" s="36" t="s">
        <v>39204</v>
      </c>
      <c r="M5815" s="186"/>
      <c r="N5815" s="186"/>
      <c r="O5815" s="13" t="s">
        <v>39200</v>
      </c>
    </row>
    <row r="5816" spans="1:15" ht="25.5" x14ac:dyDescent="0.2">
      <c r="A5816" s="197" t="str">
        <f t="shared" si="90"/>
        <v>CmlCode_chan513</v>
      </c>
      <c r="B5816" s="409"/>
      <c r="C5816" s="416"/>
      <c r="D5816" s="198" t="s">
        <v>39206</v>
      </c>
      <c r="E5816" s="198">
        <v>14</v>
      </c>
      <c r="F5816" s="199" t="s">
        <v>39207</v>
      </c>
      <c r="G5816" s="1" t="s">
        <v>39208</v>
      </c>
      <c r="H5816" s="1" t="s">
        <v>16716</v>
      </c>
      <c r="I5816" s="346"/>
      <c r="J5816" s="39">
        <v>115144</v>
      </c>
      <c r="K5816" s="36" t="str">
        <f>CONCATENATE(Cover!$D$6,"fdd/view?i=",J5816)</f>
        <v>https://www.dgiwg.org/FAD/fdd/view?i=115144</v>
      </c>
      <c r="L5816" s="36" t="s">
        <v>39209</v>
      </c>
      <c r="M5816" s="186"/>
      <c r="N5816" s="186"/>
      <c r="O5816" s="13" t="s">
        <v>39205</v>
      </c>
    </row>
    <row r="5817" spans="1:15" ht="25.5" x14ac:dyDescent="0.2">
      <c r="A5817" s="197" t="str">
        <f t="shared" si="90"/>
        <v>CmlCode_chan514</v>
      </c>
      <c r="B5817" s="409"/>
      <c r="C5817" s="416"/>
      <c r="D5817" s="198" t="s">
        <v>39211</v>
      </c>
      <c r="E5817" s="198">
        <v>15</v>
      </c>
      <c r="F5817" s="199" t="s">
        <v>39212</v>
      </c>
      <c r="G5817" s="1" t="s">
        <v>39213</v>
      </c>
      <c r="H5817" s="1" t="s">
        <v>16716</v>
      </c>
      <c r="I5817" s="346"/>
      <c r="J5817" s="39">
        <v>115145</v>
      </c>
      <c r="K5817" s="36" t="str">
        <f>CONCATENATE(Cover!$D$6,"fdd/view?i=",J5817)</f>
        <v>https://www.dgiwg.org/FAD/fdd/view?i=115145</v>
      </c>
      <c r="L5817" s="36" t="s">
        <v>39214</v>
      </c>
      <c r="M5817" s="186"/>
      <c r="N5817" s="186"/>
      <c r="O5817" s="13" t="s">
        <v>39210</v>
      </c>
    </row>
    <row r="5818" spans="1:15" ht="25.5" x14ac:dyDescent="0.2">
      <c r="A5818" s="197" t="str">
        <f t="shared" si="90"/>
        <v>CmlCode_chan515</v>
      </c>
      <c r="B5818" s="409"/>
      <c r="C5818" s="416"/>
      <c r="D5818" s="198" t="s">
        <v>39216</v>
      </c>
      <c r="E5818" s="198">
        <v>16</v>
      </c>
      <c r="F5818" s="199" t="s">
        <v>39217</v>
      </c>
      <c r="G5818" s="1" t="s">
        <v>39218</v>
      </c>
      <c r="H5818" s="1" t="s">
        <v>16716</v>
      </c>
      <c r="I5818" s="346"/>
      <c r="J5818" s="39">
        <v>115146</v>
      </c>
      <c r="K5818" s="36" t="str">
        <f>CONCATENATE(Cover!$D$6,"fdd/view?i=",J5818)</f>
        <v>https://www.dgiwg.org/FAD/fdd/view?i=115146</v>
      </c>
      <c r="L5818" s="36" t="s">
        <v>39219</v>
      </c>
      <c r="M5818" s="186"/>
      <c r="N5818" s="186"/>
      <c r="O5818" s="13" t="s">
        <v>39215</v>
      </c>
    </row>
    <row r="5819" spans="1:15" ht="25.5" x14ac:dyDescent="0.2">
      <c r="A5819" s="197" t="str">
        <f t="shared" si="90"/>
        <v>CmlCode_chan516</v>
      </c>
      <c r="B5819" s="409"/>
      <c r="C5819" s="416"/>
      <c r="D5819" s="198" t="s">
        <v>39221</v>
      </c>
      <c r="E5819" s="198">
        <v>17</v>
      </c>
      <c r="F5819" s="199" t="s">
        <v>39222</v>
      </c>
      <c r="G5819" s="1" t="s">
        <v>39223</v>
      </c>
      <c r="H5819" s="1" t="s">
        <v>16716</v>
      </c>
      <c r="I5819" s="346"/>
      <c r="J5819" s="39">
        <v>115147</v>
      </c>
      <c r="K5819" s="36" t="str">
        <f>CONCATENATE(Cover!$D$6,"fdd/view?i=",J5819)</f>
        <v>https://www.dgiwg.org/FAD/fdd/view?i=115147</v>
      </c>
      <c r="L5819" s="36" t="s">
        <v>39224</v>
      </c>
      <c r="M5819" s="186"/>
      <c r="N5819" s="186"/>
      <c r="O5819" s="13" t="s">
        <v>39220</v>
      </c>
    </row>
    <row r="5820" spans="1:15" ht="25.5" x14ac:dyDescent="0.2">
      <c r="A5820" s="197" t="str">
        <f t="shared" si="90"/>
        <v>CmlCode_chan517</v>
      </c>
      <c r="B5820" s="409"/>
      <c r="C5820" s="416"/>
      <c r="D5820" s="198" t="s">
        <v>39226</v>
      </c>
      <c r="E5820" s="198">
        <v>18</v>
      </c>
      <c r="F5820" s="199" t="s">
        <v>39227</v>
      </c>
      <c r="G5820" s="1" t="s">
        <v>39228</v>
      </c>
      <c r="H5820" s="1" t="s">
        <v>16716</v>
      </c>
      <c r="I5820" s="346"/>
      <c r="J5820" s="39">
        <v>115148</v>
      </c>
      <c r="K5820" s="36" t="str">
        <f>CONCATENATE(Cover!$D$6,"fdd/view?i=",J5820)</f>
        <v>https://www.dgiwg.org/FAD/fdd/view?i=115148</v>
      </c>
      <c r="L5820" s="36" t="s">
        <v>39229</v>
      </c>
      <c r="M5820" s="186"/>
      <c r="N5820" s="186"/>
      <c r="O5820" s="13" t="s">
        <v>39225</v>
      </c>
    </row>
    <row r="5821" spans="1:15" ht="25.5" x14ac:dyDescent="0.2">
      <c r="A5821" s="197" t="str">
        <f t="shared" si="90"/>
        <v>CmlCode_chan518</v>
      </c>
      <c r="B5821" s="409"/>
      <c r="C5821" s="416"/>
      <c r="D5821" s="198" t="s">
        <v>39231</v>
      </c>
      <c r="E5821" s="198">
        <v>19</v>
      </c>
      <c r="F5821" s="199" t="s">
        <v>39232</v>
      </c>
      <c r="G5821" s="1" t="s">
        <v>39233</v>
      </c>
      <c r="H5821" s="1" t="s">
        <v>16716</v>
      </c>
      <c r="I5821" s="346"/>
      <c r="J5821" s="39">
        <v>115149</v>
      </c>
      <c r="K5821" s="36" t="str">
        <f>CONCATENATE(Cover!$D$6,"fdd/view?i=",J5821)</f>
        <v>https://www.dgiwg.org/FAD/fdd/view?i=115149</v>
      </c>
      <c r="L5821" s="36" t="s">
        <v>39234</v>
      </c>
      <c r="M5821" s="186"/>
      <c r="N5821" s="186"/>
      <c r="O5821" s="13" t="s">
        <v>39230</v>
      </c>
    </row>
    <row r="5822" spans="1:15" ht="25.5" x14ac:dyDescent="0.2">
      <c r="A5822" s="197" t="str">
        <f t="shared" si="90"/>
        <v>CmlCode_chan519</v>
      </c>
      <c r="B5822" s="409"/>
      <c r="C5822" s="416"/>
      <c r="D5822" s="198" t="s">
        <v>39236</v>
      </c>
      <c r="E5822" s="198">
        <v>20</v>
      </c>
      <c r="F5822" s="199" t="s">
        <v>39237</v>
      </c>
      <c r="G5822" s="1" t="s">
        <v>39238</v>
      </c>
      <c r="H5822" s="1" t="s">
        <v>16716</v>
      </c>
      <c r="I5822" s="346"/>
      <c r="J5822" s="39">
        <v>115150</v>
      </c>
      <c r="K5822" s="36" t="str">
        <f>CONCATENATE(Cover!$D$6,"fdd/view?i=",J5822)</f>
        <v>https://www.dgiwg.org/FAD/fdd/view?i=115150</v>
      </c>
      <c r="L5822" s="36" t="s">
        <v>39239</v>
      </c>
      <c r="M5822" s="186"/>
      <c r="N5822" s="186"/>
      <c r="O5822" s="13" t="s">
        <v>39235</v>
      </c>
    </row>
    <row r="5823" spans="1:15" ht="25.5" x14ac:dyDescent="0.2">
      <c r="A5823" s="197" t="str">
        <f t="shared" si="90"/>
        <v>CmlCode_chan520</v>
      </c>
      <c r="B5823" s="409"/>
      <c r="C5823" s="416"/>
      <c r="D5823" s="198" t="s">
        <v>39241</v>
      </c>
      <c r="E5823" s="198">
        <v>21</v>
      </c>
      <c r="F5823" s="199" t="s">
        <v>39242</v>
      </c>
      <c r="G5823" s="1" t="s">
        <v>39243</v>
      </c>
      <c r="H5823" s="1" t="s">
        <v>16716</v>
      </c>
      <c r="I5823" s="346"/>
      <c r="J5823" s="39">
        <v>115151</v>
      </c>
      <c r="K5823" s="36" t="str">
        <f>CONCATENATE(Cover!$D$6,"fdd/view?i=",J5823)</f>
        <v>https://www.dgiwg.org/FAD/fdd/view?i=115151</v>
      </c>
      <c r="L5823" s="36" t="s">
        <v>39244</v>
      </c>
      <c r="M5823" s="186"/>
      <c r="N5823" s="186"/>
      <c r="O5823" s="13" t="s">
        <v>39240</v>
      </c>
    </row>
    <row r="5824" spans="1:15" ht="25.5" x14ac:dyDescent="0.2">
      <c r="A5824" s="197" t="str">
        <f t="shared" si="90"/>
        <v>CmlCode_chan521</v>
      </c>
      <c r="B5824" s="409"/>
      <c r="C5824" s="416"/>
      <c r="D5824" s="198" t="s">
        <v>39246</v>
      </c>
      <c r="E5824" s="198">
        <v>22</v>
      </c>
      <c r="F5824" s="199" t="s">
        <v>39247</v>
      </c>
      <c r="G5824" s="1" t="s">
        <v>39248</v>
      </c>
      <c r="H5824" s="1" t="s">
        <v>16716</v>
      </c>
      <c r="I5824" s="346"/>
      <c r="J5824" s="39">
        <v>115152</v>
      </c>
      <c r="K5824" s="36" t="str">
        <f>CONCATENATE(Cover!$D$6,"fdd/view?i=",J5824)</f>
        <v>https://www.dgiwg.org/FAD/fdd/view?i=115152</v>
      </c>
      <c r="L5824" s="36" t="s">
        <v>39249</v>
      </c>
      <c r="M5824" s="186"/>
      <c r="N5824" s="186"/>
      <c r="O5824" s="13" t="s">
        <v>39245</v>
      </c>
    </row>
    <row r="5825" spans="1:15" ht="25.5" x14ac:dyDescent="0.2">
      <c r="A5825" s="197" t="str">
        <f t="shared" si="90"/>
        <v>CmlCode_chan522</v>
      </c>
      <c r="B5825" s="409"/>
      <c r="C5825" s="416"/>
      <c r="D5825" s="198" t="s">
        <v>39251</v>
      </c>
      <c r="E5825" s="198">
        <v>23</v>
      </c>
      <c r="F5825" s="199" t="s">
        <v>39252</v>
      </c>
      <c r="G5825" s="1" t="s">
        <v>39253</v>
      </c>
      <c r="H5825" s="1" t="s">
        <v>16716</v>
      </c>
      <c r="I5825" s="346"/>
      <c r="J5825" s="39">
        <v>115153</v>
      </c>
      <c r="K5825" s="36" t="str">
        <f>CONCATENATE(Cover!$D$6,"fdd/view?i=",J5825)</f>
        <v>https://www.dgiwg.org/FAD/fdd/view?i=115153</v>
      </c>
      <c r="L5825" s="36" t="s">
        <v>39254</v>
      </c>
      <c r="M5825" s="186"/>
      <c r="N5825" s="186"/>
      <c r="O5825" s="13" t="s">
        <v>39250</v>
      </c>
    </row>
    <row r="5826" spans="1:15" ht="25.5" x14ac:dyDescent="0.2">
      <c r="A5826" s="197" t="str">
        <f t="shared" ref="A5826:A5889" si="91">HYPERLINK(K5826,L5826)</f>
        <v>CmlCode_chan523</v>
      </c>
      <c r="B5826" s="409"/>
      <c r="C5826" s="416"/>
      <c r="D5826" s="198" t="s">
        <v>39256</v>
      </c>
      <c r="E5826" s="198">
        <v>24</v>
      </c>
      <c r="F5826" s="199" t="s">
        <v>39257</v>
      </c>
      <c r="G5826" s="1" t="s">
        <v>39258</v>
      </c>
      <c r="H5826" s="1" t="s">
        <v>16716</v>
      </c>
      <c r="I5826" s="346"/>
      <c r="J5826" s="39">
        <v>115154</v>
      </c>
      <c r="K5826" s="36" t="str">
        <f>CONCATENATE(Cover!$D$6,"fdd/view?i=",J5826)</f>
        <v>https://www.dgiwg.org/FAD/fdd/view?i=115154</v>
      </c>
      <c r="L5826" s="36" t="s">
        <v>39259</v>
      </c>
      <c r="M5826" s="186"/>
      <c r="N5826" s="186"/>
      <c r="O5826" s="13" t="s">
        <v>39255</v>
      </c>
    </row>
    <row r="5827" spans="1:15" ht="25.5" x14ac:dyDescent="0.2">
      <c r="A5827" s="197" t="str">
        <f t="shared" si="91"/>
        <v>CmlCode_chan524</v>
      </c>
      <c r="B5827" s="409"/>
      <c r="C5827" s="416"/>
      <c r="D5827" s="198" t="s">
        <v>39261</v>
      </c>
      <c r="E5827" s="198">
        <v>25</v>
      </c>
      <c r="F5827" s="199" t="s">
        <v>39262</v>
      </c>
      <c r="G5827" s="1" t="s">
        <v>39263</v>
      </c>
      <c r="H5827" s="1" t="s">
        <v>16716</v>
      </c>
      <c r="I5827" s="346"/>
      <c r="J5827" s="39">
        <v>115155</v>
      </c>
      <c r="K5827" s="36" t="str">
        <f>CONCATENATE(Cover!$D$6,"fdd/view?i=",J5827)</f>
        <v>https://www.dgiwg.org/FAD/fdd/view?i=115155</v>
      </c>
      <c r="L5827" s="36" t="s">
        <v>39264</v>
      </c>
      <c r="M5827" s="186"/>
      <c r="N5827" s="186"/>
      <c r="O5827" s="13" t="s">
        <v>39260</v>
      </c>
    </row>
    <row r="5828" spans="1:15" ht="25.5" x14ac:dyDescent="0.2">
      <c r="A5828" s="197" t="str">
        <f t="shared" si="91"/>
        <v>CmlCode_chan525</v>
      </c>
      <c r="B5828" s="409"/>
      <c r="C5828" s="416"/>
      <c r="D5828" s="198" t="s">
        <v>39266</v>
      </c>
      <c r="E5828" s="198">
        <v>26</v>
      </c>
      <c r="F5828" s="199" t="s">
        <v>39267</v>
      </c>
      <c r="G5828" s="1" t="s">
        <v>39268</v>
      </c>
      <c r="H5828" s="1" t="s">
        <v>16716</v>
      </c>
      <c r="I5828" s="346"/>
      <c r="J5828" s="39">
        <v>115156</v>
      </c>
      <c r="K5828" s="36" t="str">
        <f>CONCATENATE(Cover!$D$6,"fdd/view?i=",J5828)</f>
        <v>https://www.dgiwg.org/FAD/fdd/view?i=115156</v>
      </c>
      <c r="L5828" s="36" t="s">
        <v>39269</v>
      </c>
      <c r="M5828" s="186"/>
      <c r="N5828" s="186"/>
      <c r="O5828" s="13" t="s">
        <v>39265</v>
      </c>
    </row>
    <row r="5829" spans="1:15" ht="25.5" x14ac:dyDescent="0.2">
      <c r="A5829" s="197" t="str">
        <f t="shared" si="91"/>
        <v>CmlCode_chan526</v>
      </c>
      <c r="B5829" s="409"/>
      <c r="C5829" s="416"/>
      <c r="D5829" s="198" t="s">
        <v>39271</v>
      </c>
      <c r="E5829" s="198">
        <v>27</v>
      </c>
      <c r="F5829" s="199" t="s">
        <v>39272</v>
      </c>
      <c r="G5829" s="1" t="s">
        <v>39273</v>
      </c>
      <c r="H5829" s="1" t="s">
        <v>16716</v>
      </c>
      <c r="I5829" s="346"/>
      <c r="J5829" s="39">
        <v>115157</v>
      </c>
      <c r="K5829" s="36" t="str">
        <f>CONCATENATE(Cover!$D$6,"fdd/view?i=",J5829)</f>
        <v>https://www.dgiwg.org/FAD/fdd/view?i=115157</v>
      </c>
      <c r="L5829" s="36" t="s">
        <v>39274</v>
      </c>
      <c r="M5829" s="186"/>
      <c r="N5829" s="186"/>
      <c r="O5829" s="13" t="s">
        <v>39270</v>
      </c>
    </row>
    <row r="5830" spans="1:15" ht="25.5" x14ac:dyDescent="0.2">
      <c r="A5830" s="197" t="str">
        <f t="shared" si="91"/>
        <v>CmlCode_chan527</v>
      </c>
      <c r="B5830" s="409"/>
      <c r="C5830" s="416"/>
      <c r="D5830" s="198" t="s">
        <v>39276</v>
      </c>
      <c r="E5830" s="198">
        <v>28</v>
      </c>
      <c r="F5830" s="199" t="s">
        <v>39277</v>
      </c>
      <c r="G5830" s="1" t="s">
        <v>39278</v>
      </c>
      <c r="H5830" s="1" t="s">
        <v>16716</v>
      </c>
      <c r="I5830" s="346"/>
      <c r="J5830" s="39">
        <v>115158</v>
      </c>
      <c r="K5830" s="36" t="str">
        <f>CONCATENATE(Cover!$D$6,"fdd/view?i=",J5830)</f>
        <v>https://www.dgiwg.org/FAD/fdd/view?i=115158</v>
      </c>
      <c r="L5830" s="36" t="s">
        <v>39279</v>
      </c>
      <c r="M5830" s="186"/>
      <c r="N5830" s="186"/>
      <c r="O5830" s="13" t="s">
        <v>39275</v>
      </c>
    </row>
    <row r="5831" spans="1:15" ht="25.5" x14ac:dyDescent="0.2">
      <c r="A5831" s="197" t="str">
        <f t="shared" si="91"/>
        <v>CmlCode_chan528</v>
      </c>
      <c r="B5831" s="409"/>
      <c r="C5831" s="416"/>
      <c r="D5831" s="198" t="s">
        <v>39281</v>
      </c>
      <c r="E5831" s="198">
        <v>29</v>
      </c>
      <c r="F5831" s="199" t="s">
        <v>39282</v>
      </c>
      <c r="G5831" s="1" t="s">
        <v>39283</v>
      </c>
      <c r="H5831" s="1" t="s">
        <v>16716</v>
      </c>
      <c r="I5831" s="346"/>
      <c r="J5831" s="39">
        <v>115159</v>
      </c>
      <c r="K5831" s="36" t="str">
        <f>CONCATENATE(Cover!$D$6,"fdd/view?i=",J5831)</f>
        <v>https://www.dgiwg.org/FAD/fdd/view?i=115159</v>
      </c>
      <c r="L5831" s="36" t="s">
        <v>39284</v>
      </c>
      <c r="M5831" s="186"/>
      <c r="N5831" s="186"/>
      <c r="O5831" s="13" t="s">
        <v>39280</v>
      </c>
    </row>
    <row r="5832" spans="1:15" ht="25.5" x14ac:dyDescent="0.2">
      <c r="A5832" s="197" t="str">
        <f t="shared" si="91"/>
        <v>CmlCode_chan529</v>
      </c>
      <c r="B5832" s="409"/>
      <c r="C5832" s="416"/>
      <c r="D5832" s="198" t="s">
        <v>39286</v>
      </c>
      <c r="E5832" s="198">
        <v>30</v>
      </c>
      <c r="F5832" s="199" t="s">
        <v>39287</v>
      </c>
      <c r="G5832" s="1" t="s">
        <v>39288</v>
      </c>
      <c r="H5832" s="1" t="s">
        <v>16716</v>
      </c>
      <c r="I5832" s="346"/>
      <c r="J5832" s="39">
        <v>115160</v>
      </c>
      <c r="K5832" s="36" t="str">
        <f>CONCATENATE(Cover!$D$6,"fdd/view?i=",J5832)</f>
        <v>https://www.dgiwg.org/FAD/fdd/view?i=115160</v>
      </c>
      <c r="L5832" s="36" t="s">
        <v>39289</v>
      </c>
      <c r="M5832" s="186"/>
      <c r="N5832" s="186"/>
      <c r="O5832" s="13" t="s">
        <v>39285</v>
      </c>
    </row>
    <row r="5833" spans="1:15" ht="25.5" x14ac:dyDescent="0.2">
      <c r="A5833" s="197" t="str">
        <f t="shared" si="91"/>
        <v>CmlCode_chan530</v>
      </c>
      <c r="B5833" s="409"/>
      <c r="C5833" s="416"/>
      <c r="D5833" s="198" t="s">
        <v>39291</v>
      </c>
      <c r="E5833" s="198">
        <v>31</v>
      </c>
      <c r="F5833" s="199" t="s">
        <v>39292</v>
      </c>
      <c r="G5833" s="1" t="s">
        <v>39293</v>
      </c>
      <c r="H5833" s="1" t="s">
        <v>16716</v>
      </c>
      <c r="I5833" s="346"/>
      <c r="J5833" s="39">
        <v>115161</v>
      </c>
      <c r="K5833" s="36" t="str">
        <f>CONCATENATE(Cover!$D$6,"fdd/view?i=",J5833)</f>
        <v>https://www.dgiwg.org/FAD/fdd/view?i=115161</v>
      </c>
      <c r="L5833" s="36" t="s">
        <v>39294</v>
      </c>
      <c r="M5833" s="186"/>
      <c r="N5833" s="186"/>
      <c r="O5833" s="13" t="s">
        <v>39290</v>
      </c>
    </row>
    <row r="5834" spans="1:15" ht="25.5" x14ac:dyDescent="0.2">
      <c r="A5834" s="197" t="str">
        <f t="shared" si="91"/>
        <v>CmlCode_chan531</v>
      </c>
      <c r="B5834" s="409"/>
      <c r="C5834" s="416"/>
      <c r="D5834" s="198" t="s">
        <v>39296</v>
      </c>
      <c r="E5834" s="198">
        <v>32</v>
      </c>
      <c r="F5834" s="199" t="s">
        <v>39297</v>
      </c>
      <c r="G5834" s="1" t="s">
        <v>39298</v>
      </c>
      <c r="H5834" s="1" t="s">
        <v>16716</v>
      </c>
      <c r="I5834" s="346"/>
      <c r="J5834" s="39">
        <v>115162</v>
      </c>
      <c r="K5834" s="36" t="str">
        <f>CONCATENATE(Cover!$D$6,"fdd/view?i=",J5834)</f>
        <v>https://www.dgiwg.org/FAD/fdd/view?i=115162</v>
      </c>
      <c r="L5834" s="36" t="s">
        <v>39299</v>
      </c>
      <c r="M5834" s="186"/>
      <c r="N5834" s="186"/>
      <c r="O5834" s="13" t="s">
        <v>39295</v>
      </c>
    </row>
    <row r="5835" spans="1:15" ht="25.5" x14ac:dyDescent="0.2">
      <c r="A5835" s="197" t="str">
        <f t="shared" si="91"/>
        <v>CmlCode_chan532</v>
      </c>
      <c r="B5835" s="409"/>
      <c r="C5835" s="416"/>
      <c r="D5835" s="198" t="s">
        <v>39301</v>
      </c>
      <c r="E5835" s="198">
        <v>33</v>
      </c>
      <c r="F5835" s="199" t="s">
        <v>39302</v>
      </c>
      <c r="G5835" s="1" t="s">
        <v>39303</v>
      </c>
      <c r="H5835" s="1" t="s">
        <v>16716</v>
      </c>
      <c r="I5835" s="346"/>
      <c r="J5835" s="39">
        <v>115163</v>
      </c>
      <c r="K5835" s="36" t="str">
        <f>CONCATENATE(Cover!$D$6,"fdd/view?i=",J5835)</f>
        <v>https://www.dgiwg.org/FAD/fdd/view?i=115163</v>
      </c>
      <c r="L5835" s="36" t="s">
        <v>39304</v>
      </c>
      <c r="M5835" s="186"/>
      <c r="N5835" s="186"/>
      <c r="O5835" s="13" t="s">
        <v>39300</v>
      </c>
    </row>
    <row r="5836" spans="1:15" ht="25.5" x14ac:dyDescent="0.2">
      <c r="A5836" s="197" t="str">
        <f t="shared" si="91"/>
        <v>CmlCode_chan533</v>
      </c>
      <c r="B5836" s="409"/>
      <c r="C5836" s="416"/>
      <c r="D5836" s="198" t="s">
        <v>39306</v>
      </c>
      <c r="E5836" s="198">
        <v>34</v>
      </c>
      <c r="F5836" s="199" t="s">
        <v>39307</v>
      </c>
      <c r="G5836" s="1" t="s">
        <v>39308</v>
      </c>
      <c r="H5836" s="1" t="s">
        <v>16716</v>
      </c>
      <c r="I5836" s="346"/>
      <c r="J5836" s="39">
        <v>115164</v>
      </c>
      <c r="K5836" s="36" t="str">
        <f>CONCATENATE(Cover!$D$6,"fdd/view?i=",J5836)</f>
        <v>https://www.dgiwg.org/FAD/fdd/view?i=115164</v>
      </c>
      <c r="L5836" s="36" t="s">
        <v>39309</v>
      </c>
      <c r="M5836" s="186"/>
      <c r="N5836" s="186"/>
      <c r="O5836" s="13" t="s">
        <v>39305</v>
      </c>
    </row>
    <row r="5837" spans="1:15" ht="25.5" x14ac:dyDescent="0.2">
      <c r="A5837" s="197" t="str">
        <f t="shared" si="91"/>
        <v>CmlCode_chan534</v>
      </c>
      <c r="B5837" s="409"/>
      <c r="C5837" s="416"/>
      <c r="D5837" s="198" t="s">
        <v>39311</v>
      </c>
      <c r="E5837" s="198">
        <v>35</v>
      </c>
      <c r="F5837" s="199" t="s">
        <v>39312</v>
      </c>
      <c r="G5837" s="1" t="s">
        <v>39313</v>
      </c>
      <c r="H5837" s="1" t="s">
        <v>16716</v>
      </c>
      <c r="I5837" s="346"/>
      <c r="J5837" s="39">
        <v>115165</v>
      </c>
      <c r="K5837" s="36" t="str">
        <f>CONCATENATE(Cover!$D$6,"fdd/view?i=",J5837)</f>
        <v>https://www.dgiwg.org/FAD/fdd/view?i=115165</v>
      </c>
      <c r="L5837" s="36" t="s">
        <v>39314</v>
      </c>
      <c r="M5837" s="186"/>
      <c r="N5837" s="186"/>
      <c r="O5837" s="13" t="s">
        <v>39310</v>
      </c>
    </row>
    <row r="5838" spans="1:15" ht="25.5" x14ac:dyDescent="0.2">
      <c r="A5838" s="197" t="str">
        <f t="shared" si="91"/>
        <v>CmlCode_chan535</v>
      </c>
      <c r="B5838" s="409"/>
      <c r="C5838" s="416"/>
      <c r="D5838" s="198" t="s">
        <v>39316</v>
      </c>
      <c r="E5838" s="198">
        <v>36</v>
      </c>
      <c r="F5838" s="199" t="s">
        <v>39317</v>
      </c>
      <c r="G5838" s="1" t="s">
        <v>39318</v>
      </c>
      <c r="H5838" s="1" t="s">
        <v>16716</v>
      </c>
      <c r="I5838" s="346"/>
      <c r="J5838" s="39">
        <v>115166</v>
      </c>
      <c r="K5838" s="36" t="str">
        <f>CONCATENATE(Cover!$D$6,"fdd/view?i=",J5838)</f>
        <v>https://www.dgiwg.org/FAD/fdd/view?i=115166</v>
      </c>
      <c r="L5838" s="36" t="s">
        <v>39319</v>
      </c>
      <c r="M5838" s="186"/>
      <c r="N5838" s="186"/>
      <c r="O5838" s="13" t="s">
        <v>39315</v>
      </c>
    </row>
    <row r="5839" spans="1:15" ht="25.5" x14ac:dyDescent="0.2">
      <c r="A5839" s="197" t="str">
        <f t="shared" si="91"/>
        <v>CmlCode_chan536</v>
      </c>
      <c r="B5839" s="409"/>
      <c r="C5839" s="416"/>
      <c r="D5839" s="198" t="s">
        <v>39321</v>
      </c>
      <c r="E5839" s="198">
        <v>37</v>
      </c>
      <c r="F5839" s="199" t="s">
        <v>39322</v>
      </c>
      <c r="G5839" s="1" t="s">
        <v>39323</v>
      </c>
      <c r="H5839" s="1" t="s">
        <v>16716</v>
      </c>
      <c r="I5839" s="346"/>
      <c r="J5839" s="39">
        <v>115167</v>
      </c>
      <c r="K5839" s="36" t="str">
        <f>CONCATENATE(Cover!$D$6,"fdd/view?i=",J5839)</f>
        <v>https://www.dgiwg.org/FAD/fdd/view?i=115167</v>
      </c>
      <c r="L5839" s="36" t="s">
        <v>39324</v>
      </c>
      <c r="M5839" s="186"/>
      <c r="N5839" s="186"/>
      <c r="O5839" s="13" t="s">
        <v>39320</v>
      </c>
    </row>
    <row r="5840" spans="1:15" ht="25.5" x14ac:dyDescent="0.2">
      <c r="A5840" s="197" t="str">
        <f t="shared" si="91"/>
        <v>CmlCode_chan537</v>
      </c>
      <c r="B5840" s="409"/>
      <c r="C5840" s="416"/>
      <c r="D5840" s="198" t="s">
        <v>39326</v>
      </c>
      <c r="E5840" s="198">
        <v>38</v>
      </c>
      <c r="F5840" s="199" t="s">
        <v>39327</v>
      </c>
      <c r="G5840" s="1" t="s">
        <v>39328</v>
      </c>
      <c r="H5840" s="1" t="s">
        <v>16716</v>
      </c>
      <c r="I5840" s="346"/>
      <c r="J5840" s="39">
        <v>115168</v>
      </c>
      <c r="K5840" s="36" t="str">
        <f>CONCATENATE(Cover!$D$6,"fdd/view?i=",J5840)</f>
        <v>https://www.dgiwg.org/FAD/fdd/view?i=115168</v>
      </c>
      <c r="L5840" s="36" t="s">
        <v>39329</v>
      </c>
      <c r="M5840" s="186"/>
      <c r="N5840" s="186"/>
      <c r="O5840" s="13" t="s">
        <v>39325</v>
      </c>
    </row>
    <row r="5841" spans="1:15" ht="25.5" x14ac:dyDescent="0.2">
      <c r="A5841" s="197" t="str">
        <f t="shared" si="91"/>
        <v>CmlCode_chan538</v>
      </c>
      <c r="B5841" s="409"/>
      <c r="C5841" s="416"/>
      <c r="D5841" s="198" t="s">
        <v>39331</v>
      </c>
      <c r="E5841" s="198">
        <v>39</v>
      </c>
      <c r="F5841" s="199" t="s">
        <v>39332</v>
      </c>
      <c r="G5841" s="1" t="s">
        <v>39333</v>
      </c>
      <c r="H5841" s="1" t="s">
        <v>16716</v>
      </c>
      <c r="I5841" s="346"/>
      <c r="J5841" s="39">
        <v>115169</v>
      </c>
      <c r="K5841" s="36" t="str">
        <f>CONCATENATE(Cover!$D$6,"fdd/view?i=",J5841)</f>
        <v>https://www.dgiwg.org/FAD/fdd/view?i=115169</v>
      </c>
      <c r="L5841" s="36" t="s">
        <v>39334</v>
      </c>
      <c r="M5841" s="186"/>
      <c r="N5841" s="186"/>
      <c r="O5841" s="13" t="s">
        <v>39330</v>
      </c>
    </row>
    <row r="5842" spans="1:15" ht="25.5" x14ac:dyDescent="0.2">
      <c r="A5842" s="197" t="str">
        <f t="shared" si="91"/>
        <v>CmlCode_chan539</v>
      </c>
      <c r="B5842" s="409"/>
      <c r="C5842" s="416"/>
      <c r="D5842" s="198" t="s">
        <v>39336</v>
      </c>
      <c r="E5842" s="198">
        <v>40</v>
      </c>
      <c r="F5842" s="199" t="s">
        <v>39337</v>
      </c>
      <c r="G5842" s="1" t="s">
        <v>39338</v>
      </c>
      <c r="H5842" s="1" t="s">
        <v>16716</v>
      </c>
      <c r="I5842" s="346"/>
      <c r="J5842" s="39">
        <v>115170</v>
      </c>
      <c r="K5842" s="36" t="str">
        <f>CONCATENATE(Cover!$D$6,"fdd/view?i=",J5842)</f>
        <v>https://www.dgiwg.org/FAD/fdd/view?i=115170</v>
      </c>
      <c r="L5842" s="36" t="s">
        <v>39339</v>
      </c>
      <c r="M5842" s="186"/>
      <c r="N5842" s="186"/>
      <c r="O5842" s="13" t="s">
        <v>39335</v>
      </c>
    </row>
    <row r="5843" spans="1:15" ht="25.5" x14ac:dyDescent="0.2">
      <c r="A5843" s="197" t="str">
        <f t="shared" si="91"/>
        <v>CmlCode_chan540</v>
      </c>
      <c r="B5843" s="409"/>
      <c r="C5843" s="416"/>
      <c r="D5843" s="198" t="s">
        <v>39341</v>
      </c>
      <c r="E5843" s="198">
        <v>41</v>
      </c>
      <c r="F5843" s="199" t="s">
        <v>39342</v>
      </c>
      <c r="G5843" s="1" t="s">
        <v>39343</v>
      </c>
      <c r="H5843" s="1" t="s">
        <v>16716</v>
      </c>
      <c r="I5843" s="346"/>
      <c r="J5843" s="39">
        <v>115171</v>
      </c>
      <c r="K5843" s="36" t="str">
        <f>CONCATENATE(Cover!$D$6,"fdd/view?i=",J5843)</f>
        <v>https://www.dgiwg.org/FAD/fdd/view?i=115171</v>
      </c>
      <c r="L5843" s="36" t="s">
        <v>39344</v>
      </c>
      <c r="M5843" s="186"/>
      <c r="N5843" s="186"/>
      <c r="O5843" s="13" t="s">
        <v>39340</v>
      </c>
    </row>
    <row r="5844" spans="1:15" ht="25.5" x14ac:dyDescent="0.2">
      <c r="A5844" s="197" t="str">
        <f t="shared" si="91"/>
        <v>CmlCode_chan541</v>
      </c>
      <c r="B5844" s="409"/>
      <c r="C5844" s="416"/>
      <c r="D5844" s="198" t="s">
        <v>39346</v>
      </c>
      <c r="E5844" s="198">
        <v>42</v>
      </c>
      <c r="F5844" s="199" t="s">
        <v>39347</v>
      </c>
      <c r="G5844" s="1" t="s">
        <v>39348</v>
      </c>
      <c r="H5844" s="1" t="s">
        <v>16716</v>
      </c>
      <c r="I5844" s="346"/>
      <c r="J5844" s="39">
        <v>115172</v>
      </c>
      <c r="K5844" s="36" t="str">
        <f>CONCATENATE(Cover!$D$6,"fdd/view?i=",J5844)</f>
        <v>https://www.dgiwg.org/FAD/fdd/view?i=115172</v>
      </c>
      <c r="L5844" s="36" t="s">
        <v>39349</v>
      </c>
      <c r="M5844" s="186"/>
      <c r="N5844" s="186"/>
      <c r="O5844" s="13" t="s">
        <v>39345</v>
      </c>
    </row>
    <row r="5845" spans="1:15" ht="25.5" x14ac:dyDescent="0.2">
      <c r="A5845" s="197" t="str">
        <f t="shared" si="91"/>
        <v>CmlCode_chan542</v>
      </c>
      <c r="B5845" s="409"/>
      <c r="C5845" s="416"/>
      <c r="D5845" s="198" t="s">
        <v>39351</v>
      </c>
      <c r="E5845" s="198">
        <v>43</v>
      </c>
      <c r="F5845" s="199" t="s">
        <v>39352</v>
      </c>
      <c r="G5845" s="1" t="s">
        <v>39353</v>
      </c>
      <c r="H5845" s="1" t="s">
        <v>16716</v>
      </c>
      <c r="I5845" s="346"/>
      <c r="J5845" s="39">
        <v>115173</v>
      </c>
      <c r="K5845" s="36" t="str">
        <f>CONCATENATE(Cover!$D$6,"fdd/view?i=",J5845)</f>
        <v>https://www.dgiwg.org/FAD/fdd/view?i=115173</v>
      </c>
      <c r="L5845" s="36" t="s">
        <v>39354</v>
      </c>
      <c r="M5845" s="186"/>
      <c r="N5845" s="186"/>
      <c r="O5845" s="13" t="s">
        <v>39350</v>
      </c>
    </row>
    <row r="5846" spans="1:15" ht="25.5" x14ac:dyDescent="0.2">
      <c r="A5846" s="197" t="str">
        <f t="shared" si="91"/>
        <v>CmlCode_chan543</v>
      </c>
      <c r="B5846" s="409"/>
      <c r="C5846" s="416"/>
      <c r="D5846" s="198" t="s">
        <v>39356</v>
      </c>
      <c r="E5846" s="198">
        <v>44</v>
      </c>
      <c r="F5846" s="199" t="s">
        <v>39357</v>
      </c>
      <c r="G5846" s="1" t="s">
        <v>39358</v>
      </c>
      <c r="H5846" s="1" t="s">
        <v>16716</v>
      </c>
      <c r="I5846" s="346"/>
      <c r="J5846" s="39">
        <v>115174</v>
      </c>
      <c r="K5846" s="36" t="str">
        <f>CONCATENATE(Cover!$D$6,"fdd/view?i=",J5846)</f>
        <v>https://www.dgiwg.org/FAD/fdd/view?i=115174</v>
      </c>
      <c r="L5846" s="36" t="s">
        <v>39359</v>
      </c>
      <c r="M5846" s="186"/>
      <c r="N5846" s="186"/>
      <c r="O5846" s="13" t="s">
        <v>39355</v>
      </c>
    </row>
    <row r="5847" spans="1:15" ht="25.5" x14ac:dyDescent="0.2">
      <c r="A5847" s="197" t="str">
        <f t="shared" si="91"/>
        <v>CmlCode_chan544</v>
      </c>
      <c r="B5847" s="409"/>
      <c r="C5847" s="416"/>
      <c r="D5847" s="198" t="s">
        <v>39361</v>
      </c>
      <c r="E5847" s="198">
        <v>45</v>
      </c>
      <c r="F5847" s="199" t="s">
        <v>39362</v>
      </c>
      <c r="G5847" s="1" t="s">
        <v>39363</v>
      </c>
      <c r="H5847" s="1" t="s">
        <v>16716</v>
      </c>
      <c r="I5847" s="346"/>
      <c r="J5847" s="39">
        <v>115175</v>
      </c>
      <c r="K5847" s="36" t="str">
        <f>CONCATENATE(Cover!$D$6,"fdd/view?i=",J5847)</f>
        <v>https://www.dgiwg.org/FAD/fdd/view?i=115175</v>
      </c>
      <c r="L5847" s="36" t="s">
        <v>39364</v>
      </c>
      <c r="M5847" s="186"/>
      <c r="N5847" s="186"/>
      <c r="O5847" s="13" t="s">
        <v>39360</v>
      </c>
    </row>
    <row r="5848" spans="1:15" ht="25.5" x14ac:dyDescent="0.2">
      <c r="A5848" s="197" t="str">
        <f t="shared" si="91"/>
        <v>CmlCode_chan545</v>
      </c>
      <c r="B5848" s="409"/>
      <c r="C5848" s="416"/>
      <c r="D5848" s="198" t="s">
        <v>39366</v>
      </c>
      <c r="E5848" s="198">
        <v>46</v>
      </c>
      <c r="F5848" s="199" t="s">
        <v>39367</v>
      </c>
      <c r="G5848" s="1" t="s">
        <v>39368</v>
      </c>
      <c r="H5848" s="1" t="s">
        <v>16716</v>
      </c>
      <c r="I5848" s="346"/>
      <c r="J5848" s="39">
        <v>115176</v>
      </c>
      <c r="K5848" s="36" t="str">
        <f>CONCATENATE(Cover!$D$6,"fdd/view?i=",J5848)</f>
        <v>https://www.dgiwg.org/FAD/fdd/view?i=115176</v>
      </c>
      <c r="L5848" s="36" t="s">
        <v>39369</v>
      </c>
      <c r="M5848" s="186"/>
      <c r="N5848" s="186"/>
      <c r="O5848" s="13" t="s">
        <v>39365</v>
      </c>
    </row>
    <row r="5849" spans="1:15" ht="25.5" x14ac:dyDescent="0.2">
      <c r="A5849" s="197" t="str">
        <f t="shared" si="91"/>
        <v>CmlCode_chan546</v>
      </c>
      <c r="B5849" s="409"/>
      <c r="C5849" s="416"/>
      <c r="D5849" s="198" t="s">
        <v>39371</v>
      </c>
      <c r="E5849" s="198">
        <v>47</v>
      </c>
      <c r="F5849" s="199" t="s">
        <v>39372</v>
      </c>
      <c r="G5849" s="1" t="s">
        <v>39373</v>
      </c>
      <c r="H5849" s="1" t="s">
        <v>16716</v>
      </c>
      <c r="I5849" s="346"/>
      <c r="J5849" s="39">
        <v>115177</v>
      </c>
      <c r="K5849" s="36" t="str">
        <f>CONCATENATE(Cover!$D$6,"fdd/view?i=",J5849)</f>
        <v>https://www.dgiwg.org/FAD/fdd/view?i=115177</v>
      </c>
      <c r="L5849" s="36" t="s">
        <v>39374</v>
      </c>
      <c r="M5849" s="186"/>
      <c r="N5849" s="186"/>
      <c r="O5849" s="13" t="s">
        <v>39370</v>
      </c>
    </row>
    <row r="5850" spans="1:15" ht="25.5" x14ac:dyDescent="0.2">
      <c r="A5850" s="197" t="str">
        <f t="shared" si="91"/>
        <v>CmlCode_chan547</v>
      </c>
      <c r="B5850" s="409"/>
      <c r="C5850" s="416"/>
      <c r="D5850" s="198" t="s">
        <v>39376</v>
      </c>
      <c r="E5850" s="198">
        <v>48</v>
      </c>
      <c r="F5850" s="199" t="s">
        <v>39377</v>
      </c>
      <c r="G5850" s="1" t="s">
        <v>39378</v>
      </c>
      <c r="H5850" s="1" t="s">
        <v>16716</v>
      </c>
      <c r="I5850" s="346"/>
      <c r="J5850" s="39">
        <v>115178</v>
      </c>
      <c r="K5850" s="36" t="str">
        <f>CONCATENATE(Cover!$D$6,"fdd/view?i=",J5850)</f>
        <v>https://www.dgiwg.org/FAD/fdd/view?i=115178</v>
      </c>
      <c r="L5850" s="36" t="s">
        <v>39379</v>
      </c>
      <c r="M5850" s="186"/>
      <c r="N5850" s="186"/>
      <c r="O5850" s="13" t="s">
        <v>39375</v>
      </c>
    </row>
    <row r="5851" spans="1:15" ht="25.5" x14ac:dyDescent="0.2">
      <c r="A5851" s="197" t="str">
        <f t="shared" si="91"/>
        <v>CmlCode_chan548</v>
      </c>
      <c r="B5851" s="409"/>
      <c r="C5851" s="416"/>
      <c r="D5851" s="198" t="s">
        <v>39381</v>
      </c>
      <c r="E5851" s="198">
        <v>49</v>
      </c>
      <c r="F5851" s="199" t="s">
        <v>39382</v>
      </c>
      <c r="G5851" s="1" t="s">
        <v>39383</v>
      </c>
      <c r="H5851" s="1" t="s">
        <v>16716</v>
      </c>
      <c r="I5851" s="346"/>
      <c r="J5851" s="39">
        <v>115179</v>
      </c>
      <c r="K5851" s="36" t="str">
        <f>CONCATENATE(Cover!$D$6,"fdd/view?i=",J5851)</f>
        <v>https://www.dgiwg.org/FAD/fdd/view?i=115179</v>
      </c>
      <c r="L5851" s="36" t="s">
        <v>39384</v>
      </c>
      <c r="M5851" s="186"/>
      <c r="N5851" s="186"/>
      <c r="O5851" s="13" t="s">
        <v>39380</v>
      </c>
    </row>
    <row r="5852" spans="1:15" ht="25.5" x14ac:dyDescent="0.2">
      <c r="A5852" s="197" t="str">
        <f t="shared" si="91"/>
        <v>CmlCode_chan549</v>
      </c>
      <c r="B5852" s="409"/>
      <c r="C5852" s="416"/>
      <c r="D5852" s="198" t="s">
        <v>39386</v>
      </c>
      <c r="E5852" s="198">
        <v>50</v>
      </c>
      <c r="F5852" s="199" t="s">
        <v>39387</v>
      </c>
      <c r="G5852" s="1" t="s">
        <v>39388</v>
      </c>
      <c r="H5852" s="1" t="s">
        <v>16716</v>
      </c>
      <c r="I5852" s="346"/>
      <c r="J5852" s="39">
        <v>115180</v>
      </c>
      <c r="K5852" s="36" t="str">
        <f>CONCATENATE(Cover!$D$6,"fdd/view?i=",J5852)</f>
        <v>https://www.dgiwg.org/FAD/fdd/view?i=115180</v>
      </c>
      <c r="L5852" s="36" t="s">
        <v>39389</v>
      </c>
      <c r="M5852" s="186"/>
      <c r="N5852" s="186"/>
      <c r="O5852" s="13" t="s">
        <v>39385</v>
      </c>
    </row>
    <row r="5853" spans="1:15" ht="25.5" x14ac:dyDescent="0.2">
      <c r="A5853" s="197" t="str">
        <f t="shared" si="91"/>
        <v>CmlCode_chan550</v>
      </c>
      <c r="B5853" s="409"/>
      <c r="C5853" s="416"/>
      <c r="D5853" s="198" t="s">
        <v>39391</v>
      </c>
      <c r="E5853" s="198">
        <v>51</v>
      </c>
      <c r="F5853" s="199" t="s">
        <v>39392</v>
      </c>
      <c r="G5853" s="1" t="s">
        <v>39393</v>
      </c>
      <c r="H5853" s="1" t="s">
        <v>16716</v>
      </c>
      <c r="I5853" s="346"/>
      <c r="J5853" s="39">
        <v>115181</v>
      </c>
      <c r="K5853" s="36" t="str">
        <f>CONCATENATE(Cover!$D$6,"fdd/view?i=",J5853)</f>
        <v>https://www.dgiwg.org/FAD/fdd/view?i=115181</v>
      </c>
      <c r="L5853" s="36" t="s">
        <v>39394</v>
      </c>
      <c r="M5853" s="186"/>
      <c r="N5853" s="186"/>
      <c r="O5853" s="13" t="s">
        <v>39390</v>
      </c>
    </row>
    <row r="5854" spans="1:15" ht="25.5" x14ac:dyDescent="0.2">
      <c r="A5854" s="197" t="str">
        <f t="shared" si="91"/>
        <v>CmlCode_chan551</v>
      </c>
      <c r="B5854" s="409"/>
      <c r="C5854" s="416"/>
      <c r="D5854" s="198" t="s">
        <v>39396</v>
      </c>
      <c r="E5854" s="198">
        <v>52</v>
      </c>
      <c r="F5854" s="199" t="s">
        <v>39397</v>
      </c>
      <c r="G5854" s="1" t="s">
        <v>39398</v>
      </c>
      <c r="H5854" s="1" t="s">
        <v>16716</v>
      </c>
      <c r="I5854" s="346"/>
      <c r="J5854" s="39">
        <v>115182</v>
      </c>
      <c r="K5854" s="36" t="str">
        <f>CONCATENATE(Cover!$D$6,"fdd/view?i=",J5854)</f>
        <v>https://www.dgiwg.org/FAD/fdd/view?i=115182</v>
      </c>
      <c r="L5854" s="36" t="s">
        <v>39399</v>
      </c>
      <c r="M5854" s="186"/>
      <c r="N5854" s="186"/>
      <c r="O5854" s="13" t="s">
        <v>39395</v>
      </c>
    </row>
    <row r="5855" spans="1:15" ht="25.5" x14ac:dyDescent="0.2">
      <c r="A5855" s="197" t="str">
        <f t="shared" si="91"/>
        <v>CmlCode_chan552</v>
      </c>
      <c r="B5855" s="409"/>
      <c r="C5855" s="416"/>
      <c r="D5855" s="198" t="s">
        <v>39401</v>
      </c>
      <c r="E5855" s="198">
        <v>53</v>
      </c>
      <c r="F5855" s="199" t="s">
        <v>39402</v>
      </c>
      <c r="G5855" s="1" t="s">
        <v>39403</v>
      </c>
      <c r="H5855" s="1" t="s">
        <v>16716</v>
      </c>
      <c r="I5855" s="346"/>
      <c r="J5855" s="39">
        <v>115183</v>
      </c>
      <c r="K5855" s="36" t="str">
        <f>CONCATENATE(Cover!$D$6,"fdd/view?i=",J5855)</f>
        <v>https://www.dgiwg.org/FAD/fdd/view?i=115183</v>
      </c>
      <c r="L5855" s="36" t="s">
        <v>39404</v>
      </c>
      <c r="M5855" s="186"/>
      <c r="N5855" s="186"/>
      <c r="O5855" s="13" t="s">
        <v>39400</v>
      </c>
    </row>
    <row r="5856" spans="1:15" ht="25.5" x14ac:dyDescent="0.2">
      <c r="A5856" s="197" t="str">
        <f t="shared" si="91"/>
        <v>CmlCode_chan553</v>
      </c>
      <c r="B5856" s="409"/>
      <c r="C5856" s="416"/>
      <c r="D5856" s="198" t="s">
        <v>39406</v>
      </c>
      <c r="E5856" s="198">
        <v>54</v>
      </c>
      <c r="F5856" s="199" t="s">
        <v>39407</v>
      </c>
      <c r="G5856" s="1" t="s">
        <v>39408</v>
      </c>
      <c r="H5856" s="1" t="s">
        <v>16716</v>
      </c>
      <c r="I5856" s="346"/>
      <c r="J5856" s="39">
        <v>115184</v>
      </c>
      <c r="K5856" s="36" t="str">
        <f>CONCATENATE(Cover!$D$6,"fdd/view?i=",J5856)</f>
        <v>https://www.dgiwg.org/FAD/fdd/view?i=115184</v>
      </c>
      <c r="L5856" s="36" t="s">
        <v>39409</v>
      </c>
      <c r="M5856" s="186"/>
      <c r="N5856" s="186"/>
      <c r="O5856" s="13" t="s">
        <v>39405</v>
      </c>
    </row>
    <row r="5857" spans="1:15" ht="25.5" x14ac:dyDescent="0.2">
      <c r="A5857" s="197" t="str">
        <f t="shared" si="91"/>
        <v>CmlCode_chan554</v>
      </c>
      <c r="B5857" s="409"/>
      <c r="C5857" s="416"/>
      <c r="D5857" s="198" t="s">
        <v>39411</v>
      </c>
      <c r="E5857" s="198">
        <v>55</v>
      </c>
      <c r="F5857" s="199" t="s">
        <v>39412</v>
      </c>
      <c r="G5857" s="1" t="s">
        <v>39413</v>
      </c>
      <c r="H5857" s="1" t="s">
        <v>16716</v>
      </c>
      <c r="I5857" s="346"/>
      <c r="J5857" s="39">
        <v>115185</v>
      </c>
      <c r="K5857" s="36" t="str">
        <f>CONCATENATE(Cover!$D$6,"fdd/view?i=",J5857)</f>
        <v>https://www.dgiwg.org/FAD/fdd/view?i=115185</v>
      </c>
      <c r="L5857" s="36" t="s">
        <v>39414</v>
      </c>
      <c r="M5857" s="186"/>
      <c r="N5857" s="186"/>
      <c r="O5857" s="13" t="s">
        <v>39410</v>
      </c>
    </row>
    <row r="5858" spans="1:15" ht="25.5" x14ac:dyDescent="0.2">
      <c r="A5858" s="197" t="str">
        <f t="shared" si="91"/>
        <v>CmlCode_chan555</v>
      </c>
      <c r="B5858" s="409"/>
      <c r="C5858" s="416"/>
      <c r="D5858" s="198" t="s">
        <v>39416</v>
      </c>
      <c r="E5858" s="198">
        <v>56</v>
      </c>
      <c r="F5858" s="199" t="s">
        <v>39417</v>
      </c>
      <c r="G5858" s="1" t="s">
        <v>39418</v>
      </c>
      <c r="H5858" s="1" t="s">
        <v>16716</v>
      </c>
      <c r="I5858" s="346"/>
      <c r="J5858" s="39">
        <v>115186</v>
      </c>
      <c r="K5858" s="36" t="str">
        <f>CONCATENATE(Cover!$D$6,"fdd/view?i=",J5858)</f>
        <v>https://www.dgiwg.org/FAD/fdd/view?i=115186</v>
      </c>
      <c r="L5858" s="36" t="s">
        <v>39419</v>
      </c>
      <c r="M5858" s="186"/>
      <c r="N5858" s="186"/>
      <c r="O5858" s="13" t="s">
        <v>39415</v>
      </c>
    </row>
    <row r="5859" spans="1:15" ht="25.5" x14ac:dyDescent="0.2">
      <c r="A5859" s="197" t="str">
        <f t="shared" si="91"/>
        <v>CmlCode_chan556</v>
      </c>
      <c r="B5859" s="409"/>
      <c r="C5859" s="416"/>
      <c r="D5859" s="198" t="s">
        <v>39421</v>
      </c>
      <c r="E5859" s="198">
        <v>57</v>
      </c>
      <c r="F5859" s="199" t="s">
        <v>39422</v>
      </c>
      <c r="G5859" s="1" t="s">
        <v>39423</v>
      </c>
      <c r="H5859" s="1" t="s">
        <v>16716</v>
      </c>
      <c r="I5859" s="346"/>
      <c r="J5859" s="39">
        <v>115187</v>
      </c>
      <c r="K5859" s="36" t="str">
        <f>CONCATENATE(Cover!$D$6,"fdd/view?i=",J5859)</f>
        <v>https://www.dgiwg.org/FAD/fdd/view?i=115187</v>
      </c>
      <c r="L5859" s="36" t="s">
        <v>39424</v>
      </c>
      <c r="M5859" s="186"/>
      <c r="N5859" s="186"/>
      <c r="O5859" s="13" t="s">
        <v>39420</v>
      </c>
    </row>
    <row r="5860" spans="1:15" ht="25.5" x14ac:dyDescent="0.2">
      <c r="A5860" s="197" t="str">
        <f t="shared" si="91"/>
        <v>CmlCode_chan557</v>
      </c>
      <c r="B5860" s="409"/>
      <c r="C5860" s="416"/>
      <c r="D5860" s="198" t="s">
        <v>39426</v>
      </c>
      <c r="E5860" s="198">
        <v>58</v>
      </c>
      <c r="F5860" s="199" t="s">
        <v>39427</v>
      </c>
      <c r="G5860" s="1" t="s">
        <v>39428</v>
      </c>
      <c r="H5860" s="1" t="s">
        <v>16716</v>
      </c>
      <c r="I5860" s="346"/>
      <c r="J5860" s="39">
        <v>115188</v>
      </c>
      <c r="K5860" s="36" t="str">
        <f>CONCATENATE(Cover!$D$6,"fdd/view?i=",J5860)</f>
        <v>https://www.dgiwg.org/FAD/fdd/view?i=115188</v>
      </c>
      <c r="L5860" s="36" t="s">
        <v>39429</v>
      </c>
      <c r="M5860" s="186"/>
      <c r="N5860" s="186"/>
      <c r="O5860" s="13" t="s">
        <v>39425</v>
      </c>
    </row>
    <row r="5861" spans="1:15" ht="25.5" x14ac:dyDescent="0.2">
      <c r="A5861" s="197" t="str">
        <f t="shared" si="91"/>
        <v>CmlCode_chan558</v>
      </c>
      <c r="B5861" s="409"/>
      <c r="C5861" s="416"/>
      <c r="D5861" s="198" t="s">
        <v>39431</v>
      </c>
      <c r="E5861" s="198">
        <v>59</v>
      </c>
      <c r="F5861" s="199" t="s">
        <v>39432</v>
      </c>
      <c r="G5861" s="1" t="s">
        <v>39433</v>
      </c>
      <c r="H5861" s="1" t="s">
        <v>16716</v>
      </c>
      <c r="I5861" s="346"/>
      <c r="J5861" s="39">
        <v>115189</v>
      </c>
      <c r="K5861" s="36" t="str">
        <f>CONCATENATE(Cover!$D$6,"fdd/view?i=",J5861)</f>
        <v>https://www.dgiwg.org/FAD/fdd/view?i=115189</v>
      </c>
      <c r="L5861" s="36" t="s">
        <v>39434</v>
      </c>
      <c r="M5861" s="186"/>
      <c r="N5861" s="186"/>
      <c r="O5861" s="13" t="s">
        <v>39430</v>
      </c>
    </row>
    <row r="5862" spans="1:15" ht="25.5" x14ac:dyDescent="0.2">
      <c r="A5862" s="197" t="str">
        <f t="shared" si="91"/>
        <v>CmlCode_chan559</v>
      </c>
      <c r="B5862" s="409"/>
      <c r="C5862" s="416"/>
      <c r="D5862" s="198" t="s">
        <v>39436</v>
      </c>
      <c r="E5862" s="198">
        <v>60</v>
      </c>
      <c r="F5862" s="199" t="s">
        <v>39437</v>
      </c>
      <c r="G5862" s="1" t="s">
        <v>39438</v>
      </c>
      <c r="H5862" s="1" t="s">
        <v>16716</v>
      </c>
      <c r="I5862" s="346"/>
      <c r="J5862" s="39">
        <v>115190</v>
      </c>
      <c r="K5862" s="36" t="str">
        <f>CONCATENATE(Cover!$D$6,"fdd/view?i=",J5862)</f>
        <v>https://www.dgiwg.org/FAD/fdd/view?i=115190</v>
      </c>
      <c r="L5862" s="36" t="s">
        <v>39439</v>
      </c>
      <c r="M5862" s="186"/>
      <c r="N5862" s="186"/>
      <c r="O5862" s="13" t="s">
        <v>39435</v>
      </c>
    </row>
    <row r="5863" spans="1:15" ht="25.5" x14ac:dyDescent="0.2">
      <c r="A5863" s="197" t="str">
        <f t="shared" si="91"/>
        <v>CmlCode_chan560</v>
      </c>
      <c r="B5863" s="409"/>
      <c r="C5863" s="416"/>
      <c r="D5863" s="198" t="s">
        <v>39441</v>
      </c>
      <c r="E5863" s="198">
        <v>61</v>
      </c>
      <c r="F5863" s="199" t="s">
        <v>39442</v>
      </c>
      <c r="G5863" s="1" t="s">
        <v>39443</v>
      </c>
      <c r="H5863" s="1" t="s">
        <v>16716</v>
      </c>
      <c r="I5863" s="346"/>
      <c r="J5863" s="39">
        <v>115191</v>
      </c>
      <c r="K5863" s="36" t="str">
        <f>CONCATENATE(Cover!$D$6,"fdd/view?i=",J5863)</f>
        <v>https://www.dgiwg.org/FAD/fdd/view?i=115191</v>
      </c>
      <c r="L5863" s="36" t="s">
        <v>39444</v>
      </c>
      <c r="M5863" s="186"/>
      <c r="N5863" s="186"/>
      <c r="O5863" s="13" t="s">
        <v>39440</v>
      </c>
    </row>
    <row r="5864" spans="1:15" ht="25.5" x14ac:dyDescent="0.2">
      <c r="A5864" s="197" t="str">
        <f t="shared" si="91"/>
        <v>CmlCode_chan561</v>
      </c>
      <c r="B5864" s="409"/>
      <c r="C5864" s="416"/>
      <c r="D5864" s="198" t="s">
        <v>39446</v>
      </c>
      <c r="E5864" s="198">
        <v>62</v>
      </c>
      <c r="F5864" s="199" t="s">
        <v>39447</v>
      </c>
      <c r="G5864" s="1" t="s">
        <v>39448</v>
      </c>
      <c r="H5864" s="1" t="s">
        <v>16716</v>
      </c>
      <c r="I5864" s="346"/>
      <c r="J5864" s="39">
        <v>115192</v>
      </c>
      <c r="K5864" s="36" t="str">
        <f>CONCATENATE(Cover!$D$6,"fdd/view?i=",J5864)</f>
        <v>https://www.dgiwg.org/FAD/fdd/view?i=115192</v>
      </c>
      <c r="L5864" s="36" t="s">
        <v>39449</v>
      </c>
      <c r="M5864" s="186"/>
      <c r="N5864" s="186"/>
      <c r="O5864" s="13" t="s">
        <v>39445</v>
      </c>
    </row>
    <row r="5865" spans="1:15" ht="25.5" x14ac:dyDescent="0.2">
      <c r="A5865" s="197" t="str">
        <f t="shared" si="91"/>
        <v>CmlCode_chan562</v>
      </c>
      <c r="B5865" s="409"/>
      <c r="C5865" s="416"/>
      <c r="D5865" s="198" t="s">
        <v>39451</v>
      </c>
      <c r="E5865" s="198">
        <v>63</v>
      </c>
      <c r="F5865" s="199" t="s">
        <v>39452</v>
      </c>
      <c r="G5865" s="1" t="s">
        <v>39453</v>
      </c>
      <c r="H5865" s="1" t="s">
        <v>16716</v>
      </c>
      <c r="I5865" s="346"/>
      <c r="J5865" s="39">
        <v>115193</v>
      </c>
      <c r="K5865" s="36" t="str">
        <f>CONCATENATE(Cover!$D$6,"fdd/view?i=",J5865)</f>
        <v>https://www.dgiwg.org/FAD/fdd/view?i=115193</v>
      </c>
      <c r="L5865" s="36" t="s">
        <v>39454</v>
      </c>
      <c r="M5865" s="186"/>
      <c r="N5865" s="186"/>
      <c r="O5865" s="13" t="s">
        <v>39450</v>
      </c>
    </row>
    <row r="5866" spans="1:15" ht="25.5" x14ac:dyDescent="0.2">
      <c r="A5866" s="197" t="str">
        <f t="shared" si="91"/>
        <v>CmlCode_chan563</v>
      </c>
      <c r="B5866" s="409"/>
      <c r="C5866" s="416"/>
      <c r="D5866" s="198" t="s">
        <v>39456</v>
      </c>
      <c r="E5866" s="198">
        <v>64</v>
      </c>
      <c r="F5866" s="199" t="s">
        <v>39457</v>
      </c>
      <c r="G5866" s="1" t="s">
        <v>39458</v>
      </c>
      <c r="H5866" s="1" t="s">
        <v>16716</v>
      </c>
      <c r="I5866" s="346"/>
      <c r="J5866" s="39">
        <v>115194</v>
      </c>
      <c r="K5866" s="36" t="str">
        <f>CONCATENATE(Cover!$D$6,"fdd/view?i=",J5866)</f>
        <v>https://www.dgiwg.org/FAD/fdd/view?i=115194</v>
      </c>
      <c r="L5866" s="36" t="s">
        <v>39459</v>
      </c>
      <c r="M5866" s="186"/>
      <c r="N5866" s="186"/>
      <c r="O5866" s="13" t="s">
        <v>39455</v>
      </c>
    </row>
    <row r="5867" spans="1:15" ht="25.5" x14ac:dyDescent="0.2">
      <c r="A5867" s="197" t="str">
        <f t="shared" si="91"/>
        <v>CmlCode_chan564</v>
      </c>
      <c r="B5867" s="409"/>
      <c r="C5867" s="416"/>
      <c r="D5867" s="198" t="s">
        <v>39461</v>
      </c>
      <c r="E5867" s="198">
        <v>65</v>
      </c>
      <c r="F5867" s="199" t="s">
        <v>39462</v>
      </c>
      <c r="G5867" s="1" t="s">
        <v>39463</v>
      </c>
      <c r="H5867" s="1" t="s">
        <v>16716</v>
      </c>
      <c r="I5867" s="346"/>
      <c r="J5867" s="39">
        <v>115195</v>
      </c>
      <c r="K5867" s="36" t="str">
        <f>CONCATENATE(Cover!$D$6,"fdd/view?i=",J5867)</f>
        <v>https://www.dgiwg.org/FAD/fdd/view?i=115195</v>
      </c>
      <c r="L5867" s="36" t="s">
        <v>39464</v>
      </c>
      <c r="M5867" s="186"/>
      <c r="N5867" s="186"/>
      <c r="O5867" s="13" t="s">
        <v>39460</v>
      </c>
    </row>
    <row r="5868" spans="1:15" ht="25.5" x14ac:dyDescent="0.2">
      <c r="A5868" s="197" t="str">
        <f t="shared" si="91"/>
        <v>CmlCode_chan565</v>
      </c>
      <c r="B5868" s="409"/>
      <c r="C5868" s="416"/>
      <c r="D5868" s="198" t="s">
        <v>39466</v>
      </c>
      <c r="E5868" s="198">
        <v>66</v>
      </c>
      <c r="F5868" s="199" t="s">
        <v>39467</v>
      </c>
      <c r="G5868" s="1" t="s">
        <v>39468</v>
      </c>
      <c r="H5868" s="1" t="s">
        <v>16716</v>
      </c>
      <c r="I5868" s="346"/>
      <c r="J5868" s="39">
        <v>115196</v>
      </c>
      <c r="K5868" s="36" t="str">
        <f>CONCATENATE(Cover!$D$6,"fdd/view?i=",J5868)</f>
        <v>https://www.dgiwg.org/FAD/fdd/view?i=115196</v>
      </c>
      <c r="L5868" s="36" t="s">
        <v>39469</v>
      </c>
      <c r="M5868" s="186"/>
      <c r="N5868" s="186"/>
      <c r="O5868" s="13" t="s">
        <v>39465</v>
      </c>
    </row>
    <row r="5869" spans="1:15" ht="25.5" x14ac:dyDescent="0.2">
      <c r="A5869" s="197" t="str">
        <f t="shared" si="91"/>
        <v>CmlCode_chan566</v>
      </c>
      <c r="B5869" s="409"/>
      <c r="C5869" s="416"/>
      <c r="D5869" s="198" t="s">
        <v>39471</v>
      </c>
      <c r="E5869" s="198">
        <v>67</v>
      </c>
      <c r="F5869" s="199" t="s">
        <v>39472</v>
      </c>
      <c r="G5869" s="1" t="s">
        <v>39473</v>
      </c>
      <c r="H5869" s="1" t="s">
        <v>16716</v>
      </c>
      <c r="I5869" s="346"/>
      <c r="J5869" s="39">
        <v>115197</v>
      </c>
      <c r="K5869" s="36" t="str">
        <f>CONCATENATE(Cover!$D$6,"fdd/view?i=",J5869)</f>
        <v>https://www.dgiwg.org/FAD/fdd/view?i=115197</v>
      </c>
      <c r="L5869" s="36" t="s">
        <v>39474</v>
      </c>
      <c r="M5869" s="186"/>
      <c r="N5869" s="186"/>
      <c r="O5869" s="13" t="s">
        <v>39470</v>
      </c>
    </row>
    <row r="5870" spans="1:15" ht="25.5" x14ac:dyDescent="0.2">
      <c r="A5870" s="197" t="str">
        <f t="shared" si="91"/>
        <v>CmlCode_chan567</v>
      </c>
      <c r="B5870" s="409"/>
      <c r="C5870" s="416"/>
      <c r="D5870" s="198" t="s">
        <v>39476</v>
      </c>
      <c r="E5870" s="198">
        <v>68</v>
      </c>
      <c r="F5870" s="199" t="s">
        <v>39477</v>
      </c>
      <c r="G5870" s="1" t="s">
        <v>39478</v>
      </c>
      <c r="H5870" s="1" t="s">
        <v>16716</v>
      </c>
      <c r="I5870" s="346"/>
      <c r="J5870" s="39">
        <v>115198</v>
      </c>
      <c r="K5870" s="36" t="str">
        <f>CONCATENATE(Cover!$D$6,"fdd/view?i=",J5870)</f>
        <v>https://www.dgiwg.org/FAD/fdd/view?i=115198</v>
      </c>
      <c r="L5870" s="36" t="s">
        <v>39479</v>
      </c>
      <c r="M5870" s="186"/>
      <c r="N5870" s="186"/>
      <c r="O5870" s="13" t="s">
        <v>39475</v>
      </c>
    </row>
    <row r="5871" spans="1:15" ht="25.5" x14ac:dyDescent="0.2">
      <c r="A5871" s="197" t="str">
        <f t="shared" si="91"/>
        <v>CmlCode_chan568</v>
      </c>
      <c r="B5871" s="409"/>
      <c r="C5871" s="416"/>
      <c r="D5871" s="198" t="s">
        <v>39481</v>
      </c>
      <c r="E5871" s="198">
        <v>69</v>
      </c>
      <c r="F5871" s="199" t="s">
        <v>39482</v>
      </c>
      <c r="G5871" s="1" t="s">
        <v>39483</v>
      </c>
      <c r="H5871" s="1" t="s">
        <v>16716</v>
      </c>
      <c r="I5871" s="346"/>
      <c r="J5871" s="39">
        <v>115199</v>
      </c>
      <c r="K5871" s="36" t="str">
        <f>CONCATENATE(Cover!$D$6,"fdd/view?i=",J5871)</f>
        <v>https://www.dgiwg.org/FAD/fdd/view?i=115199</v>
      </c>
      <c r="L5871" s="36" t="s">
        <v>39484</v>
      </c>
      <c r="M5871" s="186"/>
      <c r="N5871" s="186"/>
      <c r="O5871" s="13" t="s">
        <v>39480</v>
      </c>
    </row>
    <row r="5872" spans="1:15" ht="25.5" x14ac:dyDescent="0.2">
      <c r="A5872" s="197" t="str">
        <f t="shared" si="91"/>
        <v>CmlCode_chan569</v>
      </c>
      <c r="B5872" s="409"/>
      <c r="C5872" s="416"/>
      <c r="D5872" s="198" t="s">
        <v>39486</v>
      </c>
      <c r="E5872" s="198">
        <v>70</v>
      </c>
      <c r="F5872" s="199" t="s">
        <v>39487</v>
      </c>
      <c r="G5872" s="1" t="s">
        <v>39488</v>
      </c>
      <c r="H5872" s="1" t="s">
        <v>16716</v>
      </c>
      <c r="I5872" s="346"/>
      <c r="J5872" s="39">
        <v>115200</v>
      </c>
      <c r="K5872" s="36" t="str">
        <f>CONCATENATE(Cover!$D$6,"fdd/view?i=",J5872)</f>
        <v>https://www.dgiwg.org/FAD/fdd/view?i=115200</v>
      </c>
      <c r="L5872" s="36" t="s">
        <v>39489</v>
      </c>
      <c r="M5872" s="186"/>
      <c r="N5872" s="186"/>
      <c r="O5872" s="13" t="s">
        <v>39485</v>
      </c>
    </row>
    <row r="5873" spans="1:15" ht="25.5" x14ac:dyDescent="0.2">
      <c r="A5873" s="197" t="str">
        <f t="shared" si="91"/>
        <v>CmlCode_chan570</v>
      </c>
      <c r="B5873" s="409"/>
      <c r="C5873" s="416"/>
      <c r="D5873" s="198" t="s">
        <v>39491</v>
      </c>
      <c r="E5873" s="198">
        <v>71</v>
      </c>
      <c r="F5873" s="199" t="s">
        <v>39492</v>
      </c>
      <c r="G5873" s="1" t="s">
        <v>39493</v>
      </c>
      <c r="H5873" s="1" t="s">
        <v>16716</v>
      </c>
      <c r="I5873" s="346"/>
      <c r="J5873" s="39">
        <v>115201</v>
      </c>
      <c r="K5873" s="36" t="str">
        <f>CONCATENATE(Cover!$D$6,"fdd/view?i=",J5873)</f>
        <v>https://www.dgiwg.org/FAD/fdd/view?i=115201</v>
      </c>
      <c r="L5873" s="36" t="s">
        <v>39494</v>
      </c>
      <c r="M5873" s="186"/>
      <c r="N5873" s="186"/>
      <c r="O5873" s="13" t="s">
        <v>39490</v>
      </c>
    </row>
    <row r="5874" spans="1:15" ht="25.5" x14ac:dyDescent="0.2">
      <c r="A5874" s="197" t="str">
        <f t="shared" si="91"/>
        <v>CmlCode_chan571</v>
      </c>
      <c r="B5874" s="409"/>
      <c r="C5874" s="416"/>
      <c r="D5874" s="198" t="s">
        <v>39496</v>
      </c>
      <c r="E5874" s="198">
        <v>72</v>
      </c>
      <c r="F5874" s="199" t="s">
        <v>39497</v>
      </c>
      <c r="G5874" s="1" t="s">
        <v>39498</v>
      </c>
      <c r="H5874" s="1" t="s">
        <v>16716</v>
      </c>
      <c r="I5874" s="346"/>
      <c r="J5874" s="39">
        <v>115202</v>
      </c>
      <c r="K5874" s="36" t="str">
        <f>CONCATENATE(Cover!$D$6,"fdd/view?i=",J5874)</f>
        <v>https://www.dgiwg.org/FAD/fdd/view?i=115202</v>
      </c>
      <c r="L5874" s="36" t="s">
        <v>39499</v>
      </c>
      <c r="M5874" s="186"/>
      <c r="N5874" s="186"/>
      <c r="O5874" s="13" t="s">
        <v>39495</v>
      </c>
    </row>
    <row r="5875" spans="1:15" ht="25.5" x14ac:dyDescent="0.2">
      <c r="A5875" s="197" t="str">
        <f t="shared" si="91"/>
        <v>CmlCode_chan572</v>
      </c>
      <c r="B5875" s="409"/>
      <c r="C5875" s="416"/>
      <c r="D5875" s="198" t="s">
        <v>39501</v>
      </c>
      <c r="E5875" s="198">
        <v>73</v>
      </c>
      <c r="F5875" s="199" t="s">
        <v>39502</v>
      </c>
      <c r="G5875" s="1" t="s">
        <v>39503</v>
      </c>
      <c r="H5875" s="1" t="s">
        <v>16716</v>
      </c>
      <c r="I5875" s="346"/>
      <c r="J5875" s="39">
        <v>115203</v>
      </c>
      <c r="K5875" s="36" t="str">
        <f>CONCATENATE(Cover!$D$6,"fdd/view?i=",J5875)</f>
        <v>https://www.dgiwg.org/FAD/fdd/view?i=115203</v>
      </c>
      <c r="L5875" s="36" t="s">
        <v>39504</v>
      </c>
      <c r="M5875" s="186"/>
      <c r="N5875" s="186"/>
      <c r="O5875" s="13" t="s">
        <v>39500</v>
      </c>
    </row>
    <row r="5876" spans="1:15" ht="25.5" x14ac:dyDescent="0.2">
      <c r="A5876" s="197" t="str">
        <f t="shared" si="91"/>
        <v>CmlCode_chan573</v>
      </c>
      <c r="B5876" s="409"/>
      <c r="C5876" s="416"/>
      <c r="D5876" s="198" t="s">
        <v>39506</v>
      </c>
      <c r="E5876" s="198">
        <v>74</v>
      </c>
      <c r="F5876" s="199" t="s">
        <v>39507</v>
      </c>
      <c r="G5876" s="1" t="s">
        <v>39508</v>
      </c>
      <c r="H5876" s="1" t="s">
        <v>16716</v>
      </c>
      <c r="I5876" s="346"/>
      <c r="J5876" s="39">
        <v>115204</v>
      </c>
      <c r="K5876" s="36" t="str">
        <f>CONCATENATE(Cover!$D$6,"fdd/view?i=",J5876)</f>
        <v>https://www.dgiwg.org/FAD/fdd/view?i=115204</v>
      </c>
      <c r="L5876" s="36" t="s">
        <v>39509</v>
      </c>
      <c r="M5876" s="186"/>
      <c r="N5876" s="186"/>
      <c r="O5876" s="13" t="s">
        <v>39505</v>
      </c>
    </row>
    <row r="5877" spans="1:15" ht="25.5" x14ac:dyDescent="0.2">
      <c r="A5877" s="197" t="str">
        <f t="shared" si="91"/>
        <v>CmlCode_chan574</v>
      </c>
      <c r="B5877" s="409"/>
      <c r="C5877" s="416"/>
      <c r="D5877" s="198" t="s">
        <v>39511</v>
      </c>
      <c r="E5877" s="198">
        <v>75</v>
      </c>
      <c r="F5877" s="199" t="s">
        <v>39512</v>
      </c>
      <c r="G5877" s="1" t="s">
        <v>39513</v>
      </c>
      <c r="H5877" s="1" t="s">
        <v>16716</v>
      </c>
      <c r="I5877" s="346"/>
      <c r="J5877" s="39">
        <v>115205</v>
      </c>
      <c r="K5877" s="36" t="str">
        <f>CONCATENATE(Cover!$D$6,"fdd/view?i=",J5877)</f>
        <v>https://www.dgiwg.org/FAD/fdd/view?i=115205</v>
      </c>
      <c r="L5877" s="36" t="s">
        <v>39514</v>
      </c>
      <c r="M5877" s="186"/>
      <c r="N5877" s="186"/>
      <c r="O5877" s="13" t="s">
        <v>39510</v>
      </c>
    </row>
    <row r="5878" spans="1:15" ht="25.5" x14ac:dyDescent="0.2">
      <c r="A5878" s="197" t="str">
        <f t="shared" si="91"/>
        <v>CmlCode_chan575</v>
      </c>
      <c r="B5878" s="409"/>
      <c r="C5878" s="416"/>
      <c r="D5878" s="198" t="s">
        <v>39516</v>
      </c>
      <c r="E5878" s="198">
        <v>76</v>
      </c>
      <c r="F5878" s="199" t="s">
        <v>39517</v>
      </c>
      <c r="G5878" s="1" t="s">
        <v>39518</v>
      </c>
      <c r="H5878" s="1" t="s">
        <v>16716</v>
      </c>
      <c r="I5878" s="346"/>
      <c r="J5878" s="39">
        <v>115206</v>
      </c>
      <c r="K5878" s="36" t="str">
        <f>CONCATENATE(Cover!$D$6,"fdd/view?i=",J5878)</f>
        <v>https://www.dgiwg.org/FAD/fdd/view?i=115206</v>
      </c>
      <c r="L5878" s="36" t="s">
        <v>39519</v>
      </c>
      <c r="M5878" s="186"/>
      <c r="N5878" s="186"/>
      <c r="O5878" s="13" t="s">
        <v>39515</v>
      </c>
    </row>
    <row r="5879" spans="1:15" ht="25.5" x14ac:dyDescent="0.2">
      <c r="A5879" s="197" t="str">
        <f t="shared" si="91"/>
        <v>CmlCode_chan576</v>
      </c>
      <c r="B5879" s="409"/>
      <c r="C5879" s="416"/>
      <c r="D5879" s="198" t="s">
        <v>39521</v>
      </c>
      <c r="E5879" s="198">
        <v>77</v>
      </c>
      <c r="F5879" s="199" t="s">
        <v>39522</v>
      </c>
      <c r="G5879" s="1" t="s">
        <v>39523</v>
      </c>
      <c r="H5879" s="1" t="s">
        <v>16716</v>
      </c>
      <c r="I5879" s="346"/>
      <c r="J5879" s="39">
        <v>115207</v>
      </c>
      <c r="K5879" s="36" t="str">
        <f>CONCATENATE(Cover!$D$6,"fdd/view?i=",J5879)</f>
        <v>https://www.dgiwg.org/FAD/fdd/view?i=115207</v>
      </c>
      <c r="L5879" s="36" t="s">
        <v>39524</v>
      </c>
      <c r="M5879" s="186"/>
      <c r="N5879" s="186"/>
      <c r="O5879" s="13" t="s">
        <v>39520</v>
      </c>
    </row>
    <row r="5880" spans="1:15" ht="25.5" x14ac:dyDescent="0.2">
      <c r="A5880" s="197" t="str">
        <f t="shared" si="91"/>
        <v>CmlCode_chan577</v>
      </c>
      <c r="B5880" s="409"/>
      <c r="C5880" s="416"/>
      <c r="D5880" s="198" t="s">
        <v>39526</v>
      </c>
      <c r="E5880" s="198">
        <v>78</v>
      </c>
      <c r="F5880" s="199" t="s">
        <v>39527</v>
      </c>
      <c r="G5880" s="1" t="s">
        <v>39528</v>
      </c>
      <c r="H5880" s="1" t="s">
        <v>16716</v>
      </c>
      <c r="I5880" s="346"/>
      <c r="J5880" s="39">
        <v>115208</v>
      </c>
      <c r="K5880" s="36" t="str">
        <f>CONCATENATE(Cover!$D$6,"fdd/view?i=",J5880)</f>
        <v>https://www.dgiwg.org/FAD/fdd/view?i=115208</v>
      </c>
      <c r="L5880" s="36" t="s">
        <v>39529</v>
      </c>
      <c r="M5880" s="186"/>
      <c r="N5880" s="186"/>
      <c r="O5880" s="13" t="s">
        <v>39525</v>
      </c>
    </row>
    <row r="5881" spans="1:15" ht="25.5" x14ac:dyDescent="0.2">
      <c r="A5881" s="197" t="str">
        <f t="shared" si="91"/>
        <v>CmlCode_chan578</v>
      </c>
      <c r="B5881" s="409"/>
      <c r="C5881" s="416"/>
      <c r="D5881" s="198" t="s">
        <v>39531</v>
      </c>
      <c r="E5881" s="198">
        <v>79</v>
      </c>
      <c r="F5881" s="199" t="s">
        <v>39532</v>
      </c>
      <c r="G5881" s="1" t="s">
        <v>39533</v>
      </c>
      <c r="H5881" s="1" t="s">
        <v>16716</v>
      </c>
      <c r="I5881" s="346"/>
      <c r="J5881" s="39">
        <v>115209</v>
      </c>
      <c r="K5881" s="36" t="str">
        <f>CONCATENATE(Cover!$D$6,"fdd/view?i=",J5881)</f>
        <v>https://www.dgiwg.org/FAD/fdd/view?i=115209</v>
      </c>
      <c r="L5881" s="36" t="s">
        <v>39534</v>
      </c>
      <c r="M5881" s="186"/>
      <c r="N5881" s="186"/>
      <c r="O5881" s="13" t="s">
        <v>39530</v>
      </c>
    </row>
    <row r="5882" spans="1:15" ht="25.5" x14ac:dyDescent="0.2">
      <c r="A5882" s="197" t="str">
        <f t="shared" si="91"/>
        <v>CmlCode_chan579</v>
      </c>
      <c r="B5882" s="409"/>
      <c r="C5882" s="416"/>
      <c r="D5882" s="198" t="s">
        <v>39536</v>
      </c>
      <c r="E5882" s="198">
        <v>80</v>
      </c>
      <c r="F5882" s="199" t="s">
        <v>39537</v>
      </c>
      <c r="G5882" s="1" t="s">
        <v>39538</v>
      </c>
      <c r="H5882" s="1" t="s">
        <v>16716</v>
      </c>
      <c r="I5882" s="346"/>
      <c r="J5882" s="39">
        <v>115210</v>
      </c>
      <c r="K5882" s="36" t="str">
        <f>CONCATENATE(Cover!$D$6,"fdd/view?i=",J5882)</f>
        <v>https://www.dgiwg.org/FAD/fdd/view?i=115210</v>
      </c>
      <c r="L5882" s="36" t="s">
        <v>39539</v>
      </c>
      <c r="M5882" s="186"/>
      <c r="N5882" s="186"/>
      <c r="O5882" s="13" t="s">
        <v>39535</v>
      </c>
    </row>
    <row r="5883" spans="1:15" ht="25.5" x14ac:dyDescent="0.2">
      <c r="A5883" s="197" t="str">
        <f t="shared" si="91"/>
        <v>CmlCode_chan580</v>
      </c>
      <c r="B5883" s="409"/>
      <c r="C5883" s="416"/>
      <c r="D5883" s="198" t="s">
        <v>39541</v>
      </c>
      <c r="E5883" s="198">
        <v>81</v>
      </c>
      <c r="F5883" s="199" t="s">
        <v>39542</v>
      </c>
      <c r="G5883" s="1" t="s">
        <v>39543</v>
      </c>
      <c r="H5883" s="1" t="s">
        <v>16716</v>
      </c>
      <c r="I5883" s="346"/>
      <c r="J5883" s="39">
        <v>115211</v>
      </c>
      <c r="K5883" s="36" t="str">
        <f>CONCATENATE(Cover!$D$6,"fdd/view?i=",J5883)</f>
        <v>https://www.dgiwg.org/FAD/fdd/view?i=115211</v>
      </c>
      <c r="L5883" s="36" t="s">
        <v>39544</v>
      </c>
      <c r="M5883" s="186"/>
      <c r="N5883" s="186"/>
      <c r="O5883" s="13" t="s">
        <v>39540</v>
      </c>
    </row>
    <row r="5884" spans="1:15" ht="25.5" x14ac:dyDescent="0.2">
      <c r="A5884" s="197" t="str">
        <f t="shared" si="91"/>
        <v>CmlCode_chan581</v>
      </c>
      <c r="B5884" s="409"/>
      <c r="C5884" s="416"/>
      <c r="D5884" s="198" t="s">
        <v>39546</v>
      </c>
      <c r="E5884" s="198">
        <v>82</v>
      </c>
      <c r="F5884" s="199" t="s">
        <v>39547</v>
      </c>
      <c r="G5884" s="1" t="s">
        <v>39548</v>
      </c>
      <c r="H5884" s="1" t="s">
        <v>16716</v>
      </c>
      <c r="I5884" s="346"/>
      <c r="J5884" s="39">
        <v>115212</v>
      </c>
      <c r="K5884" s="36" t="str">
        <f>CONCATENATE(Cover!$D$6,"fdd/view?i=",J5884)</f>
        <v>https://www.dgiwg.org/FAD/fdd/view?i=115212</v>
      </c>
      <c r="L5884" s="36" t="s">
        <v>39549</v>
      </c>
      <c r="M5884" s="186"/>
      <c r="N5884" s="186"/>
      <c r="O5884" s="13" t="s">
        <v>39545</v>
      </c>
    </row>
    <row r="5885" spans="1:15" ht="25.5" x14ac:dyDescent="0.2">
      <c r="A5885" s="197" t="str">
        <f t="shared" si="91"/>
        <v>CmlCode_chan582</v>
      </c>
      <c r="B5885" s="409"/>
      <c r="C5885" s="416"/>
      <c r="D5885" s="198" t="s">
        <v>39551</v>
      </c>
      <c r="E5885" s="198">
        <v>83</v>
      </c>
      <c r="F5885" s="199" t="s">
        <v>39552</v>
      </c>
      <c r="G5885" s="1" t="s">
        <v>39553</v>
      </c>
      <c r="H5885" s="1" t="s">
        <v>16716</v>
      </c>
      <c r="I5885" s="346"/>
      <c r="J5885" s="39">
        <v>115213</v>
      </c>
      <c r="K5885" s="36" t="str">
        <f>CONCATENATE(Cover!$D$6,"fdd/view?i=",J5885)</f>
        <v>https://www.dgiwg.org/FAD/fdd/view?i=115213</v>
      </c>
      <c r="L5885" s="36" t="s">
        <v>39554</v>
      </c>
      <c r="M5885" s="186"/>
      <c r="N5885" s="186"/>
      <c r="O5885" s="13" t="s">
        <v>39550</v>
      </c>
    </row>
    <row r="5886" spans="1:15" ht="25.5" x14ac:dyDescent="0.2">
      <c r="A5886" s="197" t="str">
        <f t="shared" si="91"/>
        <v>CmlCode_chan583</v>
      </c>
      <c r="B5886" s="409"/>
      <c r="C5886" s="416"/>
      <c r="D5886" s="198" t="s">
        <v>39556</v>
      </c>
      <c r="E5886" s="198">
        <v>84</v>
      </c>
      <c r="F5886" s="199" t="s">
        <v>39557</v>
      </c>
      <c r="G5886" s="1" t="s">
        <v>39558</v>
      </c>
      <c r="H5886" s="1" t="s">
        <v>16716</v>
      </c>
      <c r="I5886" s="346"/>
      <c r="J5886" s="39">
        <v>115214</v>
      </c>
      <c r="K5886" s="36" t="str">
        <f>CONCATENATE(Cover!$D$6,"fdd/view?i=",J5886)</f>
        <v>https://www.dgiwg.org/FAD/fdd/view?i=115214</v>
      </c>
      <c r="L5886" s="36" t="s">
        <v>39559</v>
      </c>
      <c r="M5886" s="186"/>
      <c r="N5886" s="186"/>
      <c r="O5886" s="13" t="s">
        <v>39555</v>
      </c>
    </row>
    <row r="5887" spans="1:15" ht="25.5" x14ac:dyDescent="0.2">
      <c r="A5887" s="197" t="str">
        <f t="shared" si="91"/>
        <v>CmlCode_chan584</v>
      </c>
      <c r="B5887" s="409"/>
      <c r="C5887" s="416"/>
      <c r="D5887" s="198" t="s">
        <v>39561</v>
      </c>
      <c r="E5887" s="198">
        <v>85</v>
      </c>
      <c r="F5887" s="199" t="s">
        <v>39562</v>
      </c>
      <c r="G5887" s="1" t="s">
        <v>39563</v>
      </c>
      <c r="H5887" s="1" t="s">
        <v>16716</v>
      </c>
      <c r="I5887" s="346"/>
      <c r="J5887" s="39">
        <v>115215</v>
      </c>
      <c r="K5887" s="36" t="str">
        <f>CONCATENATE(Cover!$D$6,"fdd/view?i=",J5887)</f>
        <v>https://www.dgiwg.org/FAD/fdd/view?i=115215</v>
      </c>
      <c r="L5887" s="36" t="s">
        <v>39564</v>
      </c>
      <c r="M5887" s="186"/>
      <c r="N5887" s="186"/>
      <c r="O5887" s="13" t="s">
        <v>39560</v>
      </c>
    </row>
    <row r="5888" spans="1:15" ht="25.5" x14ac:dyDescent="0.2">
      <c r="A5888" s="197" t="str">
        <f t="shared" si="91"/>
        <v>CmlCode_chan585</v>
      </c>
      <c r="B5888" s="409"/>
      <c r="C5888" s="416"/>
      <c r="D5888" s="198" t="s">
        <v>39566</v>
      </c>
      <c r="E5888" s="198">
        <v>86</v>
      </c>
      <c r="F5888" s="199" t="s">
        <v>39567</v>
      </c>
      <c r="G5888" s="1" t="s">
        <v>39568</v>
      </c>
      <c r="H5888" s="1" t="s">
        <v>16716</v>
      </c>
      <c r="I5888" s="346"/>
      <c r="J5888" s="39">
        <v>115216</v>
      </c>
      <c r="K5888" s="36" t="str">
        <f>CONCATENATE(Cover!$D$6,"fdd/view?i=",J5888)</f>
        <v>https://www.dgiwg.org/FAD/fdd/view?i=115216</v>
      </c>
      <c r="L5888" s="36" t="s">
        <v>39569</v>
      </c>
      <c r="M5888" s="186"/>
      <c r="N5888" s="186"/>
      <c r="O5888" s="13" t="s">
        <v>39565</v>
      </c>
    </row>
    <row r="5889" spans="1:15" ht="25.5" x14ac:dyDescent="0.2">
      <c r="A5889" s="197" t="str">
        <f t="shared" si="91"/>
        <v>CmlCode_chan586</v>
      </c>
      <c r="B5889" s="409"/>
      <c r="C5889" s="416"/>
      <c r="D5889" s="198" t="s">
        <v>39571</v>
      </c>
      <c r="E5889" s="198">
        <v>87</v>
      </c>
      <c r="F5889" s="199" t="s">
        <v>39572</v>
      </c>
      <c r="G5889" s="1" t="s">
        <v>39573</v>
      </c>
      <c r="H5889" s="1" t="s">
        <v>16716</v>
      </c>
      <c r="I5889" s="346"/>
      <c r="J5889" s="39">
        <v>115217</v>
      </c>
      <c r="K5889" s="36" t="str">
        <f>CONCATENATE(Cover!$D$6,"fdd/view?i=",J5889)</f>
        <v>https://www.dgiwg.org/FAD/fdd/view?i=115217</v>
      </c>
      <c r="L5889" s="36" t="s">
        <v>39574</v>
      </c>
      <c r="M5889" s="186"/>
      <c r="N5889" s="186"/>
      <c r="O5889" s="13" t="s">
        <v>39570</v>
      </c>
    </row>
    <row r="5890" spans="1:15" ht="25.5" x14ac:dyDescent="0.2">
      <c r="A5890" s="197" t="str">
        <f t="shared" ref="A5890:A5953" si="92">HYPERLINK(K5890,L5890)</f>
        <v>CmlCode_chan587</v>
      </c>
      <c r="B5890" s="409"/>
      <c r="C5890" s="416"/>
      <c r="D5890" s="198" t="s">
        <v>39576</v>
      </c>
      <c r="E5890" s="198">
        <v>88</v>
      </c>
      <c r="F5890" s="199" t="s">
        <v>39577</v>
      </c>
      <c r="G5890" s="1" t="s">
        <v>39578</v>
      </c>
      <c r="H5890" s="1" t="s">
        <v>16716</v>
      </c>
      <c r="I5890" s="346"/>
      <c r="J5890" s="39">
        <v>115218</v>
      </c>
      <c r="K5890" s="36" t="str">
        <f>CONCATENATE(Cover!$D$6,"fdd/view?i=",J5890)</f>
        <v>https://www.dgiwg.org/FAD/fdd/view?i=115218</v>
      </c>
      <c r="L5890" s="36" t="s">
        <v>39579</v>
      </c>
      <c r="M5890" s="186"/>
      <c r="N5890" s="186"/>
      <c r="O5890" s="13" t="s">
        <v>39575</v>
      </c>
    </row>
    <row r="5891" spans="1:15" ht="25.5" x14ac:dyDescent="0.2">
      <c r="A5891" s="197" t="str">
        <f t="shared" si="92"/>
        <v>CmlCode_chan588</v>
      </c>
      <c r="B5891" s="409"/>
      <c r="C5891" s="416"/>
      <c r="D5891" s="198" t="s">
        <v>39581</v>
      </c>
      <c r="E5891" s="198">
        <v>89</v>
      </c>
      <c r="F5891" s="199" t="s">
        <v>39582</v>
      </c>
      <c r="G5891" s="1" t="s">
        <v>39583</v>
      </c>
      <c r="H5891" s="1" t="s">
        <v>16716</v>
      </c>
      <c r="I5891" s="346"/>
      <c r="J5891" s="39">
        <v>115219</v>
      </c>
      <c r="K5891" s="36" t="str">
        <f>CONCATENATE(Cover!$D$6,"fdd/view?i=",J5891)</f>
        <v>https://www.dgiwg.org/FAD/fdd/view?i=115219</v>
      </c>
      <c r="L5891" s="36" t="s">
        <v>39584</v>
      </c>
      <c r="M5891" s="186"/>
      <c r="N5891" s="186"/>
      <c r="O5891" s="13" t="s">
        <v>39580</v>
      </c>
    </row>
    <row r="5892" spans="1:15" ht="25.5" x14ac:dyDescent="0.2">
      <c r="A5892" s="197" t="str">
        <f t="shared" si="92"/>
        <v>CmlCode_chan589</v>
      </c>
      <c r="B5892" s="409"/>
      <c r="C5892" s="416"/>
      <c r="D5892" s="198" t="s">
        <v>39586</v>
      </c>
      <c r="E5892" s="198">
        <v>90</v>
      </c>
      <c r="F5892" s="199" t="s">
        <v>39587</v>
      </c>
      <c r="G5892" s="1" t="s">
        <v>39588</v>
      </c>
      <c r="H5892" s="1" t="s">
        <v>16716</v>
      </c>
      <c r="I5892" s="346"/>
      <c r="J5892" s="39">
        <v>115220</v>
      </c>
      <c r="K5892" s="36" t="str">
        <f>CONCATENATE(Cover!$D$6,"fdd/view?i=",J5892)</f>
        <v>https://www.dgiwg.org/FAD/fdd/view?i=115220</v>
      </c>
      <c r="L5892" s="36" t="s">
        <v>39589</v>
      </c>
      <c r="M5892" s="186"/>
      <c r="N5892" s="186"/>
      <c r="O5892" s="13" t="s">
        <v>39585</v>
      </c>
    </row>
    <row r="5893" spans="1:15" ht="25.5" x14ac:dyDescent="0.2">
      <c r="A5893" s="197" t="str">
        <f t="shared" si="92"/>
        <v>CmlCode_chan590</v>
      </c>
      <c r="B5893" s="409"/>
      <c r="C5893" s="416"/>
      <c r="D5893" s="198" t="s">
        <v>39591</v>
      </c>
      <c r="E5893" s="198">
        <v>91</v>
      </c>
      <c r="F5893" s="199" t="s">
        <v>39592</v>
      </c>
      <c r="G5893" s="1" t="s">
        <v>39593</v>
      </c>
      <c r="H5893" s="1" t="s">
        <v>16716</v>
      </c>
      <c r="I5893" s="346"/>
      <c r="J5893" s="39">
        <v>115221</v>
      </c>
      <c r="K5893" s="36" t="str">
        <f>CONCATENATE(Cover!$D$6,"fdd/view?i=",J5893)</f>
        <v>https://www.dgiwg.org/FAD/fdd/view?i=115221</v>
      </c>
      <c r="L5893" s="36" t="s">
        <v>39594</v>
      </c>
      <c r="M5893" s="186"/>
      <c r="N5893" s="186"/>
      <c r="O5893" s="13" t="s">
        <v>39590</v>
      </c>
    </row>
    <row r="5894" spans="1:15" ht="25.5" x14ac:dyDescent="0.2">
      <c r="A5894" s="197" t="str">
        <f t="shared" si="92"/>
        <v>CmlCode_chan591</v>
      </c>
      <c r="B5894" s="409"/>
      <c r="C5894" s="416"/>
      <c r="D5894" s="198" t="s">
        <v>39596</v>
      </c>
      <c r="E5894" s="198">
        <v>92</v>
      </c>
      <c r="F5894" s="199" t="s">
        <v>39597</v>
      </c>
      <c r="G5894" s="1" t="s">
        <v>39598</v>
      </c>
      <c r="H5894" s="1" t="s">
        <v>16716</v>
      </c>
      <c r="I5894" s="346"/>
      <c r="J5894" s="39">
        <v>115222</v>
      </c>
      <c r="K5894" s="36" t="str">
        <f>CONCATENATE(Cover!$D$6,"fdd/view?i=",J5894)</f>
        <v>https://www.dgiwg.org/FAD/fdd/view?i=115222</v>
      </c>
      <c r="L5894" s="36" t="s">
        <v>39599</v>
      </c>
      <c r="M5894" s="186"/>
      <c r="N5894" s="186"/>
      <c r="O5894" s="13" t="s">
        <v>39595</v>
      </c>
    </row>
    <row r="5895" spans="1:15" ht="25.5" x14ac:dyDescent="0.2">
      <c r="A5895" s="197" t="str">
        <f t="shared" si="92"/>
        <v>CmlCode_chan592</v>
      </c>
      <c r="B5895" s="409"/>
      <c r="C5895" s="416"/>
      <c r="D5895" s="198" t="s">
        <v>39601</v>
      </c>
      <c r="E5895" s="198">
        <v>93</v>
      </c>
      <c r="F5895" s="199" t="s">
        <v>39602</v>
      </c>
      <c r="G5895" s="1" t="s">
        <v>39603</v>
      </c>
      <c r="H5895" s="1" t="s">
        <v>16716</v>
      </c>
      <c r="I5895" s="346"/>
      <c r="J5895" s="39">
        <v>115223</v>
      </c>
      <c r="K5895" s="36" t="str">
        <f>CONCATENATE(Cover!$D$6,"fdd/view?i=",J5895)</f>
        <v>https://www.dgiwg.org/FAD/fdd/view?i=115223</v>
      </c>
      <c r="L5895" s="36" t="s">
        <v>39604</v>
      </c>
      <c r="M5895" s="186"/>
      <c r="N5895" s="186"/>
      <c r="O5895" s="13" t="s">
        <v>39600</v>
      </c>
    </row>
    <row r="5896" spans="1:15" ht="25.5" x14ac:dyDescent="0.2">
      <c r="A5896" s="197" t="str">
        <f t="shared" si="92"/>
        <v>CmlCode_chan593</v>
      </c>
      <c r="B5896" s="409"/>
      <c r="C5896" s="416"/>
      <c r="D5896" s="198" t="s">
        <v>39606</v>
      </c>
      <c r="E5896" s="198">
        <v>94</v>
      </c>
      <c r="F5896" s="199" t="s">
        <v>39607</v>
      </c>
      <c r="G5896" s="1" t="s">
        <v>39608</v>
      </c>
      <c r="H5896" s="1" t="s">
        <v>16716</v>
      </c>
      <c r="I5896" s="346"/>
      <c r="J5896" s="39">
        <v>115224</v>
      </c>
      <c r="K5896" s="36" t="str">
        <f>CONCATENATE(Cover!$D$6,"fdd/view?i=",J5896)</f>
        <v>https://www.dgiwg.org/FAD/fdd/view?i=115224</v>
      </c>
      <c r="L5896" s="36" t="s">
        <v>39609</v>
      </c>
      <c r="M5896" s="186"/>
      <c r="N5896" s="186"/>
      <c r="O5896" s="13" t="s">
        <v>39605</v>
      </c>
    </row>
    <row r="5897" spans="1:15" ht="25.5" x14ac:dyDescent="0.2">
      <c r="A5897" s="197" t="str">
        <f t="shared" si="92"/>
        <v>CmlCode_chan594</v>
      </c>
      <c r="B5897" s="409"/>
      <c r="C5897" s="416"/>
      <c r="D5897" s="198" t="s">
        <v>39611</v>
      </c>
      <c r="E5897" s="198">
        <v>95</v>
      </c>
      <c r="F5897" s="199" t="s">
        <v>39612</v>
      </c>
      <c r="G5897" s="1" t="s">
        <v>39613</v>
      </c>
      <c r="H5897" s="1" t="s">
        <v>16716</v>
      </c>
      <c r="I5897" s="346"/>
      <c r="J5897" s="39">
        <v>115225</v>
      </c>
      <c r="K5897" s="36" t="str">
        <f>CONCATENATE(Cover!$D$6,"fdd/view?i=",J5897)</f>
        <v>https://www.dgiwg.org/FAD/fdd/view?i=115225</v>
      </c>
      <c r="L5897" s="36" t="s">
        <v>39614</v>
      </c>
      <c r="M5897" s="186"/>
      <c r="N5897" s="186"/>
      <c r="O5897" s="13" t="s">
        <v>39610</v>
      </c>
    </row>
    <row r="5898" spans="1:15" ht="25.5" x14ac:dyDescent="0.2">
      <c r="A5898" s="197" t="str">
        <f t="shared" si="92"/>
        <v>CmlCode_chan595</v>
      </c>
      <c r="B5898" s="409"/>
      <c r="C5898" s="416"/>
      <c r="D5898" s="198" t="s">
        <v>39616</v>
      </c>
      <c r="E5898" s="198">
        <v>96</v>
      </c>
      <c r="F5898" s="199" t="s">
        <v>39617</v>
      </c>
      <c r="G5898" s="1" t="s">
        <v>39618</v>
      </c>
      <c r="H5898" s="1" t="s">
        <v>16716</v>
      </c>
      <c r="I5898" s="346"/>
      <c r="J5898" s="39">
        <v>115226</v>
      </c>
      <c r="K5898" s="36" t="str">
        <f>CONCATENATE(Cover!$D$6,"fdd/view?i=",J5898)</f>
        <v>https://www.dgiwg.org/FAD/fdd/view?i=115226</v>
      </c>
      <c r="L5898" s="36" t="s">
        <v>39619</v>
      </c>
      <c r="M5898" s="186"/>
      <c r="N5898" s="186"/>
      <c r="O5898" s="13" t="s">
        <v>39615</v>
      </c>
    </row>
    <row r="5899" spans="1:15" ht="25.5" x14ac:dyDescent="0.2">
      <c r="A5899" s="197" t="str">
        <f t="shared" si="92"/>
        <v>CmlCode_chan596</v>
      </c>
      <c r="B5899" s="409"/>
      <c r="C5899" s="416"/>
      <c r="D5899" s="198" t="s">
        <v>39621</v>
      </c>
      <c r="E5899" s="198">
        <v>97</v>
      </c>
      <c r="F5899" s="199" t="s">
        <v>39622</v>
      </c>
      <c r="G5899" s="1" t="s">
        <v>39623</v>
      </c>
      <c r="H5899" s="1" t="s">
        <v>16716</v>
      </c>
      <c r="I5899" s="346"/>
      <c r="J5899" s="39">
        <v>115227</v>
      </c>
      <c r="K5899" s="36" t="str">
        <f>CONCATENATE(Cover!$D$6,"fdd/view?i=",J5899)</f>
        <v>https://www.dgiwg.org/FAD/fdd/view?i=115227</v>
      </c>
      <c r="L5899" s="36" t="s">
        <v>39624</v>
      </c>
      <c r="M5899" s="186"/>
      <c r="N5899" s="186"/>
      <c r="O5899" s="13" t="s">
        <v>39620</v>
      </c>
    </row>
    <row r="5900" spans="1:15" ht="25.5" x14ac:dyDescent="0.2">
      <c r="A5900" s="197" t="str">
        <f t="shared" si="92"/>
        <v>CmlCode_chan597</v>
      </c>
      <c r="B5900" s="409"/>
      <c r="C5900" s="416"/>
      <c r="D5900" s="198" t="s">
        <v>39626</v>
      </c>
      <c r="E5900" s="198">
        <v>98</v>
      </c>
      <c r="F5900" s="199" t="s">
        <v>39627</v>
      </c>
      <c r="G5900" s="1" t="s">
        <v>39628</v>
      </c>
      <c r="H5900" s="1" t="s">
        <v>16716</v>
      </c>
      <c r="I5900" s="346"/>
      <c r="J5900" s="39">
        <v>115228</v>
      </c>
      <c r="K5900" s="36" t="str">
        <f>CONCATENATE(Cover!$D$6,"fdd/view?i=",J5900)</f>
        <v>https://www.dgiwg.org/FAD/fdd/view?i=115228</v>
      </c>
      <c r="L5900" s="36" t="s">
        <v>39629</v>
      </c>
      <c r="M5900" s="186"/>
      <c r="N5900" s="186"/>
      <c r="O5900" s="13" t="s">
        <v>39625</v>
      </c>
    </row>
    <row r="5901" spans="1:15" ht="25.5" x14ac:dyDescent="0.2">
      <c r="A5901" s="197" t="str">
        <f t="shared" si="92"/>
        <v>CmlCode_chan598</v>
      </c>
      <c r="B5901" s="409"/>
      <c r="C5901" s="416"/>
      <c r="D5901" s="198" t="s">
        <v>39631</v>
      </c>
      <c r="E5901" s="198">
        <v>99</v>
      </c>
      <c r="F5901" s="199" t="s">
        <v>39632</v>
      </c>
      <c r="G5901" s="1" t="s">
        <v>39633</v>
      </c>
      <c r="H5901" s="1" t="s">
        <v>16716</v>
      </c>
      <c r="I5901" s="346"/>
      <c r="J5901" s="39">
        <v>115229</v>
      </c>
      <c r="K5901" s="36" t="str">
        <f>CONCATENATE(Cover!$D$6,"fdd/view?i=",J5901)</f>
        <v>https://www.dgiwg.org/FAD/fdd/view?i=115229</v>
      </c>
      <c r="L5901" s="36" t="s">
        <v>39634</v>
      </c>
      <c r="M5901" s="186"/>
      <c r="N5901" s="186"/>
      <c r="O5901" s="13" t="s">
        <v>39630</v>
      </c>
    </row>
    <row r="5902" spans="1:15" ht="25.5" x14ac:dyDescent="0.2">
      <c r="A5902" s="197" t="str">
        <f t="shared" si="92"/>
        <v>CmlCode_chan599</v>
      </c>
      <c r="B5902" s="409"/>
      <c r="C5902" s="416"/>
      <c r="D5902" s="198" t="s">
        <v>39636</v>
      </c>
      <c r="E5902" s="198">
        <v>100</v>
      </c>
      <c r="F5902" s="199" t="s">
        <v>39637</v>
      </c>
      <c r="G5902" s="1" t="s">
        <v>39638</v>
      </c>
      <c r="H5902" s="1" t="s">
        <v>16716</v>
      </c>
      <c r="I5902" s="346"/>
      <c r="J5902" s="39">
        <v>115230</v>
      </c>
      <c r="K5902" s="36" t="str">
        <f>CONCATENATE(Cover!$D$6,"fdd/view?i=",J5902)</f>
        <v>https://www.dgiwg.org/FAD/fdd/view?i=115230</v>
      </c>
      <c r="L5902" s="36" t="s">
        <v>39639</v>
      </c>
      <c r="M5902" s="186"/>
      <c r="N5902" s="186"/>
      <c r="O5902" s="13" t="s">
        <v>39635</v>
      </c>
    </row>
    <row r="5903" spans="1:15" ht="25.5" x14ac:dyDescent="0.2">
      <c r="A5903" s="197" t="str">
        <f t="shared" si="92"/>
        <v>CmlCode_chan600</v>
      </c>
      <c r="B5903" s="409"/>
      <c r="C5903" s="416"/>
      <c r="D5903" s="198" t="s">
        <v>39641</v>
      </c>
      <c r="E5903" s="198">
        <v>101</v>
      </c>
      <c r="F5903" s="199" t="s">
        <v>39642</v>
      </c>
      <c r="G5903" s="1" t="s">
        <v>39643</v>
      </c>
      <c r="H5903" s="1" t="s">
        <v>16716</v>
      </c>
      <c r="I5903" s="346"/>
      <c r="J5903" s="39">
        <v>115231</v>
      </c>
      <c r="K5903" s="36" t="str">
        <f>CONCATENATE(Cover!$D$6,"fdd/view?i=",J5903)</f>
        <v>https://www.dgiwg.org/FAD/fdd/view?i=115231</v>
      </c>
      <c r="L5903" s="36" t="s">
        <v>39644</v>
      </c>
      <c r="M5903" s="186"/>
      <c r="N5903" s="186"/>
      <c r="O5903" s="13" t="s">
        <v>39640</v>
      </c>
    </row>
    <row r="5904" spans="1:15" ht="25.5" x14ac:dyDescent="0.2">
      <c r="A5904" s="197" t="str">
        <f t="shared" si="92"/>
        <v>CmlCode_chan601</v>
      </c>
      <c r="B5904" s="409"/>
      <c r="C5904" s="416"/>
      <c r="D5904" s="198" t="s">
        <v>39646</v>
      </c>
      <c r="E5904" s="198">
        <v>102</v>
      </c>
      <c r="F5904" s="199" t="s">
        <v>39647</v>
      </c>
      <c r="G5904" s="1" t="s">
        <v>39648</v>
      </c>
      <c r="H5904" s="1" t="s">
        <v>16716</v>
      </c>
      <c r="I5904" s="346"/>
      <c r="J5904" s="39">
        <v>115232</v>
      </c>
      <c r="K5904" s="36" t="str">
        <f>CONCATENATE(Cover!$D$6,"fdd/view?i=",J5904)</f>
        <v>https://www.dgiwg.org/FAD/fdd/view?i=115232</v>
      </c>
      <c r="L5904" s="36" t="s">
        <v>39649</v>
      </c>
      <c r="M5904" s="186"/>
      <c r="N5904" s="186"/>
      <c r="O5904" s="13" t="s">
        <v>39645</v>
      </c>
    </row>
    <row r="5905" spans="1:15" ht="25.5" x14ac:dyDescent="0.2">
      <c r="A5905" s="197" t="str">
        <f t="shared" si="92"/>
        <v>CmlCode_chan602</v>
      </c>
      <c r="B5905" s="409"/>
      <c r="C5905" s="416"/>
      <c r="D5905" s="198" t="s">
        <v>39651</v>
      </c>
      <c r="E5905" s="198">
        <v>103</v>
      </c>
      <c r="F5905" s="199" t="s">
        <v>39652</v>
      </c>
      <c r="G5905" s="1" t="s">
        <v>39653</v>
      </c>
      <c r="H5905" s="1" t="s">
        <v>16716</v>
      </c>
      <c r="I5905" s="346"/>
      <c r="J5905" s="39">
        <v>115233</v>
      </c>
      <c r="K5905" s="36" t="str">
        <f>CONCATENATE(Cover!$D$6,"fdd/view?i=",J5905)</f>
        <v>https://www.dgiwg.org/FAD/fdd/view?i=115233</v>
      </c>
      <c r="L5905" s="36" t="s">
        <v>39654</v>
      </c>
      <c r="M5905" s="186"/>
      <c r="N5905" s="186"/>
      <c r="O5905" s="13" t="s">
        <v>39650</v>
      </c>
    </row>
    <row r="5906" spans="1:15" ht="25.5" x14ac:dyDescent="0.2">
      <c r="A5906" s="197" t="str">
        <f t="shared" si="92"/>
        <v>CmlCode_chan603</v>
      </c>
      <c r="B5906" s="409"/>
      <c r="C5906" s="416"/>
      <c r="D5906" s="198" t="s">
        <v>39656</v>
      </c>
      <c r="E5906" s="198">
        <v>104</v>
      </c>
      <c r="F5906" s="199" t="s">
        <v>39657</v>
      </c>
      <c r="G5906" s="1" t="s">
        <v>39658</v>
      </c>
      <c r="H5906" s="1" t="s">
        <v>16716</v>
      </c>
      <c r="I5906" s="346"/>
      <c r="J5906" s="39">
        <v>115234</v>
      </c>
      <c r="K5906" s="36" t="str">
        <f>CONCATENATE(Cover!$D$6,"fdd/view?i=",J5906)</f>
        <v>https://www.dgiwg.org/FAD/fdd/view?i=115234</v>
      </c>
      <c r="L5906" s="36" t="s">
        <v>39659</v>
      </c>
      <c r="M5906" s="186"/>
      <c r="N5906" s="186"/>
      <c r="O5906" s="13" t="s">
        <v>39655</v>
      </c>
    </row>
    <row r="5907" spans="1:15" ht="25.5" x14ac:dyDescent="0.2">
      <c r="A5907" s="197" t="str">
        <f t="shared" si="92"/>
        <v>CmlCode_chan604</v>
      </c>
      <c r="B5907" s="409"/>
      <c r="C5907" s="416"/>
      <c r="D5907" s="198" t="s">
        <v>39661</v>
      </c>
      <c r="E5907" s="198">
        <v>105</v>
      </c>
      <c r="F5907" s="199" t="s">
        <v>39662</v>
      </c>
      <c r="G5907" s="1" t="s">
        <v>39663</v>
      </c>
      <c r="H5907" s="1" t="s">
        <v>16716</v>
      </c>
      <c r="I5907" s="346"/>
      <c r="J5907" s="39">
        <v>115235</v>
      </c>
      <c r="K5907" s="36" t="str">
        <f>CONCATENATE(Cover!$D$6,"fdd/view?i=",J5907)</f>
        <v>https://www.dgiwg.org/FAD/fdd/view?i=115235</v>
      </c>
      <c r="L5907" s="36" t="s">
        <v>39664</v>
      </c>
      <c r="M5907" s="186"/>
      <c r="N5907" s="186"/>
      <c r="O5907" s="13" t="s">
        <v>39660</v>
      </c>
    </row>
    <row r="5908" spans="1:15" ht="25.5" x14ac:dyDescent="0.2">
      <c r="A5908" s="197" t="str">
        <f t="shared" si="92"/>
        <v>CmlCode_chan605</v>
      </c>
      <c r="B5908" s="409"/>
      <c r="C5908" s="416"/>
      <c r="D5908" s="198" t="s">
        <v>39666</v>
      </c>
      <c r="E5908" s="198">
        <v>106</v>
      </c>
      <c r="F5908" s="199" t="s">
        <v>39667</v>
      </c>
      <c r="G5908" s="1" t="s">
        <v>39668</v>
      </c>
      <c r="H5908" s="1" t="s">
        <v>16716</v>
      </c>
      <c r="I5908" s="346"/>
      <c r="J5908" s="39">
        <v>115236</v>
      </c>
      <c r="K5908" s="36" t="str">
        <f>CONCATENATE(Cover!$D$6,"fdd/view?i=",J5908)</f>
        <v>https://www.dgiwg.org/FAD/fdd/view?i=115236</v>
      </c>
      <c r="L5908" s="36" t="s">
        <v>39669</v>
      </c>
      <c r="M5908" s="186"/>
      <c r="N5908" s="186"/>
      <c r="O5908" s="13" t="s">
        <v>39665</v>
      </c>
    </row>
    <row r="5909" spans="1:15" ht="25.5" x14ac:dyDescent="0.2">
      <c r="A5909" s="197" t="str">
        <f t="shared" si="92"/>
        <v>CmlCode_chan606</v>
      </c>
      <c r="B5909" s="409"/>
      <c r="C5909" s="416"/>
      <c r="D5909" s="198" t="s">
        <v>39671</v>
      </c>
      <c r="E5909" s="198">
        <v>107</v>
      </c>
      <c r="F5909" s="199" t="s">
        <v>39672</v>
      </c>
      <c r="G5909" s="1" t="s">
        <v>39673</v>
      </c>
      <c r="H5909" s="1" t="s">
        <v>16716</v>
      </c>
      <c r="I5909" s="346"/>
      <c r="J5909" s="39">
        <v>115237</v>
      </c>
      <c r="K5909" s="36" t="str">
        <f>CONCATENATE(Cover!$D$6,"fdd/view?i=",J5909)</f>
        <v>https://www.dgiwg.org/FAD/fdd/view?i=115237</v>
      </c>
      <c r="L5909" s="36" t="s">
        <v>39674</v>
      </c>
      <c r="M5909" s="186"/>
      <c r="N5909" s="186"/>
      <c r="O5909" s="13" t="s">
        <v>39670</v>
      </c>
    </row>
    <row r="5910" spans="1:15" ht="25.5" x14ac:dyDescent="0.2">
      <c r="A5910" s="197" t="str">
        <f t="shared" si="92"/>
        <v>CmlCode_chan607</v>
      </c>
      <c r="B5910" s="409"/>
      <c r="C5910" s="416"/>
      <c r="D5910" s="198" t="s">
        <v>39676</v>
      </c>
      <c r="E5910" s="198">
        <v>108</v>
      </c>
      <c r="F5910" s="199" t="s">
        <v>39677</v>
      </c>
      <c r="G5910" s="1" t="s">
        <v>39678</v>
      </c>
      <c r="H5910" s="1" t="s">
        <v>16716</v>
      </c>
      <c r="I5910" s="346"/>
      <c r="J5910" s="39">
        <v>115238</v>
      </c>
      <c r="K5910" s="36" t="str">
        <f>CONCATENATE(Cover!$D$6,"fdd/view?i=",J5910)</f>
        <v>https://www.dgiwg.org/FAD/fdd/view?i=115238</v>
      </c>
      <c r="L5910" s="36" t="s">
        <v>39679</v>
      </c>
      <c r="M5910" s="186"/>
      <c r="N5910" s="186"/>
      <c r="O5910" s="13" t="s">
        <v>39675</v>
      </c>
    </row>
    <row r="5911" spans="1:15" ht="25.5" x14ac:dyDescent="0.2">
      <c r="A5911" s="197" t="str">
        <f t="shared" si="92"/>
        <v>CmlCode_chan608</v>
      </c>
      <c r="B5911" s="409"/>
      <c r="C5911" s="416"/>
      <c r="D5911" s="198" t="s">
        <v>39681</v>
      </c>
      <c r="E5911" s="198">
        <v>109</v>
      </c>
      <c r="F5911" s="199" t="s">
        <v>39682</v>
      </c>
      <c r="G5911" s="1" t="s">
        <v>39683</v>
      </c>
      <c r="H5911" s="1" t="s">
        <v>16716</v>
      </c>
      <c r="I5911" s="346"/>
      <c r="J5911" s="39">
        <v>115239</v>
      </c>
      <c r="K5911" s="36" t="str">
        <f>CONCATENATE(Cover!$D$6,"fdd/view?i=",J5911)</f>
        <v>https://www.dgiwg.org/FAD/fdd/view?i=115239</v>
      </c>
      <c r="L5911" s="36" t="s">
        <v>39684</v>
      </c>
      <c r="M5911" s="186"/>
      <c r="N5911" s="186"/>
      <c r="O5911" s="13" t="s">
        <v>39680</v>
      </c>
    </row>
    <row r="5912" spans="1:15" ht="25.5" x14ac:dyDescent="0.2">
      <c r="A5912" s="197" t="str">
        <f t="shared" si="92"/>
        <v>CmlCode_chan609</v>
      </c>
      <c r="B5912" s="409"/>
      <c r="C5912" s="416"/>
      <c r="D5912" s="198" t="s">
        <v>39686</v>
      </c>
      <c r="E5912" s="198">
        <v>110</v>
      </c>
      <c r="F5912" s="199" t="s">
        <v>39687</v>
      </c>
      <c r="G5912" s="1" t="s">
        <v>39688</v>
      </c>
      <c r="H5912" s="1" t="s">
        <v>16716</v>
      </c>
      <c r="I5912" s="346"/>
      <c r="J5912" s="39">
        <v>115240</v>
      </c>
      <c r="K5912" s="36" t="str">
        <f>CONCATENATE(Cover!$D$6,"fdd/view?i=",J5912)</f>
        <v>https://www.dgiwg.org/FAD/fdd/view?i=115240</v>
      </c>
      <c r="L5912" s="36" t="s">
        <v>39689</v>
      </c>
      <c r="M5912" s="186"/>
      <c r="N5912" s="186"/>
      <c r="O5912" s="13" t="s">
        <v>39685</v>
      </c>
    </row>
    <row r="5913" spans="1:15" ht="25.5" x14ac:dyDescent="0.2">
      <c r="A5913" s="197" t="str">
        <f t="shared" si="92"/>
        <v>CmlCode_chan610</v>
      </c>
      <c r="B5913" s="409"/>
      <c r="C5913" s="416"/>
      <c r="D5913" s="198" t="s">
        <v>39691</v>
      </c>
      <c r="E5913" s="198">
        <v>111</v>
      </c>
      <c r="F5913" s="199" t="s">
        <v>39692</v>
      </c>
      <c r="G5913" s="1" t="s">
        <v>39693</v>
      </c>
      <c r="H5913" s="1" t="s">
        <v>16716</v>
      </c>
      <c r="I5913" s="346"/>
      <c r="J5913" s="39">
        <v>115241</v>
      </c>
      <c r="K5913" s="36" t="str">
        <f>CONCATENATE(Cover!$D$6,"fdd/view?i=",J5913)</f>
        <v>https://www.dgiwg.org/FAD/fdd/view?i=115241</v>
      </c>
      <c r="L5913" s="36" t="s">
        <v>39694</v>
      </c>
      <c r="M5913" s="186"/>
      <c r="N5913" s="186"/>
      <c r="O5913" s="13" t="s">
        <v>39690</v>
      </c>
    </row>
    <row r="5914" spans="1:15" ht="25.5" x14ac:dyDescent="0.2">
      <c r="A5914" s="197" t="str">
        <f t="shared" si="92"/>
        <v>CmlCode_chan611</v>
      </c>
      <c r="B5914" s="409"/>
      <c r="C5914" s="416"/>
      <c r="D5914" s="198" t="s">
        <v>39696</v>
      </c>
      <c r="E5914" s="198">
        <v>112</v>
      </c>
      <c r="F5914" s="199" t="s">
        <v>39697</v>
      </c>
      <c r="G5914" s="1" t="s">
        <v>39698</v>
      </c>
      <c r="H5914" s="1" t="s">
        <v>16716</v>
      </c>
      <c r="I5914" s="346"/>
      <c r="J5914" s="39">
        <v>115242</v>
      </c>
      <c r="K5914" s="36" t="str">
        <f>CONCATENATE(Cover!$D$6,"fdd/view?i=",J5914)</f>
        <v>https://www.dgiwg.org/FAD/fdd/view?i=115242</v>
      </c>
      <c r="L5914" s="36" t="s">
        <v>39699</v>
      </c>
      <c r="M5914" s="186"/>
      <c r="N5914" s="186"/>
      <c r="O5914" s="13" t="s">
        <v>39695</v>
      </c>
    </row>
    <row r="5915" spans="1:15" ht="25.5" x14ac:dyDescent="0.2">
      <c r="A5915" s="197" t="str">
        <f t="shared" si="92"/>
        <v>CmlCode_chan612</v>
      </c>
      <c r="B5915" s="409"/>
      <c r="C5915" s="416"/>
      <c r="D5915" s="198" t="s">
        <v>39701</v>
      </c>
      <c r="E5915" s="198">
        <v>113</v>
      </c>
      <c r="F5915" s="199" t="s">
        <v>39702</v>
      </c>
      <c r="G5915" s="1" t="s">
        <v>39703</v>
      </c>
      <c r="H5915" s="1" t="s">
        <v>16716</v>
      </c>
      <c r="I5915" s="346"/>
      <c r="J5915" s="39">
        <v>115243</v>
      </c>
      <c r="K5915" s="36" t="str">
        <f>CONCATENATE(Cover!$D$6,"fdd/view?i=",J5915)</f>
        <v>https://www.dgiwg.org/FAD/fdd/view?i=115243</v>
      </c>
      <c r="L5915" s="36" t="s">
        <v>39704</v>
      </c>
      <c r="M5915" s="186"/>
      <c r="N5915" s="186"/>
      <c r="O5915" s="13" t="s">
        <v>39700</v>
      </c>
    </row>
    <row r="5916" spans="1:15" ht="25.5" x14ac:dyDescent="0.2">
      <c r="A5916" s="197" t="str">
        <f t="shared" si="92"/>
        <v>CmlCode_chan613</v>
      </c>
      <c r="B5916" s="409"/>
      <c r="C5916" s="416"/>
      <c r="D5916" s="198" t="s">
        <v>39706</v>
      </c>
      <c r="E5916" s="198">
        <v>114</v>
      </c>
      <c r="F5916" s="199" t="s">
        <v>39707</v>
      </c>
      <c r="G5916" s="1" t="s">
        <v>39708</v>
      </c>
      <c r="H5916" s="1" t="s">
        <v>16716</v>
      </c>
      <c r="I5916" s="346"/>
      <c r="J5916" s="39">
        <v>115244</v>
      </c>
      <c r="K5916" s="36" t="str">
        <f>CONCATENATE(Cover!$D$6,"fdd/view?i=",J5916)</f>
        <v>https://www.dgiwg.org/FAD/fdd/view?i=115244</v>
      </c>
      <c r="L5916" s="36" t="s">
        <v>39709</v>
      </c>
      <c r="M5916" s="186"/>
      <c r="N5916" s="186"/>
      <c r="O5916" s="13" t="s">
        <v>39705</v>
      </c>
    </row>
    <row r="5917" spans="1:15" ht="25.5" x14ac:dyDescent="0.2">
      <c r="A5917" s="197" t="str">
        <f t="shared" si="92"/>
        <v>CmlCode_chan614</v>
      </c>
      <c r="B5917" s="409"/>
      <c r="C5917" s="416"/>
      <c r="D5917" s="198" t="s">
        <v>39711</v>
      </c>
      <c r="E5917" s="198">
        <v>115</v>
      </c>
      <c r="F5917" s="199" t="s">
        <v>39712</v>
      </c>
      <c r="G5917" s="1" t="s">
        <v>39713</v>
      </c>
      <c r="H5917" s="1" t="s">
        <v>16716</v>
      </c>
      <c r="I5917" s="346"/>
      <c r="J5917" s="39">
        <v>115245</v>
      </c>
      <c r="K5917" s="36" t="str">
        <f>CONCATENATE(Cover!$D$6,"fdd/view?i=",J5917)</f>
        <v>https://www.dgiwg.org/FAD/fdd/view?i=115245</v>
      </c>
      <c r="L5917" s="36" t="s">
        <v>39714</v>
      </c>
      <c r="M5917" s="186"/>
      <c r="N5917" s="186"/>
      <c r="O5917" s="13" t="s">
        <v>39710</v>
      </c>
    </row>
    <row r="5918" spans="1:15" ht="25.5" x14ac:dyDescent="0.2">
      <c r="A5918" s="197" t="str">
        <f t="shared" si="92"/>
        <v>CmlCode_chan615</v>
      </c>
      <c r="B5918" s="409"/>
      <c r="C5918" s="416"/>
      <c r="D5918" s="198" t="s">
        <v>39716</v>
      </c>
      <c r="E5918" s="198">
        <v>116</v>
      </c>
      <c r="F5918" s="199" t="s">
        <v>39717</v>
      </c>
      <c r="G5918" s="1" t="s">
        <v>39718</v>
      </c>
      <c r="H5918" s="1" t="s">
        <v>16716</v>
      </c>
      <c r="I5918" s="346"/>
      <c r="J5918" s="39">
        <v>115246</v>
      </c>
      <c r="K5918" s="36" t="str">
        <f>CONCATENATE(Cover!$D$6,"fdd/view?i=",J5918)</f>
        <v>https://www.dgiwg.org/FAD/fdd/view?i=115246</v>
      </c>
      <c r="L5918" s="36" t="s">
        <v>39719</v>
      </c>
      <c r="M5918" s="186"/>
      <c r="N5918" s="186"/>
      <c r="O5918" s="13" t="s">
        <v>39715</v>
      </c>
    </row>
    <row r="5919" spans="1:15" ht="25.5" x14ac:dyDescent="0.2">
      <c r="A5919" s="197" t="str">
        <f t="shared" si="92"/>
        <v>CmlCode_chan616</v>
      </c>
      <c r="B5919" s="409"/>
      <c r="C5919" s="416"/>
      <c r="D5919" s="198" t="s">
        <v>39721</v>
      </c>
      <c r="E5919" s="198">
        <v>117</v>
      </c>
      <c r="F5919" s="199" t="s">
        <v>39722</v>
      </c>
      <c r="G5919" s="1" t="s">
        <v>39723</v>
      </c>
      <c r="H5919" s="1" t="s">
        <v>16716</v>
      </c>
      <c r="I5919" s="346"/>
      <c r="J5919" s="39">
        <v>115247</v>
      </c>
      <c r="K5919" s="36" t="str">
        <f>CONCATENATE(Cover!$D$6,"fdd/view?i=",J5919)</f>
        <v>https://www.dgiwg.org/FAD/fdd/view?i=115247</v>
      </c>
      <c r="L5919" s="36" t="s">
        <v>39724</v>
      </c>
      <c r="M5919" s="186"/>
      <c r="N5919" s="186"/>
      <c r="O5919" s="13" t="s">
        <v>39720</v>
      </c>
    </row>
    <row r="5920" spans="1:15" ht="25.5" x14ac:dyDescent="0.2">
      <c r="A5920" s="197" t="str">
        <f t="shared" si="92"/>
        <v>CmlCode_chan617</v>
      </c>
      <c r="B5920" s="409"/>
      <c r="C5920" s="416"/>
      <c r="D5920" s="198" t="s">
        <v>39726</v>
      </c>
      <c r="E5920" s="198">
        <v>118</v>
      </c>
      <c r="F5920" s="199" t="s">
        <v>39727</v>
      </c>
      <c r="G5920" s="1" t="s">
        <v>39728</v>
      </c>
      <c r="H5920" s="1" t="s">
        <v>16716</v>
      </c>
      <c r="I5920" s="346"/>
      <c r="J5920" s="39">
        <v>115248</v>
      </c>
      <c r="K5920" s="36" t="str">
        <f>CONCATENATE(Cover!$D$6,"fdd/view?i=",J5920)</f>
        <v>https://www.dgiwg.org/FAD/fdd/view?i=115248</v>
      </c>
      <c r="L5920" s="36" t="s">
        <v>39729</v>
      </c>
      <c r="M5920" s="186"/>
      <c r="N5920" s="186"/>
      <c r="O5920" s="13" t="s">
        <v>39725</v>
      </c>
    </row>
    <row r="5921" spans="1:15" ht="25.5" x14ac:dyDescent="0.2">
      <c r="A5921" s="197" t="str">
        <f t="shared" si="92"/>
        <v>CmlCode_chan618</v>
      </c>
      <c r="B5921" s="409"/>
      <c r="C5921" s="416"/>
      <c r="D5921" s="198" t="s">
        <v>39731</v>
      </c>
      <c r="E5921" s="198">
        <v>119</v>
      </c>
      <c r="F5921" s="199" t="s">
        <v>39732</v>
      </c>
      <c r="G5921" s="1" t="s">
        <v>39733</v>
      </c>
      <c r="H5921" s="1" t="s">
        <v>16716</v>
      </c>
      <c r="I5921" s="346"/>
      <c r="J5921" s="39">
        <v>115249</v>
      </c>
      <c r="K5921" s="36" t="str">
        <f>CONCATENATE(Cover!$D$6,"fdd/view?i=",J5921)</f>
        <v>https://www.dgiwg.org/FAD/fdd/view?i=115249</v>
      </c>
      <c r="L5921" s="36" t="s">
        <v>39734</v>
      </c>
      <c r="M5921" s="186"/>
      <c r="N5921" s="186"/>
      <c r="O5921" s="13" t="s">
        <v>39730</v>
      </c>
    </row>
    <row r="5922" spans="1:15" ht="25.5" x14ac:dyDescent="0.2">
      <c r="A5922" s="197" t="str">
        <f t="shared" si="92"/>
        <v>CmlCode_chan619</v>
      </c>
      <c r="B5922" s="409"/>
      <c r="C5922" s="416"/>
      <c r="D5922" s="198" t="s">
        <v>39736</v>
      </c>
      <c r="E5922" s="198">
        <v>120</v>
      </c>
      <c r="F5922" s="199" t="s">
        <v>39737</v>
      </c>
      <c r="G5922" s="1" t="s">
        <v>39738</v>
      </c>
      <c r="H5922" s="1" t="s">
        <v>16716</v>
      </c>
      <c r="I5922" s="346"/>
      <c r="J5922" s="39">
        <v>115250</v>
      </c>
      <c r="K5922" s="36" t="str">
        <f>CONCATENATE(Cover!$D$6,"fdd/view?i=",J5922)</f>
        <v>https://www.dgiwg.org/FAD/fdd/view?i=115250</v>
      </c>
      <c r="L5922" s="36" t="s">
        <v>39739</v>
      </c>
      <c r="M5922" s="186"/>
      <c r="N5922" s="186"/>
      <c r="O5922" s="13" t="s">
        <v>39735</v>
      </c>
    </row>
    <row r="5923" spans="1:15" ht="25.5" x14ac:dyDescent="0.2">
      <c r="A5923" s="197" t="str">
        <f t="shared" si="92"/>
        <v>CmlCode_chan620</v>
      </c>
      <c r="B5923" s="409"/>
      <c r="C5923" s="416"/>
      <c r="D5923" s="198" t="s">
        <v>39741</v>
      </c>
      <c r="E5923" s="198">
        <v>121</v>
      </c>
      <c r="F5923" s="199" t="s">
        <v>39742</v>
      </c>
      <c r="G5923" s="1" t="s">
        <v>39743</v>
      </c>
      <c r="H5923" s="1" t="s">
        <v>16716</v>
      </c>
      <c r="I5923" s="346"/>
      <c r="J5923" s="39">
        <v>115251</v>
      </c>
      <c r="K5923" s="36" t="str">
        <f>CONCATENATE(Cover!$D$6,"fdd/view?i=",J5923)</f>
        <v>https://www.dgiwg.org/FAD/fdd/view?i=115251</v>
      </c>
      <c r="L5923" s="36" t="s">
        <v>39744</v>
      </c>
      <c r="M5923" s="186"/>
      <c r="N5923" s="186"/>
      <c r="O5923" s="13" t="s">
        <v>39740</v>
      </c>
    </row>
    <row r="5924" spans="1:15" ht="25.5" x14ac:dyDescent="0.2">
      <c r="A5924" s="197" t="str">
        <f t="shared" si="92"/>
        <v>CmlCode_chan621</v>
      </c>
      <c r="B5924" s="409"/>
      <c r="C5924" s="416"/>
      <c r="D5924" s="198" t="s">
        <v>39746</v>
      </c>
      <c r="E5924" s="198">
        <v>122</v>
      </c>
      <c r="F5924" s="199" t="s">
        <v>39747</v>
      </c>
      <c r="G5924" s="1" t="s">
        <v>39748</v>
      </c>
      <c r="H5924" s="1" t="s">
        <v>16716</v>
      </c>
      <c r="I5924" s="346"/>
      <c r="J5924" s="39">
        <v>115252</v>
      </c>
      <c r="K5924" s="36" t="str">
        <f>CONCATENATE(Cover!$D$6,"fdd/view?i=",J5924)</f>
        <v>https://www.dgiwg.org/FAD/fdd/view?i=115252</v>
      </c>
      <c r="L5924" s="36" t="s">
        <v>39749</v>
      </c>
      <c r="M5924" s="186"/>
      <c r="N5924" s="186"/>
      <c r="O5924" s="13" t="s">
        <v>39745</v>
      </c>
    </row>
    <row r="5925" spans="1:15" ht="25.5" x14ac:dyDescent="0.2">
      <c r="A5925" s="197" t="str">
        <f t="shared" si="92"/>
        <v>CmlCode_chan622</v>
      </c>
      <c r="B5925" s="409"/>
      <c r="C5925" s="416"/>
      <c r="D5925" s="198" t="s">
        <v>39751</v>
      </c>
      <c r="E5925" s="198">
        <v>123</v>
      </c>
      <c r="F5925" s="199" t="s">
        <v>39752</v>
      </c>
      <c r="G5925" s="1" t="s">
        <v>39753</v>
      </c>
      <c r="H5925" s="1" t="s">
        <v>16716</v>
      </c>
      <c r="I5925" s="346"/>
      <c r="J5925" s="39">
        <v>115253</v>
      </c>
      <c r="K5925" s="36" t="str">
        <f>CONCATENATE(Cover!$D$6,"fdd/view?i=",J5925)</f>
        <v>https://www.dgiwg.org/FAD/fdd/view?i=115253</v>
      </c>
      <c r="L5925" s="36" t="s">
        <v>39754</v>
      </c>
      <c r="M5925" s="186"/>
      <c r="N5925" s="186"/>
      <c r="O5925" s="13" t="s">
        <v>39750</v>
      </c>
    </row>
    <row r="5926" spans="1:15" ht="25.5" x14ac:dyDescent="0.2">
      <c r="A5926" s="197" t="str">
        <f t="shared" si="92"/>
        <v>CmlCode_chan623</v>
      </c>
      <c r="B5926" s="409"/>
      <c r="C5926" s="416"/>
      <c r="D5926" s="198" t="s">
        <v>39756</v>
      </c>
      <c r="E5926" s="198">
        <v>124</v>
      </c>
      <c r="F5926" s="199" t="s">
        <v>39757</v>
      </c>
      <c r="G5926" s="1" t="s">
        <v>39758</v>
      </c>
      <c r="H5926" s="1" t="s">
        <v>16716</v>
      </c>
      <c r="I5926" s="346"/>
      <c r="J5926" s="39">
        <v>115254</v>
      </c>
      <c r="K5926" s="36" t="str">
        <f>CONCATENATE(Cover!$D$6,"fdd/view?i=",J5926)</f>
        <v>https://www.dgiwg.org/FAD/fdd/view?i=115254</v>
      </c>
      <c r="L5926" s="36" t="s">
        <v>39759</v>
      </c>
      <c r="M5926" s="186"/>
      <c r="N5926" s="186"/>
      <c r="O5926" s="13" t="s">
        <v>39755</v>
      </c>
    </row>
    <row r="5927" spans="1:15" ht="25.5" x14ac:dyDescent="0.2">
      <c r="A5927" s="197" t="str">
        <f t="shared" si="92"/>
        <v>CmlCode_chan624</v>
      </c>
      <c r="B5927" s="409"/>
      <c r="C5927" s="416"/>
      <c r="D5927" s="198" t="s">
        <v>39761</v>
      </c>
      <c r="E5927" s="198">
        <v>125</v>
      </c>
      <c r="F5927" s="199" t="s">
        <v>39762</v>
      </c>
      <c r="G5927" s="1" t="s">
        <v>39763</v>
      </c>
      <c r="H5927" s="1" t="s">
        <v>16716</v>
      </c>
      <c r="I5927" s="346"/>
      <c r="J5927" s="39">
        <v>115255</v>
      </c>
      <c r="K5927" s="36" t="str">
        <f>CONCATENATE(Cover!$D$6,"fdd/view?i=",J5927)</f>
        <v>https://www.dgiwg.org/FAD/fdd/view?i=115255</v>
      </c>
      <c r="L5927" s="36" t="s">
        <v>39764</v>
      </c>
      <c r="M5927" s="186"/>
      <c r="N5927" s="186"/>
      <c r="O5927" s="13" t="s">
        <v>39760</v>
      </c>
    </row>
    <row r="5928" spans="1:15" ht="25.5" x14ac:dyDescent="0.2">
      <c r="A5928" s="197" t="str">
        <f t="shared" si="92"/>
        <v>CmlCode_chan625</v>
      </c>
      <c r="B5928" s="409"/>
      <c r="C5928" s="416"/>
      <c r="D5928" s="198" t="s">
        <v>39766</v>
      </c>
      <c r="E5928" s="198">
        <v>126</v>
      </c>
      <c r="F5928" s="199" t="s">
        <v>39767</v>
      </c>
      <c r="G5928" s="1" t="s">
        <v>39768</v>
      </c>
      <c r="H5928" s="1" t="s">
        <v>16716</v>
      </c>
      <c r="I5928" s="346"/>
      <c r="J5928" s="39">
        <v>115256</v>
      </c>
      <c r="K5928" s="36" t="str">
        <f>CONCATENATE(Cover!$D$6,"fdd/view?i=",J5928)</f>
        <v>https://www.dgiwg.org/FAD/fdd/view?i=115256</v>
      </c>
      <c r="L5928" s="36" t="s">
        <v>39769</v>
      </c>
      <c r="M5928" s="186"/>
      <c r="N5928" s="186"/>
      <c r="O5928" s="13" t="s">
        <v>39765</v>
      </c>
    </row>
    <row r="5929" spans="1:15" ht="25.5" x14ac:dyDescent="0.2">
      <c r="A5929" s="197" t="str">
        <f t="shared" si="92"/>
        <v>CmlCode_chan626</v>
      </c>
      <c r="B5929" s="409"/>
      <c r="C5929" s="416"/>
      <c r="D5929" s="198" t="s">
        <v>39771</v>
      </c>
      <c r="E5929" s="198">
        <v>127</v>
      </c>
      <c r="F5929" s="199" t="s">
        <v>39772</v>
      </c>
      <c r="G5929" s="1" t="s">
        <v>39773</v>
      </c>
      <c r="H5929" s="1" t="s">
        <v>16716</v>
      </c>
      <c r="I5929" s="346"/>
      <c r="J5929" s="39">
        <v>115257</v>
      </c>
      <c r="K5929" s="36" t="str">
        <f>CONCATENATE(Cover!$D$6,"fdd/view?i=",J5929)</f>
        <v>https://www.dgiwg.org/FAD/fdd/view?i=115257</v>
      </c>
      <c r="L5929" s="36" t="s">
        <v>39774</v>
      </c>
      <c r="M5929" s="186"/>
      <c r="N5929" s="186"/>
      <c r="O5929" s="13" t="s">
        <v>39770</v>
      </c>
    </row>
    <row r="5930" spans="1:15" ht="25.5" x14ac:dyDescent="0.2">
      <c r="A5930" s="197" t="str">
        <f t="shared" si="92"/>
        <v>CmlCode_chan627</v>
      </c>
      <c r="B5930" s="409"/>
      <c r="C5930" s="416"/>
      <c r="D5930" s="198" t="s">
        <v>39776</v>
      </c>
      <c r="E5930" s="198">
        <v>128</v>
      </c>
      <c r="F5930" s="199" t="s">
        <v>39777</v>
      </c>
      <c r="G5930" s="1" t="s">
        <v>39778</v>
      </c>
      <c r="H5930" s="1" t="s">
        <v>16716</v>
      </c>
      <c r="I5930" s="346"/>
      <c r="J5930" s="39">
        <v>115258</v>
      </c>
      <c r="K5930" s="36" t="str">
        <f>CONCATENATE(Cover!$D$6,"fdd/view?i=",J5930)</f>
        <v>https://www.dgiwg.org/FAD/fdd/view?i=115258</v>
      </c>
      <c r="L5930" s="36" t="s">
        <v>39779</v>
      </c>
      <c r="M5930" s="186"/>
      <c r="N5930" s="186"/>
      <c r="O5930" s="13" t="s">
        <v>39775</v>
      </c>
    </row>
    <row r="5931" spans="1:15" ht="25.5" x14ac:dyDescent="0.2">
      <c r="A5931" s="197" t="str">
        <f t="shared" si="92"/>
        <v>CmlCode_chan628</v>
      </c>
      <c r="B5931" s="409"/>
      <c r="C5931" s="416"/>
      <c r="D5931" s="198" t="s">
        <v>39781</v>
      </c>
      <c r="E5931" s="198">
        <v>129</v>
      </c>
      <c r="F5931" s="199" t="s">
        <v>39782</v>
      </c>
      <c r="G5931" s="1" t="s">
        <v>39783</v>
      </c>
      <c r="H5931" s="1" t="s">
        <v>16716</v>
      </c>
      <c r="I5931" s="346"/>
      <c r="J5931" s="39">
        <v>115259</v>
      </c>
      <c r="K5931" s="36" t="str">
        <f>CONCATENATE(Cover!$D$6,"fdd/view?i=",J5931)</f>
        <v>https://www.dgiwg.org/FAD/fdd/view?i=115259</v>
      </c>
      <c r="L5931" s="36" t="s">
        <v>39784</v>
      </c>
      <c r="M5931" s="186"/>
      <c r="N5931" s="186"/>
      <c r="O5931" s="13" t="s">
        <v>39780</v>
      </c>
    </row>
    <row r="5932" spans="1:15" ht="25.5" x14ac:dyDescent="0.2">
      <c r="A5932" s="197" t="str">
        <f t="shared" si="92"/>
        <v>CmlCode_chan629</v>
      </c>
      <c r="B5932" s="409"/>
      <c r="C5932" s="416"/>
      <c r="D5932" s="198" t="s">
        <v>39786</v>
      </c>
      <c r="E5932" s="198">
        <v>130</v>
      </c>
      <c r="F5932" s="199" t="s">
        <v>39787</v>
      </c>
      <c r="G5932" s="1" t="s">
        <v>39788</v>
      </c>
      <c r="H5932" s="1" t="s">
        <v>16716</v>
      </c>
      <c r="I5932" s="346"/>
      <c r="J5932" s="39">
        <v>115260</v>
      </c>
      <c r="K5932" s="36" t="str">
        <f>CONCATENATE(Cover!$D$6,"fdd/view?i=",J5932)</f>
        <v>https://www.dgiwg.org/FAD/fdd/view?i=115260</v>
      </c>
      <c r="L5932" s="36" t="s">
        <v>39789</v>
      </c>
      <c r="M5932" s="186"/>
      <c r="N5932" s="186"/>
      <c r="O5932" s="13" t="s">
        <v>39785</v>
      </c>
    </row>
    <row r="5933" spans="1:15" ht="25.5" x14ac:dyDescent="0.2">
      <c r="A5933" s="197" t="str">
        <f t="shared" si="92"/>
        <v>CmlCode_chan630</v>
      </c>
      <c r="B5933" s="409"/>
      <c r="C5933" s="416"/>
      <c r="D5933" s="198" t="s">
        <v>39791</v>
      </c>
      <c r="E5933" s="198">
        <v>131</v>
      </c>
      <c r="F5933" s="199" t="s">
        <v>39792</v>
      </c>
      <c r="G5933" s="1" t="s">
        <v>39793</v>
      </c>
      <c r="H5933" s="1" t="s">
        <v>16716</v>
      </c>
      <c r="I5933" s="346"/>
      <c r="J5933" s="39">
        <v>115261</v>
      </c>
      <c r="K5933" s="36" t="str">
        <f>CONCATENATE(Cover!$D$6,"fdd/view?i=",J5933)</f>
        <v>https://www.dgiwg.org/FAD/fdd/view?i=115261</v>
      </c>
      <c r="L5933" s="36" t="s">
        <v>39794</v>
      </c>
      <c r="M5933" s="186"/>
      <c r="N5933" s="186"/>
      <c r="O5933" s="13" t="s">
        <v>39790</v>
      </c>
    </row>
    <row r="5934" spans="1:15" ht="25.5" x14ac:dyDescent="0.2">
      <c r="A5934" s="197" t="str">
        <f t="shared" si="92"/>
        <v>CmlCode_chan631</v>
      </c>
      <c r="B5934" s="409"/>
      <c r="C5934" s="416"/>
      <c r="D5934" s="198" t="s">
        <v>39796</v>
      </c>
      <c r="E5934" s="198">
        <v>132</v>
      </c>
      <c r="F5934" s="199" t="s">
        <v>39797</v>
      </c>
      <c r="G5934" s="1" t="s">
        <v>39798</v>
      </c>
      <c r="H5934" s="1" t="s">
        <v>16716</v>
      </c>
      <c r="I5934" s="346"/>
      <c r="J5934" s="39">
        <v>115262</v>
      </c>
      <c r="K5934" s="36" t="str">
        <f>CONCATENATE(Cover!$D$6,"fdd/view?i=",J5934)</f>
        <v>https://www.dgiwg.org/FAD/fdd/view?i=115262</v>
      </c>
      <c r="L5934" s="36" t="s">
        <v>39799</v>
      </c>
      <c r="M5934" s="186"/>
      <c r="N5934" s="186"/>
      <c r="O5934" s="13" t="s">
        <v>39795</v>
      </c>
    </row>
    <row r="5935" spans="1:15" ht="25.5" x14ac:dyDescent="0.2">
      <c r="A5935" s="197" t="str">
        <f t="shared" si="92"/>
        <v>CmlCode_chan632</v>
      </c>
      <c r="B5935" s="409"/>
      <c r="C5935" s="416"/>
      <c r="D5935" s="198" t="s">
        <v>39801</v>
      </c>
      <c r="E5935" s="198">
        <v>133</v>
      </c>
      <c r="F5935" s="199" t="s">
        <v>39802</v>
      </c>
      <c r="G5935" s="1" t="s">
        <v>39803</v>
      </c>
      <c r="H5935" s="1" t="s">
        <v>16716</v>
      </c>
      <c r="I5935" s="346"/>
      <c r="J5935" s="39">
        <v>115263</v>
      </c>
      <c r="K5935" s="36" t="str">
        <f>CONCATENATE(Cover!$D$6,"fdd/view?i=",J5935)</f>
        <v>https://www.dgiwg.org/FAD/fdd/view?i=115263</v>
      </c>
      <c r="L5935" s="36" t="s">
        <v>39804</v>
      </c>
      <c r="M5935" s="186"/>
      <c r="N5935" s="186"/>
      <c r="O5935" s="13" t="s">
        <v>39800</v>
      </c>
    </row>
    <row r="5936" spans="1:15" ht="25.5" x14ac:dyDescent="0.2">
      <c r="A5936" s="197" t="str">
        <f t="shared" si="92"/>
        <v>CmlCode_chan633</v>
      </c>
      <c r="B5936" s="409"/>
      <c r="C5936" s="416"/>
      <c r="D5936" s="198" t="s">
        <v>39806</v>
      </c>
      <c r="E5936" s="198">
        <v>134</v>
      </c>
      <c r="F5936" s="199" t="s">
        <v>39807</v>
      </c>
      <c r="G5936" s="1" t="s">
        <v>39808</v>
      </c>
      <c r="H5936" s="1" t="s">
        <v>16716</v>
      </c>
      <c r="I5936" s="346"/>
      <c r="J5936" s="39">
        <v>115264</v>
      </c>
      <c r="K5936" s="36" t="str">
        <f>CONCATENATE(Cover!$D$6,"fdd/view?i=",J5936)</f>
        <v>https://www.dgiwg.org/FAD/fdd/view?i=115264</v>
      </c>
      <c r="L5936" s="36" t="s">
        <v>39809</v>
      </c>
      <c r="M5936" s="186"/>
      <c r="N5936" s="186"/>
      <c r="O5936" s="13" t="s">
        <v>39805</v>
      </c>
    </row>
    <row r="5937" spans="1:15" ht="25.5" x14ac:dyDescent="0.2">
      <c r="A5937" s="197" t="str">
        <f t="shared" si="92"/>
        <v>CmlCode_chan634</v>
      </c>
      <c r="B5937" s="409"/>
      <c r="C5937" s="416"/>
      <c r="D5937" s="198" t="s">
        <v>39811</v>
      </c>
      <c r="E5937" s="198">
        <v>135</v>
      </c>
      <c r="F5937" s="199" t="s">
        <v>39812</v>
      </c>
      <c r="G5937" s="1" t="s">
        <v>39813</v>
      </c>
      <c r="H5937" s="1" t="s">
        <v>16716</v>
      </c>
      <c r="I5937" s="346"/>
      <c r="J5937" s="39">
        <v>115265</v>
      </c>
      <c r="K5937" s="36" t="str">
        <f>CONCATENATE(Cover!$D$6,"fdd/view?i=",J5937)</f>
        <v>https://www.dgiwg.org/FAD/fdd/view?i=115265</v>
      </c>
      <c r="L5937" s="36" t="s">
        <v>39814</v>
      </c>
      <c r="M5937" s="186"/>
      <c r="N5937" s="186"/>
      <c r="O5937" s="13" t="s">
        <v>39810</v>
      </c>
    </row>
    <row r="5938" spans="1:15" ht="25.5" x14ac:dyDescent="0.2">
      <c r="A5938" s="197" t="str">
        <f t="shared" si="92"/>
        <v>CmlCode_chan635</v>
      </c>
      <c r="B5938" s="409"/>
      <c r="C5938" s="416"/>
      <c r="D5938" s="198" t="s">
        <v>39816</v>
      </c>
      <c r="E5938" s="198">
        <v>136</v>
      </c>
      <c r="F5938" s="199" t="s">
        <v>39817</v>
      </c>
      <c r="G5938" s="1" t="s">
        <v>39818</v>
      </c>
      <c r="H5938" s="1" t="s">
        <v>16716</v>
      </c>
      <c r="I5938" s="346"/>
      <c r="J5938" s="39">
        <v>115266</v>
      </c>
      <c r="K5938" s="36" t="str">
        <f>CONCATENATE(Cover!$D$6,"fdd/view?i=",J5938)</f>
        <v>https://www.dgiwg.org/FAD/fdd/view?i=115266</v>
      </c>
      <c r="L5938" s="36" t="s">
        <v>39819</v>
      </c>
      <c r="M5938" s="186"/>
      <c r="N5938" s="186"/>
      <c r="O5938" s="13" t="s">
        <v>39815</v>
      </c>
    </row>
    <row r="5939" spans="1:15" ht="25.5" x14ac:dyDescent="0.2">
      <c r="A5939" s="197" t="str">
        <f t="shared" si="92"/>
        <v>CmlCode_chan636</v>
      </c>
      <c r="B5939" s="409"/>
      <c r="C5939" s="416"/>
      <c r="D5939" s="198" t="s">
        <v>39821</v>
      </c>
      <c r="E5939" s="198">
        <v>137</v>
      </c>
      <c r="F5939" s="199" t="s">
        <v>39822</v>
      </c>
      <c r="G5939" s="1" t="s">
        <v>39823</v>
      </c>
      <c r="H5939" s="1" t="s">
        <v>16716</v>
      </c>
      <c r="I5939" s="346"/>
      <c r="J5939" s="39">
        <v>115267</v>
      </c>
      <c r="K5939" s="36" t="str">
        <f>CONCATENATE(Cover!$D$6,"fdd/view?i=",J5939)</f>
        <v>https://www.dgiwg.org/FAD/fdd/view?i=115267</v>
      </c>
      <c r="L5939" s="36" t="s">
        <v>39824</v>
      </c>
      <c r="M5939" s="186"/>
      <c r="N5939" s="186"/>
      <c r="O5939" s="13" t="s">
        <v>39820</v>
      </c>
    </row>
    <row r="5940" spans="1:15" ht="25.5" x14ac:dyDescent="0.2">
      <c r="A5940" s="197" t="str">
        <f t="shared" si="92"/>
        <v>CmlCode_chan637</v>
      </c>
      <c r="B5940" s="409"/>
      <c r="C5940" s="416"/>
      <c r="D5940" s="198" t="s">
        <v>39826</v>
      </c>
      <c r="E5940" s="198">
        <v>138</v>
      </c>
      <c r="F5940" s="199" t="s">
        <v>39827</v>
      </c>
      <c r="G5940" s="1" t="s">
        <v>39828</v>
      </c>
      <c r="H5940" s="1" t="s">
        <v>16716</v>
      </c>
      <c r="I5940" s="346"/>
      <c r="J5940" s="39">
        <v>115268</v>
      </c>
      <c r="K5940" s="36" t="str">
        <f>CONCATENATE(Cover!$D$6,"fdd/view?i=",J5940)</f>
        <v>https://www.dgiwg.org/FAD/fdd/view?i=115268</v>
      </c>
      <c r="L5940" s="36" t="s">
        <v>39829</v>
      </c>
      <c r="M5940" s="186"/>
      <c r="N5940" s="186"/>
      <c r="O5940" s="13" t="s">
        <v>39825</v>
      </c>
    </row>
    <row r="5941" spans="1:15" ht="25.5" x14ac:dyDescent="0.2">
      <c r="A5941" s="197" t="str">
        <f t="shared" si="92"/>
        <v>CmlCode_chan638</v>
      </c>
      <c r="B5941" s="409"/>
      <c r="C5941" s="416"/>
      <c r="D5941" s="198" t="s">
        <v>39831</v>
      </c>
      <c r="E5941" s="198">
        <v>139</v>
      </c>
      <c r="F5941" s="199" t="s">
        <v>39832</v>
      </c>
      <c r="G5941" s="1" t="s">
        <v>39833</v>
      </c>
      <c r="H5941" s="1" t="s">
        <v>16716</v>
      </c>
      <c r="I5941" s="346"/>
      <c r="J5941" s="39">
        <v>115269</v>
      </c>
      <c r="K5941" s="36" t="str">
        <f>CONCATENATE(Cover!$D$6,"fdd/view?i=",J5941)</f>
        <v>https://www.dgiwg.org/FAD/fdd/view?i=115269</v>
      </c>
      <c r="L5941" s="36" t="s">
        <v>39834</v>
      </c>
      <c r="M5941" s="186"/>
      <c r="N5941" s="186"/>
      <c r="O5941" s="13" t="s">
        <v>39830</v>
      </c>
    </row>
    <row r="5942" spans="1:15" ht="25.5" x14ac:dyDescent="0.2">
      <c r="A5942" s="197" t="str">
        <f t="shared" si="92"/>
        <v>CmlCode_chan639</v>
      </c>
      <c r="B5942" s="409"/>
      <c r="C5942" s="416"/>
      <c r="D5942" s="198" t="s">
        <v>39836</v>
      </c>
      <c r="E5942" s="198">
        <v>140</v>
      </c>
      <c r="F5942" s="199" t="s">
        <v>39837</v>
      </c>
      <c r="G5942" s="1" t="s">
        <v>39838</v>
      </c>
      <c r="H5942" s="1" t="s">
        <v>16716</v>
      </c>
      <c r="I5942" s="346"/>
      <c r="J5942" s="39">
        <v>115270</v>
      </c>
      <c r="K5942" s="36" t="str">
        <f>CONCATENATE(Cover!$D$6,"fdd/view?i=",J5942)</f>
        <v>https://www.dgiwg.org/FAD/fdd/view?i=115270</v>
      </c>
      <c r="L5942" s="36" t="s">
        <v>39839</v>
      </c>
      <c r="M5942" s="186"/>
      <c r="N5942" s="186"/>
      <c r="O5942" s="13" t="s">
        <v>39835</v>
      </c>
    </row>
    <row r="5943" spans="1:15" ht="25.5" x14ac:dyDescent="0.2">
      <c r="A5943" s="197" t="str">
        <f t="shared" si="92"/>
        <v>CmlCode_chan640</v>
      </c>
      <c r="B5943" s="409"/>
      <c r="C5943" s="416"/>
      <c r="D5943" s="198" t="s">
        <v>39841</v>
      </c>
      <c r="E5943" s="198">
        <v>141</v>
      </c>
      <c r="F5943" s="199" t="s">
        <v>39842</v>
      </c>
      <c r="G5943" s="1" t="s">
        <v>39843</v>
      </c>
      <c r="H5943" s="1" t="s">
        <v>16716</v>
      </c>
      <c r="I5943" s="346"/>
      <c r="J5943" s="39">
        <v>115271</v>
      </c>
      <c r="K5943" s="36" t="str">
        <f>CONCATENATE(Cover!$D$6,"fdd/view?i=",J5943)</f>
        <v>https://www.dgiwg.org/FAD/fdd/view?i=115271</v>
      </c>
      <c r="L5943" s="36" t="s">
        <v>39844</v>
      </c>
      <c r="M5943" s="186"/>
      <c r="N5943" s="186"/>
      <c r="O5943" s="13" t="s">
        <v>39840</v>
      </c>
    </row>
    <row r="5944" spans="1:15" ht="25.5" x14ac:dyDescent="0.2">
      <c r="A5944" s="197" t="str">
        <f t="shared" si="92"/>
        <v>CmlCode_chan641</v>
      </c>
      <c r="B5944" s="409"/>
      <c r="C5944" s="416"/>
      <c r="D5944" s="198" t="s">
        <v>39846</v>
      </c>
      <c r="E5944" s="198">
        <v>142</v>
      </c>
      <c r="F5944" s="199" t="s">
        <v>39847</v>
      </c>
      <c r="G5944" s="1" t="s">
        <v>39848</v>
      </c>
      <c r="H5944" s="1" t="s">
        <v>16716</v>
      </c>
      <c r="I5944" s="346"/>
      <c r="J5944" s="39">
        <v>115272</v>
      </c>
      <c r="K5944" s="36" t="str">
        <f>CONCATENATE(Cover!$D$6,"fdd/view?i=",J5944)</f>
        <v>https://www.dgiwg.org/FAD/fdd/view?i=115272</v>
      </c>
      <c r="L5944" s="36" t="s">
        <v>39849</v>
      </c>
      <c r="M5944" s="186"/>
      <c r="N5944" s="186"/>
      <c r="O5944" s="13" t="s">
        <v>39845</v>
      </c>
    </row>
    <row r="5945" spans="1:15" ht="25.5" x14ac:dyDescent="0.2">
      <c r="A5945" s="197" t="str">
        <f t="shared" si="92"/>
        <v>CmlCode_chan642</v>
      </c>
      <c r="B5945" s="409"/>
      <c r="C5945" s="416"/>
      <c r="D5945" s="198" t="s">
        <v>39851</v>
      </c>
      <c r="E5945" s="198">
        <v>143</v>
      </c>
      <c r="F5945" s="199" t="s">
        <v>39852</v>
      </c>
      <c r="G5945" s="1" t="s">
        <v>39853</v>
      </c>
      <c r="H5945" s="1" t="s">
        <v>16716</v>
      </c>
      <c r="I5945" s="346"/>
      <c r="J5945" s="39">
        <v>115273</v>
      </c>
      <c r="K5945" s="36" t="str">
        <f>CONCATENATE(Cover!$D$6,"fdd/view?i=",J5945)</f>
        <v>https://www.dgiwg.org/FAD/fdd/view?i=115273</v>
      </c>
      <c r="L5945" s="36" t="s">
        <v>39854</v>
      </c>
      <c r="M5945" s="186"/>
      <c r="N5945" s="186"/>
      <c r="O5945" s="13" t="s">
        <v>39850</v>
      </c>
    </row>
    <row r="5946" spans="1:15" ht="25.5" x14ac:dyDescent="0.2">
      <c r="A5946" s="197" t="str">
        <f t="shared" si="92"/>
        <v>CmlCode_chan643</v>
      </c>
      <c r="B5946" s="409"/>
      <c r="C5946" s="416"/>
      <c r="D5946" s="198" t="s">
        <v>39856</v>
      </c>
      <c r="E5946" s="198">
        <v>144</v>
      </c>
      <c r="F5946" s="199" t="s">
        <v>39857</v>
      </c>
      <c r="G5946" s="1" t="s">
        <v>39858</v>
      </c>
      <c r="H5946" s="1" t="s">
        <v>16716</v>
      </c>
      <c r="I5946" s="346"/>
      <c r="J5946" s="39">
        <v>115274</v>
      </c>
      <c r="K5946" s="36" t="str">
        <f>CONCATENATE(Cover!$D$6,"fdd/view?i=",J5946)</f>
        <v>https://www.dgiwg.org/FAD/fdd/view?i=115274</v>
      </c>
      <c r="L5946" s="36" t="s">
        <v>39859</v>
      </c>
      <c r="M5946" s="186"/>
      <c r="N5946" s="186"/>
      <c r="O5946" s="13" t="s">
        <v>39855</v>
      </c>
    </row>
    <row r="5947" spans="1:15" ht="25.5" x14ac:dyDescent="0.2">
      <c r="A5947" s="197" t="str">
        <f t="shared" si="92"/>
        <v>CmlCode_chan644</v>
      </c>
      <c r="B5947" s="409"/>
      <c r="C5947" s="416"/>
      <c r="D5947" s="198" t="s">
        <v>39861</v>
      </c>
      <c r="E5947" s="198">
        <v>145</v>
      </c>
      <c r="F5947" s="199" t="s">
        <v>39862</v>
      </c>
      <c r="G5947" s="1" t="s">
        <v>39863</v>
      </c>
      <c r="H5947" s="1" t="s">
        <v>16716</v>
      </c>
      <c r="I5947" s="346"/>
      <c r="J5947" s="39">
        <v>115275</v>
      </c>
      <c r="K5947" s="36" t="str">
        <f>CONCATENATE(Cover!$D$6,"fdd/view?i=",J5947)</f>
        <v>https://www.dgiwg.org/FAD/fdd/view?i=115275</v>
      </c>
      <c r="L5947" s="36" t="s">
        <v>39864</v>
      </c>
      <c r="M5947" s="186"/>
      <c r="N5947" s="186"/>
      <c r="O5947" s="13" t="s">
        <v>39860</v>
      </c>
    </row>
    <row r="5948" spans="1:15" ht="25.5" x14ac:dyDescent="0.2">
      <c r="A5948" s="197" t="str">
        <f t="shared" si="92"/>
        <v>CmlCode_chan645</v>
      </c>
      <c r="B5948" s="409"/>
      <c r="C5948" s="416"/>
      <c r="D5948" s="198" t="s">
        <v>39866</v>
      </c>
      <c r="E5948" s="198">
        <v>146</v>
      </c>
      <c r="F5948" s="199" t="s">
        <v>39867</v>
      </c>
      <c r="G5948" s="1" t="s">
        <v>39868</v>
      </c>
      <c r="H5948" s="1" t="s">
        <v>16716</v>
      </c>
      <c r="I5948" s="346"/>
      <c r="J5948" s="39">
        <v>115276</v>
      </c>
      <c r="K5948" s="36" t="str">
        <f>CONCATENATE(Cover!$D$6,"fdd/view?i=",J5948)</f>
        <v>https://www.dgiwg.org/FAD/fdd/view?i=115276</v>
      </c>
      <c r="L5948" s="36" t="s">
        <v>39869</v>
      </c>
      <c r="M5948" s="186"/>
      <c r="N5948" s="186"/>
      <c r="O5948" s="13" t="s">
        <v>39865</v>
      </c>
    </row>
    <row r="5949" spans="1:15" ht="25.5" x14ac:dyDescent="0.2">
      <c r="A5949" s="197" t="str">
        <f t="shared" si="92"/>
        <v>CmlCode_chan646</v>
      </c>
      <c r="B5949" s="409"/>
      <c r="C5949" s="416"/>
      <c r="D5949" s="198" t="s">
        <v>39871</v>
      </c>
      <c r="E5949" s="198">
        <v>147</v>
      </c>
      <c r="F5949" s="199" t="s">
        <v>39872</v>
      </c>
      <c r="G5949" s="1" t="s">
        <v>39873</v>
      </c>
      <c r="H5949" s="1" t="s">
        <v>16716</v>
      </c>
      <c r="I5949" s="346"/>
      <c r="J5949" s="39">
        <v>115277</v>
      </c>
      <c r="K5949" s="36" t="str">
        <f>CONCATENATE(Cover!$D$6,"fdd/view?i=",J5949)</f>
        <v>https://www.dgiwg.org/FAD/fdd/view?i=115277</v>
      </c>
      <c r="L5949" s="36" t="s">
        <v>39874</v>
      </c>
      <c r="M5949" s="186"/>
      <c r="N5949" s="186"/>
      <c r="O5949" s="13" t="s">
        <v>39870</v>
      </c>
    </row>
    <row r="5950" spans="1:15" ht="25.5" x14ac:dyDescent="0.2">
      <c r="A5950" s="197" t="str">
        <f t="shared" si="92"/>
        <v>CmlCode_chan647</v>
      </c>
      <c r="B5950" s="409"/>
      <c r="C5950" s="416"/>
      <c r="D5950" s="198" t="s">
        <v>39876</v>
      </c>
      <c r="E5950" s="198">
        <v>148</v>
      </c>
      <c r="F5950" s="199" t="s">
        <v>39877</v>
      </c>
      <c r="G5950" s="1" t="s">
        <v>39878</v>
      </c>
      <c r="H5950" s="1" t="s">
        <v>16716</v>
      </c>
      <c r="I5950" s="346"/>
      <c r="J5950" s="39">
        <v>115278</v>
      </c>
      <c r="K5950" s="36" t="str">
        <f>CONCATENATE(Cover!$D$6,"fdd/view?i=",J5950)</f>
        <v>https://www.dgiwg.org/FAD/fdd/view?i=115278</v>
      </c>
      <c r="L5950" s="36" t="s">
        <v>39879</v>
      </c>
      <c r="M5950" s="186"/>
      <c r="N5950" s="186"/>
      <c r="O5950" s="13" t="s">
        <v>39875</v>
      </c>
    </row>
    <row r="5951" spans="1:15" ht="25.5" x14ac:dyDescent="0.2">
      <c r="A5951" s="197" t="str">
        <f t="shared" si="92"/>
        <v>CmlCode_chan648</v>
      </c>
      <c r="B5951" s="409"/>
      <c r="C5951" s="416"/>
      <c r="D5951" s="198" t="s">
        <v>39881</v>
      </c>
      <c r="E5951" s="198">
        <v>149</v>
      </c>
      <c r="F5951" s="199" t="s">
        <v>39882</v>
      </c>
      <c r="G5951" s="1" t="s">
        <v>39883</v>
      </c>
      <c r="H5951" s="1" t="s">
        <v>16716</v>
      </c>
      <c r="I5951" s="346"/>
      <c r="J5951" s="39">
        <v>115279</v>
      </c>
      <c r="K5951" s="36" t="str">
        <f>CONCATENATE(Cover!$D$6,"fdd/view?i=",J5951)</f>
        <v>https://www.dgiwg.org/FAD/fdd/view?i=115279</v>
      </c>
      <c r="L5951" s="36" t="s">
        <v>39884</v>
      </c>
      <c r="M5951" s="186"/>
      <c r="N5951" s="186"/>
      <c r="O5951" s="13" t="s">
        <v>39880</v>
      </c>
    </row>
    <row r="5952" spans="1:15" ht="25.5" x14ac:dyDescent="0.2">
      <c r="A5952" s="197" t="str">
        <f t="shared" si="92"/>
        <v>CmlCode_chan649</v>
      </c>
      <c r="B5952" s="409"/>
      <c r="C5952" s="416"/>
      <c r="D5952" s="198" t="s">
        <v>39886</v>
      </c>
      <c r="E5952" s="198">
        <v>150</v>
      </c>
      <c r="F5952" s="199" t="s">
        <v>39887</v>
      </c>
      <c r="G5952" s="1" t="s">
        <v>39888</v>
      </c>
      <c r="H5952" s="1" t="s">
        <v>16716</v>
      </c>
      <c r="I5952" s="346"/>
      <c r="J5952" s="39">
        <v>115280</v>
      </c>
      <c r="K5952" s="36" t="str">
        <f>CONCATENATE(Cover!$D$6,"fdd/view?i=",J5952)</f>
        <v>https://www.dgiwg.org/FAD/fdd/view?i=115280</v>
      </c>
      <c r="L5952" s="36" t="s">
        <v>39889</v>
      </c>
      <c r="M5952" s="186"/>
      <c r="N5952" s="186"/>
      <c r="O5952" s="13" t="s">
        <v>39885</v>
      </c>
    </row>
    <row r="5953" spans="1:15" ht="25.5" x14ac:dyDescent="0.2">
      <c r="A5953" s="197" t="str">
        <f t="shared" si="92"/>
        <v>CmlCode_chan650</v>
      </c>
      <c r="B5953" s="409"/>
      <c r="C5953" s="416"/>
      <c r="D5953" s="198" t="s">
        <v>39891</v>
      </c>
      <c r="E5953" s="198">
        <v>151</v>
      </c>
      <c r="F5953" s="199" t="s">
        <v>39892</v>
      </c>
      <c r="G5953" s="1" t="s">
        <v>39893</v>
      </c>
      <c r="H5953" s="1" t="s">
        <v>16716</v>
      </c>
      <c r="I5953" s="346"/>
      <c r="J5953" s="39">
        <v>115281</v>
      </c>
      <c r="K5953" s="36" t="str">
        <f>CONCATENATE(Cover!$D$6,"fdd/view?i=",J5953)</f>
        <v>https://www.dgiwg.org/FAD/fdd/view?i=115281</v>
      </c>
      <c r="L5953" s="36" t="s">
        <v>39894</v>
      </c>
      <c r="M5953" s="186"/>
      <c r="N5953" s="186"/>
      <c r="O5953" s="13" t="s">
        <v>39890</v>
      </c>
    </row>
    <row r="5954" spans="1:15" ht="25.5" x14ac:dyDescent="0.2">
      <c r="A5954" s="197" t="str">
        <f t="shared" ref="A5954:A6017" si="93">HYPERLINK(K5954,L5954)</f>
        <v>CmlCode_chan651</v>
      </c>
      <c r="B5954" s="409"/>
      <c r="C5954" s="416"/>
      <c r="D5954" s="198" t="s">
        <v>39896</v>
      </c>
      <c r="E5954" s="198">
        <v>152</v>
      </c>
      <c r="F5954" s="199" t="s">
        <v>39897</v>
      </c>
      <c r="G5954" s="1" t="s">
        <v>39898</v>
      </c>
      <c r="H5954" s="1" t="s">
        <v>16716</v>
      </c>
      <c r="I5954" s="346"/>
      <c r="J5954" s="39">
        <v>115282</v>
      </c>
      <c r="K5954" s="36" t="str">
        <f>CONCATENATE(Cover!$D$6,"fdd/view?i=",J5954)</f>
        <v>https://www.dgiwg.org/FAD/fdd/view?i=115282</v>
      </c>
      <c r="L5954" s="36" t="s">
        <v>39899</v>
      </c>
      <c r="M5954" s="186"/>
      <c r="N5954" s="186"/>
      <c r="O5954" s="13" t="s">
        <v>39895</v>
      </c>
    </row>
    <row r="5955" spans="1:15" ht="25.5" x14ac:dyDescent="0.2">
      <c r="A5955" s="197" t="str">
        <f t="shared" si="93"/>
        <v>CmlCode_chan652</v>
      </c>
      <c r="B5955" s="409"/>
      <c r="C5955" s="416"/>
      <c r="D5955" s="198" t="s">
        <v>39901</v>
      </c>
      <c r="E5955" s="198">
        <v>153</v>
      </c>
      <c r="F5955" s="199" t="s">
        <v>39902</v>
      </c>
      <c r="G5955" s="1" t="s">
        <v>39903</v>
      </c>
      <c r="H5955" s="1" t="s">
        <v>16716</v>
      </c>
      <c r="I5955" s="346"/>
      <c r="J5955" s="39">
        <v>115283</v>
      </c>
      <c r="K5955" s="36" t="str">
        <f>CONCATENATE(Cover!$D$6,"fdd/view?i=",J5955)</f>
        <v>https://www.dgiwg.org/FAD/fdd/view?i=115283</v>
      </c>
      <c r="L5955" s="36" t="s">
        <v>39904</v>
      </c>
      <c r="M5955" s="186"/>
      <c r="N5955" s="186"/>
      <c r="O5955" s="13" t="s">
        <v>39900</v>
      </c>
    </row>
    <row r="5956" spans="1:15" ht="25.5" x14ac:dyDescent="0.2">
      <c r="A5956" s="197" t="str">
        <f t="shared" si="93"/>
        <v>CmlCode_chan653</v>
      </c>
      <c r="B5956" s="409"/>
      <c r="C5956" s="416"/>
      <c r="D5956" s="198" t="s">
        <v>39906</v>
      </c>
      <c r="E5956" s="198">
        <v>154</v>
      </c>
      <c r="F5956" s="199" t="s">
        <v>39907</v>
      </c>
      <c r="G5956" s="1" t="s">
        <v>39908</v>
      </c>
      <c r="H5956" s="1" t="s">
        <v>16716</v>
      </c>
      <c r="I5956" s="346"/>
      <c r="J5956" s="39">
        <v>115284</v>
      </c>
      <c r="K5956" s="36" t="str">
        <f>CONCATENATE(Cover!$D$6,"fdd/view?i=",J5956)</f>
        <v>https://www.dgiwg.org/FAD/fdd/view?i=115284</v>
      </c>
      <c r="L5956" s="36" t="s">
        <v>39909</v>
      </c>
      <c r="M5956" s="186"/>
      <c r="N5956" s="186"/>
      <c r="O5956" s="13" t="s">
        <v>39905</v>
      </c>
    </row>
    <row r="5957" spans="1:15" ht="25.5" x14ac:dyDescent="0.2">
      <c r="A5957" s="197" t="str">
        <f t="shared" si="93"/>
        <v>CmlCode_chan654</v>
      </c>
      <c r="B5957" s="409"/>
      <c r="C5957" s="416"/>
      <c r="D5957" s="198" t="s">
        <v>39911</v>
      </c>
      <c r="E5957" s="198">
        <v>155</v>
      </c>
      <c r="F5957" s="199" t="s">
        <v>39912</v>
      </c>
      <c r="G5957" s="1" t="s">
        <v>39913</v>
      </c>
      <c r="H5957" s="1" t="s">
        <v>16716</v>
      </c>
      <c r="I5957" s="346"/>
      <c r="J5957" s="39">
        <v>115285</v>
      </c>
      <c r="K5957" s="36" t="str">
        <f>CONCATENATE(Cover!$D$6,"fdd/view?i=",J5957)</f>
        <v>https://www.dgiwg.org/FAD/fdd/view?i=115285</v>
      </c>
      <c r="L5957" s="36" t="s">
        <v>39914</v>
      </c>
      <c r="M5957" s="186"/>
      <c r="N5957" s="186"/>
      <c r="O5957" s="13" t="s">
        <v>39910</v>
      </c>
    </row>
    <row r="5958" spans="1:15" ht="25.5" x14ac:dyDescent="0.2">
      <c r="A5958" s="197" t="str">
        <f t="shared" si="93"/>
        <v>CmlCode_chan655</v>
      </c>
      <c r="B5958" s="409"/>
      <c r="C5958" s="416"/>
      <c r="D5958" s="198" t="s">
        <v>39916</v>
      </c>
      <c r="E5958" s="198">
        <v>156</v>
      </c>
      <c r="F5958" s="199" t="s">
        <v>39917</v>
      </c>
      <c r="G5958" s="1" t="s">
        <v>39918</v>
      </c>
      <c r="H5958" s="1" t="s">
        <v>16716</v>
      </c>
      <c r="I5958" s="346"/>
      <c r="J5958" s="39">
        <v>115286</v>
      </c>
      <c r="K5958" s="36" t="str">
        <f>CONCATENATE(Cover!$D$6,"fdd/view?i=",J5958)</f>
        <v>https://www.dgiwg.org/FAD/fdd/view?i=115286</v>
      </c>
      <c r="L5958" s="36" t="s">
        <v>39919</v>
      </c>
      <c r="M5958" s="186"/>
      <c r="N5958" s="186"/>
      <c r="O5958" s="13" t="s">
        <v>39915</v>
      </c>
    </row>
    <row r="5959" spans="1:15" ht="25.5" x14ac:dyDescent="0.2">
      <c r="A5959" s="197" t="str">
        <f t="shared" si="93"/>
        <v>CmlCode_chan656</v>
      </c>
      <c r="B5959" s="409"/>
      <c r="C5959" s="416"/>
      <c r="D5959" s="198" t="s">
        <v>39921</v>
      </c>
      <c r="E5959" s="198">
        <v>157</v>
      </c>
      <c r="F5959" s="199" t="s">
        <v>39922</v>
      </c>
      <c r="G5959" s="1" t="s">
        <v>39923</v>
      </c>
      <c r="H5959" s="1" t="s">
        <v>16716</v>
      </c>
      <c r="I5959" s="346"/>
      <c r="J5959" s="39">
        <v>115287</v>
      </c>
      <c r="K5959" s="36" t="str">
        <f>CONCATENATE(Cover!$D$6,"fdd/view?i=",J5959)</f>
        <v>https://www.dgiwg.org/FAD/fdd/view?i=115287</v>
      </c>
      <c r="L5959" s="36" t="s">
        <v>39924</v>
      </c>
      <c r="M5959" s="186"/>
      <c r="N5959" s="186"/>
      <c r="O5959" s="13" t="s">
        <v>39920</v>
      </c>
    </row>
    <row r="5960" spans="1:15" ht="25.5" x14ac:dyDescent="0.2">
      <c r="A5960" s="197" t="str">
        <f t="shared" si="93"/>
        <v>CmlCode_chan657</v>
      </c>
      <c r="B5960" s="409"/>
      <c r="C5960" s="416"/>
      <c r="D5960" s="198" t="s">
        <v>39926</v>
      </c>
      <c r="E5960" s="198">
        <v>158</v>
      </c>
      <c r="F5960" s="199" t="s">
        <v>39927</v>
      </c>
      <c r="G5960" s="1" t="s">
        <v>39928</v>
      </c>
      <c r="H5960" s="1" t="s">
        <v>16716</v>
      </c>
      <c r="I5960" s="346"/>
      <c r="J5960" s="39">
        <v>115288</v>
      </c>
      <c r="K5960" s="36" t="str">
        <f>CONCATENATE(Cover!$D$6,"fdd/view?i=",J5960)</f>
        <v>https://www.dgiwg.org/FAD/fdd/view?i=115288</v>
      </c>
      <c r="L5960" s="36" t="s">
        <v>39929</v>
      </c>
      <c r="M5960" s="186"/>
      <c r="N5960" s="186"/>
      <c r="O5960" s="13" t="s">
        <v>39925</v>
      </c>
    </row>
    <row r="5961" spans="1:15" ht="25.5" x14ac:dyDescent="0.2">
      <c r="A5961" s="197" t="str">
        <f t="shared" si="93"/>
        <v>CmlCode_chan658</v>
      </c>
      <c r="B5961" s="409"/>
      <c r="C5961" s="416"/>
      <c r="D5961" s="198" t="s">
        <v>39931</v>
      </c>
      <c r="E5961" s="198">
        <v>159</v>
      </c>
      <c r="F5961" s="199" t="s">
        <v>39932</v>
      </c>
      <c r="G5961" s="1" t="s">
        <v>39933</v>
      </c>
      <c r="H5961" s="1" t="s">
        <v>16716</v>
      </c>
      <c r="I5961" s="346"/>
      <c r="J5961" s="39">
        <v>115289</v>
      </c>
      <c r="K5961" s="36" t="str">
        <f>CONCATENATE(Cover!$D$6,"fdd/view?i=",J5961)</f>
        <v>https://www.dgiwg.org/FAD/fdd/view?i=115289</v>
      </c>
      <c r="L5961" s="36" t="s">
        <v>39934</v>
      </c>
      <c r="M5961" s="186"/>
      <c r="N5961" s="186"/>
      <c r="O5961" s="13" t="s">
        <v>39930</v>
      </c>
    </row>
    <row r="5962" spans="1:15" ht="25.5" x14ac:dyDescent="0.2">
      <c r="A5962" s="197" t="str">
        <f t="shared" si="93"/>
        <v>CmlCode_chan659</v>
      </c>
      <c r="B5962" s="409"/>
      <c r="C5962" s="416"/>
      <c r="D5962" s="198" t="s">
        <v>39936</v>
      </c>
      <c r="E5962" s="198">
        <v>160</v>
      </c>
      <c r="F5962" s="199" t="s">
        <v>39937</v>
      </c>
      <c r="G5962" s="1" t="s">
        <v>39938</v>
      </c>
      <c r="H5962" s="1" t="s">
        <v>16716</v>
      </c>
      <c r="I5962" s="346"/>
      <c r="J5962" s="39">
        <v>115290</v>
      </c>
      <c r="K5962" s="36" t="str">
        <f>CONCATENATE(Cover!$D$6,"fdd/view?i=",J5962)</f>
        <v>https://www.dgiwg.org/FAD/fdd/view?i=115290</v>
      </c>
      <c r="L5962" s="36" t="s">
        <v>39939</v>
      </c>
      <c r="M5962" s="186"/>
      <c r="N5962" s="186"/>
      <c r="O5962" s="13" t="s">
        <v>39935</v>
      </c>
    </row>
    <row r="5963" spans="1:15" ht="25.5" x14ac:dyDescent="0.2">
      <c r="A5963" s="197" t="str">
        <f t="shared" si="93"/>
        <v>CmlCode_chan660</v>
      </c>
      <c r="B5963" s="409"/>
      <c r="C5963" s="416"/>
      <c r="D5963" s="198" t="s">
        <v>39941</v>
      </c>
      <c r="E5963" s="198">
        <v>161</v>
      </c>
      <c r="F5963" s="199" t="s">
        <v>39942</v>
      </c>
      <c r="G5963" s="1" t="s">
        <v>39943</v>
      </c>
      <c r="H5963" s="1" t="s">
        <v>16716</v>
      </c>
      <c r="I5963" s="346"/>
      <c r="J5963" s="39">
        <v>115291</v>
      </c>
      <c r="K5963" s="36" t="str">
        <f>CONCATENATE(Cover!$D$6,"fdd/view?i=",J5963)</f>
        <v>https://www.dgiwg.org/FAD/fdd/view?i=115291</v>
      </c>
      <c r="L5963" s="36" t="s">
        <v>39944</v>
      </c>
      <c r="M5963" s="186"/>
      <c r="N5963" s="186"/>
      <c r="O5963" s="13" t="s">
        <v>39940</v>
      </c>
    </row>
    <row r="5964" spans="1:15" ht="25.5" x14ac:dyDescent="0.2">
      <c r="A5964" s="197" t="str">
        <f t="shared" si="93"/>
        <v>CmlCode_chan661</v>
      </c>
      <c r="B5964" s="409"/>
      <c r="C5964" s="416"/>
      <c r="D5964" s="198" t="s">
        <v>39946</v>
      </c>
      <c r="E5964" s="198">
        <v>162</v>
      </c>
      <c r="F5964" s="199" t="s">
        <v>39947</v>
      </c>
      <c r="G5964" s="1" t="s">
        <v>39948</v>
      </c>
      <c r="H5964" s="1" t="s">
        <v>16716</v>
      </c>
      <c r="I5964" s="346"/>
      <c r="J5964" s="39">
        <v>115292</v>
      </c>
      <c r="K5964" s="36" t="str">
        <f>CONCATENATE(Cover!$D$6,"fdd/view?i=",J5964)</f>
        <v>https://www.dgiwg.org/FAD/fdd/view?i=115292</v>
      </c>
      <c r="L5964" s="36" t="s">
        <v>39949</v>
      </c>
      <c r="M5964" s="186"/>
      <c r="N5964" s="186"/>
      <c r="O5964" s="13" t="s">
        <v>39945</v>
      </c>
    </row>
    <row r="5965" spans="1:15" ht="25.5" x14ac:dyDescent="0.2">
      <c r="A5965" s="197" t="str">
        <f t="shared" si="93"/>
        <v>CmlCode_chan662</v>
      </c>
      <c r="B5965" s="409"/>
      <c r="C5965" s="416"/>
      <c r="D5965" s="198" t="s">
        <v>39951</v>
      </c>
      <c r="E5965" s="198">
        <v>163</v>
      </c>
      <c r="F5965" s="199" t="s">
        <v>39952</v>
      </c>
      <c r="G5965" s="1" t="s">
        <v>39953</v>
      </c>
      <c r="H5965" s="1" t="s">
        <v>16716</v>
      </c>
      <c r="I5965" s="346"/>
      <c r="J5965" s="39">
        <v>115293</v>
      </c>
      <c r="K5965" s="36" t="str">
        <f>CONCATENATE(Cover!$D$6,"fdd/view?i=",J5965)</f>
        <v>https://www.dgiwg.org/FAD/fdd/view?i=115293</v>
      </c>
      <c r="L5965" s="36" t="s">
        <v>39954</v>
      </c>
      <c r="M5965" s="186"/>
      <c r="N5965" s="186"/>
      <c r="O5965" s="13" t="s">
        <v>39950</v>
      </c>
    </row>
    <row r="5966" spans="1:15" ht="25.5" x14ac:dyDescent="0.2">
      <c r="A5966" s="197" t="str">
        <f t="shared" si="93"/>
        <v>CmlCode_chan663</v>
      </c>
      <c r="B5966" s="409"/>
      <c r="C5966" s="416"/>
      <c r="D5966" s="198" t="s">
        <v>39956</v>
      </c>
      <c r="E5966" s="198">
        <v>164</v>
      </c>
      <c r="F5966" s="199" t="s">
        <v>39957</v>
      </c>
      <c r="G5966" s="1" t="s">
        <v>39958</v>
      </c>
      <c r="H5966" s="1" t="s">
        <v>16716</v>
      </c>
      <c r="I5966" s="346"/>
      <c r="J5966" s="39">
        <v>115294</v>
      </c>
      <c r="K5966" s="36" t="str">
        <f>CONCATENATE(Cover!$D$6,"fdd/view?i=",J5966)</f>
        <v>https://www.dgiwg.org/FAD/fdd/view?i=115294</v>
      </c>
      <c r="L5966" s="36" t="s">
        <v>39959</v>
      </c>
      <c r="M5966" s="186"/>
      <c r="N5966" s="186"/>
      <c r="O5966" s="13" t="s">
        <v>39955</v>
      </c>
    </row>
    <row r="5967" spans="1:15" ht="25.5" x14ac:dyDescent="0.2">
      <c r="A5967" s="197" t="str">
        <f t="shared" si="93"/>
        <v>CmlCode_chan664</v>
      </c>
      <c r="B5967" s="409"/>
      <c r="C5967" s="416"/>
      <c r="D5967" s="198" t="s">
        <v>39961</v>
      </c>
      <c r="E5967" s="198">
        <v>165</v>
      </c>
      <c r="F5967" s="199" t="s">
        <v>39962</v>
      </c>
      <c r="G5967" s="1" t="s">
        <v>39963</v>
      </c>
      <c r="H5967" s="1" t="s">
        <v>16716</v>
      </c>
      <c r="I5967" s="346"/>
      <c r="J5967" s="39">
        <v>115295</v>
      </c>
      <c r="K5967" s="36" t="str">
        <f>CONCATENATE(Cover!$D$6,"fdd/view?i=",J5967)</f>
        <v>https://www.dgiwg.org/FAD/fdd/view?i=115295</v>
      </c>
      <c r="L5967" s="36" t="s">
        <v>39964</v>
      </c>
      <c r="M5967" s="186"/>
      <c r="N5967" s="186"/>
      <c r="O5967" s="13" t="s">
        <v>39960</v>
      </c>
    </row>
    <row r="5968" spans="1:15" ht="25.5" x14ac:dyDescent="0.2">
      <c r="A5968" s="197" t="str">
        <f t="shared" si="93"/>
        <v>CmlCode_chan665</v>
      </c>
      <c r="B5968" s="409"/>
      <c r="C5968" s="416"/>
      <c r="D5968" s="198" t="s">
        <v>39966</v>
      </c>
      <c r="E5968" s="198">
        <v>166</v>
      </c>
      <c r="F5968" s="199" t="s">
        <v>39967</v>
      </c>
      <c r="G5968" s="1" t="s">
        <v>39968</v>
      </c>
      <c r="H5968" s="1" t="s">
        <v>16716</v>
      </c>
      <c r="I5968" s="346"/>
      <c r="J5968" s="39">
        <v>115296</v>
      </c>
      <c r="K5968" s="36" t="str">
        <f>CONCATENATE(Cover!$D$6,"fdd/view?i=",J5968)</f>
        <v>https://www.dgiwg.org/FAD/fdd/view?i=115296</v>
      </c>
      <c r="L5968" s="36" t="s">
        <v>39969</v>
      </c>
      <c r="M5968" s="186"/>
      <c r="N5968" s="186"/>
      <c r="O5968" s="13" t="s">
        <v>39965</v>
      </c>
    </row>
    <row r="5969" spans="1:15" ht="25.5" x14ac:dyDescent="0.2">
      <c r="A5969" s="197" t="str">
        <f t="shared" si="93"/>
        <v>CmlCode_chan666</v>
      </c>
      <c r="B5969" s="409"/>
      <c r="C5969" s="416"/>
      <c r="D5969" s="198" t="s">
        <v>39971</v>
      </c>
      <c r="E5969" s="198">
        <v>167</v>
      </c>
      <c r="F5969" s="199" t="s">
        <v>39972</v>
      </c>
      <c r="G5969" s="1" t="s">
        <v>39973</v>
      </c>
      <c r="H5969" s="1" t="s">
        <v>16716</v>
      </c>
      <c r="I5969" s="346"/>
      <c r="J5969" s="39">
        <v>115297</v>
      </c>
      <c r="K5969" s="36" t="str">
        <f>CONCATENATE(Cover!$D$6,"fdd/view?i=",J5969)</f>
        <v>https://www.dgiwg.org/FAD/fdd/view?i=115297</v>
      </c>
      <c r="L5969" s="36" t="s">
        <v>39974</v>
      </c>
      <c r="M5969" s="186"/>
      <c r="N5969" s="186"/>
      <c r="O5969" s="13" t="s">
        <v>39970</v>
      </c>
    </row>
    <row r="5970" spans="1:15" ht="25.5" x14ac:dyDescent="0.2">
      <c r="A5970" s="197" t="str">
        <f t="shared" si="93"/>
        <v>CmlCode_chan667</v>
      </c>
      <c r="B5970" s="409"/>
      <c r="C5970" s="416"/>
      <c r="D5970" s="198" t="s">
        <v>39976</v>
      </c>
      <c r="E5970" s="198">
        <v>168</v>
      </c>
      <c r="F5970" s="199" t="s">
        <v>39977</v>
      </c>
      <c r="G5970" s="1" t="s">
        <v>39978</v>
      </c>
      <c r="H5970" s="1" t="s">
        <v>16716</v>
      </c>
      <c r="I5970" s="346"/>
      <c r="J5970" s="39">
        <v>115298</v>
      </c>
      <c r="K5970" s="36" t="str">
        <f>CONCATENATE(Cover!$D$6,"fdd/view?i=",J5970)</f>
        <v>https://www.dgiwg.org/FAD/fdd/view?i=115298</v>
      </c>
      <c r="L5970" s="36" t="s">
        <v>39979</v>
      </c>
      <c r="M5970" s="186"/>
      <c r="N5970" s="186"/>
      <c r="O5970" s="13" t="s">
        <v>39975</v>
      </c>
    </row>
    <row r="5971" spans="1:15" ht="25.5" x14ac:dyDescent="0.2">
      <c r="A5971" s="197" t="str">
        <f t="shared" si="93"/>
        <v>CmlCode_chan668</v>
      </c>
      <c r="B5971" s="409"/>
      <c r="C5971" s="416"/>
      <c r="D5971" s="198" t="s">
        <v>39981</v>
      </c>
      <c r="E5971" s="198">
        <v>169</v>
      </c>
      <c r="F5971" s="199" t="s">
        <v>39982</v>
      </c>
      <c r="G5971" s="1" t="s">
        <v>39983</v>
      </c>
      <c r="H5971" s="1" t="s">
        <v>16716</v>
      </c>
      <c r="I5971" s="346"/>
      <c r="J5971" s="39">
        <v>115299</v>
      </c>
      <c r="K5971" s="36" t="str">
        <f>CONCATENATE(Cover!$D$6,"fdd/view?i=",J5971)</f>
        <v>https://www.dgiwg.org/FAD/fdd/view?i=115299</v>
      </c>
      <c r="L5971" s="36" t="s">
        <v>39984</v>
      </c>
      <c r="M5971" s="186"/>
      <c r="N5971" s="186"/>
      <c r="O5971" s="13" t="s">
        <v>39980</v>
      </c>
    </row>
    <row r="5972" spans="1:15" ht="25.5" x14ac:dyDescent="0.2">
      <c r="A5972" s="197" t="str">
        <f t="shared" si="93"/>
        <v>CmlCode_chan669</v>
      </c>
      <c r="B5972" s="409"/>
      <c r="C5972" s="416"/>
      <c r="D5972" s="198" t="s">
        <v>39986</v>
      </c>
      <c r="E5972" s="198">
        <v>170</v>
      </c>
      <c r="F5972" s="199" t="s">
        <v>39987</v>
      </c>
      <c r="G5972" s="1" t="s">
        <v>39988</v>
      </c>
      <c r="H5972" s="1" t="s">
        <v>16716</v>
      </c>
      <c r="I5972" s="346"/>
      <c r="J5972" s="39">
        <v>115300</v>
      </c>
      <c r="K5972" s="36" t="str">
        <f>CONCATENATE(Cover!$D$6,"fdd/view?i=",J5972)</f>
        <v>https://www.dgiwg.org/FAD/fdd/view?i=115300</v>
      </c>
      <c r="L5972" s="36" t="s">
        <v>39989</v>
      </c>
      <c r="M5972" s="186"/>
      <c r="N5972" s="186"/>
      <c r="O5972" s="13" t="s">
        <v>39985</v>
      </c>
    </row>
    <row r="5973" spans="1:15" ht="25.5" x14ac:dyDescent="0.2">
      <c r="A5973" s="197" t="str">
        <f t="shared" si="93"/>
        <v>CmlCode_chan670</v>
      </c>
      <c r="B5973" s="409"/>
      <c r="C5973" s="416"/>
      <c r="D5973" s="198" t="s">
        <v>39991</v>
      </c>
      <c r="E5973" s="198">
        <v>171</v>
      </c>
      <c r="F5973" s="199" t="s">
        <v>39992</v>
      </c>
      <c r="G5973" s="1" t="s">
        <v>39993</v>
      </c>
      <c r="H5973" s="1" t="s">
        <v>16716</v>
      </c>
      <c r="I5973" s="346"/>
      <c r="J5973" s="39">
        <v>115301</v>
      </c>
      <c r="K5973" s="36" t="str">
        <f>CONCATENATE(Cover!$D$6,"fdd/view?i=",J5973)</f>
        <v>https://www.dgiwg.org/FAD/fdd/view?i=115301</v>
      </c>
      <c r="L5973" s="36" t="s">
        <v>39994</v>
      </c>
      <c r="M5973" s="186"/>
      <c r="N5973" s="186"/>
      <c r="O5973" s="13" t="s">
        <v>39990</v>
      </c>
    </row>
    <row r="5974" spans="1:15" ht="25.5" x14ac:dyDescent="0.2">
      <c r="A5974" s="197" t="str">
        <f t="shared" si="93"/>
        <v>CmlCode_chan671</v>
      </c>
      <c r="B5974" s="409"/>
      <c r="C5974" s="416"/>
      <c r="D5974" s="198" t="s">
        <v>39996</v>
      </c>
      <c r="E5974" s="198">
        <v>172</v>
      </c>
      <c r="F5974" s="199" t="s">
        <v>39997</v>
      </c>
      <c r="G5974" s="1" t="s">
        <v>39998</v>
      </c>
      <c r="H5974" s="1" t="s">
        <v>16716</v>
      </c>
      <c r="I5974" s="346"/>
      <c r="J5974" s="39">
        <v>115302</v>
      </c>
      <c r="K5974" s="36" t="str">
        <f>CONCATENATE(Cover!$D$6,"fdd/view?i=",J5974)</f>
        <v>https://www.dgiwg.org/FAD/fdd/view?i=115302</v>
      </c>
      <c r="L5974" s="36" t="s">
        <v>39999</v>
      </c>
      <c r="M5974" s="186"/>
      <c r="N5974" s="186"/>
      <c r="O5974" s="13" t="s">
        <v>39995</v>
      </c>
    </row>
    <row r="5975" spans="1:15" ht="25.5" x14ac:dyDescent="0.2">
      <c r="A5975" s="197" t="str">
        <f t="shared" si="93"/>
        <v>CmlCode_chan672</v>
      </c>
      <c r="B5975" s="409"/>
      <c r="C5975" s="416"/>
      <c r="D5975" s="198" t="s">
        <v>40001</v>
      </c>
      <c r="E5975" s="198">
        <v>173</v>
      </c>
      <c r="F5975" s="199" t="s">
        <v>40002</v>
      </c>
      <c r="G5975" s="1" t="s">
        <v>40003</v>
      </c>
      <c r="H5975" s="1" t="s">
        <v>16716</v>
      </c>
      <c r="I5975" s="346"/>
      <c r="J5975" s="39">
        <v>115303</v>
      </c>
      <c r="K5975" s="36" t="str">
        <f>CONCATENATE(Cover!$D$6,"fdd/view?i=",J5975)</f>
        <v>https://www.dgiwg.org/FAD/fdd/view?i=115303</v>
      </c>
      <c r="L5975" s="36" t="s">
        <v>40004</v>
      </c>
      <c r="M5975" s="186"/>
      <c r="N5975" s="186"/>
      <c r="O5975" s="13" t="s">
        <v>40000</v>
      </c>
    </row>
    <row r="5976" spans="1:15" ht="25.5" x14ac:dyDescent="0.2">
      <c r="A5976" s="197" t="str">
        <f t="shared" si="93"/>
        <v>CmlCode_chan673</v>
      </c>
      <c r="B5976" s="409"/>
      <c r="C5976" s="416"/>
      <c r="D5976" s="198" t="s">
        <v>40006</v>
      </c>
      <c r="E5976" s="198">
        <v>174</v>
      </c>
      <c r="F5976" s="199" t="s">
        <v>40007</v>
      </c>
      <c r="G5976" s="1" t="s">
        <v>40008</v>
      </c>
      <c r="H5976" s="1" t="s">
        <v>16716</v>
      </c>
      <c r="I5976" s="346"/>
      <c r="J5976" s="39">
        <v>115304</v>
      </c>
      <c r="K5976" s="36" t="str">
        <f>CONCATENATE(Cover!$D$6,"fdd/view?i=",J5976)</f>
        <v>https://www.dgiwg.org/FAD/fdd/view?i=115304</v>
      </c>
      <c r="L5976" s="36" t="s">
        <v>40009</v>
      </c>
      <c r="M5976" s="186"/>
      <c r="N5976" s="186"/>
      <c r="O5976" s="13" t="s">
        <v>40005</v>
      </c>
    </row>
    <row r="5977" spans="1:15" ht="25.5" x14ac:dyDescent="0.2">
      <c r="A5977" s="197" t="str">
        <f t="shared" si="93"/>
        <v>CmlCode_chan674</v>
      </c>
      <c r="B5977" s="409"/>
      <c r="C5977" s="416"/>
      <c r="D5977" s="198" t="s">
        <v>40011</v>
      </c>
      <c r="E5977" s="198">
        <v>175</v>
      </c>
      <c r="F5977" s="199" t="s">
        <v>40012</v>
      </c>
      <c r="G5977" s="1" t="s">
        <v>40013</v>
      </c>
      <c r="H5977" s="1" t="s">
        <v>16716</v>
      </c>
      <c r="I5977" s="346"/>
      <c r="J5977" s="39">
        <v>115305</v>
      </c>
      <c r="K5977" s="36" t="str">
        <f>CONCATENATE(Cover!$D$6,"fdd/view?i=",J5977)</f>
        <v>https://www.dgiwg.org/FAD/fdd/view?i=115305</v>
      </c>
      <c r="L5977" s="36" t="s">
        <v>40014</v>
      </c>
      <c r="M5977" s="186"/>
      <c r="N5977" s="186"/>
      <c r="O5977" s="13" t="s">
        <v>40010</v>
      </c>
    </row>
    <row r="5978" spans="1:15" ht="25.5" x14ac:dyDescent="0.2">
      <c r="A5978" s="197" t="str">
        <f t="shared" si="93"/>
        <v>CmlCode_chan675</v>
      </c>
      <c r="B5978" s="409"/>
      <c r="C5978" s="416"/>
      <c r="D5978" s="198" t="s">
        <v>40016</v>
      </c>
      <c r="E5978" s="198">
        <v>176</v>
      </c>
      <c r="F5978" s="199" t="s">
        <v>40017</v>
      </c>
      <c r="G5978" s="1" t="s">
        <v>40018</v>
      </c>
      <c r="H5978" s="1" t="s">
        <v>16716</v>
      </c>
      <c r="I5978" s="346"/>
      <c r="J5978" s="39">
        <v>115306</v>
      </c>
      <c r="K5978" s="36" t="str">
        <f>CONCATENATE(Cover!$D$6,"fdd/view?i=",J5978)</f>
        <v>https://www.dgiwg.org/FAD/fdd/view?i=115306</v>
      </c>
      <c r="L5978" s="36" t="s">
        <v>40019</v>
      </c>
      <c r="M5978" s="186"/>
      <c r="N5978" s="186"/>
      <c r="O5978" s="13" t="s">
        <v>40015</v>
      </c>
    </row>
    <row r="5979" spans="1:15" ht="25.5" x14ac:dyDescent="0.2">
      <c r="A5979" s="197" t="str">
        <f t="shared" si="93"/>
        <v>CmlCode_chan676</v>
      </c>
      <c r="B5979" s="409"/>
      <c r="C5979" s="416"/>
      <c r="D5979" s="198" t="s">
        <v>40021</v>
      </c>
      <c r="E5979" s="198">
        <v>177</v>
      </c>
      <c r="F5979" s="199" t="s">
        <v>40022</v>
      </c>
      <c r="G5979" s="1" t="s">
        <v>40023</v>
      </c>
      <c r="H5979" s="1" t="s">
        <v>16716</v>
      </c>
      <c r="I5979" s="346"/>
      <c r="J5979" s="39">
        <v>115307</v>
      </c>
      <c r="K5979" s="36" t="str">
        <f>CONCATENATE(Cover!$D$6,"fdd/view?i=",J5979)</f>
        <v>https://www.dgiwg.org/FAD/fdd/view?i=115307</v>
      </c>
      <c r="L5979" s="36" t="s">
        <v>40024</v>
      </c>
      <c r="M5979" s="186"/>
      <c r="N5979" s="186"/>
      <c r="O5979" s="13" t="s">
        <v>40020</v>
      </c>
    </row>
    <row r="5980" spans="1:15" ht="25.5" x14ac:dyDescent="0.2">
      <c r="A5980" s="197" t="str">
        <f t="shared" si="93"/>
        <v>CmlCode_chan677</v>
      </c>
      <c r="B5980" s="409"/>
      <c r="C5980" s="416"/>
      <c r="D5980" s="198" t="s">
        <v>40026</v>
      </c>
      <c r="E5980" s="198">
        <v>178</v>
      </c>
      <c r="F5980" s="199" t="s">
        <v>40027</v>
      </c>
      <c r="G5980" s="1" t="s">
        <v>40028</v>
      </c>
      <c r="H5980" s="1" t="s">
        <v>16716</v>
      </c>
      <c r="I5980" s="346"/>
      <c r="J5980" s="39">
        <v>115308</v>
      </c>
      <c r="K5980" s="36" t="str">
        <f>CONCATENATE(Cover!$D$6,"fdd/view?i=",J5980)</f>
        <v>https://www.dgiwg.org/FAD/fdd/view?i=115308</v>
      </c>
      <c r="L5980" s="36" t="s">
        <v>40029</v>
      </c>
      <c r="M5980" s="186"/>
      <c r="N5980" s="186"/>
      <c r="O5980" s="13" t="s">
        <v>40025</v>
      </c>
    </row>
    <row r="5981" spans="1:15" ht="25.5" x14ac:dyDescent="0.2">
      <c r="A5981" s="197" t="str">
        <f t="shared" si="93"/>
        <v>CmlCode_chan678</v>
      </c>
      <c r="B5981" s="409"/>
      <c r="C5981" s="416"/>
      <c r="D5981" s="198" t="s">
        <v>40031</v>
      </c>
      <c r="E5981" s="198">
        <v>179</v>
      </c>
      <c r="F5981" s="199" t="s">
        <v>40032</v>
      </c>
      <c r="G5981" s="1" t="s">
        <v>40033</v>
      </c>
      <c r="H5981" s="1" t="s">
        <v>16716</v>
      </c>
      <c r="I5981" s="346"/>
      <c r="J5981" s="39">
        <v>115309</v>
      </c>
      <c r="K5981" s="36" t="str">
        <f>CONCATENATE(Cover!$D$6,"fdd/view?i=",J5981)</f>
        <v>https://www.dgiwg.org/FAD/fdd/view?i=115309</v>
      </c>
      <c r="L5981" s="36" t="s">
        <v>40034</v>
      </c>
      <c r="M5981" s="186"/>
      <c r="N5981" s="186"/>
      <c r="O5981" s="13" t="s">
        <v>40030</v>
      </c>
    </row>
    <row r="5982" spans="1:15" ht="25.5" x14ac:dyDescent="0.2">
      <c r="A5982" s="197" t="str">
        <f t="shared" si="93"/>
        <v>CmlCode_chan679</v>
      </c>
      <c r="B5982" s="409"/>
      <c r="C5982" s="416"/>
      <c r="D5982" s="198" t="s">
        <v>40036</v>
      </c>
      <c r="E5982" s="198">
        <v>180</v>
      </c>
      <c r="F5982" s="199" t="s">
        <v>40037</v>
      </c>
      <c r="G5982" s="1" t="s">
        <v>40038</v>
      </c>
      <c r="H5982" s="1" t="s">
        <v>16716</v>
      </c>
      <c r="I5982" s="346"/>
      <c r="J5982" s="39">
        <v>115310</v>
      </c>
      <c r="K5982" s="36" t="str">
        <f>CONCATENATE(Cover!$D$6,"fdd/view?i=",J5982)</f>
        <v>https://www.dgiwg.org/FAD/fdd/view?i=115310</v>
      </c>
      <c r="L5982" s="36" t="s">
        <v>40039</v>
      </c>
      <c r="M5982" s="186"/>
      <c r="N5982" s="186"/>
      <c r="O5982" s="13" t="s">
        <v>40035</v>
      </c>
    </row>
    <row r="5983" spans="1:15" ht="25.5" x14ac:dyDescent="0.2">
      <c r="A5983" s="197" t="str">
        <f t="shared" si="93"/>
        <v>CmlCode_chan680</v>
      </c>
      <c r="B5983" s="409"/>
      <c r="C5983" s="416"/>
      <c r="D5983" s="198" t="s">
        <v>40041</v>
      </c>
      <c r="E5983" s="198">
        <v>181</v>
      </c>
      <c r="F5983" s="199" t="s">
        <v>40042</v>
      </c>
      <c r="G5983" s="1" t="s">
        <v>40043</v>
      </c>
      <c r="H5983" s="1" t="s">
        <v>16716</v>
      </c>
      <c r="I5983" s="346"/>
      <c r="J5983" s="39">
        <v>115311</v>
      </c>
      <c r="K5983" s="36" t="str">
        <f>CONCATENATE(Cover!$D$6,"fdd/view?i=",J5983)</f>
        <v>https://www.dgiwg.org/FAD/fdd/view?i=115311</v>
      </c>
      <c r="L5983" s="36" t="s">
        <v>40044</v>
      </c>
      <c r="M5983" s="186"/>
      <c r="N5983" s="186"/>
      <c r="O5983" s="13" t="s">
        <v>40040</v>
      </c>
    </row>
    <row r="5984" spans="1:15" ht="25.5" x14ac:dyDescent="0.2">
      <c r="A5984" s="197" t="str">
        <f t="shared" si="93"/>
        <v>CmlCode_chan681</v>
      </c>
      <c r="B5984" s="409"/>
      <c r="C5984" s="416"/>
      <c r="D5984" s="198" t="s">
        <v>40046</v>
      </c>
      <c r="E5984" s="198">
        <v>182</v>
      </c>
      <c r="F5984" s="199" t="s">
        <v>40047</v>
      </c>
      <c r="G5984" s="1" t="s">
        <v>40048</v>
      </c>
      <c r="H5984" s="1" t="s">
        <v>16716</v>
      </c>
      <c r="I5984" s="346"/>
      <c r="J5984" s="39">
        <v>115312</v>
      </c>
      <c r="K5984" s="36" t="str">
        <f>CONCATENATE(Cover!$D$6,"fdd/view?i=",J5984)</f>
        <v>https://www.dgiwg.org/FAD/fdd/view?i=115312</v>
      </c>
      <c r="L5984" s="36" t="s">
        <v>40049</v>
      </c>
      <c r="M5984" s="186"/>
      <c r="N5984" s="186"/>
      <c r="O5984" s="13" t="s">
        <v>40045</v>
      </c>
    </row>
    <row r="5985" spans="1:15" ht="25.5" x14ac:dyDescent="0.2">
      <c r="A5985" s="197" t="str">
        <f t="shared" si="93"/>
        <v>CmlCode_chan682</v>
      </c>
      <c r="B5985" s="409"/>
      <c r="C5985" s="416"/>
      <c r="D5985" s="198" t="s">
        <v>40051</v>
      </c>
      <c r="E5985" s="198">
        <v>183</v>
      </c>
      <c r="F5985" s="199" t="s">
        <v>40052</v>
      </c>
      <c r="G5985" s="1" t="s">
        <v>40053</v>
      </c>
      <c r="H5985" s="1" t="s">
        <v>16716</v>
      </c>
      <c r="I5985" s="346"/>
      <c r="J5985" s="39">
        <v>115313</v>
      </c>
      <c r="K5985" s="36" t="str">
        <f>CONCATENATE(Cover!$D$6,"fdd/view?i=",J5985)</f>
        <v>https://www.dgiwg.org/FAD/fdd/view?i=115313</v>
      </c>
      <c r="L5985" s="36" t="s">
        <v>40054</v>
      </c>
      <c r="M5985" s="186"/>
      <c r="N5985" s="186"/>
      <c r="O5985" s="13" t="s">
        <v>40050</v>
      </c>
    </row>
    <row r="5986" spans="1:15" ht="25.5" x14ac:dyDescent="0.2">
      <c r="A5986" s="197" t="str">
        <f t="shared" si="93"/>
        <v>CmlCode_chan683</v>
      </c>
      <c r="B5986" s="409"/>
      <c r="C5986" s="416"/>
      <c r="D5986" s="198" t="s">
        <v>40056</v>
      </c>
      <c r="E5986" s="198">
        <v>184</v>
      </c>
      <c r="F5986" s="199" t="s">
        <v>40057</v>
      </c>
      <c r="G5986" s="1" t="s">
        <v>40058</v>
      </c>
      <c r="H5986" s="1" t="s">
        <v>16716</v>
      </c>
      <c r="I5986" s="346"/>
      <c r="J5986" s="39">
        <v>115314</v>
      </c>
      <c r="K5986" s="36" t="str">
        <f>CONCATENATE(Cover!$D$6,"fdd/view?i=",J5986)</f>
        <v>https://www.dgiwg.org/FAD/fdd/view?i=115314</v>
      </c>
      <c r="L5986" s="36" t="s">
        <v>40059</v>
      </c>
      <c r="M5986" s="186"/>
      <c r="N5986" s="186"/>
      <c r="O5986" s="13" t="s">
        <v>40055</v>
      </c>
    </row>
    <row r="5987" spans="1:15" ht="25.5" x14ac:dyDescent="0.2">
      <c r="A5987" s="197" t="str">
        <f t="shared" si="93"/>
        <v>CmlCode_chan684</v>
      </c>
      <c r="B5987" s="409"/>
      <c r="C5987" s="416"/>
      <c r="D5987" s="198" t="s">
        <v>40061</v>
      </c>
      <c r="E5987" s="198">
        <v>185</v>
      </c>
      <c r="F5987" s="199" t="s">
        <v>40062</v>
      </c>
      <c r="G5987" s="1" t="s">
        <v>40063</v>
      </c>
      <c r="H5987" s="1" t="s">
        <v>16716</v>
      </c>
      <c r="I5987" s="346"/>
      <c r="J5987" s="39">
        <v>115315</v>
      </c>
      <c r="K5987" s="36" t="str">
        <f>CONCATENATE(Cover!$D$6,"fdd/view?i=",J5987)</f>
        <v>https://www.dgiwg.org/FAD/fdd/view?i=115315</v>
      </c>
      <c r="L5987" s="36" t="s">
        <v>40064</v>
      </c>
      <c r="M5987" s="186"/>
      <c r="N5987" s="186"/>
      <c r="O5987" s="13" t="s">
        <v>40060</v>
      </c>
    </row>
    <row r="5988" spans="1:15" ht="25.5" x14ac:dyDescent="0.2">
      <c r="A5988" s="197" t="str">
        <f t="shared" si="93"/>
        <v>CmlCode_chan685</v>
      </c>
      <c r="B5988" s="409"/>
      <c r="C5988" s="416"/>
      <c r="D5988" s="198" t="s">
        <v>40066</v>
      </c>
      <c r="E5988" s="198">
        <v>186</v>
      </c>
      <c r="F5988" s="199" t="s">
        <v>40067</v>
      </c>
      <c r="G5988" s="1" t="s">
        <v>40068</v>
      </c>
      <c r="H5988" s="1" t="s">
        <v>16716</v>
      </c>
      <c r="I5988" s="346"/>
      <c r="J5988" s="39">
        <v>115316</v>
      </c>
      <c r="K5988" s="36" t="str">
        <f>CONCATENATE(Cover!$D$6,"fdd/view?i=",J5988)</f>
        <v>https://www.dgiwg.org/FAD/fdd/view?i=115316</v>
      </c>
      <c r="L5988" s="36" t="s">
        <v>40069</v>
      </c>
      <c r="M5988" s="186"/>
      <c r="N5988" s="186"/>
      <c r="O5988" s="13" t="s">
        <v>40065</v>
      </c>
    </row>
    <row r="5989" spans="1:15" ht="25.5" x14ac:dyDescent="0.2">
      <c r="A5989" s="197" t="str">
        <f t="shared" si="93"/>
        <v>CmlCode_chan686</v>
      </c>
      <c r="B5989" s="409"/>
      <c r="C5989" s="416"/>
      <c r="D5989" s="198" t="s">
        <v>40071</v>
      </c>
      <c r="E5989" s="198">
        <v>187</v>
      </c>
      <c r="F5989" s="199" t="s">
        <v>40072</v>
      </c>
      <c r="G5989" s="1" t="s">
        <v>40073</v>
      </c>
      <c r="H5989" s="1" t="s">
        <v>16716</v>
      </c>
      <c r="I5989" s="346"/>
      <c r="J5989" s="39">
        <v>115317</v>
      </c>
      <c r="K5989" s="36" t="str">
        <f>CONCATENATE(Cover!$D$6,"fdd/view?i=",J5989)</f>
        <v>https://www.dgiwg.org/FAD/fdd/view?i=115317</v>
      </c>
      <c r="L5989" s="36" t="s">
        <v>40074</v>
      </c>
      <c r="M5989" s="186"/>
      <c r="N5989" s="186"/>
      <c r="O5989" s="13" t="s">
        <v>40070</v>
      </c>
    </row>
    <row r="5990" spans="1:15" ht="25.5" x14ac:dyDescent="0.2">
      <c r="A5990" s="197" t="str">
        <f t="shared" si="93"/>
        <v>CmlCode_chan687</v>
      </c>
      <c r="B5990" s="409"/>
      <c r="C5990" s="416"/>
      <c r="D5990" s="198" t="s">
        <v>40076</v>
      </c>
      <c r="E5990" s="198">
        <v>188</v>
      </c>
      <c r="F5990" s="199" t="s">
        <v>40077</v>
      </c>
      <c r="G5990" s="1" t="s">
        <v>40078</v>
      </c>
      <c r="H5990" s="1" t="s">
        <v>16716</v>
      </c>
      <c r="I5990" s="346"/>
      <c r="J5990" s="39">
        <v>115318</v>
      </c>
      <c r="K5990" s="36" t="str">
        <f>CONCATENATE(Cover!$D$6,"fdd/view?i=",J5990)</f>
        <v>https://www.dgiwg.org/FAD/fdd/view?i=115318</v>
      </c>
      <c r="L5990" s="36" t="s">
        <v>40079</v>
      </c>
      <c r="M5990" s="186"/>
      <c r="N5990" s="186"/>
      <c r="O5990" s="13" t="s">
        <v>40075</v>
      </c>
    </row>
    <row r="5991" spans="1:15" ht="25.5" x14ac:dyDescent="0.2">
      <c r="A5991" s="197" t="str">
        <f t="shared" si="93"/>
        <v>CmlCode_chan688</v>
      </c>
      <c r="B5991" s="409"/>
      <c r="C5991" s="416"/>
      <c r="D5991" s="198" t="s">
        <v>40081</v>
      </c>
      <c r="E5991" s="198">
        <v>189</v>
      </c>
      <c r="F5991" s="199" t="s">
        <v>40082</v>
      </c>
      <c r="G5991" s="1" t="s">
        <v>40083</v>
      </c>
      <c r="H5991" s="1" t="s">
        <v>16716</v>
      </c>
      <c r="I5991" s="346"/>
      <c r="J5991" s="39">
        <v>115319</v>
      </c>
      <c r="K5991" s="36" t="str">
        <f>CONCATENATE(Cover!$D$6,"fdd/view?i=",J5991)</f>
        <v>https://www.dgiwg.org/FAD/fdd/view?i=115319</v>
      </c>
      <c r="L5991" s="36" t="s">
        <v>40084</v>
      </c>
      <c r="M5991" s="186"/>
      <c r="N5991" s="186"/>
      <c r="O5991" s="13" t="s">
        <v>40080</v>
      </c>
    </row>
    <row r="5992" spans="1:15" ht="25.5" x14ac:dyDescent="0.2">
      <c r="A5992" s="197" t="str">
        <f t="shared" si="93"/>
        <v>CmlCode_chan689</v>
      </c>
      <c r="B5992" s="409"/>
      <c r="C5992" s="416"/>
      <c r="D5992" s="198" t="s">
        <v>40086</v>
      </c>
      <c r="E5992" s="198">
        <v>190</v>
      </c>
      <c r="F5992" s="199" t="s">
        <v>40087</v>
      </c>
      <c r="G5992" s="1" t="s">
        <v>40088</v>
      </c>
      <c r="H5992" s="1" t="s">
        <v>16716</v>
      </c>
      <c r="I5992" s="346"/>
      <c r="J5992" s="39">
        <v>115320</v>
      </c>
      <c r="K5992" s="36" t="str">
        <f>CONCATENATE(Cover!$D$6,"fdd/view?i=",J5992)</f>
        <v>https://www.dgiwg.org/FAD/fdd/view?i=115320</v>
      </c>
      <c r="L5992" s="36" t="s">
        <v>40089</v>
      </c>
      <c r="M5992" s="186"/>
      <c r="N5992" s="186"/>
      <c r="O5992" s="13" t="s">
        <v>40085</v>
      </c>
    </row>
    <row r="5993" spans="1:15" ht="25.5" x14ac:dyDescent="0.2">
      <c r="A5993" s="197" t="str">
        <f t="shared" si="93"/>
        <v>CmlCode_chan690</v>
      </c>
      <c r="B5993" s="409"/>
      <c r="C5993" s="416"/>
      <c r="D5993" s="198" t="s">
        <v>40091</v>
      </c>
      <c r="E5993" s="198">
        <v>191</v>
      </c>
      <c r="F5993" s="199" t="s">
        <v>40092</v>
      </c>
      <c r="G5993" s="1" t="s">
        <v>40093</v>
      </c>
      <c r="H5993" s="1" t="s">
        <v>16716</v>
      </c>
      <c r="I5993" s="346"/>
      <c r="J5993" s="39">
        <v>115321</v>
      </c>
      <c r="K5993" s="36" t="str">
        <f>CONCATENATE(Cover!$D$6,"fdd/view?i=",J5993)</f>
        <v>https://www.dgiwg.org/FAD/fdd/view?i=115321</v>
      </c>
      <c r="L5993" s="36" t="s">
        <v>40094</v>
      </c>
      <c r="M5993" s="186"/>
      <c r="N5993" s="186"/>
      <c r="O5993" s="13" t="s">
        <v>40090</v>
      </c>
    </row>
    <row r="5994" spans="1:15" ht="25.5" x14ac:dyDescent="0.2">
      <c r="A5994" s="197" t="str">
        <f t="shared" si="93"/>
        <v>CmlCode_chan691</v>
      </c>
      <c r="B5994" s="409"/>
      <c r="C5994" s="416"/>
      <c r="D5994" s="198" t="s">
        <v>40096</v>
      </c>
      <c r="E5994" s="198">
        <v>192</v>
      </c>
      <c r="F5994" s="199" t="s">
        <v>40097</v>
      </c>
      <c r="G5994" s="1" t="s">
        <v>40098</v>
      </c>
      <c r="H5994" s="1" t="s">
        <v>16716</v>
      </c>
      <c r="I5994" s="346"/>
      <c r="J5994" s="39">
        <v>115322</v>
      </c>
      <c r="K5994" s="36" t="str">
        <f>CONCATENATE(Cover!$D$6,"fdd/view?i=",J5994)</f>
        <v>https://www.dgiwg.org/FAD/fdd/view?i=115322</v>
      </c>
      <c r="L5994" s="36" t="s">
        <v>40099</v>
      </c>
      <c r="M5994" s="186"/>
      <c r="N5994" s="186"/>
      <c r="O5994" s="13" t="s">
        <v>40095</v>
      </c>
    </row>
    <row r="5995" spans="1:15" ht="25.5" x14ac:dyDescent="0.2">
      <c r="A5995" s="197" t="str">
        <f t="shared" si="93"/>
        <v>CmlCode_chan692</v>
      </c>
      <c r="B5995" s="409"/>
      <c r="C5995" s="416"/>
      <c r="D5995" s="198" t="s">
        <v>40101</v>
      </c>
      <c r="E5995" s="198">
        <v>193</v>
      </c>
      <c r="F5995" s="199" t="s">
        <v>40102</v>
      </c>
      <c r="G5995" s="1" t="s">
        <v>40103</v>
      </c>
      <c r="H5995" s="1" t="s">
        <v>16716</v>
      </c>
      <c r="I5995" s="346"/>
      <c r="J5995" s="39">
        <v>115323</v>
      </c>
      <c r="K5995" s="36" t="str">
        <f>CONCATENATE(Cover!$D$6,"fdd/view?i=",J5995)</f>
        <v>https://www.dgiwg.org/FAD/fdd/view?i=115323</v>
      </c>
      <c r="L5995" s="36" t="s">
        <v>40104</v>
      </c>
      <c r="M5995" s="186"/>
      <c r="N5995" s="186"/>
      <c r="O5995" s="13" t="s">
        <v>40100</v>
      </c>
    </row>
    <row r="5996" spans="1:15" ht="25.5" x14ac:dyDescent="0.2">
      <c r="A5996" s="197" t="str">
        <f t="shared" si="93"/>
        <v>CmlCode_chan693</v>
      </c>
      <c r="B5996" s="409"/>
      <c r="C5996" s="416"/>
      <c r="D5996" s="198" t="s">
        <v>40106</v>
      </c>
      <c r="E5996" s="198">
        <v>194</v>
      </c>
      <c r="F5996" s="199" t="s">
        <v>40107</v>
      </c>
      <c r="G5996" s="1" t="s">
        <v>40108</v>
      </c>
      <c r="H5996" s="1" t="s">
        <v>16716</v>
      </c>
      <c r="I5996" s="346"/>
      <c r="J5996" s="39">
        <v>115324</v>
      </c>
      <c r="K5996" s="36" t="str">
        <f>CONCATENATE(Cover!$D$6,"fdd/view?i=",J5996)</f>
        <v>https://www.dgiwg.org/FAD/fdd/view?i=115324</v>
      </c>
      <c r="L5996" s="36" t="s">
        <v>40109</v>
      </c>
      <c r="M5996" s="186"/>
      <c r="N5996" s="186"/>
      <c r="O5996" s="13" t="s">
        <v>40105</v>
      </c>
    </row>
    <row r="5997" spans="1:15" ht="25.5" x14ac:dyDescent="0.2">
      <c r="A5997" s="197" t="str">
        <f t="shared" si="93"/>
        <v>CmlCode_chan694</v>
      </c>
      <c r="B5997" s="409"/>
      <c r="C5997" s="416"/>
      <c r="D5997" s="198" t="s">
        <v>40111</v>
      </c>
      <c r="E5997" s="198">
        <v>195</v>
      </c>
      <c r="F5997" s="199" t="s">
        <v>40112</v>
      </c>
      <c r="G5997" s="1" t="s">
        <v>40113</v>
      </c>
      <c r="H5997" s="1" t="s">
        <v>16716</v>
      </c>
      <c r="I5997" s="346"/>
      <c r="J5997" s="39">
        <v>115325</v>
      </c>
      <c r="K5997" s="36" t="str">
        <f>CONCATENATE(Cover!$D$6,"fdd/view?i=",J5997)</f>
        <v>https://www.dgiwg.org/FAD/fdd/view?i=115325</v>
      </c>
      <c r="L5997" s="36" t="s">
        <v>40114</v>
      </c>
      <c r="M5997" s="186"/>
      <c r="N5997" s="186"/>
      <c r="O5997" s="13" t="s">
        <v>40110</v>
      </c>
    </row>
    <row r="5998" spans="1:15" ht="25.5" x14ac:dyDescent="0.2">
      <c r="A5998" s="197" t="str">
        <f t="shared" si="93"/>
        <v>CmlCode_chan695</v>
      </c>
      <c r="B5998" s="409"/>
      <c r="C5998" s="416"/>
      <c r="D5998" s="198" t="s">
        <v>40116</v>
      </c>
      <c r="E5998" s="198">
        <v>196</v>
      </c>
      <c r="F5998" s="199" t="s">
        <v>40117</v>
      </c>
      <c r="G5998" s="1" t="s">
        <v>40118</v>
      </c>
      <c r="H5998" s="1" t="s">
        <v>16716</v>
      </c>
      <c r="I5998" s="346"/>
      <c r="J5998" s="39">
        <v>115326</v>
      </c>
      <c r="K5998" s="36" t="str">
        <f>CONCATENATE(Cover!$D$6,"fdd/view?i=",J5998)</f>
        <v>https://www.dgiwg.org/FAD/fdd/view?i=115326</v>
      </c>
      <c r="L5998" s="36" t="s">
        <v>40119</v>
      </c>
      <c r="M5998" s="186"/>
      <c r="N5998" s="186"/>
      <c r="O5998" s="13" t="s">
        <v>40115</v>
      </c>
    </row>
    <row r="5999" spans="1:15" ht="25.5" x14ac:dyDescent="0.2">
      <c r="A5999" s="197" t="str">
        <f t="shared" si="93"/>
        <v>CmlCode_chan696</v>
      </c>
      <c r="B5999" s="409"/>
      <c r="C5999" s="416"/>
      <c r="D5999" s="198" t="s">
        <v>40121</v>
      </c>
      <c r="E5999" s="198">
        <v>197</v>
      </c>
      <c r="F5999" s="199" t="s">
        <v>40122</v>
      </c>
      <c r="G5999" s="1" t="s">
        <v>40123</v>
      </c>
      <c r="H5999" s="1" t="s">
        <v>16716</v>
      </c>
      <c r="I5999" s="346"/>
      <c r="J5999" s="39">
        <v>115327</v>
      </c>
      <c r="K5999" s="36" t="str">
        <f>CONCATENATE(Cover!$D$6,"fdd/view?i=",J5999)</f>
        <v>https://www.dgiwg.org/FAD/fdd/view?i=115327</v>
      </c>
      <c r="L5999" s="36" t="s">
        <v>40124</v>
      </c>
      <c r="M5999" s="186"/>
      <c r="N5999" s="186"/>
      <c r="O5999" s="13" t="s">
        <v>40120</v>
      </c>
    </row>
    <row r="6000" spans="1:15" ht="25.5" x14ac:dyDescent="0.2">
      <c r="A6000" s="197" t="str">
        <f t="shared" si="93"/>
        <v>CmlCode_chan697</v>
      </c>
      <c r="B6000" s="409"/>
      <c r="C6000" s="416"/>
      <c r="D6000" s="198" t="s">
        <v>40126</v>
      </c>
      <c r="E6000" s="198">
        <v>198</v>
      </c>
      <c r="F6000" s="199" t="s">
        <v>40127</v>
      </c>
      <c r="G6000" s="1" t="s">
        <v>40128</v>
      </c>
      <c r="H6000" s="1" t="s">
        <v>16716</v>
      </c>
      <c r="I6000" s="346"/>
      <c r="J6000" s="39">
        <v>115328</v>
      </c>
      <c r="K6000" s="36" t="str">
        <f>CONCATENATE(Cover!$D$6,"fdd/view?i=",J6000)</f>
        <v>https://www.dgiwg.org/FAD/fdd/view?i=115328</v>
      </c>
      <c r="L6000" s="36" t="s">
        <v>40129</v>
      </c>
      <c r="M6000" s="186"/>
      <c r="N6000" s="186"/>
      <c r="O6000" s="13" t="s">
        <v>40125</v>
      </c>
    </row>
    <row r="6001" spans="1:15" ht="25.5" x14ac:dyDescent="0.2">
      <c r="A6001" s="197" t="str">
        <f t="shared" si="93"/>
        <v>CmlCode_chan698</v>
      </c>
      <c r="B6001" s="409"/>
      <c r="C6001" s="416"/>
      <c r="D6001" s="198" t="s">
        <v>40131</v>
      </c>
      <c r="E6001" s="198">
        <v>199</v>
      </c>
      <c r="F6001" s="199" t="s">
        <v>40132</v>
      </c>
      <c r="G6001" s="1" t="s">
        <v>40133</v>
      </c>
      <c r="H6001" s="1" t="s">
        <v>16716</v>
      </c>
      <c r="I6001" s="346"/>
      <c r="J6001" s="39">
        <v>115329</v>
      </c>
      <c r="K6001" s="36" t="str">
        <f>CONCATENATE(Cover!$D$6,"fdd/view?i=",J6001)</f>
        <v>https://www.dgiwg.org/FAD/fdd/view?i=115329</v>
      </c>
      <c r="L6001" s="36" t="s">
        <v>40134</v>
      </c>
      <c r="M6001" s="186"/>
      <c r="N6001" s="186"/>
      <c r="O6001" s="13" t="s">
        <v>40130</v>
      </c>
    </row>
    <row r="6002" spans="1:15" ht="25.5" x14ac:dyDescent="0.2">
      <c r="A6002" s="203" t="str">
        <f t="shared" si="93"/>
        <v>CmlCode_chan699</v>
      </c>
      <c r="B6002" s="410"/>
      <c r="C6002" s="417"/>
      <c r="D6002" s="204" t="s">
        <v>40136</v>
      </c>
      <c r="E6002" s="204">
        <v>200</v>
      </c>
      <c r="F6002" s="205" t="s">
        <v>40137</v>
      </c>
      <c r="G6002" s="206" t="s">
        <v>40138</v>
      </c>
      <c r="H6002" s="206" t="s">
        <v>16716</v>
      </c>
      <c r="I6002" s="347"/>
      <c r="J6002" s="39">
        <v>115330</v>
      </c>
      <c r="K6002" s="36" t="str">
        <f>CONCATENATE(Cover!$D$6,"fdd/view?i=",J6002)</f>
        <v>https://www.dgiwg.org/FAD/fdd/view?i=115330</v>
      </c>
      <c r="L6002" s="36" t="s">
        <v>40139</v>
      </c>
      <c r="M6002" s="186"/>
      <c r="N6002" s="186"/>
      <c r="O6002" s="13" t="s">
        <v>40135</v>
      </c>
    </row>
    <row r="6003" spans="1:15" ht="38.25" x14ac:dyDescent="0.2">
      <c r="A6003" s="190" t="str">
        <f t="shared" si="93"/>
        <v>MltCode_approach</v>
      </c>
      <c r="B6003" s="414" t="str">
        <f>HYPERLINK("[#]Datatypes!A916:L916","MltCode")</f>
        <v>MltCode</v>
      </c>
      <c r="C6003" s="415" t="s">
        <v>15505</v>
      </c>
      <c r="D6003" s="221" t="s">
        <v>40140</v>
      </c>
      <c r="E6003" s="221">
        <v>2</v>
      </c>
      <c r="F6003" s="222" t="s">
        <v>40141</v>
      </c>
      <c r="G6003" s="223" t="s">
        <v>40142</v>
      </c>
      <c r="H6003" s="224"/>
      <c r="I6003" s="352" t="s">
        <v>40143</v>
      </c>
      <c r="J6003" s="39">
        <v>115345</v>
      </c>
      <c r="K6003" s="36" t="str">
        <f>CONCATENATE(Cover!$D$6,"fdd/view?i=",J6003)</f>
        <v>https://www.dgiwg.org/FAD/fdd/view?i=115345</v>
      </c>
      <c r="L6003" s="36" t="s">
        <v>40144</v>
      </c>
      <c r="M6003" s="186"/>
      <c r="N6003" s="186"/>
      <c r="O6003" s="13" t="s">
        <v>20876</v>
      </c>
    </row>
    <row r="6004" spans="1:15" ht="25.5" x14ac:dyDescent="0.2">
      <c r="A6004" s="203" t="str">
        <f t="shared" si="93"/>
        <v>MltCode_back</v>
      </c>
      <c r="B6004" s="410"/>
      <c r="C6004" s="417"/>
      <c r="D6004" s="204" t="s">
        <v>40145</v>
      </c>
      <c r="E6004" s="204">
        <v>1</v>
      </c>
      <c r="F6004" s="205" t="s">
        <v>40146</v>
      </c>
      <c r="G6004" s="206" t="s">
        <v>40147</v>
      </c>
      <c r="H6004" s="207"/>
      <c r="I6004" s="353" t="s">
        <v>20871</v>
      </c>
      <c r="J6004" s="39">
        <v>115344</v>
      </c>
      <c r="K6004" s="36" t="str">
        <f>CONCATENATE(Cover!$D$6,"fdd/view?i=",J6004)</f>
        <v>https://www.dgiwg.org/FAD/fdd/view?i=115344</v>
      </c>
      <c r="L6004" s="36" t="s">
        <v>40148</v>
      </c>
      <c r="M6004" s="186"/>
      <c r="N6004" s="186"/>
      <c r="O6004" s="13" t="s">
        <v>20869</v>
      </c>
    </row>
    <row r="6005" spans="1:15" ht="25.5" x14ac:dyDescent="0.2">
      <c r="A6005" s="190" t="str">
        <f t="shared" si="93"/>
        <v>RfrCode_economic</v>
      </c>
      <c r="B6005" s="414" t="str">
        <f>HYPERLINK("[#]Datatypes!A918:L918","RfrCode")</f>
        <v>RfrCode</v>
      </c>
      <c r="C6005" s="415" t="s">
        <v>15507</v>
      </c>
      <c r="D6005" s="221" t="s">
        <v>24265</v>
      </c>
      <c r="E6005" s="221">
        <v>1</v>
      </c>
      <c r="F6005" s="222" t="s">
        <v>24266</v>
      </c>
      <c r="G6005" s="223" t="s">
        <v>40149</v>
      </c>
      <c r="H6005" s="223" t="s">
        <v>40150</v>
      </c>
      <c r="I6005" s="345"/>
      <c r="J6005" s="39">
        <v>113736</v>
      </c>
      <c r="K6005" s="36" t="str">
        <f>CONCATENATE(Cover!$D$6,"fdd/view?i=",J6005)</f>
        <v>https://www.dgiwg.org/FAD/fdd/view?i=113736</v>
      </c>
      <c r="L6005" s="36" t="s">
        <v>40151</v>
      </c>
      <c r="M6005" s="186"/>
      <c r="N6005" s="186"/>
      <c r="O6005" s="172"/>
    </row>
    <row r="6006" spans="1:15" ht="25.5" x14ac:dyDescent="0.2">
      <c r="A6006" s="197" t="str">
        <f t="shared" si="93"/>
        <v>RfrCode_humanitarianDisaster</v>
      </c>
      <c r="B6006" s="409"/>
      <c r="C6006" s="416"/>
      <c r="D6006" s="198" t="s">
        <v>40152</v>
      </c>
      <c r="E6006" s="198">
        <v>2</v>
      </c>
      <c r="F6006" s="199" t="s">
        <v>40153</v>
      </c>
      <c r="G6006" s="1" t="s">
        <v>40154</v>
      </c>
      <c r="H6006" s="1" t="s">
        <v>40155</v>
      </c>
      <c r="I6006" s="346"/>
      <c r="J6006" s="39">
        <v>113737</v>
      </c>
      <c r="K6006" s="36" t="str">
        <f>CONCATENATE(Cover!$D$6,"fdd/view?i=",J6006)</f>
        <v>https://www.dgiwg.org/FAD/fdd/view?i=113737</v>
      </c>
      <c r="L6006" s="36" t="s">
        <v>40156</v>
      </c>
      <c r="M6006" s="186"/>
      <c r="N6006" s="186"/>
      <c r="O6006" s="172"/>
    </row>
    <row r="6007" spans="1:15" ht="25.5" x14ac:dyDescent="0.2">
      <c r="A6007" s="197" t="str">
        <f t="shared" si="93"/>
        <v>RfrCode_naturalDisaster</v>
      </c>
      <c r="B6007" s="409"/>
      <c r="C6007" s="416"/>
      <c r="D6007" s="198" t="s">
        <v>40157</v>
      </c>
      <c r="E6007" s="198">
        <v>3</v>
      </c>
      <c r="F6007" s="199" t="s">
        <v>40158</v>
      </c>
      <c r="G6007" s="1" t="s">
        <v>40159</v>
      </c>
      <c r="H6007" s="1" t="s">
        <v>40160</v>
      </c>
      <c r="I6007" s="346"/>
      <c r="J6007" s="39">
        <v>113738</v>
      </c>
      <c r="K6007" s="36" t="str">
        <f>CONCATENATE(Cover!$D$6,"fdd/view?i=",J6007)</f>
        <v>https://www.dgiwg.org/FAD/fdd/view?i=113738</v>
      </c>
      <c r="L6007" s="36" t="s">
        <v>40161</v>
      </c>
      <c r="M6007" s="186"/>
      <c r="N6007" s="186"/>
      <c r="O6007" s="172"/>
    </row>
    <row r="6008" spans="1:15" x14ac:dyDescent="0.2">
      <c r="A6008" s="197" t="str">
        <f t="shared" si="93"/>
        <v>RfrCode_persecution</v>
      </c>
      <c r="B6008" s="409"/>
      <c r="C6008" s="416"/>
      <c r="D6008" s="198" t="s">
        <v>40162</v>
      </c>
      <c r="E6008" s="198">
        <v>6</v>
      </c>
      <c r="F6008" s="199" t="s">
        <v>40163</v>
      </c>
      <c r="G6008" s="1" t="s">
        <v>40164</v>
      </c>
      <c r="H6008" s="1" t="s">
        <v>40165</v>
      </c>
      <c r="I6008" s="346"/>
      <c r="J6008" s="39">
        <v>113741</v>
      </c>
      <c r="K6008" s="36" t="str">
        <f>CONCATENATE(Cover!$D$6,"fdd/view?i=",J6008)</f>
        <v>https://www.dgiwg.org/FAD/fdd/view?i=113741</v>
      </c>
      <c r="L6008" s="36" t="s">
        <v>40166</v>
      </c>
      <c r="M6008" s="186"/>
      <c r="N6008" s="186"/>
      <c r="O6008" s="172"/>
    </row>
    <row r="6009" spans="1:15" x14ac:dyDescent="0.2">
      <c r="A6009" s="197" t="str">
        <f t="shared" si="93"/>
        <v>RfrCode_political</v>
      </c>
      <c r="B6009" s="409"/>
      <c r="C6009" s="416"/>
      <c r="D6009" s="198" t="s">
        <v>26430</v>
      </c>
      <c r="E6009" s="198">
        <v>4</v>
      </c>
      <c r="F6009" s="199" t="s">
        <v>26431</v>
      </c>
      <c r="G6009" s="1" t="s">
        <v>40167</v>
      </c>
      <c r="H6009" s="1" t="s">
        <v>40168</v>
      </c>
      <c r="I6009" s="346"/>
      <c r="J6009" s="39">
        <v>113739</v>
      </c>
      <c r="K6009" s="36" t="str">
        <f>CONCATENATE(Cover!$D$6,"fdd/view?i=",J6009)</f>
        <v>https://www.dgiwg.org/FAD/fdd/view?i=113739</v>
      </c>
      <c r="L6009" s="36" t="s">
        <v>40169</v>
      </c>
      <c r="M6009" s="186"/>
      <c r="N6009" s="186"/>
      <c r="O6009" s="172"/>
    </row>
    <row r="6010" spans="1:15" x14ac:dyDescent="0.2">
      <c r="A6010" s="203" t="str">
        <f t="shared" si="93"/>
        <v>RfrCode_religious</v>
      </c>
      <c r="B6010" s="410"/>
      <c r="C6010" s="417"/>
      <c r="D6010" s="204" t="s">
        <v>26434</v>
      </c>
      <c r="E6010" s="204">
        <v>5</v>
      </c>
      <c r="F6010" s="205" t="s">
        <v>26435</v>
      </c>
      <c r="G6010" s="206" t="s">
        <v>40170</v>
      </c>
      <c r="H6010" s="207"/>
      <c r="I6010" s="347"/>
      <c r="J6010" s="39">
        <v>113740</v>
      </c>
      <c r="K6010" s="36" t="str">
        <f>CONCATENATE(Cover!$D$6,"fdd/view?i=",J6010)</f>
        <v>https://www.dgiwg.org/FAD/fdd/view?i=113740</v>
      </c>
      <c r="L6010" s="36" t="s">
        <v>40171</v>
      </c>
      <c r="M6010" s="186"/>
      <c r="N6010" s="186"/>
      <c r="O6010" s="172"/>
    </row>
    <row r="6011" spans="1:15" x14ac:dyDescent="0.2">
      <c r="A6011" s="190" t="str">
        <f t="shared" si="93"/>
        <v>RfmCode_aircraft</v>
      </c>
      <c r="B6011" s="414" t="str">
        <f>HYPERLINK("[#]Datatypes!A920:L920","RfmCode")</f>
        <v>RfmCode</v>
      </c>
      <c r="C6011" s="415" t="s">
        <v>15509</v>
      </c>
      <c r="D6011" s="221" t="s">
        <v>26569</v>
      </c>
      <c r="E6011" s="221">
        <v>1</v>
      </c>
      <c r="F6011" s="222" t="s">
        <v>26570</v>
      </c>
      <c r="G6011" s="223" t="s">
        <v>40172</v>
      </c>
      <c r="H6011" s="224"/>
      <c r="I6011" s="345"/>
      <c r="J6011" s="39">
        <v>113726</v>
      </c>
      <c r="K6011" s="36" t="str">
        <f>CONCATENATE(Cover!$D$6,"fdd/view?i=",J6011)</f>
        <v>https://www.dgiwg.org/FAD/fdd/view?i=113726</v>
      </c>
      <c r="L6011" s="36" t="s">
        <v>40173</v>
      </c>
      <c r="M6011" s="186"/>
      <c r="N6011" s="186"/>
      <c r="O6011" s="172"/>
    </row>
    <row r="6012" spans="1:15" ht="25.5" x14ac:dyDescent="0.2">
      <c r="A6012" s="197" t="str">
        <f t="shared" si="93"/>
        <v>RfmCode_animalDrawnVehicle</v>
      </c>
      <c r="B6012" s="409"/>
      <c r="C6012" s="416"/>
      <c r="D6012" s="198" t="s">
        <v>40174</v>
      </c>
      <c r="E6012" s="198">
        <v>3</v>
      </c>
      <c r="F6012" s="199" t="s">
        <v>40175</v>
      </c>
      <c r="G6012" s="1" t="s">
        <v>40176</v>
      </c>
      <c r="H6012" s="200"/>
      <c r="I6012" s="346"/>
      <c r="J6012" s="39">
        <v>113728</v>
      </c>
      <c r="K6012" s="36" t="str">
        <f>CONCATENATE(Cover!$D$6,"fdd/view?i=",J6012)</f>
        <v>https://www.dgiwg.org/FAD/fdd/view?i=113728</v>
      </c>
      <c r="L6012" s="36" t="s">
        <v>40177</v>
      </c>
      <c r="M6012" s="186"/>
      <c r="N6012" s="186"/>
      <c r="O6012" s="172"/>
    </row>
    <row r="6013" spans="1:15" ht="25.5" x14ac:dyDescent="0.2">
      <c r="A6013" s="197" t="str">
        <f t="shared" si="93"/>
        <v>RfmCode_bicycle</v>
      </c>
      <c r="B6013" s="409"/>
      <c r="C6013" s="416"/>
      <c r="D6013" s="198" t="s">
        <v>40178</v>
      </c>
      <c r="E6013" s="198">
        <v>10</v>
      </c>
      <c r="F6013" s="199" t="s">
        <v>40179</v>
      </c>
      <c r="G6013" s="1" t="s">
        <v>40180</v>
      </c>
      <c r="H6013" s="200"/>
      <c r="I6013" s="346"/>
      <c r="J6013" s="39">
        <v>113735</v>
      </c>
      <c r="K6013" s="36" t="str">
        <f>CONCATENATE(Cover!$D$6,"fdd/view?i=",J6013)</f>
        <v>https://www.dgiwg.org/FAD/fdd/view?i=113735</v>
      </c>
      <c r="L6013" s="36" t="s">
        <v>40181</v>
      </c>
      <c r="M6013" s="186"/>
      <c r="N6013" s="186"/>
      <c r="O6013" s="172"/>
    </row>
    <row r="6014" spans="1:15" ht="25.5" x14ac:dyDescent="0.2">
      <c r="A6014" s="197" t="str">
        <f t="shared" si="93"/>
        <v>RfmCode_bus</v>
      </c>
      <c r="B6014" s="409"/>
      <c r="C6014" s="416"/>
      <c r="D6014" s="198" t="s">
        <v>40182</v>
      </c>
      <c r="E6014" s="198">
        <v>4</v>
      </c>
      <c r="F6014" s="199" t="s">
        <v>40183</v>
      </c>
      <c r="G6014" s="1" t="s">
        <v>40184</v>
      </c>
      <c r="H6014" s="200"/>
      <c r="I6014" s="346"/>
      <c r="J6014" s="39">
        <v>113729</v>
      </c>
      <c r="K6014" s="36" t="str">
        <f>CONCATENATE(Cover!$D$6,"fdd/view?i=",J6014)</f>
        <v>https://www.dgiwg.org/FAD/fdd/view?i=113729</v>
      </c>
      <c r="L6014" s="36" t="s">
        <v>40185</v>
      </c>
      <c r="M6014" s="186"/>
      <c r="N6014" s="186"/>
      <c r="O6014" s="172"/>
    </row>
    <row r="6015" spans="1:15" ht="25.5" x14ac:dyDescent="0.2">
      <c r="A6015" s="197" t="str">
        <f t="shared" si="93"/>
        <v>RfmCode_car</v>
      </c>
      <c r="B6015" s="409"/>
      <c r="C6015" s="416"/>
      <c r="D6015" s="198" t="s">
        <v>40186</v>
      </c>
      <c r="E6015" s="198">
        <v>7</v>
      </c>
      <c r="F6015" s="199" t="s">
        <v>40187</v>
      </c>
      <c r="G6015" s="1" t="s">
        <v>40188</v>
      </c>
      <c r="H6015" s="200"/>
      <c r="I6015" s="346"/>
      <c r="J6015" s="39">
        <v>113732</v>
      </c>
      <c r="K6015" s="36" t="str">
        <f>CONCATENATE(Cover!$D$6,"fdd/view?i=",J6015)</f>
        <v>https://www.dgiwg.org/FAD/fdd/view?i=113732</v>
      </c>
      <c r="L6015" s="36" t="s">
        <v>40189</v>
      </c>
      <c r="M6015" s="186"/>
      <c r="N6015" s="186"/>
      <c r="O6015" s="172"/>
    </row>
    <row r="6016" spans="1:15" x14ac:dyDescent="0.2">
      <c r="A6016" s="197" t="str">
        <f t="shared" si="93"/>
        <v>RfmCode_lorry</v>
      </c>
      <c r="B6016" s="409"/>
      <c r="C6016" s="416"/>
      <c r="D6016" s="198" t="s">
        <v>40190</v>
      </c>
      <c r="E6016" s="198">
        <v>5</v>
      </c>
      <c r="F6016" s="199" t="s">
        <v>40191</v>
      </c>
      <c r="G6016" s="1" t="s">
        <v>40192</v>
      </c>
      <c r="H6016" s="200"/>
      <c r="I6016" s="351" t="s">
        <v>40193</v>
      </c>
      <c r="J6016" s="39">
        <v>113730</v>
      </c>
      <c r="K6016" s="36" t="str">
        <f>CONCATENATE(Cover!$D$6,"fdd/view?i=",J6016)</f>
        <v>https://www.dgiwg.org/FAD/fdd/view?i=113730</v>
      </c>
      <c r="L6016" s="36" t="s">
        <v>40194</v>
      </c>
      <c r="M6016" s="186"/>
      <c r="N6016" s="186"/>
      <c r="O6016" s="172"/>
    </row>
    <row r="6017" spans="1:15" x14ac:dyDescent="0.2">
      <c r="A6017" s="197" t="str">
        <f t="shared" si="93"/>
        <v>RfmCode_onFoot</v>
      </c>
      <c r="B6017" s="409"/>
      <c r="C6017" s="416"/>
      <c r="D6017" s="198" t="s">
        <v>37788</v>
      </c>
      <c r="E6017" s="198">
        <v>6</v>
      </c>
      <c r="F6017" s="199" t="s">
        <v>37789</v>
      </c>
      <c r="G6017" s="1" t="s">
        <v>40195</v>
      </c>
      <c r="H6017" s="200"/>
      <c r="I6017" s="346"/>
      <c r="J6017" s="39">
        <v>113731</v>
      </c>
      <c r="K6017" s="36" t="str">
        <f>CONCATENATE(Cover!$D$6,"fdd/view?i=",J6017)</f>
        <v>https://www.dgiwg.org/FAD/fdd/view?i=113731</v>
      </c>
      <c r="L6017" s="36" t="s">
        <v>40196</v>
      </c>
      <c r="M6017" s="186"/>
      <c r="N6017" s="186"/>
      <c r="O6017" s="172"/>
    </row>
    <row r="6018" spans="1:15" x14ac:dyDescent="0.2">
      <c r="A6018" s="197" t="str">
        <f t="shared" ref="A6018:A6081" si="94">HYPERLINK(K6018,L6018)</f>
        <v>RfmCode_ridingAnimal</v>
      </c>
      <c r="B6018" s="409"/>
      <c r="C6018" s="416"/>
      <c r="D6018" s="198" t="s">
        <v>40197</v>
      </c>
      <c r="E6018" s="198">
        <v>2</v>
      </c>
      <c r="F6018" s="199" t="s">
        <v>40198</v>
      </c>
      <c r="G6018" s="1" t="s">
        <v>40199</v>
      </c>
      <c r="H6018" s="1" t="s">
        <v>40200</v>
      </c>
      <c r="I6018" s="346"/>
      <c r="J6018" s="39">
        <v>113727</v>
      </c>
      <c r="K6018" s="36" t="str">
        <f>CONCATENATE(Cover!$D$6,"fdd/view?i=",J6018)</f>
        <v>https://www.dgiwg.org/FAD/fdd/view?i=113727</v>
      </c>
      <c r="L6018" s="36" t="s">
        <v>40201</v>
      </c>
      <c r="M6018" s="186"/>
      <c r="N6018" s="186"/>
      <c r="O6018" s="172"/>
    </row>
    <row r="6019" spans="1:15" x14ac:dyDescent="0.2">
      <c r="A6019" s="197" t="str">
        <f t="shared" si="94"/>
        <v>RfmCode_train</v>
      </c>
      <c r="B6019" s="409"/>
      <c r="C6019" s="416"/>
      <c r="D6019" s="198" t="s">
        <v>40202</v>
      </c>
      <c r="E6019" s="198">
        <v>8</v>
      </c>
      <c r="F6019" s="199" t="s">
        <v>40203</v>
      </c>
      <c r="G6019" s="1" t="s">
        <v>40204</v>
      </c>
      <c r="H6019" s="200"/>
      <c r="I6019" s="346"/>
      <c r="J6019" s="39">
        <v>113733</v>
      </c>
      <c r="K6019" s="36" t="str">
        <f>CONCATENATE(Cover!$D$6,"fdd/view?i=",J6019)</f>
        <v>https://www.dgiwg.org/FAD/fdd/view?i=113733</v>
      </c>
      <c r="L6019" s="36" t="s">
        <v>40205</v>
      </c>
      <c r="M6019" s="186"/>
      <c r="N6019" s="186"/>
      <c r="O6019" s="172"/>
    </row>
    <row r="6020" spans="1:15" x14ac:dyDescent="0.2">
      <c r="A6020" s="203" t="str">
        <f t="shared" si="94"/>
        <v>RfmCode_watercraft</v>
      </c>
      <c r="B6020" s="410"/>
      <c r="C6020" s="417"/>
      <c r="D6020" s="204" t="s">
        <v>40206</v>
      </c>
      <c r="E6020" s="204">
        <v>9</v>
      </c>
      <c r="F6020" s="205" t="s">
        <v>40207</v>
      </c>
      <c r="G6020" s="206" t="s">
        <v>40208</v>
      </c>
      <c r="H6020" s="207"/>
      <c r="I6020" s="347"/>
      <c r="J6020" s="39">
        <v>113734</v>
      </c>
      <c r="K6020" s="36" t="str">
        <f>CONCATENATE(Cover!$D$6,"fdd/view?i=",J6020)</f>
        <v>https://www.dgiwg.org/FAD/fdd/view?i=113734</v>
      </c>
      <c r="L6020" s="36" t="s">
        <v>40209</v>
      </c>
      <c r="M6020" s="186"/>
      <c r="N6020" s="186"/>
      <c r="O6020" s="172"/>
    </row>
    <row r="6021" spans="1:15" x14ac:dyDescent="0.2">
      <c r="A6021" s="190" t="str">
        <f t="shared" si="94"/>
        <v>DmlCode_heavy</v>
      </c>
      <c r="B6021" s="414" t="str">
        <f>HYPERLINK("[#]Datatypes!A922:L922","DmlCode")</f>
        <v>DmlCode</v>
      </c>
      <c r="C6021" s="415" t="s">
        <v>15511</v>
      </c>
      <c r="D6021" s="221" t="s">
        <v>30105</v>
      </c>
      <c r="E6021" s="221">
        <v>3</v>
      </c>
      <c r="F6021" s="222" t="s">
        <v>30106</v>
      </c>
      <c r="G6021" s="223" t="s">
        <v>40210</v>
      </c>
      <c r="H6021" s="224"/>
      <c r="I6021" s="345"/>
      <c r="J6021" s="39">
        <v>114432</v>
      </c>
      <c r="K6021" s="36" t="str">
        <f>CONCATENATE(Cover!$D$6,"fdd/view?i=",J6021)</f>
        <v>https://www.dgiwg.org/FAD/fdd/view?i=114432</v>
      </c>
      <c r="L6021" s="36" t="s">
        <v>40211</v>
      </c>
      <c r="M6021" s="186"/>
      <c r="N6021" s="186"/>
      <c r="O6021" s="172"/>
    </row>
    <row r="6022" spans="1:15" x14ac:dyDescent="0.2">
      <c r="A6022" s="197" t="str">
        <f t="shared" si="94"/>
        <v>DmlCode_light</v>
      </c>
      <c r="B6022" s="409"/>
      <c r="C6022" s="416"/>
      <c r="D6022" s="198" t="s">
        <v>30109</v>
      </c>
      <c r="E6022" s="198">
        <v>1</v>
      </c>
      <c r="F6022" s="199" t="s">
        <v>30110</v>
      </c>
      <c r="G6022" s="1" t="s">
        <v>40212</v>
      </c>
      <c r="H6022" s="200"/>
      <c r="I6022" s="346"/>
      <c r="J6022" s="39">
        <v>114430</v>
      </c>
      <c r="K6022" s="36" t="str">
        <f>CONCATENATE(Cover!$D$6,"fdd/view?i=",J6022)</f>
        <v>https://www.dgiwg.org/FAD/fdd/view?i=114430</v>
      </c>
      <c r="L6022" s="36" t="s">
        <v>40213</v>
      </c>
      <c r="M6022" s="186"/>
      <c r="N6022" s="186"/>
      <c r="O6022" s="172"/>
    </row>
    <row r="6023" spans="1:15" x14ac:dyDescent="0.2">
      <c r="A6023" s="197" t="str">
        <f t="shared" si="94"/>
        <v>DmlCode_medium</v>
      </c>
      <c r="B6023" s="409"/>
      <c r="C6023" s="416"/>
      <c r="D6023" s="198" t="s">
        <v>37187</v>
      </c>
      <c r="E6023" s="198">
        <v>2</v>
      </c>
      <c r="F6023" s="199" t="s">
        <v>37188</v>
      </c>
      <c r="G6023" s="1" t="s">
        <v>40214</v>
      </c>
      <c r="H6023" s="200"/>
      <c r="I6023" s="346"/>
      <c r="J6023" s="39">
        <v>114431</v>
      </c>
      <c r="K6023" s="36" t="str">
        <f>CONCATENATE(Cover!$D$6,"fdd/view?i=",J6023)</f>
        <v>https://www.dgiwg.org/FAD/fdd/view?i=114431</v>
      </c>
      <c r="L6023" s="36" t="s">
        <v>40215</v>
      </c>
      <c r="M6023" s="186"/>
      <c r="N6023" s="186"/>
      <c r="O6023" s="172"/>
    </row>
    <row r="6024" spans="1:15" x14ac:dyDescent="0.2">
      <c r="A6024" s="203" t="str">
        <f t="shared" si="94"/>
        <v>DmlCode_veryHeavy</v>
      </c>
      <c r="B6024" s="410"/>
      <c r="C6024" s="417"/>
      <c r="D6024" s="204" t="s">
        <v>40216</v>
      </c>
      <c r="E6024" s="204">
        <v>4</v>
      </c>
      <c r="F6024" s="205" t="s">
        <v>40217</v>
      </c>
      <c r="G6024" s="206" t="s">
        <v>40218</v>
      </c>
      <c r="H6024" s="207"/>
      <c r="I6024" s="347"/>
      <c r="J6024" s="39">
        <v>114433</v>
      </c>
      <c r="K6024" s="36" t="str">
        <f>CONCATENATE(Cover!$D$6,"fdd/view?i=",J6024)</f>
        <v>https://www.dgiwg.org/FAD/fdd/view?i=114433</v>
      </c>
      <c r="L6024" s="36" t="s">
        <v>40219</v>
      </c>
      <c r="M6024" s="186"/>
      <c r="N6024" s="186"/>
      <c r="O6024" s="172"/>
    </row>
    <row r="6025" spans="1:15" ht="38.25" x14ac:dyDescent="0.2">
      <c r="A6025" s="190" t="str">
        <f t="shared" si="94"/>
        <v>XafCode_deployedOperatingBase</v>
      </c>
      <c r="B6025" s="414" t="str">
        <f>HYPERLINK("[#]Datatypes!A924:L924","XafCode")</f>
        <v>XafCode</v>
      </c>
      <c r="C6025" s="415" t="s">
        <v>15513</v>
      </c>
      <c r="D6025" s="221" t="s">
        <v>40220</v>
      </c>
      <c r="E6025" s="221">
        <v>1</v>
      </c>
      <c r="F6025" s="222" t="s">
        <v>40221</v>
      </c>
      <c r="G6025" s="223" t="s">
        <v>40222</v>
      </c>
      <c r="H6025" s="224"/>
      <c r="I6025" s="345"/>
      <c r="J6025" s="39">
        <v>119736</v>
      </c>
      <c r="K6025" s="36" t="str">
        <f>CONCATENATE(Cover!$D$6,"fdd/view?i=",J6025)</f>
        <v>https://www.dgiwg.org/FAD/fdd/view?i=119736</v>
      </c>
      <c r="L6025" s="36" t="s">
        <v>40223</v>
      </c>
      <c r="M6025" s="186"/>
      <c r="N6025" s="186"/>
      <c r="O6025" s="172"/>
    </row>
    <row r="6026" spans="1:15" ht="25.5" x14ac:dyDescent="0.2">
      <c r="A6026" s="203" t="str">
        <f t="shared" si="94"/>
        <v>XafCode_mainOperatingBase</v>
      </c>
      <c r="B6026" s="410"/>
      <c r="C6026" s="417"/>
      <c r="D6026" s="204" t="s">
        <v>40224</v>
      </c>
      <c r="E6026" s="204">
        <v>2</v>
      </c>
      <c r="F6026" s="205" t="s">
        <v>40225</v>
      </c>
      <c r="G6026" s="206" t="s">
        <v>40226</v>
      </c>
      <c r="H6026" s="206" t="s">
        <v>40227</v>
      </c>
      <c r="I6026" s="347"/>
      <c r="J6026" s="39">
        <v>119737</v>
      </c>
      <c r="K6026" s="36" t="str">
        <f>CONCATENATE(Cover!$D$6,"fdd/view?i=",J6026)</f>
        <v>https://www.dgiwg.org/FAD/fdd/view?i=119737</v>
      </c>
      <c r="L6026" s="36" t="s">
        <v>40228</v>
      </c>
      <c r="M6026" s="186"/>
      <c r="N6026" s="186"/>
      <c r="O6026" s="172"/>
    </row>
    <row r="6027" spans="1:15" ht="51" x14ac:dyDescent="0.2">
      <c r="A6027" s="190" t="str">
        <f t="shared" si="94"/>
        <v>CcgCode_biological</v>
      </c>
      <c r="B6027" s="414" t="str">
        <f>HYPERLINK("[#]Datatypes!A926:L926","CcgCode")</f>
        <v>CcgCode</v>
      </c>
      <c r="C6027" s="415" t="s">
        <v>15515</v>
      </c>
      <c r="D6027" s="221" t="s">
        <v>35043</v>
      </c>
      <c r="E6027" s="221">
        <v>1</v>
      </c>
      <c r="F6027" s="222" t="s">
        <v>35044</v>
      </c>
      <c r="G6027" s="223" t="s">
        <v>40229</v>
      </c>
      <c r="H6027" s="223" t="s">
        <v>40230</v>
      </c>
      <c r="I6027" s="345"/>
      <c r="J6027" s="39">
        <v>118066</v>
      </c>
      <c r="K6027" s="36" t="str">
        <f>CONCATENATE(Cover!$D$6,"fdd/view?i=",J6027)</f>
        <v>https://www.dgiwg.org/FAD/fdd/view?i=118066</v>
      </c>
      <c r="L6027" s="36" t="s">
        <v>40231</v>
      </c>
      <c r="M6027" s="186"/>
      <c r="N6027" s="186"/>
      <c r="O6027" s="172"/>
    </row>
    <row r="6028" spans="1:15" ht="38.25" x14ac:dyDescent="0.2">
      <c r="A6028" s="197" t="str">
        <f t="shared" si="94"/>
        <v>CcgCode_chemical</v>
      </c>
      <c r="B6028" s="409"/>
      <c r="C6028" s="416"/>
      <c r="D6028" s="198" t="s">
        <v>40232</v>
      </c>
      <c r="E6028" s="198">
        <v>2</v>
      </c>
      <c r="F6028" s="199" t="s">
        <v>40233</v>
      </c>
      <c r="G6028" s="1" t="s">
        <v>40234</v>
      </c>
      <c r="H6028" s="1" t="s">
        <v>40235</v>
      </c>
      <c r="I6028" s="346"/>
      <c r="J6028" s="39">
        <v>118067</v>
      </c>
      <c r="K6028" s="36" t="str">
        <f>CONCATENATE(Cover!$D$6,"fdd/view?i=",J6028)</f>
        <v>https://www.dgiwg.org/FAD/fdd/view?i=118067</v>
      </c>
      <c r="L6028" s="36" t="s">
        <v>40236</v>
      </c>
      <c r="M6028" s="186"/>
      <c r="N6028" s="186"/>
      <c r="O6028" s="172"/>
    </row>
    <row r="6029" spans="1:15" ht="102" x14ac:dyDescent="0.2">
      <c r="A6029" s="197" t="str">
        <f t="shared" si="94"/>
        <v>CcgCode_nuclearRadiological</v>
      </c>
      <c r="B6029" s="409"/>
      <c r="C6029" s="416"/>
      <c r="D6029" s="198" t="s">
        <v>40237</v>
      </c>
      <c r="E6029" s="198">
        <v>3</v>
      </c>
      <c r="F6029" s="199" t="s">
        <v>40238</v>
      </c>
      <c r="G6029" s="1" t="s">
        <v>40239</v>
      </c>
      <c r="H6029" s="1" t="s">
        <v>40240</v>
      </c>
      <c r="I6029" s="346"/>
      <c r="J6029" s="39">
        <v>118068</v>
      </c>
      <c r="K6029" s="36" t="str">
        <f>CONCATENATE(Cover!$D$6,"fdd/view?i=",J6029)</f>
        <v>https://www.dgiwg.org/FAD/fdd/view?i=118068</v>
      </c>
      <c r="L6029" s="36" t="s">
        <v>40241</v>
      </c>
      <c r="M6029" s="186"/>
      <c r="N6029" s="186"/>
      <c r="O6029" s="172"/>
    </row>
    <row r="6030" spans="1:15" ht="63.75" x14ac:dyDescent="0.2">
      <c r="A6030" s="203" t="str">
        <f t="shared" si="94"/>
        <v>CcgCode_thermal</v>
      </c>
      <c r="B6030" s="410"/>
      <c r="C6030" s="417"/>
      <c r="D6030" s="204" t="s">
        <v>40242</v>
      </c>
      <c r="E6030" s="204">
        <v>4</v>
      </c>
      <c r="F6030" s="205" t="s">
        <v>40243</v>
      </c>
      <c r="G6030" s="206" t="s">
        <v>40244</v>
      </c>
      <c r="H6030" s="206" t="s">
        <v>40245</v>
      </c>
      <c r="I6030" s="347"/>
      <c r="J6030" s="39">
        <v>118069</v>
      </c>
      <c r="K6030" s="36" t="str">
        <f>CONCATENATE(Cover!$D$6,"fdd/view?i=",J6030)</f>
        <v>https://www.dgiwg.org/FAD/fdd/view?i=118069</v>
      </c>
      <c r="L6030" s="36" t="s">
        <v>40246</v>
      </c>
      <c r="M6030" s="186"/>
      <c r="N6030" s="186"/>
      <c r="O6030" s="172"/>
    </row>
    <row r="6031" spans="1:15" ht="25.5" x14ac:dyDescent="0.2">
      <c r="A6031" s="190" t="str">
        <f t="shared" si="94"/>
        <v>MfcCode_armory</v>
      </c>
      <c r="B6031" s="414" t="str">
        <f>HYPERLINK("[#]Datatypes!A928:L928","MfcCode")</f>
        <v>MfcCode</v>
      </c>
      <c r="C6031" s="415" t="s">
        <v>15517</v>
      </c>
      <c r="D6031" s="221" t="s">
        <v>30468</v>
      </c>
      <c r="E6031" s="221">
        <v>6</v>
      </c>
      <c r="F6031" s="222" t="s">
        <v>30469</v>
      </c>
      <c r="G6031" s="223" t="s">
        <v>40247</v>
      </c>
      <c r="H6031" s="224"/>
      <c r="I6031" s="345"/>
      <c r="J6031" s="39">
        <v>105637</v>
      </c>
      <c r="K6031" s="36" t="str">
        <f>CONCATENATE(Cover!$D$6,"fdd/view?i=",J6031)</f>
        <v>https://www.dgiwg.org/FAD/fdd/view?i=105637</v>
      </c>
      <c r="L6031" s="36" t="s">
        <v>40248</v>
      </c>
      <c r="M6031" s="186"/>
      <c r="N6031" s="186"/>
      <c r="O6031" s="172"/>
    </row>
    <row r="6032" spans="1:15" ht="38.25" x14ac:dyDescent="0.2">
      <c r="A6032" s="197" t="str">
        <f t="shared" si="94"/>
        <v>MfcCode_barracks</v>
      </c>
      <c r="B6032" s="409"/>
      <c r="C6032" s="416"/>
      <c r="D6032" s="198" t="s">
        <v>40249</v>
      </c>
      <c r="E6032" s="198">
        <v>12</v>
      </c>
      <c r="F6032" s="199" t="s">
        <v>40250</v>
      </c>
      <c r="G6032" s="1" t="s">
        <v>40251</v>
      </c>
      <c r="H6032" s="200"/>
      <c r="I6032" s="346"/>
      <c r="J6032" s="39">
        <v>105643</v>
      </c>
      <c r="K6032" s="36" t="str">
        <f>CONCATENATE(Cover!$D$6,"fdd/view?i=",J6032)</f>
        <v>https://www.dgiwg.org/FAD/fdd/view?i=105643</v>
      </c>
      <c r="L6032" s="36" t="s">
        <v>40252</v>
      </c>
      <c r="M6032" s="186"/>
      <c r="N6032" s="186"/>
      <c r="O6032" s="172"/>
    </row>
    <row r="6033" spans="1:15" x14ac:dyDescent="0.2">
      <c r="A6033" s="197" t="str">
        <f t="shared" si="94"/>
        <v>MfcCode_battery</v>
      </c>
      <c r="B6033" s="409"/>
      <c r="C6033" s="416"/>
      <c r="D6033" s="198" t="s">
        <v>29363</v>
      </c>
      <c r="E6033" s="198">
        <v>5</v>
      </c>
      <c r="F6033" s="199" t="s">
        <v>29364</v>
      </c>
      <c r="G6033" s="1" t="s">
        <v>40253</v>
      </c>
      <c r="H6033" s="200"/>
      <c r="I6033" s="346"/>
      <c r="J6033" s="39">
        <v>105636</v>
      </c>
      <c r="K6033" s="36" t="str">
        <f>CONCATENATE(Cover!$D$6,"fdd/view?i=",J6033)</f>
        <v>https://www.dgiwg.org/FAD/fdd/view?i=105636</v>
      </c>
      <c r="L6033" s="36" t="s">
        <v>40254</v>
      </c>
      <c r="M6033" s="186"/>
      <c r="N6033" s="186"/>
      <c r="O6033" s="172"/>
    </row>
    <row r="6034" spans="1:15" x14ac:dyDescent="0.2">
      <c r="A6034" s="197" t="str">
        <f t="shared" si="94"/>
        <v>MfcCode_blockhouse</v>
      </c>
      <c r="B6034" s="409"/>
      <c r="C6034" s="416"/>
      <c r="D6034" s="198" t="s">
        <v>32304</v>
      </c>
      <c r="E6034" s="198">
        <v>8</v>
      </c>
      <c r="F6034" s="199" t="s">
        <v>32305</v>
      </c>
      <c r="G6034" s="1" t="s">
        <v>32306</v>
      </c>
      <c r="H6034" s="1" t="s">
        <v>40255</v>
      </c>
      <c r="I6034" s="346"/>
      <c r="J6034" s="39">
        <v>105639</v>
      </c>
      <c r="K6034" s="36" t="str">
        <f>CONCATENATE(Cover!$D$6,"fdd/view?i=",J6034)</f>
        <v>https://www.dgiwg.org/FAD/fdd/view?i=105639</v>
      </c>
      <c r="L6034" s="36" t="s">
        <v>40256</v>
      </c>
      <c r="M6034" s="186"/>
      <c r="N6034" s="186"/>
      <c r="O6034" s="172"/>
    </row>
    <row r="6035" spans="1:15" ht="25.5" x14ac:dyDescent="0.2">
      <c r="A6035" s="197" t="str">
        <f t="shared" si="94"/>
        <v>MfcCode_castle</v>
      </c>
      <c r="B6035" s="409"/>
      <c r="C6035" s="416"/>
      <c r="D6035" s="198" t="s">
        <v>27772</v>
      </c>
      <c r="E6035" s="198">
        <v>16</v>
      </c>
      <c r="F6035" s="199" t="s">
        <v>2437</v>
      </c>
      <c r="G6035" s="1" t="s">
        <v>40257</v>
      </c>
      <c r="H6035" s="1" t="s">
        <v>40258</v>
      </c>
      <c r="I6035" s="346"/>
      <c r="J6035" s="39">
        <v>112743</v>
      </c>
      <c r="K6035" s="36" t="str">
        <f>CONCATENATE(Cover!$D$6,"fdd/view?i=",J6035)</f>
        <v>https://www.dgiwg.org/FAD/fdd/view?i=112743</v>
      </c>
      <c r="L6035" s="36" t="s">
        <v>40259</v>
      </c>
      <c r="M6035" s="186"/>
      <c r="N6035" s="186"/>
      <c r="O6035" s="172"/>
    </row>
    <row r="6036" spans="1:15" ht="25.5" x14ac:dyDescent="0.2">
      <c r="A6036" s="197" t="str">
        <f t="shared" si="94"/>
        <v>MfcCode_dependentsHousing</v>
      </c>
      <c r="B6036" s="409"/>
      <c r="C6036" s="416"/>
      <c r="D6036" s="198" t="s">
        <v>30664</v>
      </c>
      <c r="E6036" s="198">
        <v>4</v>
      </c>
      <c r="F6036" s="199" t="s">
        <v>30665</v>
      </c>
      <c r="G6036" s="1" t="s">
        <v>40260</v>
      </c>
      <c r="H6036" s="200"/>
      <c r="I6036" s="346"/>
      <c r="J6036" s="39">
        <v>105635</v>
      </c>
      <c r="K6036" s="36" t="str">
        <f>CONCATENATE(Cover!$D$6,"fdd/view?i=",J6036)</f>
        <v>https://www.dgiwg.org/FAD/fdd/view?i=105635</v>
      </c>
      <c r="L6036" s="36" t="s">
        <v>40261</v>
      </c>
      <c r="M6036" s="186"/>
      <c r="N6036" s="186"/>
      <c r="O6036" s="172"/>
    </row>
    <row r="6037" spans="1:15" ht="25.5" x14ac:dyDescent="0.2">
      <c r="A6037" s="197" t="str">
        <f t="shared" si="94"/>
        <v>MfcCode_dormitory</v>
      </c>
      <c r="B6037" s="409"/>
      <c r="C6037" s="416"/>
      <c r="D6037" s="198" t="s">
        <v>29016</v>
      </c>
      <c r="E6037" s="198">
        <v>3</v>
      </c>
      <c r="F6037" s="199" t="s">
        <v>29017</v>
      </c>
      <c r="G6037" s="1" t="s">
        <v>40262</v>
      </c>
      <c r="H6037" s="200"/>
      <c r="I6037" s="346"/>
      <c r="J6037" s="39">
        <v>109901</v>
      </c>
      <c r="K6037" s="36" t="str">
        <f>CONCATENATE(Cover!$D$6,"fdd/view?i=",J6037)</f>
        <v>https://www.dgiwg.org/FAD/fdd/view?i=109901</v>
      </c>
      <c r="L6037" s="36" t="s">
        <v>40263</v>
      </c>
      <c r="M6037" s="186"/>
      <c r="N6037" s="186"/>
      <c r="O6037" s="172"/>
    </row>
    <row r="6038" spans="1:15" ht="25.5" x14ac:dyDescent="0.2">
      <c r="A6038" s="197" t="str">
        <f t="shared" si="94"/>
        <v>MfcCode_firingRange</v>
      </c>
      <c r="B6038" s="409"/>
      <c r="C6038" s="416"/>
      <c r="D6038" s="198" t="s">
        <v>40264</v>
      </c>
      <c r="E6038" s="198">
        <v>2</v>
      </c>
      <c r="F6038" s="199" t="s">
        <v>3100</v>
      </c>
      <c r="G6038" s="1" t="s">
        <v>3101</v>
      </c>
      <c r="H6038" s="200"/>
      <c r="I6038" s="346"/>
      <c r="J6038" s="39">
        <v>105633</v>
      </c>
      <c r="K6038" s="36" t="str">
        <f>CONCATENATE(Cover!$D$6,"fdd/view?i=",J6038)</f>
        <v>https://www.dgiwg.org/FAD/fdd/view?i=105633</v>
      </c>
      <c r="L6038" s="36" t="s">
        <v>40265</v>
      </c>
      <c r="M6038" s="186"/>
      <c r="N6038" s="186"/>
      <c r="O6038" s="172"/>
    </row>
    <row r="6039" spans="1:15" ht="25.5" x14ac:dyDescent="0.2">
      <c r="A6039" s="197" t="str">
        <f t="shared" si="94"/>
        <v>MfcCode_fort</v>
      </c>
      <c r="B6039" s="409"/>
      <c r="C6039" s="416"/>
      <c r="D6039" s="198" t="s">
        <v>40266</v>
      </c>
      <c r="E6039" s="198">
        <v>7</v>
      </c>
      <c r="F6039" s="199" t="s">
        <v>40267</v>
      </c>
      <c r="G6039" s="1" t="s">
        <v>40268</v>
      </c>
      <c r="H6039" s="1" t="s">
        <v>40269</v>
      </c>
      <c r="I6039" s="346"/>
      <c r="J6039" s="39">
        <v>105638</v>
      </c>
      <c r="K6039" s="36" t="str">
        <f>CONCATENATE(Cover!$D$6,"fdd/view?i=",J6039)</f>
        <v>https://www.dgiwg.org/FAD/fdd/view?i=105638</v>
      </c>
      <c r="L6039" s="36" t="s">
        <v>40270</v>
      </c>
      <c r="M6039" s="186"/>
      <c r="N6039" s="186"/>
      <c r="O6039" s="172"/>
    </row>
    <row r="6040" spans="1:15" x14ac:dyDescent="0.2">
      <c r="A6040" s="197" t="str">
        <f t="shared" si="94"/>
        <v>MfcCode_guardTower</v>
      </c>
      <c r="B6040" s="409"/>
      <c r="C6040" s="416"/>
      <c r="D6040" s="198" t="s">
        <v>40271</v>
      </c>
      <c r="E6040" s="198">
        <v>10</v>
      </c>
      <c r="F6040" s="199" t="s">
        <v>40272</v>
      </c>
      <c r="G6040" s="1" t="s">
        <v>40273</v>
      </c>
      <c r="H6040" s="200"/>
      <c r="I6040" s="346"/>
      <c r="J6040" s="39">
        <v>105641</v>
      </c>
      <c r="K6040" s="36" t="str">
        <f>CONCATENATE(Cover!$D$6,"fdd/view?i=",J6040)</f>
        <v>https://www.dgiwg.org/FAD/fdd/view?i=105641</v>
      </c>
      <c r="L6040" s="36" t="s">
        <v>40274</v>
      </c>
      <c r="M6040" s="186"/>
      <c r="N6040" s="186"/>
      <c r="O6040" s="172"/>
    </row>
    <row r="6041" spans="1:15" ht="38.25" x14ac:dyDescent="0.2">
      <c r="A6041" s="197" t="str">
        <f t="shared" si="94"/>
        <v>MfcCode_martelloTower</v>
      </c>
      <c r="B6041" s="409"/>
      <c r="C6041" s="416"/>
      <c r="D6041" s="198" t="s">
        <v>32318</v>
      </c>
      <c r="E6041" s="198">
        <v>9</v>
      </c>
      <c r="F6041" s="199" t="s">
        <v>32319</v>
      </c>
      <c r="G6041" s="1" t="s">
        <v>32320</v>
      </c>
      <c r="H6041" s="1" t="s">
        <v>40275</v>
      </c>
      <c r="I6041" s="346"/>
      <c r="J6041" s="39">
        <v>105640</v>
      </c>
      <c r="K6041" s="36" t="str">
        <f>CONCATENATE(Cover!$D$6,"fdd/view?i=",J6041)</f>
        <v>https://www.dgiwg.org/FAD/fdd/view?i=105640</v>
      </c>
      <c r="L6041" s="36" t="s">
        <v>40276</v>
      </c>
      <c r="M6041" s="186"/>
      <c r="N6041" s="186"/>
      <c r="O6041" s="172"/>
    </row>
    <row r="6042" spans="1:15" ht="25.5" x14ac:dyDescent="0.2">
      <c r="A6042" s="197" t="str">
        <f t="shared" si="94"/>
        <v>MfcCode_militaryAdministration</v>
      </c>
      <c r="B6042" s="409"/>
      <c r="C6042" s="416"/>
      <c r="D6042" s="198" t="s">
        <v>40277</v>
      </c>
      <c r="E6042" s="198">
        <v>1</v>
      </c>
      <c r="F6042" s="199" t="s">
        <v>40278</v>
      </c>
      <c r="G6042" s="1" t="s">
        <v>40279</v>
      </c>
      <c r="H6042" s="200"/>
      <c r="I6042" s="351" t="s">
        <v>21336</v>
      </c>
      <c r="J6042" s="39">
        <v>105632</v>
      </c>
      <c r="K6042" s="36" t="str">
        <f>CONCATENATE(Cover!$D$6,"fdd/view?i=",J6042)</f>
        <v>https://www.dgiwg.org/FAD/fdd/view?i=105632</v>
      </c>
      <c r="L6042" s="36" t="s">
        <v>40280</v>
      </c>
      <c r="M6042" s="186"/>
      <c r="N6042" s="186"/>
      <c r="O6042" s="172"/>
    </row>
    <row r="6043" spans="1:15" ht="25.5" x14ac:dyDescent="0.2">
      <c r="A6043" s="197" t="str">
        <f t="shared" si="94"/>
        <v>MfcCode_militaryPrison</v>
      </c>
      <c r="B6043" s="409"/>
      <c r="C6043" s="416"/>
      <c r="D6043" s="198" t="s">
        <v>40281</v>
      </c>
      <c r="E6043" s="198">
        <v>15</v>
      </c>
      <c r="F6043" s="199" t="s">
        <v>40282</v>
      </c>
      <c r="G6043" s="1" t="s">
        <v>40283</v>
      </c>
      <c r="H6043" s="200"/>
      <c r="I6043" s="346"/>
      <c r="J6043" s="39">
        <v>112767</v>
      </c>
      <c r="K6043" s="36" t="str">
        <f>CONCATENATE(Cover!$D$6,"fdd/view?i=",J6043)</f>
        <v>https://www.dgiwg.org/FAD/fdd/view?i=112767</v>
      </c>
      <c r="L6043" s="36" t="s">
        <v>40284</v>
      </c>
      <c r="M6043" s="186"/>
      <c r="N6043" s="186"/>
      <c r="O6043" s="172"/>
    </row>
    <row r="6044" spans="1:15" ht="25.5" x14ac:dyDescent="0.2">
      <c r="A6044" s="197" t="str">
        <f t="shared" si="94"/>
        <v>MfcCode_outbuilding</v>
      </c>
      <c r="B6044" s="409"/>
      <c r="C6044" s="416"/>
      <c r="D6044" s="198" t="s">
        <v>20547</v>
      </c>
      <c r="E6044" s="198">
        <v>13</v>
      </c>
      <c r="F6044" s="199" t="s">
        <v>20548</v>
      </c>
      <c r="G6044" s="1" t="s">
        <v>40285</v>
      </c>
      <c r="H6044" s="200"/>
      <c r="I6044" s="346"/>
      <c r="J6044" s="39">
        <v>105644</v>
      </c>
      <c r="K6044" s="36" t="str">
        <f>CONCATENATE(Cover!$D$6,"fdd/view?i=",J6044)</f>
        <v>https://www.dgiwg.org/FAD/fdd/view?i=105644</v>
      </c>
      <c r="L6044" s="36" t="s">
        <v>40286</v>
      </c>
      <c r="M6044" s="186"/>
      <c r="N6044" s="186"/>
      <c r="O6044" s="172"/>
    </row>
    <row r="6045" spans="1:15" ht="25.5" x14ac:dyDescent="0.2">
      <c r="A6045" s="203" t="str">
        <f t="shared" si="94"/>
        <v>MfcCode_redoubt</v>
      </c>
      <c r="B6045" s="410"/>
      <c r="C6045" s="417"/>
      <c r="D6045" s="204" t="s">
        <v>29378</v>
      </c>
      <c r="E6045" s="204">
        <v>11</v>
      </c>
      <c r="F6045" s="205" t="s">
        <v>29379</v>
      </c>
      <c r="G6045" s="206" t="s">
        <v>40287</v>
      </c>
      <c r="H6045" s="207"/>
      <c r="I6045" s="347"/>
      <c r="J6045" s="39">
        <v>105642</v>
      </c>
      <c r="K6045" s="36" t="str">
        <f>CONCATENATE(Cover!$D$6,"fdd/view?i=",J6045)</f>
        <v>https://www.dgiwg.org/FAD/fdd/view?i=105642</v>
      </c>
      <c r="L6045" s="36" t="s">
        <v>40288</v>
      </c>
      <c r="M6045" s="186"/>
      <c r="N6045" s="186"/>
      <c r="O6045" s="172"/>
    </row>
    <row r="6046" spans="1:15" ht="25.5" x14ac:dyDescent="0.2">
      <c r="A6046" s="190" t="str">
        <f t="shared" si="94"/>
        <v>TmzCode_firingRange</v>
      </c>
      <c r="B6046" s="414" t="str">
        <f>HYPERLINK("[#]Datatypes!A932:L932","TmzCode")</f>
        <v>TmzCode</v>
      </c>
      <c r="C6046" s="415" t="s">
        <v>15522</v>
      </c>
      <c r="D6046" s="221" t="s">
        <v>40264</v>
      </c>
      <c r="E6046" s="221">
        <v>3</v>
      </c>
      <c r="F6046" s="222" t="s">
        <v>3100</v>
      </c>
      <c r="G6046" s="223" t="s">
        <v>40289</v>
      </c>
      <c r="H6046" s="224"/>
      <c r="I6046" s="345"/>
      <c r="J6046" s="39">
        <v>114052</v>
      </c>
      <c r="K6046" s="36" t="str">
        <f>CONCATENATE(Cover!$D$6,"fdd/view?i=",J6046)</f>
        <v>https://www.dgiwg.org/FAD/fdd/view?i=114052</v>
      </c>
      <c r="L6046" s="36" t="s">
        <v>40290</v>
      </c>
      <c r="M6046" s="186"/>
      <c r="N6046" s="186"/>
      <c r="O6046" s="172"/>
    </row>
    <row r="6047" spans="1:15" ht="38.25" x14ac:dyDescent="0.2">
      <c r="A6047" s="197" t="str">
        <f t="shared" si="94"/>
        <v>TmzCode_garrisonFiringRange</v>
      </c>
      <c r="B6047" s="409"/>
      <c r="C6047" s="416"/>
      <c r="D6047" s="198" t="s">
        <v>40291</v>
      </c>
      <c r="E6047" s="198">
        <v>6</v>
      </c>
      <c r="F6047" s="199" t="s">
        <v>40292</v>
      </c>
      <c r="G6047" s="1" t="s">
        <v>40293</v>
      </c>
      <c r="H6047" s="200"/>
      <c r="I6047" s="346"/>
      <c r="J6047" s="39">
        <v>114055</v>
      </c>
      <c r="K6047" s="36" t="str">
        <f>CONCATENATE(Cover!$D$6,"fdd/view?i=",J6047)</f>
        <v>https://www.dgiwg.org/FAD/fdd/view?i=114055</v>
      </c>
      <c r="L6047" s="36" t="s">
        <v>40294</v>
      </c>
      <c r="M6047" s="186"/>
      <c r="N6047" s="186"/>
      <c r="O6047" s="172"/>
    </row>
    <row r="6048" spans="1:15" ht="25.5" x14ac:dyDescent="0.2">
      <c r="A6048" s="197" t="str">
        <f t="shared" si="94"/>
        <v>TmzCode_garrisonTraining</v>
      </c>
      <c r="B6048" s="409"/>
      <c r="C6048" s="416"/>
      <c r="D6048" s="198" t="s">
        <v>40295</v>
      </c>
      <c r="E6048" s="198">
        <v>5</v>
      </c>
      <c r="F6048" s="199" t="s">
        <v>40296</v>
      </c>
      <c r="G6048" s="1" t="s">
        <v>40297</v>
      </c>
      <c r="H6048" s="200"/>
      <c r="I6048" s="346"/>
      <c r="J6048" s="39">
        <v>114054</v>
      </c>
      <c r="K6048" s="36" t="str">
        <f>CONCATENATE(Cover!$D$6,"fdd/view?i=",J6048)</f>
        <v>https://www.dgiwg.org/FAD/fdd/view?i=114054</v>
      </c>
      <c r="L6048" s="36" t="s">
        <v>40298</v>
      </c>
      <c r="M6048" s="186"/>
      <c r="N6048" s="186"/>
      <c r="O6048" s="172"/>
    </row>
    <row r="6049" spans="1:15" ht="25.5" x14ac:dyDescent="0.2">
      <c r="A6049" s="197" t="str">
        <f t="shared" si="94"/>
        <v>TmzCode_otherRestriction</v>
      </c>
      <c r="B6049" s="409"/>
      <c r="C6049" s="416"/>
      <c r="D6049" s="198" t="s">
        <v>40299</v>
      </c>
      <c r="E6049" s="198">
        <v>4</v>
      </c>
      <c r="F6049" s="199" t="s">
        <v>40300</v>
      </c>
      <c r="G6049" s="1" t="s">
        <v>40301</v>
      </c>
      <c r="H6049" s="200"/>
      <c r="I6049" s="346"/>
      <c r="J6049" s="39">
        <v>114053</v>
      </c>
      <c r="K6049" s="36" t="str">
        <f>CONCATENATE(Cover!$D$6,"fdd/view?i=",J6049)</f>
        <v>https://www.dgiwg.org/FAD/fdd/view?i=114053</v>
      </c>
      <c r="L6049" s="36" t="s">
        <v>40302</v>
      </c>
      <c r="M6049" s="186"/>
      <c r="N6049" s="186"/>
      <c r="O6049" s="172"/>
    </row>
    <row r="6050" spans="1:15" ht="25.5" x14ac:dyDescent="0.2">
      <c r="A6050" s="197" t="str">
        <f t="shared" si="94"/>
        <v>TmzCode_storageDepot</v>
      </c>
      <c r="B6050" s="409"/>
      <c r="C6050" s="416"/>
      <c r="D6050" s="198" t="s">
        <v>24730</v>
      </c>
      <c r="E6050" s="198">
        <v>7</v>
      </c>
      <c r="F6050" s="199" t="s">
        <v>5284</v>
      </c>
      <c r="G6050" s="1" t="s">
        <v>40303</v>
      </c>
      <c r="H6050" s="200"/>
      <c r="I6050" s="346"/>
      <c r="J6050" s="39">
        <v>114056</v>
      </c>
      <c r="K6050" s="36" t="str">
        <f>CONCATENATE(Cover!$D$6,"fdd/view?i=",J6050)</f>
        <v>https://www.dgiwg.org/FAD/fdd/view?i=114056</v>
      </c>
      <c r="L6050" s="36" t="s">
        <v>40304</v>
      </c>
      <c r="M6050" s="186"/>
      <c r="N6050" s="186"/>
      <c r="O6050" s="172"/>
    </row>
    <row r="6051" spans="1:15" ht="25.5" x14ac:dyDescent="0.2">
      <c r="A6051" s="197" t="str">
        <f t="shared" si="94"/>
        <v>TmzCode_test</v>
      </c>
      <c r="B6051" s="409"/>
      <c r="C6051" s="416"/>
      <c r="D6051" s="198" t="s">
        <v>37394</v>
      </c>
      <c r="E6051" s="198">
        <v>2</v>
      </c>
      <c r="F6051" s="199" t="s">
        <v>37395</v>
      </c>
      <c r="G6051" s="1" t="s">
        <v>40305</v>
      </c>
      <c r="H6051" s="200"/>
      <c r="I6051" s="346"/>
      <c r="J6051" s="39">
        <v>114051</v>
      </c>
      <c r="K6051" s="36" t="str">
        <f>CONCATENATE(Cover!$D$6,"fdd/view?i=",J6051)</f>
        <v>https://www.dgiwg.org/FAD/fdd/view?i=114051</v>
      </c>
      <c r="L6051" s="36" t="s">
        <v>40306</v>
      </c>
      <c r="M6051" s="186"/>
      <c r="N6051" s="186"/>
      <c r="O6051" s="172"/>
    </row>
    <row r="6052" spans="1:15" ht="25.5" x14ac:dyDescent="0.2">
      <c r="A6052" s="203" t="str">
        <f t="shared" si="94"/>
        <v>TmzCode_training</v>
      </c>
      <c r="B6052" s="410"/>
      <c r="C6052" s="417"/>
      <c r="D6052" s="204" t="s">
        <v>21453</v>
      </c>
      <c r="E6052" s="204">
        <v>1</v>
      </c>
      <c r="F6052" s="205" t="s">
        <v>21454</v>
      </c>
      <c r="G6052" s="206" t="s">
        <v>40307</v>
      </c>
      <c r="H6052" s="207"/>
      <c r="I6052" s="347"/>
      <c r="J6052" s="39">
        <v>114050</v>
      </c>
      <c r="K6052" s="36" t="str">
        <f>CONCATENATE(Cover!$D$6,"fdd/view?i=",J6052)</f>
        <v>https://www.dgiwg.org/FAD/fdd/view?i=114050</v>
      </c>
      <c r="L6052" s="36" t="s">
        <v>40308</v>
      </c>
      <c r="M6052" s="186"/>
      <c r="N6052" s="186"/>
      <c r="O6052" s="172"/>
    </row>
    <row r="6053" spans="1:15" ht="25.5" x14ac:dyDescent="0.2">
      <c r="A6053" s="190" t="str">
        <f t="shared" si="94"/>
        <v>MruCode_nightLowFlying</v>
      </c>
      <c r="B6053" s="414" t="str">
        <f>HYPERLINK("[#]Datatypes!A934:L934","MruCode")</f>
        <v>MruCode</v>
      </c>
      <c r="C6053" s="415" t="s">
        <v>15524</v>
      </c>
      <c r="D6053" s="221" t="s">
        <v>40309</v>
      </c>
      <c r="E6053" s="221">
        <v>1</v>
      </c>
      <c r="F6053" s="222" t="s">
        <v>40310</v>
      </c>
      <c r="G6053" s="223" t="s">
        <v>40311</v>
      </c>
      <c r="H6053" s="224"/>
      <c r="I6053" s="345"/>
      <c r="J6053" s="39">
        <v>115692</v>
      </c>
      <c r="K6053" s="36" t="str">
        <f>CONCATENATE(Cover!$D$6,"fdd/view?i=",J6053)</f>
        <v>https://www.dgiwg.org/FAD/fdd/view?i=115692</v>
      </c>
      <c r="L6053" s="36" t="s">
        <v>40312</v>
      </c>
      <c r="M6053" s="186"/>
      <c r="N6053" s="186"/>
      <c r="O6053" s="172"/>
    </row>
    <row r="6054" spans="1:15" ht="38.25" x14ac:dyDescent="0.2">
      <c r="A6054" s="197" t="str">
        <f t="shared" si="94"/>
        <v>MruCode_training</v>
      </c>
      <c r="B6054" s="409"/>
      <c r="C6054" s="416"/>
      <c r="D6054" s="198" t="s">
        <v>21453</v>
      </c>
      <c r="E6054" s="198">
        <v>3</v>
      </c>
      <c r="F6054" s="199" t="s">
        <v>21454</v>
      </c>
      <c r="G6054" s="1" t="s">
        <v>40313</v>
      </c>
      <c r="H6054" s="200"/>
      <c r="I6054" s="346"/>
      <c r="J6054" s="39">
        <v>115694</v>
      </c>
      <c r="K6054" s="36" t="str">
        <f>CONCATENATE(Cover!$D$6,"fdd/view?i=",J6054)</f>
        <v>https://www.dgiwg.org/FAD/fdd/view?i=115694</v>
      </c>
      <c r="L6054" s="36" t="s">
        <v>40314</v>
      </c>
      <c r="M6054" s="186"/>
      <c r="N6054" s="186"/>
      <c r="O6054" s="172"/>
    </row>
    <row r="6055" spans="1:15" ht="25.5" x14ac:dyDescent="0.2">
      <c r="A6055" s="203" t="str">
        <f t="shared" si="94"/>
        <v>MruCode_trunk</v>
      </c>
      <c r="B6055" s="410"/>
      <c r="C6055" s="417"/>
      <c r="D6055" s="204" t="s">
        <v>40316</v>
      </c>
      <c r="E6055" s="204">
        <v>2</v>
      </c>
      <c r="F6055" s="205" t="s">
        <v>40317</v>
      </c>
      <c r="G6055" s="206" t="s">
        <v>40318</v>
      </c>
      <c r="H6055" s="207"/>
      <c r="I6055" s="347"/>
      <c r="J6055" s="39">
        <v>115693</v>
      </c>
      <c r="K6055" s="36" t="str">
        <f>CONCATENATE(Cover!$D$6,"fdd/view?i=",J6055)</f>
        <v>https://www.dgiwg.org/FAD/fdd/view?i=115693</v>
      </c>
      <c r="L6055" s="36" t="s">
        <v>40319</v>
      </c>
      <c r="M6055" s="186"/>
      <c r="N6055" s="186"/>
      <c r="O6055" s="13" t="s">
        <v>40315</v>
      </c>
    </row>
    <row r="6056" spans="1:15" ht="25.5" x14ac:dyDescent="0.2">
      <c r="A6056" s="190" t="str">
        <f t="shared" si="94"/>
        <v>YsuCode_airForce</v>
      </c>
      <c r="B6056" s="414" t="str">
        <f>HYPERLINK("[#]Datatypes!A936:L936","YsuCode")</f>
        <v>YsuCode</v>
      </c>
      <c r="C6056" s="415" t="s">
        <v>15526</v>
      </c>
      <c r="D6056" s="221" t="s">
        <v>40320</v>
      </c>
      <c r="E6056" s="221">
        <v>1</v>
      </c>
      <c r="F6056" s="222" t="s">
        <v>40321</v>
      </c>
      <c r="G6056" s="223" t="s">
        <v>40322</v>
      </c>
      <c r="H6056" s="224"/>
      <c r="I6056" s="345"/>
      <c r="J6056" s="39">
        <v>109769</v>
      </c>
      <c r="K6056" s="36" t="str">
        <f>CONCATENATE(Cover!$D$6,"fdd/view?i=",J6056)</f>
        <v>https://www.dgiwg.org/FAD/fdd/view?i=109769</v>
      </c>
      <c r="L6056" s="36" t="s">
        <v>40323</v>
      </c>
      <c r="M6056" s="186"/>
      <c r="N6056" s="186"/>
      <c r="O6056" s="172"/>
    </row>
    <row r="6057" spans="1:15" ht="102" x14ac:dyDescent="0.2">
      <c r="A6057" s="197" t="str">
        <f t="shared" si="94"/>
        <v>YsuCode_airNationalGuard</v>
      </c>
      <c r="B6057" s="409"/>
      <c r="C6057" s="416"/>
      <c r="D6057" s="198" t="s">
        <v>40324</v>
      </c>
      <c r="E6057" s="198">
        <v>8</v>
      </c>
      <c r="F6057" s="199" t="s">
        <v>40325</v>
      </c>
      <c r="G6057" s="1" t="s">
        <v>40326</v>
      </c>
      <c r="H6057" s="1" t="s">
        <v>40327</v>
      </c>
      <c r="I6057" s="346"/>
      <c r="J6057" s="39">
        <v>119095</v>
      </c>
      <c r="K6057" s="36" t="str">
        <f>CONCATENATE(Cover!$D$6,"fdd/view?i=",J6057)</f>
        <v>https://www.dgiwg.org/FAD/fdd/view?i=119095</v>
      </c>
      <c r="L6057" s="36" t="s">
        <v>40328</v>
      </c>
      <c r="M6057" s="186"/>
      <c r="N6057" s="186"/>
      <c r="O6057" s="172"/>
    </row>
    <row r="6058" spans="1:15" ht="25.5" x14ac:dyDescent="0.2">
      <c r="A6058" s="197" t="str">
        <f t="shared" si="94"/>
        <v>YsuCode_army</v>
      </c>
      <c r="B6058" s="409"/>
      <c r="C6058" s="416"/>
      <c r="D6058" s="198" t="s">
        <v>40329</v>
      </c>
      <c r="E6058" s="198">
        <v>2</v>
      </c>
      <c r="F6058" s="199" t="s">
        <v>40330</v>
      </c>
      <c r="G6058" s="1" t="s">
        <v>40331</v>
      </c>
      <c r="H6058" s="200"/>
      <c r="I6058" s="346"/>
      <c r="J6058" s="39">
        <v>109770</v>
      </c>
      <c r="K6058" s="36" t="str">
        <f>CONCATENATE(Cover!$D$6,"fdd/view?i=",J6058)</f>
        <v>https://www.dgiwg.org/FAD/fdd/view?i=109770</v>
      </c>
      <c r="L6058" s="36" t="s">
        <v>40332</v>
      </c>
      <c r="M6058" s="186"/>
      <c r="N6058" s="186"/>
      <c r="O6058" s="172"/>
    </row>
    <row r="6059" spans="1:15" ht="102" x14ac:dyDescent="0.2">
      <c r="A6059" s="197" t="str">
        <f t="shared" si="94"/>
        <v>YsuCode_armyNationalGuard</v>
      </c>
      <c r="B6059" s="409"/>
      <c r="C6059" s="416"/>
      <c r="D6059" s="198" t="s">
        <v>40333</v>
      </c>
      <c r="E6059" s="198">
        <v>9</v>
      </c>
      <c r="F6059" s="199" t="s">
        <v>40334</v>
      </c>
      <c r="G6059" s="1" t="s">
        <v>40335</v>
      </c>
      <c r="H6059" s="1" t="s">
        <v>40336</v>
      </c>
      <c r="I6059" s="346"/>
      <c r="J6059" s="39">
        <v>119096</v>
      </c>
      <c r="K6059" s="36" t="str">
        <f>CONCATENATE(Cover!$D$6,"fdd/view?i=",J6059)</f>
        <v>https://www.dgiwg.org/FAD/fdd/view?i=119096</v>
      </c>
      <c r="L6059" s="36" t="s">
        <v>40337</v>
      </c>
      <c r="M6059" s="186"/>
      <c r="N6059" s="186"/>
      <c r="O6059" s="172"/>
    </row>
    <row r="6060" spans="1:15" ht="38.25" x14ac:dyDescent="0.2">
      <c r="A6060" s="197" t="str">
        <f t="shared" si="94"/>
        <v>YsuCode_coastguard</v>
      </c>
      <c r="B6060" s="409"/>
      <c r="C6060" s="416"/>
      <c r="D6060" s="198" t="s">
        <v>40338</v>
      </c>
      <c r="E6060" s="198">
        <v>3</v>
      </c>
      <c r="F6060" s="199" t="s">
        <v>40339</v>
      </c>
      <c r="G6060" s="1" t="s">
        <v>40340</v>
      </c>
      <c r="H6060" s="200"/>
      <c r="I6060" s="346"/>
      <c r="J6060" s="39">
        <v>109771</v>
      </c>
      <c r="K6060" s="36" t="str">
        <f>CONCATENATE(Cover!$D$6,"fdd/view?i=",J6060)</f>
        <v>https://www.dgiwg.org/FAD/fdd/view?i=109771</v>
      </c>
      <c r="L6060" s="36" t="s">
        <v>40341</v>
      </c>
      <c r="M6060" s="186"/>
      <c r="N6060" s="186"/>
      <c r="O6060" s="172"/>
    </row>
    <row r="6061" spans="1:15" ht="25.5" x14ac:dyDescent="0.2">
      <c r="A6061" s="197" t="str">
        <f t="shared" si="94"/>
        <v>YsuCode_joint</v>
      </c>
      <c r="B6061" s="409"/>
      <c r="C6061" s="416"/>
      <c r="D6061" s="198" t="s">
        <v>40342</v>
      </c>
      <c r="E6061" s="198">
        <v>7</v>
      </c>
      <c r="F6061" s="199" t="s">
        <v>40343</v>
      </c>
      <c r="G6061" s="1" t="s">
        <v>40344</v>
      </c>
      <c r="H6061" s="200"/>
      <c r="I6061" s="346"/>
      <c r="J6061" s="39">
        <v>109775</v>
      </c>
      <c r="K6061" s="36" t="str">
        <f>CONCATENATE(Cover!$D$6,"fdd/view?i=",J6061)</f>
        <v>https://www.dgiwg.org/FAD/fdd/view?i=109775</v>
      </c>
      <c r="L6061" s="36" t="s">
        <v>40345</v>
      </c>
      <c r="M6061" s="186"/>
      <c r="N6061" s="186"/>
      <c r="O6061" s="172"/>
    </row>
    <row r="6062" spans="1:15" ht="25.5" x14ac:dyDescent="0.2">
      <c r="A6062" s="197" t="str">
        <f t="shared" si="94"/>
        <v>YsuCode_marines</v>
      </c>
      <c r="B6062" s="409"/>
      <c r="C6062" s="416"/>
      <c r="D6062" s="198" t="s">
        <v>40346</v>
      </c>
      <c r="E6062" s="198">
        <v>4</v>
      </c>
      <c r="F6062" s="199" t="s">
        <v>40347</v>
      </c>
      <c r="G6062" s="1" t="s">
        <v>40348</v>
      </c>
      <c r="H6062" s="200"/>
      <c r="I6062" s="346"/>
      <c r="J6062" s="39">
        <v>109772</v>
      </c>
      <c r="K6062" s="36" t="str">
        <f>CONCATENATE(Cover!$D$6,"fdd/view?i=",J6062)</f>
        <v>https://www.dgiwg.org/FAD/fdd/view?i=109772</v>
      </c>
      <c r="L6062" s="36" t="s">
        <v>40349</v>
      </c>
      <c r="M6062" s="186"/>
      <c r="N6062" s="186"/>
      <c r="O6062" s="172"/>
    </row>
    <row r="6063" spans="1:15" ht="38.25" x14ac:dyDescent="0.2">
      <c r="A6063" s="203" t="str">
        <f t="shared" si="94"/>
        <v>YsuCode_navy</v>
      </c>
      <c r="B6063" s="410"/>
      <c r="C6063" s="417"/>
      <c r="D6063" s="204" t="s">
        <v>40350</v>
      </c>
      <c r="E6063" s="204">
        <v>5</v>
      </c>
      <c r="F6063" s="205" t="s">
        <v>40351</v>
      </c>
      <c r="G6063" s="206" t="s">
        <v>40352</v>
      </c>
      <c r="H6063" s="206" t="s">
        <v>40353</v>
      </c>
      <c r="I6063" s="347"/>
      <c r="J6063" s="39">
        <v>109773</v>
      </c>
      <c r="K6063" s="36" t="str">
        <f>CONCATENATE(Cover!$D$6,"fdd/view?i=",J6063)</f>
        <v>https://www.dgiwg.org/FAD/fdd/view?i=109773</v>
      </c>
      <c r="L6063" s="36" t="s">
        <v>40354</v>
      </c>
      <c r="M6063" s="186"/>
      <c r="N6063" s="186"/>
      <c r="O6063" s="172"/>
    </row>
    <row r="6064" spans="1:15" x14ac:dyDescent="0.2">
      <c r="A6064" s="190" t="str">
        <f t="shared" si="94"/>
        <v>XhtCode_climbTower</v>
      </c>
      <c r="B6064" s="414" t="str">
        <f>HYPERLINK("[#]Datatypes!A938:L938","XhtCode")</f>
        <v>XhtCode</v>
      </c>
      <c r="C6064" s="415" t="s">
        <v>15528</v>
      </c>
      <c r="D6064" s="221" t="s">
        <v>40355</v>
      </c>
      <c r="E6064" s="221">
        <v>1</v>
      </c>
      <c r="F6064" s="222" t="s">
        <v>40356</v>
      </c>
      <c r="G6064" s="223" t="s">
        <v>40357</v>
      </c>
      <c r="H6064" s="224"/>
      <c r="I6064" s="345"/>
      <c r="J6064" s="39">
        <v>119755</v>
      </c>
      <c r="K6064" s="36" t="str">
        <f>CONCATENATE(Cover!$D$6,"fdd/view?i=",J6064)</f>
        <v>https://www.dgiwg.org/FAD/fdd/view?i=119755</v>
      </c>
      <c r="L6064" s="36" t="s">
        <v>40358</v>
      </c>
      <c r="M6064" s="186"/>
      <c r="N6064" s="186"/>
      <c r="O6064" s="172"/>
    </row>
    <row r="6065" spans="1:15" ht="25.5" x14ac:dyDescent="0.2">
      <c r="A6065" s="197" t="str">
        <f t="shared" si="94"/>
        <v>XhtCode_driverTrainingCourse</v>
      </c>
      <c r="B6065" s="409"/>
      <c r="C6065" s="416"/>
      <c r="D6065" s="198" t="s">
        <v>40359</v>
      </c>
      <c r="E6065" s="198">
        <v>2</v>
      </c>
      <c r="F6065" s="199" t="s">
        <v>40360</v>
      </c>
      <c r="G6065" s="1" t="s">
        <v>40361</v>
      </c>
      <c r="H6065" s="200"/>
      <c r="I6065" s="346"/>
      <c r="J6065" s="39">
        <v>119756</v>
      </c>
      <c r="K6065" s="36" t="str">
        <f>CONCATENATE(Cover!$D$6,"fdd/view?i=",J6065)</f>
        <v>https://www.dgiwg.org/FAD/fdd/view?i=119756</v>
      </c>
      <c r="L6065" s="36" t="s">
        <v>40362</v>
      </c>
      <c r="M6065" s="186"/>
      <c r="N6065" s="186"/>
      <c r="O6065" s="172"/>
    </row>
    <row r="6066" spans="1:15" ht="25.5" x14ac:dyDescent="0.2">
      <c r="A6066" s="197" t="str">
        <f t="shared" si="94"/>
        <v>XhtCode_jumpTower</v>
      </c>
      <c r="B6066" s="409"/>
      <c r="C6066" s="416"/>
      <c r="D6066" s="198" t="s">
        <v>40363</v>
      </c>
      <c r="E6066" s="198">
        <v>3</v>
      </c>
      <c r="F6066" s="199" t="s">
        <v>40364</v>
      </c>
      <c r="G6066" s="1" t="s">
        <v>40365</v>
      </c>
      <c r="H6066" s="200"/>
      <c r="I6066" s="346"/>
      <c r="J6066" s="39">
        <v>119757</v>
      </c>
      <c r="K6066" s="36" t="str">
        <f>CONCATENATE(Cover!$D$6,"fdd/view?i=",J6066)</f>
        <v>https://www.dgiwg.org/FAD/fdd/view?i=119757</v>
      </c>
      <c r="L6066" s="36" t="s">
        <v>40366</v>
      </c>
      <c r="M6066" s="186"/>
      <c r="N6066" s="186"/>
      <c r="O6066" s="172"/>
    </row>
    <row r="6067" spans="1:15" ht="51" x14ac:dyDescent="0.2">
      <c r="A6067" s="203" t="str">
        <f t="shared" si="94"/>
        <v>XhtCode_obstacleCourse</v>
      </c>
      <c r="B6067" s="410"/>
      <c r="C6067" s="417"/>
      <c r="D6067" s="204" t="s">
        <v>40367</v>
      </c>
      <c r="E6067" s="204">
        <v>4</v>
      </c>
      <c r="F6067" s="205" t="s">
        <v>40368</v>
      </c>
      <c r="G6067" s="206" t="s">
        <v>40369</v>
      </c>
      <c r="H6067" s="206" t="s">
        <v>40370</v>
      </c>
      <c r="I6067" s="347"/>
      <c r="J6067" s="39">
        <v>119758</v>
      </c>
      <c r="K6067" s="36" t="str">
        <f>CONCATENATE(Cover!$D$6,"fdd/view?i=",J6067)</f>
        <v>https://www.dgiwg.org/FAD/fdd/view?i=119758</v>
      </c>
      <c r="L6067" s="36" t="s">
        <v>40371</v>
      </c>
      <c r="M6067" s="186"/>
      <c r="N6067" s="186"/>
      <c r="O6067" s="172"/>
    </row>
    <row r="6068" spans="1:15" x14ac:dyDescent="0.2">
      <c r="A6068" s="190" t="str">
        <f t="shared" si="94"/>
        <v>MiaCode_audioRange</v>
      </c>
      <c r="B6068" s="414" t="str">
        <f>HYPERLINK("[#]Datatypes!A940:L940","MiaCode")</f>
        <v>MiaCode</v>
      </c>
      <c r="C6068" s="415" t="s">
        <v>15530</v>
      </c>
      <c r="D6068" s="221" t="s">
        <v>40372</v>
      </c>
      <c r="E6068" s="221">
        <v>2</v>
      </c>
      <c r="F6068" s="222" t="s">
        <v>40373</v>
      </c>
      <c r="G6068" s="223" t="s">
        <v>40374</v>
      </c>
      <c r="H6068" s="223" t="s">
        <v>40375</v>
      </c>
      <c r="I6068" s="345"/>
      <c r="J6068" s="39">
        <v>105671</v>
      </c>
      <c r="K6068" s="36" t="str">
        <f>CONCATENATE(Cover!$D$6,"fdd/view?i=",J6068)</f>
        <v>https://www.dgiwg.org/FAD/fdd/view?i=105671</v>
      </c>
      <c r="L6068" s="36" t="s">
        <v>40376</v>
      </c>
      <c r="M6068" s="186"/>
      <c r="N6068" s="186"/>
      <c r="O6068" s="172"/>
    </row>
    <row r="6069" spans="1:15" x14ac:dyDescent="0.2">
      <c r="A6069" s="197" t="str">
        <f t="shared" si="94"/>
        <v>MiaCode_high</v>
      </c>
      <c r="B6069" s="409"/>
      <c r="C6069" s="416"/>
      <c r="D6069" s="198" t="s">
        <v>20199</v>
      </c>
      <c r="E6069" s="198">
        <v>3</v>
      </c>
      <c r="F6069" s="199" t="s">
        <v>20200</v>
      </c>
      <c r="G6069" s="1" t="s">
        <v>40377</v>
      </c>
      <c r="H6069" s="1" t="s">
        <v>40378</v>
      </c>
      <c r="I6069" s="346"/>
      <c r="J6069" s="39">
        <v>105672</v>
      </c>
      <c r="K6069" s="36" t="str">
        <f>CONCATENATE(Cover!$D$6,"fdd/view?i=",J6069)</f>
        <v>https://www.dgiwg.org/FAD/fdd/view?i=105672</v>
      </c>
      <c r="L6069" s="36" t="s">
        <v>40379</v>
      </c>
      <c r="M6069" s="186"/>
      <c r="N6069" s="186"/>
      <c r="O6069" s="172"/>
    </row>
    <row r="6070" spans="1:15" x14ac:dyDescent="0.2">
      <c r="A6070" s="197" t="str">
        <f t="shared" si="94"/>
        <v>MiaCode_low</v>
      </c>
      <c r="B6070" s="409"/>
      <c r="C6070" s="416"/>
      <c r="D6070" s="198" t="s">
        <v>20203</v>
      </c>
      <c r="E6070" s="198">
        <v>1</v>
      </c>
      <c r="F6070" s="199" t="s">
        <v>20204</v>
      </c>
      <c r="G6070" s="1" t="s">
        <v>40380</v>
      </c>
      <c r="H6070" s="1" t="s">
        <v>40381</v>
      </c>
      <c r="I6070" s="346"/>
      <c r="J6070" s="39">
        <v>105670</v>
      </c>
      <c r="K6070" s="36" t="str">
        <f>CONCATENATE(Cover!$D$6,"fdd/view?i=",J6070)</f>
        <v>https://www.dgiwg.org/FAD/fdd/view?i=105670</v>
      </c>
      <c r="L6070" s="36" t="s">
        <v>40382</v>
      </c>
      <c r="M6070" s="186"/>
      <c r="N6070" s="186"/>
      <c r="O6070" s="172"/>
    </row>
    <row r="6071" spans="1:15" ht="25.5" x14ac:dyDescent="0.2">
      <c r="A6071" s="203" t="str">
        <f t="shared" si="94"/>
        <v>MiaCode_multipleRange</v>
      </c>
      <c r="B6071" s="410"/>
      <c r="C6071" s="417"/>
      <c r="D6071" s="204" t="s">
        <v>40383</v>
      </c>
      <c r="E6071" s="204">
        <v>4</v>
      </c>
      <c r="F6071" s="205" t="s">
        <v>40384</v>
      </c>
      <c r="G6071" s="206" t="s">
        <v>40385</v>
      </c>
      <c r="H6071" s="207"/>
      <c r="I6071" s="347"/>
      <c r="J6071" s="39">
        <v>105673</v>
      </c>
      <c r="K6071" s="36" t="str">
        <f>CONCATENATE(Cover!$D$6,"fdd/view?i=",J6071)</f>
        <v>https://www.dgiwg.org/FAD/fdd/view?i=105673</v>
      </c>
      <c r="L6071" s="36" t="s">
        <v>40386</v>
      </c>
      <c r="M6071" s="186"/>
      <c r="N6071" s="186"/>
      <c r="O6071" s="172"/>
    </row>
    <row r="6072" spans="1:15" x14ac:dyDescent="0.2">
      <c r="A6072" s="190" t="str">
        <f t="shared" si="94"/>
        <v>MidCode_friend</v>
      </c>
      <c r="B6072" s="414" t="str">
        <f>HYPERLINK("[#]Datatypes!A942:L942","MidCode")</f>
        <v>MidCode</v>
      </c>
      <c r="C6072" s="415" t="s">
        <v>15532</v>
      </c>
      <c r="D6072" s="221" t="s">
        <v>20471</v>
      </c>
      <c r="E6072" s="221">
        <v>2</v>
      </c>
      <c r="F6072" s="222" t="s">
        <v>20472</v>
      </c>
      <c r="G6072" s="223" t="s">
        <v>40387</v>
      </c>
      <c r="H6072" s="224"/>
      <c r="I6072" s="345"/>
      <c r="J6072" s="39">
        <v>105685</v>
      </c>
      <c r="K6072" s="36" t="str">
        <f>CONCATENATE(Cover!$D$6,"fdd/view?i=",J6072)</f>
        <v>https://www.dgiwg.org/FAD/fdd/view?i=105685</v>
      </c>
      <c r="L6072" s="36" t="s">
        <v>40388</v>
      </c>
      <c r="M6072" s="186"/>
      <c r="N6072" s="186"/>
      <c r="O6072" s="172"/>
    </row>
    <row r="6073" spans="1:15" x14ac:dyDescent="0.2">
      <c r="A6073" s="197" t="str">
        <f t="shared" si="94"/>
        <v>MidCode_hostile</v>
      </c>
      <c r="B6073" s="409"/>
      <c r="C6073" s="416"/>
      <c r="D6073" s="198" t="s">
        <v>20475</v>
      </c>
      <c r="E6073" s="198">
        <v>3</v>
      </c>
      <c r="F6073" s="199" t="s">
        <v>20476</v>
      </c>
      <c r="G6073" s="1" t="s">
        <v>40389</v>
      </c>
      <c r="H6073" s="200"/>
      <c r="I6073" s="346"/>
      <c r="J6073" s="39">
        <v>105686</v>
      </c>
      <c r="K6073" s="36" t="str">
        <f>CONCATENATE(Cover!$D$6,"fdd/view?i=",J6073)</f>
        <v>https://www.dgiwg.org/FAD/fdd/view?i=105686</v>
      </c>
      <c r="L6073" s="36" t="s">
        <v>40390</v>
      </c>
      <c r="M6073" s="186"/>
      <c r="N6073" s="186"/>
      <c r="O6073" s="172"/>
    </row>
    <row r="6074" spans="1:15" ht="25.5" x14ac:dyDescent="0.2">
      <c r="A6074" s="203" t="str">
        <f t="shared" si="94"/>
        <v>MidCode_neutral</v>
      </c>
      <c r="B6074" s="410"/>
      <c r="C6074" s="417"/>
      <c r="D6074" s="204" t="s">
        <v>20479</v>
      </c>
      <c r="E6074" s="204">
        <v>4</v>
      </c>
      <c r="F6074" s="205" t="s">
        <v>20480</v>
      </c>
      <c r="G6074" s="206" t="s">
        <v>40391</v>
      </c>
      <c r="H6074" s="207"/>
      <c r="I6074" s="347"/>
      <c r="J6074" s="39">
        <v>105687</v>
      </c>
      <c r="K6074" s="36" t="str">
        <f>CONCATENATE(Cover!$D$6,"fdd/view?i=",J6074)</f>
        <v>https://www.dgiwg.org/FAD/fdd/view?i=105687</v>
      </c>
      <c r="L6074" s="36" t="s">
        <v>40392</v>
      </c>
      <c r="M6074" s="186"/>
      <c r="N6074" s="186"/>
      <c r="O6074" s="172"/>
    </row>
    <row r="6075" spans="1:15" ht="25.5" x14ac:dyDescent="0.2">
      <c r="A6075" s="190" t="str">
        <f t="shared" si="94"/>
        <v>MshCode_acousticImpedance</v>
      </c>
      <c r="B6075" s="414" t="str">
        <f>HYPERLINK("[#]Datatypes!A944:L944","MshCode")</f>
        <v>MshCode</v>
      </c>
      <c r="C6075" s="415" t="s">
        <v>15534</v>
      </c>
      <c r="D6075" s="221" t="s">
        <v>40393</v>
      </c>
      <c r="E6075" s="221">
        <v>4</v>
      </c>
      <c r="F6075" s="222" t="s">
        <v>40394</v>
      </c>
      <c r="G6075" s="223" t="s">
        <v>40395</v>
      </c>
      <c r="H6075" s="224"/>
      <c r="I6075" s="345"/>
      <c r="J6075" s="39">
        <v>105862</v>
      </c>
      <c r="K6075" s="36" t="str">
        <f>CONCATENATE(Cover!$D$6,"fdd/view?i=",J6075)</f>
        <v>https://www.dgiwg.org/FAD/fdd/view?i=105862</v>
      </c>
      <c r="L6075" s="36" t="s">
        <v>40396</v>
      </c>
      <c r="M6075" s="186"/>
      <c r="N6075" s="186"/>
      <c r="O6075" s="172"/>
    </row>
    <row r="6076" spans="1:15" ht="25.5" x14ac:dyDescent="0.2">
      <c r="A6076" s="197" t="str">
        <f t="shared" si="94"/>
        <v>MshCode_acousticTransparency</v>
      </c>
      <c r="B6076" s="409"/>
      <c r="C6076" s="416"/>
      <c r="D6076" s="198" t="s">
        <v>40397</v>
      </c>
      <c r="E6076" s="198">
        <v>5</v>
      </c>
      <c r="F6076" s="199" t="s">
        <v>40398</v>
      </c>
      <c r="G6076" s="1" t="s">
        <v>40399</v>
      </c>
      <c r="H6076" s="200"/>
      <c r="I6076" s="346"/>
      <c r="J6076" s="39">
        <v>105863</v>
      </c>
      <c r="K6076" s="36" t="str">
        <f>CONCATENATE(Cover!$D$6,"fdd/view?i=",J6076)</f>
        <v>https://www.dgiwg.org/FAD/fdd/view?i=105863</v>
      </c>
      <c r="L6076" s="36" t="s">
        <v>40400</v>
      </c>
      <c r="M6076" s="186"/>
      <c r="N6076" s="186"/>
      <c r="O6076" s="172"/>
    </row>
    <row r="6077" spans="1:15" ht="25.5" x14ac:dyDescent="0.2">
      <c r="A6077" s="197" t="str">
        <f t="shared" si="94"/>
        <v>MshCode_anechoicCoating</v>
      </c>
      <c r="B6077" s="409"/>
      <c r="C6077" s="416"/>
      <c r="D6077" s="198" t="s">
        <v>40401</v>
      </c>
      <c r="E6077" s="198">
        <v>1</v>
      </c>
      <c r="F6077" s="199" t="s">
        <v>40402</v>
      </c>
      <c r="G6077" s="1" t="s">
        <v>40403</v>
      </c>
      <c r="H6077" s="200"/>
      <c r="I6077" s="346"/>
      <c r="J6077" s="39">
        <v>105859</v>
      </c>
      <c r="K6077" s="36" t="str">
        <f>CONCATENATE(Cover!$D$6,"fdd/view?i=",J6077)</f>
        <v>https://www.dgiwg.org/FAD/fdd/view?i=105859</v>
      </c>
      <c r="L6077" s="36" t="s">
        <v>40404</v>
      </c>
      <c r="M6077" s="186"/>
      <c r="N6077" s="186"/>
      <c r="O6077" s="172"/>
    </row>
    <row r="6078" spans="1:15" ht="25.5" x14ac:dyDescent="0.2">
      <c r="A6078" s="197" t="str">
        <f t="shared" si="94"/>
        <v>MshCode_automaticMineBurial</v>
      </c>
      <c r="B6078" s="409"/>
      <c r="C6078" s="416"/>
      <c r="D6078" s="198" t="s">
        <v>40405</v>
      </c>
      <c r="E6078" s="198">
        <v>2</v>
      </c>
      <c r="F6078" s="199" t="s">
        <v>40406</v>
      </c>
      <c r="G6078" s="1" t="s">
        <v>40407</v>
      </c>
      <c r="H6078" s="200"/>
      <c r="I6078" s="346"/>
      <c r="J6078" s="39">
        <v>105860</v>
      </c>
      <c r="K6078" s="36" t="str">
        <f>CONCATENATE(Cover!$D$6,"fdd/view?i=",J6078)</f>
        <v>https://www.dgiwg.org/FAD/fdd/view?i=105860</v>
      </c>
      <c r="L6078" s="36" t="s">
        <v>40408</v>
      </c>
      <c r="M6078" s="186"/>
      <c r="N6078" s="186"/>
      <c r="O6078" s="172"/>
    </row>
    <row r="6079" spans="1:15" ht="25.5" x14ac:dyDescent="0.2">
      <c r="A6079" s="197" t="str">
        <f t="shared" si="94"/>
        <v>MshCode_irregularShaping</v>
      </c>
      <c r="B6079" s="409"/>
      <c r="C6079" s="416"/>
      <c r="D6079" s="198" t="s">
        <v>40409</v>
      </c>
      <c r="E6079" s="198">
        <v>3</v>
      </c>
      <c r="F6079" s="199" t="s">
        <v>40410</v>
      </c>
      <c r="G6079" s="1" t="s">
        <v>40411</v>
      </c>
      <c r="H6079" s="200"/>
      <c r="I6079" s="346"/>
      <c r="J6079" s="39">
        <v>105861</v>
      </c>
      <c r="K6079" s="36" t="str">
        <f>CONCATENATE(Cover!$D$6,"fdd/view?i=",J6079)</f>
        <v>https://www.dgiwg.org/FAD/fdd/view?i=105861</v>
      </c>
      <c r="L6079" s="36" t="s">
        <v>40412</v>
      </c>
      <c r="M6079" s="186"/>
      <c r="N6079" s="186"/>
      <c r="O6079" s="172"/>
    </row>
    <row r="6080" spans="1:15" ht="25.5" x14ac:dyDescent="0.2">
      <c r="A6080" s="197" t="str">
        <f t="shared" si="94"/>
        <v>MshCode_nonMetallicCase</v>
      </c>
      <c r="B6080" s="409"/>
      <c r="C6080" s="416"/>
      <c r="D6080" s="198" t="s">
        <v>40413</v>
      </c>
      <c r="E6080" s="198">
        <v>6</v>
      </c>
      <c r="F6080" s="199" t="s">
        <v>40414</v>
      </c>
      <c r="G6080" s="1" t="s">
        <v>40415</v>
      </c>
      <c r="H6080" s="200"/>
      <c r="I6080" s="346"/>
      <c r="J6080" s="39">
        <v>105864</v>
      </c>
      <c r="K6080" s="36" t="str">
        <f>CONCATENATE(Cover!$D$6,"fdd/view?i=",J6080)</f>
        <v>https://www.dgiwg.org/FAD/fdd/view?i=105864</v>
      </c>
      <c r="L6080" s="36" t="s">
        <v>40416</v>
      </c>
      <c r="M6080" s="186"/>
      <c r="N6080" s="186"/>
      <c r="O6080" s="172"/>
    </row>
    <row r="6081" spans="1:15" ht="25.5" x14ac:dyDescent="0.2">
      <c r="A6081" s="203" t="str">
        <f t="shared" si="94"/>
        <v>MshCode_sonarDecoys</v>
      </c>
      <c r="B6081" s="410"/>
      <c r="C6081" s="417"/>
      <c r="D6081" s="204" t="s">
        <v>40417</v>
      </c>
      <c r="E6081" s="204">
        <v>7</v>
      </c>
      <c r="F6081" s="205" t="s">
        <v>40418</v>
      </c>
      <c r="G6081" s="206" t="s">
        <v>40419</v>
      </c>
      <c r="H6081" s="207"/>
      <c r="I6081" s="347"/>
      <c r="J6081" s="39">
        <v>105865</v>
      </c>
      <c r="K6081" s="36" t="str">
        <f>CONCATENATE(Cover!$D$6,"fdd/view?i=",J6081)</f>
        <v>https://www.dgiwg.org/FAD/fdd/view?i=105865</v>
      </c>
      <c r="L6081" s="36" t="s">
        <v>40420</v>
      </c>
      <c r="M6081" s="186"/>
      <c r="N6081" s="186"/>
      <c r="O6081" s="172"/>
    </row>
    <row r="6082" spans="1:15" ht="38.25" x14ac:dyDescent="0.2">
      <c r="A6082" s="190" t="str">
        <f t="shared" ref="A6082:A6145" si="95">HYPERLINK(K6082,L6082)</f>
        <v>MsrCode_antiRecoverySwitch</v>
      </c>
      <c r="B6082" s="414" t="str">
        <f>HYPERLINK("[#]Datatypes!A946:L946","MsrCode")</f>
        <v>MsrCode</v>
      </c>
      <c r="C6082" s="415" t="s">
        <v>15536</v>
      </c>
      <c r="D6082" s="221" t="s">
        <v>40421</v>
      </c>
      <c r="E6082" s="221">
        <v>1</v>
      </c>
      <c r="F6082" s="222" t="s">
        <v>40422</v>
      </c>
      <c r="G6082" s="223" t="s">
        <v>40423</v>
      </c>
      <c r="H6082" s="223" t="s">
        <v>40424</v>
      </c>
      <c r="I6082" s="345"/>
      <c r="J6082" s="39">
        <v>105878</v>
      </c>
      <c r="K6082" s="36" t="str">
        <f>CONCATENATE(Cover!$D$6,"fdd/view?i=",J6082)</f>
        <v>https://www.dgiwg.org/FAD/fdd/view?i=105878</v>
      </c>
      <c r="L6082" s="36" t="s">
        <v>40425</v>
      </c>
      <c r="M6082" s="186"/>
      <c r="N6082" s="186"/>
      <c r="O6082" s="172"/>
    </row>
    <row r="6083" spans="1:15" ht="25.5" x14ac:dyDescent="0.2">
      <c r="A6083" s="197" t="str">
        <f t="shared" si="95"/>
        <v>MsrCode_antiWatchingDevice</v>
      </c>
      <c r="B6083" s="409"/>
      <c r="C6083" s="416"/>
      <c r="D6083" s="198" t="s">
        <v>40426</v>
      </c>
      <c r="E6083" s="198">
        <v>6</v>
      </c>
      <c r="F6083" s="199" t="s">
        <v>40427</v>
      </c>
      <c r="G6083" s="1" t="s">
        <v>40428</v>
      </c>
      <c r="H6083" s="1" t="s">
        <v>40429</v>
      </c>
      <c r="I6083" s="346"/>
      <c r="J6083" s="39">
        <v>111263</v>
      </c>
      <c r="K6083" s="36" t="str">
        <f>CONCATENATE(Cover!$D$6,"fdd/view?i=",J6083)</f>
        <v>https://www.dgiwg.org/FAD/fdd/view?i=111263</v>
      </c>
      <c r="L6083" s="36" t="s">
        <v>40430</v>
      </c>
      <c r="M6083" s="186"/>
      <c r="N6083" s="186"/>
      <c r="O6083" s="172"/>
    </row>
    <row r="6084" spans="1:15" ht="25.5" x14ac:dyDescent="0.2">
      <c r="A6084" s="197" t="str">
        <f t="shared" si="95"/>
        <v>MsrCode_flooder</v>
      </c>
      <c r="B6084" s="409"/>
      <c r="C6084" s="416"/>
      <c r="D6084" s="198" t="s">
        <v>40431</v>
      </c>
      <c r="E6084" s="198">
        <v>5</v>
      </c>
      <c r="F6084" s="199" t="s">
        <v>40432</v>
      </c>
      <c r="G6084" s="1" t="s">
        <v>40433</v>
      </c>
      <c r="H6084" s="200"/>
      <c r="I6084" s="346"/>
      <c r="J6084" s="39">
        <v>111262</v>
      </c>
      <c r="K6084" s="36" t="str">
        <f>CONCATENATE(Cover!$D$6,"fdd/view?i=",J6084)</f>
        <v>https://www.dgiwg.org/FAD/fdd/view?i=111262</v>
      </c>
      <c r="L6084" s="36" t="s">
        <v>40434</v>
      </c>
      <c r="M6084" s="186"/>
      <c r="N6084" s="186"/>
      <c r="O6084" s="172"/>
    </row>
    <row r="6085" spans="1:15" ht="63.75" x14ac:dyDescent="0.2">
      <c r="A6085" s="197" t="str">
        <f t="shared" si="95"/>
        <v>MsrCode_mooringLeverSafetyCutOut</v>
      </c>
      <c r="B6085" s="409"/>
      <c r="C6085" s="416"/>
      <c r="D6085" s="198" t="s">
        <v>40435</v>
      </c>
      <c r="E6085" s="198">
        <v>2</v>
      </c>
      <c r="F6085" s="199" t="s">
        <v>40436</v>
      </c>
      <c r="G6085" s="1" t="s">
        <v>40437</v>
      </c>
      <c r="H6085" s="1" t="s">
        <v>40438</v>
      </c>
      <c r="I6085" s="346"/>
      <c r="J6085" s="39">
        <v>105879</v>
      </c>
      <c r="K6085" s="36" t="str">
        <f>CONCATENATE(Cover!$D$6,"fdd/view?i=",J6085)</f>
        <v>https://www.dgiwg.org/FAD/fdd/view?i=105879</v>
      </c>
      <c r="L6085" s="36" t="s">
        <v>40439</v>
      </c>
      <c r="M6085" s="186"/>
      <c r="N6085" s="186"/>
      <c r="O6085" s="172"/>
    </row>
    <row r="6086" spans="1:15" ht="38.25" x14ac:dyDescent="0.2">
      <c r="A6086" s="197" t="str">
        <f t="shared" si="95"/>
        <v>MsrCode_steriliser</v>
      </c>
      <c r="B6086" s="409"/>
      <c r="C6086" s="416"/>
      <c r="D6086" s="198" t="s">
        <v>40440</v>
      </c>
      <c r="E6086" s="198">
        <v>4</v>
      </c>
      <c r="F6086" s="199" t="s">
        <v>40441</v>
      </c>
      <c r="G6086" s="1" t="s">
        <v>40442</v>
      </c>
      <c r="H6086" s="1" t="s">
        <v>40443</v>
      </c>
      <c r="I6086" s="346"/>
      <c r="J6086" s="39">
        <v>111261</v>
      </c>
      <c r="K6086" s="36" t="str">
        <f>CONCATENATE(Cover!$D$6,"fdd/view?i=",J6086)</f>
        <v>https://www.dgiwg.org/FAD/fdd/view?i=111261</v>
      </c>
      <c r="L6086" s="36" t="s">
        <v>40444</v>
      </c>
      <c r="M6086" s="186"/>
      <c r="N6086" s="186"/>
      <c r="O6086" s="172"/>
    </row>
    <row r="6087" spans="1:15" ht="38.25" x14ac:dyDescent="0.2">
      <c r="A6087" s="203" t="str">
        <f t="shared" si="95"/>
        <v>MsrCode_strippingPreventEquipment</v>
      </c>
      <c r="B6087" s="410"/>
      <c r="C6087" s="417"/>
      <c r="D6087" s="204" t="s">
        <v>40445</v>
      </c>
      <c r="E6087" s="204">
        <v>3</v>
      </c>
      <c r="F6087" s="205" t="s">
        <v>40446</v>
      </c>
      <c r="G6087" s="206" t="s">
        <v>40447</v>
      </c>
      <c r="H6087" s="207"/>
      <c r="I6087" s="347"/>
      <c r="J6087" s="39">
        <v>105880</v>
      </c>
      <c r="K6087" s="36" t="str">
        <f>CONCATENATE(Cover!$D$6,"fdd/view?i=",J6087)</f>
        <v>https://www.dgiwg.org/FAD/fdd/view?i=105880</v>
      </c>
      <c r="L6087" s="36" t="s">
        <v>40448</v>
      </c>
      <c r="M6087" s="186"/>
      <c r="N6087" s="186"/>
      <c r="O6087" s="172"/>
    </row>
    <row r="6088" spans="1:15" ht="25.5" x14ac:dyDescent="0.2">
      <c r="A6088" s="190" t="str">
        <f t="shared" si="95"/>
        <v>MswCode_chainMooring</v>
      </c>
      <c r="B6088" s="414" t="str">
        <f>HYPERLINK("[#]Datatypes!A948:L948","MswCode")</f>
        <v>MswCode</v>
      </c>
      <c r="C6088" s="415" t="s">
        <v>15538</v>
      </c>
      <c r="D6088" s="221" t="s">
        <v>40449</v>
      </c>
      <c r="E6088" s="221">
        <v>1</v>
      </c>
      <c r="F6088" s="222" t="s">
        <v>40450</v>
      </c>
      <c r="G6088" s="223" t="s">
        <v>40451</v>
      </c>
      <c r="H6088" s="224"/>
      <c r="I6088" s="345"/>
      <c r="J6088" s="39">
        <v>105922</v>
      </c>
      <c r="K6088" s="36" t="str">
        <f>CONCATENATE(Cover!$D$6,"fdd/view?i=",J6088)</f>
        <v>https://www.dgiwg.org/FAD/fdd/view?i=105922</v>
      </c>
      <c r="L6088" s="36" t="s">
        <v>40452</v>
      </c>
      <c r="M6088" s="186"/>
      <c r="N6088" s="186"/>
      <c r="O6088" s="172"/>
    </row>
    <row r="6089" spans="1:15" x14ac:dyDescent="0.2">
      <c r="A6089" s="197" t="str">
        <f t="shared" si="95"/>
        <v>MswCode_cutter</v>
      </c>
      <c r="B6089" s="409"/>
      <c r="C6089" s="416"/>
      <c r="D6089" s="198" t="s">
        <v>40453</v>
      </c>
      <c r="E6089" s="198">
        <v>4</v>
      </c>
      <c r="F6089" s="199" t="s">
        <v>40454</v>
      </c>
      <c r="G6089" s="1" t="s">
        <v>40455</v>
      </c>
      <c r="H6089" s="200"/>
      <c r="I6089" s="346"/>
      <c r="J6089" s="39">
        <v>105925</v>
      </c>
      <c r="K6089" s="36" t="str">
        <f>CONCATENATE(Cover!$D$6,"fdd/view?i=",J6089)</f>
        <v>https://www.dgiwg.org/FAD/fdd/view?i=105925</v>
      </c>
      <c r="L6089" s="36" t="s">
        <v>40456</v>
      </c>
      <c r="M6089" s="186"/>
      <c r="N6089" s="186"/>
      <c r="O6089" s="172"/>
    </row>
    <row r="6090" spans="1:15" x14ac:dyDescent="0.2">
      <c r="A6090" s="197" t="str">
        <f t="shared" si="95"/>
        <v>MswCode_grapnel</v>
      </c>
      <c r="B6090" s="409"/>
      <c r="C6090" s="416"/>
      <c r="D6090" s="198" t="s">
        <v>40457</v>
      </c>
      <c r="E6090" s="198">
        <v>3</v>
      </c>
      <c r="F6090" s="199" t="s">
        <v>40458</v>
      </c>
      <c r="G6090" s="1" t="s">
        <v>40459</v>
      </c>
      <c r="H6090" s="200"/>
      <c r="I6090" s="346"/>
      <c r="J6090" s="39">
        <v>105924</v>
      </c>
      <c r="K6090" s="36" t="str">
        <f>CONCATENATE(Cover!$D$6,"fdd/view?i=",J6090)</f>
        <v>https://www.dgiwg.org/FAD/fdd/view?i=105924</v>
      </c>
      <c r="L6090" s="36" t="s">
        <v>40460</v>
      </c>
      <c r="M6090" s="186"/>
      <c r="N6090" s="186"/>
      <c r="O6090" s="172"/>
    </row>
    <row r="6091" spans="1:15" ht="25.5" x14ac:dyDescent="0.2">
      <c r="A6091" s="197" t="str">
        <f t="shared" si="95"/>
        <v>MswCode_sensitiveTubing</v>
      </c>
      <c r="B6091" s="409"/>
      <c r="C6091" s="416"/>
      <c r="D6091" s="198" t="s">
        <v>40461</v>
      </c>
      <c r="E6091" s="198">
        <v>5</v>
      </c>
      <c r="F6091" s="199" t="s">
        <v>40462</v>
      </c>
      <c r="G6091" s="1" t="s">
        <v>40463</v>
      </c>
      <c r="H6091" s="1" t="s">
        <v>40464</v>
      </c>
      <c r="I6091" s="346"/>
      <c r="J6091" s="39">
        <v>105926</v>
      </c>
      <c r="K6091" s="36" t="str">
        <f>CONCATENATE(Cover!$D$6,"fdd/view?i=",J6091)</f>
        <v>https://www.dgiwg.org/FAD/fdd/view?i=105926</v>
      </c>
      <c r="L6091" s="36" t="s">
        <v>40465</v>
      </c>
      <c r="M6091" s="186"/>
      <c r="N6091" s="186"/>
      <c r="O6091" s="172"/>
    </row>
    <row r="6092" spans="1:15" ht="25.5" x14ac:dyDescent="0.2">
      <c r="A6092" s="203" t="str">
        <f t="shared" si="95"/>
        <v>MswCode_sprocket</v>
      </c>
      <c r="B6092" s="410"/>
      <c r="C6092" s="417"/>
      <c r="D6092" s="204" t="s">
        <v>40466</v>
      </c>
      <c r="E6092" s="204">
        <v>2</v>
      </c>
      <c r="F6092" s="205" t="s">
        <v>40467</v>
      </c>
      <c r="G6092" s="206" t="s">
        <v>40468</v>
      </c>
      <c r="H6092" s="207"/>
      <c r="I6092" s="347"/>
      <c r="J6092" s="39">
        <v>105923</v>
      </c>
      <c r="K6092" s="36" t="str">
        <f>CONCATENATE(Cover!$D$6,"fdd/view?i=",J6092)</f>
        <v>https://www.dgiwg.org/FAD/fdd/view?i=105923</v>
      </c>
      <c r="L6092" s="36" t="s">
        <v>40469</v>
      </c>
      <c r="M6092" s="186"/>
      <c r="N6092" s="186"/>
      <c r="O6092" s="172"/>
    </row>
    <row r="6093" spans="1:15" ht="38.25" x14ac:dyDescent="0.2">
      <c r="A6093" s="190" t="str">
        <f t="shared" si="95"/>
        <v>MnaCode_controlled</v>
      </c>
      <c r="B6093" s="414" t="str">
        <f>HYPERLINK("[#]Datatypes!A950:L950","MnaCode")</f>
        <v>MnaCode</v>
      </c>
      <c r="C6093" s="415" t="s">
        <v>15540</v>
      </c>
      <c r="D6093" s="221" t="s">
        <v>7658</v>
      </c>
      <c r="E6093" s="221">
        <v>1</v>
      </c>
      <c r="F6093" s="222" t="s">
        <v>7660</v>
      </c>
      <c r="G6093" s="223" t="s">
        <v>40470</v>
      </c>
      <c r="H6093" s="223" t="s">
        <v>40471</v>
      </c>
      <c r="I6093" s="345"/>
      <c r="J6093" s="39">
        <v>105749</v>
      </c>
      <c r="K6093" s="36" t="str">
        <f>CONCATENATE(Cover!$D$6,"fdd/view?i=",J6093)</f>
        <v>https://www.dgiwg.org/FAD/fdd/view?i=105749</v>
      </c>
      <c r="L6093" s="36" t="s">
        <v>40472</v>
      </c>
      <c r="M6093" s="186"/>
      <c r="N6093" s="186"/>
      <c r="O6093" s="172"/>
    </row>
    <row r="6094" spans="1:15" ht="25.5" x14ac:dyDescent="0.2">
      <c r="A6094" s="203" t="str">
        <f t="shared" si="95"/>
        <v>MnaCode_selfActuated</v>
      </c>
      <c r="B6094" s="410"/>
      <c r="C6094" s="417"/>
      <c r="D6094" s="204" t="s">
        <v>40473</v>
      </c>
      <c r="E6094" s="204">
        <v>2</v>
      </c>
      <c r="F6094" s="205" t="s">
        <v>40474</v>
      </c>
      <c r="G6094" s="206" t="s">
        <v>40475</v>
      </c>
      <c r="H6094" s="206" t="s">
        <v>40476</v>
      </c>
      <c r="I6094" s="353" t="s">
        <v>40477</v>
      </c>
      <c r="J6094" s="39">
        <v>105750</v>
      </c>
      <c r="K6094" s="36" t="str">
        <f>CONCATENATE(Cover!$D$6,"fdd/view?i=",J6094)</f>
        <v>https://www.dgiwg.org/FAD/fdd/view?i=105750</v>
      </c>
      <c r="L6094" s="36" t="s">
        <v>40478</v>
      </c>
      <c r="M6094" s="186"/>
      <c r="N6094" s="186"/>
      <c r="O6094" s="172"/>
    </row>
    <row r="6095" spans="1:15" ht="25.5" x14ac:dyDescent="0.2">
      <c r="A6095" s="190" t="str">
        <f t="shared" si="95"/>
        <v>MnlCode_alternatCurrentCommsLink</v>
      </c>
      <c r="B6095" s="414" t="str">
        <f>HYPERLINK("[#]Datatypes!A952:L952","MnlCode")</f>
        <v>MnlCode</v>
      </c>
      <c r="C6095" s="415" t="s">
        <v>15542</v>
      </c>
      <c r="D6095" s="221" t="s">
        <v>40479</v>
      </c>
      <c r="E6095" s="221">
        <v>3</v>
      </c>
      <c r="F6095" s="222" t="s">
        <v>40480</v>
      </c>
      <c r="G6095" s="224"/>
      <c r="H6095" s="224"/>
      <c r="I6095" s="345"/>
      <c r="J6095" s="39">
        <v>105771</v>
      </c>
      <c r="K6095" s="36" t="str">
        <f>CONCATENATE(Cover!$D$6,"fdd/view?i=",J6095)</f>
        <v>https://www.dgiwg.org/FAD/fdd/view?i=105771</v>
      </c>
      <c r="L6095" s="36" t="s">
        <v>40481</v>
      </c>
      <c r="M6095" s="186"/>
      <c r="N6095" s="186"/>
      <c r="O6095" s="172"/>
    </row>
    <row r="6096" spans="1:15" ht="25.5" x14ac:dyDescent="0.2">
      <c r="A6096" s="197" t="str">
        <f t="shared" si="95"/>
        <v>MnlCode_explicitCommsLink</v>
      </c>
      <c r="B6096" s="409"/>
      <c r="C6096" s="416"/>
      <c r="D6096" s="198" t="s">
        <v>40482</v>
      </c>
      <c r="E6096" s="198">
        <v>2</v>
      </c>
      <c r="F6096" s="199" t="s">
        <v>40483</v>
      </c>
      <c r="G6096" s="200"/>
      <c r="H6096" s="200"/>
      <c r="I6096" s="346"/>
      <c r="J6096" s="39">
        <v>105770</v>
      </c>
      <c r="K6096" s="36" t="str">
        <f>CONCATENATE(Cover!$D$6,"fdd/view?i=",J6096)</f>
        <v>https://www.dgiwg.org/FAD/fdd/view?i=105770</v>
      </c>
      <c r="L6096" s="36" t="s">
        <v>40484</v>
      </c>
      <c r="M6096" s="186"/>
      <c r="N6096" s="186"/>
      <c r="O6096" s="172"/>
    </row>
    <row r="6097" spans="1:15" ht="25.5" x14ac:dyDescent="0.2">
      <c r="A6097" s="203" t="str">
        <f t="shared" si="95"/>
        <v>MnlCode_frequencyCommsLink</v>
      </c>
      <c r="B6097" s="410"/>
      <c r="C6097" s="417"/>
      <c r="D6097" s="204" t="s">
        <v>40485</v>
      </c>
      <c r="E6097" s="204">
        <v>1</v>
      </c>
      <c r="F6097" s="205" t="s">
        <v>40486</v>
      </c>
      <c r="G6097" s="207"/>
      <c r="H6097" s="207"/>
      <c r="I6097" s="347"/>
      <c r="J6097" s="39">
        <v>105769</v>
      </c>
      <c r="K6097" s="36" t="str">
        <f>CONCATENATE(Cover!$D$6,"fdd/view?i=",J6097)</f>
        <v>https://www.dgiwg.org/FAD/fdd/view?i=105769</v>
      </c>
      <c r="L6097" s="36" t="s">
        <v>40487</v>
      </c>
      <c r="M6097" s="186"/>
      <c r="N6097" s="186"/>
      <c r="O6097" s="172"/>
    </row>
    <row r="6098" spans="1:15" ht="25.5" x14ac:dyDescent="0.2">
      <c r="A6098" s="190" t="str">
        <f t="shared" si="95"/>
        <v>MncCode_cable</v>
      </c>
      <c r="B6098" s="414" t="str">
        <f>HYPERLINK("[#]Datatypes!A954:L954","MncCode")</f>
        <v>MncCode</v>
      </c>
      <c r="C6098" s="415" t="s">
        <v>15544</v>
      </c>
      <c r="D6098" s="221" t="s">
        <v>22425</v>
      </c>
      <c r="E6098" s="221">
        <v>1</v>
      </c>
      <c r="F6098" s="222" t="s">
        <v>2381</v>
      </c>
      <c r="G6098" s="223" t="s">
        <v>40488</v>
      </c>
      <c r="H6098" s="224"/>
      <c r="I6098" s="345"/>
      <c r="J6098" s="39">
        <v>105756</v>
      </c>
      <c r="K6098" s="36" t="str">
        <f>CONCATENATE(Cover!$D$6,"fdd/view?i=",J6098)</f>
        <v>https://www.dgiwg.org/FAD/fdd/view?i=105756</v>
      </c>
      <c r="L6098" s="36" t="s">
        <v>40489</v>
      </c>
      <c r="M6098" s="186"/>
      <c r="N6098" s="186"/>
      <c r="O6098" s="172"/>
    </row>
    <row r="6099" spans="1:15" ht="25.5" x14ac:dyDescent="0.2">
      <c r="A6099" s="203" t="str">
        <f t="shared" si="95"/>
        <v>MncCode_cableless</v>
      </c>
      <c r="B6099" s="410"/>
      <c r="C6099" s="417"/>
      <c r="D6099" s="204" t="s">
        <v>40490</v>
      </c>
      <c r="E6099" s="204">
        <v>2</v>
      </c>
      <c r="F6099" s="205" t="s">
        <v>40491</v>
      </c>
      <c r="G6099" s="206" t="s">
        <v>40492</v>
      </c>
      <c r="H6099" s="206" t="s">
        <v>40493</v>
      </c>
      <c r="I6099" s="347"/>
      <c r="J6099" s="39">
        <v>105757</v>
      </c>
      <c r="K6099" s="36" t="str">
        <f>CONCATENATE(Cover!$D$6,"fdd/view?i=",J6099)</f>
        <v>https://www.dgiwg.org/FAD/fdd/view?i=105757</v>
      </c>
      <c r="L6099" s="36" t="s">
        <v>40494</v>
      </c>
      <c r="M6099" s="186"/>
      <c r="N6099" s="186"/>
      <c r="O6099" s="172"/>
    </row>
    <row r="6100" spans="1:15" ht="25.5" x14ac:dyDescent="0.2">
      <c r="A6100" s="190" t="str">
        <f t="shared" si="95"/>
        <v>MimCode_coarse</v>
      </c>
      <c r="B6100" s="414" t="str">
        <f>HYPERLINK("[#]Datatypes!A956:L956","MimCode")</f>
        <v>MimCode</v>
      </c>
      <c r="C6100" s="415" t="s">
        <v>15546</v>
      </c>
      <c r="D6100" s="221" t="s">
        <v>40495</v>
      </c>
      <c r="E6100" s="221">
        <v>3</v>
      </c>
      <c r="F6100" s="222" t="s">
        <v>40496</v>
      </c>
      <c r="G6100" s="223" t="s">
        <v>40497</v>
      </c>
      <c r="H6100" s="223" t="s">
        <v>40498</v>
      </c>
      <c r="I6100" s="345"/>
      <c r="J6100" s="39">
        <v>105702</v>
      </c>
      <c r="K6100" s="36" t="str">
        <f>CONCATENATE(Cover!$D$6,"fdd/view?i=",J6100)</f>
        <v>https://www.dgiwg.org/FAD/fdd/view?i=105702</v>
      </c>
      <c r="L6100" s="36" t="s">
        <v>40499</v>
      </c>
      <c r="M6100" s="186"/>
      <c r="N6100" s="186"/>
      <c r="O6100" s="172"/>
    </row>
    <row r="6101" spans="1:15" ht="38.25" x14ac:dyDescent="0.2">
      <c r="A6101" s="197" t="str">
        <f t="shared" si="95"/>
        <v>MimCode_magHorizontalComp</v>
      </c>
      <c r="B6101" s="409"/>
      <c r="C6101" s="416"/>
      <c r="D6101" s="198" t="s">
        <v>40500</v>
      </c>
      <c r="E6101" s="198">
        <v>5</v>
      </c>
      <c r="F6101" s="199" t="s">
        <v>40501</v>
      </c>
      <c r="G6101" s="1" t="s">
        <v>40502</v>
      </c>
      <c r="H6101" s="200"/>
      <c r="I6101" s="346"/>
      <c r="J6101" s="39">
        <v>105704</v>
      </c>
      <c r="K6101" s="36" t="str">
        <f>CONCATENATE(Cover!$D$6,"fdd/view?i=",J6101)</f>
        <v>https://www.dgiwg.org/FAD/fdd/view?i=105704</v>
      </c>
      <c r="L6101" s="36" t="s">
        <v>40503</v>
      </c>
      <c r="M6101" s="186"/>
      <c r="N6101" s="186"/>
      <c r="O6101" s="172"/>
    </row>
    <row r="6102" spans="1:15" ht="25.5" x14ac:dyDescent="0.2">
      <c r="A6102" s="197" t="str">
        <f t="shared" si="95"/>
        <v>MimCode_magTotalComp</v>
      </c>
      <c r="B6102" s="409"/>
      <c r="C6102" s="416"/>
      <c r="D6102" s="198" t="s">
        <v>40504</v>
      </c>
      <c r="E6102" s="198">
        <v>7</v>
      </c>
      <c r="F6102" s="199" t="s">
        <v>40505</v>
      </c>
      <c r="G6102" s="1" t="s">
        <v>40506</v>
      </c>
      <c r="H6102" s="200"/>
      <c r="I6102" s="346"/>
      <c r="J6102" s="39">
        <v>105706</v>
      </c>
      <c r="K6102" s="36" t="str">
        <f>CONCATENATE(Cover!$D$6,"fdd/view?i=",J6102)</f>
        <v>https://www.dgiwg.org/FAD/fdd/view?i=105706</v>
      </c>
      <c r="L6102" s="36" t="s">
        <v>40507</v>
      </c>
      <c r="M6102" s="186"/>
      <c r="N6102" s="186"/>
      <c r="O6102" s="172"/>
    </row>
    <row r="6103" spans="1:15" ht="25.5" x14ac:dyDescent="0.2">
      <c r="A6103" s="197" t="str">
        <f t="shared" si="95"/>
        <v>MimCode_magVerticalComp</v>
      </c>
      <c r="B6103" s="409"/>
      <c r="C6103" s="416"/>
      <c r="D6103" s="198" t="s">
        <v>40508</v>
      </c>
      <c r="E6103" s="198">
        <v>6</v>
      </c>
      <c r="F6103" s="199" t="s">
        <v>40509</v>
      </c>
      <c r="G6103" s="1" t="s">
        <v>40510</v>
      </c>
      <c r="H6103" s="200"/>
      <c r="I6103" s="346"/>
      <c r="J6103" s="39">
        <v>105705</v>
      </c>
      <c r="K6103" s="36" t="str">
        <f>CONCATENATE(Cover!$D$6,"fdd/view?i=",J6103)</f>
        <v>https://www.dgiwg.org/FAD/fdd/view?i=105705</v>
      </c>
      <c r="L6103" s="36" t="s">
        <v>40511</v>
      </c>
      <c r="M6103" s="186"/>
      <c r="N6103" s="186"/>
      <c r="O6103" s="172"/>
    </row>
    <row r="6104" spans="1:15" ht="38.25" x14ac:dyDescent="0.2">
      <c r="A6104" s="197" t="str">
        <f t="shared" si="95"/>
        <v>MimCode_midSensitive</v>
      </c>
      <c r="B6104" s="409"/>
      <c r="C6104" s="416"/>
      <c r="D6104" s="198" t="s">
        <v>40512</v>
      </c>
      <c r="E6104" s="198">
        <v>2</v>
      </c>
      <c r="F6104" s="199" t="s">
        <v>40513</v>
      </c>
      <c r="G6104" s="1" t="s">
        <v>40514</v>
      </c>
      <c r="H6104" s="1" t="s">
        <v>40515</v>
      </c>
      <c r="I6104" s="346"/>
      <c r="J6104" s="39">
        <v>105701</v>
      </c>
      <c r="K6104" s="36" t="str">
        <f>CONCATENATE(Cover!$D$6,"fdd/view?i=",J6104)</f>
        <v>https://www.dgiwg.org/FAD/fdd/view?i=105701</v>
      </c>
      <c r="L6104" s="36" t="s">
        <v>40516</v>
      </c>
      <c r="M6104" s="186"/>
      <c r="N6104" s="186"/>
      <c r="O6104" s="172"/>
    </row>
    <row r="6105" spans="1:15" ht="25.5" x14ac:dyDescent="0.2">
      <c r="A6105" s="197" t="str">
        <f t="shared" si="95"/>
        <v>MimCode_sensitive</v>
      </c>
      <c r="B6105" s="409"/>
      <c r="C6105" s="416"/>
      <c r="D6105" s="198" t="s">
        <v>40517</v>
      </c>
      <c r="E6105" s="198">
        <v>1</v>
      </c>
      <c r="F6105" s="199" t="s">
        <v>40518</v>
      </c>
      <c r="G6105" s="1" t="s">
        <v>40519</v>
      </c>
      <c r="H6105" s="1" t="s">
        <v>40520</v>
      </c>
      <c r="I6105" s="346"/>
      <c r="J6105" s="39">
        <v>105700</v>
      </c>
      <c r="K6105" s="36" t="str">
        <f>CONCATENATE(Cover!$D$6,"fdd/view?i=",J6105)</f>
        <v>https://www.dgiwg.org/FAD/fdd/view?i=105700</v>
      </c>
      <c r="L6105" s="36" t="s">
        <v>40521</v>
      </c>
      <c r="M6105" s="186"/>
      <c r="N6105" s="186"/>
      <c r="O6105" s="172"/>
    </row>
    <row r="6106" spans="1:15" ht="63.75" x14ac:dyDescent="0.2">
      <c r="A6106" s="203" t="str">
        <f t="shared" si="95"/>
        <v>MimCode_verySensitive</v>
      </c>
      <c r="B6106" s="410"/>
      <c r="C6106" s="417"/>
      <c r="D6106" s="204" t="s">
        <v>40522</v>
      </c>
      <c r="E6106" s="204">
        <v>4</v>
      </c>
      <c r="F6106" s="205" t="s">
        <v>40523</v>
      </c>
      <c r="G6106" s="206" t="s">
        <v>40524</v>
      </c>
      <c r="H6106" s="206" t="s">
        <v>40525</v>
      </c>
      <c r="I6106" s="347"/>
      <c r="J6106" s="39">
        <v>105703</v>
      </c>
      <c r="K6106" s="36" t="str">
        <f>CONCATENATE(Cover!$D$6,"fdd/view?i=",J6106)</f>
        <v>https://www.dgiwg.org/FAD/fdd/view?i=105703</v>
      </c>
      <c r="L6106" s="36" t="s">
        <v>40526</v>
      </c>
      <c r="M6106" s="186"/>
      <c r="N6106" s="186"/>
      <c r="O6106" s="172"/>
    </row>
    <row r="6107" spans="1:15" ht="25.5" x14ac:dyDescent="0.2">
      <c r="A6107" s="190" t="str">
        <f t="shared" si="95"/>
        <v>MplCode_aircraft</v>
      </c>
      <c r="B6107" s="414" t="str">
        <f>HYPERLINK("[#]Datatypes!A958:L958","MplCode")</f>
        <v>MplCode</v>
      </c>
      <c r="C6107" s="415" t="s">
        <v>15548</v>
      </c>
      <c r="D6107" s="221" t="s">
        <v>26569</v>
      </c>
      <c r="E6107" s="221">
        <v>3</v>
      </c>
      <c r="F6107" s="222" t="s">
        <v>26570</v>
      </c>
      <c r="G6107" s="223" t="s">
        <v>40527</v>
      </c>
      <c r="H6107" s="223" t="s">
        <v>40528</v>
      </c>
      <c r="I6107" s="345"/>
      <c r="J6107" s="39">
        <v>105798</v>
      </c>
      <c r="K6107" s="36" t="str">
        <f>CONCATENATE(Cover!$D$6,"fdd/view?i=",J6107)</f>
        <v>https://www.dgiwg.org/FAD/fdd/view?i=105798</v>
      </c>
      <c r="L6107" s="36" t="s">
        <v>40529</v>
      </c>
      <c r="M6107" s="186"/>
      <c r="N6107" s="186"/>
      <c r="O6107" s="172"/>
    </row>
    <row r="6108" spans="1:15" ht="38.25" x14ac:dyDescent="0.2">
      <c r="A6108" s="197" t="str">
        <f t="shared" si="95"/>
        <v>MplCode_artillery</v>
      </c>
      <c r="B6108" s="409"/>
      <c r="C6108" s="416"/>
      <c r="D6108" s="198" t="s">
        <v>40530</v>
      </c>
      <c r="E6108" s="198">
        <v>2</v>
      </c>
      <c r="F6108" s="199" t="s">
        <v>40531</v>
      </c>
      <c r="G6108" s="1" t="s">
        <v>40532</v>
      </c>
      <c r="H6108" s="1" t="s">
        <v>40533</v>
      </c>
      <c r="I6108" s="346"/>
      <c r="J6108" s="39">
        <v>105797</v>
      </c>
      <c r="K6108" s="36" t="str">
        <f>CONCATENATE(Cover!$D$6,"fdd/view?i=",J6108)</f>
        <v>https://www.dgiwg.org/FAD/fdd/view?i=105797</v>
      </c>
      <c r="L6108" s="36" t="s">
        <v>40534</v>
      </c>
      <c r="M6108" s="186"/>
      <c r="N6108" s="186"/>
      <c r="O6108" s="172"/>
    </row>
    <row r="6109" spans="1:15" ht="25.5" x14ac:dyDescent="0.2">
      <c r="A6109" s="197" t="str">
        <f t="shared" si="95"/>
        <v>MplCode_custom</v>
      </c>
      <c r="B6109" s="409"/>
      <c r="C6109" s="416"/>
      <c r="D6109" s="198" t="s">
        <v>40535</v>
      </c>
      <c r="E6109" s="198">
        <v>5</v>
      </c>
      <c r="F6109" s="199" t="s">
        <v>40536</v>
      </c>
      <c r="G6109" s="1" t="s">
        <v>40537</v>
      </c>
      <c r="H6109" s="1" t="s">
        <v>40538</v>
      </c>
      <c r="I6109" s="346"/>
      <c r="J6109" s="39">
        <v>110261</v>
      </c>
      <c r="K6109" s="36" t="str">
        <f>CONCATENATE(Cover!$D$6,"fdd/view?i=",J6109)</f>
        <v>https://www.dgiwg.org/FAD/fdd/view?i=110261</v>
      </c>
      <c r="L6109" s="36" t="s">
        <v>40539</v>
      </c>
      <c r="M6109" s="186"/>
      <c r="N6109" s="186"/>
      <c r="O6109" s="172"/>
    </row>
    <row r="6110" spans="1:15" ht="25.5" x14ac:dyDescent="0.2">
      <c r="A6110" s="197" t="str">
        <f t="shared" si="95"/>
        <v>MplCode_handEmplaced</v>
      </c>
      <c r="B6110" s="409"/>
      <c r="C6110" s="416"/>
      <c r="D6110" s="198" t="s">
        <v>40540</v>
      </c>
      <c r="E6110" s="198">
        <v>1</v>
      </c>
      <c r="F6110" s="199" t="s">
        <v>40541</v>
      </c>
      <c r="G6110" s="1" t="s">
        <v>40542</v>
      </c>
      <c r="H6110" s="1" t="s">
        <v>40543</v>
      </c>
      <c r="I6110" s="346"/>
      <c r="J6110" s="39">
        <v>105796</v>
      </c>
      <c r="K6110" s="36" t="str">
        <f>CONCATENATE(Cover!$D$6,"fdd/view?i=",J6110)</f>
        <v>https://www.dgiwg.org/FAD/fdd/view?i=105796</v>
      </c>
      <c r="L6110" s="36" t="s">
        <v>40544</v>
      </c>
      <c r="M6110" s="186"/>
      <c r="N6110" s="186"/>
      <c r="O6110" s="172"/>
    </row>
    <row r="6111" spans="1:15" x14ac:dyDescent="0.2">
      <c r="A6111" s="197" t="str">
        <f t="shared" si="95"/>
        <v>MplCode_helicopter</v>
      </c>
      <c r="B6111" s="409"/>
      <c r="C6111" s="416"/>
      <c r="D6111" s="198" t="s">
        <v>21089</v>
      </c>
      <c r="E6111" s="198">
        <v>7</v>
      </c>
      <c r="F6111" s="199" t="s">
        <v>21090</v>
      </c>
      <c r="G6111" s="1" t="s">
        <v>40545</v>
      </c>
      <c r="H6111" s="200"/>
      <c r="I6111" s="346"/>
      <c r="J6111" s="39">
        <v>118519</v>
      </c>
      <c r="K6111" s="36" t="str">
        <f>CONCATENATE(Cover!$D$6,"fdd/view?i=",J6111)</f>
        <v>https://www.dgiwg.org/FAD/fdd/view?i=118519</v>
      </c>
      <c r="L6111" s="36" t="s">
        <v>40546</v>
      </c>
      <c r="M6111" s="186"/>
      <c r="N6111" s="186"/>
      <c r="O6111" s="172"/>
    </row>
    <row r="6112" spans="1:15" ht="25.5" x14ac:dyDescent="0.2">
      <c r="A6112" s="197" t="str">
        <f t="shared" si="95"/>
        <v>MplCode_mineLauncher</v>
      </c>
      <c r="B6112" s="409"/>
      <c r="C6112" s="416"/>
      <c r="D6112" s="198" t="s">
        <v>40547</v>
      </c>
      <c r="E6112" s="198">
        <v>9</v>
      </c>
      <c r="F6112" s="199" t="s">
        <v>40548</v>
      </c>
      <c r="G6112" s="1" t="s">
        <v>40549</v>
      </c>
      <c r="H6112" s="200"/>
      <c r="I6112" s="346"/>
      <c r="J6112" s="39">
        <v>118520</v>
      </c>
      <c r="K6112" s="36" t="str">
        <f>CONCATENATE(Cover!$D$6,"fdd/view?i=",J6112)</f>
        <v>https://www.dgiwg.org/FAD/fdd/view?i=118520</v>
      </c>
      <c r="L6112" s="36" t="s">
        <v>40550</v>
      </c>
      <c r="M6112" s="186"/>
      <c r="N6112" s="186"/>
      <c r="O6112" s="172"/>
    </row>
    <row r="6113" spans="1:15" x14ac:dyDescent="0.2">
      <c r="A6113" s="197" t="str">
        <f t="shared" si="95"/>
        <v>MplCode_ship</v>
      </c>
      <c r="B6113" s="409"/>
      <c r="C6113" s="416"/>
      <c r="D6113" s="198" t="s">
        <v>40551</v>
      </c>
      <c r="E6113" s="198">
        <v>6</v>
      </c>
      <c r="F6113" s="199" t="s">
        <v>40552</v>
      </c>
      <c r="G6113" s="1" t="s">
        <v>40553</v>
      </c>
      <c r="H6113" s="200"/>
      <c r="I6113" s="346"/>
      <c r="J6113" s="39">
        <v>110262</v>
      </c>
      <c r="K6113" s="36" t="str">
        <f>CONCATENATE(Cover!$D$6,"fdd/view?i=",J6113)</f>
        <v>https://www.dgiwg.org/FAD/fdd/view?i=110262</v>
      </c>
      <c r="L6113" s="36" t="s">
        <v>40554</v>
      </c>
      <c r="M6113" s="186"/>
      <c r="N6113" s="186"/>
      <c r="O6113" s="172"/>
    </row>
    <row r="6114" spans="1:15" ht="25.5" x14ac:dyDescent="0.2">
      <c r="A6114" s="203" t="str">
        <f t="shared" si="95"/>
        <v>MplCode_vehicle</v>
      </c>
      <c r="B6114" s="410"/>
      <c r="C6114" s="417"/>
      <c r="D6114" s="204" t="s">
        <v>40555</v>
      </c>
      <c r="E6114" s="204">
        <v>4</v>
      </c>
      <c r="F6114" s="205" t="s">
        <v>40556</v>
      </c>
      <c r="G6114" s="206" t="s">
        <v>40557</v>
      </c>
      <c r="H6114" s="206" t="s">
        <v>40558</v>
      </c>
      <c r="I6114" s="347"/>
      <c r="J6114" s="39">
        <v>110260</v>
      </c>
      <c r="K6114" s="36" t="str">
        <f>CONCATENATE(Cover!$D$6,"fdd/view?i=",J6114)</f>
        <v>https://www.dgiwg.org/FAD/fdd/view?i=110260</v>
      </c>
      <c r="L6114" s="36" t="s">
        <v>40559</v>
      </c>
      <c r="M6114" s="186"/>
      <c r="N6114" s="186"/>
      <c r="O6114" s="172"/>
    </row>
    <row r="6115" spans="1:15" ht="25.5" x14ac:dyDescent="0.2">
      <c r="A6115" s="190" t="str">
        <f t="shared" si="95"/>
        <v>MniCode_contact</v>
      </c>
      <c r="B6115" s="414" t="str">
        <f>HYPERLINK("[#]Datatypes!A960:L960","MniCode")</f>
        <v>MniCode</v>
      </c>
      <c r="C6115" s="415" t="s">
        <v>15550</v>
      </c>
      <c r="D6115" s="221" t="s">
        <v>40560</v>
      </c>
      <c r="E6115" s="221">
        <v>1</v>
      </c>
      <c r="F6115" s="222" t="s">
        <v>40561</v>
      </c>
      <c r="G6115" s="223" t="s">
        <v>40562</v>
      </c>
      <c r="H6115" s="223" t="s">
        <v>40563</v>
      </c>
      <c r="I6115" s="345"/>
      <c r="J6115" s="39">
        <v>105762</v>
      </c>
      <c r="K6115" s="36" t="str">
        <f>CONCATENATE(Cover!$D$6,"fdd/view?i=",J6115)</f>
        <v>https://www.dgiwg.org/FAD/fdd/view?i=105762</v>
      </c>
      <c r="L6115" s="36" t="s">
        <v>40564</v>
      </c>
      <c r="M6115" s="186"/>
      <c r="N6115" s="186"/>
      <c r="O6115" s="172"/>
    </row>
    <row r="6116" spans="1:15" ht="25.5" x14ac:dyDescent="0.2">
      <c r="A6116" s="197" t="str">
        <f t="shared" si="95"/>
        <v>MniCode_influence</v>
      </c>
      <c r="B6116" s="409"/>
      <c r="C6116" s="416"/>
      <c r="D6116" s="198" t="s">
        <v>40565</v>
      </c>
      <c r="E6116" s="198">
        <v>2</v>
      </c>
      <c r="F6116" s="199" t="s">
        <v>40566</v>
      </c>
      <c r="G6116" s="1" t="s">
        <v>40567</v>
      </c>
      <c r="H6116" s="1" t="s">
        <v>40568</v>
      </c>
      <c r="I6116" s="346"/>
      <c r="J6116" s="39">
        <v>105763</v>
      </c>
      <c r="K6116" s="36" t="str">
        <f>CONCATENATE(Cover!$D$6,"fdd/view?i=",J6116)</f>
        <v>https://www.dgiwg.org/FAD/fdd/view?i=105763</v>
      </c>
      <c r="L6116" s="36" t="s">
        <v>40569</v>
      </c>
      <c r="M6116" s="186"/>
      <c r="N6116" s="186"/>
      <c r="O6116" s="172"/>
    </row>
    <row r="6117" spans="1:15" ht="38.25" x14ac:dyDescent="0.2">
      <c r="A6117" s="203" t="str">
        <f t="shared" si="95"/>
        <v>MniCode_remoteSensing</v>
      </c>
      <c r="B6117" s="410"/>
      <c r="C6117" s="417"/>
      <c r="D6117" s="204" t="s">
        <v>40570</v>
      </c>
      <c r="E6117" s="204">
        <v>3</v>
      </c>
      <c r="F6117" s="205" t="s">
        <v>40571</v>
      </c>
      <c r="G6117" s="206" t="s">
        <v>40572</v>
      </c>
      <c r="H6117" s="206" t="s">
        <v>40573</v>
      </c>
      <c r="I6117" s="347"/>
      <c r="J6117" s="39">
        <v>105764</v>
      </c>
      <c r="K6117" s="36" t="str">
        <f>CONCATENATE(Cover!$D$6,"fdd/view?i=",J6117)</f>
        <v>https://www.dgiwg.org/FAD/fdd/view?i=105764</v>
      </c>
      <c r="L6117" s="36" t="s">
        <v>40574</v>
      </c>
      <c r="M6117" s="186"/>
      <c r="N6117" s="186"/>
      <c r="O6117" s="172"/>
    </row>
    <row r="6118" spans="1:15" ht="38.25" x14ac:dyDescent="0.2">
      <c r="A6118" s="190" t="str">
        <f t="shared" si="95"/>
        <v>MsdCode_anticountermining</v>
      </c>
      <c r="B6118" s="414" t="str">
        <f>HYPERLINK("[#]Datatypes!A962:L962","MsdCode")</f>
        <v>MsdCode</v>
      </c>
      <c r="C6118" s="415" t="s">
        <v>15552</v>
      </c>
      <c r="D6118" s="221" t="s">
        <v>40575</v>
      </c>
      <c r="E6118" s="221">
        <v>12</v>
      </c>
      <c r="F6118" s="222" t="s">
        <v>40576</v>
      </c>
      <c r="G6118" s="223" t="s">
        <v>40577</v>
      </c>
      <c r="H6118" s="224"/>
      <c r="I6118" s="345"/>
      <c r="J6118" s="39">
        <v>110263</v>
      </c>
      <c r="K6118" s="36" t="str">
        <f>CONCATENATE(Cover!$D$6,"fdd/view?i=",J6118)</f>
        <v>https://www.dgiwg.org/FAD/fdd/view?i=110263</v>
      </c>
      <c r="L6118" s="36" t="s">
        <v>40578</v>
      </c>
      <c r="M6118" s="186"/>
      <c r="N6118" s="186"/>
      <c r="O6118" s="172"/>
    </row>
    <row r="6119" spans="1:15" ht="25.5" x14ac:dyDescent="0.2">
      <c r="A6119" s="197" t="str">
        <f t="shared" si="95"/>
        <v>MsdCode_antiHunting</v>
      </c>
      <c r="B6119" s="409"/>
      <c r="C6119" s="416"/>
      <c r="D6119" s="198" t="s">
        <v>40579</v>
      </c>
      <c r="E6119" s="198">
        <v>11</v>
      </c>
      <c r="F6119" s="199" t="s">
        <v>40580</v>
      </c>
      <c r="G6119" s="1" t="s">
        <v>40581</v>
      </c>
      <c r="H6119" s="1" t="s">
        <v>40582</v>
      </c>
      <c r="I6119" s="346"/>
      <c r="J6119" s="39">
        <v>105854</v>
      </c>
      <c r="K6119" s="36" t="str">
        <f>CONCATENATE(Cover!$D$6,"fdd/view?i=",J6119)</f>
        <v>https://www.dgiwg.org/FAD/fdd/view?i=105854</v>
      </c>
      <c r="L6119" s="36" t="s">
        <v>40583</v>
      </c>
      <c r="M6119" s="186"/>
      <c r="N6119" s="186"/>
      <c r="O6119" s="172"/>
    </row>
    <row r="6120" spans="1:15" ht="25.5" x14ac:dyDescent="0.2">
      <c r="A6120" s="197" t="str">
        <f t="shared" si="95"/>
        <v>MsdCode_antilift</v>
      </c>
      <c r="B6120" s="409"/>
      <c r="C6120" s="416"/>
      <c r="D6120" s="198" t="s">
        <v>40584</v>
      </c>
      <c r="E6120" s="198">
        <v>13</v>
      </c>
      <c r="F6120" s="199" t="s">
        <v>40585</v>
      </c>
      <c r="G6120" s="1" t="s">
        <v>40586</v>
      </c>
      <c r="H6120" s="200"/>
      <c r="I6120" s="346"/>
      <c r="J6120" s="39">
        <v>110264</v>
      </c>
      <c r="K6120" s="36" t="str">
        <f>CONCATENATE(Cover!$D$6,"fdd/view?i=",J6120)</f>
        <v>https://www.dgiwg.org/FAD/fdd/view?i=110264</v>
      </c>
      <c r="L6120" s="36" t="s">
        <v>40587</v>
      </c>
      <c r="M6120" s="186"/>
      <c r="N6120" s="186"/>
      <c r="O6120" s="172"/>
    </row>
    <row r="6121" spans="1:15" ht="25.5" x14ac:dyDescent="0.2">
      <c r="A6121" s="197" t="str">
        <f t="shared" si="95"/>
        <v>MsdCode_antiRecovery</v>
      </c>
      <c r="B6121" s="409"/>
      <c r="C6121" s="416"/>
      <c r="D6121" s="198" t="s">
        <v>40588</v>
      </c>
      <c r="E6121" s="198">
        <v>10</v>
      </c>
      <c r="F6121" s="199" t="s">
        <v>40589</v>
      </c>
      <c r="G6121" s="1" t="s">
        <v>40590</v>
      </c>
      <c r="H6121" s="1" t="s">
        <v>40591</v>
      </c>
      <c r="I6121" s="346"/>
      <c r="J6121" s="39">
        <v>105853</v>
      </c>
      <c r="K6121" s="36" t="str">
        <f>CONCATENATE(Cover!$D$6,"fdd/view?i=",J6121)</f>
        <v>https://www.dgiwg.org/FAD/fdd/view?i=105853</v>
      </c>
      <c r="L6121" s="36" t="s">
        <v>40592</v>
      </c>
      <c r="M6121" s="186"/>
      <c r="N6121" s="186"/>
      <c r="O6121" s="172"/>
    </row>
    <row r="6122" spans="1:15" ht="38.25" x14ac:dyDescent="0.2">
      <c r="A6122" s="197" t="str">
        <f t="shared" si="95"/>
        <v>MsdCode_antiSweepWire</v>
      </c>
      <c r="B6122" s="409"/>
      <c r="C6122" s="416"/>
      <c r="D6122" s="198" t="s">
        <v>40593</v>
      </c>
      <c r="E6122" s="198">
        <v>9</v>
      </c>
      <c r="F6122" s="199" t="s">
        <v>40594</v>
      </c>
      <c r="G6122" s="1" t="s">
        <v>40595</v>
      </c>
      <c r="H6122" s="1" t="s">
        <v>40596</v>
      </c>
      <c r="I6122" s="346"/>
      <c r="J6122" s="39">
        <v>105852</v>
      </c>
      <c r="K6122" s="36" t="str">
        <f>CONCATENATE(Cover!$D$6,"fdd/view?i=",J6122)</f>
        <v>https://www.dgiwg.org/FAD/fdd/view?i=105852</v>
      </c>
      <c r="L6122" s="36" t="s">
        <v>40597</v>
      </c>
      <c r="M6122" s="186"/>
      <c r="N6122" s="186"/>
      <c r="O6122" s="172"/>
    </row>
    <row r="6123" spans="1:15" ht="38.25" x14ac:dyDescent="0.2">
      <c r="A6123" s="197" t="str">
        <f t="shared" si="95"/>
        <v>MsdCode_antiwatching</v>
      </c>
      <c r="B6123" s="409"/>
      <c r="C6123" s="416"/>
      <c r="D6123" s="198" t="s">
        <v>40598</v>
      </c>
      <c r="E6123" s="198">
        <v>8</v>
      </c>
      <c r="F6123" s="199" t="s">
        <v>40599</v>
      </c>
      <c r="G6123" s="1" t="s">
        <v>40600</v>
      </c>
      <c r="H6123" s="200"/>
      <c r="I6123" s="346"/>
      <c r="J6123" s="39">
        <v>105851</v>
      </c>
      <c r="K6123" s="36" t="str">
        <f>CONCATENATE(Cover!$D$6,"fdd/view?i=",J6123)</f>
        <v>https://www.dgiwg.org/FAD/fdd/view?i=105851</v>
      </c>
      <c r="L6123" s="36" t="s">
        <v>40601</v>
      </c>
      <c r="M6123" s="186"/>
      <c r="N6123" s="186"/>
      <c r="O6123" s="172"/>
    </row>
    <row r="6124" spans="1:15" ht="25.5" x14ac:dyDescent="0.2">
      <c r="A6124" s="197" t="str">
        <f t="shared" si="95"/>
        <v>MsdCode_armingDelay</v>
      </c>
      <c r="B6124" s="409"/>
      <c r="C6124" s="416"/>
      <c r="D6124" s="198" t="s">
        <v>40602</v>
      </c>
      <c r="E6124" s="198">
        <v>1</v>
      </c>
      <c r="F6124" s="199" t="s">
        <v>40603</v>
      </c>
      <c r="G6124" s="1" t="s">
        <v>40604</v>
      </c>
      <c r="H6124" s="200"/>
      <c r="I6124" s="346"/>
      <c r="J6124" s="39">
        <v>105844</v>
      </c>
      <c r="K6124" s="36" t="str">
        <f>CONCATENATE(Cover!$D$6,"fdd/view?i=",J6124)</f>
        <v>https://www.dgiwg.org/FAD/fdd/view?i=105844</v>
      </c>
      <c r="L6124" s="36" t="s">
        <v>40605</v>
      </c>
      <c r="M6124" s="186"/>
      <c r="N6124" s="186"/>
      <c r="O6124" s="172"/>
    </row>
    <row r="6125" spans="1:15" ht="25.5" x14ac:dyDescent="0.2">
      <c r="A6125" s="197" t="str">
        <f t="shared" si="95"/>
        <v>MsdCode_delayedRising</v>
      </c>
      <c r="B6125" s="409"/>
      <c r="C6125" s="416"/>
      <c r="D6125" s="198" t="s">
        <v>40606</v>
      </c>
      <c r="E6125" s="198">
        <v>4</v>
      </c>
      <c r="F6125" s="199" t="s">
        <v>40607</v>
      </c>
      <c r="G6125" s="1" t="s">
        <v>40608</v>
      </c>
      <c r="H6125" s="200"/>
      <c r="I6125" s="351" t="s">
        <v>40609</v>
      </c>
      <c r="J6125" s="39">
        <v>105847</v>
      </c>
      <c r="K6125" s="36" t="str">
        <f>CONCATENATE(Cover!$D$6,"fdd/view?i=",J6125)</f>
        <v>https://www.dgiwg.org/FAD/fdd/view?i=105847</v>
      </c>
      <c r="L6125" s="36" t="s">
        <v>40610</v>
      </c>
      <c r="M6125" s="186"/>
      <c r="N6125" s="186"/>
      <c r="O6125" s="172"/>
    </row>
    <row r="6126" spans="1:15" ht="25.5" x14ac:dyDescent="0.2">
      <c r="A6126" s="197" t="str">
        <f t="shared" si="95"/>
        <v>MsdCode_flooder</v>
      </c>
      <c r="B6126" s="409"/>
      <c r="C6126" s="416"/>
      <c r="D6126" s="198" t="s">
        <v>40431</v>
      </c>
      <c r="E6126" s="198">
        <v>7</v>
      </c>
      <c r="F6126" s="199" t="s">
        <v>40432</v>
      </c>
      <c r="G6126" s="1" t="s">
        <v>40611</v>
      </c>
      <c r="H6126" s="200"/>
      <c r="I6126" s="346"/>
      <c r="J6126" s="39">
        <v>105850</v>
      </c>
      <c r="K6126" s="36" t="str">
        <f>CONCATENATE(Cover!$D$6,"fdd/view?i=",J6126)</f>
        <v>https://www.dgiwg.org/FAD/fdd/view?i=105850</v>
      </c>
      <c r="L6126" s="36" t="s">
        <v>40612</v>
      </c>
      <c r="M6126" s="186"/>
      <c r="N6126" s="186"/>
      <c r="O6126" s="172"/>
    </row>
    <row r="6127" spans="1:15" ht="38.25" x14ac:dyDescent="0.2">
      <c r="A6127" s="197" t="str">
        <f t="shared" si="95"/>
        <v>MsdCode_influenceReleaseSinker</v>
      </c>
      <c r="B6127" s="409"/>
      <c r="C6127" s="416"/>
      <c r="D6127" s="198" t="s">
        <v>40613</v>
      </c>
      <c r="E6127" s="198">
        <v>14</v>
      </c>
      <c r="F6127" s="199" t="s">
        <v>40614</v>
      </c>
      <c r="G6127" s="1" t="s">
        <v>40615</v>
      </c>
      <c r="H6127" s="200"/>
      <c r="I6127" s="346"/>
      <c r="J6127" s="39">
        <v>110265</v>
      </c>
      <c r="K6127" s="36" t="str">
        <f>CONCATENATE(Cover!$D$6,"fdd/view?i=",J6127)</f>
        <v>https://www.dgiwg.org/FAD/fdd/view?i=110265</v>
      </c>
      <c r="L6127" s="36" t="s">
        <v>40616</v>
      </c>
      <c r="M6127" s="186"/>
      <c r="N6127" s="186"/>
      <c r="O6127" s="172"/>
    </row>
    <row r="6128" spans="1:15" ht="25.5" x14ac:dyDescent="0.2">
      <c r="A6128" s="197" t="str">
        <f t="shared" si="95"/>
        <v>MsdCode_intermittentArming</v>
      </c>
      <c r="B6128" s="409"/>
      <c r="C6128" s="416"/>
      <c r="D6128" s="198" t="s">
        <v>40617</v>
      </c>
      <c r="E6128" s="198">
        <v>3</v>
      </c>
      <c r="F6128" s="199" t="s">
        <v>40618</v>
      </c>
      <c r="G6128" s="1" t="s">
        <v>40619</v>
      </c>
      <c r="H6128" s="200"/>
      <c r="I6128" s="346"/>
      <c r="J6128" s="39">
        <v>105846</v>
      </c>
      <c r="K6128" s="36" t="str">
        <f>CONCATENATE(Cover!$D$6,"fdd/view?i=",J6128)</f>
        <v>https://www.dgiwg.org/FAD/fdd/view?i=105846</v>
      </c>
      <c r="L6128" s="36" t="s">
        <v>40620</v>
      </c>
      <c r="M6128" s="186"/>
      <c r="N6128" s="186"/>
      <c r="O6128" s="172"/>
    </row>
    <row r="6129" spans="1:15" ht="25.5" x14ac:dyDescent="0.2">
      <c r="A6129" s="197" t="str">
        <f t="shared" si="95"/>
        <v>MsdCode_obstructor</v>
      </c>
      <c r="B6129" s="409"/>
      <c r="C6129" s="416"/>
      <c r="D6129" s="198" t="s">
        <v>40621</v>
      </c>
      <c r="E6129" s="198">
        <v>5</v>
      </c>
      <c r="F6129" s="199" t="s">
        <v>40622</v>
      </c>
      <c r="G6129" s="1" t="s">
        <v>40623</v>
      </c>
      <c r="H6129" s="200"/>
      <c r="I6129" s="346"/>
      <c r="J6129" s="39">
        <v>105848</v>
      </c>
      <c r="K6129" s="36" t="str">
        <f>CONCATENATE(Cover!$D$6,"fdd/view?i=",J6129)</f>
        <v>https://www.dgiwg.org/FAD/fdd/view?i=105848</v>
      </c>
      <c r="L6129" s="36" t="s">
        <v>40624</v>
      </c>
      <c r="M6129" s="186"/>
      <c r="N6129" s="186"/>
      <c r="O6129" s="172"/>
    </row>
    <row r="6130" spans="1:15" ht="25.5" x14ac:dyDescent="0.2">
      <c r="A6130" s="197" t="str">
        <f t="shared" si="95"/>
        <v>MsdCode_sterilizer</v>
      </c>
      <c r="B6130" s="409"/>
      <c r="C6130" s="416"/>
      <c r="D6130" s="198" t="s">
        <v>40625</v>
      </c>
      <c r="E6130" s="198">
        <v>6</v>
      </c>
      <c r="F6130" s="199" t="s">
        <v>40626</v>
      </c>
      <c r="G6130" s="1" t="s">
        <v>40627</v>
      </c>
      <c r="H6130" s="200"/>
      <c r="I6130" s="346"/>
      <c r="J6130" s="39">
        <v>105849</v>
      </c>
      <c r="K6130" s="36" t="str">
        <f>CONCATENATE(Cover!$D$6,"fdd/view?i=",J6130)</f>
        <v>https://www.dgiwg.org/FAD/fdd/view?i=105849</v>
      </c>
      <c r="L6130" s="36" t="s">
        <v>40628</v>
      </c>
      <c r="M6130" s="186"/>
      <c r="N6130" s="186"/>
      <c r="O6130" s="172"/>
    </row>
    <row r="6131" spans="1:15" ht="25.5" x14ac:dyDescent="0.2">
      <c r="A6131" s="203" t="str">
        <f t="shared" si="95"/>
        <v>MsdCode_vesselCount</v>
      </c>
      <c r="B6131" s="410"/>
      <c r="C6131" s="417"/>
      <c r="D6131" s="204" t="s">
        <v>40629</v>
      </c>
      <c r="E6131" s="204">
        <v>2</v>
      </c>
      <c r="F6131" s="205" t="s">
        <v>40630</v>
      </c>
      <c r="G6131" s="206" t="s">
        <v>40631</v>
      </c>
      <c r="H6131" s="207"/>
      <c r="I6131" s="347"/>
      <c r="J6131" s="39">
        <v>105845</v>
      </c>
      <c r="K6131" s="36" t="str">
        <f>CONCATENATE(Cover!$D$6,"fdd/view?i=",J6131)</f>
        <v>https://www.dgiwg.org/FAD/fdd/view?i=105845</v>
      </c>
      <c r="L6131" s="36" t="s">
        <v>40632</v>
      </c>
      <c r="M6131" s="186"/>
      <c r="N6131" s="186"/>
      <c r="O6131" s="172"/>
    </row>
    <row r="6132" spans="1:15" x14ac:dyDescent="0.2">
      <c r="A6132" s="190" t="str">
        <f t="shared" si="95"/>
        <v>MdcCode_boundary</v>
      </c>
      <c r="B6132" s="414" t="str">
        <f>HYPERLINK("[#]Datatypes!A964:L964","MdcCode")</f>
        <v>MdcCode</v>
      </c>
      <c r="C6132" s="415" t="s">
        <v>15554</v>
      </c>
      <c r="D6132" s="221" t="s">
        <v>19928</v>
      </c>
      <c r="E6132" s="221">
        <v>1</v>
      </c>
      <c r="F6132" s="222" t="s">
        <v>2314</v>
      </c>
      <c r="G6132" s="223" t="s">
        <v>40633</v>
      </c>
      <c r="H6132" s="224"/>
      <c r="I6132" s="345"/>
      <c r="J6132" s="39">
        <v>105584</v>
      </c>
      <c r="K6132" s="36" t="str">
        <f>CONCATENATE(Cover!$D$6,"fdd/view?i=",J6132)</f>
        <v>https://www.dgiwg.org/FAD/fdd/view?i=105584</v>
      </c>
      <c r="L6132" s="36" t="s">
        <v>40634</v>
      </c>
      <c r="M6132" s="186"/>
      <c r="N6132" s="186"/>
      <c r="O6132" s="172"/>
    </row>
    <row r="6133" spans="1:15" ht="25.5" x14ac:dyDescent="0.2">
      <c r="A6133" s="197" t="str">
        <f t="shared" si="95"/>
        <v>MdcCode_circle</v>
      </c>
      <c r="B6133" s="409"/>
      <c r="C6133" s="416"/>
      <c r="D6133" s="198" t="s">
        <v>40635</v>
      </c>
      <c r="E6133" s="198">
        <v>4</v>
      </c>
      <c r="F6133" s="199" t="s">
        <v>40636</v>
      </c>
      <c r="G6133" s="1" t="s">
        <v>40637</v>
      </c>
      <c r="H6133" s="1" t="s">
        <v>40638</v>
      </c>
      <c r="I6133" s="346"/>
      <c r="J6133" s="39">
        <v>105587</v>
      </c>
      <c r="K6133" s="36" t="str">
        <f>CONCATENATE(Cover!$D$6,"fdd/view?i=",J6133)</f>
        <v>https://www.dgiwg.org/FAD/fdd/view?i=105587</v>
      </c>
      <c r="L6133" s="36" t="s">
        <v>40639</v>
      </c>
      <c r="M6133" s="186"/>
      <c r="N6133" s="186"/>
      <c r="O6133" s="172"/>
    </row>
    <row r="6134" spans="1:15" ht="25.5" x14ac:dyDescent="0.2">
      <c r="A6134" s="197" t="str">
        <f t="shared" si="95"/>
        <v>MdcCode_enemyEdge</v>
      </c>
      <c r="B6134" s="409"/>
      <c r="C6134" s="416"/>
      <c r="D6134" s="198" t="s">
        <v>40640</v>
      </c>
      <c r="E6134" s="198">
        <v>2</v>
      </c>
      <c r="F6134" s="199" t="s">
        <v>40641</v>
      </c>
      <c r="G6134" s="1" t="s">
        <v>40642</v>
      </c>
      <c r="H6134" s="1" t="s">
        <v>40643</v>
      </c>
      <c r="I6134" s="346"/>
      <c r="J6134" s="39">
        <v>105585</v>
      </c>
      <c r="K6134" s="36" t="str">
        <f>CONCATENATE(Cover!$D$6,"fdd/view?i=",J6134)</f>
        <v>https://www.dgiwg.org/FAD/fdd/view?i=105585</v>
      </c>
      <c r="L6134" s="36" t="s">
        <v>40644</v>
      </c>
      <c r="M6134" s="186"/>
      <c r="N6134" s="186"/>
      <c r="O6134" s="172"/>
    </row>
    <row r="6135" spans="1:15" ht="25.5" x14ac:dyDescent="0.2">
      <c r="A6135" s="203" t="str">
        <f t="shared" si="95"/>
        <v>MdcCode_friendlyEdge</v>
      </c>
      <c r="B6135" s="410"/>
      <c r="C6135" s="417"/>
      <c r="D6135" s="204" t="s">
        <v>40645</v>
      </c>
      <c r="E6135" s="204">
        <v>3</v>
      </c>
      <c r="F6135" s="205" t="s">
        <v>40646</v>
      </c>
      <c r="G6135" s="206" t="s">
        <v>40647</v>
      </c>
      <c r="H6135" s="206" t="s">
        <v>40643</v>
      </c>
      <c r="I6135" s="347"/>
      <c r="J6135" s="39">
        <v>105586</v>
      </c>
      <c r="K6135" s="36" t="str">
        <f>CONCATENATE(Cover!$D$6,"fdd/view?i=",J6135)</f>
        <v>https://www.dgiwg.org/FAD/fdd/view?i=105586</v>
      </c>
      <c r="L6135" s="36" t="s">
        <v>40648</v>
      </c>
      <c r="M6135" s="186"/>
      <c r="N6135" s="186"/>
      <c r="O6135" s="172"/>
    </row>
    <row r="6136" spans="1:15" ht="25.5" x14ac:dyDescent="0.2">
      <c r="A6136" s="190" t="str">
        <f t="shared" si="95"/>
        <v>MhcCode_moderate</v>
      </c>
      <c r="B6136" s="414" t="str">
        <f>HYPERLINK("[#]Datatypes!A966:L966","MhcCode")</f>
        <v>MhcCode</v>
      </c>
      <c r="C6136" s="415" t="s">
        <v>15556</v>
      </c>
      <c r="D6136" s="221" t="s">
        <v>22411</v>
      </c>
      <c r="E6136" s="221">
        <v>2</v>
      </c>
      <c r="F6136" s="222" t="s">
        <v>40653</v>
      </c>
      <c r="G6136" s="223" t="s">
        <v>40654</v>
      </c>
      <c r="H6136" s="224"/>
      <c r="I6136" s="345"/>
      <c r="J6136" s="39">
        <v>114565</v>
      </c>
      <c r="K6136" s="36" t="str">
        <f>CONCATENATE(Cover!$D$6,"fdd/view?i=",J6136)</f>
        <v>https://www.dgiwg.org/FAD/fdd/view?i=114565</v>
      </c>
      <c r="L6136" s="36" t="s">
        <v>40655</v>
      </c>
      <c r="M6136" s="186"/>
      <c r="N6136" s="186"/>
      <c r="O6136" s="172"/>
    </row>
    <row r="6137" spans="1:15" ht="25.5" x14ac:dyDescent="0.2">
      <c r="A6137" s="197" t="str">
        <f t="shared" si="95"/>
        <v>MhcCode_rough</v>
      </c>
      <c r="B6137" s="409"/>
      <c r="C6137" s="416"/>
      <c r="D6137" s="198" t="s">
        <v>40656</v>
      </c>
      <c r="E6137" s="198">
        <v>3</v>
      </c>
      <c r="F6137" s="199" t="s">
        <v>40657</v>
      </c>
      <c r="G6137" s="1" t="s">
        <v>40658</v>
      </c>
      <c r="H6137" s="200"/>
      <c r="I6137" s="346"/>
      <c r="J6137" s="39">
        <v>114566</v>
      </c>
      <c r="K6137" s="36" t="str">
        <f>CONCATENATE(Cover!$D$6,"fdd/view?i=",J6137)</f>
        <v>https://www.dgiwg.org/FAD/fdd/view?i=114566</v>
      </c>
      <c r="L6137" s="36" t="s">
        <v>40659</v>
      </c>
      <c r="M6137" s="186"/>
      <c r="N6137" s="186"/>
      <c r="O6137" s="172"/>
    </row>
    <row r="6138" spans="1:15" ht="25.5" x14ac:dyDescent="0.2">
      <c r="A6138" s="197" t="str">
        <f t="shared" si="95"/>
        <v>MhcCode_smooth</v>
      </c>
      <c r="B6138" s="409"/>
      <c r="C6138" s="416"/>
      <c r="D6138" s="198" t="s">
        <v>40649</v>
      </c>
      <c r="E6138" s="198">
        <v>1</v>
      </c>
      <c r="F6138" s="199" t="s">
        <v>40650</v>
      </c>
      <c r="G6138" s="1" t="s">
        <v>40651</v>
      </c>
      <c r="H6138" s="200"/>
      <c r="I6138" s="346"/>
      <c r="J6138" s="39">
        <v>114564</v>
      </c>
      <c r="K6138" s="36" t="str">
        <f>CONCATENATE(Cover!$D$6,"fdd/view?i=",J6138)</f>
        <v>https://www.dgiwg.org/FAD/fdd/view?i=114564</v>
      </c>
      <c r="L6138" s="36" t="s">
        <v>40652</v>
      </c>
      <c r="M6138" s="186"/>
      <c r="N6138" s="186"/>
      <c r="O6138" s="172"/>
    </row>
    <row r="6139" spans="1:15" ht="25.5" x14ac:dyDescent="0.2">
      <c r="A6139" s="203" t="str">
        <f t="shared" si="95"/>
        <v>MhcCode_veryRough</v>
      </c>
      <c r="B6139" s="410"/>
      <c r="C6139" s="417"/>
      <c r="D6139" s="204" t="s">
        <v>40660</v>
      </c>
      <c r="E6139" s="204">
        <v>4</v>
      </c>
      <c r="F6139" s="205" t="s">
        <v>40661</v>
      </c>
      <c r="G6139" s="206" t="s">
        <v>40662</v>
      </c>
      <c r="H6139" s="207"/>
      <c r="I6139" s="347"/>
      <c r="J6139" s="39">
        <v>114567</v>
      </c>
      <c r="K6139" s="36" t="str">
        <f>CONCATENATE(Cover!$D$6,"fdd/view?i=",J6139)</f>
        <v>https://www.dgiwg.org/FAD/fdd/view?i=114567</v>
      </c>
      <c r="L6139" s="36" t="s">
        <v>40663</v>
      </c>
      <c r="M6139" s="186"/>
      <c r="N6139" s="186"/>
      <c r="O6139" s="172"/>
    </row>
    <row r="6140" spans="1:15" ht="51" x14ac:dyDescent="0.2">
      <c r="A6140" s="190" t="str">
        <f t="shared" si="95"/>
        <v>MisCode_classified</v>
      </c>
      <c r="B6140" s="414" t="str">
        <f>HYPERLINK("[#]Datatypes!A968:L968","MisCode")</f>
        <v>MisCode</v>
      </c>
      <c r="C6140" s="415" t="s">
        <v>15558</v>
      </c>
      <c r="D6140" s="221" t="s">
        <v>24126</v>
      </c>
      <c r="E6140" s="221">
        <v>2</v>
      </c>
      <c r="F6140" s="222" t="s">
        <v>24127</v>
      </c>
      <c r="G6140" s="223" t="s">
        <v>40664</v>
      </c>
      <c r="H6140" s="224"/>
      <c r="I6140" s="345"/>
      <c r="J6140" s="39">
        <v>111121</v>
      </c>
      <c r="K6140" s="36" t="str">
        <f>CONCATENATE(Cover!$D$6,"fdd/view?i=",J6140)</f>
        <v>https://www.dgiwg.org/FAD/fdd/view?i=111121</v>
      </c>
      <c r="L6140" s="36" t="s">
        <v>40665</v>
      </c>
      <c r="M6140" s="186"/>
      <c r="N6140" s="186"/>
      <c r="O6140" s="172"/>
    </row>
    <row r="6141" spans="1:15" ht="51" x14ac:dyDescent="0.2">
      <c r="A6141" s="197" t="str">
        <f t="shared" si="95"/>
        <v>MisCode_detected</v>
      </c>
      <c r="B6141" s="409"/>
      <c r="C6141" s="416"/>
      <c r="D6141" s="198" t="s">
        <v>24131</v>
      </c>
      <c r="E6141" s="198">
        <v>1</v>
      </c>
      <c r="F6141" s="199" t="s">
        <v>24132</v>
      </c>
      <c r="G6141" s="1" t="s">
        <v>40666</v>
      </c>
      <c r="H6141" s="200"/>
      <c r="I6141" s="346"/>
      <c r="J6141" s="39">
        <v>111120</v>
      </c>
      <c r="K6141" s="36" t="str">
        <f>CONCATENATE(Cover!$D$6,"fdd/view?i=",J6141)</f>
        <v>https://www.dgiwg.org/FAD/fdd/view?i=111120</v>
      </c>
      <c r="L6141" s="36" t="s">
        <v>40667</v>
      </c>
      <c r="M6141" s="186"/>
      <c r="N6141" s="186"/>
      <c r="O6141" s="172"/>
    </row>
    <row r="6142" spans="1:15" ht="38.25" x14ac:dyDescent="0.2">
      <c r="A6142" s="203" t="str">
        <f t="shared" si="95"/>
        <v>MisCode_identified</v>
      </c>
      <c r="B6142" s="410"/>
      <c r="C6142" s="417"/>
      <c r="D6142" s="204" t="s">
        <v>24136</v>
      </c>
      <c r="E6142" s="204">
        <v>3</v>
      </c>
      <c r="F6142" s="205" t="s">
        <v>24137</v>
      </c>
      <c r="G6142" s="206" t="s">
        <v>40668</v>
      </c>
      <c r="H6142" s="206" t="s">
        <v>40669</v>
      </c>
      <c r="I6142" s="347"/>
      <c r="J6142" s="39">
        <v>111122</v>
      </c>
      <c r="K6142" s="36" t="str">
        <f>CONCATENATE(Cover!$D$6,"fdd/view?i=",J6142)</f>
        <v>https://www.dgiwg.org/FAD/fdd/view?i=111122</v>
      </c>
      <c r="L6142" s="36" t="s">
        <v>40670</v>
      </c>
      <c r="M6142" s="186"/>
      <c r="N6142" s="186"/>
      <c r="O6142" s="172"/>
    </row>
    <row r="6143" spans="1:15" ht="51" x14ac:dyDescent="0.2">
      <c r="A6143" s="190" t="str">
        <f t="shared" si="95"/>
        <v>NdeCode_hypotheticalResource</v>
      </c>
      <c r="B6143" s="414" t="str">
        <f>HYPERLINK("[#]Datatypes!A970:L970","NdeCode")</f>
        <v>NdeCode</v>
      </c>
      <c r="C6143" s="415" t="s">
        <v>15560</v>
      </c>
      <c r="D6143" s="221" t="s">
        <v>40671</v>
      </c>
      <c r="E6143" s="221">
        <v>11</v>
      </c>
      <c r="F6143" s="222" t="s">
        <v>40672</v>
      </c>
      <c r="G6143" s="223" t="s">
        <v>40673</v>
      </c>
      <c r="H6143" s="223" t="s">
        <v>40674</v>
      </c>
      <c r="I6143" s="345"/>
      <c r="J6143" s="39">
        <v>113592</v>
      </c>
      <c r="K6143" s="36" t="str">
        <f>CONCATENATE(Cover!$D$6,"fdd/view?i=",J6143)</f>
        <v>https://www.dgiwg.org/FAD/fdd/view?i=113592</v>
      </c>
      <c r="L6143" s="36" t="s">
        <v>40675</v>
      </c>
      <c r="M6143" s="186"/>
      <c r="N6143" s="186"/>
      <c r="O6143" s="172"/>
    </row>
    <row r="6144" spans="1:15" ht="76.5" x14ac:dyDescent="0.2">
      <c r="A6144" s="197" t="str">
        <f t="shared" si="95"/>
        <v>NdeCode_indicatedMineralResource</v>
      </c>
      <c r="B6144" s="409"/>
      <c r="C6144" s="416"/>
      <c r="D6144" s="198" t="s">
        <v>40676</v>
      </c>
      <c r="E6144" s="198">
        <v>1</v>
      </c>
      <c r="F6144" s="199" t="s">
        <v>40677</v>
      </c>
      <c r="G6144" s="1" t="s">
        <v>40678</v>
      </c>
      <c r="H6144" s="1" t="s">
        <v>40679</v>
      </c>
      <c r="I6144" s="346"/>
      <c r="J6144" s="39">
        <v>113582</v>
      </c>
      <c r="K6144" s="36" t="str">
        <f>CONCATENATE(Cover!$D$6,"fdd/view?i=",J6144)</f>
        <v>https://www.dgiwg.org/FAD/fdd/view?i=113582</v>
      </c>
      <c r="L6144" s="36" t="s">
        <v>40680</v>
      </c>
      <c r="M6144" s="186"/>
      <c r="N6144" s="186"/>
      <c r="O6144" s="172"/>
    </row>
    <row r="6145" spans="1:15" ht="102" x14ac:dyDescent="0.2">
      <c r="A6145" s="197" t="str">
        <f t="shared" si="95"/>
        <v>NdeCode_inferredMineralResource</v>
      </c>
      <c r="B6145" s="409"/>
      <c r="C6145" s="416"/>
      <c r="D6145" s="198" t="s">
        <v>40681</v>
      </c>
      <c r="E6145" s="198">
        <v>2</v>
      </c>
      <c r="F6145" s="199" t="s">
        <v>40682</v>
      </c>
      <c r="G6145" s="1" t="s">
        <v>40683</v>
      </c>
      <c r="H6145" s="1" t="s">
        <v>40684</v>
      </c>
      <c r="I6145" s="346"/>
      <c r="J6145" s="39">
        <v>113583</v>
      </c>
      <c r="K6145" s="36" t="str">
        <f>CONCATENATE(Cover!$D$6,"fdd/view?i=",J6145)</f>
        <v>https://www.dgiwg.org/FAD/fdd/view?i=113583</v>
      </c>
      <c r="L6145" s="36" t="s">
        <v>40685</v>
      </c>
      <c r="M6145" s="186"/>
      <c r="N6145" s="186"/>
      <c r="O6145" s="172"/>
    </row>
    <row r="6146" spans="1:15" ht="51" x14ac:dyDescent="0.2">
      <c r="A6146" s="197" t="str">
        <f t="shared" ref="A6146:A6209" si="96">HYPERLINK(K6146,L6146)</f>
        <v>NdeCode_measuredMineralResource</v>
      </c>
      <c r="B6146" s="409"/>
      <c r="C6146" s="416"/>
      <c r="D6146" s="198" t="s">
        <v>40686</v>
      </c>
      <c r="E6146" s="198">
        <v>3</v>
      </c>
      <c r="F6146" s="199" t="s">
        <v>40687</v>
      </c>
      <c r="G6146" s="1" t="s">
        <v>40688</v>
      </c>
      <c r="H6146" s="1" t="s">
        <v>40689</v>
      </c>
      <c r="I6146" s="346"/>
      <c r="J6146" s="39">
        <v>113584</v>
      </c>
      <c r="K6146" s="36" t="str">
        <f>CONCATENATE(Cover!$D$6,"fdd/view?i=",J6146)</f>
        <v>https://www.dgiwg.org/FAD/fdd/view?i=113584</v>
      </c>
      <c r="L6146" s="36" t="s">
        <v>40690</v>
      </c>
      <c r="M6146" s="186"/>
      <c r="N6146" s="186"/>
      <c r="O6146" s="172"/>
    </row>
    <row r="6147" spans="1:15" ht="63.75" x14ac:dyDescent="0.2">
      <c r="A6147" s="197" t="str">
        <f t="shared" si="96"/>
        <v>NdeCode_mineralOccurrence</v>
      </c>
      <c r="B6147" s="409"/>
      <c r="C6147" s="416"/>
      <c r="D6147" s="198" t="s">
        <v>40691</v>
      </c>
      <c r="E6147" s="198">
        <v>6</v>
      </c>
      <c r="F6147" s="199" t="s">
        <v>40692</v>
      </c>
      <c r="G6147" s="1" t="s">
        <v>40693</v>
      </c>
      <c r="H6147" s="1" t="s">
        <v>40694</v>
      </c>
      <c r="I6147" s="346"/>
      <c r="J6147" s="39">
        <v>113587</v>
      </c>
      <c r="K6147" s="36" t="str">
        <f>CONCATENATE(Cover!$D$6,"fdd/view?i=",J6147)</f>
        <v>https://www.dgiwg.org/FAD/fdd/view?i=113587</v>
      </c>
      <c r="L6147" s="36" t="s">
        <v>40695</v>
      </c>
      <c r="M6147" s="186"/>
      <c r="N6147" s="186"/>
      <c r="O6147" s="172"/>
    </row>
    <row r="6148" spans="1:15" ht="63.75" x14ac:dyDescent="0.2">
      <c r="A6148" s="197" t="str">
        <f t="shared" si="96"/>
        <v>NdeCode_mineralReserve</v>
      </c>
      <c r="B6148" s="409"/>
      <c r="C6148" s="416"/>
      <c r="D6148" s="198" t="s">
        <v>40696</v>
      </c>
      <c r="E6148" s="198">
        <v>8</v>
      </c>
      <c r="F6148" s="199" t="s">
        <v>40697</v>
      </c>
      <c r="G6148" s="1" t="s">
        <v>40698</v>
      </c>
      <c r="H6148" s="1" t="s">
        <v>40699</v>
      </c>
      <c r="I6148" s="346"/>
      <c r="J6148" s="39">
        <v>113589</v>
      </c>
      <c r="K6148" s="36" t="str">
        <f>CONCATENATE(Cover!$D$6,"fdd/view?i=",J6148)</f>
        <v>https://www.dgiwg.org/FAD/fdd/view?i=113589</v>
      </c>
      <c r="L6148" s="36" t="s">
        <v>40700</v>
      </c>
      <c r="M6148" s="186"/>
      <c r="N6148" s="186"/>
      <c r="O6148" s="172"/>
    </row>
    <row r="6149" spans="1:15" ht="63.75" x14ac:dyDescent="0.2">
      <c r="A6149" s="197" t="str">
        <f t="shared" si="96"/>
        <v>NdeCode_mineralResource</v>
      </c>
      <c r="B6149" s="409"/>
      <c r="C6149" s="416"/>
      <c r="D6149" s="198" t="s">
        <v>40701</v>
      </c>
      <c r="E6149" s="198">
        <v>4</v>
      </c>
      <c r="F6149" s="199" t="s">
        <v>40702</v>
      </c>
      <c r="G6149" s="1" t="s">
        <v>40703</v>
      </c>
      <c r="H6149" s="1" t="s">
        <v>40704</v>
      </c>
      <c r="I6149" s="346"/>
      <c r="J6149" s="39">
        <v>113585</v>
      </c>
      <c r="K6149" s="36" t="str">
        <f>CONCATENATE(Cover!$D$6,"fdd/view?i=",J6149)</f>
        <v>https://www.dgiwg.org/FAD/fdd/view?i=113585</v>
      </c>
      <c r="L6149" s="36" t="s">
        <v>40705</v>
      </c>
      <c r="M6149" s="186"/>
      <c r="N6149" s="186"/>
      <c r="O6149" s="172"/>
    </row>
    <row r="6150" spans="1:15" ht="76.5" x14ac:dyDescent="0.2">
      <c r="A6150" s="197" t="str">
        <f t="shared" si="96"/>
        <v>NdeCode_probableMineralReserve</v>
      </c>
      <c r="B6150" s="409"/>
      <c r="C6150" s="416"/>
      <c r="D6150" s="198" t="s">
        <v>40706</v>
      </c>
      <c r="E6150" s="198">
        <v>7</v>
      </c>
      <c r="F6150" s="199" t="s">
        <v>40707</v>
      </c>
      <c r="G6150" s="1" t="s">
        <v>40708</v>
      </c>
      <c r="H6150" s="1" t="s">
        <v>40709</v>
      </c>
      <c r="I6150" s="346"/>
      <c r="J6150" s="39">
        <v>113588</v>
      </c>
      <c r="K6150" s="36" t="str">
        <f>CONCATENATE(Cover!$D$6,"fdd/view?i=",J6150)</f>
        <v>https://www.dgiwg.org/FAD/fdd/view?i=113588</v>
      </c>
      <c r="L6150" s="36" t="s">
        <v>40710</v>
      </c>
      <c r="M6150" s="186"/>
      <c r="N6150" s="186"/>
      <c r="O6150" s="172"/>
    </row>
    <row r="6151" spans="1:15" ht="51" x14ac:dyDescent="0.2">
      <c r="A6151" s="197" t="str">
        <f t="shared" si="96"/>
        <v>NdeCode_provenMineralReserve</v>
      </c>
      <c r="B6151" s="409"/>
      <c r="C6151" s="416"/>
      <c r="D6151" s="198" t="s">
        <v>40711</v>
      </c>
      <c r="E6151" s="198">
        <v>5</v>
      </c>
      <c r="F6151" s="199" t="s">
        <v>40712</v>
      </c>
      <c r="G6151" s="1" t="s">
        <v>40713</v>
      </c>
      <c r="H6151" s="1" t="s">
        <v>40714</v>
      </c>
      <c r="I6151" s="346"/>
      <c r="J6151" s="39">
        <v>113586</v>
      </c>
      <c r="K6151" s="36" t="str">
        <f>CONCATENATE(Cover!$D$6,"fdd/view?i=",J6151)</f>
        <v>https://www.dgiwg.org/FAD/fdd/view?i=113586</v>
      </c>
      <c r="L6151" s="36" t="s">
        <v>40715</v>
      </c>
      <c r="M6151" s="186"/>
      <c r="N6151" s="186"/>
      <c r="O6151" s="172"/>
    </row>
    <row r="6152" spans="1:15" ht="38.25" x14ac:dyDescent="0.2">
      <c r="A6152" s="197" t="str">
        <f t="shared" si="96"/>
        <v>NdeCode_restrictedResource</v>
      </c>
      <c r="B6152" s="409"/>
      <c r="C6152" s="416"/>
      <c r="D6152" s="198" t="s">
        <v>40716</v>
      </c>
      <c r="E6152" s="198">
        <v>12</v>
      </c>
      <c r="F6152" s="199" t="s">
        <v>40717</v>
      </c>
      <c r="G6152" s="1" t="s">
        <v>40718</v>
      </c>
      <c r="H6152" s="1" t="s">
        <v>40719</v>
      </c>
      <c r="I6152" s="346"/>
      <c r="J6152" s="39">
        <v>113593</v>
      </c>
      <c r="K6152" s="36" t="str">
        <f>CONCATENATE(Cover!$D$6,"fdd/view?i=",J6152)</f>
        <v>https://www.dgiwg.org/FAD/fdd/view?i=113593</v>
      </c>
      <c r="L6152" s="36" t="s">
        <v>40720</v>
      </c>
      <c r="M6152" s="186"/>
      <c r="N6152" s="186"/>
      <c r="O6152" s="172"/>
    </row>
    <row r="6153" spans="1:15" ht="51" x14ac:dyDescent="0.2">
      <c r="A6153" s="197" t="str">
        <f t="shared" si="96"/>
        <v>NdeCode_speculativeResource</v>
      </c>
      <c r="B6153" s="409"/>
      <c r="C6153" s="416"/>
      <c r="D6153" s="198" t="s">
        <v>40721</v>
      </c>
      <c r="E6153" s="198">
        <v>10</v>
      </c>
      <c r="F6153" s="199" t="s">
        <v>40722</v>
      </c>
      <c r="G6153" s="1" t="s">
        <v>40723</v>
      </c>
      <c r="H6153" s="1" t="s">
        <v>40724</v>
      </c>
      <c r="I6153" s="346"/>
      <c r="J6153" s="39">
        <v>113591</v>
      </c>
      <c r="K6153" s="36" t="str">
        <f>CONCATENATE(Cover!$D$6,"fdd/view?i=",J6153)</f>
        <v>https://www.dgiwg.org/FAD/fdd/view?i=113591</v>
      </c>
      <c r="L6153" s="36" t="s">
        <v>40725</v>
      </c>
      <c r="M6153" s="186"/>
      <c r="N6153" s="186"/>
      <c r="O6153" s="172"/>
    </row>
    <row r="6154" spans="1:15" ht="76.5" x14ac:dyDescent="0.2">
      <c r="A6154" s="203" t="str">
        <f t="shared" si="96"/>
        <v>NdeCode_undiscoveredResource</v>
      </c>
      <c r="B6154" s="410"/>
      <c r="C6154" s="417"/>
      <c r="D6154" s="204" t="s">
        <v>40726</v>
      </c>
      <c r="E6154" s="204">
        <v>9</v>
      </c>
      <c r="F6154" s="205" t="s">
        <v>40727</v>
      </c>
      <c r="G6154" s="206" t="s">
        <v>40728</v>
      </c>
      <c r="H6154" s="206" t="s">
        <v>40729</v>
      </c>
      <c r="I6154" s="347"/>
      <c r="J6154" s="39">
        <v>113590</v>
      </c>
      <c r="K6154" s="36" t="str">
        <f>CONCATENATE(Cover!$D$6,"fdd/view?i=",J6154)</f>
        <v>https://www.dgiwg.org/FAD/fdd/view?i=113590</v>
      </c>
      <c r="L6154" s="36" t="s">
        <v>40730</v>
      </c>
      <c r="M6154" s="186"/>
      <c r="N6154" s="186"/>
      <c r="O6154" s="172"/>
    </row>
    <row r="6155" spans="1:15" ht="25.5" x14ac:dyDescent="0.2">
      <c r="A6155" s="190" t="str">
        <f t="shared" si="96"/>
        <v>MspCode_mineralWater</v>
      </c>
      <c r="B6155" s="414" t="str">
        <f>HYPERLINK("[#]Datatypes!A972:L972","MspCode")</f>
        <v>MspCode</v>
      </c>
      <c r="C6155" s="415" t="s">
        <v>15562</v>
      </c>
      <c r="D6155" s="221" t="s">
        <v>40731</v>
      </c>
      <c r="E6155" s="221">
        <v>2</v>
      </c>
      <c r="F6155" s="222" t="s">
        <v>40732</v>
      </c>
      <c r="G6155" s="223" t="s">
        <v>40733</v>
      </c>
      <c r="H6155" s="224"/>
      <c r="I6155" s="345"/>
      <c r="J6155" s="39">
        <v>113561</v>
      </c>
      <c r="K6155" s="36" t="str">
        <f>CONCATENATE(Cover!$D$6,"fdd/view?i=",J6155)</f>
        <v>https://www.dgiwg.org/FAD/fdd/view?i=113561</v>
      </c>
      <c r="L6155" s="36" t="s">
        <v>40734</v>
      </c>
      <c r="M6155" s="186"/>
      <c r="N6155" s="186"/>
      <c r="O6155" s="172"/>
    </row>
    <row r="6156" spans="1:15" ht="25.5" x14ac:dyDescent="0.2">
      <c r="A6156" s="203" t="str">
        <f t="shared" si="96"/>
        <v>MspCode_spa</v>
      </c>
      <c r="B6156" s="410"/>
      <c r="C6156" s="417"/>
      <c r="D6156" s="204" t="s">
        <v>40735</v>
      </c>
      <c r="E6156" s="204">
        <v>1</v>
      </c>
      <c r="F6156" s="205" t="s">
        <v>5180</v>
      </c>
      <c r="G6156" s="206" t="s">
        <v>40736</v>
      </c>
      <c r="H6156" s="206" t="s">
        <v>40737</v>
      </c>
      <c r="I6156" s="347"/>
      <c r="J6156" s="39">
        <v>113560</v>
      </c>
      <c r="K6156" s="36" t="str">
        <f>CONCATENATE(Cover!$D$6,"fdd/view?i=",J6156)</f>
        <v>https://www.dgiwg.org/FAD/fdd/view?i=113560</v>
      </c>
      <c r="L6156" s="36" t="s">
        <v>40738</v>
      </c>
      <c r="M6156" s="186"/>
      <c r="N6156" s="186"/>
      <c r="O6156" s="172"/>
    </row>
    <row r="6157" spans="1:15" ht="25.5" x14ac:dyDescent="0.2">
      <c r="A6157" s="190" t="str">
        <f t="shared" si="96"/>
        <v>XmeCode_fireControlUnit</v>
      </c>
      <c r="B6157" s="414" t="str">
        <f>HYPERLINK("[#]Datatypes!A976:L976","XmeCode")</f>
        <v>XmeCode</v>
      </c>
      <c r="C6157" s="415" t="s">
        <v>15567</v>
      </c>
      <c r="D6157" s="221" t="s">
        <v>40739</v>
      </c>
      <c r="E6157" s="221">
        <v>1</v>
      </c>
      <c r="F6157" s="222" t="s">
        <v>40740</v>
      </c>
      <c r="G6157" s="223" t="s">
        <v>40741</v>
      </c>
      <c r="H6157" s="224"/>
      <c r="I6157" s="345"/>
      <c r="J6157" s="39">
        <v>119760</v>
      </c>
      <c r="K6157" s="36" t="str">
        <f>CONCATENATE(Cover!$D$6,"fdd/view?i=",J6157)</f>
        <v>https://www.dgiwg.org/FAD/fdd/view?i=119760</v>
      </c>
      <c r="L6157" s="36" t="s">
        <v>40742</v>
      </c>
      <c r="M6157" s="186"/>
      <c r="N6157" s="186"/>
      <c r="O6157" s="172"/>
    </row>
    <row r="6158" spans="1:15" ht="38.25" x14ac:dyDescent="0.2">
      <c r="A6158" s="197" t="str">
        <f t="shared" si="96"/>
        <v>XmeCode_missileAssemblyArea</v>
      </c>
      <c r="B6158" s="409"/>
      <c r="C6158" s="416"/>
      <c r="D6158" s="198" t="s">
        <v>40743</v>
      </c>
      <c r="E6158" s="198">
        <v>2</v>
      </c>
      <c r="F6158" s="199" t="s">
        <v>40744</v>
      </c>
      <c r="G6158" s="1" t="s">
        <v>40745</v>
      </c>
      <c r="H6158" s="200"/>
      <c r="I6158" s="346"/>
      <c r="J6158" s="39">
        <v>119761</v>
      </c>
      <c r="K6158" s="36" t="str">
        <f>CONCATENATE(Cover!$D$6,"fdd/view?i=",J6158)</f>
        <v>https://www.dgiwg.org/FAD/fdd/view?i=119761</v>
      </c>
      <c r="L6158" s="36" t="s">
        <v>40746</v>
      </c>
      <c r="M6158" s="186"/>
      <c r="N6158" s="186"/>
      <c r="O6158" s="172"/>
    </row>
    <row r="6159" spans="1:15" ht="25.5" x14ac:dyDescent="0.2">
      <c r="A6159" s="197" t="str">
        <f t="shared" si="96"/>
        <v>XmeCode_missileTestArea</v>
      </c>
      <c r="B6159" s="409"/>
      <c r="C6159" s="416"/>
      <c r="D6159" s="198" t="s">
        <v>40747</v>
      </c>
      <c r="E6159" s="198">
        <v>3</v>
      </c>
      <c r="F6159" s="199" t="s">
        <v>40748</v>
      </c>
      <c r="G6159" s="1" t="s">
        <v>40749</v>
      </c>
      <c r="H6159" s="200"/>
      <c r="I6159" s="346"/>
      <c r="J6159" s="39">
        <v>119762</v>
      </c>
      <c r="K6159" s="36" t="str">
        <f>CONCATENATE(Cover!$D$6,"fdd/view?i=",J6159)</f>
        <v>https://www.dgiwg.org/FAD/fdd/view?i=119762</v>
      </c>
      <c r="L6159" s="36" t="s">
        <v>40750</v>
      </c>
      <c r="M6159" s="186"/>
      <c r="N6159" s="186"/>
      <c r="O6159" s="172"/>
    </row>
    <row r="6160" spans="1:15" ht="25.5" x14ac:dyDescent="0.2">
      <c r="A6160" s="203" t="str">
        <f t="shared" si="96"/>
        <v>XmeCode_servicingPlatformTower</v>
      </c>
      <c r="B6160" s="410"/>
      <c r="C6160" s="417"/>
      <c r="D6160" s="204" t="s">
        <v>40751</v>
      </c>
      <c r="E6160" s="204">
        <v>4</v>
      </c>
      <c r="F6160" s="205" t="s">
        <v>40752</v>
      </c>
      <c r="G6160" s="206" t="s">
        <v>40753</v>
      </c>
      <c r="H6160" s="207"/>
      <c r="I6160" s="347"/>
      <c r="J6160" s="39">
        <v>119763</v>
      </c>
      <c r="K6160" s="36" t="str">
        <f>CONCATENATE(Cover!$D$6,"fdd/view?i=",J6160)</f>
        <v>https://www.dgiwg.org/FAD/fdd/view?i=119763</v>
      </c>
      <c r="L6160" s="36" t="s">
        <v>40754</v>
      </c>
      <c r="M6160" s="186"/>
      <c r="N6160" s="186"/>
      <c r="O6160" s="172"/>
    </row>
    <row r="6161" spans="1:15" ht="25.5" x14ac:dyDescent="0.2">
      <c r="A6161" s="190" t="str">
        <f t="shared" si="96"/>
        <v>MstCode_antiBallisticMissile</v>
      </c>
      <c r="B6161" s="414" t="str">
        <f>HYPERLINK("[#]Datatypes!A978:L978","MstCode")</f>
        <v>MstCode</v>
      </c>
      <c r="C6161" s="415" t="s">
        <v>15569</v>
      </c>
      <c r="D6161" s="221" t="s">
        <v>40755</v>
      </c>
      <c r="E6161" s="221">
        <v>1</v>
      </c>
      <c r="F6161" s="222" t="s">
        <v>40756</v>
      </c>
      <c r="G6161" s="223" t="s">
        <v>40757</v>
      </c>
      <c r="H6161" s="223" t="s">
        <v>40758</v>
      </c>
      <c r="I6161" s="345"/>
      <c r="J6161" s="39">
        <v>105892</v>
      </c>
      <c r="K6161" s="36" t="str">
        <f>CONCATENATE(Cover!$D$6,"fdd/view?i=",J6161)</f>
        <v>https://www.dgiwg.org/FAD/fdd/view?i=105892</v>
      </c>
      <c r="L6161" s="36" t="s">
        <v>40759</v>
      </c>
      <c r="M6161" s="186"/>
      <c r="N6161" s="186"/>
      <c r="O6161" s="172"/>
    </row>
    <row r="6162" spans="1:15" ht="38.25" x14ac:dyDescent="0.2">
      <c r="A6162" s="197" t="str">
        <f t="shared" si="96"/>
        <v>MstCode_intercontBallisticMissile</v>
      </c>
      <c r="B6162" s="409"/>
      <c r="C6162" s="416"/>
      <c r="D6162" s="198" t="s">
        <v>40760</v>
      </c>
      <c r="E6162" s="198">
        <v>2</v>
      </c>
      <c r="F6162" s="199" t="s">
        <v>40761</v>
      </c>
      <c r="G6162" s="1" t="s">
        <v>40762</v>
      </c>
      <c r="H6162" s="1" t="s">
        <v>40763</v>
      </c>
      <c r="I6162" s="346"/>
      <c r="J6162" s="39">
        <v>105893</v>
      </c>
      <c r="K6162" s="36" t="str">
        <f>CONCATENATE(Cover!$D$6,"fdd/view?i=",J6162)</f>
        <v>https://www.dgiwg.org/FAD/fdd/view?i=105893</v>
      </c>
      <c r="L6162" s="36" t="s">
        <v>40764</v>
      </c>
      <c r="M6162" s="186"/>
      <c r="N6162" s="186"/>
      <c r="O6162" s="172"/>
    </row>
    <row r="6163" spans="1:15" ht="25.5" x14ac:dyDescent="0.2">
      <c r="A6163" s="197" t="str">
        <f t="shared" si="96"/>
        <v>MstCode_intermedBallisticMissile</v>
      </c>
      <c r="B6163" s="409"/>
      <c r="C6163" s="416"/>
      <c r="D6163" s="198" t="s">
        <v>40765</v>
      </c>
      <c r="E6163" s="198">
        <v>3</v>
      </c>
      <c r="F6163" s="199" t="s">
        <v>40766</v>
      </c>
      <c r="G6163" s="1" t="s">
        <v>40767</v>
      </c>
      <c r="H6163" s="1" t="s">
        <v>40768</v>
      </c>
      <c r="I6163" s="346"/>
      <c r="J6163" s="39">
        <v>105894</v>
      </c>
      <c r="K6163" s="36" t="str">
        <f>CONCATENATE(Cover!$D$6,"fdd/view?i=",J6163)</f>
        <v>https://www.dgiwg.org/FAD/fdd/view?i=105894</v>
      </c>
      <c r="L6163" s="36" t="s">
        <v>40769</v>
      </c>
      <c r="M6163" s="186"/>
      <c r="N6163" s="186"/>
      <c r="O6163" s="172"/>
    </row>
    <row r="6164" spans="1:15" ht="38.25" x14ac:dyDescent="0.2">
      <c r="A6164" s="197" t="str">
        <f t="shared" si="96"/>
        <v>MstCode_medRangeBallisticMissile</v>
      </c>
      <c r="B6164" s="409"/>
      <c r="C6164" s="416"/>
      <c r="D6164" s="198" t="s">
        <v>40770</v>
      </c>
      <c r="E6164" s="198">
        <v>13</v>
      </c>
      <c r="F6164" s="199" t="s">
        <v>40771</v>
      </c>
      <c r="G6164" s="1" t="s">
        <v>40772</v>
      </c>
      <c r="H6164" s="1" t="s">
        <v>40773</v>
      </c>
      <c r="I6164" s="346"/>
      <c r="J6164" s="39">
        <v>105904</v>
      </c>
      <c r="K6164" s="36" t="str">
        <f>CONCATENATE(Cover!$D$6,"fdd/view?i=",J6164)</f>
        <v>https://www.dgiwg.org/FAD/fdd/view?i=105904</v>
      </c>
      <c r="L6164" s="36" t="s">
        <v>40774</v>
      </c>
      <c r="M6164" s="186"/>
      <c r="N6164" s="186"/>
      <c r="O6164" s="172"/>
    </row>
    <row r="6165" spans="1:15" ht="127.5" x14ac:dyDescent="0.2">
      <c r="A6165" s="197" t="str">
        <f t="shared" si="96"/>
        <v>MstCode_sa10Grumble</v>
      </c>
      <c r="B6165" s="409"/>
      <c r="C6165" s="416"/>
      <c r="D6165" s="198" t="s">
        <v>40780</v>
      </c>
      <c r="E6165" s="198">
        <v>17</v>
      </c>
      <c r="F6165" s="199" t="s">
        <v>40781</v>
      </c>
      <c r="G6165" s="1" t="s">
        <v>40782</v>
      </c>
      <c r="H6165" s="1" t="s">
        <v>40783</v>
      </c>
      <c r="I6165" s="346"/>
      <c r="J6165" s="39">
        <v>105907</v>
      </c>
      <c r="K6165" s="36" t="str">
        <f>CONCATENATE(Cover!$D$6,"fdd/view?i=",J6165)</f>
        <v>https://www.dgiwg.org/FAD/fdd/view?i=105907</v>
      </c>
      <c r="L6165" s="36" t="s">
        <v>40784</v>
      </c>
      <c r="M6165" s="186"/>
      <c r="N6165" s="186"/>
      <c r="O6165" s="172"/>
    </row>
    <row r="6166" spans="1:15" ht="89.25" x14ac:dyDescent="0.2">
      <c r="A6166" s="197" t="str">
        <f t="shared" si="96"/>
        <v>MstCode_sa11Gadfly</v>
      </c>
      <c r="B6166" s="409"/>
      <c r="C6166" s="416"/>
      <c r="D6166" s="198" t="s">
        <v>40785</v>
      </c>
      <c r="E6166" s="198">
        <v>18</v>
      </c>
      <c r="F6166" s="199" t="s">
        <v>40786</v>
      </c>
      <c r="G6166" s="1" t="s">
        <v>40787</v>
      </c>
      <c r="H6166" s="1" t="s">
        <v>40788</v>
      </c>
      <c r="I6166" s="346"/>
      <c r="J6166" s="39">
        <v>110266</v>
      </c>
      <c r="K6166" s="36" t="str">
        <f>CONCATENATE(Cover!$D$6,"fdd/view?i=",J6166)</f>
        <v>https://www.dgiwg.org/FAD/fdd/view?i=110266</v>
      </c>
      <c r="L6166" s="36" t="s">
        <v>40789</v>
      </c>
      <c r="M6166" s="186"/>
      <c r="N6166" s="186"/>
      <c r="O6166" s="172"/>
    </row>
    <row r="6167" spans="1:15" ht="242.25" x14ac:dyDescent="0.2">
      <c r="A6167" s="197" t="str">
        <f t="shared" si="96"/>
        <v>MstCode_sa12GladiatorGiant</v>
      </c>
      <c r="B6167" s="409"/>
      <c r="C6167" s="416"/>
      <c r="D6167" s="198" t="s">
        <v>40790</v>
      </c>
      <c r="E6167" s="198">
        <v>19</v>
      </c>
      <c r="F6167" s="199" t="s">
        <v>40791</v>
      </c>
      <c r="G6167" s="1" t="s">
        <v>40792</v>
      </c>
      <c r="H6167" s="1" t="s">
        <v>40793</v>
      </c>
      <c r="I6167" s="346"/>
      <c r="J6167" s="39">
        <v>110267</v>
      </c>
      <c r="K6167" s="36" t="str">
        <f>CONCATENATE(Cover!$D$6,"fdd/view?i=",J6167)</f>
        <v>https://www.dgiwg.org/FAD/fdd/view?i=110267</v>
      </c>
      <c r="L6167" s="36" t="s">
        <v>40794</v>
      </c>
      <c r="M6167" s="186"/>
      <c r="N6167" s="186"/>
      <c r="O6167" s="172"/>
    </row>
    <row r="6168" spans="1:15" ht="140.25" x14ac:dyDescent="0.2">
      <c r="A6168" s="197" t="str">
        <f t="shared" si="96"/>
        <v>MstCode_sa13Gopher</v>
      </c>
      <c r="B6168" s="409"/>
      <c r="C6168" s="416"/>
      <c r="D6168" s="198" t="s">
        <v>40795</v>
      </c>
      <c r="E6168" s="198">
        <v>20</v>
      </c>
      <c r="F6168" s="199" t="s">
        <v>40796</v>
      </c>
      <c r="G6168" s="1" t="s">
        <v>40797</v>
      </c>
      <c r="H6168" s="1" t="s">
        <v>40798</v>
      </c>
      <c r="I6168" s="346"/>
      <c r="J6168" s="39">
        <v>110268</v>
      </c>
      <c r="K6168" s="36" t="str">
        <f>CONCATENATE(Cover!$D$6,"fdd/view?i=",J6168)</f>
        <v>https://www.dgiwg.org/FAD/fdd/view?i=110268</v>
      </c>
      <c r="L6168" s="36" t="s">
        <v>40799</v>
      </c>
      <c r="M6168" s="186"/>
      <c r="N6168" s="186"/>
      <c r="O6168" s="172"/>
    </row>
    <row r="6169" spans="1:15" ht="38.25" x14ac:dyDescent="0.2">
      <c r="A6169" s="197" t="str">
        <f t="shared" si="96"/>
        <v>MstCode_sa14Gremlin</v>
      </c>
      <c r="B6169" s="409"/>
      <c r="C6169" s="416"/>
      <c r="D6169" s="198" t="s">
        <v>40800</v>
      </c>
      <c r="E6169" s="198">
        <v>21</v>
      </c>
      <c r="F6169" s="199" t="s">
        <v>40801</v>
      </c>
      <c r="G6169" s="1" t="s">
        <v>40802</v>
      </c>
      <c r="H6169" s="1" t="s">
        <v>40803</v>
      </c>
      <c r="I6169" s="346"/>
      <c r="J6169" s="39">
        <v>110269</v>
      </c>
      <c r="K6169" s="36" t="str">
        <f>CONCATENATE(Cover!$D$6,"fdd/view?i=",J6169)</f>
        <v>https://www.dgiwg.org/FAD/fdd/view?i=110269</v>
      </c>
      <c r="L6169" s="36" t="s">
        <v>40804</v>
      </c>
      <c r="M6169" s="186"/>
      <c r="N6169" s="186"/>
      <c r="O6169" s="172"/>
    </row>
    <row r="6170" spans="1:15" ht="165.75" x14ac:dyDescent="0.2">
      <c r="A6170" s="197" t="str">
        <f t="shared" si="96"/>
        <v>MstCode_sa15Gauntlet</v>
      </c>
      <c r="B6170" s="409"/>
      <c r="C6170" s="416"/>
      <c r="D6170" s="198" t="s">
        <v>40805</v>
      </c>
      <c r="E6170" s="198">
        <v>22</v>
      </c>
      <c r="F6170" s="199" t="s">
        <v>40806</v>
      </c>
      <c r="G6170" s="1" t="s">
        <v>40807</v>
      </c>
      <c r="H6170" s="1" t="s">
        <v>40808</v>
      </c>
      <c r="I6170" s="346"/>
      <c r="J6170" s="39">
        <v>110270</v>
      </c>
      <c r="K6170" s="36" t="str">
        <f>CONCATENATE(Cover!$D$6,"fdd/view?i=",J6170)</f>
        <v>https://www.dgiwg.org/FAD/fdd/view?i=110270</v>
      </c>
      <c r="L6170" s="36" t="s">
        <v>40809</v>
      </c>
      <c r="M6170" s="186"/>
      <c r="N6170" s="186"/>
      <c r="O6170" s="172"/>
    </row>
    <row r="6171" spans="1:15" ht="25.5" x14ac:dyDescent="0.2">
      <c r="A6171" s="197" t="str">
        <f t="shared" si="96"/>
        <v>MstCode_sa16Gimlet</v>
      </c>
      <c r="B6171" s="409"/>
      <c r="C6171" s="416"/>
      <c r="D6171" s="198" t="s">
        <v>40810</v>
      </c>
      <c r="E6171" s="198">
        <v>23</v>
      </c>
      <c r="F6171" s="199" t="s">
        <v>40811</v>
      </c>
      <c r="G6171" s="1" t="s">
        <v>40812</v>
      </c>
      <c r="H6171" s="1" t="s">
        <v>40813</v>
      </c>
      <c r="I6171" s="346"/>
      <c r="J6171" s="39">
        <v>110271</v>
      </c>
      <c r="K6171" s="36" t="str">
        <f>CONCATENATE(Cover!$D$6,"fdd/view?i=",J6171)</f>
        <v>https://www.dgiwg.org/FAD/fdd/view?i=110271</v>
      </c>
      <c r="L6171" s="36" t="s">
        <v>40814</v>
      </c>
      <c r="M6171" s="186"/>
      <c r="N6171" s="186"/>
      <c r="O6171" s="172"/>
    </row>
    <row r="6172" spans="1:15" ht="127.5" x14ac:dyDescent="0.2">
      <c r="A6172" s="197" t="str">
        <f t="shared" si="96"/>
        <v>MstCode_sa17Grizzly</v>
      </c>
      <c r="B6172" s="409"/>
      <c r="C6172" s="416"/>
      <c r="D6172" s="198" t="s">
        <v>40815</v>
      </c>
      <c r="E6172" s="198">
        <v>24</v>
      </c>
      <c r="F6172" s="199" t="s">
        <v>40816</v>
      </c>
      <c r="G6172" s="1" t="s">
        <v>40817</v>
      </c>
      <c r="H6172" s="1" t="s">
        <v>40818</v>
      </c>
      <c r="I6172" s="346"/>
      <c r="J6172" s="39">
        <v>110272</v>
      </c>
      <c r="K6172" s="36" t="str">
        <f>CONCATENATE(Cover!$D$6,"fdd/view?i=",J6172)</f>
        <v>https://www.dgiwg.org/FAD/fdd/view?i=110272</v>
      </c>
      <c r="L6172" s="36" t="s">
        <v>40819</v>
      </c>
      <c r="M6172" s="186"/>
      <c r="N6172" s="186"/>
      <c r="O6172" s="172"/>
    </row>
    <row r="6173" spans="1:15" ht="25.5" x14ac:dyDescent="0.2">
      <c r="A6173" s="197" t="str">
        <f t="shared" si="96"/>
        <v>MstCode_sa18Grouse</v>
      </c>
      <c r="B6173" s="409"/>
      <c r="C6173" s="416"/>
      <c r="D6173" s="198" t="s">
        <v>40820</v>
      </c>
      <c r="E6173" s="198">
        <v>25</v>
      </c>
      <c r="F6173" s="199" t="s">
        <v>40821</v>
      </c>
      <c r="G6173" s="1" t="s">
        <v>40822</v>
      </c>
      <c r="H6173" s="1" t="s">
        <v>40813</v>
      </c>
      <c r="I6173" s="346"/>
      <c r="J6173" s="39">
        <v>110273</v>
      </c>
      <c r="K6173" s="36" t="str">
        <f>CONCATENATE(Cover!$D$6,"fdd/view?i=",J6173)</f>
        <v>https://www.dgiwg.org/FAD/fdd/view?i=110273</v>
      </c>
      <c r="L6173" s="36" t="s">
        <v>40823</v>
      </c>
      <c r="M6173" s="186"/>
      <c r="N6173" s="186"/>
      <c r="O6173" s="172"/>
    </row>
    <row r="6174" spans="1:15" ht="63.75" x14ac:dyDescent="0.2">
      <c r="A6174" s="197" t="str">
        <f t="shared" si="96"/>
        <v>MstCode_sa19Grisom</v>
      </c>
      <c r="B6174" s="409"/>
      <c r="C6174" s="416"/>
      <c r="D6174" s="198" t="s">
        <v>40824</v>
      </c>
      <c r="E6174" s="198">
        <v>26</v>
      </c>
      <c r="F6174" s="199" t="s">
        <v>40825</v>
      </c>
      <c r="G6174" s="1" t="s">
        <v>40826</v>
      </c>
      <c r="H6174" s="1" t="s">
        <v>40827</v>
      </c>
      <c r="I6174" s="346"/>
      <c r="J6174" s="39">
        <v>110274</v>
      </c>
      <c r="K6174" s="36" t="str">
        <f>CONCATENATE(Cover!$D$6,"fdd/view?i=",J6174)</f>
        <v>https://www.dgiwg.org/FAD/fdd/view?i=110274</v>
      </c>
      <c r="L6174" s="36" t="s">
        <v>40828</v>
      </c>
      <c r="M6174" s="186"/>
      <c r="N6174" s="186"/>
      <c r="O6174" s="172"/>
    </row>
    <row r="6175" spans="1:15" ht="63.75" x14ac:dyDescent="0.2">
      <c r="A6175" s="197" t="str">
        <f t="shared" si="96"/>
        <v>MstCode_sa1Guild</v>
      </c>
      <c r="B6175" s="409"/>
      <c r="C6175" s="416"/>
      <c r="D6175" s="198" t="s">
        <v>40775</v>
      </c>
      <c r="E6175" s="198">
        <v>4</v>
      </c>
      <c r="F6175" s="199" t="s">
        <v>40776</v>
      </c>
      <c r="G6175" s="1" t="s">
        <v>40777</v>
      </c>
      <c r="H6175" s="1" t="s">
        <v>40778</v>
      </c>
      <c r="I6175" s="346"/>
      <c r="J6175" s="39">
        <v>105895</v>
      </c>
      <c r="K6175" s="36" t="str">
        <f>CONCATENATE(Cover!$D$6,"fdd/view?i=",J6175)</f>
        <v>https://www.dgiwg.org/FAD/fdd/view?i=105895</v>
      </c>
      <c r="L6175" s="36" t="s">
        <v>40779</v>
      </c>
      <c r="M6175" s="186"/>
      <c r="N6175" s="186"/>
      <c r="O6175" s="172"/>
    </row>
    <row r="6176" spans="1:15" ht="153" x14ac:dyDescent="0.2">
      <c r="A6176" s="197" t="str">
        <f t="shared" si="96"/>
        <v>MstCode_sa2Guideline</v>
      </c>
      <c r="B6176" s="409"/>
      <c r="C6176" s="416"/>
      <c r="D6176" s="198" t="s">
        <v>40829</v>
      </c>
      <c r="E6176" s="198">
        <v>5</v>
      </c>
      <c r="F6176" s="199" t="s">
        <v>40830</v>
      </c>
      <c r="G6176" s="1" t="s">
        <v>40831</v>
      </c>
      <c r="H6176" s="1" t="s">
        <v>40832</v>
      </c>
      <c r="I6176" s="346"/>
      <c r="J6176" s="39">
        <v>105896</v>
      </c>
      <c r="K6176" s="36" t="str">
        <f>CONCATENATE(Cover!$D$6,"fdd/view?i=",J6176)</f>
        <v>https://www.dgiwg.org/FAD/fdd/view?i=105896</v>
      </c>
      <c r="L6176" s="36" t="s">
        <v>40833</v>
      </c>
      <c r="M6176" s="186"/>
      <c r="N6176" s="186"/>
      <c r="O6176" s="172"/>
    </row>
    <row r="6177" spans="1:15" ht="204" x14ac:dyDescent="0.2">
      <c r="A6177" s="197" t="str">
        <f t="shared" si="96"/>
        <v>MstCode_sa3Goa</v>
      </c>
      <c r="B6177" s="409"/>
      <c r="C6177" s="416"/>
      <c r="D6177" s="198" t="s">
        <v>40834</v>
      </c>
      <c r="E6177" s="198">
        <v>6</v>
      </c>
      <c r="F6177" s="199" t="s">
        <v>40835</v>
      </c>
      <c r="G6177" s="1" t="s">
        <v>40836</v>
      </c>
      <c r="H6177" s="1" t="s">
        <v>40837</v>
      </c>
      <c r="I6177" s="346"/>
      <c r="J6177" s="39">
        <v>105897</v>
      </c>
      <c r="K6177" s="36" t="str">
        <f>CONCATENATE(Cover!$D$6,"fdd/view?i=",J6177)</f>
        <v>https://www.dgiwg.org/FAD/fdd/view?i=105897</v>
      </c>
      <c r="L6177" s="36" t="s">
        <v>40838</v>
      </c>
      <c r="M6177" s="186"/>
      <c r="N6177" s="186"/>
      <c r="O6177" s="172"/>
    </row>
    <row r="6178" spans="1:15" ht="153" x14ac:dyDescent="0.2">
      <c r="A6178" s="197" t="str">
        <f t="shared" si="96"/>
        <v>MstCode_sa4Ganef</v>
      </c>
      <c r="B6178" s="409"/>
      <c r="C6178" s="416"/>
      <c r="D6178" s="198" t="s">
        <v>40839</v>
      </c>
      <c r="E6178" s="198">
        <v>7</v>
      </c>
      <c r="F6178" s="199" t="s">
        <v>40840</v>
      </c>
      <c r="G6178" s="1" t="s">
        <v>40841</v>
      </c>
      <c r="H6178" s="1" t="s">
        <v>40842</v>
      </c>
      <c r="I6178" s="346"/>
      <c r="J6178" s="39">
        <v>105898</v>
      </c>
      <c r="K6178" s="36" t="str">
        <f>CONCATENATE(Cover!$D$6,"fdd/view?i=",J6178)</f>
        <v>https://www.dgiwg.org/FAD/fdd/view?i=105898</v>
      </c>
      <c r="L6178" s="36" t="s">
        <v>40843</v>
      </c>
      <c r="M6178" s="186"/>
      <c r="N6178" s="186"/>
      <c r="O6178" s="172"/>
    </row>
    <row r="6179" spans="1:15" ht="51" x14ac:dyDescent="0.2">
      <c r="A6179" s="197" t="str">
        <f t="shared" si="96"/>
        <v>MstCode_sa5Gammon</v>
      </c>
      <c r="B6179" s="409"/>
      <c r="C6179" s="416"/>
      <c r="D6179" s="198" t="s">
        <v>40844</v>
      </c>
      <c r="E6179" s="198">
        <v>8</v>
      </c>
      <c r="F6179" s="199" t="s">
        <v>40845</v>
      </c>
      <c r="G6179" s="1" t="s">
        <v>40846</v>
      </c>
      <c r="H6179" s="1" t="s">
        <v>40847</v>
      </c>
      <c r="I6179" s="346"/>
      <c r="J6179" s="39">
        <v>105899</v>
      </c>
      <c r="K6179" s="36" t="str">
        <f>CONCATENATE(Cover!$D$6,"fdd/view?i=",J6179)</f>
        <v>https://www.dgiwg.org/FAD/fdd/view?i=105899</v>
      </c>
      <c r="L6179" s="36" t="s">
        <v>40848</v>
      </c>
      <c r="M6179" s="186"/>
      <c r="N6179" s="186"/>
      <c r="O6179" s="172"/>
    </row>
    <row r="6180" spans="1:15" ht="102" x14ac:dyDescent="0.2">
      <c r="A6180" s="197" t="str">
        <f t="shared" si="96"/>
        <v>MstCode_sa6Gainful</v>
      </c>
      <c r="B6180" s="409"/>
      <c r="C6180" s="416"/>
      <c r="D6180" s="198" t="s">
        <v>40849</v>
      </c>
      <c r="E6180" s="198">
        <v>9</v>
      </c>
      <c r="F6180" s="199" t="s">
        <v>40850</v>
      </c>
      <c r="G6180" s="1" t="s">
        <v>40851</v>
      </c>
      <c r="H6180" s="1" t="s">
        <v>40852</v>
      </c>
      <c r="I6180" s="346"/>
      <c r="J6180" s="39">
        <v>105900</v>
      </c>
      <c r="K6180" s="36" t="str">
        <f>CONCATENATE(Cover!$D$6,"fdd/view?i=",J6180)</f>
        <v>https://www.dgiwg.org/FAD/fdd/view?i=105900</v>
      </c>
      <c r="L6180" s="36" t="s">
        <v>40853</v>
      </c>
      <c r="M6180" s="186"/>
      <c r="N6180" s="186"/>
      <c r="O6180" s="172"/>
    </row>
    <row r="6181" spans="1:15" ht="63.75" x14ac:dyDescent="0.2">
      <c r="A6181" s="197" t="str">
        <f t="shared" si="96"/>
        <v>MstCode_sa7Grail</v>
      </c>
      <c r="B6181" s="409"/>
      <c r="C6181" s="416"/>
      <c r="D6181" s="198" t="s">
        <v>40854</v>
      </c>
      <c r="E6181" s="198">
        <v>10</v>
      </c>
      <c r="F6181" s="199" t="s">
        <v>40855</v>
      </c>
      <c r="G6181" s="1" t="s">
        <v>40856</v>
      </c>
      <c r="H6181" s="1" t="s">
        <v>40857</v>
      </c>
      <c r="I6181" s="346"/>
      <c r="J6181" s="39">
        <v>105901</v>
      </c>
      <c r="K6181" s="36" t="str">
        <f>CONCATENATE(Cover!$D$6,"fdd/view?i=",J6181)</f>
        <v>https://www.dgiwg.org/FAD/fdd/view?i=105901</v>
      </c>
      <c r="L6181" s="36" t="s">
        <v>40858</v>
      </c>
      <c r="M6181" s="186"/>
      <c r="N6181" s="186"/>
      <c r="O6181" s="172"/>
    </row>
    <row r="6182" spans="1:15" ht="63.75" x14ac:dyDescent="0.2">
      <c r="A6182" s="197" t="str">
        <f t="shared" si="96"/>
        <v>MstCode_sa8Gecko</v>
      </c>
      <c r="B6182" s="409"/>
      <c r="C6182" s="416"/>
      <c r="D6182" s="198" t="s">
        <v>40859</v>
      </c>
      <c r="E6182" s="198">
        <v>11</v>
      </c>
      <c r="F6182" s="199" t="s">
        <v>40860</v>
      </c>
      <c r="G6182" s="1" t="s">
        <v>40861</v>
      </c>
      <c r="H6182" s="1" t="s">
        <v>40862</v>
      </c>
      <c r="I6182" s="346"/>
      <c r="J6182" s="39">
        <v>105902</v>
      </c>
      <c r="K6182" s="36" t="str">
        <f>CONCATENATE(Cover!$D$6,"fdd/view?i=",J6182)</f>
        <v>https://www.dgiwg.org/FAD/fdd/view?i=105902</v>
      </c>
      <c r="L6182" s="36" t="s">
        <v>40863</v>
      </c>
      <c r="M6182" s="186"/>
      <c r="N6182" s="186"/>
      <c r="O6182" s="172"/>
    </row>
    <row r="6183" spans="1:15" ht="76.5" x14ac:dyDescent="0.2">
      <c r="A6183" s="197" t="str">
        <f t="shared" si="96"/>
        <v>MstCode_sa9Gaskin</v>
      </c>
      <c r="B6183" s="409"/>
      <c r="C6183" s="416"/>
      <c r="D6183" s="198" t="s">
        <v>40864</v>
      </c>
      <c r="E6183" s="198">
        <v>12</v>
      </c>
      <c r="F6183" s="199" t="s">
        <v>40865</v>
      </c>
      <c r="G6183" s="1" t="s">
        <v>40866</v>
      </c>
      <c r="H6183" s="1" t="s">
        <v>40867</v>
      </c>
      <c r="I6183" s="346"/>
      <c r="J6183" s="39">
        <v>105903</v>
      </c>
      <c r="K6183" s="36" t="str">
        <f>CONCATENATE(Cover!$D$6,"fdd/view?i=",J6183)</f>
        <v>https://www.dgiwg.org/FAD/fdd/view?i=105903</v>
      </c>
      <c r="L6183" s="36" t="s">
        <v>40868</v>
      </c>
      <c r="M6183" s="186"/>
      <c r="N6183" s="186"/>
      <c r="O6183" s="172"/>
    </row>
    <row r="6184" spans="1:15" ht="38.25" x14ac:dyDescent="0.2">
      <c r="A6184" s="197" t="str">
        <f t="shared" si="96"/>
        <v>MstCode_surfaceToAirMissile</v>
      </c>
      <c r="B6184" s="409"/>
      <c r="C6184" s="416"/>
      <c r="D6184" s="198" t="s">
        <v>40869</v>
      </c>
      <c r="E6184" s="198">
        <v>15</v>
      </c>
      <c r="F6184" s="199" t="s">
        <v>40870</v>
      </c>
      <c r="G6184" s="1" t="s">
        <v>40871</v>
      </c>
      <c r="H6184" s="1" t="s">
        <v>40872</v>
      </c>
      <c r="I6184" s="346"/>
      <c r="J6184" s="39">
        <v>105906</v>
      </c>
      <c r="K6184" s="36" t="str">
        <f>CONCATENATE(Cover!$D$6,"fdd/view?i=",J6184)</f>
        <v>https://www.dgiwg.org/FAD/fdd/view?i=105906</v>
      </c>
      <c r="L6184" s="36" t="s">
        <v>40873</v>
      </c>
      <c r="M6184" s="186"/>
      <c r="N6184" s="186"/>
      <c r="O6184" s="172"/>
    </row>
    <row r="6185" spans="1:15" ht="114.75" x14ac:dyDescent="0.2">
      <c r="A6185" s="203" t="str">
        <f t="shared" si="96"/>
        <v>MstCode_surfaceToSurfaceMissile</v>
      </c>
      <c r="B6185" s="410"/>
      <c r="C6185" s="417"/>
      <c r="D6185" s="204" t="s">
        <v>40874</v>
      </c>
      <c r="E6185" s="204">
        <v>14</v>
      </c>
      <c r="F6185" s="205" t="s">
        <v>40875</v>
      </c>
      <c r="G6185" s="206" t="s">
        <v>40876</v>
      </c>
      <c r="H6185" s="206" t="s">
        <v>40877</v>
      </c>
      <c r="I6185" s="347"/>
      <c r="J6185" s="39">
        <v>105905</v>
      </c>
      <c r="K6185" s="36" t="str">
        <f>CONCATENATE(Cover!$D$6,"fdd/view?i=",J6185)</f>
        <v>https://www.dgiwg.org/FAD/fdd/view?i=105905</v>
      </c>
      <c r="L6185" s="36" t="s">
        <v>40878</v>
      </c>
      <c r="M6185" s="186"/>
      <c r="N6185" s="186"/>
      <c r="O6185" s="172"/>
    </row>
    <row r="6186" spans="1:15" ht="38.25" x14ac:dyDescent="0.2">
      <c r="A6186" s="190" t="str">
        <f t="shared" si="96"/>
        <v>IemCode_catastrophic_XII</v>
      </c>
      <c r="B6186" s="414" t="str">
        <f>HYPERLINK("[#]Datatypes!A982:L982","IemCode")</f>
        <v>IemCode</v>
      </c>
      <c r="C6186" s="415" t="s">
        <v>15573</v>
      </c>
      <c r="D6186" s="221" t="s">
        <v>40929</v>
      </c>
      <c r="E6186" s="221">
        <v>12</v>
      </c>
      <c r="F6186" s="222" t="s">
        <v>40930</v>
      </c>
      <c r="G6186" s="223" t="s">
        <v>40931</v>
      </c>
      <c r="H6186" s="224"/>
      <c r="I6186" s="345"/>
      <c r="J6186" s="39">
        <v>113398</v>
      </c>
      <c r="K6186" s="36" t="str">
        <f>CONCATENATE(Cover!$D$6,"fdd/view?i=",J6186)</f>
        <v>https://www.dgiwg.org/FAD/fdd/view?i=113398</v>
      </c>
      <c r="L6186" s="36" t="s">
        <v>40932</v>
      </c>
      <c r="M6186" s="186"/>
      <c r="N6186" s="186"/>
      <c r="O6186" s="172"/>
    </row>
    <row r="6187" spans="1:15" ht="114.75" x14ac:dyDescent="0.2">
      <c r="A6187" s="197" t="str">
        <f t="shared" si="96"/>
        <v>IemCode_destructive_VIII</v>
      </c>
      <c r="B6187" s="409"/>
      <c r="C6187" s="416"/>
      <c r="D6187" s="198" t="s">
        <v>40916</v>
      </c>
      <c r="E6187" s="198">
        <v>8</v>
      </c>
      <c r="F6187" s="199" t="s">
        <v>40917</v>
      </c>
      <c r="G6187" s="1" t="s">
        <v>40918</v>
      </c>
      <c r="H6187" s="1" t="s">
        <v>40919</v>
      </c>
      <c r="I6187" s="346"/>
      <c r="J6187" s="39">
        <v>113394</v>
      </c>
      <c r="K6187" s="36" t="str">
        <f>CONCATENATE(Cover!$D$6,"fdd/view?i=",J6187)</f>
        <v>https://www.dgiwg.org/FAD/fdd/view?i=113394</v>
      </c>
      <c r="L6187" s="36" t="s">
        <v>40920</v>
      </c>
      <c r="M6187" s="186"/>
      <c r="N6187" s="186"/>
      <c r="O6187" s="172"/>
    </row>
    <row r="6188" spans="1:15" ht="38.25" x14ac:dyDescent="0.2">
      <c r="A6188" s="197" t="str">
        <f t="shared" si="96"/>
        <v>IemCode_disastrous_X</v>
      </c>
      <c r="B6188" s="409"/>
      <c r="C6188" s="416"/>
      <c r="D6188" s="198" t="s">
        <v>40921</v>
      </c>
      <c r="E6188" s="198">
        <v>10</v>
      </c>
      <c r="F6188" s="199" t="s">
        <v>40922</v>
      </c>
      <c r="G6188" s="1" t="s">
        <v>40923</v>
      </c>
      <c r="H6188" s="200"/>
      <c r="I6188" s="346"/>
      <c r="J6188" s="39">
        <v>113396</v>
      </c>
      <c r="K6188" s="36" t="str">
        <f>CONCATENATE(Cover!$D$6,"fdd/view?i=",J6188)</f>
        <v>https://www.dgiwg.org/FAD/fdd/view?i=113396</v>
      </c>
      <c r="L6188" s="36" t="s">
        <v>40924</v>
      </c>
      <c r="M6188" s="186"/>
      <c r="N6188" s="186"/>
      <c r="O6188" s="172"/>
    </row>
    <row r="6189" spans="1:15" ht="25.5" x14ac:dyDescent="0.2">
      <c r="A6189" s="197" t="str">
        <f t="shared" si="96"/>
        <v>IemCode_feeble_II</v>
      </c>
      <c r="B6189" s="409"/>
      <c r="C6189" s="416"/>
      <c r="D6189" s="198" t="s">
        <v>40883</v>
      </c>
      <c r="E6189" s="198">
        <v>2</v>
      </c>
      <c r="F6189" s="199" t="s">
        <v>40884</v>
      </c>
      <c r="G6189" s="1" t="s">
        <v>40885</v>
      </c>
      <c r="H6189" s="200"/>
      <c r="I6189" s="346"/>
      <c r="J6189" s="39">
        <v>113388</v>
      </c>
      <c r="K6189" s="36" t="str">
        <f>CONCATENATE(Cover!$D$6,"fdd/view?i=",J6189)</f>
        <v>https://www.dgiwg.org/FAD/fdd/view?i=113388</v>
      </c>
      <c r="L6189" s="36" t="s">
        <v>40886</v>
      </c>
      <c r="M6189" s="186"/>
      <c r="N6189" s="186"/>
      <c r="O6189" s="172"/>
    </row>
    <row r="6190" spans="1:15" ht="25.5" x14ac:dyDescent="0.2">
      <c r="A6190" s="197" t="str">
        <f t="shared" si="96"/>
        <v>IemCode_instrumental_I</v>
      </c>
      <c r="B6190" s="409"/>
      <c r="C6190" s="416"/>
      <c r="D6190" s="198" t="s">
        <v>40879</v>
      </c>
      <c r="E6190" s="198">
        <v>1</v>
      </c>
      <c r="F6190" s="199" t="s">
        <v>40880</v>
      </c>
      <c r="G6190" s="1" t="s">
        <v>40881</v>
      </c>
      <c r="H6190" s="200"/>
      <c r="I6190" s="346"/>
      <c r="J6190" s="39">
        <v>113387</v>
      </c>
      <c r="K6190" s="36" t="str">
        <f>CONCATENATE(Cover!$D$6,"fdd/view?i=",J6190)</f>
        <v>https://www.dgiwg.org/FAD/fdd/view?i=113387</v>
      </c>
      <c r="L6190" s="36" t="s">
        <v>40882</v>
      </c>
      <c r="M6190" s="186"/>
      <c r="N6190" s="186"/>
      <c r="O6190" s="172"/>
    </row>
    <row r="6191" spans="1:15" ht="89.25" x14ac:dyDescent="0.2">
      <c r="A6191" s="197" t="str">
        <f t="shared" si="96"/>
        <v>IemCode_moderate_IV</v>
      </c>
      <c r="B6191" s="409"/>
      <c r="C6191" s="416"/>
      <c r="D6191" s="198" t="s">
        <v>40891</v>
      </c>
      <c r="E6191" s="198">
        <v>4</v>
      </c>
      <c r="F6191" s="199" t="s">
        <v>40892</v>
      </c>
      <c r="G6191" s="1" t="s">
        <v>40893</v>
      </c>
      <c r="H6191" s="1" t="s">
        <v>40894</v>
      </c>
      <c r="I6191" s="346"/>
      <c r="J6191" s="39">
        <v>113390</v>
      </c>
      <c r="K6191" s="36" t="str">
        <f>CONCATENATE(Cover!$D$6,"fdd/view?i=",J6191)</f>
        <v>https://www.dgiwg.org/FAD/fdd/view?i=113390</v>
      </c>
      <c r="L6191" s="36" t="s">
        <v>40895</v>
      </c>
      <c r="M6191" s="186"/>
      <c r="N6191" s="186"/>
      <c r="O6191" s="172"/>
    </row>
    <row r="6192" spans="1:15" ht="63.75" x14ac:dyDescent="0.2">
      <c r="A6192" s="197" t="str">
        <f t="shared" si="96"/>
        <v>IemCode_ratherStrong_V</v>
      </c>
      <c r="B6192" s="409"/>
      <c r="C6192" s="416"/>
      <c r="D6192" s="198" t="s">
        <v>40901</v>
      </c>
      <c r="E6192" s="198">
        <v>5</v>
      </c>
      <c r="F6192" s="199" t="s">
        <v>40902</v>
      </c>
      <c r="G6192" s="1" t="s">
        <v>40903</v>
      </c>
      <c r="H6192" s="1" t="s">
        <v>40904</v>
      </c>
      <c r="I6192" s="346"/>
      <c r="J6192" s="39">
        <v>113391</v>
      </c>
      <c r="K6192" s="36" t="str">
        <f>CONCATENATE(Cover!$D$6,"fdd/view?i=",J6192)</f>
        <v>https://www.dgiwg.org/FAD/fdd/view?i=113391</v>
      </c>
      <c r="L6192" s="36" t="s">
        <v>40905</v>
      </c>
      <c r="M6192" s="186"/>
      <c r="N6192" s="186"/>
      <c r="O6192" s="172"/>
    </row>
    <row r="6193" spans="1:15" ht="76.5" x14ac:dyDescent="0.2">
      <c r="A6193" s="197" t="str">
        <f t="shared" si="96"/>
        <v>IemCode_ruinous_IX</v>
      </c>
      <c r="B6193" s="409"/>
      <c r="C6193" s="416"/>
      <c r="D6193" s="198" t="s">
        <v>40896</v>
      </c>
      <c r="E6193" s="198">
        <v>9</v>
      </c>
      <c r="F6193" s="199" t="s">
        <v>40897</v>
      </c>
      <c r="G6193" s="1" t="s">
        <v>40898</v>
      </c>
      <c r="H6193" s="1" t="s">
        <v>40899</v>
      </c>
      <c r="I6193" s="346"/>
      <c r="J6193" s="39">
        <v>113395</v>
      </c>
      <c r="K6193" s="36" t="str">
        <f>CONCATENATE(Cover!$D$6,"fdd/view?i=",J6193)</f>
        <v>https://www.dgiwg.org/FAD/fdd/view?i=113395</v>
      </c>
      <c r="L6193" s="36" t="s">
        <v>40900</v>
      </c>
      <c r="M6193" s="186"/>
      <c r="N6193" s="186"/>
      <c r="O6193" s="172"/>
    </row>
    <row r="6194" spans="1:15" ht="51" x14ac:dyDescent="0.2">
      <c r="A6194" s="197" t="str">
        <f t="shared" si="96"/>
        <v>IemCode_slight_III</v>
      </c>
      <c r="B6194" s="409"/>
      <c r="C6194" s="416"/>
      <c r="D6194" s="198" t="s">
        <v>40887</v>
      </c>
      <c r="E6194" s="198">
        <v>3</v>
      </c>
      <c r="F6194" s="199" t="s">
        <v>40888</v>
      </c>
      <c r="G6194" s="1" t="s">
        <v>40889</v>
      </c>
      <c r="H6194" s="200"/>
      <c r="I6194" s="346"/>
      <c r="J6194" s="39">
        <v>113389</v>
      </c>
      <c r="K6194" s="36" t="str">
        <f>CONCATENATE(Cover!$D$6,"fdd/view?i=",J6194)</f>
        <v>https://www.dgiwg.org/FAD/fdd/view?i=113389</v>
      </c>
      <c r="L6194" s="36" t="s">
        <v>40890</v>
      </c>
      <c r="M6194" s="186"/>
      <c r="N6194" s="186"/>
      <c r="O6194" s="172"/>
    </row>
    <row r="6195" spans="1:15" ht="76.5" x14ac:dyDescent="0.2">
      <c r="A6195" s="197" t="str">
        <f t="shared" si="96"/>
        <v>IemCode_strong_VI</v>
      </c>
      <c r="B6195" s="409"/>
      <c r="C6195" s="416"/>
      <c r="D6195" s="198" t="s">
        <v>40906</v>
      </c>
      <c r="E6195" s="198">
        <v>6</v>
      </c>
      <c r="F6195" s="199" t="s">
        <v>40907</v>
      </c>
      <c r="G6195" s="1" t="s">
        <v>40908</v>
      </c>
      <c r="H6195" s="1" t="s">
        <v>40909</v>
      </c>
      <c r="I6195" s="346"/>
      <c r="J6195" s="39">
        <v>113392</v>
      </c>
      <c r="K6195" s="36" t="str">
        <f>CONCATENATE(Cover!$D$6,"fdd/view?i=",J6195)</f>
        <v>https://www.dgiwg.org/FAD/fdd/view?i=113392</v>
      </c>
      <c r="L6195" s="36" t="s">
        <v>40910</v>
      </c>
      <c r="M6195" s="186"/>
      <c r="N6195" s="186"/>
      <c r="O6195" s="172"/>
    </row>
    <row r="6196" spans="1:15" ht="25.5" x14ac:dyDescent="0.2">
      <c r="A6196" s="197" t="str">
        <f t="shared" si="96"/>
        <v>IemCode_veryDisastrous_XI</v>
      </c>
      <c r="B6196" s="409"/>
      <c r="C6196" s="416"/>
      <c r="D6196" s="198" t="s">
        <v>40925</v>
      </c>
      <c r="E6196" s="198">
        <v>11</v>
      </c>
      <c r="F6196" s="199" t="s">
        <v>40926</v>
      </c>
      <c r="G6196" s="1" t="s">
        <v>40927</v>
      </c>
      <c r="H6196" s="200"/>
      <c r="I6196" s="346"/>
      <c r="J6196" s="39">
        <v>113397</v>
      </c>
      <c r="K6196" s="36" t="str">
        <f>CONCATENATE(Cover!$D$6,"fdd/view?i=",J6196)</f>
        <v>https://www.dgiwg.org/FAD/fdd/view?i=113397</v>
      </c>
      <c r="L6196" s="36" t="s">
        <v>40928</v>
      </c>
      <c r="M6196" s="186"/>
      <c r="N6196" s="186"/>
      <c r="O6196" s="172"/>
    </row>
    <row r="6197" spans="1:15" ht="89.25" x14ac:dyDescent="0.2">
      <c r="A6197" s="203" t="str">
        <f t="shared" si="96"/>
        <v>IemCode_veryStrong_VII</v>
      </c>
      <c r="B6197" s="410"/>
      <c r="C6197" s="417"/>
      <c r="D6197" s="204" t="s">
        <v>40911</v>
      </c>
      <c r="E6197" s="204">
        <v>7</v>
      </c>
      <c r="F6197" s="205" t="s">
        <v>40912</v>
      </c>
      <c r="G6197" s="206" t="s">
        <v>40913</v>
      </c>
      <c r="H6197" s="206" t="s">
        <v>40914</v>
      </c>
      <c r="I6197" s="347"/>
      <c r="J6197" s="39">
        <v>113393</v>
      </c>
      <c r="K6197" s="36" t="str">
        <f>CONCATENATE(Cover!$D$6,"fdd/view?i=",J6197)</f>
        <v>https://www.dgiwg.org/FAD/fdd/view?i=113393</v>
      </c>
      <c r="L6197" s="36" t="s">
        <v>40915</v>
      </c>
      <c r="M6197" s="186"/>
      <c r="N6197" s="186"/>
      <c r="O6197" s="172"/>
    </row>
    <row r="6198" spans="1:15" ht="25.5" x14ac:dyDescent="0.2">
      <c r="A6198" s="190" t="str">
        <f t="shared" si="96"/>
        <v>MmeCode_automated</v>
      </c>
      <c r="B6198" s="414" t="str">
        <f>HYPERLINK("[#]Datatypes!A984:L984","MmeCode")</f>
        <v>MmeCode</v>
      </c>
      <c r="C6198" s="415" t="s">
        <v>15575</v>
      </c>
      <c r="D6198" s="221" t="s">
        <v>40933</v>
      </c>
      <c r="E6198" s="221">
        <v>1</v>
      </c>
      <c r="F6198" s="222" t="s">
        <v>40934</v>
      </c>
      <c r="G6198" s="223" t="s">
        <v>40935</v>
      </c>
      <c r="H6198" s="224"/>
      <c r="I6198" s="345"/>
      <c r="J6198" s="39">
        <v>119809</v>
      </c>
      <c r="K6198" s="36" t="str">
        <f>CONCATENATE(Cover!$D$6,"fdd/view?i=",J6198)</f>
        <v>https://www.dgiwg.org/FAD/fdd/view?i=119809</v>
      </c>
      <c r="L6198" s="36" t="s">
        <v>40936</v>
      </c>
      <c r="M6198" s="186"/>
      <c r="N6198" s="186"/>
      <c r="O6198" s="172"/>
    </row>
    <row r="6199" spans="1:15" x14ac:dyDescent="0.2">
      <c r="A6199" s="203" t="str">
        <f t="shared" si="96"/>
        <v>MmeCode_staffed</v>
      </c>
      <c r="B6199" s="410"/>
      <c r="C6199" s="417"/>
      <c r="D6199" s="204" t="s">
        <v>40937</v>
      </c>
      <c r="E6199" s="204">
        <v>2</v>
      </c>
      <c r="F6199" s="205" t="s">
        <v>40938</v>
      </c>
      <c r="G6199" s="206" t="s">
        <v>40939</v>
      </c>
      <c r="H6199" s="207"/>
      <c r="I6199" s="347"/>
      <c r="J6199" s="39">
        <v>119810</v>
      </c>
      <c r="K6199" s="36" t="str">
        <f>CONCATENATE(Cover!$D$6,"fdd/view?i=",J6199)</f>
        <v>https://www.dgiwg.org/FAD/fdd/view?i=119810</v>
      </c>
      <c r="L6199" s="36" t="s">
        <v>40940</v>
      </c>
      <c r="M6199" s="186"/>
      <c r="N6199" s="186"/>
      <c r="O6199" s="172"/>
    </row>
    <row r="6200" spans="1:15" ht="25.5" x14ac:dyDescent="0.2">
      <c r="A6200" s="190" t="str">
        <f t="shared" si="96"/>
        <v>MtpCode_commemorative</v>
      </c>
      <c r="B6200" s="414" t="str">
        <f>HYPERLINK("[#]Datatypes!A986:L986","MtpCode")</f>
        <v>MtpCode</v>
      </c>
      <c r="C6200" s="415" t="s">
        <v>15577</v>
      </c>
      <c r="D6200" s="221" t="s">
        <v>40941</v>
      </c>
      <c r="E6200" s="221">
        <v>1</v>
      </c>
      <c r="F6200" s="222" t="s">
        <v>40942</v>
      </c>
      <c r="G6200" s="223" t="s">
        <v>40943</v>
      </c>
      <c r="H6200" s="223" t="s">
        <v>40944</v>
      </c>
      <c r="I6200" s="345"/>
      <c r="J6200" s="39">
        <v>113562</v>
      </c>
      <c r="K6200" s="36" t="str">
        <f>CONCATENATE(Cover!$D$6,"fdd/view?i=",J6200)</f>
        <v>https://www.dgiwg.org/FAD/fdd/view?i=113562</v>
      </c>
      <c r="L6200" s="36" t="s">
        <v>40945</v>
      </c>
      <c r="M6200" s="186"/>
      <c r="N6200" s="186"/>
      <c r="O6200" s="172"/>
    </row>
    <row r="6201" spans="1:15" ht="25.5" x14ac:dyDescent="0.2">
      <c r="A6201" s="197" t="str">
        <f t="shared" si="96"/>
        <v>MtpCode_cultural</v>
      </c>
      <c r="B6201" s="409"/>
      <c r="C6201" s="416"/>
      <c r="D6201" s="198" t="s">
        <v>32448</v>
      </c>
      <c r="E6201" s="198">
        <v>2</v>
      </c>
      <c r="F6201" s="199" t="s">
        <v>32449</v>
      </c>
      <c r="G6201" s="1" t="s">
        <v>40946</v>
      </c>
      <c r="H6201" s="1" t="s">
        <v>40947</v>
      </c>
      <c r="I6201" s="346"/>
      <c r="J6201" s="39">
        <v>113563</v>
      </c>
      <c r="K6201" s="36" t="str">
        <f>CONCATENATE(Cover!$D$6,"fdd/view?i=",J6201)</f>
        <v>https://www.dgiwg.org/FAD/fdd/view?i=113563</v>
      </c>
      <c r="L6201" s="36" t="s">
        <v>40948</v>
      </c>
      <c r="M6201" s="186"/>
      <c r="N6201" s="186"/>
      <c r="O6201" s="172"/>
    </row>
    <row r="6202" spans="1:15" ht="25.5" x14ac:dyDescent="0.2">
      <c r="A6202" s="203" t="str">
        <f t="shared" si="96"/>
        <v>MtpCode_natural</v>
      </c>
      <c r="B6202" s="410"/>
      <c r="C6202" s="417"/>
      <c r="D6202" s="204" t="s">
        <v>25518</v>
      </c>
      <c r="E6202" s="204">
        <v>3</v>
      </c>
      <c r="F6202" s="205" t="s">
        <v>25519</v>
      </c>
      <c r="G6202" s="206" t="s">
        <v>40949</v>
      </c>
      <c r="H6202" s="206" t="s">
        <v>40950</v>
      </c>
      <c r="I6202" s="347"/>
      <c r="J6202" s="39">
        <v>113564</v>
      </c>
      <c r="K6202" s="36" t="str">
        <f>CONCATENATE(Cover!$D$6,"fdd/view?i=",J6202)</f>
        <v>https://www.dgiwg.org/FAD/fdd/view?i=113564</v>
      </c>
      <c r="L6202" s="36" t="s">
        <v>40951</v>
      </c>
      <c r="M6202" s="186"/>
      <c r="N6202" s="186"/>
      <c r="O6202" s="172"/>
    </row>
    <row r="6203" spans="1:15" ht="25.5" x14ac:dyDescent="0.2">
      <c r="A6203" s="190" t="str">
        <f t="shared" si="96"/>
        <v>MwfCode_bollard</v>
      </c>
      <c r="B6203" s="414" t="str">
        <f>HYPERLINK("[#]Datatypes!A988:L988","MwfCode")</f>
        <v>MwfCode</v>
      </c>
      <c r="C6203" s="415" t="s">
        <v>15579</v>
      </c>
      <c r="D6203" s="221" t="s">
        <v>40952</v>
      </c>
      <c r="E6203" s="221">
        <v>4</v>
      </c>
      <c r="F6203" s="222" t="s">
        <v>2283</v>
      </c>
      <c r="G6203" s="223" t="s">
        <v>40953</v>
      </c>
      <c r="H6203" s="224"/>
      <c r="I6203" s="345"/>
      <c r="J6203" s="39">
        <v>105978</v>
      </c>
      <c r="K6203" s="36" t="str">
        <f>CONCATENATE(Cover!$D$6,"fdd/view?i=",J6203)</f>
        <v>https://www.dgiwg.org/FAD/fdd/view?i=105978</v>
      </c>
      <c r="L6203" s="36" t="s">
        <v>40954</v>
      </c>
      <c r="M6203" s="186"/>
      <c r="N6203" s="186"/>
      <c r="O6203" s="172"/>
    </row>
    <row r="6204" spans="1:15" ht="38.25" x14ac:dyDescent="0.2">
      <c r="A6204" s="197" t="str">
        <f t="shared" si="96"/>
        <v>MwfCode_chain</v>
      </c>
      <c r="B6204" s="409"/>
      <c r="C6204" s="416"/>
      <c r="D6204" s="198" t="s">
        <v>40955</v>
      </c>
      <c r="E6204" s="198">
        <v>7</v>
      </c>
      <c r="F6204" s="199" t="s">
        <v>40956</v>
      </c>
      <c r="G6204" s="1" t="s">
        <v>40957</v>
      </c>
      <c r="H6204" s="200"/>
      <c r="I6204" s="351" t="s">
        <v>40958</v>
      </c>
      <c r="J6204" s="39">
        <v>110278</v>
      </c>
      <c r="K6204" s="36" t="str">
        <f>CONCATENATE(Cover!$D$6,"fdd/view?i=",J6204)</f>
        <v>https://www.dgiwg.org/FAD/fdd/view?i=110278</v>
      </c>
      <c r="L6204" s="36" t="s">
        <v>40959</v>
      </c>
      <c r="M6204" s="186"/>
      <c r="N6204" s="186"/>
      <c r="O6204" s="172"/>
    </row>
    <row r="6205" spans="1:15" ht="25.5" x14ac:dyDescent="0.2">
      <c r="A6205" s="197" t="str">
        <f t="shared" si="96"/>
        <v>MwfCode_deviationDolphin</v>
      </c>
      <c r="B6205" s="409"/>
      <c r="C6205" s="416"/>
      <c r="D6205" s="198" t="s">
        <v>40960</v>
      </c>
      <c r="E6205" s="198">
        <v>3</v>
      </c>
      <c r="F6205" s="199" t="s">
        <v>40961</v>
      </c>
      <c r="G6205" s="1" t="s">
        <v>40962</v>
      </c>
      <c r="H6205" s="200"/>
      <c r="I6205" s="346"/>
      <c r="J6205" s="39">
        <v>105977</v>
      </c>
      <c r="K6205" s="36" t="str">
        <f>CONCATENATE(Cover!$D$6,"fdd/view?i=",J6205)</f>
        <v>https://www.dgiwg.org/FAD/fdd/view?i=105977</v>
      </c>
      <c r="L6205" s="36" t="s">
        <v>40963</v>
      </c>
      <c r="M6205" s="186"/>
      <c r="N6205" s="186"/>
      <c r="O6205" s="172"/>
    </row>
    <row r="6206" spans="1:15" ht="25.5" x14ac:dyDescent="0.2">
      <c r="A6206" s="197" t="str">
        <f t="shared" si="96"/>
        <v>MwfCode_dolphin</v>
      </c>
      <c r="B6206" s="409"/>
      <c r="C6206" s="416"/>
      <c r="D6206" s="198" t="s">
        <v>40964</v>
      </c>
      <c r="E6206" s="198">
        <v>2</v>
      </c>
      <c r="F6206" s="199" t="s">
        <v>2830</v>
      </c>
      <c r="G6206" s="1" t="s">
        <v>40965</v>
      </c>
      <c r="H6206" s="200"/>
      <c r="I6206" s="346"/>
      <c r="J6206" s="39">
        <v>105976</v>
      </c>
      <c r="K6206" s="36" t="str">
        <f>CONCATENATE(Cover!$D$6,"fdd/view?i=",J6206)</f>
        <v>https://www.dgiwg.org/FAD/fdd/view?i=105976</v>
      </c>
      <c r="L6206" s="36" t="s">
        <v>40966</v>
      </c>
      <c r="M6206" s="186"/>
      <c r="N6206" s="186"/>
      <c r="O6206" s="172"/>
    </row>
    <row r="6207" spans="1:15" ht="25.5" x14ac:dyDescent="0.2">
      <c r="A6207" s="197" t="str">
        <f t="shared" si="96"/>
        <v>MwfCode_mooringBuoy</v>
      </c>
      <c r="B6207" s="409"/>
      <c r="C6207" s="416"/>
      <c r="D6207" s="198" t="s">
        <v>40967</v>
      </c>
      <c r="E6207" s="198">
        <v>8</v>
      </c>
      <c r="F6207" s="199" t="s">
        <v>40968</v>
      </c>
      <c r="G6207" s="1" t="s">
        <v>40969</v>
      </c>
      <c r="H6207" s="200"/>
      <c r="I6207" s="346"/>
      <c r="J6207" s="39">
        <v>110279</v>
      </c>
      <c r="K6207" s="36" t="str">
        <f>CONCATENATE(Cover!$D$6,"fdd/view?i=",J6207)</f>
        <v>https://www.dgiwg.org/FAD/fdd/view?i=110279</v>
      </c>
      <c r="L6207" s="36" t="s">
        <v>40970</v>
      </c>
      <c r="M6207" s="186"/>
      <c r="N6207" s="186"/>
      <c r="O6207" s="172"/>
    </row>
    <row r="6208" spans="1:15" ht="25.5" x14ac:dyDescent="0.2">
      <c r="A6208" s="197" t="str">
        <f t="shared" si="96"/>
        <v>MwfCode_structuralPile</v>
      </c>
      <c r="B6208" s="409"/>
      <c r="C6208" s="416"/>
      <c r="D6208" s="198" t="s">
        <v>40971</v>
      </c>
      <c r="E6208" s="198">
        <v>6</v>
      </c>
      <c r="F6208" s="199" t="s">
        <v>5307</v>
      </c>
      <c r="G6208" s="1" t="s">
        <v>40972</v>
      </c>
      <c r="H6208" s="200"/>
      <c r="I6208" s="346"/>
      <c r="J6208" s="39">
        <v>105980</v>
      </c>
      <c r="K6208" s="36" t="str">
        <f>CONCATENATE(Cover!$D$6,"fdd/view?i=",J6208)</f>
        <v>https://www.dgiwg.org/FAD/fdd/view?i=105980</v>
      </c>
      <c r="L6208" s="36" t="s">
        <v>40973</v>
      </c>
      <c r="M6208" s="186"/>
      <c r="N6208" s="186"/>
      <c r="O6208" s="172"/>
    </row>
    <row r="6209" spans="1:15" ht="25.5" x14ac:dyDescent="0.2">
      <c r="A6209" s="197" t="str">
        <f t="shared" si="96"/>
        <v>MwfCode_tieUpWall</v>
      </c>
      <c r="B6209" s="409"/>
      <c r="C6209" s="416"/>
      <c r="D6209" s="198" t="s">
        <v>40974</v>
      </c>
      <c r="E6209" s="198">
        <v>5</v>
      </c>
      <c r="F6209" s="199" t="s">
        <v>40975</v>
      </c>
      <c r="G6209" s="1" t="s">
        <v>40976</v>
      </c>
      <c r="H6209" s="1" t="s">
        <v>40977</v>
      </c>
      <c r="I6209" s="346"/>
      <c r="J6209" s="39">
        <v>105979</v>
      </c>
      <c r="K6209" s="36" t="str">
        <f>CONCATENATE(Cover!$D$6,"fdd/view?i=",J6209)</f>
        <v>https://www.dgiwg.org/FAD/fdd/view?i=105979</v>
      </c>
      <c r="L6209" s="36" t="s">
        <v>40978</v>
      </c>
      <c r="M6209" s="186"/>
      <c r="N6209" s="186"/>
      <c r="O6209" s="172"/>
    </row>
    <row r="6210" spans="1:15" ht="25.5" x14ac:dyDescent="0.2">
      <c r="A6210" s="203" t="str">
        <f t="shared" ref="A6210:A6273" si="97">HYPERLINK(K6210,L6210)</f>
        <v>MwfCode_warpingBuoy</v>
      </c>
      <c r="B6210" s="410"/>
      <c r="C6210" s="417"/>
      <c r="D6210" s="204" t="s">
        <v>40979</v>
      </c>
      <c r="E6210" s="204">
        <v>9</v>
      </c>
      <c r="F6210" s="205" t="s">
        <v>40980</v>
      </c>
      <c r="G6210" s="206" t="s">
        <v>40981</v>
      </c>
      <c r="H6210" s="207"/>
      <c r="I6210" s="347"/>
      <c r="J6210" s="39">
        <v>110280</v>
      </c>
      <c r="K6210" s="36" t="str">
        <f>CONCATENATE(Cover!$D$6,"fdd/view?i=",J6210)</f>
        <v>https://www.dgiwg.org/FAD/fdd/view?i=110280</v>
      </c>
      <c r="L6210" s="36" t="s">
        <v>40982</v>
      </c>
      <c r="M6210" s="186"/>
      <c r="N6210" s="186"/>
      <c r="O6210" s="172"/>
    </row>
    <row r="6211" spans="1:15" ht="25.5" x14ac:dyDescent="0.2">
      <c r="A6211" s="190" t="str">
        <f t="shared" si="97"/>
        <v>MctCode_buoyMooring</v>
      </c>
      <c r="B6211" s="414" t="str">
        <f>HYPERLINK("[#]Datatypes!A990:L990","MctCode")</f>
        <v>MctCode</v>
      </c>
      <c r="C6211" s="415" t="s">
        <v>15581</v>
      </c>
      <c r="D6211" s="221" t="s">
        <v>40983</v>
      </c>
      <c r="E6211" s="221">
        <v>1</v>
      </c>
      <c r="F6211" s="222" t="s">
        <v>40984</v>
      </c>
      <c r="G6211" s="223" t="s">
        <v>40985</v>
      </c>
      <c r="H6211" s="224"/>
      <c r="I6211" s="345"/>
      <c r="J6211" s="39">
        <v>105514</v>
      </c>
      <c r="K6211" s="36" t="str">
        <f>CONCATENATE(Cover!$D$6,"fdd/view?i=",J6211)</f>
        <v>https://www.dgiwg.org/FAD/fdd/view?i=105514</v>
      </c>
      <c r="L6211" s="36" t="s">
        <v>40986</v>
      </c>
      <c r="M6211" s="186"/>
      <c r="N6211" s="186"/>
      <c r="O6211" s="172"/>
    </row>
    <row r="6212" spans="1:15" ht="25.5" x14ac:dyDescent="0.2">
      <c r="A6212" s="197" t="str">
        <f t="shared" si="97"/>
        <v>MctCode_foreAndAftMooring</v>
      </c>
      <c r="B6212" s="409"/>
      <c r="C6212" s="416"/>
      <c r="D6212" s="198" t="s">
        <v>40987</v>
      </c>
      <c r="E6212" s="198">
        <v>2</v>
      </c>
      <c r="F6212" s="199" t="s">
        <v>40988</v>
      </c>
      <c r="G6212" s="1" t="s">
        <v>40989</v>
      </c>
      <c r="H6212" s="200"/>
      <c r="I6212" s="346"/>
      <c r="J6212" s="39">
        <v>110749</v>
      </c>
      <c r="K6212" s="36" t="str">
        <f>CONCATENATE(Cover!$D$6,"fdd/view?i=",J6212)</f>
        <v>https://www.dgiwg.org/FAD/fdd/view?i=110749</v>
      </c>
      <c r="L6212" s="36" t="s">
        <v>40990</v>
      </c>
      <c r="M6212" s="186"/>
      <c r="N6212" s="186"/>
      <c r="O6212" s="172"/>
    </row>
    <row r="6213" spans="1:15" ht="25.5" x14ac:dyDescent="0.2">
      <c r="A6213" s="197" t="str">
        <f t="shared" si="97"/>
        <v>MctCode_islandMooring</v>
      </c>
      <c r="B6213" s="409"/>
      <c r="C6213" s="416"/>
      <c r="D6213" s="198" t="s">
        <v>40991</v>
      </c>
      <c r="E6213" s="198">
        <v>3</v>
      </c>
      <c r="F6213" s="199" t="s">
        <v>40992</v>
      </c>
      <c r="G6213" s="1" t="s">
        <v>40993</v>
      </c>
      <c r="H6213" s="200"/>
      <c r="I6213" s="351" t="s">
        <v>40994</v>
      </c>
      <c r="J6213" s="39">
        <v>110750</v>
      </c>
      <c r="K6213" s="36" t="str">
        <f>CONCATENATE(Cover!$D$6,"fdd/view?i=",J6213)</f>
        <v>https://www.dgiwg.org/FAD/fdd/view?i=110750</v>
      </c>
      <c r="L6213" s="36" t="s">
        <v>40995</v>
      </c>
      <c r="M6213" s="186"/>
      <c r="N6213" s="186"/>
      <c r="O6213" s="172"/>
    </row>
    <row r="6214" spans="1:15" ht="25.5" x14ac:dyDescent="0.2">
      <c r="A6214" s="197" t="str">
        <f t="shared" si="97"/>
        <v>MctCode_swingMooring</v>
      </c>
      <c r="B6214" s="409"/>
      <c r="C6214" s="416"/>
      <c r="D6214" s="198" t="s">
        <v>40996</v>
      </c>
      <c r="E6214" s="198">
        <v>4</v>
      </c>
      <c r="F6214" s="199" t="s">
        <v>40997</v>
      </c>
      <c r="G6214" s="1" t="s">
        <v>40998</v>
      </c>
      <c r="H6214" s="200"/>
      <c r="I6214" s="346"/>
      <c r="J6214" s="39">
        <v>110751</v>
      </c>
      <c r="K6214" s="36" t="str">
        <f>CONCATENATE(Cover!$D$6,"fdd/view?i=",J6214)</f>
        <v>https://www.dgiwg.org/FAD/fdd/view?i=110751</v>
      </c>
      <c r="L6214" s="36" t="s">
        <v>40999</v>
      </c>
      <c r="M6214" s="186"/>
      <c r="N6214" s="186"/>
      <c r="O6214" s="172"/>
    </row>
    <row r="6215" spans="1:15" x14ac:dyDescent="0.2">
      <c r="A6215" s="203" t="str">
        <f t="shared" si="97"/>
        <v>MctCode_trotMooring</v>
      </c>
      <c r="B6215" s="410"/>
      <c r="C6215" s="417"/>
      <c r="D6215" s="204" t="s">
        <v>41000</v>
      </c>
      <c r="E6215" s="204">
        <v>5</v>
      </c>
      <c r="F6215" s="205" t="s">
        <v>41001</v>
      </c>
      <c r="G6215" s="206" t="s">
        <v>41002</v>
      </c>
      <c r="H6215" s="207"/>
      <c r="I6215" s="347"/>
      <c r="J6215" s="39">
        <v>110752</v>
      </c>
      <c r="K6215" s="36" t="str">
        <f>CONCATENATE(Cover!$D$6,"fdd/view?i=",J6215)</f>
        <v>https://www.dgiwg.org/FAD/fdd/view?i=110752</v>
      </c>
      <c r="L6215" s="36" t="s">
        <v>41003</v>
      </c>
      <c r="M6215" s="186"/>
      <c r="N6215" s="186"/>
      <c r="O6215" s="172"/>
    </row>
    <row r="6216" spans="1:15" ht="38.25" x14ac:dyDescent="0.2">
      <c r="A6216" s="190" t="str">
        <f t="shared" si="97"/>
        <v>MorCode_ground</v>
      </c>
      <c r="B6216" s="414" t="str">
        <f>HYPERLINK("[#]Datatypes!A992:L992","MorCode")</f>
        <v>MorCode</v>
      </c>
      <c r="C6216" s="415" t="s">
        <v>15583</v>
      </c>
      <c r="D6216" s="221" t="s">
        <v>41004</v>
      </c>
      <c r="E6216" s="221">
        <v>3</v>
      </c>
      <c r="F6216" s="222" t="s">
        <v>41005</v>
      </c>
      <c r="G6216" s="223" t="s">
        <v>41006</v>
      </c>
      <c r="H6216" s="223" t="s">
        <v>41007</v>
      </c>
      <c r="I6216" s="345"/>
      <c r="J6216" s="39">
        <v>113558</v>
      </c>
      <c r="K6216" s="36" t="str">
        <f>CONCATENATE(Cover!$D$6,"fdd/view?i=",J6216)</f>
        <v>https://www.dgiwg.org/FAD/fdd/view?i=113558</v>
      </c>
      <c r="L6216" s="36" t="s">
        <v>41008</v>
      </c>
      <c r="M6216" s="186"/>
      <c r="N6216" s="186"/>
      <c r="O6216" s="172"/>
    </row>
    <row r="6217" spans="1:15" ht="38.25" x14ac:dyDescent="0.2">
      <c r="A6217" s="197" t="str">
        <f t="shared" si="97"/>
        <v>MorCode_lateral</v>
      </c>
      <c r="B6217" s="409"/>
      <c r="C6217" s="416"/>
      <c r="D6217" s="198" t="s">
        <v>24970</v>
      </c>
      <c r="E6217" s="198">
        <v>2</v>
      </c>
      <c r="F6217" s="199" t="s">
        <v>24971</v>
      </c>
      <c r="G6217" s="1" t="s">
        <v>41009</v>
      </c>
      <c r="H6217" s="200"/>
      <c r="I6217" s="351" t="s">
        <v>41010</v>
      </c>
      <c r="J6217" s="39">
        <v>113557</v>
      </c>
      <c r="K6217" s="36" t="str">
        <f>CONCATENATE(Cover!$D$6,"fdd/view?i=",J6217)</f>
        <v>https://www.dgiwg.org/FAD/fdd/view?i=113557</v>
      </c>
      <c r="L6217" s="36" t="s">
        <v>41011</v>
      </c>
      <c r="M6217" s="186"/>
      <c r="N6217" s="186"/>
      <c r="O6217" s="172"/>
    </row>
    <row r="6218" spans="1:15" ht="25.5" x14ac:dyDescent="0.2">
      <c r="A6218" s="197" t="str">
        <f t="shared" si="97"/>
        <v>MorCode_medial</v>
      </c>
      <c r="B6218" s="409"/>
      <c r="C6218" s="416"/>
      <c r="D6218" s="198" t="s">
        <v>41012</v>
      </c>
      <c r="E6218" s="198">
        <v>4</v>
      </c>
      <c r="F6218" s="199" t="s">
        <v>41013</v>
      </c>
      <c r="G6218" s="1" t="s">
        <v>41014</v>
      </c>
      <c r="H6218" s="200"/>
      <c r="I6218" s="346"/>
      <c r="J6218" s="39">
        <v>113559</v>
      </c>
      <c r="K6218" s="36" t="str">
        <f>CONCATENATE(Cover!$D$6,"fdd/view?i=",J6218)</f>
        <v>https://www.dgiwg.org/FAD/fdd/view?i=113559</v>
      </c>
      <c r="L6218" s="36" t="s">
        <v>41015</v>
      </c>
      <c r="M6218" s="186"/>
      <c r="N6218" s="186"/>
      <c r="O6218" s="172"/>
    </row>
    <row r="6219" spans="1:15" ht="25.5" x14ac:dyDescent="0.2">
      <c r="A6219" s="203" t="str">
        <f t="shared" si="97"/>
        <v>MorCode_terminal</v>
      </c>
      <c r="B6219" s="410"/>
      <c r="C6219" s="417"/>
      <c r="D6219" s="204" t="s">
        <v>31672</v>
      </c>
      <c r="E6219" s="204">
        <v>1</v>
      </c>
      <c r="F6219" s="205" t="s">
        <v>31673</v>
      </c>
      <c r="G6219" s="206" t="s">
        <v>41016</v>
      </c>
      <c r="H6219" s="206" t="s">
        <v>41017</v>
      </c>
      <c r="I6219" s="353" t="s">
        <v>41018</v>
      </c>
      <c r="J6219" s="39">
        <v>113556</v>
      </c>
      <c r="K6219" s="36" t="str">
        <f>CONCATENATE(Cover!$D$6,"fdd/view?i=",J6219)</f>
        <v>https://www.dgiwg.org/FAD/fdd/view?i=113556</v>
      </c>
      <c r="L6219" s="36" t="s">
        <v>41019</v>
      </c>
      <c r="M6219" s="186"/>
      <c r="N6219" s="186"/>
      <c r="O6219" s="172"/>
    </row>
    <row r="6220" spans="1:15" x14ac:dyDescent="0.2">
      <c r="A6220" s="190" t="str">
        <f t="shared" si="97"/>
        <v>NltCode_arcticLand</v>
      </c>
      <c r="B6220" s="414" t="str">
        <f>HYPERLINK("[#]Datatypes!A1002:L1002","NltCode")</f>
        <v>NltCode</v>
      </c>
      <c r="C6220" s="415" t="s">
        <v>15594</v>
      </c>
      <c r="D6220" s="221" t="s">
        <v>41020</v>
      </c>
      <c r="E6220" s="221">
        <v>4</v>
      </c>
      <c r="F6220" s="222" t="s">
        <v>41021</v>
      </c>
      <c r="G6220" s="223" t="s">
        <v>41022</v>
      </c>
      <c r="H6220" s="224"/>
      <c r="I6220" s="345"/>
      <c r="J6220" s="39">
        <v>114339</v>
      </c>
      <c r="K6220" s="36" t="str">
        <f>CONCATENATE(Cover!$D$6,"fdd/view?i=",J6220)</f>
        <v>https://www.dgiwg.org/FAD/fdd/view?i=114339</v>
      </c>
      <c r="L6220" s="36" t="s">
        <v>41023</v>
      </c>
      <c r="M6220" s="186"/>
      <c r="N6220" s="186"/>
      <c r="O6220" s="172"/>
    </row>
    <row r="6221" spans="1:15" x14ac:dyDescent="0.2">
      <c r="A6221" s="197" t="str">
        <f t="shared" si="97"/>
        <v>NltCode_area</v>
      </c>
      <c r="B6221" s="409"/>
      <c r="C6221" s="416"/>
      <c r="D6221" s="198" t="s">
        <v>215</v>
      </c>
      <c r="E6221" s="198">
        <v>1</v>
      </c>
      <c r="F6221" s="199" t="s">
        <v>216</v>
      </c>
      <c r="G6221" s="1" t="s">
        <v>41024</v>
      </c>
      <c r="H6221" s="200"/>
      <c r="I6221" s="346"/>
      <c r="J6221" s="39">
        <v>114336</v>
      </c>
      <c r="K6221" s="36" t="str">
        <f>CONCATENATE(Cover!$D$6,"fdd/view?i=",J6221)</f>
        <v>https://www.dgiwg.org/FAD/fdd/view?i=114336</v>
      </c>
      <c r="L6221" s="36" t="s">
        <v>41025</v>
      </c>
      <c r="M6221" s="186"/>
      <c r="N6221" s="186"/>
      <c r="O6221" s="172"/>
    </row>
    <row r="6222" spans="1:15" ht="25.5" x14ac:dyDescent="0.2">
      <c r="A6222" s="197" t="str">
        <f t="shared" si="97"/>
        <v>NltCode_locality</v>
      </c>
      <c r="B6222" s="409"/>
      <c r="C6222" s="416"/>
      <c r="D6222" s="198" t="s">
        <v>41026</v>
      </c>
      <c r="E6222" s="198">
        <v>2</v>
      </c>
      <c r="F6222" s="199" t="s">
        <v>41027</v>
      </c>
      <c r="G6222" s="1" t="s">
        <v>41028</v>
      </c>
      <c r="H6222" s="200"/>
      <c r="I6222" s="346"/>
      <c r="J6222" s="39">
        <v>114337</v>
      </c>
      <c r="K6222" s="36" t="str">
        <f>CONCATENATE(Cover!$D$6,"fdd/view?i=",J6222)</f>
        <v>https://www.dgiwg.org/FAD/fdd/view?i=114337</v>
      </c>
      <c r="L6222" s="36" t="s">
        <v>41029</v>
      </c>
      <c r="M6222" s="186"/>
      <c r="N6222" s="186"/>
      <c r="O6222" s="172"/>
    </row>
    <row r="6223" spans="1:15" ht="38.25" x14ac:dyDescent="0.2">
      <c r="A6223" s="197" t="str">
        <f t="shared" si="97"/>
        <v>NltCode_populatedLocality</v>
      </c>
      <c r="B6223" s="409"/>
      <c r="C6223" s="416"/>
      <c r="D6223" s="198" t="s">
        <v>41030</v>
      </c>
      <c r="E6223" s="198">
        <v>5</v>
      </c>
      <c r="F6223" s="199" t="s">
        <v>41031</v>
      </c>
      <c r="G6223" s="1" t="s">
        <v>41032</v>
      </c>
      <c r="H6223" s="200"/>
      <c r="I6223" s="346"/>
      <c r="J6223" s="39">
        <v>114340</v>
      </c>
      <c r="K6223" s="36" t="str">
        <f>CONCATENATE(Cover!$D$6,"fdd/view?i=",J6223)</f>
        <v>https://www.dgiwg.org/FAD/fdd/view?i=114340</v>
      </c>
      <c r="L6223" s="36" t="s">
        <v>41033</v>
      </c>
      <c r="M6223" s="186"/>
      <c r="N6223" s="186"/>
      <c r="O6223" s="172"/>
    </row>
    <row r="6224" spans="1:15" ht="25.5" x14ac:dyDescent="0.2">
      <c r="A6224" s="203" t="str">
        <f t="shared" si="97"/>
        <v>NltCode_region</v>
      </c>
      <c r="B6224" s="410"/>
      <c r="C6224" s="417"/>
      <c r="D6224" s="204" t="s">
        <v>41034</v>
      </c>
      <c r="E6224" s="204">
        <v>3</v>
      </c>
      <c r="F6224" s="205" t="s">
        <v>41035</v>
      </c>
      <c r="G6224" s="206" t="s">
        <v>41036</v>
      </c>
      <c r="H6224" s="207"/>
      <c r="I6224" s="347"/>
      <c r="J6224" s="39">
        <v>114338</v>
      </c>
      <c r="K6224" s="36" t="str">
        <f>CONCATENATE(Cover!$D$6,"fdd/view?i=",J6224)</f>
        <v>https://www.dgiwg.org/FAD/fdd/view?i=114338</v>
      </c>
      <c r="L6224" s="36" t="s">
        <v>41037</v>
      </c>
      <c r="M6224" s="186"/>
      <c r="N6224" s="186"/>
      <c r="O6224" s="172"/>
    </row>
    <row r="6225" spans="1:15" ht="25.5" x14ac:dyDescent="0.2">
      <c r="A6225" s="190" t="str">
        <f t="shared" si="97"/>
        <v>NctCode_civilWar</v>
      </c>
      <c r="B6225" s="414" t="str">
        <f>HYPERLINK("[#]Datatypes!A1004:L1004","NctCode")</f>
        <v>NctCode</v>
      </c>
      <c r="C6225" s="415" t="s">
        <v>15596</v>
      </c>
      <c r="D6225" s="221" t="s">
        <v>41038</v>
      </c>
      <c r="E6225" s="221">
        <v>1</v>
      </c>
      <c r="F6225" s="222" t="s">
        <v>41039</v>
      </c>
      <c r="G6225" s="223" t="s">
        <v>41040</v>
      </c>
      <c r="H6225" s="224"/>
      <c r="I6225" s="345"/>
      <c r="J6225" s="39">
        <v>113579</v>
      </c>
      <c r="K6225" s="36" t="str">
        <f>CONCATENATE(Cover!$D$6,"fdd/view?i=",J6225)</f>
        <v>https://www.dgiwg.org/FAD/fdd/view?i=113579</v>
      </c>
      <c r="L6225" s="36" t="s">
        <v>41041</v>
      </c>
      <c r="M6225" s="186"/>
      <c r="N6225" s="186"/>
      <c r="O6225" s="172"/>
    </row>
    <row r="6226" spans="1:15" ht="25.5" x14ac:dyDescent="0.2">
      <c r="A6226" s="197" t="str">
        <f t="shared" si="97"/>
        <v>NctCode_crisis</v>
      </c>
      <c r="B6226" s="409"/>
      <c r="C6226" s="416"/>
      <c r="D6226" s="198" t="s">
        <v>35791</v>
      </c>
      <c r="E6226" s="198">
        <v>2</v>
      </c>
      <c r="F6226" s="199" t="s">
        <v>35792</v>
      </c>
      <c r="G6226" s="1" t="s">
        <v>35793</v>
      </c>
      <c r="H6226" s="200"/>
      <c r="I6226" s="346"/>
      <c r="J6226" s="39">
        <v>113580</v>
      </c>
      <c r="K6226" s="36" t="str">
        <f>CONCATENATE(Cover!$D$6,"fdd/view?i=",J6226)</f>
        <v>https://www.dgiwg.org/FAD/fdd/view?i=113580</v>
      </c>
      <c r="L6226" s="36" t="s">
        <v>41042</v>
      </c>
      <c r="M6226" s="186"/>
      <c r="N6226" s="186"/>
      <c r="O6226" s="172"/>
    </row>
    <row r="6227" spans="1:15" ht="25.5" x14ac:dyDescent="0.2">
      <c r="A6227" s="203" t="str">
        <f t="shared" si="97"/>
        <v>NctCode_tension</v>
      </c>
      <c r="B6227" s="410"/>
      <c r="C6227" s="417"/>
      <c r="D6227" s="204" t="s">
        <v>35795</v>
      </c>
      <c r="E6227" s="204">
        <v>3</v>
      </c>
      <c r="F6227" s="205" t="s">
        <v>35796</v>
      </c>
      <c r="G6227" s="206" t="s">
        <v>35797</v>
      </c>
      <c r="H6227" s="207"/>
      <c r="I6227" s="347"/>
      <c r="J6227" s="39">
        <v>113581</v>
      </c>
      <c r="K6227" s="36" t="str">
        <f>CONCATENATE(Cover!$D$6,"fdd/view?i=",J6227)</f>
        <v>https://www.dgiwg.org/FAD/fdd/view?i=113581</v>
      </c>
      <c r="L6227" s="36" t="s">
        <v>41043</v>
      </c>
      <c r="M6227" s="186"/>
      <c r="N6227" s="186"/>
      <c r="O6227" s="172"/>
    </row>
    <row r="6228" spans="1:15" ht="25.5" x14ac:dyDescent="0.2">
      <c r="A6228" s="190" t="str">
        <f t="shared" si="97"/>
        <v>NmiCode_locallySignificant</v>
      </c>
      <c r="B6228" s="414" t="str">
        <f>HYPERLINK("[#]Datatypes!A1006:L1006","NmiCode")</f>
        <v>NmiCode</v>
      </c>
      <c r="C6228" s="415" t="s">
        <v>15598</v>
      </c>
      <c r="D6228" s="221" t="s">
        <v>41044</v>
      </c>
      <c r="E6228" s="221">
        <v>4</v>
      </c>
      <c r="F6228" s="222" t="s">
        <v>41045</v>
      </c>
      <c r="G6228" s="223" t="s">
        <v>41046</v>
      </c>
      <c r="H6228" s="224"/>
      <c r="I6228" s="345"/>
      <c r="J6228" s="39">
        <v>118896</v>
      </c>
      <c r="K6228" s="36" t="str">
        <f>CONCATENATE(Cover!$D$6,"fdd/view?i=",J6228)</f>
        <v>https://www.dgiwg.org/FAD/fdd/view?i=118896</v>
      </c>
      <c r="L6228" s="36" t="s">
        <v>41047</v>
      </c>
      <c r="M6228" s="186"/>
      <c r="N6228" s="186"/>
      <c r="O6228" s="172"/>
    </row>
    <row r="6229" spans="1:15" ht="25.5" x14ac:dyDescent="0.2">
      <c r="A6229" s="197" t="str">
        <f t="shared" si="97"/>
        <v>NmiCode_nationallyCritical</v>
      </c>
      <c r="B6229" s="409"/>
      <c r="C6229" s="416"/>
      <c r="D6229" s="198" t="s">
        <v>41048</v>
      </c>
      <c r="E6229" s="198">
        <v>1</v>
      </c>
      <c r="F6229" s="199" t="s">
        <v>41049</v>
      </c>
      <c r="G6229" s="1" t="s">
        <v>41050</v>
      </c>
      <c r="H6229" s="200"/>
      <c r="I6229" s="346"/>
      <c r="J6229" s="39">
        <v>118893</v>
      </c>
      <c r="K6229" s="36" t="str">
        <f>CONCATENATE(Cover!$D$6,"fdd/view?i=",J6229)</f>
        <v>https://www.dgiwg.org/FAD/fdd/view?i=118893</v>
      </c>
      <c r="L6229" s="36" t="s">
        <v>41051</v>
      </c>
      <c r="M6229" s="186"/>
      <c r="N6229" s="186"/>
      <c r="O6229" s="172"/>
    </row>
    <row r="6230" spans="1:15" ht="25.5" x14ac:dyDescent="0.2">
      <c r="A6230" s="197" t="str">
        <f t="shared" si="97"/>
        <v>NmiCode_nationallySignificant</v>
      </c>
      <c r="B6230" s="409"/>
      <c r="C6230" s="416"/>
      <c r="D6230" s="198" t="s">
        <v>41052</v>
      </c>
      <c r="E6230" s="198">
        <v>2</v>
      </c>
      <c r="F6230" s="199" t="s">
        <v>41053</v>
      </c>
      <c r="G6230" s="1" t="s">
        <v>41054</v>
      </c>
      <c r="H6230" s="200"/>
      <c r="I6230" s="346"/>
      <c r="J6230" s="39">
        <v>118894</v>
      </c>
      <c r="K6230" s="36" t="str">
        <f>CONCATENATE(Cover!$D$6,"fdd/view?i=",J6230)</f>
        <v>https://www.dgiwg.org/FAD/fdd/view?i=118894</v>
      </c>
      <c r="L6230" s="36" t="s">
        <v>41055</v>
      </c>
      <c r="M6230" s="186"/>
      <c r="N6230" s="186"/>
      <c r="O6230" s="172"/>
    </row>
    <row r="6231" spans="1:15" ht="25.5" x14ac:dyDescent="0.2">
      <c r="A6231" s="203" t="str">
        <f t="shared" si="97"/>
        <v>NmiCode_regionallyCritical</v>
      </c>
      <c r="B6231" s="410"/>
      <c r="C6231" s="417"/>
      <c r="D6231" s="204" t="s">
        <v>41056</v>
      </c>
      <c r="E6231" s="204">
        <v>3</v>
      </c>
      <c r="F6231" s="205" t="s">
        <v>41057</v>
      </c>
      <c r="G6231" s="206" t="s">
        <v>41058</v>
      </c>
      <c r="H6231" s="207"/>
      <c r="I6231" s="347"/>
      <c r="J6231" s="39">
        <v>118895</v>
      </c>
      <c r="K6231" s="36" t="str">
        <f>CONCATENATE(Cover!$D$6,"fdd/view?i=",J6231)</f>
        <v>https://www.dgiwg.org/FAD/fdd/view?i=118895</v>
      </c>
      <c r="L6231" s="36" t="s">
        <v>41059</v>
      </c>
      <c r="M6231" s="186"/>
      <c r="N6231" s="186"/>
      <c r="O6231" s="172"/>
    </row>
    <row r="6232" spans="1:15" ht="25.5" x14ac:dyDescent="0.2">
      <c r="A6232" s="190" t="str">
        <f t="shared" si="97"/>
        <v>NasCode_centralizedHabitation</v>
      </c>
      <c r="B6232" s="414" t="str">
        <f>HYPERLINK("[#]Datatypes!A1008:L1008","NasCode")</f>
        <v>NasCode</v>
      </c>
      <c r="C6232" s="415" t="s">
        <v>15600</v>
      </c>
      <c r="D6232" s="221" t="s">
        <v>41060</v>
      </c>
      <c r="E6232" s="221">
        <v>1</v>
      </c>
      <c r="F6232" s="222" t="s">
        <v>41061</v>
      </c>
      <c r="G6232" s="223" t="s">
        <v>41062</v>
      </c>
      <c r="H6232" s="224"/>
      <c r="I6232" s="345"/>
      <c r="J6232" s="39">
        <v>105985</v>
      </c>
      <c r="K6232" s="36" t="str">
        <f>CONCATENATE(Cover!$D$6,"fdd/view?i=",J6232)</f>
        <v>https://www.dgiwg.org/FAD/fdd/view?i=105985</v>
      </c>
      <c r="L6232" s="36" t="s">
        <v>41063</v>
      </c>
      <c r="M6232" s="186"/>
      <c r="N6232" s="186"/>
      <c r="O6232" s="172"/>
    </row>
    <row r="6233" spans="1:15" ht="25.5" x14ac:dyDescent="0.2">
      <c r="A6233" s="197" t="str">
        <f t="shared" si="97"/>
        <v>NasCode_continuousHabitation</v>
      </c>
      <c r="B6233" s="409"/>
      <c r="C6233" s="416"/>
      <c r="D6233" s="198" t="s">
        <v>41064</v>
      </c>
      <c r="E6233" s="198">
        <v>2</v>
      </c>
      <c r="F6233" s="199" t="s">
        <v>41065</v>
      </c>
      <c r="G6233" s="1" t="s">
        <v>41066</v>
      </c>
      <c r="H6233" s="200"/>
      <c r="I6233" s="346"/>
      <c r="J6233" s="39">
        <v>105986</v>
      </c>
      <c r="K6233" s="36" t="str">
        <f>CONCATENATE(Cover!$D$6,"fdd/view?i=",J6233)</f>
        <v>https://www.dgiwg.org/FAD/fdd/view?i=105986</v>
      </c>
      <c r="L6233" s="36" t="s">
        <v>41067</v>
      </c>
      <c r="M6233" s="186"/>
      <c r="N6233" s="186"/>
      <c r="O6233" s="172"/>
    </row>
    <row r="6234" spans="1:15" ht="25.5" x14ac:dyDescent="0.2">
      <c r="A6234" s="203" t="str">
        <f t="shared" si="97"/>
        <v>NasCode_nomadicSettlement</v>
      </c>
      <c r="B6234" s="410"/>
      <c r="C6234" s="417"/>
      <c r="D6234" s="204" t="s">
        <v>41068</v>
      </c>
      <c r="E6234" s="204">
        <v>3</v>
      </c>
      <c r="F6234" s="205" t="s">
        <v>41069</v>
      </c>
      <c r="G6234" s="206" t="s">
        <v>41070</v>
      </c>
      <c r="H6234" s="207"/>
      <c r="I6234" s="347"/>
      <c r="J6234" s="39">
        <v>111784</v>
      </c>
      <c r="K6234" s="36" t="str">
        <f>CONCATENATE(Cover!$D$6,"fdd/view?i=",J6234)</f>
        <v>https://www.dgiwg.org/FAD/fdd/view?i=111784</v>
      </c>
      <c r="L6234" s="36" t="s">
        <v>41071</v>
      </c>
      <c r="M6234" s="186"/>
      <c r="N6234" s="186"/>
      <c r="O6234" s="172"/>
    </row>
    <row r="6235" spans="1:15" ht="38.25" x14ac:dyDescent="0.2">
      <c r="A6235" s="190" t="str">
        <f t="shared" si="97"/>
        <v>NdiCode_avalanche</v>
      </c>
      <c r="B6235" s="414" t="str">
        <f>HYPERLINK("[#]Datatypes!A1010:L1010","NdiCode")</f>
        <v>NdiCode</v>
      </c>
      <c r="C6235" s="415" t="s">
        <v>15602</v>
      </c>
      <c r="D6235" s="221" t="s">
        <v>29061</v>
      </c>
      <c r="E6235" s="221">
        <v>1</v>
      </c>
      <c r="F6235" s="222" t="s">
        <v>29062</v>
      </c>
      <c r="G6235" s="223" t="s">
        <v>29063</v>
      </c>
      <c r="H6235" s="224"/>
      <c r="I6235" s="345"/>
      <c r="J6235" s="39">
        <v>118708</v>
      </c>
      <c r="K6235" s="36" t="str">
        <f>CONCATENATE(Cover!$D$6,"fdd/view?i=",J6235)</f>
        <v>https://www.dgiwg.org/FAD/fdd/view?i=118708</v>
      </c>
      <c r="L6235" s="36" t="s">
        <v>41072</v>
      </c>
      <c r="M6235" s="186"/>
      <c r="N6235" s="186"/>
      <c r="O6235" s="172"/>
    </row>
    <row r="6236" spans="1:15" ht="25.5" x14ac:dyDescent="0.2">
      <c r="A6236" s="197" t="str">
        <f t="shared" si="97"/>
        <v>NdiCode_blizzard</v>
      </c>
      <c r="B6236" s="409"/>
      <c r="C6236" s="416"/>
      <c r="D6236" s="198" t="s">
        <v>41073</v>
      </c>
      <c r="E6236" s="198">
        <v>2</v>
      </c>
      <c r="F6236" s="199" t="s">
        <v>41074</v>
      </c>
      <c r="G6236" s="1" t="s">
        <v>41075</v>
      </c>
      <c r="H6236" s="200"/>
      <c r="I6236" s="346"/>
      <c r="J6236" s="39">
        <v>118709</v>
      </c>
      <c r="K6236" s="36" t="str">
        <f>CONCATENATE(Cover!$D$6,"fdd/view?i=",J6236)</f>
        <v>https://www.dgiwg.org/FAD/fdd/view?i=118709</v>
      </c>
      <c r="L6236" s="36" t="s">
        <v>41076</v>
      </c>
      <c r="M6236" s="186"/>
      <c r="N6236" s="186"/>
      <c r="O6236" s="172"/>
    </row>
    <row r="6237" spans="1:15" ht="25.5" x14ac:dyDescent="0.2">
      <c r="A6237" s="197" t="str">
        <f t="shared" si="97"/>
        <v>NdiCode_cycloneicStorm</v>
      </c>
      <c r="B6237" s="409"/>
      <c r="C6237" s="416"/>
      <c r="D6237" s="198" t="s">
        <v>41077</v>
      </c>
      <c r="E6237" s="198">
        <v>3</v>
      </c>
      <c r="F6237" s="199" t="s">
        <v>41078</v>
      </c>
      <c r="G6237" s="1" t="s">
        <v>41079</v>
      </c>
      <c r="H6237" s="200"/>
      <c r="I6237" s="346"/>
      <c r="J6237" s="39">
        <v>118710</v>
      </c>
      <c r="K6237" s="36" t="str">
        <f>CONCATENATE(Cover!$D$6,"fdd/view?i=",J6237)</f>
        <v>https://www.dgiwg.org/FAD/fdd/view?i=118710</v>
      </c>
      <c r="L6237" s="36" t="s">
        <v>41080</v>
      </c>
      <c r="M6237" s="186"/>
      <c r="N6237" s="186"/>
      <c r="O6237" s="172"/>
    </row>
    <row r="6238" spans="1:15" ht="25.5" x14ac:dyDescent="0.2">
      <c r="A6238" s="197" t="str">
        <f t="shared" si="97"/>
        <v>NdiCode_damBreakFlooding</v>
      </c>
      <c r="B6238" s="409"/>
      <c r="C6238" s="416"/>
      <c r="D6238" s="198" t="s">
        <v>41081</v>
      </c>
      <c r="E6238" s="198">
        <v>4</v>
      </c>
      <c r="F6238" s="199" t="s">
        <v>41082</v>
      </c>
      <c r="G6238" s="1" t="s">
        <v>29067</v>
      </c>
      <c r="H6238" s="200"/>
      <c r="I6238" s="346"/>
      <c r="J6238" s="39">
        <v>118711</v>
      </c>
      <c r="K6238" s="36" t="str">
        <f>CONCATENATE(Cover!$D$6,"fdd/view?i=",J6238)</f>
        <v>https://www.dgiwg.org/FAD/fdd/view?i=118711</v>
      </c>
      <c r="L6238" s="36" t="s">
        <v>41083</v>
      </c>
      <c r="M6238" s="186"/>
      <c r="N6238" s="186"/>
      <c r="O6238" s="172"/>
    </row>
    <row r="6239" spans="1:15" ht="25.5" x14ac:dyDescent="0.2">
      <c r="A6239" s="197" t="str">
        <f t="shared" si="97"/>
        <v>NdiCode_drought</v>
      </c>
      <c r="B6239" s="409"/>
      <c r="C6239" s="416"/>
      <c r="D6239" s="198" t="s">
        <v>41084</v>
      </c>
      <c r="E6239" s="198">
        <v>5</v>
      </c>
      <c r="F6239" s="199" t="s">
        <v>41085</v>
      </c>
      <c r="G6239" s="1" t="s">
        <v>41086</v>
      </c>
      <c r="H6239" s="200"/>
      <c r="I6239" s="346"/>
      <c r="J6239" s="39">
        <v>118712</v>
      </c>
      <c r="K6239" s="36" t="str">
        <f>CONCATENATE(Cover!$D$6,"fdd/view?i=",J6239)</f>
        <v>https://www.dgiwg.org/FAD/fdd/view?i=118712</v>
      </c>
      <c r="L6239" s="36" t="s">
        <v>41087</v>
      </c>
      <c r="M6239" s="186"/>
      <c r="N6239" s="186"/>
      <c r="O6239" s="172"/>
    </row>
    <row r="6240" spans="1:15" ht="25.5" x14ac:dyDescent="0.2">
      <c r="A6240" s="197" t="str">
        <f t="shared" si="97"/>
        <v>NdiCode_earthquake</v>
      </c>
      <c r="B6240" s="409"/>
      <c r="C6240" s="416"/>
      <c r="D6240" s="198" t="s">
        <v>41088</v>
      </c>
      <c r="E6240" s="198">
        <v>6</v>
      </c>
      <c r="F6240" s="199" t="s">
        <v>41089</v>
      </c>
      <c r="G6240" s="1" t="s">
        <v>41090</v>
      </c>
      <c r="H6240" s="200"/>
      <c r="I6240" s="346"/>
      <c r="J6240" s="39">
        <v>118713</v>
      </c>
      <c r="K6240" s="36" t="str">
        <f>CONCATENATE(Cover!$D$6,"fdd/view?i=",J6240)</f>
        <v>https://www.dgiwg.org/FAD/fdd/view?i=118713</v>
      </c>
      <c r="L6240" s="36" t="s">
        <v>41091</v>
      </c>
      <c r="M6240" s="186"/>
      <c r="N6240" s="186"/>
      <c r="O6240" s="172"/>
    </row>
    <row r="6241" spans="1:15" ht="25.5" x14ac:dyDescent="0.2">
      <c r="A6241" s="197" t="str">
        <f t="shared" si="97"/>
        <v>NdiCode_fire</v>
      </c>
      <c r="B6241" s="409"/>
      <c r="C6241" s="416"/>
      <c r="D6241" s="198" t="s">
        <v>29069</v>
      </c>
      <c r="E6241" s="198">
        <v>7</v>
      </c>
      <c r="F6241" s="199" t="s">
        <v>29070</v>
      </c>
      <c r="G6241" s="1" t="s">
        <v>29071</v>
      </c>
      <c r="H6241" s="200"/>
      <c r="I6241" s="346"/>
      <c r="J6241" s="39">
        <v>118714</v>
      </c>
      <c r="K6241" s="36" t="str">
        <f>CONCATENATE(Cover!$D$6,"fdd/view?i=",J6241)</f>
        <v>https://www.dgiwg.org/FAD/fdd/view?i=118714</v>
      </c>
      <c r="L6241" s="36" t="s">
        <v>41092</v>
      </c>
      <c r="M6241" s="186"/>
      <c r="N6241" s="186"/>
      <c r="O6241" s="172"/>
    </row>
    <row r="6242" spans="1:15" x14ac:dyDescent="0.2">
      <c r="A6242" s="197" t="str">
        <f t="shared" si="97"/>
        <v>NdiCode_hailstorm</v>
      </c>
      <c r="B6242" s="409"/>
      <c r="C6242" s="416"/>
      <c r="D6242" s="198" t="s">
        <v>41093</v>
      </c>
      <c r="E6242" s="198">
        <v>8</v>
      </c>
      <c r="F6242" s="199" t="s">
        <v>41094</v>
      </c>
      <c r="G6242" s="1" t="s">
        <v>41095</v>
      </c>
      <c r="H6242" s="200"/>
      <c r="I6242" s="346"/>
      <c r="J6242" s="39">
        <v>118715</v>
      </c>
      <c r="K6242" s="36" t="str">
        <f>CONCATENATE(Cover!$D$6,"fdd/view?i=",J6242)</f>
        <v>https://www.dgiwg.org/FAD/fdd/view?i=118715</v>
      </c>
      <c r="L6242" s="36" t="s">
        <v>41096</v>
      </c>
      <c r="M6242" s="186"/>
      <c r="N6242" s="186"/>
      <c r="O6242" s="172"/>
    </row>
    <row r="6243" spans="1:15" ht="25.5" x14ac:dyDescent="0.2">
      <c r="A6243" s="197" t="str">
        <f t="shared" si="97"/>
        <v>NdiCode_heatWave</v>
      </c>
      <c r="B6243" s="409"/>
      <c r="C6243" s="416"/>
      <c r="D6243" s="198" t="s">
        <v>41097</v>
      </c>
      <c r="E6243" s="198">
        <v>9</v>
      </c>
      <c r="F6243" s="199" t="s">
        <v>41098</v>
      </c>
      <c r="G6243" s="1" t="s">
        <v>41099</v>
      </c>
      <c r="H6243" s="200"/>
      <c r="I6243" s="346"/>
      <c r="J6243" s="39">
        <v>118716</v>
      </c>
      <c r="K6243" s="36" t="str">
        <f>CONCATENATE(Cover!$D$6,"fdd/view?i=",J6243)</f>
        <v>https://www.dgiwg.org/FAD/fdd/view?i=118716</v>
      </c>
      <c r="L6243" s="36" t="s">
        <v>41100</v>
      </c>
      <c r="M6243" s="186"/>
      <c r="N6243" s="186"/>
      <c r="O6243" s="172"/>
    </row>
    <row r="6244" spans="1:15" ht="25.5" x14ac:dyDescent="0.2">
      <c r="A6244" s="197" t="str">
        <f t="shared" si="97"/>
        <v>NdiCode_impact</v>
      </c>
      <c r="B6244" s="409"/>
      <c r="C6244" s="416"/>
      <c r="D6244" s="198" t="s">
        <v>26920</v>
      </c>
      <c r="E6244" s="198">
        <v>10</v>
      </c>
      <c r="F6244" s="199" t="s">
        <v>26921</v>
      </c>
      <c r="G6244" s="1" t="s">
        <v>41101</v>
      </c>
      <c r="H6244" s="200"/>
      <c r="I6244" s="346"/>
      <c r="J6244" s="39">
        <v>118717</v>
      </c>
      <c r="K6244" s="36" t="str">
        <f>CONCATENATE(Cover!$D$6,"fdd/view?i=",J6244)</f>
        <v>https://www.dgiwg.org/FAD/fdd/view?i=118717</v>
      </c>
      <c r="L6244" s="36" t="s">
        <v>41102</v>
      </c>
      <c r="M6244" s="186"/>
      <c r="N6244" s="186"/>
      <c r="O6244" s="172"/>
    </row>
    <row r="6245" spans="1:15" ht="25.5" x14ac:dyDescent="0.2">
      <c r="A6245" s="197" t="str">
        <f t="shared" si="97"/>
        <v>NdiCode_lahar</v>
      </c>
      <c r="B6245" s="409"/>
      <c r="C6245" s="416"/>
      <c r="D6245" s="198" t="s">
        <v>34028</v>
      </c>
      <c r="E6245" s="198">
        <v>11</v>
      </c>
      <c r="F6245" s="199" t="s">
        <v>34029</v>
      </c>
      <c r="G6245" s="1" t="s">
        <v>34030</v>
      </c>
      <c r="H6245" s="200"/>
      <c r="I6245" s="346"/>
      <c r="J6245" s="39">
        <v>118718</v>
      </c>
      <c r="K6245" s="36" t="str">
        <f>CONCATENATE(Cover!$D$6,"fdd/view?i=",J6245)</f>
        <v>https://www.dgiwg.org/FAD/fdd/view?i=118718</v>
      </c>
      <c r="L6245" s="36" t="s">
        <v>41103</v>
      </c>
      <c r="M6245" s="186"/>
      <c r="N6245" s="186"/>
      <c r="O6245" s="172"/>
    </row>
    <row r="6246" spans="1:15" ht="38.25" x14ac:dyDescent="0.2">
      <c r="A6246" s="197" t="str">
        <f t="shared" si="97"/>
        <v>NdiCode_landslide</v>
      </c>
      <c r="B6246" s="409"/>
      <c r="C6246" s="416"/>
      <c r="D6246" s="198" t="s">
        <v>29078</v>
      </c>
      <c r="E6246" s="198">
        <v>12</v>
      </c>
      <c r="F6246" s="199" t="s">
        <v>29079</v>
      </c>
      <c r="G6246" s="1" t="s">
        <v>29080</v>
      </c>
      <c r="H6246" s="200"/>
      <c r="I6246" s="346"/>
      <c r="J6246" s="39">
        <v>118719</v>
      </c>
      <c r="K6246" s="36" t="str">
        <f>CONCATENATE(Cover!$D$6,"fdd/view?i=",J6246)</f>
        <v>https://www.dgiwg.org/FAD/fdd/view?i=118719</v>
      </c>
      <c r="L6246" s="36" t="s">
        <v>41104</v>
      </c>
      <c r="M6246" s="186"/>
      <c r="N6246" s="186"/>
      <c r="O6246" s="172"/>
    </row>
    <row r="6247" spans="1:15" ht="38.25" x14ac:dyDescent="0.2">
      <c r="A6247" s="197" t="str">
        <f t="shared" si="97"/>
        <v>NdiCode_limnicEruption</v>
      </c>
      <c r="B6247" s="409"/>
      <c r="C6247" s="416"/>
      <c r="D6247" s="198" t="s">
        <v>41105</v>
      </c>
      <c r="E6247" s="198">
        <v>13</v>
      </c>
      <c r="F6247" s="199" t="s">
        <v>41106</v>
      </c>
      <c r="G6247" s="1" t="s">
        <v>41107</v>
      </c>
      <c r="H6247" s="200"/>
      <c r="I6247" s="346"/>
      <c r="J6247" s="39">
        <v>118720</v>
      </c>
      <c r="K6247" s="36" t="str">
        <f>CONCATENATE(Cover!$D$6,"fdd/view?i=",J6247)</f>
        <v>https://www.dgiwg.org/FAD/fdd/view?i=118720</v>
      </c>
      <c r="L6247" s="36" t="s">
        <v>41108</v>
      </c>
      <c r="M6247" s="186"/>
      <c r="N6247" s="186"/>
      <c r="O6247" s="172"/>
    </row>
    <row r="6248" spans="1:15" ht="25.5" x14ac:dyDescent="0.2">
      <c r="A6248" s="197" t="str">
        <f t="shared" si="97"/>
        <v>NdiCode_mudFlow</v>
      </c>
      <c r="B6248" s="409"/>
      <c r="C6248" s="416"/>
      <c r="D6248" s="198" t="s">
        <v>29082</v>
      </c>
      <c r="E6248" s="198">
        <v>14</v>
      </c>
      <c r="F6248" s="199" t="s">
        <v>29083</v>
      </c>
      <c r="G6248" s="1" t="s">
        <v>29084</v>
      </c>
      <c r="H6248" s="200"/>
      <c r="I6248" s="346"/>
      <c r="J6248" s="39">
        <v>118721</v>
      </c>
      <c r="K6248" s="36" t="str">
        <f>CONCATENATE(Cover!$D$6,"fdd/view?i=",J6248)</f>
        <v>https://www.dgiwg.org/FAD/fdd/view?i=118721</v>
      </c>
      <c r="L6248" s="36" t="s">
        <v>41109</v>
      </c>
      <c r="M6248" s="186"/>
      <c r="N6248" s="186"/>
      <c r="O6248" s="172"/>
    </row>
    <row r="6249" spans="1:15" ht="38.25" x14ac:dyDescent="0.2">
      <c r="A6249" s="197" t="str">
        <f t="shared" si="97"/>
        <v>NdiCode_pyroclasticFlow</v>
      </c>
      <c r="B6249" s="409"/>
      <c r="C6249" s="416"/>
      <c r="D6249" s="198" t="s">
        <v>41110</v>
      </c>
      <c r="E6249" s="198">
        <v>15</v>
      </c>
      <c r="F6249" s="199" t="s">
        <v>41111</v>
      </c>
      <c r="G6249" s="1" t="s">
        <v>41112</v>
      </c>
      <c r="H6249" s="200"/>
      <c r="I6249" s="351" t="s">
        <v>41113</v>
      </c>
      <c r="J6249" s="39">
        <v>118722</v>
      </c>
      <c r="K6249" s="36" t="str">
        <f>CONCATENATE(Cover!$D$6,"fdd/view?i=",J6249)</f>
        <v>https://www.dgiwg.org/FAD/fdd/view?i=118722</v>
      </c>
      <c r="L6249" s="36" t="s">
        <v>41114</v>
      </c>
      <c r="M6249" s="186"/>
      <c r="N6249" s="186"/>
      <c r="O6249" s="172"/>
    </row>
    <row r="6250" spans="1:15" x14ac:dyDescent="0.2">
      <c r="A6250" s="197" t="str">
        <f t="shared" si="97"/>
        <v>NdiCode_riverFlooding</v>
      </c>
      <c r="B6250" s="409"/>
      <c r="C6250" s="416"/>
      <c r="D6250" s="198" t="s">
        <v>41115</v>
      </c>
      <c r="E6250" s="198">
        <v>16</v>
      </c>
      <c r="F6250" s="199" t="s">
        <v>41116</v>
      </c>
      <c r="G6250" s="1" t="s">
        <v>29075</v>
      </c>
      <c r="H6250" s="200"/>
      <c r="I6250" s="346"/>
      <c r="J6250" s="39">
        <v>118723</v>
      </c>
      <c r="K6250" s="36" t="str">
        <f>CONCATENATE(Cover!$D$6,"fdd/view?i=",J6250)</f>
        <v>https://www.dgiwg.org/FAD/fdd/view?i=118723</v>
      </c>
      <c r="L6250" s="36" t="s">
        <v>41117</v>
      </c>
      <c r="M6250" s="186"/>
      <c r="N6250" s="186"/>
      <c r="O6250" s="172"/>
    </row>
    <row r="6251" spans="1:15" x14ac:dyDescent="0.2">
      <c r="A6251" s="197" t="str">
        <f t="shared" si="97"/>
        <v>NdiCode_rockFall</v>
      </c>
      <c r="B6251" s="409"/>
      <c r="C6251" s="416"/>
      <c r="D6251" s="198" t="s">
        <v>29086</v>
      </c>
      <c r="E6251" s="198">
        <v>17</v>
      </c>
      <c r="F6251" s="199" t="s">
        <v>29087</v>
      </c>
      <c r="G6251" s="1" t="s">
        <v>29088</v>
      </c>
      <c r="H6251" s="200"/>
      <c r="I6251" s="346"/>
      <c r="J6251" s="39">
        <v>118724</v>
      </c>
      <c r="K6251" s="36" t="str">
        <f>CONCATENATE(Cover!$D$6,"fdd/view?i=",J6251)</f>
        <v>https://www.dgiwg.org/FAD/fdd/view?i=118724</v>
      </c>
      <c r="L6251" s="36" t="s">
        <v>41118</v>
      </c>
      <c r="M6251" s="186"/>
      <c r="N6251" s="186"/>
      <c r="O6251" s="172"/>
    </row>
    <row r="6252" spans="1:15" ht="51" x14ac:dyDescent="0.2">
      <c r="A6252" s="197" t="str">
        <f t="shared" si="97"/>
        <v>NdiCode_storm</v>
      </c>
      <c r="B6252" s="409"/>
      <c r="C6252" s="416"/>
      <c r="D6252" s="198" t="s">
        <v>37730</v>
      </c>
      <c r="E6252" s="198">
        <v>18</v>
      </c>
      <c r="F6252" s="199" t="s">
        <v>37731</v>
      </c>
      <c r="G6252" s="1" t="s">
        <v>41119</v>
      </c>
      <c r="H6252" s="200"/>
      <c r="I6252" s="346"/>
      <c r="J6252" s="39">
        <v>118725</v>
      </c>
      <c r="K6252" s="36" t="str">
        <f>CONCATENATE(Cover!$D$6,"fdd/view?i=",J6252)</f>
        <v>https://www.dgiwg.org/FAD/fdd/view?i=118725</v>
      </c>
      <c r="L6252" s="36" t="s">
        <v>41120</v>
      </c>
      <c r="M6252" s="186"/>
      <c r="N6252" s="186"/>
      <c r="O6252" s="172"/>
    </row>
    <row r="6253" spans="1:15" ht="25.5" x14ac:dyDescent="0.2">
      <c r="A6253" s="197" t="str">
        <f t="shared" si="97"/>
        <v>NdiCode_stormSurge</v>
      </c>
      <c r="B6253" s="409"/>
      <c r="C6253" s="416"/>
      <c r="D6253" s="198" t="s">
        <v>41121</v>
      </c>
      <c r="E6253" s="198">
        <v>19</v>
      </c>
      <c r="F6253" s="199" t="s">
        <v>41122</v>
      </c>
      <c r="G6253" s="1" t="s">
        <v>41123</v>
      </c>
      <c r="H6253" s="200"/>
      <c r="I6253" s="346"/>
      <c r="J6253" s="39">
        <v>118726</v>
      </c>
      <c r="K6253" s="36" t="str">
        <f>CONCATENATE(Cover!$D$6,"fdd/view?i=",J6253)</f>
        <v>https://www.dgiwg.org/FAD/fdd/view?i=118726</v>
      </c>
      <c r="L6253" s="36" t="s">
        <v>41124</v>
      </c>
      <c r="M6253" s="186"/>
      <c r="N6253" s="186"/>
      <c r="O6253" s="172"/>
    </row>
    <row r="6254" spans="1:15" ht="38.25" x14ac:dyDescent="0.2">
      <c r="A6254" s="197" t="str">
        <f t="shared" si="97"/>
        <v>NdiCode_tornado</v>
      </c>
      <c r="B6254" s="409"/>
      <c r="C6254" s="416"/>
      <c r="D6254" s="198" t="s">
        <v>41125</v>
      </c>
      <c r="E6254" s="198">
        <v>20</v>
      </c>
      <c r="F6254" s="199" t="s">
        <v>41126</v>
      </c>
      <c r="G6254" s="1" t="s">
        <v>41127</v>
      </c>
      <c r="H6254" s="200"/>
      <c r="I6254" s="346"/>
      <c r="J6254" s="39">
        <v>118727</v>
      </c>
      <c r="K6254" s="36" t="str">
        <f>CONCATENATE(Cover!$D$6,"fdd/view?i=",J6254)</f>
        <v>https://www.dgiwg.org/FAD/fdd/view?i=118727</v>
      </c>
      <c r="L6254" s="36" t="s">
        <v>41128</v>
      </c>
      <c r="M6254" s="186"/>
      <c r="N6254" s="186"/>
      <c r="O6254" s="172"/>
    </row>
    <row r="6255" spans="1:15" x14ac:dyDescent="0.2">
      <c r="A6255" s="197" t="str">
        <f t="shared" si="97"/>
        <v>NdiCode_tsunami</v>
      </c>
      <c r="B6255" s="409"/>
      <c r="C6255" s="416"/>
      <c r="D6255" s="198" t="s">
        <v>29090</v>
      </c>
      <c r="E6255" s="198">
        <v>21</v>
      </c>
      <c r="F6255" s="199" t="s">
        <v>29091</v>
      </c>
      <c r="G6255" s="1" t="s">
        <v>29092</v>
      </c>
      <c r="H6255" s="200"/>
      <c r="I6255" s="346"/>
      <c r="J6255" s="39">
        <v>118728</v>
      </c>
      <c r="K6255" s="36" t="str">
        <f>CONCATENATE(Cover!$D$6,"fdd/view?i=",J6255)</f>
        <v>https://www.dgiwg.org/FAD/fdd/view?i=118728</v>
      </c>
      <c r="L6255" s="36" t="s">
        <v>41129</v>
      </c>
      <c r="M6255" s="186"/>
      <c r="N6255" s="186"/>
      <c r="O6255" s="172"/>
    </row>
    <row r="6256" spans="1:15" ht="51" x14ac:dyDescent="0.2">
      <c r="A6256" s="197" t="str">
        <f t="shared" si="97"/>
        <v>NdiCode_volcanicAsh</v>
      </c>
      <c r="B6256" s="409"/>
      <c r="C6256" s="416"/>
      <c r="D6256" s="198" t="s">
        <v>41130</v>
      </c>
      <c r="E6256" s="198">
        <v>22</v>
      </c>
      <c r="F6256" s="199" t="s">
        <v>41131</v>
      </c>
      <c r="G6256" s="1" t="s">
        <v>41132</v>
      </c>
      <c r="H6256" s="200"/>
      <c r="I6256" s="346"/>
      <c r="J6256" s="39">
        <v>118729</v>
      </c>
      <c r="K6256" s="36" t="str">
        <f>CONCATENATE(Cover!$D$6,"fdd/view?i=",J6256)</f>
        <v>https://www.dgiwg.org/FAD/fdd/view?i=118729</v>
      </c>
      <c r="L6256" s="36" t="s">
        <v>41133</v>
      </c>
      <c r="M6256" s="186"/>
      <c r="N6256" s="186"/>
      <c r="O6256" s="172"/>
    </row>
    <row r="6257" spans="1:15" ht="25.5" x14ac:dyDescent="0.2">
      <c r="A6257" s="203" t="str">
        <f t="shared" si="97"/>
        <v>NdiCode_volcanoEruption</v>
      </c>
      <c r="B6257" s="410"/>
      <c r="C6257" s="417"/>
      <c r="D6257" s="204" t="s">
        <v>41134</v>
      </c>
      <c r="E6257" s="204">
        <v>23</v>
      </c>
      <c r="F6257" s="205" t="s">
        <v>41135</v>
      </c>
      <c r="G6257" s="206" t="s">
        <v>41136</v>
      </c>
      <c r="H6257" s="207"/>
      <c r="I6257" s="347"/>
      <c r="J6257" s="39">
        <v>118730</v>
      </c>
      <c r="K6257" s="36" t="str">
        <f>CONCATENATE(Cover!$D$6,"fdd/view?i=",J6257)</f>
        <v>https://www.dgiwg.org/FAD/fdd/view?i=118730</v>
      </c>
      <c r="L6257" s="36" t="s">
        <v>41137</v>
      </c>
      <c r="M6257" s="186"/>
      <c r="N6257" s="186"/>
      <c r="O6257" s="172"/>
    </row>
    <row r="6258" spans="1:15" x14ac:dyDescent="0.2">
      <c r="A6258" s="190" t="str">
        <f t="shared" si="97"/>
        <v>LmsCode_aridityLine</v>
      </c>
      <c r="B6258" s="414" t="str">
        <f>HYPERLINK("[#]Datatypes!A1012:L1012","LmsCode")</f>
        <v>LmsCode</v>
      </c>
      <c r="C6258" s="415" t="s">
        <v>15604</v>
      </c>
      <c r="D6258" s="221" t="s">
        <v>41138</v>
      </c>
      <c r="E6258" s="221">
        <v>1</v>
      </c>
      <c r="F6258" s="222" t="s">
        <v>41139</v>
      </c>
      <c r="G6258" s="223" t="s">
        <v>41140</v>
      </c>
      <c r="H6258" s="224"/>
      <c r="I6258" s="345"/>
      <c r="J6258" s="39">
        <v>118701</v>
      </c>
      <c r="K6258" s="36" t="str">
        <f>CONCATENATE(Cover!$D$6,"fdd/view?i=",J6258)</f>
        <v>https://www.dgiwg.org/FAD/fdd/view?i=118701</v>
      </c>
      <c r="L6258" s="36" t="s">
        <v>41141</v>
      </c>
      <c r="M6258" s="186"/>
      <c r="N6258" s="186"/>
      <c r="O6258" s="172"/>
    </row>
    <row r="6259" spans="1:15" ht="25.5" x14ac:dyDescent="0.2">
      <c r="A6259" s="197" t="str">
        <f t="shared" si="97"/>
        <v>LmsCode_polarBoundary</v>
      </c>
      <c r="B6259" s="409"/>
      <c r="C6259" s="416"/>
      <c r="D6259" s="198" t="s">
        <v>41142</v>
      </c>
      <c r="E6259" s="198">
        <v>2</v>
      </c>
      <c r="F6259" s="199" t="s">
        <v>41143</v>
      </c>
      <c r="G6259" s="1" t="s">
        <v>41144</v>
      </c>
      <c r="H6259" s="200"/>
      <c r="I6259" s="346"/>
      <c r="J6259" s="39">
        <v>118702</v>
      </c>
      <c r="K6259" s="36" t="str">
        <f>CONCATENATE(Cover!$D$6,"fdd/view?i=",J6259)</f>
        <v>https://www.dgiwg.org/FAD/fdd/view?i=118702</v>
      </c>
      <c r="L6259" s="36" t="s">
        <v>41145</v>
      </c>
      <c r="M6259" s="186"/>
      <c r="N6259" s="186"/>
      <c r="O6259" s="172"/>
    </row>
    <row r="6260" spans="1:15" x14ac:dyDescent="0.2">
      <c r="A6260" s="203" t="str">
        <f t="shared" si="97"/>
        <v>LmsCode_upperLimit</v>
      </c>
      <c r="B6260" s="410"/>
      <c r="C6260" s="417"/>
      <c r="D6260" s="204" t="s">
        <v>41146</v>
      </c>
      <c r="E6260" s="204">
        <v>3</v>
      </c>
      <c r="F6260" s="205" t="s">
        <v>41147</v>
      </c>
      <c r="G6260" s="206" t="s">
        <v>41148</v>
      </c>
      <c r="H6260" s="207"/>
      <c r="I6260" s="347"/>
      <c r="J6260" s="39">
        <v>118703</v>
      </c>
      <c r="K6260" s="36" t="str">
        <f>CONCATENATE(Cover!$D$6,"fdd/view?i=",J6260)</f>
        <v>https://www.dgiwg.org/FAD/fdd/view?i=118703</v>
      </c>
      <c r="L6260" s="36" t="s">
        <v>41149</v>
      </c>
      <c r="M6260" s="186"/>
      <c r="N6260" s="186"/>
      <c r="O6260" s="172"/>
    </row>
    <row r="6261" spans="1:15" ht="25.5" x14ac:dyDescent="0.2">
      <c r="A6261" s="190" t="str">
        <f t="shared" si="97"/>
        <v>NslCode_antarcticConvergence</v>
      </c>
      <c r="B6261" s="414" t="str">
        <f>HYPERLINK("[#]Datatypes!A1014:L1014","NslCode")</f>
        <v>NslCode</v>
      </c>
      <c r="C6261" s="415" t="s">
        <v>15606</v>
      </c>
      <c r="D6261" s="221" t="s">
        <v>41150</v>
      </c>
      <c r="E6261" s="221">
        <v>6</v>
      </c>
      <c r="F6261" s="222" t="s">
        <v>41151</v>
      </c>
      <c r="G6261" s="223" t="s">
        <v>41152</v>
      </c>
      <c r="H6261" s="224"/>
      <c r="I6261" s="345"/>
      <c r="J6261" s="39">
        <v>118736</v>
      </c>
      <c r="K6261" s="36" t="str">
        <f>CONCATENATE(Cover!$D$6,"fdd/view?i=",J6261)</f>
        <v>https://www.dgiwg.org/FAD/fdd/view?i=118736</v>
      </c>
      <c r="L6261" s="36" t="s">
        <v>41153</v>
      </c>
      <c r="M6261" s="186"/>
      <c r="N6261" s="186"/>
      <c r="O6261" s="172"/>
    </row>
    <row r="6262" spans="1:15" ht="25.5" x14ac:dyDescent="0.2">
      <c r="A6262" s="197" t="str">
        <f t="shared" si="97"/>
        <v>NslCode_aridityLine</v>
      </c>
      <c r="B6262" s="409"/>
      <c r="C6262" s="416"/>
      <c r="D6262" s="198" t="s">
        <v>41138</v>
      </c>
      <c r="E6262" s="198">
        <v>13</v>
      </c>
      <c r="F6262" s="199" t="s">
        <v>41139</v>
      </c>
      <c r="G6262" s="1" t="s">
        <v>41154</v>
      </c>
      <c r="H6262" s="200"/>
      <c r="I6262" s="346"/>
      <c r="J6262" s="39">
        <v>118742</v>
      </c>
      <c r="K6262" s="36" t="str">
        <f>CONCATENATE(Cover!$D$6,"fdd/view?i=",J6262)</f>
        <v>https://www.dgiwg.org/FAD/fdd/view?i=118742</v>
      </c>
      <c r="L6262" s="36" t="s">
        <v>41155</v>
      </c>
      <c r="M6262" s="186"/>
      <c r="N6262" s="186"/>
      <c r="O6262" s="172"/>
    </row>
    <row r="6263" spans="1:15" ht="25.5" x14ac:dyDescent="0.2">
      <c r="A6263" s="197" t="str">
        <f t="shared" si="97"/>
        <v>NslCode_climateBoundary</v>
      </c>
      <c r="B6263" s="409"/>
      <c r="C6263" s="416"/>
      <c r="D6263" s="198" t="s">
        <v>41156</v>
      </c>
      <c r="E6263" s="198">
        <v>5</v>
      </c>
      <c r="F6263" s="199" t="s">
        <v>41157</v>
      </c>
      <c r="G6263" s="1" t="s">
        <v>41158</v>
      </c>
      <c r="H6263" s="200"/>
      <c r="I6263" s="346"/>
      <c r="J6263" s="39">
        <v>118735</v>
      </c>
      <c r="K6263" s="36" t="str">
        <f>CONCATENATE(Cover!$D$6,"fdd/view?i=",J6263)</f>
        <v>https://www.dgiwg.org/FAD/fdd/view?i=118735</v>
      </c>
      <c r="L6263" s="36" t="s">
        <v>41159</v>
      </c>
      <c r="M6263" s="186"/>
      <c r="N6263" s="186"/>
      <c r="O6263" s="172"/>
    </row>
    <row r="6264" spans="1:15" ht="25.5" x14ac:dyDescent="0.2">
      <c r="A6264" s="197" t="str">
        <f t="shared" si="97"/>
        <v>NslCode_cultivationLimit</v>
      </c>
      <c r="B6264" s="409"/>
      <c r="C6264" s="416"/>
      <c r="D6264" s="198" t="s">
        <v>41160</v>
      </c>
      <c r="E6264" s="198">
        <v>1</v>
      </c>
      <c r="F6264" s="199" t="s">
        <v>2675</v>
      </c>
      <c r="G6264" s="1" t="s">
        <v>41161</v>
      </c>
      <c r="H6264" s="200"/>
      <c r="I6264" s="346"/>
      <c r="J6264" s="39">
        <v>118731</v>
      </c>
      <c r="K6264" s="36" t="str">
        <f>CONCATENATE(Cover!$D$6,"fdd/view?i=",J6264)</f>
        <v>https://www.dgiwg.org/FAD/fdd/view?i=118731</v>
      </c>
      <c r="L6264" s="36" t="s">
        <v>41162</v>
      </c>
      <c r="M6264" s="186"/>
      <c r="N6264" s="186"/>
      <c r="O6264" s="172"/>
    </row>
    <row r="6265" spans="1:15" ht="38.25" x14ac:dyDescent="0.2">
      <c r="A6265" s="197" t="str">
        <f t="shared" si="97"/>
        <v>NslCode_intertropicalConvergZone</v>
      </c>
      <c r="B6265" s="409"/>
      <c r="C6265" s="416"/>
      <c r="D6265" s="198" t="s">
        <v>41163</v>
      </c>
      <c r="E6265" s="198">
        <v>4</v>
      </c>
      <c r="F6265" s="199" t="s">
        <v>41164</v>
      </c>
      <c r="G6265" s="1" t="s">
        <v>41165</v>
      </c>
      <c r="H6265" s="200"/>
      <c r="I6265" s="346"/>
      <c r="J6265" s="39">
        <v>118734</v>
      </c>
      <c r="K6265" s="36" t="str">
        <f>CONCATENATE(Cover!$D$6,"fdd/view?i=",J6265)</f>
        <v>https://www.dgiwg.org/FAD/fdd/view?i=118734</v>
      </c>
      <c r="L6265" s="36" t="s">
        <v>41166</v>
      </c>
      <c r="M6265" s="186"/>
      <c r="N6265" s="186"/>
      <c r="O6265" s="172"/>
    </row>
    <row r="6266" spans="1:15" ht="38.25" x14ac:dyDescent="0.2">
      <c r="A6266" s="197" t="str">
        <f t="shared" si="97"/>
        <v>NslCode_limitOfDriftIce</v>
      </c>
      <c r="B6266" s="409"/>
      <c r="C6266" s="416"/>
      <c r="D6266" s="198" t="s">
        <v>41167</v>
      </c>
      <c r="E6266" s="198">
        <v>9</v>
      </c>
      <c r="F6266" s="199" t="s">
        <v>41168</v>
      </c>
      <c r="G6266" s="1" t="s">
        <v>41169</v>
      </c>
      <c r="H6266" s="200"/>
      <c r="I6266" s="346"/>
      <c r="J6266" s="39">
        <v>118739</v>
      </c>
      <c r="K6266" s="36" t="str">
        <f>CONCATENATE(Cover!$D$6,"fdd/view?i=",J6266)</f>
        <v>https://www.dgiwg.org/FAD/fdd/view?i=118739</v>
      </c>
      <c r="L6266" s="36" t="s">
        <v>41170</v>
      </c>
      <c r="M6266" s="186"/>
      <c r="N6266" s="186"/>
      <c r="O6266" s="172"/>
    </row>
    <row r="6267" spans="1:15" ht="25.5" x14ac:dyDescent="0.2">
      <c r="A6267" s="197" t="str">
        <f t="shared" si="97"/>
        <v>NslCode_packIceLimit</v>
      </c>
      <c r="B6267" s="409"/>
      <c r="C6267" s="416"/>
      <c r="D6267" s="198" t="s">
        <v>41171</v>
      </c>
      <c r="E6267" s="198">
        <v>7</v>
      </c>
      <c r="F6267" s="199" t="s">
        <v>41172</v>
      </c>
      <c r="G6267" s="1" t="s">
        <v>41173</v>
      </c>
      <c r="H6267" s="200"/>
      <c r="I6267" s="346"/>
      <c r="J6267" s="39">
        <v>118737</v>
      </c>
      <c r="K6267" s="36" t="str">
        <f>CONCATENATE(Cover!$D$6,"fdd/view?i=",J6267)</f>
        <v>https://www.dgiwg.org/FAD/fdd/view?i=118737</v>
      </c>
      <c r="L6267" s="36" t="s">
        <v>41174</v>
      </c>
      <c r="M6267" s="186"/>
      <c r="N6267" s="186"/>
      <c r="O6267" s="172"/>
    </row>
    <row r="6268" spans="1:15" ht="25.5" x14ac:dyDescent="0.2">
      <c r="A6268" s="197" t="str">
        <f t="shared" si="97"/>
        <v>NslCode_permafrostSoilLimit</v>
      </c>
      <c r="B6268" s="409"/>
      <c r="C6268" s="416"/>
      <c r="D6268" s="198" t="s">
        <v>41175</v>
      </c>
      <c r="E6268" s="198">
        <v>3</v>
      </c>
      <c r="F6268" s="199" t="s">
        <v>41176</v>
      </c>
      <c r="G6268" s="1" t="s">
        <v>41177</v>
      </c>
      <c r="H6268" s="200"/>
      <c r="I6268" s="346"/>
      <c r="J6268" s="39">
        <v>118733</v>
      </c>
      <c r="K6268" s="36" t="str">
        <f>CONCATENATE(Cover!$D$6,"fdd/view?i=",J6268)</f>
        <v>https://www.dgiwg.org/FAD/fdd/view?i=118733</v>
      </c>
      <c r="L6268" s="36" t="s">
        <v>41178</v>
      </c>
      <c r="M6268" s="186"/>
      <c r="N6268" s="186"/>
      <c r="O6268" s="172"/>
    </row>
    <row r="6269" spans="1:15" ht="25.5" x14ac:dyDescent="0.2">
      <c r="A6269" s="197" t="str">
        <f t="shared" si="97"/>
        <v>NslCode_polarBoundary</v>
      </c>
      <c r="B6269" s="409"/>
      <c r="C6269" s="416"/>
      <c r="D6269" s="198" t="s">
        <v>41142</v>
      </c>
      <c r="E6269" s="198">
        <v>14</v>
      </c>
      <c r="F6269" s="199" t="s">
        <v>41143</v>
      </c>
      <c r="G6269" s="1" t="s">
        <v>41179</v>
      </c>
      <c r="H6269" s="200"/>
      <c r="I6269" s="346"/>
      <c r="J6269" s="39">
        <v>118743</v>
      </c>
      <c r="K6269" s="36" t="str">
        <f>CONCATENATE(Cover!$D$6,"fdd/view?i=",J6269)</f>
        <v>https://www.dgiwg.org/FAD/fdd/view?i=118743</v>
      </c>
      <c r="L6269" s="36" t="s">
        <v>41180</v>
      </c>
      <c r="M6269" s="186"/>
      <c r="N6269" s="186"/>
      <c r="O6269" s="172"/>
    </row>
    <row r="6270" spans="1:15" ht="25.5" x14ac:dyDescent="0.2">
      <c r="A6270" s="197" t="str">
        <f t="shared" si="97"/>
        <v>NslCode_settlementLimit</v>
      </c>
      <c r="B6270" s="409"/>
      <c r="C6270" s="416"/>
      <c r="D6270" s="198" t="s">
        <v>41181</v>
      </c>
      <c r="E6270" s="198">
        <v>8</v>
      </c>
      <c r="F6270" s="199" t="s">
        <v>4961</v>
      </c>
      <c r="G6270" s="1" t="s">
        <v>41182</v>
      </c>
      <c r="H6270" s="200"/>
      <c r="I6270" s="346"/>
      <c r="J6270" s="39">
        <v>118738</v>
      </c>
      <c r="K6270" s="36" t="str">
        <f>CONCATENATE(Cover!$D$6,"fdd/view?i=",J6270)</f>
        <v>https://www.dgiwg.org/FAD/fdd/view?i=118738</v>
      </c>
      <c r="L6270" s="36" t="s">
        <v>41183</v>
      </c>
      <c r="M6270" s="186"/>
      <c r="N6270" s="186"/>
      <c r="O6270" s="172"/>
    </row>
    <row r="6271" spans="1:15" x14ac:dyDescent="0.2">
      <c r="A6271" s="197" t="str">
        <f t="shared" si="97"/>
        <v>NslCode_timberLine</v>
      </c>
      <c r="B6271" s="409"/>
      <c r="C6271" s="416"/>
      <c r="D6271" s="198" t="s">
        <v>41184</v>
      </c>
      <c r="E6271" s="198">
        <v>10</v>
      </c>
      <c r="F6271" s="199" t="s">
        <v>41185</v>
      </c>
      <c r="G6271" s="1" t="s">
        <v>41186</v>
      </c>
      <c r="H6271" s="200"/>
      <c r="I6271" s="346"/>
      <c r="J6271" s="39">
        <v>118740</v>
      </c>
      <c r="K6271" s="36" t="str">
        <f>CONCATENATE(Cover!$D$6,"fdd/view?i=",J6271)</f>
        <v>https://www.dgiwg.org/FAD/fdd/view?i=118740</v>
      </c>
      <c r="L6271" s="36" t="s">
        <v>41187</v>
      </c>
      <c r="M6271" s="186"/>
      <c r="N6271" s="186"/>
      <c r="O6271" s="172"/>
    </row>
    <row r="6272" spans="1:15" x14ac:dyDescent="0.2">
      <c r="A6272" s="197" t="str">
        <f t="shared" si="97"/>
        <v>NslCode_treeLimit</v>
      </c>
      <c r="B6272" s="409"/>
      <c r="C6272" s="416"/>
      <c r="D6272" s="198" t="s">
        <v>41188</v>
      </c>
      <c r="E6272" s="198">
        <v>2</v>
      </c>
      <c r="F6272" s="199" t="s">
        <v>5603</v>
      </c>
      <c r="G6272" s="1" t="s">
        <v>41189</v>
      </c>
      <c r="H6272" s="200"/>
      <c r="I6272" s="346"/>
      <c r="J6272" s="39">
        <v>118732</v>
      </c>
      <c r="K6272" s="36" t="str">
        <f>CONCATENATE(Cover!$D$6,"fdd/view?i=",J6272)</f>
        <v>https://www.dgiwg.org/FAD/fdd/view?i=118732</v>
      </c>
      <c r="L6272" s="36" t="s">
        <v>41190</v>
      </c>
      <c r="M6272" s="186"/>
      <c r="N6272" s="186"/>
      <c r="O6272" s="172"/>
    </row>
    <row r="6273" spans="1:15" x14ac:dyDescent="0.2">
      <c r="A6273" s="203" t="str">
        <f t="shared" si="97"/>
        <v>NslCode_weatherLimit</v>
      </c>
      <c r="B6273" s="410"/>
      <c r="C6273" s="417"/>
      <c r="D6273" s="204" t="s">
        <v>41191</v>
      </c>
      <c r="E6273" s="204">
        <v>12</v>
      </c>
      <c r="F6273" s="205" t="s">
        <v>41192</v>
      </c>
      <c r="G6273" s="206" t="s">
        <v>41193</v>
      </c>
      <c r="H6273" s="207"/>
      <c r="I6273" s="347"/>
      <c r="J6273" s="39">
        <v>118741</v>
      </c>
      <c r="K6273" s="36" t="str">
        <f>CONCATENATE(Cover!$D$6,"fdd/view?i=",J6273)</f>
        <v>https://www.dgiwg.org/FAD/fdd/view?i=118741</v>
      </c>
      <c r="L6273" s="36" t="s">
        <v>41194</v>
      </c>
      <c r="M6273" s="186"/>
      <c r="N6273" s="186"/>
      <c r="O6273" s="172"/>
    </row>
    <row r="6274" spans="1:15" x14ac:dyDescent="0.2">
      <c r="A6274" s="190" t="str">
        <f t="shared" ref="A6274:A6337" si="98">HYPERLINK(K6274,L6274)</f>
        <v>SwtCode_fumarole</v>
      </c>
      <c r="B6274" s="414" t="str">
        <f>HYPERLINK("[#]Datatypes!A1016:L1016","SwtCode")</f>
        <v>SwtCode</v>
      </c>
      <c r="C6274" s="415" t="s">
        <v>15608</v>
      </c>
      <c r="D6274" s="221" t="s">
        <v>34341</v>
      </c>
      <c r="E6274" s="221">
        <v>3</v>
      </c>
      <c r="F6274" s="222" t="s">
        <v>34342</v>
      </c>
      <c r="G6274" s="223" t="s">
        <v>41195</v>
      </c>
      <c r="H6274" s="224"/>
      <c r="I6274" s="345"/>
      <c r="J6274" s="39">
        <v>108394</v>
      </c>
      <c r="K6274" s="36" t="str">
        <f>CONCATENATE(Cover!$D$6,"fdd/view?i=",J6274)</f>
        <v>https://www.dgiwg.org/FAD/fdd/view?i=108394</v>
      </c>
      <c r="L6274" s="36" t="s">
        <v>41196</v>
      </c>
      <c r="M6274" s="186"/>
      <c r="N6274" s="186"/>
      <c r="O6274" s="172"/>
    </row>
    <row r="6275" spans="1:15" x14ac:dyDescent="0.2">
      <c r="A6275" s="197" t="str">
        <f t="shared" si="98"/>
        <v>SwtCode_geyser</v>
      </c>
      <c r="B6275" s="409"/>
      <c r="C6275" s="416"/>
      <c r="D6275" s="198" t="s">
        <v>34347</v>
      </c>
      <c r="E6275" s="198">
        <v>1</v>
      </c>
      <c r="F6275" s="199" t="s">
        <v>34348</v>
      </c>
      <c r="G6275" s="1" t="s">
        <v>34349</v>
      </c>
      <c r="H6275" s="1" t="s">
        <v>34350</v>
      </c>
      <c r="I6275" s="346"/>
      <c r="J6275" s="39">
        <v>108392</v>
      </c>
      <c r="K6275" s="36" t="str">
        <f>CONCATENATE(Cover!$D$6,"fdd/view?i=",J6275)</f>
        <v>https://www.dgiwg.org/FAD/fdd/view?i=108392</v>
      </c>
      <c r="L6275" s="36" t="s">
        <v>41197</v>
      </c>
      <c r="M6275" s="186"/>
      <c r="N6275" s="186"/>
      <c r="O6275" s="172"/>
    </row>
    <row r="6276" spans="1:15" x14ac:dyDescent="0.2">
      <c r="A6276" s="197" t="str">
        <f t="shared" si="98"/>
        <v>SwtCode_hotSpring</v>
      </c>
      <c r="B6276" s="409"/>
      <c r="C6276" s="416"/>
      <c r="D6276" s="198" t="s">
        <v>34352</v>
      </c>
      <c r="E6276" s="198">
        <v>2</v>
      </c>
      <c r="F6276" s="199" t="s">
        <v>34353</v>
      </c>
      <c r="G6276" s="1" t="s">
        <v>34354</v>
      </c>
      <c r="H6276" s="1" t="s">
        <v>34350</v>
      </c>
      <c r="I6276" s="346"/>
      <c r="J6276" s="39">
        <v>108393</v>
      </c>
      <c r="K6276" s="36" t="str">
        <f>CONCATENATE(Cover!$D$6,"fdd/view?i=",J6276)</f>
        <v>https://www.dgiwg.org/FAD/fdd/view?i=108393</v>
      </c>
      <c r="L6276" s="36" t="s">
        <v>41198</v>
      </c>
      <c r="M6276" s="186"/>
      <c r="N6276" s="186"/>
      <c r="O6276" s="172"/>
    </row>
    <row r="6277" spans="1:15" ht="25.5" x14ac:dyDescent="0.2">
      <c r="A6277" s="197" t="str">
        <f t="shared" si="98"/>
        <v>SwtCode_resurgence</v>
      </c>
      <c r="B6277" s="409"/>
      <c r="C6277" s="416"/>
      <c r="D6277" s="198" t="s">
        <v>41199</v>
      </c>
      <c r="E6277" s="198">
        <v>7</v>
      </c>
      <c r="F6277" s="199" t="s">
        <v>4728</v>
      </c>
      <c r="G6277" s="1" t="s">
        <v>4730</v>
      </c>
      <c r="H6277" s="200"/>
      <c r="I6277" s="346"/>
      <c r="J6277" s="39">
        <v>109931</v>
      </c>
      <c r="K6277" s="36" t="str">
        <f>CONCATENATE(Cover!$D$6,"fdd/view?i=",J6277)</f>
        <v>https://www.dgiwg.org/FAD/fdd/view?i=109931</v>
      </c>
      <c r="L6277" s="36" t="s">
        <v>41200</v>
      </c>
      <c r="M6277" s="186"/>
      <c r="N6277" s="186"/>
      <c r="O6277" s="172"/>
    </row>
    <row r="6278" spans="1:15" x14ac:dyDescent="0.2">
      <c r="A6278" s="197" t="str">
        <f t="shared" si="98"/>
        <v>SwtCode_spring</v>
      </c>
      <c r="B6278" s="409"/>
      <c r="C6278" s="416"/>
      <c r="D6278" s="198" t="s">
        <v>41201</v>
      </c>
      <c r="E6278" s="198">
        <v>4</v>
      </c>
      <c r="F6278" s="199" t="s">
        <v>5215</v>
      </c>
      <c r="G6278" s="1" t="s">
        <v>5217</v>
      </c>
      <c r="H6278" s="200"/>
      <c r="I6278" s="346"/>
      <c r="J6278" s="39">
        <v>109932</v>
      </c>
      <c r="K6278" s="36" t="str">
        <f>CONCATENATE(Cover!$D$6,"fdd/view?i=",J6278)</f>
        <v>https://www.dgiwg.org/FAD/fdd/view?i=109932</v>
      </c>
      <c r="L6278" s="36" t="s">
        <v>41202</v>
      </c>
      <c r="M6278" s="186"/>
      <c r="N6278" s="186"/>
      <c r="O6278" s="172"/>
    </row>
    <row r="6279" spans="1:15" ht="25.5" x14ac:dyDescent="0.2">
      <c r="A6279" s="197" t="str">
        <f t="shared" si="98"/>
        <v>SwtCode_sulphurSpring</v>
      </c>
      <c r="B6279" s="409"/>
      <c r="C6279" s="416"/>
      <c r="D6279" s="198" t="s">
        <v>34356</v>
      </c>
      <c r="E6279" s="198">
        <v>8</v>
      </c>
      <c r="F6279" s="199" t="s">
        <v>34357</v>
      </c>
      <c r="G6279" s="1" t="s">
        <v>34358</v>
      </c>
      <c r="H6279" s="200"/>
      <c r="I6279" s="346"/>
      <c r="J6279" s="39">
        <v>109933</v>
      </c>
      <c r="K6279" s="36" t="str">
        <f>CONCATENATE(Cover!$D$6,"fdd/view?i=",J6279)</f>
        <v>https://www.dgiwg.org/FAD/fdd/view?i=109933</v>
      </c>
      <c r="L6279" s="36" t="s">
        <v>41203</v>
      </c>
      <c r="M6279" s="186"/>
      <c r="N6279" s="186"/>
      <c r="O6279" s="172"/>
    </row>
    <row r="6280" spans="1:15" ht="25.5" x14ac:dyDescent="0.2">
      <c r="A6280" s="197" t="str">
        <f t="shared" si="98"/>
        <v>SwtCode_walledInSpring</v>
      </c>
      <c r="B6280" s="409"/>
      <c r="C6280" s="416"/>
      <c r="D6280" s="198" t="s">
        <v>41204</v>
      </c>
      <c r="E6280" s="198">
        <v>6</v>
      </c>
      <c r="F6280" s="199" t="s">
        <v>41205</v>
      </c>
      <c r="G6280" s="1" t="s">
        <v>41206</v>
      </c>
      <c r="H6280" s="1" t="s">
        <v>41207</v>
      </c>
      <c r="I6280" s="346"/>
      <c r="J6280" s="39">
        <v>108397</v>
      </c>
      <c r="K6280" s="36" t="str">
        <f>CONCATENATE(Cover!$D$6,"fdd/view?i=",J6280)</f>
        <v>https://www.dgiwg.org/FAD/fdd/view?i=108397</v>
      </c>
      <c r="L6280" s="36" t="s">
        <v>41208</v>
      </c>
      <c r="M6280" s="186"/>
      <c r="N6280" s="186"/>
      <c r="O6280" s="172"/>
    </row>
    <row r="6281" spans="1:15" ht="25.5" x14ac:dyDescent="0.2">
      <c r="A6281" s="203" t="str">
        <f t="shared" si="98"/>
        <v>SwtCode_waterHole</v>
      </c>
      <c r="B6281" s="410"/>
      <c r="C6281" s="417"/>
      <c r="D6281" s="204" t="s">
        <v>35624</v>
      </c>
      <c r="E6281" s="204">
        <v>5</v>
      </c>
      <c r="F6281" s="205" t="s">
        <v>5849</v>
      </c>
      <c r="G6281" s="206" t="s">
        <v>5850</v>
      </c>
      <c r="H6281" s="207"/>
      <c r="I6281" s="347"/>
      <c r="J6281" s="39">
        <v>108396</v>
      </c>
      <c r="K6281" s="36" t="str">
        <f>CONCATENATE(Cover!$D$6,"fdd/view?i=",J6281)</f>
        <v>https://www.dgiwg.org/FAD/fdd/view?i=108396</v>
      </c>
      <c r="L6281" s="36" t="s">
        <v>41209</v>
      </c>
      <c r="M6281" s="186"/>
      <c r="N6281" s="186"/>
      <c r="O6281" s="172"/>
    </row>
    <row r="6282" spans="1:15" ht="38.25" x14ac:dyDescent="0.2">
      <c r="A6282" s="190" t="str">
        <f t="shared" si="98"/>
        <v>NfpCode_abandNavalTrainMinefield</v>
      </c>
      <c r="B6282" s="414" t="str">
        <f>HYPERLINK("[#]Datatypes!A1018:L1018","NfpCode")</f>
        <v>NfpCode</v>
      </c>
      <c r="C6282" s="415" t="s">
        <v>15610</v>
      </c>
      <c r="D6282" s="221" t="s">
        <v>41210</v>
      </c>
      <c r="E6282" s="221">
        <v>1</v>
      </c>
      <c r="F6282" s="222" t="s">
        <v>41211</v>
      </c>
      <c r="G6282" s="223" t="s">
        <v>41212</v>
      </c>
      <c r="H6282" s="224"/>
      <c r="I6282" s="345"/>
      <c r="J6282" s="39">
        <v>111158</v>
      </c>
      <c r="K6282" s="36" t="str">
        <f>CONCATENATE(Cover!$D$6,"fdd/view?i=",J6282)</f>
        <v>https://www.dgiwg.org/FAD/fdd/view?i=111158</v>
      </c>
      <c r="L6282" s="36" t="s">
        <v>41213</v>
      </c>
      <c r="M6282" s="186"/>
      <c r="N6282" s="186"/>
      <c r="O6282" s="172"/>
    </row>
    <row r="6283" spans="1:15" ht="25.5" x14ac:dyDescent="0.2">
      <c r="A6283" s="197" t="str">
        <f t="shared" si="98"/>
        <v>NfpCode_bombingStrafingTargetsArea</v>
      </c>
      <c r="B6283" s="409"/>
      <c r="C6283" s="416"/>
      <c r="D6283" s="198" t="s">
        <v>41214</v>
      </c>
      <c r="E6283" s="198">
        <v>2</v>
      </c>
      <c r="F6283" s="199" t="s">
        <v>41215</v>
      </c>
      <c r="G6283" s="1" t="s">
        <v>41216</v>
      </c>
      <c r="H6283" s="200"/>
      <c r="I6283" s="346"/>
      <c r="J6283" s="39">
        <v>111159</v>
      </c>
      <c r="K6283" s="36" t="str">
        <f>CONCATENATE(Cover!$D$6,"fdd/view?i=",J6283)</f>
        <v>https://www.dgiwg.org/FAD/fdd/view?i=111159</v>
      </c>
      <c r="L6283" s="36" t="s">
        <v>41217</v>
      </c>
      <c r="M6283" s="186"/>
      <c r="N6283" s="186"/>
      <c r="O6283" s="172"/>
    </row>
    <row r="6284" spans="1:15" ht="25.5" x14ac:dyDescent="0.2">
      <c r="A6284" s="197" t="str">
        <f t="shared" si="98"/>
        <v>NfpCode_firingDangerArea</v>
      </c>
      <c r="B6284" s="409"/>
      <c r="C6284" s="416"/>
      <c r="D6284" s="198" t="s">
        <v>24907</v>
      </c>
      <c r="E6284" s="198">
        <v>4</v>
      </c>
      <c r="F6284" s="199" t="s">
        <v>24908</v>
      </c>
      <c r="G6284" s="1" t="s">
        <v>41218</v>
      </c>
      <c r="H6284" s="200"/>
      <c r="I6284" s="346"/>
      <c r="J6284" s="39">
        <v>111161</v>
      </c>
      <c r="K6284" s="36" t="str">
        <f>CONCATENATE(Cover!$D$6,"fdd/view?i=",J6284)</f>
        <v>https://www.dgiwg.org/FAD/fdd/view?i=111161</v>
      </c>
      <c r="L6284" s="36" t="s">
        <v>41219</v>
      </c>
      <c r="M6284" s="186"/>
      <c r="N6284" s="186"/>
      <c r="O6284" s="172"/>
    </row>
    <row r="6285" spans="1:15" ht="38.25" x14ac:dyDescent="0.2">
      <c r="A6285" s="197" t="str">
        <f t="shared" si="98"/>
        <v>NfpCode_inwaterTrackingRange</v>
      </c>
      <c r="B6285" s="409"/>
      <c r="C6285" s="416"/>
      <c r="D6285" s="198" t="s">
        <v>41220</v>
      </c>
      <c r="E6285" s="198">
        <v>5</v>
      </c>
      <c r="F6285" s="199" t="s">
        <v>41221</v>
      </c>
      <c r="G6285" s="1" t="s">
        <v>41222</v>
      </c>
      <c r="H6285" s="200"/>
      <c r="I6285" s="346"/>
      <c r="J6285" s="39">
        <v>111162</v>
      </c>
      <c r="K6285" s="36" t="str">
        <f>CONCATENATE(Cover!$D$6,"fdd/view?i=",J6285)</f>
        <v>https://www.dgiwg.org/FAD/fdd/view?i=111162</v>
      </c>
      <c r="L6285" s="36" t="s">
        <v>41223</v>
      </c>
      <c r="M6285" s="186"/>
      <c r="N6285" s="186"/>
      <c r="O6285" s="172"/>
    </row>
    <row r="6286" spans="1:15" ht="25.5" x14ac:dyDescent="0.2">
      <c r="A6286" s="197" t="str">
        <f t="shared" si="98"/>
        <v>NfpCode_mineLayingPracticeArea</v>
      </c>
      <c r="B6286" s="409"/>
      <c r="C6286" s="416"/>
      <c r="D6286" s="198" t="s">
        <v>41224</v>
      </c>
      <c r="E6286" s="198">
        <v>6</v>
      </c>
      <c r="F6286" s="199" t="s">
        <v>41225</v>
      </c>
      <c r="G6286" s="1" t="s">
        <v>41226</v>
      </c>
      <c r="H6286" s="200"/>
      <c r="I6286" s="346"/>
      <c r="J6286" s="39">
        <v>111163</v>
      </c>
      <c r="K6286" s="36" t="str">
        <f>CONCATENATE(Cover!$D$6,"fdd/view?i=",J6286)</f>
        <v>https://www.dgiwg.org/FAD/fdd/view?i=111163</v>
      </c>
      <c r="L6286" s="36" t="s">
        <v>41227</v>
      </c>
      <c r="M6286" s="186"/>
      <c r="N6286" s="186"/>
      <c r="O6286" s="172"/>
    </row>
    <row r="6287" spans="1:15" ht="25.5" x14ac:dyDescent="0.2">
      <c r="A6287" s="197" t="str">
        <f t="shared" si="98"/>
        <v>NfpCode_missileFiringPracticeArea</v>
      </c>
      <c r="B6287" s="409"/>
      <c r="C6287" s="416"/>
      <c r="D6287" s="198" t="s">
        <v>41228</v>
      </c>
      <c r="E6287" s="198">
        <v>7</v>
      </c>
      <c r="F6287" s="199" t="s">
        <v>41229</v>
      </c>
      <c r="G6287" s="1" t="s">
        <v>41230</v>
      </c>
      <c r="H6287" s="1" t="s">
        <v>41231</v>
      </c>
      <c r="I6287" s="346"/>
      <c r="J6287" s="39">
        <v>111164</v>
      </c>
      <c r="K6287" s="36" t="str">
        <f>CONCATENATE(Cover!$D$6,"fdd/view?i=",J6287)</f>
        <v>https://www.dgiwg.org/FAD/fdd/view?i=111164</v>
      </c>
      <c r="L6287" s="36" t="s">
        <v>41232</v>
      </c>
      <c r="M6287" s="186"/>
      <c r="N6287" s="186"/>
      <c r="O6287" s="172"/>
    </row>
    <row r="6288" spans="1:15" ht="25.5" x14ac:dyDescent="0.2">
      <c r="A6288" s="197" t="str">
        <f t="shared" si="98"/>
        <v>NfpCode_navalImpactArea</v>
      </c>
      <c r="B6288" s="409"/>
      <c r="C6288" s="416"/>
      <c r="D6288" s="198" t="s">
        <v>41233</v>
      </c>
      <c r="E6288" s="198">
        <v>8</v>
      </c>
      <c r="F6288" s="199" t="s">
        <v>41234</v>
      </c>
      <c r="G6288" s="1" t="s">
        <v>41235</v>
      </c>
      <c r="H6288" s="200"/>
      <c r="I6288" s="346"/>
      <c r="J6288" s="39">
        <v>111165</v>
      </c>
      <c r="K6288" s="36" t="str">
        <f>CONCATENATE(Cover!$D$6,"fdd/view?i=",J6288)</f>
        <v>https://www.dgiwg.org/FAD/fdd/view?i=111165</v>
      </c>
      <c r="L6288" s="36" t="s">
        <v>41236</v>
      </c>
      <c r="M6288" s="186"/>
      <c r="N6288" s="186"/>
      <c r="O6288" s="172"/>
    </row>
    <row r="6289" spans="1:15" ht="25.5" x14ac:dyDescent="0.2">
      <c r="A6289" s="197" t="str">
        <f t="shared" si="98"/>
        <v>NfpCode_navalTrainingMinefield</v>
      </c>
      <c r="B6289" s="409"/>
      <c r="C6289" s="416"/>
      <c r="D6289" s="198" t="s">
        <v>41237</v>
      </c>
      <c r="E6289" s="198">
        <v>9</v>
      </c>
      <c r="F6289" s="199" t="s">
        <v>41238</v>
      </c>
      <c r="G6289" s="1" t="s">
        <v>41239</v>
      </c>
      <c r="H6289" s="1" t="s">
        <v>41240</v>
      </c>
      <c r="I6289" s="346"/>
      <c r="J6289" s="39">
        <v>111166</v>
      </c>
      <c r="K6289" s="36" t="str">
        <f>CONCATENATE(Cover!$D$6,"fdd/view?i=",J6289)</f>
        <v>https://www.dgiwg.org/FAD/fdd/view?i=111166</v>
      </c>
      <c r="L6289" s="36" t="s">
        <v>41241</v>
      </c>
      <c r="M6289" s="186"/>
      <c r="N6289" s="186"/>
      <c r="O6289" s="172"/>
    </row>
    <row r="6290" spans="1:15" ht="25.5" x14ac:dyDescent="0.2">
      <c r="A6290" s="197" t="str">
        <f t="shared" si="98"/>
        <v>NfpCode_torpedoPracticeArea</v>
      </c>
      <c r="B6290" s="409"/>
      <c r="C6290" s="416"/>
      <c r="D6290" s="198" t="s">
        <v>41242</v>
      </c>
      <c r="E6290" s="198">
        <v>10</v>
      </c>
      <c r="F6290" s="199" t="s">
        <v>41243</v>
      </c>
      <c r="G6290" s="1" t="s">
        <v>41244</v>
      </c>
      <c r="H6290" s="200"/>
      <c r="I6290" s="346"/>
      <c r="J6290" s="39">
        <v>111167</v>
      </c>
      <c r="K6290" s="36" t="str">
        <f>CONCATENATE(Cover!$D$6,"fdd/view?i=",J6290)</f>
        <v>https://www.dgiwg.org/FAD/fdd/view?i=111167</v>
      </c>
      <c r="L6290" s="36" t="s">
        <v>41245</v>
      </c>
      <c r="M6290" s="186"/>
      <c r="N6290" s="186"/>
      <c r="O6290" s="172"/>
    </row>
    <row r="6291" spans="1:15" ht="25.5" x14ac:dyDescent="0.2">
      <c r="A6291" s="203" t="str">
        <f t="shared" si="98"/>
        <v>NfpCode_weaponsRange</v>
      </c>
      <c r="B6291" s="410"/>
      <c r="C6291" s="417"/>
      <c r="D6291" s="204" t="s">
        <v>41246</v>
      </c>
      <c r="E6291" s="204">
        <v>11</v>
      </c>
      <c r="F6291" s="205" t="s">
        <v>41247</v>
      </c>
      <c r="G6291" s="206" t="s">
        <v>41248</v>
      </c>
      <c r="H6291" s="207"/>
      <c r="I6291" s="347"/>
      <c r="J6291" s="39">
        <v>111168</v>
      </c>
      <c r="K6291" s="36" t="str">
        <f>CONCATENATE(Cover!$D$6,"fdd/view?i=",J6291)</f>
        <v>https://www.dgiwg.org/FAD/fdd/view?i=111168</v>
      </c>
      <c r="L6291" s="36" t="s">
        <v>41249</v>
      </c>
      <c r="M6291" s="186"/>
      <c r="N6291" s="186"/>
      <c r="O6291" s="172"/>
    </row>
    <row r="6292" spans="1:15" ht="63.75" x14ac:dyDescent="0.2">
      <c r="A6292" s="190" t="str">
        <f t="shared" si="98"/>
        <v>MmtCode_antiHovercraft</v>
      </c>
      <c r="B6292" s="414" t="str">
        <f>HYPERLINK("[#]Datatypes!A1020:L1020","MmtCode")</f>
        <v>MmtCode</v>
      </c>
      <c r="C6292" s="415" t="s">
        <v>15612</v>
      </c>
      <c r="D6292" s="221" t="s">
        <v>41250</v>
      </c>
      <c r="E6292" s="221">
        <v>3</v>
      </c>
      <c r="F6292" s="222" t="s">
        <v>41251</v>
      </c>
      <c r="G6292" s="223" t="s">
        <v>41252</v>
      </c>
      <c r="H6292" s="223" t="s">
        <v>41253</v>
      </c>
      <c r="I6292" s="345"/>
      <c r="J6292" s="39">
        <v>105738</v>
      </c>
      <c r="K6292" s="36" t="str">
        <f>CONCATENATE(Cover!$D$6,"fdd/view?i=",J6292)</f>
        <v>https://www.dgiwg.org/FAD/fdd/view?i=105738</v>
      </c>
      <c r="L6292" s="36" t="s">
        <v>41254</v>
      </c>
      <c r="M6292" s="186"/>
      <c r="N6292" s="186"/>
      <c r="O6292" s="172"/>
    </row>
    <row r="6293" spans="1:15" ht="38.25" x14ac:dyDescent="0.2">
      <c r="A6293" s="197" t="str">
        <f t="shared" si="98"/>
        <v>MmtCode_antiHunter</v>
      </c>
      <c r="B6293" s="409"/>
      <c r="C6293" s="416"/>
      <c r="D6293" s="198" t="s">
        <v>41255</v>
      </c>
      <c r="E6293" s="198">
        <v>2</v>
      </c>
      <c r="F6293" s="199" t="s">
        <v>41256</v>
      </c>
      <c r="G6293" s="1" t="s">
        <v>41257</v>
      </c>
      <c r="H6293" s="1" t="s">
        <v>41258</v>
      </c>
      <c r="I6293" s="351" t="s">
        <v>41259</v>
      </c>
      <c r="J6293" s="39">
        <v>105737</v>
      </c>
      <c r="K6293" s="36" t="str">
        <f>CONCATENATE(Cover!$D$6,"fdd/view?i=",J6293)</f>
        <v>https://www.dgiwg.org/FAD/fdd/view?i=105737</v>
      </c>
      <c r="L6293" s="36" t="s">
        <v>41260</v>
      </c>
      <c r="M6293" s="186"/>
      <c r="N6293" s="186"/>
      <c r="O6293" s="172"/>
    </row>
    <row r="6294" spans="1:15" ht="89.25" x14ac:dyDescent="0.2">
      <c r="A6294" s="197" t="str">
        <f t="shared" si="98"/>
        <v>MmtCode_antiMcmVessel</v>
      </c>
      <c r="B6294" s="409"/>
      <c r="C6294" s="416"/>
      <c r="D6294" s="198" t="s">
        <v>41261</v>
      </c>
      <c r="E6294" s="198">
        <v>10</v>
      </c>
      <c r="F6294" s="199" t="s">
        <v>41262</v>
      </c>
      <c r="G6294" s="1" t="s">
        <v>41263</v>
      </c>
      <c r="H6294" s="1" t="s">
        <v>41264</v>
      </c>
      <c r="I6294" s="346"/>
      <c r="J6294" s="39">
        <v>111257</v>
      </c>
      <c r="K6294" s="36" t="str">
        <f>CONCATENATE(Cover!$D$6,"fdd/view?i=",J6294)</f>
        <v>https://www.dgiwg.org/FAD/fdd/view?i=111257</v>
      </c>
      <c r="L6294" s="36" t="s">
        <v>41265</v>
      </c>
      <c r="M6294" s="186"/>
      <c r="N6294" s="186"/>
      <c r="O6294" s="172"/>
    </row>
    <row r="6295" spans="1:15" ht="38.25" x14ac:dyDescent="0.2">
      <c r="A6295" s="197" t="str">
        <f t="shared" si="98"/>
        <v>MmtCode_antiSurfaceEffectVehicle</v>
      </c>
      <c r="B6295" s="409"/>
      <c r="C6295" s="416"/>
      <c r="D6295" s="198" t="s">
        <v>41266</v>
      </c>
      <c r="E6295" s="198">
        <v>11</v>
      </c>
      <c r="F6295" s="199" t="s">
        <v>41267</v>
      </c>
      <c r="G6295" s="1" t="s">
        <v>41268</v>
      </c>
      <c r="H6295" s="200"/>
      <c r="I6295" s="346"/>
      <c r="J6295" s="39">
        <v>111258</v>
      </c>
      <c r="K6295" s="36" t="str">
        <f>CONCATENATE(Cover!$D$6,"fdd/view?i=",J6295)</f>
        <v>https://www.dgiwg.org/FAD/fdd/view?i=111258</v>
      </c>
      <c r="L6295" s="36" t="s">
        <v>41269</v>
      </c>
      <c r="M6295" s="186"/>
      <c r="N6295" s="186"/>
      <c r="O6295" s="172"/>
    </row>
    <row r="6296" spans="1:15" ht="76.5" x14ac:dyDescent="0.2">
      <c r="A6296" s="197" t="str">
        <f t="shared" si="98"/>
        <v>MmtCode_antiSweeper</v>
      </c>
      <c r="B6296" s="409"/>
      <c r="C6296" s="416"/>
      <c r="D6296" s="198" t="s">
        <v>41270</v>
      </c>
      <c r="E6296" s="198">
        <v>1</v>
      </c>
      <c r="F6296" s="199" t="s">
        <v>41271</v>
      </c>
      <c r="G6296" s="1" t="s">
        <v>41272</v>
      </c>
      <c r="H6296" s="1" t="s">
        <v>41273</v>
      </c>
      <c r="I6296" s="346"/>
      <c r="J6296" s="39">
        <v>105736</v>
      </c>
      <c r="K6296" s="36" t="str">
        <f>CONCATENATE(Cover!$D$6,"fdd/view?i=",J6296)</f>
        <v>https://www.dgiwg.org/FAD/fdd/view?i=105736</v>
      </c>
      <c r="L6296" s="36" t="s">
        <v>41274</v>
      </c>
      <c r="M6296" s="186"/>
      <c r="N6296" s="186"/>
      <c r="O6296" s="172"/>
    </row>
    <row r="6297" spans="1:15" ht="51" x14ac:dyDescent="0.2">
      <c r="A6297" s="197" t="str">
        <f t="shared" si="98"/>
        <v>MmtCode_drill</v>
      </c>
      <c r="B6297" s="409"/>
      <c r="C6297" s="416"/>
      <c r="D6297" s="198" t="s">
        <v>41275</v>
      </c>
      <c r="E6297" s="198">
        <v>4</v>
      </c>
      <c r="F6297" s="199" t="s">
        <v>41276</v>
      </c>
      <c r="G6297" s="1" t="s">
        <v>41277</v>
      </c>
      <c r="H6297" s="1" t="s">
        <v>41278</v>
      </c>
      <c r="I6297" s="346"/>
      <c r="J6297" s="39">
        <v>105739</v>
      </c>
      <c r="K6297" s="36" t="str">
        <f>CONCATENATE(Cover!$D$6,"fdd/view?i=",J6297)</f>
        <v>https://www.dgiwg.org/FAD/fdd/view?i=105739</v>
      </c>
      <c r="L6297" s="36" t="s">
        <v>41279</v>
      </c>
      <c r="M6297" s="186"/>
      <c r="N6297" s="186"/>
      <c r="O6297" s="172"/>
    </row>
    <row r="6298" spans="1:15" ht="89.25" x14ac:dyDescent="0.2">
      <c r="A6298" s="197" t="str">
        <f t="shared" si="98"/>
        <v>MmtCode_exercise</v>
      </c>
      <c r="B6298" s="409"/>
      <c r="C6298" s="416"/>
      <c r="D6298" s="198" t="s">
        <v>41280</v>
      </c>
      <c r="E6298" s="198">
        <v>7</v>
      </c>
      <c r="F6298" s="199" t="s">
        <v>41281</v>
      </c>
      <c r="G6298" s="1" t="s">
        <v>41282</v>
      </c>
      <c r="H6298" s="1" t="s">
        <v>41283</v>
      </c>
      <c r="I6298" s="346"/>
      <c r="J6298" s="39">
        <v>105742</v>
      </c>
      <c r="K6298" s="36" t="str">
        <f>CONCATENATE(Cover!$D$6,"fdd/view?i=",J6298)</f>
        <v>https://www.dgiwg.org/FAD/fdd/view?i=105742</v>
      </c>
      <c r="L6298" s="36" t="s">
        <v>41284</v>
      </c>
      <c r="M6298" s="186"/>
      <c r="N6298" s="186"/>
      <c r="O6298" s="172"/>
    </row>
    <row r="6299" spans="1:15" ht="38.25" x14ac:dyDescent="0.2">
      <c r="A6299" s="197" t="str">
        <f t="shared" si="98"/>
        <v>MmtCode_exerciseFilled</v>
      </c>
      <c r="B6299" s="409"/>
      <c r="C6299" s="416"/>
      <c r="D6299" s="198" t="s">
        <v>41285</v>
      </c>
      <c r="E6299" s="198">
        <v>6</v>
      </c>
      <c r="F6299" s="199" t="s">
        <v>41286</v>
      </c>
      <c r="G6299" s="1" t="s">
        <v>41287</v>
      </c>
      <c r="H6299" s="1" t="s">
        <v>41288</v>
      </c>
      <c r="I6299" s="346"/>
      <c r="J6299" s="39">
        <v>105741</v>
      </c>
      <c r="K6299" s="36" t="str">
        <f>CONCATENATE(Cover!$D$6,"fdd/view?i=",J6299)</f>
        <v>https://www.dgiwg.org/FAD/fdd/view?i=105741</v>
      </c>
      <c r="L6299" s="36" t="s">
        <v>41289</v>
      </c>
      <c r="M6299" s="186"/>
      <c r="N6299" s="186"/>
      <c r="O6299" s="172"/>
    </row>
    <row r="6300" spans="1:15" ht="38.25" x14ac:dyDescent="0.2">
      <c r="A6300" s="197" t="str">
        <f t="shared" si="98"/>
        <v>MmtCode_minehuntingSonarDecoy</v>
      </c>
      <c r="B6300" s="409"/>
      <c r="C6300" s="416"/>
      <c r="D6300" s="198" t="s">
        <v>41290</v>
      </c>
      <c r="E6300" s="198">
        <v>12</v>
      </c>
      <c r="F6300" s="199" t="s">
        <v>41291</v>
      </c>
      <c r="G6300" s="1" t="s">
        <v>41292</v>
      </c>
      <c r="H6300" s="1" t="s">
        <v>41293</v>
      </c>
      <c r="I6300" s="346"/>
      <c r="J6300" s="39">
        <v>111259</v>
      </c>
      <c r="K6300" s="36" t="str">
        <f>CONCATENATE(Cover!$D$6,"fdd/view?i=",J6300)</f>
        <v>https://www.dgiwg.org/FAD/fdd/view?i=111259</v>
      </c>
      <c r="L6300" s="36" t="s">
        <v>41294</v>
      </c>
      <c r="M6300" s="186"/>
      <c r="N6300" s="186"/>
      <c r="O6300" s="172"/>
    </row>
    <row r="6301" spans="1:15" x14ac:dyDescent="0.2">
      <c r="A6301" s="203" t="str">
        <f t="shared" si="98"/>
        <v>MmtCode_practice</v>
      </c>
      <c r="B6301" s="410"/>
      <c r="C6301" s="417"/>
      <c r="D6301" s="204" t="s">
        <v>36702</v>
      </c>
      <c r="E6301" s="204">
        <v>8</v>
      </c>
      <c r="F6301" s="205" t="s">
        <v>36703</v>
      </c>
      <c r="G6301" s="206" t="s">
        <v>41295</v>
      </c>
      <c r="H6301" s="207"/>
      <c r="I6301" s="347"/>
      <c r="J6301" s="39">
        <v>105743</v>
      </c>
      <c r="K6301" s="36" t="str">
        <f>CONCATENATE(Cover!$D$6,"fdd/view?i=",J6301)</f>
        <v>https://www.dgiwg.org/FAD/fdd/view?i=105743</v>
      </c>
      <c r="L6301" s="36" t="s">
        <v>41296</v>
      </c>
      <c r="M6301" s="186"/>
      <c r="N6301" s="186"/>
      <c r="O6301" s="172"/>
    </row>
    <row r="6302" spans="1:15" ht="25.5" x14ac:dyDescent="0.2">
      <c r="A6302" s="190" t="str">
        <f t="shared" si="98"/>
        <v>MpcCode_antiInvasionMoored</v>
      </c>
      <c r="B6302" s="414" t="str">
        <f>HYPERLINK("[#]Datatypes!A1022:L1022","MpcCode")</f>
        <v>MpcCode</v>
      </c>
      <c r="C6302" s="415" t="s">
        <v>15614</v>
      </c>
      <c r="D6302" s="221" t="s">
        <v>41297</v>
      </c>
      <c r="E6302" s="221">
        <v>7</v>
      </c>
      <c r="F6302" s="222" t="s">
        <v>41298</v>
      </c>
      <c r="G6302" s="223" t="s">
        <v>41299</v>
      </c>
      <c r="H6302" s="223" t="s">
        <v>41300</v>
      </c>
      <c r="I6302" s="345"/>
      <c r="J6302" s="39">
        <v>111272</v>
      </c>
      <c r="K6302" s="36" t="str">
        <f>CONCATENATE(Cover!$D$6,"fdd/view?i=",J6302)</f>
        <v>https://www.dgiwg.org/FAD/fdd/view?i=111272</v>
      </c>
      <c r="L6302" s="36" t="s">
        <v>41301</v>
      </c>
      <c r="M6302" s="186"/>
      <c r="N6302" s="186"/>
      <c r="O6302" s="172"/>
    </row>
    <row r="6303" spans="1:15" ht="38.25" x14ac:dyDescent="0.2">
      <c r="A6303" s="197" t="str">
        <f t="shared" si="98"/>
        <v>MpcCode_antiSubmarineDeep</v>
      </c>
      <c r="B6303" s="409"/>
      <c r="C6303" s="416"/>
      <c r="D6303" s="198" t="s">
        <v>41302</v>
      </c>
      <c r="E6303" s="198">
        <v>8</v>
      </c>
      <c r="F6303" s="199" t="s">
        <v>41303</v>
      </c>
      <c r="G6303" s="1" t="s">
        <v>41304</v>
      </c>
      <c r="H6303" s="1" t="s">
        <v>41305</v>
      </c>
      <c r="I6303" s="346"/>
      <c r="J6303" s="39">
        <v>111273</v>
      </c>
      <c r="K6303" s="36" t="str">
        <f>CONCATENATE(Cover!$D$6,"fdd/view?i=",J6303)</f>
        <v>https://www.dgiwg.org/FAD/fdd/view?i=111273</v>
      </c>
      <c r="L6303" s="36" t="s">
        <v>41306</v>
      </c>
      <c r="M6303" s="186"/>
      <c r="N6303" s="186"/>
      <c r="O6303" s="172"/>
    </row>
    <row r="6304" spans="1:15" ht="51" x14ac:dyDescent="0.2">
      <c r="A6304" s="197" t="str">
        <f t="shared" si="98"/>
        <v>MpcCode_bouquet</v>
      </c>
      <c r="B6304" s="409"/>
      <c r="C6304" s="416"/>
      <c r="D6304" s="198" t="s">
        <v>41307</v>
      </c>
      <c r="E6304" s="198">
        <v>13</v>
      </c>
      <c r="F6304" s="199" t="s">
        <v>41308</v>
      </c>
      <c r="G6304" s="1" t="s">
        <v>41309</v>
      </c>
      <c r="H6304" s="1" t="s">
        <v>41310</v>
      </c>
      <c r="I6304" s="346"/>
      <c r="J6304" s="39">
        <v>111278</v>
      </c>
      <c r="K6304" s="36" t="str">
        <f>CONCATENATE(Cover!$D$6,"fdd/view?i=",J6304)</f>
        <v>https://www.dgiwg.org/FAD/fdd/view?i=111278</v>
      </c>
      <c r="L6304" s="36" t="s">
        <v>41311</v>
      </c>
      <c r="M6304" s="186"/>
      <c r="N6304" s="186"/>
      <c r="O6304" s="172"/>
    </row>
    <row r="6305" spans="1:15" ht="25.5" x14ac:dyDescent="0.2">
      <c r="A6305" s="197" t="str">
        <f t="shared" si="98"/>
        <v>MpcCode_buoyantRising</v>
      </c>
      <c r="B6305" s="409"/>
      <c r="C6305" s="416"/>
      <c r="D6305" s="198" t="s">
        <v>41312</v>
      </c>
      <c r="E6305" s="198">
        <v>10</v>
      </c>
      <c r="F6305" s="199" t="s">
        <v>41313</v>
      </c>
      <c r="G6305" s="1" t="s">
        <v>41314</v>
      </c>
      <c r="H6305" s="200"/>
      <c r="I6305" s="346"/>
      <c r="J6305" s="39">
        <v>111275</v>
      </c>
      <c r="K6305" s="36" t="str">
        <f>CONCATENATE(Cover!$D$6,"fdd/view?i=",J6305)</f>
        <v>https://www.dgiwg.org/FAD/fdd/view?i=111275</v>
      </c>
      <c r="L6305" s="36" t="s">
        <v>41315</v>
      </c>
      <c r="M6305" s="186"/>
      <c r="N6305" s="186"/>
      <c r="O6305" s="172"/>
    </row>
    <row r="6306" spans="1:15" ht="51" x14ac:dyDescent="0.2">
      <c r="A6306" s="197" t="str">
        <f t="shared" si="98"/>
        <v>MpcCode_closeTethered</v>
      </c>
      <c r="B6306" s="409"/>
      <c r="C6306" s="416"/>
      <c r="D6306" s="198" t="s">
        <v>41316</v>
      </c>
      <c r="E6306" s="198">
        <v>6</v>
      </c>
      <c r="F6306" s="199" t="s">
        <v>41317</v>
      </c>
      <c r="G6306" s="1" t="s">
        <v>41318</v>
      </c>
      <c r="H6306" s="1" t="s">
        <v>41319</v>
      </c>
      <c r="I6306" s="351" t="s">
        <v>41320</v>
      </c>
      <c r="J6306" s="39">
        <v>111271</v>
      </c>
      <c r="K6306" s="36" t="str">
        <f>CONCATENATE(Cover!$D$6,"fdd/view?i=",J6306)</f>
        <v>https://www.dgiwg.org/FAD/fdd/view?i=111271</v>
      </c>
      <c r="L6306" s="36" t="s">
        <v>41321</v>
      </c>
      <c r="M6306" s="186"/>
      <c r="N6306" s="186"/>
      <c r="O6306" s="172"/>
    </row>
    <row r="6307" spans="1:15" ht="25.5" x14ac:dyDescent="0.2">
      <c r="A6307" s="197" t="str">
        <f t="shared" si="98"/>
        <v>MpcCode_closeTetheredRising</v>
      </c>
      <c r="B6307" s="409"/>
      <c r="C6307" s="416"/>
      <c r="D6307" s="198" t="s">
        <v>41322</v>
      </c>
      <c r="E6307" s="198">
        <v>12</v>
      </c>
      <c r="F6307" s="199" t="s">
        <v>41323</v>
      </c>
      <c r="G6307" s="1" t="s">
        <v>41324</v>
      </c>
      <c r="H6307" s="200"/>
      <c r="I6307" s="346"/>
      <c r="J6307" s="39">
        <v>111277</v>
      </c>
      <c r="K6307" s="36" t="str">
        <f>CONCATENATE(Cover!$D$6,"fdd/view?i=",J6307)</f>
        <v>https://www.dgiwg.org/FAD/fdd/view?i=111277</v>
      </c>
      <c r="L6307" s="36" t="s">
        <v>41325</v>
      </c>
      <c r="M6307" s="186"/>
      <c r="N6307" s="186"/>
      <c r="O6307" s="172"/>
    </row>
    <row r="6308" spans="1:15" ht="38.25" x14ac:dyDescent="0.2">
      <c r="A6308" s="197" t="str">
        <f t="shared" si="98"/>
        <v>MpcCode_creeping</v>
      </c>
      <c r="B6308" s="409"/>
      <c r="C6308" s="416"/>
      <c r="D6308" s="198" t="s">
        <v>41326</v>
      </c>
      <c r="E6308" s="198">
        <v>14</v>
      </c>
      <c r="F6308" s="199" t="s">
        <v>41327</v>
      </c>
      <c r="G6308" s="1" t="s">
        <v>41328</v>
      </c>
      <c r="H6308" s="200"/>
      <c r="I6308" s="346"/>
      <c r="J6308" s="39">
        <v>111279</v>
      </c>
      <c r="K6308" s="36" t="str">
        <f>CONCATENATE(Cover!$D$6,"fdd/view?i=",J6308)</f>
        <v>https://www.dgiwg.org/FAD/fdd/view?i=111279</v>
      </c>
      <c r="L6308" s="36" t="s">
        <v>41329</v>
      </c>
      <c r="M6308" s="186"/>
      <c r="N6308" s="186"/>
      <c r="O6308" s="172"/>
    </row>
    <row r="6309" spans="1:15" ht="25.5" x14ac:dyDescent="0.2">
      <c r="A6309" s="197" t="str">
        <f t="shared" si="98"/>
        <v>MpcCode_drifting</v>
      </c>
      <c r="B6309" s="409"/>
      <c r="C6309" s="416"/>
      <c r="D6309" s="198" t="s">
        <v>41330</v>
      </c>
      <c r="E6309" s="198">
        <v>17</v>
      </c>
      <c r="F6309" s="199" t="s">
        <v>41331</v>
      </c>
      <c r="G6309" s="1" t="s">
        <v>41332</v>
      </c>
      <c r="H6309" s="200"/>
      <c r="I6309" s="346"/>
      <c r="J6309" s="39">
        <v>111282</v>
      </c>
      <c r="K6309" s="36" t="str">
        <f>CONCATENATE(Cover!$D$6,"fdd/view?i=",J6309)</f>
        <v>https://www.dgiwg.org/FAD/fdd/view?i=111282</v>
      </c>
      <c r="L6309" s="36" t="s">
        <v>41333</v>
      </c>
      <c r="M6309" s="186"/>
      <c r="N6309" s="186"/>
      <c r="O6309" s="172"/>
    </row>
    <row r="6310" spans="1:15" x14ac:dyDescent="0.2">
      <c r="A6310" s="197" t="str">
        <f t="shared" si="98"/>
        <v>MpcCode_floating</v>
      </c>
      <c r="B6310" s="409"/>
      <c r="C6310" s="416"/>
      <c r="D6310" s="198" t="s">
        <v>8791</v>
      </c>
      <c r="E6310" s="198">
        <v>15</v>
      </c>
      <c r="F6310" s="199" t="s">
        <v>8793</v>
      </c>
      <c r="G6310" s="1" t="s">
        <v>41334</v>
      </c>
      <c r="H6310" s="1" t="s">
        <v>41335</v>
      </c>
      <c r="I6310" s="346"/>
      <c r="J6310" s="39">
        <v>111280</v>
      </c>
      <c r="K6310" s="36" t="str">
        <f>CONCATENATE(Cover!$D$6,"fdd/view?i=",J6310)</f>
        <v>https://www.dgiwg.org/FAD/fdd/view?i=111280</v>
      </c>
      <c r="L6310" s="36" t="s">
        <v>41336</v>
      </c>
      <c r="M6310" s="186"/>
      <c r="N6310" s="186"/>
      <c r="O6310" s="172"/>
    </row>
    <row r="6311" spans="1:15" ht="38.25" x14ac:dyDescent="0.2">
      <c r="A6311" s="197" t="str">
        <f t="shared" si="98"/>
        <v>MpcCode_free</v>
      </c>
      <c r="B6311" s="409"/>
      <c r="C6311" s="416"/>
      <c r="D6311" s="198" t="s">
        <v>41337</v>
      </c>
      <c r="E6311" s="198">
        <v>18</v>
      </c>
      <c r="F6311" s="199" t="s">
        <v>41338</v>
      </c>
      <c r="G6311" s="1" t="s">
        <v>41339</v>
      </c>
      <c r="H6311" s="1" t="s">
        <v>41340</v>
      </c>
      <c r="I6311" s="351" t="s">
        <v>26878</v>
      </c>
      <c r="J6311" s="39">
        <v>111283</v>
      </c>
      <c r="K6311" s="36" t="str">
        <f>CONCATENATE(Cover!$D$6,"fdd/view?i=",J6311)</f>
        <v>https://www.dgiwg.org/FAD/fdd/view?i=111283</v>
      </c>
      <c r="L6311" s="36" t="s">
        <v>41341</v>
      </c>
      <c r="M6311" s="186"/>
      <c r="N6311" s="186"/>
      <c r="O6311" s="172"/>
    </row>
    <row r="6312" spans="1:15" ht="38.25" x14ac:dyDescent="0.2">
      <c r="A6312" s="197" t="str">
        <f t="shared" si="98"/>
        <v>MpcCode_ground</v>
      </c>
      <c r="B6312" s="409"/>
      <c r="C6312" s="416"/>
      <c r="D6312" s="198" t="s">
        <v>41004</v>
      </c>
      <c r="E6312" s="198">
        <v>1</v>
      </c>
      <c r="F6312" s="199" t="s">
        <v>41005</v>
      </c>
      <c r="G6312" s="1" t="s">
        <v>41342</v>
      </c>
      <c r="H6312" s="1" t="s">
        <v>41343</v>
      </c>
      <c r="I6312" s="351" t="s">
        <v>41344</v>
      </c>
      <c r="J6312" s="39">
        <v>105782</v>
      </c>
      <c r="K6312" s="36" t="str">
        <f>CONCATENATE(Cover!$D$6,"fdd/view?i=",J6312)</f>
        <v>https://www.dgiwg.org/FAD/fdd/view?i=105782</v>
      </c>
      <c r="L6312" s="36" t="s">
        <v>41345</v>
      </c>
      <c r="M6312" s="186"/>
      <c r="N6312" s="186"/>
      <c r="O6312" s="172"/>
    </row>
    <row r="6313" spans="1:15" ht="51" x14ac:dyDescent="0.2">
      <c r="A6313" s="197" t="str">
        <f t="shared" si="98"/>
        <v>MpcCode_moored</v>
      </c>
      <c r="B6313" s="409"/>
      <c r="C6313" s="416"/>
      <c r="D6313" s="198" t="s">
        <v>41346</v>
      </c>
      <c r="E6313" s="198">
        <v>2</v>
      </c>
      <c r="F6313" s="199" t="s">
        <v>41347</v>
      </c>
      <c r="G6313" s="1" t="s">
        <v>41348</v>
      </c>
      <c r="H6313" s="1" t="s">
        <v>41349</v>
      </c>
      <c r="I6313" s="346"/>
      <c r="J6313" s="39">
        <v>105783</v>
      </c>
      <c r="K6313" s="36" t="str">
        <f>CONCATENATE(Cover!$D$6,"fdd/view?i=",J6313)</f>
        <v>https://www.dgiwg.org/FAD/fdd/view?i=105783</v>
      </c>
      <c r="L6313" s="36" t="s">
        <v>41350</v>
      </c>
      <c r="M6313" s="186"/>
      <c r="N6313" s="186"/>
      <c r="O6313" s="172"/>
    </row>
    <row r="6314" spans="1:15" ht="38.25" x14ac:dyDescent="0.2">
      <c r="A6314" s="197" t="str">
        <f t="shared" si="98"/>
        <v>MpcCode_oscillating</v>
      </c>
      <c r="B6314" s="409"/>
      <c r="C6314" s="416"/>
      <c r="D6314" s="198" t="s">
        <v>41351</v>
      </c>
      <c r="E6314" s="198">
        <v>5</v>
      </c>
      <c r="F6314" s="199" t="s">
        <v>41352</v>
      </c>
      <c r="G6314" s="1" t="s">
        <v>41353</v>
      </c>
      <c r="H6314" s="200"/>
      <c r="I6314" s="346"/>
      <c r="J6314" s="39">
        <v>111270</v>
      </c>
      <c r="K6314" s="36" t="str">
        <f>CONCATENATE(Cover!$D$6,"fdd/view?i=",J6314)</f>
        <v>https://www.dgiwg.org/FAD/fdd/view?i=111270</v>
      </c>
      <c r="L6314" s="36" t="s">
        <v>41354</v>
      </c>
      <c r="M6314" s="186"/>
      <c r="N6314" s="186"/>
      <c r="O6314" s="172"/>
    </row>
    <row r="6315" spans="1:15" ht="38.25" x14ac:dyDescent="0.2">
      <c r="A6315" s="197" t="str">
        <f t="shared" si="98"/>
        <v>MpcCode_rising</v>
      </c>
      <c r="B6315" s="409"/>
      <c r="C6315" s="416"/>
      <c r="D6315" s="198" t="s">
        <v>41355</v>
      </c>
      <c r="E6315" s="198">
        <v>9</v>
      </c>
      <c r="F6315" s="199" t="s">
        <v>41356</v>
      </c>
      <c r="G6315" s="1" t="s">
        <v>41357</v>
      </c>
      <c r="H6315" s="1" t="s">
        <v>41358</v>
      </c>
      <c r="I6315" s="346"/>
      <c r="J6315" s="39">
        <v>111274</v>
      </c>
      <c r="K6315" s="36" t="str">
        <f>CONCATENATE(Cover!$D$6,"fdd/view?i=",J6315)</f>
        <v>https://www.dgiwg.org/FAD/fdd/view?i=111274</v>
      </c>
      <c r="L6315" s="36" t="s">
        <v>41359</v>
      </c>
      <c r="M6315" s="186"/>
      <c r="N6315" s="186"/>
      <c r="O6315" s="172"/>
    </row>
    <row r="6316" spans="1:15" ht="38.25" x14ac:dyDescent="0.2">
      <c r="A6316" s="197" t="str">
        <f t="shared" si="98"/>
        <v>MpcCode_rocketPropelledRising</v>
      </c>
      <c r="B6316" s="409"/>
      <c r="C6316" s="416"/>
      <c r="D6316" s="198" t="s">
        <v>41360</v>
      </c>
      <c r="E6316" s="198">
        <v>11</v>
      </c>
      <c r="F6316" s="199" t="s">
        <v>41361</v>
      </c>
      <c r="G6316" s="1" t="s">
        <v>41362</v>
      </c>
      <c r="H6316" s="200"/>
      <c r="I6316" s="346"/>
      <c r="J6316" s="39">
        <v>111276</v>
      </c>
      <c r="K6316" s="36" t="str">
        <f>CONCATENATE(Cover!$D$6,"fdd/view?i=",J6316)</f>
        <v>https://www.dgiwg.org/FAD/fdd/view?i=111276</v>
      </c>
      <c r="L6316" s="36" t="s">
        <v>41363</v>
      </c>
      <c r="M6316" s="186"/>
      <c r="N6316" s="186"/>
      <c r="O6316" s="172"/>
    </row>
    <row r="6317" spans="1:15" ht="25.5" x14ac:dyDescent="0.2">
      <c r="A6317" s="203" t="str">
        <f t="shared" si="98"/>
        <v>MpcCode_watching</v>
      </c>
      <c r="B6317" s="410"/>
      <c r="C6317" s="417"/>
      <c r="D6317" s="204" t="s">
        <v>41364</v>
      </c>
      <c r="E6317" s="204">
        <v>16</v>
      </c>
      <c r="F6317" s="205" t="s">
        <v>41365</v>
      </c>
      <c r="G6317" s="206" t="s">
        <v>41366</v>
      </c>
      <c r="H6317" s="206" t="s">
        <v>41367</v>
      </c>
      <c r="I6317" s="347"/>
      <c r="J6317" s="39">
        <v>111281</v>
      </c>
      <c r="K6317" s="36" t="str">
        <f>CONCATENATE(Cover!$D$6,"fdd/view?i=",J6317)</f>
        <v>https://www.dgiwg.org/FAD/fdd/view?i=111281</v>
      </c>
      <c r="L6317" s="36" t="s">
        <v>41368</v>
      </c>
      <c r="M6317" s="186"/>
      <c r="N6317" s="186"/>
      <c r="O6317" s="172"/>
    </row>
    <row r="6318" spans="1:15" ht="25.5" x14ac:dyDescent="0.2">
      <c r="A6318" s="190" t="str">
        <f t="shared" si="98"/>
        <v>MpuCode_nuisance</v>
      </c>
      <c r="B6318" s="414" t="str">
        <f>HYPERLINK("[#]Datatypes!A1024:L1024","MpuCode")</f>
        <v>MpuCode</v>
      </c>
      <c r="C6318" s="415" t="s">
        <v>15616</v>
      </c>
      <c r="D6318" s="221" t="s">
        <v>41369</v>
      </c>
      <c r="E6318" s="221">
        <v>3</v>
      </c>
      <c r="F6318" s="222" t="s">
        <v>41370</v>
      </c>
      <c r="G6318" s="223" t="s">
        <v>41371</v>
      </c>
      <c r="H6318" s="224"/>
      <c r="I6318" s="345"/>
      <c r="J6318" s="39">
        <v>105824</v>
      </c>
      <c r="K6318" s="36" t="str">
        <f>CONCATENATE(Cover!$D$6,"fdd/view?i=",J6318)</f>
        <v>https://www.dgiwg.org/FAD/fdd/view?i=105824</v>
      </c>
      <c r="L6318" s="36" t="s">
        <v>41372</v>
      </c>
      <c r="M6318" s="186"/>
      <c r="N6318" s="186"/>
      <c r="O6318" s="172"/>
    </row>
    <row r="6319" spans="1:15" ht="25.5" x14ac:dyDescent="0.2">
      <c r="A6319" s="197" t="str">
        <f t="shared" si="98"/>
        <v>MpuCode_protective</v>
      </c>
      <c r="B6319" s="409"/>
      <c r="C6319" s="416"/>
      <c r="D6319" s="198" t="s">
        <v>41373</v>
      </c>
      <c r="E6319" s="198">
        <v>1</v>
      </c>
      <c r="F6319" s="199" t="s">
        <v>41374</v>
      </c>
      <c r="G6319" s="1" t="s">
        <v>41375</v>
      </c>
      <c r="H6319" s="200"/>
      <c r="I6319" s="346"/>
      <c r="J6319" s="39">
        <v>105822</v>
      </c>
      <c r="K6319" s="36" t="str">
        <f>CONCATENATE(Cover!$D$6,"fdd/view?i=",J6319)</f>
        <v>https://www.dgiwg.org/FAD/fdd/view?i=105822</v>
      </c>
      <c r="L6319" s="36" t="s">
        <v>41376</v>
      </c>
      <c r="M6319" s="186"/>
      <c r="N6319" s="186"/>
      <c r="O6319" s="172"/>
    </row>
    <row r="6320" spans="1:15" x14ac:dyDescent="0.2">
      <c r="A6320" s="197" t="str">
        <f t="shared" si="98"/>
        <v>MpuCode_tactical</v>
      </c>
      <c r="B6320" s="409"/>
      <c r="C6320" s="416"/>
      <c r="D6320" s="198" t="s">
        <v>41377</v>
      </c>
      <c r="E6320" s="198">
        <v>2</v>
      </c>
      <c r="F6320" s="199" t="s">
        <v>41378</v>
      </c>
      <c r="G6320" s="1" t="s">
        <v>41379</v>
      </c>
      <c r="H6320" s="200"/>
      <c r="I6320" s="346"/>
      <c r="J6320" s="39">
        <v>105823</v>
      </c>
      <c r="K6320" s="36" t="str">
        <f>CONCATENATE(Cover!$D$6,"fdd/view?i=",J6320)</f>
        <v>https://www.dgiwg.org/FAD/fdd/view?i=105823</v>
      </c>
      <c r="L6320" s="36" t="s">
        <v>41380</v>
      </c>
      <c r="M6320" s="186"/>
      <c r="N6320" s="186"/>
      <c r="O6320" s="172"/>
    </row>
    <row r="6321" spans="1:15" ht="25.5" x14ac:dyDescent="0.2">
      <c r="A6321" s="203" t="str">
        <f t="shared" si="98"/>
        <v>MpuCode_terror</v>
      </c>
      <c r="B6321" s="410"/>
      <c r="C6321" s="417"/>
      <c r="D6321" s="204" t="s">
        <v>41381</v>
      </c>
      <c r="E6321" s="204">
        <v>4</v>
      </c>
      <c r="F6321" s="205" t="s">
        <v>41382</v>
      </c>
      <c r="G6321" s="206" t="s">
        <v>41383</v>
      </c>
      <c r="H6321" s="207"/>
      <c r="I6321" s="347"/>
      <c r="J6321" s="39">
        <v>105825</v>
      </c>
      <c r="K6321" s="36" t="str">
        <f>CONCATENATE(Cover!$D$6,"fdd/view?i=",J6321)</f>
        <v>https://www.dgiwg.org/FAD/fdd/view?i=105825</v>
      </c>
      <c r="L6321" s="36" t="s">
        <v>41384</v>
      </c>
      <c r="M6321" s="186"/>
      <c r="N6321" s="186"/>
      <c r="O6321" s="172"/>
    </row>
    <row r="6322" spans="1:15" ht="25.5" x14ac:dyDescent="0.2">
      <c r="A6322" s="190" t="str">
        <f t="shared" si="98"/>
        <v>NoaCode_acronymAreaPurple</v>
      </c>
      <c r="B6322" s="414" t="str">
        <f>HYPERLINK("[#]Datatypes!A1026:L1026","NoaCode")</f>
        <v>NoaCode</v>
      </c>
      <c r="C6322" s="415" t="s">
        <v>15618</v>
      </c>
      <c r="D6322" s="221" t="s">
        <v>41385</v>
      </c>
      <c r="E6322" s="221">
        <v>30</v>
      </c>
      <c r="F6322" s="222" t="s">
        <v>41386</v>
      </c>
      <c r="G6322" s="224"/>
      <c r="H6322" s="224"/>
      <c r="I6322" s="345"/>
      <c r="J6322" s="39">
        <v>111332</v>
      </c>
      <c r="K6322" s="36" t="str">
        <f>CONCATENATE(Cover!$D$6,"fdd/view?i=",J6322)</f>
        <v>https://www.dgiwg.org/FAD/fdd/view?i=111332</v>
      </c>
      <c r="L6322" s="36" t="s">
        <v>41387</v>
      </c>
      <c r="M6322" s="186"/>
      <c r="N6322" s="186"/>
      <c r="O6322" s="172"/>
    </row>
    <row r="6323" spans="1:15" x14ac:dyDescent="0.2">
      <c r="A6323" s="197" t="str">
        <f t="shared" si="98"/>
        <v>NoaCode_alcantGrid</v>
      </c>
      <c r="B6323" s="409"/>
      <c r="C6323" s="416"/>
      <c r="D6323" s="198" t="s">
        <v>41388</v>
      </c>
      <c r="E6323" s="198">
        <v>1</v>
      </c>
      <c r="F6323" s="199" t="s">
        <v>41389</v>
      </c>
      <c r="G6323" s="200"/>
      <c r="H6323" s="200"/>
      <c r="I6323" s="346"/>
      <c r="J6323" s="39">
        <v>111169</v>
      </c>
      <c r="K6323" s="36" t="str">
        <f>CONCATENATE(Cover!$D$6,"fdd/view?i=",J6323)</f>
        <v>https://www.dgiwg.org/FAD/fdd/view?i=111169</v>
      </c>
      <c r="L6323" s="36" t="s">
        <v>41390</v>
      </c>
      <c r="M6323" s="186"/>
      <c r="N6323" s="186"/>
      <c r="O6323" s="172"/>
    </row>
    <row r="6324" spans="1:15" x14ac:dyDescent="0.2">
      <c r="A6324" s="197" t="str">
        <f t="shared" si="98"/>
        <v>NoaCode_areaFoxtrot</v>
      </c>
      <c r="B6324" s="409"/>
      <c r="C6324" s="416"/>
      <c r="D6324" s="198" t="s">
        <v>41391</v>
      </c>
      <c r="E6324" s="198">
        <v>25</v>
      </c>
      <c r="F6324" s="199" t="s">
        <v>41392</v>
      </c>
      <c r="G6324" s="200"/>
      <c r="H6324" s="200"/>
      <c r="I6324" s="346"/>
      <c r="J6324" s="39">
        <v>111327</v>
      </c>
      <c r="K6324" s="36" t="str">
        <f>CONCATENATE(Cover!$D$6,"fdd/view?i=",J6324)</f>
        <v>https://www.dgiwg.org/FAD/fdd/view?i=111327</v>
      </c>
      <c r="L6324" s="36" t="s">
        <v>41393</v>
      </c>
      <c r="M6324" s="186"/>
      <c r="N6324" s="186"/>
      <c r="O6324" s="172"/>
    </row>
    <row r="6325" spans="1:15" ht="25.5" x14ac:dyDescent="0.2">
      <c r="A6325" s="197" t="str">
        <f t="shared" si="98"/>
        <v>NoaCode_aswOperatingArea</v>
      </c>
      <c r="B6325" s="409"/>
      <c r="C6325" s="416"/>
      <c r="D6325" s="198" t="s">
        <v>41394</v>
      </c>
      <c r="E6325" s="198">
        <v>2</v>
      </c>
      <c r="F6325" s="199" t="s">
        <v>41395</v>
      </c>
      <c r="G6325" s="1" t="s">
        <v>41396</v>
      </c>
      <c r="H6325" s="1" t="s">
        <v>41397</v>
      </c>
      <c r="I6325" s="346"/>
      <c r="J6325" s="39">
        <v>111170</v>
      </c>
      <c r="K6325" s="36" t="str">
        <f>CONCATENATE(Cover!$D$6,"fdd/view?i=",J6325)</f>
        <v>https://www.dgiwg.org/FAD/fdd/view?i=111170</v>
      </c>
      <c r="L6325" s="36" t="s">
        <v>41398</v>
      </c>
      <c r="M6325" s="186"/>
      <c r="N6325" s="186"/>
      <c r="O6325" s="172"/>
    </row>
    <row r="6326" spans="1:15" ht="25.5" x14ac:dyDescent="0.2">
      <c r="A6326" s="197" t="str">
        <f t="shared" si="98"/>
        <v>NoaCode_diveTrainingArea</v>
      </c>
      <c r="B6326" s="409"/>
      <c r="C6326" s="416"/>
      <c r="D6326" s="198" t="s">
        <v>41399</v>
      </c>
      <c r="E6326" s="198">
        <v>26</v>
      </c>
      <c r="F6326" s="199" t="s">
        <v>41400</v>
      </c>
      <c r="G6326" s="1" t="s">
        <v>41401</v>
      </c>
      <c r="H6326" s="200"/>
      <c r="I6326" s="346"/>
      <c r="J6326" s="39">
        <v>111328</v>
      </c>
      <c r="K6326" s="36" t="str">
        <f>CONCATENATE(Cover!$D$6,"fdd/view?i=",J6326)</f>
        <v>https://www.dgiwg.org/FAD/fdd/view?i=111328</v>
      </c>
      <c r="L6326" s="36" t="s">
        <v>41402</v>
      </c>
      <c r="M6326" s="186"/>
      <c r="N6326" s="186"/>
      <c r="O6326" s="172"/>
    </row>
    <row r="6327" spans="1:15" ht="25.5" x14ac:dyDescent="0.2">
      <c r="A6327" s="197" t="str">
        <f t="shared" si="98"/>
        <v>NoaCode_fastPatrolBoatPosition</v>
      </c>
      <c r="B6327" s="409"/>
      <c r="C6327" s="416"/>
      <c r="D6327" s="198" t="s">
        <v>41403</v>
      </c>
      <c r="E6327" s="198">
        <v>23</v>
      </c>
      <c r="F6327" s="199" t="s">
        <v>41404</v>
      </c>
      <c r="G6327" s="1" t="s">
        <v>41405</v>
      </c>
      <c r="H6327" s="200"/>
      <c r="I6327" s="346"/>
      <c r="J6327" s="39">
        <v>111191</v>
      </c>
      <c r="K6327" s="36" t="str">
        <f>CONCATENATE(Cover!$D$6,"fdd/view?i=",J6327)</f>
        <v>https://www.dgiwg.org/FAD/fdd/view?i=111191</v>
      </c>
      <c r="L6327" s="36" t="s">
        <v>41406</v>
      </c>
      <c r="M6327" s="186"/>
      <c r="N6327" s="186"/>
      <c r="O6327" s="172"/>
    </row>
    <row r="6328" spans="1:15" ht="38.25" x14ac:dyDescent="0.2">
      <c r="A6328" s="197" t="str">
        <f t="shared" si="98"/>
        <v>NoaCode_foracsVLimit</v>
      </c>
      <c r="B6328" s="409"/>
      <c r="C6328" s="416"/>
      <c r="D6328" s="198" t="s">
        <v>41407</v>
      </c>
      <c r="E6328" s="198">
        <v>27</v>
      </c>
      <c r="F6328" s="199" t="s">
        <v>41408</v>
      </c>
      <c r="G6328" s="1" t="s">
        <v>41409</v>
      </c>
      <c r="H6328" s="200"/>
      <c r="I6328" s="346"/>
      <c r="J6328" s="39">
        <v>111329</v>
      </c>
      <c r="K6328" s="36" t="str">
        <f>CONCATENATE(Cover!$D$6,"fdd/view?i=",J6328)</f>
        <v>https://www.dgiwg.org/FAD/fdd/view?i=111329</v>
      </c>
      <c r="L6328" s="36" t="s">
        <v>41410</v>
      </c>
      <c r="M6328" s="186"/>
      <c r="N6328" s="186"/>
      <c r="O6328" s="172"/>
    </row>
    <row r="6329" spans="1:15" ht="38.25" x14ac:dyDescent="0.2">
      <c r="A6329" s="197" t="str">
        <f t="shared" si="98"/>
        <v>NoaCode_jenoaGrid</v>
      </c>
      <c r="B6329" s="409"/>
      <c r="C6329" s="416"/>
      <c r="D6329" s="198" t="s">
        <v>41411</v>
      </c>
      <c r="E6329" s="198">
        <v>3</v>
      </c>
      <c r="F6329" s="199" t="s">
        <v>41412</v>
      </c>
      <c r="G6329" s="1" t="s">
        <v>41413</v>
      </c>
      <c r="H6329" s="1" t="s">
        <v>41414</v>
      </c>
      <c r="I6329" s="346"/>
      <c r="J6329" s="39">
        <v>111171</v>
      </c>
      <c r="K6329" s="36" t="str">
        <f>CONCATENATE(Cover!$D$6,"fdd/view?i=",J6329)</f>
        <v>https://www.dgiwg.org/FAD/fdd/view?i=111171</v>
      </c>
      <c r="L6329" s="36" t="s">
        <v>41415</v>
      </c>
      <c r="M6329" s="186"/>
      <c r="N6329" s="186"/>
      <c r="O6329" s="172"/>
    </row>
    <row r="6330" spans="1:15" ht="25.5" x14ac:dyDescent="0.2">
      <c r="A6330" s="197" t="str">
        <f t="shared" si="98"/>
        <v>NoaCode_lcacArea</v>
      </c>
      <c r="B6330" s="409"/>
      <c r="C6330" s="416"/>
      <c r="D6330" s="198" t="s">
        <v>41416</v>
      </c>
      <c r="E6330" s="198">
        <v>28</v>
      </c>
      <c r="F6330" s="199" t="s">
        <v>41417</v>
      </c>
      <c r="G6330" s="1" t="s">
        <v>41418</v>
      </c>
      <c r="H6330" s="200"/>
      <c r="I6330" s="346"/>
      <c r="J6330" s="39">
        <v>111330</v>
      </c>
      <c r="K6330" s="36" t="str">
        <f>CONCATENATE(Cover!$D$6,"fdd/view?i=",J6330)</f>
        <v>https://www.dgiwg.org/FAD/fdd/view?i=111330</v>
      </c>
      <c r="L6330" s="36" t="s">
        <v>41419</v>
      </c>
      <c r="M6330" s="186"/>
      <c r="N6330" s="186"/>
      <c r="O6330" s="172"/>
    </row>
    <row r="6331" spans="1:15" ht="25.5" x14ac:dyDescent="0.2">
      <c r="A6331" s="197" t="str">
        <f t="shared" si="98"/>
        <v>NoaCode_majorNavalOperatingArea</v>
      </c>
      <c r="B6331" s="409"/>
      <c r="C6331" s="416"/>
      <c r="D6331" s="198" t="s">
        <v>41420</v>
      </c>
      <c r="E6331" s="198">
        <v>4</v>
      </c>
      <c r="F6331" s="199" t="s">
        <v>41421</v>
      </c>
      <c r="G6331" s="1" t="s">
        <v>41422</v>
      </c>
      <c r="H6331" s="1" t="s">
        <v>4276</v>
      </c>
      <c r="I6331" s="346"/>
      <c r="J6331" s="39">
        <v>111172</v>
      </c>
      <c r="K6331" s="36" t="str">
        <f>CONCATENATE(Cover!$D$6,"fdd/view?i=",J6331)</f>
        <v>https://www.dgiwg.org/FAD/fdd/view?i=111172</v>
      </c>
      <c r="L6331" s="36" t="s">
        <v>41423</v>
      </c>
      <c r="M6331" s="186"/>
      <c r="N6331" s="186"/>
      <c r="O6331" s="172"/>
    </row>
    <row r="6332" spans="1:15" ht="25.5" x14ac:dyDescent="0.2">
      <c r="A6332" s="197" t="str">
        <f t="shared" si="98"/>
        <v>NoaCode_mineSweptRegion</v>
      </c>
      <c r="B6332" s="409"/>
      <c r="C6332" s="416"/>
      <c r="D6332" s="198" t="s">
        <v>41424</v>
      </c>
      <c r="E6332" s="198">
        <v>5</v>
      </c>
      <c r="F6332" s="199" t="s">
        <v>41425</v>
      </c>
      <c r="G6332" s="1" t="s">
        <v>41426</v>
      </c>
      <c r="H6332" s="200"/>
      <c r="I6332" s="346"/>
      <c r="J6332" s="39">
        <v>111173</v>
      </c>
      <c r="K6332" s="36" t="str">
        <f>CONCATENATE(Cover!$D$6,"fdd/view?i=",J6332)</f>
        <v>https://www.dgiwg.org/FAD/fdd/view?i=111173</v>
      </c>
      <c r="L6332" s="36" t="s">
        <v>41427</v>
      </c>
      <c r="M6332" s="186"/>
      <c r="N6332" s="186"/>
      <c r="O6332" s="172"/>
    </row>
    <row r="6333" spans="1:15" ht="25.5" x14ac:dyDescent="0.2">
      <c r="A6333" s="197" t="str">
        <f t="shared" si="98"/>
        <v>NoaCode_minorNavalOperatingArea</v>
      </c>
      <c r="B6333" s="409"/>
      <c r="C6333" s="416"/>
      <c r="D6333" s="198" t="s">
        <v>41428</v>
      </c>
      <c r="E6333" s="198">
        <v>6</v>
      </c>
      <c r="F6333" s="199" t="s">
        <v>41429</v>
      </c>
      <c r="G6333" s="1" t="s">
        <v>41430</v>
      </c>
      <c r="H6333" s="1" t="s">
        <v>4276</v>
      </c>
      <c r="I6333" s="346"/>
      <c r="J6333" s="39">
        <v>111174</v>
      </c>
      <c r="K6333" s="36" t="str">
        <f>CONCATENATE(Cover!$D$6,"fdd/view?i=",J6333)</f>
        <v>https://www.dgiwg.org/FAD/fdd/view?i=111174</v>
      </c>
      <c r="L6333" s="36" t="s">
        <v>41431</v>
      </c>
      <c r="M6333" s="186"/>
      <c r="N6333" s="186"/>
      <c r="O6333" s="172"/>
    </row>
    <row r="6334" spans="1:15" ht="25.5" x14ac:dyDescent="0.2">
      <c r="A6334" s="197" t="str">
        <f t="shared" si="98"/>
        <v>NoaCode_namedOperatingArea</v>
      </c>
      <c r="B6334" s="409"/>
      <c r="C6334" s="416"/>
      <c r="D6334" s="198" t="s">
        <v>41432</v>
      </c>
      <c r="E6334" s="198">
        <v>7</v>
      </c>
      <c r="F6334" s="199" t="s">
        <v>41433</v>
      </c>
      <c r="G6334" s="200"/>
      <c r="H6334" s="200"/>
      <c r="I6334" s="346"/>
      <c r="J6334" s="39">
        <v>111175</v>
      </c>
      <c r="K6334" s="36" t="str">
        <f>CONCATENATE(Cover!$D$6,"fdd/view?i=",J6334)</f>
        <v>https://www.dgiwg.org/FAD/fdd/view?i=111175</v>
      </c>
      <c r="L6334" s="36" t="s">
        <v>41434</v>
      </c>
      <c r="M6334" s="186"/>
      <c r="N6334" s="186"/>
      <c r="O6334" s="172"/>
    </row>
    <row r="6335" spans="1:15" ht="25.5" x14ac:dyDescent="0.2">
      <c r="A6335" s="197" t="str">
        <f t="shared" si="98"/>
        <v>NoaCode_navalMinefield</v>
      </c>
      <c r="B6335" s="409"/>
      <c r="C6335" s="416"/>
      <c r="D6335" s="198" t="s">
        <v>41435</v>
      </c>
      <c r="E6335" s="198">
        <v>8</v>
      </c>
      <c r="F6335" s="199" t="s">
        <v>41436</v>
      </c>
      <c r="G6335" s="1" t="s">
        <v>41437</v>
      </c>
      <c r="H6335" s="200"/>
      <c r="I6335" s="346"/>
      <c r="J6335" s="39">
        <v>111176</v>
      </c>
      <c r="K6335" s="36" t="str">
        <f>CONCATENATE(Cover!$D$6,"fdd/view?i=",J6335)</f>
        <v>https://www.dgiwg.org/FAD/fdd/view?i=111176</v>
      </c>
      <c r="L6335" s="36" t="s">
        <v>41438</v>
      </c>
      <c r="M6335" s="186"/>
      <c r="N6335" s="186"/>
      <c r="O6335" s="172"/>
    </row>
    <row r="6336" spans="1:15" ht="25.5" x14ac:dyDescent="0.2">
      <c r="A6336" s="197" t="str">
        <f t="shared" si="98"/>
        <v>NoaCode_navalNotificationArea</v>
      </c>
      <c r="B6336" s="409"/>
      <c r="C6336" s="416"/>
      <c r="D6336" s="198" t="s">
        <v>41439</v>
      </c>
      <c r="E6336" s="198">
        <v>9</v>
      </c>
      <c r="F6336" s="199" t="s">
        <v>41440</v>
      </c>
      <c r="G6336" s="1" t="s">
        <v>41441</v>
      </c>
      <c r="H6336" s="200"/>
      <c r="I6336" s="346"/>
      <c r="J6336" s="39">
        <v>111177</v>
      </c>
      <c r="K6336" s="36" t="str">
        <f>CONCATENATE(Cover!$D$6,"fdd/view?i=",J6336)</f>
        <v>https://www.dgiwg.org/FAD/fdd/view?i=111177</v>
      </c>
      <c r="L6336" s="36" t="s">
        <v>41442</v>
      </c>
      <c r="M6336" s="186"/>
      <c r="N6336" s="186"/>
      <c r="O6336" s="172"/>
    </row>
    <row r="6337" spans="1:15" ht="25.5" x14ac:dyDescent="0.2">
      <c r="A6337" s="197" t="str">
        <f t="shared" si="98"/>
        <v>NoaCode_navalSafeBottomingArea</v>
      </c>
      <c r="B6337" s="409"/>
      <c r="C6337" s="416"/>
      <c r="D6337" s="198" t="s">
        <v>41443</v>
      </c>
      <c r="E6337" s="198">
        <v>10</v>
      </c>
      <c r="F6337" s="199" t="s">
        <v>41444</v>
      </c>
      <c r="G6337" s="1" t="s">
        <v>41445</v>
      </c>
      <c r="H6337" s="200"/>
      <c r="I6337" s="346"/>
      <c r="J6337" s="39">
        <v>111178</v>
      </c>
      <c r="K6337" s="36" t="str">
        <f>CONCATENATE(Cover!$D$6,"fdd/view?i=",J6337)</f>
        <v>https://www.dgiwg.org/FAD/fdd/view?i=111178</v>
      </c>
      <c r="L6337" s="36" t="s">
        <v>41446</v>
      </c>
      <c r="M6337" s="186"/>
      <c r="N6337" s="186"/>
      <c r="O6337" s="172"/>
    </row>
    <row r="6338" spans="1:15" ht="25.5" x14ac:dyDescent="0.2">
      <c r="A6338" s="197" t="str">
        <f t="shared" ref="A6338:A6401" si="99">HYPERLINK(K6338,L6338)</f>
        <v>NoaCode_navalSeaDefenceArea</v>
      </c>
      <c r="B6338" s="409"/>
      <c r="C6338" s="416"/>
      <c r="D6338" s="198" t="s">
        <v>41447</v>
      </c>
      <c r="E6338" s="198">
        <v>29</v>
      </c>
      <c r="F6338" s="199" t="s">
        <v>41448</v>
      </c>
      <c r="G6338" s="200"/>
      <c r="H6338" s="200"/>
      <c r="I6338" s="346"/>
      <c r="J6338" s="39">
        <v>111331</v>
      </c>
      <c r="K6338" s="36" t="str">
        <f>CONCATENATE(Cover!$D$6,"fdd/view?i=",J6338)</f>
        <v>https://www.dgiwg.org/FAD/fdd/view?i=111331</v>
      </c>
      <c r="L6338" s="36" t="s">
        <v>41449</v>
      </c>
      <c r="M6338" s="186"/>
      <c r="N6338" s="186"/>
      <c r="O6338" s="172"/>
    </row>
    <row r="6339" spans="1:15" ht="25.5" x14ac:dyDescent="0.2">
      <c r="A6339" s="197" t="str">
        <f t="shared" si="99"/>
        <v>NoaCode_navalVesselTesting</v>
      </c>
      <c r="B6339" s="409"/>
      <c r="C6339" s="416"/>
      <c r="D6339" s="198" t="s">
        <v>41450</v>
      </c>
      <c r="E6339" s="198">
        <v>11</v>
      </c>
      <c r="F6339" s="199" t="s">
        <v>41451</v>
      </c>
      <c r="G6339" s="1" t="s">
        <v>41452</v>
      </c>
      <c r="H6339" s="1" t="s">
        <v>41453</v>
      </c>
      <c r="I6339" s="351" t="s">
        <v>41454</v>
      </c>
      <c r="J6339" s="39">
        <v>111179</v>
      </c>
      <c r="K6339" s="36" t="str">
        <f>CONCATENATE(Cover!$D$6,"fdd/view?i=",J6339)</f>
        <v>https://www.dgiwg.org/FAD/fdd/view?i=111179</v>
      </c>
      <c r="L6339" s="36" t="s">
        <v>41455</v>
      </c>
      <c r="M6339" s="186"/>
      <c r="N6339" s="186"/>
      <c r="O6339" s="172"/>
    </row>
    <row r="6340" spans="1:15" ht="25.5" x14ac:dyDescent="0.2">
      <c r="A6340" s="197" t="str">
        <f t="shared" si="99"/>
        <v>NoaCode_rendezvousLocation</v>
      </c>
      <c r="B6340" s="409"/>
      <c r="C6340" s="416"/>
      <c r="D6340" s="198" t="s">
        <v>41456</v>
      </c>
      <c r="E6340" s="198">
        <v>24</v>
      </c>
      <c r="F6340" s="199" t="s">
        <v>41457</v>
      </c>
      <c r="G6340" s="1" t="s">
        <v>41458</v>
      </c>
      <c r="H6340" s="200"/>
      <c r="I6340" s="346"/>
      <c r="J6340" s="39">
        <v>111192</v>
      </c>
      <c r="K6340" s="36" t="str">
        <f>CONCATENATE(Cover!$D$6,"fdd/view?i=",J6340)</f>
        <v>https://www.dgiwg.org/FAD/fdd/view?i=111192</v>
      </c>
      <c r="L6340" s="36" t="s">
        <v>41459</v>
      </c>
      <c r="M6340" s="186"/>
      <c r="N6340" s="186"/>
      <c r="O6340" s="172"/>
    </row>
    <row r="6341" spans="1:15" ht="25.5" x14ac:dyDescent="0.2">
      <c r="A6341" s="197" t="str">
        <f t="shared" si="99"/>
        <v>NoaCode_submarineDangerArea</v>
      </c>
      <c r="B6341" s="409"/>
      <c r="C6341" s="416"/>
      <c r="D6341" s="198" t="s">
        <v>41460</v>
      </c>
      <c r="E6341" s="198">
        <v>13</v>
      </c>
      <c r="F6341" s="199" t="s">
        <v>41461</v>
      </c>
      <c r="G6341" s="200"/>
      <c r="H6341" s="200"/>
      <c r="I6341" s="346"/>
      <c r="J6341" s="39">
        <v>111181</v>
      </c>
      <c r="K6341" s="36" t="str">
        <f>CONCATENATE(Cover!$D$6,"fdd/view?i=",J6341)</f>
        <v>https://www.dgiwg.org/FAD/fdd/view?i=111181</v>
      </c>
      <c r="L6341" s="36" t="s">
        <v>41462</v>
      </c>
      <c r="M6341" s="186"/>
      <c r="N6341" s="186"/>
      <c r="O6341" s="172"/>
    </row>
    <row r="6342" spans="1:15" ht="25.5" x14ac:dyDescent="0.2">
      <c r="A6342" s="197" t="str">
        <f t="shared" si="99"/>
        <v>NoaCode_submarineExerciseArea</v>
      </c>
      <c r="B6342" s="409"/>
      <c r="C6342" s="416"/>
      <c r="D6342" s="198" t="s">
        <v>41463</v>
      </c>
      <c r="E6342" s="198">
        <v>14</v>
      </c>
      <c r="F6342" s="199" t="s">
        <v>41464</v>
      </c>
      <c r="G6342" s="1" t="s">
        <v>41465</v>
      </c>
      <c r="H6342" s="200"/>
      <c r="I6342" s="346"/>
      <c r="J6342" s="39">
        <v>111182</v>
      </c>
      <c r="K6342" s="36" t="str">
        <f>CONCATENATE(Cover!$D$6,"fdd/view?i=",J6342)</f>
        <v>https://www.dgiwg.org/FAD/fdd/view?i=111182</v>
      </c>
      <c r="L6342" s="36" t="s">
        <v>41466</v>
      </c>
      <c r="M6342" s="186"/>
      <c r="N6342" s="186"/>
      <c r="O6342" s="172"/>
    </row>
    <row r="6343" spans="1:15" ht="25.5" x14ac:dyDescent="0.2">
      <c r="A6343" s="197" t="str">
        <f t="shared" si="99"/>
        <v>NoaCode_submarineOperatingArea</v>
      </c>
      <c r="B6343" s="409"/>
      <c r="C6343" s="416"/>
      <c r="D6343" s="198" t="s">
        <v>41467</v>
      </c>
      <c r="E6343" s="198">
        <v>15</v>
      </c>
      <c r="F6343" s="199" t="s">
        <v>41468</v>
      </c>
      <c r="G6343" s="1" t="s">
        <v>41469</v>
      </c>
      <c r="H6343" s="200"/>
      <c r="I6343" s="346"/>
      <c r="J6343" s="39">
        <v>111183</v>
      </c>
      <c r="K6343" s="36" t="str">
        <f>CONCATENATE(Cover!$D$6,"fdd/view?i=",J6343)</f>
        <v>https://www.dgiwg.org/FAD/fdd/view?i=111183</v>
      </c>
      <c r="L6343" s="36" t="s">
        <v>41470</v>
      </c>
      <c r="M6343" s="186"/>
      <c r="N6343" s="186"/>
      <c r="O6343" s="172"/>
    </row>
    <row r="6344" spans="1:15" ht="38.25" x14ac:dyDescent="0.2">
      <c r="A6344" s="197" t="str">
        <f t="shared" si="99"/>
        <v>NoaCode_submarineStovepipe</v>
      </c>
      <c r="B6344" s="409"/>
      <c r="C6344" s="416"/>
      <c r="D6344" s="198" t="s">
        <v>41471</v>
      </c>
      <c r="E6344" s="198">
        <v>16</v>
      </c>
      <c r="F6344" s="199" t="s">
        <v>41472</v>
      </c>
      <c r="G6344" s="1" t="s">
        <v>41473</v>
      </c>
      <c r="H6344" s="200"/>
      <c r="I6344" s="346"/>
      <c r="J6344" s="39">
        <v>111184</v>
      </c>
      <c r="K6344" s="36" t="str">
        <f>CONCATENATE(Cover!$D$6,"fdd/view?i=",J6344)</f>
        <v>https://www.dgiwg.org/FAD/fdd/view?i=111184</v>
      </c>
      <c r="L6344" s="36" t="s">
        <v>41474</v>
      </c>
      <c r="M6344" s="186"/>
      <c r="N6344" s="186"/>
      <c r="O6344" s="172"/>
    </row>
    <row r="6345" spans="1:15" ht="25.5" x14ac:dyDescent="0.2">
      <c r="A6345" s="197" t="str">
        <f t="shared" si="99"/>
        <v>NoaCode_submarineTransitLaneSub</v>
      </c>
      <c r="B6345" s="409"/>
      <c r="C6345" s="416"/>
      <c r="D6345" s="198" t="s">
        <v>41475</v>
      </c>
      <c r="E6345" s="198">
        <v>17</v>
      </c>
      <c r="F6345" s="199" t="s">
        <v>41476</v>
      </c>
      <c r="G6345" s="1" t="s">
        <v>41477</v>
      </c>
      <c r="H6345" s="200"/>
      <c r="I6345" s="346"/>
      <c r="J6345" s="39">
        <v>111185</v>
      </c>
      <c r="K6345" s="36" t="str">
        <f>CONCATENATE(Cover!$D$6,"fdd/view?i=",J6345)</f>
        <v>https://www.dgiwg.org/FAD/fdd/view?i=111185</v>
      </c>
      <c r="L6345" s="36" t="s">
        <v>41478</v>
      </c>
      <c r="M6345" s="186"/>
      <c r="N6345" s="186"/>
      <c r="O6345" s="172"/>
    </row>
    <row r="6346" spans="1:15" ht="25.5" x14ac:dyDescent="0.2">
      <c r="A6346" s="197" t="str">
        <f t="shared" si="99"/>
        <v>NoaCode_submarineTransitLaneSurf</v>
      </c>
      <c r="B6346" s="409"/>
      <c r="C6346" s="416"/>
      <c r="D6346" s="198" t="s">
        <v>41479</v>
      </c>
      <c r="E6346" s="198">
        <v>18</v>
      </c>
      <c r="F6346" s="199" t="s">
        <v>41480</v>
      </c>
      <c r="G6346" s="1" t="s">
        <v>41481</v>
      </c>
      <c r="H6346" s="200"/>
      <c r="I6346" s="346"/>
      <c r="J6346" s="39">
        <v>111186</v>
      </c>
      <c r="K6346" s="36" t="str">
        <f>CONCATENATE(Cover!$D$6,"fdd/view?i=",J6346)</f>
        <v>https://www.dgiwg.org/FAD/fdd/view?i=111186</v>
      </c>
      <c r="L6346" s="36" t="s">
        <v>41482</v>
      </c>
      <c r="M6346" s="186"/>
      <c r="N6346" s="186"/>
      <c r="O6346" s="172"/>
    </row>
    <row r="6347" spans="1:15" ht="25.5" x14ac:dyDescent="0.2">
      <c r="A6347" s="197" t="str">
        <f t="shared" si="99"/>
        <v>NoaCode_surfaceFreeLane</v>
      </c>
      <c r="B6347" s="409"/>
      <c r="C6347" s="416"/>
      <c r="D6347" s="198" t="s">
        <v>41483</v>
      </c>
      <c r="E6347" s="198">
        <v>20</v>
      </c>
      <c r="F6347" s="199" t="s">
        <v>41484</v>
      </c>
      <c r="G6347" s="1" t="s">
        <v>41485</v>
      </c>
      <c r="H6347" s="200"/>
      <c r="I6347" s="346"/>
      <c r="J6347" s="39">
        <v>111188</v>
      </c>
      <c r="K6347" s="36" t="str">
        <f>CONCATENATE(Cover!$D$6,"fdd/view?i=",J6347)</f>
        <v>https://www.dgiwg.org/FAD/fdd/view?i=111188</v>
      </c>
      <c r="L6347" s="36" t="s">
        <v>41486</v>
      </c>
      <c r="M6347" s="186"/>
      <c r="N6347" s="186"/>
      <c r="O6347" s="172"/>
    </row>
    <row r="6348" spans="1:15" ht="25.5" x14ac:dyDescent="0.2">
      <c r="A6348" s="197" t="str">
        <f t="shared" si="99"/>
        <v>NoaCode_surfaceShipSafetyLane</v>
      </c>
      <c r="B6348" s="409"/>
      <c r="C6348" s="416"/>
      <c r="D6348" s="198" t="s">
        <v>41487</v>
      </c>
      <c r="E6348" s="198">
        <v>21</v>
      </c>
      <c r="F6348" s="199" t="s">
        <v>41488</v>
      </c>
      <c r="G6348" s="1" t="s">
        <v>41489</v>
      </c>
      <c r="H6348" s="200"/>
      <c r="I6348" s="346"/>
      <c r="J6348" s="39">
        <v>111189</v>
      </c>
      <c r="K6348" s="36" t="str">
        <f>CONCATENATE(Cover!$D$6,"fdd/view?i=",J6348)</f>
        <v>https://www.dgiwg.org/FAD/fdd/view?i=111189</v>
      </c>
      <c r="L6348" s="36" t="s">
        <v>41490</v>
      </c>
      <c r="M6348" s="186"/>
      <c r="N6348" s="186"/>
      <c r="O6348" s="172"/>
    </row>
    <row r="6349" spans="1:15" ht="51" x14ac:dyDescent="0.2">
      <c r="A6349" s="203" t="str">
        <f t="shared" si="99"/>
        <v>NoaCode_underwaterTelephoneTest</v>
      </c>
      <c r="B6349" s="410"/>
      <c r="C6349" s="417"/>
      <c r="D6349" s="204" t="s">
        <v>41491</v>
      </c>
      <c r="E6349" s="204">
        <v>22</v>
      </c>
      <c r="F6349" s="205" t="s">
        <v>41492</v>
      </c>
      <c r="G6349" s="206" t="s">
        <v>41493</v>
      </c>
      <c r="H6349" s="206" t="s">
        <v>41494</v>
      </c>
      <c r="I6349" s="347"/>
      <c r="J6349" s="39">
        <v>111190</v>
      </c>
      <c r="K6349" s="36" t="str">
        <f>CONCATENATE(Cover!$D$6,"fdd/view?i=",J6349)</f>
        <v>https://www.dgiwg.org/FAD/fdd/view?i=111190</v>
      </c>
      <c r="L6349" s="36" t="s">
        <v>41495</v>
      </c>
      <c r="M6349" s="186"/>
      <c r="N6349" s="186"/>
      <c r="O6349" s="172"/>
    </row>
    <row r="6350" spans="1:15" x14ac:dyDescent="0.2">
      <c r="A6350" s="190" t="str">
        <f t="shared" si="99"/>
        <v>NvsCode_navigable</v>
      </c>
      <c r="B6350" s="414" t="str">
        <f>HYPERLINK("[#]Datatypes!A1028:L1028","NvsCode")</f>
        <v>NvsCode</v>
      </c>
      <c r="C6350" s="415" t="s">
        <v>15620</v>
      </c>
      <c r="D6350" s="221" t="s">
        <v>41496</v>
      </c>
      <c r="E6350" s="221">
        <v>3</v>
      </c>
      <c r="F6350" s="222" t="s">
        <v>41497</v>
      </c>
      <c r="G6350" s="223" t="s">
        <v>41498</v>
      </c>
      <c r="H6350" s="224"/>
      <c r="I6350" s="345"/>
      <c r="J6350" s="39">
        <v>106175</v>
      </c>
      <c r="K6350" s="36" t="str">
        <f>CONCATENATE(Cover!$D$6,"fdd/view?i=",J6350)</f>
        <v>https://www.dgiwg.org/FAD/fdd/view?i=106175</v>
      </c>
      <c r="L6350" s="36" t="s">
        <v>41499</v>
      </c>
      <c r="M6350" s="186"/>
      <c r="N6350" s="186"/>
      <c r="O6350" s="172"/>
    </row>
    <row r="6351" spans="1:15" ht="25.5" x14ac:dyDescent="0.2">
      <c r="A6351" s="197" t="str">
        <f t="shared" si="99"/>
        <v>NvsCode_navigableAndOperational</v>
      </c>
      <c r="B6351" s="409"/>
      <c r="C6351" s="416"/>
      <c r="D6351" s="198" t="s">
        <v>41500</v>
      </c>
      <c r="E6351" s="198">
        <v>1</v>
      </c>
      <c r="F6351" s="199" t="s">
        <v>41501</v>
      </c>
      <c r="G6351" s="1" t="s">
        <v>41502</v>
      </c>
      <c r="H6351" s="1" t="s">
        <v>41503</v>
      </c>
      <c r="I6351" s="346"/>
      <c r="J6351" s="39">
        <v>106173</v>
      </c>
      <c r="K6351" s="36" t="str">
        <f>CONCATENATE(Cover!$D$6,"fdd/view?i=",J6351)</f>
        <v>https://www.dgiwg.org/FAD/fdd/view?i=106173</v>
      </c>
      <c r="L6351" s="36" t="s">
        <v>41504</v>
      </c>
      <c r="M6351" s="186"/>
      <c r="N6351" s="186"/>
      <c r="O6351" s="172"/>
    </row>
    <row r="6352" spans="1:15" ht="25.5" x14ac:dyDescent="0.2">
      <c r="A6352" s="197" t="str">
        <f t="shared" si="99"/>
        <v>NvsCode_navigableButAbandoned</v>
      </c>
      <c r="B6352" s="409"/>
      <c r="C6352" s="416"/>
      <c r="D6352" s="198" t="s">
        <v>41505</v>
      </c>
      <c r="E6352" s="198">
        <v>2</v>
      </c>
      <c r="F6352" s="199" t="s">
        <v>41506</v>
      </c>
      <c r="G6352" s="1" t="s">
        <v>41507</v>
      </c>
      <c r="H6352" s="1" t="s">
        <v>41508</v>
      </c>
      <c r="I6352" s="346"/>
      <c r="J6352" s="39">
        <v>106174</v>
      </c>
      <c r="K6352" s="36" t="str">
        <f>CONCATENATE(Cover!$D$6,"fdd/view?i=",J6352)</f>
        <v>https://www.dgiwg.org/FAD/fdd/view?i=106174</v>
      </c>
      <c r="L6352" s="36" t="s">
        <v>41509</v>
      </c>
      <c r="M6352" s="186"/>
      <c r="N6352" s="186"/>
      <c r="O6352" s="172"/>
    </row>
    <row r="6353" spans="1:15" ht="25.5" x14ac:dyDescent="0.2">
      <c r="A6353" s="197" t="str">
        <f t="shared" si="99"/>
        <v>NvsCode_navigablePeriodicRestrict</v>
      </c>
      <c r="B6353" s="409"/>
      <c r="C6353" s="416"/>
      <c r="D6353" s="198" t="s">
        <v>41510</v>
      </c>
      <c r="E6353" s="198">
        <v>4</v>
      </c>
      <c r="F6353" s="199" t="s">
        <v>41511</v>
      </c>
      <c r="G6353" s="1" t="s">
        <v>41512</v>
      </c>
      <c r="H6353" s="1" t="s">
        <v>41513</v>
      </c>
      <c r="I6353" s="346"/>
      <c r="J6353" s="39">
        <v>106176</v>
      </c>
      <c r="K6353" s="36" t="str">
        <f>CONCATENATE(Cover!$D$6,"fdd/view?i=",J6353)</f>
        <v>https://www.dgiwg.org/FAD/fdd/view?i=106176</v>
      </c>
      <c r="L6353" s="36" t="s">
        <v>41514</v>
      </c>
      <c r="M6353" s="186"/>
      <c r="N6353" s="186"/>
      <c r="O6353" s="172"/>
    </row>
    <row r="6354" spans="1:15" x14ac:dyDescent="0.2">
      <c r="A6354" s="203" t="str">
        <f t="shared" si="99"/>
        <v>NvsCode_notNavigable</v>
      </c>
      <c r="B6354" s="410"/>
      <c r="C6354" s="417"/>
      <c r="D6354" s="204" t="s">
        <v>41515</v>
      </c>
      <c r="E6354" s="204">
        <v>5</v>
      </c>
      <c r="F6354" s="205" t="s">
        <v>41516</v>
      </c>
      <c r="G6354" s="206" t="s">
        <v>41517</v>
      </c>
      <c r="H6354" s="207"/>
      <c r="I6354" s="347"/>
      <c r="J6354" s="39">
        <v>106177</v>
      </c>
      <c r="K6354" s="36" t="str">
        <f>CONCATENATE(Cover!$D$6,"fdd/view?i=",J6354)</f>
        <v>https://www.dgiwg.org/FAD/fdd/view?i=106177</v>
      </c>
      <c r="L6354" s="36" t="s">
        <v>41518</v>
      </c>
      <c r="M6354" s="186"/>
      <c r="N6354" s="186"/>
      <c r="O6354" s="172"/>
    </row>
    <row r="6355" spans="1:15" ht="25.5" x14ac:dyDescent="0.2">
      <c r="A6355" s="190" t="str">
        <f t="shared" si="99"/>
        <v>ChaCode_alternating</v>
      </c>
      <c r="B6355" s="414" t="str">
        <f>HYPERLINK("[#]Datatypes!A1034:L1034","ChaCode")</f>
        <v>ChaCode</v>
      </c>
      <c r="C6355" s="415" t="s">
        <v>15628</v>
      </c>
      <c r="D6355" s="221" t="s">
        <v>41519</v>
      </c>
      <c r="E6355" s="221">
        <v>1</v>
      </c>
      <c r="F6355" s="222" t="s">
        <v>41520</v>
      </c>
      <c r="G6355" s="223" t="s">
        <v>41521</v>
      </c>
      <c r="H6355" s="224"/>
      <c r="I6355" s="345"/>
      <c r="J6355" s="39">
        <v>103027</v>
      </c>
      <c r="K6355" s="36" t="str">
        <f>CONCATENATE(Cover!$D$6,"fdd/view?i=",J6355)</f>
        <v>https://www.dgiwg.org/FAD/fdd/view?i=103027</v>
      </c>
      <c r="L6355" s="36" t="s">
        <v>41522</v>
      </c>
      <c r="M6355" s="186"/>
      <c r="N6355" s="186"/>
      <c r="O6355" s="172"/>
    </row>
    <row r="6356" spans="1:15" ht="25.5" x14ac:dyDescent="0.2">
      <c r="A6356" s="197" t="str">
        <f t="shared" si="99"/>
        <v>ChaCode_fixed</v>
      </c>
      <c r="B6356" s="409"/>
      <c r="C6356" s="416"/>
      <c r="D6356" s="198" t="s">
        <v>24466</v>
      </c>
      <c r="E6356" s="198">
        <v>5</v>
      </c>
      <c r="F6356" s="199" t="s">
        <v>24467</v>
      </c>
      <c r="G6356" s="1" t="s">
        <v>41523</v>
      </c>
      <c r="H6356" s="200"/>
      <c r="I6356" s="346"/>
      <c r="J6356" s="39">
        <v>103031</v>
      </c>
      <c r="K6356" s="36" t="str">
        <f>CONCATENATE(Cover!$D$6,"fdd/view?i=",J6356)</f>
        <v>https://www.dgiwg.org/FAD/fdd/view?i=103031</v>
      </c>
      <c r="L6356" s="36" t="s">
        <v>41524</v>
      </c>
      <c r="M6356" s="186"/>
      <c r="N6356" s="186"/>
      <c r="O6356" s="172"/>
    </row>
    <row r="6357" spans="1:15" ht="25.5" x14ac:dyDescent="0.2">
      <c r="A6357" s="197" t="str">
        <f t="shared" si="99"/>
        <v>ChaCode_fixedAndFlashing</v>
      </c>
      <c r="B6357" s="409"/>
      <c r="C6357" s="416"/>
      <c r="D6357" s="198" t="s">
        <v>41525</v>
      </c>
      <c r="E6357" s="198">
        <v>6</v>
      </c>
      <c r="F6357" s="199" t="s">
        <v>41526</v>
      </c>
      <c r="G6357" s="1" t="s">
        <v>41527</v>
      </c>
      <c r="H6357" s="200"/>
      <c r="I6357" s="346"/>
      <c r="J6357" s="39">
        <v>103032</v>
      </c>
      <c r="K6357" s="36" t="str">
        <f>CONCATENATE(Cover!$D$6,"fdd/view?i=",J6357)</f>
        <v>https://www.dgiwg.org/FAD/fdd/view?i=103032</v>
      </c>
      <c r="L6357" s="36" t="s">
        <v>41528</v>
      </c>
      <c r="M6357" s="186"/>
      <c r="N6357" s="186"/>
      <c r="O6357" s="172"/>
    </row>
    <row r="6358" spans="1:15" ht="38.25" x14ac:dyDescent="0.2">
      <c r="A6358" s="197" t="str">
        <f t="shared" si="99"/>
        <v>ChaCode_fixedLongFlashing</v>
      </c>
      <c r="B6358" s="409"/>
      <c r="C6358" s="416"/>
      <c r="D6358" s="198" t="s">
        <v>41529</v>
      </c>
      <c r="E6358" s="198">
        <v>48</v>
      </c>
      <c r="F6358" s="199" t="s">
        <v>41530</v>
      </c>
      <c r="G6358" s="1" t="s">
        <v>41531</v>
      </c>
      <c r="H6358" s="200"/>
      <c r="I6358" s="346"/>
      <c r="J6358" s="39">
        <v>103073</v>
      </c>
      <c r="K6358" s="36" t="str">
        <f>CONCATENATE(Cover!$D$6,"fdd/view?i=",J6358)</f>
        <v>https://www.dgiwg.org/FAD/fdd/view?i=103073</v>
      </c>
      <c r="L6358" s="36" t="s">
        <v>41532</v>
      </c>
      <c r="M6358" s="186"/>
      <c r="N6358" s="186"/>
      <c r="O6358" s="172"/>
    </row>
    <row r="6359" spans="1:15" ht="25.5" x14ac:dyDescent="0.2">
      <c r="A6359" s="197" t="str">
        <f t="shared" si="99"/>
        <v>ChaCode_fixedWithAlternatingFlash</v>
      </c>
      <c r="B6359" s="409"/>
      <c r="C6359" s="416"/>
      <c r="D6359" s="198" t="s">
        <v>41533</v>
      </c>
      <c r="E6359" s="198">
        <v>60</v>
      </c>
      <c r="F6359" s="199" t="s">
        <v>41534</v>
      </c>
      <c r="G6359" s="1" t="s">
        <v>41535</v>
      </c>
      <c r="H6359" s="200"/>
      <c r="I6359" s="346"/>
      <c r="J6359" s="39">
        <v>103085</v>
      </c>
      <c r="K6359" s="36" t="str">
        <f>CONCATENATE(Cover!$D$6,"fdd/view?i=",J6359)</f>
        <v>https://www.dgiwg.org/FAD/fdd/view?i=103085</v>
      </c>
      <c r="L6359" s="36" t="s">
        <v>41536</v>
      </c>
      <c r="M6359" s="186"/>
      <c r="N6359" s="186"/>
      <c r="O6359" s="172"/>
    </row>
    <row r="6360" spans="1:15" ht="38.25" x14ac:dyDescent="0.2">
      <c r="A6360" s="197" t="str">
        <f t="shared" si="99"/>
        <v>ChaCode_flashing</v>
      </c>
      <c r="B6360" s="409"/>
      <c r="C6360" s="416"/>
      <c r="D6360" s="198" t="s">
        <v>41537</v>
      </c>
      <c r="E6360" s="198">
        <v>8</v>
      </c>
      <c r="F6360" s="199" t="s">
        <v>41538</v>
      </c>
      <c r="G6360" s="1" t="s">
        <v>41539</v>
      </c>
      <c r="H6360" s="200"/>
      <c r="I6360" s="346"/>
      <c r="J6360" s="39">
        <v>103034</v>
      </c>
      <c r="K6360" s="36" t="str">
        <f>CONCATENATE(Cover!$D$6,"fdd/view?i=",J6360)</f>
        <v>https://www.dgiwg.org/FAD/fdd/view?i=103034</v>
      </c>
      <c r="L6360" s="36" t="s">
        <v>41540</v>
      </c>
      <c r="M6360" s="186"/>
      <c r="N6360" s="186"/>
      <c r="O6360" s="172"/>
    </row>
    <row r="6361" spans="1:15" ht="25.5" x14ac:dyDescent="0.2">
      <c r="A6361" s="197" t="str">
        <f t="shared" si="99"/>
        <v>ChaCode_flashingAlternating</v>
      </c>
      <c r="B6361" s="409"/>
      <c r="C6361" s="416"/>
      <c r="D6361" s="198" t="s">
        <v>41541</v>
      </c>
      <c r="E6361" s="198">
        <v>51</v>
      </c>
      <c r="F6361" s="199" t="s">
        <v>41542</v>
      </c>
      <c r="G6361" s="1" t="s">
        <v>41543</v>
      </c>
      <c r="H6361" s="200"/>
      <c r="I6361" s="346"/>
      <c r="J6361" s="39">
        <v>103076</v>
      </c>
      <c r="K6361" s="36" t="str">
        <f>CONCATENATE(Cover!$D$6,"fdd/view?i=",J6361)</f>
        <v>https://www.dgiwg.org/FAD/fdd/view?i=103076</v>
      </c>
      <c r="L6361" s="36" t="s">
        <v>41544</v>
      </c>
      <c r="M6361" s="186"/>
      <c r="N6361" s="186"/>
      <c r="O6361" s="172"/>
    </row>
    <row r="6362" spans="1:15" ht="25.5" x14ac:dyDescent="0.2">
      <c r="A6362" s="197" t="str">
        <f t="shared" si="99"/>
        <v>ChaCode_flashingWithLongFlash</v>
      </c>
      <c r="B6362" s="409"/>
      <c r="C6362" s="416"/>
      <c r="D6362" s="198" t="s">
        <v>41545</v>
      </c>
      <c r="E6362" s="198">
        <v>46</v>
      </c>
      <c r="F6362" s="199" t="s">
        <v>41546</v>
      </c>
      <c r="G6362" s="1" t="s">
        <v>41547</v>
      </c>
      <c r="H6362" s="200"/>
      <c r="I6362" s="346"/>
      <c r="J6362" s="39">
        <v>103071</v>
      </c>
      <c r="K6362" s="36" t="str">
        <f>CONCATENATE(Cover!$D$6,"fdd/view?i=",J6362)</f>
        <v>https://www.dgiwg.org/FAD/fdd/view?i=103071</v>
      </c>
      <c r="L6362" s="36" t="s">
        <v>41548</v>
      </c>
      <c r="M6362" s="186"/>
      <c r="N6362" s="186"/>
      <c r="O6362" s="172"/>
    </row>
    <row r="6363" spans="1:15" ht="38.25" x14ac:dyDescent="0.2">
      <c r="A6363" s="197" t="str">
        <f t="shared" si="99"/>
        <v>ChaCode_groupQuickFlashing</v>
      </c>
      <c r="B6363" s="409"/>
      <c r="C6363" s="416"/>
      <c r="D6363" s="198" t="s">
        <v>41549</v>
      </c>
      <c r="E6363" s="198">
        <v>28</v>
      </c>
      <c r="F6363" s="199" t="s">
        <v>41550</v>
      </c>
      <c r="G6363" s="1" t="s">
        <v>41551</v>
      </c>
      <c r="H6363" s="200"/>
      <c r="I6363" s="351" t="s">
        <v>41552</v>
      </c>
      <c r="J6363" s="39">
        <v>103053</v>
      </c>
      <c r="K6363" s="36" t="str">
        <f>CONCATENATE(Cover!$D$6,"fdd/view?i=",J6363)</f>
        <v>https://www.dgiwg.org/FAD/fdd/view?i=103053</v>
      </c>
      <c r="L6363" s="36" t="s">
        <v>41553</v>
      </c>
      <c r="M6363" s="186"/>
      <c r="N6363" s="186"/>
      <c r="O6363" s="172"/>
    </row>
    <row r="6364" spans="1:15" ht="38.25" x14ac:dyDescent="0.2">
      <c r="A6364" s="197" t="str">
        <f t="shared" si="99"/>
        <v>ChaCode_groupVeryQuickFlashing</v>
      </c>
      <c r="B6364" s="409"/>
      <c r="C6364" s="416"/>
      <c r="D6364" s="198" t="s">
        <v>41554</v>
      </c>
      <c r="E6364" s="198">
        <v>29</v>
      </c>
      <c r="F6364" s="199" t="s">
        <v>41555</v>
      </c>
      <c r="G6364" s="1" t="s">
        <v>41556</v>
      </c>
      <c r="H6364" s="200"/>
      <c r="I6364" s="351" t="s">
        <v>41557</v>
      </c>
      <c r="J6364" s="39">
        <v>103054</v>
      </c>
      <c r="K6364" s="36" t="str">
        <f>CONCATENATE(Cover!$D$6,"fdd/view?i=",J6364)</f>
        <v>https://www.dgiwg.org/FAD/fdd/view?i=103054</v>
      </c>
      <c r="L6364" s="36" t="s">
        <v>41558</v>
      </c>
      <c r="M6364" s="186"/>
      <c r="N6364" s="186"/>
      <c r="O6364" s="172"/>
    </row>
    <row r="6365" spans="1:15" ht="25.5" x14ac:dyDescent="0.2">
      <c r="A6365" s="197" t="str">
        <f t="shared" si="99"/>
        <v>ChaCode_interruptedQuickFlash</v>
      </c>
      <c r="B6365" s="409"/>
      <c r="C6365" s="416"/>
      <c r="D6365" s="198" t="s">
        <v>41559</v>
      </c>
      <c r="E6365" s="198">
        <v>11</v>
      </c>
      <c r="F6365" s="199" t="s">
        <v>41560</v>
      </c>
      <c r="G6365" s="1" t="s">
        <v>41561</v>
      </c>
      <c r="H6365" s="200"/>
      <c r="I6365" s="351" t="s">
        <v>41562</v>
      </c>
      <c r="J6365" s="39">
        <v>103037</v>
      </c>
      <c r="K6365" s="36" t="str">
        <f>CONCATENATE(Cover!$D$6,"fdd/view?i=",J6365)</f>
        <v>https://www.dgiwg.org/FAD/fdd/view?i=103037</v>
      </c>
      <c r="L6365" s="36" t="s">
        <v>41563</v>
      </c>
      <c r="M6365" s="186"/>
      <c r="N6365" s="186"/>
      <c r="O6365" s="172"/>
    </row>
    <row r="6366" spans="1:15" ht="25.5" x14ac:dyDescent="0.2">
      <c r="A6366" s="197" t="str">
        <f t="shared" si="99"/>
        <v>ChaCode_interruptedUltraQuickFlash</v>
      </c>
      <c r="B6366" s="409"/>
      <c r="C6366" s="416"/>
      <c r="D6366" s="198" t="s">
        <v>41564</v>
      </c>
      <c r="E6366" s="198">
        <v>12</v>
      </c>
      <c r="F6366" s="199" t="s">
        <v>41565</v>
      </c>
      <c r="G6366" s="1" t="s">
        <v>41566</v>
      </c>
      <c r="H6366" s="200"/>
      <c r="I6366" s="351" t="s">
        <v>41567</v>
      </c>
      <c r="J6366" s="39">
        <v>103038</v>
      </c>
      <c r="K6366" s="36" t="str">
        <f>CONCATENATE(Cover!$D$6,"fdd/view?i=",J6366)</f>
        <v>https://www.dgiwg.org/FAD/fdd/view?i=103038</v>
      </c>
      <c r="L6366" s="36" t="s">
        <v>41568</v>
      </c>
      <c r="M6366" s="186"/>
      <c r="N6366" s="186"/>
      <c r="O6366" s="172"/>
    </row>
    <row r="6367" spans="1:15" ht="51" x14ac:dyDescent="0.2">
      <c r="A6367" s="197" t="str">
        <f t="shared" si="99"/>
        <v>ChaCode_interruptedVeryQuickFlash</v>
      </c>
      <c r="B6367" s="409"/>
      <c r="C6367" s="416"/>
      <c r="D6367" s="198" t="s">
        <v>41569</v>
      </c>
      <c r="E6367" s="198">
        <v>13</v>
      </c>
      <c r="F6367" s="199" t="s">
        <v>41570</v>
      </c>
      <c r="G6367" s="1" t="s">
        <v>41571</v>
      </c>
      <c r="H6367" s="200"/>
      <c r="I6367" s="351" t="s">
        <v>41572</v>
      </c>
      <c r="J6367" s="39">
        <v>103039</v>
      </c>
      <c r="K6367" s="36" t="str">
        <f>CONCATENATE(Cover!$D$6,"fdd/view?i=",J6367)</f>
        <v>https://www.dgiwg.org/FAD/fdd/view?i=103039</v>
      </c>
      <c r="L6367" s="36" t="s">
        <v>41573</v>
      </c>
      <c r="M6367" s="186"/>
      <c r="N6367" s="186"/>
      <c r="O6367" s="172"/>
    </row>
    <row r="6368" spans="1:15" x14ac:dyDescent="0.2">
      <c r="A6368" s="197" t="str">
        <f t="shared" si="99"/>
        <v>ChaCode_isophase</v>
      </c>
      <c r="B6368" s="409"/>
      <c r="C6368" s="416"/>
      <c r="D6368" s="198" t="s">
        <v>41574</v>
      </c>
      <c r="E6368" s="198">
        <v>14</v>
      </c>
      <c r="F6368" s="199" t="s">
        <v>41575</v>
      </c>
      <c r="G6368" s="1" t="s">
        <v>41576</v>
      </c>
      <c r="H6368" s="200"/>
      <c r="I6368" s="351" t="s">
        <v>41577</v>
      </c>
      <c r="J6368" s="39">
        <v>103040</v>
      </c>
      <c r="K6368" s="36" t="str">
        <f>CONCATENATE(Cover!$D$6,"fdd/view?i=",J6368)</f>
        <v>https://www.dgiwg.org/FAD/fdd/view?i=103040</v>
      </c>
      <c r="L6368" s="36" t="s">
        <v>41578</v>
      </c>
      <c r="M6368" s="186"/>
      <c r="N6368" s="186"/>
      <c r="O6368" s="172"/>
    </row>
    <row r="6369" spans="1:15" ht="25.5" x14ac:dyDescent="0.2">
      <c r="A6369" s="197" t="str">
        <f t="shared" si="99"/>
        <v>ChaCode_longFlashing</v>
      </c>
      <c r="B6369" s="409"/>
      <c r="C6369" s="416"/>
      <c r="D6369" s="198" t="s">
        <v>41579</v>
      </c>
      <c r="E6369" s="198">
        <v>15</v>
      </c>
      <c r="F6369" s="199" t="s">
        <v>41580</v>
      </c>
      <c r="G6369" s="1" t="s">
        <v>41581</v>
      </c>
      <c r="H6369" s="200"/>
      <c r="I6369" s="351" t="s">
        <v>41582</v>
      </c>
      <c r="J6369" s="39">
        <v>103041</v>
      </c>
      <c r="K6369" s="36" t="str">
        <f>CONCATENATE(Cover!$D$6,"fdd/view?i=",J6369)</f>
        <v>https://www.dgiwg.org/FAD/fdd/view?i=103041</v>
      </c>
      <c r="L6369" s="36" t="s">
        <v>41583</v>
      </c>
      <c r="M6369" s="186"/>
      <c r="N6369" s="186"/>
      <c r="O6369" s="172"/>
    </row>
    <row r="6370" spans="1:15" ht="25.5" x14ac:dyDescent="0.2">
      <c r="A6370" s="197" t="str">
        <f t="shared" si="99"/>
        <v>ChaCode_longFlashingAlternating</v>
      </c>
      <c r="B6370" s="409"/>
      <c r="C6370" s="416"/>
      <c r="D6370" s="198" t="s">
        <v>41584</v>
      </c>
      <c r="E6370" s="198">
        <v>50</v>
      </c>
      <c r="F6370" s="199" t="s">
        <v>41585</v>
      </c>
      <c r="G6370" s="1" t="s">
        <v>41586</v>
      </c>
      <c r="H6370" s="200"/>
      <c r="I6370" s="346"/>
      <c r="J6370" s="39">
        <v>103075</v>
      </c>
      <c r="K6370" s="36" t="str">
        <f>CONCATENATE(Cover!$D$6,"fdd/view?i=",J6370)</f>
        <v>https://www.dgiwg.org/FAD/fdd/view?i=103075</v>
      </c>
      <c r="L6370" s="36" t="s">
        <v>41587</v>
      </c>
      <c r="M6370" s="186"/>
      <c r="N6370" s="186"/>
      <c r="O6370" s="172"/>
    </row>
    <row r="6371" spans="1:15" ht="38.25" x14ac:dyDescent="0.2">
      <c r="A6371" s="197" t="str">
        <f t="shared" si="99"/>
        <v>ChaCode_morseCode</v>
      </c>
      <c r="B6371" s="409"/>
      <c r="C6371" s="416"/>
      <c r="D6371" s="198" t="s">
        <v>41588</v>
      </c>
      <c r="E6371" s="198">
        <v>16</v>
      </c>
      <c r="F6371" s="199" t="s">
        <v>41589</v>
      </c>
      <c r="G6371" s="1" t="s">
        <v>41590</v>
      </c>
      <c r="H6371" s="200"/>
      <c r="I6371" s="346"/>
      <c r="J6371" s="39">
        <v>103042</v>
      </c>
      <c r="K6371" s="36" t="str">
        <f>CONCATENATE(Cover!$D$6,"fdd/view?i=",J6371)</f>
        <v>https://www.dgiwg.org/FAD/fdd/view?i=103042</v>
      </c>
      <c r="L6371" s="36" t="s">
        <v>41591</v>
      </c>
      <c r="M6371" s="186"/>
      <c r="N6371" s="186"/>
      <c r="O6371" s="172"/>
    </row>
    <row r="6372" spans="1:15" ht="38.25" x14ac:dyDescent="0.2">
      <c r="A6372" s="197" t="str">
        <f t="shared" si="99"/>
        <v>ChaCode_occulting</v>
      </c>
      <c r="B6372" s="409"/>
      <c r="C6372" s="416"/>
      <c r="D6372" s="198" t="s">
        <v>41592</v>
      </c>
      <c r="E6372" s="198">
        <v>17</v>
      </c>
      <c r="F6372" s="199" t="s">
        <v>41593</v>
      </c>
      <c r="G6372" s="1" t="s">
        <v>41594</v>
      </c>
      <c r="H6372" s="200"/>
      <c r="I6372" s="346"/>
      <c r="J6372" s="39">
        <v>103043</v>
      </c>
      <c r="K6372" s="36" t="str">
        <f>CONCATENATE(Cover!$D$6,"fdd/view?i=",J6372)</f>
        <v>https://www.dgiwg.org/FAD/fdd/view?i=103043</v>
      </c>
      <c r="L6372" s="36" t="s">
        <v>41595</v>
      </c>
      <c r="M6372" s="186"/>
      <c r="N6372" s="186"/>
      <c r="O6372" s="172"/>
    </row>
    <row r="6373" spans="1:15" ht="25.5" x14ac:dyDescent="0.2">
      <c r="A6373" s="197" t="str">
        <f t="shared" si="99"/>
        <v>ChaCode_occultingAlternating</v>
      </c>
      <c r="B6373" s="409"/>
      <c r="C6373" s="416"/>
      <c r="D6373" s="198" t="s">
        <v>41596</v>
      </c>
      <c r="E6373" s="198">
        <v>49</v>
      </c>
      <c r="F6373" s="199" t="s">
        <v>41597</v>
      </c>
      <c r="G6373" s="1" t="s">
        <v>41598</v>
      </c>
      <c r="H6373" s="200"/>
      <c r="I6373" s="346"/>
      <c r="J6373" s="39">
        <v>103074</v>
      </c>
      <c r="K6373" s="36" t="str">
        <f>CONCATENATE(Cover!$D$6,"fdd/view?i=",J6373)</f>
        <v>https://www.dgiwg.org/FAD/fdd/view?i=103074</v>
      </c>
      <c r="L6373" s="36" t="s">
        <v>41599</v>
      </c>
      <c r="M6373" s="186"/>
      <c r="N6373" s="186"/>
      <c r="O6373" s="172"/>
    </row>
    <row r="6374" spans="1:15" ht="25.5" x14ac:dyDescent="0.2">
      <c r="A6374" s="197" t="str">
        <f t="shared" si="99"/>
        <v>ChaCode_occultingFlashing</v>
      </c>
      <c r="B6374" s="409"/>
      <c r="C6374" s="416"/>
      <c r="D6374" s="198" t="s">
        <v>41600</v>
      </c>
      <c r="E6374" s="198">
        <v>47</v>
      </c>
      <c r="F6374" s="199" t="s">
        <v>41601</v>
      </c>
      <c r="G6374" s="1" t="s">
        <v>41602</v>
      </c>
      <c r="H6374" s="200"/>
      <c r="I6374" s="346"/>
      <c r="J6374" s="39">
        <v>103072</v>
      </c>
      <c r="K6374" s="36" t="str">
        <f>CONCATENATE(Cover!$D$6,"fdd/view?i=",J6374)</f>
        <v>https://www.dgiwg.org/FAD/fdd/view?i=103072</v>
      </c>
      <c r="L6374" s="36" t="s">
        <v>41603</v>
      </c>
      <c r="M6374" s="186"/>
      <c r="N6374" s="186"/>
      <c r="O6374" s="172"/>
    </row>
    <row r="6375" spans="1:15" ht="25.5" x14ac:dyDescent="0.2">
      <c r="A6375" s="197" t="str">
        <f t="shared" si="99"/>
        <v>ChaCode_quickFlashing</v>
      </c>
      <c r="B6375" s="409"/>
      <c r="C6375" s="416"/>
      <c r="D6375" s="198" t="s">
        <v>41604</v>
      </c>
      <c r="E6375" s="198">
        <v>44</v>
      </c>
      <c r="F6375" s="199" t="s">
        <v>41605</v>
      </c>
      <c r="G6375" s="1" t="s">
        <v>41606</v>
      </c>
      <c r="H6375" s="1" t="s">
        <v>41607</v>
      </c>
      <c r="I6375" s="351" t="s">
        <v>41608</v>
      </c>
      <c r="J6375" s="39">
        <v>103069</v>
      </c>
      <c r="K6375" s="36" t="str">
        <f>CONCATENATE(Cover!$D$6,"fdd/view?i=",J6375)</f>
        <v>https://www.dgiwg.org/FAD/fdd/view?i=103069</v>
      </c>
      <c r="L6375" s="36" t="s">
        <v>41609</v>
      </c>
      <c r="M6375" s="186"/>
      <c r="N6375" s="186"/>
      <c r="O6375" s="172"/>
    </row>
    <row r="6376" spans="1:15" ht="25.5" x14ac:dyDescent="0.2">
      <c r="A6376" s="197" t="str">
        <f t="shared" si="99"/>
        <v>ChaCode_quickFlashingWithLongFlash</v>
      </c>
      <c r="B6376" s="409"/>
      <c r="C6376" s="416"/>
      <c r="D6376" s="198" t="s">
        <v>41610</v>
      </c>
      <c r="E6376" s="198">
        <v>57</v>
      </c>
      <c r="F6376" s="199" t="s">
        <v>41611</v>
      </c>
      <c r="G6376" s="1" t="s">
        <v>41612</v>
      </c>
      <c r="H6376" s="1" t="s">
        <v>41613</v>
      </c>
      <c r="I6376" s="346"/>
      <c r="J6376" s="39">
        <v>103082</v>
      </c>
      <c r="K6376" s="36" t="str">
        <f>CONCATENATE(Cover!$D$6,"fdd/view?i=",J6376)</f>
        <v>https://www.dgiwg.org/FAD/fdd/view?i=103082</v>
      </c>
      <c r="L6376" s="36" t="s">
        <v>41614</v>
      </c>
      <c r="M6376" s="186"/>
      <c r="N6376" s="186"/>
      <c r="O6376" s="172"/>
    </row>
    <row r="6377" spans="1:15" ht="38.25" x14ac:dyDescent="0.2">
      <c r="A6377" s="197" t="str">
        <f t="shared" si="99"/>
        <v>ChaCode_ultraQuickFlashing</v>
      </c>
      <c r="B6377" s="409"/>
      <c r="C6377" s="416"/>
      <c r="D6377" s="198" t="s">
        <v>41615</v>
      </c>
      <c r="E6377" s="198">
        <v>4</v>
      </c>
      <c r="F6377" s="199" t="s">
        <v>41616</v>
      </c>
      <c r="G6377" s="1" t="s">
        <v>41617</v>
      </c>
      <c r="H6377" s="200"/>
      <c r="I6377" s="351" t="s">
        <v>41618</v>
      </c>
      <c r="J6377" s="39">
        <v>103030</v>
      </c>
      <c r="K6377" s="36" t="str">
        <f>CONCATENATE(Cover!$D$6,"fdd/view?i=",J6377)</f>
        <v>https://www.dgiwg.org/FAD/fdd/view?i=103030</v>
      </c>
      <c r="L6377" s="36" t="s">
        <v>41619</v>
      </c>
      <c r="M6377" s="186"/>
      <c r="N6377" s="186"/>
      <c r="O6377" s="172"/>
    </row>
    <row r="6378" spans="1:15" ht="25.5" x14ac:dyDescent="0.2">
      <c r="A6378" s="197" t="str">
        <f t="shared" si="99"/>
        <v>ChaCode_ultraQuickFlashLongFlash</v>
      </c>
      <c r="B6378" s="409"/>
      <c r="C6378" s="416"/>
      <c r="D6378" s="198" t="s">
        <v>41620</v>
      </c>
      <c r="E6378" s="198">
        <v>59</v>
      </c>
      <c r="F6378" s="199" t="s">
        <v>41621</v>
      </c>
      <c r="G6378" s="1" t="s">
        <v>41622</v>
      </c>
      <c r="H6378" s="1" t="s">
        <v>41623</v>
      </c>
      <c r="I6378" s="346"/>
      <c r="J6378" s="39">
        <v>103084</v>
      </c>
      <c r="K6378" s="36" t="str">
        <f>CONCATENATE(Cover!$D$6,"fdd/view?i=",J6378)</f>
        <v>https://www.dgiwg.org/FAD/fdd/view?i=103084</v>
      </c>
      <c r="L6378" s="36" t="s">
        <v>41624</v>
      </c>
      <c r="M6378" s="186"/>
      <c r="N6378" s="186"/>
      <c r="O6378" s="172"/>
    </row>
    <row r="6379" spans="1:15" ht="38.25" x14ac:dyDescent="0.2">
      <c r="A6379" s="197" t="str">
        <f t="shared" si="99"/>
        <v>ChaCode_veryQuickFlashing</v>
      </c>
      <c r="B6379" s="409"/>
      <c r="C6379" s="416"/>
      <c r="D6379" s="198" t="s">
        <v>41625</v>
      </c>
      <c r="E6379" s="198">
        <v>45</v>
      </c>
      <c r="F6379" s="199" t="s">
        <v>41626</v>
      </c>
      <c r="G6379" s="1" t="s">
        <v>41627</v>
      </c>
      <c r="H6379" s="200"/>
      <c r="I6379" s="351" t="s">
        <v>41628</v>
      </c>
      <c r="J6379" s="39">
        <v>103070</v>
      </c>
      <c r="K6379" s="36" t="str">
        <f>CONCATENATE(Cover!$D$6,"fdd/view?i=",J6379)</f>
        <v>https://www.dgiwg.org/FAD/fdd/view?i=103070</v>
      </c>
      <c r="L6379" s="36" t="s">
        <v>41629</v>
      </c>
      <c r="M6379" s="186"/>
      <c r="N6379" s="186"/>
      <c r="O6379" s="172"/>
    </row>
    <row r="6380" spans="1:15" ht="25.5" x14ac:dyDescent="0.2">
      <c r="A6380" s="203" t="str">
        <f t="shared" si="99"/>
        <v>ChaCode_veryQuickFlashLongFlash</v>
      </c>
      <c r="B6380" s="410"/>
      <c r="C6380" s="417"/>
      <c r="D6380" s="204" t="s">
        <v>41630</v>
      </c>
      <c r="E6380" s="204">
        <v>58</v>
      </c>
      <c r="F6380" s="205" t="s">
        <v>41631</v>
      </c>
      <c r="G6380" s="206" t="s">
        <v>41632</v>
      </c>
      <c r="H6380" s="206" t="s">
        <v>41633</v>
      </c>
      <c r="I6380" s="347"/>
      <c r="J6380" s="39">
        <v>103083</v>
      </c>
      <c r="K6380" s="36" t="str">
        <f>CONCATENATE(Cover!$D$6,"fdd/view?i=",J6380)</f>
        <v>https://www.dgiwg.org/FAD/fdd/view?i=103083</v>
      </c>
      <c r="L6380" s="36" t="s">
        <v>41634</v>
      </c>
      <c r="M6380" s="186"/>
      <c r="N6380" s="186"/>
      <c r="O6380" s="172"/>
    </row>
    <row r="6381" spans="1:15" x14ac:dyDescent="0.2">
      <c r="A6381" s="190" t="str">
        <f t="shared" si="99"/>
        <v>NmcCode_amber</v>
      </c>
      <c r="B6381" s="414" t="str">
        <f>HYPERLINK("[#]Datatypes!A1036:L1036","NmcCode")</f>
        <v>NmcCode</v>
      </c>
      <c r="C6381" s="415" t="s">
        <v>15630</v>
      </c>
      <c r="D6381" s="221" t="s">
        <v>32550</v>
      </c>
      <c r="E6381" s="221">
        <v>9</v>
      </c>
      <c r="F6381" s="222" t="s">
        <v>32551</v>
      </c>
      <c r="G6381" s="223" t="s">
        <v>41635</v>
      </c>
      <c r="H6381" s="224"/>
      <c r="I6381" s="345"/>
      <c r="J6381" s="39">
        <v>110832</v>
      </c>
      <c r="K6381" s="36" t="str">
        <f>CONCATENATE(Cover!$D$6,"fdd/view?i=",J6381)</f>
        <v>https://www.dgiwg.org/FAD/fdd/view?i=110832</v>
      </c>
      <c r="L6381" s="36" t="s">
        <v>41636</v>
      </c>
      <c r="M6381" s="186"/>
      <c r="N6381" s="186"/>
      <c r="O6381" s="172"/>
    </row>
    <row r="6382" spans="1:15" x14ac:dyDescent="0.2">
      <c r="A6382" s="197" t="str">
        <f t="shared" si="99"/>
        <v>NmcCode_black</v>
      </c>
      <c r="B6382" s="409"/>
      <c r="C6382" s="416"/>
      <c r="D6382" s="198" t="s">
        <v>41637</v>
      </c>
      <c r="E6382" s="198">
        <v>2</v>
      </c>
      <c r="F6382" s="199" t="s">
        <v>41638</v>
      </c>
      <c r="G6382" s="1" t="s">
        <v>41639</v>
      </c>
      <c r="H6382" s="200"/>
      <c r="I6382" s="346"/>
      <c r="J6382" s="39">
        <v>110825</v>
      </c>
      <c r="K6382" s="36" t="str">
        <f>CONCATENATE(Cover!$D$6,"fdd/view?i=",J6382)</f>
        <v>https://www.dgiwg.org/FAD/fdd/view?i=110825</v>
      </c>
      <c r="L6382" s="36" t="s">
        <v>41640</v>
      </c>
      <c r="M6382" s="186"/>
      <c r="N6382" s="186"/>
      <c r="O6382" s="172"/>
    </row>
    <row r="6383" spans="1:15" x14ac:dyDescent="0.2">
      <c r="A6383" s="197" t="str">
        <f t="shared" si="99"/>
        <v>NmcCode_blue</v>
      </c>
      <c r="B6383" s="409"/>
      <c r="C6383" s="416"/>
      <c r="D6383" s="198" t="s">
        <v>41641</v>
      </c>
      <c r="E6383" s="198">
        <v>5</v>
      </c>
      <c r="F6383" s="199" t="s">
        <v>41642</v>
      </c>
      <c r="G6383" s="1" t="s">
        <v>41643</v>
      </c>
      <c r="H6383" s="200"/>
      <c r="I6383" s="346"/>
      <c r="J6383" s="39">
        <v>110828</v>
      </c>
      <c r="K6383" s="36" t="str">
        <f>CONCATENATE(Cover!$D$6,"fdd/view?i=",J6383)</f>
        <v>https://www.dgiwg.org/FAD/fdd/view?i=110828</v>
      </c>
      <c r="L6383" s="36" t="s">
        <v>41644</v>
      </c>
      <c r="M6383" s="186"/>
      <c r="N6383" s="186"/>
      <c r="O6383" s="172"/>
    </row>
    <row r="6384" spans="1:15" x14ac:dyDescent="0.2">
      <c r="A6384" s="197" t="str">
        <f t="shared" si="99"/>
        <v>NmcCode_brown</v>
      </c>
      <c r="B6384" s="409"/>
      <c r="C6384" s="416"/>
      <c r="D6384" s="198" t="s">
        <v>41645</v>
      </c>
      <c r="E6384" s="198">
        <v>8</v>
      </c>
      <c r="F6384" s="199" t="s">
        <v>41646</v>
      </c>
      <c r="G6384" s="1" t="s">
        <v>41647</v>
      </c>
      <c r="H6384" s="200"/>
      <c r="I6384" s="346"/>
      <c r="J6384" s="39">
        <v>110831</v>
      </c>
      <c r="K6384" s="36" t="str">
        <f>CONCATENATE(Cover!$D$6,"fdd/view?i=",J6384)</f>
        <v>https://www.dgiwg.org/FAD/fdd/view?i=110831</v>
      </c>
      <c r="L6384" s="36" t="s">
        <v>41648</v>
      </c>
      <c r="M6384" s="186"/>
      <c r="N6384" s="186"/>
      <c r="O6384" s="172"/>
    </row>
    <row r="6385" spans="1:15" ht="25.5" x14ac:dyDescent="0.2">
      <c r="A6385" s="197" t="str">
        <f t="shared" si="99"/>
        <v>NmcCode_green</v>
      </c>
      <c r="B6385" s="409"/>
      <c r="C6385" s="416"/>
      <c r="D6385" s="198" t="s">
        <v>41649</v>
      </c>
      <c r="E6385" s="198">
        <v>4</v>
      </c>
      <c r="F6385" s="199" t="s">
        <v>41650</v>
      </c>
      <c r="G6385" s="1" t="s">
        <v>41651</v>
      </c>
      <c r="H6385" s="1" t="s">
        <v>41652</v>
      </c>
      <c r="I6385" s="346"/>
      <c r="J6385" s="39">
        <v>110827</v>
      </c>
      <c r="K6385" s="36" t="str">
        <f>CONCATENATE(Cover!$D$6,"fdd/view?i=",J6385)</f>
        <v>https://www.dgiwg.org/FAD/fdd/view?i=110827</v>
      </c>
      <c r="L6385" s="36" t="s">
        <v>41653</v>
      </c>
      <c r="M6385" s="186"/>
      <c r="N6385" s="186"/>
      <c r="O6385" s="172"/>
    </row>
    <row r="6386" spans="1:15" x14ac:dyDescent="0.2">
      <c r="A6386" s="197" t="str">
        <f t="shared" si="99"/>
        <v>NmcCode_grey</v>
      </c>
      <c r="B6386" s="409"/>
      <c r="C6386" s="416"/>
      <c r="D6386" s="198" t="s">
        <v>41654</v>
      </c>
      <c r="E6386" s="198">
        <v>7</v>
      </c>
      <c r="F6386" s="199" t="s">
        <v>41655</v>
      </c>
      <c r="G6386" s="1" t="s">
        <v>41656</v>
      </c>
      <c r="H6386" s="200"/>
      <c r="I6386" s="346"/>
      <c r="J6386" s="39">
        <v>110830</v>
      </c>
      <c r="K6386" s="36" t="str">
        <f>CONCATENATE(Cover!$D$6,"fdd/view?i=",J6386)</f>
        <v>https://www.dgiwg.org/FAD/fdd/view?i=110830</v>
      </c>
      <c r="L6386" s="36" t="s">
        <v>41657</v>
      </c>
      <c r="M6386" s="186"/>
      <c r="N6386" s="186"/>
      <c r="O6386" s="172"/>
    </row>
    <row r="6387" spans="1:15" x14ac:dyDescent="0.2">
      <c r="A6387" s="197" t="str">
        <f t="shared" si="99"/>
        <v>NmcCode_magenta</v>
      </c>
      <c r="B6387" s="409"/>
      <c r="C6387" s="416"/>
      <c r="D6387" s="198" t="s">
        <v>41658</v>
      </c>
      <c r="E6387" s="198">
        <v>12</v>
      </c>
      <c r="F6387" s="199" t="s">
        <v>41659</v>
      </c>
      <c r="G6387" s="1" t="s">
        <v>41660</v>
      </c>
      <c r="H6387" s="200"/>
      <c r="I6387" s="346"/>
      <c r="J6387" s="39">
        <v>110835</v>
      </c>
      <c r="K6387" s="36" t="str">
        <f>CONCATENATE(Cover!$D$6,"fdd/view?i=",J6387)</f>
        <v>https://www.dgiwg.org/FAD/fdd/view?i=110835</v>
      </c>
      <c r="L6387" s="36" t="s">
        <v>41661</v>
      </c>
      <c r="M6387" s="186"/>
      <c r="N6387" s="186"/>
      <c r="O6387" s="172"/>
    </row>
    <row r="6388" spans="1:15" x14ac:dyDescent="0.2">
      <c r="A6388" s="197" t="str">
        <f t="shared" si="99"/>
        <v>NmcCode_orange</v>
      </c>
      <c r="B6388" s="409"/>
      <c r="C6388" s="416"/>
      <c r="D6388" s="198" t="s">
        <v>27394</v>
      </c>
      <c r="E6388" s="198">
        <v>11</v>
      </c>
      <c r="F6388" s="199" t="s">
        <v>27395</v>
      </c>
      <c r="G6388" s="1" t="s">
        <v>41662</v>
      </c>
      <c r="H6388" s="1" t="s">
        <v>41663</v>
      </c>
      <c r="I6388" s="346"/>
      <c r="J6388" s="39">
        <v>110834</v>
      </c>
      <c r="K6388" s="36" t="str">
        <f>CONCATENATE(Cover!$D$6,"fdd/view?i=",J6388)</f>
        <v>https://www.dgiwg.org/FAD/fdd/view?i=110834</v>
      </c>
      <c r="L6388" s="36" t="s">
        <v>41664</v>
      </c>
      <c r="M6388" s="186"/>
      <c r="N6388" s="186"/>
      <c r="O6388" s="172"/>
    </row>
    <row r="6389" spans="1:15" x14ac:dyDescent="0.2">
      <c r="A6389" s="197" t="str">
        <f t="shared" si="99"/>
        <v>NmcCode_pink</v>
      </c>
      <c r="B6389" s="409"/>
      <c r="C6389" s="416"/>
      <c r="D6389" s="198" t="s">
        <v>41665</v>
      </c>
      <c r="E6389" s="198">
        <v>13</v>
      </c>
      <c r="F6389" s="199" t="s">
        <v>41666</v>
      </c>
      <c r="G6389" s="1" t="s">
        <v>41667</v>
      </c>
      <c r="H6389" s="200"/>
      <c r="I6389" s="346"/>
      <c r="J6389" s="39">
        <v>110836</v>
      </c>
      <c r="K6389" s="36" t="str">
        <f>CONCATENATE(Cover!$D$6,"fdd/view?i=",J6389)</f>
        <v>https://www.dgiwg.org/FAD/fdd/view?i=110836</v>
      </c>
      <c r="L6389" s="36" t="s">
        <v>41668</v>
      </c>
      <c r="M6389" s="186"/>
      <c r="N6389" s="186"/>
      <c r="O6389" s="172"/>
    </row>
    <row r="6390" spans="1:15" ht="25.5" x14ac:dyDescent="0.2">
      <c r="A6390" s="197" t="str">
        <f t="shared" si="99"/>
        <v>NmcCode_red</v>
      </c>
      <c r="B6390" s="409"/>
      <c r="C6390" s="416"/>
      <c r="D6390" s="198" t="s">
        <v>41669</v>
      </c>
      <c r="E6390" s="198">
        <v>3</v>
      </c>
      <c r="F6390" s="199" t="s">
        <v>41670</v>
      </c>
      <c r="G6390" s="1" t="s">
        <v>41671</v>
      </c>
      <c r="H6390" s="1" t="s">
        <v>41652</v>
      </c>
      <c r="I6390" s="346"/>
      <c r="J6390" s="39">
        <v>110826</v>
      </c>
      <c r="K6390" s="36" t="str">
        <f>CONCATENATE(Cover!$D$6,"fdd/view?i=",J6390)</f>
        <v>https://www.dgiwg.org/FAD/fdd/view?i=110826</v>
      </c>
      <c r="L6390" s="36" t="s">
        <v>41672</v>
      </c>
      <c r="M6390" s="186"/>
      <c r="N6390" s="186"/>
      <c r="O6390" s="172"/>
    </row>
    <row r="6391" spans="1:15" x14ac:dyDescent="0.2">
      <c r="A6391" s="197" t="str">
        <f t="shared" si="99"/>
        <v>NmcCode_violet</v>
      </c>
      <c r="B6391" s="409"/>
      <c r="C6391" s="416"/>
      <c r="D6391" s="198" t="s">
        <v>41673</v>
      </c>
      <c r="E6391" s="198">
        <v>10</v>
      </c>
      <c r="F6391" s="199" t="s">
        <v>41674</v>
      </c>
      <c r="G6391" s="1" t="s">
        <v>41675</v>
      </c>
      <c r="H6391" s="200"/>
      <c r="I6391" s="346"/>
      <c r="J6391" s="39">
        <v>110833</v>
      </c>
      <c r="K6391" s="36" t="str">
        <f>CONCATENATE(Cover!$D$6,"fdd/view?i=",J6391)</f>
        <v>https://www.dgiwg.org/FAD/fdd/view?i=110833</v>
      </c>
      <c r="L6391" s="36" t="s">
        <v>41676</v>
      </c>
      <c r="M6391" s="186"/>
      <c r="N6391" s="186"/>
      <c r="O6391" s="172"/>
    </row>
    <row r="6392" spans="1:15" x14ac:dyDescent="0.2">
      <c r="A6392" s="197" t="str">
        <f t="shared" si="99"/>
        <v>NmcCode_white</v>
      </c>
      <c r="B6392" s="409"/>
      <c r="C6392" s="416"/>
      <c r="D6392" s="198" t="s">
        <v>41677</v>
      </c>
      <c r="E6392" s="198">
        <v>1</v>
      </c>
      <c r="F6392" s="199" t="s">
        <v>41678</v>
      </c>
      <c r="G6392" s="1" t="s">
        <v>41679</v>
      </c>
      <c r="H6392" s="200"/>
      <c r="I6392" s="346"/>
      <c r="J6392" s="39">
        <v>110824</v>
      </c>
      <c r="K6392" s="36" t="str">
        <f>CONCATENATE(Cover!$D$6,"fdd/view?i=",J6392)</f>
        <v>https://www.dgiwg.org/FAD/fdd/view?i=110824</v>
      </c>
      <c r="L6392" s="36" t="s">
        <v>41680</v>
      </c>
      <c r="M6392" s="186"/>
      <c r="N6392" s="186"/>
      <c r="O6392" s="172"/>
    </row>
    <row r="6393" spans="1:15" x14ac:dyDescent="0.2">
      <c r="A6393" s="203" t="str">
        <f t="shared" si="99"/>
        <v>NmcCode_yellow</v>
      </c>
      <c r="B6393" s="410"/>
      <c r="C6393" s="417"/>
      <c r="D6393" s="204" t="s">
        <v>41681</v>
      </c>
      <c r="E6393" s="204">
        <v>6</v>
      </c>
      <c r="F6393" s="205" t="s">
        <v>41682</v>
      </c>
      <c r="G6393" s="206" t="s">
        <v>41683</v>
      </c>
      <c r="H6393" s="207"/>
      <c r="I6393" s="347"/>
      <c r="J6393" s="39">
        <v>110829</v>
      </c>
      <c r="K6393" s="36" t="str">
        <f>CONCATENATE(Cover!$D$6,"fdd/view?i=",J6393)</f>
        <v>https://www.dgiwg.org/FAD/fdd/view?i=110829</v>
      </c>
      <c r="L6393" s="36" t="s">
        <v>41684</v>
      </c>
      <c r="M6393" s="186"/>
      <c r="N6393" s="186"/>
      <c r="O6393" s="172"/>
    </row>
    <row r="6394" spans="1:15" ht="89.25" x14ac:dyDescent="0.2">
      <c r="A6394" s="190" t="str">
        <f t="shared" si="99"/>
        <v>NchCode_distanceMeasuringEquipment</v>
      </c>
      <c r="B6394" s="414" t="str">
        <f>HYPERLINK("[#]Datatypes!A1038:L1038","NchCode")</f>
        <v>NchCode</v>
      </c>
      <c r="C6394" s="415" t="s">
        <v>15632</v>
      </c>
      <c r="D6394" s="221" t="s">
        <v>22007</v>
      </c>
      <c r="E6394" s="221">
        <v>1</v>
      </c>
      <c r="F6394" s="222" t="s">
        <v>2805</v>
      </c>
      <c r="G6394" s="223" t="s">
        <v>2806</v>
      </c>
      <c r="H6394" s="223" t="s">
        <v>2807</v>
      </c>
      <c r="I6394" s="345"/>
      <c r="J6394" s="39">
        <v>115331</v>
      </c>
      <c r="K6394" s="36" t="str">
        <f>CONCATENATE(Cover!$D$6,"fdd/view?i=",J6394)</f>
        <v>https://www.dgiwg.org/FAD/fdd/view?i=115331</v>
      </c>
      <c r="L6394" s="36" t="s">
        <v>41685</v>
      </c>
      <c r="M6394" s="186"/>
      <c r="N6394" s="186"/>
      <c r="O6394" s="13" t="s">
        <v>22006</v>
      </c>
    </row>
    <row r="6395" spans="1:15" ht="51" x14ac:dyDescent="0.2">
      <c r="A6395" s="197" t="str">
        <f t="shared" si="99"/>
        <v>NchCode_globalNavSatelliteSystem</v>
      </c>
      <c r="B6395" s="409"/>
      <c r="C6395" s="416"/>
      <c r="D6395" s="198" t="s">
        <v>22015</v>
      </c>
      <c r="E6395" s="198">
        <v>2</v>
      </c>
      <c r="F6395" s="199" t="s">
        <v>3351</v>
      </c>
      <c r="G6395" s="1" t="s">
        <v>3352</v>
      </c>
      <c r="H6395" s="1" t="s">
        <v>41687</v>
      </c>
      <c r="I6395" s="346"/>
      <c r="J6395" s="39">
        <v>115332</v>
      </c>
      <c r="K6395" s="36" t="str">
        <f>CONCATENATE(Cover!$D$6,"fdd/view?i=",J6395)</f>
        <v>https://www.dgiwg.org/FAD/fdd/view?i=115332</v>
      </c>
      <c r="L6395" s="36" t="s">
        <v>41688</v>
      </c>
      <c r="M6395" s="186"/>
      <c r="N6395" s="186"/>
      <c r="O6395" s="13" t="s">
        <v>41686</v>
      </c>
    </row>
    <row r="6396" spans="1:15" ht="38.25" x14ac:dyDescent="0.2">
      <c r="A6396" s="197" t="str">
        <f t="shared" si="99"/>
        <v>NchCode_inertialNavSystemInitPoint</v>
      </c>
      <c r="B6396" s="409"/>
      <c r="C6396" s="416"/>
      <c r="D6396" s="198" t="s">
        <v>41690</v>
      </c>
      <c r="E6396" s="198">
        <v>3</v>
      </c>
      <c r="F6396" s="199" t="s">
        <v>41691</v>
      </c>
      <c r="G6396" s="1" t="s">
        <v>41692</v>
      </c>
      <c r="H6396" s="200"/>
      <c r="I6396" s="346"/>
      <c r="J6396" s="39">
        <v>115333</v>
      </c>
      <c r="K6396" s="36" t="str">
        <f>CONCATENATE(Cover!$D$6,"fdd/view?i=",J6396)</f>
        <v>https://www.dgiwg.org/FAD/fdd/view?i=115333</v>
      </c>
      <c r="L6396" s="36" t="s">
        <v>41693</v>
      </c>
      <c r="M6396" s="186"/>
      <c r="N6396" s="186"/>
      <c r="O6396" s="13" t="s">
        <v>41689</v>
      </c>
    </row>
    <row r="6397" spans="1:15" ht="38.25" x14ac:dyDescent="0.2">
      <c r="A6397" s="197" t="str">
        <f t="shared" si="99"/>
        <v>NchCode_nonDirectionalBeacon</v>
      </c>
      <c r="B6397" s="409"/>
      <c r="C6397" s="416"/>
      <c r="D6397" s="198" t="s">
        <v>22081</v>
      </c>
      <c r="E6397" s="198">
        <v>4</v>
      </c>
      <c r="F6397" s="199" t="s">
        <v>41694</v>
      </c>
      <c r="G6397" s="1" t="s">
        <v>4301</v>
      </c>
      <c r="H6397" s="1" t="s">
        <v>4302</v>
      </c>
      <c r="I6397" s="346"/>
      <c r="J6397" s="39">
        <v>115334</v>
      </c>
      <c r="K6397" s="36" t="str">
        <f>CONCATENATE(Cover!$D$6,"fdd/view?i=",J6397)</f>
        <v>https://www.dgiwg.org/FAD/fdd/view?i=115334</v>
      </c>
      <c r="L6397" s="36" t="s">
        <v>41695</v>
      </c>
      <c r="M6397" s="186"/>
      <c r="N6397" s="186"/>
      <c r="O6397" s="13" t="s">
        <v>22080</v>
      </c>
    </row>
    <row r="6398" spans="1:15" ht="89.25" x14ac:dyDescent="0.2">
      <c r="A6398" s="197" t="str">
        <f t="shared" si="99"/>
        <v>NchCode_tacticalAirNavAidBeacon</v>
      </c>
      <c r="B6398" s="409"/>
      <c r="C6398" s="416"/>
      <c r="D6398" s="198" t="s">
        <v>41696</v>
      </c>
      <c r="E6398" s="198">
        <v>5</v>
      </c>
      <c r="F6398" s="199" t="s">
        <v>5353</v>
      </c>
      <c r="G6398" s="1" t="s">
        <v>5354</v>
      </c>
      <c r="H6398" s="1" t="s">
        <v>5355</v>
      </c>
      <c r="I6398" s="346"/>
      <c r="J6398" s="39">
        <v>115335</v>
      </c>
      <c r="K6398" s="36" t="str">
        <f>CONCATENATE(Cover!$D$6,"fdd/view?i=",J6398)</f>
        <v>https://www.dgiwg.org/FAD/fdd/view?i=115335</v>
      </c>
      <c r="L6398" s="36" t="s">
        <v>41697</v>
      </c>
      <c r="M6398" s="186"/>
      <c r="N6398" s="186"/>
      <c r="O6398" s="13" t="s">
        <v>22113</v>
      </c>
    </row>
    <row r="6399" spans="1:15" ht="38.25" x14ac:dyDescent="0.2">
      <c r="A6399" s="203" t="str">
        <f t="shared" si="99"/>
        <v>NchCode_vhfOmniRadioBeacon</v>
      </c>
      <c r="B6399" s="410"/>
      <c r="C6399" s="417"/>
      <c r="D6399" s="204" t="s">
        <v>41698</v>
      </c>
      <c r="E6399" s="204">
        <v>6</v>
      </c>
      <c r="F6399" s="205" t="s">
        <v>41699</v>
      </c>
      <c r="G6399" s="206" t="s">
        <v>5712</v>
      </c>
      <c r="H6399" s="206" t="s">
        <v>5713</v>
      </c>
      <c r="I6399" s="347"/>
      <c r="J6399" s="39">
        <v>115336</v>
      </c>
      <c r="K6399" s="36" t="str">
        <f>CONCATENATE(Cover!$D$6,"fdd/view?i=",J6399)</f>
        <v>https://www.dgiwg.org/FAD/fdd/view?i=115336</v>
      </c>
      <c r="L6399" s="36" t="s">
        <v>41700</v>
      </c>
      <c r="M6399" s="186"/>
      <c r="N6399" s="186"/>
      <c r="O6399" s="13" t="s">
        <v>22118</v>
      </c>
    </row>
    <row r="6400" spans="1:15" ht="25.5" x14ac:dyDescent="0.2">
      <c r="A6400" s="190" t="str">
        <f t="shared" si="99"/>
        <v>NstCode_aeronauticalRadio</v>
      </c>
      <c r="B6400" s="414" t="str">
        <f>HYPERLINK("[#]Datatypes!A1040:L1040","NstCode")</f>
        <v>NstCode</v>
      </c>
      <c r="C6400" s="415" t="s">
        <v>15634</v>
      </c>
      <c r="D6400" s="221" t="s">
        <v>41701</v>
      </c>
      <c r="E6400" s="221">
        <v>38</v>
      </c>
      <c r="F6400" s="222" t="s">
        <v>41702</v>
      </c>
      <c r="G6400" s="224"/>
      <c r="H6400" s="224"/>
      <c r="I6400" s="345"/>
      <c r="J6400" s="39">
        <v>106123</v>
      </c>
      <c r="K6400" s="36" t="str">
        <f>CONCATENATE(Cover!$D$6,"fdd/view?i=",J6400)</f>
        <v>https://www.dgiwg.org/FAD/fdd/view?i=106123</v>
      </c>
      <c r="L6400" s="36" t="s">
        <v>41703</v>
      </c>
      <c r="M6400" s="186"/>
      <c r="N6400" s="186"/>
      <c r="O6400" s="172"/>
    </row>
    <row r="6401" spans="1:15" ht="25.5" x14ac:dyDescent="0.2">
      <c r="A6401" s="197" t="str">
        <f t="shared" si="99"/>
        <v>NstCode_aeronauticalRadioRange</v>
      </c>
      <c r="B6401" s="409"/>
      <c r="C6401" s="416"/>
      <c r="D6401" s="198" t="s">
        <v>41704</v>
      </c>
      <c r="E6401" s="198">
        <v>46</v>
      </c>
      <c r="F6401" s="199" t="s">
        <v>41705</v>
      </c>
      <c r="G6401" s="200"/>
      <c r="H6401" s="200"/>
      <c r="I6401" s="346"/>
      <c r="J6401" s="39">
        <v>106131</v>
      </c>
      <c r="K6401" s="36" t="str">
        <f>CONCATENATE(Cover!$D$6,"fdd/view?i=",J6401)</f>
        <v>https://www.dgiwg.org/FAD/fdd/view?i=106131</v>
      </c>
      <c r="L6401" s="36" t="s">
        <v>41706</v>
      </c>
      <c r="M6401" s="186"/>
      <c r="N6401" s="186"/>
      <c r="O6401" s="172"/>
    </row>
    <row r="6402" spans="1:15" ht="51" x14ac:dyDescent="0.2">
      <c r="A6402" s="197" t="str">
        <f t="shared" ref="A6402:A6465" si="100">HYPERLINK(K6402,L6402)</f>
        <v>NstCode_airportSurveillanceRadar</v>
      </c>
      <c r="B6402" s="409"/>
      <c r="C6402" s="416"/>
      <c r="D6402" s="198" t="s">
        <v>21994</v>
      </c>
      <c r="E6402" s="198">
        <v>70</v>
      </c>
      <c r="F6402" s="199" t="s">
        <v>21995</v>
      </c>
      <c r="G6402" s="1" t="s">
        <v>41709</v>
      </c>
      <c r="H6402" s="200"/>
      <c r="I6402" s="346"/>
      <c r="J6402" s="39">
        <v>106155</v>
      </c>
      <c r="K6402" s="36" t="str">
        <f>CONCATENATE(Cover!$D$6,"fdd/view?i=",J6402)</f>
        <v>https://www.dgiwg.org/FAD/fdd/view?i=106155</v>
      </c>
      <c r="L6402" s="36" t="s">
        <v>41710</v>
      </c>
      <c r="M6402" s="186"/>
      <c r="N6402" s="186"/>
      <c r="O6402" s="172"/>
    </row>
    <row r="6403" spans="1:15" ht="25.5" x14ac:dyDescent="0.2">
      <c r="A6403" s="197" t="str">
        <f t="shared" si="100"/>
        <v>NstCode_airRouteSurvRadar</v>
      </c>
      <c r="B6403" s="409"/>
      <c r="C6403" s="416"/>
      <c r="D6403" s="198" t="s">
        <v>41707</v>
      </c>
      <c r="E6403" s="198">
        <v>73</v>
      </c>
      <c r="F6403" s="199" t="s">
        <v>21986</v>
      </c>
      <c r="G6403" s="200"/>
      <c r="H6403" s="200"/>
      <c r="I6403" s="346"/>
      <c r="J6403" s="39">
        <v>106158</v>
      </c>
      <c r="K6403" s="36" t="str">
        <f>CONCATENATE(Cover!$D$6,"fdd/view?i=",J6403)</f>
        <v>https://www.dgiwg.org/FAD/fdd/view?i=106158</v>
      </c>
      <c r="L6403" s="36" t="s">
        <v>41708</v>
      </c>
      <c r="M6403" s="186"/>
      <c r="N6403" s="186"/>
      <c r="O6403" s="172"/>
    </row>
    <row r="6404" spans="1:15" ht="25.5" x14ac:dyDescent="0.2">
      <c r="A6404" s="197" t="str">
        <f t="shared" si="100"/>
        <v>NstCode_boneMarker</v>
      </c>
      <c r="B6404" s="409"/>
      <c r="C6404" s="416"/>
      <c r="D6404" s="198" t="s">
        <v>41711</v>
      </c>
      <c r="E6404" s="198">
        <v>32</v>
      </c>
      <c r="F6404" s="199" t="s">
        <v>41712</v>
      </c>
      <c r="G6404" s="1" t="s">
        <v>41713</v>
      </c>
      <c r="H6404" s="200"/>
      <c r="I6404" s="346"/>
      <c r="J6404" s="39">
        <v>106118</v>
      </c>
      <c r="K6404" s="36" t="str">
        <f>CONCATENATE(Cover!$D$6,"fdd/view?i=",J6404)</f>
        <v>https://www.dgiwg.org/FAD/fdd/view?i=106118</v>
      </c>
      <c r="L6404" s="36" t="s">
        <v>41714</v>
      </c>
      <c r="M6404" s="186"/>
      <c r="N6404" s="186"/>
      <c r="O6404" s="172"/>
    </row>
    <row r="6405" spans="1:15" x14ac:dyDescent="0.2">
      <c r="A6405" s="197" t="str">
        <f t="shared" si="100"/>
        <v>NstCode_chaika</v>
      </c>
      <c r="B6405" s="409"/>
      <c r="C6405" s="416"/>
      <c r="D6405" s="198" t="s">
        <v>41715</v>
      </c>
      <c r="E6405" s="198">
        <v>62</v>
      </c>
      <c r="F6405" s="199" t="s">
        <v>41716</v>
      </c>
      <c r="G6405" s="200"/>
      <c r="H6405" s="200"/>
      <c r="I6405" s="346"/>
      <c r="J6405" s="39">
        <v>106147</v>
      </c>
      <c r="K6405" s="36" t="str">
        <f>CONCATENATE(Cover!$D$6,"fdd/view?i=",J6405)</f>
        <v>https://www.dgiwg.org/FAD/fdd/view?i=106147</v>
      </c>
      <c r="L6405" s="36" t="s">
        <v>41717</v>
      </c>
      <c r="M6405" s="186"/>
      <c r="N6405" s="186"/>
      <c r="O6405" s="172"/>
    </row>
    <row r="6406" spans="1:15" ht="25.5" x14ac:dyDescent="0.2">
      <c r="A6406" s="197" t="str">
        <f t="shared" si="100"/>
        <v>NstCode_circularRadioBeacon</v>
      </c>
      <c r="B6406" s="409"/>
      <c r="C6406" s="416"/>
      <c r="D6406" s="198" t="s">
        <v>41718</v>
      </c>
      <c r="E6406" s="198">
        <v>1</v>
      </c>
      <c r="F6406" s="199" t="s">
        <v>41719</v>
      </c>
      <c r="G6406" s="200"/>
      <c r="H6406" s="200"/>
      <c r="I6406" s="346"/>
      <c r="J6406" s="39">
        <v>106087</v>
      </c>
      <c r="K6406" s="36" t="str">
        <f>CONCATENATE(Cover!$D$6,"fdd/view?i=",J6406)</f>
        <v>https://www.dgiwg.org/FAD/fdd/view?i=106087</v>
      </c>
      <c r="L6406" s="36" t="s">
        <v>41720</v>
      </c>
      <c r="M6406" s="186"/>
      <c r="N6406" s="186"/>
      <c r="O6406" s="172"/>
    </row>
    <row r="6407" spans="1:15" ht="25.5" x14ac:dyDescent="0.2">
      <c r="A6407" s="197" t="str">
        <f t="shared" si="100"/>
        <v>NstCode_consolRadioBeacon</v>
      </c>
      <c r="B6407" s="409"/>
      <c r="C6407" s="416"/>
      <c r="D6407" s="198" t="s">
        <v>41721</v>
      </c>
      <c r="E6407" s="198">
        <v>2</v>
      </c>
      <c r="F6407" s="199" t="s">
        <v>41722</v>
      </c>
      <c r="G6407" s="1" t="s">
        <v>41723</v>
      </c>
      <c r="H6407" s="200"/>
      <c r="I6407" s="346"/>
      <c r="J6407" s="39">
        <v>106088</v>
      </c>
      <c r="K6407" s="36" t="str">
        <f>CONCATENATE(Cover!$D$6,"fdd/view?i=",J6407)</f>
        <v>https://www.dgiwg.org/FAD/fdd/view?i=106088</v>
      </c>
      <c r="L6407" s="36" t="s">
        <v>41724</v>
      </c>
      <c r="M6407" s="186"/>
      <c r="N6407" s="186"/>
      <c r="O6407" s="172"/>
    </row>
    <row r="6408" spans="1:15" ht="25.5" x14ac:dyDescent="0.2">
      <c r="A6408" s="197" t="str">
        <f t="shared" si="100"/>
        <v>NstCode_decca</v>
      </c>
      <c r="B6408" s="409"/>
      <c r="C6408" s="416"/>
      <c r="D6408" s="198" t="s">
        <v>41725</v>
      </c>
      <c r="E6408" s="198">
        <v>3</v>
      </c>
      <c r="F6408" s="199" t="s">
        <v>41726</v>
      </c>
      <c r="G6408" s="1" t="s">
        <v>41727</v>
      </c>
      <c r="H6408" s="200"/>
      <c r="I6408" s="346"/>
      <c r="J6408" s="39">
        <v>106089</v>
      </c>
      <c r="K6408" s="36" t="str">
        <f>CONCATENATE(Cover!$D$6,"fdd/view?i=",J6408)</f>
        <v>https://www.dgiwg.org/FAD/fdd/view?i=106089</v>
      </c>
      <c r="L6408" s="36" t="s">
        <v>41728</v>
      </c>
      <c r="M6408" s="186"/>
      <c r="N6408" s="186"/>
      <c r="O6408" s="172"/>
    </row>
    <row r="6409" spans="1:15" ht="25.5" x14ac:dyDescent="0.2">
      <c r="A6409" s="197" t="str">
        <f t="shared" si="100"/>
        <v>NstCode_differentialGps</v>
      </c>
      <c r="B6409" s="409"/>
      <c r="C6409" s="416"/>
      <c r="D6409" s="198" t="s">
        <v>41729</v>
      </c>
      <c r="E6409" s="198">
        <v>59</v>
      </c>
      <c r="F6409" s="199" t="s">
        <v>41730</v>
      </c>
      <c r="G6409" s="200"/>
      <c r="H6409" s="200"/>
      <c r="I6409" s="346"/>
      <c r="J6409" s="39">
        <v>106144</v>
      </c>
      <c r="K6409" s="36" t="str">
        <f>CONCATENATE(Cover!$D$6,"fdd/view?i=",J6409)</f>
        <v>https://www.dgiwg.org/FAD/fdd/view?i=106144</v>
      </c>
      <c r="L6409" s="36" t="s">
        <v>41731</v>
      </c>
      <c r="M6409" s="186"/>
      <c r="N6409" s="186"/>
      <c r="O6409" s="172"/>
    </row>
    <row r="6410" spans="1:15" ht="25.5" x14ac:dyDescent="0.2">
      <c r="A6410" s="197" t="str">
        <f t="shared" si="100"/>
        <v>NstCode_directionalRadiobeacon</v>
      </c>
      <c r="B6410" s="409"/>
      <c r="C6410" s="416"/>
      <c r="D6410" s="198" t="s">
        <v>38364</v>
      </c>
      <c r="E6410" s="198">
        <v>5</v>
      </c>
      <c r="F6410" s="199" t="s">
        <v>38365</v>
      </c>
      <c r="G6410" s="200"/>
      <c r="H6410" s="200"/>
      <c r="I6410" s="346"/>
      <c r="J6410" s="39">
        <v>106091</v>
      </c>
      <c r="K6410" s="36" t="str">
        <f>CONCATENATE(Cover!$D$6,"fdd/view?i=",J6410)</f>
        <v>https://www.dgiwg.org/FAD/fdd/view?i=106091</v>
      </c>
      <c r="L6410" s="36" t="s">
        <v>41732</v>
      </c>
      <c r="M6410" s="186"/>
      <c r="N6410" s="186"/>
      <c r="O6410" s="172"/>
    </row>
    <row r="6411" spans="1:15" ht="25.5" x14ac:dyDescent="0.2">
      <c r="A6411" s="197" t="str">
        <f t="shared" si="100"/>
        <v>NstCode_distanceFinding</v>
      </c>
      <c r="B6411" s="409"/>
      <c r="C6411" s="416"/>
      <c r="D6411" s="198" t="s">
        <v>41733</v>
      </c>
      <c r="E6411" s="198">
        <v>6</v>
      </c>
      <c r="F6411" s="199" t="s">
        <v>41734</v>
      </c>
      <c r="G6411" s="200"/>
      <c r="H6411" s="200"/>
      <c r="I6411" s="346"/>
      <c r="J6411" s="39">
        <v>106092</v>
      </c>
      <c r="K6411" s="36" t="str">
        <f>CONCATENATE(Cover!$D$6,"fdd/view?i=",J6411)</f>
        <v>https://www.dgiwg.org/FAD/fdd/view?i=106092</v>
      </c>
      <c r="L6411" s="36" t="s">
        <v>41735</v>
      </c>
      <c r="M6411" s="186"/>
      <c r="N6411" s="186"/>
      <c r="O6411" s="172"/>
    </row>
    <row r="6412" spans="1:15" ht="63.75" x14ac:dyDescent="0.2">
      <c r="A6412" s="197" t="str">
        <f t="shared" si="100"/>
        <v>NstCode_distMeasEquip</v>
      </c>
      <c r="B6412" s="409"/>
      <c r="C6412" s="416"/>
      <c r="D6412" s="198" t="s">
        <v>41736</v>
      </c>
      <c r="E6412" s="198">
        <v>58</v>
      </c>
      <c r="F6412" s="199" t="s">
        <v>2805</v>
      </c>
      <c r="G6412" s="1" t="s">
        <v>41737</v>
      </c>
      <c r="H6412" s="1" t="s">
        <v>41738</v>
      </c>
      <c r="I6412" s="346"/>
      <c r="J6412" s="39">
        <v>106143</v>
      </c>
      <c r="K6412" s="36" t="str">
        <f>CONCATENATE(Cover!$D$6,"fdd/view?i=",J6412)</f>
        <v>https://www.dgiwg.org/FAD/fdd/view?i=106143</v>
      </c>
      <c r="L6412" s="36" t="s">
        <v>41739</v>
      </c>
      <c r="M6412" s="186"/>
      <c r="N6412" s="186"/>
      <c r="O6412" s="172"/>
    </row>
    <row r="6413" spans="1:15" ht="25.5" x14ac:dyDescent="0.2">
      <c r="A6413" s="197" t="str">
        <f t="shared" si="100"/>
        <v>NstCode_fanMarker</v>
      </c>
      <c r="B6413" s="409"/>
      <c r="C6413" s="416"/>
      <c r="D6413" s="198" t="s">
        <v>38747</v>
      </c>
      <c r="E6413" s="198">
        <v>77</v>
      </c>
      <c r="F6413" s="199" t="s">
        <v>41740</v>
      </c>
      <c r="G6413" s="1" t="s">
        <v>41741</v>
      </c>
      <c r="H6413" s="200"/>
      <c r="I6413" s="346"/>
      <c r="J6413" s="39">
        <v>106162</v>
      </c>
      <c r="K6413" s="36" t="str">
        <f>CONCATENATE(Cover!$D$6,"fdd/view?i=",J6413)</f>
        <v>https://www.dgiwg.org/FAD/fdd/view?i=106162</v>
      </c>
      <c r="L6413" s="36" t="s">
        <v>41742</v>
      </c>
      <c r="M6413" s="186"/>
      <c r="N6413" s="186"/>
      <c r="O6413" s="172"/>
    </row>
    <row r="6414" spans="1:15" ht="89.25" x14ac:dyDescent="0.2">
      <c r="A6414" s="197" t="str">
        <f t="shared" si="100"/>
        <v>NstCode_glideSlope</v>
      </c>
      <c r="B6414" s="409"/>
      <c r="C6414" s="416"/>
      <c r="D6414" s="198" t="s">
        <v>41743</v>
      </c>
      <c r="E6414" s="198">
        <v>72</v>
      </c>
      <c r="F6414" s="199" t="s">
        <v>41744</v>
      </c>
      <c r="G6414" s="1" t="s">
        <v>41745</v>
      </c>
      <c r="H6414" s="1" t="s">
        <v>41746</v>
      </c>
      <c r="I6414" s="346"/>
      <c r="J6414" s="39">
        <v>106157</v>
      </c>
      <c r="K6414" s="36" t="str">
        <f>CONCATENATE(Cover!$D$6,"fdd/view?i=",J6414)</f>
        <v>https://www.dgiwg.org/FAD/fdd/view?i=106157</v>
      </c>
      <c r="L6414" s="36" t="s">
        <v>41747</v>
      </c>
      <c r="M6414" s="186"/>
      <c r="N6414" s="186"/>
      <c r="O6414" s="172"/>
    </row>
    <row r="6415" spans="1:15" ht="25.5" x14ac:dyDescent="0.2">
      <c r="A6415" s="197" t="str">
        <f t="shared" si="100"/>
        <v>NstCode_groundControlledApproach</v>
      </c>
      <c r="B6415" s="409"/>
      <c r="C6415" s="416"/>
      <c r="D6415" s="198" t="s">
        <v>41748</v>
      </c>
      <c r="E6415" s="198">
        <v>34</v>
      </c>
      <c r="F6415" s="199" t="s">
        <v>41749</v>
      </c>
      <c r="G6415" s="200"/>
      <c r="H6415" s="200"/>
      <c r="I6415" s="346"/>
      <c r="J6415" s="39">
        <v>106120</v>
      </c>
      <c r="K6415" s="36" t="str">
        <f>CONCATENATE(Cover!$D$6,"fdd/view?i=",J6415)</f>
        <v>https://www.dgiwg.org/FAD/fdd/view?i=106120</v>
      </c>
      <c r="L6415" s="36" t="s">
        <v>41750</v>
      </c>
      <c r="M6415" s="186"/>
      <c r="N6415" s="186"/>
      <c r="O6415" s="172"/>
    </row>
    <row r="6416" spans="1:15" ht="25.5" x14ac:dyDescent="0.2">
      <c r="A6416" s="197" t="str">
        <f t="shared" si="100"/>
        <v>NstCode_gsm</v>
      </c>
      <c r="B6416" s="409"/>
      <c r="C6416" s="416"/>
      <c r="D6416" s="198" t="s">
        <v>41751</v>
      </c>
      <c r="E6416" s="198">
        <v>83</v>
      </c>
      <c r="F6416" s="199" t="s">
        <v>41752</v>
      </c>
      <c r="G6416" s="1" t="s">
        <v>41753</v>
      </c>
      <c r="H6416" s="200"/>
      <c r="I6416" s="346"/>
      <c r="J6416" s="39">
        <v>106168</v>
      </c>
      <c r="K6416" s="36" t="str">
        <f>CONCATENATE(Cover!$D$6,"fdd/view?i=",J6416)</f>
        <v>https://www.dgiwg.org/FAD/fdd/view?i=106168</v>
      </c>
      <c r="L6416" s="36" t="s">
        <v>41754</v>
      </c>
      <c r="M6416" s="186"/>
      <c r="N6416" s="186"/>
      <c r="O6416" s="172"/>
    </row>
    <row r="6417" spans="1:15" x14ac:dyDescent="0.2">
      <c r="A6417" s="197" t="str">
        <f t="shared" si="100"/>
        <v>NstCode_hifix</v>
      </c>
      <c r="B6417" s="409"/>
      <c r="C6417" s="416"/>
      <c r="D6417" s="198" t="s">
        <v>41755</v>
      </c>
      <c r="E6417" s="198">
        <v>47</v>
      </c>
      <c r="F6417" s="199" t="s">
        <v>41756</v>
      </c>
      <c r="G6417" s="200"/>
      <c r="H6417" s="200"/>
      <c r="I6417" s="346"/>
      <c r="J6417" s="39">
        <v>106132</v>
      </c>
      <c r="K6417" s="36" t="str">
        <f>CONCATENATE(Cover!$D$6,"fdd/view?i=",J6417)</f>
        <v>https://www.dgiwg.org/FAD/fdd/view?i=106132</v>
      </c>
      <c r="L6417" s="36" t="s">
        <v>41757</v>
      </c>
      <c r="M6417" s="186"/>
      <c r="N6417" s="186"/>
      <c r="O6417" s="172"/>
    </row>
    <row r="6418" spans="1:15" x14ac:dyDescent="0.2">
      <c r="A6418" s="197" t="str">
        <f t="shared" si="100"/>
        <v>NstCode_hyperfix</v>
      </c>
      <c r="B6418" s="409"/>
      <c r="C6418" s="416"/>
      <c r="D6418" s="198" t="s">
        <v>41758</v>
      </c>
      <c r="E6418" s="198">
        <v>48</v>
      </c>
      <c r="F6418" s="199" t="s">
        <v>41759</v>
      </c>
      <c r="G6418" s="200"/>
      <c r="H6418" s="200"/>
      <c r="I6418" s="346"/>
      <c r="J6418" s="39">
        <v>106133</v>
      </c>
      <c r="K6418" s="36" t="str">
        <f>CONCATENATE(Cover!$D$6,"fdd/view?i=",J6418)</f>
        <v>https://www.dgiwg.org/FAD/fdd/view?i=106133</v>
      </c>
      <c r="L6418" s="36" t="s">
        <v>41760</v>
      </c>
      <c r="M6418" s="186"/>
      <c r="N6418" s="186"/>
      <c r="O6418" s="172"/>
    </row>
    <row r="6419" spans="1:15" ht="25.5" x14ac:dyDescent="0.2">
      <c r="A6419" s="197" t="str">
        <f t="shared" si="100"/>
        <v>NstCode_ilsBackCourse</v>
      </c>
      <c r="B6419" s="409"/>
      <c r="C6419" s="416"/>
      <c r="D6419" s="198" t="s">
        <v>41761</v>
      </c>
      <c r="E6419" s="198">
        <v>74</v>
      </c>
      <c r="F6419" s="199" t="s">
        <v>41762</v>
      </c>
      <c r="G6419" s="200"/>
      <c r="H6419" s="200"/>
      <c r="I6419" s="346"/>
      <c r="J6419" s="39">
        <v>106159</v>
      </c>
      <c r="K6419" s="36" t="str">
        <f>CONCATENATE(Cover!$D$6,"fdd/view?i=",J6419)</f>
        <v>https://www.dgiwg.org/FAD/fdd/view?i=106159</v>
      </c>
      <c r="L6419" s="36" t="s">
        <v>41763</v>
      </c>
      <c r="M6419" s="186"/>
      <c r="N6419" s="186"/>
      <c r="O6419" s="172"/>
    </row>
    <row r="6420" spans="1:15" ht="63.75" x14ac:dyDescent="0.2">
      <c r="A6420" s="197" t="str">
        <f t="shared" si="100"/>
        <v>NstCode_ilsGlideSlopeDistMeasEq</v>
      </c>
      <c r="B6420" s="409"/>
      <c r="C6420" s="416"/>
      <c r="D6420" s="198" t="s">
        <v>41769</v>
      </c>
      <c r="E6420" s="198">
        <v>84</v>
      </c>
      <c r="F6420" s="199" t="s">
        <v>41770</v>
      </c>
      <c r="G6420" s="1" t="s">
        <v>41771</v>
      </c>
      <c r="H6420" s="200"/>
      <c r="I6420" s="346"/>
      <c r="J6420" s="39">
        <v>112768</v>
      </c>
      <c r="K6420" s="36" t="str">
        <f>CONCATENATE(Cover!$D$6,"fdd/view?i=",J6420)</f>
        <v>https://www.dgiwg.org/FAD/fdd/view?i=112768</v>
      </c>
      <c r="L6420" s="36" t="s">
        <v>41772</v>
      </c>
      <c r="M6420" s="186"/>
      <c r="N6420" s="186"/>
      <c r="O6420" s="172"/>
    </row>
    <row r="6421" spans="1:15" ht="102" x14ac:dyDescent="0.2">
      <c r="A6421" s="197" t="str">
        <f t="shared" si="100"/>
        <v>NstCode_innerMarker</v>
      </c>
      <c r="B6421" s="409"/>
      <c r="C6421" s="416"/>
      <c r="D6421" s="198" t="s">
        <v>41764</v>
      </c>
      <c r="E6421" s="198">
        <v>85</v>
      </c>
      <c r="F6421" s="199" t="s">
        <v>41765</v>
      </c>
      <c r="G6421" s="1" t="s">
        <v>41766</v>
      </c>
      <c r="H6421" s="1" t="s">
        <v>38770</v>
      </c>
      <c r="I6421" s="346"/>
      <c r="J6421" s="39">
        <v>112769</v>
      </c>
      <c r="K6421" s="36" t="str">
        <f>CONCATENATE(Cover!$D$6,"fdd/view?i=",J6421)</f>
        <v>https://www.dgiwg.org/FAD/fdd/view?i=112769</v>
      </c>
      <c r="L6421" s="36" t="s">
        <v>41767</v>
      </c>
      <c r="M6421" s="186"/>
      <c r="N6421" s="186"/>
      <c r="O6421" s="172"/>
    </row>
    <row r="6422" spans="1:15" ht="63.75" x14ac:dyDescent="0.2">
      <c r="A6422" s="197" t="str">
        <f t="shared" si="100"/>
        <v>NstCode_instLandSysDistMeasEquip</v>
      </c>
      <c r="B6422" s="409"/>
      <c r="C6422" s="416"/>
      <c r="D6422" s="198" t="s">
        <v>41773</v>
      </c>
      <c r="E6422" s="198">
        <v>25</v>
      </c>
      <c r="F6422" s="199" t="s">
        <v>41774</v>
      </c>
      <c r="G6422" s="1" t="s">
        <v>41775</v>
      </c>
      <c r="H6422" s="200"/>
      <c r="I6422" s="346"/>
      <c r="J6422" s="39">
        <v>106111</v>
      </c>
      <c r="K6422" s="36" t="str">
        <f>CONCATENATE(Cover!$D$6,"fdd/view?i=",J6422)</f>
        <v>https://www.dgiwg.org/FAD/fdd/view?i=106111</v>
      </c>
      <c r="L6422" s="36" t="s">
        <v>41776</v>
      </c>
      <c r="M6422" s="186"/>
      <c r="N6422" s="186"/>
      <c r="O6422" s="172"/>
    </row>
    <row r="6423" spans="1:15" ht="51" x14ac:dyDescent="0.2">
      <c r="A6423" s="197" t="str">
        <f t="shared" si="100"/>
        <v>NstCode_instrumentLandingSystem</v>
      </c>
      <c r="B6423" s="409"/>
      <c r="C6423" s="416"/>
      <c r="D6423" s="198" t="s">
        <v>22029</v>
      </c>
      <c r="E6423" s="198">
        <v>24</v>
      </c>
      <c r="F6423" s="199" t="s">
        <v>3695</v>
      </c>
      <c r="G6423" s="1" t="s">
        <v>3696</v>
      </c>
      <c r="H6423" s="1" t="s">
        <v>3697</v>
      </c>
      <c r="I6423" s="346"/>
      <c r="J6423" s="39">
        <v>106110</v>
      </c>
      <c r="K6423" s="36" t="str">
        <f>CONCATENATE(Cover!$D$6,"fdd/view?i=",J6423)</f>
        <v>https://www.dgiwg.org/FAD/fdd/view?i=106110</v>
      </c>
      <c r="L6423" s="36" t="s">
        <v>41768</v>
      </c>
      <c r="M6423" s="186"/>
      <c r="N6423" s="186"/>
      <c r="O6423" s="172"/>
    </row>
    <row r="6424" spans="1:15" x14ac:dyDescent="0.2">
      <c r="A6424" s="197" t="str">
        <f t="shared" si="100"/>
        <v>NstCode_llzLocalizer</v>
      </c>
      <c r="B6424" s="409"/>
      <c r="C6424" s="416"/>
      <c r="D6424" s="198" t="s">
        <v>41777</v>
      </c>
      <c r="E6424" s="198">
        <v>57</v>
      </c>
      <c r="F6424" s="199" t="s">
        <v>41778</v>
      </c>
      <c r="G6424" s="200"/>
      <c r="H6424" s="200"/>
      <c r="I6424" s="346"/>
      <c r="J6424" s="39">
        <v>106142</v>
      </c>
      <c r="K6424" s="36" t="str">
        <f>CONCATENATE(Cover!$D$6,"fdd/view?i=",J6424)</f>
        <v>https://www.dgiwg.org/FAD/fdd/view?i=106142</v>
      </c>
      <c r="L6424" s="36" t="s">
        <v>41779</v>
      </c>
      <c r="M6424" s="186"/>
      <c r="N6424" s="186"/>
      <c r="O6424" s="172"/>
    </row>
    <row r="6425" spans="1:15" ht="63.75" x14ac:dyDescent="0.2">
      <c r="A6425" s="197" t="str">
        <f t="shared" si="100"/>
        <v>NstCode_localizer</v>
      </c>
      <c r="B6425" s="409"/>
      <c r="C6425" s="416"/>
      <c r="D6425" s="198" t="s">
        <v>22043</v>
      </c>
      <c r="E6425" s="198">
        <v>26</v>
      </c>
      <c r="F6425" s="199" t="s">
        <v>41780</v>
      </c>
      <c r="G6425" s="1" t="s">
        <v>41781</v>
      </c>
      <c r="H6425" s="200"/>
      <c r="I6425" s="346"/>
      <c r="J6425" s="39">
        <v>106112</v>
      </c>
      <c r="K6425" s="36" t="str">
        <f>CONCATENATE(Cover!$D$6,"fdd/view?i=",J6425)</f>
        <v>https://www.dgiwg.org/FAD/fdd/view?i=106112</v>
      </c>
      <c r="L6425" s="36" t="s">
        <v>41782</v>
      </c>
      <c r="M6425" s="186"/>
      <c r="N6425" s="186"/>
      <c r="O6425" s="172"/>
    </row>
    <row r="6426" spans="1:15" ht="51" x14ac:dyDescent="0.2">
      <c r="A6426" s="197" t="str">
        <f t="shared" si="100"/>
        <v>NstCode_localizerBackCourseMarker</v>
      </c>
      <c r="B6426" s="409"/>
      <c r="C6426" s="416"/>
      <c r="D6426" s="198" t="s">
        <v>41783</v>
      </c>
      <c r="E6426" s="198">
        <v>75</v>
      </c>
      <c r="F6426" s="199" t="s">
        <v>41784</v>
      </c>
      <c r="G6426" s="1" t="s">
        <v>38764</v>
      </c>
      <c r="H6426" s="1" t="s">
        <v>38765</v>
      </c>
      <c r="I6426" s="346"/>
      <c r="J6426" s="39">
        <v>106160</v>
      </c>
      <c r="K6426" s="36" t="str">
        <f>CONCATENATE(Cover!$D$6,"fdd/view?i=",J6426)</f>
        <v>https://www.dgiwg.org/FAD/fdd/view?i=106160</v>
      </c>
      <c r="L6426" s="36" t="s">
        <v>41785</v>
      </c>
      <c r="M6426" s="186"/>
      <c r="N6426" s="186"/>
      <c r="O6426" s="172"/>
    </row>
    <row r="6427" spans="1:15" ht="51" x14ac:dyDescent="0.2">
      <c r="A6427" s="197" t="str">
        <f t="shared" si="100"/>
        <v>NstCode_localizerDistMeasEquip</v>
      </c>
      <c r="B6427" s="409"/>
      <c r="C6427" s="416"/>
      <c r="D6427" s="198" t="s">
        <v>41786</v>
      </c>
      <c r="E6427" s="198">
        <v>27</v>
      </c>
      <c r="F6427" s="199" t="s">
        <v>41787</v>
      </c>
      <c r="G6427" s="1" t="s">
        <v>41788</v>
      </c>
      <c r="H6427" s="200"/>
      <c r="I6427" s="346"/>
      <c r="J6427" s="39">
        <v>106113</v>
      </c>
      <c r="K6427" s="36" t="str">
        <f>CONCATENATE(Cover!$D$6,"fdd/view?i=",J6427)</f>
        <v>https://www.dgiwg.org/FAD/fdd/view?i=106113</v>
      </c>
      <c r="L6427" s="36" t="s">
        <v>41789</v>
      </c>
      <c r="M6427" s="186"/>
      <c r="N6427" s="186"/>
      <c r="O6427" s="172"/>
    </row>
    <row r="6428" spans="1:15" ht="25.5" x14ac:dyDescent="0.2">
      <c r="A6428" s="197" t="str">
        <f t="shared" si="100"/>
        <v>NstCode_localizerTypeDirAid</v>
      </c>
      <c r="B6428" s="409"/>
      <c r="C6428" s="416"/>
      <c r="D6428" s="198" t="s">
        <v>41790</v>
      </c>
      <c r="E6428" s="198">
        <v>29</v>
      </c>
      <c r="F6428" s="199" t="s">
        <v>41791</v>
      </c>
      <c r="G6428" s="200"/>
      <c r="H6428" s="200"/>
      <c r="I6428" s="346"/>
      <c r="J6428" s="39">
        <v>106115</v>
      </c>
      <c r="K6428" s="36" t="str">
        <f>CONCATENATE(Cover!$D$6,"fdd/view?i=",J6428)</f>
        <v>https://www.dgiwg.org/FAD/fdd/view?i=106115</v>
      </c>
      <c r="L6428" s="36" t="s">
        <v>41792</v>
      </c>
      <c r="M6428" s="186"/>
      <c r="N6428" s="186"/>
      <c r="O6428" s="172"/>
    </row>
    <row r="6429" spans="1:15" ht="25.5" x14ac:dyDescent="0.2">
      <c r="A6429" s="197" t="str">
        <f t="shared" si="100"/>
        <v>NstCode_locatorMiddleMarker</v>
      </c>
      <c r="B6429" s="409"/>
      <c r="C6429" s="416"/>
      <c r="D6429" s="198" t="s">
        <v>41796</v>
      </c>
      <c r="E6429" s="198">
        <v>81</v>
      </c>
      <c r="F6429" s="199" t="s">
        <v>41797</v>
      </c>
      <c r="G6429" s="1" t="s">
        <v>41798</v>
      </c>
      <c r="H6429" s="200"/>
      <c r="I6429" s="346"/>
      <c r="J6429" s="39">
        <v>106166</v>
      </c>
      <c r="K6429" s="36" t="str">
        <f>CONCATENATE(Cover!$D$6,"fdd/view?i=",J6429)</f>
        <v>https://www.dgiwg.org/FAD/fdd/view?i=106166</v>
      </c>
      <c r="L6429" s="36" t="s">
        <v>41799</v>
      </c>
      <c r="M6429" s="186"/>
      <c r="N6429" s="186"/>
      <c r="O6429" s="172"/>
    </row>
    <row r="6430" spans="1:15" ht="25.5" x14ac:dyDescent="0.2">
      <c r="A6430" s="197" t="str">
        <f t="shared" si="100"/>
        <v>NstCode_locatorOuterMarker</v>
      </c>
      <c r="B6430" s="409"/>
      <c r="C6430" s="416"/>
      <c r="D6430" s="198" t="s">
        <v>41800</v>
      </c>
      <c r="E6430" s="198">
        <v>80</v>
      </c>
      <c r="F6430" s="199" t="s">
        <v>41801</v>
      </c>
      <c r="G6430" s="1" t="s">
        <v>41802</v>
      </c>
      <c r="H6430" s="200"/>
      <c r="I6430" s="346"/>
      <c r="J6430" s="39">
        <v>106165</v>
      </c>
      <c r="K6430" s="36" t="str">
        <f>CONCATENATE(Cover!$D$6,"fdd/view?i=",J6430)</f>
        <v>https://www.dgiwg.org/FAD/fdd/view?i=106165</v>
      </c>
      <c r="L6430" s="36" t="s">
        <v>41803</v>
      </c>
      <c r="M6430" s="186"/>
      <c r="N6430" s="186"/>
      <c r="O6430" s="172"/>
    </row>
    <row r="6431" spans="1:15" ht="25.5" x14ac:dyDescent="0.2">
      <c r="A6431" s="197" t="str">
        <f t="shared" si="100"/>
        <v>NstCode_locatorWithoutDmeIm</v>
      </c>
      <c r="B6431" s="409"/>
      <c r="C6431" s="416"/>
      <c r="D6431" s="198" t="s">
        <v>41793</v>
      </c>
      <c r="E6431" s="198">
        <v>56</v>
      </c>
      <c r="F6431" s="199" t="s">
        <v>41794</v>
      </c>
      <c r="G6431" s="200"/>
      <c r="H6431" s="200"/>
      <c r="I6431" s="346"/>
      <c r="J6431" s="39">
        <v>106141</v>
      </c>
      <c r="K6431" s="36" t="str">
        <f>CONCATENATE(Cover!$D$6,"fdd/view?i=",J6431)</f>
        <v>https://www.dgiwg.org/FAD/fdd/view?i=106141</v>
      </c>
      <c r="L6431" s="36" t="s">
        <v>41795</v>
      </c>
      <c r="M6431" s="186"/>
      <c r="N6431" s="186"/>
      <c r="O6431" s="172"/>
    </row>
    <row r="6432" spans="1:15" ht="38.25" x14ac:dyDescent="0.2">
      <c r="A6432" s="197" t="str">
        <f t="shared" si="100"/>
        <v>NstCode_loran</v>
      </c>
      <c r="B6432" s="409"/>
      <c r="C6432" s="416"/>
      <c r="D6432" s="198" t="s">
        <v>41804</v>
      </c>
      <c r="E6432" s="198">
        <v>7</v>
      </c>
      <c r="F6432" s="199" t="s">
        <v>41805</v>
      </c>
      <c r="G6432" s="1" t="s">
        <v>41806</v>
      </c>
      <c r="H6432" s="200"/>
      <c r="I6432" s="346"/>
      <c r="J6432" s="39">
        <v>106093</v>
      </c>
      <c r="K6432" s="36" t="str">
        <f>CONCATENATE(Cover!$D$6,"fdd/view?i=",J6432)</f>
        <v>https://www.dgiwg.org/FAD/fdd/view?i=106093</v>
      </c>
      <c r="L6432" s="36" t="s">
        <v>41807</v>
      </c>
      <c r="M6432" s="186"/>
      <c r="N6432" s="186"/>
      <c r="O6432" s="172"/>
    </row>
    <row r="6433" spans="1:15" ht="38.25" x14ac:dyDescent="0.2">
      <c r="A6433" s="197" t="str">
        <f t="shared" si="100"/>
        <v>NstCode_markerRadioBeacon</v>
      </c>
      <c r="B6433" s="409"/>
      <c r="C6433" s="416"/>
      <c r="D6433" s="198" t="s">
        <v>41808</v>
      </c>
      <c r="E6433" s="198">
        <v>76</v>
      </c>
      <c r="F6433" s="199" t="s">
        <v>41809</v>
      </c>
      <c r="G6433" s="1" t="s">
        <v>41810</v>
      </c>
      <c r="H6433" s="200"/>
      <c r="I6433" s="346"/>
      <c r="J6433" s="39">
        <v>106161</v>
      </c>
      <c r="K6433" s="36" t="str">
        <f>CONCATENATE(Cover!$D$6,"fdd/view?i=",J6433)</f>
        <v>https://www.dgiwg.org/FAD/fdd/view?i=106161</v>
      </c>
      <c r="L6433" s="36" t="s">
        <v>41811</v>
      </c>
      <c r="M6433" s="186"/>
      <c r="N6433" s="186"/>
      <c r="O6433" s="172"/>
    </row>
    <row r="6434" spans="1:15" x14ac:dyDescent="0.2">
      <c r="A6434" s="197" t="str">
        <f t="shared" si="100"/>
        <v>NstCode_microwave</v>
      </c>
      <c r="B6434" s="409"/>
      <c r="C6434" s="416"/>
      <c r="D6434" s="198" t="s">
        <v>41812</v>
      </c>
      <c r="E6434" s="198">
        <v>16</v>
      </c>
      <c r="F6434" s="199" t="s">
        <v>41813</v>
      </c>
      <c r="G6434" s="200"/>
      <c r="H6434" s="200"/>
      <c r="I6434" s="346"/>
      <c r="J6434" s="39">
        <v>106102</v>
      </c>
      <c r="K6434" s="36" t="str">
        <f>CONCATENATE(Cover!$D$6,"fdd/view?i=",J6434)</f>
        <v>https://www.dgiwg.org/FAD/fdd/view?i=106102</v>
      </c>
      <c r="L6434" s="36" t="s">
        <v>41814</v>
      </c>
      <c r="M6434" s="186"/>
      <c r="N6434" s="186"/>
      <c r="O6434" s="172"/>
    </row>
    <row r="6435" spans="1:15" ht="51" x14ac:dyDescent="0.2">
      <c r="A6435" s="197" t="str">
        <f t="shared" si="100"/>
        <v>NstCode_microwaveLandingSysAzimuth</v>
      </c>
      <c r="B6435" s="409"/>
      <c r="C6435" s="416"/>
      <c r="D6435" s="198" t="s">
        <v>41818</v>
      </c>
      <c r="E6435" s="198">
        <v>63</v>
      </c>
      <c r="F6435" s="199" t="s">
        <v>4104</v>
      </c>
      <c r="G6435" s="1" t="s">
        <v>41819</v>
      </c>
      <c r="H6435" s="200"/>
      <c r="I6435" s="346"/>
      <c r="J6435" s="39">
        <v>106148</v>
      </c>
      <c r="K6435" s="36" t="str">
        <f>CONCATENATE(Cover!$D$6,"fdd/view?i=",J6435)</f>
        <v>https://www.dgiwg.org/FAD/fdd/view?i=106148</v>
      </c>
      <c r="L6435" s="36" t="s">
        <v>41820</v>
      </c>
      <c r="M6435" s="186"/>
      <c r="N6435" s="186"/>
      <c r="O6435" s="172"/>
    </row>
    <row r="6436" spans="1:15" ht="51" x14ac:dyDescent="0.2">
      <c r="A6436" s="197" t="str">
        <f t="shared" si="100"/>
        <v>NstCode_microwaveLandingSysElev</v>
      </c>
      <c r="B6436" s="409"/>
      <c r="C6436" s="416"/>
      <c r="D6436" s="198" t="s">
        <v>41821</v>
      </c>
      <c r="E6436" s="198">
        <v>64</v>
      </c>
      <c r="F6436" s="199" t="s">
        <v>4109</v>
      </c>
      <c r="G6436" s="1" t="s">
        <v>41822</v>
      </c>
      <c r="H6436" s="200"/>
      <c r="I6436" s="346"/>
      <c r="J6436" s="39">
        <v>106149</v>
      </c>
      <c r="K6436" s="36" t="str">
        <f>CONCATENATE(Cover!$D$6,"fdd/view?i=",J6436)</f>
        <v>https://www.dgiwg.org/FAD/fdd/view?i=106149</v>
      </c>
      <c r="L6436" s="36" t="s">
        <v>41823</v>
      </c>
      <c r="M6436" s="186"/>
      <c r="N6436" s="186"/>
      <c r="O6436" s="172"/>
    </row>
    <row r="6437" spans="1:15" ht="76.5" x14ac:dyDescent="0.2">
      <c r="A6437" s="197" t="str">
        <f t="shared" si="100"/>
        <v>NstCode_microwaveLandingSystem</v>
      </c>
      <c r="B6437" s="409"/>
      <c r="C6437" s="416"/>
      <c r="D6437" s="198" t="s">
        <v>22072</v>
      </c>
      <c r="E6437" s="198">
        <v>30</v>
      </c>
      <c r="F6437" s="199" t="s">
        <v>4098</v>
      </c>
      <c r="G6437" s="1" t="s">
        <v>41815</v>
      </c>
      <c r="H6437" s="1" t="s">
        <v>41816</v>
      </c>
      <c r="I6437" s="346"/>
      <c r="J6437" s="39">
        <v>106116</v>
      </c>
      <c r="K6437" s="36" t="str">
        <f>CONCATENATE(Cover!$D$6,"fdd/view?i=",J6437)</f>
        <v>https://www.dgiwg.org/FAD/fdd/view?i=106116</v>
      </c>
      <c r="L6437" s="36" t="s">
        <v>41817</v>
      </c>
      <c r="M6437" s="186"/>
      <c r="N6437" s="186"/>
      <c r="O6437" s="172"/>
    </row>
    <row r="6438" spans="1:15" ht="76.5" x14ac:dyDescent="0.2">
      <c r="A6438" s="197" t="str">
        <f t="shared" si="100"/>
        <v>NstCode_middleMarker</v>
      </c>
      <c r="B6438" s="409"/>
      <c r="C6438" s="416"/>
      <c r="D6438" s="198" t="s">
        <v>41824</v>
      </c>
      <c r="E6438" s="198">
        <v>79</v>
      </c>
      <c r="F6438" s="199" t="s">
        <v>41825</v>
      </c>
      <c r="G6438" s="1" t="s">
        <v>41826</v>
      </c>
      <c r="H6438" s="1" t="s">
        <v>41827</v>
      </c>
      <c r="I6438" s="346"/>
      <c r="J6438" s="39">
        <v>106164</v>
      </c>
      <c r="K6438" s="36" t="str">
        <f>CONCATENATE(Cover!$D$6,"fdd/view?i=",J6438)</f>
        <v>https://www.dgiwg.org/FAD/fdd/view?i=106164</v>
      </c>
      <c r="L6438" s="36" t="s">
        <v>41828</v>
      </c>
      <c r="M6438" s="186"/>
      <c r="N6438" s="186"/>
      <c r="O6438" s="172"/>
    </row>
    <row r="6439" spans="1:15" ht="63.75" x14ac:dyDescent="0.2">
      <c r="A6439" s="197" t="str">
        <f t="shared" si="100"/>
        <v>NstCode_nonDirRadioBeacon</v>
      </c>
      <c r="B6439" s="409"/>
      <c r="C6439" s="416"/>
      <c r="D6439" s="198" t="s">
        <v>41829</v>
      </c>
      <c r="E6439" s="198">
        <v>17</v>
      </c>
      <c r="F6439" s="199" t="s">
        <v>4300</v>
      </c>
      <c r="G6439" s="1" t="s">
        <v>41830</v>
      </c>
      <c r="H6439" s="200"/>
      <c r="I6439" s="346"/>
      <c r="J6439" s="39">
        <v>106103</v>
      </c>
      <c r="K6439" s="36" t="str">
        <f>CONCATENATE(Cover!$D$6,"fdd/view?i=",J6439)</f>
        <v>https://www.dgiwg.org/FAD/fdd/view?i=106103</v>
      </c>
      <c r="L6439" s="36" t="s">
        <v>41831</v>
      </c>
      <c r="M6439" s="186"/>
      <c r="N6439" s="186"/>
      <c r="O6439" s="172"/>
    </row>
    <row r="6440" spans="1:15" ht="63.75" x14ac:dyDescent="0.2">
      <c r="A6440" s="197" t="str">
        <f t="shared" si="100"/>
        <v>NstCode_nonDirRadioBeaDistMeasEq</v>
      </c>
      <c r="B6440" s="409"/>
      <c r="C6440" s="416"/>
      <c r="D6440" s="198" t="s">
        <v>41832</v>
      </c>
      <c r="E6440" s="198">
        <v>18</v>
      </c>
      <c r="F6440" s="199" t="s">
        <v>41833</v>
      </c>
      <c r="G6440" s="1" t="s">
        <v>41834</v>
      </c>
      <c r="H6440" s="200"/>
      <c r="I6440" s="346"/>
      <c r="J6440" s="39">
        <v>106104</v>
      </c>
      <c r="K6440" s="36" t="str">
        <f>CONCATENATE(Cover!$D$6,"fdd/view?i=",J6440)</f>
        <v>https://www.dgiwg.org/FAD/fdd/view?i=106104</v>
      </c>
      <c r="L6440" s="36" t="s">
        <v>41835</v>
      </c>
      <c r="M6440" s="186"/>
      <c r="N6440" s="186"/>
      <c r="O6440" s="172"/>
    </row>
    <row r="6441" spans="1:15" x14ac:dyDescent="0.2">
      <c r="A6441" s="197" t="str">
        <f t="shared" si="100"/>
        <v>NstCode_none</v>
      </c>
      <c r="B6441" s="409"/>
      <c r="C6441" s="416"/>
      <c r="D6441" s="198" t="s">
        <v>32026</v>
      </c>
      <c r="E6441" s="198">
        <v>52</v>
      </c>
      <c r="F6441" s="199" t="s">
        <v>32027</v>
      </c>
      <c r="G6441" s="200"/>
      <c r="H6441" s="200"/>
      <c r="I6441" s="346"/>
      <c r="J6441" s="39">
        <v>106137</v>
      </c>
      <c r="K6441" s="36" t="str">
        <f>CONCATENATE(Cover!$D$6,"fdd/view?i=",J6441)</f>
        <v>https://www.dgiwg.org/FAD/fdd/view?i=106137</v>
      </c>
      <c r="L6441" s="36" t="s">
        <v>41836</v>
      </c>
      <c r="M6441" s="186"/>
      <c r="N6441" s="186"/>
      <c r="O6441" s="172"/>
    </row>
    <row r="6442" spans="1:15" ht="25.5" x14ac:dyDescent="0.2">
      <c r="A6442" s="197" t="str">
        <f t="shared" si="100"/>
        <v>NstCode_omega</v>
      </c>
      <c r="B6442" s="409"/>
      <c r="C6442" s="416"/>
      <c r="D6442" s="198" t="s">
        <v>41837</v>
      </c>
      <c r="E6442" s="198">
        <v>8</v>
      </c>
      <c r="F6442" s="199" t="s">
        <v>41838</v>
      </c>
      <c r="G6442" s="1" t="s">
        <v>41839</v>
      </c>
      <c r="H6442" s="1" t="s">
        <v>41840</v>
      </c>
      <c r="I6442" s="346"/>
      <c r="J6442" s="39">
        <v>106094</v>
      </c>
      <c r="K6442" s="36" t="str">
        <f>CONCATENATE(Cover!$D$6,"fdd/view?i=",J6442)</f>
        <v>https://www.dgiwg.org/FAD/fdd/view?i=106094</v>
      </c>
      <c r="L6442" s="36" t="s">
        <v>41841</v>
      </c>
      <c r="M6442" s="186"/>
      <c r="N6442" s="186"/>
      <c r="O6442" s="172"/>
    </row>
    <row r="6443" spans="1:15" ht="102" x14ac:dyDescent="0.2">
      <c r="A6443" s="197" t="str">
        <f t="shared" si="100"/>
        <v>NstCode_outerMarker</v>
      </c>
      <c r="B6443" s="409"/>
      <c r="C6443" s="416"/>
      <c r="D6443" s="198" t="s">
        <v>41842</v>
      </c>
      <c r="E6443" s="198">
        <v>78</v>
      </c>
      <c r="F6443" s="199" t="s">
        <v>41843</v>
      </c>
      <c r="G6443" s="1" t="s">
        <v>41826</v>
      </c>
      <c r="H6443" s="1" t="s">
        <v>41844</v>
      </c>
      <c r="I6443" s="346"/>
      <c r="J6443" s="39">
        <v>106163</v>
      </c>
      <c r="K6443" s="36" t="str">
        <f>CONCATENATE(Cover!$D$6,"fdd/view?i=",J6443)</f>
        <v>https://www.dgiwg.org/FAD/fdd/view?i=106163</v>
      </c>
      <c r="L6443" s="36" t="s">
        <v>41845</v>
      </c>
      <c r="M6443" s="186"/>
      <c r="N6443" s="186"/>
      <c r="O6443" s="172"/>
    </row>
    <row r="6444" spans="1:15" ht="25.5" x14ac:dyDescent="0.2">
      <c r="A6444" s="197" t="str">
        <f t="shared" si="100"/>
        <v>NstCode_papi</v>
      </c>
      <c r="B6444" s="409"/>
      <c r="C6444" s="416"/>
      <c r="D6444" s="198" t="s">
        <v>20057</v>
      </c>
      <c r="E6444" s="198">
        <v>65</v>
      </c>
      <c r="F6444" s="199" t="s">
        <v>41850</v>
      </c>
      <c r="G6444" s="200"/>
      <c r="H6444" s="200"/>
      <c r="I6444" s="346"/>
      <c r="J6444" s="39">
        <v>106150</v>
      </c>
      <c r="K6444" s="36" t="str">
        <f>CONCATENATE(Cover!$D$6,"fdd/view?i=",J6444)</f>
        <v>https://www.dgiwg.org/FAD/fdd/view?i=106150</v>
      </c>
      <c r="L6444" s="36" t="s">
        <v>41851</v>
      </c>
      <c r="M6444" s="186"/>
      <c r="N6444" s="186"/>
      <c r="O6444" s="172"/>
    </row>
    <row r="6445" spans="1:15" ht="38.25" x14ac:dyDescent="0.2">
      <c r="A6445" s="197" t="str">
        <f t="shared" si="100"/>
        <v>NstCode_parTouchdownReflector</v>
      </c>
      <c r="B6445" s="409"/>
      <c r="C6445" s="416"/>
      <c r="D6445" s="198" t="s">
        <v>41846</v>
      </c>
      <c r="E6445" s="198">
        <v>71</v>
      </c>
      <c r="F6445" s="199" t="s">
        <v>41847</v>
      </c>
      <c r="G6445" s="1" t="s">
        <v>41848</v>
      </c>
      <c r="H6445" s="200"/>
      <c r="I6445" s="346"/>
      <c r="J6445" s="39">
        <v>106156</v>
      </c>
      <c r="K6445" s="36" t="str">
        <f>CONCATENATE(Cover!$D$6,"fdd/view?i=",J6445)</f>
        <v>https://www.dgiwg.org/FAD/fdd/view?i=106156</v>
      </c>
      <c r="L6445" s="36" t="s">
        <v>41849</v>
      </c>
      <c r="M6445" s="186"/>
      <c r="N6445" s="186"/>
      <c r="O6445" s="172"/>
    </row>
    <row r="6446" spans="1:15" ht="25.5" x14ac:dyDescent="0.2">
      <c r="A6446" s="197" t="str">
        <f t="shared" si="100"/>
        <v>NstCode_precisionApproachRadar</v>
      </c>
      <c r="B6446" s="409"/>
      <c r="C6446" s="416"/>
      <c r="D6446" s="198" t="s">
        <v>22090</v>
      </c>
      <c r="E6446" s="198">
        <v>37</v>
      </c>
      <c r="F6446" s="199" t="s">
        <v>4529</v>
      </c>
      <c r="G6446" s="1" t="s">
        <v>41852</v>
      </c>
      <c r="H6446" s="200"/>
      <c r="I6446" s="346"/>
      <c r="J6446" s="39">
        <v>106122</v>
      </c>
      <c r="K6446" s="36" t="str">
        <f>CONCATENATE(Cover!$D$6,"fdd/view?i=",J6446)</f>
        <v>https://www.dgiwg.org/FAD/fdd/view?i=106122</v>
      </c>
      <c r="L6446" s="36" t="s">
        <v>41853</v>
      </c>
      <c r="M6446" s="186"/>
      <c r="N6446" s="186"/>
      <c r="O6446" s="172"/>
    </row>
    <row r="6447" spans="1:15" ht="38.25" x14ac:dyDescent="0.2">
      <c r="A6447" s="197" t="str">
        <f t="shared" si="100"/>
        <v>NstCode_pulsatingVisAppSlopeInd</v>
      </c>
      <c r="B6447" s="409"/>
      <c r="C6447" s="416"/>
      <c r="D6447" s="198" t="s">
        <v>41854</v>
      </c>
      <c r="E6447" s="198">
        <v>66</v>
      </c>
      <c r="F6447" s="199" t="s">
        <v>41855</v>
      </c>
      <c r="G6447" s="200"/>
      <c r="H6447" s="200"/>
      <c r="I6447" s="346"/>
      <c r="J6447" s="39">
        <v>106151</v>
      </c>
      <c r="K6447" s="36" t="str">
        <f>CONCATENATE(Cover!$D$6,"fdd/view?i=",J6447)</f>
        <v>https://www.dgiwg.org/FAD/fdd/view?i=106151</v>
      </c>
      <c r="L6447" s="36" t="s">
        <v>41856</v>
      </c>
      <c r="M6447" s="186"/>
      <c r="N6447" s="186"/>
      <c r="O6447" s="172"/>
    </row>
    <row r="6448" spans="1:15" x14ac:dyDescent="0.2">
      <c r="A6448" s="197" t="str">
        <f t="shared" si="100"/>
        <v>NstCode_qtgStation</v>
      </c>
      <c r="B6448" s="409"/>
      <c r="C6448" s="416"/>
      <c r="D6448" s="198" t="s">
        <v>38529</v>
      </c>
      <c r="E6448" s="198">
        <v>53</v>
      </c>
      <c r="F6448" s="199" t="s">
        <v>41857</v>
      </c>
      <c r="G6448" s="200"/>
      <c r="H6448" s="200"/>
      <c r="I6448" s="346"/>
      <c r="J6448" s="39">
        <v>106138</v>
      </c>
      <c r="K6448" s="36" t="str">
        <f>CONCATENATE(Cover!$D$6,"fdd/view?i=",J6448)</f>
        <v>https://www.dgiwg.org/FAD/fdd/view?i=106138</v>
      </c>
      <c r="L6448" s="36" t="s">
        <v>41858</v>
      </c>
      <c r="M6448" s="186"/>
      <c r="N6448" s="186"/>
      <c r="O6448" s="172"/>
    </row>
    <row r="6449" spans="1:15" ht="51" x14ac:dyDescent="0.2">
      <c r="A6449" s="197" t="str">
        <f t="shared" si="100"/>
        <v>NstCode_radar</v>
      </c>
      <c r="B6449" s="409"/>
      <c r="C6449" s="416"/>
      <c r="D6449" s="198" t="s">
        <v>26528</v>
      </c>
      <c r="E6449" s="198">
        <v>11</v>
      </c>
      <c r="F6449" s="199" t="s">
        <v>26529</v>
      </c>
      <c r="G6449" s="1" t="s">
        <v>41859</v>
      </c>
      <c r="H6449" s="200"/>
      <c r="I6449" s="346"/>
      <c r="J6449" s="39">
        <v>106097</v>
      </c>
      <c r="K6449" s="36" t="str">
        <f>CONCATENATE(Cover!$D$6,"fdd/view?i=",J6449)</f>
        <v>https://www.dgiwg.org/FAD/fdd/view?i=106097</v>
      </c>
      <c r="L6449" s="36" t="s">
        <v>41860</v>
      </c>
      <c r="M6449" s="186"/>
      <c r="N6449" s="186"/>
      <c r="O6449" s="172"/>
    </row>
    <row r="6450" spans="1:15" ht="25.5" x14ac:dyDescent="0.2">
      <c r="A6450" s="197" t="str">
        <f t="shared" si="100"/>
        <v>NstCode_radarAntenna</v>
      </c>
      <c r="B6450" s="409"/>
      <c r="C6450" s="416"/>
      <c r="D6450" s="198" t="s">
        <v>41861</v>
      </c>
      <c r="E6450" s="198">
        <v>35</v>
      </c>
      <c r="F6450" s="199" t="s">
        <v>41862</v>
      </c>
      <c r="G6450" s="1" t="s">
        <v>41863</v>
      </c>
      <c r="H6450" s="200"/>
      <c r="I6450" s="346"/>
      <c r="J6450" s="39">
        <v>106121</v>
      </c>
      <c r="K6450" s="36" t="str">
        <f>CONCATENATE(Cover!$D$6,"fdd/view?i=",J6450)</f>
        <v>https://www.dgiwg.org/FAD/fdd/view?i=106121</v>
      </c>
      <c r="L6450" s="36" t="s">
        <v>41864</v>
      </c>
      <c r="M6450" s="186"/>
      <c r="N6450" s="186"/>
      <c r="O6450" s="172"/>
    </row>
    <row r="6451" spans="1:15" ht="89.25" x14ac:dyDescent="0.2">
      <c r="A6451" s="197" t="str">
        <f t="shared" si="100"/>
        <v>NstCode_radarMarker</v>
      </c>
      <c r="B6451" s="409"/>
      <c r="C6451" s="416"/>
      <c r="D6451" s="198" t="s">
        <v>38534</v>
      </c>
      <c r="E6451" s="198">
        <v>54</v>
      </c>
      <c r="F6451" s="199" t="s">
        <v>38535</v>
      </c>
      <c r="G6451" s="1" t="s">
        <v>38536</v>
      </c>
      <c r="H6451" s="1" t="s">
        <v>41865</v>
      </c>
      <c r="I6451" s="346"/>
      <c r="J6451" s="39">
        <v>106139</v>
      </c>
      <c r="K6451" s="36" t="str">
        <f>CONCATENATE(Cover!$D$6,"fdd/view?i=",J6451)</f>
        <v>https://www.dgiwg.org/FAD/fdd/view?i=106139</v>
      </c>
      <c r="L6451" s="36" t="s">
        <v>41866</v>
      </c>
      <c r="M6451" s="186"/>
      <c r="N6451" s="186"/>
      <c r="O6451" s="172"/>
    </row>
    <row r="6452" spans="1:15" x14ac:dyDescent="0.2">
      <c r="A6452" s="197" t="str">
        <f t="shared" si="100"/>
        <v>NstCode_radarReflector</v>
      </c>
      <c r="B6452" s="409"/>
      <c r="C6452" s="416"/>
      <c r="D6452" s="198" t="s">
        <v>41867</v>
      </c>
      <c r="E6452" s="198">
        <v>55</v>
      </c>
      <c r="F6452" s="199" t="s">
        <v>41868</v>
      </c>
      <c r="G6452" s="200"/>
      <c r="H6452" s="200"/>
      <c r="I6452" s="346"/>
      <c r="J6452" s="39">
        <v>106140</v>
      </c>
      <c r="K6452" s="36" t="str">
        <f>CONCATENATE(Cover!$D$6,"fdd/view?i=",J6452)</f>
        <v>https://www.dgiwg.org/FAD/fdd/view?i=106140</v>
      </c>
      <c r="L6452" s="36" t="s">
        <v>41869</v>
      </c>
      <c r="M6452" s="186"/>
      <c r="N6452" s="186"/>
      <c r="O6452" s="172"/>
    </row>
    <row r="6453" spans="1:15" ht="89.25" x14ac:dyDescent="0.2">
      <c r="A6453" s="197" t="str">
        <f t="shared" si="100"/>
        <v>NstCode_radarResponderBeacon</v>
      </c>
      <c r="B6453" s="409"/>
      <c r="C6453" s="416"/>
      <c r="D6453" s="198" t="s">
        <v>38539</v>
      </c>
      <c r="E6453" s="198">
        <v>10</v>
      </c>
      <c r="F6453" s="199" t="s">
        <v>38540</v>
      </c>
      <c r="G6453" s="1" t="s">
        <v>38541</v>
      </c>
      <c r="H6453" s="1" t="s">
        <v>41870</v>
      </c>
      <c r="I6453" s="346"/>
      <c r="J6453" s="39">
        <v>106096</v>
      </c>
      <c r="K6453" s="36" t="str">
        <f>CONCATENATE(Cover!$D$6,"fdd/view?i=",J6453)</f>
        <v>https://www.dgiwg.org/FAD/fdd/view?i=106096</v>
      </c>
      <c r="L6453" s="36" t="s">
        <v>41871</v>
      </c>
      <c r="M6453" s="186"/>
      <c r="N6453" s="186"/>
      <c r="O6453" s="172"/>
    </row>
    <row r="6454" spans="1:15" x14ac:dyDescent="0.2">
      <c r="A6454" s="197" t="str">
        <f t="shared" si="100"/>
        <v>NstCode_radarStation</v>
      </c>
      <c r="B6454" s="409"/>
      <c r="C6454" s="416"/>
      <c r="D6454" s="198" t="s">
        <v>41872</v>
      </c>
      <c r="E6454" s="198">
        <v>45</v>
      </c>
      <c r="F6454" s="199" t="s">
        <v>4603</v>
      </c>
      <c r="G6454" s="200"/>
      <c r="H6454" s="200"/>
      <c r="I6454" s="346"/>
      <c r="J6454" s="39">
        <v>106130</v>
      </c>
      <c r="K6454" s="36" t="str">
        <f>CONCATENATE(Cover!$D$6,"fdd/view?i=",J6454)</f>
        <v>https://www.dgiwg.org/FAD/fdd/view?i=106130</v>
      </c>
      <c r="L6454" s="36" t="s">
        <v>41873</v>
      </c>
      <c r="M6454" s="186"/>
      <c r="N6454" s="186"/>
      <c r="O6454" s="172"/>
    </row>
    <row r="6455" spans="1:15" ht="25.5" x14ac:dyDescent="0.2">
      <c r="A6455" s="197" t="str">
        <f t="shared" si="100"/>
        <v>NstCode_radio</v>
      </c>
      <c r="B6455" s="409"/>
      <c r="C6455" s="416"/>
      <c r="D6455" s="198" t="s">
        <v>32030</v>
      </c>
      <c r="E6455" s="198">
        <v>12</v>
      </c>
      <c r="F6455" s="199" t="s">
        <v>32031</v>
      </c>
      <c r="G6455" s="1" t="s">
        <v>41874</v>
      </c>
      <c r="H6455" s="200"/>
      <c r="I6455" s="346"/>
      <c r="J6455" s="39">
        <v>106098</v>
      </c>
      <c r="K6455" s="36" t="str">
        <f>CONCATENATE(Cover!$D$6,"fdd/view?i=",J6455)</f>
        <v>https://www.dgiwg.org/FAD/fdd/view?i=106098</v>
      </c>
      <c r="L6455" s="36" t="s">
        <v>41875</v>
      </c>
      <c r="M6455" s="186"/>
      <c r="N6455" s="186"/>
      <c r="O6455" s="172"/>
    </row>
    <row r="6456" spans="1:15" x14ac:dyDescent="0.2">
      <c r="A6456" s="197" t="str">
        <f t="shared" si="100"/>
        <v>NstCode_radiobeacon</v>
      </c>
      <c r="B6456" s="409"/>
      <c r="C6456" s="416"/>
      <c r="D6456" s="198" t="s">
        <v>25072</v>
      </c>
      <c r="E6456" s="198">
        <v>40</v>
      </c>
      <c r="F6456" s="199" t="s">
        <v>25073</v>
      </c>
      <c r="G6456" s="200"/>
      <c r="H6456" s="200"/>
      <c r="I6456" s="346"/>
      <c r="J6456" s="39">
        <v>106125</v>
      </c>
      <c r="K6456" s="36" t="str">
        <f>CONCATENATE(Cover!$D$6,"fdd/view?i=",J6456)</f>
        <v>https://www.dgiwg.org/FAD/fdd/view?i=106125</v>
      </c>
      <c r="L6456" s="36" t="s">
        <v>41890</v>
      </c>
      <c r="M6456" s="186"/>
      <c r="N6456" s="186"/>
      <c r="O6456" s="172"/>
    </row>
    <row r="6457" spans="1:15" ht="51" x14ac:dyDescent="0.2">
      <c r="A6457" s="197" t="str">
        <f t="shared" si="100"/>
        <v>NstCode_radiobeaconTypeUnknown</v>
      </c>
      <c r="B6457" s="409"/>
      <c r="C6457" s="416"/>
      <c r="D6457" s="198" t="s">
        <v>41928</v>
      </c>
      <c r="E6457" s="198">
        <v>51</v>
      </c>
      <c r="F6457" s="199" t="s">
        <v>41929</v>
      </c>
      <c r="G6457" s="1" t="s">
        <v>41930</v>
      </c>
      <c r="H6457" s="200"/>
      <c r="I6457" s="346"/>
      <c r="J6457" s="39">
        <v>106136</v>
      </c>
      <c r="K6457" s="36" t="str">
        <f>CONCATENATE(Cover!$D$6,"fdd/view?i=",J6457)</f>
        <v>https://www.dgiwg.org/FAD/fdd/view?i=106136</v>
      </c>
      <c r="L6457" s="36" t="s">
        <v>41931</v>
      </c>
      <c r="M6457" s="186"/>
      <c r="N6457" s="186"/>
      <c r="O6457" s="172"/>
    </row>
    <row r="6458" spans="1:15" ht="25.5" x14ac:dyDescent="0.2">
      <c r="A6458" s="197" t="str">
        <f t="shared" si="100"/>
        <v>NstCode_radioDirectionFinding</v>
      </c>
      <c r="B6458" s="409"/>
      <c r="C6458" s="416"/>
      <c r="D6458" s="198" t="s">
        <v>41876</v>
      </c>
      <c r="E6458" s="198">
        <v>4</v>
      </c>
      <c r="F6458" s="199" t="s">
        <v>41877</v>
      </c>
      <c r="G6458" s="1" t="s">
        <v>41878</v>
      </c>
      <c r="H6458" s="200"/>
      <c r="I6458" s="346"/>
      <c r="J6458" s="39">
        <v>106090</v>
      </c>
      <c r="K6458" s="36" t="str">
        <f>CONCATENATE(Cover!$D$6,"fdd/view?i=",J6458)</f>
        <v>https://www.dgiwg.org/FAD/fdd/view?i=106090</v>
      </c>
      <c r="L6458" s="36" t="s">
        <v>41879</v>
      </c>
      <c r="M6458" s="186"/>
      <c r="N6458" s="186"/>
      <c r="O6458" s="172"/>
    </row>
    <row r="6459" spans="1:15" x14ac:dyDescent="0.2">
      <c r="A6459" s="197" t="str">
        <f t="shared" si="100"/>
        <v>NstCode_radioRange</v>
      </c>
      <c r="B6459" s="409"/>
      <c r="C6459" s="416"/>
      <c r="D6459" s="198" t="s">
        <v>41880</v>
      </c>
      <c r="E6459" s="198">
        <v>19</v>
      </c>
      <c r="F6459" s="199" t="s">
        <v>41881</v>
      </c>
      <c r="G6459" s="200"/>
      <c r="H6459" s="200"/>
      <c r="I6459" s="346"/>
      <c r="J6459" s="39">
        <v>106105</v>
      </c>
      <c r="K6459" s="36" t="str">
        <f>CONCATENATE(Cover!$D$6,"fdd/view?i=",J6459)</f>
        <v>https://www.dgiwg.org/FAD/fdd/view?i=106105</v>
      </c>
      <c r="L6459" s="36" t="s">
        <v>41882</v>
      </c>
      <c r="M6459" s="186"/>
      <c r="N6459" s="186"/>
      <c r="O6459" s="172"/>
    </row>
    <row r="6460" spans="1:15" x14ac:dyDescent="0.2">
      <c r="A6460" s="197" t="str">
        <f t="shared" si="100"/>
        <v>NstCode_radioStation</v>
      </c>
      <c r="B6460" s="409"/>
      <c r="C6460" s="416"/>
      <c r="D6460" s="198" t="s">
        <v>41883</v>
      </c>
      <c r="E6460" s="198">
        <v>50</v>
      </c>
      <c r="F6460" s="199" t="s">
        <v>41884</v>
      </c>
      <c r="G6460" s="200"/>
      <c r="H6460" s="200"/>
      <c r="I6460" s="346"/>
      <c r="J6460" s="39">
        <v>106135</v>
      </c>
      <c r="K6460" s="36" t="str">
        <f>CONCATENATE(Cover!$D$6,"fdd/view?i=",J6460)</f>
        <v>https://www.dgiwg.org/FAD/fdd/view?i=106135</v>
      </c>
      <c r="L6460" s="36" t="s">
        <v>41885</v>
      </c>
      <c r="M6460" s="186"/>
      <c r="N6460" s="186"/>
      <c r="O6460" s="172"/>
    </row>
    <row r="6461" spans="1:15" ht="25.5" x14ac:dyDescent="0.2">
      <c r="A6461" s="197" t="str">
        <f t="shared" si="100"/>
        <v>NstCode_radioTelegraph</v>
      </c>
      <c r="B6461" s="409"/>
      <c r="C6461" s="416"/>
      <c r="D6461" s="198" t="s">
        <v>41891</v>
      </c>
      <c r="E6461" s="198">
        <v>33</v>
      </c>
      <c r="F6461" s="199" t="s">
        <v>41892</v>
      </c>
      <c r="G6461" s="1" t="s">
        <v>41893</v>
      </c>
      <c r="H6461" s="200"/>
      <c r="I6461" s="346"/>
      <c r="J6461" s="39">
        <v>106119</v>
      </c>
      <c r="K6461" s="36" t="str">
        <f>CONCATENATE(Cover!$D$6,"fdd/view?i=",J6461)</f>
        <v>https://www.dgiwg.org/FAD/fdd/view?i=106119</v>
      </c>
      <c r="L6461" s="36" t="s">
        <v>41894</v>
      </c>
      <c r="M6461" s="186"/>
      <c r="N6461" s="186"/>
      <c r="O6461" s="172"/>
    </row>
    <row r="6462" spans="1:15" ht="25.5" x14ac:dyDescent="0.2">
      <c r="A6462" s="197" t="str">
        <f t="shared" si="100"/>
        <v>NstCode_radioTelephone</v>
      </c>
      <c r="B6462" s="409"/>
      <c r="C6462" s="416"/>
      <c r="D6462" s="198" t="s">
        <v>41886</v>
      </c>
      <c r="E6462" s="198">
        <v>13</v>
      </c>
      <c r="F6462" s="199" t="s">
        <v>41887</v>
      </c>
      <c r="G6462" s="1" t="s">
        <v>41888</v>
      </c>
      <c r="H6462" s="200"/>
      <c r="I6462" s="346"/>
      <c r="J6462" s="39">
        <v>106099</v>
      </c>
      <c r="K6462" s="36" t="str">
        <f>CONCATENATE(Cover!$D$6,"fdd/view?i=",J6462)</f>
        <v>https://www.dgiwg.org/FAD/fdd/view?i=106099</v>
      </c>
      <c r="L6462" s="36" t="s">
        <v>41889</v>
      </c>
      <c r="M6462" s="186"/>
      <c r="N6462" s="186"/>
      <c r="O6462" s="172"/>
    </row>
    <row r="6463" spans="1:15" ht="25.5" x14ac:dyDescent="0.2">
      <c r="A6463" s="197" t="str">
        <f t="shared" si="100"/>
        <v>NstCode_rotatingBeaconLight</v>
      </c>
      <c r="B6463" s="409"/>
      <c r="C6463" s="416"/>
      <c r="D6463" s="198" t="s">
        <v>41895</v>
      </c>
      <c r="E6463" s="198">
        <v>82</v>
      </c>
      <c r="F6463" s="199" t="s">
        <v>41896</v>
      </c>
      <c r="G6463" s="200"/>
      <c r="H6463" s="200"/>
      <c r="I6463" s="346"/>
      <c r="J6463" s="39">
        <v>106167</v>
      </c>
      <c r="K6463" s="36" t="str">
        <f>CONCATENATE(Cover!$D$6,"fdd/view?i=",J6463)</f>
        <v>https://www.dgiwg.org/FAD/fdd/view?i=106167</v>
      </c>
      <c r="L6463" s="36" t="s">
        <v>41897</v>
      </c>
      <c r="M6463" s="186"/>
      <c r="N6463" s="186"/>
      <c r="O6463" s="172"/>
    </row>
    <row r="6464" spans="1:15" ht="25.5" x14ac:dyDescent="0.2">
      <c r="A6464" s="197" t="str">
        <f t="shared" si="100"/>
        <v>NstCode_rotatingLoopRadioBeacon</v>
      </c>
      <c r="B6464" s="409"/>
      <c r="C6464" s="416"/>
      <c r="D6464" s="198" t="s">
        <v>41898</v>
      </c>
      <c r="E6464" s="198">
        <v>41</v>
      </c>
      <c r="F6464" s="199" t="s">
        <v>41899</v>
      </c>
      <c r="G6464" s="200"/>
      <c r="H6464" s="200"/>
      <c r="I6464" s="346"/>
      <c r="J6464" s="39">
        <v>106126</v>
      </c>
      <c r="K6464" s="36" t="str">
        <f>CONCATENATE(Cover!$D$6,"fdd/view?i=",J6464)</f>
        <v>https://www.dgiwg.org/FAD/fdd/view?i=106126</v>
      </c>
      <c r="L6464" s="36" t="s">
        <v>41900</v>
      </c>
      <c r="M6464" s="186"/>
      <c r="N6464" s="186"/>
      <c r="O6464" s="172"/>
    </row>
    <row r="6465" spans="1:15" ht="153" x14ac:dyDescent="0.2">
      <c r="A6465" s="197" t="str">
        <f t="shared" si="100"/>
        <v>NstCode_simplifiedDirectFacility</v>
      </c>
      <c r="B6465" s="409"/>
      <c r="C6465" s="416"/>
      <c r="D6465" s="198" t="s">
        <v>41901</v>
      </c>
      <c r="E6465" s="198">
        <v>28</v>
      </c>
      <c r="F6465" s="199" t="s">
        <v>5064</v>
      </c>
      <c r="G6465" s="1" t="s">
        <v>41902</v>
      </c>
      <c r="H6465" s="1" t="s">
        <v>41903</v>
      </c>
      <c r="I6465" s="346"/>
      <c r="J6465" s="39">
        <v>106114</v>
      </c>
      <c r="K6465" s="36" t="str">
        <f>CONCATENATE(Cover!$D$6,"fdd/view?i=",J6465)</f>
        <v>https://www.dgiwg.org/FAD/fdd/view?i=106114</v>
      </c>
      <c r="L6465" s="36" t="s">
        <v>41904</v>
      </c>
      <c r="M6465" s="186"/>
      <c r="N6465" s="186"/>
      <c r="O6465" s="172"/>
    </row>
    <row r="6466" spans="1:15" x14ac:dyDescent="0.2">
      <c r="A6466" s="197" t="str">
        <f t="shared" ref="A6466:A6529" si="101">HYPERLINK(K6466,L6466)</f>
        <v>NstCode_syledis</v>
      </c>
      <c r="B6466" s="409"/>
      <c r="C6466" s="416"/>
      <c r="D6466" s="198" t="s">
        <v>41905</v>
      </c>
      <c r="E6466" s="198">
        <v>61</v>
      </c>
      <c r="F6466" s="199" t="s">
        <v>41906</v>
      </c>
      <c r="G6466" s="200"/>
      <c r="H6466" s="200"/>
      <c r="I6466" s="346"/>
      <c r="J6466" s="39">
        <v>106146</v>
      </c>
      <c r="K6466" s="36" t="str">
        <f>CONCATENATE(Cover!$D$6,"fdd/view?i=",J6466)</f>
        <v>https://www.dgiwg.org/FAD/fdd/view?i=106146</v>
      </c>
      <c r="L6466" s="36" t="s">
        <v>41907</v>
      </c>
      <c r="M6466" s="186"/>
      <c r="N6466" s="186"/>
      <c r="O6466" s="172"/>
    </row>
    <row r="6467" spans="1:15" ht="89.25" x14ac:dyDescent="0.2">
      <c r="A6467" s="197" t="str">
        <f t="shared" si="101"/>
        <v>NstCode_tacticalAirNavigationAid</v>
      </c>
      <c r="B6467" s="409"/>
      <c r="C6467" s="416"/>
      <c r="D6467" s="198" t="s">
        <v>41911</v>
      </c>
      <c r="E6467" s="198">
        <v>23</v>
      </c>
      <c r="F6467" s="199" t="s">
        <v>41912</v>
      </c>
      <c r="G6467" s="1" t="s">
        <v>5354</v>
      </c>
      <c r="H6467" s="1" t="s">
        <v>41913</v>
      </c>
      <c r="I6467" s="346"/>
      <c r="J6467" s="39">
        <v>106109</v>
      </c>
      <c r="K6467" s="36" t="str">
        <f>CONCATENATE(Cover!$D$6,"fdd/view?i=",J6467)</f>
        <v>https://www.dgiwg.org/FAD/fdd/view?i=106109</v>
      </c>
      <c r="L6467" s="36" t="s">
        <v>41914</v>
      </c>
      <c r="M6467" s="186"/>
      <c r="N6467" s="186"/>
      <c r="O6467" s="172"/>
    </row>
    <row r="6468" spans="1:15" ht="38.25" x14ac:dyDescent="0.2">
      <c r="A6468" s="197" t="str">
        <f t="shared" si="101"/>
        <v>NstCode_teeVisAppSlopeInd</v>
      </c>
      <c r="B6468" s="409"/>
      <c r="C6468" s="416"/>
      <c r="D6468" s="198" t="s">
        <v>41908</v>
      </c>
      <c r="E6468" s="198">
        <v>69</v>
      </c>
      <c r="F6468" s="356" t="s">
        <v>41909</v>
      </c>
      <c r="G6468" s="200"/>
      <c r="H6468" s="200"/>
      <c r="I6468" s="346"/>
      <c r="J6468" s="39">
        <v>106154</v>
      </c>
      <c r="K6468" s="36" t="str">
        <f>CONCATENATE(Cover!$D$6,"fdd/view?i=",J6468)</f>
        <v>https://www.dgiwg.org/FAD/fdd/view?i=106154</v>
      </c>
      <c r="L6468" s="36" t="s">
        <v>41910</v>
      </c>
      <c r="M6468" s="186"/>
      <c r="N6468" s="186"/>
      <c r="O6468" s="172"/>
    </row>
    <row r="6469" spans="1:15" ht="25.5" x14ac:dyDescent="0.2">
      <c r="A6469" s="197" t="str">
        <f t="shared" si="101"/>
        <v>NstCode_television</v>
      </c>
      <c r="B6469" s="409"/>
      <c r="C6469" s="416"/>
      <c r="D6469" s="198" t="s">
        <v>41915</v>
      </c>
      <c r="E6469" s="198">
        <v>15</v>
      </c>
      <c r="F6469" s="199" t="s">
        <v>41916</v>
      </c>
      <c r="G6469" s="1" t="s">
        <v>41917</v>
      </c>
      <c r="H6469" s="200"/>
      <c r="I6469" s="346"/>
      <c r="J6469" s="39">
        <v>106101</v>
      </c>
      <c r="K6469" s="36" t="str">
        <f>CONCATENATE(Cover!$D$6,"fdd/view?i=",J6469)</f>
        <v>https://www.dgiwg.org/FAD/fdd/view?i=106101</v>
      </c>
      <c r="L6469" s="36" t="s">
        <v>41918</v>
      </c>
      <c r="M6469" s="186"/>
      <c r="N6469" s="186"/>
      <c r="O6469" s="172"/>
    </row>
    <row r="6470" spans="1:15" x14ac:dyDescent="0.2">
      <c r="A6470" s="197" t="str">
        <f t="shared" si="101"/>
        <v>NstCode_toran</v>
      </c>
      <c r="B6470" s="409"/>
      <c r="C6470" s="416"/>
      <c r="D6470" s="198" t="s">
        <v>41919</v>
      </c>
      <c r="E6470" s="198">
        <v>60</v>
      </c>
      <c r="F6470" s="199" t="s">
        <v>41920</v>
      </c>
      <c r="G6470" s="200"/>
      <c r="H6470" s="200"/>
      <c r="I6470" s="346"/>
      <c r="J6470" s="39">
        <v>106145</v>
      </c>
      <c r="K6470" s="36" t="str">
        <f>CONCATENATE(Cover!$D$6,"fdd/view?i=",J6470)</f>
        <v>https://www.dgiwg.org/FAD/fdd/view?i=106145</v>
      </c>
      <c r="L6470" s="36" t="s">
        <v>41921</v>
      </c>
      <c r="M6470" s="186"/>
      <c r="N6470" s="186"/>
      <c r="O6470" s="172"/>
    </row>
    <row r="6471" spans="1:15" x14ac:dyDescent="0.2">
      <c r="A6471" s="197" t="str">
        <f t="shared" si="101"/>
        <v>NstCode_tricolorPanel</v>
      </c>
      <c r="B6471" s="409"/>
      <c r="C6471" s="416"/>
      <c r="D6471" s="198" t="s">
        <v>41922</v>
      </c>
      <c r="E6471" s="198">
        <v>49</v>
      </c>
      <c r="F6471" s="199" t="s">
        <v>41923</v>
      </c>
      <c r="G6471" s="200"/>
      <c r="H6471" s="200"/>
      <c r="I6471" s="346"/>
      <c r="J6471" s="39">
        <v>106134</v>
      </c>
      <c r="K6471" s="36" t="str">
        <f>CONCATENATE(Cover!$D$6,"fdd/view?i=",J6471)</f>
        <v>https://www.dgiwg.org/FAD/fdd/view?i=106134</v>
      </c>
      <c r="L6471" s="36" t="s">
        <v>41924</v>
      </c>
      <c r="M6471" s="186"/>
      <c r="N6471" s="186"/>
      <c r="O6471" s="172"/>
    </row>
    <row r="6472" spans="1:15" ht="38.25" x14ac:dyDescent="0.2">
      <c r="A6472" s="197" t="str">
        <f t="shared" si="101"/>
        <v>NstCode_triColorVisAppSlopeInd</v>
      </c>
      <c r="B6472" s="409"/>
      <c r="C6472" s="416"/>
      <c r="D6472" s="198" t="s">
        <v>41925</v>
      </c>
      <c r="E6472" s="198">
        <v>68</v>
      </c>
      <c r="F6472" s="199" t="s">
        <v>41926</v>
      </c>
      <c r="G6472" s="200"/>
      <c r="H6472" s="200"/>
      <c r="I6472" s="346"/>
      <c r="J6472" s="39">
        <v>106153</v>
      </c>
      <c r="K6472" s="36" t="str">
        <f>CONCATENATE(Cover!$D$6,"fdd/view?i=",J6472)</f>
        <v>https://www.dgiwg.org/FAD/fdd/view?i=106153</v>
      </c>
      <c r="L6472" s="36" t="s">
        <v>41927</v>
      </c>
      <c r="M6472" s="186"/>
      <c r="N6472" s="186"/>
      <c r="O6472" s="172"/>
    </row>
    <row r="6473" spans="1:15" ht="38.25" x14ac:dyDescent="0.2">
      <c r="A6473" s="197" t="str">
        <f t="shared" si="101"/>
        <v>NstCode_vfrTestSignalMaker</v>
      </c>
      <c r="B6473" s="409"/>
      <c r="C6473" s="416"/>
      <c r="D6473" s="198" t="s">
        <v>41948</v>
      </c>
      <c r="E6473" s="198">
        <v>42</v>
      </c>
      <c r="F6473" s="199" t="s">
        <v>41949</v>
      </c>
      <c r="G6473" s="200"/>
      <c r="H6473" s="200"/>
      <c r="I6473" s="346"/>
      <c r="J6473" s="39">
        <v>106127</v>
      </c>
      <c r="K6473" s="36" t="str">
        <f>CONCATENATE(Cover!$D$6,"fdd/view?i=",J6473)</f>
        <v>https://www.dgiwg.org/FAD/fdd/view?i=106127</v>
      </c>
      <c r="L6473" s="36" t="s">
        <v>41950</v>
      </c>
      <c r="M6473" s="186"/>
      <c r="N6473" s="186"/>
      <c r="O6473" s="172"/>
    </row>
    <row r="6474" spans="1:15" ht="63.75" x14ac:dyDescent="0.2">
      <c r="A6474" s="197" t="str">
        <f t="shared" si="101"/>
        <v>NstCode_vhfOmniBeacDistMeasEq</v>
      </c>
      <c r="B6474" s="409"/>
      <c r="C6474" s="416"/>
      <c r="D6474" s="198" t="s">
        <v>41936</v>
      </c>
      <c r="E6474" s="198">
        <v>21</v>
      </c>
      <c r="F6474" s="199" t="s">
        <v>41937</v>
      </c>
      <c r="G6474" s="1" t="s">
        <v>41938</v>
      </c>
      <c r="H6474" s="200"/>
      <c r="I6474" s="346"/>
      <c r="J6474" s="39">
        <v>106107</v>
      </c>
      <c r="K6474" s="36" t="str">
        <f>CONCATENATE(Cover!$D$6,"fdd/view?i=",J6474)</f>
        <v>https://www.dgiwg.org/FAD/fdd/view?i=106107</v>
      </c>
      <c r="L6474" s="36" t="s">
        <v>41939</v>
      </c>
      <c r="M6474" s="186"/>
      <c r="N6474" s="186"/>
      <c r="O6474" s="172"/>
    </row>
    <row r="6475" spans="1:15" ht="63.75" x14ac:dyDescent="0.2">
      <c r="A6475" s="197" t="str">
        <f t="shared" si="101"/>
        <v>NstCode_vhfOmniBeacTacAirNav</v>
      </c>
      <c r="B6475" s="409"/>
      <c r="C6475" s="416"/>
      <c r="D6475" s="198" t="s">
        <v>41940</v>
      </c>
      <c r="E6475" s="198">
        <v>22</v>
      </c>
      <c r="F6475" s="199" t="s">
        <v>41941</v>
      </c>
      <c r="G6475" s="1" t="s">
        <v>41942</v>
      </c>
      <c r="H6475" s="1" t="s">
        <v>41943</v>
      </c>
      <c r="I6475" s="346"/>
      <c r="J6475" s="39">
        <v>106108</v>
      </c>
      <c r="K6475" s="36" t="str">
        <f>CONCATENATE(Cover!$D$6,"fdd/view?i=",J6475)</f>
        <v>https://www.dgiwg.org/FAD/fdd/view?i=106108</v>
      </c>
      <c r="L6475" s="36" t="s">
        <v>41944</v>
      </c>
      <c r="M6475" s="186"/>
      <c r="N6475" s="186"/>
      <c r="O6475" s="172"/>
    </row>
    <row r="6476" spans="1:15" ht="25.5" x14ac:dyDescent="0.2">
      <c r="A6476" s="197" t="str">
        <f t="shared" si="101"/>
        <v>NstCode_vhfOmniRadioBeacon</v>
      </c>
      <c r="B6476" s="409"/>
      <c r="C6476" s="416"/>
      <c r="D6476" s="198" t="s">
        <v>41698</v>
      </c>
      <c r="E6476" s="198">
        <v>20</v>
      </c>
      <c r="F6476" s="199" t="s">
        <v>41932</v>
      </c>
      <c r="G6476" s="1" t="s">
        <v>41933</v>
      </c>
      <c r="H6476" s="1" t="s">
        <v>41934</v>
      </c>
      <c r="I6476" s="346"/>
      <c r="J6476" s="39">
        <v>106106</v>
      </c>
      <c r="K6476" s="36" t="str">
        <f>CONCATENATE(Cover!$D$6,"fdd/view?i=",J6476)</f>
        <v>https://www.dgiwg.org/FAD/fdd/view?i=106106</v>
      </c>
      <c r="L6476" s="36" t="s">
        <v>41935</v>
      </c>
      <c r="M6476" s="186"/>
      <c r="N6476" s="186"/>
      <c r="O6476" s="172"/>
    </row>
    <row r="6477" spans="1:15" ht="25.5" x14ac:dyDescent="0.2">
      <c r="A6477" s="203" t="str">
        <f t="shared" si="101"/>
        <v>NstCode_visualApproachSlopeIndicat</v>
      </c>
      <c r="B6477" s="410"/>
      <c r="C6477" s="417"/>
      <c r="D6477" s="204" t="s">
        <v>41945</v>
      </c>
      <c r="E6477" s="204">
        <v>67</v>
      </c>
      <c r="F6477" s="205" t="s">
        <v>41946</v>
      </c>
      <c r="G6477" s="207"/>
      <c r="H6477" s="207"/>
      <c r="I6477" s="347"/>
      <c r="J6477" s="39">
        <v>106152</v>
      </c>
      <c r="K6477" s="36" t="str">
        <f>CONCATENATE(Cover!$D$6,"fdd/view?i=",J6477)</f>
        <v>https://www.dgiwg.org/FAD/fdd/view?i=106152</v>
      </c>
      <c r="L6477" s="36" t="s">
        <v>41947</v>
      </c>
      <c r="M6477" s="186"/>
      <c r="N6477" s="186"/>
      <c r="O6477" s="172"/>
    </row>
    <row r="6478" spans="1:15" ht="38.25" x14ac:dyDescent="0.2">
      <c r="A6478" s="190" t="str">
        <f t="shared" si="101"/>
        <v>StlCode_autumn</v>
      </c>
      <c r="B6478" s="414" t="str">
        <f>HYPERLINK("[#]Datatypes!A1042:L1042","StlCode")</f>
        <v>StlCode</v>
      </c>
      <c r="C6478" s="415" t="s">
        <v>15636</v>
      </c>
      <c r="D6478" s="221" t="s">
        <v>41951</v>
      </c>
      <c r="E6478" s="221">
        <v>4</v>
      </c>
      <c r="F6478" s="222" t="s">
        <v>41952</v>
      </c>
      <c r="G6478" s="223" t="s">
        <v>41953</v>
      </c>
      <c r="H6478" s="223" t="s">
        <v>41954</v>
      </c>
      <c r="I6478" s="345"/>
      <c r="J6478" s="39">
        <v>110548</v>
      </c>
      <c r="K6478" s="36" t="str">
        <f>CONCATENATE(Cover!$D$6,"fdd/view?i=",J6478)</f>
        <v>https://www.dgiwg.org/FAD/fdd/view?i=110548</v>
      </c>
      <c r="L6478" s="36" t="s">
        <v>41955</v>
      </c>
      <c r="M6478" s="186"/>
      <c r="N6478" s="186"/>
      <c r="O6478" s="172"/>
    </row>
    <row r="6479" spans="1:15" ht="38.25" x14ac:dyDescent="0.2">
      <c r="A6479" s="197" t="str">
        <f t="shared" si="101"/>
        <v>StlCode_spring</v>
      </c>
      <c r="B6479" s="409"/>
      <c r="C6479" s="416"/>
      <c r="D6479" s="198" t="s">
        <v>41201</v>
      </c>
      <c r="E6479" s="198">
        <v>3</v>
      </c>
      <c r="F6479" s="199" t="s">
        <v>5215</v>
      </c>
      <c r="G6479" s="1" t="s">
        <v>41956</v>
      </c>
      <c r="H6479" s="1" t="s">
        <v>41957</v>
      </c>
      <c r="I6479" s="346"/>
      <c r="J6479" s="39">
        <v>110547</v>
      </c>
      <c r="K6479" s="36" t="str">
        <f>CONCATENATE(Cover!$D$6,"fdd/view?i=",J6479)</f>
        <v>https://www.dgiwg.org/FAD/fdd/view?i=110547</v>
      </c>
      <c r="L6479" s="36" t="s">
        <v>41958</v>
      </c>
      <c r="M6479" s="186"/>
      <c r="N6479" s="186"/>
      <c r="O6479" s="172"/>
    </row>
    <row r="6480" spans="1:15" ht="38.25" x14ac:dyDescent="0.2">
      <c r="A6480" s="197" t="str">
        <f t="shared" si="101"/>
        <v>StlCode_summer</v>
      </c>
      <c r="B6480" s="409"/>
      <c r="C6480" s="416"/>
      <c r="D6480" s="198" t="s">
        <v>41959</v>
      </c>
      <c r="E6480" s="198">
        <v>2</v>
      </c>
      <c r="F6480" s="199" t="s">
        <v>41960</v>
      </c>
      <c r="G6480" s="1" t="s">
        <v>41961</v>
      </c>
      <c r="H6480" s="1" t="s">
        <v>41962</v>
      </c>
      <c r="I6480" s="346"/>
      <c r="J6480" s="39">
        <v>108303</v>
      </c>
      <c r="K6480" s="36" t="str">
        <f>CONCATENATE(Cover!$D$6,"fdd/view?i=",J6480)</f>
        <v>https://www.dgiwg.org/FAD/fdd/view?i=108303</v>
      </c>
      <c r="L6480" s="36" t="s">
        <v>41963</v>
      </c>
      <c r="M6480" s="186"/>
      <c r="N6480" s="186"/>
      <c r="O6480" s="172"/>
    </row>
    <row r="6481" spans="1:15" ht="38.25" x14ac:dyDescent="0.2">
      <c r="A6481" s="203" t="str">
        <f t="shared" si="101"/>
        <v>StlCode_winter</v>
      </c>
      <c r="B6481" s="410"/>
      <c r="C6481" s="417"/>
      <c r="D6481" s="204" t="s">
        <v>41964</v>
      </c>
      <c r="E6481" s="204">
        <v>1</v>
      </c>
      <c r="F6481" s="205" t="s">
        <v>41965</v>
      </c>
      <c r="G6481" s="206" t="s">
        <v>41966</v>
      </c>
      <c r="H6481" s="206" t="s">
        <v>41967</v>
      </c>
      <c r="I6481" s="347"/>
      <c r="J6481" s="39">
        <v>108302</v>
      </c>
      <c r="K6481" s="36" t="str">
        <f>CONCATENATE(Cover!$D$6,"fdd/view?i=",J6481)</f>
        <v>https://www.dgiwg.org/FAD/fdd/view?i=108302</v>
      </c>
      <c r="L6481" s="36" t="s">
        <v>41968</v>
      </c>
      <c r="M6481" s="186"/>
      <c r="N6481" s="186"/>
      <c r="O6481" s="172"/>
    </row>
    <row r="6482" spans="1:15" x14ac:dyDescent="0.2">
      <c r="A6482" s="190" t="str">
        <f t="shared" si="101"/>
        <v>DmnCode_heavy</v>
      </c>
      <c r="B6482" s="414" t="str">
        <f>HYPERLINK("[#]Datatypes!A1044:L1044","DmnCode")</f>
        <v>DmnCode</v>
      </c>
      <c r="C6482" s="415" t="s">
        <v>15638</v>
      </c>
      <c r="D6482" s="221" t="s">
        <v>30105</v>
      </c>
      <c r="E6482" s="221">
        <v>3</v>
      </c>
      <c r="F6482" s="222" t="s">
        <v>30106</v>
      </c>
      <c r="G6482" s="223" t="s">
        <v>41969</v>
      </c>
      <c r="H6482" s="224"/>
      <c r="I6482" s="345"/>
      <c r="J6482" s="39">
        <v>114436</v>
      </c>
      <c r="K6482" s="36" t="str">
        <f>CONCATENATE(Cover!$D$6,"fdd/view?i=",J6482)</f>
        <v>https://www.dgiwg.org/FAD/fdd/view?i=114436</v>
      </c>
      <c r="L6482" s="36" t="s">
        <v>41970</v>
      </c>
      <c r="M6482" s="186"/>
      <c r="N6482" s="186"/>
      <c r="O6482" s="172"/>
    </row>
    <row r="6483" spans="1:15" x14ac:dyDescent="0.2">
      <c r="A6483" s="197" t="str">
        <f t="shared" si="101"/>
        <v>DmnCode_light</v>
      </c>
      <c r="B6483" s="409"/>
      <c r="C6483" s="416"/>
      <c r="D6483" s="198" t="s">
        <v>30109</v>
      </c>
      <c r="E6483" s="198">
        <v>1</v>
      </c>
      <c r="F6483" s="199" t="s">
        <v>30110</v>
      </c>
      <c r="G6483" s="1" t="s">
        <v>41971</v>
      </c>
      <c r="H6483" s="200"/>
      <c r="I6483" s="346"/>
      <c r="J6483" s="39">
        <v>114434</v>
      </c>
      <c r="K6483" s="36" t="str">
        <f>CONCATENATE(Cover!$D$6,"fdd/view?i=",J6483)</f>
        <v>https://www.dgiwg.org/FAD/fdd/view?i=114434</v>
      </c>
      <c r="L6483" s="36" t="s">
        <v>41972</v>
      </c>
      <c r="M6483" s="186"/>
      <c r="N6483" s="186"/>
      <c r="O6483" s="172"/>
    </row>
    <row r="6484" spans="1:15" x14ac:dyDescent="0.2">
      <c r="A6484" s="197" t="str">
        <f t="shared" si="101"/>
        <v>DmnCode_medium</v>
      </c>
      <c r="B6484" s="409"/>
      <c r="C6484" s="416"/>
      <c r="D6484" s="198" t="s">
        <v>37187</v>
      </c>
      <c r="E6484" s="198">
        <v>2</v>
      </c>
      <c r="F6484" s="199" t="s">
        <v>37188</v>
      </c>
      <c r="G6484" s="1" t="s">
        <v>41973</v>
      </c>
      <c r="H6484" s="200"/>
      <c r="I6484" s="346"/>
      <c r="J6484" s="39">
        <v>114435</v>
      </c>
      <c r="K6484" s="36" t="str">
        <f>CONCATENATE(Cover!$D$6,"fdd/view?i=",J6484)</f>
        <v>https://www.dgiwg.org/FAD/fdd/view?i=114435</v>
      </c>
      <c r="L6484" s="36" t="s">
        <v>41974</v>
      </c>
      <c r="M6484" s="186"/>
      <c r="N6484" s="186"/>
      <c r="O6484" s="172"/>
    </row>
    <row r="6485" spans="1:15" x14ac:dyDescent="0.2">
      <c r="A6485" s="203" t="str">
        <f t="shared" si="101"/>
        <v>DmnCode_veryHeavy</v>
      </c>
      <c r="B6485" s="410"/>
      <c r="C6485" s="417"/>
      <c r="D6485" s="204" t="s">
        <v>40216</v>
      </c>
      <c r="E6485" s="204">
        <v>4</v>
      </c>
      <c r="F6485" s="205" t="s">
        <v>40217</v>
      </c>
      <c r="G6485" s="206" t="s">
        <v>41975</v>
      </c>
      <c r="H6485" s="207"/>
      <c r="I6485" s="347"/>
      <c r="J6485" s="39">
        <v>114437</v>
      </c>
      <c r="K6485" s="36" t="str">
        <f>CONCATENATE(Cover!$D$6,"fdd/view?i=",J6485)</f>
        <v>https://www.dgiwg.org/FAD/fdd/view?i=114437</v>
      </c>
      <c r="L6485" s="36" t="s">
        <v>41976</v>
      </c>
      <c r="M6485" s="186"/>
      <c r="N6485" s="186"/>
      <c r="O6485" s="172"/>
    </row>
    <row r="6486" spans="1:15" ht="25.5" x14ac:dyDescent="0.2">
      <c r="A6486" s="190" t="str">
        <f t="shared" si="101"/>
        <v>RagCode_actionReport</v>
      </c>
      <c r="B6486" s="414" t="str">
        <f>HYPERLINK("[#]Datatypes!A1057:L1057","RagCode")</f>
        <v>RagCode</v>
      </c>
      <c r="C6486" s="415" t="s">
        <v>15664</v>
      </c>
      <c r="D6486" s="221" t="s">
        <v>41977</v>
      </c>
      <c r="E6486" s="221">
        <v>4</v>
      </c>
      <c r="F6486" s="222" t="s">
        <v>41978</v>
      </c>
      <c r="G6486" s="223" t="s">
        <v>41979</v>
      </c>
      <c r="H6486" s="224"/>
      <c r="I6486" s="345"/>
      <c r="J6486" s="39">
        <v>107056</v>
      </c>
      <c r="K6486" s="36" t="str">
        <f>CONCATENATE(Cover!$D$6,"fdd/view?i=",J6486)</f>
        <v>https://www.dgiwg.org/FAD/fdd/view?i=107056</v>
      </c>
      <c r="L6486" s="36" t="s">
        <v>41980</v>
      </c>
      <c r="M6486" s="186"/>
      <c r="N6486" s="186"/>
      <c r="O6486" s="172"/>
    </row>
    <row r="6487" spans="1:15" ht="127.5" x14ac:dyDescent="0.2">
      <c r="A6487" s="197" t="str">
        <f t="shared" si="101"/>
        <v>RagCode_casualtyReport</v>
      </c>
      <c r="B6487" s="409"/>
      <c r="C6487" s="416"/>
      <c r="D6487" s="198" t="s">
        <v>41981</v>
      </c>
      <c r="E6487" s="198">
        <v>3</v>
      </c>
      <c r="F6487" s="199" t="s">
        <v>41982</v>
      </c>
      <c r="G6487" s="1" t="s">
        <v>41983</v>
      </c>
      <c r="H6487" s="1" t="s">
        <v>41984</v>
      </c>
      <c r="I6487" s="346"/>
      <c r="J6487" s="39">
        <v>107055</v>
      </c>
      <c r="K6487" s="36" t="str">
        <f>CONCATENATE(Cover!$D$6,"fdd/view?i=",J6487)</f>
        <v>https://www.dgiwg.org/FAD/fdd/view?i=107055</v>
      </c>
      <c r="L6487" s="36" t="s">
        <v>41985</v>
      </c>
      <c r="M6487" s="186"/>
      <c r="N6487" s="186"/>
      <c r="O6487" s="172"/>
    </row>
    <row r="6488" spans="1:15" ht="25.5" x14ac:dyDescent="0.2">
      <c r="A6488" s="197" t="str">
        <f t="shared" si="101"/>
        <v>RagCode_chart</v>
      </c>
      <c r="B6488" s="409"/>
      <c r="C6488" s="416"/>
      <c r="D6488" s="198" t="s">
        <v>41986</v>
      </c>
      <c r="E6488" s="198">
        <v>14</v>
      </c>
      <c r="F6488" s="199" t="s">
        <v>41987</v>
      </c>
      <c r="G6488" s="1" t="s">
        <v>41988</v>
      </c>
      <c r="H6488" s="200"/>
      <c r="I6488" s="346"/>
      <c r="J6488" s="39">
        <v>107066</v>
      </c>
      <c r="K6488" s="36" t="str">
        <f>CONCATENATE(Cover!$D$6,"fdd/view?i=",J6488)</f>
        <v>https://www.dgiwg.org/FAD/fdd/view?i=107066</v>
      </c>
      <c r="L6488" s="36" t="s">
        <v>41989</v>
      </c>
      <c r="M6488" s="186"/>
      <c r="N6488" s="186"/>
      <c r="O6488" s="172"/>
    </row>
    <row r="6489" spans="1:15" ht="38.25" x14ac:dyDescent="0.2">
      <c r="A6489" s="197" t="str">
        <f t="shared" si="101"/>
        <v>RagCode_chartRecords</v>
      </c>
      <c r="B6489" s="409"/>
      <c r="C6489" s="416"/>
      <c r="D6489" s="198" t="s">
        <v>41990</v>
      </c>
      <c r="E6489" s="198">
        <v>10</v>
      </c>
      <c r="F6489" s="199" t="s">
        <v>41991</v>
      </c>
      <c r="G6489" s="1" t="s">
        <v>41992</v>
      </c>
      <c r="H6489" s="200"/>
      <c r="I6489" s="346"/>
      <c r="J6489" s="39">
        <v>107062</v>
      </c>
      <c r="K6489" s="36" t="str">
        <f>CONCATENATE(Cover!$D$6,"fdd/view?i=",J6489)</f>
        <v>https://www.dgiwg.org/FAD/fdd/view?i=107062</v>
      </c>
      <c r="L6489" s="36" t="s">
        <v>41993</v>
      </c>
      <c r="M6489" s="186"/>
      <c r="N6489" s="186"/>
      <c r="O6489" s="172"/>
    </row>
    <row r="6490" spans="1:15" ht="25.5" x14ac:dyDescent="0.2">
      <c r="A6490" s="197" t="str">
        <f t="shared" si="101"/>
        <v>RagCode_coastGuardRecords</v>
      </c>
      <c r="B6490" s="409"/>
      <c r="C6490" s="416"/>
      <c r="D6490" s="198" t="s">
        <v>41994</v>
      </c>
      <c r="E6490" s="198">
        <v>11</v>
      </c>
      <c r="F6490" s="199" t="s">
        <v>41995</v>
      </c>
      <c r="G6490" s="1" t="s">
        <v>41996</v>
      </c>
      <c r="H6490" s="200"/>
      <c r="I6490" s="346"/>
      <c r="J6490" s="39">
        <v>107063</v>
      </c>
      <c r="K6490" s="36" t="str">
        <f>CONCATENATE(Cover!$D$6,"fdd/view?i=",J6490)</f>
        <v>https://www.dgiwg.org/FAD/fdd/view?i=107063</v>
      </c>
      <c r="L6490" s="36" t="s">
        <v>41997</v>
      </c>
      <c r="M6490" s="186"/>
      <c r="N6490" s="186"/>
      <c r="O6490" s="172"/>
    </row>
    <row r="6491" spans="1:15" ht="25.5" x14ac:dyDescent="0.2">
      <c r="A6491" s="197" t="str">
        <f t="shared" si="101"/>
        <v>RagCode_hydroAdmiraltyOffice</v>
      </c>
      <c r="B6491" s="409"/>
      <c r="C6491" s="416"/>
      <c r="D6491" s="198" t="s">
        <v>41998</v>
      </c>
      <c r="E6491" s="198">
        <v>8</v>
      </c>
      <c r="F6491" s="199" t="s">
        <v>41999</v>
      </c>
      <c r="G6491" s="1" t="s">
        <v>42000</v>
      </c>
      <c r="H6491" s="200"/>
      <c r="I6491" s="346"/>
      <c r="J6491" s="39">
        <v>107060</v>
      </c>
      <c r="K6491" s="36" t="str">
        <f>CONCATENATE(Cover!$D$6,"fdd/view?i=",J6491)</f>
        <v>https://www.dgiwg.org/FAD/fdd/view?i=107060</v>
      </c>
      <c r="L6491" s="36" t="s">
        <v>42001</v>
      </c>
      <c r="M6491" s="186"/>
      <c r="N6491" s="186"/>
      <c r="O6491" s="172"/>
    </row>
    <row r="6492" spans="1:15" ht="25.5" x14ac:dyDescent="0.2">
      <c r="A6492" s="197" t="str">
        <f t="shared" si="101"/>
        <v>RagCode_madReport</v>
      </c>
      <c r="B6492" s="409"/>
      <c r="C6492" s="416"/>
      <c r="D6492" s="198" t="s">
        <v>42002</v>
      </c>
      <c r="E6492" s="198">
        <v>19</v>
      </c>
      <c r="F6492" s="199" t="s">
        <v>42003</v>
      </c>
      <c r="G6492" s="1" t="s">
        <v>42004</v>
      </c>
      <c r="H6492" s="200"/>
      <c r="I6492" s="346"/>
      <c r="J6492" s="39">
        <v>107071</v>
      </c>
      <c r="K6492" s="36" t="str">
        <f>CONCATENATE(Cover!$D$6,"fdd/view?i=",J6492)</f>
        <v>https://www.dgiwg.org/FAD/fdd/view?i=107071</v>
      </c>
      <c r="L6492" s="36" t="s">
        <v>42005</v>
      </c>
      <c r="M6492" s="186"/>
      <c r="N6492" s="186"/>
      <c r="O6492" s="172"/>
    </row>
    <row r="6493" spans="1:15" ht="25.5" x14ac:dyDescent="0.2">
      <c r="A6493" s="197" t="str">
        <f t="shared" si="101"/>
        <v>RagCode_minesweeper</v>
      </c>
      <c r="B6493" s="409"/>
      <c r="C6493" s="416"/>
      <c r="D6493" s="198" t="s">
        <v>42006</v>
      </c>
      <c r="E6493" s="198">
        <v>15</v>
      </c>
      <c r="F6493" s="199" t="s">
        <v>42007</v>
      </c>
      <c r="G6493" s="1" t="s">
        <v>42008</v>
      </c>
      <c r="H6493" s="200"/>
      <c r="I6493" s="346"/>
      <c r="J6493" s="39">
        <v>107067</v>
      </c>
      <c r="K6493" s="36" t="str">
        <f>CONCATENATE(Cover!$D$6,"fdd/view?i=",J6493)</f>
        <v>https://www.dgiwg.org/FAD/fdd/view?i=107067</v>
      </c>
      <c r="L6493" s="36" t="s">
        <v>42009</v>
      </c>
      <c r="M6493" s="186"/>
      <c r="N6493" s="186"/>
      <c r="O6493" s="172"/>
    </row>
    <row r="6494" spans="1:15" ht="25.5" x14ac:dyDescent="0.2">
      <c r="A6494" s="197" t="str">
        <f t="shared" si="101"/>
        <v>RagCode_northSeaFishingCharts</v>
      </c>
      <c r="B6494" s="409"/>
      <c r="C6494" s="416"/>
      <c r="D6494" s="198" t="s">
        <v>42010</v>
      </c>
      <c r="E6494" s="198">
        <v>13</v>
      </c>
      <c r="F6494" s="199" t="s">
        <v>42011</v>
      </c>
      <c r="G6494" s="1" t="s">
        <v>42012</v>
      </c>
      <c r="H6494" s="200"/>
      <c r="I6494" s="346"/>
      <c r="J6494" s="39">
        <v>107065</v>
      </c>
      <c r="K6494" s="36" t="str">
        <f>CONCATENATE(Cover!$D$6,"fdd/view?i=",J6494)</f>
        <v>https://www.dgiwg.org/FAD/fdd/view?i=107065</v>
      </c>
      <c r="L6494" s="36" t="s">
        <v>42013</v>
      </c>
      <c r="M6494" s="186"/>
      <c r="N6494" s="186"/>
      <c r="O6494" s="172"/>
    </row>
    <row r="6495" spans="1:15" ht="38.25" x14ac:dyDescent="0.2">
      <c r="A6495" s="197" t="str">
        <f t="shared" si="101"/>
        <v>RagCode_noticeToMariners</v>
      </c>
      <c r="B6495" s="409"/>
      <c r="C6495" s="416"/>
      <c r="D6495" s="198" t="s">
        <v>42014</v>
      </c>
      <c r="E6495" s="198">
        <v>12</v>
      </c>
      <c r="F6495" s="199" t="s">
        <v>29814</v>
      </c>
      <c r="G6495" s="1" t="s">
        <v>42015</v>
      </c>
      <c r="H6495" s="200"/>
      <c r="I6495" s="346"/>
      <c r="J6495" s="39">
        <v>107064</v>
      </c>
      <c r="K6495" s="36" t="str">
        <f>CONCATENATE(Cover!$D$6,"fdd/view?i=",J6495)</f>
        <v>https://www.dgiwg.org/FAD/fdd/view?i=107064</v>
      </c>
      <c r="L6495" s="36" t="s">
        <v>42016</v>
      </c>
      <c r="M6495" s="186"/>
      <c r="N6495" s="186"/>
      <c r="O6495" s="172"/>
    </row>
    <row r="6496" spans="1:15" ht="25.5" x14ac:dyDescent="0.2">
      <c r="A6496" s="197" t="str">
        <f t="shared" si="101"/>
        <v>RagCode_photographReport</v>
      </c>
      <c r="B6496" s="409"/>
      <c r="C6496" s="416"/>
      <c r="D6496" s="198" t="s">
        <v>42017</v>
      </c>
      <c r="E6496" s="198">
        <v>5</v>
      </c>
      <c r="F6496" s="199" t="s">
        <v>42018</v>
      </c>
      <c r="G6496" s="1" t="s">
        <v>42019</v>
      </c>
      <c r="H6496" s="200"/>
      <c r="I6496" s="346"/>
      <c r="J6496" s="39">
        <v>107057</v>
      </c>
      <c r="K6496" s="36" t="str">
        <f>CONCATENATE(Cover!$D$6,"fdd/view?i=",J6496)</f>
        <v>https://www.dgiwg.org/FAD/fdd/view?i=107057</v>
      </c>
      <c r="L6496" s="36" t="s">
        <v>42020</v>
      </c>
      <c r="M6496" s="186"/>
      <c r="N6496" s="186"/>
      <c r="O6496" s="172"/>
    </row>
    <row r="6497" spans="1:15" ht="25.5" x14ac:dyDescent="0.2">
      <c r="A6497" s="197" t="str">
        <f t="shared" si="101"/>
        <v>RagCode_positionAccurateFieldCheck</v>
      </c>
      <c r="B6497" s="409"/>
      <c r="C6497" s="416"/>
      <c r="D6497" s="198" t="s">
        <v>42021</v>
      </c>
      <c r="E6497" s="198">
        <v>17</v>
      </c>
      <c r="F6497" s="199" t="s">
        <v>42022</v>
      </c>
      <c r="G6497" s="1" t="s">
        <v>42023</v>
      </c>
      <c r="H6497" s="200"/>
      <c r="I6497" s="346"/>
      <c r="J6497" s="39">
        <v>107069</v>
      </c>
      <c r="K6497" s="36" t="str">
        <f>CONCATENATE(Cover!$D$6,"fdd/view?i=",J6497)</f>
        <v>https://www.dgiwg.org/FAD/fdd/view?i=107069</v>
      </c>
      <c r="L6497" s="36" t="s">
        <v>42024</v>
      </c>
      <c r="M6497" s="186"/>
      <c r="N6497" s="186"/>
      <c r="O6497" s="172"/>
    </row>
    <row r="6498" spans="1:15" ht="25.5" x14ac:dyDescent="0.2">
      <c r="A6498" s="197" t="str">
        <f t="shared" si="101"/>
        <v>RagCode_salvageReport</v>
      </c>
      <c r="B6498" s="409"/>
      <c r="C6498" s="416"/>
      <c r="D6498" s="198" t="s">
        <v>42025</v>
      </c>
      <c r="E6498" s="198">
        <v>2</v>
      </c>
      <c r="F6498" s="199" t="s">
        <v>42026</v>
      </c>
      <c r="G6498" s="1" t="s">
        <v>42027</v>
      </c>
      <c r="H6498" s="200"/>
      <c r="I6498" s="346"/>
      <c r="J6498" s="39">
        <v>107054</v>
      </c>
      <c r="K6498" s="36" t="str">
        <f>CONCATENATE(Cover!$D$6,"fdd/view?i=",J6498)</f>
        <v>https://www.dgiwg.org/FAD/fdd/view?i=107054</v>
      </c>
      <c r="L6498" s="36" t="s">
        <v>42028</v>
      </c>
      <c r="M6498" s="186"/>
      <c r="N6498" s="186"/>
      <c r="O6498" s="172"/>
    </row>
    <row r="6499" spans="1:15" ht="25.5" x14ac:dyDescent="0.2">
      <c r="A6499" s="197" t="str">
        <f t="shared" si="101"/>
        <v>RagCode_sonarReport</v>
      </c>
      <c r="B6499" s="409"/>
      <c r="C6499" s="416"/>
      <c r="D6499" s="198" t="s">
        <v>42029</v>
      </c>
      <c r="E6499" s="198">
        <v>18</v>
      </c>
      <c r="F6499" s="199" t="s">
        <v>42030</v>
      </c>
      <c r="G6499" s="1" t="s">
        <v>42031</v>
      </c>
      <c r="H6499" s="200"/>
      <c r="I6499" s="346"/>
      <c r="J6499" s="39">
        <v>107070</v>
      </c>
      <c r="K6499" s="36" t="str">
        <f>CONCATENATE(Cover!$D$6,"fdd/view?i=",J6499)</f>
        <v>https://www.dgiwg.org/FAD/fdd/view?i=107070</v>
      </c>
      <c r="L6499" s="36" t="s">
        <v>42032</v>
      </c>
      <c r="M6499" s="186"/>
      <c r="N6499" s="186"/>
      <c r="O6499" s="172"/>
    </row>
    <row r="6500" spans="1:15" ht="25.5" x14ac:dyDescent="0.2">
      <c r="A6500" s="197" t="str">
        <f t="shared" si="101"/>
        <v>RagCode_survey</v>
      </c>
      <c r="B6500" s="409"/>
      <c r="C6500" s="416"/>
      <c r="D6500" s="198" t="s">
        <v>25491</v>
      </c>
      <c r="E6500" s="198">
        <v>16</v>
      </c>
      <c r="F6500" s="199" t="s">
        <v>25492</v>
      </c>
      <c r="G6500" s="1" t="s">
        <v>42033</v>
      </c>
      <c r="H6500" s="200"/>
      <c r="I6500" s="346"/>
      <c r="J6500" s="39">
        <v>107068</v>
      </c>
      <c r="K6500" s="36" t="str">
        <f>CONCATENATE(Cover!$D$6,"fdd/view?i=",J6500)</f>
        <v>https://www.dgiwg.org/FAD/fdd/view?i=107068</v>
      </c>
      <c r="L6500" s="36" t="s">
        <v>42034</v>
      </c>
      <c r="M6500" s="186"/>
      <c r="N6500" s="186"/>
      <c r="O6500" s="172"/>
    </row>
    <row r="6501" spans="1:15" ht="25.5" x14ac:dyDescent="0.2">
      <c r="A6501" s="197" t="str">
        <f t="shared" si="101"/>
        <v>RagCode_survivorReport</v>
      </c>
      <c r="B6501" s="409"/>
      <c r="C6501" s="416"/>
      <c r="D6501" s="198" t="s">
        <v>42035</v>
      </c>
      <c r="E6501" s="198">
        <v>1</v>
      </c>
      <c r="F6501" s="199" t="s">
        <v>42036</v>
      </c>
      <c r="G6501" s="1" t="s">
        <v>42037</v>
      </c>
      <c r="H6501" s="200"/>
      <c r="I6501" s="346"/>
      <c r="J6501" s="39">
        <v>107053</v>
      </c>
      <c r="K6501" s="36" t="str">
        <f>CONCATENATE(Cover!$D$6,"fdd/view?i=",J6501)</f>
        <v>https://www.dgiwg.org/FAD/fdd/view?i=107053</v>
      </c>
      <c r="L6501" s="36" t="s">
        <v>42038</v>
      </c>
      <c r="M6501" s="186"/>
      <c r="N6501" s="186"/>
      <c r="O6501" s="172"/>
    </row>
    <row r="6502" spans="1:15" ht="25.5" x14ac:dyDescent="0.2">
      <c r="A6502" s="197" t="str">
        <f t="shared" si="101"/>
        <v>RagCode_undiffSonarOrMadReport</v>
      </c>
      <c r="B6502" s="409"/>
      <c r="C6502" s="416"/>
      <c r="D6502" s="198" t="s">
        <v>42039</v>
      </c>
      <c r="E6502" s="198">
        <v>20</v>
      </c>
      <c r="F6502" s="199" t="s">
        <v>42040</v>
      </c>
      <c r="G6502" s="1" t="s">
        <v>42041</v>
      </c>
      <c r="H6502" s="200"/>
      <c r="I6502" s="346"/>
      <c r="J6502" s="39">
        <v>107072</v>
      </c>
      <c r="K6502" s="36" t="str">
        <f>CONCATENATE(Cover!$D$6,"fdd/view?i=",J6502)</f>
        <v>https://www.dgiwg.org/FAD/fdd/view?i=107072</v>
      </c>
      <c r="L6502" s="36" t="s">
        <v>42042</v>
      </c>
      <c r="M6502" s="186"/>
      <c r="N6502" s="186"/>
      <c r="O6502" s="172"/>
    </row>
    <row r="6503" spans="1:15" ht="38.25" x14ac:dyDescent="0.2">
      <c r="A6503" s="197" t="str">
        <f t="shared" si="101"/>
        <v>RagCode_usCoastGeodOceanSrvReport</v>
      </c>
      <c r="B6503" s="409"/>
      <c r="C6503" s="416"/>
      <c r="D6503" s="198" t="s">
        <v>42043</v>
      </c>
      <c r="E6503" s="198">
        <v>6</v>
      </c>
      <c r="F6503" s="199" t="s">
        <v>42044</v>
      </c>
      <c r="G6503" s="1" t="s">
        <v>42045</v>
      </c>
      <c r="H6503" s="200"/>
      <c r="I6503" s="346"/>
      <c r="J6503" s="39">
        <v>107058</v>
      </c>
      <c r="K6503" s="36" t="str">
        <f>CONCATENATE(Cover!$D$6,"fdd/view?i=",J6503)</f>
        <v>https://www.dgiwg.org/FAD/fdd/view?i=107058</v>
      </c>
      <c r="L6503" s="36" t="s">
        <v>42046</v>
      </c>
      <c r="M6503" s="186"/>
      <c r="N6503" s="186"/>
      <c r="O6503" s="172"/>
    </row>
    <row r="6504" spans="1:15" ht="38.25" x14ac:dyDescent="0.2">
      <c r="A6504" s="197" t="str">
        <f t="shared" si="101"/>
        <v>RagCode_usNavalHeadCommandsReport</v>
      </c>
      <c r="B6504" s="409"/>
      <c r="C6504" s="416"/>
      <c r="D6504" s="198" t="s">
        <v>42047</v>
      </c>
      <c r="E6504" s="198">
        <v>7</v>
      </c>
      <c r="F6504" s="199" t="s">
        <v>42048</v>
      </c>
      <c r="G6504" s="1" t="s">
        <v>42049</v>
      </c>
      <c r="H6504" s="200"/>
      <c r="I6504" s="346"/>
      <c r="J6504" s="39">
        <v>107059</v>
      </c>
      <c r="K6504" s="36" t="str">
        <f>CONCATENATE(Cover!$D$6,"fdd/view?i=",J6504)</f>
        <v>https://www.dgiwg.org/FAD/fdd/view?i=107059</v>
      </c>
      <c r="L6504" s="36" t="s">
        <v>42050</v>
      </c>
      <c r="M6504" s="186"/>
      <c r="N6504" s="186"/>
      <c r="O6504" s="172"/>
    </row>
    <row r="6505" spans="1:15" ht="38.25" x14ac:dyDescent="0.2">
      <c r="A6505" s="203" t="str">
        <f t="shared" si="101"/>
        <v>RagCode_wreckList</v>
      </c>
      <c r="B6505" s="410"/>
      <c r="C6505" s="417"/>
      <c r="D6505" s="204" t="s">
        <v>42051</v>
      </c>
      <c r="E6505" s="204">
        <v>9</v>
      </c>
      <c r="F6505" s="205" t="s">
        <v>42052</v>
      </c>
      <c r="G6505" s="206" t="s">
        <v>42053</v>
      </c>
      <c r="H6505" s="207"/>
      <c r="I6505" s="347"/>
      <c r="J6505" s="39">
        <v>107061</v>
      </c>
      <c r="K6505" s="36" t="str">
        <f>CONCATENATE(Cover!$D$6,"fdd/view?i=",J6505)</f>
        <v>https://www.dgiwg.org/FAD/fdd/view?i=107061</v>
      </c>
      <c r="L6505" s="36" t="s">
        <v>42054</v>
      </c>
      <c r="M6505" s="186"/>
      <c r="N6505" s="186"/>
      <c r="O6505" s="172"/>
    </row>
    <row r="6506" spans="1:15" ht="25.5" x14ac:dyDescent="0.2">
      <c r="A6506" s="190" t="str">
        <f t="shared" si="101"/>
        <v>NrtCode_gridNorth</v>
      </c>
      <c r="B6506" s="414" t="str">
        <f>HYPERLINK("[#]Datatypes!A1059:L1059","NrtCode")</f>
        <v>NrtCode</v>
      </c>
      <c r="C6506" s="415" t="s">
        <v>15666</v>
      </c>
      <c r="D6506" s="221" t="s">
        <v>42056</v>
      </c>
      <c r="E6506" s="221">
        <v>1</v>
      </c>
      <c r="F6506" s="222" t="s">
        <v>42057</v>
      </c>
      <c r="G6506" s="223" t="s">
        <v>42058</v>
      </c>
      <c r="H6506" s="223" t="s">
        <v>42059</v>
      </c>
      <c r="I6506" s="345"/>
      <c r="J6506" s="39">
        <v>115360</v>
      </c>
      <c r="K6506" s="36" t="str">
        <f>CONCATENATE(Cover!$D$6,"fdd/view?i=",J6506)</f>
        <v>https://www.dgiwg.org/FAD/fdd/view?i=115360</v>
      </c>
      <c r="L6506" s="36" t="s">
        <v>42060</v>
      </c>
      <c r="M6506" s="186"/>
      <c r="N6506" s="186"/>
      <c r="O6506" s="13" t="s">
        <v>42055</v>
      </c>
    </row>
    <row r="6507" spans="1:15" ht="38.25" x14ac:dyDescent="0.2">
      <c r="A6507" s="197" t="str">
        <f t="shared" si="101"/>
        <v>NrtCode_magneticNorth</v>
      </c>
      <c r="B6507" s="409"/>
      <c r="C6507" s="416"/>
      <c r="D6507" s="198" t="s">
        <v>42061</v>
      </c>
      <c r="E6507" s="198">
        <v>2</v>
      </c>
      <c r="F6507" s="199" t="s">
        <v>42062</v>
      </c>
      <c r="G6507" s="1" t="s">
        <v>42063</v>
      </c>
      <c r="H6507" s="200"/>
      <c r="I6507" s="346"/>
      <c r="J6507" s="39">
        <v>115361</v>
      </c>
      <c r="K6507" s="36" t="str">
        <f>CONCATENATE(Cover!$D$6,"fdd/view?i=",J6507)</f>
        <v>https://www.dgiwg.org/FAD/fdd/view?i=115361</v>
      </c>
      <c r="L6507" s="36" t="s">
        <v>42064</v>
      </c>
      <c r="M6507" s="186"/>
      <c r="N6507" s="186"/>
      <c r="O6507" s="13" t="s">
        <v>21852</v>
      </c>
    </row>
    <row r="6508" spans="1:15" ht="25.5" x14ac:dyDescent="0.2">
      <c r="A6508" s="203" t="str">
        <f t="shared" si="101"/>
        <v>NrtCode_trueNorth</v>
      </c>
      <c r="B6508" s="410"/>
      <c r="C6508" s="417"/>
      <c r="D6508" s="204" t="s">
        <v>42065</v>
      </c>
      <c r="E6508" s="204">
        <v>3</v>
      </c>
      <c r="F6508" s="205" t="s">
        <v>42066</v>
      </c>
      <c r="G6508" s="206" t="s">
        <v>42067</v>
      </c>
      <c r="H6508" s="206" t="s">
        <v>42068</v>
      </c>
      <c r="I6508" s="347"/>
      <c r="J6508" s="39">
        <v>115362</v>
      </c>
      <c r="K6508" s="36" t="str">
        <f>CONCATENATE(Cover!$D$6,"fdd/view?i=",J6508)</f>
        <v>https://www.dgiwg.org/FAD/fdd/view?i=115362</v>
      </c>
      <c r="L6508" s="36" t="s">
        <v>42069</v>
      </c>
      <c r="M6508" s="186"/>
      <c r="N6508" s="186"/>
      <c r="O6508" s="13" t="s">
        <v>21855</v>
      </c>
    </row>
    <row r="6509" spans="1:15" ht="25.5" x14ac:dyDescent="0.2">
      <c r="A6509" s="190" t="str">
        <f t="shared" si="101"/>
        <v>OtcCode_delta</v>
      </c>
      <c r="B6509" s="414" t="str">
        <f>HYPERLINK("[#]Datatypes!A1063:L1063","OtcCode")</f>
        <v>OtcCode</v>
      </c>
      <c r="C6509" s="415" t="s">
        <v>15670</v>
      </c>
      <c r="D6509" s="221" t="s">
        <v>42070</v>
      </c>
      <c r="E6509" s="221">
        <v>4</v>
      </c>
      <c r="F6509" s="222" t="s">
        <v>42071</v>
      </c>
      <c r="G6509" s="223" t="s">
        <v>42072</v>
      </c>
      <c r="H6509" s="223" t="s">
        <v>42073</v>
      </c>
      <c r="I6509" s="345"/>
      <c r="J6509" s="39">
        <v>113600</v>
      </c>
      <c r="K6509" s="36" t="str">
        <f>CONCATENATE(Cover!$D$6,"fdd/view?i=",J6509)</f>
        <v>https://www.dgiwg.org/FAD/fdd/view?i=113600</v>
      </c>
      <c r="L6509" s="36" t="s">
        <v>42074</v>
      </c>
      <c r="M6509" s="186"/>
      <c r="N6509" s="186"/>
      <c r="O6509" s="172"/>
    </row>
    <row r="6510" spans="1:15" ht="25.5" x14ac:dyDescent="0.2">
      <c r="A6510" s="197" t="str">
        <f t="shared" si="101"/>
        <v>OtcCode_groundwater</v>
      </c>
      <c r="B6510" s="409"/>
      <c r="C6510" s="416"/>
      <c r="D6510" s="198" t="s">
        <v>42075</v>
      </c>
      <c r="E6510" s="198">
        <v>2</v>
      </c>
      <c r="F6510" s="199" t="s">
        <v>3426</v>
      </c>
      <c r="G6510" s="1" t="s">
        <v>42076</v>
      </c>
      <c r="H6510" s="200"/>
      <c r="I6510" s="346"/>
      <c r="J6510" s="39">
        <v>113598</v>
      </c>
      <c r="K6510" s="36" t="str">
        <f>CONCATENATE(Cover!$D$6,"fdd/view?i=",J6510)</f>
        <v>https://www.dgiwg.org/FAD/fdd/view?i=113598</v>
      </c>
      <c r="L6510" s="36" t="s">
        <v>42077</v>
      </c>
      <c r="M6510" s="186"/>
      <c r="N6510" s="186"/>
      <c r="O6510" s="172"/>
    </row>
    <row r="6511" spans="1:15" ht="38.25" x14ac:dyDescent="0.2">
      <c r="A6511" s="197" t="str">
        <f t="shared" si="101"/>
        <v>OtcCode_river</v>
      </c>
      <c r="B6511" s="409"/>
      <c r="C6511" s="416"/>
      <c r="D6511" s="198" t="s">
        <v>35615</v>
      </c>
      <c r="E6511" s="198">
        <v>1</v>
      </c>
      <c r="F6511" s="199" t="s">
        <v>4750</v>
      </c>
      <c r="G6511" s="1" t="s">
        <v>42078</v>
      </c>
      <c r="H6511" s="1" t="s">
        <v>42079</v>
      </c>
      <c r="I6511" s="346"/>
      <c r="J6511" s="39">
        <v>113597</v>
      </c>
      <c r="K6511" s="36" t="str">
        <f>CONCATENATE(Cover!$D$6,"fdd/view?i=",J6511)</f>
        <v>https://www.dgiwg.org/FAD/fdd/view?i=113597</v>
      </c>
      <c r="L6511" s="36" t="s">
        <v>42080</v>
      </c>
      <c r="M6511" s="186"/>
      <c r="N6511" s="186"/>
      <c r="O6511" s="172"/>
    </row>
    <row r="6512" spans="1:15" ht="25.5" x14ac:dyDescent="0.2">
      <c r="A6512" s="203" t="str">
        <f t="shared" si="101"/>
        <v>OtcCode_spring</v>
      </c>
      <c r="B6512" s="410"/>
      <c r="C6512" s="417"/>
      <c r="D6512" s="204" t="s">
        <v>41201</v>
      </c>
      <c r="E6512" s="204">
        <v>3</v>
      </c>
      <c r="F6512" s="205" t="s">
        <v>5215</v>
      </c>
      <c r="G6512" s="206" t="s">
        <v>42081</v>
      </c>
      <c r="H6512" s="207"/>
      <c r="I6512" s="347"/>
      <c r="J6512" s="39">
        <v>113599</v>
      </c>
      <c r="K6512" s="36" t="str">
        <f>CONCATENATE(Cover!$D$6,"fdd/view?i=",J6512)</f>
        <v>https://www.dgiwg.org/FAD/fdd/view?i=113599</v>
      </c>
      <c r="L6512" s="36" t="s">
        <v>42082</v>
      </c>
      <c r="M6512" s="186"/>
      <c r="N6512" s="186"/>
      <c r="O6512" s="172"/>
    </row>
    <row r="6513" spans="1:15" ht="25.5" x14ac:dyDescent="0.2">
      <c r="A6513" s="190" t="str">
        <f t="shared" si="101"/>
        <v>OlqCode_moreThanOne</v>
      </c>
      <c r="B6513" s="414" t="str">
        <f>HYPERLINK("[#]Datatypes!A1065:L1065","OlqCode")</f>
        <v>OlqCode</v>
      </c>
      <c r="C6513" s="415" t="s">
        <v>15672</v>
      </c>
      <c r="D6513" s="221" t="s">
        <v>42083</v>
      </c>
      <c r="E6513" s="221">
        <v>2</v>
      </c>
      <c r="F6513" s="222" t="s">
        <v>42084</v>
      </c>
      <c r="G6513" s="223" t="s">
        <v>42085</v>
      </c>
      <c r="H6513" s="224"/>
      <c r="I6513" s="345"/>
      <c r="J6513" s="39">
        <v>106224</v>
      </c>
      <c r="K6513" s="36" t="str">
        <f>CONCATENATE(Cover!$D$6,"fdd/view?i=",J6513)</f>
        <v>https://www.dgiwg.org/FAD/fdd/view?i=106224</v>
      </c>
      <c r="L6513" s="36" t="s">
        <v>42086</v>
      </c>
      <c r="M6513" s="186"/>
      <c r="N6513" s="186"/>
      <c r="O6513" s="172"/>
    </row>
    <row r="6514" spans="1:15" x14ac:dyDescent="0.2">
      <c r="A6514" s="197" t="str">
        <f t="shared" si="101"/>
        <v>OlqCode_nonePresent</v>
      </c>
      <c r="B6514" s="409"/>
      <c r="C6514" s="416"/>
      <c r="D6514" s="198" t="s">
        <v>42087</v>
      </c>
      <c r="E6514" s="198">
        <v>3</v>
      </c>
      <c r="F6514" s="199" t="s">
        <v>42088</v>
      </c>
      <c r="G6514" s="1" t="s">
        <v>42089</v>
      </c>
      <c r="H6514" s="200"/>
      <c r="I6514" s="346"/>
      <c r="J6514" s="39">
        <v>106225</v>
      </c>
      <c r="K6514" s="36" t="str">
        <f>CONCATENATE(Cover!$D$6,"fdd/view?i=",J6514)</f>
        <v>https://www.dgiwg.org/FAD/fdd/view?i=106225</v>
      </c>
      <c r="L6514" s="36" t="s">
        <v>42090</v>
      </c>
      <c r="M6514" s="186"/>
      <c r="N6514" s="186"/>
      <c r="O6514" s="172"/>
    </row>
    <row r="6515" spans="1:15" x14ac:dyDescent="0.2">
      <c r="A6515" s="203" t="str">
        <f t="shared" si="101"/>
        <v>OlqCode_one</v>
      </c>
      <c r="B6515" s="410"/>
      <c r="C6515" s="417"/>
      <c r="D6515" s="204" t="s">
        <v>42091</v>
      </c>
      <c r="E6515" s="204">
        <v>1</v>
      </c>
      <c r="F6515" s="205" t="s">
        <v>42092</v>
      </c>
      <c r="G6515" s="206" t="s">
        <v>42093</v>
      </c>
      <c r="H6515" s="207"/>
      <c r="I6515" s="347"/>
      <c r="J6515" s="39">
        <v>106223</v>
      </c>
      <c r="K6515" s="36" t="str">
        <f>CONCATENATE(Cover!$D$6,"fdd/view?i=",J6515)</f>
        <v>https://www.dgiwg.org/FAD/fdd/view?i=106223</v>
      </c>
      <c r="L6515" s="36" t="s">
        <v>42094</v>
      </c>
      <c r="M6515" s="186"/>
      <c r="N6515" s="186"/>
      <c r="O6515" s="172"/>
    </row>
    <row r="6516" spans="1:15" ht="25.5" x14ac:dyDescent="0.2">
      <c r="A6516" s="190" t="str">
        <f t="shared" si="101"/>
        <v>LpcCode_anomalousMargin</v>
      </c>
      <c r="B6516" s="414" t="str">
        <f>HYPERLINK("[#]Datatypes!A1067:L1067","LpcCode")</f>
        <v>LpcCode</v>
      </c>
      <c r="C6516" s="415" t="s">
        <v>15674</v>
      </c>
      <c r="D6516" s="221" t="s">
        <v>42095</v>
      </c>
      <c r="E6516" s="221">
        <v>7</v>
      </c>
      <c r="F6516" s="222" t="s">
        <v>42096</v>
      </c>
      <c r="G6516" s="223" t="s">
        <v>42097</v>
      </c>
      <c r="H6516" s="224"/>
      <c r="I6516" s="345"/>
      <c r="J6516" s="39">
        <v>105026</v>
      </c>
      <c r="K6516" s="36" t="str">
        <f>CONCATENATE(Cover!$D$6,"fdd/view?i=",J6516)</f>
        <v>https://www.dgiwg.org/FAD/fdd/view?i=105026</v>
      </c>
      <c r="L6516" s="36" t="s">
        <v>42098</v>
      </c>
      <c r="M6516" s="186"/>
      <c r="N6516" s="186"/>
      <c r="O6516" s="172"/>
    </row>
    <row r="6517" spans="1:15" ht="25.5" x14ac:dyDescent="0.2">
      <c r="A6517" s="197" t="str">
        <f t="shared" si="101"/>
        <v>LpcCode_continentalRock</v>
      </c>
      <c r="B6517" s="409"/>
      <c r="C6517" s="416"/>
      <c r="D6517" s="198" t="s">
        <v>42099</v>
      </c>
      <c r="E6517" s="198">
        <v>6</v>
      </c>
      <c r="F6517" s="199" t="s">
        <v>42100</v>
      </c>
      <c r="G6517" s="1" t="s">
        <v>42101</v>
      </c>
      <c r="H6517" s="1" t="s">
        <v>42102</v>
      </c>
      <c r="I6517" s="346"/>
      <c r="J6517" s="39">
        <v>105025</v>
      </c>
      <c r="K6517" s="36" t="str">
        <f>CONCATENATE(Cover!$D$6,"fdd/view?i=",J6517)</f>
        <v>https://www.dgiwg.org/FAD/fdd/view?i=105025</v>
      </c>
      <c r="L6517" s="36" t="s">
        <v>42103</v>
      </c>
      <c r="M6517" s="186"/>
      <c r="N6517" s="186"/>
      <c r="O6517" s="172"/>
    </row>
    <row r="6518" spans="1:15" ht="25.5" x14ac:dyDescent="0.2">
      <c r="A6518" s="197" t="str">
        <f t="shared" si="101"/>
        <v>LpcCode_hemipelagicSediment</v>
      </c>
      <c r="B6518" s="409"/>
      <c r="C6518" s="416"/>
      <c r="D6518" s="198" t="s">
        <v>42104</v>
      </c>
      <c r="E6518" s="198">
        <v>4</v>
      </c>
      <c r="F6518" s="199" t="s">
        <v>42105</v>
      </c>
      <c r="G6518" s="1" t="s">
        <v>42106</v>
      </c>
      <c r="H6518" s="1" t="s">
        <v>42107</v>
      </c>
      <c r="I6518" s="346"/>
      <c r="J6518" s="39">
        <v>105023</v>
      </c>
      <c r="K6518" s="36" t="str">
        <f>CONCATENATE(Cover!$D$6,"fdd/view?i=",J6518)</f>
        <v>https://www.dgiwg.org/FAD/fdd/view?i=105023</v>
      </c>
      <c r="L6518" s="36" t="s">
        <v>42108</v>
      </c>
      <c r="M6518" s="186"/>
      <c r="N6518" s="186"/>
      <c r="O6518" s="172"/>
    </row>
    <row r="6519" spans="1:15" ht="25.5" x14ac:dyDescent="0.2">
      <c r="A6519" s="197" t="str">
        <f t="shared" si="101"/>
        <v>LpcCode_oceanicBasalt</v>
      </c>
      <c r="B6519" s="409"/>
      <c r="C6519" s="416"/>
      <c r="D6519" s="198" t="s">
        <v>42109</v>
      </c>
      <c r="E6519" s="198">
        <v>5</v>
      </c>
      <c r="F6519" s="199" t="s">
        <v>42110</v>
      </c>
      <c r="G6519" s="1" t="s">
        <v>42111</v>
      </c>
      <c r="H6519" s="1" t="s">
        <v>42112</v>
      </c>
      <c r="I6519" s="346"/>
      <c r="J6519" s="39">
        <v>105024</v>
      </c>
      <c r="K6519" s="36" t="str">
        <f>CONCATENATE(Cover!$D$6,"fdd/view?i=",J6519)</f>
        <v>https://www.dgiwg.org/FAD/fdd/view?i=105024</v>
      </c>
      <c r="L6519" s="36" t="s">
        <v>42113</v>
      </c>
      <c r="M6519" s="186"/>
      <c r="N6519" s="186"/>
      <c r="O6519" s="172"/>
    </row>
    <row r="6520" spans="1:15" ht="25.5" x14ac:dyDescent="0.2">
      <c r="A6520" s="197" t="str">
        <f t="shared" si="101"/>
        <v>LpcCode_pelagicSediment</v>
      </c>
      <c r="B6520" s="409"/>
      <c r="C6520" s="416"/>
      <c r="D6520" s="198" t="s">
        <v>42114</v>
      </c>
      <c r="E6520" s="198">
        <v>1</v>
      </c>
      <c r="F6520" s="199" t="s">
        <v>42115</v>
      </c>
      <c r="G6520" s="1" t="s">
        <v>42116</v>
      </c>
      <c r="H6520" s="1" t="s">
        <v>42112</v>
      </c>
      <c r="I6520" s="346"/>
      <c r="J6520" s="39">
        <v>105020</v>
      </c>
      <c r="K6520" s="36" t="str">
        <f>CONCATENATE(Cover!$D$6,"fdd/view?i=",J6520)</f>
        <v>https://www.dgiwg.org/FAD/fdd/view?i=105020</v>
      </c>
      <c r="L6520" s="36" t="s">
        <v>42117</v>
      </c>
      <c r="M6520" s="186"/>
      <c r="N6520" s="186"/>
      <c r="O6520" s="172"/>
    </row>
    <row r="6521" spans="1:15" ht="25.5" x14ac:dyDescent="0.2">
      <c r="A6521" s="197" t="str">
        <f t="shared" si="101"/>
        <v>LpcCode_terrigenousSediment</v>
      </c>
      <c r="B6521" s="409"/>
      <c r="C6521" s="416"/>
      <c r="D6521" s="198" t="s">
        <v>42118</v>
      </c>
      <c r="E6521" s="198">
        <v>2</v>
      </c>
      <c r="F6521" s="199" t="s">
        <v>42119</v>
      </c>
      <c r="G6521" s="1" t="s">
        <v>42120</v>
      </c>
      <c r="H6521" s="1" t="s">
        <v>42102</v>
      </c>
      <c r="I6521" s="346"/>
      <c r="J6521" s="39">
        <v>105021</v>
      </c>
      <c r="K6521" s="36" t="str">
        <f>CONCATENATE(Cover!$D$6,"fdd/view?i=",J6521)</f>
        <v>https://www.dgiwg.org/FAD/fdd/view?i=105021</v>
      </c>
      <c r="L6521" s="36" t="s">
        <v>42121</v>
      </c>
      <c r="M6521" s="186"/>
      <c r="N6521" s="186"/>
      <c r="O6521" s="172"/>
    </row>
    <row r="6522" spans="1:15" x14ac:dyDescent="0.2">
      <c r="A6522" s="203" t="str">
        <f t="shared" si="101"/>
        <v>LpcCode_turbidite</v>
      </c>
      <c r="B6522" s="410"/>
      <c r="C6522" s="417"/>
      <c r="D6522" s="204" t="s">
        <v>42122</v>
      </c>
      <c r="E6522" s="204">
        <v>3</v>
      </c>
      <c r="F6522" s="205" t="s">
        <v>42123</v>
      </c>
      <c r="G6522" s="206" t="s">
        <v>42124</v>
      </c>
      <c r="H6522" s="206" t="s">
        <v>42125</v>
      </c>
      <c r="I6522" s="347"/>
      <c r="J6522" s="39">
        <v>105022</v>
      </c>
      <c r="K6522" s="36" t="str">
        <f>CONCATENATE(Cover!$D$6,"fdd/view?i=",J6522)</f>
        <v>https://www.dgiwg.org/FAD/fdd/view?i=105022</v>
      </c>
      <c r="L6522" s="36" t="s">
        <v>42126</v>
      </c>
      <c r="M6522" s="186"/>
      <c r="N6522" s="186"/>
      <c r="O6522" s="172"/>
    </row>
    <row r="6523" spans="1:15" ht="25.5" x14ac:dyDescent="0.2">
      <c r="A6523" s="190" t="str">
        <f t="shared" si="101"/>
        <v>WtaCode_cold</v>
      </c>
      <c r="B6523" s="414" t="str">
        <f>HYPERLINK("[#]Datatypes!A1069:L1069","WtaCode")</f>
        <v>WtaCode</v>
      </c>
      <c r="C6523" s="415" t="s">
        <v>15676</v>
      </c>
      <c r="D6523" s="221" t="s">
        <v>42127</v>
      </c>
      <c r="E6523" s="221">
        <v>1</v>
      </c>
      <c r="F6523" s="222" t="s">
        <v>42128</v>
      </c>
      <c r="G6523" s="223" t="s">
        <v>42129</v>
      </c>
      <c r="H6523" s="224"/>
      <c r="I6523" s="345"/>
      <c r="J6523" s="39">
        <v>114136</v>
      </c>
      <c r="K6523" s="36" t="str">
        <f>CONCATENATE(Cover!$D$6,"fdd/view?i=",J6523)</f>
        <v>https://www.dgiwg.org/FAD/fdd/view?i=114136</v>
      </c>
      <c r="L6523" s="36" t="s">
        <v>42130</v>
      </c>
      <c r="M6523" s="186"/>
      <c r="N6523" s="186"/>
      <c r="O6523" s="172"/>
    </row>
    <row r="6524" spans="1:15" ht="25.5" x14ac:dyDescent="0.2">
      <c r="A6524" s="203" t="str">
        <f t="shared" si="101"/>
        <v>WtaCode_warm</v>
      </c>
      <c r="B6524" s="410"/>
      <c r="C6524" s="417"/>
      <c r="D6524" s="204" t="s">
        <v>42131</v>
      </c>
      <c r="E6524" s="204">
        <v>3</v>
      </c>
      <c r="F6524" s="205" t="s">
        <v>42132</v>
      </c>
      <c r="G6524" s="206" t="s">
        <v>42133</v>
      </c>
      <c r="H6524" s="207"/>
      <c r="I6524" s="347"/>
      <c r="J6524" s="39">
        <v>114137</v>
      </c>
      <c r="K6524" s="36" t="str">
        <f>CONCATENATE(Cover!$D$6,"fdd/view?i=",J6524)</f>
        <v>https://www.dgiwg.org/FAD/fdd/view?i=114137</v>
      </c>
      <c r="L6524" s="36" t="s">
        <v>42134</v>
      </c>
      <c r="M6524" s="186"/>
      <c r="N6524" s="186"/>
      <c r="O6524" s="172"/>
    </row>
    <row r="6525" spans="1:15" x14ac:dyDescent="0.2">
      <c r="A6525" s="190" t="str">
        <f t="shared" si="101"/>
        <v>SotCode_inlandSea</v>
      </c>
      <c r="B6525" s="414" t="str">
        <f>HYPERLINK("[#]Datatypes!A1071:L1071","SotCode")</f>
        <v>SotCode</v>
      </c>
      <c r="C6525" s="415" t="s">
        <v>15678</v>
      </c>
      <c r="D6525" s="221" t="s">
        <v>42135</v>
      </c>
      <c r="E6525" s="221">
        <v>2</v>
      </c>
      <c r="F6525" s="222" t="s">
        <v>42136</v>
      </c>
      <c r="G6525" s="223" t="s">
        <v>42137</v>
      </c>
      <c r="H6525" s="223" t="s">
        <v>42138</v>
      </c>
      <c r="I6525" s="345"/>
      <c r="J6525" s="39">
        <v>113786</v>
      </c>
      <c r="K6525" s="36" t="str">
        <f>CONCATENATE(Cover!$D$6,"fdd/view?i=",J6525)</f>
        <v>https://www.dgiwg.org/FAD/fdd/view?i=113786</v>
      </c>
      <c r="L6525" s="36" t="s">
        <v>42139</v>
      </c>
      <c r="M6525" s="186"/>
      <c r="N6525" s="186"/>
      <c r="O6525" s="172"/>
    </row>
    <row r="6526" spans="1:15" ht="25.5" x14ac:dyDescent="0.2">
      <c r="A6526" s="197" t="str">
        <f t="shared" si="101"/>
        <v>SotCode_marginalSea</v>
      </c>
      <c r="B6526" s="409"/>
      <c r="C6526" s="416"/>
      <c r="D6526" s="198" t="s">
        <v>42140</v>
      </c>
      <c r="E6526" s="198">
        <v>3</v>
      </c>
      <c r="F6526" s="199" t="s">
        <v>42141</v>
      </c>
      <c r="G6526" s="1" t="s">
        <v>42142</v>
      </c>
      <c r="H6526" s="1" t="s">
        <v>42143</v>
      </c>
      <c r="I6526" s="346"/>
      <c r="J6526" s="39">
        <v>113787</v>
      </c>
      <c r="K6526" s="36" t="str">
        <f>CONCATENATE(Cover!$D$6,"fdd/view?i=",J6526)</f>
        <v>https://www.dgiwg.org/FAD/fdd/view?i=113787</v>
      </c>
      <c r="L6526" s="36" t="s">
        <v>42144</v>
      </c>
      <c r="M6526" s="186"/>
      <c r="N6526" s="186"/>
      <c r="O6526" s="172"/>
    </row>
    <row r="6527" spans="1:15" ht="25.5" x14ac:dyDescent="0.2">
      <c r="A6527" s="203" t="str">
        <f t="shared" si="101"/>
        <v>SotCode_ocean</v>
      </c>
      <c r="B6527" s="410"/>
      <c r="C6527" s="417"/>
      <c r="D6527" s="204" t="s">
        <v>42145</v>
      </c>
      <c r="E6527" s="204">
        <v>1</v>
      </c>
      <c r="F6527" s="205" t="s">
        <v>42146</v>
      </c>
      <c r="G6527" s="206" t="s">
        <v>42147</v>
      </c>
      <c r="H6527" s="206" t="s">
        <v>42148</v>
      </c>
      <c r="I6527" s="347"/>
      <c r="J6527" s="39">
        <v>113785</v>
      </c>
      <c r="K6527" s="36" t="str">
        <f>CONCATENATE(Cover!$D$6,"fdd/view?i=",J6527)</f>
        <v>https://www.dgiwg.org/FAD/fdd/view?i=113785</v>
      </c>
      <c r="L6527" s="36" t="s">
        <v>42149</v>
      </c>
      <c r="M6527" s="186"/>
      <c r="N6527" s="186"/>
      <c r="O6527" s="172"/>
    </row>
    <row r="6528" spans="1:15" ht="25.5" x14ac:dyDescent="0.2">
      <c r="A6528" s="190" t="str">
        <f t="shared" si="101"/>
        <v>OfiCode_debrisLine</v>
      </c>
      <c r="B6528" s="414" t="str">
        <f>HYPERLINK("[#]Datatypes!A1073:L1073","OfiCode")</f>
        <v>OfiCode</v>
      </c>
      <c r="C6528" s="415" t="s">
        <v>15680</v>
      </c>
      <c r="D6528" s="221" t="s">
        <v>42150</v>
      </c>
      <c r="E6528" s="221">
        <v>1</v>
      </c>
      <c r="F6528" s="222" t="s">
        <v>42151</v>
      </c>
      <c r="G6528" s="223" t="s">
        <v>42152</v>
      </c>
      <c r="H6528" s="224"/>
      <c r="I6528" s="345"/>
      <c r="J6528" s="39">
        <v>119356</v>
      </c>
      <c r="K6528" s="36" t="str">
        <f>CONCATENATE(Cover!$D$6,"fdd/view?i=",J6528)</f>
        <v>https://www.dgiwg.org/FAD/fdd/view?i=119356</v>
      </c>
      <c r="L6528" s="36" t="s">
        <v>42153</v>
      </c>
      <c r="M6528" s="186"/>
      <c r="N6528" s="186"/>
      <c r="O6528" s="172"/>
    </row>
    <row r="6529" spans="1:15" ht="25.5" x14ac:dyDescent="0.2">
      <c r="A6529" s="197" t="str">
        <f t="shared" si="101"/>
        <v>OfiCode_discolouredWater</v>
      </c>
      <c r="B6529" s="409"/>
      <c r="C6529" s="416"/>
      <c r="D6529" s="198" t="s">
        <v>42154</v>
      </c>
      <c r="E6529" s="198">
        <v>4</v>
      </c>
      <c r="F6529" s="199" t="s">
        <v>2779</v>
      </c>
      <c r="G6529" s="1" t="s">
        <v>42155</v>
      </c>
      <c r="H6529" s="200"/>
      <c r="I6529" s="346"/>
      <c r="J6529" s="39">
        <v>119359</v>
      </c>
      <c r="K6529" s="36" t="str">
        <f>CONCATENATE(Cover!$D$6,"fdd/view?i=",J6529)</f>
        <v>https://www.dgiwg.org/FAD/fdd/view?i=119359</v>
      </c>
      <c r="L6529" s="36" t="s">
        <v>42156</v>
      </c>
      <c r="M6529" s="186"/>
      <c r="N6529" s="186"/>
      <c r="O6529" s="172"/>
    </row>
    <row r="6530" spans="1:15" ht="25.5" x14ac:dyDescent="0.2">
      <c r="A6530" s="197" t="str">
        <f t="shared" ref="A6530:A6593" si="102">HYPERLINK(K6530,L6530)</f>
        <v>OfiCode_foamLine</v>
      </c>
      <c r="B6530" s="409"/>
      <c r="C6530" s="416"/>
      <c r="D6530" s="198" t="s">
        <v>42157</v>
      </c>
      <c r="E6530" s="198">
        <v>2</v>
      </c>
      <c r="F6530" s="199" t="s">
        <v>42158</v>
      </c>
      <c r="G6530" s="1" t="s">
        <v>42159</v>
      </c>
      <c r="H6530" s="200"/>
      <c r="I6530" s="346"/>
      <c r="J6530" s="39">
        <v>119357</v>
      </c>
      <c r="K6530" s="36" t="str">
        <f>CONCATENATE(Cover!$D$6,"fdd/view?i=",J6530)</f>
        <v>https://www.dgiwg.org/FAD/fdd/view?i=119357</v>
      </c>
      <c r="L6530" s="36" t="s">
        <v>42160</v>
      </c>
      <c r="M6530" s="186"/>
      <c r="N6530" s="186"/>
      <c r="O6530" s="172"/>
    </row>
    <row r="6531" spans="1:15" x14ac:dyDescent="0.2">
      <c r="A6531" s="197" t="str">
        <f t="shared" si="102"/>
        <v>OfiCode_ice</v>
      </c>
      <c r="B6531" s="409"/>
      <c r="C6531" s="416"/>
      <c r="D6531" s="198" t="s">
        <v>19560</v>
      </c>
      <c r="E6531" s="198">
        <v>5</v>
      </c>
      <c r="F6531" s="199" t="s">
        <v>19561</v>
      </c>
      <c r="G6531" s="1" t="s">
        <v>42161</v>
      </c>
      <c r="H6531" s="200"/>
      <c r="I6531" s="346"/>
      <c r="J6531" s="39">
        <v>119360</v>
      </c>
      <c r="K6531" s="36" t="str">
        <f>CONCATENATE(Cover!$D$6,"fdd/view?i=",J6531)</f>
        <v>https://www.dgiwg.org/FAD/fdd/view?i=119360</v>
      </c>
      <c r="L6531" s="36" t="s">
        <v>42162</v>
      </c>
      <c r="M6531" s="186"/>
      <c r="N6531" s="186"/>
      <c r="O6531" s="172"/>
    </row>
    <row r="6532" spans="1:15" ht="25.5" x14ac:dyDescent="0.2">
      <c r="A6532" s="203" t="str">
        <f t="shared" si="102"/>
        <v>OfiCode_sedimentPlume</v>
      </c>
      <c r="B6532" s="410"/>
      <c r="C6532" s="417"/>
      <c r="D6532" s="204" t="s">
        <v>42163</v>
      </c>
      <c r="E6532" s="204">
        <v>3</v>
      </c>
      <c r="F6532" s="205" t="s">
        <v>42164</v>
      </c>
      <c r="G6532" s="206" t="s">
        <v>42165</v>
      </c>
      <c r="H6532" s="207"/>
      <c r="I6532" s="347"/>
      <c r="J6532" s="39">
        <v>119358</v>
      </c>
      <c r="K6532" s="36" t="str">
        <f>CONCATENATE(Cover!$D$6,"fdd/view?i=",J6532)</f>
        <v>https://www.dgiwg.org/FAD/fdd/view?i=119358</v>
      </c>
      <c r="L6532" s="36" t="s">
        <v>42166</v>
      </c>
      <c r="M6532" s="186"/>
      <c r="N6532" s="186"/>
      <c r="O6532" s="172"/>
    </row>
    <row r="6533" spans="1:15" x14ac:dyDescent="0.2">
      <c r="A6533" s="190" t="str">
        <f t="shared" si="102"/>
        <v>OcfCode_density</v>
      </c>
      <c r="B6533" s="414" t="str">
        <f>HYPERLINK("[#]Datatypes!A1075:L1075","OcfCode")</f>
        <v>OcfCode</v>
      </c>
      <c r="C6533" s="415" t="s">
        <v>15682</v>
      </c>
      <c r="D6533" s="221" t="s">
        <v>42167</v>
      </c>
      <c r="E6533" s="221">
        <v>1</v>
      </c>
      <c r="F6533" s="222" t="s">
        <v>42168</v>
      </c>
      <c r="G6533" s="223" t="s">
        <v>42169</v>
      </c>
      <c r="H6533" s="224"/>
      <c r="I6533" s="345"/>
      <c r="J6533" s="39">
        <v>119353</v>
      </c>
      <c r="K6533" s="36" t="str">
        <f>CONCATENATE(Cover!$D$6,"fdd/view?i=",J6533)</f>
        <v>https://www.dgiwg.org/FAD/fdd/view?i=119353</v>
      </c>
      <c r="L6533" s="36" t="s">
        <v>42170</v>
      </c>
      <c r="M6533" s="186"/>
      <c r="N6533" s="186"/>
      <c r="O6533" s="172"/>
    </row>
    <row r="6534" spans="1:15" ht="25.5" x14ac:dyDescent="0.2">
      <c r="A6534" s="197" t="str">
        <f t="shared" si="102"/>
        <v>OcfCode_salinity</v>
      </c>
      <c r="B6534" s="409"/>
      <c r="C6534" s="416"/>
      <c r="D6534" s="198" t="s">
        <v>42171</v>
      </c>
      <c r="E6534" s="198">
        <v>2</v>
      </c>
      <c r="F6534" s="199" t="s">
        <v>42172</v>
      </c>
      <c r="G6534" s="1" t="s">
        <v>42173</v>
      </c>
      <c r="H6534" s="1" t="s">
        <v>42174</v>
      </c>
      <c r="I6534" s="346"/>
      <c r="J6534" s="39">
        <v>119354</v>
      </c>
      <c r="K6534" s="36" t="str">
        <f>CONCATENATE(Cover!$D$6,"fdd/view?i=",J6534)</f>
        <v>https://www.dgiwg.org/FAD/fdd/view?i=119354</v>
      </c>
      <c r="L6534" s="36" t="s">
        <v>42175</v>
      </c>
      <c r="M6534" s="186"/>
      <c r="N6534" s="186"/>
      <c r="O6534" s="172"/>
    </row>
    <row r="6535" spans="1:15" x14ac:dyDescent="0.2">
      <c r="A6535" s="203" t="str">
        <f t="shared" si="102"/>
        <v>OcfCode_thermal</v>
      </c>
      <c r="B6535" s="410"/>
      <c r="C6535" s="417"/>
      <c r="D6535" s="204" t="s">
        <v>40242</v>
      </c>
      <c r="E6535" s="204">
        <v>3</v>
      </c>
      <c r="F6535" s="205" t="s">
        <v>40243</v>
      </c>
      <c r="G6535" s="206" t="s">
        <v>42176</v>
      </c>
      <c r="H6535" s="207"/>
      <c r="I6535" s="347"/>
      <c r="J6535" s="39">
        <v>119355</v>
      </c>
      <c r="K6535" s="36" t="str">
        <f>CONCATENATE(Cover!$D$6,"fdd/view?i=",J6535)</f>
        <v>https://www.dgiwg.org/FAD/fdd/view?i=119355</v>
      </c>
      <c r="L6535" s="36" t="s">
        <v>42177</v>
      </c>
      <c r="M6535" s="186"/>
      <c r="N6535" s="186"/>
      <c r="O6535" s="172"/>
    </row>
    <row r="6536" spans="1:15" ht="25.5" x14ac:dyDescent="0.2">
      <c r="A6536" s="190" t="str">
        <f t="shared" si="102"/>
        <v>OcsCode_barge</v>
      </c>
      <c r="B6536" s="414" t="str">
        <f>HYPERLINK("[#]Datatypes!A1079:L1079","OcsCode")</f>
        <v>OcsCode</v>
      </c>
      <c r="C6536" s="415" t="s">
        <v>15687</v>
      </c>
      <c r="D6536" s="221" t="s">
        <v>24810</v>
      </c>
      <c r="E6536" s="221">
        <v>6</v>
      </c>
      <c r="F6536" s="222" t="s">
        <v>24811</v>
      </c>
      <c r="G6536" s="223" t="s">
        <v>42178</v>
      </c>
      <c r="H6536" s="223" t="s">
        <v>42179</v>
      </c>
      <c r="I6536" s="345"/>
      <c r="J6536" s="39">
        <v>112410</v>
      </c>
      <c r="K6536" s="36" t="str">
        <f>CONCATENATE(Cover!$D$6,"fdd/view?i=",J6536)</f>
        <v>https://www.dgiwg.org/FAD/fdd/view?i=112410</v>
      </c>
      <c r="L6536" s="36" t="s">
        <v>42180</v>
      </c>
      <c r="M6536" s="186"/>
      <c r="N6536" s="186"/>
      <c r="O6536" s="172"/>
    </row>
    <row r="6537" spans="1:15" ht="63.75" x14ac:dyDescent="0.2">
      <c r="A6537" s="197" t="str">
        <f t="shared" si="102"/>
        <v>OcsCode_catenaryTurntable</v>
      </c>
      <c r="B6537" s="409"/>
      <c r="C6537" s="416"/>
      <c r="D6537" s="198" t="s">
        <v>42181</v>
      </c>
      <c r="E6537" s="198">
        <v>3</v>
      </c>
      <c r="F6537" s="199" t="s">
        <v>42182</v>
      </c>
      <c r="G6537" s="1" t="s">
        <v>42183</v>
      </c>
      <c r="H6537" s="1" t="s">
        <v>42184</v>
      </c>
      <c r="I6537" s="346"/>
      <c r="J6537" s="39">
        <v>112404</v>
      </c>
      <c r="K6537" s="36" t="str">
        <f>CONCATENATE(Cover!$D$6,"fdd/view?i=",J6537)</f>
        <v>https://www.dgiwg.org/FAD/fdd/view?i=112404</v>
      </c>
      <c r="L6537" s="36" t="s">
        <v>42185</v>
      </c>
      <c r="M6537" s="186"/>
      <c r="N6537" s="186"/>
      <c r="O6537" s="172"/>
    </row>
    <row r="6538" spans="1:15" ht="51" x14ac:dyDescent="0.2">
      <c r="A6538" s="197" t="str">
        <f t="shared" si="102"/>
        <v>OcsCode_platform</v>
      </c>
      <c r="B6538" s="409"/>
      <c r="C6538" s="416"/>
      <c r="D6538" s="198" t="s">
        <v>42186</v>
      </c>
      <c r="E6538" s="198">
        <v>1</v>
      </c>
      <c r="F6538" s="199" t="s">
        <v>42187</v>
      </c>
      <c r="G6538" s="1" t="s">
        <v>42188</v>
      </c>
      <c r="H6538" s="1" t="s">
        <v>42189</v>
      </c>
      <c r="I6538" s="346"/>
      <c r="J6538" s="39">
        <v>112400</v>
      </c>
      <c r="K6538" s="36" t="str">
        <f>CONCATENATE(Cover!$D$6,"fdd/view?i=",J6538)</f>
        <v>https://www.dgiwg.org/FAD/fdd/view?i=112400</v>
      </c>
      <c r="L6538" s="36" t="s">
        <v>42190</v>
      </c>
      <c r="M6538" s="186"/>
      <c r="N6538" s="186"/>
      <c r="O6538" s="172"/>
    </row>
    <row r="6539" spans="1:15" ht="114.75" x14ac:dyDescent="0.2">
      <c r="A6539" s="197" t="str">
        <f t="shared" si="102"/>
        <v>OcsCode_submergedTurret</v>
      </c>
      <c r="B6539" s="409"/>
      <c r="C6539" s="416"/>
      <c r="D6539" s="198" t="s">
        <v>42191</v>
      </c>
      <c r="E6539" s="198">
        <v>4</v>
      </c>
      <c r="F6539" s="199" t="s">
        <v>42192</v>
      </c>
      <c r="G6539" s="1" t="s">
        <v>42193</v>
      </c>
      <c r="H6539" s="1" t="s">
        <v>42194</v>
      </c>
      <c r="I6539" s="346"/>
      <c r="J6539" s="39">
        <v>112406</v>
      </c>
      <c r="K6539" s="36" t="str">
        <f>CONCATENATE(Cover!$D$6,"fdd/view?i=",J6539)</f>
        <v>https://www.dgiwg.org/FAD/fdd/view?i=112406</v>
      </c>
      <c r="L6539" s="36" t="s">
        <v>42195</v>
      </c>
      <c r="M6539" s="186"/>
      <c r="N6539" s="186"/>
      <c r="O6539" s="172"/>
    </row>
    <row r="6540" spans="1:15" ht="89.25" x14ac:dyDescent="0.2">
      <c r="A6540" s="197" t="str">
        <f t="shared" si="102"/>
        <v>OcsCode_terminalBuoy</v>
      </c>
      <c r="B6540" s="409"/>
      <c r="C6540" s="416"/>
      <c r="D6540" s="198" t="s">
        <v>42196</v>
      </c>
      <c r="E6540" s="198">
        <v>2</v>
      </c>
      <c r="F6540" s="199" t="s">
        <v>42197</v>
      </c>
      <c r="G6540" s="1" t="s">
        <v>42198</v>
      </c>
      <c r="H6540" s="1" t="s">
        <v>42199</v>
      </c>
      <c r="I6540" s="346"/>
      <c r="J6540" s="39">
        <v>112402</v>
      </c>
      <c r="K6540" s="36" t="str">
        <f>CONCATENATE(Cover!$D$6,"fdd/view?i=",J6540)</f>
        <v>https://www.dgiwg.org/FAD/fdd/view?i=112402</v>
      </c>
      <c r="L6540" s="36" t="s">
        <v>42200</v>
      </c>
      <c r="M6540" s="186"/>
      <c r="N6540" s="186"/>
      <c r="O6540" s="172"/>
    </row>
    <row r="6541" spans="1:15" ht="38.25" x14ac:dyDescent="0.2">
      <c r="A6541" s="203" t="str">
        <f t="shared" si="102"/>
        <v>OcsCode_vessel</v>
      </c>
      <c r="B6541" s="410"/>
      <c r="C6541" s="417"/>
      <c r="D6541" s="204" t="s">
        <v>26573</v>
      </c>
      <c r="E6541" s="204">
        <v>5</v>
      </c>
      <c r="F6541" s="205" t="s">
        <v>26574</v>
      </c>
      <c r="G6541" s="206" t="s">
        <v>42201</v>
      </c>
      <c r="H6541" s="206" t="s">
        <v>42202</v>
      </c>
      <c r="I6541" s="347"/>
      <c r="J6541" s="39">
        <v>112408</v>
      </c>
      <c r="K6541" s="36" t="str">
        <f>CONCATENATE(Cover!$D$6,"fdd/view?i=",J6541)</f>
        <v>https://www.dgiwg.org/FAD/fdd/view?i=112408</v>
      </c>
      <c r="L6541" s="36" t="s">
        <v>42203</v>
      </c>
      <c r="M6541" s="186"/>
      <c r="N6541" s="186"/>
      <c r="O6541" s="172"/>
    </row>
    <row r="6542" spans="1:15" ht="25.5" x14ac:dyDescent="0.2">
      <c r="A6542" s="190" t="str">
        <f t="shared" si="102"/>
        <v>OssCode_artificialIsland</v>
      </c>
      <c r="B6542" s="414" t="str">
        <f>HYPERLINK("[#]Datatypes!A1081:L1081","OssCode")</f>
        <v>OssCode</v>
      </c>
      <c r="C6542" s="415" t="s">
        <v>15689</v>
      </c>
      <c r="D6542" s="221" t="s">
        <v>42204</v>
      </c>
      <c r="E6542" s="221">
        <v>1</v>
      </c>
      <c r="F6542" s="222" t="s">
        <v>42205</v>
      </c>
      <c r="G6542" s="223" t="s">
        <v>42206</v>
      </c>
      <c r="H6542" s="223" t="s">
        <v>42207</v>
      </c>
      <c r="I6542" s="345"/>
      <c r="J6542" s="39">
        <v>112420</v>
      </c>
      <c r="K6542" s="36" t="str">
        <f>CONCATENATE(Cover!$D$6,"fdd/view?i=",J6542)</f>
        <v>https://www.dgiwg.org/FAD/fdd/view?i=112420</v>
      </c>
      <c r="L6542" s="36" t="s">
        <v>42208</v>
      </c>
      <c r="M6542" s="186"/>
      <c r="N6542" s="186"/>
      <c r="O6542" s="172"/>
    </row>
    <row r="6543" spans="1:15" ht="63.75" x14ac:dyDescent="0.2">
      <c r="A6543" s="197" t="str">
        <f t="shared" si="102"/>
        <v>OssCode_multiColumn</v>
      </c>
      <c r="B6543" s="409"/>
      <c r="C6543" s="416"/>
      <c r="D6543" s="198" t="s">
        <v>42209</v>
      </c>
      <c r="E6543" s="198">
        <v>3</v>
      </c>
      <c r="F6543" s="199" t="s">
        <v>42210</v>
      </c>
      <c r="G6543" s="1" t="s">
        <v>42211</v>
      </c>
      <c r="H6543" s="1" t="s">
        <v>42212</v>
      </c>
      <c r="I6543" s="346"/>
      <c r="J6543" s="39">
        <v>112424</v>
      </c>
      <c r="K6543" s="36" t="str">
        <f>CONCATENATE(Cover!$D$6,"fdd/view?i=",J6543)</f>
        <v>https://www.dgiwg.org/FAD/fdd/view?i=112424</v>
      </c>
      <c r="L6543" s="36" t="s">
        <v>42213</v>
      </c>
      <c r="M6543" s="186"/>
      <c r="N6543" s="186"/>
      <c r="O6543" s="172"/>
    </row>
    <row r="6544" spans="1:15" ht="25.5" x14ac:dyDescent="0.2">
      <c r="A6544" s="197" t="str">
        <f t="shared" si="102"/>
        <v>OssCode_singleColumn</v>
      </c>
      <c r="B6544" s="409"/>
      <c r="C6544" s="416"/>
      <c r="D6544" s="198" t="s">
        <v>42214</v>
      </c>
      <c r="E6544" s="198">
        <v>2</v>
      </c>
      <c r="F6544" s="199" t="s">
        <v>42215</v>
      </c>
      <c r="G6544" s="1" t="s">
        <v>42216</v>
      </c>
      <c r="H6544" s="1" t="s">
        <v>42217</v>
      </c>
      <c r="I6544" s="346"/>
      <c r="J6544" s="39">
        <v>112422</v>
      </c>
      <c r="K6544" s="36" t="str">
        <f>CONCATENATE(Cover!$D$6,"fdd/view?i=",J6544)</f>
        <v>https://www.dgiwg.org/FAD/fdd/view?i=112422</v>
      </c>
      <c r="L6544" s="36" t="s">
        <v>42218</v>
      </c>
      <c r="M6544" s="186"/>
      <c r="N6544" s="186"/>
      <c r="O6544" s="172"/>
    </row>
    <row r="6545" spans="1:15" ht="25.5" x14ac:dyDescent="0.2">
      <c r="A6545" s="203" t="str">
        <f t="shared" si="102"/>
        <v>OssCode_trussTower</v>
      </c>
      <c r="B6545" s="410"/>
      <c r="C6545" s="417"/>
      <c r="D6545" s="204" t="s">
        <v>42219</v>
      </c>
      <c r="E6545" s="204">
        <v>4</v>
      </c>
      <c r="F6545" s="205" t="s">
        <v>42220</v>
      </c>
      <c r="G6545" s="206" t="s">
        <v>42221</v>
      </c>
      <c r="H6545" s="206" t="s">
        <v>42222</v>
      </c>
      <c r="I6545" s="347"/>
      <c r="J6545" s="39">
        <v>112426</v>
      </c>
      <c r="K6545" s="36" t="str">
        <f>CONCATENATE(Cover!$D$6,"fdd/view?i=",J6545)</f>
        <v>https://www.dgiwg.org/FAD/fdd/view?i=112426</v>
      </c>
      <c r="L6545" s="36" t="s">
        <v>42223</v>
      </c>
      <c r="M6545" s="186"/>
      <c r="N6545" s="186"/>
      <c r="O6545" s="172"/>
    </row>
    <row r="6546" spans="1:15" ht="25.5" x14ac:dyDescent="0.2">
      <c r="A6546" s="190" t="str">
        <f t="shared" si="102"/>
        <v>OpcCode_accommodationPlatform</v>
      </c>
      <c r="B6546" s="414" t="str">
        <f>HYPERLINK("[#]Datatypes!A1083:L1083","OpcCode")</f>
        <v>OpcCode</v>
      </c>
      <c r="C6546" s="415" t="s">
        <v>15691</v>
      </c>
      <c r="D6546" s="221" t="s">
        <v>42224</v>
      </c>
      <c r="E6546" s="221">
        <v>9</v>
      </c>
      <c r="F6546" s="222" t="s">
        <v>42225</v>
      </c>
      <c r="G6546" s="223" t="s">
        <v>42226</v>
      </c>
      <c r="H6546" s="224"/>
      <c r="I6546" s="345"/>
      <c r="J6546" s="39">
        <v>106248</v>
      </c>
      <c r="K6546" s="36" t="str">
        <f>CONCATENATE(Cover!$D$6,"fdd/view?i=",J6546)</f>
        <v>https://www.dgiwg.org/FAD/fdd/view?i=106248</v>
      </c>
      <c r="L6546" s="36" t="s">
        <v>42227</v>
      </c>
      <c r="M6546" s="186"/>
      <c r="N6546" s="186"/>
      <c r="O6546" s="172"/>
    </row>
    <row r="6547" spans="1:15" ht="38.25" x14ac:dyDescent="0.2">
      <c r="A6547" s="197" t="str">
        <f t="shared" si="102"/>
        <v>OpcCode_articLoadingPlatform</v>
      </c>
      <c r="B6547" s="409"/>
      <c r="C6547" s="416"/>
      <c r="D6547" s="198" t="s">
        <v>42228</v>
      </c>
      <c r="E6547" s="198">
        <v>4</v>
      </c>
      <c r="F6547" s="199" t="s">
        <v>42229</v>
      </c>
      <c r="G6547" s="1" t="s">
        <v>42230</v>
      </c>
      <c r="H6547" s="1" t="s">
        <v>42231</v>
      </c>
      <c r="I6547" s="346"/>
      <c r="J6547" s="39">
        <v>106243</v>
      </c>
      <c r="K6547" s="36" t="str">
        <f>CONCATENATE(Cover!$D$6,"fdd/view?i=",J6547)</f>
        <v>https://www.dgiwg.org/FAD/fdd/view?i=106243</v>
      </c>
      <c r="L6547" s="36" t="s">
        <v>42232</v>
      </c>
      <c r="M6547" s="186"/>
      <c r="N6547" s="186"/>
      <c r="O6547" s="172"/>
    </row>
    <row r="6548" spans="1:15" ht="38.25" x14ac:dyDescent="0.2">
      <c r="A6548" s="197" t="str">
        <f t="shared" si="102"/>
        <v>OpcCode_artificialIsland</v>
      </c>
      <c r="B6548" s="409"/>
      <c r="C6548" s="416"/>
      <c r="D6548" s="198" t="s">
        <v>42204</v>
      </c>
      <c r="E6548" s="198">
        <v>7</v>
      </c>
      <c r="F6548" s="199" t="s">
        <v>42205</v>
      </c>
      <c r="G6548" s="1" t="s">
        <v>42233</v>
      </c>
      <c r="H6548" s="200"/>
      <c r="I6548" s="346"/>
      <c r="J6548" s="39">
        <v>106246</v>
      </c>
      <c r="K6548" s="36" t="str">
        <f>CONCATENATE(Cover!$D$6,"fdd/view?i=",J6548)</f>
        <v>https://www.dgiwg.org/FAD/fdd/view?i=106246</v>
      </c>
      <c r="L6548" s="36" t="s">
        <v>42234</v>
      </c>
      <c r="M6548" s="186"/>
      <c r="N6548" s="186"/>
      <c r="O6548" s="172"/>
    </row>
    <row r="6549" spans="1:15" ht="25.5" x14ac:dyDescent="0.2">
      <c r="A6549" s="197" t="str">
        <f t="shared" si="102"/>
        <v>OpcCode_commonCommercialUnload</v>
      </c>
      <c r="B6549" s="409"/>
      <c r="C6549" s="416"/>
      <c r="D6549" s="198" t="s">
        <v>42235</v>
      </c>
      <c r="E6549" s="198">
        <v>12</v>
      </c>
      <c r="F6549" s="199" t="s">
        <v>42236</v>
      </c>
      <c r="G6549" s="200"/>
      <c r="H6549" s="200"/>
      <c r="I6549" s="346"/>
      <c r="J6549" s="39">
        <v>106250</v>
      </c>
      <c r="K6549" s="36" t="str">
        <f>CONCATENATE(Cover!$D$6,"fdd/view?i=",J6549)</f>
        <v>https://www.dgiwg.org/FAD/fdd/view?i=106250</v>
      </c>
      <c r="L6549" s="36" t="s">
        <v>42237</v>
      </c>
      <c r="M6549" s="186"/>
      <c r="N6549" s="186"/>
      <c r="O6549" s="172"/>
    </row>
    <row r="6550" spans="1:15" x14ac:dyDescent="0.2">
      <c r="A6550" s="197" t="str">
        <f t="shared" si="102"/>
        <v>OpcCode_defence</v>
      </c>
      <c r="B6550" s="409"/>
      <c r="C6550" s="416"/>
      <c r="D6550" s="198" t="s">
        <v>42238</v>
      </c>
      <c r="E6550" s="198">
        <v>13</v>
      </c>
      <c r="F6550" s="199" t="s">
        <v>42239</v>
      </c>
      <c r="G6550" s="1" t="s">
        <v>42240</v>
      </c>
      <c r="H6550" s="200"/>
      <c r="I6550" s="346"/>
      <c r="J6550" s="39">
        <v>118522</v>
      </c>
      <c r="K6550" s="36" t="str">
        <f>CONCATENATE(Cover!$D$6,"fdd/view?i=",J6550)</f>
        <v>https://www.dgiwg.org/FAD/fdd/view?i=118522</v>
      </c>
      <c r="L6550" s="36" t="s">
        <v>42241</v>
      </c>
      <c r="M6550" s="186"/>
      <c r="N6550" s="186"/>
      <c r="O6550" s="172"/>
    </row>
    <row r="6551" spans="1:15" ht="38.25" x14ac:dyDescent="0.2">
      <c r="A6551" s="197" t="str">
        <f t="shared" si="102"/>
        <v>OpcCode_floatProStoreOffLoadVes</v>
      </c>
      <c r="B6551" s="409"/>
      <c r="C6551" s="416"/>
      <c r="D6551" s="198" t="s">
        <v>42242</v>
      </c>
      <c r="E6551" s="198">
        <v>8</v>
      </c>
      <c r="F6551" s="199" t="s">
        <v>42243</v>
      </c>
      <c r="G6551" s="1" t="s">
        <v>42244</v>
      </c>
      <c r="H6551" s="200"/>
      <c r="I6551" s="346"/>
      <c r="J6551" s="39">
        <v>106247</v>
      </c>
      <c r="K6551" s="36" t="str">
        <f>CONCATENATE(Cover!$D$6,"fdd/view?i=",J6551)</f>
        <v>https://www.dgiwg.org/FAD/fdd/view?i=106247</v>
      </c>
      <c r="L6551" s="36" t="s">
        <v>42245</v>
      </c>
      <c r="M6551" s="186"/>
      <c r="N6551" s="186"/>
      <c r="O6551" s="172"/>
    </row>
    <row r="6552" spans="1:15" ht="25.5" x14ac:dyDescent="0.2">
      <c r="A6552" s="197" t="str">
        <f t="shared" si="102"/>
        <v>OpcCode_mooringTower</v>
      </c>
      <c r="B6552" s="409"/>
      <c r="C6552" s="416"/>
      <c r="D6552" s="198" t="s">
        <v>42246</v>
      </c>
      <c r="E6552" s="198">
        <v>6</v>
      </c>
      <c r="F6552" s="199" t="s">
        <v>42247</v>
      </c>
      <c r="G6552" s="1" t="s">
        <v>42248</v>
      </c>
      <c r="H6552" s="200"/>
      <c r="I6552" s="346"/>
      <c r="J6552" s="39">
        <v>106245</v>
      </c>
      <c r="K6552" s="36" t="str">
        <f>CONCATENATE(Cover!$D$6,"fdd/view?i=",J6552)</f>
        <v>https://www.dgiwg.org/FAD/fdd/view?i=106245</v>
      </c>
      <c r="L6552" s="36" t="s">
        <v>42249</v>
      </c>
      <c r="M6552" s="186"/>
      <c r="N6552" s="186"/>
      <c r="O6552" s="172"/>
    </row>
    <row r="6553" spans="1:15" ht="38.25" x14ac:dyDescent="0.2">
      <c r="A6553" s="197" t="str">
        <f t="shared" si="102"/>
        <v>OpcCode_navigationAidSupport</v>
      </c>
      <c r="B6553" s="409"/>
      <c r="C6553" s="416"/>
      <c r="D6553" s="198" t="s">
        <v>42250</v>
      </c>
      <c r="E6553" s="198">
        <v>10</v>
      </c>
      <c r="F6553" s="199" t="s">
        <v>42251</v>
      </c>
      <c r="G6553" s="1" t="s">
        <v>42252</v>
      </c>
      <c r="H6553" s="1" t="s">
        <v>42253</v>
      </c>
      <c r="I6553" s="346"/>
      <c r="J6553" s="39">
        <v>106249</v>
      </c>
      <c r="K6553" s="36" t="str">
        <f>CONCATENATE(Cover!$D$6,"fdd/view?i=",J6553)</f>
        <v>https://www.dgiwg.org/FAD/fdd/view?i=106249</v>
      </c>
      <c r="L6553" s="36" t="s">
        <v>42254</v>
      </c>
      <c r="M6553" s="186"/>
      <c r="N6553" s="186"/>
      <c r="O6553" s="172"/>
    </row>
    <row r="6554" spans="1:15" ht="25.5" x14ac:dyDescent="0.2">
      <c r="A6554" s="197" t="str">
        <f t="shared" si="102"/>
        <v>OpcCode_observationPlatform</v>
      </c>
      <c r="B6554" s="409"/>
      <c r="C6554" s="416"/>
      <c r="D6554" s="198" t="s">
        <v>42255</v>
      </c>
      <c r="E6554" s="198">
        <v>3</v>
      </c>
      <c r="F6554" s="199" t="s">
        <v>42256</v>
      </c>
      <c r="G6554" s="1" t="s">
        <v>42257</v>
      </c>
      <c r="H6554" s="200"/>
      <c r="I6554" s="351" t="s">
        <v>42258</v>
      </c>
      <c r="J6554" s="39">
        <v>106242</v>
      </c>
      <c r="K6554" s="36" t="str">
        <f>CONCATENATE(Cover!$D$6,"fdd/view?i=",J6554)</f>
        <v>https://www.dgiwg.org/FAD/fdd/view?i=106242</v>
      </c>
      <c r="L6554" s="36" t="s">
        <v>42259</v>
      </c>
      <c r="M6554" s="186"/>
      <c r="N6554" s="186"/>
      <c r="O6554" s="172"/>
    </row>
    <row r="6555" spans="1:15" ht="25.5" x14ac:dyDescent="0.2">
      <c r="A6555" s="197" t="str">
        <f t="shared" si="102"/>
        <v>OpcCode_oilDerrick</v>
      </c>
      <c r="B6555" s="409"/>
      <c r="C6555" s="416"/>
      <c r="D6555" s="198" t="s">
        <v>42260</v>
      </c>
      <c r="E6555" s="198">
        <v>1</v>
      </c>
      <c r="F6555" s="199" t="s">
        <v>42261</v>
      </c>
      <c r="G6555" s="1" t="s">
        <v>42262</v>
      </c>
      <c r="H6555" s="200"/>
      <c r="I6555" s="346"/>
      <c r="J6555" s="39">
        <v>106240</v>
      </c>
      <c r="K6555" s="36" t="str">
        <f>CONCATENATE(Cover!$D$6,"fdd/view?i=",J6555)</f>
        <v>https://www.dgiwg.org/FAD/fdd/view?i=106240</v>
      </c>
      <c r="L6555" s="36" t="s">
        <v>42263</v>
      </c>
      <c r="M6555" s="186"/>
      <c r="N6555" s="186"/>
      <c r="O6555" s="172"/>
    </row>
    <row r="6556" spans="1:15" ht="25.5" x14ac:dyDescent="0.2">
      <c r="A6556" s="197" t="str">
        <f t="shared" si="102"/>
        <v>OpcCode_productionPlatform</v>
      </c>
      <c r="B6556" s="409"/>
      <c r="C6556" s="416"/>
      <c r="D6556" s="198" t="s">
        <v>42264</v>
      </c>
      <c r="E6556" s="198">
        <v>2</v>
      </c>
      <c r="F6556" s="199" t="s">
        <v>42265</v>
      </c>
      <c r="G6556" s="1" t="s">
        <v>42266</v>
      </c>
      <c r="H6556" s="200"/>
      <c r="I6556" s="346"/>
      <c r="J6556" s="39">
        <v>106241</v>
      </c>
      <c r="K6556" s="36" t="str">
        <f>CONCATENATE(Cover!$D$6,"fdd/view?i=",J6556)</f>
        <v>https://www.dgiwg.org/FAD/fdd/view?i=106241</v>
      </c>
      <c r="L6556" s="36" t="s">
        <v>42267</v>
      </c>
      <c r="M6556" s="186"/>
      <c r="N6556" s="186"/>
      <c r="O6556" s="172"/>
    </row>
    <row r="6557" spans="1:15" ht="51" x14ac:dyDescent="0.2">
      <c r="A6557" s="197" t="str">
        <f t="shared" si="102"/>
        <v>OpcCode_singleAnchorLegMooring</v>
      </c>
      <c r="B6557" s="409"/>
      <c r="C6557" s="416"/>
      <c r="D6557" s="198" t="s">
        <v>42268</v>
      </c>
      <c r="E6557" s="198">
        <v>5</v>
      </c>
      <c r="F6557" s="199" t="s">
        <v>42269</v>
      </c>
      <c r="G6557" s="1" t="s">
        <v>42270</v>
      </c>
      <c r="H6557" s="200"/>
      <c r="I6557" s="346"/>
      <c r="J6557" s="39">
        <v>106244</v>
      </c>
      <c r="K6557" s="36" t="str">
        <f>CONCATENATE(Cover!$D$6,"fdd/view?i=",J6557)</f>
        <v>https://www.dgiwg.org/FAD/fdd/view?i=106244</v>
      </c>
      <c r="L6557" s="36" t="s">
        <v>42271</v>
      </c>
      <c r="M6557" s="186"/>
      <c r="N6557" s="186"/>
      <c r="O6557" s="172"/>
    </row>
    <row r="6558" spans="1:15" ht="38.25" x14ac:dyDescent="0.2">
      <c r="A6558" s="203" t="str">
        <f t="shared" si="102"/>
        <v>OpcCode_singlePointMooring</v>
      </c>
      <c r="B6558" s="410"/>
      <c r="C6558" s="417"/>
      <c r="D6558" s="204" t="s">
        <v>34781</v>
      </c>
      <c r="E6558" s="204">
        <v>14</v>
      </c>
      <c r="F6558" s="205" t="s">
        <v>5070</v>
      </c>
      <c r="G6558" s="206" t="s">
        <v>5071</v>
      </c>
      <c r="H6558" s="206" t="s">
        <v>5072</v>
      </c>
      <c r="I6558" s="347"/>
      <c r="J6558" s="39">
        <v>118523</v>
      </c>
      <c r="K6558" s="36" t="str">
        <f>CONCATENATE(Cover!$D$6,"fdd/view?i=",J6558)</f>
        <v>https://www.dgiwg.org/FAD/fdd/view?i=118523</v>
      </c>
      <c r="L6558" s="36" t="s">
        <v>42272</v>
      </c>
      <c r="M6558" s="186"/>
      <c r="N6558" s="186"/>
      <c r="O6558" s="172"/>
    </row>
    <row r="6559" spans="1:15" ht="25.5" x14ac:dyDescent="0.2">
      <c r="A6559" s="190" t="str">
        <f t="shared" si="102"/>
        <v>OpmCode_fixed</v>
      </c>
      <c r="B6559" s="414" t="str">
        <f>HYPERLINK("[#]Datatypes!A1085:L1085","OpmCode")</f>
        <v>OpmCode</v>
      </c>
      <c r="C6559" s="415" t="s">
        <v>15693</v>
      </c>
      <c r="D6559" s="221" t="s">
        <v>24466</v>
      </c>
      <c r="E6559" s="221">
        <v>1</v>
      </c>
      <c r="F6559" s="222" t="s">
        <v>24467</v>
      </c>
      <c r="G6559" s="223" t="s">
        <v>42273</v>
      </c>
      <c r="H6559" s="223" t="s">
        <v>42274</v>
      </c>
      <c r="I6559" s="345"/>
      <c r="J6559" s="39">
        <v>112412</v>
      </c>
      <c r="K6559" s="36" t="str">
        <f>CONCATENATE(Cover!$D$6,"fdd/view?i=",J6559)</f>
        <v>https://www.dgiwg.org/FAD/fdd/view?i=112412</v>
      </c>
      <c r="L6559" s="36" t="s">
        <v>42275</v>
      </c>
      <c r="M6559" s="186"/>
      <c r="N6559" s="186"/>
      <c r="O6559" s="172"/>
    </row>
    <row r="6560" spans="1:15" ht="63.75" x14ac:dyDescent="0.2">
      <c r="A6560" s="197" t="str">
        <f t="shared" si="102"/>
        <v>OpmCode_floatingDynamicPosition</v>
      </c>
      <c r="B6560" s="409"/>
      <c r="C6560" s="416"/>
      <c r="D6560" s="198" t="s">
        <v>42276</v>
      </c>
      <c r="E6560" s="198">
        <v>3</v>
      </c>
      <c r="F6560" s="199" t="s">
        <v>42277</v>
      </c>
      <c r="G6560" s="1" t="s">
        <v>42278</v>
      </c>
      <c r="H6560" s="1" t="s">
        <v>42279</v>
      </c>
      <c r="I6560" s="346"/>
      <c r="J6560" s="39">
        <v>112416</v>
      </c>
      <c r="K6560" s="36" t="str">
        <f>CONCATENATE(Cover!$D$6,"fdd/view?i=",J6560)</f>
        <v>https://www.dgiwg.org/FAD/fdd/view?i=112416</v>
      </c>
      <c r="L6560" s="36" t="s">
        <v>42280</v>
      </c>
      <c r="M6560" s="186"/>
      <c r="N6560" s="186"/>
      <c r="O6560" s="172"/>
    </row>
    <row r="6561" spans="1:15" ht="25.5" x14ac:dyDescent="0.2">
      <c r="A6561" s="197" t="str">
        <f t="shared" si="102"/>
        <v>OpmCode_floatingMoored</v>
      </c>
      <c r="B6561" s="409"/>
      <c r="C6561" s="416"/>
      <c r="D6561" s="198" t="s">
        <v>42281</v>
      </c>
      <c r="E6561" s="198">
        <v>2</v>
      </c>
      <c r="F6561" s="199" t="s">
        <v>42282</v>
      </c>
      <c r="G6561" s="1" t="s">
        <v>42283</v>
      </c>
      <c r="H6561" s="1" t="s">
        <v>42284</v>
      </c>
      <c r="I6561" s="346"/>
      <c r="J6561" s="39">
        <v>112414</v>
      </c>
      <c r="K6561" s="36" t="str">
        <f>CONCATENATE(Cover!$D$6,"fdd/view?i=",J6561)</f>
        <v>https://www.dgiwg.org/FAD/fdd/view?i=112414</v>
      </c>
      <c r="L6561" s="36" t="s">
        <v>42285</v>
      </c>
      <c r="M6561" s="186"/>
      <c r="N6561" s="186"/>
      <c r="O6561" s="172"/>
    </row>
    <row r="6562" spans="1:15" ht="76.5" x14ac:dyDescent="0.2">
      <c r="A6562" s="203" t="str">
        <f t="shared" si="102"/>
        <v>OpmCode_semiBuoyantMoored</v>
      </c>
      <c r="B6562" s="410"/>
      <c r="C6562" s="417"/>
      <c r="D6562" s="204" t="s">
        <v>42286</v>
      </c>
      <c r="E6562" s="204">
        <v>4</v>
      </c>
      <c r="F6562" s="205" t="s">
        <v>42287</v>
      </c>
      <c r="G6562" s="206" t="s">
        <v>42288</v>
      </c>
      <c r="H6562" s="206" t="s">
        <v>42289</v>
      </c>
      <c r="I6562" s="347"/>
      <c r="J6562" s="39">
        <v>112418</v>
      </c>
      <c r="K6562" s="36" t="str">
        <f>CONCATENATE(Cover!$D$6,"fdd/view?i=",J6562)</f>
        <v>https://www.dgiwg.org/FAD/fdd/view?i=112418</v>
      </c>
      <c r="L6562" s="36" t="s">
        <v>42290</v>
      </c>
      <c r="M6562" s="186"/>
      <c r="N6562" s="186"/>
      <c r="O6562" s="172"/>
    </row>
    <row r="6563" spans="1:15" ht="25.5" x14ac:dyDescent="0.2">
      <c r="A6563" s="190" t="str">
        <f t="shared" si="102"/>
        <v>ObcCode_floating</v>
      </c>
      <c r="B6563" s="414" t="str">
        <f>HYPERLINK("[#]Datatypes!A1087:L1087","ObcCode")</f>
        <v>ObcCode</v>
      </c>
      <c r="C6563" s="415" t="s">
        <v>15695</v>
      </c>
      <c r="D6563" s="221" t="s">
        <v>8791</v>
      </c>
      <c r="E6563" s="221">
        <v>2</v>
      </c>
      <c r="F6563" s="222" t="s">
        <v>8793</v>
      </c>
      <c r="G6563" s="223" t="s">
        <v>42291</v>
      </c>
      <c r="H6563" s="224"/>
      <c r="I6563" s="345"/>
      <c r="J6563" s="39">
        <v>106190</v>
      </c>
      <c r="K6563" s="36" t="str">
        <f>CONCATENATE(Cover!$D$6,"fdd/view?i=",J6563)</f>
        <v>https://www.dgiwg.org/FAD/fdd/view?i=106190</v>
      </c>
      <c r="L6563" s="36" t="s">
        <v>42292</v>
      </c>
      <c r="M6563" s="186"/>
      <c r="N6563" s="186"/>
      <c r="O6563" s="172"/>
    </row>
    <row r="6564" spans="1:15" ht="25.5" x14ac:dyDescent="0.2">
      <c r="A6564" s="203" t="str">
        <f t="shared" si="102"/>
        <v>ObcCode_highPressurePipe</v>
      </c>
      <c r="B6564" s="410"/>
      <c r="C6564" s="417"/>
      <c r="D6564" s="204" t="s">
        <v>42293</v>
      </c>
      <c r="E6564" s="204">
        <v>1</v>
      </c>
      <c r="F6564" s="205" t="s">
        <v>42294</v>
      </c>
      <c r="G6564" s="206" t="s">
        <v>42295</v>
      </c>
      <c r="H6564" s="207"/>
      <c r="I6564" s="347"/>
      <c r="J6564" s="39">
        <v>106189</v>
      </c>
      <c r="K6564" s="36" t="str">
        <f>CONCATENATE(Cover!$D$6,"fdd/view?i=",J6564)</f>
        <v>https://www.dgiwg.org/FAD/fdd/view?i=106189</v>
      </c>
      <c r="L6564" s="36" t="s">
        <v>42296</v>
      </c>
      <c r="M6564" s="186"/>
      <c r="N6564" s="186"/>
      <c r="O6564" s="172"/>
    </row>
    <row r="6565" spans="1:15" ht="25.5" x14ac:dyDescent="0.2">
      <c r="A6565" s="190" t="str">
        <f t="shared" si="102"/>
        <v>OptCode_continuouslyOperating</v>
      </c>
      <c r="B6565" s="414" t="str">
        <f>HYPERLINK("[#]Datatypes!A1089:L1089","OptCode")</f>
        <v>OptCode</v>
      </c>
      <c r="C6565" s="415" t="s">
        <v>15697</v>
      </c>
      <c r="D6565" s="221" t="s">
        <v>42297</v>
      </c>
      <c r="E6565" s="221">
        <v>3</v>
      </c>
      <c r="F6565" s="222" t="s">
        <v>42298</v>
      </c>
      <c r="G6565" s="223" t="s">
        <v>30117</v>
      </c>
      <c r="H6565" s="224"/>
      <c r="I6565" s="345"/>
      <c r="J6565" s="39">
        <v>106263</v>
      </c>
      <c r="K6565" s="36" t="str">
        <f>CONCATENATE(Cover!$D$6,"fdd/view?i=",J6565)</f>
        <v>https://www.dgiwg.org/FAD/fdd/view?i=106263</v>
      </c>
      <c r="L6565" s="36" t="s">
        <v>42299</v>
      </c>
      <c r="M6565" s="186"/>
      <c r="N6565" s="186"/>
      <c r="O6565" s="172"/>
    </row>
    <row r="6566" spans="1:15" x14ac:dyDescent="0.2">
      <c r="A6566" s="197" t="str">
        <f t="shared" si="102"/>
        <v>OptCode_daytime</v>
      </c>
      <c r="B6566" s="409"/>
      <c r="C6566" s="416"/>
      <c r="D6566" s="198" t="s">
        <v>42300</v>
      </c>
      <c r="E6566" s="198">
        <v>1</v>
      </c>
      <c r="F6566" s="199" t="s">
        <v>42301</v>
      </c>
      <c r="G6566" s="1" t="s">
        <v>42302</v>
      </c>
      <c r="H6566" s="200"/>
      <c r="I6566" s="346"/>
      <c r="J6566" s="39">
        <v>106261</v>
      </c>
      <c r="K6566" s="36" t="str">
        <f>CONCATENATE(Cover!$D$6,"fdd/view?i=",J6566)</f>
        <v>https://www.dgiwg.org/FAD/fdd/view?i=106261</v>
      </c>
      <c r="L6566" s="36" t="s">
        <v>42303</v>
      </c>
      <c r="M6566" s="186"/>
      <c r="N6566" s="186"/>
      <c r="O6566" s="172"/>
    </row>
    <row r="6567" spans="1:15" ht="25.5" x14ac:dyDescent="0.2">
      <c r="A6567" s="197" t="str">
        <f t="shared" si="102"/>
        <v>OptCode_fogConditions</v>
      </c>
      <c r="B6567" s="409"/>
      <c r="C6567" s="416"/>
      <c r="D6567" s="198" t="s">
        <v>42304</v>
      </c>
      <c r="E6567" s="198">
        <v>9</v>
      </c>
      <c r="F6567" s="199" t="s">
        <v>42305</v>
      </c>
      <c r="G6567" s="1" t="s">
        <v>42306</v>
      </c>
      <c r="H6567" s="200"/>
      <c r="I6567" s="346"/>
      <c r="J6567" s="39">
        <v>118524</v>
      </c>
      <c r="K6567" s="36" t="str">
        <f>CONCATENATE(Cover!$D$6,"fdd/view?i=",J6567)</f>
        <v>https://www.dgiwg.org/FAD/fdd/view?i=118524</v>
      </c>
      <c r="L6567" s="36" t="s">
        <v>42307</v>
      </c>
      <c r="M6567" s="186"/>
      <c r="N6567" s="186"/>
      <c r="O6567" s="172"/>
    </row>
    <row r="6568" spans="1:15" ht="25.5" x14ac:dyDescent="0.2">
      <c r="A6568" s="197" t="str">
        <f t="shared" si="102"/>
        <v>OptCode_neverOperating</v>
      </c>
      <c r="B6568" s="409"/>
      <c r="C6568" s="416"/>
      <c r="D6568" s="198" t="s">
        <v>42308</v>
      </c>
      <c r="E6568" s="198">
        <v>7</v>
      </c>
      <c r="F6568" s="199" t="s">
        <v>42309</v>
      </c>
      <c r="G6568" s="1" t="s">
        <v>42310</v>
      </c>
      <c r="H6568" s="200"/>
      <c r="I6568" s="346"/>
      <c r="J6568" s="39">
        <v>110286</v>
      </c>
      <c r="K6568" s="36" t="str">
        <f>CONCATENATE(Cover!$D$6,"fdd/view?i=",J6568)</f>
        <v>https://www.dgiwg.org/FAD/fdd/view?i=110286</v>
      </c>
      <c r="L6568" s="36" t="s">
        <v>42311</v>
      </c>
      <c r="M6568" s="186"/>
      <c r="N6568" s="186"/>
      <c r="O6568" s="172"/>
    </row>
    <row r="6569" spans="1:15" x14ac:dyDescent="0.2">
      <c r="A6569" s="197" t="str">
        <f t="shared" si="102"/>
        <v>OptCode_nighttime</v>
      </c>
      <c r="B6569" s="409"/>
      <c r="C6569" s="416"/>
      <c r="D6569" s="198" t="s">
        <v>42312</v>
      </c>
      <c r="E6569" s="198">
        <v>2</v>
      </c>
      <c r="F6569" s="199" t="s">
        <v>42313</v>
      </c>
      <c r="G6569" s="1" t="s">
        <v>42314</v>
      </c>
      <c r="H6569" s="200"/>
      <c r="I6569" s="346"/>
      <c r="J6569" s="39">
        <v>106262</v>
      </c>
      <c r="K6569" s="36" t="str">
        <f>CONCATENATE(Cover!$D$6,"fdd/view?i=",J6569)</f>
        <v>https://www.dgiwg.org/FAD/fdd/view?i=106262</v>
      </c>
      <c r="L6569" s="36" t="s">
        <v>42315</v>
      </c>
      <c r="M6569" s="186"/>
      <c r="N6569" s="186"/>
      <c r="O6569" s="172"/>
    </row>
    <row r="6570" spans="1:15" ht="25.5" x14ac:dyDescent="0.2">
      <c r="A6570" s="197" t="str">
        <f t="shared" si="102"/>
        <v>OptCode_onDemand</v>
      </c>
      <c r="B6570" s="409"/>
      <c r="C6570" s="416"/>
      <c r="D6570" s="198" t="s">
        <v>30136</v>
      </c>
      <c r="E6570" s="198">
        <v>8</v>
      </c>
      <c r="F6570" s="199" t="s">
        <v>30137</v>
      </c>
      <c r="G6570" s="1" t="s">
        <v>30138</v>
      </c>
      <c r="H6570" s="200"/>
      <c r="I6570" s="346"/>
      <c r="J6570" s="39">
        <v>118294</v>
      </c>
      <c r="K6570" s="36" t="str">
        <f>CONCATENATE(Cover!$D$6,"fdd/view?i=",J6570)</f>
        <v>https://www.dgiwg.org/FAD/fdd/view?i=118294</v>
      </c>
      <c r="L6570" s="36" t="s">
        <v>42316</v>
      </c>
      <c r="M6570" s="186"/>
      <c r="N6570" s="186"/>
      <c r="O6570" s="172"/>
    </row>
    <row r="6571" spans="1:15" x14ac:dyDescent="0.2">
      <c r="A6571" s="197" t="str">
        <f t="shared" si="102"/>
        <v>OptCode_restricted</v>
      </c>
      <c r="B6571" s="409"/>
      <c r="C6571" s="416"/>
      <c r="D6571" s="198" t="s">
        <v>16537</v>
      </c>
      <c r="E6571" s="198">
        <v>6</v>
      </c>
      <c r="F6571" s="199" t="s">
        <v>16538</v>
      </c>
      <c r="G6571" s="1" t="s">
        <v>42317</v>
      </c>
      <c r="H6571" s="200"/>
      <c r="I6571" s="346"/>
      <c r="J6571" s="39">
        <v>110285</v>
      </c>
      <c r="K6571" s="36" t="str">
        <f>CONCATENATE(Cover!$D$6,"fdd/view?i=",J6571)</f>
        <v>https://www.dgiwg.org/FAD/fdd/view?i=110285</v>
      </c>
      <c r="L6571" s="36" t="s">
        <v>42318</v>
      </c>
      <c r="M6571" s="186"/>
      <c r="N6571" s="186"/>
      <c r="O6571" s="172"/>
    </row>
    <row r="6572" spans="1:15" ht="25.5" x14ac:dyDescent="0.2">
      <c r="A6572" s="197" t="str">
        <f t="shared" si="102"/>
        <v>OptCode_summerSeason</v>
      </c>
      <c r="B6572" s="409"/>
      <c r="C6572" s="416"/>
      <c r="D6572" s="198" t="s">
        <v>42319</v>
      </c>
      <c r="E6572" s="198">
        <v>4</v>
      </c>
      <c r="F6572" s="199" t="s">
        <v>42320</v>
      </c>
      <c r="G6572" s="1" t="s">
        <v>42321</v>
      </c>
      <c r="H6572" s="200"/>
      <c r="I6572" s="346"/>
      <c r="J6572" s="39">
        <v>106264</v>
      </c>
      <c r="K6572" s="36" t="str">
        <f>CONCATENATE(Cover!$D$6,"fdd/view?i=",J6572)</f>
        <v>https://www.dgiwg.org/FAD/fdd/view?i=106264</v>
      </c>
      <c r="L6572" s="36" t="s">
        <v>42322</v>
      </c>
      <c r="M6572" s="186"/>
      <c r="N6572" s="186"/>
      <c r="O6572" s="172"/>
    </row>
    <row r="6573" spans="1:15" x14ac:dyDescent="0.2">
      <c r="A6573" s="203" t="str">
        <f t="shared" si="102"/>
        <v>OptCode_winterSeason</v>
      </c>
      <c r="B6573" s="410"/>
      <c r="C6573" s="417"/>
      <c r="D6573" s="204" t="s">
        <v>42323</v>
      </c>
      <c r="E6573" s="204">
        <v>5</v>
      </c>
      <c r="F6573" s="205" t="s">
        <v>42324</v>
      </c>
      <c r="G6573" s="206" t="s">
        <v>42325</v>
      </c>
      <c r="H6573" s="207"/>
      <c r="I6573" s="347"/>
      <c r="J6573" s="39">
        <v>106265</v>
      </c>
      <c r="K6573" s="36" t="str">
        <f>CONCATENATE(Cover!$D$6,"fdd/view?i=",J6573)</f>
        <v>https://www.dgiwg.org/FAD/fdd/view?i=106265</v>
      </c>
      <c r="L6573" s="36" t="s">
        <v>42326</v>
      </c>
      <c r="M6573" s="186"/>
      <c r="N6573" s="186"/>
      <c r="O6573" s="172"/>
    </row>
    <row r="6574" spans="1:15" x14ac:dyDescent="0.2">
      <c r="A6574" s="190" t="str">
        <f t="shared" si="102"/>
        <v>OrsCode_flooding</v>
      </c>
      <c r="B6574" s="414" t="str">
        <f>HYPERLINK("[#]Datatypes!A1091:L1091","OrsCode")</f>
        <v>OrsCode</v>
      </c>
      <c r="C6574" s="415" t="s">
        <v>15699</v>
      </c>
      <c r="D6574" s="221" t="s">
        <v>42327</v>
      </c>
      <c r="E6574" s="221">
        <v>6</v>
      </c>
      <c r="F6574" s="222" t="s">
        <v>42328</v>
      </c>
      <c r="G6574" s="223" t="s">
        <v>42329</v>
      </c>
      <c r="H6574" s="224"/>
      <c r="I6574" s="345"/>
      <c r="J6574" s="39">
        <v>106286</v>
      </c>
      <c r="K6574" s="36" t="str">
        <f>CONCATENATE(Cover!$D$6,"fdd/view?i=",J6574)</f>
        <v>https://www.dgiwg.org/FAD/fdd/view?i=106286</v>
      </c>
      <c r="L6574" s="36" t="s">
        <v>42330</v>
      </c>
      <c r="M6574" s="186"/>
      <c r="N6574" s="186"/>
      <c r="O6574" s="172"/>
    </row>
    <row r="6575" spans="1:15" x14ac:dyDescent="0.2">
      <c r="A6575" s="197" t="str">
        <f t="shared" si="102"/>
        <v>OrsCode_ice</v>
      </c>
      <c r="B6575" s="409"/>
      <c r="C6575" s="416"/>
      <c r="D6575" s="198" t="s">
        <v>19560</v>
      </c>
      <c r="E6575" s="198">
        <v>11</v>
      </c>
      <c r="F6575" s="199" t="s">
        <v>19561</v>
      </c>
      <c r="G6575" s="1" t="s">
        <v>42331</v>
      </c>
      <c r="H6575" s="200"/>
      <c r="I6575" s="346"/>
      <c r="J6575" s="39">
        <v>110290</v>
      </c>
      <c r="K6575" s="36" t="str">
        <f>CONCATENATE(Cover!$D$6,"fdd/view?i=",J6575)</f>
        <v>https://www.dgiwg.org/FAD/fdd/view?i=110290</v>
      </c>
      <c r="L6575" s="36" t="s">
        <v>42332</v>
      </c>
      <c r="M6575" s="186"/>
      <c r="N6575" s="186"/>
      <c r="O6575" s="172"/>
    </row>
    <row r="6576" spans="1:15" x14ac:dyDescent="0.2">
      <c r="A6576" s="197" t="str">
        <f t="shared" si="102"/>
        <v>OrsCode_icing</v>
      </c>
      <c r="B6576" s="409"/>
      <c r="C6576" s="416"/>
      <c r="D6576" s="198" t="s">
        <v>42333</v>
      </c>
      <c r="E6576" s="198">
        <v>5</v>
      </c>
      <c r="F6576" s="199" t="s">
        <v>42334</v>
      </c>
      <c r="G6576" s="1" t="s">
        <v>42335</v>
      </c>
      <c r="H6576" s="200"/>
      <c r="I6576" s="346"/>
      <c r="J6576" s="39">
        <v>106285</v>
      </c>
      <c r="K6576" s="36" t="str">
        <f>CONCATENATE(Cover!$D$6,"fdd/view?i=",J6576)</f>
        <v>https://www.dgiwg.org/FAD/fdd/view?i=106285</v>
      </c>
      <c r="L6576" s="36" t="s">
        <v>42336</v>
      </c>
      <c r="M6576" s="186"/>
      <c r="N6576" s="186"/>
      <c r="O6576" s="172"/>
    </row>
    <row r="6577" spans="1:15" ht="25.5" x14ac:dyDescent="0.2">
      <c r="A6577" s="197" t="str">
        <f t="shared" si="102"/>
        <v>OrsCode_noRestriction</v>
      </c>
      <c r="B6577" s="409"/>
      <c r="C6577" s="416"/>
      <c r="D6577" s="198" t="s">
        <v>42337</v>
      </c>
      <c r="E6577" s="198">
        <v>3</v>
      </c>
      <c r="F6577" s="199" t="s">
        <v>42338</v>
      </c>
      <c r="G6577" s="1" t="s">
        <v>42339</v>
      </c>
      <c r="H6577" s="200"/>
      <c r="I6577" s="351" t="s">
        <v>42340</v>
      </c>
      <c r="J6577" s="39">
        <v>106283</v>
      </c>
      <c r="K6577" s="36" t="str">
        <f>CONCATENATE(Cover!$D$6,"fdd/view?i=",J6577)</f>
        <v>https://www.dgiwg.org/FAD/fdd/view?i=106283</v>
      </c>
      <c r="L6577" s="36" t="s">
        <v>42341</v>
      </c>
      <c r="M6577" s="186"/>
      <c r="N6577" s="186"/>
      <c r="O6577" s="172"/>
    </row>
    <row r="6578" spans="1:15" x14ac:dyDescent="0.2">
      <c r="A6578" s="197" t="str">
        <f t="shared" si="102"/>
        <v>OrsCode_rain</v>
      </c>
      <c r="B6578" s="409"/>
      <c r="C6578" s="416"/>
      <c r="D6578" s="198" t="s">
        <v>42342</v>
      </c>
      <c r="E6578" s="198">
        <v>14</v>
      </c>
      <c r="F6578" s="199" t="s">
        <v>42343</v>
      </c>
      <c r="G6578" s="1" t="s">
        <v>42344</v>
      </c>
      <c r="H6578" s="200"/>
      <c r="I6578" s="346"/>
      <c r="J6578" s="39">
        <v>118083</v>
      </c>
      <c r="K6578" s="36" t="str">
        <f>CONCATENATE(Cover!$D$6,"fdd/view?i=",J6578)</f>
        <v>https://www.dgiwg.org/FAD/fdd/view?i=118083</v>
      </c>
      <c r="L6578" s="36" t="s">
        <v>42345</v>
      </c>
      <c r="M6578" s="186"/>
      <c r="N6578" s="186"/>
      <c r="O6578" s="172"/>
    </row>
    <row r="6579" spans="1:15" ht="25.5" x14ac:dyDescent="0.2">
      <c r="A6579" s="197" t="str">
        <f t="shared" si="102"/>
        <v>OrsCode_reducedVisibility</v>
      </c>
      <c r="B6579" s="409"/>
      <c r="C6579" s="416"/>
      <c r="D6579" s="198" t="s">
        <v>42346</v>
      </c>
      <c r="E6579" s="198">
        <v>9</v>
      </c>
      <c r="F6579" s="199" t="s">
        <v>42347</v>
      </c>
      <c r="G6579" s="1" t="s">
        <v>42348</v>
      </c>
      <c r="H6579" s="200"/>
      <c r="I6579" s="346"/>
      <c r="J6579" s="39">
        <v>110288</v>
      </c>
      <c r="K6579" s="36" t="str">
        <f>CONCATENATE(Cover!$D$6,"fdd/view?i=",J6579)</f>
        <v>https://www.dgiwg.org/FAD/fdd/view?i=110288</v>
      </c>
      <c r="L6579" s="36" t="s">
        <v>42349</v>
      </c>
      <c r="M6579" s="186"/>
      <c r="N6579" s="186"/>
      <c r="O6579" s="172"/>
    </row>
    <row r="6580" spans="1:15" x14ac:dyDescent="0.2">
      <c r="A6580" s="197" t="str">
        <f t="shared" si="102"/>
        <v>OrsCode_snow</v>
      </c>
      <c r="B6580" s="409"/>
      <c r="C6580" s="416"/>
      <c r="D6580" s="198" t="s">
        <v>19598</v>
      </c>
      <c r="E6580" s="198">
        <v>4</v>
      </c>
      <c r="F6580" s="199" t="s">
        <v>19599</v>
      </c>
      <c r="G6580" s="1" t="s">
        <v>42350</v>
      </c>
      <c r="H6580" s="200"/>
      <c r="I6580" s="346"/>
      <c r="J6580" s="39">
        <v>106284</v>
      </c>
      <c r="K6580" s="36" t="str">
        <f>CONCATENATE(Cover!$D$6,"fdd/view?i=",J6580)</f>
        <v>https://www.dgiwg.org/FAD/fdd/view?i=106284</v>
      </c>
      <c r="L6580" s="36" t="s">
        <v>42351</v>
      </c>
      <c r="M6580" s="186"/>
      <c r="N6580" s="186"/>
      <c r="O6580" s="172"/>
    </row>
    <row r="6581" spans="1:15" ht="25.5" x14ac:dyDescent="0.2">
      <c r="A6581" s="197" t="str">
        <f t="shared" si="102"/>
        <v>OrsCode_specialRestriction</v>
      </c>
      <c r="B6581" s="409"/>
      <c r="C6581" s="416"/>
      <c r="D6581" s="198" t="s">
        <v>42352</v>
      </c>
      <c r="E6581" s="198">
        <v>7</v>
      </c>
      <c r="F6581" s="199" t="s">
        <v>42353</v>
      </c>
      <c r="G6581" s="1" t="s">
        <v>42354</v>
      </c>
      <c r="H6581" s="1" t="s">
        <v>42355</v>
      </c>
      <c r="I6581" s="346"/>
      <c r="J6581" s="39">
        <v>106287</v>
      </c>
      <c r="K6581" s="36" t="str">
        <f>CONCATENATE(Cover!$D$6,"fdd/view?i=",J6581)</f>
        <v>https://www.dgiwg.org/FAD/fdd/view?i=106287</v>
      </c>
      <c r="L6581" s="36" t="s">
        <v>42356</v>
      </c>
      <c r="M6581" s="186"/>
      <c r="N6581" s="186"/>
      <c r="O6581" s="172"/>
    </row>
    <row r="6582" spans="1:15" ht="25.5" x14ac:dyDescent="0.2">
      <c r="A6582" s="197" t="str">
        <f t="shared" si="102"/>
        <v>OrsCode_tide</v>
      </c>
      <c r="B6582" s="409"/>
      <c r="C6582" s="416"/>
      <c r="D6582" s="198" t="s">
        <v>37738</v>
      </c>
      <c r="E6582" s="198">
        <v>12</v>
      </c>
      <c r="F6582" s="199" t="s">
        <v>37739</v>
      </c>
      <c r="G6582" s="1" t="s">
        <v>42357</v>
      </c>
      <c r="H6582" s="200"/>
      <c r="I6582" s="346"/>
      <c r="J6582" s="39">
        <v>110291</v>
      </c>
      <c r="K6582" s="36" t="str">
        <f>CONCATENATE(Cover!$D$6,"fdd/view?i=",J6582)</f>
        <v>https://www.dgiwg.org/FAD/fdd/view?i=110291</v>
      </c>
      <c r="L6582" s="36" t="s">
        <v>42358</v>
      </c>
      <c r="M6582" s="186"/>
      <c r="N6582" s="186"/>
      <c r="O6582" s="172"/>
    </row>
    <row r="6583" spans="1:15" ht="38.25" x14ac:dyDescent="0.2">
      <c r="A6583" s="197" t="str">
        <f t="shared" si="102"/>
        <v>OrsCode_time</v>
      </c>
      <c r="B6583" s="409"/>
      <c r="C6583" s="416"/>
      <c r="D6583" s="198" t="s">
        <v>360</v>
      </c>
      <c r="E6583" s="198">
        <v>10</v>
      </c>
      <c r="F6583" s="199" t="s">
        <v>361</v>
      </c>
      <c r="G6583" s="1" t="s">
        <v>42359</v>
      </c>
      <c r="H6583" s="200"/>
      <c r="I6583" s="346"/>
      <c r="J6583" s="39">
        <v>110289</v>
      </c>
      <c r="K6583" s="36" t="str">
        <f>CONCATENATE(Cover!$D$6,"fdd/view?i=",J6583)</f>
        <v>https://www.dgiwg.org/FAD/fdd/view?i=110289</v>
      </c>
      <c r="L6583" s="36" t="s">
        <v>42360</v>
      </c>
      <c r="M6583" s="186"/>
      <c r="N6583" s="186"/>
      <c r="O6583" s="172"/>
    </row>
    <row r="6584" spans="1:15" ht="25.5" x14ac:dyDescent="0.2">
      <c r="A6584" s="197" t="str">
        <f t="shared" si="102"/>
        <v>OrsCode_vegetation</v>
      </c>
      <c r="B6584" s="409"/>
      <c r="C6584" s="416"/>
      <c r="D6584" s="198" t="s">
        <v>29248</v>
      </c>
      <c r="E6584" s="198">
        <v>13</v>
      </c>
      <c r="F6584" s="199" t="s">
        <v>29249</v>
      </c>
      <c r="G6584" s="1" t="s">
        <v>42361</v>
      </c>
      <c r="H6584" s="200"/>
      <c r="I6584" s="346"/>
      <c r="J6584" s="39">
        <v>114366</v>
      </c>
      <c r="K6584" s="36" t="str">
        <f>CONCATENATE(Cover!$D$6,"fdd/view?i=",J6584)</f>
        <v>https://www.dgiwg.org/FAD/fdd/view?i=114366</v>
      </c>
      <c r="L6584" s="36" t="s">
        <v>42362</v>
      </c>
      <c r="M6584" s="186"/>
      <c r="N6584" s="186"/>
      <c r="O6584" s="172"/>
    </row>
    <row r="6585" spans="1:15" x14ac:dyDescent="0.2">
      <c r="A6585" s="203" t="str">
        <f t="shared" si="102"/>
        <v>OrsCode_wind</v>
      </c>
      <c r="B6585" s="410"/>
      <c r="C6585" s="417"/>
      <c r="D6585" s="204" t="s">
        <v>31848</v>
      </c>
      <c r="E6585" s="204">
        <v>8</v>
      </c>
      <c r="F6585" s="205" t="s">
        <v>31849</v>
      </c>
      <c r="G6585" s="206" t="s">
        <v>42363</v>
      </c>
      <c r="H6585" s="207"/>
      <c r="I6585" s="347"/>
      <c r="J6585" s="39">
        <v>110287</v>
      </c>
      <c r="K6585" s="36" t="str">
        <f>CONCATENATE(Cover!$D$6,"fdd/view?i=",J6585)</f>
        <v>https://www.dgiwg.org/FAD/fdd/view?i=110287</v>
      </c>
      <c r="L6585" s="36" t="s">
        <v>42364</v>
      </c>
      <c r="M6585" s="186"/>
      <c r="N6585" s="186"/>
      <c r="O6585" s="172"/>
    </row>
    <row r="6586" spans="1:15" x14ac:dyDescent="0.2">
      <c r="A6586" s="190" t="str">
        <f t="shared" si="102"/>
        <v>OftCode_mainFacility</v>
      </c>
      <c r="B6586" s="414" t="str">
        <f>HYPERLINK("[#]Datatypes!A1099:L1099","OftCode")</f>
        <v>OftCode</v>
      </c>
      <c r="C6586" s="415" t="s">
        <v>15707</v>
      </c>
      <c r="D6586" s="221" t="s">
        <v>42365</v>
      </c>
      <c r="E6586" s="221">
        <v>1</v>
      </c>
      <c r="F6586" s="222" t="s">
        <v>42366</v>
      </c>
      <c r="G6586" s="223" t="s">
        <v>42367</v>
      </c>
      <c r="H6586" s="224"/>
      <c r="I6586" s="345"/>
      <c r="J6586" s="39">
        <v>106208</v>
      </c>
      <c r="K6586" s="36" t="str">
        <f>CONCATENATE(Cover!$D$6,"fdd/view?i=",J6586)</f>
        <v>https://www.dgiwg.org/FAD/fdd/view?i=106208</v>
      </c>
      <c r="L6586" s="36" t="s">
        <v>42368</v>
      </c>
      <c r="M6586" s="186"/>
      <c r="N6586" s="186"/>
      <c r="O6586" s="172"/>
    </row>
    <row r="6587" spans="1:15" ht="25.5" x14ac:dyDescent="0.2">
      <c r="A6587" s="203" t="str">
        <f t="shared" si="102"/>
        <v>OftCode_secondaryFacility</v>
      </c>
      <c r="B6587" s="410"/>
      <c r="C6587" s="417"/>
      <c r="D6587" s="204" t="s">
        <v>42369</v>
      </c>
      <c r="E6587" s="204">
        <v>2</v>
      </c>
      <c r="F6587" s="205" t="s">
        <v>42370</v>
      </c>
      <c r="G6587" s="206" t="s">
        <v>42371</v>
      </c>
      <c r="H6587" s="207"/>
      <c r="I6587" s="347"/>
      <c r="J6587" s="39">
        <v>110282</v>
      </c>
      <c r="K6587" s="36" t="str">
        <f>CONCATENATE(Cover!$D$6,"fdd/view?i=",J6587)</f>
        <v>https://www.dgiwg.org/FAD/fdd/view?i=110282</v>
      </c>
      <c r="L6587" s="36" t="s">
        <v>42372</v>
      </c>
      <c r="M6587" s="186"/>
      <c r="N6587" s="186"/>
      <c r="O6587" s="172"/>
    </row>
    <row r="6588" spans="1:15" x14ac:dyDescent="0.2">
      <c r="A6588" s="190" t="str">
        <f t="shared" si="102"/>
        <v>OrfCode_boobyTraps</v>
      </c>
      <c r="B6588" s="414" t="str">
        <f>HYPERLINK("[#]Datatypes!A1101:L1101","OrfCode")</f>
        <v>OrfCode</v>
      </c>
      <c r="C6588" s="415" t="s">
        <v>15709</v>
      </c>
      <c r="D6588" s="221" t="s">
        <v>42373</v>
      </c>
      <c r="E6588" s="221">
        <v>1</v>
      </c>
      <c r="F6588" s="222" t="s">
        <v>42374</v>
      </c>
      <c r="G6588" s="223" t="s">
        <v>42375</v>
      </c>
      <c r="H6588" s="224"/>
      <c r="I6588" s="345"/>
      <c r="J6588" s="39">
        <v>118866</v>
      </c>
      <c r="K6588" s="36" t="str">
        <f>CONCATENATE(Cover!$D$6,"fdd/view?i=",J6588)</f>
        <v>https://www.dgiwg.org/FAD/fdd/view?i=118866</v>
      </c>
      <c r="L6588" s="36" t="s">
        <v>42376</v>
      </c>
      <c r="M6588" s="186"/>
      <c r="N6588" s="186"/>
      <c r="O6588" s="172"/>
    </row>
    <row r="6589" spans="1:15" x14ac:dyDescent="0.2">
      <c r="A6589" s="203" t="str">
        <f t="shared" si="102"/>
        <v>OrfCode_mines</v>
      </c>
      <c r="B6589" s="410"/>
      <c r="C6589" s="417"/>
      <c r="D6589" s="204" t="s">
        <v>24049</v>
      </c>
      <c r="E6589" s="204">
        <v>2</v>
      </c>
      <c r="F6589" s="205" t="s">
        <v>42377</v>
      </c>
      <c r="G6589" s="206" t="s">
        <v>42378</v>
      </c>
      <c r="H6589" s="207"/>
      <c r="I6589" s="347"/>
      <c r="J6589" s="39">
        <v>118867</v>
      </c>
      <c r="K6589" s="36" t="str">
        <f>CONCATENATE(Cover!$D$6,"fdd/view?i=",J6589)</f>
        <v>https://www.dgiwg.org/FAD/fdd/view?i=118867</v>
      </c>
      <c r="L6589" s="36" t="s">
        <v>42379</v>
      </c>
      <c r="M6589" s="186"/>
      <c r="N6589" s="186"/>
      <c r="O6589" s="172"/>
    </row>
    <row r="6590" spans="1:15" ht="25.5" x14ac:dyDescent="0.2">
      <c r="A6590" s="190" t="str">
        <f t="shared" si="102"/>
        <v>OocCode_arcade</v>
      </c>
      <c r="B6590" s="414" t="str">
        <f>HYPERLINK("[#]Datatypes!A1103:L1103","OocCode")</f>
        <v>OocCode</v>
      </c>
      <c r="C6590" s="415" t="s">
        <v>15711</v>
      </c>
      <c r="D6590" s="221" t="s">
        <v>42380</v>
      </c>
      <c r="E6590" s="221">
        <v>11</v>
      </c>
      <c r="F6590" s="222" t="s">
        <v>2112</v>
      </c>
      <c r="G6590" s="223" t="s">
        <v>2114</v>
      </c>
      <c r="H6590" s="224"/>
      <c r="I6590" s="345"/>
      <c r="J6590" s="39">
        <v>117937</v>
      </c>
      <c r="K6590" s="36" t="str">
        <f>CONCATENATE(Cover!$D$6,"fdd/view?i=",J6590)</f>
        <v>https://www.dgiwg.org/FAD/fdd/view?i=117937</v>
      </c>
      <c r="L6590" s="36" t="s">
        <v>42381</v>
      </c>
      <c r="M6590" s="186"/>
      <c r="N6590" s="186"/>
      <c r="O6590" s="172"/>
    </row>
    <row r="6591" spans="1:15" ht="63.75" x14ac:dyDescent="0.2">
      <c r="A6591" s="197" t="str">
        <f t="shared" si="102"/>
        <v>OocCode_archBridgeSpan</v>
      </c>
      <c r="B6591" s="409"/>
      <c r="C6591" s="416"/>
      <c r="D6591" s="198" t="s">
        <v>42382</v>
      </c>
      <c r="E6591" s="198">
        <v>2</v>
      </c>
      <c r="F6591" s="199" t="s">
        <v>42383</v>
      </c>
      <c r="G6591" s="1" t="s">
        <v>42384</v>
      </c>
      <c r="H6591" s="1" t="s">
        <v>42385</v>
      </c>
      <c r="I6591" s="346"/>
      <c r="J6591" s="39">
        <v>106231</v>
      </c>
      <c r="K6591" s="36" t="str">
        <f>CONCATENATE(Cover!$D$6,"fdd/view?i=",J6591)</f>
        <v>https://www.dgiwg.org/FAD/fdd/view?i=106231</v>
      </c>
      <c r="L6591" s="36" t="s">
        <v>42386</v>
      </c>
      <c r="M6591" s="186"/>
      <c r="N6591" s="186"/>
      <c r="O6591" s="172"/>
    </row>
    <row r="6592" spans="1:15" ht="51" x14ac:dyDescent="0.2">
      <c r="A6592" s="197" t="str">
        <f t="shared" si="102"/>
        <v>OocCode_bridgeSpan</v>
      </c>
      <c r="B6592" s="409"/>
      <c r="C6592" s="416"/>
      <c r="D6592" s="198" t="s">
        <v>42387</v>
      </c>
      <c r="E6592" s="198">
        <v>8</v>
      </c>
      <c r="F6592" s="199" t="s">
        <v>2342</v>
      </c>
      <c r="G6592" s="1" t="s">
        <v>2343</v>
      </c>
      <c r="H6592" s="1" t="s">
        <v>42388</v>
      </c>
      <c r="I6592" s="346"/>
      <c r="J6592" s="39">
        <v>110284</v>
      </c>
      <c r="K6592" s="36" t="str">
        <f>CONCATENATE(Cover!$D$6,"fdd/view?i=",J6592)</f>
        <v>https://www.dgiwg.org/FAD/fdd/view?i=110284</v>
      </c>
      <c r="L6592" s="36" t="s">
        <v>42389</v>
      </c>
      <c r="M6592" s="186"/>
      <c r="N6592" s="186"/>
      <c r="O6592" s="172"/>
    </row>
    <row r="6593" spans="1:15" ht="25.5" x14ac:dyDescent="0.2">
      <c r="A6593" s="197" t="str">
        <f t="shared" si="102"/>
        <v>OocCode_bridgeSuperstructure</v>
      </c>
      <c r="B6593" s="409"/>
      <c r="C6593" s="416"/>
      <c r="D6593" s="198" t="s">
        <v>42390</v>
      </c>
      <c r="E6593" s="198">
        <v>6</v>
      </c>
      <c r="F6593" s="199" t="s">
        <v>2346</v>
      </c>
      <c r="G6593" s="1" t="s">
        <v>42391</v>
      </c>
      <c r="H6593" s="200"/>
      <c r="I6593" s="346"/>
      <c r="J6593" s="39">
        <v>106235</v>
      </c>
      <c r="K6593" s="36" t="str">
        <f>CONCATENATE(Cover!$D$6,"fdd/view?i=",J6593)</f>
        <v>https://www.dgiwg.org/FAD/fdd/view?i=106235</v>
      </c>
      <c r="L6593" s="36" t="s">
        <v>42392</v>
      </c>
      <c r="M6593" s="186"/>
      <c r="N6593" s="186"/>
      <c r="O6593" s="172"/>
    </row>
    <row r="6594" spans="1:15" ht="25.5" x14ac:dyDescent="0.2">
      <c r="A6594" s="197" t="str">
        <f t="shared" ref="A6594:A6657" si="103">HYPERLINK(K6594,L6594)</f>
        <v>OocCode_building</v>
      </c>
      <c r="B6594" s="409"/>
      <c r="C6594" s="416"/>
      <c r="D6594" s="198" t="s">
        <v>42393</v>
      </c>
      <c r="E6594" s="198">
        <v>7</v>
      </c>
      <c r="F6594" s="199" t="s">
        <v>2357</v>
      </c>
      <c r="G6594" s="1" t="s">
        <v>42394</v>
      </c>
      <c r="H6594" s="200"/>
      <c r="I6594" s="346"/>
      <c r="J6594" s="39">
        <v>110283</v>
      </c>
      <c r="K6594" s="36" t="str">
        <f>CONCATENATE(Cover!$D$6,"fdd/view?i=",J6594)</f>
        <v>https://www.dgiwg.org/FAD/fdd/view?i=110283</v>
      </c>
      <c r="L6594" s="36" t="s">
        <v>42395</v>
      </c>
      <c r="M6594" s="186"/>
      <c r="N6594" s="186"/>
      <c r="O6594" s="172"/>
    </row>
    <row r="6595" spans="1:15" ht="25.5" x14ac:dyDescent="0.2">
      <c r="A6595" s="197" t="str">
        <f t="shared" si="103"/>
        <v>OocCode_buildingOverhang</v>
      </c>
      <c r="B6595" s="409"/>
      <c r="C6595" s="416"/>
      <c r="D6595" s="198" t="s">
        <v>42396</v>
      </c>
      <c r="E6595" s="198">
        <v>12</v>
      </c>
      <c r="F6595" s="199" t="s">
        <v>2363</v>
      </c>
      <c r="G6595" s="1" t="s">
        <v>2364</v>
      </c>
      <c r="H6595" s="200"/>
      <c r="I6595" s="346"/>
      <c r="J6595" s="39">
        <v>117938</v>
      </c>
      <c r="K6595" s="36" t="str">
        <f>CONCATENATE(Cover!$D$6,"fdd/view?i=",J6595)</f>
        <v>https://www.dgiwg.org/FAD/fdd/view?i=117938</v>
      </c>
      <c r="L6595" s="36" t="s">
        <v>42397</v>
      </c>
      <c r="M6595" s="186"/>
      <c r="N6595" s="186"/>
      <c r="O6595" s="172"/>
    </row>
    <row r="6596" spans="1:15" ht="89.25" x14ac:dyDescent="0.2">
      <c r="A6596" s="197" t="str">
        <f t="shared" si="103"/>
        <v>OocCode_cable</v>
      </c>
      <c r="B6596" s="409"/>
      <c r="C6596" s="416"/>
      <c r="D6596" s="198" t="s">
        <v>22425</v>
      </c>
      <c r="E6596" s="198">
        <v>13</v>
      </c>
      <c r="F6596" s="199" t="s">
        <v>2381</v>
      </c>
      <c r="G6596" s="1" t="s">
        <v>42398</v>
      </c>
      <c r="H6596" s="1" t="s">
        <v>2384</v>
      </c>
      <c r="I6596" s="346"/>
      <c r="J6596" s="39">
        <v>117939</v>
      </c>
      <c r="K6596" s="36" t="str">
        <f>CONCATENATE(Cover!$D$6,"fdd/view?i=",J6596)</f>
        <v>https://www.dgiwg.org/FAD/fdd/view?i=117939</v>
      </c>
      <c r="L6596" s="36" t="s">
        <v>42399</v>
      </c>
      <c r="M6596" s="186"/>
      <c r="N6596" s="186"/>
      <c r="O6596" s="172"/>
    </row>
    <row r="6597" spans="1:15" ht="51" x14ac:dyDescent="0.2">
      <c r="A6597" s="197" t="str">
        <f t="shared" si="103"/>
        <v>OocCode_cableway</v>
      </c>
      <c r="B6597" s="409"/>
      <c r="C6597" s="416"/>
      <c r="D6597" s="198" t="s">
        <v>25358</v>
      </c>
      <c r="E6597" s="198">
        <v>14</v>
      </c>
      <c r="F6597" s="199" t="s">
        <v>2385</v>
      </c>
      <c r="G6597" s="1" t="s">
        <v>42400</v>
      </c>
      <c r="H6597" s="1" t="s">
        <v>42401</v>
      </c>
      <c r="I6597" s="346"/>
      <c r="J6597" s="39">
        <v>117940</v>
      </c>
      <c r="K6597" s="36" t="str">
        <f>CONCATENATE(Cover!$D$6,"fdd/view?i=",J6597)</f>
        <v>https://www.dgiwg.org/FAD/fdd/view?i=117940</v>
      </c>
      <c r="L6597" s="36" t="s">
        <v>42402</v>
      </c>
      <c r="M6597" s="186"/>
      <c r="N6597" s="186"/>
      <c r="O6597" s="172"/>
    </row>
    <row r="6598" spans="1:15" ht="38.25" x14ac:dyDescent="0.2">
      <c r="A6598" s="197" t="str">
        <f t="shared" si="103"/>
        <v>OocCode_conveyor</v>
      </c>
      <c r="B6598" s="409"/>
      <c r="C6598" s="416"/>
      <c r="D6598" s="198" t="s">
        <v>42403</v>
      </c>
      <c r="E6598" s="198">
        <v>15</v>
      </c>
      <c r="F6598" s="199" t="s">
        <v>2620</v>
      </c>
      <c r="G6598" s="1" t="s">
        <v>42404</v>
      </c>
      <c r="H6598" s="200"/>
      <c r="I6598" s="346"/>
      <c r="J6598" s="39">
        <v>117941</v>
      </c>
      <c r="K6598" s="36" t="str">
        <f>CONCATENATE(Cover!$D$6,"fdd/view?i=",J6598)</f>
        <v>https://www.dgiwg.org/FAD/fdd/view?i=117941</v>
      </c>
      <c r="L6598" s="36" t="s">
        <v>42405</v>
      </c>
      <c r="M6598" s="186"/>
      <c r="N6598" s="186"/>
      <c r="O6598" s="172"/>
    </row>
    <row r="6599" spans="1:15" x14ac:dyDescent="0.2">
      <c r="A6599" s="197" t="str">
        <f t="shared" si="103"/>
        <v>OocCode_entranceExit</v>
      </c>
      <c r="B6599" s="409"/>
      <c r="C6599" s="416"/>
      <c r="D6599" s="198" t="s">
        <v>42406</v>
      </c>
      <c r="E6599" s="198">
        <v>16</v>
      </c>
      <c r="F6599" s="199" t="s">
        <v>2988</v>
      </c>
      <c r="G6599" s="1" t="s">
        <v>2989</v>
      </c>
      <c r="H6599" s="1" t="s">
        <v>2990</v>
      </c>
      <c r="I6599" s="346"/>
      <c r="J6599" s="39">
        <v>117942</v>
      </c>
      <c r="K6599" s="36" t="str">
        <f>CONCATENATE(Cover!$D$6,"fdd/view?i=",J6599)</f>
        <v>https://www.dgiwg.org/FAD/fdd/view?i=117942</v>
      </c>
      <c r="L6599" s="36" t="s">
        <v>42407</v>
      </c>
      <c r="M6599" s="186"/>
      <c r="N6599" s="186"/>
      <c r="O6599" s="172"/>
    </row>
    <row r="6600" spans="1:15" ht="38.25" x14ac:dyDescent="0.2">
      <c r="A6600" s="197" t="str">
        <f t="shared" si="103"/>
        <v>OocCode_frameBridgeSpan</v>
      </c>
      <c r="B6600" s="409"/>
      <c r="C6600" s="416"/>
      <c r="D6600" s="198" t="s">
        <v>42408</v>
      </c>
      <c r="E6600" s="198">
        <v>1</v>
      </c>
      <c r="F6600" s="199" t="s">
        <v>42409</v>
      </c>
      <c r="G6600" s="1" t="s">
        <v>42410</v>
      </c>
      <c r="H6600" s="200"/>
      <c r="I6600" s="346"/>
      <c r="J6600" s="39">
        <v>106230</v>
      </c>
      <c r="K6600" s="36" t="str">
        <f>CONCATENATE(Cover!$D$6,"fdd/view?i=",J6600)</f>
        <v>https://www.dgiwg.org/FAD/fdd/view?i=106230</v>
      </c>
      <c r="L6600" s="36" t="s">
        <v>42411</v>
      </c>
      <c r="M6600" s="186"/>
      <c r="N6600" s="186"/>
      <c r="O6600" s="172"/>
    </row>
    <row r="6601" spans="1:15" ht="76.5" x14ac:dyDescent="0.2">
      <c r="A6601" s="197" t="str">
        <f t="shared" si="103"/>
        <v>OocCode_gantry</v>
      </c>
      <c r="B6601" s="409"/>
      <c r="C6601" s="416"/>
      <c r="D6601" s="198" t="s">
        <v>42412</v>
      </c>
      <c r="E6601" s="198">
        <v>9</v>
      </c>
      <c r="F6601" s="199" t="s">
        <v>3245</v>
      </c>
      <c r="G6601" s="1" t="s">
        <v>3247</v>
      </c>
      <c r="H6601" s="1" t="s">
        <v>3248</v>
      </c>
      <c r="I6601" s="346"/>
      <c r="J6601" s="39">
        <v>112771</v>
      </c>
      <c r="K6601" s="36" t="str">
        <f>CONCATENATE(Cover!$D$6,"fdd/view?i=",J6601)</f>
        <v>https://www.dgiwg.org/FAD/fdd/view?i=112771</v>
      </c>
      <c r="L6601" s="36" t="s">
        <v>42413</v>
      </c>
      <c r="M6601" s="186"/>
      <c r="N6601" s="186"/>
      <c r="O6601" s="172"/>
    </row>
    <row r="6602" spans="1:15" ht="25.5" x14ac:dyDescent="0.2">
      <c r="A6602" s="197" t="str">
        <f t="shared" si="103"/>
        <v>OocCode_memorialMonument</v>
      </c>
      <c r="B6602" s="409"/>
      <c r="C6602" s="416"/>
      <c r="D6602" s="198" t="s">
        <v>42414</v>
      </c>
      <c r="E6602" s="198">
        <v>17</v>
      </c>
      <c r="F6602" s="199" t="s">
        <v>4093</v>
      </c>
      <c r="G6602" s="1" t="s">
        <v>4094</v>
      </c>
      <c r="H6602" s="200"/>
      <c r="I6602" s="346"/>
      <c r="J6602" s="39">
        <v>117943</v>
      </c>
      <c r="K6602" s="36" t="str">
        <f>CONCATENATE(Cover!$D$6,"fdd/view?i=",J6602)</f>
        <v>https://www.dgiwg.org/FAD/fdd/view?i=117943</v>
      </c>
      <c r="L6602" s="36" t="s">
        <v>42415</v>
      </c>
      <c r="M6602" s="186"/>
      <c r="N6602" s="186"/>
      <c r="O6602" s="172"/>
    </row>
    <row r="6603" spans="1:15" ht="25.5" x14ac:dyDescent="0.2">
      <c r="A6603" s="197" t="str">
        <f t="shared" si="103"/>
        <v>OocCode_nonBuildingStructure</v>
      </c>
      <c r="B6603" s="409"/>
      <c r="C6603" s="416"/>
      <c r="D6603" s="198" t="s">
        <v>42416</v>
      </c>
      <c r="E6603" s="198">
        <v>18</v>
      </c>
      <c r="F6603" s="199" t="s">
        <v>4290</v>
      </c>
      <c r="G6603" s="1" t="s">
        <v>42417</v>
      </c>
      <c r="H6603" s="200"/>
      <c r="I6603" s="346"/>
      <c r="J6603" s="39">
        <v>117944</v>
      </c>
      <c r="K6603" s="36" t="str">
        <f>CONCATENATE(Cover!$D$6,"fdd/view?i=",J6603)</f>
        <v>https://www.dgiwg.org/FAD/fdd/view?i=117944</v>
      </c>
      <c r="L6603" s="36" t="s">
        <v>42418</v>
      </c>
      <c r="M6603" s="186"/>
      <c r="N6603" s="186"/>
      <c r="O6603" s="172"/>
    </row>
    <row r="6604" spans="1:15" ht="25.5" x14ac:dyDescent="0.2">
      <c r="A6604" s="197" t="str">
        <f t="shared" si="103"/>
        <v>OocCode_overheadWalkway</v>
      </c>
      <c r="B6604" s="409"/>
      <c r="C6604" s="416"/>
      <c r="D6604" s="198" t="s">
        <v>42419</v>
      </c>
      <c r="E6604" s="198">
        <v>19</v>
      </c>
      <c r="F6604" s="199" t="s">
        <v>4392</v>
      </c>
      <c r="G6604" s="1" t="s">
        <v>4393</v>
      </c>
      <c r="H6604" s="1" t="s">
        <v>4394</v>
      </c>
      <c r="I6604" s="346"/>
      <c r="J6604" s="39">
        <v>117945</v>
      </c>
      <c r="K6604" s="36" t="str">
        <f>CONCATENATE(Cover!$D$6,"fdd/view?i=",J6604)</f>
        <v>https://www.dgiwg.org/FAD/fdd/view?i=117945</v>
      </c>
      <c r="L6604" s="36" t="s">
        <v>42420</v>
      </c>
      <c r="M6604" s="186"/>
      <c r="N6604" s="186"/>
      <c r="O6604" s="172"/>
    </row>
    <row r="6605" spans="1:15" ht="25.5" x14ac:dyDescent="0.2">
      <c r="A6605" s="197" t="str">
        <f t="shared" si="103"/>
        <v>OocCode_parkingGarage</v>
      </c>
      <c r="B6605" s="409"/>
      <c r="C6605" s="416"/>
      <c r="D6605" s="198" t="s">
        <v>26276</v>
      </c>
      <c r="E6605" s="198">
        <v>20</v>
      </c>
      <c r="F6605" s="199" t="s">
        <v>4406</v>
      </c>
      <c r="G6605" s="1" t="s">
        <v>4407</v>
      </c>
      <c r="H6605" s="1" t="s">
        <v>4408</v>
      </c>
      <c r="I6605" s="346"/>
      <c r="J6605" s="39">
        <v>117946</v>
      </c>
      <c r="K6605" s="36" t="str">
        <f>CONCATENATE(Cover!$D$6,"fdd/view?i=",J6605)</f>
        <v>https://www.dgiwg.org/FAD/fdd/view?i=117946</v>
      </c>
      <c r="L6605" s="36" t="s">
        <v>42421</v>
      </c>
      <c r="M6605" s="186"/>
      <c r="N6605" s="186"/>
      <c r="O6605" s="172"/>
    </row>
    <row r="6606" spans="1:15" ht="25.5" x14ac:dyDescent="0.2">
      <c r="A6606" s="197" t="str">
        <f t="shared" si="103"/>
        <v>OocCode_pipeline</v>
      </c>
      <c r="B6606" s="409"/>
      <c r="C6606" s="416"/>
      <c r="D6606" s="198" t="s">
        <v>25045</v>
      </c>
      <c r="E6606" s="198">
        <v>21</v>
      </c>
      <c r="F6606" s="199" t="s">
        <v>4440</v>
      </c>
      <c r="G6606" s="1" t="s">
        <v>4442</v>
      </c>
      <c r="H6606" s="1" t="s">
        <v>4443</v>
      </c>
      <c r="I6606" s="346"/>
      <c r="J6606" s="39">
        <v>117947</v>
      </c>
      <c r="K6606" s="36" t="str">
        <f>CONCATENATE(Cover!$D$6,"fdd/view?i=",J6606)</f>
        <v>https://www.dgiwg.org/FAD/fdd/view?i=117947</v>
      </c>
      <c r="L6606" s="36" t="s">
        <v>42422</v>
      </c>
      <c r="M6606" s="186"/>
      <c r="N6606" s="186"/>
      <c r="O6606" s="172"/>
    </row>
    <row r="6607" spans="1:15" ht="25.5" x14ac:dyDescent="0.2">
      <c r="A6607" s="197" t="str">
        <f t="shared" si="103"/>
        <v>OocCode_pipelineCrossingPoint</v>
      </c>
      <c r="B6607" s="409"/>
      <c r="C6607" s="416"/>
      <c r="D6607" s="198" t="s">
        <v>42423</v>
      </c>
      <c r="E6607" s="198">
        <v>22</v>
      </c>
      <c r="F6607" s="199" t="s">
        <v>4446</v>
      </c>
      <c r="G6607" s="1" t="s">
        <v>4447</v>
      </c>
      <c r="H6607" s="200"/>
      <c r="I6607" s="346"/>
      <c r="J6607" s="39">
        <v>117948</v>
      </c>
      <c r="K6607" s="36" t="str">
        <f>CONCATENATE(Cover!$D$6,"fdd/view?i=",J6607)</f>
        <v>https://www.dgiwg.org/FAD/fdd/view?i=117948</v>
      </c>
      <c r="L6607" s="36" t="s">
        <v>42424</v>
      </c>
      <c r="M6607" s="186"/>
      <c r="N6607" s="186"/>
      <c r="O6607" s="172"/>
    </row>
    <row r="6608" spans="1:15" ht="25.5" x14ac:dyDescent="0.2">
      <c r="A6608" s="197" t="str">
        <f t="shared" si="103"/>
        <v>OocCode_powerTransmissionLine</v>
      </c>
      <c r="B6608" s="409"/>
      <c r="C6608" s="416"/>
      <c r="D6608" s="198" t="s">
        <v>25387</v>
      </c>
      <c r="E6608" s="198">
        <v>5</v>
      </c>
      <c r="F6608" s="199" t="s">
        <v>25388</v>
      </c>
      <c r="G6608" s="1" t="s">
        <v>42425</v>
      </c>
      <c r="H6608" s="200"/>
      <c r="I6608" s="346"/>
      <c r="J6608" s="39">
        <v>106234</v>
      </c>
      <c r="K6608" s="36" t="str">
        <f>CONCATENATE(Cover!$D$6,"fdd/view?i=",J6608)</f>
        <v>https://www.dgiwg.org/FAD/fdd/view?i=106234</v>
      </c>
      <c r="L6608" s="36" t="s">
        <v>42426</v>
      </c>
      <c r="M6608" s="186"/>
      <c r="N6608" s="186"/>
      <c r="O6608" s="172"/>
    </row>
    <row r="6609" spans="1:15" ht="25.5" x14ac:dyDescent="0.2">
      <c r="A6609" s="197" t="str">
        <f t="shared" si="103"/>
        <v>OocCode_railwayPowerLine</v>
      </c>
      <c r="B6609" s="409"/>
      <c r="C6609" s="416"/>
      <c r="D6609" s="198" t="s">
        <v>42427</v>
      </c>
      <c r="E6609" s="198">
        <v>4</v>
      </c>
      <c r="F6609" s="199" t="s">
        <v>42428</v>
      </c>
      <c r="G6609" s="1" t="s">
        <v>42429</v>
      </c>
      <c r="H6609" s="200"/>
      <c r="I6609" s="346"/>
      <c r="J6609" s="39">
        <v>106233</v>
      </c>
      <c r="K6609" s="36" t="str">
        <f>CONCATENATE(Cover!$D$6,"fdd/view?i=",J6609)</f>
        <v>https://www.dgiwg.org/FAD/fdd/view?i=106233</v>
      </c>
      <c r="L6609" s="36" t="s">
        <v>42430</v>
      </c>
      <c r="M6609" s="186"/>
      <c r="N6609" s="186"/>
      <c r="O6609" s="172"/>
    </row>
    <row r="6610" spans="1:15" ht="38.25" x14ac:dyDescent="0.2">
      <c r="A6610" s="197" t="str">
        <f t="shared" si="103"/>
        <v>OocCode_roof</v>
      </c>
      <c r="B6610" s="409"/>
      <c r="C6610" s="416"/>
      <c r="D6610" s="198" t="s">
        <v>42431</v>
      </c>
      <c r="E6610" s="198">
        <v>3</v>
      </c>
      <c r="F6610" s="199" t="s">
        <v>42432</v>
      </c>
      <c r="G6610" s="1" t="s">
        <v>42433</v>
      </c>
      <c r="H6610" s="1" t="s">
        <v>42434</v>
      </c>
      <c r="I6610" s="346"/>
      <c r="J6610" s="39">
        <v>106232</v>
      </c>
      <c r="K6610" s="36" t="str">
        <f>CONCATENATE(Cover!$D$6,"fdd/view?i=",J6610)</f>
        <v>https://www.dgiwg.org/FAD/fdd/view?i=106232</v>
      </c>
      <c r="L6610" s="36" t="s">
        <v>42435</v>
      </c>
      <c r="M6610" s="186"/>
      <c r="N6610" s="186"/>
      <c r="O6610" s="172"/>
    </row>
    <row r="6611" spans="1:15" ht="25.5" x14ac:dyDescent="0.2">
      <c r="A6611" s="197" t="str">
        <f t="shared" si="103"/>
        <v>OocCode_routeRelatedStructure</v>
      </c>
      <c r="B6611" s="409"/>
      <c r="C6611" s="416"/>
      <c r="D6611" s="198" t="s">
        <v>42436</v>
      </c>
      <c r="E6611" s="198">
        <v>23</v>
      </c>
      <c r="F6611" s="199" t="s">
        <v>42437</v>
      </c>
      <c r="G6611" s="1" t="s">
        <v>42438</v>
      </c>
      <c r="H6611" s="1" t="s">
        <v>42439</v>
      </c>
      <c r="I6611" s="346"/>
      <c r="J6611" s="39">
        <v>117949</v>
      </c>
      <c r="K6611" s="36" t="str">
        <f>CONCATENATE(Cover!$D$6,"fdd/view?i=",J6611)</f>
        <v>https://www.dgiwg.org/FAD/fdd/view?i=117949</v>
      </c>
      <c r="L6611" s="36" t="s">
        <v>42440</v>
      </c>
      <c r="M6611" s="186"/>
      <c r="N6611" s="186"/>
      <c r="O6611" s="172"/>
    </row>
    <row r="6612" spans="1:15" ht="38.25" x14ac:dyDescent="0.2">
      <c r="A6612" s="197" t="str">
        <f t="shared" si="103"/>
        <v>OocCode_scaffold</v>
      </c>
      <c r="B6612" s="409"/>
      <c r="C6612" s="416"/>
      <c r="D6612" s="198" t="s">
        <v>42441</v>
      </c>
      <c r="E6612" s="198">
        <v>10</v>
      </c>
      <c r="F6612" s="199" t="s">
        <v>42442</v>
      </c>
      <c r="G6612" s="1" t="s">
        <v>42443</v>
      </c>
      <c r="H6612" s="1" t="s">
        <v>42444</v>
      </c>
      <c r="I6612" s="346"/>
      <c r="J6612" s="39">
        <v>112770</v>
      </c>
      <c r="K6612" s="36" t="str">
        <f>CONCATENATE(Cover!$D$6,"fdd/view?i=",J6612)</f>
        <v>https://www.dgiwg.org/FAD/fdd/view?i=112770</v>
      </c>
      <c r="L6612" s="36" t="s">
        <v>42445</v>
      </c>
      <c r="M6612" s="186"/>
      <c r="N6612" s="186"/>
      <c r="O6612" s="172"/>
    </row>
    <row r="6613" spans="1:15" ht="38.25" x14ac:dyDescent="0.2">
      <c r="A6613" s="197" t="str">
        <f t="shared" si="103"/>
        <v>OocCode_trafficSign</v>
      </c>
      <c r="B6613" s="409"/>
      <c r="C6613" s="416"/>
      <c r="D6613" s="198" t="s">
        <v>42446</v>
      </c>
      <c r="E6613" s="198">
        <v>27</v>
      </c>
      <c r="F6613" s="199" t="s">
        <v>42447</v>
      </c>
      <c r="G6613" s="1" t="s">
        <v>42448</v>
      </c>
      <c r="H6613" s="1" t="s">
        <v>42449</v>
      </c>
      <c r="I6613" s="346"/>
      <c r="J6613" s="39">
        <v>118521</v>
      </c>
      <c r="K6613" s="36" t="str">
        <f>CONCATENATE(Cover!$D$6,"fdd/view?i=",J6613)</f>
        <v>https://www.dgiwg.org/FAD/fdd/view?i=118521</v>
      </c>
      <c r="L6613" s="36" t="s">
        <v>42450</v>
      </c>
      <c r="M6613" s="186"/>
      <c r="N6613" s="186"/>
      <c r="O6613" s="172"/>
    </row>
    <row r="6614" spans="1:15" ht="51" x14ac:dyDescent="0.2">
      <c r="A6614" s="197" t="str">
        <f t="shared" si="103"/>
        <v>OocCode_transportationBlock</v>
      </c>
      <c r="B6614" s="409"/>
      <c r="C6614" s="416"/>
      <c r="D6614" s="198" t="s">
        <v>42451</v>
      </c>
      <c r="E6614" s="198">
        <v>24</v>
      </c>
      <c r="F6614" s="199" t="s">
        <v>5570</v>
      </c>
      <c r="G6614" s="1" t="s">
        <v>5571</v>
      </c>
      <c r="H6614" s="1" t="s">
        <v>5572</v>
      </c>
      <c r="I6614" s="346"/>
      <c r="J6614" s="39">
        <v>117950</v>
      </c>
      <c r="K6614" s="36" t="str">
        <f>CONCATENATE(Cover!$D$6,"fdd/view?i=",J6614)</f>
        <v>https://www.dgiwg.org/FAD/fdd/view?i=117950</v>
      </c>
      <c r="L6614" s="36" t="s">
        <v>42452</v>
      </c>
      <c r="M6614" s="186"/>
      <c r="N6614" s="186"/>
      <c r="O6614" s="172"/>
    </row>
    <row r="6615" spans="1:15" ht="38.25" x14ac:dyDescent="0.2">
      <c r="A6615" s="197" t="str">
        <f t="shared" si="103"/>
        <v>OocCode_transRouteProtectStruct</v>
      </c>
      <c r="B6615" s="409"/>
      <c r="C6615" s="416"/>
      <c r="D6615" s="198" t="s">
        <v>42453</v>
      </c>
      <c r="E6615" s="198">
        <v>25</v>
      </c>
      <c r="F6615" s="199" t="s">
        <v>5580</v>
      </c>
      <c r="G6615" s="1" t="s">
        <v>5581</v>
      </c>
      <c r="H6615" s="200"/>
      <c r="I6615" s="346"/>
      <c r="J6615" s="39">
        <v>117951</v>
      </c>
      <c r="K6615" s="36" t="str">
        <f>CONCATENATE(Cover!$D$6,"fdd/view?i=",J6615)</f>
        <v>https://www.dgiwg.org/FAD/fdd/view?i=117951</v>
      </c>
      <c r="L6615" s="36" t="s">
        <v>42454</v>
      </c>
      <c r="M6615" s="186"/>
      <c r="N6615" s="186"/>
      <c r="O6615" s="172"/>
    </row>
    <row r="6616" spans="1:15" ht="38.25" x14ac:dyDescent="0.2">
      <c r="A6616" s="203" t="str">
        <f t="shared" si="103"/>
        <v>OocCode_tunnel</v>
      </c>
      <c r="B6616" s="410"/>
      <c r="C6616" s="417"/>
      <c r="D6616" s="204" t="s">
        <v>24042</v>
      </c>
      <c r="E6616" s="204">
        <v>26</v>
      </c>
      <c r="F6616" s="205" t="s">
        <v>5614</v>
      </c>
      <c r="G6616" s="206" t="s">
        <v>5616</v>
      </c>
      <c r="H6616" s="206" t="s">
        <v>5617</v>
      </c>
      <c r="I6616" s="347"/>
      <c r="J6616" s="39">
        <v>117952</v>
      </c>
      <c r="K6616" s="36" t="str">
        <f>CONCATENATE(Cover!$D$6,"fdd/view?i=",J6616)</f>
        <v>https://www.dgiwg.org/FAD/fdd/view?i=117952</v>
      </c>
      <c r="L6616" s="36" t="s">
        <v>42455</v>
      </c>
      <c r="M6616" s="186"/>
      <c r="N6616" s="186"/>
      <c r="O6616" s="172"/>
    </row>
    <row r="6617" spans="1:15" ht="25.5" x14ac:dyDescent="0.2">
      <c r="A6617" s="190" t="str">
        <f t="shared" si="103"/>
        <v>PsyCode_banking</v>
      </c>
      <c r="B6617" s="414" t="str">
        <f>HYPERLINK("[#]Datatypes!A1107:L1107","PsyCode")</f>
        <v>PsyCode</v>
      </c>
      <c r="C6617" s="415" t="s">
        <v>15715</v>
      </c>
      <c r="D6617" s="221" t="s">
        <v>42456</v>
      </c>
      <c r="E6617" s="221">
        <v>1</v>
      </c>
      <c r="F6617" s="222" t="s">
        <v>42457</v>
      </c>
      <c r="G6617" s="223" t="s">
        <v>42458</v>
      </c>
      <c r="H6617" s="223" t="s">
        <v>42459</v>
      </c>
      <c r="I6617" s="345"/>
      <c r="J6617" s="39">
        <v>116157</v>
      </c>
      <c r="K6617" s="36" t="str">
        <f>CONCATENATE(Cover!$D$6,"fdd/view?i=",J6617)</f>
        <v>https://www.dgiwg.org/FAD/fdd/view?i=116157</v>
      </c>
      <c r="L6617" s="36" t="s">
        <v>42460</v>
      </c>
      <c r="M6617" s="186"/>
      <c r="N6617" s="186"/>
      <c r="O6617" s="172"/>
    </row>
    <row r="6618" spans="1:15" x14ac:dyDescent="0.2">
      <c r="A6618" s="197" t="str">
        <f t="shared" si="103"/>
        <v>PsyCode_customs</v>
      </c>
      <c r="B6618" s="409"/>
      <c r="C6618" s="416"/>
      <c r="D6618" s="198" t="s">
        <v>34385</v>
      </c>
      <c r="E6618" s="198">
        <v>2</v>
      </c>
      <c r="F6618" s="199" t="s">
        <v>34386</v>
      </c>
      <c r="G6618" s="1" t="s">
        <v>42461</v>
      </c>
      <c r="H6618" s="200"/>
      <c r="I6618" s="346"/>
      <c r="J6618" s="39">
        <v>116158</v>
      </c>
      <c r="K6618" s="36" t="str">
        <f>CONCATENATE(Cover!$D$6,"fdd/view?i=",J6618)</f>
        <v>https://www.dgiwg.org/FAD/fdd/view?i=116158</v>
      </c>
      <c r="L6618" s="36" t="s">
        <v>42462</v>
      </c>
      <c r="M6618" s="186"/>
      <c r="N6618" s="186"/>
      <c r="O6618" s="172"/>
    </row>
    <row r="6619" spans="1:15" x14ac:dyDescent="0.2">
      <c r="A6619" s="197" t="str">
        <f t="shared" si="103"/>
        <v>PsyCode_immigration</v>
      </c>
      <c r="B6619" s="409"/>
      <c r="C6619" s="416"/>
      <c r="D6619" s="198" t="s">
        <v>25639</v>
      </c>
      <c r="E6619" s="198">
        <v>3</v>
      </c>
      <c r="F6619" s="199" t="s">
        <v>25640</v>
      </c>
      <c r="G6619" s="1" t="s">
        <v>42463</v>
      </c>
      <c r="H6619" s="200"/>
      <c r="I6619" s="346"/>
      <c r="J6619" s="39">
        <v>116159</v>
      </c>
      <c r="K6619" s="36" t="str">
        <f>CONCATENATE(Cover!$D$6,"fdd/view?i=",J6619)</f>
        <v>https://www.dgiwg.org/FAD/fdd/view?i=116159</v>
      </c>
      <c r="L6619" s="36" t="s">
        <v>42464</v>
      </c>
      <c r="M6619" s="186"/>
      <c r="N6619" s="186"/>
      <c r="O6619" s="172"/>
    </row>
    <row r="6620" spans="1:15" x14ac:dyDescent="0.2">
      <c r="A6620" s="197" t="str">
        <f t="shared" si="103"/>
        <v>PsyCode_internet</v>
      </c>
      <c r="B6620" s="409"/>
      <c r="C6620" s="416"/>
      <c r="D6620" s="198" t="s">
        <v>42465</v>
      </c>
      <c r="E6620" s="198">
        <v>12</v>
      </c>
      <c r="F6620" s="199" t="s">
        <v>42466</v>
      </c>
      <c r="G6620" s="1" t="s">
        <v>42467</v>
      </c>
      <c r="H6620" s="200"/>
      <c r="I6620" s="346"/>
      <c r="J6620" s="39">
        <v>116168</v>
      </c>
      <c r="K6620" s="36" t="str">
        <f>CONCATENATE(Cover!$D$6,"fdd/view?i=",J6620)</f>
        <v>https://www.dgiwg.org/FAD/fdd/view?i=116168</v>
      </c>
      <c r="L6620" s="36" t="s">
        <v>42468</v>
      </c>
      <c r="M6620" s="186"/>
      <c r="N6620" s="186"/>
      <c r="O6620" s="172"/>
    </row>
    <row r="6621" spans="1:15" ht="25.5" x14ac:dyDescent="0.2">
      <c r="A6621" s="197" t="str">
        <f t="shared" si="103"/>
        <v>PsyCode_lodging</v>
      </c>
      <c r="B6621" s="409"/>
      <c r="C6621" s="416"/>
      <c r="D6621" s="198" t="s">
        <v>42469</v>
      </c>
      <c r="E6621" s="198">
        <v>4</v>
      </c>
      <c r="F6621" s="199" t="s">
        <v>42470</v>
      </c>
      <c r="G6621" s="1" t="s">
        <v>42471</v>
      </c>
      <c r="H6621" s="1" t="s">
        <v>42472</v>
      </c>
      <c r="I6621" s="346"/>
      <c r="J6621" s="39">
        <v>116160</v>
      </c>
      <c r="K6621" s="36" t="str">
        <f>CONCATENATE(Cover!$D$6,"fdd/view?i=",J6621)</f>
        <v>https://www.dgiwg.org/FAD/fdd/view?i=116160</v>
      </c>
      <c r="L6621" s="36" t="s">
        <v>42473</v>
      </c>
      <c r="M6621" s="186"/>
      <c r="N6621" s="186"/>
      <c r="O6621" s="172"/>
    </row>
    <row r="6622" spans="1:15" x14ac:dyDescent="0.2">
      <c r="A6622" s="197" t="str">
        <f t="shared" si="103"/>
        <v>PsyCode_medical</v>
      </c>
      <c r="B6622" s="409"/>
      <c r="C6622" s="416"/>
      <c r="D6622" s="198" t="s">
        <v>32477</v>
      </c>
      <c r="E6622" s="198">
        <v>6</v>
      </c>
      <c r="F6622" s="199" t="s">
        <v>32478</v>
      </c>
      <c r="G6622" s="1" t="s">
        <v>42474</v>
      </c>
      <c r="H6622" s="200"/>
      <c r="I6622" s="346"/>
      <c r="J6622" s="39">
        <v>116162</v>
      </c>
      <c r="K6622" s="36" t="str">
        <f>CONCATENATE(Cover!$D$6,"fdd/view?i=",J6622)</f>
        <v>https://www.dgiwg.org/FAD/fdd/view?i=116162</v>
      </c>
      <c r="L6622" s="36" t="s">
        <v>42475</v>
      </c>
      <c r="M6622" s="186"/>
      <c r="N6622" s="186"/>
      <c r="O6622" s="172"/>
    </row>
    <row r="6623" spans="1:15" x14ac:dyDescent="0.2">
      <c r="A6623" s="197" t="str">
        <f t="shared" si="103"/>
        <v>PsyCode_postal</v>
      </c>
      <c r="B6623" s="409"/>
      <c r="C6623" s="416"/>
      <c r="D6623" s="198" t="s">
        <v>42476</v>
      </c>
      <c r="E6623" s="198">
        <v>7</v>
      </c>
      <c r="F6623" s="199" t="s">
        <v>42477</v>
      </c>
      <c r="G6623" s="1" t="s">
        <v>42478</v>
      </c>
      <c r="H6623" s="200"/>
      <c r="I6623" s="346"/>
      <c r="J6623" s="39">
        <v>116163</v>
      </c>
      <c r="K6623" s="36" t="str">
        <f>CONCATENATE(Cover!$D$6,"fdd/view?i=",J6623)</f>
        <v>https://www.dgiwg.org/FAD/fdd/view?i=116163</v>
      </c>
      <c r="L6623" s="36" t="s">
        <v>42479</v>
      </c>
      <c r="M6623" s="186"/>
      <c r="N6623" s="186"/>
      <c r="O6623" s="172"/>
    </row>
    <row r="6624" spans="1:15" x14ac:dyDescent="0.2">
      <c r="A6624" s="197" t="str">
        <f t="shared" si="103"/>
        <v>PsyCode_restaurant</v>
      </c>
      <c r="B6624" s="409"/>
      <c r="C6624" s="416"/>
      <c r="D6624" s="198" t="s">
        <v>23182</v>
      </c>
      <c r="E6624" s="198">
        <v>8</v>
      </c>
      <c r="F6624" s="199" t="s">
        <v>23183</v>
      </c>
      <c r="G6624" s="1" t="s">
        <v>42480</v>
      </c>
      <c r="H6624" s="200"/>
      <c r="I6624" s="346"/>
      <c r="J6624" s="39">
        <v>116164</v>
      </c>
      <c r="K6624" s="36" t="str">
        <f>CONCATENATE(Cover!$D$6,"fdd/view?i=",J6624)</f>
        <v>https://www.dgiwg.org/FAD/fdd/view?i=116164</v>
      </c>
      <c r="L6624" s="36" t="s">
        <v>42481</v>
      </c>
      <c r="M6624" s="186"/>
      <c r="N6624" s="186"/>
      <c r="O6624" s="172"/>
    </row>
    <row r="6625" spans="1:15" x14ac:dyDescent="0.2">
      <c r="A6625" s="197" t="str">
        <f t="shared" si="103"/>
        <v>PsyCode_sanitation</v>
      </c>
      <c r="B6625" s="409"/>
      <c r="C6625" s="416"/>
      <c r="D6625" s="198" t="s">
        <v>42482</v>
      </c>
      <c r="E6625" s="198">
        <v>9</v>
      </c>
      <c r="F6625" s="199" t="s">
        <v>42483</v>
      </c>
      <c r="G6625" s="1" t="s">
        <v>42484</v>
      </c>
      <c r="H6625" s="200"/>
      <c r="I6625" s="346"/>
      <c r="J6625" s="39">
        <v>116165</v>
      </c>
      <c r="K6625" s="36" t="str">
        <f>CONCATENATE(Cover!$D$6,"fdd/view?i=",J6625)</f>
        <v>https://www.dgiwg.org/FAD/fdd/view?i=116165</v>
      </c>
      <c r="L6625" s="36" t="s">
        <v>42485</v>
      </c>
      <c r="M6625" s="186"/>
      <c r="N6625" s="186"/>
      <c r="O6625" s="172"/>
    </row>
    <row r="6626" spans="1:15" ht="25.5" x14ac:dyDescent="0.2">
      <c r="A6626" s="197" t="str">
        <f t="shared" si="103"/>
        <v>PsyCode_security</v>
      </c>
      <c r="B6626" s="409"/>
      <c r="C6626" s="416"/>
      <c r="D6626" s="198" t="s">
        <v>21031</v>
      </c>
      <c r="E6626" s="198">
        <v>10</v>
      </c>
      <c r="F6626" s="199" t="s">
        <v>21032</v>
      </c>
      <c r="G6626" s="1" t="s">
        <v>21033</v>
      </c>
      <c r="H6626" s="200"/>
      <c r="I6626" s="346"/>
      <c r="J6626" s="39">
        <v>116166</v>
      </c>
      <c r="K6626" s="36" t="str">
        <f>CONCATENATE(Cover!$D$6,"fdd/view?i=",J6626)</f>
        <v>https://www.dgiwg.org/FAD/fdd/view?i=116166</v>
      </c>
      <c r="L6626" s="36" t="s">
        <v>42486</v>
      </c>
      <c r="M6626" s="186"/>
      <c r="N6626" s="186"/>
      <c r="O6626" s="172"/>
    </row>
    <row r="6627" spans="1:15" x14ac:dyDescent="0.2">
      <c r="A6627" s="197" t="str">
        <f t="shared" si="103"/>
        <v>PsyCode_transport</v>
      </c>
      <c r="B6627" s="409"/>
      <c r="C6627" s="416"/>
      <c r="D6627" s="198" t="s">
        <v>31696</v>
      </c>
      <c r="E6627" s="198">
        <v>11</v>
      </c>
      <c r="F6627" s="199" t="s">
        <v>31697</v>
      </c>
      <c r="G6627" s="1" t="s">
        <v>42487</v>
      </c>
      <c r="H6627" s="200"/>
      <c r="I6627" s="346"/>
      <c r="J6627" s="39">
        <v>116167</v>
      </c>
      <c r="K6627" s="36" t="str">
        <f>CONCATENATE(Cover!$D$6,"fdd/view?i=",J6627)</f>
        <v>https://www.dgiwg.org/FAD/fdd/view?i=116167</v>
      </c>
      <c r="L6627" s="36" t="s">
        <v>42488</v>
      </c>
      <c r="M6627" s="186"/>
      <c r="N6627" s="186"/>
      <c r="O6627" s="172"/>
    </row>
    <row r="6628" spans="1:15" ht="25.5" x14ac:dyDescent="0.2">
      <c r="A6628" s="197" t="str">
        <f t="shared" si="103"/>
        <v>PsyCode_travelerInformation</v>
      </c>
      <c r="B6628" s="409"/>
      <c r="C6628" s="416"/>
      <c r="D6628" s="198" t="s">
        <v>42489</v>
      </c>
      <c r="E6628" s="198">
        <v>5</v>
      </c>
      <c r="F6628" s="199" t="s">
        <v>42490</v>
      </c>
      <c r="G6628" s="1" t="s">
        <v>42491</v>
      </c>
      <c r="H6628" s="200"/>
      <c r="I6628" s="346"/>
      <c r="J6628" s="39">
        <v>116161</v>
      </c>
      <c r="K6628" s="36" t="str">
        <f>CONCATENATE(Cover!$D$6,"fdd/view?i=",J6628)</f>
        <v>https://www.dgiwg.org/FAD/fdd/view?i=116161</v>
      </c>
      <c r="L6628" s="36" t="s">
        <v>42492</v>
      </c>
      <c r="M6628" s="186"/>
      <c r="N6628" s="186"/>
      <c r="O6628" s="172"/>
    </row>
    <row r="6629" spans="1:15" x14ac:dyDescent="0.2">
      <c r="A6629" s="203" t="str">
        <f t="shared" si="103"/>
        <v>PsyCode_veterinary</v>
      </c>
      <c r="B6629" s="410"/>
      <c r="C6629" s="417"/>
      <c r="D6629" s="204" t="s">
        <v>31722</v>
      </c>
      <c r="E6629" s="204">
        <v>13</v>
      </c>
      <c r="F6629" s="205" t="s">
        <v>31723</v>
      </c>
      <c r="G6629" s="206" t="s">
        <v>42493</v>
      </c>
      <c r="H6629" s="207"/>
      <c r="I6629" s="347"/>
      <c r="J6629" s="39">
        <v>116169</v>
      </c>
      <c r="K6629" s="36" t="str">
        <f>CONCATENATE(Cover!$D$6,"fdd/view?i=",J6629)</f>
        <v>https://www.dgiwg.org/FAD/fdd/view?i=116169</v>
      </c>
      <c r="L6629" s="36" t="s">
        <v>42494</v>
      </c>
      <c r="M6629" s="186"/>
      <c r="N6629" s="186"/>
      <c r="O6629" s="172"/>
    </row>
    <row r="6630" spans="1:15" ht="25.5" x14ac:dyDescent="0.2">
      <c r="A6630" s="190" t="str">
        <f t="shared" si="103"/>
        <v>Pc1Code_flexiblePavement</v>
      </c>
      <c r="B6630" s="414" t="str">
        <f>HYPERLINK("[#]Datatypes!A1109:L1109","Pc1Code")</f>
        <v>Pc1Code</v>
      </c>
      <c r="C6630" s="415" t="s">
        <v>15717</v>
      </c>
      <c r="D6630" s="221" t="s">
        <v>42495</v>
      </c>
      <c r="E6630" s="221">
        <v>1</v>
      </c>
      <c r="F6630" s="222" t="s">
        <v>42496</v>
      </c>
      <c r="G6630" s="223" t="s">
        <v>42497</v>
      </c>
      <c r="H6630" s="224"/>
      <c r="I6630" s="345"/>
      <c r="J6630" s="39">
        <v>115467</v>
      </c>
      <c r="K6630" s="36" t="str">
        <f>CONCATENATE(Cover!$D$6,"fdd/view?i=",J6630)</f>
        <v>https://www.dgiwg.org/FAD/fdd/view?i=115467</v>
      </c>
      <c r="L6630" s="36" t="s">
        <v>42498</v>
      </c>
      <c r="M6630" s="186"/>
      <c r="N6630" s="186"/>
      <c r="O6630" s="13" t="s">
        <v>20876</v>
      </c>
    </row>
    <row r="6631" spans="1:15" ht="25.5" x14ac:dyDescent="0.2">
      <c r="A6631" s="203" t="str">
        <f t="shared" si="103"/>
        <v>Pc1Code_rigidPavement</v>
      </c>
      <c r="B6631" s="410"/>
      <c r="C6631" s="417"/>
      <c r="D6631" s="204" t="s">
        <v>42499</v>
      </c>
      <c r="E6631" s="204">
        <v>2</v>
      </c>
      <c r="F6631" s="205" t="s">
        <v>42500</v>
      </c>
      <c r="G6631" s="206" t="s">
        <v>42501</v>
      </c>
      <c r="H6631" s="207"/>
      <c r="I6631" s="347"/>
      <c r="J6631" s="39">
        <v>115468</v>
      </c>
      <c r="K6631" s="36" t="str">
        <f>CONCATENATE(Cover!$D$6,"fdd/view?i=",J6631)</f>
        <v>https://www.dgiwg.org/FAD/fdd/view?i=115468</v>
      </c>
      <c r="L6631" s="36" t="s">
        <v>42502</v>
      </c>
      <c r="M6631" s="186"/>
      <c r="N6631" s="186"/>
      <c r="O6631" s="13" t="s">
        <v>20674</v>
      </c>
    </row>
    <row r="6632" spans="1:15" ht="25.5" x14ac:dyDescent="0.2">
      <c r="A6632" s="190" t="str">
        <f t="shared" si="103"/>
        <v>Pc4Code_technical</v>
      </c>
      <c r="B6632" s="414" t="str">
        <f>HYPERLINK("[#]Datatypes!A1111:L1111","Pc4Code")</f>
        <v>Pc4Code</v>
      </c>
      <c r="C6632" s="415" t="s">
        <v>15719</v>
      </c>
      <c r="D6632" s="221" t="s">
        <v>42504</v>
      </c>
      <c r="E6632" s="221">
        <v>1</v>
      </c>
      <c r="F6632" s="222" t="s">
        <v>42505</v>
      </c>
      <c r="G6632" s="223" t="s">
        <v>42506</v>
      </c>
      <c r="H6632" s="224"/>
      <c r="I6632" s="345"/>
      <c r="J6632" s="39">
        <v>115457</v>
      </c>
      <c r="K6632" s="36" t="str">
        <f>CONCATENATE(Cover!$D$6,"fdd/view?i=",J6632)</f>
        <v>https://www.dgiwg.org/FAD/fdd/view?i=115457</v>
      </c>
      <c r="L6632" s="36" t="s">
        <v>42507</v>
      </c>
      <c r="M6632" s="186"/>
      <c r="N6632" s="186"/>
      <c r="O6632" s="13" t="s">
        <v>42503</v>
      </c>
    </row>
    <row r="6633" spans="1:15" ht="25.5" x14ac:dyDescent="0.2">
      <c r="A6633" s="203" t="str">
        <f t="shared" si="103"/>
        <v>Pc4Code_usingAircraftExperience</v>
      </c>
      <c r="B6633" s="410"/>
      <c r="C6633" s="417"/>
      <c r="D6633" s="204" t="s">
        <v>42509</v>
      </c>
      <c r="E6633" s="204">
        <v>2</v>
      </c>
      <c r="F6633" s="205" t="s">
        <v>42510</v>
      </c>
      <c r="G6633" s="206" t="s">
        <v>42511</v>
      </c>
      <c r="H6633" s="207"/>
      <c r="I6633" s="347"/>
      <c r="J6633" s="39">
        <v>115458</v>
      </c>
      <c r="K6633" s="36" t="str">
        <f>CONCATENATE(Cover!$D$6,"fdd/view?i=",J6633)</f>
        <v>https://www.dgiwg.org/FAD/fdd/view?i=115458</v>
      </c>
      <c r="L6633" s="36" t="s">
        <v>42512</v>
      </c>
      <c r="M6633" s="186"/>
      <c r="N6633" s="186"/>
      <c r="O6633" s="13" t="s">
        <v>42508</v>
      </c>
    </row>
    <row r="6634" spans="1:15" ht="25.5" x14ac:dyDescent="0.2">
      <c r="A6634" s="190" t="str">
        <f t="shared" si="103"/>
        <v>Pc3Code_high</v>
      </c>
      <c r="B6634" s="414" t="str">
        <f>HYPERLINK("[#]Datatypes!A1113:L1113","Pc3Code")</f>
        <v>Pc3Code</v>
      </c>
      <c r="C6634" s="415" t="s">
        <v>15721</v>
      </c>
      <c r="D6634" s="221" t="s">
        <v>20199</v>
      </c>
      <c r="E6634" s="221">
        <v>1</v>
      </c>
      <c r="F6634" s="222" t="s">
        <v>20200</v>
      </c>
      <c r="G6634" s="223" t="s">
        <v>42513</v>
      </c>
      <c r="H6634" s="224"/>
      <c r="I6634" s="345"/>
      <c r="J6634" s="39">
        <v>115459</v>
      </c>
      <c r="K6634" s="36" t="str">
        <f>CONCATENATE(Cover!$D$6,"fdd/view?i=",J6634)</f>
        <v>https://www.dgiwg.org/FAD/fdd/view?i=115459</v>
      </c>
      <c r="L6634" s="36" t="s">
        <v>42514</v>
      </c>
      <c r="M6634" s="186"/>
      <c r="N6634" s="186"/>
      <c r="O6634" s="13" t="s">
        <v>21709</v>
      </c>
    </row>
    <row r="6635" spans="1:15" ht="25.5" x14ac:dyDescent="0.2">
      <c r="A6635" s="197" t="str">
        <f t="shared" si="103"/>
        <v>Pc3Code_low</v>
      </c>
      <c r="B6635" s="409"/>
      <c r="C6635" s="416"/>
      <c r="D6635" s="198" t="s">
        <v>20203</v>
      </c>
      <c r="E6635" s="198">
        <v>3</v>
      </c>
      <c r="F6635" s="199" t="s">
        <v>20204</v>
      </c>
      <c r="G6635" s="1" t="s">
        <v>42515</v>
      </c>
      <c r="H6635" s="200"/>
      <c r="I6635" s="346"/>
      <c r="J6635" s="39">
        <v>115460</v>
      </c>
      <c r="K6635" s="36" t="str">
        <f>CONCATENATE(Cover!$D$6,"fdd/view?i=",J6635)</f>
        <v>https://www.dgiwg.org/FAD/fdd/view?i=115460</v>
      </c>
      <c r="L6635" s="36" t="s">
        <v>42516</v>
      </c>
      <c r="M6635" s="186"/>
      <c r="N6635" s="186"/>
      <c r="O6635" s="13" t="s">
        <v>23546</v>
      </c>
    </row>
    <row r="6636" spans="1:15" ht="25.5" x14ac:dyDescent="0.2">
      <c r="A6636" s="197" t="str">
        <f t="shared" si="103"/>
        <v>Pc3Code_medium</v>
      </c>
      <c r="B6636" s="409"/>
      <c r="C6636" s="416"/>
      <c r="D6636" s="198" t="s">
        <v>37187</v>
      </c>
      <c r="E6636" s="198">
        <v>2</v>
      </c>
      <c r="F6636" s="199" t="s">
        <v>37188</v>
      </c>
      <c r="G6636" s="1" t="s">
        <v>42518</v>
      </c>
      <c r="H6636" s="200"/>
      <c r="I6636" s="346"/>
      <c r="J6636" s="39">
        <v>115461</v>
      </c>
      <c r="K6636" s="36" t="str">
        <f>CONCATENATE(Cover!$D$6,"fdd/view?i=",J6636)</f>
        <v>https://www.dgiwg.org/FAD/fdd/view?i=115461</v>
      </c>
      <c r="L6636" s="36" t="s">
        <v>42519</v>
      </c>
      <c r="M6636" s="186"/>
      <c r="N6636" s="186"/>
      <c r="O6636" s="13" t="s">
        <v>42517</v>
      </c>
    </row>
    <row r="6637" spans="1:15" ht="25.5" x14ac:dyDescent="0.2">
      <c r="A6637" s="203" t="str">
        <f t="shared" si="103"/>
        <v>Pc3Code_veryLow</v>
      </c>
      <c r="B6637" s="410"/>
      <c r="C6637" s="417"/>
      <c r="D6637" s="204" t="s">
        <v>22421</v>
      </c>
      <c r="E6637" s="204">
        <v>4</v>
      </c>
      <c r="F6637" s="205" t="s">
        <v>22422</v>
      </c>
      <c r="G6637" s="206" t="s">
        <v>42520</v>
      </c>
      <c r="H6637" s="207"/>
      <c r="I6637" s="347"/>
      <c r="J6637" s="39">
        <v>115462</v>
      </c>
      <c r="K6637" s="36" t="str">
        <f>CONCATENATE(Cover!$D$6,"fdd/view?i=",J6637)</f>
        <v>https://www.dgiwg.org/FAD/fdd/view?i=115462</v>
      </c>
      <c r="L6637" s="36" t="s">
        <v>42521</v>
      </c>
      <c r="M6637" s="186"/>
      <c r="N6637" s="186"/>
      <c r="O6637" s="13" t="s">
        <v>38757</v>
      </c>
    </row>
    <row r="6638" spans="1:15" ht="51" x14ac:dyDescent="0.2">
      <c r="A6638" s="190" t="str">
        <f t="shared" si="103"/>
        <v>Pc2Code_highStrengthSubgrade</v>
      </c>
      <c r="B6638" s="414" t="str">
        <f>HYPERLINK("[#]Datatypes!A1115:L1115","Pc2Code")</f>
        <v>Pc2Code</v>
      </c>
      <c r="C6638" s="415" t="s">
        <v>15723</v>
      </c>
      <c r="D6638" s="221" t="s">
        <v>42522</v>
      </c>
      <c r="E6638" s="221">
        <v>1</v>
      </c>
      <c r="F6638" s="222" t="s">
        <v>42523</v>
      </c>
      <c r="G6638" s="223" t="s">
        <v>42524</v>
      </c>
      <c r="H6638" s="224"/>
      <c r="I6638" s="345"/>
      <c r="J6638" s="39">
        <v>115463</v>
      </c>
      <c r="K6638" s="36" t="str">
        <f>CONCATENATE(Cover!$D$6,"fdd/view?i=",J6638)</f>
        <v>https://www.dgiwg.org/FAD/fdd/view?i=115463</v>
      </c>
      <c r="L6638" s="36" t="s">
        <v>42525</v>
      </c>
      <c r="M6638" s="186"/>
      <c r="N6638" s="186"/>
      <c r="O6638" s="13" t="s">
        <v>20920</v>
      </c>
    </row>
    <row r="6639" spans="1:15" ht="51" x14ac:dyDescent="0.2">
      <c r="A6639" s="197" t="str">
        <f t="shared" si="103"/>
        <v>Pc2Code_lowStrengthSubgrade</v>
      </c>
      <c r="B6639" s="409"/>
      <c r="C6639" s="416"/>
      <c r="D6639" s="198" t="s">
        <v>42526</v>
      </c>
      <c r="E6639" s="198">
        <v>3</v>
      </c>
      <c r="F6639" s="199" t="s">
        <v>42527</v>
      </c>
      <c r="G6639" s="1" t="s">
        <v>42528</v>
      </c>
      <c r="H6639" s="200"/>
      <c r="I6639" s="346"/>
      <c r="J6639" s="39">
        <v>115464</v>
      </c>
      <c r="K6639" s="36" t="str">
        <f>CONCATENATE(Cover!$D$6,"fdd/view?i=",J6639)</f>
        <v>https://www.dgiwg.org/FAD/fdd/view?i=115464</v>
      </c>
      <c r="L6639" s="36" t="s">
        <v>42529</v>
      </c>
      <c r="M6639" s="186"/>
      <c r="N6639" s="186"/>
      <c r="O6639" s="13" t="s">
        <v>20664</v>
      </c>
    </row>
    <row r="6640" spans="1:15" ht="51" x14ac:dyDescent="0.2">
      <c r="A6640" s="197" t="str">
        <f t="shared" si="103"/>
        <v>Pc2Code_mediumStrengthSubgrade</v>
      </c>
      <c r="B6640" s="409"/>
      <c r="C6640" s="416"/>
      <c r="D6640" s="198" t="s">
        <v>42530</v>
      </c>
      <c r="E6640" s="198">
        <v>2</v>
      </c>
      <c r="F6640" s="199" t="s">
        <v>42531</v>
      </c>
      <c r="G6640" s="1" t="s">
        <v>42532</v>
      </c>
      <c r="H6640" s="200"/>
      <c r="I6640" s="346"/>
      <c r="J6640" s="39">
        <v>115465</v>
      </c>
      <c r="K6640" s="36" t="str">
        <f>CONCATENATE(Cover!$D$6,"fdd/view?i=",J6640)</f>
        <v>https://www.dgiwg.org/FAD/fdd/view?i=115465</v>
      </c>
      <c r="L6640" s="36" t="s">
        <v>42533</v>
      </c>
      <c r="M6640" s="186"/>
      <c r="N6640" s="186"/>
      <c r="O6640" s="13" t="s">
        <v>20869</v>
      </c>
    </row>
    <row r="6641" spans="1:15" ht="51" x14ac:dyDescent="0.2">
      <c r="A6641" s="203" t="str">
        <f t="shared" si="103"/>
        <v>Pc2Code_ultraLowStrengthSubgrade</v>
      </c>
      <c r="B6641" s="410"/>
      <c r="C6641" s="417"/>
      <c r="D6641" s="204" t="s">
        <v>42534</v>
      </c>
      <c r="E6641" s="204">
        <v>4</v>
      </c>
      <c r="F6641" s="205" t="s">
        <v>42535</v>
      </c>
      <c r="G6641" s="206" t="s">
        <v>42536</v>
      </c>
      <c r="H6641" s="207"/>
      <c r="I6641" s="347"/>
      <c r="J6641" s="39">
        <v>115466</v>
      </c>
      <c r="K6641" s="36" t="str">
        <f>CONCATENATE(Cover!$D$6,"fdd/view?i=",J6641)</f>
        <v>https://www.dgiwg.org/FAD/fdd/view?i=115466</v>
      </c>
      <c r="L6641" s="36" t="s">
        <v>42537</v>
      </c>
      <c r="M6641" s="186"/>
      <c r="N6641" s="186"/>
      <c r="O6641" s="13" t="s">
        <v>20933</v>
      </c>
    </row>
    <row r="6642" spans="1:15" ht="38.25" x14ac:dyDescent="0.2">
      <c r="A6642" s="190" t="str">
        <f t="shared" si="103"/>
        <v>PcfCode_construction</v>
      </c>
      <c r="B6642" s="414" t="str">
        <f>HYPERLINK("[#]Datatypes!A1121:L1121","PcfCode")</f>
        <v>PcfCode</v>
      </c>
      <c r="C6642" s="415" t="s">
        <v>15730</v>
      </c>
      <c r="D6642" s="221" t="s">
        <v>37382</v>
      </c>
      <c r="E6642" s="221">
        <v>1</v>
      </c>
      <c r="F6642" s="222" t="s">
        <v>37383</v>
      </c>
      <c r="G6642" s="223" t="s">
        <v>42538</v>
      </c>
      <c r="H6642" s="223" t="s">
        <v>42539</v>
      </c>
      <c r="I6642" s="345"/>
      <c r="J6642" s="39">
        <v>119374</v>
      </c>
      <c r="K6642" s="36" t="str">
        <f>CONCATENATE(Cover!$D$6,"fdd/view?i=",J6642)</f>
        <v>https://www.dgiwg.org/FAD/fdd/view?i=119374</v>
      </c>
      <c r="L6642" s="36" t="s">
        <v>42540</v>
      </c>
      <c r="M6642" s="186"/>
      <c r="N6642" s="186"/>
      <c r="O6642" s="172"/>
    </row>
    <row r="6643" spans="1:15" ht="38.25" x14ac:dyDescent="0.2">
      <c r="A6643" s="197" t="str">
        <f t="shared" si="103"/>
        <v>PcfCode_damaged</v>
      </c>
      <c r="B6643" s="409"/>
      <c r="C6643" s="416"/>
      <c r="D6643" s="198" t="s">
        <v>19467</v>
      </c>
      <c r="E6643" s="198">
        <v>4</v>
      </c>
      <c r="F6643" s="199" t="s">
        <v>19468</v>
      </c>
      <c r="G6643" s="1" t="s">
        <v>42541</v>
      </c>
      <c r="H6643" s="1" t="s">
        <v>42542</v>
      </c>
      <c r="I6643" s="346"/>
      <c r="J6643" s="39">
        <v>119377</v>
      </c>
      <c r="K6643" s="36" t="str">
        <f>CONCATENATE(Cover!$D$6,"fdd/view?i=",J6643)</f>
        <v>https://www.dgiwg.org/FAD/fdd/view?i=119377</v>
      </c>
      <c r="L6643" s="36" t="s">
        <v>42543</v>
      </c>
      <c r="M6643" s="186"/>
      <c r="N6643" s="186"/>
      <c r="O6643" s="172"/>
    </row>
    <row r="6644" spans="1:15" ht="63.75" x14ac:dyDescent="0.2">
      <c r="A6644" s="197" t="str">
        <f t="shared" si="103"/>
        <v>PcfCode_destroyed</v>
      </c>
      <c r="B6644" s="409"/>
      <c r="C6644" s="416"/>
      <c r="D6644" s="198" t="s">
        <v>19471</v>
      </c>
      <c r="E6644" s="198">
        <v>6</v>
      </c>
      <c r="F6644" s="199" t="s">
        <v>19472</v>
      </c>
      <c r="G6644" s="1" t="s">
        <v>42544</v>
      </c>
      <c r="H6644" s="1" t="s">
        <v>42545</v>
      </c>
      <c r="I6644" s="346"/>
      <c r="J6644" s="39">
        <v>119379</v>
      </c>
      <c r="K6644" s="36" t="str">
        <f>CONCATENATE(Cover!$D$6,"fdd/view?i=",J6644)</f>
        <v>https://www.dgiwg.org/FAD/fdd/view?i=119379</v>
      </c>
      <c r="L6644" s="36" t="s">
        <v>42546</v>
      </c>
      <c r="M6644" s="186"/>
      <c r="N6644" s="186"/>
      <c r="O6644" s="172"/>
    </row>
    <row r="6645" spans="1:15" ht="38.25" x14ac:dyDescent="0.2">
      <c r="A6645" s="197" t="str">
        <f t="shared" si="103"/>
        <v>PcfCode_dismantled</v>
      </c>
      <c r="B6645" s="409"/>
      <c r="C6645" s="416"/>
      <c r="D6645" s="198" t="s">
        <v>26389</v>
      </c>
      <c r="E6645" s="198">
        <v>5</v>
      </c>
      <c r="F6645" s="199" t="s">
        <v>26390</v>
      </c>
      <c r="G6645" s="1" t="s">
        <v>42547</v>
      </c>
      <c r="H6645" s="1" t="s">
        <v>42548</v>
      </c>
      <c r="I6645" s="346"/>
      <c r="J6645" s="39">
        <v>119378</v>
      </c>
      <c r="K6645" s="36" t="str">
        <f>CONCATENATE(Cover!$D$6,"fdd/view?i=",J6645)</f>
        <v>https://www.dgiwg.org/FAD/fdd/view?i=119378</v>
      </c>
      <c r="L6645" s="36" t="s">
        <v>42549</v>
      </c>
      <c r="M6645" s="186"/>
      <c r="N6645" s="186"/>
      <c r="O6645" s="172"/>
    </row>
    <row r="6646" spans="1:15" ht="25.5" x14ac:dyDescent="0.2">
      <c r="A6646" s="197" t="str">
        <f t="shared" si="103"/>
        <v>PcfCode_intact</v>
      </c>
      <c r="B6646" s="409"/>
      <c r="C6646" s="416"/>
      <c r="D6646" s="198" t="s">
        <v>23799</v>
      </c>
      <c r="E6646" s="198">
        <v>2</v>
      </c>
      <c r="F6646" s="199" t="s">
        <v>23800</v>
      </c>
      <c r="G6646" s="1" t="s">
        <v>42550</v>
      </c>
      <c r="H6646" s="1" t="s">
        <v>42551</v>
      </c>
      <c r="I6646" s="346"/>
      <c r="J6646" s="39">
        <v>119375</v>
      </c>
      <c r="K6646" s="36" t="str">
        <f>CONCATENATE(Cover!$D$6,"fdd/view?i=",J6646)</f>
        <v>https://www.dgiwg.org/FAD/fdd/view?i=119375</v>
      </c>
      <c r="L6646" s="36" t="s">
        <v>42552</v>
      </c>
      <c r="M6646" s="186"/>
      <c r="N6646" s="186"/>
      <c r="O6646" s="172"/>
    </row>
    <row r="6647" spans="1:15" ht="51" x14ac:dyDescent="0.2">
      <c r="A6647" s="203" t="str">
        <f t="shared" si="103"/>
        <v>PcfCode_unmaintained</v>
      </c>
      <c r="B6647" s="410"/>
      <c r="C6647" s="417"/>
      <c r="D6647" s="204" t="s">
        <v>42553</v>
      </c>
      <c r="E6647" s="204">
        <v>3</v>
      </c>
      <c r="F6647" s="205" t="s">
        <v>42554</v>
      </c>
      <c r="G6647" s="206" t="s">
        <v>42555</v>
      </c>
      <c r="H6647" s="206" t="s">
        <v>42556</v>
      </c>
      <c r="I6647" s="347"/>
      <c r="J6647" s="39">
        <v>119376</v>
      </c>
      <c r="K6647" s="36" t="str">
        <f>CONCATENATE(Cover!$D$6,"fdd/view?i=",J6647)</f>
        <v>https://www.dgiwg.org/FAD/fdd/view?i=119376</v>
      </c>
      <c r="L6647" s="36" t="s">
        <v>42557</v>
      </c>
      <c r="M6647" s="186"/>
      <c r="N6647" s="186"/>
      <c r="O6647" s="172"/>
    </row>
    <row r="6648" spans="1:15" ht="25.5" x14ac:dyDescent="0.2">
      <c r="A6648" s="190" t="str">
        <f t="shared" si="103"/>
        <v>PstCode_gas</v>
      </c>
      <c r="B6648" s="414" t="str">
        <f>HYPERLINK("[#]Datatypes!A1123:L1123","PstCode")</f>
        <v>PstCode</v>
      </c>
      <c r="C6648" s="415" t="s">
        <v>15732</v>
      </c>
      <c r="D6648" s="221" t="s">
        <v>25223</v>
      </c>
      <c r="E6648" s="221">
        <v>3</v>
      </c>
      <c r="F6648" s="222" t="s">
        <v>25224</v>
      </c>
      <c r="G6648" s="223" t="s">
        <v>42558</v>
      </c>
      <c r="H6648" s="223" t="s">
        <v>42559</v>
      </c>
      <c r="I6648" s="345"/>
      <c r="J6648" s="39">
        <v>110293</v>
      </c>
      <c r="K6648" s="36" t="str">
        <f>CONCATENATE(Cover!$D$6,"fdd/view?i=",J6648)</f>
        <v>https://www.dgiwg.org/FAD/fdd/view?i=110293</v>
      </c>
      <c r="L6648" s="36" t="s">
        <v>42560</v>
      </c>
      <c r="M6648" s="186"/>
      <c r="N6648" s="186"/>
      <c r="O6648" s="172"/>
    </row>
    <row r="6649" spans="1:15" ht="38.25" x14ac:dyDescent="0.2">
      <c r="A6649" s="197" t="str">
        <f t="shared" si="103"/>
        <v>PstCode_liquid</v>
      </c>
      <c r="B6649" s="409"/>
      <c r="C6649" s="416"/>
      <c r="D6649" s="198" t="s">
        <v>42561</v>
      </c>
      <c r="E6649" s="198">
        <v>2</v>
      </c>
      <c r="F6649" s="199" t="s">
        <v>42562</v>
      </c>
      <c r="G6649" s="1" t="s">
        <v>42563</v>
      </c>
      <c r="H6649" s="1" t="s">
        <v>42564</v>
      </c>
      <c r="I6649" s="346"/>
      <c r="J6649" s="39">
        <v>107019</v>
      </c>
      <c r="K6649" s="36" t="str">
        <f>CONCATENATE(Cover!$D$6,"fdd/view?i=",J6649)</f>
        <v>https://www.dgiwg.org/FAD/fdd/view?i=107019</v>
      </c>
      <c r="L6649" s="36" t="s">
        <v>42565</v>
      </c>
      <c r="M6649" s="186"/>
      <c r="N6649" s="186"/>
      <c r="O6649" s="172"/>
    </row>
    <row r="6650" spans="1:15" x14ac:dyDescent="0.2">
      <c r="A6650" s="203" t="str">
        <f t="shared" si="103"/>
        <v>PstCode_solid</v>
      </c>
      <c r="B6650" s="410"/>
      <c r="C6650" s="417"/>
      <c r="D6650" s="204" t="s">
        <v>42566</v>
      </c>
      <c r="E6650" s="204">
        <v>1</v>
      </c>
      <c r="F6650" s="205" t="s">
        <v>42567</v>
      </c>
      <c r="G6650" s="206" t="s">
        <v>42568</v>
      </c>
      <c r="H6650" s="207"/>
      <c r="I6650" s="347"/>
      <c r="J6650" s="39">
        <v>107018</v>
      </c>
      <c r="K6650" s="36" t="str">
        <f>CONCATENATE(Cover!$D$6,"fdd/view?i=",J6650)</f>
        <v>https://www.dgiwg.org/FAD/fdd/view?i=107018</v>
      </c>
      <c r="L6650" s="36" t="s">
        <v>42569</v>
      </c>
      <c r="M6650" s="186"/>
      <c r="N6650" s="186"/>
      <c r="O6650" s="172"/>
    </row>
    <row r="6651" spans="1:15" ht="63.75" x14ac:dyDescent="0.2">
      <c r="A6651" s="190" t="str">
        <f t="shared" si="103"/>
        <v>PlcCode_linear</v>
      </c>
      <c r="B6651" s="414" t="str">
        <f>HYPERLINK("[#]Datatypes!A1125:L1125","PlcCode")</f>
        <v>PlcCode</v>
      </c>
      <c r="C6651" s="415" t="s">
        <v>15734</v>
      </c>
      <c r="D6651" s="221" t="s">
        <v>30351</v>
      </c>
      <c r="E6651" s="221">
        <v>5</v>
      </c>
      <c r="F6651" s="222" t="s">
        <v>30352</v>
      </c>
      <c r="G6651" s="223" t="s">
        <v>42570</v>
      </c>
      <c r="H6651" s="223" t="s">
        <v>42571</v>
      </c>
      <c r="I6651" s="345"/>
      <c r="J6651" s="39">
        <v>208117</v>
      </c>
      <c r="K6651" s="36" t="str">
        <f>CONCATENATE(Cover!$D$6,"fdd/view?i=",J6651)</f>
        <v>https://www.dgiwg.org/FAD/fdd/view?i=208117</v>
      </c>
      <c r="L6651" s="36" t="s">
        <v>42572</v>
      </c>
      <c r="M6651" s="186"/>
      <c r="N6651" s="186"/>
      <c r="O6651" s="172"/>
    </row>
    <row r="6652" spans="1:15" ht="25.5" x14ac:dyDescent="0.2">
      <c r="A6652" s="197" t="str">
        <f t="shared" si="103"/>
        <v>PlcCode_post</v>
      </c>
      <c r="B6652" s="409"/>
      <c r="C6652" s="416"/>
      <c r="D6652" s="198" t="s">
        <v>42573</v>
      </c>
      <c r="E6652" s="198">
        <v>3</v>
      </c>
      <c r="F6652" s="199" t="s">
        <v>42574</v>
      </c>
      <c r="G6652" s="1" t="s">
        <v>42575</v>
      </c>
      <c r="H6652" s="200"/>
      <c r="I6652" s="346"/>
      <c r="J6652" s="39">
        <v>106420</v>
      </c>
      <c r="K6652" s="36" t="str">
        <f>CONCATENATE(Cover!$D$6,"fdd/view?i=",J6652)</f>
        <v>https://www.dgiwg.org/FAD/fdd/view?i=106420</v>
      </c>
      <c r="L6652" s="36" t="s">
        <v>42576</v>
      </c>
      <c r="M6652" s="186"/>
      <c r="N6652" s="186"/>
      <c r="O6652" s="172"/>
    </row>
    <row r="6653" spans="1:15" ht="25.5" x14ac:dyDescent="0.2">
      <c r="A6653" s="197" t="str">
        <f t="shared" si="103"/>
        <v>PlcCode_stake</v>
      </c>
      <c r="B6653" s="409"/>
      <c r="C6653" s="416"/>
      <c r="D6653" s="198" t="s">
        <v>42577</v>
      </c>
      <c r="E6653" s="198">
        <v>1</v>
      </c>
      <c r="F6653" s="199" t="s">
        <v>42578</v>
      </c>
      <c r="G6653" s="1" t="s">
        <v>42579</v>
      </c>
      <c r="H6653" s="200"/>
      <c r="I6653" s="346"/>
      <c r="J6653" s="39">
        <v>106418</v>
      </c>
      <c r="K6653" s="36" t="str">
        <f>CONCATENATE(Cover!$D$6,"fdd/view?i=",J6653)</f>
        <v>https://www.dgiwg.org/FAD/fdd/view?i=106418</v>
      </c>
      <c r="L6653" s="36" t="s">
        <v>42580</v>
      </c>
      <c r="M6653" s="186"/>
      <c r="N6653" s="186"/>
      <c r="O6653" s="172"/>
    </row>
    <row r="6654" spans="1:15" ht="38.25" x14ac:dyDescent="0.2">
      <c r="A6654" s="203" t="str">
        <f t="shared" si="103"/>
        <v>PlcCode_tripodal</v>
      </c>
      <c r="B6654" s="410"/>
      <c r="C6654" s="417"/>
      <c r="D6654" s="204" t="s">
        <v>42581</v>
      </c>
      <c r="E6654" s="204">
        <v>4</v>
      </c>
      <c r="F6654" s="205" t="s">
        <v>42582</v>
      </c>
      <c r="G6654" s="206" t="s">
        <v>42583</v>
      </c>
      <c r="H6654" s="207"/>
      <c r="I6654" s="347"/>
      <c r="J6654" s="39">
        <v>106421</v>
      </c>
      <c r="K6654" s="36" t="str">
        <f>CONCATENATE(Cover!$D$6,"fdd/view?i=",J6654)</f>
        <v>https://www.dgiwg.org/FAD/fdd/view?i=106421</v>
      </c>
      <c r="L6654" s="36" t="s">
        <v>42584</v>
      </c>
      <c r="M6654" s="186"/>
      <c r="N6654" s="186"/>
      <c r="O6654" s="172"/>
    </row>
    <row r="6655" spans="1:15" x14ac:dyDescent="0.2">
      <c r="A6655" s="190" t="str">
        <f t="shared" si="103"/>
        <v>PbpCode_helicopter</v>
      </c>
      <c r="B6655" s="414" t="str">
        <f>HYPERLINK("[#]Datatypes!A1127:L1127","PbpCode")</f>
        <v>PbpCode</v>
      </c>
      <c r="C6655" s="415" t="s">
        <v>15736</v>
      </c>
      <c r="D6655" s="221" t="s">
        <v>21089</v>
      </c>
      <c r="E6655" s="221">
        <v>2</v>
      </c>
      <c r="F6655" s="222" t="s">
        <v>21090</v>
      </c>
      <c r="G6655" s="223" t="s">
        <v>42585</v>
      </c>
      <c r="H6655" s="224"/>
      <c r="I6655" s="345"/>
      <c r="J6655" s="39">
        <v>106337</v>
      </c>
      <c r="K6655" s="36" t="str">
        <f>CONCATENATE(Cover!$D$6,"fdd/view?i=",J6655)</f>
        <v>https://www.dgiwg.org/FAD/fdd/view?i=106337</v>
      </c>
      <c r="L6655" s="36" t="s">
        <v>42586</v>
      </c>
      <c r="M6655" s="186"/>
      <c r="N6655" s="186"/>
      <c r="O6655" s="172"/>
    </row>
    <row r="6656" spans="1:15" ht="25.5" x14ac:dyDescent="0.2">
      <c r="A6656" s="197" t="str">
        <f t="shared" si="103"/>
        <v>PbpCode_pilotCruisingVessel</v>
      </c>
      <c r="B6656" s="409"/>
      <c r="C6656" s="416"/>
      <c r="D6656" s="198" t="s">
        <v>42587</v>
      </c>
      <c r="E6656" s="198">
        <v>1</v>
      </c>
      <c r="F6656" s="199" t="s">
        <v>42588</v>
      </c>
      <c r="G6656" s="1" t="s">
        <v>42589</v>
      </c>
      <c r="H6656" s="200"/>
      <c r="I6656" s="346"/>
      <c r="J6656" s="39">
        <v>106336</v>
      </c>
      <c r="K6656" s="36" t="str">
        <f>CONCATENATE(Cover!$D$6,"fdd/view?i=",J6656)</f>
        <v>https://www.dgiwg.org/FAD/fdd/view?i=106336</v>
      </c>
      <c r="L6656" s="36" t="s">
        <v>42590</v>
      </c>
      <c r="M6656" s="186"/>
      <c r="N6656" s="186"/>
      <c r="O6656" s="172"/>
    </row>
    <row r="6657" spans="1:15" ht="25.5" x14ac:dyDescent="0.2">
      <c r="A6657" s="203" t="str">
        <f t="shared" si="103"/>
        <v>PbpCode_requestedVessel</v>
      </c>
      <c r="B6657" s="410"/>
      <c r="C6657" s="417"/>
      <c r="D6657" s="204" t="s">
        <v>42591</v>
      </c>
      <c r="E6657" s="204">
        <v>3</v>
      </c>
      <c r="F6657" s="205" t="s">
        <v>42592</v>
      </c>
      <c r="G6657" s="206" t="s">
        <v>42593</v>
      </c>
      <c r="H6657" s="207"/>
      <c r="I6657" s="347"/>
      <c r="J6657" s="39">
        <v>106338</v>
      </c>
      <c r="K6657" s="36" t="str">
        <f>CONCATENATE(Cover!$D$6,"fdd/view?i=",J6657)</f>
        <v>https://www.dgiwg.org/FAD/fdd/view?i=106338</v>
      </c>
      <c r="L6657" s="36" t="s">
        <v>42594</v>
      </c>
      <c r="M6657" s="186"/>
      <c r="N6657" s="186"/>
      <c r="O6657" s="172"/>
    </row>
    <row r="6658" spans="1:15" ht="25.5" x14ac:dyDescent="0.2">
      <c r="A6658" s="190" t="str">
        <f t="shared" ref="A6658:A6721" si="104">HYPERLINK(K6658,L6658)</f>
        <v>PltCode_bubblerSystem</v>
      </c>
      <c r="B6658" s="414" t="str">
        <f>HYPERLINK("[#]Datatypes!A1129:L1129","PltCode")</f>
        <v>PltCode</v>
      </c>
      <c r="C6658" s="415" t="s">
        <v>15738</v>
      </c>
      <c r="D6658" s="221" t="s">
        <v>42595</v>
      </c>
      <c r="E6658" s="221">
        <v>7</v>
      </c>
      <c r="F6658" s="222" t="s">
        <v>42596</v>
      </c>
      <c r="G6658" s="223" t="s">
        <v>42597</v>
      </c>
      <c r="H6658" s="224"/>
      <c r="I6658" s="345"/>
      <c r="J6658" s="39">
        <v>106432</v>
      </c>
      <c r="K6658" s="36" t="str">
        <f>CONCATENATE(Cover!$D$6,"fdd/view?i=",J6658)</f>
        <v>https://www.dgiwg.org/FAD/fdd/view?i=106432</v>
      </c>
      <c r="L6658" s="36" t="s">
        <v>42598</v>
      </c>
      <c r="M6658" s="186"/>
      <c r="N6658" s="186"/>
      <c r="O6658" s="172"/>
    </row>
    <row r="6659" spans="1:15" ht="25.5" x14ac:dyDescent="0.2">
      <c r="A6659" s="197" t="str">
        <f t="shared" si="104"/>
        <v>PltCode_intakePipe</v>
      </c>
      <c r="B6659" s="409"/>
      <c r="C6659" s="416"/>
      <c r="D6659" s="198" t="s">
        <v>42599</v>
      </c>
      <c r="E6659" s="198">
        <v>3</v>
      </c>
      <c r="F6659" s="199" t="s">
        <v>42600</v>
      </c>
      <c r="G6659" s="1" t="s">
        <v>42601</v>
      </c>
      <c r="H6659" s="1" t="s">
        <v>3727</v>
      </c>
      <c r="I6659" s="346"/>
      <c r="J6659" s="39">
        <v>106428</v>
      </c>
      <c r="K6659" s="36" t="str">
        <f>CONCATENATE(Cover!$D$6,"fdd/view?i=",J6659)</f>
        <v>https://www.dgiwg.org/FAD/fdd/view?i=106428</v>
      </c>
      <c r="L6659" s="36" t="s">
        <v>42602</v>
      </c>
      <c r="M6659" s="186"/>
      <c r="N6659" s="186"/>
      <c r="O6659" s="172"/>
    </row>
    <row r="6660" spans="1:15" ht="25.5" x14ac:dyDescent="0.2">
      <c r="A6660" s="197" t="str">
        <f t="shared" si="104"/>
        <v>PltCode_outfallPipe</v>
      </c>
      <c r="B6660" s="409"/>
      <c r="C6660" s="416"/>
      <c r="D6660" s="198" t="s">
        <v>42603</v>
      </c>
      <c r="E6660" s="198">
        <v>2</v>
      </c>
      <c r="F6660" s="199" t="s">
        <v>42604</v>
      </c>
      <c r="G6660" s="1" t="s">
        <v>42605</v>
      </c>
      <c r="H6660" s="200"/>
      <c r="I6660" s="346"/>
      <c r="J6660" s="39">
        <v>106427</v>
      </c>
      <c r="K6660" s="36" t="str">
        <f>CONCATENATE(Cover!$D$6,"fdd/view?i=",J6660)</f>
        <v>https://www.dgiwg.org/FAD/fdd/view?i=106427</v>
      </c>
      <c r="L6660" s="36" t="s">
        <v>42606</v>
      </c>
      <c r="M6660" s="186"/>
      <c r="N6660" s="186"/>
      <c r="O6660" s="172"/>
    </row>
    <row r="6661" spans="1:15" ht="25.5" x14ac:dyDescent="0.2">
      <c r="A6661" s="197" t="str">
        <f t="shared" si="104"/>
        <v>PltCode_pipelineValve</v>
      </c>
      <c r="B6661" s="409"/>
      <c r="C6661" s="416"/>
      <c r="D6661" s="198" t="s">
        <v>42607</v>
      </c>
      <c r="E6661" s="198">
        <v>5</v>
      </c>
      <c r="F6661" s="199" t="s">
        <v>42608</v>
      </c>
      <c r="G6661" s="1" t="s">
        <v>42609</v>
      </c>
      <c r="H6661" s="1" t="s">
        <v>42610</v>
      </c>
      <c r="I6661" s="346"/>
      <c r="J6661" s="39">
        <v>106430</v>
      </c>
      <c r="K6661" s="36" t="str">
        <f>CONCATENATE(Cover!$D$6,"fdd/view?i=",J6661)</f>
        <v>https://www.dgiwg.org/FAD/fdd/view?i=106430</v>
      </c>
      <c r="L6661" s="36" t="s">
        <v>42611</v>
      </c>
      <c r="M6661" s="186"/>
      <c r="N6661" s="186"/>
      <c r="O6661" s="172"/>
    </row>
    <row r="6662" spans="1:15" ht="25.5" x14ac:dyDescent="0.2">
      <c r="A6662" s="197" t="str">
        <f t="shared" si="104"/>
        <v>PltCode_sewer</v>
      </c>
      <c r="B6662" s="409"/>
      <c r="C6662" s="416"/>
      <c r="D6662" s="198" t="s">
        <v>42612</v>
      </c>
      <c r="E6662" s="198">
        <v>4</v>
      </c>
      <c r="F6662" s="199" t="s">
        <v>42613</v>
      </c>
      <c r="G6662" s="1" t="s">
        <v>42614</v>
      </c>
      <c r="H6662" s="200"/>
      <c r="I6662" s="346"/>
      <c r="J6662" s="39">
        <v>106429</v>
      </c>
      <c r="K6662" s="36" t="str">
        <f>CONCATENATE(Cover!$D$6,"fdd/view?i=",J6662)</f>
        <v>https://www.dgiwg.org/FAD/fdd/view?i=106429</v>
      </c>
      <c r="L6662" s="36" t="s">
        <v>42615</v>
      </c>
      <c r="M6662" s="186"/>
      <c r="N6662" s="186"/>
      <c r="O6662" s="172"/>
    </row>
    <row r="6663" spans="1:15" ht="25.5" x14ac:dyDescent="0.2">
      <c r="A6663" s="203" t="str">
        <f t="shared" si="104"/>
        <v>PltCode_transportPipe</v>
      </c>
      <c r="B6663" s="410"/>
      <c r="C6663" s="417"/>
      <c r="D6663" s="204" t="s">
        <v>42616</v>
      </c>
      <c r="E6663" s="204">
        <v>1</v>
      </c>
      <c r="F6663" s="205" t="s">
        <v>42617</v>
      </c>
      <c r="G6663" s="206" t="s">
        <v>42618</v>
      </c>
      <c r="H6663" s="206" t="s">
        <v>42619</v>
      </c>
      <c r="I6663" s="353" t="s">
        <v>42620</v>
      </c>
      <c r="J6663" s="39">
        <v>106426</v>
      </c>
      <c r="K6663" s="36" t="str">
        <f>CONCATENATE(Cover!$D$6,"fdd/view?i=",J6663)</f>
        <v>https://www.dgiwg.org/FAD/fdd/view?i=106426</v>
      </c>
      <c r="L6663" s="36" t="s">
        <v>42621</v>
      </c>
      <c r="M6663" s="186"/>
      <c r="N6663" s="186"/>
      <c r="O6663" s="172"/>
    </row>
    <row r="6664" spans="1:15" x14ac:dyDescent="0.2">
      <c r="A6664" s="190" t="str">
        <f t="shared" si="104"/>
        <v>PabCode_glideSlope</v>
      </c>
      <c r="B6664" s="414" t="str">
        <f>HYPERLINK("[#]Datatypes!A1131:L1131","PabCode")</f>
        <v>PabCode</v>
      </c>
      <c r="C6664" s="415" t="s">
        <v>15740</v>
      </c>
      <c r="D6664" s="221" t="s">
        <v>41743</v>
      </c>
      <c r="E6664" s="221">
        <v>1</v>
      </c>
      <c r="F6664" s="222" t="s">
        <v>42622</v>
      </c>
      <c r="G6664" s="224"/>
      <c r="H6664" s="224"/>
      <c r="I6664" s="345"/>
      <c r="J6664" s="39">
        <v>106299</v>
      </c>
      <c r="K6664" s="36" t="str">
        <f>CONCATENATE(Cover!$D$6,"fdd/view?i=",J6664)</f>
        <v>https://www.dgiwg.org/FAD/fdd/view?i=106299</v>
      </c>
      <c r="L6664" s="36" t="s">
        <v>42623</v>
      </c>
      <c r="M6664" s="186"/>
      <c r="N6664" s="186"/>
      <c r="O6664" s="172"/>
    </row>
    <row r="6665" spans="1:15" x14ac:dyDescent="0.2">
      <c r="A6665" s="197" t="str">
        <f t="shared" si="104"/>
        <v>PabCode_localizer</v>
      </c>
      <c r="B6665" s="409"/>
      <c r="C6665" s="416"/>
      <c r="D6665" s="198" t="s">
        <v>22043</v>
      </c>
      <c r="E6665" s="198">
        <v>3</v>
      </c>
      <c r="F6665" s="199" t="s">
        <v>41780</v>
      </c>
      <c r="G6665" s="200"/>
      <c r="H6665" s="200"/>
      <c r="I6665" s="346"/>
      <c r="J6665" s="39">
        <v>106301</v>
      </c>
      <c r="K6665" s="36" t="str">
        <f>CONCATENATE(Cover!$D$6,"fdd/view?i=",J6665)</f>
        <v>https://www.dgiwg.org/FAD/fdd/view?i=106301</v>
      </c>
      <c r="L6665" s="36" t="s">
        <v>42624</v>
      </c>
      <c r="M6665" s="186"/>
      <c r="N6665" s="186"/>
      <c r="O6665" s="172"/>
    </row>
    <row r="6666" spans="1:15" ht="38.25" x14ac:dyDescent="0.2">
      <c r="A6666" s="197" t="str">
        <f t="shared" si="104"/>
        <v>PabCode_microwaveLandSysAzGuide</v>
      </c>
      <c r="B6666" s="409"/>
      <c r="C6666" s="416"/>
      <c r="D6666" s="198" t="s">
        <v>42625</v>
      </c>
      <c r="E6666" s="198">
        <v>6</v>
      </c>
      <c r="F6666" s="199" t="s">
        <v>42626</v>
      </c>
      <c r="G6666" s="200"/>
      <c r="H6666" s="200"/>
      <c r="I6666" s="346"/>
      <c r="J6666" s="39">
        <v>106304</v>
      </c>
      <c r="K6666" s="36" t="str">
        <f>CONCATENATE(Cover!$D$6,"fdd/view?i=",J6666)</f>
        <v>https://www.dgiwg.org/FAD/fdd/view?i=106304</v>
      </c>
      <c r="L6666" s="36" t="s">
        <v>42627</v>
      </c>
      <c r="M6666" s="186"/>
      <c r="N6666" s="186"/>
      <c r="O6666" s="172"/>
    </row>
    <row r="6667" spans="1:15" ht="38.25" x14ac:dyDescent="0.2">
      <c r="A6667" s="197" t="str">
        <f t="shared" si="104"/>
        <v>PabCode_microwaveLandSysElevGuide</v>
      </c>
      <c r="B6667" s="409"/>
      <c r="C6667" s="416"/>
      <c r="D6667" s="198" t="s">
        <v>42628</v>
      </c>
      <c r="E6667" s="198">
        <v>2</v>
      </c>
      <c r="F6667" s="199" t="s">
        <v>42629</v>
      </c>
      <c r="G6667" s="200"/>
      <c r="H6667" s="200"/>
      <c r="I6667" s="346"/>
      <c r="J6667" s="39">
        <v>106300</v>
      </c>
      <c r="K6667" s="36" t="str">
        <f>CONCATENATE(Cover!$D$6,"fdd/view?i=",J6667)</f>
        <v>https://www.dgiwg.org/FAD/fdd/view?i=106300</v>
      </c>
      <c r="L6667" s="36" t="s">
        <v>42630</v>
      </c>
      <c r="M6667" s="186"/>
      <c r="N6667" s="186"/>
      <c r="O6667" s="172"/>
    </row>
    <row r="6668" spans="1:15" ht="25.5" x14ac:dyDescent="0.2">
      <c r="A6668" s="197" t="str">
        <f t="shared" si="104"/>
        <v>PabCode_offsetLocTypeDirAid</v>
      </c>
      <c r="B6668" s="409"/>
      <c r="C6668" s="416"/>
      <c r="D6668" s="198" t="s">
        <v>42631</v>
      </c>
      <c r="E6668" s="198">
        <v>4</v>
      </c>
      <c r="F6668" s="199" t="s">
        <v>42632</v>
      </c>
      <c r="G6668" s="200"/>
      <c r="H6668" s="200"/>
      <c r="I6668" s="346"/>
      <c r="J6668" s="39">
        <v>106302</v>
      </c>
      <c r="K6668" s="36" t="str">
        <f>CONCATENATE(Cover!$D$6,"fdd/view?i=",J6668)</f>
        <v>https://www.dgiwg.org/FAD/fdd/view?i=106302</v>
      </c>
      <c r="L6668" s="36" t="s">
        <v>42633</v>
      </c>
      <c r="M6668" s="186"/>
      <c r="N6668" s="186"/>
      <c r="O6668" s="172"/>
    </row>
    <row r="6669" spans="1:15" ht="38.25" x14ac:dyDescent="0.2">
      <c r="A6669" s="197" t="str">
        <f t="shared" si="104"/>
        <v>PabCode_offsetSimplifiedDirFac</v>
      </c>
      <c r="B6669" s="409"/>
      <c r="C6669" s="416"/>
      <c r="D6669" s="198" t="s">
        <v>42634</v>
      </c>
      <c r="E6669" s="198">
        <v>5</v>
      </c>
      <c r="F6669" s="199" t="s">
        <v>42635</v>
      </c>
      <c r="G6669" s="200"/>
      <c r="H6669" s="200"/>
      <c r="I6669" s="346"/>
      <c r="J6669" s="39">
        <v>106303</v>
      </c>
      <c r="K6669" s="36" t="str">
        <f>CONCATENATE(Cover!$D$6,"fdd/view?i=",J6669)</f>
        <v>https://www.dgiwg.org/FAD/fdd/view?i=106303</v>
      </c>
      <c r="L6669" s="36" t="s">
        <v>42636</v>
      </c>
      <c r="M6669" s="186"/>
      <c r="N6669" s="186"/>
      <c r="O6669" s="172"/>
    </row>
    <row r="6670" spans="1:15" ht="25.5" x14ac:dyDescent="0.2">
      <c r="A6670" s="197" t="str">
        <f t="shared" si="104"/>
        <v>PabCode_parTouchdownReflector</v>
      </c>
      <c r="B6670" s="409"/>
      <c r="C6670" s="416"/>
      <c r="D6670" s="198" t="s">
        <v>41846</v>
      </c>
      <c r="E6670" s="198">
        <v>8</v>
      </c>
      <c r="F6670" s="199" t="s">
        <v>41847</v>
      </c>
      <c r="G6670" s="200"/>
      <c r="H6670" s="200"/>
      <c r="I6670" s="346"/>
      <c r="J6670" s="39">
        <v>106306</v>
      </c>
      <c r="K6670" s="36" t="str">
        <f>CONCATENATE(Cover!$D$6,"fdd/view?i=",J6670)</f>
        <v>https://www.dgiwg.org/FAD/fdd/view?i=106306</v>
      </c>
      <c r="L6670" s="36" t="s">
        <v>42637</v>
      </c>
      <c r="M6670" s="186"/>
      <c r="N6670" s="186"/>
      <c r="O6670" s="172"/>
    </row>
    <row r="6671" spans="1:15" ht="25.5" x14ac:dyDescent="0.2">
      <c r="A6671" s="203" t="str">
        <f t="shared" si="104"/>
        <v>PabCode_precisionApproachRadar</v>
      </c>
      <c r="B6671" s="410"/>
      <c r="C6671" s="417"/>
      <c r="D6671" s="204" t="s">
        <v>22090</v>
      </c>
      <c r="E6671" s="204">
        <v>7</v>
      </c>
      <c r="F6671" s="205" t="s">
        <v>4529</v>
      </c>
      <c r="G6671" s="207"/>
      <c r="H6671" s="207"/>
      <c r="I6671" s="347"/>
      <c r="J6671" s="39">
        <v>106305</v>
      </c>
      <c r="K6671" s="36" t="str">
        <f>CONCATENATE(Cover!$D$6,"fdd/view?i=",J6671)</f>
        <v>https://www.dgiwg.org/FAD/fdd/view?i=106305</v>
      </c>
      <c r="L6671" s="36" t="s">
        <v>42638</v>
      </c>
      <c r="M6671" s="186"/>
      <c r="N6671" s="186"/>
      <c r="O6671" s="172"/>
    </row>
    <row r="6672" spans="1:15" ht="25.5" x14ac:dyDescent="0.2">
      <c r="A6672" s="190" t="str">
        <f t="shared" si="104"/>
        <v>PopCode_filtration</v>
      </c>
      <c r="B6672" s="414" t="str">
        <f>HYPERLINK("[#]Datatypes!A1133:L1133","PopCode")</f>
        <v>PopCode</v>
      </c>
      <c r="C6672" s="415" t="s">
        <v>15742</v>
      </c>
      <c r="D6672" s="221" t="s">
        <v>35554</v>
      </c>
      <c r="E6672" s="221">
        <v>4</v>
      </c>
      <c r="F6672" s="222" t="s">
        <v>35555</v>
      </c>
      <c r="G6672" s="223" t="s">
        <v>42639</v>
      </c>
      <c r="H6672" s="224"/>
      <c r="I6672" s="345"/>
      <c r="J6672" s="39">
        <v>108633</v>
      </c>
      <c r="K6672" s="36" t="str">
        <f>CONCATENATE(Cover!$D$6,"fdd/view?i=",J6672)</f>
        <v>https://www.dgiwg.org/FAD/fdd/view?i=108633</v>
      </c>
      <c r="L6672" s="36" t="s">
        <v>42640</v>
      </c>
      <c r="M6672" s="186"/>
      <c r="N6672" s="186"/>
      <c r="O6672" s="172"/>
    </row>
    <row r="6673" spans="1:15" x14ac:dyDescent="0.2">
      <c r="A6673" s="197" t="str">
        <f t="shared" si="104"/>
        <v>PopCode_fishPond</v>
      </c>
      <c r="B6673" s="409"/>
      <c r="C6673" s="416"/>
      <c r="D6673" s="198" t="s">
        <v>42641</v>
      </c>
      <c r="E6673" s="198">
        <v>1</v>
      </c>
      <c r="F6673" s="199" t="s">
        <v>42642</v>
      </c>
      <c r="G6673" s="1" t="s">
        <v>42643</v>
      </c>
      <c r="H6673" s="200"/>
      <c r="I6673" s="346"/>
      <c r="J6673" s="39">
        <v>106443</v>
      </c>
      <c r="K6673" s="36" t="str">
        <f>CONCATENATE(Cover!$D$6,"fdd/view?i=",J6673)</f>
        <v>https://www.dgiwg.org/FAD/fdd/view?i=106443</v>
      </c>
      <c r="L6673" s="36" t="s">
        <v>42644</v>
      </c>
      <c r="M6673" s="186"/>
      <c r="N6673" s="186"/>
      <c r="O6673" s="172"/>
    </row>
    <row r="6674" spans="1:15" ht="38.25" x14ac:dyDescent="0.2">
      <c r="A6674" s="197" t="str">
        <f t="shared" si="104"/>
        <v>PopCode_reservoir</v>
      </c>
      <c r="B6674" s="409"/>
      <c r="C6674" s="416"/>
      <c r="D6674" s="198" t="s">
        <v>35611</v>
      </c>
      <c r="E6674" s="198">
        <v>2</v>
      </c>
      <c r="F6674" s="199" t="s">
        <v>4716</v>
      </c>
      <c r="G6674" s="1" t="s">
        <v>4718</v>
      </c>
      <c r="H6674" s="1" t="s">
        <v>4719</v>
      </c>
      <c r="I6674" s="346"/>
      <c r="J6674" s="39">
        <v>106444</v>
      </c>
      <c r="K6674" s="36" t="str">
        <f>CONCATENATE(Cover!$D$6,"fdd/view?i=",J6674)</f>
        <v>https://www.dgiwg.org/FAD/fdd/view?i=106444</v>
      </c>
      <c r="L6674" s="36" t="s">
        <v>42645</v>
      </c>
      <c r="M6674" s="186"/>
      <c r="N6674" s="186"/>
      <c r="O6674" s="172"/>
    </row>
    <row r="6675" spans="1:15" ht="25.5" x14ac:dyDescent="0.2">
      <c r="A6675" s="203" t="str">
        <f t="shared" si="104"/>
        <v>PopCode_settling</v>
      </c>
      <c r="B6675" s="410"/>
      <c r="C6675" s="417"/>
      <c r="D6675" s="204" t="s">
        <v>42646</v>
      </c>
      <c r="E6675" s="204">
        <v>3</v>
      </c>
      <c r="F6675" s="205" t="s">
        <v>42647</v>
      </c>
      <c r="G6675" s="206" t="s">
        <v>4967</v>
      </c>
      <c r="H6675" s="207"/>
      <c r="I6675" s="353" t="s">
        <v>4968</v>
      </c>
      <c r="J6675" s="39">
        <v>106445</v>
      </c>
      <c r="K6675" s="36" t="str">
        <f>CONCATENATE(Cover!$D$6,"fdd/view?i=",J6675)</f>
        <v>https://www.dgiwg.org/FAD/fdd/view?i=106445</v>
      </c>
      <c r="L6675" s="36" t="s">
        <v>42648</v>
      </c>
      <c r="M6675" s="186"/>
      <c r="N6675" s="186"/>
      <c r="O6675" s="172"/>
    </row>
    <row r="6676" spans="1:15" x14ac:dyDescent="0.2">
      <c r="A6676" s="190" t="str">
        <f t="shared" si="104"/>
        <v>PpsCode_hamlet</v>
      </c>
      <c r="B6676" s="414" t="str">
        <f>HYPERLINK("[#]Datatypes!A1135:L1135","PpsCode")</f>
        <v>PpsCode</v>
      </c>
      <c r="C6676" s="415" t="s">
        <v>15744</v>
      </c>
      <c r="D6676" s="221" t="s">
        <v>42649</v>
      </c>
      <c r="E6676" s="221">
        <v>2</v>
      </c>
      <c r="F6676" s="222" t="s">
        <v>42650</v>
      </c>
      <c r="G6676" s="223" t="s">
        <v>42651</v>
      </c>
      <c r="H6676" s="224"/>
      <c r="I6676" s="345"/>
      <c r="J6676" s="39">
        <v>113622</v>
      </c>
      <c r="K6676" s="36" t="str">
        <f>CONCATENATE(Cover!$D$6,"fdd/view?i=",J6676)</f>
        <v>https://www.dgiwg.org/FAD/fdd/view?i=113622</v>
      </c>
      <c r="L6676" s="36" t="s">
        <v>42652</v>
      </c>
      <c r="M6676" s="186"/>
      <c r="N6676" s="186"/>
      <c r="O6676" s="172"/>
    </row>
    <row r="6677" spans="1:15" ht="25.5" x14ac:dyDescent="0.2">
      <c r="A6677" s="197" t="str">
        <f t="shared" si="104"/>
        <v>PpsCode_isolatedPopulatedPlace</v>
      </c>
      <c r="B6677" s="409"/>
      <c r="C6677" s="416"/>
      <c r="D6677" s="198" t="s">
        <v>42653</v>
      </c>
      <c r="E6677" s="198">
        <v>1</v>
      </c>
      <c r="F6677" s="199" t="s">
        <v>42654</v>
      </c>
      <c r="G6677" s="1" t="s">
        <v>42655</v>
      </c>
      <c r="H6677" s="200"/>
      <c r="I6677" s="346"/>
      <c r="J6677" s="39">
        <v>113619</v>
      </c>
      <c r="K6677" s="36" t="str">
        <f>CONCATENATE(Cover!$D$6,"fdd/view?i=",J6677)</f>
        <v>https://www.dgiwg.org/FAD/fdd/view?i=113619</v>
      </c>
      <c r="L6677" s="36" t="s">
        <v>42656</v>
      </c>
      <c r="M6677" s="186"/>
      <c r="N6677" s="186"/>
      <c r="O6677" s="172"/>
    </row>
    <row r="6678" spans="1:15" x14ac:dyDescent="0.2">
      <c r="A6678" s="197" t="str">
        <f t="shared" si="104"/>
        <v>PpsCode_smallVillage</v>
      </c>
      <c r="B6678" s="409"/>
      <c r="C6678" s="416"/>
      <c r="D6678" s="198" t="s">
        <v>42657</v>
      </c>
      <c r="E6678" s="198">
        <v>3</v>
      </c>
      <c r="F6678" s="199" t="s">
        <v>42658</v>
      </c>
      <c r="G6678" s="1" t="s">
        <v>42659</v>
      </c>
      <c r="H6678" s="200"/>
      <c r="I6678" s="346"/>
      <c r="J6678" s="39">
        <v>113624</v>
      </c>
      <c r="K6678" s="36" t="str">
        <f>CONCATENATE(Cover!$D$6,"fdd/view?i=",J6678)</f>
        <v>https://www.dgiwg.org/FAD/fdd/view?i=113624</v>
      </c>
      <c r="L6678" s="36" t="s">
        <v>42660</v>
      </c>
      <c r="M6678" s="186"/>
      <c r="N6678" s="186"/>
      <c r="O6678" s="172"/>
    </row>
    <row r="6679" spans="1:15" x14ac:dyDescent="0.2">
      <c r="A6679" s="203" t="str">
        <f t="shared" si="104"/>
        <v>PpsCode_village</v>
      </c>
      <c r="B6679" s="410"/>
      <c r="C6679" s="417"/>
      <c r="D6679" s="204" t="s">
        <v>42661</v>
      </c>
      <c r="E6679" s="204">
        <v>4</v>
      </c>
      <c r="F6679" s="205" t="s">
        <v>42662</v>
      </c>
      <c r="G6679" s="206" t="s">
        <v>42663</v>
      </c>
      <c r="H6679" s="207"/>
      <c r="I6679" s="347"/>
      <c r="J6679" s="39">
        <v>113626</v>
      </c>
      <c r="K6679" s="36" t="str">
        <f>CONCATENATE(Cover!$D$6,"fdd/view?i=",J6679)</f>
        <v>https://www.dgiwg.org/FAD/fdd/view?i=113626</v>
      </c>
      <c r="L6679" s="36" t="s">
        <v>42664</v>
      </c>
      <c r="M6679" s="186"/>
      <c r="N6679" s="186"/>
      <c r="O6679" s="172"/>
    </row>
    <row r="6680" spans="1:15" ht="25.5" x14ac:dyDescent="0.2">
      <c r="A6680" s="190" t="str">
        <f t="shared" si="104"/>
        <v>ClfCode_highOrder</v>
      </c>
      <c r="B6680" s="414" t="str">
        <f>HYPERLINK("[#]Datatypes!A1137:L1137","ClfCode")</f>
        <v>ClfCode</v>
      </c>
      <c r="C6680" s="415" t="s">
        <v>15746</v>
      </c>
      <c r="D6680" s="221" t="s">
        <v>42665</v>
      </c>
      <c r="E6680" s="221">
        <v>1</v>
      </c>
      <c r="F6680" s="222" t="s">
        <v>42666</v>
      </c>
      <c r="G6680" s="223" t="s">
        <v>42667</v>
      </c>
      <c r="H6680" s="223" t="s">
        <v>42668</v>
      </c>
      <c r="I6680" s="345"/>
      <c r="J6680" s="39">
        <v>113025</v>
      </c>
      <c r="K6680" s="36" t="str">
        <f>CONCATENATE(Cover!$D$6,"fdd/view?i=",J6680)</f>
        <v>https://www.dgiwg.org/FAD/fdd/view?i=113025</v>
      </c>
      <c r="L6680" s="36" t="s">
        <v>42669</v>
      </c>
      <c r="M6680" s="186"/>
      <c r="N6680" s="186"/>
      <c r="O6680" s="172"/>
    </row>
    <row r="6681" spans="1:15" ht="25.5" x14ac:dyDescent="0.2">
      <c r="A6681" s="197" t="str">
        <f t="shared" si="104"/>
        <v>ClfCode_lowOrder</v>
      </c>
      <c r="B6681" s="409"/>
      <c r="C6681" s="416"/>
      <c r="D6681" s="198" t="s">
        <v>42670</v>
      </c>
      <c r="E6681" s="198">
        <v>4</v>
      </c>
      <c r="F6681" s="199" t="s">
        <v>42671</v>
      </c>
      <c r="G6681" s="1" t="s">
        <v>42672</v>
      </c>
      <c r="H6681" s="1" t="s">
        <v>42673</v>
      </c>
      <c r="I6681" s="346"/>
      <c r="J6681" s="39">
        <v>113027</v>
      </c>
      <c r="K6681" s="36" t="str">
        <f>CONCATENATE(Cover!$D$6,"fdd/view?i=",J6681)</f>
        <v>https://www.dgiwg.org/FAD/fdd/view?i=113027</v>
      </c>
      <c r="L6681" s="36" t="s">
        <v>42674</v>
      </c>
      <c r="M6681" s="186"/>
      <c r="N6681" s="186"/>
      <c r="O6681" s="172"/>
    </row>
    <row r="6682" spans="1:15" ht="25.5" x14ac:dyDescent="0.2">
      <c r="A6682" s="203" t="str">
        <f t="shared" si="104"/>
        <v>ClfCode_midOrder</v>
      </c>
      <c r="B6682" s="410"/>
      <c r="C6682" s="417"/>
      <c r="D6682" s="204" t="s">
        <v>42675</v>
      </c>
      <c r="E6682" s="204">
        <v>2</v>
      </c>
      <c r="F6682" s="205" t="s">
        <v>42676</v>
      </c>
      <c r="G6682" s="206" t="s">
        <v>42677</v>
      </c>
      <c r="H6682" s="206" t="s">
        <v>42678</v>
      </c>
      <c r="I6682" s="347"/>
      <c r="J6682" s="39">
        <v>113026</v>
      </c>
      <c r="K6682" s="36" t="str">
        <f>CONCATENATE(Cover!$D$6,"fdd/view?i=",J6682)</f>
        <v>https://www.dgiwg.org/FAD/fdd/view?i=113026</v>
      </c>
      <c r="L6682" s="36" t="s">
        <v>42679</v>
      </c>
      <c r="M6682" s="186"/>
      <c r="N6682" s="186"/>
      <c r="O6682" s="172"/>
    </row>
    <row r="6683" spans="1:15" ht="25.5" x14ac:dyDescent="0.2">
      <c r="A6683" s="190" t="str">
        <f t="shared" si="104"/>
        <v>RusCode_acrology</v>
      </c>
      <c r="B6683" s="414" t="str">
        <f>HYPERLINK("[#]Datatypes!A1139:L1139","RusCode")</f>
        <v>RusCode</v>
      </c>
      <c r="C6683" s="415" t="s">
        <v>15748</v>
      </c>
      <c r="D6683" s="221" t="s">
        <v>42680</v>
      </c>
      <c r="E6683" s="221">
        <v>8</v>
      </c>
      <c r="F6683" s="222" t="s">
        <v>42681</v>
      </c>
      <c r="G6683" s="223" t="s">
        <v>42682</v>
      </c>
      <c r="H6683" s="224"/>
      <c r="I6683" s="345"/>
      <c r="J6683" s="39">
        <v>113756</v>
      </c>
      <c r="K6683" s="36" t="str">
        <f>CONCATENATE(Cover!$D$6,"fdd/view?i=",J6683)</f>
        <v>https://www.dgiwg.org/FAD/fdd/view?i=113756</v>
      </c>
      <c r="L6683" s="36" t="s">
        <v>42683</v>
      </c>
      <c r="M6683" s="186"/>
      <c r="N6683" s="186"/>
      <c r="O6683" s="172"/>
    </row>
    <row r="6684" spans="1:15" ht="25.5" x14ac:dyDescent="0.2">
      <c r="A6684" s="197" t="str">
        <f t="shared" si="104"/>
        <v>RusCode_centralSquare</v>
      </c>
      <c r="B6684" s="409"/>
      <c r="C6684" s="416"/>
      <c r="D6684" s="198" t="s">
        <v>42684</v>
      </c>
      <c r="E6684" s="198">
        <v>3</v>
      </c>
      <c r="F6684" s="199" t="s">
        <v>42685</v>
      </c>
      <c r="G6684" s="1" t="s">
        <v>42686</v>
      </c>
      <c r="H6684" s="1" t="s">
        <v>42687</v>
      </c>
      <c r="I6684" s="346"/>
      <c r="J6684" s="39">
        <v>113751</v>
      </c>
      <c r="K6684" s="36" t="str">
        <f>CONCATENATE(Cover!$D$6,"fdd/view?i=",J6684)</f>
        <v>https://www.dgiwg.org/FAD/fdd/view?i=113751</v>
      </c>
      <c r="L6684" s="36" t="s">
        <v>42688</v>
      </c>
      <c r="M6684" s="186"/>
      <c r="N6684" s="186"/>
      <c r="O6684" s="172"/>
    </row>
    <row r="6685" spans="1:15" ht="25.5" x14ac:dyDescent="0.2">
      <c r="A6685" s="197" t="str">
        <f t="shared" si="104"/>
        <v>RusCode_chequered</v>
      </c>
      <c r="B6685" s="409"/>
      <c r="C6685" s="416"/>
      <c r="D6685" s="198" t="s">
        <v>42689</v>
      </c>
      <c r="E6685" s="198">
        <v>1</v>
      </c>
      <c r="F6685" s="199" t="s">
        <v>42690</v>
      </c>
      <c r="G6685" s="1" t="s">
        <v>42691</v>
      </c>
      <c r="H6685" s="200"/>
      <c r="I6685" s="346"/>
      <c r="J6685" s="39">
        <v>113749</v>
      </c>
      <c r="K6685" s="36" t="str">
        <f>CONCATENATE(Cover!$D$6,"fdd/view?i=",J6685)</f>
        <v>https://www.dgiwg.org/FAD/fdd/view?i=113749</v>
      </c>
      <c r="L6685" s="36" t="s">
        <v>42692</v>
      </c>
      <c r="M6685" s="186"/>
      <c r="N6685" s="186"/>
      <c r="O6685" s="172"/>
    </row>
    <row r="6686" spans="1:15" ht="25.5" x14ac:dyDescent="0.2">
      <c r="A6686" s="197" t="str">
        <f t="shared" si="104"/>
        <v>RusCode_irregularlyNucleated</v>
      </c>
      <c r="B6686" s="409"/>
      <c r="C6686" s="416"/>
      <c r="D6686" s="198" t="s">
        <v>42693</v>
      </c>
      <c r="E6686" s="198">
        <v>2</v>
      </c>
      <c r="F6686" s="199" t="s">
        <v>42694</v>
      </c>
      <c r="G6686" s="1" t="s">
        <v>42695</v>
      </c>
      <c r="H6686" s="200"/>
      <c r="I6686" s="346"/>
      <c r="J6686" s="39">
        <v>113750</v>
      </c>
      <c r="K6686" s="36" t="str">
        <f>CONCATENATE(Cover!$D$6,"fdd/view?i=",J6686)</f>
        <v>https://www.dgiwg.org/FAD/fdd/view?i=113750</v>
      </c>
      <c r="L6686" s="36" t="s">
        <v>42696</v>
      </c>
      <c r="M6686" s="186"/>
      <c r="N6686" s="186"/>
      <c r="O6686" s="172"/>
    </row>
    <row r="6687" spans="1:15" x14ac:dyDescent="0.2">
      <c r="A6687" s="197" t="str">
        <f t="shared" si="104"/>
        <v>RusCode_isolated</v>
      </c>
      <c r="B6687" s="409"/>
      <c r="C6687" s="416"/>
      <c r="D6687" s="198" t="s">
        <v>21066</v>
      </c>
      <c r="E6687" s="198">
        <v>7</v>
      </c>
      <c r="F6687" s="199" t="s">
        <v>21067</v>
      </c>
      <c r="G6687" s="1" t="s">
        <v>42697</v>
      </c>
      <c r="H6687" s="200"/>
      <c r="I6687" s="351" t="s">
        <v>30375</v>
      </c>
      <c r="J6687" s="39">
        <v>113755</v>
      </c>
      <c r="K6687" s="36" t="str">
        <f>CONCATENATE(Cover!$D$6,"fdd/view?i=",J6687)</f>
        <v>https://www.dgiwg.org/FAD/fdd/view?i=113755</v>
      </c>
      <c r="L6687" s="36" t="s">
        <v>42698</v>
      </c>
      <c r="M6687" s="186"/>
      <c r="N6687" s="186"/>
      <c r="O6687" s="172"/>
    </row>
    <row r="6688" spans="1:15" ht="25.5" x14ac:dyDescent="0.2">
      <c r="A6688" s="197" t="str">
        <f t="shared" si="104"/>
        <v>RusCode_multiShaped</v>
      </c>
      <c r="B6688" s="409"/>
      <c r="C6688" s="416"/>
      <c r="D6688" s="198" t="s">
        <v>42699</v>
      </c>
      <c r="E6688" s="198">
        <v>9</v>
      </c>
      <c r="F6688" s="199" t="s">
        <v>42700</v>
      </c>
      <c r="G6688" s="1" t="s">
        <v>42701</v>
      </c>
      <c r="H6688" s="1" t="s">
        <v>42702</v>
      </c>
      <c r="I6688" s="346"/>
      <c r="J6688" s="39">
        <v>113757</v>
      </c>
      <c r="K6688" s="36" t="str">
        <f>CONCATENATE(Cover!$D$6,"fdd/view?i=",J6688)</f>
        <v>https://www.dgiwg.org/FAD/fdd/view?i=113757</v>
      </c>
      <c r="L6688" s="36" t="s">
        <v>42703</v>
      </c>
      <c r="M6688" s="186"/>
      <c r="N6688" s="186"/>
      <c r="O6688" s="172"/>
    </row>
    <row r="6689" spans="1:15" x14ac:dyDescent="0.2">
      <c r="A6689" s="197" t="str">
        <f t="shared" si="104"/>
        <v>RusCode_ribbon</v>
      </c>
      <c r="B6689" s="409"/>
      <c r="C6689" s="416"/>
      <c r="D6689" s="198" t="s">
        <v>42704</v>
      </c>
      <c r="E6689" s="198">
        <v>5</v>
      </c>
      <c r="F6689" s="199" t="s">
        <v>42705</v>
      </c>
      <c r="G6689" s="1" t="s">
        <v>42706</v>
      </c>
      <c r="H6689" s="200"/>
      <c r="I6689" s="346"/>
      <c r="J6689" s="39">
        <v>113753</v>
      </c>
      <c r="K6689" s="36" t="str">
        <f>CONCATENATE(Cover!$D$6,"fdd/view?i=",J6689)</f>
        <v>https://www.dgiwg.org/FAD/fdd/view?i=113753</v>
      </c>
      <c r="L6689" s="36" t="s">
        <v>42707</v>
      </c>
      <c r="M6689" s="186"/>
      <c r="N6689" s="186"/>
      <c r="O6689" s="172"/>
    </row>
    <row r="6690" spans="1:15" x14ac:dyDescent="0.2">
      <c r="A6690" s="197" t="str">
        <f t="shared" si="104"/>
        <v>RusCode_roadNetwork</v>
      </c>
      <c r="B6690" s="409"/>
      <c r="C6690" s="416"/>
      <c r="D6690" s="198" t="s">
        <v>42708</v>
      </c>
      <c r="E6690" s="198">
        <v>6</v>
      </c>
      <c r="F6690" s="199" t="s">
        <v>42709</v>
      </c>
      <c r="G6690" s="1" t="s">
        <v>42710</v>
      </c>
      <c r="H6690" s="200"/>
      <c r="I6690" s="346"/>
      <c r="J6690" s="39">
        <v>113754</v>
      </c>
      <c r="K6690" s="36" t="str">
        <f>CONCATENATE(Cover!$D$6,"fdd/view?i=",J6690)</f>
        <v>https://www.dgiwg.org/FAD/fdd/view?i=113754</v>
      </c>
      <c r="L6690" s="36" t="s">
        <v>42711</v>
      </c>
      <c r="M6690" s="186"/>
      <c r="N6690" s="186"/>
      <c r="O6690" s="172"/>
    </row>
    <row r="6691" spans="1:15" x14ac:dyDescent="0.2">
      <c r="A6691" s="203" t="str">
        <f t="shared" si="104"/>
        <v>RusCode_street</v>
      </c>
      <c r="B6691" s="410"/>
      <c r="C6691" s="417"/>
      <c r="D6691" s="204" t="s">
        <v>42712</v>
      </c>
      <c r="E6691" s="204">
        <v>4</v>
      </c>
      <c r="F6691" s="205" t="s">
        <v>42713</v>
      </c>
      <c r="G6691" s="206" t="s">
        <v>42714</v>
      </c>
      <c r="H6691" s="207"/>
      <c r="I6691" s="347"/>
      <c r="J6691" s="39">
        <v>113752</v>
      </c>
      <c r="K6691" s="36" t="str">
        <f>CONCATENATE(Cover!$D$6,"fdd/view?i=",J6691)</f>
        <v>https://www.dgiwg.org/FAD/fdd/view?i=113752</v>
      </c>
      <c r="L6691" s="36" t="s">
        <v>42715</v>
      </c>
      <c r="M6691" s="186"/>
      <c r="N6691" s="186"/>
      <c r="O6691" s="172"/>
    </row>
    <row r="6692" spans="1:15" x14ac:dyDescent="0.2">
      <c r="A6692" s="190" t="str">
        <f t="shared" si="104"/>
        <v>SliCode_largeCity</v>
      </c>
      <c r="B6692" s="414" t="str">
        <f>HYPERLINK("[#]Datatypes!A1141:L1141","SliCode")</f>
        <v>SliCode</v>
      </c>
      <c r="C6692" s="415" t="s">
        <v>15750</v>
      </c>
      <c r="D6692" s="221" t="s">
        <v>42716</v>
      </c>
      <c r="E6692" s="221">
        <v>6</v>
      </c>
      <c r="F6692" s="222" t="s">
        <v>42717</v>
      </c>
      <c r="G6692" s="223" t="s">
        <v>42718</v>
      </c>
      <c r="H6692" s="224"/>
      <c r="I6692" s="345"/>
      <c r="J6692" s="39">
        <v>113783</v>
      </c>
      <c r="K6692" s="36" t="str">
        <f>CONCATENATE(Cover!$D$6,"fdd/view?i=",J6692)</f>
        <v>https://www.dgiwg.org/FAD/fdd/view?i=113783</v>
      </c>
      <c r="L6692" s="36" t="s">
        <v>42719</v>
      </c>
      <c r="M6692" s="186"/>
      <c r="N6692" s="186"/>
      <c r="O6692" s="172"/>
    </row>
    <row r="6693" spans="1:15" x14ac:dyDescent="0.2">
      <c r="A6693" s="197" t="str">
        <f t="shared" si="104"/>
        <v>SliCode_largeTown</v>
      </c>
      <c r="B6693" s="409"/>
      <c r="C6693" s="416"/>
      <c r="D6693" s="198" t="s">
        <v>42720</v>
      </c>
      <c r="E6693" s="198">
        <v>3</v>
      </c>
      <c r="F6693" s="199" t="s">
        <v>42721</v>
      </c>
      <c r="G6693" s="1" t="s">
        <v>42722</v>
      </c>
      <c r="H6693" s="200"/>
      <c r="I6693" s="346"/>
      <c r="J6693" s="39">
        <v>113780</v>
      </c>
      <c r="K6693" s="36" t="str">
        <f>CONCATENATE(Cover!$D$6,"fdd/view?i=",J6693)</f>
        <v>https://www.dgiwg.org/FAD/fdd/view?i=113780</v>
      </c>
      <c r="L6693" s="36" t="s">
        <v>42723</v>
      </c>
      <c r="M6693" s="186"/>
      <c r="N6693" s="186"/>
      <c r="O6693" s="172"/>
    </row>
    <row r="6694" spans="1:15" x14ac:dyDescent="0.2">
      <c r="A6694" s="197" t="str">
        <f t="shared" si="104"/>
        <v>SliCode_metropolis</v>
      </c>
      <c r="B6694" s="409"/>
      <c r="C6694" s="416"/>
      <c r="D6694" s="198" t="s">
        <v>42724</v>
      </c>
      <c r="E6694" s="198">
        <v>7</v>
      </c>
      <c r="F6694" s="199" t="s">
        <v>42725</v>
      </c>
      <c r="G6694" s="1" t="s">
        <v>42726</v>
      </c>
      <c r="H6694" s="200"/>
      <c r="I6694" s="346"/>
      <c r="J6694" s="39">
        <v>113784</v>
      </c>
      <c r="K6694" s="36" t="str">
        <f>CONCATENATE(Cover!$D$6,"fdd/view?i=",J6694)</f>
        <v>https://www.dgiwg.org/FAD/fdd/view?i=113784</v>
      </c>
      <c r="L6694" s="36" t="s">
        <v>42727</v>
      </c>
      <c r="M6694" s="186"/>
      <c r="N6694" s="186"/>
      <c r="O6694" s="172"/>
    </row>
    <row r="6695" spans="1:15" x14ac:dyDescent="0.2">
      <c r="A6695" s="197" t="str">
        <f t="shared" si="104"/>
        <v>SliCode_midSizedCity</v>
      </c>
      <c r="B6695" s="409"/>
      <c r="C6695" s="416"/>
      <c r="D6695" s="198" t="s">
        <v>42728</v>
      </c>
      <c r="E6695" s="198">
        <v>5</v>
      </c>
      <c r="F6695" s="199" t="s">
        <v>42729</v>
      </c>
      <c r="G6695" s="1" t="s">
        <v>42730</v>
      </c>
      <c r="H6695" s="200"/>
      <c r="I6695" s="346"/>
      <c r="J6695" s="39">
        <v>113782</v>
      </c>
      <c r="K6695" s="36" t="str">
        <f>CONCATENATE(Cover!$D$6,"fdd/view?i=",J6695)</f>
        <v>https://www.dgiwg.org/FAD/fdd/view?i=113782</v>
      </c>
      <c r="L6695" s="36" t="s">
        <v>42731</v>
      </c>
      <c r="M6695" s="186"/>
      <c r="N6695" s="186"/>
      <c r="O6695" s="172"/>
    </row>
    <row r="6696" spans="1:15" x14ac:dyDescent="0.2">
      <c r="A6696" s="197" t="str">
        <f t="shared" si="104"/>
        <v>SliCode_midSizedTown</v>
      </c>
      <c r="B6696" s="409"/>
      <c r="C6696" s="416"/>
      <c r="D6696" s="198" t="s">
        <v>42732</v>
      </c>
      <c r="E6696" s="198">
        <v>2</v>
      </c>
      <c r="F6696" s="199" t="s">
        <v>42733</v>
      </c>
      <c r="G6696" s="1" t="s">
        <v>42734</v>
      </c>
      <c r="H6696" s="200"/>
      <c r="I6696" s="346"/>
      <c r="J6696" s="39">
        <v>113779</v>
      </c>
      <c r="K6696" s="36" t="str">
        <f>CONCATENATE(Cover!$D$6,"fdd/view?i=",J6696)</f>
        <v>https://www.dgiwg.org/FAD/fdd/view?i=113779</v>
      </c>
      <c r="L6696" s="36" t="s">
        <v>42735</v>
      </c>
      <c r="M6696" s="186"/>
      <c r="N6696" s="186"/>
      <c r="O6696" s="172"/>
    </row>
    <row r="6697" spans="1:15" x14ac:dyDescent="0.2">
      <c r="A6697" s="197" t="str">
        <f t="shared" si="104"/>
        <v>SliCode_smallCity</v>
      </c>
      <c r="B6697" s="409"/>
      <c r="C6697" s="416"/>
      <c r="D6697" s="198" t="s">
        <v>42736</v>
      </c>
      <c r="E6697" s="198">
        <v>4</v>
      </c>
      <c r="F6697" s="199" t="s">
        <v>42737</v>
      </c>
      <c r="G6697" s="1" t="s">
        <v>42738</v>
      </c>
      <c r="H6697" s="200"/>
      <c r="I6697" s="346"/>
      <c r="J6697" s="39">
        <v>113781</v>
      </c>
      <c r="K6697" s="36" t="str">
        <f>CONCATENATE(Cover!$D$6,"fdd/view?i=",J6697)</f>
        <v>https://www.dgiwg.org/FAD/fdd/view?i=113781</v>
      </c>
      <c r="L6697" s="36" t="s">
        <v>42739</v>
      </c>
      <c r="M6697" s="186"/>
      <c r="N6697" s="186"/>
      <c r="O6697" s="172"/>
    </row>
    <row r="6698" spans="1:15" x14ac:dyDescent="0.2">
      <c r="A6698" s="203" t="str">
        <f t="shared" si="104"/>
        <v>SliCode_smallTown</v>
      </c>
      <c r="B6698" s="410"/>
      <c r="C6698" s="417"/>
      <c r="D6698" s="204" t="s">
        <v>42740</v>
      </c>
      <c r="E6698" s="204">
        <v>1</v>
      </c>
      <c r="F6698" s="205" t="s">
        <v>42741</v>
      </c>
      <c r="G6698" s="206" t="s">
        <v>42742</v>
      </c>
      <c r="H6698" s="207"/>
      <c r="I6698" s="347"/>
      <c r="J6698" s="39">
        <v>113778</v>
      </c>
      <c r="K6698" s="36" t="str">
        <f>CONCATENATE(Cover!$D$6,"fdd/view?i=",J6698)</f>
        <v>https://www.dgiwg.org/FAD/fdd/view?i=113778</v>
      </c>
      <c r="L6698" s="36" t="s">
        <v>42743</v>
      </c>
      <c r="M6698" s="186"/>
      <c r="N6698" s="186"/>
      <c r="O6698" s="172"/>
    </row>
    <row r="6699" spans="1:15" ht="25.5" x14ac:dyDescent="0.2">
      <c r="A6699" s="190" t="str">
        <f t="shared" si="104"/>
        <v>PptCode_administrativeSeat</v>
      </c>
      <c r="B6699" s="414" t="str">
        <f>HYPERLINK("[#]Datatypes!A1143:L1143","PptCode")</f>
        <v>PptCode</v>
      </c>
      <c r="C6699" s="415" t="s">
        <v>15752</v>
      </c>
      <c r="D6699" s="221" t="s">
        <v>42744</v>
      </c>
      <c r="E6699" s="221">
        <v>12</v>
      </c>
      <c r="F6699" s="222" t="s">
        <v>42745</v>
      </c>
      <c r="G6699" s="223" t="s">
        <v>42746</v>
      </c>
      <c r="H6699" s="223" t="s">
        <v>42747</v>
      </c>
      <c r="I6699" s="345"/>
      <c r="J6699" s="39">
        <v>112872</v>
      </c>
      <c r="K6699" s="36" t="str">
        <f>CONCATENATE(Cover!$D$6,"fdd/view?i=",J6699)</f>
        <v>https://www.dgiwg.org/FAD/fdd/view?i=112872</v>
      </c>
      <c r="L6699" s="36" t="s">
        <v>42748</v>
      </c>
      <c r="M6699" s="186"/>
      <c r="N6699" s="186"/>
      <c r="O6699" s="172"/>
    </row>
    <row r="6700" spans="1:15" ht="25.5" x14ac:dyDescent="0.2">
      <c r="A6700" s="197" t="str">
        <f t="shared" si="104"/>
        <v>PptCode_allotmentGardenColony</v>
      </c>
      <c r="B6700" s="409"/>
      <c r="C6700" s="416"/>
      <c r="D6700" s="198" t="s">
        <v>42749</v>
      </c>
      <c r="E6700" s="198">
        <v>20</v>
      </c>
      <c r="F6700" s="199" t="s">
        <v>42750</v>
      </c>
      <c r="G6700" s="1" t="s">
        <v>42751</v>
      </c>
      <c r="H6700" s="200"/>
      <c r="I6700" s="346"/>
      <c r="J6700" s="39">
        <v>112878</v>
      </c>
      <c r="K6700" s="36" t="str">
        <f>CONCATENATE(Cover!$D$6,"fdd/view?i=",J6700)</f>
        <v>https://www.dgiwg.org/FAD/fdd/view?i=112878</v>
      </c>
      <c r="L6700" s="36" t="s">
        <v>42752</v>
      </c>
      <c r="M6700" s="186"/>
      <c r="N6700" s="186"/>
      <c r="O6700" s="172"/>
    </row>
    <row r="6701" spans="1:15" ht="25.5" x14ac:dyDescent="0.2">
      <c r="A6701" s="197" t="str">
        <f t="shared" si="104"/>
        <v>PptCode_capital</v>
      </c>
      <c r="B6701" s="409"/>
      <c r="C6701" s="416"/>
      <c r="D6701" s="198" t="s">
        <v>42753</v>
      </c>
      <c r="E6701" s="198">
        <v>14</v>
      </c>
      <c r="F6701" s="199" t="s">
        <v>42754</v>
      </c>
      <c r="G6701" s="1" t="s">
        <v>42755</v>
      </c>
      <c r="H6701" s="1" t="s">
        <v>42756</v>
      </c>
      <c r="I6701" s="346"/>
      <c r="J6701" s="39">
        <v>114569</v>
      </c>
      <c r="K6701" s="36" t="str">
        <f>CONCATENATE(Cover!$D$6,"fdd/view?i=",J6701)</f>
        <v>https://www.dgiwg.org/FAD/fdd/view?i=114569</v>
      </c>
      <c r="L6701" s="36" t="s">
        <v>42757</v>
      </c>
      <c r="M6701" s="186"/>
      <c r="N6701" s="186"/>
      <c r="O6701" s="172"/>
    </row>
    <row r="6702" spans="1:15" ht="25.5" x14ac:dyDescent="0.2">
      <c r="A6702" s="197" t="str">
        <f t="shared" si="104"/>
        <v>PptCode_city</v>
      </c>
      <c r="B6702" s="409"/>
      <c r="C6702" s="416"/>
      <c r="D6702" s="198" t="s">
        <v>42758</v>
      </c>
      <c r="E6702" s="198">
        <v>6</v>
      </c>
      <c r="F6702" s="199" t="s">
        <v>42759</v>
      </c>
      <c r="G6702" s="1" t="s">
        <v>42760</v>
      </c>
      <c r="H6702" s="200"/>
      <c r="I6702" s="346"/>
      <c r="J6702" s="39">
        <v>106605</v>
      </c>
      <c r="K6702" s="36" t="str">
        <f>CONCATENATE(Cover!$D$6,"fdd/view?i=",J6702)</f>
        <v>https://www.dgiwg.org/FAD/fdd/view?i=106605</v>
      </c>
      <c r="L6702" s="36" t="s">
        <v>42761</v>
      </c>
      <c r="M6702" s="186"/>
      <c r="N6702" s="186"/>
      <c r="O6702" s="172"/>
    </row>
    <row r="6703" spans="1:15" ht="25.5" x14ac:dyDescent="0.2">
      <c r="A6703" s="197" t="str">
        <f t="shared" si="104"/>
        <v>PptCode_commercialTown</v>
      </c>
      <c r="B6703" s="409"/>
      <c r="C6703" s="416"/>
      <c r="D6703" s="198" t="s">
        <v>42762</v>
      </c>
      <c r="E6703" s="198">
        <v>31</v>
      </c>
      <c r="F6703" s="199" t="s">
        <v>42763</v>
      </c>
      <c r="G6703" s="1" t="s">
        <v>42764</v>
      </c>
      <c r="H6703" s="200"/>
      <c r="I6703" s="346"/>
      <c r="J6703" s="39">
        <v>112888</v>
      </c>
      <c r="K6703" s="36" t="str">
        <f>CONCATENATE(Cover!$D$6,"fdd/view?i=",J6703)</f>
        <v>https://www.dgiwg.org/FAD/fdd/view?i=112888</v>
      </c>
      <c r="L6703" s="36" t="s">
        <v>42765</v>
      </c>
      <c r="M6703" s="186"/>
      <c r="N6703" s="186"/>
      <c r="O6703" s="172"/>
    </row>
    <row r="6704" spans="1:15" ht="25.5" x14ac:dyDescent="0.2">
      <c r="A6704" s="197" t="str">
        <f t="shared" si="104"/>
        <v>PptCode_fishingVillage</v>
      </c>
      <c r="B6704" s="409"/>
      <c r="C6704" s="416"/>
      <c r="D6704" s="198" t="s">
        <v>42766</v>
      </c>
      <c r="E6704" s="198">
        <v>35</v>
      </c>
      <c r="F6704" s="199" t="s">
        <v>42767</v>
      </c>
      <c r="G6704" s="1" t="s">
        <v>42768</v>
      </c>
      <c r="H6704" s="200"/>
      <c r="I6704" s="346"/>
      <c r="J6704" s="39">
        <v>112892</v>
      </c>
      <c r="K6704" s="36" t="str">
        <f>CONCATENATE(Cover!$D$6,"fdd/view?i=",J6704)</f>
        <v>https://www.dgiwg.org/FAD/fdd/view?i=112892</v>
      </c>
      <c r="L6704" s="36" t="s">
        <v>42769</v>
      </c>
      <c r="M6704" s="186"/>
      <c r="N6704" s="186"/>
      <c r="O6704" s="172"/>
    </row>
    <row r="6705" spans="1:15" x14ac:dyDescent="0.2">
      <c r="A6705" s="197" t="str">
        <f t="shared" si="104"/>
        <v>PptCode_fortress</v>
      </c>
      <c r="B6705" s="409"/>
      <c r="C6705" s="416"/>
      <c r="D6705" s="198" t="s">
        <v>42770</v>
      </c>
      <c r="E6705" s="198">
        <v>21</v>
      </c>
      <c r="F6705" s="199" t="s">
        <v>42771</v>
      </c>
      <c r="G6705" s="1" t="s">
        <v>42772</v>
      </c>
      <c r="H6705" s="200"/>
      <c r="I6705" s="346"/>
      <c r="J6705" s="39">
        <v>112879</v>
      </c>
      <c r="K6705" s="36" t="str">
        <f>CONCATENATE(Cover!$D$6,"fdd/view?i=",J6705)</f>
        <v>https://www.dgiwg.org/FAD/fdd/view?i=112879</v>
      </c>
      <c r="L6705" s="36" t="s">
        <v>42773</v>
      </c>
      <c r="M6705" s="186"/>
      <c r="N6705" s="186"/>
      <c r="O6705" s="172"/>
    </row>
    <row r="6706" spans="1:15" ht="25.5" x14ac:dyDescent="0.2">
      <c r="A6706" s="197" t="str">
        <f t="shared" si="104"/>
        <v>PptCode_frontierTown</v>
      </c>
      <c r="B6706" s="409"/>
      <c r="C6706" s="416"/>
      <c r="D6706" s="198" t="s">
        <v>42774</v>
      </c>
      <c r="E6706" s="198">
        <v>38</v>
      </c>
      <c r="F6706" s="199" t="s">
        <v>42775</v>
      </c>
      <c r="G6706" s="1" t="s">
        <v>42776</v>
      </c>
      <c r="H6706" s="200"/>
      <c r="I6706" s="346"/>
      <c r="J6706" s="39">
        <v>112895</v>
      </c>
      <c r="K6706" s="36" t="str">
        <f>CONCATENATE(Cover!$D$6,"fdd/view?i=",J6706)</f>
        <v>https://www.dgiwg.org/FAD/fdd/view?i=112895</v>
      </c>
      <c r="L6706" s="36" t="s">
        <v>42777</v>
      </c>
      <c r="M6706" s="186"/>
      <c r="N6706" s="186"/>
      <c r="O6706" s="172"/>
    </row>
    <row r="6707" spans="1:15" ht="25.5" x14ac:dyDescent="0.2">
      <c r="A6707" s="197" t="str">
        <f t="shared" si="104"/>
        <v>PptCode_healthResort</v>
      </c>
      <c r="B6707" s="409"/>
      <c r="C6707" s="416"/>
      <c r="D6707" s="198" t="s">
        <v>42778</v>
      </c>
      <c r="E6707" s="198">
        <v>19</v>
      </c>
      <c r="F6707" s="199" t="s">
        <v>42779</v>
      </c>
      <c r="G6707" s="1" t="s">
        <v>42780</v>
      </c>
      <c r="H6707" s="200"/>
      <c r="I6707" s="351" t="s">
        <v>5180</v>
      </c>
      <c r="J6707" s="39">
        <v>112877</v>
      </c>
      <c r="K6707" s="36" t="str">
        <f>CONCATENATE(Cover!$D$6,"fdd/view?i=",J6707)</f>
        <v>https://www.dgiwg.org/FAD/fdd/view?i=112877</v>
      </c>
      <c r="L6707" s="36" t="s">
        <v>42781</v>
      </c>
      <c r="M6707" s="186"/>
      <c r="N6707" s="186"/>
      <c r="O6707" s="172"/>
    </row>
    <row r="6708" spans="1:15" ht="25.5" x14ac:dyDescent="0.2">
      <c r="A6708" s="197" t="str">
        <f t="shared" si="104"/>
        <v>PptCode_historicalSite</v>
      </c>
      <c r="B6708" s="409"/>
      <c r="C6708" s="416"/>
      <c r="D6708" s="198" t="s">
        <v>42782</v>
      </c>
      <c r="E6708" s="198">
        <v>9</v>
      </c>
      <c r="F6708" s="199" t="s">
        <v>42783</v>
      </c>
      <c r="G6708" s="1" t="s">
        <v>3501</v>
      </c>
      <c r="H6708" s="200"/>
      <c r="I6708" s="346"/>
      <c r="J6708" s="39">
        <v>112782</v>
      </c>
      <c r="K6708" s="36" t="str">
        <f>CONCATENATE(Cover!$D$6,"fdd/view?i=",J6708)</f>
        <v>https://www.dgiwg.org/FAD/fdd/view?i=112782</v>
      </c>
      <c r="L6708" s="36" t="s">
        <v>42784</v>
      </c>
      <c r="M6708" s="186"/>
      <c r="N6708" s="186"/>
      <c r="O6708" s="172"/>
    </row>
    <row r="6709" spans="1:15" ht="25.5" x14ac:dyDescent="0.2">
      <c r="A6709" s="197" t="str">
        <f t="shared" si="104"/>
        <v>PptCode_holidayHomes</v>
      </c>
      <c r="B6709" s="409"/>
      <c r="C6709" s="416"/>
      <c r="D6709" s="198" t="s">
        <v>42785</v>
      </c>
      <c r="E6709" s="198">
        <v>17</v>
      </c>
      <c r="F6709" s="199" t="s">
        <v>42786</v>
      </c>
      <c r="G6709" s="1" t="s">
        <v>42787</v>
      </c>
      <c r="H6709" s="200"/>
      <c r="I6709" s="346"/>
      <c r="J6709" s="39">
        <v>112875</v>
      </c>
      <c r="K6709" s="36" t="str">
        <f>CONCATENATE(Cover!$D$6,"fdd/view?i=",J6709)</f>
        <v>https://www.dgiwg.org/FAD/fdd/view?i=112875</v>
      </c>
      <c r="L6709" s="36" t="s">
        <v>42788</v>
      </c>
      <c r="M6709" s="186"/>
      <c r="N6709" s="186"/>
      <c r="O6709" s="172"/>
    </row>
    <row r="6710" spans="1:15" ht="25.5" x14ac:dyDescent="0.2">
      <c r="A6710" s="197" t="str">
        <f t="shared" si="104"/>
        <v>PptCode_holidayVillage</v>
      </c>
      <c r="B6710" s="409"/>
      <c r="C6710" s="416"/>
      <c r="D6710" s="198" t="s">
        <v>42789</v>
      </c>
      <c r="E6710" s="198">
        <v>8</v>
      </c>
      <c r="F6710" s="199" t="s">
        <v>42790</v>
      </c>
      <c r="G6710" s="1" t="s">
        <v>42791</v>
      </c>
      <c r="H6710" s="1" t="s">
        <v>42792</v>
      </c>
      <c r="I6710" s="346"/>
      <c r="J6710" s="39">
        <v>106607</v>
      </c>
      <c r="K6710" s="36" t="str">
        <f>CONCATENATE(Cover!$D$6,"fdd/view?i=",J6710)</f>
        <v>https://www.dgiwg.org/FAD/fdd/view?i=106607</v>
      </c>
      <c r="L6710" s="36" t="s">
        <v>42793</v>
      </c>
      <c r="M6710" s="186"/>
      <c r="N6710" s="186"/>
      <c r="O6710" s="172"/>
    </row>
    <row r="6711" spans="1:15" x14ac:dyDescent="0.2">
      <c r="A6711" s="197" t="str">
        <f t="shared" si="104"/>
        <v>PptCode_huntingPost</v>
      </c>
      <c r="B6711" s="409"/>
      <c r="C6711" s="416"/>
      <c r="D6711" s="198" t="s">
        <v>42794</v>
      </c>
      <c r="E6711" s="198">
        <v>29</v>
      </c>
      <c r="F6711" s="199" t="s">
        <v>42795</v>
      </c>
      <c r="G6711" s="1" t="s">
        <v>42796</v>
      </c>
      <c r="H6711" s="200"/>
      <c r="I6711" s="351" t="s">
        <v>42797</v>
      </c>
      <c r="J6711" s="39">
        <v>112886</v>
      </c>
      <c r="K6711" s="36" t="str">
        <f>CONCATENATE(Cover!$D$6,"fdd/view?i=",J6711)</f>
        <v>https://www.dgiwg.org/FAD/fdd/view?i=112886</v>
      </c>
      <c r="L6711" s="36" t="s">
        <v>42798</v>
      </c>
      <c r="M6711" s="186"/>
      <c r="N6711" s="186"/>
      <c r="O6711" s="172"/>
    </row>
    <row r="6712" spans="1:15" ht="25.5" x14ac:dyDescent="0.2">
      <c r="A6712" s="197" t="str">
        <f t="shared" si="104"/>
        <v>PptCode_industrialTown</v>
      </c>
      <c r="B6712" s="409"/>
      <c r="C6712" s="416"/>
      <c r="D6712" s="198" t="s">
        <v>42799</v>
      </c>
      <c r="E6712" s="198">
        <v>30</v>
      </c>
      <c r="F6712" s="199" t="s">
        <v>42800</v>
      </c>
      <c r="G6712" s="1" t="s">
        <v>42801</v>
      </c>
      <c r="H6712" s="200"/>
      <c r="I6712" s="346"/>
      <c r="J6712" s="39">
        <v>112887</v>
      </c>
      <c r="K6712" s="36" t="str">
        <f>CONCATENATE(Cover!$D$6,"fdd/view?i=",J6712)</f>
        <v>https://www.dgiwg.org/FAD/fdd/view?i=112887</v>
      </c>
      <c r="L6712" s="36" t="s">
        <v>42802</v>
      </c>
      <c r="M6712" s="186"/>
      <c r="N6712" s="186"/>
      <c r="O6712" s="172"/>
    </row>
    <row r="6713" spans="1:15" ht="25.5" x14ac:dyDescent="0.2">
      <c r="A6713" s="197" t="str">
        <f t="shared" si="104"/>
        <v>PptCode_meteorologicalStation</v>
      </c>
      <c r="B6713" s="409"/>
      <c r="C6713" s="416"/>
      <c r="D6713" s="198" t="s">
        <v>42803</v>
      </c>
      <c r="E6713" s="198">
        <v>25</v>
      </c>
      <c r="F6713" s="199" t="s">
        <v>42804</v>
      </c>
      <c r="G6713" s="1" t="s">
        <v>42805</v>
      </c>
      <c r="H6713" s="200"/>
      <c r="I6713" s="346"/>
      <c r="J6713" s="39">
        <v>112882</v>
      </c>
      <c r="K6713" s="36" t="str">
        <f>CONCATENATE(Cover!$D$6,"fdd/view?i=",J6713)</f>
        <v>https://www.dgiwg.org/FAD/fdd/view?i=112882</v>
      </c>
      <c r="L6713" s="36" t="s">
        <v>42806</v>
      </c>
      <c r="M6713" s="186"/>
      <c r="N6713" s="186"/>
      <c r="O6713" s="172"/>
    </row>
    <row r="6714" spans="1:15" ht="25.5" x14ac:dyDescent="0.2">
      <c r="A6714" s="197" t="str">
        <f t="shared" si="104"/>
        <v>PptCode_militaryFacility</v>
      </c>
      <c r="B6714" s="409"/>
      <c r="C6714" s="416"/>
      <c r="D6714" s="198" t="s">
        <v>42807</v>
      </c>
      <c r="E6714" s="198">
        <v>24</v>
      </c>
      <c r="F6714" s="199" t="s">
        <v>42808</v>
      </c>
      <c r="G6714" s="1" t="s">
        <v>42809</v>
      </c>
      <c r="H6714" s="200"/>
      <c r="I6714" s="346"/>
      <c r="J6714" s="39">
        <v>112881</v>
      </c>
      <c r="K6714" s="36" t="str">
        <f>CONCATENATE(Cover!$D$6,"fdd/view?i=",J6714)</f>
        <v>https://www.dgiwg.org/FAD/fdd/view?i=112881</v>
      </c>
      <c r="L6714" s="36" t="s">
        <v>42810</v>
      </c>
      <c r="M6714" s="186"/>
      <c r="N6714" s="186"/>
      <c r="O6714" s="172"/>
    </row>
    <row r="6715" spans="1:15" ht="25.5" x14ac:dyDescent="0.2">
      <c r="A6715" s="197" t="str">
        <f t="shared" si="104"/>
        <v>PptCode_miningSettlement</v>
      </c>
      <c r="B6715" s="409"/>
      <c r="C6715" s="416"/>
      <c r="D6715" s="198" t="s">
        <v>42811</v>
      </c>
      <c r="E6715" s="198">
        <v>36</v>
      </c>
      <c r="F6715" s="199" t="s">
        <v>42812</v>
      </c>
      <c r="G6715" s="1" t="s">
        <v>42813</v>
      </c>
      <c r="H6715" s="200"/>
      <c r="I6715" s="346"/>
      <c r="J6715" s="39">
        <v>112893</v>
      </c>
      <c r="K6715" s="36" t="str">
        <f>CONCATENATE(Cover!$D$6,"fdd/view?i=",J6715)</f>
        <v>https://www.dgiwg.org/FAD/fdd/view?i=112893</v>
      </c>
      <c r="L6715" s="36" t="s">
        <v>42814</v>
      </c>
      <c r="M6715" s="186"/>
      <c r="N6715" s="186"/>
      <c r="O6715" s="172"/>
    </row>
    <row r="6716" spans="1:15" ht="25.5" x14ac:dyDescent="0.2">
      <c r="A6716" s="197" t="str">
        <f t="shared" si="104"/>
        <v>PptCode_nativeSettlement</v>
      </c>
      <c r="B6716" s="409"/>
      <c r="C6716" s="416"/>
      <c r="D6716" s="198" t="s">
        <v>42815</v>
      </c>
      <c r="E6716" s="198">
        <v>39</v>
      </c>
      <c r="F6716" s="199" t="s">
        <v>42816</v>
      </c>
      <c r="G6716" s="1" t="s">
        <v>42817</v>
      </c>
      <c r="H6716" s="200"/>
      <c r="I6716" s="346"/>
      <c r="J6716" s="39">
        <v>112896</v>
      </c>
      <c r="K6716" s="36" t="str">
        <f>CONCATENATE(Cover!$D$6,"fdd/view?i=",J6716)</f>
        <v>https://www.dgiwg.org/FAD/fdd/view?i=112896</v>
      </c>
      <c r="L6716" s="36" t="s">
        <v>42818</v>
      </c>
      <c r="M6716" s="186"/>
      <c r="N6716" s="186"/>
      <c r="O6716" s="172"/>
    </row>
    <row r="6717" spans="1:15" ht="25.5" x14ac:dyDescent="0.2">
      <c r="A6717" s="197" t="str">
        <f t="shared" si="104"/>
        <v>PptCode_nomadicSettlement</v>
      </c>
      <c r="B6717" s="409"/>
      <c r="C6717" s="416"/>
      <c r="D6717" s="198" t="s">
        <v>41068</v>
      </c>
      <c r="E6717" s="198">
        <v>40</v>
      </c>
      <c r="F6717" s="199" t="s">
        <v>41069</v>
      </c>
      <c r="G6717" s="1" t="s">
        <v>42819</v>
      </c>
      <c r="H6717" s="200"/>
      <c r="I6717" s="346"/>
      <c r="J6717" s="39">
        <v>112897</v>
      </c>
      <c r="K6717" s="36" t="str">
        <f>CONCATENATE(Cover!$D$6,"fdd/view?i=",J6717)</f>
        <v>https://www.dgiwg.org/FAD/fdd/view?i=112897</v>
      </c>
      <c r="L6717" s="36" t="s">
        <v>42820</v>
      </c>
      <c r="M6717" s="186"/>
      <c r="N6717" s="186"/>
      <c r="O6717" s="172"/>
    </row>
    <row r="6718" spans="1:15" ht="25.5" x14ac:dyDescent="0.2">
      <c r="A6718" s="197" t="str">
        <f t="shared" si="104"/>
        <v>PptCode_placeOfPilgrimage</v>
      </c>
      <c r="B6718" s="409"/>
      <c r="C6718" s="416"/>
      <c r="D6718" s="198" t="s">
        <v>42821</v>
      </c>
      <c r="E6718" s="198">
        <v>33</v>
      </c>
      <c r="F6718" s="199" t="s">
        <v>42822</v>
      </c>
      <c r="G6718" s="1" t="s">
        <v>42823</v>
      </c>
      <c r="H6718" s="200"/>
      <c r="I6718" s="346"/>
      <c r="J6718" s="39">
        <v>112890</v>
      </c>
      <c r="K6718" s="36" t="str">
        <f>CONCATENATE(Cover!$D$6,"fdd/view?i=",J6718)</f>
        <v>https://www.dgiwg.org/FAD/fdd/view?i=112890</v>
      </c>
      <c r="L6718" s="36" t="s">
        <v>42824</v>
      </c>
      <c r="M6718" s="186"/>
      <c r="N6718" s="186"/>
      <c r="O6718" s="172"/>
    </row>
    <row r="6719" spans="1:15" ht="25.5" x14ac:dyDescent="0.2">
      <c r="A6719" s="197" t="str">
        <f t="shared" si="104"/>
        <v>PptCode_port</v>
      </c>
      <c r="B6719" s="409"/>
      <c r="C6719" s="416"/>
      <c r="D6719" s="198" t="s">
        <v>42825</v>
      </c>
      <c r="E6719" s="198">
        <v>32</v>
      </c>
      <c r="F6719" s="199" t="s">
        <v>4493</v>
      </c>
      <c r="G6719" s="1" t="s">
        <v>42826</v>
      </c>
      <c r="H6719" s="200"/>
      <c r="I6719" s="346"/>
      <c r="J6719" s="39">
        <v>112889</v>
      </c>
      <c r="K6719" s="36" t="str">
        <f>CONCATENATE(Cover!$D$6,"fdd/view?i=",J6719)</f>
        <v>https://www.dgiwg.org/FAD/fdd/view?i=112889</v>
      </c>
      <c r="L6719" s="36" t="s">
        <v>42827</v>
      </c>
      <c r="M6719" s="186"/>
      <c r="N6719" s="186"/>
      <c r="O6719" s="172"/>
    </row>
    <row r="6720" spans="1:15" x14ac:dyDescent="0.2">
      <c r="A6720" s="197" t="str">
        <f t="shared" si="104"/>
        <v>PptCode_refugeeCamp</v>
      </c>
      <c r="B6720" s="409"/>
      <c r="C6720" s="416"/>
      <c r="D6720" s="198" t="s">
        <v>42828</v>
      </c>
      <c r="E6720" s="198">
        <v>22</v>
      </c>
      <c r="F6720" s="199" t="s">
        <v>42829</v>
      </c>
      <c r="G6720" s="1" t="s">
        <v>42830</v>
      </c>
      <c r="H6720" s="200"/>
      <c r="I6720" s="346"/>
      <c r="J6720" s="39">
        <v>112880</v>
      </c>
      <c r="K6720" s="36" t="str">
        <f>CONCATENATE(Cover!$D$6,"fdd/view?i=",J6720)</f>
        <v>https://www.dgiwg.org/FAD/fdd/view?i=112880</v>
      </c>
      <c r="L6720" s="36" t="s">
        <v>42831</v>
      </c>
      <c r="M6720" s="186"/>
      <c r="N6720" s="186"/>
      <c r="O6720" s="172"/>
    </row>
    <row r="6721" spans="1:15" ht="25.5" x14ac:dyDescent="0.2">
      <c r="A6721" s="197" t="str">
        <f t="shared" si="104"/>
        <v>PptCode_religiousFacility</v>
      </c>
      <c r="B6721" s="409"/>
      <c r="C6721" s="416"/>
      <c r="D6721" s="198" t="s">
        <v>42832</v>
      </c>
      <c r="E6721" s="198">
        <v>10</v>
      </c>
      <c r="F6721" s="199" t="s">
        <v>4704</v>
      </c>
      <c r="G6721" s="1" t="s">
        <v>42833</v>
      </c>
      <c r="H6721" s="200"/>
      <c r="I6721" s="346"/>
      <c r="J6721" s="39">
        <v>112870</v>
      </c>
      <c r="K6721" s="36" t="str">
        <f>CONCATENATE(Cover!$D$6,"fdd/view?i=",J6721)</f>
        <v>https://www.dgiwg.org/FAD/fdd/view?i=112870</v>
      </c>
      <c r="L6721" s="36" t="s">
        <v>42834</v>
      </c>
      <c r="M6721" s="186"/>
      <c r="N6721" s="186"/>
      <c r="O6721" s="172"/>
    </row>
    <row r="6722" spans="1:15" ht="25.5" x14ac:dyDescent="0.2">
      <c r="A6722" s="197" t="str">
        <f t="shared" ref="A6722:A6785" si="105">HYPERLINK(K6722,L6722)</f>
        <v>PptCode_researchStation</v>
      </c>
      <c r="B6722" s="409"/>
      <c r="C6722" s="416"/>
      <c r="D6722" s="198" t="s">
        <v>42835</v>
      </c>
      <c r="E6722" s="198">
        <v>26</v>
      </c>
      <c r="F6722" s="199" t="s">
        <v>42836</v>
      </c>
      <c r="G6722" s="1" t="s">
        <v>42837</v>
      </c>
      <c r="H6722" s="200"/>
      <c r="I6722" s="351" t="s">
        <v>42838</v>
      </c>
      <c r="J6722" s="39">
        <v>112883</v>
      </c>
      <c r="K6722" s="36" t="str">
        <f>CONCATENATE(Cover!$D$6,"fdd/view?i=",J6722)</f>
        <v>https://www.dgiwg.org/FAD/fdd/view?i=112883</v>
      </c>
      <c r="L6722" s="36" t="s">
        <v>42839</v>
      </c>
      <c r="M6722" s="186"/>
      <c r="N6722" s="186"/>
      <c r="O6722" s="172"/>
    </row>
    <row r="6723" spans="1:15" ht="25.5" x14ac:dyDescent="0.2">
      <c r="A6723" s="197" t="str">
        <f t="shared" si="105"/>
        <v>PptCode_residentialArea</v>
      </c>
      <c r="B6723" s="409"/>
      <c r="C6723" s="416"/>
      <c r="D6723" s="198" t="s">
        <v>42840</v>
      </c>
      <c r="E6723" s="198">
        <v>15</v>
      </c>
      <c r="F6723" s="199" t="s">
        <v>42841</v>
      </c>
      <c r="G6723" s="1" t="s">
        <v>42842</v>
      </c>
      <c r="H6723" s="200"/>
      <c r="I6723" s="346"/>
      <c r="J6723" s="39">
        <v>112873</v>
      </c>
      <c r="K6723" s="36" t="str">
        <f>CONCATENATE(Cover!$D$6,"fdd/view?i=",J6723)</f>
        <v>https://www.dgiwg.org/FAD/fdd/view?i=112873</v>
      </c>
      <c r="L6723" s="36" t="s">
        <v>42843</v>
      </c>
      <c r="M6723" s="186"/>
      <c r="N6723" s="186"/>
      <c r="O6723" s="172"/>
    </row>
    <row r="6724" spans="1:15" ht="25.5" x14ac:dyDescent="0.2">
      <c r="A6724" s="197" t="str">
        <f t="shared" si="105"/>
        <v>PptCode_seasideResort</v>
      </c>
      <c r="B6724" s="409"/>
      <c r="C6724" s="416"/>
      <c r="D6724" s="198" t="s">
        <v>42844</v>
      </c>
      <c r="E6724" s="198">
        <v>18</v>
      </c>
      <c r="F6724" s="199" t="s">
        <v>42845</v>
      </c>
      <c r="G6724" s="1" t="s">
        <v>42846</v>
      </c>
      <c r="H6724" s="200"/>
      <c r="I6724" s="346"/>
      <c r="J6724" s="39">
        <v>112876</v>
      </c>
      <c r="K6724" s="36" t="str">
        <f>CONCATENATE(Cover!$D$6,"fdd/view?i=",J6724)</f>
        <v>https://www.dgiwg.org/FAD/fdd/view?i=112876</v>
      </c>
      <c r="L6724" s="36" t="s">
        <v>42847</v>
      </c>
      <c r="M6724" s="186"/>
      <c r="N6724" s="186"/>
      <c r="O6724" s="172"/>
    </row>
    <row r="6725" spans="1:15" ht="102" x14ac:dyDescent="0.2">
      <c r="A6725" s="197" t="str">
        <f t="shared" si="105"/>
        <v>PptCode_seatGovernment</v>
      </c>
      <c r="B6725" s="409"/>
      <c r="C6725" s="416"/>
      <c r="D6725" s="198" t="s">
        <v>42848</v>
      </c>
      <c r="E6725" s="198">
        <v>13</v>
      </c>
      <c r="F6725" s="199" t="s">
        <v>42849</v>
      </c>
      <c r="G6725" s="1" t="s">
        <v>42850</v>
      </c>
      <c r="H6725" s="1" t="s">
        <v>42851</v>
      </c>
      <c r="I6725" s="346"/>
      <c r="J6725" s="39">
        <v>114568</v>
      </c>
      <c r="K6725" s="36" t="str">
        <f>CONCATENATE(Cover!$D$6,"fdd/view?i=",J6725)</f>
        <v>https://www.dgiwg.org/FAD/fdd/view?i=114568</v>
      </c>
      <c r="L6725" s="36" t="s">
        <v>42852</v>
      </c>
      <c r="M6725" s="186"/>
      <c r="N6725" s="186"/>
      <c r="O6725" s="172"/>
    </row>
    <row r="6726" spans="1:15" ht="38.25" x14ac:dyDescent="0.2">
      <c r="A6726" s="197" t="str">
        <f t="shared" si="105"/>
        <v>PptCode_shantyTown</v>
      </c>
      <c r="B6726" s="409"/>
      <c r="C6726" s="416"/>
      <c r="D6726" s="198" t="s">
        <v>42853</v>
      </c>
      <c r="E6726" s="198">
        <v>2</v>
      </c>
      <c r="F6726" s="199" t="s">
        <v>4985</v>
      </c>
      <c r="G6726" s="1" t="s">
        <v>4986</v>
      </c>
      <c r="H6726" s="1" t="s">
        <v>4987</v>
      </c>
      <c r="I6726" s="346"/>
      <c r="J6726" s="39">
        <v>106601</v>
      </c>
      <c r="K6726" s="36" t="str">
        <f>CONCATENATE(Cover!$D$6,"fdd/view?i=",J6726)</f>
        <v>https://www.dgiwg.org/FAD/fdd/view?i=106601</v>
      </c>
      <c r="L6726" s="36" t="s">
        <v>42854</v>
      </c>
      <c r="M6726" s="186"/>
      <c r="N6726" s="186"/>
      <c r="O6726" s="172"/>
    </row>
    <row r="6727" spans="1:15" ht="25.5" x14ac:dyDescent="0.2">
      <c r="A6727" s="197" t="str">
        <f t="shared" si="105"/>
        <v>PptCode_tentEncampment</v>
      </c>
      <c r="B6727" s="409"/>
      <c r="C6727" s="416"/>
      <c r="D6727" s="198" t="s">
        <v>42855</v>
      </c>
      <c r="E6727" s="198">
        <v>3</v>
      </c>
      <c r="F6727" s="199" t="s">
        <v>42856</v>
      </c>
      <c r="G6727" s="1" t="s">
        <v>42857</v>
      </c>
      <c r="H6727" s="200"/>
      <c r="I6727" s="346"/>
      <c r="J6727" s="39">
        <v>106602</v>
      </c>
      <c r="K6727" s="36" t="str">
        <f>CONCATENATE(Cover!$D$6,"fdd/view?i=",J6727)</f>
        <v>https://www.dgiwg.org/FAD/fdd/view?i=106602</v>
      </c>
      <c r="L6727" s="36" t="s">
        <v>42858</v>
      </c>
      <c r="M6727" s="186"/>
      <c r="N6727" s="186"/>
      <c r="O6727" s="172"/>
    </row>
    <row r="6728" spans="1:15" ht="25.5" x14ac:dyDescent="0.2">
      <c r="A6728" s="197" t="str">
        <f t="shared" si="105"/>
        <v>PptCode_touristPlace</v>
      </c>
      <c r="B6728" s="409"/>
      <c r="C6728" s="416"/>
      <c r="D6728" s="198" t="s">
        <v>42859</v>
      </c>
      <c r="E6728" s="198">
        <v>34</v>
      </c>
      <c r="F6728" s="199" t="s">
        <v>42860</v>
      </c>
      <c r="G6728" s="1" t="s">
        <v>42861</v>
      </c>
      <c r="H6728" s="200"/>
      <c r="I6728" s="346"/>
      <c r="J6728" s="39">
        <v>112891</v>
      </c>
      <c r="K6728" s="36" t="str">
        <f>CONCATENATE(Cover!$D$6,"fdd/view?i=",J6728)</f>
        <v>https://www.dgiwg.org/FAD/fdd/view?i=112891</v>
      </c>
      <c r="L6728" s="36" t="s">
        <v>42862</v>
      </c>
      <c r="M6728" s="186"/>
      <c r="N6728" s="186"/>
      <c r="O6728" s="172"/>
    </row>
    <row r="6729" spans="1:15" ht="38.25" x14ac:dyDescent="0.2">
      <c r="A6729" s="197" t="str">
        <f t="shared" si="105"/>
        <v>PptCode_town</v>
      </c>
      <c r="B6729" s="409"/>
      <c r="C6729" s="416"/>
      <c r="D6729" s="198" t="s">
        <v>42863</v>
      </c>
      <c r="E6729" s="198">
        <v>5</v>
      </c>
      <c r="F6729" s="199" t="s">
        <v>42864</v>
      </c>
      <c r="G6729" s="1" t="s">
        <v>42865</v>
      </c>
      <c r="H6729" s="200"/>
      <c r="I6729" s="346"/>
      <c r="J6729" s="39">
        <v>106604</v>
      </c>
      <c r="K6729" s="36" t="str">
        <f>CONCATENATE(Cover!$D$6,"fdd/view?i=",J6729)</f>
        <v>https://www.dgiwg.org/FAD/fdd/view?i=106604</v>
      </c>
      <c r="L6729" s="36" t="s">
        <v>42866</v>
      </c>
      <c r="M6729" s="186"/>
      <c r="N6729" s="186"/>
      <c r="O6729" s="172"/>
    </row>
    <row r="6730" spans="1:15" x14ac:dyDescent="0.2">
      <c r="A6730" s="197" t="str">
        <f t="shared" si="105"/>
        <v>PptCode_tradingEstate</v>
      </c>
      <c r="B6730" s="409"/>
      <c r="C6730" s="416"/>
      <c r="D6730" s="198" t="s">
        <v>42867</v>
      </c>
      <c r="E6730" s="198">
        <v>16</v>
      </c>
      <c r="F6730" s="199" t="s">
        <v>42868</v>
      </c>
      <c r="G6730" s="1" t="s">
        <v>42869</v>
      </c>
      <c r="H6730" s="200"/>
      <c r="I6730" s="351" t="s">
        <v>42870</v>
      </c>
      <c r="J6730" s="39">
        <v>112874</v>
      </c>
      <c r="K6730" s="36" t="str">
        <f>CONCATENATE(Cover!$D$6,"fdd/view?i=",J6730)</f>
        <v>https://www.dgiwg.org/FAD/fdd/view?i=112874</v>
      </c>
      <c r="L6730" s="36" t="s">
        <v>42871</v>
      </c>
      <c r="M6730" s="186"/>
      <c r="N6730" s="186"/>
      <c r="O6730" s="172"/>
    </row>
    <row r="6731" spans="1:15" ht="25.5" x14ac:dyDescent="0.2">
      <c r="A6731" s="197" t="str">
        <f t="shared" si="105"/>
        <v>PptCode_tradingStation</v>
      </c>
      <c r="B6731" s="409"/>
      <c r="C6731" s="416"/>
      <c r="D6731" s="198" t="s">
        <v>42872</v>
      </c>
      <c r="E6731" s="198">
        <v>28</v>
      </c>
      <c r="F6731" s="199" t="s">
        <v>42873</v>
      </c>
      <c r="G6731" s="1" t="s">
        <v>42874</v>
      </c>
      <c r="H6731" s="200"/>
      <c r="I6731" s="351" t="s">
        <v>42875</v>
      </c>
      <c r="J6731" s="39">
        <v>112885</v>
      </c>
      <c r="K6731" s="36" t="str">
        <f>CONCATENATE(Cover!$D$6,"fdd/view?i=",J6731)</f>
        <v>https://www.dgiwg.org/FAD/fdd/view?i=112885</v>
      </c>
      <c r="L6731" s="36" t="s">
        <v>42876</v>
      </c>
      <c r="M6731" s="186"/>
      <c r="N6731" s="186"/>
      <c r="O6731" s="172"/>
    </row>
    <row r="6732" spans="1:15" ht="25.5" x14ac:dyDescent="0.2">
      <c r="A6732" s="197" t="str">
        <f t="shared" si="105"/>
        <v>PptCode_traditionalSettlement</v>
      </c>
      <c r="B6732" s="409"/>
      <c r="C6732" s="416"/>
      <c r="D6732" s="198" t="s">
        <v>42877</v>
      </c>
      <c r="E6732" s="198">
        <v>1</v>
      </c>
      <c r="F6732" s="199" t="s">
        <v>5528</v>
      </c>
      <c r="G6732" s="1" t="s">
        <v>5529</v>
      </c>
      <c r="H6732" s="200"/>
      <c r="I6732" s="346"/>
      <c r="J6732" s="39">
        <v>106600</v>
      </c>
      <c r="K6732" s="36" t="str">
        <f>CONCATENATE(Cover!$D$6,"fdd/view?i=",J6732)</f>
        <v>https://www.dgiwg.org/FAD/fdd/view?i=106600</v>
      </c>
      <c r="L6732" s="36" t="s">
        <v>42878</v>
      </c>
      <c r="M6732" s="186"/>
      <c r="N6732" s="186"/>
      <c r="O6732" s="172"/>
    </row>
    <row r="6733" spans="1:15" ht="25.5" x14ac:dyDescent="0.2">
      <c r="A6733" s="197" t="str">
        <f t="shared" si="105"/>
        <v>PptCode_trafficSettlement</v>
      </c>
      <c r="B6733" s="409"/>
      <c r="C6733" s="416"/>
      <c r="D6733" s="198" t="s">
        <v>42879</v>
      </c>
      <c r="E6733" s="198">
        <v>37</v>
      </c>
      <c r="F6733" s="199" t="s">
        <v>42880</v>
      </c>
      <c r="G6733" s="1" t="s">
        <v>42881</v>
      </c>
      <c r="H6733" s="200"/>
      <c r="I6733" s="346"/>
      <c r="J6733" s="39">
        <v>112894</v>
      </c>
      <c r="K6733" s="36" t="str">
        <f>CONCATENATE(Cover!$D$6,"fdd/view?i=",J6733)</f>
        <v>https://www.dgiwg.org/FAD/fdd/view?i=112894</v>
      </c>
      <c r="L6733" s="36" t="s">
        <v>42882</v>
      </c>
      <c r="M6733" s="186"/>
      <c r="N6733" s="186"/>
      <c r="O6733" s="172"/>
    </row>
    <row r="6734" spans="1:15" ht="25.5" x14ac:dyDescent="0.2">
      <c r="A6734" s="197" t="str">
        <f t="shared" si="105"/>
        <v>PptCode_urbanArea</v>
      </c>
      <c r="B6734" s="409"/>
      <c r="C6734" s="416"/>
      <c r="D6734" s="198" t="s">
        <v>42883</v>
      </c>
      <c r="E6734" s="198">
        <v>7</v>
      </c>
      <c r="F6734" s="199" t="s">
        <v>42884</v>
      </c>
      <c r="G6734" s="1" t="s">
        <v>42885</v>
      </c>
      <c r="H6734" s="200"/>
      <c r="I6734" s="346"/>
      <c r="J6734" s="39">
        <v>106606</v>
      </c>
      <c r="K6734" s="36" t="str">
        <f>CONCATENATE(Cover!$D$6,"fdd/view?i=",J6734)</f>
        <v>https://www.dgiwg.org/FAD/fdd/view?i=106606</v>
      </c>
      <c r="L6734" s="36" t="s">
        <v>42886</v>
      </c>
      <c r="M6734" s="186"/>
      <c r="N6734" s="186"/>
      <c r="O6734" s="172"/>
    </row>
    <row r="6735" spans="1:15" ht="25.5" x14ac:dyDescent="0.2">
      <c r="A6735" s="197" t="str">
        <f t="shared" si="105"/>
        <v>PptCode_village</v>
      </c>
      <c r="B6735" s="409"/>
      <c r="C6735" s="416"/>
      <c r="D6735" s="198" t="s">
        <v>42661</v>
      </c>
      <c r="E6735" s="198">
        <v>4</v>
      </c>
      <c r="F6735" s="199" t="s">
        <v>42662</v>
      </c>
      <c r="G6735" s="1" t="s">
        <v>42887</v>
      </c>
      <c r="H6735" s="200"/>
      <c r="I6735" s="346"/>
      <c r="J6735" s="39">
        <v>106603</v>
      </c>
      <c r="K6735" s="36" t="str">
        <f>CONCATENATE(Cover!$D$6,"fdd/view?i=",J6735)</f>
        <v>https://www.dgiwg.org/FAD/fdd/view?i=106603</v>
      </c>
      <c r="L6735" s="36" t="s">
        <v>42888</v>
      </c>
      <c r="M6735" s="186"/>
      <c r="N6735" s="186"/>
      <c r="O6735" s="172"/>
    </row>
    <row r="6736" spans="1:15" ht="25.5" x14ac:dyDescent="0.2">
      <c r="A6736" s="203" t="str">
        <f t="shared" si="105"/>
        <v>PptCode_whalerStation</v>
      </c>
      <c r="B6736" s="410"/>
      <c r="C6736" s="417"/>
      <c r="D6736" s="204" t="s">
        <v>42889</v>
      </c>
      <c r="E6736" s="204">
        <v>27</v>
      </c>
      <c r="F6736" s="205" t="s">
        <v>42890</v>
      </c>
      <c r="G6736" s="206" t="s">
        <v>42891</v>
      </c>
      <c r="H6736" s="207"/>
      <c r="I6736" s="353" t="s">
        <v>42892</v>
      </c>
      <c r="J6736" s="39">
        <v>112884</v>
      </c>
      <c r="K6736" s="36" t="str">
        <f>CONCATENATE(Cover!$D$6,"fdd/view?i=",J6736)</f>
        <v>https://www.dgiwg.org/FAD/fdd/view?i=112884</v>
      </c>
      <c r="L6736" s="36" t="s">
        <v>42893</v>
      </c>
      <c r="M6736" s="186"/>
      <c r="N6736" s="186"/>
      <c r="O6736" s="172"/>
    </row>
    <row r="6737" spans="1:15" ht="25.5" x14ac:dyDescent="0.2">
      <c r="A6737" s="190" t="str">
        <f t="shared" si="105"/>
        <v>PpdCode_from101To200</v>
      </c>
      <c r="B6737" s="414" t="str">
        <f>HYPERLINK("[#]Datatypes!A1145:L1145","PpdCode")</f>
        <v>PpdCode</v>
      </c>
      <c r="C6737" s="415" t="s">
        <v>15754</v>
      </c>
      <c r="D6737" s="221" t="s">
        <v>42894</v>
      </c>
      <c r="E6737" s="221">
        <v>4</v>
      </c>
      <c r="F6737" s="222" t="s">
        <v>42895</v>
      </c>
      <c r="G6737" s="223" t="s">
        <v>42896</v>
      </c>
      <c r="H6737" s="224"/>
      <c r="I6737" s="345"/>
      <c r="J6737" s="39">
        <v>113613</v>
      </c>
      <c r="K6737" s="36" t="str">
        <f>CONCATENATE(Cover!$D$6,"fdd/view?i=",J6737)</f>
        <v>https://www.dgiwg.org/FAD/fdd/view?i=113613</v>
      </c>
      <c r="L6737" s="36" t="s">
        <v>42897</v>
      </c>
      <c r="M6737" s="186"/>
      <c r="N6737" s="186"/>
      <c r="O6737" s="172"/>
    </row>
    <row r="6738" spans="1:15" x14ac:dyDescent="0.2">
      <c r="A6738" s="197" t="str">
        <f t="shared" si="105"/>
        <v>PpdCode_from11To25</v>
      </c>
      <c r="B6738" s="409"/>
      <c r="C6738" s="416"/>
      <c r="D6738" s="198" t="s">
        <v>42902</v>
      </c>
      <c r="E6738" s="198">
        <v>7</v>
      </c>
      <c r="F6738" s="199" t="s">
        <v>42903</v>
      </c>
      <c r="G6738" s="1" t="s">
        <v>42904</v>
      </c>
      <c r="H6738" s="200"/>
      <c r="I6738" s="346"/>
      <c r="J6738" s="39">
        <v>113616</v>
      </c>
      <c r="K6738" s="36" t="str">
        <f>CONCATENATE(Cover!$D$6,"fdd/view?i=",J6738)</f>
        <v>https://www.dgiwg.org/FAD/fdd/view?i=113616</v>
      </c>
      <c r="L6738" s="36" t="s">
        <v>42905</v>
      </c>
      <c r="M6738" s="186"/>
      <c r="N6738" s="186"/>
      <c r="O6738" s="172"/>
    </row>
    <row r="6739" spans="1:15" x14ac:dyDescent="0.2">
      <c r="A6739" s="197" t="str">
        <f t="shared" si="105"/>
        <v>PpdCode_from1to10</v>
      </c>
      <c r="B6739" s="409"/>
      <c r="C6739" s="416"/>
      <c r="D6739" s="198" t="s">
        <v>42898</v>
      </c>
      <c r="E6739" s="198">
        <v>8</v>
      </c>
      <c r="F6739" s="199" t="s">
        <v>42899</v>
      </c>
      <c r="G6739" s="1" t="s">
        <v>42900</v>
      </c>
      <c r="H6739" s="200"/>
      <c r="I6739" s="346"/>
      <c r="J6739" s="39">
        <v>113617</v>
      </c>
      <c r="K6739" s="36" t="str">
        <f>CONCATENATE(Cover!$D$6,"fdd/view?i=",J6739)</f>
        <v>https://www.dgiwg.org/FAD/fdd/view?i=113617</v>
      </c>
      <c r="L6739" s="36" t="s">
        <v>42901</v>
      </c>
      <c r="M6739" s="186"/>
      <c r="N6739" s="186"/>
      <c r="O6739" s="172"/>
    </row>
    <row r="6740" spans="1:15" ht="25.5" x14ac:dyDescent="0.2">
      <c r="A6740" s="197" t="str">
        <f t="shared" si="105"/>
        <v>PpdCode_from201To500</v>
      </c>
      <c r="B6740" s="409"/>
      <c r="C6740" s="416"/>
      <c r="D6740" s="198" t="s">
        <v>42906</v>
      </c>
      <c r="E6740" s="198">
        <v>3</v>
      </c>
      <c r="F6740" s="199" t="s">
        <v>42907</v>
      </c>
      <c r="G6740" s="1" t="s">
        <v>42908</v>
      </c>
      <c r="H6740" s="200"/>
      <c r="I6740" s="346"/>
      <c r="J6740" s="39">
        <v>113612</v>
      </c>
      <c r="K6740" s="36" t="str">
        <f>CONCATENATE(Cover!$D$6,"fdd/view?i=",J6740)</f>
        <v>https://www.dgiwg.org/FAD/fdd/view?i=113612</v>
      </c>
      <c r="L6740" s="36" t="s">
        <v>42909</v>
      </c>
      <c r="M6740" s="186"/>
      <c r="N6740" s="186"/>
      <c r="O6740" s="172"/>
    </row>
    <row r="6741" spans="1:15" x14ac:dyDescent="0.2">
      <c r="A6741" s="197" t="str">
        <f t="shared" si="105"/>
        <v>PpdCode_from26To50</v>
      </c>
      <c r="B6741" s="409"/>
      <c r="C6741" s="416"/>
      <c r="D6741" s="198" t="s">
        <v>42910</v>
      </c>
      <c r="E6741" s="198">
        <v>6</v>
      </c>
      <c r="F6741" s="199" t="s">
        <v>42911</v>
      </c>
      <c r="G6741" s="1" t="s">
        <v>42912</v>
      </c>
      <c r="H6741" s="200"/>
      <c r="I6741" s="346"/>
      <c r="J6741" s="39">
        <v>113615</v>
      </c>
      <c r="K6741" s="36" t="str">
        <f>CONCATENATE(Cover!$D$6,"fdd/view?i=",J6741)</f>
        <v>https://www.dgiwg.org/FAD/fdd/view?i=113615</v>
      </c>
      <c r="L6741" s="36" t="s">
        <v>42913</v>
      </c>
      <c r="M6741" s="186"/>
      <c r="N6741" s="186"/>
      <c r="O6741" s="172"/>
    </row>
    <row r="6742" spans="1:15" ht="25.5" x14ac:dyDescent="0.2">
      <c r="A6742" s="197" t="str">
        <f t="shared" si="105"/>
        <v>PpdCode_from501To1000</v>
      </c>
      <c r="B6742" s="409"/>
      <c r="C6742" s="416"/>
      <c r="D6742" s="198" t="s">
        <v>42914</v>
      </c>
      <c r="E6742" s="198">
        <v>2</v>
      </c>
      <c r="F6742" s="199" t="s">
        <v>42915</v>
      </c>
      <c r="G6742" s="1" t="s">
        <v>42916</v>
      </c>
      <c r="H6742" s="200"/>
      <c r="I6742" s="346"/>
      <c r="J6742" s="39">
        <v>113611</v>
      </c>
      <c r="K6742" s="36" t="str">
        <f>CONCATENATE(Cover!$D$6,"fdd/view?i=",J6742)</f>
        <v>https://www.dgiwg.org/FAD/fdd/view?i=113611</v>
      </c>
      <c r="L6742" s="36" t="s">
        <v>42917</v>
      </c>
      <c r="M6742" s="186"/>
      <c r="N6742" s="186"/>
      <c r="O6742" s="172"/>
    </row>
    <row r="6743" spans="1:15" x14ac:dyDescent="0.2">
      <c r="A6743" s="197" t="str">
        <f t="shared" si="105"/>
        <v>PpdCode_from51To100</v>
      </c>
      <c r="B6743" s="409"/>
      <c r="C6743" s="416"/>
      <c r="D6743" s="198" t="s">
        <v>42918</v>
      </c>
      <c r="E6743" s="198">
        <v>5</v>
      </c>
      <c r="F6743" s="199" t="s">
        <v>42919</v>
      </c>
      <c r="G6743" s="1" t="s">
        <v>42920</v>
      </c>
      <c r="H6743" s="200"/>
      <c r="I6743" s="346"/>
      <c r="J6743" s="39">
        <v>113614</v>
      </c>
      <c r="K6743" s="36" t="str">
        <f>CONCATENATE(Cover!$D$6,"fdd/view?i=",J6743)</f>
        <v>https://www.dgiwg.org/FAD/fdd/view?i=113614</v>
      </c>
      <c r="L6743" s="36" t="s">
        <v>42921</v>
      </c>
      <c r="M6743" s="186"/>
      <c r="N6743" s="186"/>
      <c r="O6743" s="172"/>
    </row>
    <row r="6744" spans="1:15" ht="25.5" x14ac:dyDescent="0.2">
      <c r="A6744" s="197" t="str">
        <f t="shared" si="105"/>
        <v>PpdCode_greaterThan1000</v>
      </c>
      <c r="B6744" s="409"/>
      <c r="C6744" s="416"/>
      <c r="D6744" s="198" t="s">
        <v>42922</v>
      </c>
      <c r="E6744" s="198">
        <v>1</v>
      </c>
      <c r="F6744" s="199" t="s">
        <v>42923</v>
      </c>
      <c r="G6744" s="1" t="s">
        <v>42924</v>
      </c>
      <c r="H6744" s="200"/>
      <c r="I6744" s="346"/>
      <c r="J6744" s="39">
        <v>113610</v>
      </c>
      <c r="K6744" s="36" t="str">
        <f>CONCATENATE(Cover!$D$6,"fdd/view?i=",J6744)</f>
        <v>https://www.dgiwg.org/FAD/fdd/view?i=113610</v>
      </c>
      <c r="L6744" s="36" t="s">
        <v>42925</v>
      </c>
      <c r="M6744" s="186"/>
      <c r="N6744" s="186"/>
      <c r="O6744" s="172"/>
    </row>
    <row r="6745" spans="1:15" x14ac:dyDescent="0.2">
      <c r="A6745" s="203" t="str">
        <f t="shared" si="105"/>
        <v>PpdCode_lessThan1</v>
      </c>
      <c r="B6745" s="410"/>
      <c r="C6745" s="417"/>
      <c r="D6745" s="204" t="s">
        <v>42926</v>
      </c>
      <c r="E6745" s="204">
        <v>9</v>
      </c>
      <c r="F6745" s="205" t="s">
        <v>42927</v>
      </c>
      <c r="G6745" s="206" t="s">
        <v>42928</v>
      </c>
      <c r="H6745" s="207"/>
      <c r="I6745" s="347"/>
      <c r="J6745" s="39">
        <v>113618</v>
      </c>
      <c r="K6745" s="36" t="str">
        <f>CONCATENATE(Cover!$D$6,"fdd/view?i=",J6745)</f>
        <v>https://www.dgiwg.org/FAD/fdd/view?i=113618</v>
      </c>
      <c r="L6745" s="36" t="s">
        <v>42929</v>
      </c>
      <c r="M6745" s="186"/>
      <c r="N6745" s="186"/>
      <c r="O6745" s="172"/>
    </row>
    <row r="6746" spans="1:15" ht="25.5" x14ac:dyDescent="0.2">
      <c r="A6746" s="190" t="str">
        <f t="shared" si="105"/>
        <v>AgwCode_automaticWeapon</v>
      </c>
      <c r="B6746" s="414" t="str">
        <f>HYPERLINK("[#]Datatypes!A1147:L1147","AgwCode")</f>
        <v>AgwCode</v>
      </c>
      <c r="C6746" s="415" t="s">
        <v>15756</v>
      </c>
      <c r="D6746" s="221" t="s">
        <v>42930</v>
      </c>
      <c r="E6746" s="221">
        <v>5</v>
      </c>
      <c r="F6746" s="222" t="s">
        <v>42931</v>
      </c>
      <c r="G6746" s="223" t="s">
        <v>42932</v>
      </c>
      <c r="H6746" s="224"/>
      <c r="I6746" s="345"/>
      <c r="J6746" s="39">
        <v>112634</v>
      </c>
      <c r="K6746" s="36" t="str">
        <f>CONCATENATE(Cover!$D$6,"fdd/view?i=",J6746)</f>
        <v>https://www.dgiwg.org/FAD/fdd/view?i=112634</v>
      </c>
      <c r="L6746" s="36" t="s">
        <v>42933</v>
      </c>
      <c r="M6746" s="186"/>
      <c r="N6746" s="186"/>
      <c r="O6746" s="172"/>
    </row>
    <row r="6747" spans="1:15" ht="38.25" x14ac:dyDescent="0.2">
      <c r="A6747" s="197" t="str">
        <f t="shared" si="105"/>
        <v>AgwCode_explosives</v>
      </c>
      <c r="B6747" s="409"/>
      <c r="C6747" s="416"/>
      <c r="D6747" s="198" t="s">
        <v>28989</v>
      </c>
      <c r="E6747" s="198">
        <v>9</v>
      </c>
      <c r="F6747" s="199" t="s">
        <v>28990</v>
      </c>
      <c r="G6747" s="1" t="s">
        <v>42938</v>
      </c>
      <c r="H6747" s="200"/>
      <c r="I6747" s="346"/>
      <c r="J6747" s="39">
        <v>118510</v>
      </c>
      <c r="K6747" s="36" t="str">
        <f>CONCATENATE(Cover!$D$6,"fdd/view?i=",J6747)</f>
        <v>https://www.dgiwg.org/FAD/fdd/view?i=118510</v>
      </c>
      <c r="L6747" s="36" t="s">
        <v>42939</v>
      </c>
      <c r="M6747" s="186"/>
      <c r="N6747" s="186"/>
      <c r="O6747" s="172"/>
    </row>
    <row r="6748" spans="1:15" ht="25.5" x14ac:dyDescent="0.2">
      <c r="A6748" s="197" t="str">
        <f t="shared" si="105"/>
        <v>AgwCode_explosiveVest</v>
      </c>
      <c r="B6748" s="409"/>
      <c r="C6748" s="416"/>
      <c r="D6748" s="198" t="s">
        <v>42934</v>
      </c>
      <c r="E6748" s="198">
        <v>8</v>
      </c>
      <c r="F6748" s="199" t="s">
        <v>42935</v>
      </c>
      <c r="G6748" s="1" t="s">
        <v>42936</v>
      </c>
      <c r="H6748" s="200"/>
      <c r="I6748" s="346"/>
      <c r="J6748" s="39">
        <v>111791</v>
      </c>
      <c r="K6748" s="36" t="str">
        <f>CONCATENATE(Cover!$D$6,"fdd/view?i=",J6748)</f>
        <v>https://www.dgiwg.org/FAD/fdd/view?i=111791</v>
      </c>
      <c r="L6748" s="36" t="s">
        <v>42937</v>
      </c>
      <c r="M6748" s="186"/>
      <c r="N6748" s="186"/>
      <c r="O6748" s="172"/>
    </row>
    <row r="6749" spans="1:15" ht="25.5" x14ac:dyDescent="0.2">
      <c r="A6749" s="197" t="str">
        <f t="shared" si="105"/>
        <v>AgwCode_grenade</v>
      </c>
      <c r="B6749" s="409"/>
      <c r="C6749" s="416"/>
      <c r="D6749" s="198" t="s">
        <v>42940</v>
      </c>
      <c r="E6749" s="198">
        <v>7</v>
      </c>
      <c r="F6749" s="199" t="s">
        <v>42941</v>
      </c>
      <c r="G6749" s="1" t="s">
        <v>42942</v>
      </c>
      <c r="H6749" s="1" t="s">
        <v>42943</v>
      </c>
      <c r="I6749" s="346"/>
      <c r="J6749" s="39">
        <v>111790</v>
      </c>
      <c r="K6749" s="36" t="str">
        <f>CONCATENATE(Cover!$D$6,"fdd/view?i=",J6749)</f>
        <v>https://www.dgiwg.org/FAD/fdd/view?i=111790</v>
      </c>
      <c r="L6749" s="36" t="s">
        <v>42944</v>
      </c>
      <c r="M6749" s="186"/>
      <c r="N6749" s="186"/>
      <c r="O6749" s="172"/>
    </row>
    <row r="6750" spans="1:15" x14ac:dyDescent="0.2">
      <c r="A6750" s="197" t="str">
        <f t="shared" si="105"/>
        <v>AgwCode_gun</v>
      </c>
      <c r="B6750" s="409"/>
      <c r="C6750" s="416"/>
      <c r="D6750" s="198" t="s">
        <v>42945</v>
      </c>
      <c r="E6750" s="198">
        <v>4</v>
      </c>
      <c r="F6750" s="199" t="s">
        <v>42946</v>
      </c>
      <c r="G6750" s="1" t="s">
        <v>42947</v>
      </c>
      <c r="H6750" s="200"/>
      <c r="I6750" s="346"/>
      <c r="J6750" s="39">
        <v>112632</v>
      </c>
      <c r="K6750" s="36" t="str">
        <f>CONCATENATE(Cover!$D$6,"fdd/view?i=",J6750)</f>
        <v>https://www.dgiwg.org/FAD/fdd/view?i=112632</v>
      </c>
      <c r="L6750" s="36" t="s">
        <v>42948</v>
      </c>
      <c r="M6750" s="186"/>
      <c r="N6750" s="186"/>
      <c r="O6750" s="172"/>
    </row>
    <row r="6751" spans="1:15" x14ac:dyDescent="0.2">
      <c r="A6751" s="197" t="str">
        <f t="shared" si="105"/>
        <v>AgwCode_knife</v>
      </c>
      <c r="B6751" s="409"/>
      <c r="C6751" s="416"/>
      <c r="D6751" s="198" t="s">
        <v>42949</v>
      </c>
      <c r="E6751" s="198">
        <v>1</v>
      </c>
      <c r="F6751" s="199" t="s">
        <v>42950</v>
      </c>
      <c r="G6751" s="1" t="s">
        <v>42951</v>
      </c>
      <c r="H6751" s="200"/>
      <c r="I6751" s="346"/>
      <c r="J6751" s="39">
        <v>112626</v>
      </c>
      <c r="K6751" s="36" t="str">
        <f>CONCATENATE(Cover!$D$6,"fdd/view?i=",J6751)</f>
        <v>https://www.dgiwg.org/FAD/fdd/view?i=112626</v>
      </c>
      <c r="L6751" s="36" t="s">
        <v>42952</v>
      </c>
      <c r="M6751" s="186"/>
      <c r="N6751" s="186"/>
      <c r="O6751" s="172"/>
    </row>
    <row r="6752" spans="1:15" x14ac:dyDescent="0.2">
      <c r="A6752" s="197" t="str">
        <f t="shared" si="105"/>
        <v>AgwCode_pistol</v>
      </c>
      <c r="B6752" s="409"/>
      <c r="C6752" s="416"/>
      <c r="D6752" s="198" t="s">
        <v>42953</v>
      </c>
      <c r="E6752" s="198">
        <v>3</v>
      </c>
      <c r="F6752" s="199" t="s">
        <v>42954</v>
      </c>
      <c r="G6752" s="1" t="s">
        <v>42955</v>
      </c>
      <c r="H6752" s="200"/>
      <c r="I6752" s="346"/>
      <c r="J6752" s="39">
        <v>112630</v>
      </c>
      <c r="K6752" s="36" t="str">
        <f>CONCATENATE(Cover!$D$6,"fdd/view?i=",J6752)</f>
        <v>https://www.dgiwg.org/FAD/fdd/view?i=112630</v>
      </c>
      <c r="L6752" s="36" t="s">
        <v>42956</v>
      </c>
      <c r="M6752" s="186"/>
      <c r="N6752" s="186"/>
      <c r="O6752" s="172"/>
    </row>
    <row r="6753" spans="1:15" ht="25.5" x14ac:dyDescent="0.2">
      <c r="A6753" s="197" t="str">
        <f t="shared" si="105"/>
        <v>AgwCode_rocketPropelledGrenade</v>
      </c>
      <c r="B6753" s="409"/>
      <c r="C6753" s="416"/>
      <c r="D6753" s="198" t="s">
        <v>42957</v>
      </c>
      <c r="E6753" s="198">
        <v>6</v>
      </c>
      <c r="F6753" s="199" t="s">
        <v>42958</v>
      </c>
      <c r="G6753" s="1" t="s">
        <v>42959</v>
      </c>
      <c r="H6753" s="200"/>
      <c r="I6753" s="346"/>
      <c r="J6753" s="39">
        <v>112636</v>
      </c>
      <c r="K6753" s="36" t="str">
        <f>CONCATENATE(Cover!$D$6,"fdd/view?i=",J6753)</f>
        <v>https://www.dgiwg.org/FAD/fdd/view?i=112636</v>
      </c>
      <c r="L6753" s="36" t="s">
        <v>42960</v>
      </c>
      <c r="M6753" s="186"/>
      <c r="N6753" s="186"/>
      <c r="O6753" s="172"/>
    </row>
    <row r="6754" spans="1:15" ht="25.5" x14ac:dyDescent="0.2">
      <c r="A6754" s="203" t="str">
        <f t="shared" si="105"/>
        <v>AgwCode_sword</v>
      </c>
      <c r="B6754" s="410"/>
      <c r="C6754" s="417"/>
      <c r="D6754" s="204" t="s">
        <v>42961</v>
      </c>
      <c r="E6754" s="204">
        <v>2</v>
      </c>
      <c r="F6754" s="205" t="s">
        <v>42962</v>
      </c>
      <c r="G6754" s="206" t="s">
        <v>42963</v>
      </c>
      <c r="H6754" s="207"/>
      <c r="I6754" s="347"/>
      <c r="J6754" s="39">
        <v>112628</v>
      </c>
      <c r="K6754" s="36" t="str">
        <f>CONCATENATE(Cover!$D$6,"fdd/view?i=",J6754)</f>
        <v>https://www.dgiwg.org/FAD/fdd/view?i=112628</v>
      </c>
      <c r="L6754" s="36" t="s">
        <v>42964</v>
      </c>
      <c r="M6754" s="186"/>
      <c r="N6754" s="186"/>
      <c r="O6754" s="172"/>
    </row>
    <row r="6755" spans="1:15" ht="38.25" x14ac:dyDescent="0.2">
      <c r="A6755" s="190" t="str">
        <f t="shared" si="105"/>
        <v>QuaCode_approximate</v>
      </c>
      <c r="B6755" s="414" t="str">
        <f>HYPERLINK("[#]Datatypes!A1149:L1149","QuaCode")</f>
        <v>QuaCode</v>
      </c>
      <c r="C6755" s="415" t="s">
        <v>15758</v>
      </c>
      <c r="D6755" s="221" t="s">
        <v>29227</v>
      </c>
      <c r="E6755" s="221">
        <v>4</v>
      </c>
      <c r="F6755" s="222" t="s">
        <v>29228</v>
      </c>
      <c r="G6755" s="223" t="s">
        <v>42965</v>
      </c>
      <c r="H6755" s="223" t="s">
        <v>42966</v>
      </c>
      <c r="I6755" s="345"/>
      <c r="J6755" s="39">
        <v>107041</v>
      </c>
      <c r="K6755" s="36" t="str">
        <f>CONCATENATE(Cover!$D$6,"fdd/view?i=",J6755)</f>
        <v>https://www.dgiwg.org/FAD/fdd/view?i=107041</v>
      </c>
      <c r="L6755" s="36" t="s">
        <v>42967</v>
      </c>
      <c r="M6755" s="186"/>
      <c r="N6755" s="186"/>
      <c r="O6755" s="172"/>
    </row>
    <row r="6756" spans="1:15" x14ac:dyDescent="0.2">
      <c r="A6756" s="197" t="str">
        <f t="shared" si="105"/>
        <v>QuaCode_calculated</v>
      </c>
      <c r="B6756" s="409"/>
      <c r="C6756" s="416"/>
      <c r="D6756" s="198" t="s">
        <v>42968</v>
      </c>
      <c r="E6756" s="198">
        <v>10</v>
      </c>
      <c r="F6756" s="199" t="s">
        <v>42969</v>
      </c>
      <c r="G6756" s="1" t="s">
        <v>42970</v>
      </c>
      <c r="H6756" s="200"/>
      <c r="I6756" s="346"/>
      <c r="J6756" s="39">
        <v>107047</v>
      </c>
      <c r="K6756" s="36" t="str">
        <f>CONCATENATE(Cover!$D$6,"fdd/view?i=",J6756)</f>
        <v>https://www.dgiwg.org/FAD/fdd/view?i=107047</v>
      </c>
      <c r="L6756" s="36" t="s">
        <v>42971</v>
      </c>
      <c r="M6756" s="186"/>
      <c r="N6756" s="186"/>
      <c r="O6756" s="172"/>
    </row>
    <row r="6757" spans="1:15" ht="25.5" x14ac:dyDescent="0.2">
      <c r="A6757" s="197" t="str">
        <f t="shared" si="105"/>
        <v>QuaCode_confirmedReport</v>
      </c>
      <c r="B6757" s="409"/>
      <c r="C6757" s="416"/>
      <c r="D6757" s="198" t="s">
        <v>42972</v>
      </c>
      <c r="E6757" s="198">
        <v>7</v>
      </c>
      <c r="F6757" s="199" t="s">
        <v>42973</v>
      </c>
      <c r="G6757" s="1" t="s">
        <v>42974</v>
      </c>
      <c r="H6757" s="200"/>
      <c r="I6757" s="351" t="s">
        <v>42975</v>
      </c>
      <c r="J6757" s="39">
        <v>107044</v>
      </c>
      <c r="K6757" s="36" t="str">
        <f>CONCATENATE(Cover!$D$6,"fdd/view?i=",J6757)</f>
        <v>https://www.dgiwg.org/FAD/fdd/view?i=107044</v>
      </c>
      <c r="L6757" s="36" t="s">
        <v>42976</v>
      </c>
      <c r="M6757" s="186"/>
      <c r="N6757" s="186"/>
      <c r="O6757" s="172"/>
    </row>
    <row r="6758" spans="1:15" x14ac:dyDescent="0.2">
      <c r="A6758" s="197" t="str">
        <f t="shared" si="105"/>
        <v>QuaCode_doubtful</v>
      </c>
      <c r="B6758" s="409"/>
      <c r="C6758" s="416"/>
      <c r="D6758" s="198" t="s">
        <v>29845</v>
      </c>
      <c r="E6758" s="198">
        <v>5</v>
      </c>
      <c r="F6758" s="199" t="s">
        <v>29846</v>
      </c>
      <c r="G6758" s="1" t="s">
        <v>42977</v>
      </c>
      <c r="H6758" s="200"/>
      <c r="I6758" s="346"/>
      <c r="J6758" s="39">
        <v>107042</v>
      </c>
      <c r="K6758" s="36" t="str">
        <f>CONCATENATE(Cover!$D$6,"fdd/view?i=",J6758)</f>
        <v>https://www.dgiwg.org/FAD/fdd/view?i=107042</v>
      </c>
      <c r="L6758" s="36" t="s">
        <v>42978</v>
      </c>
      <c r="M6758" s="186"/>
      <c r="N6758" s="186"/>
      <c r="O6758" s="172"/>
    </row>
    <row r="6759" spans="1:15" ht="25.5" x14ac:dyDescent="0.2">
      <c r="A6759" s="197" t="str">
        <f t="shared" si="105"/>
        <v>QuaCode_estimated</v>
      </c>
      <c r="B6759" s="409"/>
      <c r="C6759" s="416"/>
      <c r="D6759" s="198" t="s">
        <v>24448</v>
      </c>
      <c r="E6759" s="198">
        <v>9</v>
      </c>
      <c r="F6759" s="199" t="s">
        <v>24449</v>
      </c>
      <c r="G6759" s="1" t="s">
        <v>42979</v>
      </c>
      <c r="H6759" s="200"/>
      <c r="I6759" s="346"/>
      <c r="J6759" s="39">
        <v>107046</v>
      </c>
      <c r="K6759" s="36" t="str">
        <f>CONCATENATE(Cover!$D$6,"fdd/view?i=",J6759)</f>
        <v>https://www.dgiwg.org/FAD/fdd/view?i=107046</v>
      </c>
      <c r="L6759" s="36" t="s">
        <v>42980</v>
      </c>
      <c r="M6759" s="186"/>
      <c r="N6759" s="186"/>
      <c r="O6759" s="172"/>
    </row>
    <row r="6760" spans="1:15" ht="25.5" x14ac:dyDescent="0.2">
      <c r="A6760" s="197" t="str">
        <f t="shared" si="105"/>
        <v>QuaCode_preciselyKnown</v>
      </c>
      <c r="B6760" s="409"/>
      <c r="C6760" s="416"/>
      <c r="D6760" s="198" t="s">
        <v>42981</v>
      </c>
      <c r="E6760" s="198">
        <v>11</v>
      </c>
      <c r="F6760" s="199" t="s">
        <v>42982</v>
      </c>
      <c r="G6760" s="1" t="s">
        <v>42983</v>
      </c>
      <c r="H6760" s="200"/>
      <c r="I6760" s="346"/>
      <c r="J6760" s="39">
        <v>107048</v>
      </c>
      <c r="K6760" s="36" t="str">
        <f>CONCATENATE(Cover!$D$6,"fdd/view?i=",J6760)</f>
        <v>https://www.dgiwg.org/FAD/fdd/view?i=107048</v>
      </c>
      <c r="L6760" s="36" t="s">
        <v>42984</v>
      </c>
      <c r="M6760" s="186"/>
      <c r="N6760" s="186"/>
      <c r="O6760" s="172"/>
    </row>
    <row r="6761" spans="1:15" ht="25.5" x14ac:dyDescent="0.2">
      <c r="A6761" s="197" t="str">
        <f t="shared" si="105"/>
        <v>QuaCode_unconfirmedReport</v>
      </c>
      <c r="B6761" s="409"/>
      <c r="C6761" s="416"/>
      <c r="D6761" s="198" t="s">
        <v>42985</v>
      </c>
      <c r="E6761" s="198">
        <v>8</v>
      </c>
      <c r="F6761" s="199" t="s">
        <v>42986</v>
      </c>
      <c r="G6761" s="1" t="s">
        <v>42987</v>
      </c>
      <c r="H6761" s="200"/>
      <c r="I6761" s="351" t="s">
        <v>42988</v>
      </c>
      <c r="J6761" s="39">
        <v>107045</v>
      </c>
      <c r="K6761" s="36" t="str">
        <f>CONCATENATE(Cover!$D$6,"fdd/view?i=",J6761)</f>
        <v>https://www.dgiwg.org/FAD/fdd/view?i=107045</v>
      </c>
      <c r="L6761" s="36" t="s">
        <v>42989</v>
      </c>
      <c r="M6761" s="186"/>
      <c r="N6761" s="186"/>
      <c r="O6761" s="172"/>
    </row>
    <row r="6762" spans="1:15" x14ac:dyDescent="0.2">
      <c r="A6762" s="203" t="str">
        <f t="shared" si="105"/>
        <v>QuaCode_unreliable</v>
      </c>
      <c r="B6762" s="410"/>
      <c r="C6762" s="417"/>
      <c r="D6762" s="204" t="s">
        <v>20263</v>
      </c>
      <c r="E6762" s="204">
        <v>6</v>
      </c>
      <c r="F6762" s="205" t="s">
        <v>20264</v>
      </c>
      <c r="G6762" s="206" t="s">
        <v>42990</v>
      </c>
      <c r="H6762" s="207"/>
      <c r="I6762" s="347"/>
      <c r="J6762" s="39">
        <v>107043</v>
      </c>
      <c r="K6762" s="36" t="str">
        <f>CONCATENATE(Cover!$D$6,"fdd/view?i=",J6762)</f>
        <v>https://www.dgiwg.org/FAD/fdd/view?i=107043</v>
      </c>
      <c r="L6762" s="36" t="s">
        <v>42991</v>
      </c>
      <c r="M6762" s="186"/>
      <c r="N6762" s="186"/>
      <c r="O6762" s="172"/>
    </row>
    <row r="6763" spans="1:15" x14ac:dyDescent="0.2">
      <c r="A6763" s="190" t="str">
        <f t="shared" si="105"/>
        <v>PosCode_geothermal</v>
      </c>
      <c r="B6763" s="414" t="str">
        <f>HYPERLINK("[#]Datatypes!A1151:L1151","PosCode")</f>
        <v>PosCode</v>
      </c>
      <c r="C6763" s="415" t="s">
        <v>15760</v>
      </c>
      <c r="D6763" s="221" t="s">
        <v>42992</v>
      </c>
      <c r="E6763" s="221">
        <v>1</v>
      </c>
      <c r="F6763" s="222" t="s">
        <v>42993</v>
      </c>
      <c r="G6763" s="223" t="s">
        <v>42994</v>
      </c>
      <c r="H6763" s="224"/>
      <c r="I6763" s="345"/>
      <c r="J6763" s="39">
        <v>119679</v>
      </c>
      <c r="K6763" s="36" t="str">
        <f>CONCATENATE(Cover!$D$6,"fdd/view?i=",J6763)</f>
        <v>https://www.dgiwg.org/FAD/fdd/view?i=119679</v>
      </c>
      <c r="L6763" s="36" t="s">
        <v>42995</v>
      </c>
      <c r="M6763" s="186"/>
      <c r="N6763" s="186"/>
      <c r="O6763" s="172"/>
    </row>
    <row r="6764" spans="1:15" ht="38.25" x14ac:dyDescent="0.2">
      <c r="A6764" s="197" t="str">
        <f t="shared" si="105"/>
        <v>PosCode_hydroElectric</v>
      </c>
      <c r="B6764" s="409"/>
      <c r="C6764" s="416"/>
      <c r="D6764" s="198" t="s">
        <v>42996</v>
      </c>
      <c r="E6764" s="198">
        <v>2</v>
      </c>
      <c r="F6764" s="199" t="s">
        <v>42997</v>
      </c>
      <c r="G6764" s="1" t="s">
        <v>42998</v>
      </c>
      <c r="H6764" s="1" t="s">
        <v>42999</v>
      </c>
      <c r="I6764" s="346"/>
      <c r="J6764" s="39">
        <v>119680</v>
      </c>
      <c r="K6764" s="36" t="str">
        <f>CONCATENATE(Cover!$D$6,"fdd/view?i=",J6764)</f>
        <v>https://www.dgiwg.org/FAD/fdd/view?i=119680</v>
      </c>
      <c r="L6764" s="36" t="s">
        <v>43000</v>
      </c>
      <c r="M6764" s="186"/>
      <c r="N6764" s="186"/>
      <c r="O6764" s="172"/>
    </row>
    <row r="6765" spans="1:15" x14ac:dyDescent="0.2">
      <c r="A6765" s="197" t="str">
        <f t="shared" si="105"/>
        <v>PosCode_nuclear</v>
      </c>
      <c r="B6765" s="409"/>
      <c r="C6765" s="416"/>
      <c r="D6765" s="198" t="s">
        <v>29746</v>
      </c>
      <c r="E6765" s="198">
        <v>3</v>
      </c>
      <c r="F6765" s="199" t="s">
        <v>29747</v>
      </c>
      <c r="G6765" s="1" t="s">
        <v>43001</v>
      </c>
      <c r="H6765" s="200"/>
      <c r="I6765" s="346"/>
      <c r="J6765" s="39">
        <v>119681</v>
      </c>
      <c r="K6765" s="36" t="str">
        <f>CONCATENATE(Cover!$D$6,"fdd/view?i=",J6765)</f>
        <v>https://www.dgiwg.org/FAD/fdd/view?i=119681</v>
      </c>
      <c r="L6765" s="36" t="s">
        <v>43002</v>
      </c>
      <c r="M6765" s="186"/>
      <c r="N6765" s="186"/>
      <c r="O6765" s="172"/>
    </row>
    <row r="6766" spans="1:15" ht="25.5" x14ac:dyDescent="0.2">
      <c r="A6766" s="197" t="str">
        <f t="shared" si="105"/>
        <v>PosCode_thermal</v>
      </c>
      <c r="B6766" s="409"/>
      <c r="C6766" s="416"/>
      <c r="D6766" s="198" t="s">
        <v>40242</v>
      </c>
      <c r="E6766" s="198">
        <v>4</v>
      </c>
      <c r="F6766" s="199" t="s">
        <v>40243</v>
      </c>
      <c r="G6766" s="1" t="s">
        <v>43003</v>
      </c>
      <c r="H6766" s="1" t="s">
        <v>43004</v>
      </c>
      <c r="I6766" s="346"/>
      <c r="J6766" s="39">
        <v>119682</v>
      </c>
      <c r="K6766" s="36" t="str">
        <f>CONCATENATE(Cover!$D$6,"fdd/view?i=",J6766)</f>
        <v>https://www.dgiwg.org/FAD/fdd/view?i=119682</v>
      </c>
      <c r="L6766" s="36" t="s">
        <v>43005</v>
      </c>
      <c r="M6766" s="186"/>
      <c r="N6766" s="186"/>
      <c r="O6766" s="172"/>
    </row>
    <row r="6767" spans="1:15" x14ac:dyDescent="0.2">
      <c r="A6767" s="203" t="str">
        <f t="shared" si="105"/>
        <v>PosCode_tidal</v>
      </c>
      <c r="B6767" s="410"/>
      <c r="C6767" s="417"/>
      <c r="D6767" s="204" t="s">
        <v>20134</v>
      </c>
      <c r="E6767" s="204">
        <v>5</v>
      </c>
      <c r="F6767" s="205" t="s">
        <v>20135</v>
      </c>
      <c r="G6767" s="206" t="s">
        <v>43006</v>
      </c>
      <c r="H6767" s="207"/>
      <c r="I6767" s="347"/>
      <c r="J6767" s="39">
        <v>119683</v>
      </c>
      <c r="K6767" s="36" t="str">
        <f>CONCATENATE(Cover!$D$6,"fdd/view?i=",J6767)</f>
        <v>https://www.dgiwg.org/FAD/fdd/view?i=119683</v>
      </c>
      <c r="L6767" s="36" t="s">
        <v>43007</v>
      </c>
      <c r="M6767" s="186"/>
      <c r="N6767" s="186"/>
      <c r="O6767" s="172"/>
    </row>
    <row r="6768" spans="1:15" x14ac:dyDescent="0.2">
      <c r="A6768" s="190" t="str">
        <f t="shared" si="105"/>
        <v>PpcCode_geothermal</v>
      </c>
      <c r="B6768" s="414" t="str">
        <f>HYPERLINK("[#]Datatypes!A1153:L1153","PpcCode")</f>
        <v>PpcCode</v>
      </c>
      <c r="C6768" s="415" t="s">
        <v>15762</v>
      </c>
      <c r="D6768" s="221" t="s">
        <v>42992</v>
      </c>
      <c r="E6768" s="221">
        <v>4</v>
      </c>
      <c r="F6768" s="222" t="s">
        <v>42993</v>
      </c>
      <c r="G6768" s="223" t="s">
        <v>42994</v>
      </c>
      <c r="H6768" s="224"/>
      <c r="I6768" s="345"/>
      <c r="J6768" s="39">
        <v>106453</v>
      </c>
      <c r="K6768" s="36" t="str">
        <f>CONCATENATE(Cover!$D$6,"fdd/view?i=",J6768)</f>
        <v>https://www.dgiwg.org/FAD/fdd/view?i=106453</v>
      </c>
      <c r="L6768" s="36" t="s">
        <v>43008</v>
      </c>
      <c r="M6768" s="186"/>
      <c r="N6768" s="186"/>
      <c r="O6768" s="172"/>
    </row>
    <row r="6769" spans="1:15" ht="38.25" x14ac:dyDescent="0.2">
      <c r="A6769" s="197" t="str">
        <f t="shared" si="105"/>
        <v>PpcCode_hydroElectric</v>
      </c>
      <c r="B6769" s="409"/>
      <c r="C6769" s="416"/>
      <c r="D6769" s="198" t="s">
        <v>42996</v>
      </c>
      <c r="E6769" s="198">
        <v>1</v>
      </c>
      <c r="F6769" s="199" t="s">
        <v>42997</v>
      </c>
      <c r="G6769" s="1" t="s">
        <v>43009</v>
      </c>
      <c r="H6769" s="1" t="s">
        <v>42999</v>
      </c>
      <c r="I6769" s="346"/>
      <c r="J6769" s="39">
        <v>106450</v>
      </c>
      <c r="K6769" s="36" t="str">
        <f>CONCATENATE(Cover!$D$6,"fdd/view?i=",J6769)</f>
        <v>https://www.dgiwg.org/FAD/fdd/view?i=106450</v>
      </c>
      <c r="L6769" s="36" t="s">
        <v>43010</v>
      </c>
      <c r="M6769" s="186"/>
      <c r="N6769" s="186"/>
      <c r="O6769" s="172"/>
    </row>
    <row r="6770" spans="1:15" x14ac:dyDescent="0.2">
      <c r="A6770" s="197" t="str">
        <f t="shared" si="105"/>
        <v>PpcCode_nuclear</v>
      </c>
      <c r="B6770" s="409"/>
      <c r="C6770" s="416"/>
      <c r="D6770" s="198" t="s">
        <v>29746</v>
      </c>
      <c r="E6770" s="198">
        <v>2</v>
      </c>
      <c r="F6770" s="199" t="s">
        <v>29747</v>
      </c>
      <c r="G6770" s="1" t="s">
        <v>43001</v>
      </c>
      <c r="H6770" s="200"/>
      <c r="I6770" s="346"/>
      <c r="J6770" s="39">
        <v>106451</v>
      </c>
      <c r="K6770" s="36" t="str">
        <f>CONCATENATE(Cover!$D$6,"fdd/view?i=",J6770)</f>
        <v>https://www.dgiwg.org/FAD/fdd/view?i=106451</v>
      </c>
      <c r="L6770" s="36" t="s">
        <v>43011</v>
      </c>
      <c r="M6770" s="186"/>
      <c r="N6770" s="186"/>
      <c r="O6770" s="172"/>
    </row>
    <row r="6771" spans="1:15" x14ac:dyDescent="0.2">
      <c r="A6771" s="197" t="str">
        <f t="shared" si="105"/>
        <v>PpcCode_solar</v>
      </c>
      <c r="B6771" s="409"/>
      <c r="C6771" s="416"/>
      <c r="D6771" s="198" t="s">
        <v>43012</v>
      </c>
      <c r="E6771" s="198">
        <v>3</v>
      </c>
      <c r="F6771" s="199" t="s">
        <v>43013</v>
      </c>
      <c r="G6771" s="1" t="s">
        <v>43014</v>
      </c>
      <c r="H6771" s="200"/>
      <c r="I6771" s="346"/>
      <c r="J6771" s="39">
        <v>106452</v>
      </c>
      <c r="K6771" s="36" t="str">
        <f>CONCATENATE(Cover!$D$6,"fdd/view?i=",J6771)</f>
        <v>https://www.dgiwg.org/FAD/fdd/view?i=106452</v>
      </c>
      <c r="L6771" s="36" t="s">
        <v>43015</v>
      </c>
      <c r="M6771" s="186"/>
      <c r="N6771" s="186"/>
      <c r="O6771" s="172"/>
    </row>
    <row r="6772" spans="1:15" ht="25.5" x14ac:dyDescent="0.2">
      <c r="A6772" s="197" t="str">
        <f t="shared" si="105"/>
        <v>PpcCode_thermal</v>
      </c>
      <c r="B6772" s="409"/>
      <c r="C6772" s="416"/>
      <c r="D6772" s="198" t="s">
        <v>40242</v>
      </c>
      <c r="E6772" s="198">
        <v>7</v>
      </c>
      <c r="F6772" s="199" t="s">
        <v>40243</v>
      </c>
      <c r="G6772" s="1" t="s">
        <v>43003</v>
      </c>
      <c r="H6772" s="1" t="s">
        <v>43004</v>
      </c>
      <c r="I6772" s="346"/>
      <c r="J6772" s="39">
        <v>114367</v>
      </c>
      <c r="K6772" s="36" t="str">
        <f>CONCATENATE(Cover!$D$6,"fdd/view?i=",J6772)</f>
        <v>https://www.dgiwg.org/FAD/fdd/view?i=114367</v>
      </c>
      <c r="L6772" s="36" t="s">
        <v>43016</v>
      </c>
      <c r="M6772" s="186"/>
      <c r="N6772" s="186"/>
      <c r="O6772" s="172"/>
    </row>
    <row r="6773" spans="1:15" x14ac:dyDescent="0.2">
      <c r="A6773" s="197" t="str">
        <f t="shared" si="105"/>
        <v>PpcCode_tidal</v>
      </c>
      <c r="B6773" s="409"/>
      <c r="C6773" s="416"/>
      <c r="D6773" s="198" t="s">
        <v>20134</v>
      </c>
      <c r="E6773" s="198">
        <v>6</v>
      </c>
      <c r="F6773" s="199" t="s">
        <v>20135</v>
      </c>
      <c r="G6773" s="1" t="s">
        <v>43006</v>
      </c>
      <c r="H6773" s="200"/>
      <c r="I6773" s="346"/>
      <c r="J6773" s="39">
        <v>106455</v>
      </c>
      <c r="K6773" s="36" t="str">
        <f>CONCATENATE(Cover!$D$6,"fdd/view?i=",J6773)</f>
        <v>https://www.dgiwg.org/FAD/fdd/view?i=106455</v>
      </c>
      <c r="L6773" s="36" t="s">
        <v>43017</v>
      </c>
      <c r="M6773" s="186"/>
      <c r="N6773" s="186"/>
      <c r="O6773" s="172"/>
    </row>
    <row r="6774" spans="1:15" x14ac:dyDescent="0.2">
      <c r="A6774" s="203" t="str">
        <f t="shared" si="105"/>
        <v>PpcCode_wind</v>
      </c>
      <c r="B6774" s="410"/>
      <c r="C6774" s="417"/>
      <c r="D6774" s="204" t="s">
        <v>31848</v>
      </c>
      <c r="E6774" s="204">
        <v>5</v>
      </c>
      <c r="F6774" s="205" t="s">
        <v>31849</v>
      </c>
      <c r="G6774" s="206" t="s">
        <v>43018</v>
      </c>
      <c r="H6774" s="207"/>
      <c r="I6774" s="347"/>
      <c r="J6774" s="39">
        <v>106454</v>
      </c>
      <c r="K6774" s="36" t="str">
        <f>CONCATENATE(Cover!$D$6,"fdd/view?i=",J6774)</f>
        <v>https://www.dgiwg.org/FAD/fdd/view?i=106454</v>
      </c>
      <c r="L6774" s="36" t="s">
        <v>43019</v>
      </c>
      <c r="M6774" s="186"/>
      <c r="N6774" s="186"/>
      <c r="O6774" s="172"/>
    </row>
    <row r="6775" spans="1:15" x14ac:dyDescent="0.2">
      <c r="A6775" s="190" t="str">
        <f t="shared" si="105"/>
        <v>NomCode_gold</v>
      </c>
      <c r="B6775" s="414" t="str">
        <f>HYPERLINK("[#]Datatypes!A1155:L1155","NomCode")</f>
        <v>NomCode</v>
      </c>
      <c r="C6775" s="415" t="s">
        <v>15764</v>
      </c>
      <c r="D6775" s="221" t="s">
        <v>25753</v>
      </c>
      <c r="E6775" s="221">
        <v>1</v>
      </c>
      <c r="F6775" s="222" t="s">
        <v>43020</v>
      </c>
      <c r="G6775" s="223" t="s">
        <v>43021</v>
      </c>
      <c r="H6775" s="223" t="s">
        <v>43022</v>
      </c>
      <c r="I6775" s="345"/>
      <c r="J6775" s="39">
        <v>113594</v>
      </c>
      <c r="K6775" s="36" t="str">
        <f>CONCATENATE(Cover!$D$6,"fdd/view?i=",J6775)</f>
        <v>https://www.dgiwg.org/FAD/fdd/view?i=113594</v>
      </c>
      <c r="L6775" s="36" t="s">
        <v>43023</v>
      </c>
      <c r="M6775" s="186"/>
      <c r="N6775" s="186"/>
      <c r="O6775" s="172"/>
    </row>
    <row r="6776" spans="1:15" ht="63.75" x14ac:dyDescent="0.2">
      <c r="A6776" s="197" t="str">
        <f t="shared" si="105"/>
        <v>NomCode_platinumMetals</v>
      </c>
      <c r="B6776" s="409"/>
      <c r="C6776" s="416"/>
      <c r="D6776" s="198" t="s">
        <v>43024</v>
      </c>
      <c r="E6776" s="198">
        <v>2</v>
      </c>
      <c r="F6776" s="199" t="s">
        <v>43025</v>
      </c>
      <c r="G6776" s="1" t="s">
        <v>43026</v>
      </c>
      <c r="H6776" s="1" t="s">
        <v>43027</v>
      </c>
      <c r="I6776" s="346"/>
      <c r="J6776" s="39">
        <v>113595</v>
      </c>
      <c r="K6776" s="36" t="str">
        <f>CONCATENATE(Cover!$D$6,"fdd/view?i=",J6776)</f>
        <v>https://www.dgiwg.org/FAD/fdd/view?i=113595</v>
      </c>
      <c r="L6776" s="36" t="s">
        <v>43028</v>
      </c>
      <c r="M6776" s="186"/>
      <c r="N6776" s="186"/>
      <c r="O6776" s="172"/>
    </row>
    <row r="6777" spans="1:15" ht="51" x14ac:dyDescent="0.2">
      <c r="A6777" s="203" t="str">
        <f t="shared" si="105"/>
        <v>NomCode_silver</v>
      </c>
      <c r="B6777" s="410"/>
      <c r="C6777" s="417"/>
      <c r="D6777" s="204" t="s">
        <v>25871</v>
      </c>
      <c r="E6777" s="204">
        <v>3</v>
      </c>
      <c r="F6777" s="205" t="s">
        <v>43029</v>
      </c>
      <c r="G6777" s="206" t="s">
        <v>43030</v>
      </c>
      <c r="H6777" s="206" t="s">
        <v>43031</v>
      </c>
      <c r="I6777" s="347"/>
      <c r="J6777" s="39">
        <v>113596</v>
      </c>
      <c r="K6777" s="36" t="str">
        <f>CONCATENATE(Cover!$D$6,"fdd/view?i=",J6777)</f>
        <v>https://www.dgiwg.org/FAD/fdd/view?i=113596</v>
      </c>
      <c r="L6777" s="36" t="s">
        <v>43032</v>
      </c>
      <c r="M6777" s="186"/>
      <c r="N6777" s="186"/>
      <c r="O6777" s="172"/>
    </row>
    <row r="6778" spans="1:15" ht="25.5" x14ac:dyDescent="0.2">
      <c r="A6778" s="190" t="str">
        <f t="shared" si="105"/>
        <v>SarCode_anhydrite</v>
      </c>
      <c r="B6778" s="414" t="str">
        <f>HYPERLINK("[#]Datatypes!A1157:L1157","SarCode")</f>
        <v>SarCode</v>
      </c>
      <c r="C6778" s="415" t="s">
        <v>15766</v>
      </c>
      <c r="D6778" s="221" t="s">
        <v>43033</v>
      </c>
      <c r="E6778" s="221">
        <v>1</v>
      </c>
      <c r="F6778" s="222" t="s">
        <v>43034</v>
      </c>
      <c r="G6778" s="223" t="s">
        <v>43035</v>
      </c>
      <c r="H6778" s="223" t="s">
        <v>43036</v>
      </c>
      <c r="I6778" s="345"/>
      <c r="J6778" s="39">
        <v>113758</v>
      </c>
      <c r="K6778" s="36" t="str">
        <f>CONCATENATE(Cover!$D$6,"fdd/view?i=",J6778)</f>
        <v>https://www.dgiwg.org/FAD/fdd/view?i=113758</v>
      </c>
      <c r="L6778" s="36" t="s">
        <v>43037</v>
      </c>
      <c r="M6778" s="186"/>
      <c r="N6778" s="186"/>
      <c r="O6778" s="172"/>
    </row>
    <row r="6779" spans="1:15" ht="25.5" x14ac:dyDescent="0.2">
      <c r="A6779" s="197" t="str">
        <f t="shared" si="105"/>
        <v>SarCode_boronSalt</v>
      </c>
      <c r="B6779" s="409"/>
      <c r="C6779" s="416"/>
      <c r="D6779" s="198" t="s">
        <v>43038</v>
      </c>
      <c r="E6779" s="198">
        <v>2</v>
      </c>
      <c r="F6779" s="199" t="s">
        <v>43039</v>
      </c>
      <c r="G6779" s="1" t="s">
        <v>43040</v>
      </c>
      <c r="H6779" s="1" t="s">
        <v>43041</v>
      </c>
      <c r="I6779" s="351" t="s">
        <v>43042</v>
      </c>
      <c r="J6779" s="39">
        <v>113759</v>
      </c>
      <c r="K6779" s="36" t="str">
        <f>CONCATENATE(Cover!$D$6,"fdd/view?i=",J6779)</f>
        <v>https://www.dgiwg.org/FAD/fdd/view?i=113759</v>
      </c>
      <c r="L6779" s="36" t="s">
        <v>43043</v>
      </c>
      <c r="M6779" s="186"/>
      <c r="N6779" s="186"/>
      <c r="O6779" s="172"/>
    </row>
    <row r="6780" spans="1:15" ht="25.5" x14ac:dyDescent="0.2">
      <c r="A6780" s="197" t="str">
        <f t="shared" si="105"/>
        <v>SarCode_gypsum</v>
      </c>
      <c r="B6780" s="409"/>
      <c r="C6780" s="416"/>
      <c r="D6780" s="198" t="s">
        <v>43044</v>
      </c>
      <c r="E6780" s="198">
        <v>3</v>
      </c>
      <c r="F6780" s="199" t="s">
        <v>43045</v>
      </c>
      <c r="G6780" s="1" t="s">
        <v>43046</v>
      </c>
      <c r="H6780" s="1" t="s">
        <v>43047</v>
      </c>
      <c r="I6780" s="346"/>
      <c r="J6780" s="39">
        <v>113760</v>
      </c>
      <c r="K6780" s="36" t="str">
        <f>CONCATENATE(Cover!$D$6,"fdd/view?i=",J6780)</f>
        <v>https://www.dgiwg.org/FAD/fdd/view?i=113760</v>
      </c>
      <c r="L6780" s="36" t="s">
        <v>43048</v>
      </c>
      <c r="M6780" s="186"/>
      <c r="N6780" s="186"/>
      <c r="O6780" s="172"/>
    </row>
    <row r="6781" spans="1:15" ht="25.5" x14ac:dyDescent="0.2">
      <c r="A6781" s="197" t="str">
        <f t="shared" si="105"/>
        <v>SarCode_potassiumSalt</v>
      </c>
      <c r="B6781" s="409"/>
      <c r="C6781" s="416"/>
      <c r="D6781" s="198" t="s">
        <v>43049</v>
      </c>
      <c r="E6781" s="198">
        <v>4</v>
      </c>
      <c r="F6781" s="199" t="s">
        <v>43050</v>
      </c>
      <c r="G6781" s="1" t="s">
        <v>43051</v>
      </c>
      <c r="H6781" s="1" t="s">
        <v>43052</v>
      </c>
      <c r="I6781" s="346"/>
      <c r="J6781" s="39">
        <v>113761</v>
      </c>
      <c r="K6781" s="36" t="str">
        <f>CONCATENATE(Cover!$D$6,"fdd/view?i=",J6781)</f>
        <v>https://www.dgiwg.org/FAD/fdd/view?i=113761</v>
      </c>
      <c r="L6781" s="36" t="s">
        <v>43053</v>
      </c>
      <c r="M6781" s="186"/>
      <c r="N6781" s="186"/>
      <c r="O6781" s="172"/>
    </row>
    <row r="6782" spans="1:15" ht="25.5" x14ac:dyDescent="0.2">
      <c r="A6782" s="203" t="str">
        <f t="shared" si="105"/>
        <v>SarCode_sodiumSalt</v>
      </c>
      <c r="B6782" s="410"/>
      <c r="C6782" s="417"/>
      <c r="D6782" s="204" t="s">
        <v>43054</v>
      </c>
      <c r="E6782" s="204">
        <v>5</v>
      </c>
      <c r="F6782" s="205" t="s">
        <v>43055</v>
      </c>
      <c r="G6782" s="206" t="s">
        <v>43056</v>
      </c>
      <c r="H6782" s="206" t="s">
        <v>43057</v>
      </c>
      <c r="I6782" s="353" t="s">
        <v>43058</v>
      </c>
      <c r="J6782" s="39">
        <v>113762</v>
      </c>
      <c r="K6782" s="36" t="str">
        <f>CONCATENATE(Cover!$D$6,"fdd/view?i=",J6782)</f>
        <v>https://www.dgiwg.org/FAD/fdd/view?i=113762</v>
      </c>
      <c r="L6782" s="36" t="s">
        <v>43059</v>
      </c>
      <c r="M6782" s="186"/>
      <c r="N6782" s="186"/>
      <c r="O6782" s="172"/>
    </row>
    <row r="6783" spans="1:15" ht="25.5" x14ac:dyDescent="0.2">
      <c r="A6783" s="190" t="str">
        <f t="shared" si="105"/>
        <v>VgzCode_borealConiferousForest</v>
      </c>
      <c r="B6783" s="414" t="str">
        <f>HYPERLINK("[#]Datatypes!A1159:L1159","VgzCode")</f>
        <v>VgzCode</v>
      </c>
      <c r="C6783" s="415" t="s">
        <v>15768</v>
      </c>
      <c r="D6783" s="221" t="s">
        <v>20560</v>
      </c>
      <c r="E6783" s="221">
        <v>4</v>
      </c>
      <c r="F6783" s="222" t="s">
        <v>20561</v>
      </c>
      <c r="G6783" s="223" t="s">
        <v>43060</v>
      </c>
      <c r="H6783" s="224"/>
      <c r="I6783" s="352" t="s">
        <v>5357</v>
      </c>
      <c r="J6783" s="39">
        <v>114088</v>
      </c>
      <c r="K6783" s="36" t="str">
        <f>CONCATENATE(Cover!$D$6,"fdd/view?i=",J6783)</f>
        <v>https://www.dgiwg.org/FAD/fdd/view?i=114088</v>
      </c>
      <c r="L6783" s="36" t="s">
        <v>43061</v>
      </c>
      <c r="M6783" s="186"/>
      <c r="N6783" s="186"/>
      <c r="O6783" s="172"/>
    </row>
    <row r="6784" spans="1:15" ht="25.5" x14ac:dyDescent="0.2">
      <c r="A6784" s="197" t="str">
        <f t="shared" si="105"/>
        <v>VgzCode_coldDesert</v>
      </c>
      <c r="B6784" s="409"/>
      <c r="C6784" s="416"/>
      <c r="D6784" s="198" t="s">
        <v>43062</v>
      </c>
      <c r="E6784" s="198">
        <v>1</v>
      </c>
      <c r="F6784" s="199" t="s">
        <v>43063</v>
      </c>
      <c r="G6784" s="1" t="s">
        <v>43064</v>
      </c>
      <c r="H6784" s="200"/>
      <c r="I6784" s="346"/>
      <c r="J6784" s="39">
        <v>114085</v>
      </c>
      <c r="K6784" s="36" t="str">
        <f>CONCATENATE(Cover!$D$6,"fdd/view?i=",J6784)</f>
        <v>https://www.dgiwg.org/FAD/fdd/view?i=114085</v>
      </c>
      <c r="L6784" s="36" t="s">
        <v>43065</v>
      </c>
      <c r="M6784" s="186"/>
      <c r="N6784" s="186"/>
      <c r="O6784" s="172"/>
    </row>
    <row r="6785" spans="1:15" ht="38.25" x14ac:dyDescent="0.2">
      <c r="A6785" s="197" t="str">
        <f t="shared" si="105"/>
        <v>VgzCode_deciduousMixedForest</v>
      </c>
      <c r="B6785" s="409"/>
      <c r="C6785" s="416"/>
      <c r="D6785" s="198" t="s">
        <v>43066</v>
      </c>
      <c r="E6785" s="198">
        <v>5</v>
      </c>
      <c r="F6785" s="199" t="s">
        <v>43067</v>
      </c>
      <c r="G6785" s="1" t="s">
        <v>43068</v>
      </c>
      <c r="H6785" s="200"/>
      <c r="I6785" s="346"/>
      <c r="J6785" s="39">
        <v>114089</v>
      </c>
      <c r="K6785" s="36" t="str">
        <f>CONCATENATE(Cover!$D$6,"fdd/view?i=",J6785)</f>
        <v>https://www.dgiwg.org/FAD/fdd/view?i=114089</v>
      </c>
      <c r="L6785" s="36" t="s">
        <v>43069</v>
      </c>
      <c r="M6785" s="186"/>
      <c r="N6785" s="186"/>
      <c r="O6785" s="172"/>
    </row>
    <row r="6786" spans="1:15" ht="25.5" x14ac:dyDescent="0.2">
      <c r="A6786" s="197" t="str">
        <f t="shared" ref="A6786:A6849" si="106">HYPERLINK(K6786,L6786)</f>
        <v>VgzCode_desertSteppe</v>
      </c>
      <c r="B6786" s="409"/>
      <c r="C6786" s="416"/>
      <c r="D6786" s="198" t="s">
        <v>43070</v>
      </c>
      <c r="E6786" s="198">
        <v>10</v>
      </c>
      <c r="F6786" s="199" t="s">
        <v>43071</v>
      </c>
      <c r="G6786" s="1" t="s">
        <v>43072</v>
      </c>
      <c r="H6786" s="200"/>
      <c r="I6786" s="351" t="s">
        <v>43073</v>
      </c>
      <c r="J6786" s="39">
        <v>114093</v>
      </c>
      <c r="K6786" s="36" t="str">
        <f>CONCATENATE(Cover!$D$6,"fdd/view?i=",J6786)</f>
        <v>https://www.dgiwg.org/FAD/fdd/view?i=114093</v>
      </c>
      <c r="L6786" s="36" t="s">
        <v>43074</v>
      </c>
      <c r="M6786" s="186"/>
      <c r="N6786" s="186"/>
      <c r="O6786" s="172"/>
    </row>
    <row r="6787" spans="1:15" x14ac:dyDescent="0.2">
      <c r="A6787" s="197" t="str">
        <f t="shared" si="106"/>
        <v>VgzCode_dryDesert</v>
      </c>
      <c r="B6787" s="409"/>
      <c r="C6787" s="416"/>
      <c r="D6787" s="198" t="s">
        <v>43075</v>
      </c>
      <c r="E6787" s="198">
        <v>9</v>
      </c>
      <c r="F6787" s="199" t="s">
        <v>43076</v>
      </c>
      <c r="G6787" s="1" t="s">
        <v>43077</v>
      </c>
      <c r="H6787" s="200"/>
      <c r="I6787" s="346"/>
      <c r="J6787" s="39">
        <v>114092</v>
      </c>
      <c r="K6787" s="36" t="str">
        <f>CONCATENATE(Cover!$D$6,"fdd/view?i=",J6787)</f>
        <v>https://www.dgiwg.org/FAD/fdd/view?i=114092</v>
      </c>
      <c r="L6787" s="36" t="s">
        <v>43078</v>
      </c>
      <c r="M6787" s="186"/>
      <c r="N6787" s="186"/>
      <c r="O6787" s="172"/>
    </row>
    <row r="6788" spans="1:15" ht="25.5" x14ac:dyDescent="0.2">
      <c r="A6788" s="197" t="str">
        <f t="shared" si="106"/>
        <v>VgzCode_dryForest</v>
      </c>
      <c r="B6788" s="409"/>
      <c r="C6788" s="416"/>
      <c r="D6788" s="198" t="s">
        <v>43079</v>
      </c>
      <c r="E6788" s="198">
        <v>13</v>
      </c>
      <c r="F6788" s="199" t="s">
        <v>43080</v>
      </c>
      <c r="G6788" s="1" t="s">
        <v>43081</v>
      </c>
      <c r="H6788" s="200"/>
      <c r="I6788" s="346"/>
      <c r="J6788" s="39">
        <v>114096</v>
      </c>
      <c r="K6788" s="36" t="str">
        <f>CONCATENATE(Cover!$D$6,"fdd/view?i=",J6788)</f>
        <v>https://www.dgiwg.org/FAD/fdd/view?i=114096</v>
      </c>
      <c r="L6788" s="36" t="s">
        <v>43082</v>
      </c>
      <c r="M6788" s="186"/>
      <c r="N6788" s="186"/>
      <c r="O6788" s="172"/>
    </row>
    <row r="6789" spans="1:15" ht="25.5" x14ac:dyDescent="0.2">
      <c r="A6789" s="197" t="str">
        <f t="shared" si="106"/>
        <v>VgzCode_drySavanna</v>
      </c>
      <c r="B6789" s="409"/>
      <c r="C6789" s="416"/>
      <c r="D6789" s="198" t="s">
        <v>43083</v>
      </c>
      <c r="E6789" s="198">
        <v>12</v>
      </c>
      <c r="F6789" s="199" t="s">
        <v>43084</v>
      </c>
      <c r="G6789" s="1" t="s">
        <v>43085</v>
      </c>
      <c r="H6789" s="200"/>
      <c r="I6789" s="346"/>
      <c r="J6789" s="39">
        <v>114095</v>
      </c>
      <c r="K6789" s="36" t="str">
        <f>CONCATENATE(Cover!$D$6,"fdd/view?i=",J6789)</f>
        <v>https://www.dgiwg.org/FAD/fdd/view?i=114095</v>
      </c>
      <c r="L6789" s="36" t="s">
        <v>43086</v>
      </c>
      <c r="M6789" s="186"/>
      <c r="N6789" s="186"/>
      <c r="O6789" s="172"/>
    </row>
    <row r="6790" spans="1:15" ht="25.5" x14ac:dyDescent="0.2">
      <c r="A6790" s="197" t="str">
        <f t="shared" si="106"/>
        <v>VgzCode_evergreenRainForest</v>
      </c>
      <c r="B6790" s="409"/>
      <c r="C6790" s="416"/>
      <c r="D6790" s="198" t="s">
        <v>43087</v>
      </c>
      <c r="E6790" s="198">
        <v>20</v>
      </c>
      <c r="F6790" s="199" t="s">
        <v>43088</v>
      </c>
      <c r="G6790" s="1" t="s">
        <v>43089</v>
      </c>
      <c r="H6790" s="200"/>
      <c r="I6790" s="346"/>
      <c r="J6790" s="39">
        <v>114102</v>
      </c>
      <c r="K6790" s="36" t="str">
        <f>CONCATENATE(Cover!$D$6,"fdd/view?i=",J6790)</f>
        <v>https://www.dgiwg.org/FAD/fdd/view?i=114102</v>
      </c>
      <c r="L6790" s="36" t="s">
        <v>43090</v>
      </c>
      <c r="M6790" s="186"/>
      <c r="N6790" s="186"/>
      <c r="O6790" s="172"/>
    </row>
    <row r="6791" spans="1:15" ht="25.5" x14ac:dyDescent="0.2">
      <c r="A6791" s="197" t="str">
        <f t="shared" si="106"/>
        <v>VgzCode_highMountainVeg</v>
      </c>
      <c r="B6791" s="409"/>
      <c r="C6791" s="416"/>
      <c r="D6791" s="198" t="s">
        <v>43091</v>
      </c>
      <c r="E6791" s="198">
        <v>3</v>
      </c>
      <c r="F6791" s="199" t="s">
        <v>43092</v>
      </c>
      <c r="G6791" s="1" t="s">
        <v>43093</v>
      </c>
      <c r="H6791" s="200"/>
      <c r="I6791" s="346"/>
      <c r="J6791" s="39">
        <v>114087</v>
      </c>
      <c r="K6791" s="36" t="str">
        <f>CONCATENATE(Cover!$D$6,"fdd/view?i=",J6791)</f>
        <v>https://www.dgiwg.org/FAD/fdd/view?i=114087</v>
      </c>
      <c r="L6791" s="36" t="s">
        <v>43094</v>
      </c>
      <c r="M6791" s="186"/>
      <c r="N6791" s="186"/>
      <c r="O6791" s="172"/>
    </row>
    <row r="6792" spans="1:15" x14ac:dyDescent="0.2">
      <c r="A6792" s="197" t="str">
        <f t="shared" si="106"/>
        <v>VgzCode_mangrove</v>
      </c>
      <c r="B6792" s="409"/>
      <c r="C6792" s="416"/>
      <c r="D6792" s="198" t="s">
        <v>26176</v>
      </c>
      <c r="E6792" s="198">
        <v>18</v>
      </c>
      <c r="F6792" s="199" t="s">
        <v>26177</v>
      </c>
      <c r="G6792" s="1" t="s">
        <v>43095</v>
      </c>
      <c r="H6792" s="200"/>
      <c r="I6792" s="346"/>
      <c r="J6792" s="39">
        <v>114100</v>
      </c>
      <c r="K6792" s="36" t="str">
        <f>CONCATENATE(Cover!$D$6,"fdd/view?i=",J6792)</f>
        <v>https://www.dgiwg.org/FAD/fdd/view?i=114100</v>
      </c>
      <c r="L6792" s="36" t="s">
        <v>43096</v>
      </c>
      <c r="M6792" s="186"/>
      <c r="N6792" s="186"/>
      <c r="O6792" s="172"/>
    </row>
    <row r="6793" spans="1:15" ht="25.5" x14ac:dyDescent="0.2">
      <c r="A6793" s="197" t="str">
        <f t="shared" si="106"/>
        <v>VgzCode_moistSavanna</v>
      </c>
      <c r="B6793" s="409"/>
      <c r="C6793" s="416"/>
      <c r="D6793" s="198" t="s">
        <v>43097</v>
      </c>
      <c r="E6793" s="198">
        <v>15</v>
      </c>
      <c r="F6793" s="199" t="s">
        <v>43098</v>
      </c>
      <c r="G6793" s="1" t="s">
        <v>43099</v>
      </c>
      <c r="H6793" s="200"/>
      <c r="I6793" s="346"/>
      <c r="J6793" s="39">
        <v>114097</v>
      </c>
      <c r="K6793" s="36" t="str">
        <f>CONCATENATE(Cover!$D$6,"fdd/view?i=",J6793)</f>
        <v>https://www.dgiwg.org/FAD/fdd/view?i=114097</v>
      </c>
      <c r="L6793" s="36" t="s">
        <v>43100</v>
      </c>
      <c r="M6793" s="186"/>
      <c r="N6793" s="186"/>
      <c r="O6793" s="172"/>
    </row>
    <row r="6794" spans="1:15" ht="25.5" x14ac:dyDescent="0.2">
      <c r="A6794" s="197" t="str">
        <f t="shared" si="106"/>
        <v>VgzCode_monsoonForest</v>
      </c>
      <c r="B6794" s="409"/>
      <c r="C6794" s="416"/>
      <c r="D6794" s="198" t="s">
        <v>43101</v>
      </c>
      <c r="E6794" s="198">
        <v>16</v>
      </c>
      <c r="F6794" s="199" t="s">
        <v>43102</v>
      </c>
      <c r="G6794" s="1" t="s">
        <v>43103</v>
      </c>
      <c r="H6794" s="200"/>
      <c r="I6794" s="351" t="s">
        <v>43104</v>
      </c>
      <c r="J6794" s="39">
        <v>114098</v>
      </c>
      <c r="K6794" s="36" t="str">
        <f>CONCATENATE(Cover!$D$6,"fdd/view?i=",J6794)</f>
        <v>https://www.dgiwg.org/FAD/fdd/view?i=114098</v>
      </c>
      <c r="L6794" s="36" t="s">
        <v>43105</v>
      </c>
      <c r="M6794" s="186"/>
      <c r="N6794" s="186"/>
      <c r="O6794" s="172"/>
    </row>
    <row r="6795" spans="1:15" ht="25.5" x14ac:dyDescent="0.2">
      <c r="A6795" s="197" t="str">
        <f t="shared" si="106"/>
        <v>VgzCode_montaneConiferousForest</v>
      </c>
      <c r="B6795" s="409"/>
      <c r="C6795" s="416"/>
      <c r="D6795" s="198" t="s">
        <v>43106</v>
      </c>
      <c r="E6795" s="198">
        <v>19</v>
      </c>
      <c r="F6795" s="199" t="s">
        <v>43107</v>
      </c>
      <c r="G6795" s="1" t="s">
        <v>43108</v>
      </c>
      <c r="H6795" s="200"/>
      <c r="I6795" s="346"/>
      <c r="J6795" s="39">
        <v>114101</v>
      </c>
      <c r="K6795" s="36" t="str">
        <f>CONCATENATE(Cover!$D$6,"fdd/view?i=",J6795)</f>
        <v>https://www.dgiwg.org/FAD/fdd/view?i=114101</v>
      </c>
      <c r="L6795" s="36" t="s">
        <v>43109</v>
      </c>
      <c r="M6795" s="186"/>
      <c r="N6795" s="186"/>
      <c r="O6795" s="172"/>
    </row>
    <row r="6796" spans="1:15" ht="25.5" x14ac:dyDescent="0.2">
      <c r="A6796" s="197" t="str">
        <f t="shared" si="106"/>
        <v>VgzCode_steppe</v>
      </c>
      <c r="B6796" s="409"/>
      <c r="C6796" s="416"/>
      <c r="D6796" s="198" t="s">
        <v>36830</v>
      </c>
      <c r="E6796" s="198">
        <v>6</v>
      </c>
      <c r="F6796" s="199" t="s">
        <v>5265</v>
      </c>
      <c r="G6796" s="1" t="s">
        <v>43110</v>
      </c>
      <c r="H6796" s="200"/>
      <c r="I6796" s="346"/>
      <c r="J6796" s="39">
        <v>114090</v>
      </c>
      <c r="K6796" s="36" t="str">
        <f>CONCATENATE(Cover!$D$6,"fdd/view?i=",J6796)</f>
        <v>https://www.dgiwg.org/FAD/fdd/view?i=114090</v>
      </c>
      <c r="L6796" s="36" t="s">
        <v>43111</v>
      </c>
      <c r="M6796" s="186"/>
      <c r="N6796" s="186"/>
      <c r="O6796" s="172"/>
    </row>
    <row r="6797" spans="1:15" ht="38.25" x14ac:dyDescent="0.2">
      <c r="A6797" s="197" t="str">
        <f t="shared" si="106"/>
        <v>VgzCode_subtropicalScleroVeg</v>
      </c>
      <c r="B6797" s="409"/>
      <c r="C6797" s="416"/>
      <c r="D6797" s="198" t="s">
        <v>43112</v>
      </c>
      <c r="E6797" s="198">
        <v>7</v>
      </c>
      <c r="F6797" s="199" t="s">
        <v>43113</v>
      </c>
      <c r="G6797" s="1" t="s">
        <v>43114</v>
      </c>
      <c r="H6797" s="200"/>
      <c r="I6797" s="346"/>
      <c r="J6797" s="39">
        <v>114091</v>
      </c>
      <c r="K6797" s="36" t="str">
        <f>CONCATENATE(Cover!$D$6,"fdd/view?i=",J6797)</f>
        <v>https://www.dgiwg.org/FAD/fdd/view?i=114091</v>
      </c>
      <c r="L6797" s="36" t="s">
        <v>43115</v>
      </c>
      <c r="M6797" s="186"/>
      <c r="N6797" s="186"/>
      <c r="O6797" s="172"/>
    </row>
    <row r="6798" spans="1:15" ht="25.5" x14ac:dyDescent="0.2">
      <c r="A6798" s="197" t="str">
        <f t="shared" si="106"/>
        <v>VgzCode_thornSavanna</v>
      </c>
      <c r="B6798" s="409"/>
      <c r="C6798" s="416"/>
      <c r="D6798" s="198" t="s">
        <v>43116</v>
      </c>
      <c r="E6798" s="198">
        <v>11</v>
      </c>
      <c r="F6798" s="199" t="s">
        <v>43117</v>
      </c>
      <c r="G6798" s="1" t="s">
        <v>43118</v>
      </c>
      <c r="H6798" s="200"/>
      <c r="I6798" s="346"/>
      <c r="J6798" s="39">
        <v>114094</v>
      </c>
      <c r="K6798" s="36" t="str">
        <f>CONCATENATE(Cover!$D$6,"fdd/view?i=",J6798)</f>
        <v>https://www.dgiwg.org/FAD/fdd/view?i=114094</v>
      </c>
      <c r="L6798" s="36" t="s">
        <v>43119</v>
      </c>
      <c r="M6798" s="186"/>
      <c r="N6798" s="186"/>
      <c r="O6798" s="172"/>
    </row>
    <row r="6799" spans="1:15" ht="38.25" x14ac:dyDescent="0.2">
      <c r="A6799" s="197" t="str">
        <f t="shared" si="106"/>
        <v>VgzCode_tropicalRainForest</v>
      </c>
      <c r="B6799" s="409"/>
      <c r="C6799" s="416"/>
      <c r="D6799" s="198" t="s">
        <v>43120</v>
      </c>
      <c r="E6799" s="198">
        <v>17</v>
      </c>
      <c r="F6799" s="199" t="s">
        <v>43121</v>
      </c>
      <c r="G6799" s="1" t="s">
        <v>43122</v>
      </c>
      <c r="H6799" s="200"/>
      <c r="I6799" s="346"/>
      <c r="J6799" s="39">
        <v>114099</v>
      </c>
      <c r="K6799" s="36" t="str">
        <f>CONCATENATE(Cover!$D$6,"fdd/view?i=",J6799)</f>
        <v>https://www.dgiwg.org/FAD/fdd/view?i=114099</v>
      </c>
      <c r="L6799" s="36" t="s">
        <v>43123</v>
      </c>
      <c r="M6799" s="186"/>
      <c r="N6799" s="186"/>
      <c r="O6799" s="172"/>
    </row>
    <row r="6800" spans="1:15" ht="38.25" x14ac:dyDescent="0.2">
      <c r="A6800" s="203" t="str">
        <f t="shared" si="106"/>
        <v>VgzCode_tundra</v>
      </c>
      <c r="B6800" s="410"/>
      <c r="C6800" s="417"/>
      <c r="D6800" s="204" t="s">
        <v>23916</v>
      </c>
      <c r="E6800" s="204">
        <v>2</v>
      </c>
      <c r="F6800" s="205" t="s">
        <v>5611</v>
      </c>
      <c r="G6800" s="206" t="s">
        <v>43124</v>
      </c>
      <c r="H6800" s="207"/>
      <c r="I6800" s="347"/>
      <c r="J6800" s="39">
        <v>114086</v>
      </c>
      <c r="K6800" s="36" t="str">
        <f>CONCATENATE(Cover!$D$6,"fdd/view?i=",J6800)</f>
        <v>https://www.dgiwg.org/FAD/fdd/view?i=114086</v>
      </c>
      <c r="L6800" s="36" t="s">
        <v>43125</v>
      </c>
      <c r="M6800" s="186"/>
      <c r="N6800" s="186"/>
      <c r="O6800" s="172"/>
    </row>
    <row r="6801" spans="1:15" ht="25.5" x14ac:dyDescent="0.2">
      <c r="A6801" s="190" t="str">
        <f t="shared" si="106"/>
        <v>Rd1Code_chemicalWarfareAgents</v>
      </c>
      <c r="B6801" s="414" t="str">
        <f>HYPERLINK("[#]Datatypes!A1163:L1163","Rd1Code")</f>
        <v>Rd1Code</v>
      </c>
      <c r="C6801" s="415" t="s">
        <v>15773</v>
      </c>
      <c r="D6801" s="221" t="s">
        <v>43126</v>
      </c>
      <c r="E6801" s="221">
        <v>3</v>
      </c>
      <c r="F6801" s="222" t="s">
        <v>43127</v>
      </c>
      <c r="G6801" s="223" t="s">
        <v>43128</v>
      </c>
      <c r="H6801" s="224"/>
      <c r="I6801" s="345"/>
      <c r="J6801" s="39">
        <v>113655</v>
      </c>
      <c r="K6801" s="36" t="str">
        <f>CONCATENATE(Cover!$D$6,"fdd/view?i=",J6801)</f>
        <v>https://www.dgiwg.org/FAD/fdd/view?i=113655</v>
      </c>
      <c r="L6801" s="36" t="s">
        <v>43129</v>
      </c>
      <c r="M6801" s="186"/>
      <c r="N6801" s="186"/>
      <c r="O6801" s="172"/>
    </row>
    <row r="6802" spans="1:15" ht="25.5" x14ac:dyDescent="0.2">
      <c r="A6802" s="197" t="str">
        <f t="shared" si="106"/>
        <v>Rd1Code_fertilizers</v>
      </c>
      <c r="B6802" s="409"/>
      <c r="C6802" s="416"/>
      <c r="D6802" s="198" t="s">
        <v>43130</v>
      </c>
      <c r="E6802" s="198">
        <v>4</v>
      </c>
      <c r="F6802" s="199" t="s">
        <v>43131</v>
      </c>
      <c r="G6802" s="1" t="s">
        <v>43132</v>
      </c>
      <c r="H6802" s="200"/>
      <c r="I6802" s="346"/>
      <c r="J6802" s="39">
        <v>113656</v>
      </c>
      <c r="K6802" s="36" t="str">
        <f>CONCATENATE(Cover!$D$6,"fdd/view?i=",J6802)</f>
        <v>https://www.dgiwg.org/FAD/fdd/view?i=113656</v>
      </c>
      <c r="L6802" s="36" t="s">
        <v>43133</v>
      </c>
      <c r="M6802" s="186"/>
      <c r="N6802" s="186"/>
      <c r="O6802" s="172"/>
    </row>
    <row r="6803" spans="1:15" ht="25.5" x14ac:dyDescent="0.2">
      <c r="A6803" s="197" t="str">
        <f t="shared" si="106"/>
        <v>Rd1Code_radioactiveMaterials</v>
      </c>
      <c r="B6803" s="409"/>
      <c r="C6803" s="416"/>
      <c r="D6803" s="198" t="s">
        <v>43134</v>
      </c>
      <c r="E6803" s="198">
        <v>1</v>
      </c>
      <c r="F6803" s="199" t="s">
        <v>43135</v>
      </c>
      <c r="G6803" s="1" t="s">
        <v>43136</v>
      </c>
      <c r="H6803" s="200"/>
      <c r="I6803" s="346"/>
      <c r="J6803" s="39">
        <v>113653</v>
      </c>
      <c r="K6803" s="36" t="str">
        <f>CONCATENATE(Cover!$D$6,"fdd/view?i=",J6803)</f>
        <v>https://www.dgiwg.org/FAD/fdd/view?i=113653</v>
      </c>
      <c r="L6803" s="36" t="s">
        <v>43137</v>
      </c>
      <c r="M6803" s="186"/>
      <c r="N6803" s="186"/>
      <c r="O6803" s="172"/>
    </row>
    <row r="6804" spans="1:15" ht="25.5" x14ac:dyDescent="0.2">
      <c r="A6804" s="203" t="str">
        <f t="shared" si="106"/>
        <v>Rd1Code_toxins</v>
      </c>
      <c r="B6804" s="410"/>
      <c r="C6804" s="417"/>
      <c r="D6804" s="204" t="s">
        <v>43138</v>
      </c>
      <c r="E6804" s="204">
        <v>2</v>
      </c>
      <c r="F6804" s="205" t="s">
        <v>43139</v>
      </c>
      <c r="G6804" s="206" t="s">
        <v>43140</v>
      </c>
      <c r="H6804" s="207"/>
      <c r="I6804" s="347"/>
      <c r="J6804" s="39">
        <v>113654</v>
      </c>
      <c r="K6804" s="36" t="str">
        <f>CONCATENATE(Cover!$D$6,"fdd/view?i=",J6804)</f>
        <v>https://www.dgiwg.org/FAD/fdd/view?i=113654</v>
      </c>
      <c r="L6804" s="36" t="s">
        <v>43141</v>
      </c>
      <c r="M6804" s="186"/>
      <c r="N6804" s="186"/>
      <c r="O6804" s="172"/>
    </row>
    <row r="6805" spans="1:15" x14ac:dyDescent="0.2">
      <c r="A6805" s="190" t="str">
        <f t="shared" si="106"/>
        <v>PscCode_bareCleared</v>
      </c>
      <c r="B6805" s="414" t="str">
        <f>HYPERLINK("[#]Datatypes!A1165:L1165","PscCode")</f>
        <v>PscCode</v>
      </c>
      <c r="C6805" s="415" t="s">
        <v>15775</v>
      </c>
      <c r="D6805" s="221" t="s">
        <v>43142</v>
      </c>
      <c r="E6805" s="221">
        <v>14</v>
      </c>
      <c r="F6805" s="222" t="s">
        <v>43143</v>
      </c>
      <c r="G6805" s="223" t="s">
        <v>43144</v>
      </c>
      <c r="H6805" s="223" t="s">
        <v>43145</v>
      </c>
      <c r="I6805" s="352" t="s">
        <v>43146</v>
      </c>
      <c r="J6805" s="39">
        <v>106973</v>
      </c>
      <c r="K6805" s="36" t="str">
        <f>CONCATENATE(Cover!$D$6,"fdd/view?i=",J6805)</f>
        <v>https://www.dgiwg.org/FAD/fdd/view?i=106973</v>
      </c>
      <c r="L6805" s="36" t="s">
        <v>43147</v>
      </c>
      <c r="M6805" s="186"/>
      <c r="N6805" s="186"/>
      <c r="O6805" s="172"/>
    </row>
    <row r="6806" spans="1:15" ht="25.5" x14ac:dyDescent="0.2">
      <c r="A6806" s="197" t="str">
        <f t="shared" si="106"/>
        <v>PscCode_broken</v>
      </c>
      <c r="B6806" s="409"/>
      <c r="C6806" s="416"/>
      <c r="D6806" s="198" t="s">
        <v>43148</v>
      </c>
      <c r="E6806" s="198">
        <v>1</v>
      </c>
      <c r="F6806" s="199" t="s">
        <v>43149</v>
      </c>
      <c r="G6806" s="1" t="s">
        <v>43150</v>
      </c>
      <c r="H6806" s="1" t="s">
        <v>43151</v>
      </c>
      <c r="I6806" s="346"/>
      <c r="J6806" s="39">
        <v>106960</v>
      </c>
      <c r="K6806" s="36" t="str">
        <f>CONCATENATE(Cover!$D$6,"fdd/view?i=",J6806)</f>
        <v>https://www.dgiwg.org/FAD/fdd/view?i=106960</v>
      </c>
      <c r="L6806" s="36" t="s">
        <v>43152</v>
      </c>
      <c r="M6806" s="186"/>
      <c r="N6806" s="186"/>
      <c r="O6806" s="172"/>
    </row>
    <row r="6807" spans="1:15" x14ac:dyDescent="0.2">
      <c r="A6807" s="197" t="str">
        <f t="shared" si="106"/>
        <v>PscCode_calcareous</v>
      </c>
      <c r="B6807" s="409"/>
      <c r="C6807" s="416"/>
      <c r="D6807" s="198" t="s">
        <v>43153</v>
      </c>
      <c r="E6807" s="198">
        <v>17</v>
      </c>
      <c r="F6807" s="199" t="s">
        <v>43154</v>
      </c>
      <c r="G6807" s="1" t="s">
        <v>43155</v>
      </c>
      <c r="H6807" s="1" t="s">
        <v>43156</v>
      </c>
      <c r="I6807" s="346"/>
      <c r="J6807" s="39">
        <v>106976</v>
      </c>
      <c r="K6807" s="36" t="str">
        <f>CONCATENATE(Cover!$D$6,"fdd/view?i=",J6807)</f>
        <v>https://www.dgiwg.org/FAD/fdd/view?i=106976</v>
      </c>
      <c r="L6807" s="36" t="s">
        <v>43157</v>
      </c>
      <c r="M6807" s="186"/>
      <c r="N6807" s="186"/>
      <c r="O6807" s="172"/>
    </row>
    <row r="6808" spans="1:15" ht="25.5" x14ac:dyDescent="0.2">
      <c r="A6808" s="197" t="str">
        <f t="shared" si="106"/>
        <v>PscCode_coarse</v>
      </c>
      <c r="B6808" s="409"/>
      <c r="C6808" s="416"/>
      <c r="D6808" s="198" t="s">
        <v>40495</v>
      </c>
      <c r="E6808" s="198">
        <v>2</v>
      </c>
      <c r="F6808" s="199" t="s">
        <v>40496</v>
      </c>
      <c r="G6808" s="1" t="s">
        <v>43158</v>
      </c>
      <c r="H6808" s="1" t="s">
        <v>43159</v>
      </c>
      <c r="I6808" s="346"/>
      <c r="J6808" s="39">
        <v>106961</v>
      </c>
      <c r="K6808" s="36" t="str">
        <f>CONCATENATE(Cover!$D$6,"fdd/view?i=",J6808)</f>
        <v>https://www.dgiwg.org/FAD/fdd/view?i=106961</v>
      </c>
      <c r="L6808" s="36" t="s">
        <v>43160</v>
      </c>
      <c r="M6808" s="186"/>
      <c r="N6808" s="186"/>
      <c r="O6808" s="172"/>
    </row>
    <row r="6809" spans="1:15" ht="25.5" x14ac:dyDescent="0.2">
      <c r="A6809" s="197" t="str">
        <f t="shared" si="106"/>
        <v>PscCode_decayed</v>
      </c>
      <c r="B6809" s="409"/>
      <c r="C6809" s="416"/>
      <c r="D6809" s="198" t="s">
        <v>43161</v>
      </c>
      <c r="E6809" s="198">
        <v>3</v>
      </c>
      <c r="F6809" s="199" t="s">
        <v>43162</v>
      </c>
      <c r="G6809" s="1" t="s">
        <v>43163</v>
      </c>
      <c r="H6809" s="1" t="s">
        <v>43164</v>
      </c>
      <c r="I6809" s="346"/>
      <c r="J6809" s="39">
        <v>106962</v>
      </c>
      <c r="K6809" s="36" t="str">
        <f>CONCATENATE(Cover!$D$6,"fdd/view?i=",J6809)</f>
        <v>https://www.dgiwg.org/FAD/fdd/view?i=106962</v>
      </c>
      <c r="L6809" s="36" t="s">
        <v>43165</v>
      </c>
      <c r="M6809" s="186"/>
      <c r="N6809" s="186"/>
      <c r="O6809" s="172"/>
    </row>
    <row r="6810" spans="1:15" ht="25.5" x14ac:dyDescent="0.2">
      <c r="A6810" s="197" t="str">
        <f t="shared" si="106"/>
        <v>PscCode_fineMinuteParticles</v>
      </c>
      <c r="B6810" s="409"/>
      <c r="C6810" s="416"/>
      <c r="D6810" s="198" t="s">
        <v>43166</v>
      </c>
      <c r="E6810" s="198">
        <v>4</v>
      </c>
      <c r="F6810" s="199" t="s">
        <v>43167</v>
      </c>
      <c r="G6810" s="1" t="s">
        <v>43168</v>
      </c>
      <c r="H6810" s="1" t="s">
        <v>43169</v>
      </c>
      <c r="I6810" s="346"/>
      <c r="J6810" s="39">
        <v>106963</v>
      </c>
      <c r="K6810" s="36" t="str">
        <f>CONCATENATE(Cover!$D$6,"fdd/view?i=",J6810)</f>
        <v>https://www.dgiwg.org/FAD/fdd/view?i=106963</v>
      </c>
      <c r="L6810" s="36" t="s">
        <v>43170</v>
      </c>
      <c r="M6810" s="186"/>
      <c r="N6810" s="186"/>
      <c r="O6810" s="172"/>
    </row>
    <row r="6811" spans="1:15" x14ac:dyDescent="0.2">
      <c r="A6811" s="197" t="str">
        <f t="shared" si="106"/>
        <v>PscCode_flinty</v>
      </c>
      <c r="B6811" s="409"/>
      <c r="C6811" s="416"/>
      <c r="D6811" s="198" t="s">
        <v>43171</v>
      </c>
      <c r="E6811" s="198">
        <v>18</v>
      </c>
      <c r="F6811" s="199" t="s">
        <v>43172</v>
      </c>
      <c r="G6811" s="1" t="s">
        <v>43173</v>
      </c>
      <c r="H6811" s="200"/>
      <c r="I6811" s="346"/>
      <c r="J6811" s="39">
        <v>106977</v>
      </c>
      <c r="K6811" s="36" t="str">
        <f>CONCATENATE(Cover!$D$6,"fdd/view?i=",J6811)</f>
        <v>https://www.dgiwg.org/FAD/fdd/view?i=106977</v>
      </c>
      <c r="L6811" s="36" t="s">
        <v>43174</v>
      </c>
      <c r="M6811" s="186"/>
      <c r="N6811" s="186"/>
      <c r="O6811" s="172"/>
    </row>
    <row r="6812" spans="1:15" ht="38.25" x14ac:dyDescent="0.2">
      <c r="A6812" s="197" t="str">
        <f t="shared" si="106"/>
        <v>PscCode_glacial</v>
      </c>
      <c r="B6812" s="409"/>
      <c r="C6812" s="416"/>
      <c r="D6812" s="198" t="s">
        <v>43175</v>
      </c>
      <c r="E6812" s="198">
        <v>19</v>
      </c>
      <c r="F6812" s="199" t="s">
        <v>43176</v>
      </c>
      <c r="G6812" s="1" t="s">
        <v>43177</v>
      </c>
      <c r="H6812" s="200"/>
      <c r="I6812" s="346"/>
      <c r="J6812" s="39">
        <v>106978</v>
      </c>
      <c r="K6812" s="36" t="str">
        <f>CONCATENATE(Cover!$D$6,"fdd/view?i=",J6812)</f>
        <v>https://www.dgiwg.org/FAD/fdd/view?i=106978</v>
      </c>
      <c r="L6812" s="36" t="s">
        <v>43178</v>
      </c>
      <c r="M6812" s="186"/>
      <c r="N6812" s="186"/>
      <c r="O6812" s="172"/>
    </row>
    <row r="6813" spans="1:15" x14ac:dyDescent="0.2">
      <c r="A6813" s="197" t="str">
        <f t="shared" si="106"/>
        <v>PscCode_gritty</v>
      </c>
      <c r="B6813" s="409"/>
      <c r="C6813" s="416"/>
      <c r="D6813" s="198" t="s">
        <v>43179</v>
      </c>
      <c r="E6813" s="198">
        <v>5</v>
      </c>
      <c r="F6813" s="199" t="s">
        <v>43180</v>
      </c>
      <c r="G6813" s="1" t="s">
        <v>43181</v>
      </c>
      <c r="H6813" s="1" t="s">
        <v>43182</v>
      </c>
      <c r="I6813" s="346"/>
      <c r="J6813" s="39">
        <v>106964</v>
      </c>
      <c r="K6813" s="36" t="str">
        <f>CONCATENATE(Cover!$D$6,"fdd/view?i=",J6813)</f>
        <v>https://www.dgiwg.org/FAD/fdd/view?i=106964</v>
      </c>
      <c r="L6813" s="36" t="s">
        <v>43183</v>
      </c>
      <c r="M6813" s="186"/>
      <c r="N6813" s="186"/>
      <c r="O6813" s="172"/>
    </row>
    <row r="6814" spans="1:15" ht="25.5" x14ac:dyDescent="0.2">
      <c r="A6814" s="197" t="str">
        <f t="shared" si="106"/>
        <v>PscCode_ground</v>
      </c>
      <c r="B6814" s="409"/>
      <c r="C6814" s="416"/>
      <c r="D6814" s="198" t="s">
        <v>41004</v>
      </c>
      <c r="E6814" s="198">
        <v>20</v>
      </c>
      <c r="F6814" s="199" t="s">
        <v>41005</v>
      </c>
      <c r="G6814" s="1" t="s">
        <v>43184</v>
      </c>
      <c r="H6814" s="1" t="s">
        <v>43185</v>
      </c>
      <c r="I6814" s="346"/>
      <c r="J6814" s="39">
        <v>106979</v>
      </c>
      <c r="K6814" s="36" t="str">
        <f>CONCATENATE(Cover!$D$6,"fdd/view?i=",J6814)</f>
        <v>https://www.dgiwg.org/FAD/fdd/view?i=106979</v>
      </c>
      <c r="L6814" s="36" t="s">
        <v>43186</v>
      </c>
      <c r="M6814" s="186"/>
      <c r="N6814" s="186"/>
      <c r="O6814" s="172"/>
    </row>
    <row r="6815" spans="1:15" ht="25.5" x14ac:dyDescent="0.2">
      <c r="A6815" s="197" t="str">
        <f t="shared" si="106"/>
        <v>PscCode_hard</v>
      </c>
      <c r="B6815" s="409"/>
      <c r="C6815" s="416"/>
      <c r="D6815" s="198" t="s">
        <v>43187</v>
      </c>
      <c r="E6815" s="198">
        <v>6</v>
      </c>
      <c r="F6815" s="199" t="s">
        <v>43188</v>
      </c>
      <c r="G6815" s="1" t="s">
        <v>43189</v>
      </c>
      <c r="H6815" s="200"/>
      <c r="I6815" s="346"/>
      <c r="J6815" s="39">
        <v>106965</v>
      </c>
      <c r="K6815" s="36" t="str">
        <f>CONCATENATE(Cover!$D$6,"fdd/view?i=",J6815)</f>
        <v>https://www.dgiwg.org/FAD/fdd/view?i=106965</v>
      </c>
      <c r="L6815" s="36" t="s">
        <v>43190</v>
      </c>
      <c r="M6815" s="186"/>
      <c r="N6815" s="186"/>
      <c r="O6815" s="172"/>
    </row>
    <row r="6816" spans="1:15" x14ac:dyDescent="0.2">
      <c r="A6816" s="197" t="str">
        <f t="shared" si="106"/>
        <v>PscCode_irregular</v>
      </c>
      <c r="B6816" s="409"/>
      <c r="C6816" s="416"/>
      <c r="D6816" s="198" t="s">
        <v>20235</v>
      </c>
      <c r="E6816" s="198">
        <v>13</v>
      </c>
      <c r="F6816" s="199" t="s">
        <v>20236</v>
      </c>
      <c r="G6816" s="1" t="s">
        <v>43191</v>
      </c>
      <c r="H6816" s="200"/>
      <c r="I6816" s="351" t="s">
        <v>43192</v>
      </c>
      <c r="J6816" s="39">
        <v>106972</v>
      </c>
      <c r="K6816" s="36" t="str">
        <f>CONCATENATE(Cover!$D$6,"fdd/view?i=",J6816)</f>
        <v>https://www.dgiwg.org/FAD/fdd/view?i=106972</v>
      </c>
      <c r="L6816" s="36" t="s">
        <v>43193</v>
      </c>
      <c r="M6816" s="186"/>
      <c r="N6816" s="186"/>
      <c r="O6816" s="172"/>
    </row>
    <row r="6817" spans="1:15" x14ac:dyDescent="0.2">
      <c r="A6817" s="197" t="str">
        <f t="shared" si="106"/>
        <v>PscCode_large</v>
      </c>
      <c r="B6817" s="409"/>
      <c r="C6817" s="416"/>
      <c r="D6817" s="198" t="s">
        <v>43194</v>
      </c>
      <c r="E6817" s="198">
        <v>21</v>
      </c>
      <c r="F6817" s="199" t="s">
        <v>43195</v>
      </c>
      <c r="G6817" s="1" t="s">
        <v>43196</v>
      </c>
      <c r="H6817" s="1" t="s">
        <v>43197</v>
      </c>
      <c r="I6817" s="346"/>
      <c r="J6817" s="39">
        <v>106980</v>
      </c>
      <c r="K6817" s="36" t="str">
        <f>CONCATENATE(Cover!$D$6,"fdd/view?i=",J6817)</f>
        <v>https://www.dgiwg.org/FAD/fdd/view?i=106980</v>
      </c>
      <c r="L6817" s="36" t="s">
        <v>43198</v>
      </c>
      <c r="M6817" s="186"/>
      <c r="N6817" s="186"/>
      <c r="O6817" s="172"/>
    </row>
    <row r="6818" spans="1:15" ht="25.5" x14ac:dyDescent="0.2">
      <c r="A6818" s="197" t="str">
        <f t="shared" si="106"/>
        <v>PscCode_medium</v>
      </c>
      <c r="B6818" s="409"/>
      <c r="C6818" s="416"/>
      <c r="D6818" s="198" t="s">
        <v>37187</v>
      </c>
      <c r="E6818" s="198">
        <v>27</v>
      </c>
      <c r="F6818" s="199" t="s">
        <v>37188</v>
      </c>
      <c r="G6818" s="1" t="s">
        <v>43199</v>
      </c>
      <c r="H6818" s="200"/>
      <c r="I6818" s="346"/>
      <c r="J6818" s="39">
        <v>106986</v>
      </c>
      <c r="K6818" s="36" t="str">
        <f>CONCATENATE(Cover!$D$6,"fdd/view?i=",J6818)</f>
        <v>https://www.dgiwg.org/FAD/fdd/view?i=106986</v>
      </c>
      <c r="L6818" s="36" t="s">
        <v>43200</v>
      </c>
      <c r="M6818" s="186"/>
      <c r="N6818" s="186"/>
      <c r="O6818" s="172"/>
    </row>
    <row r="6819" spans="1:15" ht="38.25" x14ac:dyDescent="0.2">
      <c r="A6819" s="197" t="str">
        <f t="shared" si="106"/>
        <v>PscCode_mobileBottom</v>
      </c>
      <c r="B6819" s="409"/>
      <c r="C6819" s="416"/>
      <c r="D6819" s="198" t="s">
        <v>43201</v>
      </c>
      <c r="E6819" s="198">
        <v>29</v>
      </c>
      <c r="F6819" s="199" t="s">
        <v>43202</v>
      </c>
      <c r="G6819" s="1" t="s">
        <v>43203</v>
      </c>
      <c r="H6819" s="200"/>
      <c r="I6819" s="346"/>
      <c r="J6819" s="39">
        <v>106988</v>
      </c>
      <c r="K6819" s="36" t="str">
        <f>CONCATENATE(Cover!$D$6,"fdd/view?i=",J6819)</f>
        <v>https://www.dgiwg.org/FAD/fdd/view?i=106988</v>
      </c>
      <c r="L6819" s="36" t="s">
        <v>43204</v>
      </c>
      <c r="M6819" s="186"/>
      <c r="N6819" s="186"/>
      <c r="O6819" s="172"/>
    </row>
    <row r="6820" spans="1:15" ht="25.5" x14ac:dyDescent="0.2">
      <c r="A6820" s="197" t="str">
        <f t="shared" si="106"/>
        <v>PscCode_rocky</v>
      </c>
      <c r="B6820" s="409"/>
      <c r="C6820" s="416"/>
      <c r="D6820" s="198" t="s">
        <v>43205</v>
      </c>
      <c r="E6820" s="198">
        <v>22</v>
      </c>
      <c r="F6820" s="199" t="s">
        <v>43206</v>
      </c>
      <c r="G6820" s="1" t="s">
        <v>43207</v>
      </c>
      <c r="H6820" s="1" t="s">
        <v>43208</v>
      </c>
      <c r="I6820" s="346"/>
      <c r="J6820" s="39">
        <v>106981</v>
      </c>
      <c r="K6820" s="36" t="str">
        <f>CONCATENATE(Cover!$D$6,"fdd/view?i=",J6820)</f>
        <v>https://www.dgiwg.org/FAD/fdd/view?i=106981</v>
      </c>
      <c r="L6820" s="36" t="s">
        <v>43209</v>
      </c>
      <c r="M6820" s="186"/>
      <c r="N6820" s="186"/>
      <c r="O6820" s="172"/>
    </row>
    <row r="6821" spans="1:15" ht="25.5" x14ac:dyDescent="0.2">
      <c r="A6821" s="197" t="str">
        <f t="shared" si="106"/>
        <v>PscCode_rotten</v>
      </c>
      <c r="B6821" s="409"/>
      <c r="C6821" s="416"/>
      <c r="D6821" s="198" t="s">
        <v>43210</v>
      </c>
      <c r="E6821" s="198">
        <v>7</v>
      </c>
      <c r="F6821" s="199" t="s">
        <v>43211</v>
      </c>
      <c r="G6821" s="1" t="s">
        <v>43212</v>
      </c>
      <c r="H6821" s="200"/>
      <c r="I6821" s="346"/>
      <c r="J6821" s="39">
        <v>106966</v>
      </c>
      <c r="K6821" s="36" t="str">
        <f>CONCATENATE(Cover!$D$6,"fdd/view?i=",J6821)</f>
        <v>https://www.dgiwg.org/FAD/fdd/view?i=106966</v>
      </c>
      <c r="L6821" s="36" t="s">
        <v>43213</v>
      </c>
      <c r="M6821" s="186"/>
      <c r="N6821" s="186"/>
      <c r="O6821" s="172"/>
    </row>
    <row r="6822" spans="1:15" x14ac:dyDescent="0.2">
      <c r="A6822" s="197" t="str">
        <f t="shared" si="106"/>
        <v>PscCode_small</v>
      </c>
      <c r="B6822" s="409"/>
      <c r="C6822" s="416"/>
      <c r="D6822" s="198" t="s">
        <v>43214</v>
      </c>
      <c r="E6822" s="198">
        <v>23</v>
      </c>
      <c r="F6822" s="199" t="s">
        <v>43215</v>
      </c>
      <c r="G6822" s="1" t="s">
        <v>43216</v>
      </c>
      <c r="H6822" s="1" t="s">
        <v>43217</v>
      </c>
      <c r="I6822" s="346"/>
      <c r="J6822" s="39">
        <v>106982</v>
      </c>
      <c r="K6822" s="36" t="str">
        <f>CONCATENATE(Cover!$D$6,"fdd/view?i=",J6822)</f>
        <v>https://www.dgiwg.org/FAD/fdd/view?i=106982</v>
      </c>
      <c r="L6822" s="36" t="s">
        <v>43218</v>
      </c>
      <c r="M6822" s="186"/>
      <c r="N6822" s="186"/>
      <c r="O6822" s="172"/>
    </row>
    <row r="6823" spans="1:15" ht="25.5" x14ac:dyDescent="0.2">
      <c r="A6823" s="197" t="str">
        <f t="shared" si="106"/>
        <v>PscCode_soft</v>
      </c>
      <c r="B6823" s="409"/>
      <c r="C6823" s="416"/>
      <c r="D6823" s="198" t="s">
        <v>43219</v>
      </c>
      <c r="E6823" s="198">
        <v>8</v>
      </c>
      <c r="F6823" s="199" t="s">
        <v>43220</v>
      </c>
      <c r="G6823" s="1" t="s">
        <v>43221</v>
      </c>
      <c r="H6823" s="200"/>
      <c r="I6823" s="346"/>
      <c r="J6823" s="39">
        <v>106967</v>
      </c>
      <c r="K6823" s="36" t="str">
        <f>CONCATENATE(Cover!$D$6,"fdd/view?i=",J6823)</f>
        <v>https://www.dgiwg.org/FAD/fdd/view?i=106967</v>
      </c>
      <c r="L6823" s="36" t="s">
        <v>43222</v>
      </c>
      <c r="M6823" s="186"/>
      <c r="N6823" s="186"/>
      <c r="O6823" s="172"/>
    </row>
    <row r="6824" spans="1:15" x14ac:dyDescent="0.2">
      <c r="A6824" s="197" t="str">
        <f t="shared" si="106"/>
        <v>PscCode_speckled</v>
      </c>
      <c r="B6824" s="409"/>
      <c r="C6824" s="416"/>
      <c r="D6824" s="198" t="s">
        <v>43223</v>
      </c>
      <c r="E6824" s="198">
        <v>24</v>
      </c>
      <c r="F6824" s="199" t="s">
        <v>43224</v>
      </c>
      <c r="G6824" s="1" t="s">
        <v>43225</v>
      </c>
      <c r="H6824" s="200"/>
      <c r="I6824" s="346"/>
      <c r="J6824" s="39">
        <v>106983</v>
      </c>
      <c r="K6824" s="36" t="str">
        <f>CONCATENATE(Cover!$D$6,"fdd/view?i=",J6824)</f>
        <v>https://www.dgiwg.org/FAD/fdd/view?i=106983</v>
      </c>
      <c r="L6824" s="36" t="s">
        <v>43226</v>
      </c>
      <c r="M6824" s="186"/>
      <c r="N6824" s="186"/>
      <c r="O6824" s="172"/>
    </row>
    <row r="6825" spans="1:15" ht="25.5" x14ac:dyDescent="0.2">
      <c r="A6825" s="197" t="str">
        <f t="shared" si="106"/>
        <v>PscCode_sticky</v>
      </c>
      <c r="B6825" s="409"/>
      <c r="C6825" s="416"/>
      <c r="D6825" s="198" t="s">
        <v>43227</v>
      </c>
      <c r="E6825" s="198">
        <v>9</v>
      </c>
      <c r="F6825" s="199" t="s">
        <v>43228</v>
      </c>
      <c r="G6825" s="1" t="s">
        <v>43229</v>
      </c>
      <c r="H6825" s="1" t="s">
        <v>43230</v>
      </c>
      <c r="I6825" s="346"/>
      <c r="J6825" s="39">
        <v>106968</v>
      </c>
      <c r="K6825" s="36" t="str">
        <f>CONCATENATE(Cover!$D$6,"fdd/view?i=",J6825)</f>
        <v>https://www.dgiwg.org/FAD/fdd/view?i=106968</v>
      </c>
      <c r="L6825" s="36" t="s">
        <v>43231</v>
      </c>
      <c r="M6825" s="186"/>
      <c r="N6825" s="186"/>
      <c r="O6825" s="172"/>
    </row>
    <row r="6826" spans="1:15" x14ac:dyDescent="0.2">
      <c r="A6826" s="197" t="str">
        <f t="shared" si="106"/>
        <v>PscCode_stiff</v>
      </c>
      <c r="B6826" s="409"/>
      <c r="C6826" s="416"/>
      <c r="D6826" s="198" t="s">
        <v>43232</v>
      </c>
      <c r="E6826" s="198">
        <v>10</v>
      </c>
      <c r="F6826" s="199" t="s">
        <v>43233</v>
      </c>
      <c r="G6826" s="1" t="s">
        <v>43234</v>
      </c>
      <c r="H6826" s="1" t="s">
        <v>43235</v>
      </c>
      <c r="I6826" s="346"/>
      <c r="J6826" s="39">
        <v>106969</v>
      </c>
      <c r="K6826" s="36" t="str">
        <f>CONCATENATE(Cover!$D$6,"fdd/view?i=",J6826)</f>
        <v>https://www.dgiwg.org/FAD/fdd/view?i=106969</v>
      </c>
      <c r="L6826" s="36" t="s">
        <v>43236</v>
      </c>
      <c r="M6826" s="186"/>
      <c r="N6826" s="186"/>
      <c r="O6826" s="172"/>
    </row>
    <row r="6827" spans="1:15" x14ac:dyDescent="0.2">
      <c r="A6827" s="197" t="str">
        <f t="shared" si="106"/>
        <v>PscCode_streaky</v>
      </c>
      <c r="B6827" s="409"/>
      <c r="C6827" s="416"/>
      <c r="D6827" s="198" t="s">
        <v>43237</v>
      </c>
      <c r="E6827" s="198">
        <v>11</v>
      </c>
      <c r="F6827" s="199" t="s">
        <v>43238</v>
      </c>
      <c r="G6827" s="1" t="s">
        <v>43239</v>
      </c>
      <c r="H6827" s="200"/>
      <c r="I6827" s="346"/>
      <c r="J6827" s="39">
        <v>106970</v>
      </c>
      <c r="K6827" s="36" t="str">
        <f>CONCATENATE(Cover!$D$6,"fdd/view?i=",J6827)</f>
        <v>https://www.dgiwg.org/FAD/fdd/view?i=106970</v>
      </c>
      <c r="L6827" s="36" t="s">
        <v>43240</v>
      </c>
      <c r="M6827" s="186"/>
      <c r="N6827" s="186"/>
      <c r="O6827" s="172"/>
    </row>
    <row r="6828" spans="1:15" ht="38.25" x14ac:dyDescent="0.2">
      <c r="A6828" s="197" t="str">
        <f t="shared" si="106"/>
        <v>PscCode_tenacious</v>
      </c>
      <c r="B6828" s="409"/>
      <c r="C6828" s="416"/>
      <c r="D6828" s="198" t="s">
        <v>43241</v>
      </c>
      <c r="E6828" s="198">
        <v>12</v>
      </c>
      <c r="F6828" s="199" t="s">
        <v>43242</v>
      </c>
      <c r="G6828" s="1" t="s">
        <v>43243</v>
      </c>
      <c r="H6828" s="1" t="s">
        <v>43244</v>
      </c>
      <c r="I6828" s="346"/>
      <c r="J6828" s="39">
        <v>106971</v>
      </c>
      <c r="K6828" s="36" t="str">
        <f>CONCATENATE(Cover!$D$6,"fdd/view?i=",J6828)</f>
        <v>https://www.dgiwg.org/FAD/fdd/view?i=106971</v>
      </c>
      <c r="L6828" s="36" t="s">
        <v>43245</v>
      </c>
      <c r="M6828" s="186"/>
      <c r="N6828" s="186"/>
      <c r="O6828" s="172"/>
    </row>
    <row r="6829" spans="1:15" ht="25.5" x14ac:dyDescent="0.2">
      <c r="A6829" s="197" t="str">
        <f t="shared" si="106"/>
        <v>PscCode_varied</v>
      </c>
      <c r="B6829" s="409"/>
      <c r="C6829" s="416"/>
      <c r="D6829" s="198" t="s">
        <v>43246</v>
      </c>
      <c r="E6829" s="198">
        <v>25</v>
      </c>
      <c r="F6829" s="199" t="s">
        <v>43247</v>
      </c>
      <c r="G6829" s="1" t="s">
        <v>43248</v>
      </c>
      <c r="H6829" s="200"/>
      <c r="I6829" s="346"/>
      <c r="J6829" s="39">
        <v>106984</v>
      </c>
      <c r="K6829" s="36" t="str">
        <f>CONCATENATE(Cover!$D$6,"fdd/view?i=",J6829)</f>
        <v>https://www.dgiwg.org/FAD/fdd/view?i=106984</v>
      </c>
      <c r="L6829" s="36" t="s">
        <v>43249</v>
      </c>
      <c r="M6829" s="186"/>
      <c r="N6829" s="186"/>
      <c r="O6829" s="172"/>
    </row>
    <row r="6830" spans="1:15" x14ac:dyDescent="0.2">
      <c r="A6830" s="203" t="str">
        <f t="shared" si="106"/>
        <v>PscCode_volcanic</v>
      </c>
      <c r="B6830" s="410"/>
      <c r="C6830" s="417"/>
      <c r="D6830" s="204" t="s">
        <v>43250</v>
      </c>
      <c r="E6830" s="204">
        <v>26</v>
      </c>
      <c r="F6830" s="205" t="s">
        <v>43251</v>
      </c>
      <c r="G6830" s="206" t="s">
        <v>43252</v>
      </c>
      <c r="H6830" s="207"/>
      <c r="I6830" s="347"/>
      <c r="J6830" s="39">
        <v>106985</v>
      </c>
      <c r="K6830" s="36" t="str">
        <f>CONCATENATE(Cover!$D$6,"fdd/view?i=",J6830)</f>
        <v>https://www.dgiwg.org/FAD/fdd/view?i=106985</v>
      </c>
      <c r="L6830" s="36" t="s">
        <v>43253</v>
      </c>
      <c r="M6830" s="186"/>
      <c r="N6830" s="186"/>
      <c r="O6830" s="172"/>
    </row>
    <row r="6831" spans="1:15" x14ac:dyDescent="0.2">
      <c r="A6831" s="190" t="str">
        <f t="shared" si="106"/>
        <v>PdcCode_national</v>
      </c>
      <c r="B6831" s="414" t="str">
        <f>HYPERLINK("[#]Datatypes!A1167:L1167","PdcCode")</f>
        <v>PdcCode</v>
      </c>
      <c r="C6831" s="415" t="s">
        <v>15777</v>
      </c>
      <c r="D6831" s="221" t="s">
        <v>16698</v>
      </c>
      <c r="E6831" s="221">
        <v>3</v>
      </c>
      <c r="F6831" s="222" t="s">
        <v>16699</v>
      </c>
      <c r="G6831" s="223" t="s">
        <v>43254</v>
      </c>
      <c r="H6831" s="224"/>
      <c r="I6831" s="345"/>
      <c r="J6831" s="39">
        <v>115760</v>
      </c>
      <c r="K6831" s="36" t="str">
        <f>CONCATENATE(Cover!$D$6,"fdd/view?i=",J6831)</f>
        <v>https://www.dgiwg.org/FAD/fdd/view?i=115760</v>
      </c>
      <c r="L6831" s="36" t="s">
        <v>43255</v>
      </c>
      <c r="M6831" s="186"/>
      <c r="N6831" s="186"/>
      <c r="O6831" s="172"/>
    </row>
    <row r="6832" spans="1:15" x14ac:dyDescent="0.2">
      <c r="A6832" s="197" t="str">
        <f t="shared" si="106"/>
        <v>PdcCode_nato</v>
      </c>
      <c r="B6832" s="409"/>
      <c r="C6832" s="416"/>
      <c r="D6832" s="198" t="s">
        <v>26736</v>
      </c>
      <c r="E6832" s="198">
        <v>4</v>
      </c>
      <c r="F6832" s="199" t="s">
        <v>26737</v>
      </c>
      <c r="G6832" s="1" t="s">
        <v>43256</v>
      </c>
      <c r="H6832" s="200"/>
      <c r="I6832" s="346"/>
      <c r="J6832" s="39">
        <v>115761</v>
      </c>
      <c r="K6832" s="36" t="str">
        <f>CONCATENATE(Cover!$D$6,"fdd/view?i=",J6832)</f>
        <v>https://www.dgiwg.org/FAD/fdd/view?i=115761</v>
      </c>
      <c r="L6832" s="36" t="s">
        <v>43257</v>
      </c>
      <c r="M6832" s="186"/>
      <c r="N6832" s="186"/>
      <c r="O6832" s="172"/>
    </row>
    <row r="6833" spans="1:15" x14ac:dyDescent="0.2">
      <c r="A6833" s="197" t="str">
        <f t="shared" si="106"/>
        <v>PdcCode_pansOps</v>
      </c>
      <c r="B6833" s="409"/>
      <c r="C6833" s="416"/>
      <c r="D6833" s="198" t="s">
        <v>43258</v>
      </c>
      <c r="E6833" s="198">
        <v>1</v>
      </c>
      <c r="F6833" s="199" t="s">
        <v>43259</v>
      </c>
      <c r="G6833" s="1" t="s">
        <v>43260</v>
      </c>
      <c r="H6833" s="200"/>
      <c r="I6833" s="346"/>
      <c r="J6833" s="39">
        <v>115758</v>
      </c>
      <c r="K6833" s="36" t="str">
        <f>CONCATENATE(Cover!$D$6,"fdd/view?i=",J6833)</f>
        <v>https://www.dgiwg.org/FAD/fdd/view?i=115758</v>
      </c>
      <c r="L6833" s="36" t="s">
        <v>43261</v>
      </c>
      <c r="M6833" s="186"/>
      <c r="N6833" s="186"/>
      <c r="O6833" s="172"/>
    </row>
    <row r="6834" spans="1:15" x14ac:dyDescent="0.2">
      <c r="A6834" s="203" t="str">
        <f t="shared" si="106"/>
        <v>PdcCode_terps</v>
      </c>
      <c r="B6834" s="410"/>
      <c r="C6834" s="417"/>
      <c r="D6834" s="204" t="s">
        <v>43262</v>
      </c>
      <c r="E6834" s="204">
        <v>2</v>
      </c>
      <c r="F6834" s="205" t="s">
        <v>43263</v>
      </c>
      <c r="G6834" s="206" t="s">
        <v>43264</v>
      </c>
      <c r="H6834" s="207"/>
      <c r="I6834" s="347"/>
      <c r="J6834" s="39">
        <v>115759</v>
      </c>
      <c r="K6834" s="36" t="str">
        <f>CONCATENATE(Cover!$D$6,"fdd/view?i=",J6834)</f>
        <v>https://www.dgiwg.org/FAD/fdd/view?i=115759</v>
      </c>
      <c r="L6834" s="36" t="s">
        <v>43265</v>
      </c>
      <c r="M6834" s="186"/>
      <c r="N6834" s="186"/>
      <c r="O6834" s="172"/>
    </row>
    <row r="6835" spans="1:15" ht="38.25" x14ac:dyDescent="0.2">
      <c r="A6835" s="190" t="str">
        <f t="shared" si="106"/>
        <v>PmtCode_alternate</v>
      </c>
      <c r="B6835" s="414" t="str">
        <f>HYPERLINK("[#]Datatypes!A1173:L1173","PmtCode")</f>
        <v>PmtCode</v>
      </c>
      <c r="C6835" s="415" t="s">
        <v>15783</v>
      </c>
      <c r="D6835" s="221" t="s">
        <v>6637</v>
      </c>
      <c r="E6835" s="221">
        <v>2</v>
      </c>
      <c r="F6835" s="222" t="s">
        <v>6639</v>
      </c>
      <c r="G6835" s="223" t="s">
        <v>43266</v>
      </c>
      <c r="H6835" s="224"/>
      <c r="I6835" s="345"/>
      <c r="J6835" s="39">
        <v>119687</v>
      </c>
      <c r="K6835" s="36" t="str">
        <f>CONCATENATE(Cover!$D$6,"fdd/view?i=",J6835)</f>
        <v>https://www.dgiwg.org/FAD/fdd/view?i=119687</v>
      </c>
      <c r="L6835" s="36" t="s">
        <v>43267</v>
      </c>
      <c r="M6835" s="186"/>
      <c r="N6835" s="186"/>
      <c r="O6835" s="172"/>
    </row>
    <row r="6836" spans="1:15" ht="38.25" x14ac:dyDescent="0.2">
      <c r="A6836" s="203" t="str">
        <f t="shared" si="106"/>
        <v>PmtCode_primary</v>
      </c>
      <c r="B6836" s="410"/>
      <c r="C6836" s="417"/>
      <c r="D6836" s="204" t="s">
        <v>19282</v>
      </c>
      <c r="E6836" s="204">
        <v>1</v>
      </c>
      <c r="F6836" s="205" t="s">
        <v>19283</v>
      </c>
      <c r="G6836" s="206" t="s">
        <v>43268</v>
      </c>
      <c r="H6836" s="207"/>
      <c r="I6836" s="347"/>
      <c r="J6836" s="39">
        <v>119686</v>
      </c>
      <c r="K6836" s="36" t="str">
        <f>CONCATENATE(Cover!$D$6,"fdd/view?i=",J6836)</f>
        <v>https://www.dgiwg.org/FAD/fdd/view?i=119686</v>
      </c>
      <c r="L6836" s="36" t="s">
        <v>43269</v>
      </c>
      <c r="M6836" s="186"/>
      <c r="N6836" s="186"/>
      <c r="O6836" s="172"/>
    </row>
    <row r="6837" spans="1:15" x14ac:dyDescent="0.2">
      <c r="A6837" s="190" t="str">
        <f t="shared" si="106"/>
        <v>PpoCode_aircraft</v>
      </c>
      <c r="B6837" s="414" t="str">
        <f>HYPERLINK("[#]Datatypes!A1185:L1185","PpoCode")</f>
        <v>PpoCode</v>
      </c>
      <c r="C6837" s="415" t="s">
        <v>15800</v>
      </c>
      <c r="D6837" s="221" t="s">
        <v>26569</v>
      </c>
      <c r="E6837" s="221">
        <v>1</v>
      </c>
      <c r="F6837" s="222" t="s">
        <v>26570</v>
      </c>
      <c r="G6837" s="223" t="s">
        <v>43270</v>
      </c>
      <c r="H6837" s="223" t="s">
        <v>43271</v>
      </c>
      <c r="I6837" s="345"/>
      <c r="J6837" s="39">
        <v>106461</v>
      </c>
      <c r="K6837" s="36" t="str">
        <f>CONCATENATE(Cover!$D$6,"fdd/view?i=",J6837)</f>
        <v>https://www.dgiwg.org/FAD/fdd/view?i=106461</v>
      </c>
      <c r="L6837" s="36" t="s">
        <v>43272</v>
      </c>
      <c r="M6837" s="186"/>
      <c r="N6837" s="186"/>
      <c r="O6837" s="172"/>
    </row>
    <row r="6838" spans="1:15" ht="25.5" x14ac:dyDescent="0.2">
      <c r="A6838" s="197" t="str">
        <f t="shared" si="106"/>
        <v>PpoCode_algae</v>
      </c>
      <c r="B6838" s="409"/>
      <c r="C6838" s="416"/>
      <c r="D6838" s="198" t="s">
        <v>43273</v>
      </c>
      <c r="E6838" s="198">
        <v>100</v>
      </c>
      <c r="F6838" s="199" t="s">
        <v>2025</v>
      </c>
      <c r="G6838" s="1" t="s">
        <v>43274</v>
      </c>
      <c r="H6838" s="1" t="s">
        <v>2028</v>
      </c>
      <c r="I6838" s="351" t="s">
        <v>2029</v>
      </c>
      <c r="J6838" s="39">
        <v>106560</v>
      </c>
      <c r="K6838" s="36" t="str">
        <f>CONCATENATE(Cover!$D$6,"fdd/view?i=",J6838)</f>
        <v>https://www.dgiwg.org/FAD/fdd/view?i=106560</v>
      </c>
      <c r="L6838" s="36" t="s">
        <v>43275</v>
      </c>
      <c r="M6838" s="186"/>
      <c r="N6838" s="186"/>
      <c r="O6838" s="172"/>
    </row>
    <row r="6839" spans="1:15" ht="25.5" x14ac:dyDescent="0.2">
      <c r="A6839" s="197" t="str">
        <f t="shared" si="106"/>
        <v>PpoCode_aluminum</v>
      </c>
      <c r="B6839" s="409"/>
      <c r="C6839" s="416"/>
      <c r="D6839" s="198" t="s">
        <v>25660</v>
      </c>
      <c r="E6839" s="198">
        <v>2</v>
      </c>
      <c r="F6839" s="199" t="s">
        <v>43276</v>
      </c>
      <c r="G6839" s="1" t="s">
        <v>43277</v>
      </c>
      <c r="H6839" s="200"/>
      <c r="I6839" s="346"/>
      <c r="J6839" s="39">
        <v>106462</v>
      </c>
      <c r="K6839" s="36" t="str">
        <f>CONCATENATE(Cover!$D$6,"fdd/view?i=",J6839)</f>
        <v>https://www.dgiwg.org/FAD/fdd/view?i=106462</v>
      </c>
      <c r="L6839" s="36" t="s">
        <v>43278</v>
      </c>
      <c r="M6839" s="186"/>
      <c r="N6839" s="186"/>
      <c r="O6839" s="172"/>
    </row>
    <row r="6840" spans="1:15" ht="25.5" x14ac:dyDescent="0.2">
      <c r="A6840" s="197" t="str">
        <f t="shared" si="106"/>
        <v>PpoCode_ammunition</v>
      </c>
      <c r="B6840" s="409"/>
      <c r="C6840" s="416"/>
      <c r="D6840" s="198" t="s">
        <v>43279</v>
      </c>
      <c r="E6840" s="198">
        <v>3</v>
      </c>
      <c r="F6840" s="199" t="s">
        <v>43280</v>
      </c>
      <c r="G6840" s="1" t="s">
        <v>43281</v>
      </c>
      <c r="H6840" s="200"/>
      <c r="I6840" s="346"/>
      <c r="J6840" s="39">
        <v>106463</v>
      </c>
      <c r="K6840" s="36" t="str">
        <f>CONCATENATE(Cover!$D$6,"fdd/view?i=",J6840)</f>
        <v>https://www.dgiwg.org/FAD/fdd/view?i=106463</v>
      </c>
      <c r="L6840" s="36" t="s">
        <v>43282</v>
      </c>
      <c r="M6840" s="186"/>
      <c r="N6840" s="186"/>
      <c r="O6840" s="172"/>
    </row>
    <row r="6841" spans="1:15" x14ac:dyDescent="0.2">
      <c r="A6841" s="197" t="str">
        <f t="shared" si="106"/>
        <v>PpoCode_animalFeed</v>
      </c>
      <c r="B6841" s="409"/>
      <c r="C6841" s="416"/>
      <c r="D6841" s="198" t="s">
        <v>25250</v>
      </c>
      <c r="E6841" s="198">
        <v>174</v>
      </c>
      <c r="F6841" s="199" t="s">
        <v>25251</v>
      </c>
      <c r="G6841" s="1" t="s">
        <v>25252</v>
      </c>
      <c r="H6841" s="200"/>
      <c r="I6841" s="346"/>
      <c r="J6841" s="39">
        <v>114393</v>
      </c>
      <c r="K6841" s="36" t="str">
        <f>CONCATENATE(Cover!$D$6,"fdd/view?i=",J6841)</f>
        <v>https://www.dgiwg.org/FAD/fdd/view?i=114393</v>
      </c>
      <c r="L6841" s="36" t="s">
        <v>43283</v>
      </c>
      <c r="M6841" s="186"/>
      <c r="N6841" s="186"/>
      <c r="O6841" s="172"/>
    </row>
    <row r="6842" spans="1:15" ht="25.5" x14ac:dyDescent="0.2">
      <c r="A6842" s="197" t="str">
        <f t="shared" si="106"/>
        <v>PpoCode_asphalt</v>
      </c>
      <c r="B6842" s="409"/>
      <c r="C6842" s="416"/>
      <c r="D6842" s="198" t="s">
        <v>19519</v>
      </c>
      <c r="E6842" s="198">
        <v>4</v>
      </c>
      <c r="F6842" s="199" t="s">
        <v>19520</v>
      </c>
      <c r="G6842" s="1" t="s">
        <v>43284</v>
      </c>
      <c r="H6842" s="200"/>
      <c r="I6842" s="346"/>
      <c r="J6842" s="39">
        <v>106464</v>
      </c>
      <c r="K6842" s="36" t="str">
        <f>CONCATENATE(Cover!$D$6,"fdd/view?i=",J6842)</f>
        <v>https://www.dgiwg.org/FAD/fdd/view?i=106464</v>
      </c>
      <c r="L6842" s="36" t="s">
        <v>43285</v>
      </c>
      <c r="M6842" s="186"/>
      <c r="N6842" s="186"/>
      <c r="O6842" s="172"/>
    </row>
    <row r="6843" spans="1:15" ht="25.5" x14ac:dyDescent="0.2">
      <c r="A6843" s="197" t="str">
        <f t="shared" si="106"/>
        <v>PpoCode_bamboo</v>
      </c>
      <c r="B6843" s="409"/>
      <c r="C6843" s="416"/>
      <c r="D6843" s="198" t="s">
        <v>26987</v>
      </c>
      <c r="E6843" s="198">
        <v>6</v>
      </c>
      <c r="F6843" s="199" t="s">
        <v>26988</v>
      </c>
      <c r="G6843" s="1" t="s">
        <v>43286</v>
      </c>
      <c r="H6843" s="1" t="s">
        <v>43287</v>
      </c>
      <c r="I6843" s="346"/>
      <c r="J6843" s="39">
        <v>106466</v>
      </c>
      <c r="K6843" s="36" t="str">
        <f>CONCATENATE(Cover!$D$6,"fdd/view?i=",J6843)</f>
        <v>https://www.dgiwg.org/FAD/fdd/view?i=106466</v>
      </c>
      <c r="L6843" s="36" t="s">
        <v>43288</v>
      </c>
      <c r="M6843" s="186"/>
      <c r="N6843" s="186"/>
      <c r="O6843" s="172"/>
    </row>
    <row r="6844" spans="1:15" ht="38.25" x14ac:dyDescent="0.2">
      <c r="A6844" s="197" t="str">
        <f t="shared" si="106"/>
        <v>PpoCode_banana</v>
      </c>
      <c r="B6844" s="409"/>
      <c r="C6844" s="416"/>
      <c r="D6844" s="198" t="s">
        <v>26992</v>
      </c>
      <c r="E6844" s="198">
        <v>7</v>
      </c>
      <c r="F6844" s="199" t="s">
        <v>26993</v>
      </c>
      <c r="G6844" s="1" t="s">
        <v>43289</v>
      </c>
      <c r="H6844" s="200"/>
      <c r="I6844" s="346"/>
      <c r="J6844" s="39">
        <v>106467</v>
      </c>
      <c r="K6844" s="36" t="str">
        <f>CONCATENATE(Cover!$D$6,"fdd/view?i=",J6844)</f>
        <v>https://www.dgiwg.org/FAD/fdd/view?i=106467</v>
      </c>
      <c r="L6844" s="36" t="s">
        <v>43290</v>
      </c>
      <c r="M6844" s="186"/>
      <c r="N6844" s="186"/>
      <c r="O6844" s="172"/>
    </row>
    <row r="6845" spans="1:15" ht="38.25" x14ac:dyDescent="0.2">
      <c r="A6845" s="197" t="str">
        <f t="shared" si="106"/>
        <v>PpoCode_basalt</v>
      </c>
      <c r="B6845" s="409"/>
      <c r="C6845" s="416"/>
      <c r="D6845" s="198" t="s">
        <v>22299</v>
      </c>
      <c r="E6845" s="198">
        <v>8</v>
      </c>
      <c r="F6845" s="199" t="s">
        <v>22300</v>
      </c>
      <c r="G6845" s="1" t="s">
        <v>43291</v>
      </c>
      <c r="H6845" s="1" t="s">
        <v>43292</v>
      </c>
      <c r="I6845" s="346"/>
      <c r="J6845" s="39">
        <v>106468</v>
      </c>
      <c r="K6845" s="36" t="str">
        <f>CONCATENATE(Cover!$D$6,"fdd/view?i=",J6845)</f>
        <v>https://www.dgiwg.org/FAD/fdd/view?i=106468</v>
      </c>
      <c r="L6845" s="36" t="s">
        <v>43293</v>
      </c>
      <c r="M6845" s="186"/>
      <c r="N6845" s="186"/>
      <c r="O6845" s="172"/>
    </row>
    <row r="6846" spans="1:15" ht="25.5" x14ac:dyDescent="0.2">
      <c r="A6846" s="197" t="str">
        <f t="shared" si="106"/>
        <v>PpoCode_bauxite</v>
      </c>
      <c r="B6846" s="409"/>
      <c r="C6846" s="416"/>
      <c r="D6846" s="198" t="s">
        <v>35434</v>
      </c>
      <c r="E6846" s="198">
        <v>9</v>
      </c>
      <c r="F6846" s="199" t="s">
        <v>35435</v>
      </c>
      <c r="G6846" s="1" t="s">
        <v>43294</v>
      </c>
      <c r="H6846" s="1" t="s">
        <v>43295</v>
      </c>
      <c r="I6846" s="346"/>
      <c r="J6846" s="39">
        <v>106469</v>
      </c>
      <c r="K6846" s="36" t="str">
        <f>CONCATENATE(Cover!$D$6,"fdd/view?i=",J6846)</f>
        <v>https://www.dgiwg.org/FAD/fdd/view?i=106469</v>
      </c>
      <c r="L6846" s="36" t="s">
        <v>43296</v>
      </c>
      <c r="M6846" s="186"/>
      <c r="N6846" s="186"/>
      <c r="O6846" s="172"/>
    </row>
    <row r="6847" spans="1:15" ht="25.5" x14ac:dyDescent="0.2">
      <c r="A6847" s="197" t="str">
        <f t="shared" si="106"/>
        <v>PpoCode_biochemical</v>
      </c>
      <c r="B6847" s="409"/>
      <c r="C6847" s="416"/>
      <c r="D6847" s="198" t="s">
        <v>43297</v>
      </c>
      <c r="E6847" s="198">
        <v>136</v>
      </c>
      <c r="F6847" s="199" t="s">
        <v>43298</v>
      </c>
      <c r="G6847" s="1" t="s">
        <v>43299</v>
      </c>
      <c r="H6847" s="1" t="s">
        <v>43300</v>
      </c>
      <c r="I6847" s="346"/>
      <c r="J6847" s="39">
        <v>108634</v>
      </c>
      <c r="K6847" s="36" t="str">
        <f>CONCATENATE(Cover!$D$6,"fdd/view?i=",J6847)</f>
        <v>https://www.dgiwg.org/FAD/fdd/view?i=108634</v>
      </c>
      <c r="L6847" s="36" t="s">
        <v>43301</v>
      </c>
      <c r="M6847" s="186"/>
      <c r="N6847" s="186"/>
      <c r="O6847" s="172"/>
    </row>
    <row r="6848" spans="1:15" ht="102" x14ac:dyDescent="0.2">
      <c r="A6848" s="197" t="str">
        <f t="shared" si="106"/>
        <v>PpoCode_biodiesel</v>
      </c>
      <c r="B6848" s="409"/>
      <c r="C6848" s="416"/>
      <c r="D6848" s="198" t="s">
        <v>22900</v>
      </c>
      <c r="E6848" s="198">
        <v>214</v>
      </c>
      <c r="F6848" s="199" t="s">
        <v>22901</v>
      </c>
      <c r="G6848" s="1" t="s">
        <v>22902</v>
      </c>
      <c r="H6848" s="1" t="s">
        <v>43302</v>
      </c>
      <c r="I6848" s="346"/>
      <c r="J6848" s="39">
        <v>119110</v>
      </c>
      <c r="K6848" s="36" t="str">
        <f>CONCATENATE(Cover!$D$6,"fdd/view?i=",J6848)</f>
        <v>https://www.dgiwg.org/FAD/fdd/view?i=119110</v>
      </c>
      <c r="L6848" s="36" t="s">
        <v>43303</v>
      </c>
      <c r="M6848" s="186"/>
      <c r="N6848" s="186"/>
      <c r="O6848" s="172"/>
    </row>
    <row r="6849" spans="1:15" ht="25.5" x14ac:dyDescent="0.2">
      <c r="A6849" s="197" t="str">
        <f t="shared" si="106"/>
        <v>PpoCode_bivalveMollusc</v>
      </c>
      <c r="B6849" s="409"/>
      <c r="C6849" s="416"/>
      <c r="D6849" s="198" t="s">
        <v>43304</v>
      </c>
      <c r="E6849" s="198">
        <v>11</v>
      </c>
      <c r="F6849" s="199" t="s">
        <v>43305</v>
      </c>
      <c r="G6849" s="1" t="s">
        <v>43306</v>
      </c>
      <c r="H6849" s="1" t="s">
        <v>43307</v>
      </c>
      <c r="I6849" s="346"/>
      <c r="J6849" s="39">
        <v>106471</v>
      </c>
      <c r="K6849" s="36" t="str">
        <f>CONCATENATE(Cover!$D$6,"fdd/view?i=",J6849)</f>
        <v>https://www.dgiwg.org/FAD/fdd/view?i=106471</v>
      </c>
      <c r="L6849" s="36" t="s">
        <v>43308</v>
      </c>
      <c r="M6849" s="186"/>
      <c r="N6849" s="186"/>
      <c r="O6849" s="172"/>
    </row>
    <row r="6850" spans="1:15" ht="38.25" x14ac:dyDescent="0.2">
      <c r="A6850" s="197" t="str">
        <f t="shared" ref="A6850:A6913" si="107">HYPERLINK(K6850,L6850)</f>
        <v>PpoCode_breccia</v>
      </c>
      <c r="B6850" s="409"/>
      <c r="C6850" s="416"/>
      <c r="D6850" s="198" t="s">
        <v>43309</v>
      </c>
      <c r="E6850" s="198">
        <v>138</v>
      </c>
      <c r="F6850" s="199" t="s">
        <v>43310</v>
      </c>
      <c r="G6850" s="1" t="s">
        <v>43311</v>
      </c>
      <c r="H6850" s="1" t="s">
        <v>43312</v>
      </c>
      <c r="I6850" s="346"/>
      <c r="J6850" s="39">
        <v>108636</v>
      </c>
      <c r="K6850" s="36" t="str">
        <f>CONCATENATE(Cover!$D$6,"fdd/view?i=",J6850)</f>
        <v>https://www.dgiwg.org/FAD/fdd/view?i=108636</v>
      </c>
      <c r="L6850" s="36" t="s">
        <v>43313</v>
      </c>
      <c r="M6850" s="186"/>
      <c r="N6850" s="186"/>
      <c r="O6850" s="172"/>
    </row>
    <row r="6851" spans="1:15" ht="25.5" x14ac:dyDescent="0.2">
      <c r="A6851" s="197" t="str">
        <f t="shared" si="107"/>
        <v>PpoCode_brick</v>
      </c>
      <c r="B6851" s="409"/>
      <c r="C6851" s="416"/>
      <c r="D6851" s="198" t="s">
        <v>19533</v>
      </c>
      <c r="E6851" s="198">
        <v>13</v>
      </c>
      <c r="F6851" s="199" t="s">
        <v>19534</v>
      </c>
      <c r="G6851" s="1" t="s">
        <v>43314</v>
      </c>
      <c r="H6851" s="200"/>
      <c r="I6851" s="346"/>
      <c r="J6851" s="39">
        <v>106473</v>
      </c>
      <c r="K6851" s="36" t="str">
        <f>CONCATENATE(Cover!$D$6,"fdd/view?i=",J6851)</f>
        <v>https://www.dgiwg.org/FAD/fdd/view?i=106473</v>
      </c>
      <c r="L6851" s="36" t="s">
        <v>43315</v>
      </c>
      <c r="M6851" s="186"/>
      <c r="N6851" s="186"/>
      <c r="O6851" s="172"/>
    </row>
    <row r="6852" spans="1:15" ht="38.25" x14ac:dyDescent="0.2">
      <c r="A6852" s="197" t="str">
        <f t="shared" si="107"/>
        <v>PpoCode_brine</v>
      </c>
      <c r="B6852" s="409"/>
      <c r="C6852" s="416"/>
      <c r="D6852" s="198" t="s">
        <v>43316</v>
      </c>
      <c r="E6852" s="198">
        <v>149</v>
      </c>
      <c r="F6852" s="199" t="s">
        <v>43317</v>
      </c>
      <c r="G6852" s="1" t="s">
        <v>43318</v>
      </c>
      <c r="H6852" s="1" t="s">
        <v>43319</v>
      </c>
      <c r="I6852" s="346"/>
      <c r="J6852" s="39">
        <v>112772</v>
      </c>
      <c r="K6852" s="36" t="str">
        <f>CONCATENATE(Cover!$D$6,"fdd/view?i=",J6852)</f>
        <v>https://www.dgiwg.org/FAD/fdd/view?i=112772</v>
      </c>
      <c r="L6852" s="36" t="s">
        <v>43320</v>
      </c>
      <c r="M6852" s="186"/>
      <c r="N6852" s="186"/>
      <c r="O6852" s="172"/>
    </row>
    <row r="6853" spans="1:15" ht="25.5" x14ac:dyDescent="0.2">
      <c r="A6853" s="197" t="str">
        <f t="shared" si="107"/>
        <v>PpoCode_calcareous</v>
      </c>
      <c r="B6853" s="409"/>
      <c r="C6853" s="416"/>
      <c r="D6853" s="198" t="s">
        <v>43153</v>
      </c>
      <c r="E6853" s="198">
        <v>14</v>
      </c>
      <c r="F6853" s="199" t="s">
        <v>43154</v>
      </c>
      <c r="G6853" s="1" t="s">
        <v>43321</v>
      </c>
      <c r="H6853" s="200"/>
      <c r="I6853" s="346"/>
      <c r="J6853" s="39">
        <v>106474</v>
      </c>
      <c r="K6853" s="36" t="str">
        <f>CONCATENATE(Cover!$D$6,"fdd/view?i=",J6853)</f>
        <v>https://www.dgiwg.org/FAD/fdd/view?i=106474</v>
      </c>
      <c r="L6853" s="36" t="s">
        <v>43322</v>
      </c>
      <c r="M6853" s="186"/>
      <c r="N6853" s="186"/>
      <c r="O6853" s="172"/>
    </row>
    <row r="6854" spans="1:15" ht="38.25" x14ac:dyDescent="0.2">
      <c r="A6854" s="197" t="str">
        <f t="shared" si="107"/>
        <v>PpoCode_cement</v>
      </c>
      <c r="B6854" s="409"/>
      <c r="C6854" s="416"/>
      <c r="D6854" s="198" t="s">
        <v>43323</v>
      </c>
      <c r="E6854" s="198">
        <v>15</v>
      </c>
      <c r="F6854" s="199" t="s">
        <v>43324</v>
      </c>
      <c r="G6854" s="1" t="s">
        <v>43325</v>
      </c>
      <c r="H6854" s="1" t="s">
        <v>43326</v>
      </c>
      <c r="I6854" s="346"/>
      <c r="J6854" s="39">
        <v>106475</v>
      </c>
      <c r="K6854" s="36" t="str">
        <f>CONCATENATE(Cover!$D$6,"fdd/view?i=",J6854)</f>
        <v>https://www.dgiwg.org/FAD/fdd/view?i=106475</v>
      </c>
      <c r="L6854" s="36" t="s">
        <v>43327</v>
      </c>
      <c r="M6854" s="186"/>
      <c r="N6854" s="186"/>
      <c r="O6854" s="172"/>
    </row>
    <row r="6855" spans="1:15" ht="38.25" x14ac:dyDescent="0.2">
      <c r="A6855" s="197" t="str">
        <f t="shared" si="107"/>
        <v>PpoCode_chalk</v>
      </c>
      <c r="B6855" s="409"/>
      <c r="C6855" s="416"/>
      <c r="D6855" s="198" t="s">
        <v>43328</v>
      </c>
      <c r="E6855" s="198">
        <v>130</v>
      </c>
      <c r="F6855" s="199" t="s">
        <v>43329</v>
      </c>
      <c r="G6855" s="1" t="s">
        <v>43330</v>
      </c>
      <c r="H6855" s="200"/>
      <c r="I6855" s="346"/>
      <c r="J6855" s="39">
        <v>106590</v>
      </c>
      <c r="K6855" s="36" t="str">
        <f>CONCATENATE(Cover!$D$6,"fdd/view?i=",J6855)</f>
        <v>https://www.dgiwg.org/FAD/fdd/view?i=106590</v>
      </c>
      <c r="L6855" s="36" t="s">
        <v>43331</v>
      </c>
      <c r="M6855" s="186"/>
      <c r="N6855" s="186"/>
      <c r="O6855" s="172"/>
    </row>
    <row r="6856" spans="1:15" ht="38.25" x14ac:dyDescent="0.2">
      <c r="A6856" s="197" t="str">
        <f t="shared" si="107"/>
        <v>PpoCode_charcoal</v>
      </c>
      <c r="B6856" s="409"/>
      <c r="C6856" s="416"/>
      <c r="D6856" s="198" t="s">
        <v>43332</v>
      </c>
      <c r="E6856" s="198">
        <v>159</v>
      </c>
      <c r="F6856" s="199" t="s">
        <v>43333</v>
      </c>
      <c r="G6856" s="1" t="s">
        <v>43334</v>
      </c>
      <c r="H6856" s="1" t="s">
        <v>43335</v>
      </c>
      <c r="I6856" s="346"/>
      <c r="J6856" s="39">
        <v>112781</v>
      </c>
      <c r="K6856" s="36" t="str">
        <f>CONCATENATE(Cover!$D$6,"fdd/view?i=",J6856)</f>
        <v>https://www.dgiwg.org/FAD/fdd/view?i=112781</v>
      </c>
      <c r="L6856" s="36" t="s">
        <v>43336</v>
      </c>
      <c r="M6856" s="186"/>
      <c r="N6856" s="186"/>
      <c r="O6856" s="172"/>
    </row>
    <row r="6857" spans="1:15" x14ac:dyDescent="0.2">
      <c r="A6857" s="197" t="str">
        <f t="shared" si="107"/>
        <v>PpoCode_chemical</v>
      </c>
      <c r="B6857" s="409"/>
      <c r="C6857" s="416"/>
      <c r="D6857" s="198" t="s">
        <v>40232</v>
      </c>
      <c r="E6857" s="198">
        <v>16</v>
      </c>
      <c r="F6857" s="199" t="s">
        <v>40233</v>
      </c>
      <c r="G6857" s="1" t="s">
        <v>43337</v>
      </c>
      <c r="H6857" s="200"/>
      <c r="I6857" s="346"/>
      <c r="J6857" s="39">
        <v>106476</v>
      </c>
      <c r="K6857" s="36" t="str">
        <f>CONCATENATE(Cover!$D$6,"fdd/view?i=",J6857)</f>
        <v>https://www.dgiwg.org/FAD/fdd/view?i=106476</v>
      </c>
      <c r="L6857" s="36" t="s">
        <v>43338</v>
      </c>
      <c r="M6857" s="186"/>
      <c r="N6857" s="186"/>
      <c r="O6857" s="172"/>
    </row>
    <row r="6858" spans="1:15" ht="25.5" x14ac:dyDescent="0.2">
      <c r="A6858" s="197" t="str">
        <f t="shared" si="107"/>
        <v>PpoCode_chromium</v>
      </c>
      <c r="B6858" s="409"/>
      <c r="C6858" s="416"/>
      <c r="D6858" s="198" t="s">
        <v>25726</v>
      </c>
      <c r="E6858" s="198">
        <v>151</v>
      </c>
      <c r="F6858" s="199" t="s">
        <v>43339</v>
      </c>
      <c r="G6858" s="1" t="s">
        <v>43340</v>
      </c>
      <c r="H6858" s="1" t="s">
        <v>43341</v>
      </c>
      <c r="I6858" s="346"/>
      <c r="J6858" s="39">
        <v>112774</v>
      </c>
      <c r="K6858" s="36" t="str">
        <f>CONCATENATE(Cover!$D$6,"fdd/view?i=",J6858)</f>
        <v>https://www.dgiwg.org/FAD/fdd/view?i=112774</v>
      </c>
      <c r="L6858" s="36" t="s">
        <v>43342</v>
      </c>
      <c r="M6858" s="186"/>
      <c r="N6858" s="186"/>
      <c r="O6858" s="172"/>
    </row>
    <row r="6859" spans="1:15" ht="38.25" x14ac:dyDescent="0.2">
      <c r="A6859" s="197" t="str">
        <f t="shared" si="107"/>
        <v>PpoCode_clay</v>
      </c>
      <c r="B6859" s="409"/>
      <c r="C6859" s="416"/>
      <c r="D6859" s="198" t="s">
        <v>19537</v>
      </c>
      <c r="E6859" s="198">
        <v>17</v>
      </c>
      <c r="F6859" s="199" t="s">
        <v>19538</v>
      </c>
      <c r="G6859" s="1" t="s">
        <v>43343</v>
      </c>
      <c r="H6859" s="1" t="s">
        <v>43344</v>
      </c>
      <c r="I6859" s="346"/>
      <c r="J6859" s="39">
        <v>106477</v>
      </c>
      <c r="K6859" s="36" t="str">
        <f>CONCATENATE(Cover!$D$6,"fdd/view?i=",J6859)</f>
        <v>https://www.dgiwg.org/FAD/fdd/view?i=106477</v>
      </c>
      <c r="L6859" s="36" t="s">
        <v>43345</v>
      </c>
      <c r="M6859" s="186"/>
      <c r="N6859" s="186"/>
      <c r="O6859" s="172"/>
    </row>
    <row r="6860" spans="1:15" ht="140.25" x14ac:dyDescent="0.2">
      <c r="A6860" s="197" t="str">
        <f t="shared" si="107"/>
        <v>PpoCode_clothing</v>
      </c>
      <c r="B6860" s="409"/>
      <c r="C6860" s="416"/>
      <c r="D6860" s="198" t="s">
        <v>43346</v>
      </c>
      <c r="E6860" s="198">
        <v>165</v>
      </c>
      <c r="F6860" s="199" t="s">
        <v>43347</v>
      </c>
      <c r="G6860" s="1" t="s">
        <v>43348</v>
      </c>
      <c r="H6860" s="1" t="s">
        <v>43349</v>
      </c>
      <c r="I6860" s="346"/>
      <c r="J6860" s="39">
        <v>118543</v>
      </c>
      <c r="K6860" s="36" t="str">
        <f>CONCATENATE(Cover!$D$6,"fdd/view?i=",J6860)</f>
        <v>https://www.dgiwg.org/FAD/fdd/view?i=118543</v>
      </c>
      <c r="L6860" s="36" t="s">
        <v>43350</v>
      </c>
      <c r="M6860" s="186"/>
      <c r="N6860" s="186"/>
      <c r="O6860" s="172"/>
    </row>
    <row r="6861" spans="1:15" ht="25.5" x14ac:dyDescent="0.2">
      <c r="A6861" s="197" t="str">
        <f t="shared" si="107"/>
        <v>PpoCode_coal</v>
      </c>
      <c r="B6861" s="409"/>
      <c r="C6861" s="416"/>
      <c r="D6861" s="198" t="s">
        <v>22914</v>
      </c>
      <c r="E6861" s="198">
        <v>18</v>
      </c>
      <c r="F6861" s="199" t="s">
        <v>22915</v>
      </c>
      <c r="G6861" s="1" t="s">
        <v>22916</v>
      </c>
      <c r="H6861" s="1" t="s">
        <v>22917</v>
      </c>
      <c r="I6861" s="346"/>
      <c r="J6861" s="39">
        <v>106478</v>
      </c>
      <c r="K6861" s="36" t="str">
        <f>CONCATENATE(Cover!$D$6,"fdd/view?i=",J6861)</f>
        <v>https://www.dgiwg.org/FAD/fdd/view?i=106478</v>
      </c>
      <c r="L6861" s="36" t="s">
        <v>43351</v>
      </c>
      <c r="M6861" s="186"/>
      <c r="N6861" s="186"/>
      <c r="O6861" s="172"/>
    </row>
    <row r="6862" spans="1:15" ht="51" x14ac:dyDescent="0.2">
      <c r="A6862" s="197" t="str">
        <f t="shared" si="107"/>
        <v>PpoCode_coalbedMethane</v>
      </c>
      <c r="B6862" s="409"/>
      <c r="C6862" s="416"/>
      <c r="D6862" s="198" t="s">
        <v>43352</v>
      </c>
      <c r="E6862" s="198">
        <v>161</v>
      </c>
      <c r="F6862" s="199" t="s">
        <v>43353</v>
      </c>
      <c r="G6862" s="1" t="s">
        <v>43354</v>
      </c>
      <c r="H6862" s="1" t="s">
        <v>43355</v>
      </c>
      <c r="I6862" s="351" t="s">
        <v>43356</v>
      </c>
      <c r="J6862" s="39">
        <v>118539</v>
      </c>
      <c r="K6862" s="36" t="str">
        <f>CONCATENATE(Cover!$D$6,"fdd/view?i=",J6862)</f>
        <v>https://www.dgiwg.org/FAD/fdd/view?i=118539</v>
      </c>
      <c r="L6862" s="36" t="s">
        <v>43357</v>
      </c>
      <c r="M6862" s="186"/>
      <c r="N6862" s="186"/>
      <c r="O6862" s="172"/>
    </row>
    <row r="6863" spans="1:15" x14ac:dyDescent="0.2">
      <c r="A6863" s="197" t="str">
        <f t="shared" si="107"/>
        <v>PpoCode_cobbles</v>
      </c>
      <c r="B6863" s="409"/>
      <c r="C6863" s="416"/>
      <c r="D6863" s="198" t="s">
        <v>43358</v>
      </c>
      <c r="E6863" s="198">
        <v>19</v>
      </c>
      <c r="F6863" s="199" t="s">
        <v>43359</v>
      </c>
      <c r="G6863" s="1" t="s">
        <v>43360</v>
      </c>
      <c r="H6863" s="200"/>
      <c r="I6863" s="351" t="s">
        <v>43361</v>
      </c>
      <c r="J6863" s="39">
        <v>106479</v>
      </c>
      <c r="K6863" s="36" t="str">
        <f>CONCATENATE(Cover!$D$6,"fdd/view?i=",J6863)</f>
        <v>https://www.dgiwg.org/FAD/fdd/view?i=106479</v>
      </c>
      <c r="L6863" s="36" t="s">
        <v>43362</v>
      </c>
      <c r="M6863" s="186"/>
      <c r="N6863" s="186"/>
      <c r="O6863" s="172"/>
    </row>
    <row r="6864" spans="1:15" ht="51" x14ac:dyDescent="0.2">
      <c r="A6864" s="197" t="str">
        <f t="shared" si="107"/>
        <v>PpoCode_coffee</v>
      </c>
      <c r="B6864" s="409"/>
      <c r="C6864" s="416"/>
      <c r="D6864" s="198" t="s">
        <v>27132</v>
      </c>
      <c r="E6864" s="198">
        <v>20</v>
      </c>
      <c r="F6864" s="199" t="s">
        <v>27133</v>
      </c>
      <c r="G6864" s="1" t="s">
        <v>43363</v>
      </c>
      <c r="H6864" s="1" t="s">
        <v>43364</v>
      </c>
      <c r="I6864" s="346"/>
      <c r="J6864" s="39">
        <v>106480</v>
      </c>
      <c r="K6864" s="36" t="str">
        <f>CONCATENATE(Cover!$D$6,"fdd/view?i=",J6864)</f>
        <v>https://www.dgiwg.org/FAD/fdd/view?i=106480</v>
      </c>
      <c r="L6864" s="36" t="s">
        <v>43365</v>
      </c>
      <c r="M6864" s="186"/>
      <c r="N6864" s="186"/>
      <c r="O6864" s="172"/>
    </row>
    <row r="6865" spans="1:15" x14ac:dyDescent="0.2">
      <c r="A6865" s="197" t="str">
        <f t="shared" si="107"/>
        <v>PpoCode_coke</v>
      </c>
      <c r="B6865" s="409"/>
      <c r="C6865" s="416"/>
      <c r="D6865" s="198" t="s">
        <v>43366</v>
      </c>
      <c r="E6865" s="198">
        <v>21</v>
      </c>
      <c r="F6865" s="199" t="s">
        <v>43367</v>
      </c>
      <c r="G6865" s="1" t="s">
        <v>43368</v>
      </c>
      <c r="H6865" s="200"/>
      <c r="I6865" s="346"/>
      <c r="J6865" s="39">
        <v>106481</v>
      </c>
      <c r="K6865" s="36" t="str">
        <f>CONCATENATE(Cover!$D$6,"fdd/view?i=",J6865)</f>
        <v>https://www.dgiwg.org/FAD/fdd/view?i=106481</v>
      </c>
      <c r="L6865" s="36" t="s">
        <v>43369</v>
      </c>
      <c r="M6865" s="186"/>
      <c r="N6865" s="186"/>
      <c r="O6865" s="172"/>
    </row>
    <row r="6866" spans="1:15" ht="38.25" x14ac:dyDescent="0.2">
      <c r="A6866" s="197" t="str">
        <f t="shared" si="107"/>
        <v>PpoCode_concrete</v>
      </c>
      <c r="B6866" s="409"/>
      <c r="C6866" s="416"/>
      <c r="D6866" s="198" t="s">
        <v>19541</v>
      </c>
      <c r="E6866" s="198">
        <v>23</v>
      </c>
      <c r="F6866" s="199" t="s">
        <v>19542</v>
      </c>
      <c r="G6866" s="1" t="s">
        <v>24150</v>
      </c>
      <c r="H6866" s="200"/>
      <c r="I6866" s="346"/>
      <c r="J6866" s="39">
        <v>106483</v>
      </c>
      <c r="K6866" s="36" t="str">
        <f>CONCATENATE(Cover!$D$6,"fdd/view?i=",J6866)</f>
        <v>https://www.dgiwg.org/FAD/fdd/view?i=106483</v>
      </c>
      <c r="L6866" s="36" t="s">
        <v>43370</v>
      </c>
      <c r="M6866" s="186"/>
      <c r="N6866" s="186"/>
      <c r="O6866" s="172"/>
    </row>
    <row r="6867" spans="1:15" ht="38.25" x14ac:dyDescent="0.2">
      <c r="A6867" s="197" t="str">
        <f t="shared" si="107"/>
        <v>PpoCode_conglomerate</v>
      </c>
      <c r="B6867" s="409"/>
      <c r="C6867" s="416"/>
      <c r="D6867" s="198" t="s">
        <v>22310</v>
      </c>
      <c r="E6867" s="198">
        <v>24</v>
      </c>
      <c r="F6867" s="199" t="s">
        <v>22311</v>
      </c>
      <c r="G6867" s="1" t="s">
        <v>43371</v>
      </c>
      <c r="H6867" s="200"/>
      <c r="I6867" s="346"/>
      <c r="J6867" s="39">
        <v>106484</v>
      </c>
      <c r="K6867" s="36" t="str">
        <f>CONCATENATE(Cover!$D$6,"fdd/view?i=",J6867)</f>
        <v>https://www.dgiwg.org/FAD/fdd/view?i=106484</v>
      </c>
      <c r="L6867" s="36" t="s">
        <v>43372</v>
      </c>
      <c r="M6867" s="186"/>
      <c r="N6867" s="186"/>
      <c r="O6867" s="172"/>
    </row>
    <row r="6868" spans="1:15" ht="25.5" x14ac:dyDescent="0.2">
      <c r="A6868" s="197" t="str">
        <f t="shared" si="107"/>
        <v>PpoCode_consumerGoods</v>
      </c>
      <c r="B6868" s="409"/>
      <c r="C6868" s="416"/>
      <c r="D6868" s="198" t="s">
        <v>43373</v>
      </c>
      <c r="E6868" s="198">
        <v>25</v>
      </c>
      <c r="F6868" s="199" t="s">
        <v>43374</v>
      </c>
      <c r="G6868" s="1" t="s">
        <v>43375</v>
      </c>
      <c r="H6868" s="1" t="s">
        <v>43376</v>
      </c>
      <c r="I6868" s="346"/>
      <c r="J6868" s="39">
        <v>106485</v>
      </c>
      <c r="K6868" s="36" t="str">
        <f>CONCATENATE(Cover!$D$6,"fdd/view?i=",J6868)</f>
        <v>https://www.dgiwg.org/FAD/fdd/view?i=106485</v>
      </c>
      <c r="L6868" s="36" t="s">
        <v>43377</v>
      </c>
      <c r="M6868" s="186"/>
      <c r="N6868" s="186"/>
      <c r="O6868" s="172"/>
    </row>
    <row r="6869" spans="1:15" ht="25.5" x14ac:dyDescent="0.2">
      <c r="A6869" s="197" t="str">
        <f t="shared" si="107"/>
        <v>PpoCode_copper</v>
      </c>
      <c r="B6869" s="409"/>
      <c r="C6869" s="416"/>
      <c r="D6869" s="198" t="s">
        <v>25734</v>
      </c>
      <c r="E6869" s="198">
        <v>26</v>
      </c>
      <c r="F6869" s="199" t="s">
        <v>43378</v>
      </c>
      <c r="G6869" s="1" t="s">
        <v>43379</v>
      </c>
      <c r="H6869" s="1" t="s">
        <v>43380</v>
      </c>
      <c r="I6869" s="346"/>
      <c r="J6869" s="39">
        <v>106486</v>
      </c>
      <c r="K6869" s="36" t="str">
        <f>CONCATENATE(Cover!$D$6,"fdd/view?i=",J6869)</f>
        <v>https://www.dgiwg.org/FAD/fdd/view?i=106486</v>
      </c>
      <c r="L6869" s="36" t="s">
        <v>43381</v>
      </c>
      <c r="M6869" s="186"/>
      <c r="N6869" s="186"/>
      <c r="O6869" s="172"/>
    </row>
    <row r="6870" spans="1:15" ht="38.25" x14ac:dyDescent="0.2">
      <c r="A6870" s="197" t="str">
        <f t="shared" si="107"/>
        <v>PpoCode_coral</v>
      </c>
      <c r="B6870" s="409"/>
      <c r="C6870" s="416"/>
      <c r="D6870" s="198" t="s">
        <v>19546</v>
      </c>
      <c r="E6870" s="198">
        <v>27</v>
      </c>
      <c r="F6870" s="199" t="s">
        <v>19547</v>
      </c>
      <c r="G6870" s="1" t="s">
        <v>24152</v>
      </c>
      <c r="H6870" s="1" t="s">
        <v>24153</v>
      </c>
      <c r="I6870" s="346"/>
      <c r="J6870" s="39">
        <v>106487</v>
      </c>
      <c r="K6870" s="36" t="str">
        <f>CONCATENATE(Cover!$D$6,"fdd/view?i=",J6870)</f>
        <v>https://www.dgiwg.org/FAD/fdd/view?i=106487</v>
      </c>
      <c r="L6870" s="36" t="s">
        <v>43382</v>
      </c>
      <c r="M6870" s="186"/>
      <c r="N6870" s="186"/>
      <c r="O6870" s="172"/>
    </row>
    <row r="6871" spans="1:15" ht="25.5" x14ac:dyDescent="0.2">
      <c r="A6871" s="197" t="str">
        <f t="shared" si="107"/>
        <v>PpoCode_cotton</v>
      </c>
      <c r="B6871" s="409"/>
      <c r="C6871" s="416"/>
      <c r="D6871" s="198" t="s">
        <v>27146</v>
      </c>
      <c r="E6871" s="198">
        <v>28</v>
      </c>
      <c r="F6871" s="199" t="s">
        <v>27147</v>
      </c>
      <c r="G6871" s="1" t="s">
        <v>43383</v>
      </c>
      <c r="H6871" s="1" t="s">
        <v>43384</v>
      </c>
      <c r="I6871" s="346"/>
      <c r="J6871" s="39">
        <v>106488</v>
      </c>
      <c r="K6871" s="36" t="str">
        <f>CONCATENATE(Cover!$D$6,"fdd/view?i=",J6871)</f>
        <v>https://www.dgiwg.org/FAD/fdd/view?i=106488</v>
      </c>
      <c r="L6871" s="36" t="s">
        <v>43385</v>
      </c>
      <c r="M6871" s="186"/>
      <c r="N6871" s="186"/>
      <c r="O6871" s="172"/>
    </row>
    <row r="6872" spans="1:15" ht="25.5" x14ac:dyDescent="0.2">
      <c r="A6872" s="197" t="str">
        <f t="shared" si="107"/>
        <v>PpoCode_crustacean</v>
      </c>
      <c r="B6872" s="409"/>
      <c r="C6872" s="416"/>
      <c r="D6872" s="198" t="s">
        <v>43386</v>
      </c>
      <c r="E6872" s="198">
        <v>29</v>
      </c>
      <c r="F6872" s="199" t="s">
        <v>43387</v>
      </c>
      <c r="G6872" s="1" t="s">
        <v>43388</v>
      </c>
      <c r="H6872" s="1" t="s">
        <v>43389</v>
      </c>
      <c r="I6872" s="346"/>
      <c r="J6872" s="39">
        <v>106489</v>
      </c>
      <c r="K6872" s="36" t="str">
        <f>CONCATENATE(Cover!$D$6,"fdd/view?i=",J6872)</f>
        <v>https://www.dgiwg.org/FAD/fdd/view?i=106489</v>
      </c>
      <c r="L6872" s="36" t="s">
        <v>43390</v>
      </c>
      <c r="M6872" s="186"/>
      <c r="N6872" s="186"/>
      <c r="O6872" s="172"/>
    </row>
    <row r="6873" spans="1:15" ht="38.25" x14ac:dyDescent="0.2">
      <c r="A6873" s="197" t="str">
        <f t="shared" si="107"/>
        <v>PpoCode_cultivatedShellfish</v>
      </c>
      <c r="B6873" s="409"/>
      <c r="C6873" s="416"/>
      <c r="D6873" s="198" t="s">
        <v>43391</v>
      </c>
      <c r="E6873" s="198">
        <v>30</v>
      </c>
      <c r="F6873" s="199" t="s">
        <v>43392</v>
      </c>
      <c r="G6873" s="1" t="s">
        <v>43393</v>
      </c>
      <c r="H6873" s="200"/>
      <c r="I6873" s="346"/>
      <c r="J6873" s="39">
        <v>106490</v>
      </c>
      <c r="K6873" s="36" t="str">
        <f>CONCATENATE(Cover!$D$6,"fdd/view?i=",J6873)</f>
        <v>https://www.dgiwg.org/FAD/fdd/view?i=106490</v>
      </c>
      <c r="L6873" s="36" t="s">
        <v>43394</v>
      </c>
      <c r="M6873" s="186"/>
      <c r="N6873" s="186"/>
      <c r="O6873" s="172"/>
    </row>
    <row r="6874" spans="1:15" ht="25.5" x14ac:dyDescent="0.2">
      <c r="A6874" s="197" t="str">
        <f t="shared" si="107"/>
        <v>PpoCode_culturedPearl</v>
      </c>
      <c r="B6874" s="409"/>
      <c r="C6874" s="416"/>
      <c r="D6874" s="198" t="s">
        <v>43395</v>
      </c>
      <c r="E6874" s="198">
        <v>31</v>
      </c>
      <c r="F6874" s="199" t="s">
        <v>43396</v>
      </c>
      <c r="G6874" s="1" t="s">
        <v>43397</v>
      </c>
      <c r="H6874" s="200"/>
      <c r="I6874" s="346"/>
      <c r="J6874" s="39">
        <v>106491</v>
      </c>
      <c r="K6874" s="36" t="str">
        <f>CONCATENATE(Cover!$D$6,"fdd/view?i=",J6874)</f>
        <v>https://www.dgiwg.org/FAD/fdd/view?i=106491</v>
      </c>
      <c r="L6874" s="36" t="s">
        <v>43398</v>
      </c>
      <c r="M6874" s="186"/>
      <c r="N6874" s="186"/>
      <c r="O6874" s="172"/>
    </row>
    <row r="6875" spans="1:15" ht="25.5" x14ac:dyDescent="0.2">
      <c r="A6875" s="197" t="str">
        <f t="shared" si="107"/>
        <v>PpoCode_desalinatedWater</v>
      </c>
      <c r="B6875" s="409"/>
      <c r="C6875" s="416"/>
      <c r="D6875" s="198" t="s">
        <v>43399</v>
      </c>
      <c r="E6875" s="198">
        <v>32</v>
      </c>
      <c r="F6875" s="199" t="s">
        <v>43400</v>
      </c>
      <c r="G6875" s="1" t="s">
        <v>43401</v>
      </c>
      <c r="H6875" s="200"/>
      <c r="I6875" s="346"/>
      <c r="J6875" s="39">
        <v>106492</v>
      </c>
      <c r="K6875" s="36" t="str">
        <f>CONCATENATE(Cover!$D$6,"fdd/view?i=",J6875)</f>
        <v>https://www.dgiwg.org/FAD/fdd/view?i=106492</v>
      </c>
      <c r="L6875" s="36" t="s">
        <v>43402</v>
      </c>
      <c r="M6875" s="186"/>
      <c r="N6875" s="186"/>
      <c r="O6875" s="172"/>
    </row>
    <row r="6876" spans="1:15" ht="38.25" x14ac:dyDescent="0.2">
      <c r="A6876" s="197" t="str">
        <f t="shared" si="107"/>
        <v>PpoCode_diamond</v>
      </c>
      <c r="B6876" s="409"/>
      <c r="C6876" s="416"/>
      <c r="D6876" s="198" t="s">
        <v>24752</v>
      </c>
      <c r="E6876" s="198">
        <v>33</v>
      </c>
      <c r="F6876" s="199" t="s">
        <v>24753</v>
      </c>
      <c r="G6876" s="1" t="s">
        <v>43403</v>
      </c>
      <c r="H6876" s="1" t="s">
        <v>43404</v>
      </c>
      <c r="I6876" s="346"/>
      <c r="J6876" s="39">
        <v>106493</v>
      </c>
      <c r="K6876" s="36" t="str">
        <f>CONCATENATE(Cover!$D$6,"fdd/view?i=",J6876)</f>
        <v>https://www.dgiwg.org/FAD/fdd/view?i=106493</v>
      </c>
      <c r="L6876" s="36" t="s">
        <v>43405</v>
      </c>
      <c r="M6876" s="186"/>
      <c r="N6876" s="186"/>
      <c r="O6876" s="172"/>
    </row>
    <row r="6877" spans="1:15" ht="25.5" x14ac:dyDescent="0.2">
      <c r="A6877" s="197" t="str">
        <f t="shared" si="107"/>
        <v>PpoCode_diatomaceousEarth</v>
      </c>
      <c r="B6877" s="409"/>
      <c r="C6877" s="416"/>
      <c r="D6877" s="198" t="s">
        <v>43406</v>
      </c>
      <c r="E6877" s="198">
        <v>34</v>
      </c>
      <c r="F6877" s="199" t="s">
        <v>43407</v>
      </c>
      <c r="G6877" s="1" t="s">
        <v>43408</v>
      </c>
      <c r="H6877" s="1" t="s">
        <v>43409</v>
      </c>
      <c r="I6877" s="346"/>
      <c r="J6877" s="39">
        <v>106494</v>
      </c>
      <c r="K6877" s="36" t="str">
        <f>CONCATENATE(Cover!$D$6,"fdd/view?i=",J6877)</f>
        <v>https://www.dgiwg.org/FAD/fdd/view?i=106494</v>
      </c>
      <c r="L6877" s="36" t="s">
        <v>43410</v>
      </c>
      <c r="M6877" s="186"/>
      <c r="N6877" s="186"/>
      <c r="O6877" s="172"/>
    </row>
    <row r="6878" spans="1:15" x14ac:dyDescent="0.2">
      <c r="A6878" s="197" t="str">
        <f t="shared" si="107"/>
        <v>PpoCode_dieselOil</v>
      </c>
      <c r="B6878" s="409"/>
      <c r="C6878" s="416"/>
      <c r="D6878" s="198" t="s">
        <v>22924</v>
      </c>
      <c r="E6878" s="198">
        <v>145</v>
      </c>
      <c r="F6878" s="199" t="s">
        <v>22925</v>
      </c>
      <c r="G6878" s="1" t="s">
        <v>22926</v>
      </c>
      <c r="H6878" s="200"/>
      <c r="I6878" s="351" t="s">
        <v>22927</v>
      </c>
      <c r="J6878" s="39">
        <v>110292</v>
      </c>
      <c r="K6878" s="36" t="str">
        <f>CONCATENATE(Cover!$D$6,"fdd/view?i=",J6878)</f>
        <v>https://www.dgiwg.org/FAD/fdd/view?i=110292</v>
      </c>
      <c r="L6878" s="36" t="s">
        <v>43411</v>
      </c>
      <c r="M6878" s="186"/>
      <c r="N6878" s="186"/>
      <c r="O6878" s="172"/>
    </row>
    <row r="6879" spans="1:15" ht="25.5" x14ac:dyDescent="0.2">
      <c r="A6879" s="197" t="str">
        <f t="shared" si="107"/>
        <v>PpoCode_distilledWater</v>
      </c>
      <c r="B6879" s="409"/>
      <c r="C6879" s="416"/>
      <c r="D6879" s="198" t="s">
        <v>25262</v>
      </c>
      <c r="E6879" s="198">
        <v>127</v>
      </c>
      <c r="F6879" s="199" t="s">
        <v>25263</v>
      </c>
      <c r="G6879" s="1" t="s">
        <v>25264</v>
      </c>
      <c r="H6879" s="200"/>
      <c r="I6879" s="346"/>
      <c r="J6879" s="39">
        <v>106587</v>
      </c>
      <c r="K6879" s="36" t="str">
        <f>CONCATENATE(Cover!$D$6,"fdd/view?i=",J6879)</f>
        <v>https://www.dgiwg.org/FAD/fdd/view?i=106587</v>
      </c>
      <c r="L6879" s="36" t="s">
        <v>43412</v>
      </c>
      <c r="M6879" s="186"/>
      <c r="N6879" s="186"/>
      <c r="O6879" s="172"/>
    </row>
    <row r="6880" spans="1:15" ht="63.75" x14ac:dyDescent="0.2">
      <c r="A6880" s="197" t="str">
        <f t="shared" si="107"/>
        <v>PpoCode_dolerite</v>
      </c>
      <c r="B6880" s="409"/>
      <c r="C6880" s="416"/>
      <c r="D6880" s="198" t="s">
        <v>43413</v>
      </c>
      <c r="E6880" s="198">
        <v>139</v>
      </c>
      <c r="F6880" s="199" t="s">
        <v>43414</v>
      </c>
      <c r="G6880" s="1" t="s">
        <v>43415</v>
      </c>
      <c r="H6880" s="1" t="s">
        <v>43416</v>
      </c>
      <c r="I6880" s="346"/>
      <c r="J6880" s="39">
        <v>108637</v>
      </c>
      <c r="K6880" s="36" t="str">
        <f>CONCATENATE(Cover!$D$6,"fdd/view?i=",J6880)</f>
        <v>https://www.dgiwg.org/FAD/fdd/view?i=108637</v>
      </c>
      <c r="L6880" s="36" t="s">
        <v>43417</v>
      </c>
      <c r="M6880" s="186"/>
      <c r="N6880" s="186"/>
      <c r="O6880" s="172"/>
    </row>
    <row r="6881" spans="1:15" ht="51" x14ac:dyDescent="0.2">
      <c r="A6881" s="197" t="str">
        <f t="shared" si="107"/>
        <v>PpoCode_dolomite</v>
      </c>
      <c r="B6881" s="409"/>
      <c r="C6881" s="416"/>
      <c r="D6881" s="198" t="s">
        <v>22315</v>
      </c>
      <c r="E6881" s="198">
        <v>35</v>
      </c>
      <c r="F6881" s="199" t="s">
        <v>22316</v>
      </c>
      <c r="G6881" s="1" t="s">
        <v>43418</v>
      </c>
      <c r="H6881" s="1" t="s">
        <v>43419</v>
      </c>
      <c r="I6881" s="346"/>
      <c r="J6881" s="39">
        <v>106495</v>
      </c>
      <c r="K6881" s="36" t="str">
        <f>CONCATENATE(Cover!$D$6,"fdd/view?i=",J6881)</f>
        <v>https://www.dgiwg.org/FAD/fdd/view?i=106495</v>
      </c>
      <c r="L6881" s="36" t="s">
        <v>43420</v>
      </c>
      <c r="M6881" s="186"/>
      <c r="N6881" s="186"/>
      <c r="O6881" s="172"/>
    </row>
    <row r="6882" spans="1:15" ht="89.25" x14ac:dyDescent="0.2">
      <c r="A6882" s="197" t="str">
        <f t="shared" si="107"/>
        <v>PpoCode_electricalEquipment</v>
      </c>
      <c r="B6882" s="409"/>
      <c r="C6882" s="416"/>
      <c r="D6882" s="198" t="s">
        <v>43426</v>
      </c>
      <c r="E6882" s="198">
        <v>148</v>
      </c>
      <c r="F6882" s="199" t="s">
        <v>43427</v>
      </c>
      <c r="G6882" s="1" t="s">
        <v>43428</v>
      </c>
      <c r="H6882" s="1" t="s">
        <v>43429</v>
      </c>
      <c r="I6882" s="346"/>
      <c r="J6882" s="39">
        <v>110739</v>
      </c>
      <c r="K6882" s="36" t="str">
        <f>CONCATENATE(Cover!$D$6,"fdd/view?i=",J6882)</f>
        <v>https://www.dgiwg.org/FAD/fdd/view?i=110739</v>
      </c>
      <c r="L6882" s="36" t="s">
        <v>43430</v>
      </c>
      <c r="M6882" s="186"/>
      <c r="N6882" s="186"/>
      <c r="O6882" s="172"/>
    </row>
    <row r="6883" spans="1:15" ht="25.5" x14ac:dyDescent="0.2">
      <c r="A6883" s="197" t="str">
        <f t="shared" si="107"/>
        <v>PpoCode_electricPower</v>
      </c>
      <c r="B6883" s="409"/>
      <c r="C6883" s="416"/>
      <c r="D6883" s="198" t="s">
        <v>43421</v>
      </c>
      <c r="E6883" s="198">
        <v>37</v>
      </c>
      <c r="F6883" s="199" t="s">
        <v>43422</v>
      </c>
      <c r="G6883" s="1" t="s">
        <v>43423</v>
      </c>
      <c r="H6883" s="1" t="s">
        <v>43424</v>
      </c>
      <c r="I6883" s="346"/>
      <c r="J6883" s="39">
        <v>106497</v>
      </c>
      <c r="K6883" s="36" t="str">
        <f>CONCATENATE(Cover!$D$6,"fdd/view?i=",J6883)</f>
        <v>https://www.dgiwg.org/FAD/fdd/view?i=106497</v>
      </c>
      <c r="L6883" s="36" t="s">
        <v>43425</v>
      </c>
      <c r="M6883" s="186"/>
      <c r="N6883" s="186"/>
      <c r="O6883" s="172"/>
    </row>
    <row r="6884" spans="1:15" ht="102" x14ac:dyDescent="0.2">
      <c r="A6884" s="197" t="str">
        <f t="shared" si="107"/>
        <v>PpoCode_electronicEquipment</v>
      </c>
      <c r="B6884" s="409"/>
      <c r="C6884" s="416"/>
      <c r="D6884" s="198" t="s">
        <v>43431</v>
      </c>
      <c r="E6884" s="198">
        <v>147</v>
      </c>
      <c r="F6884" s="199" t="s">
        <v>43432</v>
      </c>
      <c r="G6884" s="1" t="s">
        <v>43433</v>
      </c>
      <c r="H6884" s="1" t="s">
        <v>43434</v>
      </c>
      <c r="I6884" s="346"/>
      <c r="J6884" s="39">
        <v>110738</v>
      </c>
      <c r="K6884" s="36" t="str">
        <f>CONCATENATE(Cover!$D$6,"fdd/view?i=",J6884)</f>
        <v>https://www.dgiwg.org/FAD/fdd/view?i=110738</v>
      </c>
      <c r="L6884" s="36" t="s">
        <v>43435</v>
      </c>
      <c r="M6884" s="186"/>
      <c r="N6884" s="186"/>
      <c r="O6884" s="172"/>
    </row>
    <row r="6885" spans="1:15" ht="38.25" x14ac:dyDescent="0.2">
      <c r="A6885" s="197" t="str">
        <f t="shared" si="107"/>
        <v>PpoCode_explosive</v>
      </c>
      <c r="B6885" s="409"/>
      <c r="C6885" s="416"/>
      <c r="D6885" s="198" t="s">
        <v>32009</v>
      </c>
      <c r="E6885" s="198">
        <v>38</v>
      </c>
      <c r="F6885" s="199" t="s">
        <v>32010</v>
      </c>
      <c r="G6885" s="1" t="s">
        <v>43436</v>
      </c>
      <c r="H6885" s="200"/>
      <c r="I6885" s="346"/>
      <c r="J6885" s="39">
        <v>106498</v>
      </c>
      <c r="K6885" s="36" t="str">
        <f>CONCATENATE(Cover!$D$6,"fdd/view?i=",J6885)</f>
        <v>https://www.dgiwg.org/FAD/fdd/view?i=106498</v>
      </c>
      <c r="L6885" s="36" t="s">
        <v>43437</v>
      </c>
      <c r="M6885" s="186"/>
      <c r="N6885" s="186"/>
      <c r="O6885" s="172"/>
    </row>
    <row r="6886" spans="1:15" ht="38.25" x14ac:dyDescent="0.2">
      <c r="A6886" s="197" t="str">
        <f t="shared" si="107"/>
        <v>PpoCode_fertilizer</v>
      </c>
      <c r="B6886" s="409"/>
      <c r="C6886" s="416"/>
      <c r="D6886" s="198" t="s">
        <v>43438</v>
      </c>
      <c r="E6886" s="198">
        <v>150</v>
      </c>
      <c r="F6886" s="199" t="s">
        <v>43439</v>
      </c>
      <c r="G6886" s="1" t="s">
        <v>43440</v>
      </c>
      <c r="H6886" s="200"/>
      <c r="I6886" s="346"/>
      <c r="J6886" s="39">
        <v>112773</v>
      </c>
      <c r="K6886" s="36" t="str">
        <f>CONCATENATE(Cover!$D$6,"fdd/view?i=",J6886)</f>
        <v>https://www.dgiwg.org/FAD/fdd/view?i=112773</v>
      </c>
      <c r="L6886" s="36" t="s">
        <v>43441</v>
      </c>
      <c r="M6886" s="186"/>
      <c r="N6886" s="186"/>
      <c r="O6886" s="172"/>
    </row>
    <row r="6887" spans="1:15" ht="25.5" x14ac:dyDescent="0.2">
      <c r="A6887" s="197" t="str">
        <f t="shared" si="107"/>
        <v>PpoCode_fish</v>
      </c>
      <c r="B6887" s="409"/>
      <c r="C6887" s="416"/>
      <c r="D6887" s="198" t="s">
        <v>21884</v>
      </c>
      <c r="E6887" s="198">
        <v>39</v>
      </c>
      <c r="F6887" s="199" t="s">
        <v>21885</v>
      </c>
      <c r="G6887" s="1" t="s">
        <v>43442</v>
      </c>
      <c r="H6887" s="200"/>
      <c r="I6887" s="346"/>
      <c r="J6887" s="39">
        <v>106499</v>
      </c>
      <c r="K6887" s="36" t="str">
        <f>CONCATENATE(Cover!$D$6,"fdd/view?i=",J6887)</f>
        <v>https://www.dgiwg.org/FAD/fdd/view?i=106499</v>
      </c>
      <c r="L6887" s="36" t="s">
        <v>43443</v>
      </c>
      <c r="M6887" s="186"/>
      <c r="N6887" s="186"/>
      <c r="O6887" s="172"/>
    </row>
    <row r="6888" spans="1:15" ht="25.5" x14ac:dyDescent="0.2">
      <c r="A6888" s="197" t="str">
        <f t="shared" si="107"/>
        <v>PpoCode_food</v>
      </c>
      <c r="B6888" s="409"/>
      <c r="C6888" s="416"/>
      <c r="D6888" s="198" t="s">
        <v>43444</v>
      </c>
      <c r="E6888" s="198">
        <v>41</v>
      </c>
      <c r="F6888" s="199" t="s">
        <v>43445</v>
      </c>
      <c r="G6888" s="1" t="s">
        <v>43446</v>
      </c>
      <c r="H6888" s="200"/>
      <c r="I6888" s="351" t="s">
        <v>23164</v>
      </c>
      <c r="J6888" s="39">
        <v>106501</v>
      </c>
      <c r="K6888" s="36" t="str">
        <f>CONCATENATE(Cover!$D$6,"fdd/view?i=",J6888)</f>
        <v>https://www.dgiwg.org/FAD/fdd/view?i=106501</v>
      </c>
      <c r="L6888" s="36" t="s">
        <v>43447</v>
      </c>
      <c r="M6888" s="186"/>
      <c r="N6888" s="186"/>
      <c r="O6888" s="172"/>
    </row>
    <row r="6889" spans="1:15" x14ac:dyDescent="0.2">
      <c r="A6889" s="197" t="str">
        <f t="shared" si="107"/>
        <v>PpoCode_frozenWater</v>
      </c>
      <c r="B6889" s="409"/>
      <c r="C6889" s="416"/>
      <c r="D6889" s="198" t="s">
        <v>43448</v>
      </c>
      <c r="E6889" s="198">
        <v>43</v>
      </c>
      <c r="F6889" s="199" t="s">
        <v>43449</v>
      </c>
      <c r="G6889" s="1" t="s">
        <v>43450</v>
      </c>
      <c r="H6889" s="1" t="s">
        <v>43451</v>
      </c>
      <c r="I6889" s="346"/>
      <c r="J6889" s="39">
        <v>106503</v>
      </c>
      <c r="K6889" s="36" t="str">
        <f>CONCATENATE(Cover!$D$6,"fdd/view?i=",J6889)</f>
        <v>https://www.dgiwg.org/FAD/fdd/view?i=106503</v>
      </c>
      <c r="L6889" s="36" t="s">
        <v>43452</v>
      </c>
      <c r="M6889" s="186"/>
      <c r="N6889" s="186"/>
      <c r="O6889" s="172"/>
    </row>
    <row r="6890" spans="1:15" ht="25.5" x14ac:dyDescent="0.2">
      <c r="A6890" s="197" t="str">
        <f t="shared" si="107"/>
        <v>PpoCode_fruit</v>
      </c>
      <c r="B6890" s="409"/>
      <c r="C6890" s="416"/>
      <c r="D6890" s="198" t="s">
        <v>34705</v>
      </c>
      <c r="E6890" s="198">
        <v>44</v>
      </c>
      <c r="F6890" s="199" t="s">
        <v>34706</v>
      </c>
      <c r="G6890" s="1" t="s">
        <v>43453</v>
      </c>
      <c r="H6890" s="1" t="s">
        <v>43454</v>
      </c>
      <c r="I6890" s="346"/>
      <c r="J6890" s="39">
        <v>106504</v>
      </c>
      <c r="K6890" s="36" t="str">
        <f>CONCATENATE(Cover!$D$6,"fdd/view?i=",J6890)</f>
        <v>https://www.dgiwg.org/FAD/fdd/view?i=106504</v>
      </c>
      <c r="L6890" s="36" t="s">
        <v>43455</v>
      </c>
      <c r="M6890" s="186"/>
      <c r="N6890" s="186"/>
      <c r="O6890" s="172"/>
    </row>
    <row r="6891" spans="1:15" ht="25.5" x14ac:dyDescent="0.2">
      <c r="A6891" s="197" t="str">
        <f t="shared" si="107"/>
        <v>PpoCode_gas</v>
      </c>
      <c r="B6891" s="409"/>
      <c r="C6891" s="416"/>
      <c r="D6891" s="198" t="s">
        <v>25223</v>
      </c>
      <c r="E6891" s="198">
        <v>45</v>
      </c>
      <c r="F6891" s="199" t="s">
        <v>25224</v>
      </c>
      <c r="G6891" s="1" t="s">
        <v>43456</v>
      </c>
      <c r="H6891" s="200"/>
      <c r="I6891" s="346"/>
      <c r="J6891" s="39">
        <v>106505</v>
      </c>
      <c r="K6891" s="36" t="str">
        <f>CONCATENATE(Cover!$D$6,"fdd/view?i=",J6891)</f>
        <v>https://www.dgiwg.org/FAD/fdd/view?i=106505</v>
      </c>
      <c r="L6891" s="36" t="s">
        <v>43457</v>
      </c>
      <c r="M6891" s="186"/>
      <c r="N6891" s="186"/>
      <c r="O6891" s="172"/>
    </row>
    <row r="6892" spans="1:15" ht="25.5" x14ac:dyDescent="0.2">
      <c r="A6892" s="197" t="str">
        <f t="shared" si="107"/>
        <v>PpoCode_glass</v>
      </c>
      <c r="B6892" s="409"/>
      <c r="C6892" s="416"/>
      <c r="D6892" s="198" t="s">
        <v>43458</v>
      </c>
      <c r="E6892" s="198">
        <v>47</v>
      </c>
      <c r="F6892" s="199" t="s">
        <v>43459</v>
      </c>
      <c r="G6892" s="1" t="s">
        <v>43460</v>
      </c>
      <c r="H6892" s="1" t="s">
        <v>43461</v>
      </c>
      <c r="I6892" s="346"/>
      <c r="J6892" s="39">
        <v>106507</v>
      </c>
      <c r="K6892" s="36" t="str">
        <f>CONCATENATE(Cover!$D$6,"fdd/view?i=",J6892)</f>
        <v>https://www.dgiwg.org/FAD/fdd/view?i=106507</v>
      </c>
      <c r="L6892" s="36" t="s">
        <v>43462</v>
      </c>
      <c r="M6892" s="186"/>
      <c r="N6892" s="186"/>
      <c r="O6892" s="172"/>
    </row>
    <row r="6893" spans="1:15" ht="89.25" x14ac:dyDescent="0.2">
      <c r="A6893" s="197" t="str">
        <f t="shared" si="107"/>
        <v>PpoCode_gneiss</v>
      </c>
      <c r="B6893" s="409"/>
      <c r="C6893" s="416"/>
      <c r="D6893" s="198" t="s">
        <v>43463</v>
      </c>
      <c r="E6893" s="198">
        <v>140</v>
      </c>
      <c r="F6893" s="199" t="s">
        <v>43464</v>
      </c>
      <c r="G6893" s="1" t="s">
        <v>43465</v>
      </c>
      <c r="H6893" s="1" t="s">
        <v>43466</v>
      </c>
      <c r="I6893" s="346"/>
      <c r="J6893" s="39">
        <v>108638</v>
      </c>
      <c r="K6893" s="36" t="str">
        <f>CONCATENATE(Cover!$D$6,"fdd/view?i=",J6893)</f>
        <v>https://www.dgiwg.org/FAD/fdd/view?i=108638</v>
      </c>
      <c r="L6893" s="36" t="s">
        <v>43467</v>
      </c>
      <c r="M6893" s="186"/>
      <c r="N6893" s="186"/>
      <c r="O6893" s="172"/>
    </row>
    <row r="6894" spans="1:15" ht="51" x14ac:dyDescent="0.2">
      <c r="A6894" s="197" t="str">
        <f t="shared" si="107"/>
        <v>PpoCode_gold</v>
      </c>
      <c r="B6894" s="409"/>
      <c r="C6894" s="416"/>
      <c r="D6894" s="198" t="s">
        <v>25753</v>
      </c>
      <c r="E6894" s="198">
        <v>48</v>
      </c>
      <c r="F6894" s="199" t="s">
        <v>43020</v>
      </c>
      <c r="G6894" s="1" t="s">
        <v>43468</v>
      </c>
      <c r="H6894" s="200"/>
      <c r="I6894" s="346"/>
      <c r="J6894" s="39">
        <v>106508</v>
      </c>
      <c r="K6894" s="36" t="str">
        <f>CONCATENATE(Cover!$D$6,"fdd/view?i=",J6894)</f>
        <v>https://www.dgiwg.org/FAD/fdd/view?i=106508</v>
      </c>
      <c r="L6894" s="36" t="s">
        <v>43469</v>
      </c>
      <c r="M6894" s="186"/>
      <c r="N6894" s="186"/>
      <c r="O6894" s="172"/>
    </row>
    <row r="6895" spans="1:15" x14ac:dyDescent="0.2">
      <c r="A6895" s="197" t="str">
        <f t="shared" si="107"/>
        <v>PpoCode_grain</v>
      </c>
      <c r="B6895" s="409"/>
      <c r="C6895" s="416"/>
      <c r="D6895" s="198" t="s">
        <v>43470</v>
      </c>
      <c r="E6895" s="198">
        <v>49</v>
      </c>
      <c r="F6895" s="199" t="s">
        <v>27094</v>
      </c>
      <c r="G6895" s="1" t="s">
        <v>43471</v>
      </c>
      <c r="H6895" s="1" t="s">
        <v>43472</v>
      </c>
      <c r="I6895" s="346"/>
      <c r="J6895" s="39">
        <v>106509</v>
      </c>
      <c r="K6895" s="36" t="str">
        <f>CONCATENATE(Cover!$D$6,"fdd/view?i=",J6895)</f>
        <v>https://www.dgiwg.org/FAD/fdd/view?i=106509</v>
      </c>
      <c r="L6895" s="36" t="s">
        <v>43473</v>
      </c>
      <c r="M6895" s="186"/>
      <c r="N6895" s="186"/>
      <c r="O6895" s="172"/>
    </row>
    <row r="6896" spans="1:15" ht="38.25" x14ac:dyDescent="0.2">
      <c r="A6896" s="197" t="str">
        <f t="shared" si="107"/>
        <v>PpoCode_granite</v>
      </c>
      <c r="B6896" s="409"/>
      <c r="C6896" s="416"/>
      <c r="D6896" s="198" t="s">
        <v>22319</v>
      </c>
      <c r="E6896" s="198">
        <v>50</v>
      </c>
      <c r="F6896" s="199" t="s">
        <v>22320</v>
      </c>
      <c r="G6896" s="1" t="s">
        <v>43474</v>
      </c>
      <c r="H6896" s="1" t="s">
        <v>43475</v>
      </c>
      <c r="I6896" s="346"/>
      <c r="J6896" s="39">
        <v>106510</v>
      </c>
      <c r="K6896" s="36" t="str">
        <f>CONCATENATE(Cover!$D$6,"fdd/view?i=",J6896)</f>
        <v>https://www.dgiwg.org/FAD/fdd/view?i=106510</v>
      </c>
      <c r="L6896" s="36" t="s">
        <v>43476</v>
      </c>
      <c r="M6896" s="186"/>
      <c r="N6896" s="186"/>
      <c r="O6896" s="172"/>
    </row>
    <row r="6897" spans="1:15" ht="25.5" x14ac:dyDescent="0.2">
      <c r="A6897" s="197" t="str">
        <f t="shared" si="107"/>
        <v>PpoCode_gravel</v>
      </c>
      <c r="B6897" s="409"/>
      <c r="C6897" s="416"/>
      <c r="D6897" s="198" t="s">
        <v>19556</v>
      </c>
      <c r="E6897" s="198">
        <v>53</v>
      </c>
      <c r="F6897" s="199" t="s">
        <v>19557</v>
      </c>
      <c r="G6897" s="1" t="s">
        <v>43477</v>
      </c>
      <c r="H6897" s="1" t="s">
        <v>43478</v>
      </c>
      <c r="I6897" s="346"/>
      <c r="J6897" s="39">
        <v>106513</v>
      </c>
      <c r="K6897" s="36" t="str">
        <f>CONCATENATE(Cover!$D$6,"fdd/view?i=",J6897)</f>
        <v>https://www.dgiwg.org/FAD/fdd/view?i=106513</v>
      </c>
      <c r="L6897" s="36" t="s">
        <v>43479</v>
      </c>
      <c r="M6897" s="186"/>
      <c r="N6897" s="186"/>
      <c r="O6897" s="172"/>
    </row>
    <row r="6898" spans="1:15" ht="51" x14ac:dyDescent="0.2">
      <c r="A6898" s="197" t="str">
        <f t="shared" si="107"/>
        <v>PpoCode_greenstone</v>
      </c>
      <c r="B6898" s="409"/>
      <c r="C6898" s="416"/>
      <c r="D6898" s="198" t="s">
        <v>43480</v>
      </c>
      <c r="E6898" s="198">
        <v>54</v>
      </c>
      <c r="F6898" s="199" t="s">
        <v>43481</v>
      </c>
      <c r="G6898" s="1" t="s">
        <v>43482</v>
      </c>
      <c r="H6898" s="1" t="s">
        <v>43483</v>
      </c>
      <c r="I6898" s="346"/>
      <c r="J6898" s="39">
        <v>106514</v>
      </c>
      <c r="K6898" s="36" t="str">
        <f>CONCATENATE(Cover!$D$6,"fdd/view?i=",J6898)</f>
        <v>https://www.dgiwg.org/FAD/fdd/view?i=106514</v>
      </c>
      <c r="L6898" s="36" t="s">
        <v>43484</v>
      </c>
      <c r="M6898" s="186"/>
      <c r="N6898" s="186"/>
      <c r="O6898" s="172"/>
    </row>
    <row r="6899" spans="1:15" x14ac:dyDescent="0.2">
      <c r="A6899" s="197" t="str">
        <f t="shared" si="107"/>
        <v>PpoCode_groundShell</v>
      </c>
      <c r="B6899" s="409"/>
      <c r="C6899" s="416"/>
      <c r="D6899" s="198" t="s">
        <v>43485</v>
      </c>
      <c r="E6899" s="198">
        <v>55</v>
      </c>
      <c r="F6899" s="199" t="s">
        <v>43486</v>
      </c>
      <c r="G6899" s="1" t="s">
        <v>43487</v>
      </c>
      <c r="H6899" s="200"/>
      <c r="I6899" s="346"/>
      <c r="J6899" s="39">
        <v>106515</v>
      </c>
      <c r="K6899" s="36" t="str">
        <f>CONCATENATE(Cover!$D$6,"fdd/view?i=",J6899)</f>
        <v>https://www.dgiwg.org/FAD/fdd/view?i=106515</v>
      </c>
      <c r="L6899" s="36" t="s">
        <v>43488</v>
      </c>
      <c r="M6899" s="186"/>
      <c r="N6899" s="186"/>
      <c r="O6899" s="172"/>
    </row>
    <row r="6900" spans="1:15" ht="25.5" x14ac:dyDescent="0.2">
      <c r="A6900" s="197" t="str">
        <f t="shared" si="107"/>
        <v>PpoCode_heat</v>
      </c>
      <c r="B6900" s="409"/>
      <c r="C6900" s="416"/>
      <c r="D6900" s="198" t="s">
        <v>43489</v>
      </c>
      <c r="E6900" s="198">
        <v>56</v>
      </c>
      <c r="F6900" s="199" t="s">
        <v>43490</v>
      </c>
      <c r="G6900" s="1" t="s">
        <v>43491</v>
      </c>
      <c r="H6900" s="200"/>
      <c r="I6900" s="346"/>
      <c r="J6900" s="39">
        <v>106516</v>
      </c>
      <c r="K6900" s="36" t="str">
        <f>CONCATENATE(Cover!$D$6,"fdd/view?i=",J6900)</f>
        <v>https://www.dgiwg.org/FAD/fdd/view?i=106516</v>
      </c>
      <c r="L6900" s="36" t="s">
        <v>43492</v>
      </c>
      <c r="M6900" s="186"/>
      <c r="N6900" s="186"/>
      <c r="O6900" s="172"/>
    </row>
    <row r="6901" spans="1:15" ht="25.5" x14ac:dyDescent="0.2">
      <c r="A6901" s="197" t="str">
        <f t="shared" si="107"/>
        <v>PpoCode_heatingSteamAndOrWater</v>
      </c>
      <c r="B6901" s="409"/>
      <c r="C6901" s="416"/>
      <c r="D6901" s="198" t="s">
        <v>43493</v>
      </c>
      <c r="E6901" s="198">
        <v>146</v>
      </c>
      <c r="F6901" s="199" t="s">
        <v>43494</v>
      </c>
      <c r="G6901" s="1" t="s">
        <v>43495</v>
      </c>
      <c r="H6901" s="1" t="s">
        <v>43496</v>
      </c>
      <c r="I6901" s="346"/>
      <c r="J6901" s="39">
        <v>103230</v>
      </c>
      <c r="K6901" s="36" t="str">
        <f>CONCATENATE(Cover!$D$6,"fdd/view?i=",J6901)</f>
        <v>https://www.dgiwg.org/FAD/fdd/view?i=103230</v>
      </c>
      <c r="L6901" s="36" t="s">
        <v>43497</v>
      </c>
      <c r="M6901" s="186"/>
      <c r="N6901" s="186"/>
      <c r="O6901" s="172"/>
    </row>
    <row r="6902" spans="1:15" ht="25.5" x14ac:dyDescent="0.2">
      <c r="A6902" s="197" t="str">
        <f t="shared" si="107"/>
        <v>PpoCode_helium</v>
      </c>
      <c r="B6902" s="409"/>
      <c r="C6902" s="416"/>
      <c r="D6902" s="198" t="s">
        <v>43498</v>
      </c>
      <c r="E6902" s="198">
        <v>163</v>
      </c>
      <c r="F6902" s="199" t="s">
        <v>43499</v>
      </c>
      <c r="G6902" s="1" t="s">
        <v>43500</v>
      </c>
      <c r="H6902" s="200"/>
      <c r="I6902" s="346"/>
      <c r="J6902" s="39">
        <v>118541</v>
      </c>
      <c r="K6902" s="36" t="str">
        <f>CONCATENATE(Cover!$D$6,"fdd/view?i=",J6902)</f>
        <v>https://www.dgiwg.org/FAD/fdd/view?i=118541</v>
      </c>
      <c r="L6902" s="36" t="s">
        <v>43501</v>
      </c>
      <c r="M6902" s="186"/>
      <c r="N6902" s="186"/>
      <c r="O6902" s="172"/>
    </row>
    <row r="6903" spans="1:15" ht="38.25" x14ac:dyDescent="0.2">
      <c r="A6903" s="197" t="str">
        <f t="shared" si="107"/>
        <v>PpoCode_hydrothermalFluid</v>
      </c>
      <c r="B6903" s="409"/>
      <c r="C6903" s="416"/>
      <c r="D6903" s="198" t="s">
        <v>43502</v>
      </c>
      <c r="E6903" s="198">
        <v>164</v>
      </c>
      <c r="F6903" s="199" t="s">
        <v>43503</v>
      </c>
      <c r="G6903" s="1" t="s">
        <v>43504</v>
      </c>
      <c r="H6903" s="1" t="s">
        <v>43505</v>
      </c>
      <c r="I6903" s="346"/>
      <c r="J6903" s="39">
        <v>118542</v>
      </c>
      <c r="K6903" s="36" t="str">
        <f>CONCATENATE(Cover!$D$6,"fdd/view?i=",J6903)</f>
        <v>https://www.dgiwg.org/FAD/fdd/view?i=118542</v>
      </c>
      <c r="L6903" s="36" t="s">
        <v>43506</v>
      </c>
      <c r="M6903" s="186"/>
      <c r="N6903" s="186"/>
      <c r="O6903" s="172"/>
    </row>
    <row r="6904" spans="1:15" x14ac:dyDescent="0.2">
      <c r="A6904" s="197" t="str">
        <f t="shared" si="107"/>
        <v>PpoCode_ice</v>
      </c>
      <c r="B6904" s="409"/>
      <c r="C6904" s="416"/>
      <c r="D6904" s="198" t="s">
        <v>19560</v>
      </c>
      <c r="E6904" s="198">
        <v>57</v>
      </c>
      <c r="F6904" s="199" t="s">
        <v>19561</v>
      </c>
      <c r="G6904" s="1" t="s">
        <v>37452</v>
      </c>
      <c r="H6904" s="200"/>
      <c r="I6904" s="346"/>
      <c r="J6904" s="39">
        <v>106517</v>
      </c>
      <c r="K6904" s="36" t="str">
        <f>CONCATENATE(Cover!$D$6,"fdd/view?i=",J6904)</f>
        <v>https://www.dgiwg.org/FAD/fdd/view?i=106517</v>
      </c>
      <c r="L6904" s="36" t="s">
        <v>43507</v>
      </c>
      <c r="M6904" s="186"/>
      <c r="N6904" s="186"/>
      <c r="O6904" s="172"/>
    </row>
    <row r="6905" spans="1:15" ht="38.25" x14ac:dyDescent="0.2">
      <c r="A6905" s="197" t="str">
        <f t="shared" si="107"/>
        <v>PpoCode_iron</v>
      </c>
      <c r="B6905" s="409"/>
      <c r="C6905" s="416"/>
      <c r="D6905" s="198" t="s">
        <v>25766</v>
      </c>
      <c r="E6905" s="198">
        <v>58</v>
      </c>
      <c r="F6905" s="199" t="s">
        <v>43508</v>
      </c>
      <c r="G6905" s="1" t="s">
        <v>43509</v>
      </c>
      <c r="H6905" s="1" t="s">
        <v>43510</v>
      </c>
      <c r="I6905" s="346"/>
      <c r="J6905" s="39">
        <v>106518</v>
      </c>
      <c r="K6905" s="36" t="str">
        <f>CONCATENATE(Cover!$D$6,"fdd/view?i=",J6905)</f>
        <v>https://www.dgiwg.org/FAD/fdd/view?i=106518</v>
      </c>
      <c r="L6905" s="36" t="s">
        <v>43511</v>
      </c>
      <c r="M6905" s="186"/>
      <c r="N6905" s="186"/>
      <c r="O6905" s="172"/>
    </row>
    <row r="6906" spans="1:15" ht="38.25" x14ac:dyDescent="0.2">
      <c r="A6906" s="197" t="str">
        <f t="shared" si="107"/>
        <v>PpoCode_lead</v>
      </c>
      <c r="B6906" s="409"/>
      <c r="C6906" s="416"/>
      <c r="D6906" s="198" t="s">
        <v>25776</v>
      </c>
      <c r="E6906" s="198">
        <v>59</v>
      </c>
      <c r="F6906" s="199" t="s">
        <v>43512</v>
      </c>
      <c r="G6906" s="1" t="s">
        <v>43513</v>
      </c>
      <c r="H6906" s="200"/>
      <c r="I6906" s="346"/>
      <c r="J6906" s="39">
        <v>106519</v>
      </c>
      <c r="K6906" s="36" t="str">
        <f>CONCATENATE(Cover!$D$6,"fdd/view?i=",J6906)</f>
        <v>https://www.dgiwg.org/FAD/fdd/view?i=106519</v>
      </c>
      <c r="L6906" s="36" t="s">
        <v>43514</v>
      </c>
      <c r="M6906" s="186"/>
      <c r="N6906" s="186"/>
      <c r="O6906" s="172"/>
    </row>
    <row r="6907" spans="1:15" ht="51" x14ac:dyDescent="0.2">
      <c r="A6907" s="197" t="str">
        <f t="shared" si="107"/>
        <v>PpoCode_lime</v>
      </c>
      <c r="B6907" s="409"/>
      <c r="C6907" s="416"/>
      <c r="D6907" s="198" t="s">
        <v>27294</v>
      </c>
      <c r="E6907" s="198">
        <v>60</v>
      </c>
      <c r="F6907" s="199" t="s">
        <v>27295</v>
      </c>
      <c r="G6907" s="1" t="s">
        <v>43515</v>
      </c>
      <c r="H6907" s="1" t="s">
        <v>43516</v>
      </c>
      <c r="I6907" s="351" t="s">
        <v>43517</v>
      </c>
      <c r="J6907" s="39">
        <v>106520</v>
      </c>
      <c r="K6907" s="36" t="str">
        <f>CONCATENATE(Cover!$D$6,"fdd/view?i=",J6907)</f>
        <v>https://www.dgiwg.org/FAD/fdd/view?i=106520</v>
      </c>
      <c r="L6907" s="36" t="s">
        <v>43518</v>
      </c>
      <c r="M6907" s="186"/>
      <c r="N6907" s="186"/>
      <c r="O6907" s="172"/>
    </row>
    <row r="6908" spans="1:15" ht="38.25" x14ac:dyDescent="0.2">
      <c r="A6908" s="197" t="str">
        <f t="shared" si="107"/>
        <v>PpoCode_limestone</v>
      </c>
      <c r="B6908" s="409"/>
      <c r="C6908" s="416"/>
      <c r="D6908" s="198" t="s">
        <v>22336</v>
      </c>
      <c r="E6908" s="198">
        <v>141</v>
      </c>
      <c r="F6908" s="199" t="s">
        <v>22337</v>
      </c>
      <c r="G6908" s="1" t="s">
        <v>43519</v>
      </c>
      <c r="H6908" s="1" t="s">
        <v>43520</v>
      </c>
      <c r="I6908" s="346"/>
      <c r="J6908" s="39">
        <v>108639</v>
      </c>
      <c r="K6908" s="36" t="str">
        <f>CONCATENATE(Cover!$D$6,"fdd/view?i=",J6908)</f>
        <v>https://www.dgiwg.org/FAD/fdd/view?i=108639</v>
      </c>
      <c r="L6908" s="36" t="s">
        <v>43521</v>
      </c>
      <c r="M6908" s="186"/>
      <c r="N6908" s="186"/>
      <c r="O6908" s="172"/>
    </row>
    <row r="6909" spans="1:15" ht="38.25" x14ac:dyDescent="0.2">
      <c r="A6909" s="197" t="str">
        <f t="shared" si="107"/>
        <v>PpoCode_liquefiedNaturalGas</v>
      </c>
      <c r="B6909" s="409"/>
      <c r="C6909" s="416"/>
      <c r="D6909" s="198" t="s">
        <v>22957</v>
      </c>
      <c r="E6909" s="198">
        <v>61</v>
      </c>
      <c r="F6909" s="199" t="s">
        <v>22958</v>
      </c>
      <c r="G6909" s="1" t="s">
        <v>43522</v>
      </c>
      <c r="H6909" s="1" t="s">
        <v>43523</v>
      </c>
      <c r="I6909" s="346"/>
      <c r="J6909" s="39">
        <v>106521</v>
      </c>
      <c r="K6909" s="36" t="str">
        <f>CONCATENATE(Cover!$D$6,"fdd/view?i=",J6909)</f>
        <v>https://www.dgiwg.org/FAD/fdd/view?i=106521</v>
      </c>
      <c r="L6909" s="36" t="s">
        <v>43524</v>
      </c>
      <c r="M6909" s="186"/>
      <c r="N6909" s="186"/>
      <c r="O6909" s="172"/>
    </row>
    <row r="6910" spans="1:15" ht="89.25" x14ac:dyDescent="0.2">
      <c r="A6910" s="197" t="str">
        <f t="shared" si="107"/>
        <v>PpoCode_liquefiedPetroleumGas</v>
      </c>
      <c r="B6910" s="409"/>
      <c r="C6910" s="416"/>
      <c r="D6910" s="198" t="s">
        <v>22963</v>
      </c>
      <c r="E6910" s="198">
        <v>62</v>
      </c>
      <c r="F6910" s="199" t="s">
        <v>22964</v>
      </c>
      <c r="G6910" s="1" t="s">
        <v>22965</v>
      </c>
      <c r="H6910" s="1" t="s">
        <v>22966</v>
      </c>
      <c r="I6910" s="346"/>
      <c r="J6910" s="39">
        <v>106522</v>
      </c>
      <c r="K6910" s="36" t="str">
        <f>CONCATENATE(Cover!$D$6,"fdd/view?i=",J6910)</f>
        <v>https://www.dgiwg.org/FAD/fdd/view?i=106522</v>
      </c>
      <c r="L6910" s="36" t="s">
        <v>43525</v>
      </c>
      <c r="M6910" s="186"/>
      <c r="N6910" s="186"/>
      <c r="O6910" s="172"/>
    </row>
    <row r="6911" spans="1:15" x14ac:dyDescent="0.2">
      <c r="A6911" s="197" t="str">
        <f t="shared" si="107"/>
        <v>PpoCode_lumber</v>
      </c>
      <c r="B6911" s="409"/>
      <c r="C6911" s="416"/>
      <c r="D6911" s="198" t="s">
        <v>43526</v>
      </c>
      <c r="E6911" s="198">
        <v>63</v>
      </c>
      <c r="F6911" s="199" t="s">
        <v>43527</v>
      </c>
      <c r="G6911" s="1" t="s">
        <v>43528</v>
      </c>
      <c r="H6911" s="200"/>
      <c r="I6911" s="346"/>
      <c r="J6911" s="39">
        <v>106523</v>
      </c>
      <c r="K6911" s="36" t="str">
        <f>CONCATENATE(Cover!$D$6,"fdd/view?i=",J6911)</f>
        <v>https://www.dgiwg.org/FAD/fdd/view?i=106523</v>
      </c>
      <c r="L6911" s="36" t="s">
        <v>43529</v>
      </c>
      <c r="M6911" s="186"/>
      <c r="N6911" s="186"/>
      <c r="O6911" s="172"/>
    </row>
    <row r="6912" spans="1:15" ht="38.25" x14ac:dyDescent="0.2">
      <c r="A6912" s="197" t="str">
        <f t="shared" si="107"/>
        <v>PpoCode_macadam</v>
      </c>
      <c r="B6912" s="409"/>
      <c r="C6912" s="416"/>
      <c r="D6912" s="198" t="s">
        <v>19575</v>
      </c>
      <c r="E6912" s="198">
        <v>64</v>
      </c>
      <c r="F6912" s="199" t="s">
        <v>19576</v>
      </c>
      <c r="G6912" s="1" t="s">
        <v>43530</v>
      </c>
      <c r="H6912" s="1" t="s">
        <v>43531</v>
      </c>
      <c r="I6912" s="351" t="s">
        <v>43532</v>
      </c>
      <c r="J6912" s="39">
        <v>106524</v>
      </c>
      <c r="K6912" s="36" t="str">
        <f>CONCATENATE(Cover!$D$6,"fdd/view?i=",J6912)</f>
        <v>https://www.dgiwg.org/FAD/fdd/view?i=106524</v>
      </c>
      <c r="L6912" s="36" t="s">
        <v>43533</v>
      </c>
      <c r="M6912" s="186"/>
      <c r="N6912" s="186"/>
      <c r="O6912" s="172"/>
    </row>
    <row r="6913" spans="1:15" ht="25.5" x14ac:dyDescent="0.2">
      <c r="A6913" s="197" t="str">
        <f t="shared" si="107"/>
        <v>PpoCode_madrepore</v>
      </c>
      <c r="B6913" s="409"/>
      <c r="C6913" s="416"/>
      <c r="D6913" s="198" t="s">
        <v>43534</v>
      </c>
      <c r="E6913" s="198">
        <v>129</v>
      </c>
      <c r="F6913" s="199" t="s">
        <v>43535</v>
      </c>
      <c r="G6913" s="1" t="s">
        <v>43536</v>
      </c>
      <c r="H6913" s="1" t="s">
        <v>43537</v>
      </c>
      <c r="I6913" s="346"/>
      <c r="J6913" s="39">
        <v>106589</v>
      </c>
      <c r="K6913" s="36" t="str">
        <f>CONCATENATE(Cover!$D$6,"fdd/view?i=",J6913)</f>
        <v>https://www.dgiwg.org/FAD/fdd/view?i=106589</v>
      </c>
      <c r="L6913" s="36" t="s">
        <v>43538</v>
      </c>
      <c r="M6913" s="186"/>
      <c r="N6913" s="186"/>
      <c r="O6913" s="172"/>
    </row>
    <row r="6914" spans="1:15" ht="25.5" x14ac:dyDescent="0.2">
      <c r="A6914" s="197" t="str">
        <f t="shared" ref="A6914:A6977" si="108">HYPERLINK(K6914,L6914)</f>
        <v>PpoCode_manganese</v>
      </c>
      <c r="B6914" s="409"/>
      <c r="C6914" s="416"/>
      <c r="D6914" s="198" t="s">
        <v>25791</v>
      </c>
      <c r="E6914" s="198">
        <v>65</v>
      </c>
      <c r="F6914" s="199" t="s">
        <v>43539</v>
      </c>
      <c r="G6914" s="1" t="s">
        <v>43540</v>
      </c>
      <c r="H6914" s="1" t="s">
        <v>43541</v>
      </c>
      <c r="I6914" s="346"/>
      <c r="J6914" s="39">
        <v>106525</v>
      </c>
      <c r="K6914" s="36" t="str">
        <f>CONCATENATE(Cover!$D$6,"fdd/view?i=",J6914)</f>
        <v>https://www.dgiwg.org/FAD/fdd/view?i=106525</v>
      </c>
      <c r="L6914" s="36" t="s">
        <v>43542</v>
      </c>
      <c r="M6914" s="186"/>
      <c r="N6914" s="186"/>
      <c r="O6914" s="172"/>
    </row>
    <row r="6915" spans="1:15" ht="25.5" x14ac:dyDescent="0.2">
      <c r="A6915" s="197" t="str">
        <f t="shared" si="108"/>
        <v>PpoCode_manure</v>
      </c>
      <c r="B6915" s="409"/>
      <c r="C6915" s="416"/>
      <c r="D6915" s="198" t="s">
        <v>25268</v>
      </c>
      <c r="E6915" s="198">
        <v>191</v>
      </c>
      <c r="F6915" s="199" t="s">
        <v>25269</v>
      </c>
      <c r="G6915" s="1" t="s">
        <v>25270</v>
      </c>
      <c r="H6915" s="200"/>
      <c r="I6915" s="346"/>
      <c r="J6915" s="39">
        <v>114394</v>
      </c>
      <c r="K6915" s="36" t="str">
        <f>CONCATENATE(Cover!$D$6,"fdd/view?i=",J6915)</f>
        <v>https://www.dgiwg.org/FAD/fdd/view?i=114394</v>
      </c>
      <c r="L6915" s="36" t="s">
        <v>43543</v>
      </c>
      <c r="M6915" s="186"/>
      <c r="N6915" s="186"/>
      <c r="O6915" s="172"/>
    </row>
    <row r="6916" spans="1:15" ht="51" x14ac:dyDescent="0.2">
      <c r="A6916" s="197" t="str">
        <f t="shared" si="108"/>
        <v>PpoCode_marble</v>
      </c>
      <c r="B6916" s="409"/>
      <c r="C6916" s="416"/>
      <c r="D6916" s="198" t="s">
        <v>43544</v>
      </c>
      <c r="E6916" s="198">
        <v>66</v>
      </c>
      <c r="F6916" s="199" t="s">
        <v>43545</v>
      </c>
      <c r="G6916" s="1" t="s">
        <v>43546</v>
      </c>
      <c r="H6916" s="1" t="s">
        <v>43547</v>
      </c>
      <c r="I6916" s="346"/>
      <c r="J6916" s="39">
        <v>106526</v>
      </c>
      <c r="K6916" s="36" t="str">
        <f>CONCATENATE(Cover!$D$6,"fdd/view?i=",J6916)</f>
        <v>https://www.dgiwg.org/FAD/fdd/view?i=106526</v>
      </c>
      <c r="L6916" s="36" t="s">
        <v>43548</v>
      </c>
      <c r="M6916" s="186"/>
      <c r="N6916" s="186"/>
      <c r="O6916" s="172"/>
    </row>
    <row r="6917" spans="1:15" ht="38.25" x14ac:dyDescent="0.2">
      <c r="A6917" s="197" t="str">
        <f t="shared" si="108"/>
        <v>PpoCode_marl</v>
      </c>
      <c r="B6917" s="409"/>
      <c r="C6917" s="416"/>
      <c r="D6917" s="198" t="s">
        <v>22341</v>
      </c>
      <c r="E6917" s="198">
        <v>133</v>
      </c>
      <c r="F6917" s="199" t="s">
        <v>22342</v>
      </c>
      <c r="G6917" s="1" t="s">
        <v>43549</v>
      </c>
      <c r="H6917" s="200"/>
      <c r="I6917" s="346"/>
      <c r="J6917" s="39">
        <v>106593</v>
      </c>
      <c r="K6917" s="36" t="str">
        <f>CONCATENATE(Cover!$D$6,"fdd/view?i=",J6917)</f>
        <v>https://www.dgiwg.org/FAD/fdd/view?i=106593</v>
      </c>
      <c r="L6917" s="36" t="s">
        <v>43550</v>
      </c>
      <c r="M6917" s="186"/>
      <c r="N6917" s="186"/>
      <c r="O6917" s="172"/>
    </row>
    <row r="6918" spans="1:15" ht="63.75" x14ac:dyDescent="0.2">
      <c r="A6918" s="197" t="str">
        <f t="shared" si="108"/>
        <v>PpoCode_masonry</v>
      </c>
      <c r="B6918" s="409"/>
      <c r="C6918" s="416"/>
      <c r="D6918" s="198" t="s">
        <v>24160</v>
      </c>
      <c r="E6918" s="198">
        <v>67</v>
      </c>
      <c r="F6918" s="199" t="s">
        <v>24161</v>
      </c>
      <c r="G6918" s="1" t="s">
        <v>24162</v>
      </c>
      <c r="H6918" s="200"/>
      <c r="I6918" s="351" t="s">
        <v>24163</v>
      </c>
      <c r="J6918" s="39">
        <v>106527</v>
      </c>
      <c r="K6918" s="36" t="str">
        <f>CONCATENATE(Cover!$D$6,"fdd/view?i=",J6918)</f>
        <v>https://www.dgiwg.org/FAD/fdd/view?i=106527</v>
      </c>
      <c r="L6918" s="36" t="s">
        <v>43551</v>
      </c>
      <c r="M6918" s="186"/>
      <c r="N6918" s="186"/>
      <c r="O6918" s="172"/>
    </row>
    <row r="6919" spans="1:15" ht="76.5" x14ac:dyDescent="0.2">
      <c r="A6919" s="197" t="str">
        <f t="shared" si="108"/>
        <v>PpoCode_medicalSupplies</v>
      </c>
      <c r="B6919" s="409"/>
      <c r="C6919" s="416"/>
      <c r="D6919" s="198" t="s">
        <v>43552</v>
      </c>
      <c r="E6919" s="198">
        <v>68</v>
      </c>
      <c r="F6919" s="199" t="s">
        <v>43553</v>
      </c>
      <c r="G6919" s="1" t="s">
        <v>43554</v>
      </c>
      <c r="H6919" s="1" t="s">
        <v>43555</v>
      </c>
      <c r="I6919" s="346"/>
      <c r="J6919" s="39">
        <v>106528</v>
      </c>
      <c r="K6919" s="36" t="str">
        <f>CONCATENATE(Cover!$D$6,"fdd/view?i=",J6919)</f>
        <v>https://www.dgiwg.org/FAD/fdd/view?i=106528</v>
      </c>
      <c r="L6919" s="36" t="s">
        <v>43556</v>
      </c>
      <c r="M6919" s="186"/>
      <c r="N6919" s="186"/>
      <c r="O6919" s="172"/>
    </row>
    <row r="6920" spans="1:15" ht="38.25" x14ac:dyDescent="0.2">
      <c r="A6920" s="197" t="str">
        <f t="shared" si="108"/>
        <v>PpoCode_metal</v>
      </c>
      <c r="B6920" s="409"/>
      <c r="C6920" s="416"/>
      <c r="D6920" s="198" t="s">
        <v>25276</v>
      </c>
      <c r="E6920" s="198">
        <v>69</v>
      </c>
      <c r="F6920" s="199" t="s">
        <v>25277</v>
      </c>
      <c r="G6920" s="1" t="s">
        <v>25278</v>
      </c>
      <c r="H6920" s="1" t="s">
        <v>25279</v>
      </c>
      <c r="I6920" s="346"/>
      <c r="J6920" s="39">
        <v>106529</v>
      </c>
      <c r="K6920" s="36" t="str">
        <f>CONCATENATE(Cover!$D$6,"fdd/view?i=",J6920)</f>
        <v>https://www.dgiwg.org/FAD/fdd/view?i=106529</v>
      </c>
      <c r="L6920" s="36" t="s">
        <v>43557</v>
      </c>
      <c r="M6920" s="186"/>
      <c r="N6920" s="186"/>
      <c r="O6920" s="172"/>
    </row>
    <row r="6921" spans="1:15" ht="38.25" x14ac:dyDescent="0.2">
      <c r="A6921" s="197" t="str">
        <f t="shared" si="108"/>
        <v>PpoCode_milk</v>
      </c>
      <c r="B6921" s="409"/>
      <c r="C6921" s="416"/>
      <c r="D6921" s="198" t="s">
        <v>43558</v>
      </c>
      <c r="E6921" s="198">
        <v>70</v>
      </c>
      <c r="F6921" s="199" t="s">
        <v>43559</v>
      </c>
      <c r="G6921" s="1" t="s">
        <v>43560</v>
      </c>
      <c r="H6921" s="1" t="s">
        <v>43561</v>
      </c>
      <c r="I6921" s="346"/>
      <c r="J6921" s="39">
        <v>106530</v>
      </c>
      <c r="K6921" s="36" t="str">
        <f>CONCATENATE(Cover!$D$6,"fdd/view?i=",J6921)</f>
        <v>https://www.dgiwg.org/FAD/fdd/view?i=106530</v>
      </c>
      <c r="L6921" s="36" t="s">
        <v>43562</v>
      </c>
      <c r="M6921" s="186"/>
      <c r="N6921" s="186"/>
      <c r="O6921" s="172"/>
    </row>
    <row r="6922" spans="1:15" ht="38.25" x14ac:dyDescent="0.2">
      <c r="A6922" s="197" t="str">
        <f t="shared" si="108"/>
        <v>PpoCode_milledGrain</v>
      </c>
      <c r="B6922" s="409"/>
      <c r="C6922" s="416"/>
      <c r="D6922" s="198" t="s">
        <v>43563</v>
      </c>
      <c r="E6922" s="198">
        <v>160</v>
      </c>
      <c r="F6922" s="199" t="s">
        <v>43564</v>
      </c>
      <c r="G6922" s="1" t="s">
        <v>43565</v>
      </c>
      <c r="H6922" s="200"/>
      <c r="I6922" s="346"/>
      <c r="J6922" s="39">
        <v>117953</v>
      </c>
      <c r="K6922" s="36" t="str">
        <f>CONCATENATE(Cover!$D$6,"fdd/view?i=",J6922)</f>
        <v>https://www.dgiwg.org/FAD/fdd/view?i=117953</v>
      </c>
      <c r="L6922" s="36" t="s">
        <v>43566</v>
      </c>
      <c r="M6922" s="186"/>
      <c r="N6922" s="186"/>
      <c r="O6922" s="172"/>
    </row>
    <row r="6923" spans="1:15" ht="25.5" x14ac:dyDescent="0.2">
      <c r="A6923" s="197" t="str">
        <f t="shared" si="108"/>
        <v>PpoCode_mineralOil</v>
      </c>
      <c r="B6923" s="409"/>
      <c r="C6923" s="416"/>
      <c r="D6923" s="198" t="s">
        <v>43567</v>
      </c>
      <c r="E6923" s="198">
        <v>71</v>
      </c>
      <c r="F6923" s="199" t="s">
        <v>43568</v>
      </c>
      <c r="G6923" s="1" t="s">
        <v>43569</v>
      </c>
      <c r="H6923" s="1" t="s">
        <v>43570</v>
      </c>
      <c r="I6923" s="351" t="s">
        <v>43571</v>
      </c>
      <c r="J6923" s="39">
        <v>106531</v>
      </c>
      <c r="K6923" s="36" t="str">
        <f>CONCATENATE(Cover!$D$6,"fdd/view?i=",J6923)</f>
        <v>https://www.dgiwg.org/FAD/fdd/view?i=106531</v>
      </c>
      <c r="L6923" s="36" t="s">
        <v>43572</v>
      </c>
      <c r="M6923" s="186"/>
      <c r="N6923" s="186"/>
      <c r="O6923" s="172"/>
    </row>
    <row r="6924" spans="1:15" ht="25.5" x14ac:dyDescent="0.2">
      <c r="A6924" s="197" t="str">
        <f t="shared" si="108"/>
        <v>PpoCode_motorVehicle</v>
      </c>
      <c r="B6924" s="409"/>
      <c r="C6924" s="416"/>
      <c r="D6924" s="198" t="s">
        <v>43573</v>
      </c>
      <c r="E6924" s="198">
        <v>5</v>
      </c>
      <c r="F6924" s="199" t="s">
        <v>43574</v>
      </c>
      <c r="G6924" s="1" t="s">
        <v>43575</v>
      </c>
      <c r="H6924" s="1" t="s">
        <v>43576</v>
      </c>
      <c r="I6924" s="346"/>
      <c r="J6924" s="39">
        <v>106465</v>
      </c>
      <c r="K6924" s="36" t="str">
        <f>CONCATENATE(Cover!$D$6,"fdd/view?i=",J6924)</f>
        <v>https://www.dgiwg.org/FAD/fdd/view?i=106465</v>
      </c>
      <c r="L6924" s="36" t="s">
        <v>43577</v>
      </c>
      <c r="M6924" s="186"/>
      <c r="N6924" s="186"/>
      <c r="O6924" s="172"/>
    </row>
    <row r="6925" spans="1:15" ht="51" x14ac:dyDescent="0.2">
      <c r="A6925" s="197" t="str">
        <f t="shared" si="108"/>
        <v>PpoCode_munitions</v>
      </c>
      <c r="B6925" s="409"/>
      <c r="C6925" s="416"/>
      <c r="D6925" s="198" t="s">
        <v>43578</v>
      </c>
      <c r="E6925" s="198">
        <v>154</v>
      </c>
      <c r="F6925" s="199" t="s">
        <v>43579</v>
      </c>
      <c r="G6925" s="1" t="s">
        <v>43580</v>
      </c>
      <c r="H6925" s="1" t="s">
        <v>43581</v>
      </c>
      <c r="I6925" s="346"/>
      <c r="J6925" s="39">
        <v>112777</v>
      </c>
      <c r="K6925" s="36" t="str">
        <f>CONCATENATE(Cover!$D$6,"fdd/view?i=",J6925)</f>
        <v>https://www.dgiwg.org/FAD/fdd/view?i=112777</v>
      </c>
      <c r="L6925" s="36" t="s">
        <v>43582</v>
      </c>
      <c r="M6925" s="186"/>
      <c r="N6925" s="186"/>
      <c r="O6925" s="172"/>
    </row>
    <row r="6926" spans="1:15" ht="51" x14ac:dyDescent="0.2">
      <c r="A6926" s="197" t="str">
        <f t="shared" si="108"/>
        <v>PpoCode_mussels</v>
      </c>
      <c r="B6926" s="409"/>
      <c r="C6926" s="416"/>
      <c r="D6926" s="198" t="s">
        <v>43583</v>
      </c>
      <c r="E6926" s="198">
        <v>72</v>
      </c>
      <c r="F6926" s="199" t="s">
        <v>43584</v>
      </c>
      <c r="G6926" s="1" t="s">
        <v>43585</v>
      </c>
      <c r="H6926" s="1" t="s">
        <v>43586</v>
      </c>
      <c r="I6926" s="346"/>
      <c r="J6926" s="39">
        <v>106532</v>
      </c>
      <c r="K6926" s="36" t="str">
        <f>CONCATENATE(Cover!$D$6,"fdd/view?i=",J6926)</f>
        <v>https://www.dgiwg.org/FAD/fdd/view?i=106532</v>
      </c>
      <c r="L6926" s="36" t="s">
        <v>43587</v>
      </c>
      <c r="M6926" s="186"/>
      <c r="N6926" s="186"/>
      <c r="O6926" s="172"/>
    </row>
    <row r="6927" spans="1:15" ht="63.75" x14ac:dyDescent="0.2">
      <c r="A6927" s="197" t="str">
        <f t="shared" si="108"/>
        <v>PpoCode_naturalGasCondensate</v>
      </c>
      <c r="B6927" s="409"/>
      <c r="C6927" s="416"/>
      <c r="D6927" s="198" t="s">
        <v>43588</v>
      </c>
      <c r="E6927" s="198">
        <v>162</v>
      </c>
      <c r="F6927" s="199" t="s">
        <v>43589</v>
      </c>
      <c r="G6927" s="1" t="s">
        <v>43590</v>
      </c>
      <c r="H6927" s="1" t="s">
        <v>43591</v>
      </c>
      <c r="I6927" s="346"/>
      <c r="J6927" s="39">
        <v>118540</v>
      </c>
      <c r="K6927" s="36" t="str">
        <f>CONCATENATE(Cover!$D$6,"fdd/view?i=",J6927)</f>
        <v>https://www.dgiwg.org/FAD/fdd/view?i=118540</v>
      </c>
      <c r="L6927" s="36" t="s">
        <v>43592</v>
      </c>
      <c r="M6927" s="186"/>
      <c r="N6927" s="186"/>
      <c r="O6927" s="172"/>
    </row>
    <row r="6928" spans="1:15" ht="25.5" x14ac:dyDescent="0.2">
      <c r="A6928" s="197" t="str">
        <f t="shared" si="108"/>
        <v>PpoCode_nickel</v>
      </c>
      <c r="B6928" s="409"/>
      <c r="C6928" s="416"/>
      <c r="D6928" s="198" t="s">
        <v>25804</v>
      </c>
      <c r="E6928" s="198">
        <v>152</v>
      </c>
      <c r="F6928" s="199" t="s">
        <v>43593</v>
      </c>
      <c r="G6928" s="1" t="s">
        <v>43594</v>
      </c>
      <c r="H6928" s="1" t="s">
        <v>43595</v>
      </c>
      <c r="I6928" s="346"/>
      <c r="J6928" s="39">
        <v>112775</v>
      </c>
      <c r="K6928" s="36" t="str">
        <f>CONCATENATE(Cover!$D$6,"fdd/view?i=",J6928)</f>
        <v>https://www.dgiwg.org/FAD/fdd/view?i=112775</v>
      </c>
      <c r="L6928" s="36" t="s">
        <v>43596</v>
      </c>
      <c r="M6928" s="186"/>
      <c r="N6928" s="186"/>
      <c r="O6928" s="172"/>
    </row>
    <row r="6929" spans="1:15" ht="25.5" x14ac:dyDescent="0.2">
      <c r="A6929" s="197" t="str">
        <f t="shared" si="108"/>
        <v>PpoCode_nonSolidHydrocarbonFuel</v>
      </c>
      <c r="B6929" s="409"/>
      <c r="C6929" s="416"/>
      <c r="D6929" s="198" t="s">
        <v>43601</v>
      </c>
      <c r="E6929" s="198">
        <v>74</v>
      </c>
      <c r="F6929" s="199" t="s">
        <v>43602</v>
      </c>
      <c r="G6929" s="1" t="s">
        <v>43603</v>
      </c>
      <c r="H6929" s="200"/>
      <c r="I6929" s="346"/>
      <c r="J6929" s="39">
        <v>106534</v>
      </c>
      <c r="K6929" s="36" t="str">
        <f>CONCATENATE(Cover!$D$6,"fdd/view?i=",J6929)</f>
        <v>https://www.dgiwg.org/FAD/fdd/view?i=106534</v>
      </c>
      <c r="L6929" s="36" t="s">
        <v>43604</v>
      </c>
      <c r="M6929" s="186"/>
      <c r="N6929" s="186"/>
      <c r="O6929" s="172"/>
    </row>
    <row r="6930" spans="1:15" x14ac:dyDescent="0.2">
      <c r="A6930" s="197" t="str">
        <f t="shared" si="108"/>
        <v>PpoCode_noProduct</v>
      </c>
      <c r="B6930" s="409"/>
      <c r="C6930" s="416"/>
      <c r="D6930" s="198" t="s">
        <v>43597</v>
      </c>
      <c r="E6930" s="198">
        <v>73</v>
      </c>
      <c r="F6930" s="199" t="s">
        <v>43598</v>
      </c>
      <c r="G6930" s="1" t="s">
        <v>43599</v>
      </c>
      <c r="H6930" s="200"/>
      <c r="I6930" s="346"/>
      <c r="J6930" s="39">
        <v>106533</v>
      </c>
      <c r="K6930" s="36" t="str">
        <f>CONCATENATE(Cover!$D$6,"fdd/view?i=",J6930)</f>
        <v>https://www.dgiwg.org/FAD/fdd/view?i=106533</v>
      </c>
      <c r="L6930" s="36" t="s">
        <v>43600</v>
      </c>
      <c r="M6930" s="186"/>
      <c r="N6930" s="186"/>
      <c r="O6930" s="172"/>
    </row>
    <row r="6931" spans="1:15" ht="38.25" x14ac:dyDescent="0.2">
      <c r="A6931" s="197" t="str">
        <f t="shared" si="108"/>
        <v>PpoCode_oil</v>
      </c>
      <c r="B6931" s="409"/>
      <c r="C6931" s="416"/>
      <c r="D6931" s="198" t="s">
        <v>22981</v>
      </c>
      <c r="E6931" s="198">
        <v>75</v>
      </c>
      <c r="F6931" s="199" t="s">
        <v>22982</v>
      </c>
      <c r="G6931" s="1" t="s">
        <v>22983</v>
      </c>
      <c r="H6931" s="1" t="s">
        <v>43605</v>
      </c>
      <c r="I6931" s="346"/>
      <c r="J6931" s="39">
        <v>106535</v>
      </c>
      <c r="K6931" s="36" t="str">
        <f>CONCATENATE(Cover!$D$6,"fdd/view?i=",J6931)</f>
        <v>https://www.dgiwg.org/FAD/fdd/view?i=106535</v>
      </c>
      <c r="L6931" s="36" t="s">
        <v>43606</v>
      </c>
      <c r="M6931" s="186"/>
      <c r="N6931" s="186"/>
      <c r="O6931" s="172"/>
    </row>
    <row r="6932" spans="1:15" x14ac:dyDescent="0.2">
      <c r="A6932" s="197" t="str">
        <f t="shared" si="108"/>
        <v>PpoCode_oliveOil</v>
      </c>
      <c r="B6932" s="409"/>
      <c r="C6932" s="416"/>
      <c r="D6932" s="198" t="s">
        <v>43607</v>
      </c>
      <c r="E6932" s="198">
        <v>155</v>
      </c>
      <c r="F6932" s="199" t="s">
        <v>43608</v>
      </c>
      <c r="G6932" s="1" t="s">
        <v>43609</v>
      </c>
      <c r="H6932" s="1" t="s">
        <v>43610</v>
      </c>
      <c r="I6932" s="346"/>
      <c r="J6932" s="39">
        <v>112778</v>
      </c>
      <c r="K6932" s="36" t="str">
        <f>CONCATENATE(Cover!$D$6,"fdd/view?i=",J6932)</f>
        <v>https://www.dgiwg.org/FAD/fdd/view?i=112778</v>
      </c>
      <c r="L6932" s="36" t="s">
        <v>43611</v>
      </c>
      <c r="M6932" s="186"/>
      <c r="N6932" s="186"/>
      <c r="O6932" s="172"/>
    </row>
    <row r="6933" spans="1:15" ht="38.25" x14ac:dyDescent="0.2">
      <c r="A6933" s="197" t="str">
        <f t="shared" si="108"/>
        <v>PpoCode_ore</v>
      </c>
      <c r="B6933" s="409"/>
      <c r="C6933" s="416"/>
      <c r="D6933" s="198" t="s">
        <v>43612</v>
      </c>
      <c r="E6933" s="198">
        <v>76</v>
      </c>
      <c r="F6933" s="199" t="s">
        <v>43613</v>
      </c>
      <c r="G6933" s="1" t="s">
        <v>43614</v>
      </c>
      <c r="H6933" s="200"/>
      <c r="I6933" s="346"/>
      <c r="J6933" s="39">
        <v>106536</v>
      </c>
      <c r="K6933" s="36" t="str">
        <f>CONCATENATE(Cover!$D$6,"fdd/view?i=",J6933)</f>
        <v>https://www.dgiwg.org/FAD/fdd/view?i=106536</v>
      </c>
      <c r="L6933" s="36" t="s">
        <v>43615</v>
      </c>
      <c r="M6933" s="186"/>
      <c r="N6933" s="186"/>
      <c r="O6933" s="172"/>
    </row>
    <row r="6934" spans="1:15" ht="38.25" x14ac:dyDescent="0.2">
      <c r="A6934" s="197" t="str">
        <f t="shared" si="108"/>
        <v>PpoCode_oysters</v>
      </c>
      <c r="B6934" s="409"/>
      <c r="C6934" s="416"/>
      <c r="D6934" s="198" t="s">
        <v>43616</v>
      </c>
      <c r="E6934" s="198">
        <v>77</v>
      </c>
      <c r="F6934" s="199" t="s">
        <v>43617</v>
      </c>
      <c r="G6934" s="1" t="s">
        <v>43618</v>
      </c>
      <c r="H6934" s="1" t="s">
        <v>43619</v>
      </c>
      <c r="I6934" s="346"/>
      <c r="J6934" s="39">
        <v>106537</v>
      </c>
      <c r="K6934" s="36" t="str">
        <f>CONCATENATE(Cover!$D$6,"fdd/view?i=",J6934)</f>
        <v>https://www.dgiwg.org/FAD/fdd/view?i=106537</v>
      </c>
      <c r="L6934" s="36" t="s">
        <v>43620</v>
      </c>
      <c r="M6934" s="186"/>
      <c r="N6934" s="186"/>
      <c r="O6934" s="172"/>
    </row>
    <row r="6935" spans="1:15" ht="38.25" x14ac:dyDescent="0.2">
      <c r="A6935" s="197" t="str">
        <f t="shared" si="108"/>
        <v>PpoCode_palm</v>
      </c>
      <c r="B6935" s="409"/>
      <c r="C6935" s="416"/>
      <c r="D6935" s="198" t="s">
        <v>27408</v>
      </c>
      <c r="E6935" s="198">
        <v>79</v>
      </c>
      <c r="F6935" s="199" t="s">
        <v>27409</v>
      </c>
      <c r="G6935" s="1" t="s">
        <v>27410</v>
      </c>
      <c r="H6935" s="1" t="s">
        <v>43621</v>
      </c>
      <c r="I6935" s="351" t="s">
        <v>29158</v>
      </c>
      <c r="J6935" s="39">
        <v>106539</v>
      </c>
      <c r="K6935" s="36" t="str">
        <f>CONCATENATE(Cover!$D$6,"fdd/view?i=",J6935)</f>
        <v>https://www.dgiwg.org/FAD/fdd/view?i=106539</v>
      </c>
      <c r="L6935" s="36" t="s">
        <v>43622</v>
      </c>
      <c r="M6935" s="186"/>
      <c r="N6935" s="186"/>
      <c r="O6935" s="172"/>
    </row>
    <row r="6936" spans="1:15" ht="51" x14ac:dyDescent="0.2">
      <c r="A6936" s="197" t="str">
        <f t="shared" si="108"/>
        <v>PpoCode_palmetto</v>
      </c>
      <c r="B6936" s="409"/>
      <c r="C6936" s="416"/>
      <c r="D6936" s="198" t="s">
        <v>27413</v>
      </c>
      <c r="E6936" s="198">
        <v>78</v>
      </c>
      <c r="F6936" s="199" t="s">
        <v>27414</v>
      </c>
      <c r="G6936" s="1" t="s">
        <v>43623</v>
      </c>
      <c r="H6936" s="1" t="s">
        <v>43624</v>
      </c>
      <c r="I6936" s="351" t="s">
        <v>43625</v>
      </c>
      <c r="J6936" s="39">
        <v>106538</v>
      </c>
      <c r="K6936" s="36" t="str">
        <f>CONCATENATE(Cover!$D$6,"fdd/view?i=",J6936)</f>
        <v>https://www.dgiwg.org/FAD/fdd/view?i=106538</v>
      </c>
      <c r="L6936" s="36" t="s">
        <v>43626</v>
      </c>
      <c r="M6936" s="186"/>
      <c r="N6936" s="186"/>
      <c r="O6936" s="172"/>
    </row>
    <row r="6937" spans="1:15" ht="38.25" x14ac:dyDescent="0.2">
      <c r="A6937" s="197" t="str">
        <f t="shared" si="108"/>
        <v>PpoCode_paper</v>
      </c>
      <c r="B6937" s="409"/>
      <c r="C6937" s="416"/>
      <c r="D6937" s="198" t="s">
        <v>43627</v>
      </c>
      <c r="E6937" s="198">
        <v>80</v>
      </c>
      <c r="F6937" s="199" t="s">
        <v>43628</v>
      </c>
      <c r="G6937" s="1" t="s">
        <v>43629</v>
      </c>
      <c r="H6937" s="1" t="s">
        <v>43630</v>
      </c>
      <c r="I6937" s="346"/>
      <c r="J6937" s="39">
        <v>106540</v>
      </c>
      <c r="K6937" s="36" t="str">
        <f>CONCATENATE(Cover!$D$6,"fdd/view?i=",J6937)</f>
        <v>https://www.dgiwg.org/FAD/fdd/view?i=106540</v>
      </c>
      <c r="L6937" s="36" t="s">
        <v>43631</v>
      </c>
      <c r="M6937" s="186"/>
      <c r="N6937" s="186"/>
      <c r="O6937" s="172"/>
    </row>
    <row r="6938" spans="1:15" ht="25.5" x14ac:dyDescent="0.2">
      <c r="A6938" s="197" t="str">
        <f t="shared" si="108"/>
        <v>PpoCode_pebbles</v>
      </c>
      <c r="B6938" s="409"/>
      <c r="C6938" s="416"/>
      <c r="D6938" s="198" t="s">
        <v>43632</v>
      </c>
      <c r="E6938" s="198">
        <v>81</v>
      </c>
      <c r="F6938" s="199" t="s">
        <v>43633</v>
      </c>
      <c r="G6938" s="1" t="s">
        <v>43634</v>
      </c>
      <c r="H6938" s="200"/>
      <c r="I6938" s="351" t="s">
        <v>43635</v>
      </c>
      <c r="J6938" s="39">
        <v>106541</v>
      </c>
      <c r="K6938" s="36" t="str">
        <f>CONCATENATE(Cover!$D$6,"fdd/view?i=",J6938)</f>
        <v>https://www.dgiwg.org/FAD/fdd/view?i=106541</v>
      </c>
      <c r="L6938" s="36" t="s">
        <v>43636</v>
      </c>
      <c r="M6938" s="186"/>
      <c r="N6938" s="186"/>
      <c r="O6938" s="172"/>
    </row>
    <row r="6939" spans="1:15" ht="25.5" x14ac:dyDescent="0.2">
      <c r="A6939" s="197" t="str">
        <f t="shared" si="108"/>
        <v>PpoCode_petrochemical</v>
      </c>
      <c r="B6939" s="409"/>
      <c r="C6939" s="416"/>
      <c r="D6939" s="198" t="s">
        <v>43637</v>
      </c>
      <c r="E6939" s="198">
        <v>137</v>
      </c>
      <c r="F6939" s="199" t="s">
        <v>43638</v>
      </c>
      <c r="G6939" s="1" t="s">
        <v>43639</v>
      </c>
      <c r="H6939" s="200"/>
      <c r="I6939" s="346"/>
      <c r="J6939" s="39">
        <v>108635</v>
      </c>
      <c r="K6939" s="36" t="str">
        <f>CONCATENATE(Cover!$D$6,"fdd/view?i=",J6939)</f>
        <v>https://www.dgiwg.org/FAD/fdd/view?i=108635</v>
      </c>
      <c r="L6939" s="36" t="s">
        <v>43640</v>
      </c>
      <c r="M6939" s="186"/>
      <c r="N6939" s="186"/>
      <c r="O6939" s="172"/>
    </row>
    <row r="6940" spans="1:15" x14ac:dyDescent="0.2">
      <c r="A6940" s="197" t="str">
        <f t="shared" si="108"/>
        <v>PpoCode_petrol</v>
      </c>
      <c r="B6940" s="409"/>
      <c r="C6940" s="416"/>
      <c r="D6940" s="198" t="s">
        <v>22985</v>
      </c>
      <c r="E6940" s="198">
        <v>46</v>
      </c>
      <c r="F6940" s="199" t="s">
        <v>22986</v>
      </c>
      <c r="G6940" s="1" t="s">
        <v>22987</v>
      </c>
      <c r="H6940" s="200"/>
      <c r="I6940" s="351" t="s">
        <v>22988</v>
      </c>
      <c r="J6940" s="39">
        <v>106506</v>
      </c>
      <c r="K6940" s="36" t="str">
        <f>CONCATENATE(Cover!$D$6,"fdd/view?i=",J6940)</f>
        <v>https://www.dgiwg.org/FAD/fdd/view?i=106506</v>
      </c>
      <c r="L6940" s="36" t="s">
        <v>43641</v>
      </c>
      <c r="M6940" s="186"/>
      <c r="N6940" s="186"/>
      <c r="O6940" s="172"/>
    </row>
    <row r="6941" spans="1:15" ht="51" x14ac:dyDescent="0.2">
      <c r="A6941" s="197" t="str">
        <f t="shared" si="108"/>
        <v>PpoCode_petroleum</v>
      </c>
      <c r="B6941" s="409"/>
      <c r="C6941" s="416"/>
      <c r="D6941" s="198" t="s">
        <v>29333</v>
      </c>
      <c r="E6941" s="198">
        <v>83</v>
      </c>
      <c r="F6941" s="199" t="s">
        <v>29334</v>
      </c>
      <c r="G6941" s="1" t="s">
        <v>43642</v>
      </c>
      <c r="H6941" s="1" t="s">
        <v>43643</v>
      </c>
      <c r="I6941" s="351" t="s">
        <v>29337</v>
      </c>
      <c r="J6941" s="39">
        <v>106543</v>
      </c>
      <c r="K6941" s="36" t="str">
        <f>CONCATENATE(Cover!$D$6,"fdd/view?i=",J6941)</f>
        <v>https://www.dgiwg.org/FAD/fdd/view?i=106543</v>
      </c>
      <c r="L6941" s="36" t="s">
        <v>43644</v>
      </c>
      <c r="M6941" s="186"/>
      <c r="N6941" s="186"/>
      <c r="O6941" s="172"/>
    </row>
    <row r="6942" spans="1:15" ht="63.75" x14ac:dyDescent="0.2">
      <c r="A6942" s="197" t="str">
        <f t="shared" si="108"/>
        <v>PpoCode_petroleumLubricant</v>
      </c>
      <c r="B6942" s="409"/>
      <c r="C6942" s="416"/>
      <c r="D6942" s="198" t="s">
        <v>43650</v>
      </c>
      <c r="E6942" s="198">
        <v>192</v>
      </c>
      <c r="F6942" s="199" t="s">
        <v>43651</v>
      </c>
      <c r="G6942" s="1" t="s">
        <v>43652</v>
      </c>
      <c r="H6942" s="1" t="s">
        <v>43653</v>
      </c>
      <c r="I6942" s="346"/>
      <c r="J6942" s="39">
        <v>119109</v>
      </c>
      <c r="K6942" s="36" t="str">
        <f>CONCATENATE(Cover!$D$6,"fdd/view?i=",J6942)</f>
        <v>https://www.dgiwg.org/FAD/fdd/view?i=119109</v>
      </c>
      <c r="L6942" s="36" t="s">
        <v>43654</v>
      </c>
      <c r="M6942" s="186"/>
      <c r="N6942" s="186"/>
      <c r="O6942" s="172"/>
    </row>
    <row r="6943" spans="1:15" ht="63.75" x14ac:dyDescent="0.2">
      <c r="A6943" s="197" t="str">
        <f t="shared" si="108"/>
        <v>PpoCode_petroleumNaturalGas</v>
      </c>
      <c r="B6943" s="409"/>
      <c r="C6943" s="416"/>
      <c r="D6943" s="198" t="s">
        <v>43645</v>
      </c>
      <c r="E6943" s="198">
        <v>157</v>
      </c>
      <c r="F6943" s="199" t="s">
        <v>43646</v>
      </c>
      <c r="G6943" s="1" t="s">
        <v>43647</v>
      </c>
      <c r="H6943" s="1" t="s">
        <v>43648</v>
      </c>
      <c r="I6943" s="346"/>
      <c r="J6943" s="39">
        <v>111290</v>
      </c>
      <c r="K6943" s="36" t="str">
        <f>CONCATENATE(Cover!$D$6,"fdd/view?i=",J6943)</f>
        <v>https://www.dgiwg.org/FAD/fdd/view?i=111290</v>
      </c>
      <c r="L6943" s="36" t="s">
        <v>43649</v>
      </c>
      <c r="M6943" s="186"/>
      <c r="N6943" s="186"/>
      <c r="O6943" s="172"/>
    </row>
    <row r="6944" spans="1:15" ht="38.25" x14ac:dyDescent="0.2">
      <c r="A6944" s="197" t="str">
        <f t="shared" si="108"/>
        <v>PpoCode_plantMaterial</v>
      </c>
      <c r="B6944" s="409"/>
      <c r="C6944" s="416"/>
      <c r="D6944" s="198" t="s">
        <v>43655</v>
      </c>
      <c r="E6944" s="198">
        <v>52</v>
      </c>
      <c r="F6944" s="199" t="s">
        <v>43656</v>
      </c>
      <c r="G6944" s="1" t="s">
        <v>43657</v>
      </c>
      <c r="H6944" s="200"/>
      <c r="I6944" s="346"/>
      <c r="J6944" s="39">
        <v>106512</v>
      </c>
      <c r="K6944" s="36" t="str">
        <f>CONCATENATE(Cover!$D$6,"fdd/view?i=",J6944)</f>
        <v>https://www.dgiwg.org/FAD/fdd/view?i=106512</v>
      </c>
      <c r="L6944" s="36" t="s">
        <v>43658</v>
      </c>
      <c r="M6944" s="186"/>
      <c r="N6944" s="186"/>
      <c r="O6944" s="172"/>
    </row>
    <row r="6945" spans="1:15" ht="38.25" x14ac:dyDescent="0.2">
      <c r="A6945" s="197" t="str">
        <f t="shared" si="108"/>
        <v>PpoCode_plastic</v>
      </c>
      <c r="B6945" s="409"/>
      <c r="C6945" s="416"/>
      <c r="D6945" s="198" t="s">
        <v>43659</v>
      </c>
      <c r="E6945" s="198">
        <v>84</v>
      </c>
      <c r="F6945" s="199" t="s">
        <v>43660</v>
      </c>
      <c r="G6945" s="1" t="s">
        <v>43661</v>
      </c>
      <c r="H6945" s="1" t="s">
        <v>43662</v>
      </c>
      <c r="I6945" s="346"/>
      <c r="J6945" s="39">
        <v>106544</v>
      </c>
      <c r="K6945" s="36" t="str">
        <f>CONCATENATE(Cover!$D$6,"fdd/view?i=",J6945)</f>
        <v>https://www.dgiwg.org/FAD/fdd/view?i=106544</v>
      </c>
      <c r="L6945" s="36" t="s">
        <v>43663</v>
      </c>
      <c r="M6945" s="186"/>
      <c r="N6945" s="186"/>
      <c r="O6945" s="172"/>
    </row>
    <row r="6946" spans="1:15" ht="102" x14ac:dyDescent="0.2">
      <c r="A6946" s="197" t="str">
        <f t="shared" si="108"/>
        <v>PpoCode_porphyry</v>
      </c>
      <c r="B6946" s="409"/>
      <c r="C6946" s="416"/>
      <c r="D6946" s="198" t="s">
        <v>43664</v>
      </c>
      <c r="E6946" s="198">
        <v>85</v>
      </c>
      <c r="F6946" s="199" t="s">
        <v>43665</v>
      </c>
      <c r="G6946" s="1" t="s">
        <v>43666</v>
      </c>
      <c r="H6946" s="1" t="s">
        <v>43667</v>
      </c>
      <c r="I6946" s="346"/>
      <c r="J6946" s="39">
        <v>106545</v>
      </c>
      <c r="K6946" s="36" t="str">
        <f>CONCATENATE(Cover!$D$6,"fdd/view?i=",J6946)</f>
        <v>https://www.dgiwg.org/FAD/fdd/view?i=106545</v>
      </c>
      <c r="L6946" s="36" t="s">
        <v>43668</v>
      </c>
      <c r="M6946" s="186"/>
      <c r="N6946" s="186"/>
      <c r="O6946" s="172"/>
    </row>
    <row r="6947" spans="1:15" x14ac:dyDescent="0.2">
      <c r="A6947" s="197" t="str">
        <f t="shared" si="108"/>
        <v>PpoCode_potableWater</v>
      </c>
      <c r="B6947" s="409"/>
      <c r="C6947" s="416"/>
      <c r="D6947" s="198" t="s">
        <v>43669</v>
      </c>
      <c r="E6947" s="198">
        <v>86</v>
      </c>
      <c r="F6947" s="199" t="s">
        <v>43670</v>
      </c>
      <c r="G6947" s="1" t="s">
        <v>43671</v>
      </c>
      <c r="H6947" s="200"/>
      <c r="I6947" s="346"/>
      <c r="J6947" s="39">
        <v>106546</v>
      </c>
      <c r="K6947" s="36" t="str">
        <f>CONCATENATE(Cover!$D$6,"fdd/view?i=",J6947)</f>
        <v>https://www.dgiwg.org/FAD/fdd/view?i=106546</v>
      </c>
      <c r="L6947" s="36" t="s">
        <v>43672</v>
      </c>
      <c r="M6947" s="186"/>
      <c r="N6947" s="186"/>
      <c r="O6947" s="172"/>
    </row>
    <row r="6948" spans="1:15" ht="38.25" x14ac:dyDescent="0.2">
      <c r="A6948" s="197" t="str">
        <f t="shared" si="108"/>
        <v>PpoCode_pottery</v>
      </c>
      <c r="B6948" s="409"/>
      <c r="C6948" s="416"/>
      <c r="D6948" s="198" t="s">
        <v>43673</v>
      </c>
      <c r="E6948" s="198">
        <v>158</v>
      </c>
      <c r="F6948" s="199" t="s">
        <v>43674</v>
      </c>
      <c r="G6948" s="1" t="s">
        <v>43675</v>
      </c>
      <c r="H6948" s="1" t="s">
        <v>43676</v>
      </c>
      <c r="I6948" s="346"/>
      <c r="J6948" s="39">
        <v>112780</v>
      </c>
      <c r="K6948" s="36" t="str">
        <f>CONCATENATE(Cover!$D$6,"fdd/view?i=",J6948)</f>
        <v>https://www.dgiwg.org/FAD/fdd/view?i=112780</v>
      </c>
      <c r="L6948" s="36" t="s">
        <v>43677</v>
      </c>
      <c r="M6948" s="186"/>
      <c r="N6948" s="186"/>
      <c r="O6948" s="172"/>
    </row>
    <row r="6949" spans="1:15" ht="38.25" x14ac:dyDescent="0.2">
      <c r="A6949" s="197" t="str">
        <f t="shared" si="108"/>
        <v>PpoCode_prestressedConcrete</v>
      </c>
      <c r="B6949" s="409"/>
      <c r="C6949" s="416"/>
      <c r="D6949" s="198" t="s">
        <v>43678</v>
      </c>
      <c r="E6949" s="198">
        <v>87</v>
      </c>
      <c r="F6949" s="199" t="s">
        <v>43679</v>
      </c>
      <c r="G6949" s="1" t="s">
        <v>43680</v>
      </c>
      <c r="H6949" s="200"/>
      <c r="I6949" s="346"/>
      <c r="J6949" s="39">
        <v>106547</v>
      </c>
      <c r="K6949" s="36" t="str">
        <f>CONCATENATE(Cover!$D$6,"fdd/view?i=",J6949)</f>
        <v>https://www.dgiwg.org/FAD/fdd/view?i=106547</v>
      </c>
      <c r="L6949" s="36" t="s">
        <v>43681</v>
      </c>
      <c r="M6949" s="186"/>
      <c r="N6949" s="186"/>
      <c r="O6949" s="172"/>
    </row>
    <row r="6950" spans="1:15" ht="38.25" x14ac:dyDescent="0.2">
      <c r="A6950" s="197" t="str">
        <f t="shared" si="108"/>
        <v>PpoCode_pumice</v>
      </c>
      <c r="B6950" s="409"/>
      <c r="C6950" s="416"/>
      <c r="D6950" s="198" t="s">
        <v>43682</v>
      </c>
      <c r="E6950" s="198">
        <v>88</v>
      </c>
      <c r="F6950" s="199" t="s">
        <v>43683</v>
      </c>
      <c r="G6950" s="1" t="s">
        <v>43684</v>
      </c>
      <c r="H6950" s="1" t="s">
        <v>43685</v>
      </c>
      <c r="I6950" s="346"/>
      <c r="J6950" s="39">
        <v>106548</v>
      </c>
      <c r="K6950" s="36" t="str">
        <f>CONCATENATE(Cover!$D$6,"fdd/view?i=",J6950)</f>
        <v>https://www.dgiwg.org/FAD/fdd/view?i=106548</v>
      </c>
      <c r="L6950" s="36" t="s">
        <v>43686</v>
      </c>
      <c r="M6950" s="186"/>
      <c r="N6950" s="186"/>
      <c r="O6950" s="172"/>
    </row>
    <row r="6951" spans="1:15" ht="63.75" x14ac:dyDescent="0.2">
      <c r="A6951" s="197" t="str">
        <f t="shared" si="108"/>
        <v>PpoCode_quartz</v>
      </c>
      <c r="B6951" s="409"/>
      <c r="C6951" s="416"/>
      <c r="D6951" s="198" t="s">
        <v>35487</v>
      </c>
      <c r="E6951" s="198">
        <v>89</v>
      </c>
      <c r="F6951" s="199" t="s">
        <v>35488</v>
      </c>
      <c r="G6951" s="1" t="s">
        <v>43687</v>
      </c>
      <c r="H6951" s="1" t="s">
        <v>43688</v>
      </c>
      <c r="I6951" s="346"/>
      <c r="J6951" s="39">
        <v>106549</v>
      </c>
      <c r="K6951" s="36" t="str">
        <f>CONCATENATE(Cover!$D$6,"fdd/view?i=",J6951)</f>
        <v>https://www.dgiwg.org/FAD/fdd/view?i=106549</v>
      </c>
      <c r="L6951" s="36" t="s">
        <v>43689</v>
      </c>
      <c r="M6951" s="186"/>
      <c r="N6951" s="186"/>
      <c r="O6951" s="172"/>
    </row>
    <row r="6952" spans="1:15" ht="63.75" x14ac:dyDescent="0.2">
      <c r="A6952" s="197" t="str">
        <f t="shared" si="108"/>
        <v>PpoCode_quartzite</v>
      </c>
      <c r="B6952" s="409"/>
      <c r="C6952" s="416"/>
      <c r="D6952" s="198" t="s">
        <v>43690</v>
      </c>
      <c r="E6952" s="198">
        <v>142</v>
      </c>
      <c r="F6952" s="199" t="s">
        <v>43691</v>
      </c>
      <c r="G6952" s="1" t="s">
        <v>43692</v>
      </c>
      <c r="H6952" s="1" t="s">
        <v>43693</v>
      </c>
      <c r="I6952" s="346"/>
      <c r="J6952" s="39">
        <v>108640</v>
      </c>
      <c r="K6952" s="36" t="str">
        <f>CONCATENATE(Cover!$D$6,"fdd/view?i=",J6952)</f>
        <v>https://www.dgiwg.org/FAD/fdd/view?i=108640</v>
      </c>
      <c r="L6952" s="36" t="s">
        <v>43694</v>
      </c>
      <c r="M6952" s="186"/>
      <c r="N6952" s="186"/>
      <c r="O6952" s="172"/>
    </row>
    <row r="6953" spans="1:15" ht="38.25" x14ac:dyDescent="0.2">
      <c r="A6953" s="197" t="str">
        <f t="shared" si="108"/>
        <v>PpoCode_radioactiveMaterial</v>
      </c>
      <c r="B6953" s="409"/>
      <c r="C6953" s="416"/>
      <c r="D6953" s="198" t="s">
        <v>25289</v>
      </c>
      <c r="E6953" s="198">
        <v>90</v>
      </c>
      <c r="F6953" s="199" t="s">
        <v>25290</v>
      </c>
      <c r="G6953" s="1" t="s">
        <v>25291</v>
      </c>
      <c r="H6953" s="200"/>
      <c r="I6953" s="346"/>
      <c r="J6953" s="39">
        <v>106550</v>
      </c>
      <c r="K6953" s="36" t="str">
        <f>CONCATENATE(Cover!$D$6,"fdd/view?i=",J6953)</f>
        <v>https://www.dgiwg.org/FAD/fdd/view?i=106550</v>
      </c>
      <c r="L6953" s="36" t="s">
        <v>43695</v>
      </c>
      <c r="M6953" s="186"/>
      <c r="N6953" s="186"/>
      <c r="O6953" s="172"/>
    </row>
    <row r="6954" spans="1:15" ht="25.5" x14ac:dyDescent="0.2">
      <c r="A6954" s="197" t="str">
        <f t="shared" si="108"/>
        <v>PpoCode_radiolaria</v>
      </c>
      <c r="B6954" s="409"/>
      <c r="C6954" s="416"/>
      <c r="D6954" s="198" t="s">
        <v>43696</v>
      </c>
      <c r="E6954" s="198">
        <v>135</v>
      </c>
      <c r="F6954" s="199" t="s">
        <v>43697</v>
      </c>
      <c r="G6954" s="1" t="s">
        <v>43698</v>
      </c>
      <c r="H6954" s="200"/>
      <c r="I6954" s="346"/>
      <c r="J6954" s="39">
        <v>106595</v>
      </c>
      <c r="K6954" s="36" t="str">
        <f>CONCATENATE(Cover!$D$6,"fdd/view?i=",J6954)</f>
        <v>https://www.dgiwg.org/FAD/fdd/view?i=106595</v>
      </c>
      <c r="L6954" s="36" t="s">
        <v>43699</v>
      </c>
      <c r="M6954" s="186"/>
      <c r="N6954" s="186"/>
      <c r="O6954" s="172"/>
    </row>
    <row r="6955" spans="1:15" ht="25.5" x14ac:dyDescent="0.2">
      <c r="A6955" s="197" t="str">
        <f t="shared" si="108"/>
        <v>PpoCode_reinforcedConcrete</v>
      </c>
      <c r="B6955" s="409"/>
      <c r="C6955" s="416"/>
      <c r="D6955" s="198" t="s">
        <v>24173</v>
      </c>
      <c r="E6955" s="198">
        <v>91</v>
      </c>
      <c r="F6955" s="199" t="s">
        <v>24174</v>
      </c>
      <c r="G6955" s="1" t="s">
        <v>24175</v>
      </c>
      <c r="H6955" s="200"/>
      <c r="I6955" s="351" t="s">
        <v>24176</v>
      </c>
      <c r="J6955" s="39">
        <v>106551</v>
      </c>
      <c r="K6955" s="36" t="str">
        <f>CONCATENATE(Cover!$D$6,"fdd/view?i=",J6955)</f>
        <v>https://www.dgiwg.org/FAD/fdd/view?i=106551</v>
      </c>
      <c r="L6955" s="36" t="s">
        <v>43700</v>
      </c>
      <c r="M6955" s="186"/>
      <c r="N6955" s="186"/>
      <c r="O6955" s="172"/>
    </row>
    <row r="6956" spans="1:15" x14ac:dyDescent="0.2">
      <c r="A6956" s="197" t="str">
        <f t="shared" si="108"/>
        <v>PpoCode_rice</v>
      </c>
      <c r="B6956" s="409"/>
      <c r="C6956" s="416"/>
      <c r="D6956" s="198" t="s">
        <v>27493</v>
      </c>
      <c r="E6956" s="198">
        <v>92</v>
      </c>
      <c r="F6956" s="199" t="s">
        <v>27494</v>
      </c>
      <c r="G6956" s="1" t="s">
        <v>27495</v>
      </c>
      <c r="H6956" s="200"/>
      <c r="I6956" s="346"/>
      <c r="J6956" s="39">
        <v>106552</v>
      </c>
      <c r="K6956" s="36" t="str">
        <f>CONCATENATE(Cover!$D$6,"fdd/view?i=",J6956)</f>
        <v>https://www.dgiwg.org/FAD/fdd/view?i=106552</v>
      </c>
      <c r="L6956" s="36" t="s">
        <v>43701</v>
      </c>
      <c r="M6956" s="186"/>
      <c r="N6956" s="186"/>
      <c r="O6956" s="172"/>
    </row>
    <row r="6957" spans="1:15" x14ac:dyDescent="0.2">
      <c r="A6957" s="197" t="str">
        <f t="shared" si="108"/>
        <v>PpoCode_rock</v>
      </c>
      <c r="B6957" s="409"/>
      <c r="C6957" s="416"/>
      <c r="D6957" s="198" t="s">
        <v>27993</v>
      </c>
      <c r="E6957" s="198">
        <v>93</v>
      </c>
      <c r="F6957" s="199" t="s">
        <v>27994</v>
      </c>
      <c r="G6957" s="1" t="s">
        <v>43702</v>
      </c>
      <c r="H6957" s="200"/>
      <c r="I6957" s="346"/>
      <c r="J6957" s="39">
        <v>106553</v>
      </c>
      <c r="K6957" s="36" t="str">
        <f>CONCATENATE(Cover!$D$6,"fdd/view?i=",J6957)</f>
        <v>https://www.dgiwg.org/FAD/fdd/view?i=106553</v>
      </c>
      <c r="L6957" s="36" t="s">
        <v>43703</v>
      </c>
      <c r="M6957" s="186"/>
      <c r="N6957" s="186"/>
      <c r="O6957" s="172"/>
    </row>
    <row r="6958" spans="1:15" ht="25.5" x14ac:dyDescent="0.2">
      <c r="A6958" s="197" t="str">
        <f t="shared" si="108"/>
        <v>PpoCode_roofShingle</v>
      </c>
      <c r="B6958" s="409"/>
      <c r="C6958" s="416"/>
      <c r="D6958" s="198" t="s">
        <v>43704</v>
      </c>
      <c r="E6958" s="198">
        <v>103</v>
      </c>
      <c r="F6958" s="199" t="s">
        <v>43705</v>
      </c>
      <c r="G6958" s="1" t="s">
        <v>43706</v>
      </c>
      <c r="H6958" s="1" t="s">
        <v>43707</v>
      </c>
      <c r="I6958" s="346"/>
      <c r="J6958" s="39">
        <v>106563</v>
      </c>
      <c r="K6958" s="36" t="str">
        <f>CONCATENATE(Cover!$D$6,"fdd/view?i=",J6958)</f>
        <v>https://www.dgiwg.org/FAD/fdd/view?i=106563</v>
      </c>
      <c r="L6958" s="36" t="s">
        <v>43708</v>
      </c>
      <c r="M6958" s="186"/>
      <c r="N6958" s="186"/>
      <c r="O6958" s="172"/>
    </row>
    <row r="6959" spans="1:15" ht="51" x14ac:dyDescent="0.2">
      <c r="A6959" s="197" t="str">
        <f t="shared" si="108"/>
        <v>PpoCode_rubber</v>
      </c>
      <c r="B6959" s="409"/>
      <c r="C6959" s="416"/>
      <c r="D6959" s="198" t="s">
        <v>27502</v>
      </c>
      <c r="E6959" s="198">
        <v>94</v>
      </c>
      <c r="F6959" s="199" t="s">
        <v>27503</v>
      </c>
      <c r="G6959" s="1" t="s">
        <v>43709</v>
      </c>
      <c r="H6959" s="1" t="s">
        <v>43710</v>
      </c>
      <c r="I6959" s="346"/>
      <c r="J6959" s="39">
        <v>106554</v>
      </c>
      <c r="K6959" s="36" t="str">
        <f>CONCATENATE(Cover!$D$6,"fdd/view?i=",J6959)</f>
        <v>https://www.dgiwg.org/FAD/fdd/view?i=106554</v>
      </c>
      <c r="L6959" s="36" t="s">
        <v>43711</v>
      </c>
      <c r="M6959" s="186"/>
      <c r="N6959" s="186"/>
      <c r="O6959" s="172"/>
    </row>
    <row r="6960" spans="1:15" ht="38.25" x14ac:dyDescent="0.2">
      <c r="A6960" s="197" t="str">
        <f t="shared" si="108"/>
        <v>PpoCode_salt</v>
      </c>
      <c r="B6960" s="409"/>
      <c r="C6960" s="416"/>
      <c r="D6960" s="198" t="s">
        <v>27998</v>
      </c>
      <c r="E6960" s="198">
        <v>95</v>
      </c>
      <c r="F6960" s="199" t="s">
        <v>27999</v>
      </c>
      <c r="G6960" s="1" t="s">
        <v>43712</v>
      </c>
      <c r="H6960" s="1" t="s">
        <v>43713</v>
      </c>
      <c r="I6960" s="346"/>
      <c r="J6960" s="39">
        <v>106555</v>
      </c>
      <c r="K6960" s="36" t="str">
        <f>CONCATENATE(Cover!$D$6,"fdd/view?i=",J6960)</f>
        <v>https://www.dgiwg.org/FAD/fdd/view?i=106555</v>
      </c>
      <c r="L6960" s="36" t="s">
        <v>43714</v>
      </c>
      <c r="M6960" s="186"/>
      <c r="N6960" s="186"/>
      <c r="O6960" s="172"/>
    </row>
    <row r="6961" spans="1:15" ht="76.5" x14ac:dyDescent="0.2">
      <c r="A6961" s="197" t="str">
        <f t="shared" si="108"/>
        <v>PpoCode_sand</v>
      </c>
      <c r="B6961" s="409"/>
      <c r="C6961" s="416"/>
      <c r="D6961" s="198" t="s">
        <v>19594</v>
      </c>
      <c r="E6961" s="198">
        <v>96</v>
      </c>
      <c r="F6961" s="199" t="s">
        <v>19595</v>
      </c>
      <c r="G6961" s="1" t="s">
        <v>24183</v>
      </c>
      <c r="H6961" s="1" t="s">
        <v>24184</v>
      </c>
      <c r="I6961" s="346"/>
      <c r="J6961" s="39">
        <v>106556</v>
      </c>
      <c r="K6961" s="36" t="str">
        <f>CONCATENATE(Cover!$D$6,"fdd/view?i=",J6961)</f>
        <v>https://www.dgiwg.org/FAD/fdd/view?i=106556</v>
      </c>
      <c r="L6961" s="36" t="s">
        <v>43715</v>
      </c>
      <c r="M6961" s="186"/>
      <c r="N6961" s="186"/>
      <c r="O6961" s="172"/>
    </row>
    <row r="6962" spans="1:15" ht="38.25" x14ac:dyDescent="0.2">
      <c r="A6962" s="197" t="str">
        <f t="shared" si="108"/>
        <v>PpoCode_sandstone</v>
      </c>
      <c r="B6962" s="409"/>
      <c r="C6962" s="416"/>
      <c r="D6962" s="198" t="s">
        <v>22358</v>
      </c>
      <c r="E6962" s="198">
        <v>97</v>
      </c>
      <c r="F6962" s="199" t="s">
        <v>22359</v>
      </c>
      <c r="G6962" s="1" t="s">
        <v>43716</v>
      </c>
      <c r="H6962" s="1" t="s">
        <v>43717</v>
      </c>
      <c r="I6962" s="346"/>
      <c r="J6962" s="39">
        <v>106557</v>
      </c>
      <c r="K6962" s="36" t="str">
        <f>CONCATENATE(Cover!$D$6,"fdd/view?i=",J6962)</f>
        <v>https://www.dgiwg.org/FAD/fdd/view?i=106557</v>
      </c>
      <c r="L6962" s="36" t="s">
        <v>43718</v>
      </c>
      <c r="M6962" s="186"/>
      <c r="N6962" s="186"/>
      <c r="O6962" s="172"/>
    </row>
    <row r="6963" spans="1:15" ht="38.25" x14ac:dyDescent="0.2">
      <c r="A6963" s="197" t="str">
        <f t="shared" si="108"/>
        <v>PpoCode_schist</v>
      </c>
      <c r="B6963" s="409"/>
      <c r="C6963" s="416"/>
      <c r="D6963" s="198" t="s">
        <v>22363</v>
      </c>
      <c r="E6963" s="198">
        <v>98</v>
      </c>
      <c r="F6963" s="199" t="s">
        <v>22364</v>
      </c>
      <c r="G6963" s="1" t="s">
        <v>43719</v>
      </c>
      <c r="H6963" s="1" t="s">
        <v>43720</v>
      </c>
      <c r="I6963" s="346"/>
      <c r="J6963" s="39">
        <v>106558</v>
      </c>
      <c r="K6963" s="36" t="str">
        <f>CONCATENATE(Cover!$D$6,"fdd/view?i=",J6963)</f>
        <v>https://www.dgiwg.org/FAD/fdd/view?i=106558</v>
      </c>
      <c r="L6963" s="36" t="s">
        <v>43721</v>
      </c>
      <c r="M6963" s="186"/>
      <c r="N6963" s="186"/>
      <c r="O6963" s="172"/>
    </row>
    <row r="6964" spans="1:15" ht="38.25" x14ac:dyDescent="0.2">
      <c r="A6964" s="197" t="str">
        <f t="shared" si="108"/>
        <v>PpoCode_scoria</v>
      </c>
      <c r="B6964" s="409"/>
      <c r="C6964" s="416"/>
      <c r="D6964" s="198" t="s">
        <v>43722</v>
      </c>
      <c r="E6964" s="198">
        <v>99</v>
      </c>
      <c r="F6964" s="199" t="s">
        <v>43723</v>
      </c>
      <c r="G6964" s="1" t="s">
        <v>43724</v>
      </c>
      <c r="H6964" s="1" t="s">
        <v>43725</v>
      </c>
      <c r="I6964" s="346"/>
      <c r="J6964" s="39">
        <v>106559</v>
      </c>
      <c r="K6964" s="36" t="str">
        <f>CONCATENATE(Cover!$D$6,"fdd/view?i=",J6964)</f>
        <v>https://www.dgiwg.org/FAD/fdd/view?i=106559</v>
      </c>
      <c r="L6964" s="36" t="s">
        <v>43726</v>
      </c>
      <c r="M6964" s="186"/>
      <c r="N6964" s="186"/>
      <c r="O6964" s="172"/>
    </row>
    <row r="6965" spans="1:15" ht="25.5" x14ac:dyDescent="0.2">
      <c r="A6965" s="197" t="str">
        <f t="shared" si="108"/>
        <v>PpoCode_seaMoss</v>
      </c>
      <c r="B6965" s="409"/>
      <c r="C6965" s="416"/>
      <c r="D6965" s="198" t="s">
        <v>43727</v>
      </c>
      <c r="E6965" s="198">
        <v>134</v>
      </c>
      <c r="F6965" s="199" t="s">
        <v>43728</v>
      </c>
      <c r="G6965" s="1" t="s">
        <v>43729</v>
      </c>
      <c r="H6965" s="200"/>
      <c r="I6965" s="346"/>
      <c r="J6965" s="39">
        <v>106594</v>
      </c>
      <c r="K6965" s="36" t="str">
        <f>CONCATENATE(Cover!$D$6,"fdd/view?i=",J6965)</f>
        <v>https://www.dgiwg.org/FAD/fdd/view?i=106594</v>
      </c>
      <c r="L6965" s="36" t="s">
        <v>43730</v>
      </c>
      <c r="M6965" s="186"/>
      <c r="N6965" s="186"/>
      <c r="O6965" s="172"/>
    </row>
    <row r="6966" spans="1:15" x14ac:dyDescent="0.2">
      <c r="A6966" s="197" t="str">
        <f t="shared" si="108"/>
        <v>PpoCode_sewage</v>
      </c>
      <c r="B6966" s="409"/>
      <c r="C6966" s="416"/>
      <c r="D6966" s="198" t="s">
        <v>16566</v>
      </c>
      <c r="E6966" s="198">
        <v>101</v>
      </c>
      <c r="F6966" s="199" t="s">
        <v>16567</v>
      </c>
      <c r="G6966" s="1" t="s">
        <v>25310</v>
      </c>
      <c r="H6966" s="200"/>
      <c r="I6966" s="346"/>
      <c r="J6966" s="39">
        <v>106561</v>
      </c>
      <c r="K6966" s="36" t="str">
        <f>CONCATENATE(Cover!$D$6,"fdd/view?i=",J6966)</f>
        <v>https://www.dgiwg.org/FAD/fdd/view?i=106561</v>
      </c>
      <c r="L6966" s="36" t="s">
        <v>43731</v>
      </c>
      <c r="M6966" s="186"/>
      <c r="N6966" s="186"/>
      <c r="O6966" s="172"/>
    </row>
    <row r="6967" spans="1:15" ht="25.5" x14ac:dyDescent="0.2">
      <c r="A6967" s="197" t="str">
        <f t="shared" si="108"/>
        <v>PpoCode_shell</v>
      </c>
      <c r="B6967" s="409"/>
      <c r="C6967" s="416"/>
      <c r="D6967" s="198" t="s">
        <v>37482</v>
      </c>
      <c r="E6967" s="198">
        <v>102</v>
      </c>
      <c r="F6967" s="199" t="s">
        <v>37483</v>
      </c>
      <c r="G6967" s="1" t="s">
        <v>43732</v>
      </c>
      <c r="H6967" s="200"/>
      <c r="I6967" s="346"/>
      <c r="J6967" s="39">
        <v>106562</v>
      </c>
      <c r="K6967" s="36" t="str">
        <f>CONCATENATE(Cover!$D$6,"fdd/view?i=",J6967)</f>
        <v>https://www.dgiwg.org/FAD/fdd/view?i=106562</v>
      </c>
      <c r="L6967" s="36" t="s">
        <v>43733</v>
      </c>
      <c r="M6967" s="186"/>
      <c r="N6967" s="186"/>
      <c r="O6967" s="172"/>
    </row>
    <row r="6968" spans="1:15" ht="38.25" x14ac:dyDescent="0.2">
      <c r="A6968" s="197" t="str">
        <f t="shared" si="108"/>
        <v>PpoCode_silk</v>
      </c>
      <c r="B6968" s="409"/>
      <c r="C6968" s="416"/>
      <c r="D6968" s="198" t="s">
        <v>43734</v>
      </c>
      <c r="E6968" s="198">
        <v>104</v>
      </c>
      <c r="F6968" s="199" t="s">
        <v>43735</v>
      </c>
      <c r="G6968" s="1" t="s">
        <v>43736</v>
      </c>
      <c r="H6968" s="1" t="s">
        <v>43737</v>
      </c>
      <c r="I6968" s="346"/>
      <c r="J6968" s="39">
        <v>106564</v>
      </c>
      <c r="K6968" s="36" t="str">
        <f>CONCATENATE(Cover!$D$6,"fdd/view?i=",J6968)</f>
        <v>https://www.dgiwg.org/FAD/fdd/view?i=106564</v>
      </c>
      <c r="L6968" s="36" t="s">
        <v>43738</v>
      </c>
      <c r="M6968" s="186"/>
      <c r="N6968" s="186"/>
      <c r="O6968" s="172"/>
    </row>
    <row r="6969" spans="1:15" ht="38.25" x14ac:dyDescent="0.2">
      <c r="A6969" s="197" t="str">
        <f t="shared" si="108"/>
        <v>PpoCode_silver</v>
      </c>
      <c r="B6969" s="409"/>
      <c r="C6969" s="416"/>
      <c r="D6969" s="198" t="s">
        <v>25871</v>
      </c>
      <c r="E6969" s="198">
        <v>105</v>
      </c>
      <c r="F6969" s="199" t="s">
        <v>43029</v>
      </c>
      <c r="G6969" s="1" t="s">
        <v>43739</v>
      </c>
      <c r="H6969" s="200"/>
      <c r="I6969" s="346"/>
      <c r="J6969" s="39">
        <v>106565</v>
      </c>
      <c r="K6969" s="36" t="str">
        <f>CONCATENATE(Cover!$D$6,"fdd/view?i=",J6969)</f>
        <v>https://www.dgiwg.org/FAD/fdd/view?i=106565</v>
      </c>
      <c r="L6969" s="36" t="s">
        <v>43740</v>
      </c>
      <c r="M6969" s="186"/>
      <c r="N6969" s="186"/>
      <c r="O6969" s="172"/>
    </row>
    <row r="6970" spans="1:15" ht="51" x14ac:dyDescent="0.2">
      <c r="A6970" s="197" t="str">
        <f t="shared" si="108"/>
        <v>PpoCode_slate</v>
      </c>
      <c r="B6970" s="409"/>
      <c r="C6970" s="416"/>
      <c r="D6970" s="198" t="s">
        <v>43741</v>
      </c>
      <c r="E6970" s="198">
        <v>143</v>
      </c>
      <c r="F6970" s="199" t="s">
        <v>43742</v>
      </c>
      <c r="G6970" s="1" t="s">
        <v>43743</v>
      </c>
      <c r="H6970" s="1" t="s">
        <v>43744</v>
      </c>
      <c r="I6970" s="346"/>
      <c r="J6970" s="39">
        <v>108641</v>
      </c>
      <c r="K6970" s="36" t="str">
        <f>CONCATENATE(Cover!$D$6,"fdd/view?i=",J6970)</f>
        <v>https://www.dgiwg.org/FAD/fdd/view?i=108641</v>
      </c>
      <c r="L6970" s="36" t="s">
        <v>43745</v>
      </c>
      <c r="M6970" s="186"/>
      <c r="N6970" s="186"/>
      <c r="O6970" s="172"/>
    </row>
    <row r="6971" spans="1:15" x14ac:dyDescent="0.2">
      <c r="A6971" s="197" t="str">
        <f t="shared" si="108"/>
        <v>PpoCode_snow</v>
      </c>
      <c r="B6971" s="409"/>
      <c r="C6971" s="416"/>
      <c r="D6971" s="198" t="s">
        <v>19598</v>
      </c>
      <c r="E6971" s="198">
        <v>106</v>
      </c>
      <c r="F6971" s="199" t="s">
        <v>19599</v>
      </c>
      <c r="G6971" s="1" t="s">
        <v>43746</v>
      </c>
      <c r="H6971" s="1" t="s">
        <v>43747</v>
      </c>
      <c r="I6971" s="346"/>
      <c r="J6971" s="39">
        <v>106566</v>
      </c>
      <c r="K6971" s="36" t="str">
        <f>CONCATENATE(Cover!$D$6,"fdd/view?i=",J6971)</f>
        <v>https://www.dgiwg.org/FAD/fdd/view?i=106566</v>
      </c>
      <c r="L6971" s="36" t="s">
        <v>43748</v>
      </c>
      <c r="M6971" s="186"/>
      <c r="N6971" s="186"/>
      <c r="O6971" s="172"/>
    </row>
    <row r="6972" spans="1:15" ht="38.25" x14ac:dyDescent="0.2">
      <c r="A6972" s="197" t="str">
        <f t="shared" si="108"/>
        <v>PpoCode_soil</v>
      </c>
      <c r="B6972" s="409"/>
      <c r="C6972" s="416"/>
      <c r="D6972" s="198" t="s">
        <v>24205</v>
      </c>
      <c r="E6972" s="198">
        <v>107</v>
      </c>
      <c r="F6972" s="199" t="s">
        <v>24206</v>
      </c>
      <c r="G6972" s="1" t="s">
        <v>24207</v>
      </c>
      <c r="H6972" s="200"/>
      <c r="I6972" s="346"/>
      <c r="J6972" s="39">
        <v>106567</v>
      </c>
      <c r="K6972" s="36" t="str">
        <f>CONCATENATE(Cover!$D$6,"fdd/view?i=",J6972)</f>
        <v>https://www.dgiwg.org/FAD/fdd/view?i=106567</v>
      </c>
      <c r="L6972" s="36" t="s">
        <v>43749</v>
      </c>
      <c r="M6972" s="186"/>
      <c r="N6972" s="186"/>
      <c r="O6972" s="172"/>
    </row>
    <row r="6973" spans="1:15" ht="38.25" x14ac:dyDescent="0.2">
      <c r="A6973" s="197" t="str">
        <f t="shared" si="108"/>
        <v>PpoCode_sponge</v>
      </c>
      <c r="B6973" s="409"/>
      <c r="C6973" s="416"/>
      <c r="D6973" s="198" t="s">
        <v>43750</v>
      </c>
      <c r="E6973" s="198">
        <v>108</v>
      </c>
      <c r="F6973" s="199" t="s">
        <v>43751</v>
      </c>
      <c r="G6973" s="1" t="s">
        <v>43752</v>
      </c>
      <c r="H6973" s="200"/>
      <c r="I6973" s="346"/>
      <c r="J6973" s="39">
        <v>106568</v>
      </c>
      <c r="K6973" s="36" t="str">
        <f>CONCATENATE(Cover!$D$6,"fdd/view?i=",J6973)</f>
        <v>https://www.dgiwg.org/FAD/fdd/view?i=106568</v>
      </c>
      <c r="L6973" s="36" t="s">
        <v>43753</v>
      </c>
      <c r="M6973" s="186"/>
      <c r="N6973" s="186"/>
      <c r="O6973" s="172"/>
    </row>
    <row r="6974" spans="1:15" ht="38.25" x14ac:dyDescent="0.2">
      <c r="A6974" s="197" t="str">
        <f t="shared" si="108"/>
        <v>PpoCode_steel</v>
      </c>
      <c r="B6974" s="409"/>
      <c r="C6974" s="416"/>
      <c r="D6974" s="198" t="s">
        <v>43754</v>
      </c>
      <c r="E6974" s="198">
        <v>109</v>
      </c>
      <c r="F6974" s="199" t="s">
        <v>43755</v>
      </c>
      <c r="G6974" s="1" t="s">
        <v>43756</v>
      </c>
      <c r="H6974" s="1" t="s">
        <v>43757</v>
      </c>
      <c r="I6974" s="346"/>
      <c r="J6974" s="39">
        <v>106569</v>
      </c>
      <c r="K6974" s="36" t="str">
        <f>CONCATENATE(Cover!$D$6,"fdd/view?i=",J6974)</f>
        <v>https://www.dgiwg.org/FAD/fdd/view?i=106569</v>
      </c>
      <c r="L6974" s="36" t="s">
        <v>43758</v>
      </c>
      <c r="M6974" s="186"/>
      <c r="N6974" s="186"/>
      <c r="O6974" s="172"/>
    </row>
    <row r="6975" spans="1:15" ht="38.25" x14ac:dyDescent="0.2">
      <c r="A6975" s="197" t="str">
        <f t="shared" si="108"/>
        <v>PpoCode_stone</v>
      </c>
      <c r="B6975" s="409"/>
      <c r="C6975" s="416"/>
      <c r="D6975" s="198" t="s">
        <v>19602</v>
      </c>
      <c r="E6975" s="198">
        <v>110</v>
      </c>
      <c r="F6975" s="199" t="s">
        <v>19603</v>
      </c>
      <c r="G6975" s="1" t="s">
        <v>43759</v>
      </c>
      <c r="H6975" s="1" t="s">
        <v>43760</v>
      </c>
      <c r="I6975" s="346"/>
      <c r="J6975" s="39">
        <v>106570</v>
      </c>
      <c r="K6975" s="36" t="str">
        <f>CONCATENATE(Cover!$D$6,"fdd/view?i=",J6975)</f>
        <v>https://www.dgiwg.org/FAD/fdd/view?i=106570</v>
      </c>
      <c r="L6975" s="36" t="s">
        <v>43761</v>
      </c>
      <c r="M6975" s="186"/>
      <c r="N6975" s="186"/>
      <c r="O6975" s="172"/>
    </row>
    <row r="6976" spans="1:15" ht="38.25" x14ac:dyDescent="0.2">
      <c r="A6976" s="197" t="str">
        <f t="shared" si="108"/>
        <v>PpoCode_straw</v>
      </c>
      <c r="B6976" s="409"/>
      <c r="C6976" s="416"/>
      <c r="D6976" s="198" t="s">
        <v>43762</v>
      </c>
      <c r="E6976" s="198">
        <v>144</v>
      </c>
      <c r="F6976" s="199" t="s">
        <v>43763</v>
      </c>
      <c r="G6976" s="1" t="s">
        <v>43764</v>
      </c>
      <c r="H6976" s="1" t="s">
        <v>43765</v>
      </c>
      <c r="I6976" s="346"/>
      <c r="J6976" s="39">
        <v>108642</v>
      </c>
      <c r="K6976" s="36" t="str">
        <f>CONCATENATE(Cover!$D$6,"fdd/view?i=",J6976)</f>
        <v>https://www.dgiwg.org/FAD/fdd/view?i=108642</v>
      </c>
      <c r="L6976" s="36" t="s">
        <v>43766</v>
      </c>
      <c r="M6976" s="186"/>
      <c r="N6976" s="186"/>
      <c r="O6976" s="172"/>
    </row>
    <row r="6977" spans="1:15" ht="63.75" x14ac:dyDescent="0.2">
      <c r="A6977" s="197" t="str">
        <f t="shared" si="108"/>
        <v>PpoCode_sugar</v>
      </c>
      <c r="B6977" s="409"/>
      <c r="C6977" s="416"/>
      <c r="D6977" s="198" t="s">
        <v>43767</v>
      </c>
      <c r="E6977" s="198">
        <v>111</v>
      </c>
      <c r="F6977" s="199" t="s">
        <v>43768</v>
      </c>
      <c r="G6977" s="1" t="s">
        <v>43769</v>
      </c>
      <c r="H6977" s="1" t="s">
        <v>43770</v>
      </c>
      <c r="I6977" s="346"/>
      <c r="J6977" s="39">
        <v>106571</v>
      </c>
      <c r="K6977" s="36" t="str">
        <f>CONCATENATE(Cover!$D$6,"fdd/view?i=",J6977)</f>
        <v>https://www.dgiwg.org/FAD/fdd/view?i=106571</v>
      </c>
      <c r="L6977" s="36" t="s">
        <v>43771</v>
      </c>
      <c r="M6977" s="186"/>
      <c r="N6977" s="186"/>
      <c r="O6977" s="172"/>
    </row>
    <row r="6978" spans="1:15" ht="38.25" x14ac:dyDescent="0.2">
      <c r="A6978" s="197" t="str">
        <f t="shared" ref="A6978:A7041" si="109">HYPERLINK(K6978,L6978)</f>
        <v>PpoCode_talc</v>
      </c>
      <c r="B6978" s="409"/>
      <c r="C6978" s="416"/>
      <c r="D6978" s="198" t="s">
        <v>35495</v>
      </c>
      <c r="E6978" s="198">
        <v>112</v>
      </c>
      <c r="F6978" s="199" t="s">
        <v>35496</v>
      </c>
      <c r="G6978" s="1" t="s">
        <v>43772</v>
      </c>
      <c r="H6978" s="200"/>
      <c r="I6978" s="346"/>
      <c r="J6978" s="39">
        <v>106572</v>
      </c>
      <c r="K6978" s="36" t="str">
        <f>CONCATENATE(Cover!$D$6,"fdd/view?i=",J6978)</f>
        <v>https://www.dgiwg.org/FAD/fdd/view?i=106572</v>
      </c>
      <c r="L6978" s="36" t="s">
        <v>43773</v>
      </c>
      <c r="M6978" s="186"/>
      <c r="N6978" s="186"/>
      <c r="O6978" s="172"/>
    </row>
    <row r="6979" spans="1:15" ht="25.5" x14ac:dyDescent="0.2">
      <c r="A6979" s="197" t="str">
        <f t="shared" si="109"/>
        <v>PpoCode_textile</v>
      </c>
      <c r="B6979" s="409"/>
      <c r="C6979" s="416"/>
      <c r="D6979" s="198" t="s">
        <v>43774</v>
      </c>
      <c r="E6979" s="198">
        <v>114</v>
      </c>
      <c r="F6979" s="199" t="s">
        <v>43775</v>
      </c>
      <c r="G6979" s="1" t="s">
        <v>43776</v>
      </c>
      <c r="H6979" s="200"/>
      <c r="I6979" s="346"/>
      <c r="J6979" s="39">
        <v>106574</v>
      </c>
      <c r="K6979" s="36" t="str">
        <f>CONCATENATE(Cover!$D$6,"fdd/view?i=",J6979)</f>
        <v>https://www.dgiwg.org/FAD/fdd/view?i=106574</v>
      </c>
      <c r="L6979" s="36" t="s">
        <v>43777</v>
      </c>
      <c r="M6979" s="186"/>
      <c r="N6979" s="186"/>
      <c r="O6979" s="172"/>
    </row>
    <row r="6980" spans="1:15" ht="25.5" x14ac:dyDescent="0.2">
      <c r="A6980" s="197" t="str">
        <f t="shared" si="109"/>
        <v>PpoCode_thatch</v>
      </c>
      <c r="B6980" s="409"/>
      <c r="C6980" s="416"/>
      <c r="D6980" s="198" t="s">
        <v>43778</v>
      </c>
      <c r="E6980" s="198">
        <v>115</v>
      </c>
      <c r="F6980" s="199" t="s">
        <v>43779</v>
      </c>
      <c r="G6980" s="1" t="s">
        <v>43780</v>
      </c>
      <c r="H6980" s="200"/>
      <c r="I6980" s="346"/>
      <c r="J6980" s="39">
        <v>106575</v>
      </c>
      <c r="K6980" s="36" t="str">
        <f>CONCATENATE(Cover!$D$6,"fdd/view?i=",J6980)</f>
        <v>https://www.dgiwg.org/FAD/fdd/view?i=106575</v>
      </c>
      <c r="L6980" s="36" t="s">
        <v>43781</v>
      </c>
      <c r="M6980" s="186"/>
      <c r="N6980" s="186"/>
      <c r="O6980" s="172"/>
    </row>
    <row r="6981" spans="1:15" ht="25.5" x14ac:dyDescent="0.2">
      <c r="A6981" s="197" t="str">
        <f t="shared" si="109"/>
        <v>PpoCode_timber</v>
      </c>
      <c r="B6981" s="409"/>
      <c r="C6981" s="416"/>
      <c r="D6981" s="198" t="s">
        <v>27602</v>
      </c>
      <c r="E6981" s="198">
        <v>116</v>
      </c>
      <c r="F6981" s="199" t="s">
        <v>27603</v>
      </c>
      <c r="G6981" s="1" t="s">
        <v>43782</v>
      </c>
      <c r="H6981" s="200"/>
      <c r="I6981" s="346"/>
      <c r="J6981" s="39">
        <v>106576</v>
      </c>
      <c r="K6981" s="36" t="str">
        <f>CONCATENATE(Cover!$D$6,"fdd/view?i=",J6981)</f>
        <v>https://www.dgiwg.org/FAD/fdd/view?i=106576</v>
      </c>
      <c r="L6981" s="36" t="s">
        <v>43783</v>
      </c>
      <c r="M6981" s="186"/>
      <c r="N6981" s="186"/>
      <c r="O6981" s="172"/>
    </row>
    <row r="6982" spans="1:15" ht="38.25" x14ac:dyDescent="0.2">
      <c r="A6982" s="197" t="str">
        <f t="shared" si="109"/>
        <v>PpoCode_tin</v>
      </c>
      <c r="B6982" s="409"/>
      <c r="C6982" s="416"/>
      <c r="D6982" s="198" t="s">
        <v>25909</v>
      </c>
      <c r="E6982" s="198">
        <v>153</v>
      </c>
      <c r="F6982" s="199" t="s">
        <v>43784</v>
      </c>
      <c r="G6982" s="1" t="s">
        <v>43785</v>
      </c>
      <c r="H6982" s="1" t="s">
        <v>43786</v>
      </c>
      <c r="I6982" s="346"/>
      <c r="J6982" s="39">
        <v>112776</v>
      </c>
      <c r="K6982" s="36" t="str">
        <f>CONCATENATE(Cover!$D$6,"fdd/view?i=",J6982)</f>
        <v>https://www.dgiwg.org/FAD/fdd/view?i=112776</v>
      </c>
      <c r="L6982" s="36" t="s">
        <v>43787</v>
      </c>
      <c r="M6982" s="186"/>
      <c r="N6982" s="186"/>
      <c r="O6982" s="172"/>
    </row>
    <row r="6983" spans="1:15" ht="38.25" x14ac:dyDescent="0.2">
      <c r="A6983" s="197" t="str">
        <f t="shared" si="109"/>
        <v>PpoCode_tobacco</v>
      </c>
      <c r="B6983" s="409"/>
      <c r="C6983" s="416"/>
      <c r="D6983" s="198" t="s">
        <v>27606</v>
      </c>
      <c r="E6983" s="198">
        <v>117</v>
      </c>
      <c r="F6983" s="199" t="s">
        <v>27607</v>
      </c>
      <c r="G6983" s="1" t="s">
        <v>43788</v>
      </c>
      <c r="H6983" s="1" t="s">
        <v>43789</v>
      </c>
      <c r="I6983" s="346"/>
      <c r="J6983" s="39">
        <v>106577</v>
      </c>
      <c r="K6983" s="36" t="str">
        <f>CONCATENATE(Cover!$D$6,"fdd/view?i=",J6983)</f>
        <v>https://www.dgiwg.org/FAD/fdd/view?i=106577</v>
      </c>
      <c r="L6983" s="36" t="s">
        <v>43790</v>
      </c>
      <c r="M6983" s="186"/>
      <c r="N6983" s="186"/>
      <c r="O6983" s="172"/>
    </row>
    <row r="6984" spans="1:15" ht="51" x14ac:dyDescent="0.2">
      <c r="A6984" s="197" t="str">
        <f t="shared" si="109"/>
        <v>PpoCode_travertine</v>
      </c>
      <c r="B6984" s="409"/>
      <c r="C6984" s="416"/>
      <c r="D6984" s="198" t="s">
        <v>43791</v>
      </c>
      <c r="E6984" s="198">
        <v>118</v>
      </c>
      <c r="F6984" s="199" t="s">
        <v>43792</v>
      </c>
      <c r="G6984" s="1" t="s">
        <v>43793</v>
      </c>
      <c r="H6984" s="1" t="s">
        <v>43794</v>
      </c>
      <c r="I6984" s="346"/>
      <c r="J6984" s="39">
        <v>106578</v>
      </c>
      <c r="K6984" s="36" t="str">
        <f>CONCATENATE(Cover!$D$6,"fdd/view?i=",J6984)</f>
        <v>https://www.dgiwg.org/FAD/fdd/view?i=106578</v>
      </c>
      <c r="L6984" s="36" t="s">
        <v>43795</v>
      </c>
      <c r="M6984" s="186"/>
      <c r="N6984" s="186"/>
      <c r="O6984" s="172"/>
    </row>
    <row r="6985" spans="1:15" ht="51" x14ac:dyDescent="0.2">
      <c r="A6985" s="197" t="str">
        <f t="shared" si="109"/>
        <v>PpoCode_tufa</v>
      </c>
      <c r="B6985" s="409"/>
      <c r="C6985" s="416"/>
      <c r="D6985" s="198" t="s">
        <v>43796</v>
      </c>
      <c r="E6985" s="198">
        <v>119</v>
      </c>
      <c r="F6985" s="199" t="s">
        <v>43797</v>
      </c>
      <c r="G6985" s="1" t="s">
        <v>43798</v>
      </c>
      <c r="H6985" s="1" t="s">
        <v>43799</v>
      </c>
      <c r="I6985" s="346"/>
      <c r="J6985" s="39">
        <v>106579</v>
      </c>
      <c r="K6985" s="36" t="str">
        <f>CONCATENATE(Cover!$D$6,"fdd/view?i=",J6985)</f>
        <v>https://www.dgiwg.org/FAD/fdd/view?i=106579</v>
      </c>
      <c r="L6985" s="36" t="s">
        <v>43800</v>
      </c>
      <c r="M6985" s="186"/>
      <c r="N6985" s="186"/>
      <c r="O6985" s="172"/>
    </row>
    <row r="6986" spans="1:15" ht="38.25" x14ac:dyDescent="0.2">
      <c r="A6986" s="197" t="str">
        <f t="shared" si="109"/>
        <v>PpoCode_uranium</v>
      </c>
      <c r="B6986" s="409"/>
      <c r="C6986" s="416"/>
      <c r="D6986" s="198" t="s">
        <v>25924</v>
      </c>
      <c r="E6986" s="198">
        <v>120</v>
      </c>
      <c r="F6986" s="199" t="s">
        <v>43801</v>
      </c>
      <c r="G6986" s="1" t="s">
        <v>43802</v>
      </c>
      <c r="H6986" s="1" t="s">
        <v>43803</v>
      </c>
      <c r="I6986" s="346"/>
      <c r="J6986" s="39">
        <v>106580</v>
      </c>
      <c r="K6986" s="36" t="str">
        <f>CONCATENATE(Cover!$D$6,"fdd/view?i=",J6986)</f>
        <v>https://www.dgiwg.org/FAD/fdd/view?i=106580</v>
      </c>
      <c r="L6986" s="36" t="s">
        <v>43804</v>
      </c>
      <c r="M6986" s="186"/>
      <c r="N6986" s="186"/>
      <c r="O6986" s="172"/>
    </row>
    <row r="6987" spans="1:15" ht="25.5" x14ac:dyDescent="0.2">
      <c r="A6987" s="197" t="str">
        <f t="shared" si="109"/>
        <v>PpoCode_vegetationProduct</v>
      </c>
      <c r="B6987" s="409"/>
      <c r="C6987" s="416"/>
      <c r="D6987" s="198" t="s">
        <v>43805</v>
      </c>
      <c r="E6987" s="198">
        <v>121</v>
      </c>
      <c r="F6987" s="199" t="s">
        <v>43806</v>
      </c>
      <c r="G6987" s="1" t="s">
        <v>43807</v>
      </c>
      <c r="H6987" s="1" t="s">
        <v>43808</v>
      </c>
      <c r="I6987" s="346"/>
      <c r="J6987" s="39">
        <v>106581</v>
      </c>
      <c r="K6987" s="36" t="str">
        <f>CONCATENATE(Cover!$D$6,"fdd/view?i=",J6987)</f>
        <v>https://www.dgiwg.org/FAD/fdd/view?i=106581</v>
      </c>
      <c r="L6987" s="36" t="s">
        <v>43809</v>
      </c>
      <c r="M6987" s="186"/>
      <c r="N6987" s="186"/>
      <c r="O6987" s="172"/>
    </row>
    <row r="6988" spans="1:15" ht="38.25" x14ac:dyDescent="0.2">
      <c r="A6988" s="197" t="str">
        <f t="shared" si="109"/>
        <v>PpoCode_water</v>
      </c>
      <c r="B6988" s="409"/>
      <c r="C6988" s="416"/>
      <c r="D6988" s="198" t="s">
        <v>19606</v>
      </c>
      <c r="E6988" s="198">
        <v>122</v>
      </c>
      <c r="F6988" s="199" t="s">
        <v>19607</v>
      </c>
      <c r="G6988" s="1" t="s">
        <v>23000</v>
      </c>
      <c r="H6988" s="1" t="s">
        <v>43810</v>
      </c>
      <c r="I6988" s="346"/>
      <c r="J6988" s="39">
        <v>106582</v>
      </c>
      <c r="K6988" s="36" t="str">
        <f>CONCATENATE(Cover!$D$6,"fdd/view?i=",J6988)</f>
        <v>https://www.dgiwg.org/FAD/fdd/view?i=106582</v>
      </c>
      <c r="L6988" s="36" t="s">
        <v>43811</v>
      </c>
      <c r="M6988" s="186"/>
      <c r="N6988" s="186"/>
      <c r="O6988" s="172"/>
    </row>
    <row r="6989" spans="1:15" ht="25.5" x14ac:dyDescent="0.2">
      <c r="A6989" s="197" t="str">
        <f t="shared" si="109"/>
        <v>PpoCode_whaleProducts</v>
      </c>
      <c r="B6989" s="409"/>
      <c r="C6989" s="416"/>
      <c r="D6989" s="198" t="s">
        <v>43812</v>
      </c>
      <c r="E6989" s="198">
        <v>156</v>
      </c>
      <c r="F6989" s="199" t="s">
        <v>43813</v>
      </c>
      <c r="G6989" s="1" t="s">
        <v>43814</v>
      </c>
      <c r="H6989" s="1" t="s">
        <v>43815</v>
      </c>
      <c r="I6989" s="346"/>
      <c r="J6989" s="39">
        <v>112779</v>
      </c>
      <c r="K6989" s="36" t="str">
        <f>CONCATENATE(Cover!$D$6,"fdd/view?i=",J6989)</f>
        <v>https://www.dgiwg.org/FAD/fdd/view?i=112779</v>
      </c>
      <c r="L6989" s="36" t="s">
        <v>43816</v>
      </c>
      <c r="M6989" s="186"/>
      <c r="N6989" s="186"/>
      <c r="O6989" s="172"/>
    </row>
    <row r="6990" spans="1:15" ht="38.25" x14ac:dyDescent="0.2">
      <c r="A6990" s="197" t="str">
        <f t="shared" si="109"/>
        <v>PpoCode_wine</v>
      </c>
      <c r="B6990" s="409"/>
      <c r="C6990" s="416"/>
      <c r="D6990" s="198" t="s">
        <v>43817</v>
      </c>
      <c r="E6990" s="198">
        <v>123</v>
      </c>
      <c r="F6990" s="199" t="s">
        <v>43818</v>
      </c>
      <c r="G6990" s="1" t="s">
        <v>43819</v>
      </c>
      <c r="H6990" s="1" t="s">
        <v>43820</v>
      </c>
      <c r="I6990" s="346"/>
      <c r="J6990" s="39">
        <v>106583</v>
      </c>
      <c r="K6990" s="36" t="str">
        <f>CONCATENATE(Cover!$D$6,"fdd/view?i=",J6990)</f>
        <v>https://www.dgiwg.org/FAD/fdd/view?i=106583</v>
      </c>
      <c r="L6990" s="36" t="s">
        <v>43821</v>
      </c>
      <c r="M6990" s="186"/>
      <c r="N6990" s="186"/>
      <c r="O6990" s="172"/>
    </row>
    <row r="6991" spans="1:15" ht="38.25" x14ac:dyDescent="0.2">
      <c r="A6991" s="197" t="str">
        <f t="shared" si="109"/>
        <v>PpoCode_wood</v>
      </c>
      <c r="B6991" s="409"/>
      <c r="C6991" s="416"/>
      <c r="D6991" s="198" t="s">
        <v>19610</v>
      </c>
      <c r="E6991" s="198">
        <v>124</v>
      </c>
      <c r="F6991" s="199" t="s">
        <v>5911</v>
      </c>
      <c r="G6991" s="1" t="s">
        <v>43822</v>
      </c>
      <c r="H6991" s="1" t="s">
        <v>43823</v>
      </c>
      <c r="I6991" s="346"/>
      <c r="J6991" s="39">
        <v>106584</v>
      </c>
      <c r="K6991" s="36" t="str">
        <f>CONCATENATE(Cover!$D$6,"fdd/view?i=",J6991)</f>
        <v>https://www.dgiwg.org/FAD/fdd/view?i=106584</v>
      </c>
      <c r="L6991" s="36" t="s">
        <v>43824</v>
      </c>
      <c r="M6991" s="186"/>
      <c r="N6991" s="186"/>
      <c r="O6991" s="172"/>
    </row>
    <row r="6992" spans="1:15" ht="25.5" x14ac:dyDescent="0.2">
      <c r="A6992" s="197" t="str">
        <f t="shared" si="109"/>
        <v>PpoCode_woodChips</v>
      </c>
      <c r="B6992" s="409"/>
      <c r="C6992" s="416"/>
      <c r="D6992" s="198" t="s">
        <v>25331</v>
      </c>
      <c r="E6992" s="198">
        <v>125</v>
      </c>
      <c r="F6992" s="199" t="s">
        <v>25332</v>
      </c>
      <c r="G6992" s="1" t="s">
        <v>25333</v>
      </c>
      <c r="H6992" s="1" t="s">
        <v>25334</v>
      </c>
      <c r="I6992" s="346"/>
      <c r="J6992" s="39">
        <v>106585</v>
      </c>
      <c r="K6992" s="36" t="str">
        <f>CONCATENATE(Cover!$D$6,"fdd/view?i=",J6992)</f>
        <v>https://www.dgiwg.org/FAD/fdd/view?i=106585</v>
      </c>
      <c r="L6992" s="36" t="s">
        <v>43825</v>
      </c>
      <c r="M6992" s="186"/>
      <c r="N6992" s="186"/>
      <c r="O6992" s="172"/>
    </row>
    <row r="6993" spans="1:15" ht="38.25" x14ac:dyDescent="0.2">
      <c r="A6993" s="203" t="str">
        <f t="shared" si="109"/>
        <v>PpoCode_zinc</v>
      </c>
      <c r="B6993" s="410"/>
      <c r="C6993" s="417"/>
      <c r="D6993" s="204" t="s">
        <v>25937</v>
      </c>
      <c r="E6993" s="204">
        <v>126</v>
      </c>
      <c r="F6993" s="205" t="s">
        <v>43826</v>
      </c>
      <c r="G6993" s="206" t="s">
        <v>43827</v>
      </c>
      <c r="H6993" s="206" t="s">
        <v>43828</v>
      </c>
      <c r="I6993" s="347"/>
      <c r="J6993" s="39">
        <v>106586</v>
      </c>
      <c r="K6993" s="36" t="str">
        <f>CONCATENATE(Cover!$D$6,"fdd/view?i=",J6993)</f>
        <v>https://www.dgiwg.org/FAD/fdd/view?i=106586</v>
      </c>
      <c r="L6993" s="36" t="s">
        <v>43829</v>
      </c>
      <c r="M6993" s="186"/>
      <c r="N6993" s="186"/>
      <c r="O6993" s="172"/>
    </row>
    <row r="6994" spans="1:15" x14ac:dyDescent="0.2">
      <c r="A6994" s="190" t="str">
        <f t="shared" si="109"/>
        <v>PneCode_climate</v>
      </c>
      <c r="B6994" s="414" t="str">
        <f>HYPERLINK("[#]Datatypes!A1187:L1187","PneCode")</f>
        <v>PneCode</v>
      </c>
      <c r="C6994" s="415" t="s">
        <v>15802</v>
      </c>
      <c r="D6994" s="221" t="s">
        <v>43830</v>
      </c>
      <c r="E6994" s="221">
        <v>2</v>
      </c>
      <c r="F6994" s="222" t="s">
        <v>43831</v>
      </c>
      <c r="G6994" s="223" t="s">
        <v>43832</v>
      </c>
      <c r="H6994" s="224"/>
      <c r="I6994" s="345"/>
      <c r="J6994" s="39">
        <v>113607</v>
      </c>
      <c r="K6994" s="36" t="str">
        <f>CONCATENATE(Cover!$D$6,"fdd/view?i=",J6994)</f>
        <v>https://www.dgiwg.org/FAD/fdd/view?i=113607</v>
      </c>
      <c r="L6994" s="36" t="s">
        <v>43833</v>
      </c>
      <c r="M6994" s="186"/>
      <c r="N6994" s="186"/>
      <c r="O6994" s="172"/>
    </row>
    <row r="6995" spans="1:15" x14ac:dyDescent="0.2">
      <c r="A6995" s="197" t="str">
        <f t="shared" si="109"/>
        <v>PneCode_habitat</v>
      </c>
      <c r="B6995" s="409"/>
      <c r="C6995" s="416"/>
      <c r="D6995" s="198" t="s">
        <v>43834</v>
      </c>
      <c r="E6995" s="198">
        <v>1</v>
      </c>
      <c r="F6995" s="199" t="s">
        <v>43835</v>
      </c>
      <c r="G6995" s="1" t="s">
        <v>43836</v>
      </c>
      <c r="H6995" s="200"/>
      <c r="I6995" s="346"/>
      <c r="J6995" s="39">
        <v>113606</v>
      </c>
      <c r="K6995" s="36" t="str">
        <f>CONCATENATE(Cover!$D$6,"fdd/view?i=",J6995)</f>
        <v>https://www.dgiwg.org/FAD/fdd/view?i=113606</v>
      </c>
      <c r="L6995" s="36" t="s">
        <v>43837</v>
      </c>
      <c r="M6995" s="186"/>
      <c r="N6995" s="186"/>
      <c r="O6995" s="172"/>
    </row>
    <row r="6996" spans="1:15" ht="25.5" x14ac:dyDescent="0.2">
      <c r="A6996" s="197" t="str">
        <f t="shared" si="109"/>
        <v>PneCode_soil</v>
      </c>
      <c r="B6996" s="409"/>
      <c r="C6996" s="416"/>
      <c r="D6996" s="198" t="s">
        <v>24205</v>
      </c>
      <c r="E6996" s="198">
        <v>3</v>
      </c>
      <c r="F6996" s="199" t="s">
        <v>24206</v>
      </c>
      <c r="G6996" s="1" t="s">
        <v>43838</v>
      </c>
      <c r="H6996" s="200"/>
      <c r="I6996" s="346"/>
      <c r="J6996" s="39">
        <v>113608</v>
      </c>
      <c r="K6996" s="36" t="str">
        <f>CONCATENATE(Cover!$D$6,"fdd/view?i=",J6996)</f>
        <v>https://www.dgiwg.org/FAD/fdd/view?i=113608</v>
      </c>
      <c r="L6996" s="36" t="s">
        <v>43839</v>
      </c>
      <c r="M6996" s="186"/>
      <c r="N6996" s="186"/>
      <c r="O6996" s="172"/>
    </row>
    <row r="6997" spans="1:15" x14ac:dyDescent="0.2">
      <c r="A6997" s="203" t="str">
        <f t="shared" si="109"/>
        <v>PneCode_water</v>
      </c>
      <c r="B6997" s="410"/>
      <c r="C6997" s="417"/>
      <c r="D6997" s="204" t="s">
        <v>19606</v>
      </c>
      <c r="E6997" s="204">
        <v>4</v>
      </c>
      <c r="F6997" s="205" t="s">
        <v>19607</v>
      </c>
      <c r="G6997" s="206" t="s">
        <v>43840</v>
      </c>
      <c r="H6997" s="207"/>
      <c r="I6997" s="347"/>
      <c r="J6997" s="39">
        <v>113609</v>
      </c>
      <c r="K6997" s="36" t="str">
        <f>CONCATENATE(Cover!$D$6,"fdd/view?i=",J6997)</f>
        <v>https://www.dgiwg.org/FAD/fdd/view?i=113609</v>
      </c>
      <c r="L6997" s="36" t="s">
        <v>43841</v>
      </c>
      <c r="M6997" s="186"/>
      <c r="N6997" s="186"/>
      <c r="O6997" s="172"/>
    </row>
    <row r="6998" spans="1:15" ht="25.5" x14ac:dyDescent="0.2">
      <c r="A6998" s="190" t="str">
        <f t="shared" si="109"/>
        <v>PitCode_avalanche</v>
      </c>
      <c r="B6998" s="414" t="str">
        <f>HYPERLINK("[#]Datatypes!A1189:L1189","PitCode")</f>
        <v>PitCode</v>
      </c>
      <c r="C6998" s="415" t="s">
        <v>15804</v>
      </c>
      <c r="D6998" s="221" t="s">
        <v>29061</v>
      </c>
      <c r="E6998" s="221">
        <v>5</v>
      </c>
      <c r="F6998" s="222" t="s">
        <v>29062</v>
      </c>
      <c r="G6998" s="223" t="s">
        <v>43842</v>
      </c>
      <c r="H6998" s="223" t="s">
        <v>43843</v>
      </c>
      <c r="I6998" s="345"/>
      <c r="J6998" s="39">
        <v>113605</v>
      </c>
      <c r="K6998" s="36" t="str">
        <f>CONCATENATE(Cover!$D$6,"fdd/view?i=",J6998)</f>
        <v>https://www.dgiwg.org/FAD/fdd/view?i=113605</v>
      </c>
      <c r="L6998" s="36" t="s">
        <v>43844</v>
      </c>
      <c r="M6998" s="186"/>
      <c r="N6998" s="186"/>
      <c r="O6998" s="172"/>
    </row>
    <row r="6999" spans="1:15" x14ac:dyDescent="0.2">
      <c r="A6999" s="197" t="str">
        <f t="shared" si="109"/>
        <v>PitCode_dust</v>
      </c>
      <c r="B6999" s="409"/>
      <c r="C6999" s="416"/>
      <c r="D6999" s="198" t="s">
        <v>43845</v>
      </c>
      <c r="E6999" s="198">
        <v>3</v>
      </c>
      <c r="F6999" s="199" t="s">
        <v>43846</v>
      </c>
      <c r="G6999" s="1" t="s">
        <v>43847</v>
      </c>
      <c r="H6999" s="200"/>
      <c r="I6999" s="346"/>
      <c r="J6999" s="39">
        <v>113603</v>
      </c>
      <c r="K6999" s="36" t="str">
        <f>CONCATENATE(Cover!$D$6,"fdd/view?i=",J6999)</f>
        <v>https://www.dgiwg.org/FAD/fdd/view?i=113603</v>
      </c>
      <c r="L6999" s="36" t="s">
        <v>43848</v>
      </c>
      <c r="M6999" s="186"/>
      <c r="N6999" s="186"/>
      <c r="O6999" s="172"/>
    </row>
    <row r="7000" spans="1:15" x14ac:dyDescent="0.2">
      <c r="A7000" s="197" t="str">
        <f t="shared" si="109"/>
        <v>PitCode_erosion</v>
      </c>
      <c r="B7000" s="409"/>
      <c r="C7000" s="416"/>
      <c r="D7000" s="198" t="s">
        <v>29496</v>
      </c>
      <c r="E7000" s="198">
        <v>6</v>
      </c>
      <c r="F7000" s="199" t="s">
        <v>29497</v>
      </c>
      <c r="G7000" s="1" t="s">
        <v>43849</v>
      </c>
      <c r="H7000" s="200"/>
      <c r="I7000" s="346"/>
      <c r="J7000" s="39">
        <v>118496</v>
      </c>
      <c r="K7000" s="36" t="str">
        <f>CONCATENATE(Cover!$D$6,"fdd/view?i=",J7000)</f>
        <v>https://www.dgiwg.org/FAD/fdd/view?i=118496</v>
      </c>
      <c r="L7000" s="36" t="s">
        <v>43850</v>
      </c>
      <c r="M7000" s="186"/>
      <c r="N7000" s="186"/>
      <c r="O7000" s="172"/>
    </row>
    <row r="7001" spans="1:15" ht="25.5" x14ac:dyDescent="0.2">
      <c r="A7001" s="197" t="str">
        <f t="shared" si="109"/>
        <v>PitCode_flood</v>
      </c>
      <c r="B7001" s="409"/>
      <c r="C7001" s="416"/>
      <c r="D7001" s="198" t="s">
        <v>29073</v>
      </c>
      <c r="E7001" s="198">
        <v>1</v>
      </c>
      <c r="F7001" s="199" t="s">
        <v>29074</v>
      </c>
      <c r="G7001" s="1" t="s">
        <v>43851</v>
      </c>
      <c r="H7001" s="200"/>
      <c r="I7001" s="346"/>
      <c r="J7001" s="39">
        <v>113601</v>
      </c>
      <c r="K7001" s="36" t="str">
        <f>CONCATENATE(Cover!$D$6,"fdd/view?i=",J7001)</f>
        <v>https://www.dgiwg.org/FAD/fdd/view?i=113601</v>
      </c>
      <c r="L7001" s="36" t="s">
        <v>43852</v>
      </c>
      <c r="M7001" s="186"/>
      <c r="N7001" s="186"/>
      <c r="O7001" s="172"/>
    </row>
    <row r="7002" spans="1:15" ht="25.5" x14ac:dyDescent="0.2">
      <c r="A7002" s="197" t="str">
        <f t="shared" si="109"/>
        <v>PitCode_noise</v>
      </c>
      <c r="B7002" s="409"/>
      <c r="C7002" s="416"/>
      <c r="D7002" s="198" t="s">
        <v>43853</v>
      </c>
      <c r="E7002" s="198">
        <v>2</v>
      </c>
      <c r="F7002" s="199" t="s">
        <v>43854</v>
      </c>
      <c r="G7002" s="1" t="s">
        <v>43855</v>
      </c>
      <c r="H7002" s="200"/>
      <c r="I7002" s="346"/>
      <c r="J7002" s="39">
        <v>113602</v>
      </c>
      <c r="K7002" s="36" t="str">
        <f>CONCATENATE(Cover!$D$6,"fdd/view?i=",J7002)</f>
        <v>https://www.dgiwg.org/FAD/fdd/view?i=113602</v>
      </c>
      <c r="L7002" s="36" t="s">
        <v>43856</v>
      </c>
      <c r="M7002" s="186"/>
      <c r="N7002" s="186"/>
      <c r="O7002" s="172"/>
    </row>
    <row r="7003" spans="1:15" ht="25.5" x14ac:dyDescent="0.2">
      <c r="A7003" s="203" t="str">
        <f t="shared" si="109"/>
        <v>PitCode_wind</v>
      </c>
      <c r="B7003" s="410"/>
      <c r="C7003" s="417"/>
      <c r="D7003" s="204" t="s">
        <v>31848</v>
      </c>
      <c r="E7003" s="204">
        <v>4</v>
      </c>
      <c r="F7003" s="205" t="s">
        <v>31849</v>
      </c>
      <c r="G7003" s="206" t="s">
        <v>43857</v>
      </c>
      <c r="H7003" s="207"/>
      <c r="I7003" s="347"/>
      <c r="J7003" s="39">
        <v>113604</v>
      </c>
      <c r="K7003" s="36" t="str">
        <f>CONCATENATE(Cover!$D$6,"fdd/view?i=",J7003)</f>
        <v>https://www.dgiwg.org/FAD/fdd/view?i=113604</v>
      </c>
      <c r="L7003" s="36" t="s">
        <v>43858</v>
      </c>
      <c r="M7003" s="186"/>
      <c r="N7003" s="186"/>
      <c r="O7003" s="172"/>
    </row>
    <row r="7004" spans="1:15" ht="25.5" x14ac:dyDescent="0.2">
      <c r="A7004" s="190" t="str">
        <f t="shared" si="109"/>
        <v>PafCode_canteen</v>
      </c>
      <c r="B7004" s="414" t="str">
        <f>HYPERLINK("[#]Datatypes!A1191:L1191","PafCode")</f>
        <v>PafCode</v>
      </c>
      <c r="C7004" s="415" t="s">
        <v>15806</v>
      </c>
      <c r="D7004" s="221" t="s">
        <v>43859</v>
      </c>
      <c r="E7004" s="221">
        <v>7</v>
      </c>
      <c r="F7004" s="222" t="s">
        <v>43860</v>
      </c>
      <c r="G7004" s="223" t="s">
        <v>43861</v>
      </c>
      <c r="H7004" s="223" t="s">
        <v>43862</v>
      </c>
      <c r="I7004" s="345"/>
      <c r="J7004" s="39">
        <v>118494</v>
      </c>
      <c r="K7004" s="36" t="str">
        <f>CONCATENATE(Cover!$D$6,"fdd/view?i=",J7004)</f>
        <v>https://www.dgiwg.org/FAD/fdd/view?i=118494</v>
      </c>
      <c r="L7004" s="36" t="s">
        <v>43863</v>
      </c>
      <c r="M7004" s="186"/>
      <c r="N7004" s="186"/>
      <c r="O7004" s="172"/>
    </row>
    <row r="7005" spans="1:15" ht="25.5" x14ac:dyDescent="0.2">
      <c r="A7005" s="197" t="str">
        <f t="shared" si="109"/>
        <v>PafCode_casino</v>
      </c>
      <c r="B7005" s="409"/>
      <c r="C7005" s="416"/>
      <c r="D7005" s="198" t="s">
        <v>34985</v>
      </c>
      <c r="E7005" s="198">
        <v>8</v>
      </c>
      <c r="F7005" s="199" t="s">
        <v>34986</v>
      </c>
      <c r="G7005" s="1" t="s">
        <v>43864</v>
      </c>
      <c r="H7005" s="1" t="s">
        <v>43865</v>
      </c>
      <c r="I7005" s="346"/>
      <c r="J7005" s="39">
        <v>118495</v>
      </c>
      <c r="K7005" s="36" t="str">
        <f>CONCATENATE(Cover!$D$6,"fdd/view?i=",J7005)</f>
        <v>https://www.dgiwg.org/FAD/fdd/view?i=118495</v>
      </c>
      <c r="L7005" s="36" t="s">
        <v>43866</v>
      </c>
      <c r="M7005" s="186"/>
      <c r="N7005" s="186"/>
      <c r="O7005" s="172"/>
    </row>
    <row r="7006" spans="1:15" ht="25.5" x14ac:dyDescent="0.2">
      <c r="A7006" s="197" t="str">
        <f t="shared" si="109"/>
        <v>PafCode_hostel</v>
      </c>
      <c r="B7006" s="409"/>
      <c r="C7006" s="416"/>
      <c r="D7006" s="198" t="s">
        <v>30922</v>
      </c>
      <c r="E7006" s="198">
        <v>4</v>
      </c>
      <c r="F7006" s="199" t="s">
        <v>30923</v>
      </c>
      <c r="G7006" s="1" t="s">
        <v>43867</v>
      </c>
      <c r="H7006" s="200"/>
      <c r="I7006" s="346"/>
      <c r="J7006" s="39">
        <v>106314</v>
      </c>
      <c r="K7006" s="36" t="str">
        <f>CONCATENATE(Cover!$D$6,"fdd/view?i=",J7006)</f>
        <v>https://www.dgiwg.org/FAD/fdd/view?i=106314</v>
      </c>
      <c r="L7006" s="36" t="s">
        <v>43868</v>
      </c>
      <c r="M7006" s="186"/>
      <c r="N7006" s="186"/>
      <c r="O7006" s="172"/>
    </row>
    <row r="7007" spans="1:15" ht="38.25" x14ac:dyDescent="0.2">
      <c r="A7007" s="197" t="str">
        <f t="shared" si="109"/>
        <v>PafCode_hotel</v>
      </c>
      <c r="B7007" s="409"/>
      <c r="C7007" s="416"/>
      <c r="D7007" s="198" t="s">
        <v>23131</v>
      </c>
      <c r="E7007" s="198">
        <v>3</v>
      </c>
      <c r="F7007" s="199" t="s">
        <v>23132</v>
      </c>
      <c r="G7007" s="1" t="s">
        <v>29046</v>
      </c>
      <c r="H7007" s="200"/>
      <c r="I7007" s="346"/>
      <c r="J7007" s="39">
        <v>106313</v>
      </c>
      <c r="K7007" s="36" t="str">
        <f>CONCATENATE(Cover!$D$6,"fdd/view?i=",J7007)</f>
        <v>https://www.dgiwg.org/FAD/fdd/view?i=106313</v>
      </c>
      <c r="L7007" s="36" t="s">
        <v>43869</v>
      </c>
      <c r="M7007" s="186"/>
      <c r="N7007" s="186"/>
      <c r="O7007" s="172"/>
    </row>
    <row r="7008" spans="1:15" ht="25.5" x14ac:dyDescent="0.2">
      <c r="A7008" s="197" t="str">
        <f t="shared" si="109"/>
        <v>PafCode_motel</v>
      </c>
      <c r="B7008" s="409"/>
      <c r="C7008" s="416"/>
      <c r="D7008" s="198" t="s">
        <v>31162</v>
      </c>
      <c r="E7008" s="198">
        <v>5</v>
      </c>
      <c r="F7008" s="199" t="s">
        <v>31163</v>
      </c>
      <c r="G7008" s="1" t="s">
        <v>43870</v>
      </c>
      <c r="H7008" s="1" t="s">
        <v>43871</v>
      </c>
      <c r="I7008" s="351" t="s">
        <v>43872</v>
      </c>
      <c r="J7008" s="39">
        <v>106315</v>
      </c>
      <c r="K7008" s="36" t="str">
        <f>CONCATENATE(Cover!$D$6,"fdd/view?i=",J7008)</f>
        <v>https://www.dgiwg.org/FAD/fdd/view?i=106315</v>
      </c>
      <c r="L7008" s="36" t="s">
        <v>43873</v>
      </c>
      <c r="M7008" s="186"/>
      <c r="N7008" s="186"/>
      <c r="O7008" s="172"/>
    </row>
    <row r="7009" spans="1:15" x14ac:dyDescent="0.2">
      <c r="A7009" s="197" t="str">
        <f t="shared" si="109"/>
        <v>PafCode_publicInn</v>
      </c>
      <c r="B7009" s="409"/>
      <c r="C7009" s="416"/>
      <c r="D7009" s="198" t="s">
        <v>43874</v>
      </c>
      <c r="E7009" s="198">
        <v>1</v>
      </c>
      <c r="F7009" s="199" t="s">
        <v>43875</v>
      </c>
      <c r="G7009" s="1" t="s">
        <v>43876</v>
      </c>
      <c r="H7009" s="200"/>
      <c r="I7009" s="346"/>
      <c r="J7009" s="39">
        <v>106311</v>
      </c>
      <c r="K7009" s="36" t="str">
        <f>CONCATENATE(Cover!$D$6,"fdd/view?i=",J7009)</f>
        <v>https://www.dgiwg.org/FAD/fdd/view?i=106311</v>
      </c>
      <c r="L7009" s="36" t="s">
        <v>43877</v>
      </c>
      <c r="M7009" s="186"/>
      <c r="N7009" s="186"/>
      <c r="O7009" s="172"/>
    </row>
    <row r="7010" spans="1:15" x14ac:dyDescent="0.2">
      <c r="A7010" s="197" t="str">
        <f t="shared" si="109"/>
        <v>PafCode_reception</v>
      </c>
      <c r="B7010" s="409"/>
      <c r="C7010" s="416"/>
      <c r="D7010" s="198" t="s">
        <v>43878</v>
      </c>
      <c r="E7010" s="198">
        <v>6</v>
      </c>
      <c r="F7010" s="199" t="s">
        <v>43879</v>
      </c>
      <c r="G7010" s="1" t="s">
        <v>43880</v>
      </c>
      <c r="H7010" s="200"/>
      <c r="I7010" s="346"/>
      <c r="J7010" s="39">
        <v>118493</v>
      </c>
      <c r="K7010" s="36" t="str">
        <f>CONCATENATE(Cover!$D$6,"fdd/view?i=",J7010)</f>
        <v>https://www.dgiwg.org/FAD/fdd/view?i=118493</v>
      </c>
      <c r="L7010" s="36" t="s">
        <v>43881</v>
      </c>
      <c r="M7010" s="186"/>
      <c r="N7010" s="186"/>
      <c r="O7010" s="172"/>
    </row>
    <row r="7011" spans="1:15" ht="25.5" x14ac:dyDescent="0.2">
      <c r="A7011" s="203" t="str">
        <f t="shared" si="109"/>
        <v>PafCode_restaurant</v>
      </c>
      <c r="B7011" s="410"/>
      <c r="C7011" s="417"/>
      <c r="D7011" s="204" t="s">
        <v>23182</v>
      </c>
      <c r="E7011" s="204">
        <v>2</v>
      </c>
      <c r="F7011" s="205" t="s">
        <v>23183</v>
      </c>
      <c r="G7011" s="206" t="s">
        <v>43882</v>
      </c>
      <c r="H7011" s="207"/>
      <c r="I7011" s="347"/>
      <c r="J7011" s="39">
        <v>106312</v>
      </c>
      <c r="K7011" s="36" t="str">
        <f>CONCATENATE(Cover!$D$6,"fdd/view?i=",J7011)</f>
        <v>https://www.dgiwg.org/FAD/fdd/view?i=106312</v>
      </c>
      <c r="L7011" s="36" t="s">
        <v>43883</v>
      </c>
      <c r="M7011" s="186"/>
      <c r="N7011" s="186"/>
      <c r="O7011" s="172"/>
    </row>
    <row r="7012" spans="1:15" ht="25.5" x14ac:dyDescent="0.2">
      <c r="A7012" s="190" t="str">
        <f t="shared" si="109"/>
        <v>PsfCode_fireAndPoliceStation</v>
      </c>
      <c r="B7012" s="414" t="str">
        <f>HYPERLINK("[#]Datatypes!A1193:L1193","PsfCode")</f>
        <v>PsfCode</v>
      </c>
      <c r="C7012" s="415" t="s">
        <v>15808</v>
      </c>
      <c r="D7012" s="221" t="s">
        <v>43884</v>
      </c>
      <c r="E7012" s="221">
        <v>16</v>
      </c>
      <c r="F7012" s="222" t="s">
        <v>43885</v>
      </c>
      <c r="G7012" s="223" t="s">
        <v>43886</v>
      </c>
      <c r="H7012" s="224"/>
      <c r="I7012" s="345"/>
      <c r="J7012" s="39">
        <v>107010</v>
      </c>
      <c r="K7012" s="36" t="str">
        <f>CONCATENATE(Cover!$D$6,"fdd/view?i=",J7012)</f>
        <v>https://www.dgiwg.org/FAD/fdd/view?i=107010</v>
      </c>
      <c r="L7012" s="36" t="s">
        <v>43887</v>
      </c>
      <c r="M7012" s="186"/>
      <c r="N7012" s="186"/>
      <c r="O7012" s="172"/>
    </row>
    <row r="7013" spans="1:15" x14ac:dyDescent="0.2">
      <c r="A7013" s="197" t="str">
        <f t="shared" si="109"/>
        <v>PsfCode_fireStation</v>
      </c>
      <c r="B7013" s="409"/>
      <c r="C7013" s="416"/>
      <c r="D7013" s="198" t="s">
        <v>43888</v>
      </c>
      <c r="E7013" s="198">
        <v>6</v>
      </c>
      <c r="F7013" s="199" t="s">
        <v>43889</v>
      </c>
      <c r="G7013" s="1" t="s">
        <v>43890</v>
      </c>
      <c r="H7013" s="200"/>
      <c r="I7013" s="351" t="s">
        <v>43891</v>
      </c>
      <c r="J7013" s="39">
        <v>107000</v>
      </c>
      <c r="K7013" s="36" t="str">
        <f>CONCATENATE(Cover!$D$6,"fdd/view?i=",J7013)</f>
        <v>https://www.dgiwg.org/FAD/fdd/view?i=107000</v>
      </c>
      <c r="L7013" s="36" t="s">
        <v>43892</v>
      </c>
      <c r="M7013" s="186"/>
      <c r="N7013" s="186"/>
      <c r="O7013" s="172"/>
    </row>
    <row r="7014" spans="1:15" x14ac:dyDescent="0.2">
      <c r="A7014" s="197" t="str">
        <f t="shared" si="109"/>
        <v>PsfCode_healthOffice</v>
      </c>
      <c r="B7014" s="409"/>
      <c r="C7014" s="416"/>
      <c r="D7014" s="198" t="s">
        <v>43893</v>
      </c>
      <c r="E7014" s="198">
        <v>4</v>
      </c>
      <c r="F7014" s="199" t="s">
        <v>43894</v>
      </c>
      <c r="G7014" s="1" t="s">
        <v>43895</v>
      </c>
      <c r="H7014" s="200"/>
      <c r="I7014" s="351" t="s">
        <v>43896</v>
      </c>
      <c r="J7014" s="39">
        <v>106998</v>
      </c>
      <c r="K7014" s="36" t="str">
        <f>CONCATENATE(Cover!$D$6,"fdd/view?i=",J7014)</f>
        <v>https://www.dgiwg.org/FAD/fdd/view?i=106998</v>
      </c>
      <c r="L7014" s="36" t="s">
        <v>43897</v>
      </c>
      <c r="M7014" s="186"/>
      <c r="N7014" s="186"/>
      <c r="O7014" s="172"/>
    </row>
    <row r="7015" spans="1:15" ht="25.5" x14ac:dyDescent="0.2">
      <c r="A7015" s="197" t="str">
        <f t="shared" si="109"/>
        <v>PsfCode_hospital</v>
      </c>
      <c r="B7015" s="409"/>
      <c r="C7015" s="416"/>
      <c r="D7015" s="198" t="s">
        <v>34762</v>
      </c>
      <c r="E7015" s="198">
        <v>1</v>
      </c>
      <c r="F7015" s="199" t="s">
        <v>34763</v>
      </c>
      <c r="G7015" s="1" t="s">
        <v>34764</v>
      </c>
      <c r="H7015" s="200"/>
      <c r="I7015" s="346"/>
      <c r="J7015" s="39">
        <v>106995</v>
      </c>
      <c r="K7015" s="36" t="str">
        <f>CONCATENATE(Cover!$D$6,"fdd/view?i=",J7015)</f>
        <v>https://www.dgiwg.org/FAD/fdd/view?i=106995</v>
      </c>
      <c r="L7015" s="36" t="s">
        <v>43898</v>
      </c>
      <c r="M7015" s="186"/>
      <c r="N7015" s="186"/>
      <c r="O7015" s="172"/>
    </row>
    <row r="7016" spans="1:15" ht="25.5" x14ac:dyDescent="0.2">
      <c r="A7016" s="197" t="str">
        <f t="shared" si="109"/>
        <v>PsfCode_medicalCentre</v>
      </c>
      <c r="B7016" s="409"/>
      <c r="C7016" s="416"/>
      <c r="D7016" s="198" t="s">
        <v>43899</v>
      </c>
      <c r="E7016" s="198">
        <v>12</v>
      </c>
      <c r="F7016" s="199" t="s">
        <v>43900</v>
      </c>
      <c r="G7016" s="1" t="s">
        <v>43901</v>
      </c>
      <c r="H7016" s="200"/>
      <c r="I7016" s="346"/>
      <c r="J7016" s="39">
        <v>107006</v>
      </c>
      <c r="K7016" s="36" t="str">
        <f>CONCATENATE(Cover!$D$6,"fdd/view?i=",J7016)</f>
        <v>https://www.dgiwg.org/FAD/fdd/view?i=107006</v>
      </c>
      <c r="L7016" s="36" t="s">
        <v>43902</v>
      </c>
      <c r="M7016" s="186"/>
      <c r="N7016" s="186"/>
      <c r="O7016" s="172"/>
    </row>
    <row r="7017" spans="1:15" ht="25.5" x14ac:dyDescent="0.2">
      <c r="A7017" s="197" t="str">
        <f t="shared" si="109"/>
        <v>PsfCode_motorVehicleStation</v>
      </c>
      <c r="B7017" s="409"/>
      <c r="C7017" s="416"/>
      <c r="D7017" s="198" t="s">
        <v>43903</v>
      </c>
      <c r="E7017" s="198">
        <v>8</v>
      </c>
      <c r="F7017" s="199" t="s">
        <v>4221</v>
      </c>
      <c r="G7017" s="1" t="s">
        <v>43904</v>
      </c>
      <c r="H7017" s="200"/>
      <c r="I7017" s="351" t="s">
        <v>4224</v>
      </c>
      <c r="J7017" s="39">
        <v>107002</v>
      </c>
      <c r="K7017" s="36" t="str">
        <f>CONCATENATE(Cover!$D$6,"fdd/view?i=",J7017)</f>
        <v>https://www.dgiwg.org/FAD/fdd/view?i=107002</v>
      </c>
      <c r="L7017" s="36" t="s">
        <v>43905</v>
      </c>
      <c r="M7017" s="186"/>
      <c r="N7017" s="186"/>
      <c r="O7017" s="172"/>
    </row>
    <row r="7018" spans="1:15" ht="25.5" x14ac:dyDescent="0.2">
      <c r="A7018" s="197" t="str">
        <f t="shared" si="109"/>
        <v>PsfCode_orphanage</v>
      </c>
      <c r="B7018" s="409"/>
      <c r="C7018" s="416"/>
      <c r="D7018" s="198" t="s">
        <v>43906</v>
      </c>
      <c r="E7018" s="198">
        <v>25</v>
      </c>
      <c r="F7018" s="199" t="s">
        <v>43907</v>
      </c>
      <c r="G7018" s="1" t="s">
        <v>43908</v>
      </c>
      <c r="H7018" s="1" t="s">
        <v>43909</v>
      </c>
      <c r="I7018" s="346"/>
      <c r="J7018" s="39">
        <v>118500</v>
      </c>
      <c r="K7018" s="36" t="str">
        <f>CONCATENATE(Cover!$D$6,"fdd/view?i=",J7018)</f>
        <v>https://www.dgiwg.org/FAD/fdd/view?i=118500</v>
      </c>
      <c r="L7018" s="36" t="s">
        <v>43910</v>
      </c>
      <c r="M7018" s="186"/>
      <c r="N7018" s="186"/>
      <c r="O7018" s="172"/>
    </row>
    <row r="7019" spans="1:15" ht="38.25" x14ac:dyDescent="0.2">
      <c r="A7019" s="197" t="str">
        <f t="shared" si="109"/>
        <v>PsfCode_outbuilding</v>
      </c>
      <c r="B7019" s="409"/>
      <c r="C7019" s="416"/>
      <c r="D7019" s="198" t="s">
        <v>20547</v>
      </c>
      <c r="E7019" s="198">
        <v>19</v>
      </c>
      <c r="F7019" s="199" t="s">
        <v>20548</v>
      </c>
      <c r="G7019" s="1" t="s">
        <v>43911</v>
      </c>
      <c r="H7019" s="200"/>
      <c r="I7019" s="346"/>
      <c r="J7019" s="39">
        <v>107013</v>
      </c>
      <c r="K7019" s="36" t="str">
        <f>CONCATENATE(Cover!$D$6,"fdd/view?i=",J7019)</f>
        <v>https://www.dgiwg.org/FAD/fdd/view?i=107013</v>
      </c>
      <c r="L7019" s="36" t="s">
        <v>43912</v>
      </c>
      <c r="M7019" s="186"/>
      <c r="N7019" s="186"/>
      <c r="O7019" s="172"/>
    </row>
    <row r="7020" spans="1:15" ht="25.5" x14ac:dyDescent="0.2">
      <c r="A7020" s="197" t="str">
        <f t="shared" si="109"/>
        <v>PsfCode_policeStation</v>
      </c>
      <c r="B7020" s="409"/>
      <c r="C7020" s="416"/>
      <c r="D7020" s="198" t="s">
        <v>43913</v>
      </c>
      <c r="E7020" s="198">
        <v>2</v>
      </c>
      <c r="F7020" s="199" t="s">
        <v>43914</v>
      </c>
      <c r="G7020" s="1" t="s">
        <v>43915</v>
      </c>
      <c r="H7020" s="200"/>
      <c r="I7020" s="346"/>
      <c r="J7020" s="39">
        <v>106996</v>
      </c>
      <c r="K7020" s="36" t="str">
        <f>CONCATENATE(Cover!$D$6,"fdd/view?i=",J7020)</f>
        <v>https://www.dgiwg.org/FAD/fdd/view?i=106996</v>
      </c>
      <c r="L7020" s="36" t="s">
        <v>43916</v>
      </c>
      <c r="M7020" s="186"/>
      <c r="N7020" s="186"/>
      <c r="O7020" s="172"/>
    </row>
    <row r="7021" spans="1:15" ht="38.25" x14ac:dyDescent="0.2">
      <c r="A7021" s="197" t="str">
        <f t="shared" si="109"/>
        <v>PsfCode_postOffice</v>
      </c>
      <c r="B7021" s="409"/>
      <c r="C7021" s="416"/>
      <c r="D7021" s="198" t="s">
        <v>43917</v>
      </c>
      <c r="E7021" s="198">
        <v>5</v>
      </c>
      <c r="F7021" s="199" t="s">
        <v>43918</v>
      </c>
      <c r="G7021" s="1" t="s">
        <v>43919</v>
      </c>
      <c r="H7021" s="200"/>
      <c r="I7021" s="346"/>
      <c r="J7021" s="39">
        <v>106999</v>
      </c>
      <c r="K7021" s="36" t="str">
        <f>CONCATENATE(Cover!$D$6,"fdd/view?i=",J7021)</f>
        <v>https://www.dgiwg.org/FAD/fdd/view?i=106999</v>
      </c>
      <c r="L7021" s="36" t="s">
        <v>43920</v>
      </c>
      <c r="M7021" s="186"/>
      <c r="N7021" s="186"/>
      <c r="O7021" s="172"/>
    </row>
    <row r="7022" spans="1:15" ht="25.5" x14ac:dyDescent="0.2">
      <c r="A7022" s="197" t="str">
        <f t="shared" si="109"/>
        <v>PsfCode_rangerStation</v>
      </c>
      <c r="B7022" s="409"/>
      <c r="C7022" s="416"/>
      <c r="D7022" s="198" t="s">
        <v>43921</v>
      </c>
      <c r="E7022" s="198">
        <v>3</v>
      </c>
      <c r="F7022" s="199" t="s">
        <v>43922</v>
      </c>
      <c r="G7022" s="1" t="s">
        <v>43923</v>
      </c>
      <c r="H7022" s="200"/>
      <c r="I7022" s="346"/>
      <c r="J7022" s="39">
        <v>106997</v>
      </c>
      <c r="K7022" s="36" t="str">
        <f>CONCATENATE(Cover!$D$6,"fdd/view?i=",J7022)</f>
        <v>https://www.dgiwg.org/FAD/fdd/view?i=106997</v>
      </c>
      <c r="L7022" s="36" t="s">
        <v>43924</v>
      </c>
      <c r="M7022" s="186"/>
      <c r="N7022" s="186"/>
      <c r="O7022" s="172"/>
    </row>
    <row r="7023" spans="1:15" ht="38.25" x14ac:dyDescent="0.2">
      <c r="A7023" s="197" t="str">
        <f t="shared" si="109"/>
        <v>PsfCode_reliefOrganisationStation</v>
      </c>
      <c r="B7023" s="409"/>
      <c r="C7023" s="416"/>
      <c r="D7023" s="198" t="s">
        <v>43925</v>
      </c>
      <c r="E7023" s="198">
        <v>23</v>
      </c>
      <c r="F7023" s="199" t="s">
        <v>43926</v>
      </c>
      <c r="G7023" s="1" t="s">
        <v>43927</v>
      </c>
      <c r="H7023" s="1" t="s">
        <v>43928</v>
      </c>
      <c r="I7023" s="346"/>
      <c r="J7023" s="39">
        <v>118498</v>
      </c>
      <c r="K7023" s="36" t="str">
        <f>CONCATENATE(Cover!$D$6,"fdd/view?i=",J7023)</f>
        <v>https://www.dgiwg.org/FAD/fdd/view?i=118498</v>
      </c>
      <c r="L7023" s="36" t="s">
        <v>43929</v>
      </c>
      <c r="M7023" s="186"/>
      <c r="N7023" s="186"/>
      <c r="O7023" s="172"/>
    </row>
    <row r="7024" spans="1:15" ht="38.25" x14ac:dyDescent="0.2">
      <c r="A7024" s="197" t="str">
        <f t="shared" si="109"/>
        <v>PsfCode_rescueStation</v>
      </c>
      <c r="B7024" s="409"/>
      <c r="C7024" s="416"/>
      <c r="D7024" s="198" t="s">
        <v>38597</v>
      </c>
      <c r="E7024" s="198">
        <v>10</v>
      </c>
      <c r="F7024" s="199" t="s">
        <v>38598</v>
      </c>
      <c r="G7024" s="1" t="s">
        <v>43930</v>
      </c>
      <c r="H7024" s="200"/>
      <c r="I7024" s="346"/>
      <c r="J7024" s="39">
        <v>107004</v>
      </c>
      <c r="K7024" s="36" t="str">
        <f>CONCATENATE(Cover!$D$6,"fdd/view?i=",J7024)</f>
        <v>https://www.dgiwg.org/FAD/fdd/view?i=107004</v>
      </c>
      <c r="L7024" s="36" t="s">
        <v>43931</v>
      </c>
      <c r="M7024" s="186"/>
      <c r="N7024" s="186"/>
      <c r="O7024" s="172"/>
    </row>
    <row r="7025" spans="1:15" ht="25.5" x14ac:dyDescent="0.2">
      <c r="A7025" s="197" t="str">
        <f t="shared" si="109"/>
        <v>PsfCode_sanatorium</v>
      </c>
      <c r="B7025" s="409"/>
      <c r="C7025" s="416"/>
      <c r="D7025" s="198" t="s">
        <v>43932</v>
      </c>
      <c r="E7025" s="198">
        <v>13</v>
      </c>
      <c r="F7025" s="199" t="s">
        <v>43933</v>
      </c>
      <c r="G7025" s="1" t="s">
        <v>43934</v>
      </c>
      <c r="H7025" s="200"/>
      <c r="I7025" s="346"/>
      <c r="J7025" s="39">
        <v>107007</v>
      </c>
      <c r="K7025" s="36" t="str">
        <f>CONCATENATE(Cover!$D$6,"fdd/view?i=",J7025)</f>
        <v>https://www.dgiwg.org/FAD/fdd/view?i=107007</v>
      </c>
      <c r="L7025" s="36" t="s">
        <v>43935</v>
      </c>
      <c r="M7025" s="186"/>
      <c r="N7025" s="186"/>
      <c r="O7025" s="172"/>
    </row>
    <row r="7026" spans="1:15" ht="25.5" x14ac:dyDescent="0.2">
      <c r="A7026" s="197" t="str">
        <f t="shared" si="109"/>
        <v>PsfCode_touristInformation</v>
      </c>
      <c r="B7026" s="409"/>
      <c r="C7026" s="416"/>
      <c r="D7026" s="198" t="s">
        <v>43936</v>
      </c>
      <c r="E7026" s="198">
        <v>21</v>
      </c>
      <c r="F7026" s="199" t="s">
        <v>43937</v>
      </c>
      <c r="G7026" s="1" t="s">
        <v>43938</v>
      </c>
      <c r="H7026" s="1" t="s">
        <v>43939</v>
      </c>
      <c r="I7026" s="346"/>
      <c r="J7026" s="39">
        <v>118497</v>
      </c>
      <c r="K7026" s="36" t="str">
        <f>CONCATENATE(Cover!$D$6,"fdd/view?i=",J7026)</f>
        <v>https://www.dgiwg.org/FAD/fdd/view?i=118497</v>
      </c>
      <c r="L7026" s="36" t="s">
        <v>43940</v>
      </c>
      <c r="M7026" s="186"/>
      <c r="N7026" s="186"/>
      <c r="O7026" s="172"/>
    </row>
    <row r="7027" spans="1:15" ht="25.5" x14ac:dyDescent="0.2">
      <c r="A7027" s="197" t="str">
        <f t="shared" si="109"/>
        <v>PsfCode_veterinary</v>
      </c>
      <c r="B7027" s="409"/>
      <c r="C7027" s="416"/>
      <c r="D7027" s="198" t="s">
        <v>31722</v>
      </c>
      <c r="E7027" s="198">
        <v>24</v>
      </c>
      <c r="F7027" s="199" t="s">
        <v>31723</v>
      </c>
      <c r="G7027" s="1" t="s">
        <v>31724</v>
      </c>
      <c r="H7027" s="200"/>
      <c r="I7027" s="346"/>
      <c r="J7027" s="39">
        <v>118499</v>
      </c>
      <c r="K7027" s="36" t="str">
        <f>CONCATENATE(Cover!$D$6,"fdd/view?i=",J7027)</f>
        <v>https://www.dgiwg.org/FAD/fdd/view?i=118499</v>
      </c>
      <c r="L7027" s="36" t="s">
        <v>43941</v>
      </c>
      <c r="M7027" s="186"/>
      <c r="N7027" s="186"/>
      <c r="O7027" s="172"/>
    </row>
    <row r="7028" spans="1:15" ht="25.5" x14ac:dyDescent="0.2">
      <c r="A7028" s="203" t="str">
        <f t="shared" si="109"/>
        <v>PsfCode_waterPoliceStation</v>
      </c>
      <c r="B7028" s="410"/>
      <c r="C7028" s="417"/>
      <c r="D7028" s="204" t="s">
        <v>23211</v>
      </c>
      <c r="E7028" s="204">
        <v>9</v>
      </c>
      <c r="F7028" s="205" t="s">
        <v>23212</v>
      </c>
      <c r="G7028" s="206" t="s">
        <v>23213</v>
      </c>
      <c r="H7028" s="207"/>
      <c r="I7028" s="347"/>
      <c r="J7028" s="39">
        <v>107003</v>
      </c>
      <c r="K7028" s="36" t="str">
        <f>CONCATENATE(Cover!$D$6,"fdd/view?i=",J7028)</f>
        <v>https://www.dgiwg.org/FAD/fdd/view?i=107003</v>
      </c>
      <c r="L7028" s="36" t="s">
        <v>43942</v>
      </c>
      <c r="M7028" s="186"/>
      <c r="N7028" s="186"/>
      <c r="O7028" s="172"/>
    </row>
    <row r="7029" spans="1:15" ht="25.5" x14ac:dyDescent="0.2">
      <c r="A7029" s="190" t="str">
        <f t="shared" si="109"/>
        <v>PycCode_shapedLikeA</v>
      </c>
      <c r="B7029" s="414" t="str">
        <f>HYPERLINK("[#]Datatypes!A1195:L1195","PycCode")</f>
        <v>PycCode</v>
      </c>
      <c r="C7029" s="415" t="s">
        <v>15810</v>
      </c>
      <c r="D7029" s="221" t="s">
        <v>43943</v>
      </c>
      <c r="E7029" s="221">
        <v>1</v>
      </c>
      <c r="F7029" s="357" t="s">
        <v>43944</v>
      </c>
      <c r="G7029" s="223" t="s">
        <v>43945</v>
      </c>
      <c r="H7029" s="224"/>
      <c r="I7029" s="345"/>
      <c r="J7029" s="39">
        <v>112428</v>
      </c>
      <c r="K7029" s="36" t="str">
        <f>CONCATENATE(Cover!$D$6,"fdd/view?i=",J7029)</f>
        <v>https://www.dgiwg.org/FAD/fdd/view?i=112428</v>
      </c>
      <c r="L7029" s="36" t="s">
        <v>43946</v>
      </c>
      <c r="M7029" s="186"/>
      <c r="N7029" s="186"/>
      <c r="O7029" s="172"/>
    </row>
    <row r="7030" spans="1:15" ht="25.5" x14ac:dyDescent="0.2">
      <c r="A7030" s="197" t="str">
        <f t="shared" si="109"/>
        <v>PycCode_shapedLikeH</v>
      </c>
      <c r="B7030" s="409"/>
      <c r="C7030" s="416"/>
      <c r="D7030" s="198" t="s">
        <v>43947</v>
      </c>
      <c r="E7030" s="198">
        <v>2</v>
      </c>
      <c r="F7030" s="356" t="s">
        <v>43948</v>
      </c>
      <c r="G7030" s="1" t="s">
        <v>43949</v>
      </c>
      <c r="H7030" s="200"/>
      <c r="I7030" s="346"/>
      <c r="J7030" s="39">
        <v>112430</v>
      </c>
      <c r="K7030" s="36" t="str">
        <f>CONCATENATE(Cover!$D$6,"fdd/view?i=",J7030)</f>
        <v>https://www.dgiwg.org/FAD/fdd/view?i=112430</v>
      </c>
      <c r="L7030" s="36" t="s">
        <v>43950</v>
      </c>
      <c r="M7030" s="186"/>
      <c r="N7030" s="186"/>
      <c r="O7030" s="172"/>
    </row>
    <row r="7031" spans="1:15" ht="25.5" x14ac:dyDescent="0.2">
      <c r="A7031" s="197" t="str">
        <f t="shared" si="109"/>
        <v>PycCode_shapedLikeI</v>
      </c>
      <c r="B7031" s="409"/>
      <c r="C7031" s="416"/>
      <c r="D7031" s="198" t="s">
        <v>43951</v>
      </c>
      <c r="E7031" s="198">
        <v>3</v>
      </c>
      <c r="F7031" s="356" t="s">
        <v>43952</v>
      </c>
      <c r="G7031" s="1" t="s">
        <v>43953</v>
      </c>
      <c r="H7031" s="1" t="s">
        <v>43954</v>
      </c>
      <c r="I7031" s="346"/>
      <c r="J7031" s="39">
        <v>112432</v>
      </c>
      <c r="K7031" s="36" t="str">
        <f>CONCATENATE(Cover!$D$6,"fdd/view?i=",J7031)</f>
        <v>https://www.dgiwg.org/FAD/fdd/view?i=112432</v>
      </c>
      <c r="L7031" s="36" t="s">
        <v>43955</v>
      </c>
      <c r="M7031" s="186"/>
      <c r="N7031" s="186"/>
      <c r="O7031" s="172"/>
    </row>
    <row r="7032" spans="1:15" ht="25.5" x14ac:dyDescent="0.2">
      <c r="A7032" s="197" t="str">
        <f t="shared" si="109"/>
        <v>PycCode_shapedLikeT</v>
      </c>
      <c r="B7032" s="409"/>
      <c r="C7032" s="416"/>
      <c r="D7032" s="198" t="s">
        <v>34556</v>
      </c>
      <c r="E7032" s="198">
        <v>5</v>
      </c>
      <c r="F7032" s="356" t="s">
        <v>43956</v>
      </c>
      <c r="G7032" s="1" t="s">
        <v>43957</v>
      </c>
      <c r="H7032" s="1" t="s">
        <v>43958</v>
      </c>
      <c r="I7032" s="346"/>
      <c r="J7032" s="39">
        <v>112436</v>
      </c>
      <c r="K7032" s="36" t="str">
        <f>CONCATENATE(Cover!$D$6,"fdd/view?i=",J7032)</f>
        <v>https://www.dgiwg.org/FAD/fdd/view?i=112436</v>
      </c>
      <c r="L7032" s="36" t="s">
        <v>43959</v>
      </c>
      <c r="M7032" s="186"/>
      <c r="N7032" s="186"/>
      <c r="O7032" s="172"/>
    </row>
    <row r="7033" spans="1:15" ht="25.5" x14ac:dyDescent="0.2">
      <c r="A7033" s="203" t="str">
        <f t="shared" si="109"/>
        <v>PycCode_shapedLikeY</v>
      </c>
      <c r="B7033" s="410"/>
      <c r="C7033" s="417"/>
      <c r="D7033" s="204" t="s">
        <v>43960</v>
      </c>
      <c r="E7033" s="204">
        <v>4</v>
      </c>
      <c r="F7033" s="358" t="s">
        <v>43961</v>
      </c>
      <c r="G7033" s="206" t="s">
        <v>43962</v>
      </c>
      <c r="H7033" s="207"/>
      <c r="I7033" s="347"/>
      <c r="J7033" s="39">
        <v>112434</v>
      </c>
      <c r="K7033" s="36" t="str">
        <f>CONCATENATE(Cover!$D$6,"fdd/view?i=",J7033)</f>
        <v>https://www.dgiwg.org/FAD/fdd/view?i=112434</v>
      </c>
      <c r="L7033" s="36" t="s">
        <v>43963</v>
      </c>
      <c r="M7033" s="186"/>
      <c r="N7033" s="186"/>
      <c r="O7033" s="172"/>
    </row>
    <row r="7034" spans="1:15" ht="25.5" x14ac:dyDescent="0.2">
      <c r="A7034" s="190" t="str">
        <f t="shared" si="109"/>
        <v>PymCode_aluminum</v>
      </c>
      <c r="B7034" s="414" t="str">
        <f>HYPERLINK("[#]Datatypes!A1197:L1197","PymCode")</f>
        <v>PymCode</v>
      </c>
      <c r="C7034" s="415" t="s">
        <v>15812</v>
      </c>
      <c r="D7034" s="221" t="s">
        <v>25660</v>
      </c>
      <c r="E7034" s="221">
        <v>1</v>
      </c>
      <c r="F7034" s="222" t="s">
        <v>43276</v>
      </c>
      <c r="G7034" s="223" t="s">
        <v>43277</v>
      </c>
      <c r="H7034" s="224"/>
      <c r="I7034" s="345"/>
      <c r="J7034" s="39">
        <v>110294</v>
      </c>
      <c r="K7034" s="36" t="str">
        <f>CONCATENATE(Cover!$D$6,"fdd/view?i=",J7034)</f>
        <v>https://www.dgiwg.org/FAD/fdd/view?i=110294</v>
      </c>
      <c r="L7034" s="36" t="s">
        <v>43964</v>
      </c>
      <c r="M7034" s="186"/>
      <c r="N7034" s="186"/>
      <c r="O7034" s="172"/>
    </row>
    <row r="7035" spans="1:15" ht="38.25" x14ac:dyDescent="0.2">
      <c r="A7035" s="197" t="str">
        <f t="shared" si="109"/>
        <v>PymCode_composition</v>
      </c>
      <c r="B7035" s="409"/>
      <c r="C7035" s="416"/>
      <c r="D7035" s="198" t="s">
        <v>43965</v>
      </c>
      <c r="E7035" s="198">
        <v>2</v>
      </c>
      <c r="F7035" s="199" t="s">
        <v>43966</v>
      </c>
      <c r="G7035" s="1" t="s">
        <v>43967</v>
      </c>
      <c r="H7035" s="200"/>
      <c r="I7035" s="346"/>
      <c r="J7035" s="39">
        <v>110295</v>
      </c>
      <c r="K7035" s="36" t="str">
        <f>CONCATENATE(Cover!$D$6,"fdd/view?i=",J7035)</f>
        <v>https://www.dgiwg.org/FAD/fdd/view?i=110295</v>
      </c>
      <c r="L7035" s="36" t="s">
        <v>43968</v>
      </c>
      <c r="M7035" s="186"/>
      <c r="N7035" s="186"/>
      <c r="O7035" s="172"/>
    </row>
    <row r="7036" spans="1:15" ht="38.25" x14ac:dyDescent="0.2">
      <c r="A7036" s="197" t="str">
        <f t="shared" si="109"/>
        <v>PymCode_concrete</v>
      </c>
      <c r="B7036" s="409"/>
      <c r="C7036" s="416"/>
      <c r="D7036" s="198" t="s">
        <v>19541</v>
      </c>
      <c r="E7036" s="198">
        <v>3</v>
      </c>
      <c r="F7036" s="199" t="s">
        <v>19542</v>
      </c>
      <c r="G7036" s="1" t="s">
        <v>24150</v>
      </c>
      <c r="H7036" s="200"/>
      <c r="I7036" s="346"/>
      <c r="J7036" s="39">
        <v>110296</v>
      </c>
      <c r="K7036" s="36" t="str">
        <f>CONCATENATE(Cover!$D$6,"fdd/view?i=",J7036)</f>
        <v>https://www.dgiwg.org/FAD/fdd/view?i=110296</v>
      </c>
      <c r="L7036" s="36" t="s">
        <v>43969</v>
      </c>
      <c r="M7036" s="186"/>
      <c r="N7036" s="186"/>
      <c r="O7036" s="172"/>
    </row>
    <row r="7037" spans="1:15" ht="38.25" x14ac:dyDescent="0.2">
      <c r="A7037" s="197" t="str">
        <f t="shared" si="109"/>
        <v>PymCode_fibreglass</v>
      </c>
      <c r="B7037" s="409"/>
      <c r="C7037" s="416"/>
      <c r="D7037" s="198" t="s">
        <v>43970</v>
      </c>
      <c r="E7037" s="198">
        <v>9</v>
      </c>
      <c r="F7037" s="199" t="s">
        <v>43971</v>
      </c>
      <c r="G7037" s="1" t="s">
        <v>43972</v>
      </c>
      <c r="H7037" s="200"/>
      <c r="I7037" s="346"/>
      <c r="J7037" s="39">
        <v>110742</v>
      </c>
      <c r="K7037" s="36" t="str">
        <f>CONCATENATE(Cover!$D$6,"fdd/view?i=",J7037)</f>
        <v>https://www.dgiwg.org/FAD/fdd/view?i=110742</v>
      </c>
      <c r="L7037" s="36" t="s">
        <v>43973</v>
      </c>
      <c r="M7037" s="186"/>
      <c r="N7037" s="186"/>
      <c r="O7037" s="172"/>
    </row>
    <row r="7038" spans="1:15" ht="38.25" x14ac:dyDescent="0.2">
      <c r="A7038" s="197" t="str">
        <f t="shared" si="109"/>
        <v>PymCode_iron</v>
      </c>
      <c r="B7038" s="409"/>
      <c r="C7038" s="416"/>
      <c r="D7038" s="198" t="s">
        <v>25766</v>
      </c>
      <c r="E7038" s="198">
        <v>10</v>
      </c>
      <c r="F7038" s="199" t="s">
        <v>43508</v>
      </c>
      <c r="G7038" s="1" t="s">
        <v>43509</v>
      </c>
      <c r="H7038" s="1" t="s">
        <v>43510</v>
      </c>
      <c r="I7038" s="346"/>
      <c r="J7038" s="39">
        <v>112784</v>
      </c>
      <c r="K7038" s="36" t="str">
        <f>CONCATENATE(Cover!$D$6,"fdd/view?i=",J7038)</f>
        <v>https://www.dgiwg.org/FAD/fdd/view?i=112784</v>
      </c>
      <c r="L7038" s="36" t="s">
        <v>43974</v>
      </c>
      <c r="M7038" s="186"/>
      <c r="N7038" s="186"/>
      <c r="O7038" s="172"/>
    </row>
    <row r="7039" spans="1:15" ht="63.75" x14ac:dyDescent="0.2">
      <c r="A7039" s="197" t="str">
        <f t="shared" si="109"/>
        <v>PymCode_masonry</v>
      </c>
      <c r="B7039" s="409"/>
      <c r="C7039" s="416"/>
      <c r="D7039" s="198" t="s">
        <v>24160</v>
      </c>
      <c r="E7039" s="198">
        <v>4</v>
      </c>
      <c r="F7039" s="199" t="s">
        <v>24161</v>
      </c>
      <c r="G7039" s="1" t="s">
        <v>24162</v>
      </c>
      <c r="H7039" s="200"/>
      <c r="I7039" s="351" t="s">
        <v>24163</v>
      </c>
      <c r="J7039" s="39">
        <v>110297</v>
      </c>
      <c r="K7039" s="36" t="str">
        <f>CONCATENATE(Cover!$D$6,"fdd/view?i=",J7039)</f>
        <v>https://www.dgiwg.org/FAD/fdd/view?i=110297</v>
      </c>
      <c r="L7039" s="36" t="s">
        <v>43975</v>
      </c>
      <c r="M7039" s="186"/>
      <c r="N7039" s="186"/>
      <c r="O7039" s="172"/>
    </row>
    <row r="7040" spans="1:15" ht="38.25" x14ac:dyDescent="0.2">
      <c r="A7040" s="197" t="str">
        <f t="shared" si="109"/>
        <v>PymCode_metal</v>
      </c>
      <c r="B7040" s="409"/>
      <c r="C7040" s="416"/>
      <c r="D7040" s="198" t="s">
        <v>25276</v>
      </c>
      <c r="E7040" s="198">
        <v>5</v>
      </c>
      <c r="F7040" s="199" t="s">
        <v>25277</v>
      </c>
      <c r="G7040" s="1" t="s">
        <v>25278</v>
      </c>
      <c r="H7040" s="1" t="s">
        <v>43976</v>
      </c>
      <c r="I7040" s="346"/>
      <c r="J7040" s="39">
        <v>110298</v>
      </c>
      <c r="K7040" s="36" t="str">
        <f>CONCATENATE(Cover!$D$6,"fdd/view?i=",J7040)</f>
        <v>https://www.dgiwg.org/FAD/fdd/view?i=110298</v>
      </c>
      <c r="L7040" s="36" t="s">
        <v>43977</v>
      </c>
      <c r="M7040" s="186"/>
      <c r="N7040" s="186"/>
      <c r="O7040" s="172"/>
    </row>
    <row r="7041" spans="1:15" x14ac:dyDescent="0.2">
      <c r="A7041" s="197" t="str">
        <f t="shared" si="109"/>
        <v>PymCode_partMetal</v>
      </c>
      <c r="B7041" s="409"/>
      <c r="C7041" s="416"/>
      <c r="D7041" s="198" t="s">
        <v>43978</v>
      </c>
      <c r="E7041" s="198">
        <v>6</v>
      </c>
      <c r="F7041" s="199" t="s">
        <v>43979</v>
      </c>
      <c r="G7041" s="1" t="s">
        <v>43980</v>
      </c>
      <c r="H7041" s="200"/>
      <c r="I7041" s="346"/>
      <c r="J7041" s="39">
        <v>110299</v>
      </c>
      <c r="K7041" s="36" t="str">
        <f>CONCATENATE(Cover!$D$6,"fdd/view?i=",J7041)</f>
        <v>https://www.dgiwg.org/FAD/fdd/view?i=110299</v>
      </c>
      <c r="L7041" s="36" t="s">
        <v>43981</v>
      </c>
      <c r="M7041" s="186"/>
      <c r="N7041" s="186"/>
      <c r="O7041" s="172"/>
    </row>
    <row r="7042" spans="1:15" ht="38.25" x14ac:dyDescent="0.2">
      <c r="A7042" s="197" t="str">
        <f t="shared" ref="A7042:A7105" si="110">HYPERLINK(K7042,L7042)</f>
        <v>PymCode_steel</v>
      </c>
      <c r="B7042" s="409"/>
      <c r="C7042" s="416"/>
      <c r="D7042" s="198" t="s">
        <v>43754</v>
      </c>
      <c r="E7042" s="198">
        <v>8</v>
      </c>
      <c r="F7042" s="199" t="s">
        <v>43755</v>
      </c>
      <c r="G7042" s="1" t="s">
        <v>43756</v>
      </c>
      <c r="H7042" s="1" t="s">
        <v>43982</v>
      </c>
      <c r="I7042" s="346"/>
      <c r="J7042" s="39">
        <v>110741</v>
      </c>
      <c r="K7042" s="36" t="str">
        <f>CONCATENATE(Cover!$D$6,"fdd/view?i=",J7042)</f>
        <v>https://www.dgiwg.org/FAD/fdd/view?i=110741</v>
      </c>
      <c r="L7042" s="36" t="s">
        <v>43983</v>
      </c>
      <c r="M7042" s="186"/>
      <c r="N7042" s="186"/>
      <c r="O7042" s="172"/>
    </row>
    <row r="7043" spans="1:15" ht="38.25" x14ac:dyDescent="0.2">
      <c r="A7043" s="203" t="str">
        <f t="shared" si="110"/>
        <v>PymCode_wood</v>
      </c>
      <c r="B7043" s="410"/>
      <c r="C7043" s="417"/>
      <c r="D7043" s="204" t="s">
        <v>19610</v>
      </c>
      <c r="E7043" s="204">
        <v>7</v>
      </c>
      <c r="F7043" s="205" t="s">
        <v>5911</v>
      </c>
      <c r="G7043" s="206" t="s">
        <v>43822</v>
      </c>
      <c r="H7043" s="206" t="s">
        <v>43823</v>
      </c>
      <c r="I7043" s="347"/>
      <c r="J7043" s="39">
        <v>110300</v>
      </c>
      <c r="K7043" s="36" t="str">
        <f>CONCATENATE(Cover!$D$6,"fdd/view?i=",J7043)</f>
        <v>https://www.dgiwg.org/FAD/fdd/view?i=110300</v>
      </c>
      <c r="L7043" s="36" t="s">
        <v>43984</v>
      </c>
      <c r="M7043" s="186"/>
      <c r="N7043" s="186"/>
      <c r="O7043" s="172"/>
    </row>
    <row r="7044" spans="1:15" ht="63.75" x14ac:dyDescent="0.2">
      <c r="A7044" s="190" t="str">
        <f t="shared" si="110"/>
        <v>RayCode_bicycle</v>
      </c>
      <c r="B7044" s="414" t="str">
        <f>HYPERLINK("[#]Datatypes!A1199:L1199","RayCode")</f>
        <v>RayCode</v>
      </c>
      <c r="C7044" s="415" t="s">
        <v>15814</v>
      </c>
      <c r="D7044" s="221" t="s">
        <v>40178</v>
      </c>
      <c r="E7044" s="221">
        <v>1</v>
      </c>
      <c r="F7044" s="222" t="s">
        <v>40179</v>
      </c>
      <c r="G7044" s="223" t="s">
        <v>43985</v>
      </c>
      <c r="H7044" s="223" t="s">
        <v>43986</v>
      </c>
      <c r="I7044" s="352" t="s">
        <v>43987</v>
      </c>
      <c r="J7044" s="39">
        <v>118902</v>
      </c>
      <c r="K7044" s="36" t="str">
        <f>CONCATENATE(Cover!$D$6,"fdd/view?i=",J7044)</f>
        <v>https://www.dgiwg.org/FAD/fdd/view?i=118902</v>
      </c>
      <c r="L7044" s="36" t="s">
        <v>43988</v>
      </c>
      <c r="M7044" s="186"/>
      <c r="N7044" s="186"/>
      <c r="O7044" s="172"/>
    </row>
    <row r="7045" spans="1:15" ht="51" x14ac:dyDescent="0.2">
      <c r="A7045" s="197" t="str">
        <f t="shared" si="110"/>
        <v>RayCode_camel</v>
      </c>
      <c r="B7045" s="409"/>
      <c r="C7045" s="416"/>
      <c r="D7045" s="198" t="s">
        <v>21863</v>
      </c>
      <c r="E7045" s="198">
        <v>2</v>
      </c>
      <c r="F7045" s="199" t="s">
        <v>21864</v>
      </c>
      <c r="G7045" s="1" t="s">
        <v>43989</v>
      </c>
      <c r="H7045" s="1" t="s">
        <v>43990</v>
      </c>
      <c r="I7045" s="346"/>
      <c r="J7045" s="39">
        <v>118903</v>
      </c>
      <c r="K7045" s="36" t="str">
        <f>CONCATENATE(Cover!$D$6,"fdd/view?i=",J7045)</f>
        <v>https://www.dgiwg.org/FAD/fdd/view?i=118903</v>
      </c>
      <c r="L7045" s="36" t="s">
        <v>43991</v>
      </c>
      <c r="M7045" s="186"/>
      <c r="N7045" s="186"/>
      <c r="O7045" s="172"/>
    </row>
    <row r="7046" spans="1:15" ht="25.5" x14ac:dyDescent="0.2">
      <c r="A7046" s="197" t="str">
        <f t="shared" si="110"/>
        <v>RayCode_greyhound</v>
      </c>
      <c r="B7046" s="409"/>
      <c r="C7046" s="416"/>
      <c r="D7046" s="198" t="s">
        <v>43992</v>
      </c>
      <c r="E7046" s="198">
        <v>3</v>
      </c>
      <c r="F7046" s="199" t="s">
        <v>43993</v>
      </c>
      <c r="G7046" s="1" t="s">
        <v>43994</v>
      </c>
      <c r="H7046" s="1" t="s">
        <v>43995</v>
      </c>
      <c r="I7046" s="346"/>
      <c r="J7046" s="39">
        <v>118904</v>
      </c>
      <c r="K7046" s="36" t="str">
        <f>CONCATENATE(Cover!$D$6,"fdd/view?i=",J7046)</f>
        <v>https://www.dgiwg.org/FAD/fdd/view?i=118904</v>
      </c>
      <c r="L7046" s="36" t="s">
        <v>43996</v>
      </c>
      <c r="M7046" s="186"/>
      <c r="N7046" s="186"/>
      <c r="O7046" s="172"/>
    </row>
    <row r="7047" spans="1:15" ht="25.5" x14ac:dyDescent="0.2">
      <c r="A7047" s="197" t="str">
        <f t="shared" si="110"/>
        <v>RayCode_harness</v>
      </c>
      <c r="B7047" s="409"/>
      <c r="C7047" s="416"/>
      <c r="D7047" s="198" t="s">
        <v>43997</v>
      </c>
      <c r="E7047" s="198">
        <v>4</v>
      </c>
      <c r="F7047" s="199" t="s">
        <v>43998</v>
      </c>
      <c r="G7047" s="1" t="s">
        <v>43999</v>
      </c>
      <c r="H7047" s="200"/>
      <c r="I7047" s="351" t="s">
        <v>44000</v>
      </c>
      <c r="J7047" s="39">
        <v>118905</v>
      </c>
      <c r="K7047" s="36" t="str">
        <f>CONCATENATE(Cover!$D$6,"fdd/view?i=",J7047)</f>
        <v>https://www.dgiwg.org/FAD/fdd/view?i=118905</v>
      </c>
      <c r="L7047" s="36" t="s">
        <v>44001</v>
      </c>
      <c r="M7047" s="186"/>
      <c r="N7047" s="186"/>
      <c r="O7047" s="172"/>
    </row>
    <row r="7048" spans="1:15" ht="51" x14ac:dyDescent="0.2">
      <c r="A7048" s="197" t="str">
        <f t="shared" si="110"/>
        <v>RayCode_horse</v>
      </c>
      <c r="B7048" s="409"/>
      <c r="C7048" s="416"/>
      <c r="D7048" s="198" t="s">
        <v>21904</v>
      </c>
      <c r="E7048" s="198">
        <v>5</v>
      </c>
      <c r="F7048" s="199" t="s">
        <v>21905</v>
      </c>
      <c r="G7048" s="1" t="s">
        <v>44002</v>
      </c>
      <c r="H7048" s="1" t="s">
        <v>44003</v>
      </c>
      <c r="I7048" s="351" t="s">
        <v>44004</v>
      </c>
      <c r="J7048" s="39">
        <v>118906</v>
      </c>
      <c r="K7048" s="36" t="str">
        <f>CONCATENATE(Cover!$D$6,"fdd/view?i=",J7048)</f>
        <v>https://www.dgiwg.org/FAD/fdd/view?i=118906</v>
      </c>
      <c r="L7048" s="36" t="s">
        <v>44005</v>
      </c>
      <c r="M7048" s="186"/>
      <c r="N7048" s="186"/>
      <c r="O7048" s="172"/>
    </row>
    <row r="7049" spans="1:15" ht="38.25" x14ac:dyDescent="0.2">
      <c r="A7049" s="197" t="str">
        <f t="shared" si="110"/>
        <v>RayCode_iceSkate</v>
      </c>
      <c r="B7049" s="409"/>
      <c r="C7049" s="416"/>
      <c r="D7049" s="198" t="s">
        <v>44006</v>
      </c>
      <c r="E7049" s="198">
        <v>6</v>
      </c>
      <c r="F7049" s="199" t="s">
        <v>44007</v>
      </c>
      <c r="G7049" s="1" t="s">
        <v>44008</v>
      </c>
      <c r="H7049" s="1" t="s">
        <v>44009</v>
      </c>
      <c r="I7049" s="346"/>
      <c r="J7049" s="39">
        <v>118907</v>
      </c>
      <c r="K7049" s="36" t="str">
        <f>CONCATENATE(Cover!$D$6,"fdd/view?i=",J7049)</f>
        <v>https://www.dgiwg.org/FAD/fdd/view?i=118907</v>
      </c>
      <c r="L7049" s="36" t="s">
        <v>44010</v>
      </c>
      <c r="M7049" s="186"/>
      <c r="N7049" s="186"/>
      <c r="O7049" s="172"/>
    </row>
    <row r="7050" spans="1:15" ht="51" x14ac:dyDescent="0.2">
      <c r="A7050" s="197" t="str">
        <f t="shared" si="110"/>
        <v>RayCode_motorVehicle</v>
      </c>
      <c r="B7050" s="409"/>
      <c r="C7050" s="416"/>
      <c r="D7050" s="198" t="s">
        <v>43573</v>
      </c>
      <c r="E7050" s="198">
        <v>7</v>
      </c>
      <c r="F7050" s="199" t="s">
        <v>43574</v>
      </c>
      <c r="G7050" s="1" t="s">
        <v>44011</v>
      </c>
      <c r="H7050" s="1" t="s">
        <v>44012</v>
      </c>
      <c r="I7050" s="346"/>
      <c r="J7050" s="39">
        <v>118908</v>
      </c>
      <c r="K7050" s="36" t="str">
        <f>CONCATENATE(Cover!$D$6,"fdd/view?i=",J7050)</f>
        <v>https://www.dgiwg.org/FAD/fdd/view?i=118908</v>
      </c>
      <c r="L7050" s="36" t="s">
        <v>44013</v>
      </c>
      <c r="M7050" s="186"/>
      <c r="N7050" s="186"/>
      <c r="O7050" s="172"/>
    </row>
    <row r="7051" spans="1:15" ht="63.75" x14ac:dyDescent="0.2">
      <c r="A7051" s="197" t="str">
        <f t="shared" si="110"/>
        <v>RayCode_rollerSkate</v>
      </c>
      <c r="B7051" s="409"/>
      <c r="C7051" s="416"/>
      <c r="D7051" s="198" t="s">
        <v>44014</v>
      </c>
      <c r="E7051" s="198">
        <v>8</v>
      </c>
      <c r="F7051" s="199" t="s">
        <v>44015</v>
      </c>
      <c r="G7051" s="1" t="s">
        <v>44016</v>
      </c>
      <c r="H7051" s="1" t="s">
        <v>44017</v>
      </c>
      <c r="I7051" s="346"/>
      <c r="J7051" s="39">
        <v>118909</v>
      </c>
      <c r="K7051" s="36" t="str">
        <f>CONCATENATE(Cover!$D$6,"fdd/view?i=",J7051)</f>
        <v>https://www.dgiwg.org/FAD/fdd/view?i=118909</v>
      </c>
      <c r="L7051" s="36" t="s">
        <v>44018</v>
      </c>
      <c r="M7051" s="186"/>
      <c r="N7051" s="186"/>
      <c r="O7051" s="172"/>
    </row>
    <row r="7052" spans="1:15" ht="25.5" x14ac:dyDescent="0.2">
      <c r="A7052" s="203" t="str">
        <f t="shared" si="110"/>
        <v>RayCode_trackAndField</v>
      </c>
      <c r="B7052" s="410"/>
      <c r="C7052" s="417"/>
      <c r="D7052" s="204" t="s">
        <v>44019</v>
      </c>
      <c r="E7052" s="204">
        <v>9</v>
      </c>
      <c r="F7052" s="205" t="s">
        <v>44020</v>
      </c>
      <c r="G7052" s="206" t="s">
        <v>44021</v>
      </c>
      <c r="H7052" s="207"/>
      <c r="I7052" s="347"/>
      <c r="J7052" s="39">
        <v>118910</v>
      </c>
      <c r="K7052" s="36" t="str">
        <f>CONCATENATE(Cover!$D$6,"fdd/view?i=",J7052)</f>
        <v>https://www.dgiwg.org/FAD/fdd/view?i=118910</v>
      </c>
      <c r="L7052" s="36" t="s">
        <v>44022</v>
      </c>
      <c r="M7052" s="186"/>
      <c r="N7052" s="186"/>
      <c r="O7052" s="172"/>
    </row>
    <row r="7053" spans="1:15" ht="63.75" x14ac:dyDescent="0.2">
      <c r="A7053" s="190" t="str">
        <f t="shared" si="110"/>
        <v>RavCode_formulaOneCar</v>
      </c>
      <c r="B7053" s="414" t="str">
        <f>HYPERLINK("[#]Datatypes!A1201:L1201","RavCode")</f>
        <v>RavCode</v>
      </c>
      <c r="C7053" s="415" t="s">
        <v>15816</v>
      </c>
      <c r="D7053" s="221" t="s">
        <v>44023</v>
      </c>
      <c r="E7053" s="221">
        <v>1</v>
      </c>
      <c r="F7053" s="222" t="s">
        <v>44024</v>
      </c>
      <c r="G7053" s="223" t="s">
        <v>44025</v>
      </c>
      <c r="H7053" s="223" t="s">
        <v>44026</v>
      </c>
      <c r="I7053" s="345"/>
      <c r="J7053" s="39">
        <v>118897</v>
      </c>
      <c r="K7053" s="36" t="str">
        <f>CONCATENATE(Cover!$D$6,"fdd/view?i=",J7053)</f>
        <v>https://www.dgiwg.org/FAD/fdd/view?i=118897</v>
      </c>
      <c r="L7053" s="36" t="s">
        <v>44027</v>
      </c>
      <c r="M7053" s="186"/>
      <c r="N7053" s="186"/>
      <c r="O7053" s="172"/>
    </row>
    <row r="7054" spans="1:15" ht="38.25" x14ac:dyDescent="0.2">
      <c r="A7054" s="197" t="str">
        <f t="shared" si="110"/>
        <v>RavCode_indyCar</v>
      </c>
      <c r="B7054" s="409"/>
      <c r="C7054" s="416"/>
      <c r="D7054" s="198" t="s">
        <v>44028</v>
      </c>
      <c r="E7054" s="198">
        <v>2</v>
      </c>
      <c r="F7054" s="199" t="s">
        <v>44029</v>
      </c>
      <c r="G7054" s="1" t="s">
        <v>44030</v>
      </c>
      <c r="H7054" s="1" t="s">
        <v>44031</v>
      </c>
      <c r="I7054" s="346"/>
      <c r="J7054" s="39">
        <v>118898</v>
      </c>
      <c r="K7054" s="36" t="str">
        <f>CONCATENATE(Cover!$D$6,"fdd/view?i=",J7054)</f>
        <v>https://www.dgiwg.org/FAD/fdd/view?i=118898</v>
      </c>
      <c r="L7054" s="36" t="s">
        <v>44032</v>
      </c>
      <c r="M7054" s="186"/>
      <c r="N7054" s="186"/>
      <c r="O7054" s="172"/>
    </row>
    <row r="7055" spans="1:15" ht="38.25" x14ac:dyDescent="0.2">
      <c r="A7055" s="197" t="str">
        <f t="shared" si="110"/>
        <v>RavCode_motorcycle</v>
      </c>
      <c r="B7055" s="409"/>
      <c r="C7055" s="416"/>
      <c r="D7055" s="198" t="s">
        <v>44033</v>
      </c>
      <c r="E7055" s="198">
        <v>3</v>
      </c>
      <c r="F7055" s="199" t="s">
        <v>44034</v>
      </c>
      <c r="G7055" s="1" t="s">
        <v>44035</v>
      </c>
      <c r="H7055" s="1" t="s">
        <v>44036</v>
      </c>
      <c r="I7055" s="346"/>
      <c r="J7055" s="39">
        <v>118899</v>
      </c>
      <c r="K7055" s="36" t="str">
        <f>CONCATENATE(Cover!$D$6,"fdd/view?i=",J7055)</f>
        <v>https://www.dgiwg.org/FAD/fdd/view?i=118899</v>
      </c>
      <c r="L7055" s="36" t="s">
        <v>44037</v>
      </c>
      <c r="M7055" s="186"/>
      <c r="N7055" s="186"/>
      <c r="O7055" s="172"/>
    </row>
    <row r="7056" spans="1:15" ht="63.75" x14ac:dyDescent="0.2">
      <c r="A7056" s="197" t="str">
        <f t="shared" si="110"/>
        <v>RavCode_pickupTruck</v>
      </c>
      <c r="B7056" s="409"/>
      <c r="C7056" s="416"/>
      <c r="D7056" s="198" t="s">
        <v>44038</v>
      </c>
      <c r="E7056" s="198">
        <v>4</v>
      </c>
      <c r="F7056" s="199" t="s">
        <v>44039</v>
      </c>
      <c r="G7056" s="1" t="s">
        <v>44040</v>
      </c>
      <c r="H7056" s="1" t="s">
        <v>44041</v>
      </c>
      <c r="I7056" s="346"/>
      <c r="J7056" s="39">
        <v>118900</v>
      </c>
      <c r="K7056" s="36" t="str">
        <f>CONCATENATE(Cover!$D$6,"fdd/view?i=",J7056)</f>
        <v>https://www.dgiwg.org/FAD/fdd/view?i=118900</v>
      </c>
      <c r="L7056" s="36" t="s">
        <v>44042</v>
      </c>
      <c r="M7056" s="186"/>
      <c r="N7056" s="186"/>
      <c r="O7056" s="172"/>
    </row>
    <row r="7057" spans="1:15" ht="76.5" x14ac:dyDescent="0.2">
      <c r="A7057" s="203" t="str">
        <f t="shared" si="110"/>
        <v>RavCode_stockCar</v>
      </c>
      <c r="B7057" s="410"/>
      <c r="C7057" s="417"/>
      <c r="D7057" s="204" t="s">
        <v>44043</v>
      </c>
      <c r="E7057" s="204">
        <v>5</v>
      </c>
      <c r="F7057" s="205" t="s">
        <v>44044</v>
      </c>
      <c r="G7057" s="206" t="s">
        <v>44045</v>
      </c>
      <c r="H7057" s="206" t="s">
        <v>44046</v>
      </c>
      <c r="I7057" s="347"/>
      <c r="J7057" s="39">
        <v>118901</v>
      </c>
      <c r="K7057" s="36" t="str">
        <f>CONCATENATE(Cover!$D$6,"fdd/view?i=",J7057)</f>
        <v>https://www.dgiwg.org/FAD/fdd/view?i=118901</v>
      </c>
      <c r="L7057" s="36" t="s">
        <v>44047</v>
      </c>
      <c r="M7057" s="186"/>
      <c r="N7057" s="186"/>
      <c r="O7057" s="172"/>
    </row>
    <row r="7058" spans="1:15" ht="25.5" x14ac:dyDescent="0.2">
      <c r="A7058" s="190" t="str">
        <f t="shared" si="110"/>
        <v>RacCode_domeEnclosed</v>
      </c>
      <c r="B7058" s="414" t="str">
        <f>HYPERLINK("[#]Datatypes!A1203:L1203","RacCode")</f>
        <v>RacCode</v>
      </c>
      <c r="C7058" s="415" t="s">
        <v>15818</v>
      </c>
      <c r="D7058" s="221" t="s">
        <v>44048</v>
      </c>
      <c r="E7058" s="221">
        <v>1</v>
      </c>
      <c r="F7058" s="222" t="s">
        <v>44049</v>
      </c>
      <c r="G7058" s="223" t="s">
        <v>44050</v>
      </c>
      <c r="H7058" s="224"/>
      <c r="I7058" s="345"/>
      <c r="J7058" s="39">
        <v>108666</v>
      </c>
      <c r="K7058" s="36" t="str">
        <f>CONCATENATE(Cover!$D$6,"fdd/view?i=",J7058)</f>
        <v>https://www.dgiwg.org/FAD/fdd/view?i=108666</v>
      </c>
      <c r="L7058" s="36" t="s">
        <v>44051</v>
      </c>
      <c r="M7058" s="186"/>
      <c r="N7058" s="186"/>
      <c r="O7058" s="172"/>
    </row>
    <row r="7059" spans="1:15" ht="38.25" x14ac:dyDescent="0.2">
      <c r="A7059" s="197" t="str">
        <f t="shared" si="110"/>
        <v>RacCode_mastMounted</v>
      </c>
      <c r="B7059" s="409"/>
      <c r="C7059" s="416"/>
      <c r="D7059" s="198" t="s">
        <v>44052</v>
      </c>
      <c r="E7059" s="198">
        <v>2</v>
      </c>
      <c r="F7059" s="199" t="s">
        <v>44053</v>
      </c>
      <c r="G7059" s="1" t="s">
        <v>44054</v>
      </c>
      <c r="H7059" s="200"/>
      <c r="I7059" s="346"/>
      <c r="J7059" s="39">
        <v>108667</v>
      </c>
      <c r="K7059" s="36" t="str">
        <f>CONCATENATE(Cover!$D$6,"fdd/view?i=",J7059)</f>
        <v>https://www.dgiwg.org/FAD/fdd/view?i=108667</v>
      </c>
      <c r="L7059" s="36" t="s">
        <v>44055</v>
      </c>
      <c r="M7059" s="186"/>
      <c r="N7059" s="186"/>
      <c r="O7059" s="172"/>
    </row>
    <row r="7060" spans="1:15" ht="25.5" x14ac:dyDescent="0.2">
      <c r="A7060" s="197" t="str">
        <f t="shared" si="110"/>
        <v>RacCode_radome</v>
      </c>
      <c r="B7060" s="409"/>
      <c r="C7060" s="416"/>
      <c r="D7060" s="198" t="s">
        <v>44056</v>
      </c>
      <c r="E7060" s="198">
        <v>3</v>
      </c>
      <c r="F7060" s="199" t="s">
        <v>44057</v>
      </c>
      <c r="G7060" s="1" t="s">
        <v>44058</v>
      </c>
      <c r="H7060" s="1" t="s">
        <v>44059</v>
      </c>
      <c r="I7060" s="346"/>
      <c r="J7060" s="39">
        <v>108668</v>
      </c>
      <c r="K7060" s="36" t="str">
        <f>CONCATENATE(Cover!$D$6,"fdd/view?i=",J7060)</f>
        <v>https://www.dgiwg.org/FAD/fdd/view?i=108668</v>
      </c>
      <c r="L7060" s="36" t="s">
        <v>44060</v>
      </c>
      <c r="M7060" s="186"/>
      <c r="N7060" s="186"/>
      <c r="O7060" s="172"/>
    </row>
    <row r="7061" spans="1:15" ht="38.25" x14ac:dyDescent="0.2">
      <c r="A7061" s="197" t="str">
        <f t="shared" si="110"/>
        <v>RacCode_radomeOnTower</v>
      </c>
      <c r="B7061" s="409"/>
      <c r="C7061" s="416"/>
      <c r="D7061" s="198" t="s">
        <v>44061</v>
      </c>
      <c r="E7061" s="198">
        <v>4</v>
      </c>
      <c r="F7061" s="199" t="s">
        <v>44062</v>
      </c>
      <c r="G7061" s="1" t="s">
        <v>44063</v>
      </c>
      <c r="H7061" s="200"/>
      <c r="I7061" s="346"/>
      <c r="J7061" s="39">
        <v>108921</v>
      </c>
      <c r="K7061" s="36" t="str">
        <f>CONCATENATE(Cover!$D$6,"fdd/view?i=",J7061)</f>
        <v>https://www.dgiwg.org/FAD/fdd/view?i=108921</v>
      </c>
      <c r="L7061" s="36" t="s">
        <v>44064</v>
      </c>
      <c r="M7061" s="186"/>
      <c r="N7061" s="186"/>
      <c r="O7061" s="172"/>
    </row>
    <row r="7062" spans="1:15" ht="25.5" x14ac:dyDescent="0.2">
      <c r="A7062" s="197" t="str">
        <f t="shared" si="110"/>
        <v>RacCode_scanner</v>
      </c>
      <c r="B7062" s="409"/>
      <c r="C7062" s="416"/>
      <c r="D7062" s="198" t="s">
        <v>44065</v>
      </c>
      <c r="E7062" s="198">
        <v>5</v>
      </c>
      <c r="F7062" s="199" t="s">
        <v>44066</v>
      </c>
      <c r="G7062" s="1" t="s">
        <v>44067</v>
      </c>
      <c r="H7062" s="1" t="s">
        <v>44068</v>
      </c>
      <c r="I7062" s="346"/>
      <c r="J7062" s="39">
        <v>108922</v>
      </c>
      <c r="K7062" s="36" t="str">
        <f>CONCATENATE(Cover!$D$6,"fdd/view?i=",J7062)</f>
        <v>https://www.dgiwg.org/FAD/fdd/view?i=108922</v>
      </c>
      <c r="L7062" s="36" t="s">
        <v>44069</v>
      </c>
      <c r="M7062" s="186"/>
      <c r="N7062" s="186"/>
      <c r="O7062" s="172"/>
    </row>
    <row r="7063" spans="1:15" ht="25.5" x14ac:dyDescent="0.2">
      <c r="A7063" s="203" t="str">
        <f t="shared" si="110"/>
        <v>RacCode_towerMounted</v>
      </c>
      <c r="B7063" s="410"/>
      <c r="C7063" s="417"/>
      <c r="D7063" s="204" t="s">
        <v>44070</v>
      </c>
      <c r="E7063" s="204">
        <v>6</v>
      </c>
      <c r="F7063" s="205" t="s">
        <v>44071</v>
      </c>
      <c r="G7063" s="206" t="s">
        <v>44072</v>
      </c>
      <c r="H7063" s="207"/>
      <c r="I7063" s="347"/>
      <c r="J7063" s="39">
        <v>108923</v>
      </c>
      <c r="K7063" s="36" t="str">
        <f>CONCATENATE(Cover!$D$6,"fdd/view?i=",J7063)</f>
        <v>https://www.dgiwg.org/FAD/fdd/view?i=108923</v>
      </c>
      <c r="L7063" s="36" t="s">
        <v>44073</v>
      </c>
      <c r="M7063" s="186"/>
      <c r="N7063" s="186"/>
      <c r="O7063" s="172"/>
    </row>
    <row r="7064" spans="1:15" ht="38.25" x14ac:dyDescent="0.2">
      <c r="A7064" s="190" t="str">
        <f t="shared" si="110"/>
        <v>RasCode_aerodromeGroundSurveillance</v>
      </c>
      <c r="B7064" s="414" t="str">
        <f>HYPERLINK("[#]Datatypes!A1205:L1205","RasCode")</f>
        <v>RasCode</v>
      </c>
      <c r="C7064" s="415" t="s">
        <v>15820</v>
      </c>
      <c r="D7064" s="221" t="s">
        <v>44074</v>
      </c>
      <c r="E7064" s="221">
        <v>11</v>
      </c>
      <c r="F7064" s="222" t="s">
        <v>44075</v>
      </c>
      <c r="G7064" s="223" t="s">
        <v>44076</v>
      </c>
      <c r="H7064" s="223" t="s">
        <v>44077</v>
      </c>
      <c r="I7064" s="345"/>
      <c r="J7064" s="39">
        <v>119718</v>
      </c>
      <c r="K7064" s="36" t="str">
        <f>CONCATENATE(Cover!$D$6,"fdd/view?i=",J7064)</f>
        <v>https://www.dgiwg.org/FAD/fdd/view?i=119718</v>
      </c>
      <c r="L7064" s="36" t="s">
        <v>44078</v>
      </c>
      <c r="M7064" s="186"/>
      <c r="N7064" s="186"/>
      <c r="O7064" s="172"/>
    </row>
    <row r="7065" spans="1:15" ht="38.25" x14ac:dyDescent="0.2">
      <c r="A7065" s="197" t="str">
        <f t="shared" si="110"/>
        <v>RasCode_aircraftFlightTracking</v>
      </c>
      <c r="B7065" s="409"/>
      <c r="C7065" s="416"/>
      <c r="D7065" s="198" t="s">
        <v>44079</v>
      </c>
      <c r="E7065" s="198">
        <v>8</v>
      </c>
      <c r="F7065" s="199" t="s">
        <v>44080</v>
      </c>
      <c r="G7065" s="1" t="s">
        <v>44081</v>
      </c>
      <c r="H7065" s="200"/>
      <c r="I7065" s="346"/>
      <c r="J7065" s="39">
        <v>117956</v>
      </c>
      <c r="K7065" s="36" t="str">
        <f>CONCATENATE(Cover!$D$6,"fdd/view?i=",J7065)</f>
        <v>https://www.dgiwg.org/FAD/fdd/view?i=117956</v>
      </c>
      <c r="L7065" s="36" t="s">
        <v>44082</v>
      </c>
      <c r="M7065" s="186"/>
      <c r="N7065" s="186"/>
      <c r="O7065" s="172"/>
    </row>
    <row r="7066" spans="1:15" x14ac:dyDescent="0.2">
      <c r="A7066" s="197" t="str">
        <f t="shared" si="110"/>
        <v>RasCode_antiAircraft</v>
      </c>
      <c r="B7066" s="409"/>
      <c r="C7066" s="416"/>
      <c r="D7066" s="198" t="s">
        <v>36670</v>
      </c>
      <c r="E7066" s="198">
        <v>4</v>
      </c>
      <c r="F7066" s="199" t="s">
        <v>44083</v>
      </c>
      <c r="G7066" s="200"/>
      <c r="H7066" s="200"/>
      <c r="I7066" s="346"/>
      <c r="J7066" s="39">
        <v>107094</v>
      </c>
      <c r="K7066" s="36" t="str">
        <f>CONCATENATE(Cover!$D$6,"fdd/view?i=",J7066)</f>
        <v>https://www.dgiwg.org/FAD/fdd/view?i=107094</v>
      </c>
      <c r="L7066" s="36" t="s">
        <v>44084</v>
      </c>
      <c r="M7066" s="186"/>
      <c r="N7066" s="186"/>
      <c r="O7066" s="172"/>
    </row>
    <row r="7067" spans="1:15" ht="25.5" x14ac:dyDescent="0.2">
      <c r="A7067" s="197" t="str">
        <f t="shared" si="110"/>
        <v>RasCode_coastalRadar</v>
      </c>
      <c r="B7067" s="409"/>
      <c r="C7067" s="416"/>
      <c r="D7067" s="198" t="s">
        <v>44085</v>
      </c>
      <c r="E7067" s="198">
        <v>2</v>
      </c>
      <c r="F7067" s="199" t="s">
        <v>44086</v>
      </c>
      <c r="G7067" s="1" t="s">
        <v>44087</v>
      </c>
      <c r="H7067" s="200"/>
      <c r="I7067" s="346"/>
      <c r="J7067" s="39">
        <v>107092</v>
      </c>
      <c r="K7067" s="36" t="str">
        <f>CONCATENATE(Cover!$D$6,"fdd/view?i=",J7067)</f>
        <v>https://www.dgiwg.org/FAD/fdd/view?i=107092</v>
      </c>
      <c r="L7067" s="36" t="s">
        <v>44088</v>
      </c>
      <c r="M7067" s="186"/>
      <c r="N7067" s="186"/>
      <c r="O7067" s="172"/>
    </row>
    <row r="7068" spans="1:15" ht="25.5" x14ac:dyDescent="0.2">
      <c r="A7068" s="197" t="str">
        <f t="shared" si="110"/>
        <v>RasCode_earlyWarning</v>
      </c>
      <c r="B7068" s="409"/>
      <c r="C7068" s="416"/>
      <c r="D7068" s="198" t="s">
        <v>44089</v>
      </c>
      <c r="E7068" s="198">
        <v>5</v>
      </c>
      <c r="F7068" s="199" t="s">
        <v>44090</v>
      </c>
      <c r="G7068" s="1" t="s">
        <v>44091</v>
      </c>
      <c r="H7068" s="200"/>
      <c r="I7068" s="346"/>
      <c r="J7068" s="39">
        <v>107095</v>
      </c>
      <c r="K7068" s="36" t="str">
        <f>CONCATENATE(Cover!$D$6,"fdd/view?i=",J7068)</f>
        <v>https://www.dgiwg.org/FAD/fdd/view?i=107095</v>
      </c>
      <c r="L7068" s="36" t="s">
        <v>44092</v>
      </c>
      <c r="M7068" s="186"/>
      <c r="N7068" s="186"/>
      <c r="O7068" s="172"/>
    </row>
    <row r="7069" spans="1:15" ht="63.75" x14ac:dyDescent="0.2">
      <c r="A7069" s="197" t="str">
        <f t="shared" si="110"/>
        <v>RasCode_fireControlTracking</v>
      </c>
      <c r="B7069" s="409"/>
      <c r="C7069" s="416"/>
      <c r="D7069" s="198" t="s">
        <v>44093</v>
      </c>
      <c r="E7069" s="198">
        <v>9</v>
      </c>
      <c r="F7069" s="199" t="s">
        <v>44094</v>
      </c>
      <c r="G7069" s="1" t="s">
        <v>44095</v>
      </c>
      <c r="H7069" s="200"/>
      <c r="I7069" s="346"/>
      <c r="J7069" s="39">
        <v>117957</v>
      </c>
      <c r="K7069" s="36" t="str">
        <f>CONCATENATE(Cover!$D$6,"fdd/view?i=",J7069)</f>
        <v>https://www.dgiwg.org/FAD/fdd/view?i=117957</v>
      </c>
      <c r="L7069" s="36" t="s">
        <v>44096</v>
      </c>
      <c r="M7069" s="186"/>
      <c r="N7069" s="186"/>
      <c r="O7069" s="172"/>
    </row>
    <row r="7070" spans="1:15" ht="63.75" x14ac:dyDescent="0.2">
      <c r="A7070" s="197" t="str">
        <f t="shared" si="110"/>
        <v>RasCode_generalSurveillance</v>
      </c>
      <c r="B7070" s="409"/>
      <c r="C7070" s="416"/>
      <c r="D7070" s="198" t="s">
        <v>44097</v>
      </c>
      <c r="E7070" s="198">
        <v>1</v>
      </c>
      <c r="F7070" s="199" t="s">
        <v>44098</v>
      </c>
      <c r="G7070" s="1" t="s">
        <v>44099</v>
      </c>
      <c r="H7070" s="200"/>
      <c r="I7070" s="346"/>
      <c r="J7070" s="39">
        <v>107091</v>
      </c>
      <c r="K7070" s="36" t="str">
        <f>CONCATENATE(Cover!$D$6,"fdd/view?i=",J7070)</f>
        <v>https://www.dgiwg.org/FAD/fdd/view?i=107091</v>
      </c>
      <c r="L7070" s="36" t="s">
        <v>44100</v>
      </c>
      <c r="M7070" s="186"/>
      <c r="N7070" s="186"/>
      <c r="O7070" s="172"/>
    </row>
    <row r="7071" spans="1:15" ht="51" x14ac:dyDescent="0.2">
      <c r="A7071" s="197" t="str">
        <f t="shared" si="110"/>
        <v>RasCode_launchControlTracking</v>
      </c>
      <c r="B7071" s="409"/>
      <c r="C7071" s="416"/>
      <c r="D7071" s="198" t="s">
        <v>44101</v>
      </c>
      <c r="E7071" s="198">
        <v>10</v>
      </c>
      <c r="F7071" s="199" t="s">
        <v>44102</v>
      </c>
      <c r="G7071" s="1" t="s">
        <v>44103</v>
      </c>
      <c r="H7071" s="1" t="s">
        <v>44104</v>
      </c>
      <c r="I7071" s="346"/>
      <c r="J7071" s="39">
        <v>117958</v>
      </c>
      <c r="K7071" s="36" t="str">
        <f>CONCATENATE(Cover!$D$6,"fdd/view?i=",J7071)</f>
        <v>https://www.dgiwg.org/FAD/fdd/view?i=117958</v>
      </c>
      <c r="L7071" s="36" t="s">
        <v>44105</v>
      </c>
      <c r="M7071" s="186"/>
      <c r="N7071" s="186"/>
      <c r="O7071" s="172"/>
    </row>
    <row r="7072" spans="1:15" x14ac:dyDescent="0.2">
      <c r="A7072" s="197" t="str">
        <f t="shared" si="110"/>
        <v>RasCode_missile</v>
      </c>
      <c r="B7072" s="409"/>
      <c r="C7072" s="416"/>
      <c r="D7072" s="198" t="s">
        <v>44106</v>
      </c>
      <c r="E7072" s="198">
        <v>3</v>
      </c>
      <c r="F7072" s="199" t="s">
        <v>44107</v>
      </c>
      <c r="G7072" s="200"/>
      <c r="H7072" s="200"/>
      <c r="I7072" s="346"/>
      <c r="J7072" s="39">
        <v>107093</v>
      </c>
      <c r="K7072" s="36" t="str">
        <f>CONCATENATE(Cover!$D$6,"fdd/view?i=",J7072)</f>
        <v>https://www.dgiwg.org/FAD/fdd/view?i=107093</v>
      </c>
      <c r="L7072" s="36" t="s">
        <v>44108</v>
      </c>
      <c r="M7072" s="186"/>
      <c r="N7072" s="186"/>
      <c r="O7072" s="172"/>
    </row>
    <row r="7073" spans="1:15" ht="51" x14ac:dyDescent="0.2">
      <c r="A7073" s="197" t="str">
        <f t="shared" si="110"/>
        <v>RasCode_precisionApproach</v>
      </c>
      <c r="B7073" s="409"/>
      <c r="C7073" s="416"/>
      <c r="D7073" s="198" t="s">
        <v>44109</v>
      </c>
      <c r="E7073" s="198">
        <v>12</v>
      </c>
      <c r="F7073" s="199" t="s">
        <v>44110</v>
      </c>
      <c r="G7073" s="1" t="s">
        <v>44111</v>
      </c>
      <c r="H7073" s="1" t="s">
        <v>4531</v>
      </c>
      <c r="I7073" s="346"/>
      <c r="J7073" s="39">
        <v>119719</v>
      </c>
      <c r="K7073" s="36" t="str">
        <f>CONCATENATE(Cover!$D$6,"fdd/view?i=",J7073)</f>
        <v>https://www.dgiwg.org/FAD/fdd/view?i=119719</v>
      </c>
      <c r="L7073" s="36" t="s">
        <v>44112</v>
      </c>
      <c r="M7073" s="186"/>
      <c r="N7073" s="186"/>
      <c r="O7073" s="172"/>
    </row>
    <row r="7074" spans="1:15" ht="25.5" x14ac:dyDescent="0.2">
      <c r="A7074" s="197" t="str">
        <f t="shared" si="110"/>
        <v>RasCode_satelliteTracking</v>
      </c>
      <c r="B7074" s="409"/>
      <c r="C7074" s="416"/>
      <c r="D7074" s="198" t="s">
        <v>44113</v>
      </c>
      <c r="E7074" s="198">
        <v>7</v>
      </c>
      <c r="F7074" s="199" t="s">
        <v>44114</v>
      </c>
      <c r="G7074" s="1" t="s">
        <v>44115</v>
      </c>
      <c r="H7074" s="200"/>
      <c r="I7074" s="346"/>
      <c r="J7074" s="39">
        <v>117955</v>
      </c>
      <c r="K7074" s="36" t="str">
        <f>CONCATENATE(Cover!$D$6,"fdd/view?i=",J7074)</f>
        <v>https://www.dgiwg.org/FAD/fdd/view?i=117955</v>
      </c>
      <c r="L7074" s="36" t="s">
        <v>44116</v>
      </c>
      <c r="M7074" s="186"/>
      <c r="N7074" s="186"/>
      <c r="O7074" s="172"/>
    </row>
    <row r="7075" spans="1:15" ht="38.25" x14ac:dyDescent="0.2">
      <c r="A7075" s="203" t="str">
        <f t="shared" si="110"/>
        <v>RasCode_weather</v>
      </c>
      <c r="B7075" s="410"/>
      <c r="C7075" s="417"/>
      <c r="D7075" s="204" t="s">
        <v>37757</v>
      </c>
      <c r="E7075" s="204">
        <v>6</v>
      </c>
      <c r="F7075" s="205" t="s">
        <v>37758</v>
      </c>
      <c r="G7075" s="206" t="s">
        <v>44117</v>
      </c>
      <c r="H7075" s="207"/>
      <c r="I7075" s="347"/>
      <c r="J7075" s="39">
        <v>117954</v>
      </c>
      <c r="K7075" s="36" t="str">
        <f>CONCATENATE(Cover!$D$6,"fdd/view?i=",J7075)</f>
        <v>https://www.dgiwg.org/FAD/fdd/view?i=117954</v>
      </c>
      <c r="L7075" s="36" t="s">
        <v>44118</v>
      </c>
      <c r="M7075" s="186"/>
      <c r="N7075" s="186"/>
      <c r="O7075" s="172"/>
    </row>
    <row r="7076" spans="1:15" x14ac:dyDescent="0.2">
      <c r="A7076" s="190" t="str">
        <f t="shared" si="110"/>
        <v>RcoCode_bidirectional</v>
      </c>
      <c r="B7076" s="414" t="str">
        <f>HYPERLINK("[#]Datatypes!A1207:L1207","RcoCode")</f>
        <v>RcoCode</v>
      </c>
      <c r="C7076" s="415" t="s">
        <v>15822</v>
      </c>
      <c r="D7076" s="221" t="s">
        <v>7070</v>
      </c>
      <c r="E7076" s="221">
        <v>1</v>
      </c>
      <c r="F7076" s="222" t="s">
        <v>7072</v>
      </c>
      <c r="G7076" s="223" t="s">
        <v>44119</v>
      </c>
      <c r="H7076" s="224"/>
      <c r="I7076" s="345"/>
      <c r="J7076" s="39">
        <v>116563</v>
      </c>
      <c r="K7076" s="36" t="str">
        <f>CONCATENATE(Cover!$D$6,"fdd/view?i=",J7076)</f>
        <v>https://www.dgiwg.org/FAD/fdd/view?i=116563</v>
      </c>
      <c r="L7076" s="36" t="s">
        <v>44120</v>
      </c>
      <c r="M7076" s="186"/>
      <c r="N7076" s="186"/>
      <c r="O7076" s="172"/>
    </row>
    <row r="7077" spans="1:15" ht="25.5" x14ac:dyDescent="0.2">
      <c r="A7077" s="197" t="str">
        <f t="shared" si="110"/>
        <v>RcoCode_downcast</v>
      </c>
      <c r="B7077" s="409"/>
      <c r="C7077" s="416"/>
      <c r="D7077" s="198" t="s">
        <v>44121</v>
      </c>
      <c r="E7077" s="198">
        <v>2</v>
      </c>
      <c r="F7077" s="199" t="s">
        <v>44122</v>
      </c>
      <c r="G7077" s="1" t="s">
        <v>44123</v>
      </c>
      <c r="H7077" s="200"/>
      <c r="I7077" s="346"/>
      <c r="J7077" s="39">
        <v>116564</v>
      </c>
      <c r="K7077" s="36" t="str">
        <f>CONCATENATE(Cover!$D$6,"fdd/view?i=",J7077)</f>
        <v>https://www.dgiwg.org/FAD/fdd/view?i=116564</v>
      </c>
      <c r="L7077" s="36" t="s">
        <v>44124</v>
      </c>
      <c r="M7077" s="186"/>
      <c r="N7077" s="186"/>
      <c r="O7077" s="172"/>
    </row>
    <row r="7078" spans="1:15" ht="25.5" x14ac:dyDescent="0.2">
      <c r="A7078" s="197" t="str">
        <f t="shared" si="110"/>
        <v>RcoCode_downlink</v>
      </c>
      <c r="B7078" s="409"/>
      <c r="C7078" s="416"/>
      <c r="D7078" s="198" t="s">
        <v>44125</v>
      </c>
      <c r="E7078" s="198">
        <v>3</v>
      </c>
      <c r="F7078" s="199" t="s">
        <v>44126</v>
      </c>
      <c r="G7078" s="1" t="s">
        <v>44127</v>
      </c>
      <c r="H7078" s="200"/>
      <c r="I7078" s="346"/>
      <c r="J7078" s="39">
        <v>116565</v>
      </c>
      <c r="K7078" s="36" t="str">
        <f>CONCATENATE(Cover!$D$6,"fdd/view?i=",J7078)</f>
        <v>https://www.dgiwg.org/FAD/fdd/view?i=116565</v>
      </c>
      <c r="L7078" s="36" t="s">
        <v>44128</v>
      </c>
      <c r="M7078" s="186"/>
      <c r="N7078" s="186"/>
      <c r="O7078" s="172"/>
    </row>
    <row r="7079" spans="1:15" ht="25.5" x14ac:dyDescent="0.2">
      <c r="A7079" s="197" t="str">
        <f t="shared" si="110"/>
        <v>RcoCode_upcast</v>
      </c>
      <c r="B7079" s="409"/>
      <c r="C7079" s="416"/>
      <c r="D7079" s="198" t="s">
        <v>44129</v>
      </c>
      <c r="E7079" s="198">
        <v>4</v>
      </c>
      <c r="F7079" s="199" t="s">
        <v>44130</v>
      </c>
      <c r="G7079" s="1" t="s">
        <v>44131</v>
      </c>
      <c r="H7079" s="200"/>
      <c r="I7079" s="346"/>
      <c r="J7079" s="39">
        <v>116566</v>
      </c>
      <c r="K7079" s="36" t="str">
        <f>CONCATENATE(Cover!$D$6,"fdd/view?i=",J7079)</f>
        <v>https://www.dgiwg.org/FAD/fdd/view?i=116566</v>
      </c>
      <c r="L7079" s="36" t="s">
        <v>44132</v>
      </c>
      <c r="M7079" s="186"/>
      <c r="N7079" s="186"/>
      <c r="O7079" s="172"/>
    </row>
    <row r="7080" spans="1:15" ht="25.5" x14ac:dyDescent="0.2">
      <c r="A7080" s="203" t="str">
        <f t="shared" si="110"/>
        <v>RcoCode_uplink</v>
      </c>
      <c r="B7080" s="410"/>
      <c r="C7080" s="417"/>
      <c r="D7080" s="204" t="s">
        <v>44133</v>
      </c>
      <c r="E7080" s="204">
        <v>5</v>
      </c>
      <c r="F7080" s="205" t="s">
        <v>44134</v>
      </c>
      <c r="G7080" s="206" t="s">
        <v>44135</v>
      </c>
      <c r="H7080" s="207"/>
      <c r="I7080" s="347"/>
      <c r="J7080" s="39">
        <v>116567</v>
      </c>
      <c r="K7080" s="36" t="str">
        <f>CONCATENATE(Cover!$D$6,"fdd/view?i=",J7080)</f>
        <v>https://www.dgiwg.org/FAD/fdd/view?i=116567</v>
      </c>
      <c r="L7080" s="36" t="s">
        <v>44136</v>
      </c>
      <c r="M7080" s="186"/>
      <c r="N7080" s="186"/>
      <c r="O7080" s="172"/>
    </row>
    <row r="7081" spans="1:15" ht="25.5" x14ac:dyDescent="0.2">
      <c r="A7081" s="190" t="str">
        <f t="shared" si="110"/>
        <v>RncCode_actualCoverage</v>
      </c>
      <c r="B7081" s="414" t="str">
        <f>HYPERLINK("[#]Datatypes!A1209:L1209","RncCode")</f>
        <v>RncCode</v>
      </c>
      <c r="C7081" s="415" t="s">
        <v>15824</v>
      </c>
      <c r="D7081" s="221" t="s">
        <v>44137</v>
      </c>
      <c r="E7081" s="221">
        <v>2</v>
      </c>
      <c r="F7081" s="222" t="s">
        <v>44138</v>
      </c>
      <c r="G7081" s="223" t="s">
        <v>44139</v>
      </c>
      <c r="H7081" s="223" t="s">
        <v>44140</v>
      </c>
      <c r="I7081" s="345"/>
      <c r="J7081" s="39">
        <v>115358</v>
      </c>
      <c r="K7081" s="36" t="str">
        <f>CONCATENATE(Cover!$D$6,"fdd/view?i=",J7081)</f>
        <v>https://www.dgiwg.org/FAD/fdd/view?i=115358</v>
      </c>
      <c r="L7081" s="36" t="s">
        <v>44141</v>
      </c>
      <c r="M7081" s="186"/>
      <c r="N7081" s="186"/>
      <c r="O7081" s="172"/>
    </row>
    <row r="7082" spans="1:15" x14ac:dyDescent="0.2">
      <c r="A7082" s="197" t="str">
        <f t="shared" si="110"/>
        <v>RncCode_restricted</v>
      </c>
      <c r="B7082" s="409"/>
      <c r="C7082" s="416"/>
      <c r="D7082" s="198" t="s">
        <v>16537</v>
      </c>
      <c r="E7082" s="198">
        <v>3</v>
      </c>
      <c r="F7082" s="199" t="s">
        <v>16538</v>
      </c>
      <c r="G7082" s="1" t="s">
        <v>44142</v>
      </c>
      <c r="H7082" s="200"/>
      <c r="I7082" s="346"/>
      <c r="J7082" s="39">
        <v>115359</v>
      </c>
      <c r="K7082" s="36" t="str">
        <f>CONCATENATE(Cover!$D$6,"fdd/view?i=",J7082)</f>
        <v>https://www.dgiwg.org/FAD/fdd/view?i=115359</v>
      </c>
      <c r="L7082" s="36" t="s">
        <v>44143</v>
      </c>
      <c r="M7082" s="186"/>
      <c r="N7082" s="186"/>
      <c r="O7082" s="172"/>
    </row>
    <row r="7083" spans="1:15" ht="25.5" x14ac:dyDescent="0.2">
      <c r="A7083" s="203" t="str">
        <f t="shared" si="110"/>
        <v>RncCode_theoreticalCoverage</v>
      </c>
      <c r="B7083" s="410"/>
      <c r="C7083" s="417"/>
      <c r="D7083" s="204" t="s">
        <v>44144</v>
      </c>
      <c r="E7083" s="204">
        <v>1</v>
      </c>
      <c r="F7083" s="205" t="s">
        <v>44145</v>
      </c>
      <c r="G7083" s="206" t="s">
        <v>44146</v>
      </c>
      <c r="H7083" s="207"/>
      <c r="I7083" s="353" t="s">
        <v>44147</v>
      </c>
      <c r="J7083" s="39">
        <v>115357</v>
      </c>
      <c r="K7083" s="36" t="str">
        <f>CONCATENATE(Cover!$D$6,"fdd/view?i=",J7083)</f>
        <v>https://www.dgiwg.org/FAD/fdd/view?i=115357</v>
      </c>
      <c r="L7083" s="36" t="s">
        <v>44148</v>
      </c>
      <c r="M7083" s="186"/>
      <c r="N7083" s="186"/>
      <c r="O7083" s="172"/>
    </row>
    <row r="7084" spans="1:15" ht="25.5" x14ac:dyDescent="0.2">
      <c r="A7084" s="190" t="str">
        <f t="shared" si="110"/>
        <v>RnlCode_outOfTolerance</v>
      </c>
      <c r="B7084" s="414" t="str">
        <f>HYPERLINK("[#]Datatypes!A1211:L1211","RnlCode")</f>
        <v>RnlCode</v>
      </c>
      <c r="C7084" s="415" t="s">
        <v>15826</v>
      </c>
      <c r="D7084" s="221" t="s">
        <v>44149</v>
      </c>
      <c r="E7084" s="221">
        <v>3</v>
      </c>
      <c r="F7084" s="222" t="s">
        <v>44150</v>
      </c>
      <c r="G7084" s="223" t="s">
        <v>44151</v>
      </c>
      <c r="H7084" s="224"/>
      <c r="I7084" s="345"/>
      <c r="J7084" s="39">
        <v>115354</v>
      </c>
      <c r="K7084" s="36" t="str">
        <f>CONCATENATE(Cover!$D$6,"fdd/view?i=",J7084)</f>
        <v>https://www.dgiwg.org/FAD/fdd/view?i=115354</v>
      </c>
      <c r="L7084" s="36" t="s">
        <v>44152</v>
      </c>
      <c r="M7084" s="186"/>
      <c r="N7084" s="186"/>
      <c r="O7084" s="172"/>
    </row>
    <row r="7085" spans="1:15" ht="51" x14ac:dyDescent="0.2">
      <c r="A7085" s="197" t="str">
        <f t="shared" si="110"/>
        <v>RnlCode_roughness</v>
      </c>
      <c r="B7085" s="409"/>
      <c r="C7085" s="416"/>
      <c r="D7085" s="198" t="s">
        <v>44153</v>
      </c>
      <c r="E7085" s="198">
        <v>4</v>
      </c>
      <c r="F7085" s="199" t="s">
        <v>44154</v>
      </c>
      <c r="G7085" s="1" t="s">
        <v>44155</v>
      </c>
      <c r="H7085" s="1" t="s">
        <v>44156</v>
      </c>
      <c r="I7085" s="346"/>
      <c r="J7085" s="39">
        <v>115355</v>
      </c>
      <c r="K7085" s="36" t="str">
        <f>CONCATENATE(Cover!$D$6,"fdd/view?i=",J7085)</f>
        <v>https://www.dgiwg.org/FAD/fdd/view?i=115355</v>
      </c>
      <c r="L7085" s="36" t="s">
        <v>44157</v>
      </c>
      <c r="M7085" s="186"/>
      <c r="N7085" s="186"/>
      <c r="O7085" s="172"/>
    </row>
    <row r="7086" spans="1:15" ht="38.25" x14ac:dyDescent="0.2">
      <c r="A7086" s="197" t="str">
        <f t="shared" si="110"/>
        <v>RnlCode_scalloping</v>
      </c>
      <c r="B7086" s="409"/>
      <c r="C7086" s="416"/>
      <c r="D7086" s="198" t="s">
        <v>44158</v>
      </c>
      <c r="E7086" s="198">
        <v>5</v>
      </c>
      <c r="F7086" s="199" t="s">
        <v>44159</v>
      </c>
      <c r="G7086" s="1" t="s">
        <v>44160</v>
      </c>
      <c r="H7086" s="1" t="s">
        <v>44161</v>
      </c>
      <c r="I7086" s="346"/>
      <c r="J7086" s="39">
        <v>115356</v>
      </c>
      <c r="K7086" s="36" t="str">
        <f>CONCATENATE(Cover!$D$6,"fdd/view?i=",J7086)</f>
        <v>https://www.dgiwg.org/FAD/fdd/view?i=115356</v>
      </c>
      <c r="L7086" s="36" t="s">
        <v>44162</v>
      </c>
      <c r="M7086" s="186"/>
      <c r="N7086" s="186"/>
      <c r="O7086" s="172"/>
    </row>
    <row r="7087" spans="1:15" ht="38.25" x14ac:dyDescent="0.2">
      <c r="A7087" s="197" t="str">
        <f t="shared" si="110"/>
        <v>RnlCode_unreliable</v>
      </c>
      <c r="B7087" s="409"/>
      <c r="C7087" s="416"/>
      <c r="D7087" s="198" t="s">
        <v>20263</v>
      </c>
      <c r="E7087" s="198">
        <v>1</v>
      </c>
      <c r="F7087" s="199" t="s">
        <v>20264</v>
      </c>
      <c r="G7087" s="1" t="s">
        <v>44163</v>
      </c>
      <c r="H7087" s="200"/>
      <c r="I7087" s="351" t="s">
        <v>44164</v>
      </c>
      <c r="J7087" s="39">
        <v>115352</v>
      </c>
      <c r="K7087" s="36" t="str">
        <f>CONCATENATE(Cover!$D$6,"fdd/view?i=",J7087)</f>
        <v>https://www.dgiwg.org/FAD/fdd/view?i=115352</v>
      </c>
      <c r="L7087" s="36" t="s">
        <v>44165</v>
      </c>
      <c r="M7087" s="186"/>
      <c r="N7087" s="186"/>
      <c r="O7087" s="172"/>
    </row>
    <row r="7088" spans="1:15" ht="25.5" x14ac:dyDescent="0.2">
      <c r="A7088" s="203" t="str">
        <f t="shared" si="110"/>
        <v>RnlCode_unusable</v>
      </c>
      <c r="B7088" s="410"/>
      <c r="C7088" s="417"/>
      <c r="D7088" s="204" t="s">
        <v>44166</v>
      </c>
      <c r="E7088" s="204">
        <v>2</v>
      </c>
      <c r="F7088" s="205" t="s">
        <v>44167</v>
      </c>
      <c r="G7088" s="206" t="s">
        <v>44168</v>
      </c>
      <c r="H7088" s="207"/>
      <c r="I7088" s="353" t="s">
        <v>44169</v>
      </c>
      <c r="J7088" s="39">
        <v>115353</v>
      </c>
      <c r="K7088" s="36" t="str">
        <f>CONCATENATE(Cover!$D$6,"fdd/view?i=",J7088)</f>
        <v>https://www.dgiwg.org/FAD/fdd/view?i=115353</v>
      </c>
      <c r="L7088" s="36" t="s">
        <v>44170</v>
      </c>
      <c r="M7088" s="186"/>
      <c r="N7088" s="186"/>
      <c r="O7088" s="172"/>
    </row>
    <row r="7089" spans="1:15" ht="25.5" x14ac:dyDescent="0.2">
      <c r="A7089" s="190" t="str">
        <f t="shared" si="110"/>
        <v>RosCode_aeronauticalRadioBeacon</v>
      </c>
      <c r="B7089" s="414" t="str">
        <f>HYPERLINK("[#]Datatypes!A1213:L1213","RosCode")</f>
        <v>RosCode</v>
      </c>
      <c r="C7089" s="415" t="s">
        <v>15828</v>
      </c>
      <c r="D7089" s="221" t="s">
        <v>44171</v>
      </c>
      <c r="E7089" s="221">
        <v>7</v>
      </c>
      <c r="F7089" s="222" t="s">
        <v>44172</v>
      </c>
      <c r="G7089" s="224"/>
      <c r="H7089" s="224"/>
      <c r="I7089" s="345"/>
      <c r="J7089" s="39">
        <v>107230</v>
      </c>
      <c r="K7089" s="36" t="str">
        <f>CONCATENATE(Cover!$D$6,"fdd/view?i=",J7089)</f>
        <v>https://www.dgiwg.org/FAD/fdd/view?i=107230</v>
      </c>
      <c r="L7089" s="36" t="s">
        <v>44173</v>
      </c>
      <c r="M7089" s="186"/>
      <c r="N7089" s="186"/>
      <c r="O7089" s="172"/>
    </row>
    <row r="7090" spans="1:15" ht="51" x14ac:dyDescent="0.2">
      <c r="A7090" s="197" t="str">
        <f t="shared" si="110"/>
        <v>RosCode_circMarineAeroRadioBeacon</v>
      </c>
      <c r="B7090" s="409"/>
      <c r="C7090" s="416"/>
      <c r="D7090" s="198" t="s">
        <v>44174</v>
      </c>
      <c r="E7090" s="198">
        <v>1</v>
      </c>
      <c r="F7090" s="199" t="s">
        <v>44175</v>
      </c>
      <c r="G7090" s="200"/>
      <c r="H7090" s="200"/>
      <c r="I7090" s="346"/>
      <c r="J7090" s="39">
        <v>107224</v>
      </c>
      <c r="K7090" s="36" t="str">
        <f>CONCATENATE(Cover!$D$6,"fdd/view?i=",J7090)</f>
        <v>https://www.dgiwg.org/FAD/fdd/view?i=107224</v>
      </c>
      <c r="L7090" s="36" t="s">
        <v>44176</v>
      </c>
      <c r="M7090" s="186"/>
      <c r="N7090" s="186"/>
      <c r="O7090" s="172"/>
    </row>
    <row r="7091" spans="1:15" ht="38.25" x14ac:dyDescent="0.2">
      <c r="A7091" s="197" t="str">
        <f t="shared" si="110"/>
        <v>RosCode_coastRadioStationQTG</v>
      </c>
      <c r="B7091" s="409"/>
      <c r="C7091" s="416"/>
      <c r="D7091" s="198" t="s">
        <v>44177</v>
      </c>
      <c r="E7091" s="198">
        <v>6</v>
      </c>
      <c r="F7091" s="199" t="s">
        <v>44178</v>
      </c>
      <c r="G7091" s="200"/>
      <c r="H7091" s="200"/>
      <c r="I7091" s="346"/>
      <c r="J7091" s="39">
        <v>107229</v>
      </c>
      <c r="K7091" s="36" t="str">
        <f>CONCATENATE(Cover!$D$6,"fdd/view?i=",J7091)</f>
        <v>https://www.dgiwg.org/FAD/fdd/view?i=107229</v>
      </c>
      <c r="L7091" s="36" t="s">
        <v>44179</v>
      </c>
      <c r="M7091" s="186"/>
      <c r="N7091" s="186"/>
      <c r="O7091" s="172"/>
    </row>
    <row r="7092" spans="1:15" ht="25.5" x14ac:dyDescent="0.2">
      <c r="A7092" s="197" t="str">
        <f t="shared" si="110"/>
        <v>RosCode_consolRadioBeacon</v>
      </c>
      <c r="B7092" s="409"/>
      <c r="C7092" s="416"/>
      <c r="D7092" s="198" t="s">
        <v>41721</v>
      </c>
      <c r="E7092" s="198">
        <v>4</v>
      </c>
      <c r="F7092" s="199" t="s">
        <v>41722</v>
      </c>
      <c r="G7092" s="1" t="s">
        <v>41723</v>
      </c>
      <c r="H7092" s="200"/>
      <c r="I7092" s="346"/>
      <c r="J7092" s="39">
        <v>107227</v>
      </c>
      <c r="K7092" s="36" t="str">
        <f>CONCATENATE(Cover!$D$6,"fdd/view?i=",J7092)</f>
        <v>https://www.dgiwg.org/FAD/fdd/view?i=107227</v>
      </c>
      <c r="L7092" s="36" t="s">
        <v>44180</v>
      </c>
      <c r="M7092" s="186"/>
      <c r="N7092" s="186"/>
      <c r="O7092" s="172"/>
    </row>
    <row r="7093" spans="1:15" ht="25.5" x14ac:dyDescent="0.2">
      <c r="A7093" s="197" t="str">
        <f t="shared" si="110"/>
        <v>RosCode_directionalRadiobeacon</v>
      </c>
      <c r="B7093" s="409"/>
      <c r="C7093" s="416"/>
      <c r="D7093" s="198" t="s">
        <v>38364</v>
      </c>
      <c r="E7093" s="198">
        <v>2</v>
      </c>
      <c r="F7093" s="199" t="s">
        <v>38365</v>
      </c>
      <c r="G7093" s="200"/>
      <c r="H7093" s="200"/>
      <c r="I7093" s="346"/>
      <c r="J7093" s="39">
        <v>107225</v>
      </c>
      <c r="K7093" s="36" t="str">
        <f>CONCATENATE(Cover!$D$6,"fdd/view?i=",J7093)</f>
        <v>https://www.dgiwg.org/FAD/fdd/view?i=107225</v>
      </c>
      <c r="L7093" s="36" t="s">
        <v>44181</v>
      </c>
      <c r="M7093" s="186"/>
      <c r="N7093" s="186"/>
      <c r="O7093" s="172"/>
    </row>
    <row r="7094" spans="1:15" ht="25.5" x14ac:dyDescent="0.2">
      <c r="A7094" s="197" t="str">
        <f t="shared" si="110"/>
        <v>RosCode_radioDirFindingStation</v>
      </c>
      <c r="B7094" s="409"/>
      <c r="C7094" s="416"/>
      <c r="D7094" s="198" t="s">
        <v>44182</v>
      </c>
      <c r="E7094" s="198">
        <v>5</v>
      </c>
      <c r="F7094" s="199" t="s">
        <v>44183</v>
      </c>
      <c r="G7094" s="200"/>
      <c r="H7094" s="200"/>
      <c r="I7094" s="346"/>
      <c r="J7094" s="39">
        <v>107228</v>
      </c>
      <c r="K7094" s="36" t="str">
        <f>CONCATENATE(Cover!$D$6,"fdd/view?i=",J7094)</f>
        <v>https://www.dgiwg.org/FAD/fdd/view?i=107228</v>
      </c>
      <c r="L7094" s="36" t="s">
        <v>44184</v>
      </c>
      <c r="M7094" s="186"/>
      <c r="N7094" s="186"/>
      <c r="O7094" s="172"/>
    </row>
    <row r="7095" spans="1:15" ht="25.5" x14ac:dyDescent="0.2">
      <c r="A7095" s="203" t="str">
        <f t="shared" si="110"/>
        <v>RosCode_rotatingPatRadioBeacon</v>
      </c>
      <c r="B7095" s="410"/>
      <c r="C7095" s="417"/>
      <c r="D7095" s="204" t="s">
        <v>44185</v>
      </c>
      <c r="E7095" s="204">
        <v>3</v>
      </c>
      <c r="F7095" s="205" t="s">
        <v>44186</v>
      </c>
      <c r="G7095" s="207"/>
      <c r="H7095" s="207"/>
      <c r="I7095" s="347"/>
      <c r="J7095" s="39">
        <v>107226</v>
      </c>
      <c r="K7095" s="36" t="str">
        <f>CONCATENATE(Cover!$D$6,"fdd/view?i=",J7095)</f>
        <v>https://www.dgiwg.org/FAD/fdd/view?i=107226</v>
      </c>
      <c r="L7095" s="36" t="s">
        <v>44187</v>
      </c>
      <c r="M7095" s="186"/>
      <c r="N7095" s="186"/>
      <c r="O7095" s="172"/>
    </row>
    <row r="7096" spans="1:15" x14ac:dyDescent="0.2">
      <c r="A7096" s="190" t="str">
        <f t="shared" si="110"/>
        <v>RfbCode_cBand</v>
      </c>
      <c r="B7096" s="414" t="str">
        <f>HYPERLINK("[#]Datatypes!A1215:L1215","RfbCode")</f>
        <v>RfbCode</v>
      </c>
      <c r="C7096" s="415" t="s">
        <v>15830</v>
      </c>
      <c r="D7096" s="221" t="s">
        <v>44188</v>
      </c>
      <c r="E7096" s="221">
        <v>3</v>
      </c>
      <c r="F7096" s="222" t="s">
        <v>44189</v>
      </c>
      <c r="G7096" s="223" t="s">
        <v>44190</v>
      </c>
      <c r="H7096" s="223" t="s">
        <v>44191</v>
      </c>
      <c r="I7096" s="345"/>
      <c r="J7096" s="39">
        <v>119479</v>
      </c>
      <c r="K7096" s="36" t="str">
        <f>CONCATENATE(Cover!$D$6,"fdd/view?i=",J7096)</f>
        <v>https://www.dgiwg.org/FAD/fdd/view?i=119479</v>
      </c>
      <c r="L7096" s="36" t="s">
        <v>44192</v>
      </c>
      <c r="M7096" s="186"/>
      <c r="N7096" s="186"/>
      <c r="O7096" s="172"/>
    </row>
    <row r="7097" spans="1:15" ht="25.5" x14ac:dyDescent="0.2">
      <c r="A7097" s="197" t="str">
        <f t="shared" si="110"/>
        <v>RfbCode_highFrequency</v>
      </c>
      <c r="B7097" s="409"/>
      <c r="C7097" s="416"/>
      <c r="D7097" s="198" t="s">
        <v>44193</v>
      </c>
      <c r="E7097" s="198">
        <v>12</v>
      </c>
      <c r="F7097" s="199" t="s">
        <v>44194</v>
      </c>
      <c r="G7097" s="1" t="s">
        <v>44195</v>
      </c>
      <c r="H7097" s="1" t="s">
        <v>44191</v>
      </c>
      <c r="I7097" s="346"/>
      <c r="J7097" s="39">
        <v>119488</v>
      </c>
      <c r="K7097" s="36" t="str">
        <f>CONCATENATE(Cover!$D$6,"fdd/view?i=",J7097)</f>
        <v>https://www.dgiwg.org/FAD/fdd/view?i=119488</v>
      </c>
      <c r="L7097" s="36" t="s">
        <v>44196</v>
      </c>
      <c r="M7097" s="186"/>
      <c r="N7097" s="186"/>
      <c r="O7097" s="172"/>
    </row>
    <row r="7098" spans="1:15" x14ac:dyDescent="0.2">
      <c r="A7098" s="197" t="str">
        <f t="shared" si="110"/>
        <v>RfbCode_kaBand</v>
      </c>
      <c r="B7098" s="409"/>
      <c r="C7098" s="416"/>
      <c r="D7098" s="198" t="s">
        <v>44201</v>
      </c>
      <c r="E7098" s="198">
        <v>7</v>
      </c>
      <c r="F7098" s="199" t="s">
        <v>44202</v>
      </c>
      <c r="G7098" s="1" t="s">
        <v>44203</v>
      </c>
      <c r="H7098" s="1" t="s">
        <v>44191</v>
      </c>
      <c r="I7098" s="346"/>
      <c r="J7098" s="39">
        <v>119483</v>
      </c>
      <c r="K7098" s="36" t="str">
        <f>CONCATENATE(Cover!$D$6,"fdd/view?i=",J7098)</f>
        <v>https://www.dgiwg.org/FAD/fdd/view?i=119483</v>
      </c>
      <c r="L7098" s="36" t="s">
        <v>44204</v>
      </c>
      <c r="M7098" s="186"/>
      <c r="N7098" s="186"/>
      <c r="O7098" s="172"/>
    </row>
    <row r="7099" spans="1:15" x14ac:dyDescent="0.2">
      <c r="A7099" s="197" t="str">
        <f t="shared" si="110"/>
        <v>RfbCode_kBand</v>
      </c>
      <c r="B7099" s="409"/>
      <c r="C7099" s="416"/>
      <c r="D7099" s="198" t="s">
        <v>44197</v>
      </c>
      <c r="E7099" s="198">
        <v>6</v>
      </c>
      <c r="F7099" s="199" t="s">
        <v>44198</v>
      </c>
      <c r="G7099" s="1" t="s">
        <v>44199</v>
      </c>
      <c r="H7099" s="1" t="s">
        <v>44191</v>
      </c>
      <c r="I7099" s="346"/>
      <c r="J7099" s="39">
        <v>119482</v>
      </c>
      <c r="K7099" s="36" t="str">
        <f>CONCATENATE(Cover!$D$6,"fdd/view?i=",J7099)</f>
        <v>https://www.dgiwg.org/FAD/fdd/view?i=119482</v>
      </c>
      <c r="L7099" s="36" t="s">
        <v>44200</v>
      </c>
      <c r="M7099" s="186"/>
      <c r="N7099" s="186"/>
      <c r="O7099" s="172"/>
    </row>
    <row r="7100" spans="1:15" x14ac:dyDescent="0.2">
      <c r="A7100" s="197" t="str">
        <f t="shared" si="110"/>
        <v>RfbCode_kuBand</v>
      </c>
      <c r="B7100" s="409"/>
      <c r="C7100" s="416"/>
      <c r="D7100" s="198" t="s">
        <v>44205</v>
      </c>
      <c r="E7100" s="198">
        <v>5</v>
      </c>
      <c r="F7100" s="199" t="s">
        <v>44206</v>
      </c>
      <c r="G7100" s="1" t="s">
        <v>44207</v>
      </c>
      <c r="H7100" s="1" t="s">
        <v>44191</v>
      </c>
      <c r="I7100" s="346"/>
      <c r="J7100" s="39">
        <v>119481</v>
      </c>
      <c r="K7100" s="36" t="str">
        <f>CONCATENATE(Cover!$D$6,"fdd/view?i=",J7100)</f>
        <v>https://www.dgiwg.org/FAD/fdd/view?i=119481</v>
      </c>
      <c r="L7100" s="36" t="s">
        <v>44208</v>
      </c>
      <c r="M7100" s="186"/>
      <c r="N7100" s="186"/>
      <c r="O7100" s="172"/>
    </row>
    <row r="7101" spans="1:15" x14ac:dyDescent="0.2">
      <c r="A7101" s="197" t="str">
        <f t="shared" si="110"/>
        <v>RfbCode_lBand</v>
      </c>
      <c r="B7101" s="409"/>
      <c r="C7101" s="416"/>
      <c r="D7101" s="198" t="s">
        <v>44209</v>
      </c>
      <c r="E7101" s="198">
        <v>1</v>
      </c>
      <c r="F7101" s="199" t="s">
        <v>44210</v>
      </c>
      <c r="G7101" s="1" t="s">
        <v>44211</v>
      </c>
      <c r="H7101" s="1" t="s">
        <v>44191</v>
      </c>
      <c r="I7101" s="346"/>
      <c r="J7101" s="39">
        <v>119477</v>
      </c>
      <c r="K7101" s="36" t="str">
        <f>CONCATENATE(Cover!$D$6,"fdd/view?i=",J7101)</f>
        <v>https://www.dgiwg.org/FAD/fdd/view?i=119477</v>
      </c>
      <c r="L7101" s="36" t="s">
        <v>44212</v>
      </c>
      <c r="M7101" s="186"/>
      <c r="N7101" s="186"/>
      <c r="O7101" s="172"/>
    </row>
    <row r="7102" spans="1:15" ht="25.5" x14ac:dyDescent="0.2">
      <c r="A7102" s="197" t="str">
        <f t="shared" si="110"/>
        <v>RfbCode_lowFrequency</v>
      </c>
      <c r="B7102" s="409"/>
      <c r="C7102" s="416"/>
      <c r="D7102" s="198" t="s">
        <v>44213</v>
      </c>
      <c r="E7102" s="198">
        <v>10</v>
      </c>
      <c r="F7102" s="199" t="s">
        <v>44214</v>
      </c>
      <c r="G7102" s="1" t="s">
        <v>44215</v>
      </c>
      <c r="H7102" s="1" t="s">
        <v>44191</v>
      </c>
      <c r="I7102" s="346"/>
      <c r="J7102" s="39">
        <v>119486</v>
      </c>
      <c r="K7102" s="36" t="str">
        <f>CONCATENATE(Cover!$D$6,"fdd/view?i=",J7102)</f>
        <v>https://www.dgiwg.org/FAD/fdd/view?i=119486</v>
      </c>
      <c r="L7102" s="36" t="s">
        <v>44216</v>
      </c>
      <c r="M7102" s="186"/>
      <c r="N7102" s="186"/>
      <c r="O7102" s="172"/>
    </row>
    <row r="7103" spans="1:15" ht="25.5" x14ac:dyDescent="0.2">
      <c r="A7103" s="197" t="str">
        <f t="shared" si="110"/>
        <v>RfbCode_mediumFrequency</v>
      </c>
      <c r="B7103" s="409"/>
      <c r="C7103" s="416"/>
      <c r="D7103" s="198" t="s">
        <v>44217</v>
      </c>
      <c r="E7103" s="198">
        <v>11</v>
      </c>
      <c r="F7103" s="199" t="s">
        <v>44218</v>
      </c>
      <c r="G7103" s="1" t="s">
        <v>44219</v>
      </c>
      <c r="H7103" s="1" t="s">
        <v>44191</v>
      </c>
      <c r="I7103" s="346"/>
      <c r="J7103" s="39">
        <v>119487</v>
      </c>
      <c r="K7103" s="36" t="str">
        <f>CONCATENATE(Cover!$D$6,"fdd/view?i=",J7103)</f>
        <v>https://www.dgiwg.org/FAD/fdd/view?i=119487</v>
      </c>
      <c r="L7103" s="36" t="s">
        <v>44220</v>
      </c>
      <c r="M7103" s="186"/>
      <c r="N7103" s="186"/>
      <c r="O7103" s="172"/>
    </row>
    <row r="7104" spans="1:15" x14ac:dyDescent="0.2">
      <c r="A7104" s="197" t="str">
        <f t="shared" si="110"/>
        <v>RfbCode_oBand</v>
      </c>
      <c r="B7104" s="409"/>
      <c r="C7104" s="416"/>
      <c r="D7104" s="198" t="s">
        <v>44221</v>
      </c>
      <c r="E7104" s="198">
        <v>8</v>
      </c>
      <c r="F7104" s="199" t="s">
        <v>44222</v>
      </c>
      <c r="G7104" s="1" t="s">
        <v>44223</v>
      </c>
      <c r="H7104" s="1" t="s">
        <v>44191</v>
      </c>
      <c r="I7104" s="346"/>
      <c r="J7104" s="39">
        <v>119484</v>
      </c>
      <c r="K7104" s="36" t="str">
        <f>CONCATENATE(Cover!$D$6,"fdd/view?i=",J7104)</f>
        <v>https://www.dgiwg.org/FAD/fdd/view?i=119484</v>
      </c>
      <c r="L7104" s="36" t="s">
        <v>44224</v>
      </c>
      <c r="M7104" s="186"/>
      <c r="N7104" s="186"/>
      <c r="O7104" s="172"/>
    </row>
    <row r="7105" spans="1:15" x14ac:dyDescent="0.2">
      <c r="A7105" s="197" t="str">
        <f t="shared" si="110"/>
        <v>RfbCode_sBand</v>
      </c>
      <c r="B7105" s="409"/>
      <c r="C7105" s="416"/>
      <c r="D7105" s="198" t="s">
        <v>44225</v>
      </c>
      <c r="E7105" s="198">
        <v>2</v>
      </c>
      <c r="F7105" s="199" t="s">
        <v>44226</v>
      </c>
      <c r="G7105" s="1" t="s">
        <v>44227</v>
      </c>
      <c r="H7105" s="1" t="s">
        <v>44191</v>
      </c>
      <c r="I7105" s="346"/>
      <c r="J7105" s="39">
        <v>119478</v>
      </c>
      <c r="K7105" s="36" t="str">
        <f>CONCATENATE(Cover!$D$6,"fdd/view?i=",J7105)</f>
        <v>https://www.dgiwg.org/FAD/fdd/view?i=119478</v>
      </c>
      <c r="L7105" s="36" t="s">
        <v>44228</v>
      </c>
      <c r="M7105" s="186"/>
      <c r="N7105" s="186"/>
      <c r="O7105" s="172"/>
    </row>
    <row r="7106" spans="1:15" ht="25.5" x14ac:dyDescent="0.2">
      <c r="A7106" s="197" t="str">
        <f t="shared" ref="A7106:A7169" si="111">HYPERLINK(K7106,L7106)</f>
        <v>RfbCode_ultraHighFrequency</v>
      </c>
      <c r="B7106" s="409"/>
      <c r="C7106" s="416"/>
      <c r="D7106" s="198" t="s">
        <v>44229</v>
      </c>
      <c r="E7106" s="198">
        <v>14</v>
      </c>
      <c r="F7106" s="199" t="s">
        <v>44230</v>
      </c>
      <c r="G7106" s="1" t="s">
        <v>44231</v>
      </c>
      <c r="H7106" s="1" t="s">
        <v>44191</v>
      </c>
      <c r="I7106" s="346"/>
      <c r="J7106" s="39">
        <v>119490</v>
      </c>
      <c r="K7106" s="36" t="str">
        <f>CONCATENATE(Cover!$D$6,"fdd/view?i=",J7106)</f>
        <v>https://www.dgiwg.org/FAD/fdd/view?i=119490</v>
      </c>
      <c r="L7106" s="36" t="s">
        <v>44232</v>
      </c>
      <c r="M7106" s="186"/>
      <c r="N7106" s="186"/>
      <c r="O7106" s="172"/>
    </row>
    <row r="7107" spans="1:15" x14ac:dyDescent="0.2">
      <c r="A7107" s="197" t="str">
        <f t="shared" si="111"/>
        <v>RfbCode_vBand</v>
      </c>
      <c r="B7107" s="409"/>
      <c r="C7107" s="416"/>
      <c r="D7107" s="198" t="s">
        <v>44233</v>
      </c>
      <c r="E7107" s="198">
        <v>9</v>
      </c>
      <c r="F7107" s="199" t="s">
        <v>44234</v>
      </c>
      <c r="G7107" s="1" t="s">
        <v>44235</v>
      </c>
      <c r="H7107" s="1" t="s">
        <v>44191</v>
      </c>
      <c r="I7107" s="346"/>
      <c r="J7107" s="39">
        <v>119485</v>
      </c>
      <c r="K7107" s="36" t="str">
        <f>CONCATENATE(Cover!$D$6,"fdd/view?i=",J7107)</f>
        <v>https://www.dgiwg.org/FAD/fdd/view?i=119485</v>
      </c>
      <c r="L7107" s="36" t="s">
        <v>44236</v>
      </c>
      <c r="M7107" s="186"/>
      <c r="N7107" s="186"/>
      <c r="O7107" s="172"/>
    </row>
    <row r="7108" spans="1:15" ht="25.5" x14ac:dyDescent="0.2">
      <c r="A7108" s="197" t="str">
        <f t="shared" si="111"/>
        <v>RfbCode_veryHighFrequency</v>
      </c>
      <c r="B7108" s="409"/>
      <c r="C7108" s="416"/>
      <c r="D7108" s="198" t="s">
        <v>44237</v>
      </c>
      <c r="E7108" s="198">
        <v>13</v>
      </c>
      <c r="F7108" s="199" t="s">
        <v>44238</v>
      </c>
      <c r="G7108" s="1" t="s">
        <v>44239</v>
      </c>
      <c r="H7108" s="1" t="s">
        <v>44191</v>
      </c>
      <c r="I7108" s="346"/>
      <c r="J7108" s="39">
        <v>119489</v>
      </c>
      <c r="K7108" s="36" t="str">
        <f>CONCATENATE(Cover!$D$6,"fdd/view?i=",J7108)</f>
        <v>https://www.dgiwg.org/FAD/fdd/view?i=119489</v>
      </c>
      <c r="L7108" s="36" t="s">
        <v>44240</v>
      </c>
      <c r="M7108" s="186"/>
      <c r="N7108" s="186"/>
      <c r="O7108" s="172"/>
    </row>
    <row r="7109" spans="1:15" ht="25.5" x14ac:dyDescent="0.2">
      <c r="A7109" s="197" t="str">
        <f t="shared" si="111"/>
        <v>RfbCode_veryLowFrequency</v>
      </c>
      <c r="B7109" s="409"/>
      <c r="C7109" s="416"/>
      <c r="D7109" s="198" t="s">
        <v>44241</v>
      </c>
      <c r="E7109" s="198">
        <v>15</v>
      </c>
      <c r="F7109" s="199" t="s">
        <v>44242</v>
      </c>
      <c r="G7109" s="1" t="s">
        <v>44243</v>
      </c>
      <c r="H7109" s="1" t="s">
        <v>44191</v>
      </c>
      <c r="I7109" s="346"/>
      <c r="J7109" s="39">
        <v>119491</v>
      </c>
      <c r="K7109" s="36" t="str">
        <f>CONCATENATE(Cover!$D$6,"fdd/view?i=",J7109)</f>
        <v>https://www.dgiwg.org/FAD/fdd/view?i=119491</v>
      </c>
      <c r="L7109" s="36" t="s">
        <v>44244</v>
      </c>
      <c r="M7109" s="186"/>
      <c r="N7109" s="186"/>
      <c r="O7109" s="172"/>
    </row>
    <row r="7110" spans="1:15" x14ac:dyDescent="0.2">
      <c r="A7110" s="203" t="str">
        <f t="shared" si="111"/>
        <v>RfbCode_xBand</v>
      </c>
      <c r="B7110" s="410"/>
      <c r="C7110" s="417"/>
      <c r="D7110" s="204" t="s">
        <v>44245</v>
      </c>
      <c r="E7110" s="204">
        <v>4</v>
      </c>
      <c r="F7110" s="205" t="s">
        <v>44246</v>
      </c>
      <c r="G7110" s="206" t="s">
        <v>44247</v>
      </c>
      <c r="H7110" s="206" t="s">
        <v>44191</v>
      </c>
      <c r="I7110" s="347"/>
      <c r="J7110" s="39">
        <v>119480</v>
      </c>
      <c r="K7110" s="36" t="str">
        <f>CONCATENATE(Cover!$D$6,"fdd/view?i=",J7110)</f>
        <v>https://www.dgiwg.org/FAD/fdd/view?i=119480</v>
      </c>
      <c r="L7110" s="36" t="s">
        <v>44248</v>
      </c>
      <c r="M7110" s="186"/>
      <c r="N7110" s="186"/>
      <c r="O7110" s="172"/>
    </row>
    <row r="7111" spans="1:15" x14ac:dyDescent="0.2">
      <c r="A7111" s="190" t="str">
        <f t="shared" si="111"/>
        <v>RwcCode_branchLine</v>
      </c>
      <c r="B7111" s="414" t="str">
        <f>HYPERLINK("[#]Datatypes!A1217:L1217","RwcCode")</f>
        <v>RwcCode</v>
      </c>
      <c r="C7111" s="415" t="s">
        <v>15832</v>
      </c>
      <c r="D7111" s="221" t="s">
        <v>44249</v>
      </c>
      <c r="E7111" s="221">
        <v>3</v>
      </c>
      <c r="F7111" s="222" t="s">
        <v>44250</v>
      </c>
      <c r="G7111" s="223" t="s">
        <v>44251</v>
      </c>
      <c r="H7111" s="223" t="s">
        <v>44252</v>
      </c>
      <c r="I7111" s="345"/>
      <c r="J7111" s="39">
        <v>110399</v>
      </c>
      <c r="K7111" s="36" t="str">
        <f>CONCATENATE(Cover!$D$6,"fdd/view?i=",J7111)</f>
        <v>https://www.dgiwg.org/FAD/fdd/view?i=110399</v>
      </c>
      <c r="L7111" s="36" t="s">
        <v>44253</v>
      </c>
      <c r="M7111" s="186"/>
      <c r="N7111" s="186"/>
      <c r="O7111" s="172"/>
    </row>
    <row r="7112" spans="1:15" ht="25.5" x14ac:dyDescent="0.2">
      <c r="A7112" s="197" t="str">
        <f t="shared" si="111"/>
        <v>RwcCode_highSpeedRail</v>
      </c>
      <c r="B7112" s="409"/>
      <c r="C7112" s="416"/>
      <c r="D7112" s="198" t="s">
        <v>44254</v>
      </c>
      <c r="E7112" s="198">
        <v>1</v>
      </c>
      <c r="F7112" s="199" t="s">
        <v>44255</v>
      </c>
      <c r="G7112" s="1" t="s">
        <v>44256</v>
      </c>
      <c r="H7112" s="1" t="s">
        <v>44257</v>
      </c>
      <c r="I7112" s="346"/>
      <c r="J7112" s="39">
        <v>110397</v>
      </c>
      <c r="K7112" s="36" t="str">
        <f>CONCATENATE(Cover!$D$6,"fdd/view?i=",J7112)</f>
        <v>https://www.dgiwg.org/FAD/fdd/view?i=110397</v>
      </c>
      <c r="L7112" s="36" t="s">
        <v>44258</v>
      </c>
      <c r="M7112" s="186"/>
      <c r="N7112" s="186"/>
      <c r="O7112" s="172"/>
    </row>
    <row r="7113" spans="1:15" ht="38.25" x14ac:dyDescent="0.2">
      <c r="A7113" s="203" t="str">
        <f t="shared" si="111"/>
        <v>RwcCode_mainLine</v>
      </c>
      <c r="B7113" s="410"/>
      <c r="C7113" s="417"/>
      <c r="D7113" s="204" t="s">
        <v>44259</v>
      </c>
      <c r="E7113" s="204">
        <v>2</v>
      </c>
      <c r="F7113" s="205" t="s">
        <v>44260</v>
      </c>
      <c r="G7113" s="206" t="s">
        <v>44261</v>
      </c>
      <c r="H7113" s="206" t="s">
        <v>44262</v>
      </c>
      <c r="I7113" s="347"/>
      <c r="J7113" s="39">
        <v>110398</v>
      </c>
      <c r="K7113" s="36" t="str">
        <f>CONCATENATE(Cover!$D$6,"fdd/view?i=",J7113)</f>
        <v>https://www.dgiwg.org/FAD/fdd/view?i=110398</v>
      </c>
      <c r="L7113" s="36" t="s">
        <v>44263</v>
      </c>
      <c r="M7113" s="186"/>
      <c r="N7113" s="186"/>
      <c r="O7113" s="172"/>
    </row>
    <row r="7114" spans="1:15" ht="25.5" x14ac:dyDescent="0.2">
      <c r="A7114" s="190" t="str">
        <f t="shared" si="111"/>
        <v>RgcCode_broad</v>
      </c>
      <c r="B7114" s="414" t="str">
        <f>HYPERLINK("[#]Datatypes!A1219:L1219","RgcCode")</f>
        <v>RgcCode</v>
      </c>
      <c r="C7114" s="415" t="s">
        <v>15834</v>
      </c>
      <c r="D7114" s="221" t="s">
        <v>44264</v>
      </c>
      <c r="E7114" s="221">
        <v>1</v>
      </c>
      <c r="F7114" s="222" t="s">
        <v>44265</v>
      </c>
      <c r="G7114" s="223" t="s">
        <v>44266</v>
      </c>
      <c r="H7114" s="224"/>
      <c r="I7114" s="345"/>
      <c r="J7114" s="39">
        <v>107165</v>
      </c>
      <c r="K7114" s="36" t="str">
        <f>CONCATENATE(Cover!$D$6,"fdd/view?i=",J7114)</f>
        <v>https://www.dgiwg.org/FAD/fdd/view?i=107165</v>
      </c>
      <c r="L7114" s="36" t="s">
        <v>44267</v>
      </c>
      <c r="M7114" s="186"/>
      <c r="N7114" s="186"/>
      <c r="O7114" s="172"/>
    </row>
    <row r="7115" spans="1:15" ht="25.5" x14ac:dyDescent="0.2">
      <c r="A7115" s="197" t="str">
        <f t="shared" si="111"/>
        <v>RgcCode_mono</v>
      </c>
      <c r="B7115" s="409"/>
      <c r="C7115" s="416"/>
      <c r="D7115" s="198" t="s">
        <v>44268</v>
      </c>
      <c r="E7115" s="198">
        <v>6</v>
      </c>
      <c r="F7115" s="199" t="s">
        <v>44269</v>
      </c>
      <c r="G7115" s="1" t="s">
        <v>44270</v>
      </c>
      <c r="H7115" s="200"/>
      <c r="I7115" s="346"/>
      <c r="J7115" s="39">
        <v>118527</v>
      </c>
      <c r="K7115" s="36" t="str">
        <f>CONCATENATE(Cover!$D$6,"fdd/view?i=",J7115)</f>
        <v>https://www.dgiwg.org/FAD/fdd/view?i=118527</v>
      </c>
      <c r="L7115" s="36" t="s">
        <v>44271</v>
      </c>
      <c r="M7115" s="186"/>
      <c r="N7115" s="186"/>
      <c r="O7115" s="172"/>
    </row>
    <row r="7116" spans="1:15" ht="25.5" x14ac:dyDescent="0.2">
      <c r="A7116" s="197" t="str">
        <f t="shared" si="111"/>
        <v>RgcCode_narrow</v>
      </c>
      <c r="B7116" s="409"/>
      <c r="C7116" s="416"/>
      <c r="D7116" s="198" t="s">
        <v>44272</v>
      </c>
      <c r="E7116" s="198">
        <v>2</v>
      </c>
      <c r="F7116" s="199" t="s">
        <v>44273</v>
      </c>
      <c r="G7116" s="1" t="s">
        <v>44274</v>
      </c>
      <c r="H7116" s="200"/>
      <c r="I7116" s="346"/>
      <c r="J7116" s="39">
        <v>107166</v>
      </c>
      <c r="K7116" s="36" t="str">
        <f>CONCATENATE(Cover!$D$6,"fdd/view?i=",J7116)</f>
        <v>https://www.dgiwg.org/FAD/fdd/view?i=107166</v>
      </c>
      <c r="L7116" s="36" t="s">
        <v>44275</v>
      </c>
      <c r="M7116" s="186"/>
      <c r="N7116" s="186"/>
      <c r="O7116" s="172"/>
    </row>
    <row r="7117" spans="1:15" ht="25.5" x14ac:dyDescent="0.2">
      <c r="A7117" s="203" t="str">
        <f t="shared" si="111"/>
        <v>RgcCode_standard</v>
      </c>
      <c r="B7117" s="410"/>
      <c r="C7117" s="417"/>
      <c r="D7117" s="204" t="s">
        <v>44276</v>
      </c>
      <c r="E7117" s="204">
        <v>3</v>
      </c>
      <c r="F7117" s="205" t="s">
        <v>44277</v>
      </c>
      <c r="G7117" s="206" t="s">
        <v>44278</v>
      </c>
      <c r="H7117" s="206" t="s">
        <v>44279</v>
      </c>
      <c r="I7117" s="347"/>
      <c r="J7117" s="39">
        <v>107167</v>
      </c>
      <c r="K7117" s="36" t="str">
        <f>CONCATENATE(Cover!$D$6,"fdd/view?i=",J7117)</f>
        <v>https://www.dgiwg.org/FAD/fdd/view?i=107167</v>
      </c>
      <c r="L7117" s="36" t="s">
        <v>44280</v>
      </c>
      <c r="M7117" s="186"/>
      <c r="N7117" s="186"/>
      <c r="O7117" s="172"/>
    </row>
    <row r="7118" spans="1:15" ht="25.5" x14ac:dyDescent="0.2">
      <c r="A7118" s="190" t="str">
        <f t="shared" si="111"/>
        <v>RraCode_electrifiedTrack</v>
      </c>
      <c r="B7118" s="414" t="str">
        <f>HYPERLINK("[#]Datatypes!A1221:L1221","RraCode")</f>
        <v>RraCode</v>
      </c>
      <c r="C7118" s="415" t="s">
        <v>15836</v>
      </c>
      <c r="D7118" s="221" t="s">
        <v>44281</v>
      </c>
      <c r="E7118" s="221">
        <v>1</v>
      </c>
      <c r="F7118" s="222" t="s">
        <v>44282</v>
      </c>
      <c r="G7118" s="223" t="s">
        <v>44283</v>
      </c>
      <c r="H7118" s="224"/>
      <c r="I7118" s="345"/>
      <c r="J7118" s="39">
        <v>107263</v>
      </c>
      <c r="K7118" s="36" t="str">
        <f>CONCATENATE(Cover!$D$6,"fdd/view?i=",J7118)</f>
        <v>https://www.dgiwg.org/FAD/fdd/view?i=107263</v>
      </c>
      <c r="L7118" s="36" t="s">
        <v>44284</v>
      </c>
      <c r="M7118" s="186"/>
      <c r="N7118" s="186"/>
      <c r="O7118" s="172"/>
    </row>
    <row r="7119" spans="1:15" ht="25.5" x14ac:dyDescent="0.2">
      <c r="A7119" s="197" t="str">
        <f t="shared" si="111"/>
        <v>RraCode_nonElectrified</v>
      </c>
      <c r="B7119" s="409"/>
      <c r="C7119" s="416"/>
      <c r="D7119" s="198" t="s">
        <v>44285</v>
      </c>
      <c r="E7119" s="198">
        <v>4</v>
      </c>
      <c r="F7119" s="199" t="s">
        <v>44286</v>
      </c>
      <c r="G7119" s="1" t="s">
        <v>44287</v>
      </c>
      <c r="H7119" s="1" t="s">
        <v>44288</v>
      </c>
      <c r="I7119" s="346"/>
      <c r="J7119" s="39">
        <v>107265</v>
      </c>
      <c r="K7119" s="36" t="str">
        <f>CONCATENATE(Cover!$D$6,"fdd/view?i=",J7119)</f>
        <v>https://www.dgiwg.org/FAD/fdd/view?i=107265</v>
      </c>
      <c r="L7119" s="36" t="s">
        <v>44289</v>
      </c>
      <c r="M7119" s="186"/>
      <c r="N7119" s="186"/>
      <c r="O7119" s="172"/>
    </row>
    <row r="7120" spans="1:15" ht="25.5" x14ac:dyDescent="0.2">
      <c r="A7120" s="203" t="str">
        <f t="shared" si="111"/>
        <v>RraCode_overheadElectrified</v>
      </c>
      <c r="B7120" s="410"/>
      <c r="C7120" s="417"/>
      <c r="D7120" s="204" t="s">
        <v>44290</v>
      </c>
      <c r="E7120" s="204">
        <v>3</v>
      </c>
      <c r="F7120" s="205" t="s">
        <v>44291</v>
      </c>
      <c r="G7120" s="206" t="s">
        <v>44292</v>
      </c>
      <c r="H7120" s="207"/>
      <c r="I7120" s="347"/>
      <c r="J7120" s="39">
        <v>107264</v>
      </c>
      <c r="K7120" s="36" t="str">
        <f>CONCATENATE(Cover!$D$6,"fdd/view?i=",J7120)</f>
        <v>https://www.dgiwg.org/FAD/fdd/view?i=107264</v>
      </c>
      <c r="L7120" s="36" t="s">
        <v>44293</v>
      </c>
      <c r="M7120" s="186"/>
      <c r="N7120" s="186"/>
      <c r="O7120" s="172"/>
    </row>
    <row r="7121" spans="1:15" ht="102" x14ac:dyDescent="0.2">
      <c r="A7121" s="190" t="str">
        <f t="shared" si="111"/>
        <v>RrcCode_automatedTransitSystem</v>
      </c>
      <c r="B7121" s="414" t="str">
        <f>HYPERLINK("[#]Datatypes!A1223:L1223","RrcCode")</f>
        <v>RrcCode</v>
      </c>
      <c r="C7121" s="415" t="s">
        <v>15838</v>
      </c>
      <c r="D7121" s="221" t="s">
        <v>44294</v>
      </c>
      <c r="E7121" s="221">
        <v>32</v>
      </c>
      <c r="F7121" s="222" t="s">
        <v>44295</v>
      </c>
      <c r="G7121" s="223" t="s">
        <v>44296</v>
      </c>
      <c r="H7121" s="223" t="s">
        <v>44297</v>
      </c>
      <c r="I7121" s="352" t="s">
        <v>44298</v>
      </c>
      <c r="J7121" s="39">
        <v>110331</v>
      </c>
      <c r="K7121" s="36" t="str">
        <f>CONCATENATE(Cover!$D$6,"fdd/view?i=",J7121)</f>
        <v>https://www.dgiwg.org/FAD/fdd/view?i=110331</v>
      </c>
      <c r="L7121" s="36" t="s">
        <v>44299</v>
      </c>
      <c r="M7121" s="186"/>
      <c r="N7121" s="186"/>
      <c r="O7121" s="172"/>
    </row>
    <row r="7122" spans="1:15" ht="25.5" x14ac:dyDescent="0.2">
      <c r="A7122" s="197" t="str">
        <f t="shared" si="111"/>
        <v>RrcCode_carline</v>
      </c>
      <c r="B7122" s="409"/>
      <c r="C7122" s="416"/>
      <c r="D7122" s="198" t="s">
        <v>44300</v>
      </c>
      <c r="E7122" s="198">
        <v>2</v>
      </c>
      <c r="F7122" s="199" t="s">
        <v>44301</v>
      </c>
      <c r="G7122" s="1" t="s">
        <v>44302</v>
      </c>
      <c r="H7122" s="200"/>
      <c r="I7122" s="351" t="s">
        <v>44303</v>
      </c>
      <c r="J7122" s="39">
        <v>107270</v>
      </c>
      <c r="K7122" s="36" t="str">
        <f>CONCATENATE(Cover!$D$6,"fdd/view?i=",J7122)</f>
        <v>https://www.dgiwg.org/FAD/fdd/view?i=107270</v>
      </c>
      <c r="L7122" s="36" t="s">
        <v>44304</v>
      </c>
      <c r="M7122" s="186"/>
      <c r="N7122" s="186"/>
      <c r="O7122" s="172"/>
    </row>
    <row r="7123" spans="1:15" ht="25.5" x14ac:dyDescent="0.2">
      <c r="A7123" s="197" t="str">
        <f t="shared" si="111"/>
        <v>RrcCode_funicular</v>
      </c>
      <c r="B7123" s="409"/>
      <c r="C7123" s="416"/>
      <c r="D7123" s="198" t="s">
        <v>44305</v>
      </c>
      <c r="E7123" s="198">
        <v>15</v>
      </c>
      <c r="F7123" s="199" t="s">
        <v>44306</v>
      </c>
      <c r="G7123" s="1" t="s">
        <v>44307</v>
      </c>
      <c r="H7123" s="1" t="s">
        <v>44308</v>
      </c>
      <c r="I7123" s="351" t="s">
        <v>44309</v>
      </c>
      <c r="J7123" s="39">
        <v>107278</v>
      </c>
      <c r="K7123" s="36" t="str">
        <f>CONCATENATE(Cover!$D$6,"fdd/view?i=",J7123)</f>
        <v>https://www.dgiwg.org/FAD/fdd/view?i=107278</v>
      </c>
      <c r="L7123" s="36" t="s">
        <v>44310</v>
      </c>
      <c r="M7123" s="186"/>
      <c r="N7123" s="186"/>
      <c r="O7123" s="172"/>
    </row>
    <row r="7124" spans="1:15" ht="25.5" x14ac:dyDescent="0.2">
      <c r="A7124" s="197" t="str">
        <f t="shared" si="111"/>
        <v>RrcCode_logging</v>
      </c>
      <c r="B7124" s="409"/>
      <c r="C7124" s="416"/>
      <c r="D7124" s="198" t="s">
        <v>44311</v>
      </c>
      <c r="E7124" s="198">
        <v>8</v>
      </c>
      <c r="F7124" s="199" t="s">
        <v>44312</v>
      </c>
      <c r="G7124" s="1" t="s">
        <v>44313</v>
      </c>
      <c r="H7124" s="1" t="s">
        <v>44314</v>
      </c>
      <c r="I7124" s="346"/>
      <c r="J7124" s="39">
        <v>107273</v>
      </c>
      <c r="K7124" s="36" t="str">
        <f>CONCATENATE(Cover!$D$6,"fdd/view?i=",J7124)</f>
        <v>https://www.dgiwg.org/FAD/fdd/view?i=107273</v>
      </c>
      <c r="L7124" s="36" t="s">
        <v>44315</v>
      </c>
      <c r="M7124" s="186"/>
      <c r="N7124" s="186"/>
      <c r="O7124" s="172"/>
    </row>
    <row r="7125" spans="1:15" ht="25.5" x14ac:dyDescent="0.2">
      <c r="A7125" s="197" t="str">
        <f t="shared" si="111"/>
        <v>RrcCode_longHaul</v>
      </c>
      <c r="B7125" s="409"/>
      <c r="C7125" s="416"/>
      <c r="D7125" s="198" t="s">
        <v>44316</v>
      </c>
      <c r="E7125" s="198">
        <v>33</v>
      </c>
      <c r="F7125" s="199" t="s">
        <v>44317</v>
      </c>
      <c r="G7125" s="1" t="s">
        <v>44318</v>
      </c>
      <c r="H7125" s="200"/>
      <c r="I7125" s="346"/>
      <c r="J7125" s="39">
        <v>110645</v>
      </c>
      <c r="K7125" s="36" t="str">
        <f>CONCATENATE(Cover!$D$6,"fdd/view?i=",J7125)</f>
        <v>https://www.dgiwg.org/FAD/fdd/view?i=110645</v>
      </c>
      <c r="L7125" s="36" t="s">
        <v>44319</v>
      </c>
      <c r="M7125" s="186"/>
      <c r="N7125" s="186"/>
      <c r="O7125" s="172"/>
    </row>
    <row r="7126" spans="1:15" ht="25.5" x14ac:dyDescent="0.2">
      <c r="A7126" s="197" t="str">
        <f t="shared" si="111"/>
        <v>RrcCode_marineRailway</v>
      </c>
      <c r="B7126" s="409"/>
      <c r="C7126" s="416"/>
      <c r="D7126" s="198" t="s">
        <v>44320</v>
      </c>
      <c r="E7126" s="198">
        <v>13</v>
      </c>
      <c r="F7126" s="199" t="s">
        <v>44321</v>
      </c>
      <c r="G7126" s="1" t="s">
        <v>44322</v>
      </c>
      <c r="H7126" s="200"/>
      <c r="I7126" s="346"/>
      <c r="J7126" s="39">
        <v>107276</v>
      </c>
      <c r="K7126" s="36" t="str">
        <f>CONCATENATE(Cover!$D$6,"fdd/view?i=",J7126)</f>
        <v>https://www.dgiwg.org/FAD/fdd/view?i=107276</v>
      </c>
      <c r="L7126" s="36" t="s">
        <v>44323</v>
      </c>
      <c r="M7126" s="186"/>
      <c r="N7126" s="186"/>
      <c r="O7126" s="172"/>
    </row>
    <row r="7127" spans="1:15" x14ac:dyDescent="0.2">
      <c r="A7127" s="197" t="str">
        <f t="shared" si="111"/>
        <v>RrcCode_miniature</v>
      </c>
      <c r="B7127" s="409"/>
      <c r="C7127" s="416"/>
      <c r="D7127" s="198" t="s">
        <v>44324</v>
      </c>
      <c r="E7127" s="198">
        <v>10</v>
      </c>
      <c r="F7127" s="199" t="s">
        <v>44325</v>
      </c>
      <c r="G7127" s="1" t="s">
        <v>44326</v>
      </c>
      <c r="H7127" s="1" t="s">
        <v>44327</v>
      </c>
      <c r="I7127" s="346"/>
      <c r="J7127" s="39">
        <v>107274</v>
      </c>
      <c r="K7127" s="36" t="str">
        <f>CONCATENATE(Cover!$D$6,"fdd/view?i=",J7127)</f>
        <v>https://www.dgiwg.org/FAD/fdd/view?i=107274</v>
      </c>
      <c r="L7127" s="36" t="s">
        <v>44328</v>
      </c>
      <c r="M7127" s="186"/>
      <c r="N7127" s="186"/>
      <c r="O7127" s="172"/>
    </row>
    <row r="7128" spans="1:15" x14ac:dyDescent="0.2">
      <c r="A7128" s="197" t="str">
        <f t="shared" si="111"/>
        <v>RrcCode_museum</v>
      </c>
      <c r="B7128" s="409"/>
      <c r="C7128" s="416"/>
      <c r="D7128" s="198" t="s">
        <v>27791</v>
      </c>
      <c r="E7128" s="198">
        <v>24</v>
      </c>
      <c r="F7128" s="199" t="s">
        <v>27792</v>
      </c>
      <c r="G7128" s="1" t="s">
        <v>44329</v>
      </c>
      <c r="H7128" s="200"/>
      <c r="I7128" s="346"/>
      <c r="J7128" s="39">
        <v>109731</v>
      </c>
      <c r="K7128" s="36" t="str">
        <f>CONCATENATE(Cover!$D$6,"fdd/view?i=",J7128)</f>
        <v>https://www.dgiwg.org/FAD/fdd/view?i=109731</v>
      </c>
      <c r="L7128" s="36" t="s">
        <v>44330</v>
      </c>
      <c r="M7128" s="186"/>
      <c r="N7128" s="186"/>
      <c r="O7128" s="172"/>
    </row>
    <row r="7129" spans="1:15" ht="25.5" x14ac:dyDescent="0.2">
      <c r="A7129" s="197" t="str">
        <f t="shared" si="111"/>
        <v>RrcCode_railRapidTransit</v>
      </c>
      <c r="B7129" s="409"/>
      <c r="C7129" s="416"/>
      <c r="D7129" s="198" t="s">
        <v>44331</v>
      </c>
      <c r="E7129" s="198">
        <v>11</v>
      </c>
      <c r="F7129" s="199" t="s">
        <v>44332</v>
      </c>
      <c r="G7129" s="1" t="s">
        <v>44333</v>
      </c>
      <c r="H7129" s="1" t="s">
        <v>44334</v>
      </c>
      <c r="I7129" s="346"/>
      <c r="J7129" s="39">
        <v>107275</v>
      </c>
      <c r="K7129" s="36" t="str">
        <f>CONCATENATE(Cover!$D$6,"fdd/view?i=",J7129)</f>
        <v>https://www.dgiwg.org/FAD/fdd/view?i=107275</v>
      </c>
      <c r="L7129" s="36" t="s">
        <v>44335</v>
      </c>
      <c r="M7129" s="186"/>
      <c r="N7129" s="186"/>
      <c r="O7129" s="172"/>
    </row>
    <row r="7130" spans="1:15" x14ac:dyDescent="0.2">
      <c r="A7130" s="197" t="str">
        <f t="shared" si="111"/>
        <v>RrcCode_tramway</v>
      </c>
      <c r="B7130" s="409"/>
      <c r="C7130" s="416"/>
      <c r="D7130" s="198" t="s">
        <v>44336</v>
      </c>
      <c r="E7130" s="198">
        <v>14</v>
      </c>
      <c r="F7130" s="199" t="s">
        <v>44337</v>
      </c>
      <c r="G7130" s="1" t="s">
        <v>44338</v>
      </c>
      <c r="H7130" s="200"/>
      <c r="I7130" s="346"/>
      <c r="J7130" s="39">
        <v>107277</v>
      </c>
      <c r="K7130" s="36" t="str">
        <f>CONCATENATE(Cover!$D$6,"fdd/view?i=",J7130)</f>
        <v>https://www.dgiwg.org/FAD/fdd/view?i=107277</v>
      </c>
      <c r="L7130" s="36" t="s">
        <v>44339</v>
      </c>
      <c r="M7130" s="186"/>
      <c r="N7130" s="186"/>
      <c r="O7130" s="172"/>
    </row>
    <row r="7131" spans="1:15" ht="25.5" x14ac:dyDescent="0.2">
      <c r="A7131" s="203" t="str">
        <f t="shared" si="111"/>
        <v>RrcCode_undergroundRailway</v>
      </c>
      <c r="B7131" s="410"/>
      <c r="C7131" s="417"/>
      <c r="D7131" s="204" t="s">
        <v>44340</v>
      </c>
      <c r="E7131" s="204">
        <v>6</v>
      </c>
      <c r="F7131" s="205" t="s">
        <v>5639</v>
      </c>
      <c r="G7131" s="206" t="s">
        <v>5640</v>
      </c>
      <c r="H7131" s="206" t="s">
        <v>5641</v>
      </c>
      <c r="I7131" s="353" t="s">
        <v>5642</v>
      </c>
      <c r="J7131" s="39">
        <v>107272</v>
      </c>
      <c r="K7131" s="36" t="str">
        <f>CONCATENATE(Cover!$D$6,"fdd/view?i=",J7131)</f>
        <v>https://www.dgiwg.org/FAD/fdd/view?i=107272</v>
      </c>
      <c r="L7131" s="36" t="s">
        <v>44341</v>
      </c>
      <c r="M7131" s="186"/>
      <c r="N7131" s="186"/>
      <c r="O7131" s="172"/>
    </row>
    <row r="7132" spans="1:15" ht="140.25" x14ac:dyDescent="0.2">
      <c r="A7132" s="190" t="str">
        <f t="shared" si="111"/>
        <v>ClrCode_advanced</v>
      </c>
      <c r="B7132" s="414" t="str">
        <f>HYPERLINK("[#]Datatypes!A1225:L1225","ClrCode")</f>
        <v>ClrCode</v>
      </c>
      <c r="C7132" s="415" t="s">
        <v>15840</v>
      </c>
      <c r="D7132" s="221" t="s">
        <v>44356</v>
      </c>
      <c r="E7132" s="221">
        <v>4</v>
      </c>
      <c r="F7132" s="222" t="s">
        <v>44357</v>
      </c>
      <c r="G7132" s="223" t="s">
        <v>44358</v>
      </c>
      <c r="H7132" s="223" t="s">
        <v>44359</v>
      </c>
      <c r="I7132" s="345"/>
      <c r="J7132" s="39">
        <v>103110</v>
      </c>
      <c r="K7132" s="36" t="str">
        <f>CONCATENATE(Cover!$D$6,"fdd/view?i=",J7132)</f>
        <v>https://www.dgiwg.org/FAD/fdd/view?i=103110</v>
      </c>
      <c r="L7132" s="36" t="s">
        <v>44360</v>
      </c>
      <c r="M7132" s="186"/>
      <c r="N7132" s="186"/>
      <c r="O7132" s="172"/>
    </row>
    <row r="7133" spans="1:15" ht="25.5" x14ac:dyDescent="0.2">
      <c r="A7133" s="197" t="str">
        <f t="shared" si="111"/>
        <v>ClrCode_easy</v>
      </c>
      <c r="B7133" s="409"/>
      <c r="C7133" s="416"/>
      <c r="D7133" s="198" t="s">
        <v>25242</v>
      </c>
      <c r="E7133" s="198">
        <v>1</v>
      </c>
      <c r="F7133" s="199" t="s">
        <v>44342</v>
      </c>
      <c r="G7133" s="1" t="s">
        <v>44343</v>
      </c>
      <c r="H7133" s="1" t="s">
        <v>44344</v>
      </c>
      <c r="I7133" s="346"/>
      <c r="J7133" s="39">
        <v>103107</v>
      </c>
      <c r="K7133" s="36" t="str">
        <f>CONCATENATE(Cover!$D$6,"fdd/view?i=",J7133)</f>
        <v>https://www.dgiwg.org/FAD/fdd/view?i=103107</v>
      </c>
      <c r="L7133" s="36" t="s">
        <v>44345</v>
      </c>
      <c r="M7133" s="186"/>
      <c r="N7133" s="186"/>
      <c r="O7133" s="172"/>
    </row>
    <row r="7134" spans="1:15" ht="76.5" x14ac:dyDescent="0.2">
      <c r="A7134" s="197" t="str">
        <f t="shared" si="111"/>
        <v>ClrCode_expert</v>
      </c>
      <c r="B7134" s="409"/>
      <c r="C7134" s="416"/>
      <c r="D7134" s="198" t="s">
        <v>44361</v>
      </c>
      <c r="E7134" s="198">
        <v>5</v>
      </c>
      <c r="F7134" s="199" t="s">
        <v>44362</v>
      </c>
      <c r="G7134" s="1" t="s">
        <v>44363</v>
      </c>
      <c r="H7134" s="1" t="s">
        <v>44364</v>
      </c>
      <c r="I7134" s="346"/>
      <c r="J7134" s="39">
        <v>103111</v>
      </c>
      <c r="K7134" s="36" t="str">
        <f>CONCATENATE(Cover!$D$6,"fdd/view?i=",J7134)</f>
        <v>https://www.dgiwg.org/FAD/fdd/view?i=103111</v>
      </c>
      <c r="L7134" s="36" t="s">
        <v>44365</v>
      </c>
      <c r="M7134" s="186"/>
      <c r="N7134" s="186"/>
      <c r="O7134" s="172"/>
    </row>
    <row r="7135" spans="1:15" ht="76.5" x14ac:dyDescent="0.2">
      <c r="A7135" s="197" t="str">
        <f t="shared" si="111"/>
        <v>ClrCode_extremeExploratory</v>
      </c>
      <c r="B7135" s="409"/>
      <c r="C7135" s="416"/>
      <c r="D7135" s="198" t="s">
        <v>44366</v>
      </c>
      <c r="E7135" s="198">
        <v>6</v>
      </c>
      <c r="F7135" s="199" t="s">
        <v>44367</v>
      </c>
      <c r="G7135" s="1" t="s">
        <v>44368</v>
      </c>
      <c r="H7135" s="1" t="s">
        <v>44369</v>
      </c>
      <c r="I7135" s="346"/>
      <c r="J7135" s="39">
        <v>103112</v>
      </c>
      <c r="K7135" s="36" t="str">
        <f>CONCATENATE(Cover!$D$6,"fdd/view?i=",J7135)</f>
        <v>https://www.dgiwg.org/FAD/fdd/view?i=103112</v>
      </c>
      <c r="L7135" s="36" t="s">
        <v>44370</v>
      </c>
      <c r="M7135" s="186"/>
      <c r="N7135" s="186"/>
      <c r="O7135" s="172"/>
    </row>
    <row r="7136" spans="1:15" ht="127.5" x14ac:dyDescent="0.2">
      <c r="A7136" s="197" t="str">
        <f t="shared" si="111"/>
        <v>ClrCode_intermediate</v>
      </c>
      <c r="B7136" s="409"/>
      <c r="C7136" s="416"/>
      <c r="D7136" s="198" t="s">
        <v>44351</v>
      </c>
      <c r="E7136" s="198">
        <v>3</v>
      </c>
      <c r="F7136" s="199" t="s">
        <v>44352</v>
      </c>
      <c r="G7136" s="1" t="s">
        <v>44353</v>
      </c>
      <c r="H7136" s="1" t="s">
        <v>44354</v>
      </c>
      <c r="I7136" s="346"/>
      <c r="J7136" s="39">
        <v>103109</v>
      </c>
      <c r="K7136" s="36" t="str">
        <f>CONCATENATE(Cover!$D$6,"fdd/view?i=",J7136)</f>
        <v>https://www.dgiwg.org/FAD/fdd/view?i=103109</v>
      </c>
      <c r="L7136" s="36" t="s">
        <v>44355</v>
      </c>
      <c r="M7136" s="186"/>
      <c r="N7136" s="186"/>
      <c r="O7136" s="172"/>
    </row>
    <row r="7137" spans="1:15" ht="76.5" x14ac:dyDescent="0.2">
      <c r="A7137" s="203" t="str">
        <f t="shared" si="111"/>
        <v>ClrCode_novice</v>
      </c>
      <c r="B7137" s="410"/>
      <c r="C7137" s="417"/>
      <c r="D7137" s="204" t="s">
        <v>44346</v>
      </c>
      <c r="E7137" s="204">
        <v>2</v>
      </c>
      <c r="F7137" s="205" t="s">
        <v>44347</v>
      </c>
      <c r="G7137" s="206" t="s">
        <v>44348</v>
      </c>
      <c r="H7137" s="206" t="s">
        <v>44349</v>
      </c>
      <c r="I7137" s="347"/>
      <c r="J7137" s="39">
        <v>103108</v>
      </c>
      <c r="K7137" s="36" t="str">
        <f>CONCATENATE(Cover!$D$6,"fdd/view?i=",J7137)</f>
        <v>https://www.dgiwg.org/FAD/fdd/view?i=103108</v>
      </c>
      <c r="L7137" s="36" t="s">
        <v>44350</v>
      </c>
      <c r="M7137" s="186"/>
      <c r="N7137" s="186"/>
      <c r="O7137" s="172"/>
    </row>
    <row r="7138" spans="1:15" ht="38.25" x14ac:dyDescent="0.2">
      <c r="A7138" s="190" t="str">
        <f t="shared" si="111"/>
        <v>RmnCode_energyResource</v>
      </c>
      <c r="B7138" s="414" t="str">
        <f>HYPERLINK("[#]Datatypes!A1227:L1227","RmnCode")</f>
        <v>RmnCode</v>
      </c>
      <c r="C7138" s="415" t="s">
        <v>15842</v>
      </c>
      <c r="D7138" s="221" t="s">
        <v>44371</v>
      </c>
      <c r="E7138" s="221">
        <v>1</v>
      </c>
      <c r="F7138" s="222" t="s">
        <v>44372</v>
      </c>
      <c r="G7138" s="223" t="s">
        <v>44373</v>
      </c>
      <c r="H7138" s="224"/>
      <c r="I7138" s="345"/>
      <c r="J7138" s="39">
        <v>113742</v>
      </c>
      <c r="K7138" s="36" t="str">
        <f>CONCATENATE(Cover!$D$6,"fdd/view?i=",J7138)</f>
        <v>https://www.dgiwg.org/FAD/fdd/view?i=113742</v>
      </c>
      <c r="L7138" s="36" t="s">
        <v>44374</v>
      </c>
      <c r="M7138" s="186"/>
      <c r="N7138" s="186"/>
      <c r="O7138" s="172"/>
    </row>
    <row r="7139" spans="1:15" ht="38.25" x14ac:dyDescent="0.2">
      <c r="A7139" s="197" t="str">
        <f t="shared" si="111"/>
        <v>RmnCode_gemstone</v>
      </c>
      <c r="B7139" s="409"/>
      <c r="C7139" s="416"/>
      <c r="D7139" s="198" t="s">
        <v>44375</v>
      </c>
      <c r="E7139" s="198">
        <v>3</v>
      </c>
      <c r="F7139" s="199" t="s">
        <v>44376</v>
      </c>
      <c r="G7139" s="1" t="s">
        <v>44377</v>
      </c>
      <c r="H7139" s="200"/>
      <c r="I7139" s="346"/>
      <c r="J7139" s="39">
        <v>113744</v>
      </c>
      <c r="K7139" s="36" t="str">
        <f>CONCATENATE(Cover!$D$6,"fdd/view?i=",J7139)</f>
        <v>https://www.dgiwg.org/FAD/fdd/view?i=113744</v>
      </c>
      <c r="L7139" s="36" t="s">
        <v>44378</v>
      </c>
      <c r="M7139" s="186"/>
      <c r="N7139" s="186"/>
      <c r="O7139" s="172"/>
    </row>
    <row r="7140" spans="1:15" ht="38.25" x14ac:dyDescent="0.2">
      <c r="A7140" s="197" t="str">
        <f t="shared" si="111"/>
        <v>RmnCode_industrialMineral</v>
      </c>
      <c r="B7140" s="409"/>
      <c r="C7140" s="416"/>
      <c r="D7140" s="198" t="s">
        <v>44379</v>
      </c>
      <c r="E7140" s="198">
        <v>4</v>
      </c>
      <c r="F7140" s="199" t="s">
        <v>44380</v>
      </c>
      <c r="G7140" s="1" t="s">
        <v>44381</v>
      </c>
      <c r="H7140" s="1" t="s">
        <v>44382</v>
      </c>
      <c r="I7140" s="346"/>
      <c r="J7140" s="39">
        <v>113745</v>
      </c>
      <c r="K7140" s="36" t="str">
        <f>CONCATENATE(Cover!$D$6,"fdd/view?i=",J7140)</f>
        <v>https://www.dgiwg.org/FAD/fdd/view?i=113745</v>
      </c>
      <c r="L7140" s="36" t="s">
        <v>44383</v>
      </c>
      <c r="M7140" s="186"/>
      <c r="N7140" s="186"/>
      <c r="O7140" s="172"/>
    </row>
    <row r="7141" spans="1:15" ht="25.5" x14ac:dyDescent="0.2">
      <c r="A7141" s="197" t="str">
        <f t="shared" si="111"/>
        <v>RmnCode_industrialRock</v>
      </c>
      <c r="B7141" s="409"/>
      <c r="C7141" s="416"/>
      <c r="D7141" s="198" t="s">
        <v>44384</v>
      </c>
      <c r="E7141" s="198">
        <v>5</v>
      </c>
      <c r="F7141" s="199" t="s">
        <v>44385</v>
      </c>
      <c r="G7141" s="1" t="s">
        <v>44386</v>
      </c>
      <c r="H7141" s="1" t="s">
        <v>44387</v>
      </c>
      <c r="I7141" s="346"/>
      <c r="J7141" s="39">
        <v>113746</v>
      </c>
      <c r="K7141" s="36" t="str">
        <f>CONCATENATE(Cover!$D$6,"fdd/view?i=",J7141)</f>
        <v>https://www.dgiwg.org/FAD/fdd/view?i=113746</v>
      </c>
      <c r="L7141" s="36" t="s">
        <v>44388</v>
      </c>
      <c r="M7141" s="186"/>
      <c r="N7141" s="186"/>
      <c r="O7141" s="172"/>
    </row>
    <row r="7142" spans="1:15" ht="25.5" x14ac:dyDescent="0.2">
      <c r="A7142" s="197" t="str">
        <f t="shared" si="111"/>
        <v>RmnCode_nativeElement</v>
      </c>
      <c r="B7142" s="409"/>
      <c r="C7142" s="416"/>
      <c r="D7142" s="198" t="s">
        <v>44389</v>
      </c>
      <c r="E7142" s="198">
        <v>2</v>
      </c>
      <c r="F7142" s="199" t="s">
        <v>44390</v>
      </c>
      <c r="G7142" s="1" t="s">
        <v>44391</v>
      </c>
      <c r="H7142" s="1" t="s">
        <v>44392</v>
      </c>
      <c r="I7142" s="346"/>
      <c r="J7142" s="39">
        <v>113743</v>
      </c>
      <c r="K7142" s="36" t="str">
        <f>CONCATENATE(Cover!$D$6,"fdd/view?i=",J7142)</f>
        <v>https://www.dgiwg.org/FAD/fdd/view?i=113743</v>
      </c>
      <c r="L7142" s="36" t="s">
        <v>44393</v>
      </c>
      <c r="M7142" s="186"/>
      <c r="N7142" s="186"/>
      <c r="O7142" s="172"/>
    </row>
    <row r="7143" spans="1:15" ht="38.25" x14ac:dyDescent="0.2">
      <c r="A7143" s="197" t="str">
        <f t="shared" si="111"/>
        <v>RmnCode_preciousMetal</v>
      </c>
      <c r="B7143" s="409"/>
      <c r="C7143" s="416"/>
      <c r="D7143" s="198" t="s">
        <v>44394</v>
      </c>
      <c r="E7143" s="198">
        <v>6</v>
      </c>
      <c r="F7143" s="199" t="s">
        <v>44395</v>
      </c>
      <c r="G7143" s="1" t="s">
        <v>44396</v>
      </c>
      <c r="H7143" s="200"/>
      <c r="I7143" s="346"/>
      <c r="J7143" s="39">
        <v>113747</v>
      </c>
      <c r="K7143" s="36" t="str">
        <f>CONCATENATE(Cover!$D$6,"fdd/view?i=",J7143)</f>
        <v>https://www.dgiwg.org/FAD/fdd/view?i=113747</v>
      </c>
      <c r="L7143" s="36" t="s">
        <v>44397</v>
      </c>
      <c r="M7143" s="186"/>
      <c r="N7143" s="186"/>
      <c r="O7143" s="172"/>
    </row>
    <row r="7144" spans="1:15" ht="38.25" x14ac:dyDescent="0.2">
      <c r="A7144" s="203" t="str">
        <f t="shared" si="111"/>
        <v>RmnCode_saltRock</v>
      </c>
      <c r="B7144" s="410"/>
      <c r="C7144" s="417"/>
      <c r="D7144" s="204" t="s">
        <v>44398</v>
      </c>
      <c r="E7144" s="204">
        <v>7</v>
      </c>
      <c r="F7144" s="205" t="s">
        <v>44399</v>
      </c>
      <c r="G7144" s="206" t="s">
        <v>44400</v>
      </c>
      <c r="H7144" s="207"/>
      <c r="I7144" s="353" t="s">
        <v>44401</v>
      </c>
      <c r="J7144" s="39">
        <v>113748</v>
      </c>
      <c r="K7144" s="36" t="str">
        <f>CONCATENATE(Cover!$D$6,"fdd/view?i=",J7144)</f>
        <v>https://www.dgiwg.org/FAD/fdd/view?i=113748</v>
      </c>
      <c r="L7144" s="36" t="s">
        <v>44402</v>
      </c>
      <c r="M7144" s="186"/>
      <c r="N7144" s="186"/>
      <c r="O7144" s="172"/>
    </row>
    <row r="7145" spans="1:15" ht="25.5" x14ac:dyDescent="0.2">
      <c r="A7145" s="190" t="str">
        <f t="shared" si="111"/>
        <v>PrwCode_algae</v>
      </c>
      <c r="B7145" s="414" t="str">
        <f>HYPERLINK("[#]Datatypes!A1229:L1229","PrwCode")</f>
        <v>PrwCode</v>
      </c>
      <c r="C7145" s="415" t="s">
        <v>15844</v>
      </c>
      <c r="D7145" s="221" t="s">
        <v>43273</v>
      </c>
      <c r="E7145" s="221">
        <v>74</v>
      </c>
      <c r="F7145" s="222" t="s">
        <v>2025</v>
      </c>
      <c r="G7145" s="223" t="s">
        <v>43274</v>
      </c>
      <c r="H7145" s="223" t="s">
        <v>2028</v>
      </c>
      <c r="I7145" s="352" t="s">
        <v>2029</v>
      </c>
      <c r="J7145" s="39">
        <v>106921</v>
      </c>
      <c r="K7145" s="36" t="str">
        <f>CONCATENATE(Cover!$D$6,"fdd/view?i=",J7145)</f>
        <v>https://www.dgiwg.org/FAD/fdd/view?i=106921</v>
      </c>
      <c r="L7145" s="36" t="s">
        <v>44403</v>
      </c>
      <c r="M7145" s="186"/>
      <c r="N7145" s="186"/>
      <c r="O7145" s="172"/>
    </row>
    <row r="7146" spans="1:15" ht="25.5" x14ac:dyDescent="0.2">
      <c r="A7146" s="197" t="str">
        <f t="shared" si="111"/>
        <v>PrwCode_aluminum</v>
      </c>
      <c r="B7146" s="409"/>
      <c r="C7146" s="416"/>
      <c r="D7146" s="198" t="s">
        <v>25660</v>
      </c>
      <c r="E7146" s="198">
        <v>1</v>
      </c>
      <c r="F7146" s="199" t="s">
        <v>43276</v>
      </c>
      <c r="G7146" s="1" t="s">
        <v>43277</v>
      </c>
      <c r="H7146" s="200"/>
      <c r="I7146" s="346"/>
      <c r="J7146" s="39">
        <v>106848</v>
      </c>
      <c r="K7146" s="36" t="str">
        <f>CONCATENATE(Cover!$D$6,"fdd/view?i=",J7146)</f>
        <v>https://www.dgiwg.org/FAD/fdd/view?i=106848</v>
      </c>
      <c r="L7146" s="36" t="s">
        <v>44404</v>
      </c>
      <c r="M7146" s="186"/>
      <c r="N7146" s="186"/>
      <c r="O7146" s="172"/>
    </row>
    <row r="7147" spans="1:15" ht="25.5" x14ac:dyDescent="0.2">
      <c r="A7147" s="197" t="str">
        <f t="shared" si="111"/>
        <v>PrwCode_asphalt</v>
      </c>
      <c r="B7147" s="409"/>
      <c r="C7147" s="416"/>
      <c r="D7147" s="198" t="s">
        <v>19519</v>
      </c>
      <c r="E7147" s="198">
        <v>2</v>
      </c>
      <c r="F7147" s="199" t="s">
        <v>19520</v>
      </c>
      <c r="G7147" s="1" t="s">
        <v>43284</v>
      </c>
      <c r="H7147" s="200"/>
      <c r="I7147" s="346"/>
      <c r="J7147" s="39">
        <v>106849</v>
      </c>
      <c r="K7147" s="36" t="str">
        <f>CONCATENATE(Cover!$D$6,"fdd/view?i=",J7147)</f>
        <v>https://www.dgiwg.org/FAD/fdd/view?i=106849</v>
      </c>
      <c r="L7147" s="36" t="s">
        <v>44405</v>
      </c>
      <c r="M7147" s="186"/>
      <c r="N7147" s="186"/>
      <c r="O7147" s="172"/>
    </row>
    <row r="7148" spans="1:15" ht="25.5" x14ac:dyDescent="0.2">
      <c r="A7148" s="197" t="str">
        <f t="shared" si="111"/>
        <v>PrwCode_bamboo</v>
      </c>
      <c r="B7148" s="409"/>
      <c r="C7148" s="416"/>
      <c r="D7148" s="198" t="s">
        <v>26987</v>
      </c>
      <c r="E7148" s="198">
        <v>3</v>
      </c>
      <c r="F7148" s="199" t="s">
        <v>26988</v>
      </c>
      <c r="G7148" s="1" t="s">
        <v>43286</v>
      </c>
      <c r="H7148" s="1" t="s">
        <v>43287</v>
      </c>
      <c r="I7148" s="346"/>
      <c r="J7148" s="39">
        <v>106850</v>
      </c>
      <c r="K7148" s="36" t="str">
        <f>CONCATENATE(Cover!$D$6,"fdd/view?i=",J7148)</f>
        <v>https://www.dgiwg.org/FAD/fdd/view?i=106850</v>
      </c>
      <c r="L7148" s="36" t="s">
        <v>44406</v>
      </c>
      <c r="M7148" s="186"/>
      <c r="N7148" s="186"/>
      <c r="O7148" s="172"/>
    </row>
    <row r="7149" spans="1:15" ht="38.25" x14ac:dyDescent="0.2">
      <c r="A7149" s="197" t="str">
        <f t="shared" si="111"/>
        <v>PrwCode_basalt</v>
      </c>
      <c r="B7149" s="409"/>
      <c r="C7149" s="416"/>
      <c r="D7149" s="198" t="s">
        <v>22299</v>
      </c>
      <c r="E7149" s="198">
        <v>4</v>
      </c>
      <c r="F7149" s="199" t="s">
        <v>22300</v>
      </c>
      <c r="G7149" s="1" t="s">
        <v>44407</v>
      </c>
      <c r="H7149" s="200"/>
      <c r="I7149" s="346"/>
      <c r="J7149" s="39">
        <v>106851</v>
      </c>
      <c r="K7149" s="36" t="str">
        <f>CONCATENATE(Cover!$D$6,"fdd/view?i=",J7149)</f>
        <v>https://www.dgiwg.org/FAD/fdd/view?i=106851</v>
      </c>
      <c r="L7149" s="36" t="s">
        <v>44408</v>
      </c>
      <c r="M7149" s="186"/>
      <c r="N7149" s="186"/>
      <c r="O7149" s="172"/>
    </row>
    <row r="7150" spans="1:15" ht="25.5" x14ac:dyDescent="0.2">
      <c r="A7150" s="197" t="str">
        <f t="shared" si="111"/>
        <v>PrwCode_bauxite</v>
      </c>
      <c r="B7150" s="409"/>
      <c r="C7150" s="416"/>
      <c r="D7150" s="198" t="s">
        <v>35434</v>
      </c>
      <c r="E7150" s="198">
        <v>5</v>
      </c>
      <c r="F7150" s="199" t="s">
        <v>35435</v>
      </c>
      <c r="G7150" s="1" t="s">
        <v>43294</v>
      </c>
      <c r="H7150" s="1" t="s">
        <v>43295</v>
      </c>
      <c r="I7150" s="346"/>
      <c r="J7150" s="39">
        <v>106852</v>
      </c>
      <c r="K7150" s="36" t="str">
        <f>CONCATENATE(Cover!$D$6,"fdd/view?i=",J7150)</f>
        <v>https://www.dgiwg.org/FAD/fdd/view?i=106852</v>
      </c>
      <c r="L7150" s="36" t="s">
        <v>44409</v>
      </c>
      <c r="M7150" s="186"/>
      <c r="N7150" s="186"/>
      <c r="O7150" s="172"/>
    </row>
    <row r="7151" spans="1:15" ht="102" x14ac:dyDescent="0.2">
      <c r="A7151" s="197" t="str">
        <f t="shared" si="111"/>
        <v>PrwCode_biodiesel</v>
      </c>
      <c r="B7151" s="409"/>
      <c r="C7151" s="416"/>
      <c r="D7151" s="198" t="s">
        <v>22900</v>
      </c>
      <c r="E7151" s="198">
        <v>119</v>
      </c>
      <c r="F7151" s="199" t="s">
        <v>22901</v>
      </c>
      <c r="G7151" s="1" t="s">
        <v>22902</v>
      </c>
      <c r="H7151" s="1" t="s">
        <v>43302</v>
      </c>
      <c r="I7151" s="346"/>
      <c r="J7151" s="39">
        <v>118538</v>
      </c>
      <c r="K7151" s="36" t="str">
        <f>CONCATENATE(Cover!$D$6,"fdd/view?i=",J7151)</f>
        <v>https://www.dgiwg.org/FAD/fdd/view?i=118538</v>
      </c>
      <c r="L7151" s="36" t="s">
        <v>44410</v>
      </c>
      <c r="M7151" s="186"/>
      <c r="N7151" s="186"/>
      <c r="O7151" s="172"/>
    </row>
    <row r="7152" spans="1:15" x14ac:dyDescent="0.2">
      <c r="A7152" s="197" t="str">
        <f t="shared" si="111"/>
        <v>PrwCode_boulders</v>
      </c>
      <c r="B7152" s="409"/>
      <c r="C7152" s="416"/>
      <c r="D7152" s="198" t="s">
        <v>22303</v>
      </c>
      <c r="E7152" s="198">
        <v>7</v>
      </c>
      <c r="F7152" s="199" t="s">
        <v>22304</v>
      </c>
      <c r="G7152" s="1" t="s">
        <v>24180</v>
      </c>
      <c r="H7152" s="200"/>
      <c r="I7152" s="346"/>
      <c r="J7152" s="39">
        <v>106854</v>
      </c>
      <c r="K7152" s="36" t="str">
        <f>CONCATENATE(Cover!$D$6,"fdd/view?i=",J7152)</f>
        <v>https://www.dgiwg.org/FAD/fdd/view?i=106854</v>
      </c>
      <c r="L7152" s="36" t="s">
        <v>44411</v>
      </c>
      <c r="M7152" s="186"/>
      <c r="N7152" s="186"/>
      <c r="O7152" s="172"/>
    </row>
    <row r="7153" spans="1:15" ht="38.25" x14ac:dyDescent="0.2">
      <c r="A7153" s="197" t="str">
        <f t="shared" si="111"/>
        <v>PrwCode_breccia</v>
      </c>
      <c r="B7153" s="409"/>
      <c r="C7153" s="416"/>
      <c r="D7153" s="198" t="s">
        <v>43309</v>
      </c>
      <c r="E7153" s="198">
        <v>109</v>
      </c>
      <c r="F7153" s="199" t="s">
        <v>43310</v>
      </c>
      <c r="G7153" s="1" t="s">
        <v>43312</v>
      </c>
      <c r="H7153" s="200"/>
      <c r="I7153" s="346"/>
      <c r="J7153" s="39">
        <v>108643</v>
      </c>
      <c r="K7153" s="36" t="str">
        <f>CONCATENATE(Cover!$D$6,"fdd/view?i=",J7153)</f>
        <v>https://www.dgiwg.org/FAD/fdd/view?i=108643</v>
      </c>
      <c r="L7153" s="36" t="s">
        <v>44412</v>
      </c>
      <c r="M7153" s="186"/>
      <c r="N7153" s="186"/>
      <c r="O7153" s="172"/>
    </row>
    <row r="7154" spans="1:15" ht="25.5" x14ac:dyDescent="0.2">
      <c r="A7154" s="197" t="str">
        <f t="shared" si="111"/>
        <v>PrwCode_calcareous</v>
      </c>
      <c r="B7154" s="409"/>
      <c r="C7154" s="416"/>
      <c r="D7154" s="198" t="s">
        <v>43153</v>
      </c>
      <c r="E7154" s="198">
        <v>8</v>
      </c>
      <c r="F7154" s="199" t="s">
        <v>43154</v>
      </c>
      <c r="G7154" s="1" t="s">
        <v>43321</v>
      </c>
      <c r="H7154" s="200"/>
      <c r="I7154" s="346"/>
      <c r="J7154" s="39">
        <v>106855</v>
      </c>
      <c r="K7154" s="36" t="str">
        <f>CONCATENATE(Cover!$D$6,"fdd/view?i=",J7154)</f>
        <v>https://www.dgiwg.org/FAD/fdd/view?i=106855</v>
      </c>
      <c r="L7154" s="36" t="s">
        <v>44413</v>
      </c>
      <c r="M7154" s="186"/>
      <c r="N7154" s="186"/>
      <c r="O7154" s="172"/>
    </row>
    <row r="7155" spans="1:15" ht="38.25" x14ac:dyDescent="0.2">
      <c r="A7155" s="197" t="str">
        <f t="shared" si="111"/>
        <v>PrwCode_cement</v>
      </c>
      <c r="B7155" s="409"/>
      <c r="C7155" s="416"/>
      <c r="D7155" s="198" t="s">
        <v>43323</v>
      </c>
      <c r="E7155" s="198">
        <v>9</v>
      </c>
      <c r="F7155" s="199" t="s">
        <v>43324</v>
      </c>
      <c r="G7155" s="1" t="s">
        <v>43325</v>
      </c>
      <c r="H7155" s="1" t="s">
        <v>43326</v>
      </c>
      <c r="I7155" s="346"/>
      <c r="J7155" s="39">
        <v>106856</v>
      </c>
      <c r="K7155" s="36" t="str">
        <f>CONCATENATE(Cover!$D$6,"fdd/view?i=",J7155)</f>
        <v>https://www.dgiwg.org/FAD/fdd/view?i=106856</v>
      </c>
      <c r="L7155" s="36" t="s">
        <v>44414</v>
      </c>
      <c r="M7155" s="186"/>
      <c r="N7155" s="186"/>
      <c r="O7155" s="172"/>
    </row>
    <row r="7156" spans="1:15" ht="38.25" x14ac:dyDescent="0.2">
      <c r="A7156" s="197" t="str">
        <f t="shared" si="111"/>
        <v>PrwCode_chalk</v>
      </c>
      <c r="B7156" s="409"/>
      <c r="C7156" s="416"/>
      <c r="D7156" s="198" t="s">
        <v>43328</v>
      </c>
      <c r="E7156" s="198">
        <v>103</v>
      </c>
      <c r="F7156" s="199" t="s">
        <v>43329</v>
      </c>
      <c r="G7156" s="1" t="s">
        <v>43330</v>
      </c>
      <c r="H7156" s="200"/>
      <c r="I7156" s="346"/>
      <c r="J7156" s="39">
        <v>106950</v>
      </c>
      <c r="K7156" s="36" t="str">
        <f>CONCATENATE(Cover!$D$6,"fdd/view?i=",J7156)</f>
        <v>https://www.dgiwg.org/FAD/fdd/view?i=106950</v>
      </c>
      <c r="L7156" s="36" t="s">
        <v>44415</v>
      </c>
      <c r="M7156" s="186"/>
      <c r="N7156" s="186"/>
      <c r="O7156" s="172"/>
    </row>
    <row r="7157" spans="1:15" x14ac:dyDescent="0.2">
      <c r="A7157" s="197" t="str">
        <f t="shared" si="111"/>
        <v>PrwCode_chemical</v>
      </c>
      <c r="B7157" s="409"/>
      <c r="C7157" s="416"/>
      <c r="D7157" s="198" t="s">
        <v>40232</v>
      </c>
      <c r="E7157" s="198">
        <v>10</v>
      </c>
      <c r="F7157" s="199" t="s">
        <v>40233</v>
      </c>
      <c r="G7157" s="1" t="s">
        <v>43337</v>
      </c>
      <c r="H7157" s="200"/>
      <c r="I7157" s="346"/>
      <c r="J7157" s="39">
        <v>106857</v>
      </c>
      <c r="K7157" s="36" t="str">
        <f>CONCATENATE(Cover!$D$6,"fdd/view?i=",J7157)</f>
        <v>https://www.dgiwg.org/FAD/fdd/view?i=106857</v>
      </c>
      <c r="L7157" s="36" t="s">
        <v>44416</v>
      </c>
      <c r="M7157" s="186"/>
      <c r="N7157" s="186"/>
      <c r="O7157" s="172"/>
    </row>
    <row r="7158" spans="1:15" ht="38.25" x14ac:dyDescent="0.2">
      <c r="A7158" s="197" t="str">
        <f t="shared" si="111"/>
        <v>PrwCode_clay</v>
      </c>
      <c r="B7158" s="409"/>
      <c r="C7158" s="416"/>
      <c r="D7158" s="198" t="s">
        <v>19537</v>
      </c>
      <c r="E7158" s="198">
        <v>11</v>
      </c>
      <c r="F7158" s="199" t="s">
        <v>19538</v>
      </c>
      <c r="G7158" s="1" t="s">
        <v>43343</v>
      </c>
      <c r="H7158" s="1" t="s">
        <v>43344</v>
      </c>
      <c r="I7158" s="346"/>
      <c r="J7158" s="39">
        <v>106858</v>
      </c>
      <c r="K7158" s="36" t="str">
        <f>CONCATENATE(Cover!$D$6,"fdd/view?i=",J7158)</f>
        <v>https://www.dgiwg.org/FAD/fdd/view?i=106858</v>
      </c>
      <c r="L7158" s="36" t="s">
        <v>44417</v>
      </c>
      <c r="M7158" s="186"/>
      <c r="N7158" s="186"/>
      <c r="O7158" s="172"/>
    </row>
    <row r="7159" spans="1:15" ht="25.5" x14ac:dyDescent="0.2">
      <c r="A7159" s="197" t="str">
        <f t="shared" si="111"/>
        <v>PrwCode_coal</v>
      </c>
      <c r="B7159" s="409"/>
      <c r="C7159" s="416"/>
      <c r="D7159" s="198" t="s">
        <v>22914</v>
      </c>
      <c r="E7159" s="198">
        <v>12</v>
      </c>
      <c r="F7159" s="199" t="s">
        <v>22915</v>
      </c>
      <c r="G7159" s="1" t="s">
        <v>22916</v>
      </c>
      <c r="H7159" s="1" t="s">
        <v>22917</v>
      </c>
      <c r="I7159" s="346"/>
      <c r="J7159" s="39">
        <v>106859</v>
      </c>
      <c r="K7159" s="36" t="str">
        <f>CONCATENATE(Cover!$D$6,"fdd/view?i=",J7159)</f>
        <v>https://www.dgiwg.org/FAD/fdd/view?i=106859</v>
      </c>
      <c r="L7159" s="36" t="s">
        <v>44418</v>
      </c>
      <c r="M7159" s="186"/>
      <c r="N7159" s="186"/>
      <c r="O7159" s="172"/>
    </row>
    <row r="7160" spans="1:15" x14ac:dyDescent="0.2">
      <c r="A7160" s="197" t="str">
        <f t="shared" si="111"/>
        <v>PrwCode_cobbles</v>
      </c>
      <c r="B7160" s="409"/>
      <c r="C7160" s="416"/>
      <c r="D7160" s="198" t="s">
        <v>43358</v>
      </c>
      <c r="E7160" s="198">
        <v>13</v>
      </c>
      <c r="F7160" s="199" t="s">
        <v>43359</v>
      </c>
      <c r="G7160" s="1" t="s">
        <v>43360</v>
      </c>
      <c r="H7160" s="200"/>
      <c r="I7160" s="351" t="s">
        <v>43361</v>
      </c>
      <c r="J7160" s="39">
        <v>106860</v>
      </c>
      <c r="K7160" s="36" t="str">
        <f>CONCATENATE(Cover!$D$6,"fdd/view?i=",J7160)</f>
        <v>https://www.dgiwg.org/FAD/fdd/view?i=106860</v>
      </c>
      <c r="L7160" s="36" t="s">
        <v>44419</v>
      </c>
      <c r="M7160" s="186"/>
      <c r="N7160" s="186"/>
      <c r="O7160" s="172"/>
    </row>
    <row r="7161" spans="1:15" x14ac:dyDescent="0.2">
      <c r="A7161" s="197" t="str">
        <f t="shared" si="111"/>
        <v>PrwCode_coke</v>
      </c>
      <c r="B7161" s="409"/>
      <c r="C7161" s="416"/>
      <c r="D7161" s="198" t="s">
        <v>43366</v>
      </c>
      <c r="E7161" s="198">
        <v>14</v>
      </c>
      <c r="F7161" s="199" t="s">
        <v>43367</v>
      </c>
      <c r="G7161" s="1" t="s">
        <v>43368</v>
      </c>
      <c r="H7161" s="200"/>
      <c r="I7161" s="346"/>
      <c r="J7161" s="39">
        <v>106861</v>
      </c>
      <c r="K7161" s="36" t="str">
        <f>CONCATENATE(Cover!$D$6,"fdd/view?i=",J7161)</f>
        <v>https://www.dgiwg.org/FAD/fdd/view?i=106861</v>
      </c>
      <c r="L7161" s="36" t="s">
        <v>44420</v>
      </c>
      <c r="M7161" s="186"/>
      <c r="N7161" s="186"/>
      <c r="O7161" s="172"/>
    </row>
    <row r="7162" spans="1:15" ht="38.25" x14ac:dyDescent="0.2">
      <c r="A7162" s="197" t="str">
        <f t="shared" si="111"/>
        <v>PrwCode_conglomerate</v>
      </c>
      <c r="B7162" s="409"/>
      <c r="C7162" s="416"/>
      <c r="D7162" s="198" t="s">
        <v>22310</v>
      </c>
      <c r="E7162" s="198">
        <v>15</v>
      </c>
      <c r="F7162" s="199" t="s">
        <v>22311</v>
      </c>
      <c r="G7162" s="1" t="s">
        <v>43371</v>
      </c>
      <c r="H7162" s="200"/>
      <c r="I7162" s="346"/>
      <c r="J7162" s="39">
        <v>106862</v>
      </c>
      <c r="K7162" s="36" t="str">
        <f>CONCATENATE(Cover!$D$6,"fdd/view?i=",J7162)</f>
        <v>https://www.dgiwg.org/FAD/fdd/view?i=106862</v>
      </c>
      <c r="L7162" s="36" t="s">
        <v>44421</v>
      </c>
      <c r="M7162" s="186"/>
      <c r="N7162" s="186"/>
      <c r="O7162" s="172"/>
    </row>
    <row r="7163" spans="1:15" ht="25.5" x14ac:dyDescent="0.2">
      <c r="A7163" s="197" t="str">
        <f t="shared" si="111"/>
        <v>PrwCode_copper</v>
      </c>
      <c r="B7163" s="409"/>
      <c r="C7163" s="416"/>
      <c r="D7163" s="198" t="s">
        <v>25734</v>
      </c>
      <c r="E7163" s="198">
        <v>16</v>
      </c>
      <c r="F7163" s="199" t="s">
        <v>43378</v>
      </c>
      <c r="G7163" s="1" t="s">
        <v>43379</v>
      </c>
      <c r="H7163" s="1" t="s">
        <v>43380</v>
      </c>
      <c r="I7163" s="346"/>
      <c r="J7163" s="39">
        <v>106863</v>
      </c>
      <c r="K7163" s="36" t="str">
        <f>CONCATENATE(Cover!$D$6,"fdd/view?i=",J7163)</f>
        <v>https://www.dgiwg.org/FAD/fdd/view?i=106863</v>
      </c>
      <c r="L7163" s="36" t="s">
        <v>44422</v>
      </c>
      <c r="M7163" s="186"/>
      <c r="N7163" s="186"/>
      <c r="O7163" s="172"/>
    </row>
    <row r="7164" spans="1:15" ht="38.25" x14ac:dyDescent="0.2">
      <c r="A7164" s="197" t="str">
        <f t="shared" si="111"/>
        <v>PrwCode_coral</v>
      </c>
      <c r="B7164" s="409"/>
      <c r="C7164" s="416"/>
      <c r="D7164" s="198" t="s">
        <v>19546</v>
      </c>
      <c r="E7164" s="198">
        <v>17</v>
      </c>
      <c r="F7164" s="199" t="s">
        <v>19547</v>
      </c>
      <c r="G7164" s="1" t="s">
        <v>24152</v>
      </c>
      <c r="H7164" s="1" t="s">
        <v>24153</v>
      </c>
      <c r="I7164" s="346"/>
      <c r="J7164" s="39">
        <v>106864</v>
      </c>
      <c r="K7164" s="36" t="str">
        <f>CONCATENATE(Cover!$D$6,"fdd/view?i=",J7164)</f>
        <v>https://www.dgiwg.org/FAD/fdd/view?i=106864</v>
      </c>
      <c r="L7164" s="36" t="s">
        <v>44423</v>
      </c>
      <c r="M7164" s="186"/>
      <c r="N7164" s="186"/>
      <c r="O7164" s="172"/>
    </row>
    <row r="7165" spans="1:15" ht="25.5" x14ac:dyDescent="0.2">
      <c r="A7165" s="197" t="str">
        <f t="shared" si="111"/>
        <v>PrwCode_cotton</v>
      </c>
      <c r="B7165" s="409"/>
      <c r="C7165" s="416"/>
      <c r="D7165" s="198" t="s">
        <v>27146</v>
      </c>
      <c r="E7165" s="198">
        <v>18</v>
      </c>
      <c r="F7165" s="199" t="s">
        <v>27147</v>
      </c>
      <c r="G7165" s="1" t="s">
        <v>43383</v>
      </c>
      <c r="H7165" s="1" t="s">
        <v>43384</v>
      </c>
      <c r="I7165" s="346"/>
      <c r="J7165" s="39">
        <v>106865</v>
      </c>
      <c r="K7165" s="36" t="str">
        <f>CONCATENATE(Cover!$D$6,"fdd/view?i=",J7165)</f>
        <v>https://www.dgiwg.org/FAD/fdd/view?i=106865</v>
      </c>
      <c r="L7165" s="36" t="s">
        <v>44424</v>
      </c>
      <c r="M7165" s="186"/>
      <c r="N7165" s="186"/>
      <c r="O7165" s="172"/>
    </row>
    <row r="7166" spans="1:15" ht="25.5" x14ac:dyDescent="0.2">
      <c r="A7166" s="197" t="str">
        <f t="shared" si="111"/>
        <v>PrwCode_desalinatedWater</v>
      </c>
      <c r="B7166" s="409"/>
      <c r="C7166" s="416"/>
      <c r="D7166" s="198" t="s">
        <v>43399</v>
      </c>
      <c r="E7166" s="198">
        <v>19</v>
      </c>
      <c r="F7166" s="199" t="s">
        <v>43400</v>
      </c>
      <c r="G7166" s="1" t="s">
        <v>43401</v>
      </c>
      <c r="H7166" s="200"/>
      <c r="I7166" s="346"/>
      <c r="J7166" s="39">
        <v>106866</v>
      </c>
      <c r="K7166" s="36" t="str">
        <f>CONCATENATE(Cover!$D$6,"fdd/view?i=",J7166)</f>
        <v>https://www.dgiwg.org/FAD/fdd/view?i=106866</v>
      </c>
      <c r="L7166" s="36" t="s">
        <v>44425</v>
      </c>
      <c r="M7166" s="186"/>
      <c r="N7166" s="186"/>
      <c r="O7166" s="172"/>
    </row>
    <row r="7167" spans="1:15" ht="38.25" x14ac:dyDescent="0.2">
      <c r="A7167" s="197" t="str">
        <f t="shared" si="111"/>
        <v>PrwCode_diamond</v>
      </c>
      <c r="B7167" s="409"/>
      <c r="C7167" s="416"/>
      <c r="D7167" s="198" t="s">
        <v>24752</v>
      </c>
      <c r="E7167" s="198">
        <v>20</v>
      </c>
      <c r="F7167" s="199" t="s">
        <v>24753</v>
      </c>
      <c r="G7167" s="1" t="s">
        <v>43403</v>
      </c>
      <c r="H7167" s="1" t="s">
        <v>43404</v>
      </c>
      <c r="I7167" s="346"/>
      <c r="J7167" s="39">
        <v>106867</v>
      </c>
      <c r="K7167" s="36" t="str">
        <f>CONCATENATE(Cover!$D$6,"fdd/view?i=",J7167)</f>
        <v>https://www.dgiwg.org/FAD/fdd/view?i=106867</v>
      </c>
      <c r="L7167" s="36" t="s">
        <v>44426</v>
      </c>
      <c r="M7167" s="186"/>
      <c r="N7167" s="186"/>
      <c r="O7167" s="172"/>
    </row>
    <row r="7168" spans="1:15" ht="25.5" x14ac:dyDescent="0.2">
      <c r="A7168" s="197" t="str">
        <f t="shared" si="111"/>
        <v>PrwCode_diatomaceousEarth</v>
      </c>
      <c r="B7168" s="409"/>
      <c r="C7168" s="416"/>
      <c r="D7168" s="198" t="s">
        <v>43406</v>
      </c>
      <c r="E7168" s="198">
        <v>21</v>
      </c>
      <c r="F7168" s="199" t="s">
        <v>43407</v>
      </c>
      <c r="G7168" s="1" t="s">
        <v>43408</v>
      </c>
      <c r="H7168" s="1" t="s">
        <v>43409</v>
      </c>
      <c r="I7168" s="346"/>
      <c r="J7168" s="39">
        <v>106868</v>
      </c>
      <c r="K7168" s="36" t="str">
        <f>CONCATENATE(Cover!$D$6,"fdd/view?i=",J7168)</f>
        <v>https://www.dgiwg.org/FAD/fdd/view?i=106868</v>
      </c>
      <c r="L7168" s="36" t="s">
        <v>44427</v>
      </c>
      <c r="M7168" s="186"/>
      <c r="N7168" s="186"/>
      <c r="O7168" s="172"/>
    </row>
    <row r="7169" spans="1:15" ht="25.5" x14ac:dyDescent="0.2">
      <c r="A7169" s="197" t="str">
        <f t="shared" si="111"/>
        <v>PrwCode_distilledWater</v>
      </c>
      <c r="B7169" s="409"/>
      <c r="C7169" s="416"/>
      <c r="D7169" s="198" t="s">
        <v>25262</v>
      </c>
      <c r="E7169" s="198">
        <v>100</v>
      </c>
      <c r="F7169" s="199" t="s">
        <v>25263</v>
      </c>
      <c r="G7169" s="1" t="s">
        <v>25264</v>
      </c>
      <c r="H7169" s="200"/>
      <c r="I7169" s="346"/>
      <c r="J7169" s="39">
        <v>106947</v>
      </c>
      <c r="K7169" s="36" t="str">
        <f>CONCATENATE(Cover!$D$6,"fdd/view?i=",J7169)</f>
        <v>https://www.dgiwg.org/FAD/fdd/view?i=106947</v>
      </c>
      <c r="L7169" s="36" t="s">
        <v>44428</v>
      </c>
      <c r="M7169" s="186"/>
      <c r="N7169" s="186"/>
      <c r="O7169" s="172"/>
    </row>
    <row r="7170" spans="1:15" ht="25.5" x14ac:dyDescent="0.2">
      <c r="A7170" s="197" t="str">
        <f t="shared" ref="A7170:A7233" si="112">HYPERLINK(K7170,L7170)</f>
        <v>PrwCode_dolerite</v>
      </c>
      <c r="B7170" s="409"/>
      <c r="C7170" s="416"/>
      <c r="D7170" s="198" t="s">
        <v>43413</v>
      </c>
      <c r="E7170" s="198">
        <v>110</v>
      </c>
      <c r="F7170" s="199" t="s">
        <v>43414</v>
      </c>
      <c r="G7170" s="1" t="s">
        <v>44429</v>
      </c>
      <c r="H7170" s="1" t="s">
        <v>44430</v>
      </c>
      <c r="I7170" s="346"/>
      <c r="J7170" s="39">
        <v>108644</v>
      </c>
      <c r="K7170" s="36" t="str">
        <f>CONCATENATE(Cover!$D$6,"fdd/view?i=",J7170)</f>
        <v>https://www.dgiwg.org/FAD/fdd/view?i=108644</v>
      </c>
      <c r="L7170" s="36" t="s">
        <v>44431</v>
      </c>
      <c r="M7170" s="186"/>
      <c r="N7170" s="186"/>
      <c r="O7170" s="172"/>
    </row>
    <row r="7171" spans="1:15" ht="38.25" x14ac:dyDescent="0.2">
      <c r="A7171" s="197" t="str">
        <f t="shared" si="112"/>
        <v>PrwCode_dolomite</v>
      </c>
      <c r="B7171" s="409"/>
      <c r="C7171" s="416"/>
      <c r="D7171" s="198" t="s">
        <v>22315</v>
      </c>
      <c r="E7171" s="198">
        <v>22</v>
      </c>
      <c r="F7171" s="199" t="s">
        <v>22316</v>
      </c>
      <c r="G7171" s="1" t="s">
        <v>43419</v>
      </c>
      <c r="H7171" s="200"/>
      <c r="I7171" s="346"/>
      <c r="J7171" s="39">
        <v>106869</v>
      </c>
      <c r="K7171" s="36" t="str">
        <f>CONCATENATE(Cover!$D$6,"fdd/view?i=",J7171)</f>
        <v>https://www.dgiwg.org/FAD/fdd/view?i=106869</v>
      </c>
      <c r="L7171" s="36" t="s">
        <v>44432</v>
      </c>
      <c r="M7171" s="186"/>
      <c r="N7171" s="186"/>
      <c r="O7171" s="172"/>
    </row>
    <row r="7172" spans="1:15" ht="25.5" x14ac:dyDescent="0.2">
      <c r="A7172" s="197" t="str">
        <f t="shared" si="112"/>
        <v>PrwCode_electricPower</v>
      </c>
      <c r="B7172" s="409"/>
      <c r="C7172" s="416"/>
      <c r="D7172" s="198" t="s">
        <v>43421</v>
      </c>
      <c r="E7172" s="198">
        <v>23</v>
      </c>
      <c r="F7172" s="199" t="s">
        <v>43422</v>
      </c>
      <c r="G7172" s="1" t="s">
        <v>43423</v>
      </c>
      <c r="H7172" s="1" t="s">
        <v>43424</v>
      </c>
      <c r="I7172" s="346"/>
      <c r="J7172" s="39">
        <v>106870</v>
      </c>
      <c r="K7172" s="36" t="str">
        <f>CONCATENATE(Cover!$D$6,"fdd/view?i=",J7172)</f>
        <v>https://www.dgiwg.org/FAD/fdd/view?i=106870</v>
      </c>
      <c r="L7172" s="36" t="s">
        <v>44433</v>
      </c>
      <c r="M7172" s="186"/>
      <c r="N7172" s="186"/>
      <c r="O7172" s="172"/>
    </row>
    <row r="7173" spans="1:15" ht="51" x14ac:dyDescent="0.2">
      <c r="A7173" s="197" t="str">
        <f t="shared" si="112"/>
        <v>PrwCode_foraminifera</v>
      </c>
      <c r="B7173" s="409"/>
      <c r="C7173" s="416"/>
      <c r="D7173" s="198" t="s">
        <v>44434</v>
      </c>
      <c r="E7173" s="198">
        <v>105</v>
      </c>
      <c r="F7173" s="199" t="s">
        <v>44435</v>
      </c>
      <c r="G7173" s="1" t="s">
        <v>44436</v>
      </c>
      <c r="H7173" s="200"/>
      <c r="I7173" s="346"/>
      <c r="J7173" s="39">
        <v>106952</v>
      </c>
      <c r="K7173" s="36" t="str">
        <f>CONCATENATE(Cover!$D$6,"fdd/view?i=",J7173)</f>
        <v>https://www.dgiwg.org/FAD/fdd/view?i=106952</v>
      </c>
      <c r="L7173" s="36" t="s">
        <v>44437</v>
      </c>
      <c r="M7173" s="186"/>
      <c r="N7173" s="186"/>
      <c r="O7173" s="172"/>
    </row>
    <row r="7174" spans="1:15" x14ac:dyDescent="0.2">
      <c r="A7174" s="197" t="str">
        <f t="shared" si="112"/>
        <v>PrwCode_frozenWater</v>
      </c>
      <c r="B7174" s="409"/>
      <c r="C7174" s="416"/>
      <c r="D7174" s="198" t="s">
        <v>43448</v>
      </c>
      <c r="E7174" s="198">
        <v>26</v>
      </c>
      <c r="F7174" s="199" t="s">
        <v>43449</v>
      </c>
      <c r="G7174" s="1" t="s">
        <v>43450</v>
      </c>
      <c r="H7174" s="1" t="s">
        <v>43451</v>
      </c>
      <c r="I7174" s="346"/>
      <c r="J7174" s="39">
        <v>106873</v>
      </c>
      <c r="K7174" s="36" t="str">
        <f>CONCATENATE(Cover!$D$6,"fdd/view?i=",J7174)</f>
        <v>https://www.dgiwg.org/FAD/fdd/view?i=106873</v>
      </c>
      <c r="L7174" s="36" t="s">
        <v>44438</v>
      </c>
      <c r="M7174" s="186"/>
      <c r="N7174" s="186"/>
      <c r="O7174" s="172"/>
    </row>
    <row r="7175" spans="1:15" ht="25.5" x14ac:dyDescent="0.2">
      <c r="A7175" s="197" t="str">
        <f t="shared" si="112"/>
        <v>PrwCode_gas</v>
      </c>
      <c r="B7175" s="409"/>
      <c r="C7175" s="416"/>
      <c r="D7175" s="198" t="s">
        <v>25223</v>
      </c>
      <c r="E7175" s="198">
        <v>27</v>
      </c>
      <c r="F7175" s="199" t="s">
        <v>25224</v>
      </c>
      <c r="G7175" s="1" t="s">
        <v>25266</v>
      </c>
      <c r="H7175" s="200"/>
      <c r="I7175" s="346"/>
      <c r="J7175" s="39">
        <v>106874</v>
      </c>
      <c r="K7175" s="36" t="str">
        <f>CONCATENATE(Cover!$D$6,"fdd/view?i=",J7175)</f>
        <v>https://www.dgiwg.org/FAD/fdd/view?i=106874</v>
      </c>
      <c r="L7175" s="36" t="s">
        <v>44439</v>
      </c>
      <c r="M7175" s="186"/>
      <c r="N7175" s="186"/>
      <c r="O7175" s="172"/>
    </row>
    <row r="7176" spans="1:15" ht="25.5" x14ac:dyDescent="0.2">
      <c r="A7176" s="197" t="str">
        <f t="shared" si="112"/>
        <v>PrwCode_glass</v>
      </c>
      <c r="B7176" s="409"/>
      <c r="C7176" s="416"/>
      <c r="D7176" s="198" t="s">
        <v>43458</v>
      </c>
      <c r="E7176" s="198">
        <v>28</v>
      </c>
      <c r="F7176" s="199" t="s">
        <v>43459</v>
      </c>
      <c r="G7176" s="1" t="s">
        <v>43460</v>
      </c>
      <c r="H7176" s="1" t="s">
        <v>43461</v>
      </c>
      <c r="I7176" s="346"/>
      <c r="J7176" s="39">
        <v>106875</v>
      </c>
      <c r="K7176" s="36" t="str">
        <f>CONCATENATE(Cover!$D$6,"fdd/view?i=",J7176)</f>
        <v>https://www.dgiwg.org/FAD/fdd/view?i=106875</v>
      </c>
      <c r="L7176" s="36" t="s">
        <v>44440</v>
      </c>
      <c r="M7176" s="186"/>
      <c r="N7176" s="186"/>
      <c r="O7176" s="172"/>
    </row>
    <row r="7177" spans="1:15" ht="51" x14ac:dyDescent="0.2">
      <c r="A7177" s="197" t="str">
        <f t="shared" si="112"/>
        <v>PrwCode_gneiss</v>
      </c>
      <c r="B7177" s="409"/>
      <c r="C7177" s="416"/>
      <c r="D7177" s="198" t="s">
        <v>43463</v>
      </c>
      <c r="E7177" s="198">
        <v>111</v>
      </c>
      <c r="F7177" s="199" t="s">
        <v>43464</v>
      </c>
      <c r="G7177" s="1" t="s">
        <v>44441</v>
      </c>
      <c r="H7177" s="1" t="s">
        <v>44442</v>
      </c>
      <c r="I7177" s="346"/>
      <c r="J7177" s="39">
        <v>108645</v>
      </c>
      <c r="K7177" s="36" t="str">
        <f>CONCATENATE(Cover!$D$6,"fdd/view?i=",J7177)</f>
        <v>https://www.dgiwg.org/FAD/fdd/view?i=108645</v>
      </c>
      <c r="L7177" s="36" t="s">
        <v>44443</v>
      </c>
      <c r="M7177" s="186"/>
      <c r="N7177" s="186"/>
      <c r="O7177" s="172"/>
    </row>
    <row r="7178" spans="1:15" ht="51" x14ac:dyDescent="0.2">
      <c r="A7178" s="197" t="str">
        <f t="shared" si="112"/>
        <v>PrwCode_gold</v>
      </c>
      <c r="B7178" s="409"/>
      <c r="C7178" s="416"/>
      <c r="D7178" s="198" t="s">
        <v>25753</v>
      </c>
      <c r="E7178" s="198">
        <v>29</v>
      </c>
      <c r="F7178" s="199" t="s">
        <v>43020</v>
      </c>
      <c r="G7178" s="1" t="s">
        <v>43468</v>
      </c>
      <c r="H7178" s="200"/>
      <c r="I7178" s="346"/>
      <c r="J7178" s="39">
        <v>106876</v>
      </c>
      <c r="K7178" s="36" t="str">
        <f>CONCATENATE(Cover!$D$6,"fdd/view?i=",J7178)</f>
        <v>https://www.dgiwg.org/FAD/fdd/view?i=106876</v>
      </c>
      <c r="L7178" s="36" t="s">
        <v>44444</v>
      </c>
      <c r="M7178" s="186"/>
      <c r="N7178" s="186"/>
      <c r="O7178" s="172"/>
    </row>
    <row r="7179" spans="1:15" x14ac:dyDescent="0.2">
      <c r="A7179" s="197" t="str">
        <f t="shared" si="112"/>
        <v>PrwCode_grain</v>
      </c>
      <c r="B7179" s="409"/>
      <c r="C7179" s="416"/>
      <c r="D7179" s="198" t="s">
        <v>43470</v>
      </c>
      <c r="E7179" s="198">
        <v>30</v>
      </c>
      <c r="F7179" s="199" t="s">
        <v>27094</v>
      </c>
      <c r="G7179" s="1" t="s">
        <v>43471</v>
      </c>
      <c r="H7179" s="1" t="s">
        <v>43472</v>
      </c>
      <c r="I7179" s="346"/>
      <c r="J7179" s="39">
        <v>106877</v>
      </c>
      <c r="K7179" s="36" t="str">
        <f>CONCATENATE(Cover!$D$6,"fdd/view?i=",J7179)</f>
        <v>https://www.dgiwg.org/FAD/fdd/view?i=106877</v>
      </c>
      <c r="L7179" s="36" t="s">
        <v>44445</v>
      </c>
      <c r="M7179" s="186"/>
      <c r="N7179" s="186"/>
      <c r="O7179" s="172"/>
    </row>
    <row r="7180" spans="1:15" ht="38.25" x14ac:dyDescent="0.2">
      <c r="A7180" s="197" t="str">
        <f t="shared" si="112"/>
        <v>PrwCode_granite</v>
      </c>
      <c r="B7180" s="409"/>
      <c r="C7180" s="416"/>
      <c r="D7180" s="198" t="s">
        <v>22319</v>
      </c>
      <c r="E7180" s="198">
        <v>31</v>
      </c>
      <c r="F7180" s="199" t="s">
        <v>22320</v>
      </c>
      <c r="G7180" s="1" t="s">
        <v>43475</v>
      </c>
      <c r="H7180" s="1" t="s">
        <v>44446</v>
      </c>
      <c r="I7180" s="346"/>
      <c r="J7180" s="39">
        <v>106878</v>
      </c>
      <c r="K7180" s="36" t="str">
        <f>CONCATENATE(Cover!$D$6,"fdd/view?i=",J7180)</f>
        <v>https://www.dgiwg.org/FAD/fdd/view?i=106878</v>
      </c>
      <c r="L7180" s="36" t="s">
        <v>44447</v>
      </c>
      <c r="M7180" s="186"/>
      <c r="N7180" s="186"/>
      <c r="O7180" s="172"/>
    </row>
    <row r="7181" spans="1:15" ht="25.5" x14ac:dyDescent="0.2">
      <c r="A7181" s="197" t="str">
        <f t="shared" si="112"/>
        <v>PrwCode_gravel</v>
      </c>
      <c r="B7181" s="409"/>
      <c r="C7181" s="416"/>
      <c r="D7181" s="198" t="s">
        <v>19556</v>
      </c>
      <c r="E7181" s="198">
        <v>34</v>
      </c>
      <c r="F7181" s="199" t="s">
        <v>19557</v>
      </c>
      <c r="G7181" s="1" t="s">
        <v>43477</v>
      </c>
      <c r="H7181" s="1" t="s">
        <v>43478</v>
      </c>
      <c r="I7181" s="346"/>
      <c r="J7181" s="39">
        <v>106881</v>
      </c>
      <c r="K7181" s="36" t="str">
        <f>CONCATENATE(Cover!$D$6,"fdd/view?i=",J7181)</f>
        <v>https://www.dgiwg.org/FAD/fdd/view?i=106881</v>
      </c>
      <c r="L7181" s="36" t="s">
        <v>44448</v>
      </c>
      <c r="M7181" s="186"/>
      <c r="N7181" s="186"/>
      <c r="O7181" s="172"/>
    </row>
    <row r="7182" spans="1:15" ht="25.5" x14ac:dyDescent="0.2">
      <c r="A7182" s="197" t="str">
        <f t="shared" si="112"/>
        <v>PrwCode_greenstone</v>
      </c>
      <c r="B7182" s="409"/>
      <c r="C7182" s="416"/>
      <c r="D7182" s="198" t="s">
        <v>43480</v>
      </c>
      <c r="E7182" s="198">
        <v>35</v>
      </c>
      <c r="F7182" s="199" t="s">
        <v>43481</v>
      </c>
      <c r="G7182" s="1" t="s">
        <v>44449</v>
      </c>
      <c r="H7182" s="1" t="s">
        <v>44450</v>
      </c>
      <c r="I7182" s="346"/>
      <c r="J7182" s="39">
        <v>106882</v>
      </c>
      <c r="K7182" s="36" t="str">
        <f>CONCATENATE(Cover!$D$6,"fdd/view?i=",J7182)</f>
        <v>https://www.dgiwg.org/FAD/fdd/view?i=106882</v>
      </c>
      <c r="L7182" s="36" t="s">
        <v>44451</v>
      </c>
      <c r="M7182" s="186"/>
      <c r="N7182" s="186"/>
      <c r="O7182" s="172"/>
    </row>
    <row r="7183" spans="1:15" x14ac:dyDescent="0.2">
      <c r="A7183" s="197" t="str">
        <f t="shared" si="112"/>
        <v>PrwCode_groundShell</v>
      </c>
      <c r="B7183" s="409"/>
      <c r="C7183" s="416"/>
      <c r="D7183" s="198" t="s">
        <v>43485</v>
      </c>
      <c r="E7183" s="198">
        <v>36</v>
      </c>
      <c r="F7183" s="199" t="s">
        <v>43486</v>
      </c>
      <c r="G7183" s="1" t="s">
        <v>43487</v>
      </c>
      <c r="H7183" s="200"/>
      <c r="I7183" s="346"/>
      <c r="J7183" s="39">
        <v>106883</v>
      </c>
      <c r="K7183" s="36" t="str">
        <f>CONCATENATE(Cover!$D$6,"fdd/view?i=",J7183)</f>
        <v>https://www.dgiwg.org/FAD/fdd/view?i=106883</v>
      </c>
      <c r="L7183" s="36" t="s">
        <v>44452</v>
      </c>
      <c r="M7183" s="186"/>
      <c r="N7183" s="186"/>
      <c r="O7183" s="172"/>
    </row>
    <row r="7184" spans="1:15" x14ac:dyDescent="0.2">
      <c r="A7184" s="197" t="str">
        <f t="shared" si="112"/>
        <v>PrwCode_ice</v>
      </c>
      <c r="B7184" s="409"/>
      <c r="C7184" s="416"/>
      <c r="D7184" s="198" t="s">
        <v>19560</v>
      </c>
      <c r="E7184" s="198">
        <v>38</v>
      </c>
      <c r="F7184" s="199" t="s">
        <v>19561</v>
      </c>
      <c r="G7184" s="1" t="s">
        <v>37452</v>
      </c>
      <c r="H7184" s="200"/>
      <c r="I7184" s="346"/>
      <c r="J7184" s="39">
        <v>106885</v>
      </c>
      <c r="K7184" s="36" t="str">
        <f>CONCATENATE(Cover!$D$6,"fdd/view?i=",J7184)</f>
        <v>https://www.dgiwg.org/FAD/fdd/view?i=106885</v>
      </c>
      <c r="L7184" s="36" t="s">
        <v>44453</v>
      </c>
      <c r="M7184" s="186"/>
      <c r="N7184" s="186"/>
      <c r="O7184" s="172"/>
    </row>
    <row r="7185" spans="1:15" ht="38.25" x14ac:dyDescent="0.2">
      <c r="A7185" s="197" t="str">
        <f t="shared" si="112"/>
        <v>PrwCode_iron</v>
      </c>
      <c r="B7185" s="409"/>
      <c r="C7185" s="416"/>
      <c r="D7185" s="198" t="s">
        <v>25766</v>
      </c>
      <c r="E7185" s="198">
        <v>39</v>
      </c>
      <c r="F7185" s="199" t="s">
        <v>43508</v>
      </c>
      <c r="G7185" s="1" t="s">
        <v>43509</v>
      </c>
      <c r="H7185" s="1" t="s">
        <v>43510</v>
      </c>
      <c r="I7185" s="346"/>
      <c r="J7185" s="39">
        <v>106886</v>
      </c>
      <c r="K7185" s="36" t="str">
        <f>CONCATENATE(Cover!$D$6,"fdd/view?i=",J7185)</f>
        <v>https://www.dgiwg.org/FAD/fdd/view?i=106886</v>
      </c>
      <c r="L7185" s="36" t="s">
        <v>44454</v>
      </c>
      <c r="M7185" s="186"/>
      <c r="N7185" s="186"/>
      <c r="O7185" s="172"/>
    </row>
    <row r="7186" spans="1:15" ht="25.5" x14ac:dyDescent="0.2">
      <c r="A7186" s="197" t="str">
        <f t="shared" si="112"/>
        <v>PrwCode_lava</v>
      </c>
      <c r="B7186" s="409"/>
      <c r="C7186" s="416"/>
      <c r="D7186" s="198" t="s">
        <v>25563</v>
      </c>
      <c r="E7186" s="198">
        <v>40</v>
      </c>
      <c r="F7186" s="199" t="s">
        <v>25564</v>
      </c>
      <c r="G7186" s="1" t="s">
        <v>44455</v>
      </c>
      <c r="H7186" s="200"/>
      <c r="I7186" s="346"/>
      <c r="J7186" s="39">
        <v>106887</v>
      </c>
      <c r="K7186" s="36" t="str">
        <f>CONCATENATE(Cover!$D$6,"fdd/view?i=",J7186)</f>
        <v>https://www.dgiwg.org/FAD/fdd/view?i=106887</v>
      </c>
      <c r="L7186" s="36" t="s">
        <v>44456</v>
      </c>
      <c r="M7186" s="186"/>
      <c r="N7186" s="186"/>
      <c r="O7186" s="172"/>
    </row>
    <row r="7187" spans="1:15" ht="38.25" x14ac:dyDescent="0.2">
      <c r="A7187" s="197" t="str">
        <f t="shared" si="112"/>
        <v>PrwCode_lead</v>
      </c>
      <c r="B7187" s="409"/>
      <c r="C7187" s="416"/>
      <c r="D7187" s="198" t="s">
        <v>25776</v>
      </c>
      <c r="E7187" s="198">
        <v>41</v>
      </c>
      <c r="F7187" s="199" t="s">
        <v>43512</v>
      </c>
      <c r="G7187" s="1" t="s">
        <v>43513</v>
      </c>
      <c r="H7187" s="200"/>
      <c r="I7187" s="346"/>
      <c r="J7187" s="39">
        <v>106888</v>
      </c>
      <c r="K7187" s="36" t="str">
        <f>CONCATENATE(Cover!$D$6,"fdd/view?i=",J7187)</f>
        <v>https://www.dgiwg.org/FAD/fdd/view?i=106888</v>
      </c>
      <c r="L7187" s="36" t="s">
        <v>44457</v>
      </c>
      <c r="M7187" s="186"/>
      <c r="N7187" s="186"/>
      <c r="O7187" s="172"/>
    </row>
    <row r="7188" spans="1:15" ht="51" x14ac:dyDescent="0.2">
      <c r="A7188" s="197" t="str">
        <f t="shared" si="112"/>
        <v>PrwCode_lime</v>
      </c>
      <c r="B7188" s="409"/>
      <c r="C7188" s="416"/>
      <c r="D7188" s="198" t="s">
        <v>27294</v>
      </c>
      <c r="E7188" s="198">
        <v>42</v>
      </c>
      <c r="F7188" s="199" t="s">
        <v>27295</v>
      </c>
      <c r="G7188" s="1" t="s">
        <v>43515</v>
      </c>
      <c r="H7188" s="1" t="s">
        <v>43516</v>
      </c>
      <c r="I7188" s="351" t="s">
        <v>43517</v>
      </c>
      <c r="J7188" s="39">
        <v>106889</v>
      </c>
      <c r="K7188" s="36" t="str">
        <f>CONCATENATE(Cover!$D$6,"fdd/view?i=",J7188)</f>
        <v>https://www.dgiwg.org/FAD/fdd/view?i=106889</v>
      </c>
      <c r="L7188" s="36" t="s">
        <v>44458</v>
      </c>
      <c r="M7188" s="186"/>
      <c r="N7188" s="186"/>
      <c r="O7188" s="172"/>
    </row>
    <row r="7189" spans="1:15" ht="25.5" x14ac:dyDescent="0.2">
      <c r="A7189" s="197" t="str">
        <f t="shared" si="112"/>
        <v>PrwCode_limestone</v>
      </c>
      <c r="B7189" s="409"/>
      <c r="C7189" s="416"/>
      <c r="D7189" s="198" t="s">
        <v>22336</v>
      </c>
      <c r="E7189" s="198">
        <v>112</v>
      </c>
      <c r="F7189" s="199" t="s">
        <v>22337</v>
      </c>
      <c r="G7189" s="1" t="s">
        <v>44459</v>
      </c>
      <c r="H7189" s="1" t="s">
        <v>44460</v>
      </c>
      <c r="I7189" s="346"/>
      <c r="J7189" s="39">
        <v>108646</v>
      </c>
      <c r="K7189" s="36" t="str">
        <f>CONCATENATE(Cover!$D$6,"fdd/view?i=",J7189)</f>
        <v>https://www.dgiwg.org/FAD/fdd/view?i=108646</v>
      </c>
      <c r="L7189" s="36" t="s">
        <v>44461</v>
      </c>
      <c r="M7189" s="186"/>
      <c r="N7189" s="186"/>
      <c r="O7189" s="172"/>
    </row>
    <row r="7190" spans="1:15" ht="38.25" x14ac:dyDescent="0.2">
      <c r="A7190" s="197" t="str">
        <f t="shared" si="112"/>
        <v>PrwCode_liquefiedNaturalGas</v>
      </c>
      <c r="B7190" s="409"/>
      <c r="C7190" s="416"/>
      <c r="D7190" s="198" t="s">
        <v>22957</v>
      </c>
      <c r="E7190" s="198">
        <v>43</v>
      </c>
      <c r="F7190" s="199" t="s">
        <v>22958</v>
      </c>
      <c r="G7190" s="1" t="s">
        <v>43522</v>
      </c>
      <c r="H7190" s="1" t="s">
        <v>44462</v>
      </c>
      <c r="I7190" s="346"/>
      <c r="J7190" s="39">
        <v>106890</v>
      </c>
      <c r="K7190" s="36" t="str">
        <f>CONCATENATE(Cover!$D$6,"fdd/view?i=",J7190)</f>
        <v>https://www.dgiwg.org/FAD/fdd/view?i=106890</v>
      </c>
      <c r="L7190" s="36" t="s">
        <v>44463</v>
      </c>
      <c r="M7190" s="186"/>
      <c r="N7190" s="186"/>
      <c r="O7190" s="172"/>
    </row>
    <row r="7191" spans="1:15" ht="89.25" x14ac:dyDescent="0.2">
      <c r="A7191" s="197" t="str">
        <f t="shared" si="112"/>
        <v>PrwCode_liquefiedPetroleumGas</v>
      </c>
      <c r="B7191" s="409"/>
      <c r="C7191" s="416"/>
      <c r="D7191" s="198" t="s">
        <v>22963</v>
      </c>
      <c r="E7191" s="198">
        <v>44</v>
      </c>
      <c r="F7191" s="199" t="s">
        <v>22964</v>
      </c>
      <c r="G7191" s="1" t="s">
        <v>22965</v>
      </c>
      <c r="H7191" s="1" t="s">
        <v>22966</v>
      </c>
      <c r="I7191" s="346"/>
      <c r="J7191" s="39">
        <v>106891</v>
      </c>
      <c r="K7191" s="36" t="str">
        <f>CONCATENATE(Cover!$D$6,"fdd/view?i=",J7191)</f>
        <v>https://www.dgiwg.org/FAD/fdd/view?i=106891</v>
      </c>
      <c r="L7191" s="36" t="s">
        <v>44464</v>
      </c>
      <c r="M7191" s="186"/>
      <c r="N7191" s="186"/>
      <c r="O7191" s="172"/>
    </row>
    <row r="7192" spans="1:15" ht="25.5" x14ac:dyDescent="0.2">
      <c r="A7192" s="197" t="str">
        <f t="shared" si="112"/>
        <v>PrwCode_loess</v>
      </c>
      <c r="B7192" s="409"/>
      <c r="C7192" s="416"/>
      <c r="D7192" s="198" t="s">
        <v>44465</v>
      </c>
      <c r="E7192" s="198">
        <v>104</v>
      </c>
      <c r="F7192" s="199" t="s">
        <v>44466</v>
      </c>
      <c r="G7192" s="1" t="s">
        <v>44467</v>
      </c>
      <c r="H7192" s="200"/>
      <c r="I7192" s="346"/>
      <c r="J7192" s="39">
        <v>106951</v>
      </c>
      <c r="K7192" s="36" t="str">
        <f>CONCATENATE(Cover!$D$6,"fdd/view?i=",J7192)</f>
        <v>https://www.dgiwg.org/FAD/fdd/view?i=106951</v>
      </c>
      <c r="L7192" s="36" t="s">
        <v>44468</v>
      </c>
      <c r="M7192" s="186"/>
      <c r="N7192" s="186"/>
      <c r="O7192" s="172"/>
    </row>
    <row r="7193" spans="1:15" x14ac:dyDescent="0.2">
      <c r="A7193" s="197" t="str">
        <f t="shared" si="112"/>
        <v>PrwCode_lumber</v>
      </c>
      <c r="B7193" s="409"/>
      <c r="C7193" s="416"/>
      <c r="D7193" s="198" t="s">
        <v>43526</v>
      </c>
      <c r="E7193" s="198">
        <v>45</v>
      </c>
      <c r="F7193" s="199" t="s">
        <v>43527</v>
      </c>
      <c r="G7193" s="1" t="s">
        <v>43528</v>
      </c>
      <c r="H7193" s="200"/>
      <c r="I7193" s="346"/>
      <c r="J7193" s="39">
        <v>106892</v>
      </c>
      <c r="K7193" s="36" t="str">
        <f>CONCATENATE(Cover!$D$6,"fdd/view?i=",J7193)</f>
        <v>https://www.dgiwg.org/FAD/fdd/view?i=106892</v>
      </c>
      <c r="L7193" s="36" t="s">
        <v>44469</v>
      </c>
      <c r="M7193" s="186"/>
      <c r="N7193" s="186"/>
      <c r="O7193" s="172"/>
    </row>
    <row r="7194" spans="1:15" x14ac:dyDescent="0.2">
      <c r="A7194" s="197" t="str">
        <f t="shared" si="112"/>
        <v>PrwCode_madrepore</v>
      </c>
      <c r="B7194" s="409"/>
      <c r="C7194" s="416"/>
      <c r="D7194" s="198" t="s">
        <v>43534</v>
      </c>
      <c r="E7194" s="198">
        <v>102</v>
      </c>
      <c r="F7194" s="199" t="s">
        <v>43535</v>
      </c>
      <c r="G7194" s="1" t="s">
        <v>44470</v>
      </c>
      <c r="H7194" s="200"/>
      <c r="I7194" s="346"/>
      <c r="J7194" s="39">
        <v>106949</v>
      </c>
      <c r="K7194" s="36" t="str">
        <f>CONCATENATE(Cover!$D$6,"fdd/view?i=",J7194)</f>
        <v>https://www.dgiwg.org/FAD/fdd/view?i=106949</v>
      </c>
      <c r="L7194" s="36" t="s">
        <v>44471</v>
      </c>
      <c r="M7194" s="186"/>
      <c r="N7194" s="186"/>
      <c r="O7194" s="172"/>
    </row>
    <row r="7195" spans="1:15" ht="25.5" x14ac:dyDescent="0.2">
      <c r="A7195" s="197" t="str">
        <f t="shared" si="112"/>
        <v>PrwCode_manganese</v>
      </c>
      <c r="B7195" s="409"/>
      <c r="C7195" s="416"/>
      <c r="D7195" s="198" t="s">
        <v>25791</v>
      </c>
      <c r="E7195" s="198">
        <v>46</v>
      </c>
      <c r="F7195" s="199" t="s">
        <v>43539</v>
      </c>
      <c r="G7195" s="1" t="s">
        <v>43540</v>
      </c>
      <c r="H7195" s="1" t="s">
        <v>43541</v>
      </c>
      <c r="I7195" s="346"/>
      <c r="J7195" s="39">
        <v>106893</v>
      </c>
      <c r="K7195" s="36" t="str">
        <f>CONCATENATE(Cover!$D$6,"fdd/view?i=",J7195)</f>
        <v>https://www.dgiwg.org/FAD/fdd/view?i=106893</v>
      </c>
      <c r="L7195" s="36" t="s">
        <v>44472</v>
      </c>
      <c r="M7195" s="186"/>
      <c r="N7195" s="186"/>
      <c r="O7195" s="172"/>
    </row>
    <row r="7196" spans="1:15" ht="38.25" x14ac:dyDescent="0.2">
      <c r="A7196" s="197" t="str">
        <f t="shared" si="112"/>
        <v>PrwCode_marble</v>
      </c>
      <c r="B7196" s="409"/>
      <c r="C7196" s="416"/>
      <c r="D7196" s="198" t="s">
        <v>43544</v>
      </c>
      <c r="E7196" s="198">
        <v>47</v>
      </c>
      <c r="F7196" s="199" t="s">
        <v>43545</v>
      </c>
      <c r="G7196" s="1" t="s">
        <v>43547</v>
      </c>
      <c r="H7196" s="200"/>
      <c r="I7196" s="346"/>
      <c r="J7196" s="39">
        <v>106894</v>
      </c>
      <c r="K7196" s="36" t="str">
        <f>CONCATENATE(Cover!$D$6,"fdd/view?i=",J7196)</f>
        <v>https://www.dgiwg.org/FAD/fdd/view?i=106894</v>
      </c>
      <c r="L7196" s="36" t="s">
        <v>44473</v>
      </c>
      <c r="M7196" s="186"/>
      <c r="N7196" s="186"/>
      <c r="O7196" s="172"/>
    </row>
    <row r="7197" spans="1:15" ht="38.25" x14ac:dyDescent="0.2">
      <c r="A7197" s="197" t="str">
        <f t="shared" si="112"/>
        <v>PrwCode_marl</v>
      </c>
      <c r="B7197" s="409"/>
      <c r="C7197" s="416"/>
      <c r="D7197" s="198" t="s">
        <v>22341</v>
      </c>
      <c r="E7197" s="198">
        <v>106</v>
      </c>
      <c r="F7197" s="199" t="s">
        <v>22342</v>
      </c>
      <c r="G7197" s="1" t="s">
        <v>43549</v>
      </c>
      <c r="H7197" s="200"/>
      <c r="I7197" s="346"/>
      <c r="J7197" s="39">
        <v>106953</v>
      </c>
      <c r="K7197" s="36" t="str">
        <f>CONCATENATE(Cover!$D$6,"fdd/view?i=",J7197)</f>
        <v>https://www.dgiwg.org/FAD/fdd/view?i=106953</v>
      </c>
      <c r="L7197" s="36" t="s">
        <v>44474</v>
      </c>
      <c r="M7197" s="186"/>
      <c r="N7197" s="186"/>
      <c r="O7197" s="172"/>
    </row>
    <row r="7198" spans="1:15" ht="38.25" x14ac:dyDescent="0.2">
      <c r="A7198" s="197" t="str">
        <f t="shared" si="112"/>
        <v>PrwCode_metal</v>
      </c>
      <c r="B7198" s="409"/>
      <c r="C7198" s="416"/>
      <c r="D7198" s="198" t="s">
        <v>25276</v>
      </c>
      <c r="E7198" s="198">
        <v>48</v>
      </c>
      <c r="F7198" s="199" t="s">
        <v>25277</v>
      </c>
      <c r="G7198" s="1" t="s">
        <v>25278</v>
      </c>
      <c r="H7198" s="1" t="s">
        <v>25279</v>
      </c>
      <c r="I7198" s="346"/>
      <c r="J7198" s="39">
        <v>106895</v>
      </c>
      <c r="K7198" s="36" t="str">
        <f>CONCATENATE(Cover!$D$6,"fdd/view?i=",J7198)</f>
        <v>https://www.dgiwg.org/FAD/fdd/view?i=106895</v>
      </c>
      <c r="L7198" s="36" t="s">
        <v>44475</v>
      </c>
      <c r="M7198" s="186"/>
      <c r="N7198" s="186"/>
      <c r="O7198" s="172"/>
    </row>
    <row r="7199" spans="1:15" ht="38.25" x14ac:dyDescent="0.2">
      <c r="A7199" s="197" t="str">
        <f t="shared" si="112"/>
        <v>PrwCode_milk</v>
      </c>
      <c r="B7199" s="409"/>
      <c r="C7199" s="416"/>
      <c r="D7199" s="198" t="s">
        <v>43558</v>
      </c>
      <c r="E7199" s="198">
        <v>113</v>
      </c>
      <c r="F7199" s="199" t="s">
        <v>43559</v>
      </c>
      <c r="G7199" s="1" t="s">
        <v>43560</v>
      </c>
      <c r="H7199" s="1" t="s">
        <v>43561</v>
      </c>
      <c r="I7199" s="346"/>
      <c r="J7199" s="39">
        <v>108647</v>
      </c>
      <c r="K7199" s="36" t="str">
        <f>CONCATENATE(Cover!$D$6,"fdd/view?i=",J7199)</f>
        <v>https://www.dgiwg.org/FAD/fdd/view?i=108647</v>
      </c>
      <c r="L7199" s="36" t="s">
        <v>44476</v>
      </c>
      <c r="M7199" s="186"/>
      <c r="N7199" s="186"/>
      <c r="O7199" s="172"/>
    </row>
    <row r="7200" spans="1:15" ht="25.5" x14ac:dyDescent="0.2">
      <c r="A7200" s="197" t="str">
        <f t="shared" si="112"/>
        <v>PrwCode_mineralOil</v>
      </c>
      <c r="B7200" s="409"/>
      <c r="C7200" s="416"/>
      <c r="D7200" s="198" t="s">
        <v>43567</v>
      </c>
      <c r="E7200" s="198">
        <v>49</v>
      </c>
      <c r="F7200" s="199" t="s">
        <v>43568</v>
      </c>
      <c r="G7200" s="1" t="s">
        <v>43569</v>
      </c>
      <c r="H7200" s="1" t="s">
        <v>43570</v>
      </c>
      <c r="I7200" s="351" t="s">
        <v>43571</v>
      </c>
      <c r="J7200" s="39">
        <v>106896</v>
      </c>
      <c r="K7200" s="36" t="str">
        <f>CONCATENATE(Cover!$D$6,"fdd/view?i=",J7200)</f>
        <v>https://www.dgiwg.org/FAD/fdd/view?i=106896</v>
      </c>
      <c r="L7200" s="36" t="s">
        <v>44477</v>
      </c>
      <c r="M7200" s="186"/>
      <c r="N7200" s="186"/>
      <c r="O7200" s="172"/>
    </row>
    <row r="7201" spans="1:15" ht="25.5" x14ac:dyDescent="0.2">
      <c r="A7201" s="197" t="str">
        <f t="shared" si="112"/>
        <v>PrwCode_nonSolidHydrocarbonFuel</v>
      </c>
      <c r="B7201" s="409"/>
      <c r="C7201" s="416"/>
      <c r="D7201" s="198" t="s">
        <v>43601</v>
      </c>
      <c r="E7201" s="198">
        <v>51</v>
      </c>
      <c r="F7201" s="199" t="s">
        <v>44482</v>
      </c>
      <c r="G7201" s="1" t="s">
        <v>43603</v>
      </c>
      <c r="H7201" s="200"/>
      <c r="I7201" s="346"/>
      <c r="J7201" s="39">
        <v>106898</v>
      </c>
      <c r="K7201" s="36" t="str">
        <f>CONCATENATE(Cover!$D$6,"fdd/view?i=",J7201)</f>
        <v>https://www.dgiwg.org/FAD/fdd/view?i=106898</v>
      </c>
      <c r="L7201" s="36" t="s">
        <v>44483</v>
      </c>
      <c r="M7201" s="186"/>
      <c r="N7201" s="186"/>
      <c r="O7201" s="172"/>
    </row>
    <row r="7202" spans="1:15" ht="25.5" x14ac:dyDescent="0.2">
      <c r="A7202" s="197" t="str">
        <f t="shared" si="112"/>
        <v>PrwCode_noRawMaterial</v>
      </c>
      <c r="B7202" s="409"/>
      <c r="C7202" s="416"/>
      <c r="D7202" s="198" t="s">
        <v>44478</v>
      </c>
      <c r="E7202" s="198">
        <v>50</v>
      </c>
      <c r="F7202" s="199" t="s">
        <v>44479</v>
      </c>
      <c r="G7202" s="1" t="s">
        <v>44480</v>
      </c>
      <c r="H7202" s="200"/>
      <c r="I7202" s="346"/>
      <c r="J7202" s="39">
        <v>106897</v>
      </c>
      <c r="K7202" s="36" t="str">
        <f>CONCATENATE(Cover!$D$6,"fdd/view?i=",J7202)</f>
        <v>https://www.dgiwg.org/FAD/fdd/view?i=106897</v>
      </c>
      <c r="L7202" s="36" t="s">
        <v>44481</v>
      </c>
      <c r="M7202" s="186"/>
      <c r="N7202" s="186"/>
      <c r="O7202" s="172"/>
    </row>
    <row r="7203" spans="1:15" ht="38.25" x14ac:dyDescent="0.2">
      <c r="A7203" s="197" t="str">
        <f t="shared" si="112"/>
        <v>PrwCode_oil</v>
      </c>
      <c r="B7203" s="409"/>
      <c r="C7203" s="416"/>
      <c r="D7203" s="198" t="s">
        <v>22981</v>
      </c>
      <c r="E7203" s="198">
        <v>52</v>
      </c>
      <c r="F7203" s="199" t="s">
        <v>22982</v>
      </c>
      <c r="G7203" s="1" t="s">
        <v>22983</v>
      </c>
      <c r="H7203" s="1" t="s">
        <v>43605</v>
      </c>
      <c r="I7203" s="346"/>
      <c r="J7203" s="39">
        <v>106899</v>
      </c>
      <c r="K7203" s="36" t="str">
        <f>CONCATENATE(Cover!$D$6,"fdd/view?i=",J7203)</f>
        <v>https://www.dgiwg.org/FAD/fdd/view?i=106899</v>
      </c>
      <c r="L7203" s="36" t="s">
        <v>44484</v>
      </c>
      <c r="M7203" s="186"/>
      <c r="N7203" s="186"/>
      <c r="O7203" s="172"/>
    </row>
    <row r="7204" spans="1:15" ht="38.25" x14ac:dyDescent="0.2">
      <c r="A7204" s="197" t="str">
        <f t="shared" si="112"/>
        <v>PrwCode_ore</v>
      </c>
      <c r="B7204" s="409"/>
      <c r="C7204" s="416"/>
      <c r="D7204" s="198" t="s">
        <v>43612</v>
      </c>
      <c r="E7204" s="198">
        <v>54</v>
      </c>
      <c r="F7204" s="199" t="s">
        <v>43613</v>
      </c>
      <c r="G7204" s="1" t="s">
        <v>43614</v>
      </c>
      <c r="H7204" s="200"/>
      <c r="I7204" s="346"/>
      <c r="J7204" s="39">
        <v>106901</v>
      </c>
      <c r="K7204" s="36" t="str">
        <f>CONCATENATE(Cover!$D$6,"fdd/view?i=",J7204)</f>
        <v>https://www.dgiwg.org/FAD/fdd/view?i=106901</v>
      </c>
      <c r="L7204" s="36" t="s">
        <v>44485</v>
      </c>
      <c r="M7204" s="186"/>
      <c r="N7204" s="186"/>
      <c r="O7204" s="172"/>
    </row>
    <row r="7205" spans="1:15" ht="38.25" x14ac:dyDescent="0.2">
      <c r="A7205" s="197" t="str">
        <f t="shared" si="112"/>
        <v>PrwCode_palm</v>
      </c>
      <c r="B7205" s="409"/>
      <c r="C7205" s="416"/>
      <c r="D7205" s="198" t="s">
        <v>27408</v>
      </c>
      <c r="E7205" s="198">
        <v>56</v>
      </c>
      <c r="F7205" s="199" t="s">
        <v>27409</v>
      </c>
      <c r="G7205" s="1" t="s">
        <v>27410</v>
      </c>
      <c r="H7205" s="1" t="s">
        <v>43621</v>
      </c>
      <c r="I7205" s="351" t="s">
        <v>29158</v>
      </c>
      <c r="J7205" s="39">
        <v>106903</v>
      </c>
      <c r="K7205" s="36" t="str">
        <f>CONCATENATE(Cover!$D$6,"fdd/view?i=",J7205)</f>
        <v>https://www.dgiwg.org/FAD/fdd/view?i=106903</v>
      </c>
      <c r="L7205" s="36" t="s">
        <v>44486</v>
      </c>
      <c r="M7205" s="186"/>
      <c r="N7205" s="186"/>
      <c r="O7205" s="172"/>
    </row>
    <row r="7206" spans="1:15" ht="51" x14ac:dyDescent="0.2">
      <c r="A7206" s="197" t="str">
        <f t="shared" si="112"/>
        <v>PrwCode_palmetto</v>
      </c>
      <c r="B7206" s="409"/>
      <c r="C7206" s="416"/>
      <c r="D7206" s="198" t="s">
        <v>27413</v>
      </c>
      <c r="E7206" s="198">
        <v>55</v>
      </c>
      <c r="F7206" s="199" t="s">
        <v>27414</v>
      </c>
      <c r="G7206" s="1" t="s">
        <v>43623</v>
      </c>
      <c r="H7206" s="1" t="s">
        <v>43624</v>
      </c>
      <c r="I7206" s="351" t="s">
        <v>43625</v>
      </c>
      <c r="J7206" s="39">
        <v>106902</v>
      </c>
      <c r="K7206" s="36" t="str">
        <f>CONCATENATE(Cover!$D$6,"fdd/view?i=",J7206)</f>
        <v>https://www.dgiwg.org/FAD/fdd/view?i=106902</v>
      </c>
      <c r="L7206" s="36" t="s">
        <v>44487</v>
      </c>
      <c r="M7206" s="186"/>
      <c r="N7206" s="186"/>
      <c r="O7206" s="172"/>
    </row>
    <row r="7207" spans="1:15" ht="38.25" x14ac:dyDescent="0.2">
      <c r="A7207" s="197" t="str">
        <f t="shared" si="112"/>
        <v>PrwCode_paper</v>
      </c>
      <c r="B7207" s="409"/>
      <c r="C7207" s="416"/>
      <c r="D7207" s="198" t="s">
        <v>43627</v>
      </c>
      <c r="E7207" s="198">
        <v>57</v>
      </c>
      <c r="F7207" s="199" t="s">
        <v>43628</v>
      </c>
      <c r="G7207" s="1" t="s">
        <v>43629</v>
      </c>
      <c r="H7207" s="1" t="s">
        <v>43630</v>
      </c>
      <c r="I7207" s="346"/>
      <c r="J7207" s="39">
        <v>106904</v>
      </c>
      <c r="K7207" s="36" t="str">
        <f>CONCATENATE(Cover!$D$6,"fdd/view?i=",J7207)</f>
        <v>https://www.dgiwg.org/FAD/fdd/view?i=106904</v>
      </c>
      <c r="L7207" s="36" t="s">
        <v>44488</v>
      </c>
      <c r="M7207" s="186"/>
      <c r="N7207" s="186"/>
      <c r="O7207" s="172"/>
    </row>
    <row r="7208" spans="1:15" ht="25.5" x14ac:dyDescent="0.2">
      <c r="A7208" s="197" t="str">
        <f t="shared" si="112"/>
        <v>PrwCode_peat</v>
      </c>
      <c r="B7208" s="409"/>
      <c r="C7208" s="416"/>
      <c r="D7208" s="198" t="s">
        <v>24169</v>
      </c>
      <c r="E7208" s="198">
        <v>247</v>
      </c>
      <c r="F7208" s="199" t="s">
        <v>24170</v>
      </c>
      <c r="G7208" s="1" t="s">
        <v>24171</v>
      </c>
      <c r="H7208" s="200"/>
      <c r="I7208" s="346"/>
      <c r="J7208" s="39">
        <v>118314</v>
      </c>
      <c r="K7208" s="36" t="str">
        <f>CONCATENATE(Cover!$D$6,"fdd/view?i=",J7208)</f>
        <v>https://www.dgiwg.org/FAD/fdd/view?i=118314</v>
      </c>
      <c r="L7208" s="36" t="s">
        <v>44489</v>
      </c>
      <c r="M7208" s="186"/>
      <c r="N7208" s="186"/>
      <c r="O7208" s="172"/>
    </row>
    <row r="7209" spans="1:15" ht="25.5" x14ac:dyDescent="0.2">
      <c r="A7209" s="197" t="str">
        <f t="shared" si="112"/>
        <v>PrwCode_pebbles</v>
      </c>
      <c r="B7209" s="409"/>
      <c r="C7209" s="416"/>
      <c r="D7209" s="198" t="s">
        <v>43632</v>
      </c>
      <c r="E7209" s="198">
        <v>58</v>
      </c>
      <c r="F7209" s="199" t="s">
        <v>43633</v>
      </c>
      <c r="G7209" s="1" t="s">
        <v>43634</v>
      </c>
      <c r="H7209" s="200"/>
      <c r="I7209" s="351" t="s">
        <v>43635</v>
      </c>
      <c r="J7209" s="39">
        <v>106905</v>
      </c>
      <c r="K7209" s="36" t="str">
        <f>CONCATENATE(Cover!$D$6,"fdd/view?i=",J7209)</f>
        <v>https://www.dgiwg.org/FAD/fdd/view?i=106905</v>
      </c>
      <c r="L7209" s="36" t="s">
        <v>44490</v>
      </c>
      <c r="M7209" s="186"/>
      <c r="N7209" s="186"/>
      <c r="O7209" s="172"/>
    </row>
    <row r="7210" spans="1:15" ht="51" x14ac:dyDescent="0.2">
      <c r="A7210" s="197" t="str">
        <f t="shared" si="112"/>
        <v>PrwCode_petroleum</v>
      </c>
      <c r="B7210" s="409"/>
      <c r="C7210" s="416"/>
      <c r="D7210" s="198" t="s">
        <v>29333</v>
      </c>
      <c r="E7210" s="198">
        <v>59</v>
      </c>
      <c r="F7210" s="199" t="s">
        <v>29334</v>
      </c>
      <c r="G7210" s="1" t="s">
        <v>43642</v>
      </c>
      <c r="H7210" s="1" t="s">
        <v>43643</v>
      </c>
      <c r="I7210" s="351" t="s">
        <v>29337</v>
      </c>
      <c r="J7210" s="39">
        <v>106906</v>
      </c>
      <c r="K7210" s="36" t="str">
        <f>CONCATENATE(Cover!$D$6,"fdd/view?i=",J7210)</f>
        <v>https://www.dgiwg.org/FAD/fdd/view?i=106906</v>
      </c>
      <c r="L7210" s="36" t="s">
        <v>44491</v>
      </c>
      <c r="M7210" s="186"/>
      <c r="N7210" s="186"/>
      <c r="O7210" s="172"/>
    </row>
    <row r="7211" spans="1:15" ht="63.75" x14ac:dyDescent="0.2">
      <c r="A7211" s="197" t="str">
        <f t="shared" si="112"/>
        <v>PrwCode_petroleumNaturalGas</v>
      </c>
      <c r="B7211" s="409"/>
      <c r="C7211" s="416"/>
      <c r="D7211" s="198" t="s">
        <v>43645</v>
      </c>
      <c r="E7211" s="198">
        <v>118</v>
      </c>
      <c r="F7211" s="199" t="s">
        <v>43646</v>
      </c>
      <c r="G7211" s="1" t="s">
        <v>43647</v>
      </c>
      <c r="H7211" s="1" t="s">
        <v>43648</v>
      </c>
      <c r="I7211" s="346"/>
      <c r="J7211" s="39">
        <v>111291</v>
      </c>
      <c r="K7211" s="36" t="str">
        <f>CONCATENATE(Cover!$D$6,"fdd/view?i=",J7211)</f>
        <v>https://www.dgiwg.org/FAD/fdd/view?i=111291</v>
      </c>
      <c r="L7211" s="36" t="s">
        <v>44492</v>
      </c>
      <c r="M7211" s="186"/>
      <c r="N7211" s="186"/>
      <c r="O7211" s="172"/>
    </row>
    <row r="7212" spans="1:15" ht="38.25" x14ac:dyDescent="0.2">
      <c r="A7212" s="197" t="str">
        <f t="shared" si="112"/>
        <v>PrwCode_plantMaterial</v>
      </c>
      <c r="B7212" s="409"/>
      <c r="C7212" s="416"/>
      <c r="D7212" s="198" t="s">
        <v>43655</v>
      </c>
      <c r="E7212" s="198">
        <v>33</v>
      </c>
      <c r="F7212" s="199" t="s">
        <v>43656</v>
      </c>
      <c r="G7212" s="1" t="s">
        <v>43657</v>
      </c>
      <c r="H7212" s="200"/>
      <c r="I7212" s="346"/>
      <c r="J7212" s="39">
        <v>106880</v>
      </c>
      <c r="K7212" s="36" t="str">
        <f>CONCATENATE(Cover!$D$6,"fdd/view?i=",J7212)</f>
        <v>https://www.dgiwg.org/FAD/fdd/view?i=106880</v>
      </c>
      <c r="L7212" s="36" t="s">
        <v>44493</v>
      </c>
      <c r="M7212" s="186"/>
      <c r="N7212" s="186"/>
      <c r="O7212" s="172"/>
    </row>
    <row r="7213" spans="1:15" ht="38.25" x14ac:dyDescent="0.2">
      <c r="A7213" s="197" t="str">
        <f t="shared" si="112"/>
        <v>PrwCode_plastic</v>
      </c>
      <c r="B7213" s="409"/>
      <c r="C7213" s="416"/>
      <c r="D7213" s="198" t="s">
        <v>43659</v>
      </c>
      <c r="E7213" s="198">
        <v>60</v>
      </c>
      <c r="F7213" s="199" t="s">
        <v>43660</v>
      </c>
      <c r="G7213" s="1" t="s">
        <v>43661</v>
      </c>
      <c r="H7213" s="1" t="s">
        <v>43662</v>
      </c>
      <c r="I7213" s="346"/>
      <c r="J7213" s="39">
        <v>106907</v>
      </c>
      <c r="K7213" s="36" t="str">
        <f>CONCATENATE(Cover!$D$6,"fdd/view?i=",J7213)</f>
        <v>https://www.dgiwg.org/FAD/fdd/view?i=106907</v>
      </c>
      <c r="L7213" s="36" t="s">
        <v>44494</v>
      </c>
      <c r="M7213" s="186"/>
      <c r="N7213" s="186"/>
      <c r="O7213" s="172"/>
    </row>
    <row r="7214" spans="1:15" ht="63.75" x14ac:dyDescent="0.2">
      <c r="A7214" s="197" t="str">
        <f t="shared" si="112"/>
        <v>PrwCode_porphyry</v>
      </c>
      <c r="B7214" s="409"/>
      <c r="C7214" s="416"/>
      <c r="D7214" s="198" t="s">
        <v>43664</v>
      </c>
      <c r="E7214" s="198">
        <v>61</v>
      </c>
      <c r="F7214" s="199" t="s">
        <v>43665</v>
      </c>
      <c r="G7214" s="1" t="s">
        <v>44495</v>
      </c>
      <c r="H7214" s="1" t="s">
        <v>44496</v>
      </c>
      <c r="I7214" s="346"/>
      <c r="J7214" s="39">
        <v>106908</v>
      </c>
      <c r="K7214" s="36" t="str">
        <f>CONCATENATE(Cover!$D$6,"fdd/view?i=",J7214)</f>
        <v>https://www.dgiwg.org/FAD/fdd/view?i=106908</v>
      </c>
      <c r="L7214" s="36" t="s">
        <v>44497</v>
      </c>
      <c r="M7214" s="186"/>
      <c r="N7214" s="186"/>
      <c r="O7214" s="172"/>
    </row>
    <row r="7215" spans="1:15" ht="38.25" x14ac:dyDescent="0.2">
      <c r="A7215" s="197" t="str">
        <f t="shared" si="112"/>
        <v>PrwCode_pumice</v>
      </c>
      <c r="B7215" s="409"/>
      <c r="C7215" s="416"/>
      <c r="D7215" s="198" t="s">
        <v>43682</v>
      </c>
      <c r="E7215" s="198">
        <v>62</v>
      </c>
      <c r="F7215" s="199" t="s">
        <v>43683</v>
      </c>
      <c r="G7215" s="1" t="s">
        <v>43684</v>
      </c>
      <c r="H7215" s="1" t="s">
        <v>43685</v>
      </c>
      <c r="I7215" s="346"/>
      <c r="J7215" s="39">
        <v>106909</v>
      </c>
      <c r="K7215" s="36" t="str">
        <f>CONCATENATE(Cover!$D$6,"fdd/view?i=",J7215)</f>
        <v>https://www.dgiwg.org/FAD/fdd/view?i=106909</v>
      </c>
      <c r="L7215" s="36" t="s">
        <v>44498</v>
      </c>
      <c r="M7215" s="186"/>
      <c r="N7215" s="186"/>
      <c r="O7215" s="172"/>
    </row>
    <row r="7216" spans="1:15" ht="38.25" x14ac:dyDescent="0.2">
      <c r="A7216" s="197" t="str">
        <f t="shared" si="112"/>
        <v>PrwCode_quartz</v>
      </c>
      <c r="B7216" s="409"/>
      <c r="C7216" s="416"/>
      <c r="D7216" s="198" t="s">
        <v>35487</v>
      </c>
      <c r="E7216" s="198">
        <v>63</v>
      </c>
      <c r="F7216" s="199" t="s">
        <v>35488</v>
      </c>
      <c r="G7216" s="1" t="s">
        <v>44499</v>
      </c>
      <c r="H7216" s="1" t="s">
        <v>44500</v>
      </c>
      <c r="I7216" s="346"/>
      <c r="J7216" s="39">
        <v>106910</v>
      </c>
      <c r="K7216" s="36" t="str">
        <f>CONCATENATE(Cover!$D$6,"fdd/view?i=",J7216)</f>
        <v>https://www.dgiwg.org/FAD/fdd/view?i=106910</v>
      </c>
      <c r="L7216" s="36" t="s">
        <v>44501</v>
      </c>
      <c r="M7216" s="186"/>
      <c r="N7216" s="186"/>
      <c r="O7216" s="172"/>
    </row>
    <row r="7217" spans="1:15" ht="51" x14ac:dyDescent="0.2">
      <c r="A7217" s="197" t="str">
        <f t="shared" si="112"/>
        <v>PrwCode_quartzite</v>
      </c>
      <c r="B7217" s="409"/>
      <c r="C7217" s="416"/>
      <c r="D7217" s="198" t="s">
        <v>43690</v>
      </c>
      <c r="E7217" s="198">
        <v>114</v>
      </c>
      <c r="F7217" s="199" t="s">
        <v>43691</v>
      </c>
      <c r="G7217" s="1" t="s">
        <v>44502</v>
      </c>
      <c r="H7217" s="1" t="s">
        <v>44503</v>
      </c>
      <c r="I7217" s="346"/>
      <c r="J7217" s="39">
        <v>108648</v>
      </c>
      <c r="K7217" s="36" t="str">
        <f>CONCATENATE(Cover!$D$6,"fdd/view?i=",J7217)</f>
        <v>https://www.dgiwg.org/FAD/fdd/view?i=108648</v>
      </c>
      <c r="L7217" s="36" t="s">
        <v>44504</v>
      </c>
      <c r="M7217" s="186"/>
      <c r="N7217" s="186"/>
      <c r="O7217" s="172"/>
    </row>
    <row r="7218" spans="1:15" ht="38.25" x14ac:dyDescent="0.2">
      <c r="A7218" s="197" t="str">
        <f t="shared" si="112"/>
        <v>PrwCode_radioactiveMaterial</v>
      </c>
      <c r="B7218" s="409"/>
      <c r="C7218" s="416"/>
      <c r="D7218" s="198" t="s">
        <v>25289</v>
      </c>
      <c r="E7218" s="198">
        <v>64</v>
      </c>
      <c r="F7218" s="199" t="s">
        <v>25290</v>
      </c>
      <c r="G7218" s="1" t="s">
        <v>25291</v>
      </c>
      <c r="H7218" s="200"/>
      <c r="I7218" s="346"/>
      <c r="J7218" s="39">
        <v>106911</v>
      </c>
      <c r="K7218" s="36" t="str">
        <f>CONCATENATE(Cover!$D$6,"fdd/view?i=",J7218)</f>
        <v>https://www.dgiwg.org/FAD/fdd/view?i=106911</v>
      </c>
      <c r="L7218" s="36" t="s">
        <v>44505</v>
      </c>
      <c r="M7218" s="186"/>
      <c r="N7218" s="186"/>
      <c r="O7218" s="172"/>
    </row>
    <row r="7219" spans="1:15" ht="25.5" x14ac:dyDescent="0.2">
      <c r="A7219" s="197" t="str">
        <f t="shared" si="112"/>
        <v>PrwCode_radiolaria</v>
      </c>
      <c r="B7219" s="409"/>
      <c r="C7219" s="416"/>
      <c r="D7219" s="198" t="s">
        <v>43696</v>
      </c>
      <c r="E7219" s="198">
        <v>108</v>
      </c>
      <c r="F7219" s="199" t="s">
        <v>43697</v>
      </c>
      <c r="G7219" s="1" t="s">
        <v>43698</v>
      </c>
      <c r="H7219" s="200"/>
      <c r="I7219" s="346"/>
      <c r="J7219" s="39">
        <v>106955</v>
      </c>
      <c r="K7219" s="36" t="str">
        <f>CONCATENATE(Cover!$D$6,"fdd/view?i=",J7219)</f>
        <v>https://www.dgiwg.org/FAD/fdd/view?i=106955</v>
      </c>
      <c r="L7219" s="36" t="s">
        <v>44506</v>
      </c>
      <c r="M7219" s="186"/>
      <c r="N7219" s="186"/>
      <c r="O7219" s="172"/>
    </row>
    <row r="7220" spans="1:15" x14ac:dyDescent="0.2">
      <c r="A7220" s="197" t="str">
        <f t="shared" si="112"/>
        <v>PrwCode_rock</v>
      </c>
      <c r="B7220" s="409"/>
      <c r="C7220" s="416"/>
      <c r="D7220" s="198" t="s">
        <v>27993</v>
      </c>
      <c r="E7220" s="198">
        <v>65</v>
      </c>
      <c r="F7220" s="199" t="s">
        <v>27994</v>
      </c>
      <c r="G7220" s="1" t="s">
        <v>43702</v>
      </c>
      <c r="H7220" s="200"/>
      <c r="I7220" s="346"/>
      <c r="J7220" s="39">
        <v>106912</v>
      </c>
      <c r="K7220" s="36" t="str">
        <f>CONCATENATE(Cover!$D$6,"fdd/view?i=",J7220)</f>
        <v>https://www.dgiwg.org/FAD/fdd/view?i=106912</v>
      </c>
      <c r="L7220" s="36" t="s">
        <v>44507</v>
      </c>
      <c r="M7220" s="186"/>
      <c r="N7220" s="186"/>
      <c r="O7220" s="172"/>
    </row>
    <row r="7221" spans="1:15" ht="51" x14ac:dyDescent="0.2">
      <c r="A7221" s="197" t="str">
        <f t="shared" si="112"/>
        <v>PrwCode_rubber</v>
      </c>
      <c r="B7221" s="409"/>
      <c r="C7221" s="416"/>
      <c r="D7221" s="198" t="s">
        <v>27502</v>
      </c>
      <c r="E7221" s="198">
        <v>66</v>
      </c>
      <c r="F7221" s="199" t="s">
        <v>27503</v>
      </c>
      <c r="G7221" s="1" t="s">
        <v>43709</v>
      </c>
      <c r="H7221" s="1" t="s">
        <v>43710</v>
      </c>
      <c r="I7221" s="346"/>
      <c r="J7221" s="39">
        <v>106913</v>
      </c>
      <c r="K7221" s="36" t="str">
        <f>CONCATENATE(Cover!$D$6,"fdd/view?i=",J7221)</f>
        <v>https://www.dgiwg.org/FAD/fdd/view?i=106913</v>
      </c>
      <c r="L7221" s="36" t="s">
        <v>44508</v>
      </c>
      <c r="M7221" s="186"/>
      <c r="N7221" s="186"/>
      <c r="O7221" s="172"/>
    </row>
    <row r="7222" spans="1:15" ht="38.25" x14ac:dyDescent="0.2">
      <c r="A7222" s="197" t="str">
        <f t="shared" si="112"/>
        <v>PrwCode_salt</v>
      </c>
      <c r="B7222" s="409"/>
      <c r="C7222" s="416"/>
      <c r="D7222" s="198" t="s">
        <v>27998</v>
      </c>
      <c r="E7222" s="198">
        <v>67</v>
      </c>
      <c r="F7222" s="199" t="s">
        <v>27999</v>
      </c>
      <c r="G7222" s="1" t="s">
        <v>43712</v>
      </c>
      <c r="H7222" s="1" t="s">
        <v>43713</v>
      </c>
      <c r="I7222" s="346"/>
      <c r="J7222" s="39">
        <v>106914</v>
      </c>
      <c r="K7222" s="36" t="str">
        <f>CONCATENATE(Cover!$D$6,"fdd/view?i=",J7222)</f>
        <v>https://www.dgiwg.org/FAD/fdd/view?i=106914</v>
      </c>
      <c r="L7222" s="36" t="s">
        <v>44509</v>
      </c>
      <c r="M7222" s="186"/>
      <c r="N7222" s="186"/>
      <c r="O7222" s="172"/>
    </row>
    <row r="7223" spans="1:15" ht="76.5" x14ac:dyDescent="0.2">
      <c r="A7223" s="197" t="str">
        <f t="shared" si="112"/>
        <v>PrwCode_sand</v>
      </c>
      <c r="B7223" s="409"/>
      <c r="C7223" s="416"/>
      <c r="D7223" s="198" t="s">
        <v>19594</v>
      </c>
      <c r="E7223" s="198">
        <v>68</v>
      </c>
      <c r="F7223" s="199" t="s">
        <v>19595</v>
      </c>
      <c r="G7223" s="1" t="s">
        <v>24183</v>
      </c>
      <c r="H7223" s="1" t="s">
        <v>24184</v>
      </c>
      <c r="I7223" s="346"/>
      <c r="J7223" s="39">
        <v>106915</v>
      </c>
      <c r="K7223" s="36" t="str">
        <f>CONCATENATE(Cover!$D$6,"fdd/view?i=",J7223)</f>
        <v>https://www.dgiwg.org/FAD/fdd/view?i=106915</v>
      </c>
      <c r="L7223" s="36" t="s">
        <v>44510</v>
      </c>
      <c r="M7223" s="186"/>
      <c r="N7223" s="186"/>
      <c r="O7223" s="172"/>
    </row>
    <row r="7224" spans="1:15" ht="25.5" x14ac:dyDescent="0.2">
      <c r="A7224" s="197" t="str">
        <f t="shared" si="112"/>
        <v>PrwCode_sandstone</v>
      </c>
      <c r="B7224" s="409"/>
      <c r="C7224" s="416"/>
      <c r="D7224" s="198" t="s">
        <v>22358</v>
      </c>
      <c r="E7224" s="198">
        <v>69</v>
      </c>
      <c r="F7224" s="199" t="s">
        <v>22359</v>
      </c>
      <c r="G7224" s="1" t="s">
        <v>22360</v>
      </c>
      <c r="H7224" s="1" t="s">
        <v>22361</v>
      </c>
      <c r="I7224" s="346"/>
      <c r="J7224" s="39">
        <v>106916</v>
      </c>
      <c r="K7224" s="36" t="str">
        <f>CONCATENATE(Cover!$D$6,"fdd/view?i=",J7224)</f>
        <v>https://www.dgiwg.org/FAD/fdd/view?i=106916</v>
      </c>
      <c r="L7224" s="36" t="s">
        <v>44511</v>
      </c>
      <c r="M7224" s="186"/>
      <c r="N7224" s="186"/>
      <c r="O7224" s="172"/>
    </row>
    <row r="7225" spans="1:15" ht="38.25" x14ac:dyDescent="0.2">
      <c r="A7225" s="197" t="str">
        <f t="shared" si="112"/>
        <v>PrwCode_schist</v>
      </c>
      <c r="B7225" s="409"/>
      <c r="C7225" s="416"/>
      <c r="D7225" s="198" t="s">
        <v>22363</v>
      </c>
      <c r="E7225" s="198">
        <v>71</v>
      </c>
      <c r="F7225" s="199" t="s">
        <v>22364</v>
      </c>
      <c r="G7225" s="1" t="s">
        <v>43720</v>
      </c>
      <c r="H7225" s="200"/>
      <c r="I7225" s="346"/>
      <c r="J7225" s="39">
        <v>106918</v>
      </c>
      <c r="K7225" s="36" t="str">
        <f>CONCATENATE(Cover!$D$6,"fdd/view?i=",J7225)</f>
        <v>https://www.dgiwg.org/FAD/fdd/view?i=106918</v>
      </c>
      <c r="L7225" s="36" t="s">
        <v>44512</v>
      </c>
      <c r="M7225" s="186"/>
      <c r="N7225" s="186"/>
      <c r="O7225" s="172"/>
    </row>
    <row r="7226" spans="1:15" ht="25.5" x14ac:dyDescent="0.2">
      <c r="A7226" s="197" t="str">
        <f t="shared" si="112"/>
        <v>PrwCode_scoria</v>
      </c>
      <c r="B7226" s="409"/>
      <c r="C7226" s="416"/>
      <c r="D7226" s="198" t="s">
        <v>43722</v>
      </c>
      <c r="E7226" s="198">
        <v>72</v>
      </c>
      <c r="F7226" s="199" t="s">
        <v>43723</v>
      </c>
      <c r="G7226" s="1" t="s">
        <v>43725</v>
      </c>
      <c r="H7226" s="200"/>
      <c r="I7226" s="346"/>
      <c r="J7226" s="39">
        <v>106919</v>
      </c>
      <c r="K7226" s="36" t="str">
        <f>CONCATENATE(Cover!$D$6,"fdd/view?i=",J7226)</f>
        <v>https://www.dgiwg.org/FAD/fdd/view?i=106919</v>
      </c>
      <c r="L7226" s="36" t="s">
        <v>44513</v>
      </c>
      <c r="M7226" s="186"/>
      <c r="N7226" s="186"/>
      <c r="O7226" s="172"/>
    </row>
    <row r="7227" spans="1:15" x14ac:dyDescent="0.2">
      <c r="A7227" s="197" t="str">
        <f t="shared" si="112"/>
        <v>PrwCode_scrapMetal</v>
      </c>
      <c r="B7227" s="409"/>
      <c r="C7227" s="416"/>
      <c r="D7227" s="198" t="s">
        <v>25306</v>
      </c>
      <c r="E7227" s="198">
        <v>73</v>
      </c>
      <c r="F7227" s="199" t="s">
        <v>25307</v>
      </c>
      <c r="G7227" s="1" t="s">
        <v>25308</v>
      </c>
      <c r="H7227" s="200"/>
      <c r="I7227" s="346"/>
      <c r="J7227" s="39">
        <v>106920</v>
      </c>
      <c r="K7227" s="36" t="str">
        <f>CONCATENATE(Cover!$D$6,"fdd/view?i=",J7227)</f>
        <v>https://www.dgiwg.org/FAD/fdd/view?i=106920</v>
      </c>
      <c r="L7227" s="36" t="s">
        <v>44514</v>
      </c>
      <c r="M7227" s="186"/>
      <c r="N7227" s="186"/>
      <c r="O7227" s="172"/>
    </row>
    <row r="7228" spans="1:15" ht="25.5" x14ac:dyDescent="0.2">
      <c r="A7228" s="197" t="str">
        <f t="shared" si="112"/>
        <v>PrwCode_seaMoss</v>
      </c>
      <c r="B7228" s="409"/>
      <c r="C7228" s="416"/>
      <c r="D7228" s="198" t="s">
        <v>43727</v>
      </c>
      <c r="E7228" s="198">
        <v>107</v>
      </c>
      <c r="F7228" s="199" t="s">
        <v>43728</v>
      </c>
      <c r="G7228" s="1" t="s">
        <v>43729</v>
      </c>
      <c r="H7228" s="200"/>
      <c r="I7228" s="346"/>
      <c r="J7228" s="39">
        <v>106954</v>
      </c>
      <c r="K7228" s="36" t="str">
        <f>CONCATENATE(Cover!$D$6,"fdd/view?i=",J7228)</f>
        <v>https://www.dgiwg.org/FAD/fdd/view?i=106954</v>
      </c>
      <c r="L7228" s="36" t="s">
        <v>44515</v>
      </c>
      <c r="M7228" s="186"/>
      <c r="N7228" s="186"/>
      <c r="O7228" s="172"/>
    </row>
    <row r="7229" spans="1:15" x14ac:dyDescent="0.2">
      <c r="A7229" s="197" t="str">
        <f t="shared" si="112"/>
        <v>PrwCode_sewage</v>
      </c>
      <c r="B7229" s="409"/>
      <c r="C7229" s="416"/>
      <c r="D7229" s="198" t="s">
        <v>16566</v>
      </c>
      <c r="E7229" s="198">
        <v>75</v>
      </c>
      <c r="F7229" s="199" t="s">
        <v>16567</v>
      </c>
      <c r="G7229" s="1" t="s">
        <v>25310</v>
      </c>
      <c r="H7229" s="200"/>
      <c r="I7229" s="346"/>
      <c r="J7229" s="39">
        <v>106922</v>
      </c>
      <c r="K7229" s="36" t="str">
        <f>CONCATENATE(Cover!$D$6,"fdd/view?i=",J7229)</f>
        <v>https://www.dgiwg.org/FAD/fdd/view?i=106922</v>
      </c>
      <c r="L7229" s="36" t="s">
        <v>44516</v>
      </c>
      <c r="M7229" s="186"/>
      <c r="N7229" s="186"/>
      <c r="O7229" s="172"/>
    </row>
    <row r="7230" spans="1:15" ht="25.5" x14ac:dyDescent="0.2">
      <c r="A7230" s="197" t="str">
        <f t="shared" si="112"/>
        <v>PrwCode_shell</v>
      </c>
      <c r="B7230" s="409"/>
      <c r="C7230" s="416"/>
      <c r="D7230" s="198" t="s">
        <v>37482</v>
      </c>
      <c r="E7230" s="198">
        <v>76</v>
      </c>
      <c r="F7230" s="199" t="s">
        <v>37483</v>
      </c>
      <c r="G7230" s="1" t="s">
        <v>43732</v>
      </c>
      <c r="H7230" s="200"/>
      <c r="I7230" s="346"/>
      <c r="J7230" s="39">
        <v>106923</v>
      </c>
      <c r="K7230" s="36" t="str">
        <f>CONCATENATE(Cover!$D$6,"fdd/view?i=",J7230)</f>
        <v>https://www.dgiwg.org/FAD/fdd/view?i=106923</v>
      </c>
      <c r="L7230" s="36" t="s">
        <v>44517</v>
      </c>
      <c r="M7230" s="186"/>
      <c r="N7230" s="186"/>
      <c r="O7230" s="172"/>
    </row>
    <row r="7231" spans="1:15" ht="38.25" x14ac:dyDescent="0.2">
      <c r="A7231" s="197" t="str">
        <f t="shared" si="112"/>
        <v>PrwCode_silk</v>
      </c>
      <c r="B7231" s="409"/>
      <c r="C7231" s="416"/>
      <c r="D7231" s="198" t="s">
        <v>43734</v>
      </c>
      <c r="E7231" s="198">
        <v>77</v>
      </c>
      <c r="F7231" s="199" t="s">
        <v>43735</v>
      </c>
      <c r="G7231" s="1" t="s">
        <v>43736</v>
      </c>
      <c r="H7231" s="1" t="s">
        <v>43737</v>
      </c>
      <c r="I7231" s="346"/>
      <c r="J7231" s="39">
        <v>106924</v>
      </c>
      <c r="K7231" s="36" t="str">
        <f>CONCATENATE(Cover!$D$6,"fdd/view?i=",J7231)</f>
        <v>https://www.dgiwg.org/FAD/fdd/view?i=106924</v>
      </c>
      <c r="L7231" s="36" t="s">
        <v>44518</v>
      </c>
      <c r="M7231" s="186"/>
      <c r="N7231" s="186"/>
      <c r="O7231" s="172"/>
    </row>
    <row r="7232" spans="1:15" ht="38.25" x14ac:dyDescent="0.2">
      <c r="A7232" s="197" t="str">
        <f t="shared" si="112"/>
        <v>PrwCode_silver</v>
      </c>
      <c r="B7232" s="409"/>
      <c r="C7232" s="416"/>
      <c r="D7232" s="198" t="s">
        <v>25871</v>
      </c>
      <c r="E7232" s="198">
        <v>78</v>
      </c>
      <c r="F7232" s="199" t="s">
        <v>43029</v>
      </c>
      <c r="G7232" s="1" t="s">
        <v>43739</v>
      </c>
      <c r="H7232" s="200"/>
      <c r="I7232" s="346"/>
      <c r="J7232" s="39">
        <v>106925</v>
      </c>
      <c r="K7232" s="36" t="str">
        <f>CONCATENATE(Cover!$D$6,"fdd/view?i=",J7232)</f>
        <v>https://www.dgiwg.org/FAD/fdd/view?i=106925</v>
      </c>
      <c r="L7232" s="36" t="s">
        <v>44519</v>
      </c>
      <c r="M7232" s="186"/>
      <c r="N7232" s="186"/>
      <c r="O7232" s="172"/>
    </row>
    <row r="7233" spans="1:15" ht="38.25" x14ac:dyDescent="0.2">
      <c r="A7233" s="197" t="str">
        <f t="shared" si="112"/>
        <v>PrwCode_slate</v>
      </c>
      <c r="B7233" s="409"/>
      <c r="C7233" s="416"/>
      <c r="D7233" s="198" t="s">
        <v>43741</v>
      </c>
      <c r="E7233" s="198">
        <v>115</v>
      </c>
      <c r="F7233" s="199" t="s">
        <v>43742</v>
      </c>
      <c r="G7233" s="1" t="s">
        <v>44520</v>
      </c>
      <c r="H7233" s="1" t="s">
        <v>44521</v>
      </c>
      <c r="I7233" s="346"/>
      <c r="J7233" s="39">
        <v>108649</v>
      </c>
      <c r="K7233" s="36" t="str">
        <f>CONCATENATE(Cover!$D$6,"fdd/view?i=",J7233)</f>
        <v>https://www.dgiwg.org/FAD/fdd/view?i=108649</v>
      </c>
      <c r="L7233" s="36" t="s">
        <v>44522</v>
      </c>
      <c r="M7233" s="186"/>
      <c r="N7233" s="186"/>
      <c r="O7233" s="172"/>
    </row>
    <row r="7234" spans="1:15" x14ac:dyDescent="0.2">
      <c r="A7234" s="197" t="str">
        <f t="shared" ref="A7234:A7297" si="113">HYPERLINK(K7234,L7234)</f>
        <v>PrwCode_snow</v>
      </c>
      <c r="B7234" s="409"/>
      <c r="C7234" s="416"/>
      <c r="D7234" s="198" t="s">
        <v>19598</v>
      </c>
      <c r="E7234" s="198">
        <v>79</v>
      </c>
      <c r="F7234" s="199" t="s">
        <v>19599</v>
      </c>
      <c r="G7234" s="1" t="s">
        <v>43746</v>
      </c>
      <c r="H7234" s="1" t="s">
        <v>43747</v>
      </c>
      <c r="I7234" s="346"/>
      <c r="J7234" s="39">
        <v>106926</v>
      </c>
      <c r="K7234" s="36" t="str">
        <f>CONCATENATE(Cover!$D$6,"fdd/view?i=",J7234)</f>
        <v>https://www.dgiwg.org/FAD/fdd/view?i=106926</v>
      </c>
      <c r="L7234" s="36" t="s">
        <v>44523</v>
      </c>
      <c r="M7234" s="186"/>
      <c r="N7234" s="186"/>
      <c r="O7234" s="172"/>
    </row>
    <row r="7235" spans="1:15" ht="38.25" x14ac:dyDescent="0.2">
      <c r="A7235" s="197" t="str">
        <f t="shared" si="113"/>
        <v>PrwCode_soil</v>
      </c>
      <c r="B7235" s="409"/>
      <c r="C7235" s="416"/>
      <c r="D7235" s="198" t="s">
        <v>24205</v>
      </c>
      <c r="E7235" s="198">
        <v>80</v>
      </c>
      <c r="F7235" s="199" t="s">
        <v>24206</v>
      </c>
      <c r="G7235" s="1" t="s">
        <v>24207</v>
      </c>
      <c r="H7235" s="200"/>
      <c r="I7235" s="346"/>
      <c r="J7235" s="39">
        <v>106927</v>
      </c>
      <c r="K7235" s="36" t="str">
        <f>CONCATENATE(Cover!$D$6,"fdd/view?i=",J7235)</f>
        <v>https://www.dgiwg.org/FAD/fdd/view?i=106927</v>
      </c>
      <c r="L7235" s="36" t="s">
        <v>44524</v>
      </c>
      <c r="M7235" s="186"/>
      <c r="N7235" s="186"/>
      <c r="O7235" s="172"/>
    </row>
    <row r="7236" spans="1:15" ht="25.5" x14ac:dyDescent="0.2">
      <c r="A7236" s="197" t="str">
        <f t="shared" si="113"/>
        <v>PrwCode_spicules</v>
      </c>
      <c r="B7236" s="409"/>
      <c r="C7236" s="416"/>
      <c r="D7236" s="198" t="s">
        <v>44525</v>
      </c>
      <c r="E7236" s="198">
        <v>81</v>
      </c>
      <c r="F7236" s="199" t="s">
        <v>44526</v>
      </c>
      <c r="G7236" s="1" t="s">
        <v>44527</v>
      </c>
      <c r="H7236" s="200"/>
      <c r="I7236" s="346"/>
      <c r="J7236" s="39">
        <v>106928</v>
      </c>
      <c r="K7236" s="36" t="str">
        <f>CONCATENATE(Cover!$D$6,"fdd/view?i=",J7236)</f>
        <v>https://www.dgiwg.org/FAD/fdd/view?i=106928</v>
      </c>
      <c r="L7236" s="36" t="s">
        <v>44528</v>
      </c>
      <c r="M7236" s="186"/>
      <c r="N7236" s="186"/>
      <c r="O7236" s="172"/>
    </row>
    <row r="7237" spans="1:15" ht="38.25" x14ac:dyDescent="0.2">
      <c r="A7237" s="197" t="str">
        <f t="shared" si="113"/>
        <v>PrwCode_sponge</v>
      </c>
      <c r="B7237" s="409"/>
      <c r="C7237" s="416"/>
      <c r="D7237" s="198" t="s">
        <v>43750</v>
      </c>
      <c r="E7237" s="198">
        <v>82</v>
      </c>
      <c r="F7237" s="199" t="s">
        <v>43751</v>
      </c>
      <c r="G7237" s="1" t="s">
        <v>43752</v>
      </c>
      <c r="H7237" s="200"/>
      <c r="I7237" s="346"/>
      <c r="J7237" s="39">
        <v>106929</v>
      </c>
      <c r="K7237" s="36" t="str">
        <f>CONCATENATE(Cover!$D$6,"fdd/view?i=",J7237)</f>
        <v>https://www.dgiwg.org/FAD/fdd/view?i=106929</v>
      </c>
      <c r="L7237" s="36" t="s">
        <v>44529</v>
      </c>
      <c r="M7237" s="186"/>
      <c r="N7237" s="186"/>
      <c r="O7237" s="172"/>
    </row>
    <row r="7238" spans="1:15" ht="38.25" x14ac:dyDescent="0.2">
      <c r="A7238" s="197" t="str">
        <f t="shared" si="113"/>
        <v>PrwCode_steel</v>
      </c>
      <c r="B7238" s="409"/>
      <c r="C7238" s="416"/>
      <c r="D7238" s="198" t="s">
        <v>43754</v>
      </c>
      <c r="E7238" s="198">
        <v>83</v>
      </c>
      <c r="F7238" s="199" t="s">
        <v>43755</v>
      </c>
      <c r="G7238" s="1" t="s">
        <v>43756</v>
      </c>
      <c r="H7238" s="1" t="s">
        <v>43757</v>
      </c>
      <c r="I7238" s="346"/>
      <c r="J7238" s="39">
        <v>106930</v>
      </c>
      <c r="K7238" s="36" t="str">
        <f>CONCATENATE(Cover!$D$6,"fdd/view?i=",J7238)</f>
        <v>https://www.dgiwg.org/FAD/fdd/view?i=106930</v>
      </c>
      <c r="L7238" s="36" t="s">
        <v>44530</v>
      </c>
      <c r="M7238" s="186"/>
      <c r="N7238" s="186"/>
      <c r="O7238" s="172"/>
    </row>
    <row r="7239" spans="1:15" ht="38.25" x14ac:dyDescent="0.2">
      <c r="A7239" s="197" t="str">
        <f t="shared" si="113"/>
        <v>PrwCode_stone</v>
      </c>
      <c r="B7239" s="409"/>
      <c r="C7239" s="416"/>
      <c r="D7239" s="198" t="s">
        <v>19602</v>
      </c>
      <c r="E7239" s="198">
        <v>84</v>
      </c>
      <c r="F7239" s="199" t="s">
        <v>19603</v>
      </c>
      <c r="G7239" s="1" t="s">
        <v>43759</v>
      </c>
      <c r="H7239" s="1" t="s">
        <v>43760</v>
      </c>
      <c r="I7239" s="346"/>
      <c r="J7239" s="39">
        <v>106931</v>
      </c>
      <c r="K7239" s="36" t="str">
        <f>CONCATENATE(Cover!$D$6,"fdd/view?i=",J7239)</f>
        <v>https://www.dgiwg.org/FAD/fdd/view?i=106931</v>
      </c>
      <c r="L7239" s="36" t="s">
        <v>44531</v>
      </c>
      <c r="M7239" s="186"/>
      <c r="N7239" s="186"/>
      <c r="O7239" s="172"/>
    </row>
    <row r="7240" spans="1:15" ht="38.25" x14ac:dyDescent="0.2">
      <c r="A7240" s="197" t="str">
        <f t="shared" si="113"/>
        <v>PrwCode_straw</v>
      </c>
      <c r="B7240" s="409"/>
      <c r="C7240" s="416"/>
      <c r="D7240" s="198" t="s">
        <v>43762</v>
      </c>
      <c r="E7240" s="198">
        <v>116</v>
      </c>
      <c r="F7240" s="199" t="s">
        <v>43763</v>
      </c>
      <c r="G7240" s="1" t="s">
        <v>43764</v>
      </c>
      <c r="H7240" s="1" t="s">
        <v>43765</v>
      </c>
      <c r="I7240" s="346"/>
      <c r="J7240" s="39">
        <v>108650</v>
      </c>
      <c r="K7240" s="36" t="str">
        <f>CONCATENATE(Cover!$D$6,"fdd/view?i=",J7240)</f>
        <v>https://www.dgiwg.org/FAD/fdd/view?i=108650</v>
      </c>
      <c r="L7240" s="36" t="s">
        <v>44532</v>
      </c>
      <c r="M7240" s="186"/>
      <c r="N7240" s="186"/>
      <c r="O7240" s="172"/>
    </row>
    <row r="7241" spans="1:15" ht="63.75" x14ac:dyDescent="0.2">
      <c r="A7241" s="197" t="str">
        <f t="shared" si="113"/>
        <v>PrwCode_sugar</v>
      </c>
      <c r="B7241" s="409"/>
      <c r="C7241" s="416"/>
      <c r="D7241" s="198" t="s">
        <v>43767</v>
      </c>
      <c r="E7241" s="198">
        <v>85</v>
      </c>
      <c r="F7241" s="199" t="s">
        <v>43768</v>
      </c>
      <c r="G7241" s="1" t="s">
        <v>43769</v>
      </c>
      <c r="H7241" s="1" t="s">
        <v>43770</v>
      </c>
      <c r="I7241" s="346"/>
      <c r="J7241" s="39">
        <v>106932</v>
      </c>
      <c r="K7241" s="36" t="str">
        <f>CONCATENATE(Cover!$D$6,"fdd/view?i=",J7241)</f>
        <v>https://www.dgiwg.org/FAD/fdd/view?i=106932</v>
      </c>
      <c r="L7241" s="36" t="s">
        <v>44533</v>
      </c>
      <c r="M7241" s="186"/>
      <c r="N7241" s="186"/>
      <c r="O7241" s="172"/>
    </row>
    <row r="7242" spans="1:15" ht="38.25" x14ac:dyDescent="0.2">
      <c r="A7242" s="197" t="str">
        <f t="shared" si="113"/>
        <v>PrwCode_talc</v>
      </c>
      <c r="B7242" s="409"/>
      <c r="C7242" s="416"/>
      <c r="D7242" s="198" t="s">
        <v>35495</v>
      </c>
      <c r="E7242" s="198">
        <v>86</v>
      </c>
      <c r="F7242" s="199" t="s">
        <v>35496</v>
      </c>
      <c r="G7242" s="1" t="s">
        <v>43772</v>
      </c>
      <c r="H7242" s="200"/>
      <c r="I7242" s="346"/>
      <c r="J7242" s="39">
        <v>106933</v>
      </c>
      <c r="K7242" s="36" t="str">
        <f>CONCATENATE(Cover!$D$6,"fdd/view?i=",J7242)</f>
        <v>https://www.dgiwg.org/FAD/fdd/view?i=106933</v>
      </c>
      <c r="L7242" s="36" t="s">
        <v>44534</v>
      </c>
      <c r="M7242" s="186"/>
      <c r="N7242" s="186"/>
      <c r="O7242" s="172"/>
    </row>
    <row r="7243" spans="1:15" ht="25.5" x14ac:dyDescent="0.2">
      <c r="A7243" s="197" t="str">
        <f t="shared" si="113"/>
        <v>PrwCode_textile</v>
      </c>
      <c r="B7243" s="409"/>
      <c r="C7243" s="416"/>
      <c r="D7243" s="198" t="s">
        <v>43774</v>
      </c>
      <c r="E7243" s="198">
        <v>87</v>
      </c>
      <c r="F7243" s="199" t="s">
        <v>43775</v>
      </c>
      <c r="G7243" s="1" t="s">
        <v>43776</v>
      </c>
      <c r="H7243" s="200"/>
      <c r="I7243" s="346"/>
      <c r="J7243" s="39">
        <v>106934</v>
      </c>
      <c r="K7243" s="36" t="str">
        <f>CONCATENATE(Cover!$D$6,"fdd/view?i=",J7243)</f>
        <v>https://www.dgiwg.org/FAD/fdd/view?i=106934</v>
      </c>
      <c r="L7243" s="36" t="s">
        <v>44535</v>
      </c>
      <c r="M7243" s="186"/>
      <c r="N7243" s="186"/>
      <c r="O7243" s="172"/>
    </row>
    <row r="7244" spans="1:15" ht="25.5" x14ac:dyDescent="0.2">
      <c r="A7244" s="197" t="str">
        <f t="shared" si="113"/>
        <v>PrwCode_thatch</v>
      </c>
      <c r="B7244" s="409"/>
      <c r="C7244" s="416"/>
      <c r="D7244" s="198" t="s">
        <v>43778</v>
      </c>
      <c r="E7244" s="198">
        <v>88</v>
      </c>
      <c r="F7244" s="199" t="s">
        <v>43779</v>
      </c>
      <c r="G7244" s="1" t="s">
        <v>43780</v>
      </c>
      <c r="H7244" s="200"/>
      <c r="I7244" s="346"/>
      <c r="J7244" s="39">
        <v>106935</v>
      </c>
      <c r="K7244" s="36" t="str">
        <f>CONCATENATE(Cover!$D$6,"fdd/view?i=",J7244)</f>
        <v>https://www.dgiwg.org/FAD/fdd/view?i=106935</v>
      </c>
      <c r="L7244" s="36" t="s">
        <v>44536</v>
      </c>
      <c r="M7244" s="186"/>
      <c r="N7244" s="186"/>
      <c r="O7244" s="172"/>
    </row>
    <row r="7245" spans="1:15" ht="25.5" x14ac:dyDescent="0.2">
      <c r="A7245" s="197" t="str">
        <f t="shared" si="113"/>
        <v>PrwCode_timber</v>
      </c>
      <c r="B7245" s="409"/>
      <c r="C7245" s="416"/>
      <c r="D7245" s="198" t="s">
        <v>27602</v>
      </c>
      <c r="E7245" s="198">
        <v>89</v>
      </c>
      <c r="F7245" s="199" t="s">
        <v>27603</v>
      </c>
      <c r="G7245" s="1" t="s">
        <v>43782</v>
      </c>
      <c r="H7245" s="200"/>
      <c r="I7245" s="346"/>
      <c r="J7245" s="39">
        <v>106936</v>
      </c>
      <c r="K7245" s="36" t="str">
        <f>CONCATENATE(Cover!$D$6,"fdd/view?i=",J7245)</f>
        <v>https://www.dgiwg.org/FAD/fdd/view?i=106936</v>
      </c>
      <c r="L7245" s="36" t="s">
        <v>44537</v>
      </c>
      <c r="M7245" s="186"/>
      <c r="N7245" s="186"/>
      <c r="O7245" s="172"/>
    </row>
    <row r="7246" spans="1:15" ht="38.25" x14ac:dyDescent="0.2">
      <c r="A7246" s="197" t="str">
        <f t="shared" si="113"/>
        <v>PrwCode_tobacco</v>
      </c>
      <c r="B7246" s="409"/>
      <c r="C7246" s="416"/>
      <c r="D7246" s="198" t="s">
        <v>27606</v>
      </c>
      <c r="E7246" s="198">
        <v>90</v>
      </c>
      <c r="F7246" s="199" t="s">
        <v>27607</v>
      </c>
      <c r="G7246" s="1" t="s">
        <v>43788</v>
      </c>
      <c r="H7246" s="1" t="s">
        <v>43789</v>
      </c>
      <c r="I7246" s="346"/>
      <c r="J7246" s="39">
        <v>106937</v>
      </c>
      <c r="K7246" s="36" t="str">
        <f>CONCATENATE(Cover!$D$6,"fdd/view?i=",J7246)</f>
        <v>https://www.dgiwg.org/FAD/fdd/view?i=106937</v>
      </c>
      <c r="L7246" s="36" t="s">
        <v>44538</v>
      </c>
      <c r="M7246" s="186"/>
      <c r="N7246" s="186"/>
      <c r="O7246" s="172"/>
    </row>
    <row r="7247" spans="1:15" ht="38.25" x14ac:dyDescent="0.2">
      <c r="A7247" s="197" t="str">
        <f t="shared" si="113"/>
        <v>PrwCode_travertine</v>
      </c>
      <c r="B7247" s="409"/>
      <c r="C7247" s="416"/>
      <c r="D7247" s="198" t="s">
        <v>43791</v>
      </c>
      <c r="E7247" s="198">
        <v>91</v>
      </c>
      <c r="F7247" s="199" t="s">
        <v>43792</v>
      </c>
      <c r="G7247" s="1" t="s">
        <v>43794</v>
      </c>
      <c r="H7247" s="1" t="s">
        <v>44539</v>
      </c>
      <c r="I7247" s="346"/>
      <c r="J7247" s="39">
        <v>106938</v>
      </c>
      <c r="K7247" s="36" t="str">
        <f>CONCATENATE(Cover!$D$6,"fdd/view?i=",J7247)</f>
        <v>https://www.dgiwg.org/FAD/fdd/view?i=106938</v>
      </c>
      <c r="L7247" s="36" t="s">
        <v>44540</v>
      </c>
      <c r="M7247" s="186"/>
      <c r="N7247" s="186"/>
      <c r="O7247" s="172"/>
    </row>
    <row r="7248" spans="1:15" ht="25.5" x14ac:dyDescent="0.2">
      <c r="A7248" s="197" t="str">
        <f t="shared" si="113"/>
        <v>PrwCode_tufa</v>
      </c>
      <c r="B7248" s="409"/>
      <c r="C7248" s="416"/>
      <c r="D7248" s="198" t="s">
        <v>43796</v>
      </c>
      <c r="E7248" s="198">
        <v>92</v>
      </c>
      <c r="F7248" s="199" t="s">
        <v>43797</v>
      </c>
      <c r="G7248" s="1" t="s">
        <v>44541</v>
      </c>
      <c r="H7248" s="1" t="s">
        <v>44542</v>
      </c>
      <c r="I7248" s="346"/>
      <c r="J7248" s="39">
        <v>106939</v>
      </c>
      <c r="K7248" s="36" t="str">
        <f>CONCATENATE(Cover!$D$6,"fdd/view?i=",J7248)</f>
        <v>https://www.dgiwg.org/FAD/fdd/view?i=106939</v>
      </c>
      <c r="L7248" s="36" t="s">
        <v>44543</v>
      </c>
      <c r="M7248" s="186"/>
      <c r="N7248" s="186"/>
      <c r="O7248" s="172"/>
    </row>
    <row r="7249" spans="1:15" ht="38.25" x14ac:dyDescent="0.2">
      <c r="A7249" s="197" t="str">
        <f t="shared" si="113"/>
        <v>PrwCode_uranium</v>
      </c>
      <c r="B7249" s="409"/>
      <c r="C7249" s="416"/>
      <c r="D7249" s="198" t="s">
        <v>25924</v>
      </c>
      <c r="E7249" s="198">
        <v>93</v>
      </c>
      <c r="F7249" s="199" t="s">
        <v>43801</v>
      </c>
      <c r="G7249" s="1" t="s">
        <v>43802</v>
      </c>
      <c r="H7249" s="1" t="s">
        <v>43803</v>
      </c>
      <c r="I7249" s="346"/>
      <c r="J7249" s="39">
        <v>106940</v>
      </c>
      <c r="K7249" s="36" t="str">
        <f>CONCATENATE(Cover!$D$6,"fdd/view?i=",J7249)</f>
        <v>https://www.dgiwg.org/FAD/fdd/view?i=106940</v>
      </c>
      <c r="L7249" s="36" t="s">
        <v>44544</v>
      </c>
      <c r="M7249" s="186"/>
      <c r="N7249" s="186"/>
      <c r="O7249" s="172"/>
    </row>
    <row r="7250" spans="1:15" x14ac:dyDescent="0.2">
      <c r="A7250" s="197" t="str">
        <f t="shared" si="113"/>
        <v>PrwCode_vegetation</v>
      </c>
      <c r="B7250" s="409"/>
      <c r="C7250" s="416"/>
      <c r="D7250" s="198" t="s">
        <v>29248</v>
      </c>
      <c r="E7250" s="198">
        <v>94</v>
      </c>
      <c r="F7250" s="199" t="s">
        <v>29249</v>
      </c>
      <c r="G7250" s="1" t="s">
        <v>44545</v>
      </c>
      <c r="H7250" s="1" t="s">
        <v>44546</v>
      </c>
      <c r="I7250" s="346"/>
      <c r="J7250" s="39">
        <v>106941</v>
      </c>
      <c r="K7250" s="36" t="str">
        <f>CONCATENATE(Cover!$D$6,"fdd/view?i=",J7250)</f>
        <v>https://www.dgiwg.org/FAD/fdd/view?i=106941</v>
      </c>
      <c r="L7250" s="36" t="s">
        <v>44547</v>
      </c>
      <c r="M7250" s="186"/>
      <c r="N7250" s="186"/>
      <c r="O7250" s="172"/>
    </row>
    <row r="7251" spans="1:15" x14ac:dyDescent="0.2">
      <c r="A7251" s="197" t="str">
        <f t="shared" si="113"/>
        <v>PrwCode_volcanicAsh</v>
      </c>
      <c r="B7251" s="409"/>
      <c r="C7251" s="416"/>
      <c r="D7251" s="198" t="s">
        <v>41130</v>
      </c>
      <c r="E7251" s="198">
        <v>95</v>
      </c>
      <c r="F7251" s="199" t="s">
        <v>41131</v>
      </c>
      <c r="G7251" s="1" t="s">
        <v>44548</v>
      </c>
      <c r="H7251" s="200"/>
      <c r="I7251" s="346"/>
      <c r="J7251" s="39">
        <v>106942</v>
      </c>
      <c r="K7251" s="36" t="str">
        <f>CONCATENATE(Cover!$D$6,"fdd/view?i=",J7251)</f>
        <v>https://www.dgiwg.org/FAD/fdd/view?i=106942</v>
      </c>
      <c r="L7251" s="36" t="s">
        <v>44549</v>
      </c>
      <c r="M7251" s="186"/>
      <c r="N7251" s="186"/>
      <c r="O7251" s="172"/>
    </row>
    <row r="7252" spans="1:15" ht="38.25" x14ac:dyDescent="0.2">
      <c r="A7252" s="197" t="str">
        <f t="shared" si="113"/>
        <v>PrwCode_water</v>
      </c>
      <c r="B7252" s="409"/>
      <c r="C7252" s="416"/>
      <c r="D7252" s="198" t="s">
        <v>19606</v>
      </c>
      <c r="E7252" s="198">
        <v>96</v>
      </c>
      <c r="F7252" s="199" t="s">
        <v>19607</v>
      </c>
      <c r="G7252" s="1" t="s">
        <v>23000</v>
      </c>
      <c r="H7252" s="1" t="s">
        <v>43810</v>
      </c>
      <c r="I7252" s="346"/>
      <c r="J7252" s="39">
        <v>106943</v>
      </c>
      <c r="K7252" s="36" t="str">
        <f>CONCATENATE(Cover!$D$6,"fdd/view?i=",J7252)</f>
        <v>https://www.dgiwg.org/FAD/fdd/view?i=106943</v>
      </c>
      <c r="L7252" s="36" t="s">
        <v>44550</v>
      </c>
      <c r="M7252" s="186"/>
      <c r="N7252" s="186"/>
      <c r="O7252" s="172"/>
    </row>
    <row r="7253" spans="1:15" ht="38.25" x14ac:dyDescent="0.2">
      <c r="A7253" s="197" t="str">
        <f t="shared" si="113"/>
        <v>PrwCode_wine</v>
      </c>
      <c r="B7253" s="409"/>
      <c r="C7253" s="416"/>
      <c r="D7253" s="198" t="s">
        <v>43817</v>
      </c>
      <c r="E7253" s="198">
        <v>117</v>
      </c>
      <c r="F7253" s="199" t="s">
        <v>43818</v>
      </c>
      <c r="G7253" s="1" t="s">
        <v>43819</v>
      </c>
      <c r="H7253" s="1" t="s">
        <v>43820</v>
      </c>
      <c r="I7253" s="346"/>
      <c r="J7253" s="39">
        <v>108651</v>
      </c>
      <c r="K7253" s="36" t="str">
        <f>CONCATENATE(Cover!$D$6,"fdd/view?i=",J7253)</f>
        <v>https://www.dgiwg.org/FAD/fdd/view?i=108651</v>
      </c>
      <c r="L7253" s="36" t="s">
        <v>44551</v>
      </c>
      <c r="M7253" s="186"/>
      <c r="N7253" s="186"/>
      <c r="O7253" s="172"/>
    </row>
    <row r="7254" spans="1:15" ht="38.25" x14ac:dyDescent="0.2">
      <c r="A7254" s="197" t="str">
        <f t="shared" si="113"/>
        <v>PrwCode_wood</v>
      </c>
      <c r="B7254" s="409"/>
      <c r="C7254" s="416"/>
      <c r="D7254" s="198" t="s">
        <v>19610</v>
      </c>
      <c r="E7254" s="198">
        <v>97</v>
      </c>
      <c r="F7254" s="199" t="s">
        <v>5911</v>
      </c>
      <c r="G7254" s="1" t="s">
        <v>43822</v>
      </c>
      <c r="H7254" s="1" t="s">
        <v>43823</v>
      </c>
      <c r="I7254" s="346"/>
      <c r="J7254" s="39">
        <v>106944</v>
      </c>
      <c r="K7254" s="36" t="str">
        <f>CONCATENATE(Cover!$D$6,"fdd/view?i=",J7254)</f>
        <v>https://www.dgiwg.org/FAD/fdd/view?i=106944</v>
      </c>
      <c r="L7254" s="36" t="s">
        <v>44552</v>
      </c>
      <c r="M7254" s="186"/>
      <c r="N7254" s="186"/>
      <c r="O7254" s="172"/>
    </row>
    <row r="7255" spans="1:15" ht="25.5" x14ac:dyDescent="0.2">
      <c r="A7255" s="197" t="str">
        <f t="shared" si="113"/>
        <v>PrwCode_woodChips</v>
      </c>
      <c r="B7255" s="409"/>
      <c r="C7255" s="416"/>
      <c r="D7255" s="198" t="s">
        <v>25331</v>
      </c>
      <c r="E7255" s="198">
        <v>98</v>
      </c>
      <c r="F7255" s="199" t="s">
        <v>25332</v>
      </c>
      <c r="G7255" s="1" t="s">
        <v>25333</v>
      </c>
      <c r="H7255" s="1" t="s">
        <v>25334</v>
      </c>
      <c r="I7255" s="346"/>
      <c r="J7255" s="39">
        <v>106945</v>
      </c>
      <c r="K7255" s="36" t="str">
        <f>CONCATENATE(Cover!$D$6,"fdd/view?i=",J7255)</f>
        <v>https://www.dgiwg.org/FAD/fdd/view?i=106945</v>
      </c>
      <c r="L7255" s="36" t="s">
        <v>44553</v>
      </c>
      <c r="M7255" s="186"/>
      <c r="N7255" s="186"/>
      <c r="O7255" s="172"/>
    </row>
    <row r="7256" spans="1:15" ht="38.25" x14ac:dyDescent="0.2">
      <c r="A7256" s="197" t="str">
        <f t="shared" si="113"/>
        <v>PrwCode_woodFragments</v>
      </c>
      <c r="B7256" s="409"/>
      <c r="C7256" s="416"/>
      <c r="D7256" s="198" t="s">
        <v>25336</v>
      </c>
      <c r="E7256" s="198">
        <v>70</v>
      </c>
      <c r="F7256" s="199" t="s">
        <v>25337</v>
      </c>
      <c r="G7256" s="1" t="s">
        <v>25338</v>
      </c>
      <c r="H7256" s="200"/>
      <c r="I7256" s="346"/>
      <c r="J7256" s="39">
        <v>106917</v>
      </c>
      <c r="K7256" s="36" t="str">
        <f>CONCATENATE(Cover!$D$6,"fdd/view?i=",J7256)</f>
        <v>https://www.dgiwg.org/FAD/fdd/view?i=106917</v>
      </c>
      <c r="L7256" s="36" t="s">
        <v>44554</v>
      </c>
      <c r="M7256" s="186"/>
      <c r="N7256" s="186"/>
      <c r="O7256" s="172"/>
    </row>
    <row r="7257" spans="1:15" ht="38.25" x14ac:dyDescent="0.2">
      <c r="A7257" s="203" t="str">
        <f t="shared" si="113"/>
        <v>PrwCode_zinc</v>
      </c>
      <c r="B7257" s="410"/>
      <c r="C7257" s="417"/>
      <c r="D7257" s="204" t="s">
        <v>25937</v>
      </c>
      <c r="E7257" s="204">
        <v>99</v>
      </c>
      <c r="F7257" s="205" t="s">
        <v>43826</v>
      </c>
      <c r="G7257" s="206" t="s">
        <v>43827</v>
      </c>
      <c r="H7257" s="206" t="s">
        <v>43828</v>
      </c>
      <c r="I7257" s="347"/>
      <c r="J7257" s="39">
        <v>106946</v>
      </c>
      <c r="K7257" s="36" t="str">
        <f>CONCATENATE(Cover!$D$6,"fdd/view?i=",J7257)</f>
        <v>https://www.dgiwg.org/FAD/fdd/view?i=106946</v>
      </c>
      <c r="L7257" s="36" t="s">
        <v>44555</v>
      </c>
      <c r="M7257" s="186"/>
      <c r="N7257" s="186"/>
      <c r="O7257" s="172"/>
    </row>
    <row r="7258" spans="1:15" ht="63.75" x14ac:dyDescent="0.2">
      <c r="A7258" s="190" t="str">
        <f t="shared" si="113"/>
        <v>RvsCode_rvsmEntryExitPoint</v>
      </c>
      <c r="B7258" s="414" t="str">
        <f>HYPERLINK("[#]Datatypes!A1262:L1262","RvsCode")</f>
        <v>RvsCode</v>
      </c>
      <c r="C7258" s="415" t="s">
        <v>15879</v>
      </c>
      <c r="D7258" s="221" t="s">
        <v>44557</v>
      </c>
      <c r="E7258" s="221">
        <v>3</v>
      </c>
      <c r="F7258" s="222" t="s">
        <v>44558</v>
      </c>
      <c r="G7258" s="223" t="s">
        <v>44559</v>
      </c>
      <c r="H7258" s="224"/>
      <c r="I7258" s="345"/>
      <c r="J7258" s="39">
        <v>115402</v>
      </c>
      <c r="K7258" s="36" t="str">
        <f>CONCATENATE(Cover!$D$6,"fdd/view?i=",J7258)</f>
        <v>https://www.dgiwg.org/FAD/fdd/view?i=115402</v>
      </c>
      <c r="L7258" s="36" t="s">
        <v>44560</v>
      </c>
      <c r="M7258" s="186"/>
      <c r="N7258" s="186"/>
      <c r="O7258" s="13" t="s">
        <v>44556</v>
      </c>
    </row>
    <row r="7259" spans="1:15" ht="51" x14ac:dyDescent="0.2">
      <c r="A7259" s="197" t="str">
        <f t="shared" si="113"/>
        <v>RvsCode_rvsmEntryPoint</v>
      </c>
      <c r="B7259" s="409"/>
      <c r="C7259" s="416"/>
      <c r="D7259" s="198" t="s">
        <v>44562</v>
      </c>
      <c r="E7259" s="198">
        <v>1</v>
      </c>
      <c r="F7259" s="199" t="s">
        <v>44563</v>
      </c>
      <c r="G7259" s="1" t="s">
        <v>44564</v>
      </c>
      <c r="H7259" s="1" t="s">
        <v>44565</v>
      </c>
      <c r="I7259" s="346"/>
      <c r="J7259" s="39">
        <v>115403</v>
      </c>
      <c r="K7259" s="36" t="str">
        <f>CONCATENATE(Cover!$D$6,"fdd/view?i=",J7259)</f>
        <v>https://www.dgiwg.org/FAD/fdd/view?i=115403</v>
      </c>
      <c r="L7259" s="36" t="s">
        <v>44566</v>
      </c>
      <c r="M7259" s="186"/>
      <c r="N7259" s="186"/>
      <c r="O7259" s="13" t="s">
        <v>44561</v>
      </c>
    </row>
    <row r="7260" spans="1:15" ht="51" x14ac:dyDescent="0.2">
      <c r="A7260" s="203" t="str">
        <f t="shared" si="113"/>
        <v>RvsCode_rvsmExitPoint</v>
      </c>
      <c r="B7260" s="410"/>
      <c r="C7260" s="417"/>
      <c r="D7260" s="204" t="s">
        <v>44568</v>
      </c>
      <c r="E7260" s="204">
        <v>2</v>
      </c>
      <c r="F7260" s="205" t="s">
        <v>44569</v>
      </c>
      <c r="G7260" s="206" t="s">
        <v>44570</v>
      </c>
      <c r="H7260" s="206" t="s">
        <v>44565</v>
      </c>
      <c r="I7260" s="347"/>
      <c r="J7260" s="39">
        <v>115404</v>
      </c>
      <c r="K7260" s="36" t="str">
        <f>CONCATENATE(Cover!$D$6,"fdd/view?i=",J7260)</f>
        <v>https://www.dgiwg.org/FAD/fdd/view?i=115404</v>
      </c>
      <c r="L7260" s="36" t="s">
        <v>44571</v>
      </c>
      <c r="M7260" s="186"/>
      <c r="N7260" s="186"/>
      <c r="O7260" s="13" t="s">
        <v>44567</v>
      </c>
    </row>
    <row r="7261" spans="1:15" ht="25.5" x14ac:dyDescent="0.2">
      <c r="A7261" s="190" t="str">
        <f t="shared" si="113"/>
        <v>RpdCode_hostProvided</v>
      </c>
      <c r="B7261" s="414" t="str">
        <f>HYPERLINK("[#]Datatypes!A1266:L1266","RpdCode")</f>
        <v>RpdCode</v>
      </c>
      <c r="C7261" s="415" t="s">
        <v>15884</v>
      </c>
      <c r="D7261" s="221" t="s">
        <v>44572</v>
      </c>
      <c r="E7261" s="221">
        <v>9</v>
      </c>
      <c r="F7261" s="222" t="s">
        <v>44573</v>
      </c>
      <c r="G7261" s="223" t="s">
        <v>44574</v>
      </c>
      <c r="H7261" s="224"/>
      <c r="I7261" s="345"/>
      <c r="J7261" s="39">
        <v>119637</v>
      </c>
      <c r="K7261" s="36" t="str">
        <f>CONCATENATE(Cover!$D$6,"fdd/view?i=",J7261)</f>
        <v>https://www.dgiwg.org/FAD/fdd/view?i=119637</v>
      </c>
      <c r="L7261" s="36" t="s">
        <v>44575</v>
      </c>
      <c r="M7261" s="186"/>
      <c r="N7261" s="186"/>
      <c r="O7261" s="172"/>
    </row>
    <row r="7262" spans="1:15" ht="38.25" x14ac:dyDescent="0.2">
      <c r="A7262" s="197" t="str">
        <f t="shared" si="113"/>
        <v>RpdCode_intersectRunwaysFormIntTri</v>
      </c>
      <c r="B7262" s="409"/>
      <c r="C7262" s="416"/>
      <c r="D7262" s="198" t="s">
        <v>44576</v>
      </c>
      <c r="E7262" s="198">
        <v>5</v>
      </c>
      <c r="F7262" s="199" t="s">
        <v>44577</v>
      </c>
      <c r="G7262" s="1" t="s">
        <v>44578</v>
      </c>
      <c r="H7262" s="200"/>
      <c r="I7262" s="346"/>
      <c r="J7262" s="39">
        <v>107254</v>
      </c>
      <c r="K7262" s="36" t="str">
        <f>CONCATENATE(Cover!$D$6,"fdd/view?i=",J7262)</f>
        <v>https://www.dgiwg.org/FAD/fdd/view?i=107254</v>
      </c>
      <c r="L7262" s="36" t="s">
        <v>44579</v>
      </c>
      <c r="M7262" s="186"/>
      <c r="N7262" s="186"/>
      <c r="O7262" s="172"/>
    </row>
    <row r="7263" spans="1:15" ht="25.5" x14ac:dyDescent="0.2">
      <c r="A7263" s="197" t="str">
        <f t="shared" si="113"/>
        <v>RpdCode_oneRunway</v>
      </c>
      <c r="B7263" s="409"/>
      <c r="C7263" s="416"/>
      <c r="D7263" s="198" t="s">
        <v>44580</v>
      </c>
      <c r="E7263" s="198">
        <v>1</v>
      </c>
      <c r="F7263" s="199" t="s">
        <v>44581</v>
      </c>
      <c r="G7263" s="1" t="s">
        <v>44582</v>
      </c>
      <c r="H7263" s="200"/>
      <c r="I7263" s="346"/>
      <c r="J7263" s="39">
        <v>107250</v>
      </c>
      <c r="K7263" s="36" t="str">
        <f>CONCATENATE(Cover!$D$6,"fdd/view?i=",J7263)</f>
        <v>https://www.dgiwg.org/FAD/fdd/view?i=107250</v>
      </c>
      <c r="L7263" s="36" t="s">
        <v>44583</v>
      </c>
      <c r="M7263" s="186"/>
      <c r="N7263" s="186"/>
      <c r="O7263" s="172"/>
    </row>
    <row r="7264" spans="1:15" ht="25.5" x14ac:dyDescent="0.2">
      <c r="A7264" s="197" t="str">
        <f t="shared" si="113"/>
        <v>RpdCode_runwaysIntersectingAtPoint</v>
      </c>
      <c r="B7264" s="409"/>
      <c r="C7264" s="416"/>
      <c r="D7264" s="198" t="s">
        <v>44584</v>
      </c>
      <c r="E7264" s="198">
        <v>4</v>
      </c>
      <c r="F7264" s="199" t="s">
        <v>44585</v>
      </c>
      <c r="G7264" s="1" t="s">
        <v>44586</v>
      </c>
      <c r="H7264" s="200"/>
      <c r="I7264" s="346"/>
      <c r="J7264" s="39">
        <v>107253</v>
      </c>
      <c r="K7264" s="36" t="str">
        <f>CONCATENATE(Cover!$D$6,"fdd/view?i=",J7264)</f>
        <v>https://www.dgiwg.org/FAD/fdd/view?i=107253</v>
      </c>
      <c r="L7264" s="36" t="s">
        <v>44587</v>
      </c>
      <c r="M7264" s="186"/>
      <c r="N7264" s="186"/>
      <c r="O7264" s="172"/>
    </row>
    <row r="7265" spans="1:15" ht="51" x14ac:dyDescent="0.2">
      <c r="A7265" s="197" t="str">
        <f t="shared" si="113"/>
        <v>RpdCode_threeMoreParaOrNonConnect</v>
      </c>
      <c r="B7265" s="409"/>
      <c r="C7265" s="416"/>
      <c r="D7265" s="198" t="s">
        <v>44588</v>
      </c>
      <c r="E7265" s="198">
        <v>3</v>
      </c>
      <c r="F7265" s="199" t="s">
        <v>44589</v>
      </c>
      <c r="G7265" s="1" t="s">
        <v>44590</v>
      </c>
      <c r="H7265" s="200"/>
      <c r="I7265" s="346"/>
      <c r="J7265" s="39">
        <v>107252</v>
      </c>
      <c r="K7265" s="36" t="str">
        <f>CONCATENATE(Cover!$D$6,"fdd/view?i=",J7265)</f>
        <v>https://www.dgiwg.org/FAD/fdd/view?i=107252</v>
      </c>
      <c r="L7265" s="36" t="s">
        <v>44591</v>
      </c>
      <c r="M7265" s="186"/>
      <c r="N7265" s="186"/>
      <c r="O7265" s="172"/>
    </row>
    <row r="7266" spans="1:15" ht="38.25" x14ac:dyDescent="0.2">
      <c r="A7266" s="197" t="str">
        <f t="shared" si="113"/>
        <v>RpdCode_twoParaOrNonConnectSemi</v>
      </c>
      <c r="B7266" s="409"/>
      <c r="C7266" s="416"/>
      <c r="D7266" s="198" t="s">
        <v>44592</v>
      </c>
      <c r="E7266" s="198">
        <v>2</v>
      </c>
      <c r="F7266" s="199" t="s">
        <v>44593</v>
      </c>
      <c r="G7266" s="1" t="s">
        <v>44594</v>
      </c>
      <c r="H7266" s="200"/>
      <c r="I7266" s="346"/>
      <c r="J7266" s="39">
        <v>107251</v>
      </c>
      <c r="K7266" s="36" t="str">
        <f>CONCATENATE(Cover!$D$6,"fdd/view?i=",J7266)</f>
        <v>https://www.dgiwg.org/FAD/fdd/view?i=107251</v>
      </c>
      <c r="L7266" s="36" t="s">
        <v>44595</v>
      </c>
      <c r="M7266" s="186"/>
      <c r="N7266" s="186"/>
      <c r="O7266" s="172"/>
    </row>
    <row r="7267" spans="1:15" ht="38.25" x14ac:dyDescent="0.2">
      <c r="A7267" s="197" t="str">
        <f t="shared" si="113"/>
        <v>RpdCode_twoRunwaysDiverge90DegLess</v>
      </c>
      <c r="B7267" s="409"/>
      <c r="C7267" s="416"/>
      <c r="D7267" s="198" t="s">
        <v>44596</v>
      </c>
      <c r="E7267" s="198">
        <v>6</v>
      </c>
      <c r="F7267" s="199" t="s">
        <v>44597</v>
      </c>
      <c r="G7267" s="1" t="s">
        <v>44598</v>
      </c>
      <c r="H7267" s="200"/>
      <c r="I7267" s="346"/>
      <c r="J7267" s="39">
        <v>107255</v>
      </c>
      <c r="K7267" s="36" t="str">
        <f>CONCATENATE(Cover!$D$6,"fdd/view?i=",J7267)</f>
        <v>https://www.dgiwg.org/FAD/fdd/view?i=107255</v>
      </c>
      <c r="L7267" s="36" t="s">
        <v>44599</v>
      </c>
      <c r="M7267" s="186"/>
      <c r="N7267" s="186"/>
      <c r="O7267" s="172"/>
    </row>
    <row r="7268" spans="1:15" ht="38.25" x14ac:dyDescent="0.2">
      <c r="A7268" s="197" t="str">
        <f t="shared" si="113"/>
        <v>RpdCode_twoRunwaysDivergeOver90Deg</v>
      </c>
      <c r="B7268" s="409"/>
      <c r="C7268" s="416"/>
      <c r="D7268" s="198" t="s">
        <v>44600</v>
      </c>
      <c r="E7268" s="198">
        <v>7</v>
      </c>
      <c r="F7268" s="199" t="s">
        <v>44601</v>
      </c>
      <c r="G7268" s="1" t="s">
        <v>44602</v>
      </c>
      <c r="H7268" s="200"/>
      <c r="I7268" s="346"/>
      <c r="J7268" s="39">
        <v>107256</v>
      </c>
      <c r="K7268" s="36" t="str">
        <f>CONCATENATE(Cover!$D$6,"fdd/view?i=",J7268)</f>
        <v>https://www.dgiwg.org/FAD/fdd/view?i=107256</v>
      </c>
      <c r="L7268" s="36" t="s">
        <v>44603</v>
      </c>
      <c r="M7268" s="186"/>
      <c r="N7268" s="186"/>
      <c r="O7268" s="172"/>
    </row>
    <row r="7269" spans="1:15" ht="25.5" x14ac:dyDescent="0.2">
      <c r="A7269" s="203" t="str">
        <f t="shared" si="113"/>
        <v>RpdCode_widelySeparatedRunways</v>
      </c>
      <c r="B7269" s="410"/>
      <c r="C7269" s="417"/>
      <c r="D7269" s="204" t="s">
        <v>44604</v>
      </c>
      <c r="E7269" s="204">
        <v>8</v>
      </c>
      <c r="F7269" s="205" t="s">
        <v>44605</v>
      </c>
      <c r="G7269" s="206" t="s">
        <v>44606</v>
      </c>
      <c r="H7269" s="207"/>
      <c r="I7269" s="347"/>
      <c r="J7269" s="39">
        <v>107257</v>
      </c>
      <c r="K7269" s="36" t="str">
        <f>CONCATENATE(Cover!$D$6,"fdd/view?i=",J7269)</f>
        <v>https://www.dgiwg.org/FAD/fdd/view?i=107257</v>
      </c>
      <c r="L7269" s="36" t="s">
        <v>44607</v>
      </c>
      <c r="M7269" s="186"/>
      <c r="N7269" s="186"/>
      <c r="O7269" s="172"/>
    </row>
    <row r="7270" spans="1:15" x14ac:dyDescent="0.2">
      <c r="A7270" s="190" t="str">
        <f t="shared" si="113"/>
        <v>RewCode_highTide</v>
      </c>
      <c r="B7270" s="414" t="str">
        <f>HYPERLINK("[#]Datatypes!A1270:L1270","RewCode")</f>
        <v>RewCode</v>
      </c>
      <c r="C7270" s="415" t="s">
        <v>15889</v>
      </c>
      <c r="D7270" s="221" t="s">
        <v>44608</v>
      </c>
      <c r="E7270" s="221">
        <v>1</v>
      </c>
      <c r="F7270" s="222" t="s">
        <v>44609</v>
      </c>
      <c r="G7270" s="223" t="s">
        <v>44610</v>
      </c>
      <c r="H7270" s="224"/>
      <c r="I7270" s="345"/>
      <c r="J7270" s="39">
        <v>110815</v>
      </c>
      <c r="K7270" s="36" t="str">
        <f>CONCATENATE(Cover!$D$6,"fdd/view?i=",J7270)</f>
        <v>https://www.dgiwg.org/FAD/fdd/view?i=110815</v>
      </c>
      <c r="L7270" s="36" t="s">
        <v>44611</v>
      </c>
      <c r="M7270" s="186"/>
      <c r="N7270" s="186"/>
      <c r="O7270" s="172"/>
    </row>
    <row r="7271" spans="1:15" x14ac:dyDescent="0.2">
      <c r="A7271" s="203" t="str">
        <f t="shared" si="113"/>
        <v>RewCode_lowTide</v>
      </c>
      <c r="B7271" s="410"/>
      <c r="C7271" s="417"/>
      <c r="D7271" s="204" t="s">
        <v>44612</v>
      </c>
      <c r="E7271" s="204">
        <v>2</v>
      </c>
      <c r="F7271" s="205" t="s">
        <v>44613</v>
      </c>
      <c r="G7271" s="206" t="s">
        <v>44614</v>
      </c>
      <c r="H7271" s="207"/>
      <c r="I7271" s="347"/>
      <c r="J7271" s="39">
        <v>110816</v>
      </c>
      <c r="K7271" s="36" t="str">
        <f>CONCATENATE(Cover!$D$6,"fdd/view?i=",J7271)</f>
        <v>https://www.dgiwg.org/FAD/fdd/view?i=110816</v>
      </c>
      <c r="L7271" s="36" t="s">
        <v>44615</v>
      </c>
      <c r="M7271" s="186"/>
      <c r="N7271" s="186"/>
      <c r="O7271" s="172"/>
    </row>
    <row r="7272" spans="1:15" x14ac:dyDescent="0.2">
      <c r="A7272" s="190" t="str">
        <f t="shared" si="113"/>
        <v>OrdCode_fifth</v>
      </c>
      <c r="B7272" s="414" t="str">
        <f>HYPERLINK("[#]Datatypes!A1276:L1276","OrdCode")</f>
        <v>OrdCode</v>
      </c>
      <c r="C7272" s="415" t="s">
        <v>15894</v>
      </c>
      <c r="D7272" s="221" t="s">
        <v>44616</v>
      </c>
      <c r="E7272" s="221">
        <v>5</v>
      </c>
      <c r="F7272" s="222" t="s">
        <v>44617</v>
      </c>
      <c r="G7272" s="223" t="s">
        <v>44618</v>
      </c>
      <c r="H7272" s="224"/>
      <c r="I7272" s="345"/>
      <c r="J7272" s="39">
        <v>106275</v>
      </c>
      <c r="K7272" s="36" t="str">
        <f>CONCATENATE(Cover!$D$6,"fdd/view?i=",J7272)</f>
        <v>https://www.dgiwg.org/FAD/fdd/view?i=106275</v>
      </c>
      <c r="L7272" s="36" t="s">
        <v>44619</v>
      </c>
      <c r="M7272" s="186"/>
      <c r="N7272" s="186"/>
      <c r="O7272" s="172"/>
    </row>
    <row r="7273" spans="1:15" x14ac:dyDescent="0.2">
      <c r="A7273" s="197" t="str">
        <f t="shared" si="113"/>
        <v>OrdCode_first</v>
      </c>
      <c r="B7273" s="409"/>
      <c r="C7273" s="416"/>
      <c r="D7273" s="198" t="s">
        <v>44620</v>
      </c>
      <c r="E7273" s="198">
        <v>1</v>
      </c>
      <c r="F7273" s="199" t="s">
        <v>44621</v>
      </c>
      <c r="G7273" s="1" t="s">
        <v>44622</v>
      </c>
      <c r="H7273" s="200"/>
      <c r="I7273" s="346"/>
      <c r="J7273" s="39">
        <v>106271</v>
      </c>
      <c r="K7273" s="36" t="str">
        <f>CONCATENATE(Cover!$D$6,"fdd/view?i=",J7273)</f>
        <v>https://www.dgiwg.org/FAD/fdd/view?i=106271</v>
      </c>
      <c r="L7273" s="36" t="s">
        <v>44623</v>
      </c>
      <c r="M7273" s="186"/>
      <c r="N7273" s="186"/>
      <c r="O7273" s="172"/>
    </row>
    <row r="7274" spans="1:15" x14ac:dyDescent="0.2">
      <c r="A7274" s="197" t="str">
        <f t="shared" si="113"/>
        <v>OrdCode_fourth</v>
      </c>
      <c r="B7274" s="409"/>
      <c r="C7274" s="416"/>
      <c r="D7274" s="198" t="s">
        <v>44624</v>
      </c>
      <c r="E7274" s="198">
        <v>4</v>
      </c>
      <c r="F7274" s="199" t="s">
        <v>44625</v>
      </c>
      <c r="G7274" s="1" t="s">
        <v>44626</v>
      </c>
      <c r="H7274" s="200"/>
      <c r="I7274" s="346"/>
      <c r="J7274" s="39">
        <v>106274</v>
      </c>
      <c r="K7274" s="36" t="str">
        <f>CONCATENATE(Cover!$D$6,"fdd/view?i=",J7274)</f>
        <v>https://www.dgiwg.org/FAD/fdd/view?i=106274</v>
      </c>
      <c r="L7274" s="36" t="s">
        <v>44627</v>
      </c>
      <c r="M7274" s="186"/>
      <c r="N7274" s="186"/>
      <c r="O7274" s="172"/>
    </row>
    <row r="7275" spans="1:15" x14ac:dyDescent="0.2">
      <c r="A7275" s="197" t="str">
        <f t="shared" si="113"/>
        <v>OrdCode_second</v>
      </c>
      <c r="B7275" s="409"/>
      <c r="C7275" s="416"/>
      <c r="D7275" s="198" t="s">
        <v>1651</v>
      </c>
      <c r="E7275" s="198">
        <v>2</v>
      </c>
      <c r="F7275" s="199" t="s">
        <v>1652</v>
      </c>
      <c r="G7275" s="1" t="s">
        <v>44628</v>
      </c>
      <c r="H7275" s="200"/>
      <c r="I7275" s="346"/>
      <c r="J7275" s="39">
        <v>106272</v>
      </c>
      <c r="K7275" s="36" t="str">
        <f>CONCATENATE(Cover!$D$6,"fdd/view?i=",J7275)</f>
        <v>https://www.dgiwg.org/FAD/fdd/view?i=106272</v>
      </c>
      <c r="L7275" s="36" t="s">
        <v>44629</v>
      </c>
      <c r="M7275" s="186"/>
      <c r="N7275" s="186"/>
      <c r="O7275" s="172"/>
    </row>
    <row r="7276" spans="1:15" x14ac:dyDescent="0.2">
      <c r="A7276" s="203" t="str">
        <f t="shared" si="113"/>
        <v>OrdCode_third</v>
      </c>
      <c r="B7276" s="410"/>
      <c r="C7276" s="417"/>
      <c r="D7276" s="204" t="s">
        <v>44630</v>
      </c>
      <c r="E7276" s="204">
        <v>3</v>
      </c>
      <c r="F7276" s="205" t="s">
        <v>44631</v>
      </c>
      <c r="G7276" s="206" t="s">
        <v>44632</v>
      </c>
      <c r="H7276" s="207"/>
      <c r="I7276" s="347"/>
      <c r="J7276" s="39">
        <v>106273</v>
      </c>
      <c r="K7276" s="36" t="str">
        <f>CONCATENATE(Cover!$D$6,"fdd/view?i=",J7276)</f>
        <v>https://www.dgiwg.org/FAD/fdd/view?i=106273</v>
      </c>
      <c r="L7276" s="36" t="s">
        <v>44633</v>
      </c>
      <c r="M7276" s="186"/>
      <c r="N7276" s="186"/>
      <c r="O7276" s="172"/>
    </row>
    <row r="7277" spans="1:15" ht="25.5" x14ac:dyDescent="0.2">
      <c r="A7277" s="190" t="str">
        <f t="shared" si="113"/>
        <v>RleCode_depressed</v>
      </c>
      <c r="B7277" s="414" t="str">
        <f>HYPERLINK("[#]Datatypes!A1278:L1278","RleCode")</f>
        <v>RleCode</v>
      </c>
      <c r="C7277" s="415" t="s">
        <v>15896</v>
      </c>
      <c r="D7277" s="221" t="s">
        <v>44634</v>
      </c>
      <c r="E7277" s="221">
        <v>3</v>
      </c>
      <c r="F7277" s="222" t="s">
        <v>44635</v>
      </c>
      <c r="G7277" s="223" t="s">
        <v>44636</v>
      </c>
      <c r="H7277" s="223" t="s">
        <v>44637</v>
      </c>
      <c r="I7277" s="345"/>
      <c r="J7277" s="39">
        <v>110330</v>
      </c>
      <c r="K7277" s="36" t="str">
        <f>CONCATENATE(Cover!$D$6,"fdd/view?i=",J7277)</f>
        <v>https://www.dgiwg.org/FAD/fdd/view?i=110330</v>
      </c>
      <c r="L7277" s="36" t="s">
        <v>44638</v>
      </c>
      <c r="M7277" s="186"/>
      <c r="N7277" s="186"/>
      <c r="O7277" s="172"/>
    </row>
    <row r="7278" spans="1:15" ht="25.5" x14ac:dyDescent="0.2">
      <c r="A7278" s="197" t="str">
        <f t="shared" si="113"/>
        <v>RleCode_level</v>
      </c>
      <c r="B7278" s="409"/>
      <c r="C7278" s="416"/>
      <c r="D7278" s="198" t="s">
        <v>44639</v>
      </c>
      <c r="E7278" s="198">
        <v>2</v>
      </c>
      <c r="F7278" s="199" t="s">
        <v>44640</v>
      </c>
      <c r="G7278" s="1" t="s">
        <v>44641</v>
      </c>
      <c r="H7278" s="200"/>
      <c r="I7278" s="346"/>
      <c r="J7278" s="39">
        <v>110329</v>
      </c>
      <c r="K7278" s="36" t="str">
        <f>CONCATENATE(Cover!$D$6,"fdd/view?i=",J7278)</f>
        <v>https://www.dgiwg.org/FAD/fdd/view?i=110329</v>
      </c>
      <c r="L7278" s="36" t="s">
        <v>44642</v>
      </c>
      <c r="M7278" s="186"/>
      <c r="N7278" s="186"/>
      <c r="O7278" s="172"/>
    </row>
    <row r="7279" spans="1:15" ht="25.5" x14ac:dyDescent="0.2">
      <c r="A7279" s="203" t="str">
        <f t="shared" si="113"/>
        <v>RleCode_raised</v>
      </c>
      <c r="B7279" s="410"/>
      <c r="C7279" s="417"/>
      <c r="D7279" s="204" t="s">
        <v>44643</v>
      </c>
      <c r="E7279" s="204">
        <v>1</v>
      </c>
      <c r="F7279" s="205" t="s">
        <v>44644</v>
      </c>
      <c r="G7279" s="206" t="s">
        <v>44645</v>
      </c>
      <c r="H7279" s="206" t="s">
        <v>44646</v>
      </c>
      <c r="I7279" s="347"/>
      <c r="J7279" s="39">
        <v>110328</v>
      </c>
      <c r="K7279" s="36" t="str">
        <f>CONCATENATE(Cover!$D$6,"fdd/view?i=",J7279)</f>
        <v>https://www.dgiwg.org/FAD/fdd/view?i=110328</v>
      </c>
      <c r="L7279" s="36" t="s">
        <v>44647</v>
      </c>
      <c r="M7279" s="186"/>
      <c r="N7279" s="186"/>
      <c r="O7279" s="172"/>
    </row>
    <row r="7280" spans="1:15" ht="25.5" x14ac:dyDescent="0.2">
      <c r="A7280" s="190" t="str">
        <f t="shared" si="113"/>
        <v>RebCode_africanTraditionalReligion</v>
      </c>
      <c r="B7280" s="414" t="str">
        <f>HYPERLINK("[#]Datatypes!A1282:L1282","RebCode")</f>
        <v>RebCode</v>
      </c>
      <c r="C7280" s="415" t="s">
        <v>15901</v>
      </c>
      <c r="D7280" s="221" t="s">
        <v>44648</v>
      </c>
      <c r="E7280" s="221">
        <v>13</v>
      </c>
      <c r="F7280" s="222" t="s">
        <v>44649</v>
      </c>
      <c r="G7280" s="223" t="s">
        <v>44650</v>
      </c>
      <c r="H7280" s="223" t="s">
        <v>44651</v>
      </c>
      <c r="I7280" s="345"/>
      <c r="J7280" s="39">
        <v>113684</v>
      </c>
      <c r="K7280" s="36" t="str">
        <f>CONCATENATE(Cover!$D$6,"fdd/view?i=",J7280)</f>
        <v>https://www.dgiwg.org/FAD/fdd/view?i=113684</v>
      </c>
      <c r="L7280" s="36" t="s">
        <v>44652</v>
      </c>
      <c r="M7280" s="186"/>
      <c r="N7280" s="186"/>
      <c r="O7280" s="172"/>
    </row>
    <row r="7281" spans="1:15" ht="25.5" x14ac:dyDescent="0.2">
      <c r="A7281" s="197" t="str">
        <f t="shared" si="113"/>
        <v>RebCode_alienBasedReligion</v>
      </c>
      <c r="B7281" s="409"/>
      <c r="C7281" s="416"/>
      <c r="D7281" s="198" t="s">
        <v>44653</v>
      </c>
      <c r="E7281" s="198">
        <v>20</v>
      </c>
      <c r="F7281" s="199" t="s">
        <v>44654</v>
      </c>
      <c r="G7281" s="1" t="s">
        <v>44655</v>
      </c>
      <c r="H7281" s="1" t="s">
        <v>44656</v>
      </c>
      <c r="I7281" s="346"/>
      <c r="J7281" s="39">
        <v>113691</v>
      </c>
      <c r="K7281" s="36" t="str">
        <f>CONCATENATE(Cover!$D$6,"fdd/view?i=",J7281)</f>
        <v>https://www.dgiwg.org/FAD/fdd/view?i=113691</v>
      </c>
      <c r="L7281" s="36" t="s">
        <v>44657</v>
      </c>
      <c r="M7281" s="186"/>
      <c r="N7281" s="186"/>
      <c r="O7281" s="172"/>
    </row>
    <row r="7282" spans="1:15" ht="38.25" x14ac:dyDescent="0.2">
      <c r="A7282" s="197" t="str">
        <f t="shared" si="113"/>
        <v>RebCode_atenism</v>
      </c>
      <c r="B7282" s="409"/>
      <c r="C7282" s="416"/>
      <c r="D7282" s="198" t="s">
        <v>44658</v>
      </c>
      <c r="E7282" s="198">
        <v>44</v>
      </c>
      <c r="F7282" s="199" t="s">
        <v>44659</v>
      </c>
      <c r="G7282" s="1" t="s">
        <v>44660</v>
      </c>
      <c r="H7282" s="1" t="s">
        <v>44661</v>
      </c>
      <c r="I7282" s="346"/>
      <c r="J7282" s="39">
        <v>113715</v>
      </c>
      <c r="K7282" s="36" t="str">
        <f>CONCATENATE(Cover!$D$6,"fdd/view?i=",J7282)</f>
        <v>https://www.dgiwg.org/FAD/fdd/view?i=113715</v>
      </c>
      <c r="L7282" s="36" t="s">
        <v>44662</v>
      </c>
      <c r="M7282" s="186"/>
      <c r="N7282" s="186"/>
      <c r="O7282" s="172"/>
    </row>
    <row r="7283" spans="1:15" ht="63.75" x14ac:dyDescent="0.2">
      <c r="A7283" s="197" t="str">
        <f t="shared" si="113"/>
        <v>RebCode_ayyavazhi</v>
      </c>
      <c r="B7283" s="409"/>
      <c r="C7283" s="416"/>
      <c r="D7283" s="198" t="s">
        <v>44663</v>
      </c>
      <c r="E7283" s="198">
        <v>8</v>
      </c>
      <c r="F7283" s="199" t="s">
        <v>44664</v>
      </c>
      <c r="G7283" s="1" t="s">
        <v>44665</v>
      </c>
      <c r="H7283" s="1" t="s">
        <v>44666</v>
      </c>
      <c r="I7283" s="346"/>
      <c r="J7283" s="39">
        <v>113679</v>
      </c>
      <c r="K7283" s="36" t="str">
        <f>CONCATENATE(Cover!$D$6,"fdd/view?i=",J7283)</f>
        <v>https://www.dgiwg.org/FAD/fdd/view?i=113679</v>
      </c>
      <c r="L7283" s="36" t="s">
        <v>44667</v>
      </c>
      <c r="M7283" s="186"/>
      <c r="N7283" s="186"/>
      <c r="O7283" s="172"/>
    </row>
    <row r="7284" spans="1:15" ht="51" x14ac:dyDescent="0.2">
      <c r="A7284" s="197" t="str">
        <f t="shared" si="113"/>
        <v>RebCode_babism</v>
      </c>
      <c r="B7284" s="409"/>
      <c r="C7284" s="416"/>
      <c r="D7284" s="198" t="s">
        <v>44668</v>
      </c>
      <c r="E7284" s="198">
        <v>1</v>
      </c>
      <c r="F7284" s="199" t="s">
        <v>44669</v>
      </c>
      <c r="G7284" s="1" t="s">
        <v>44670</v>
      </c>
      <c r="H7284" s="1" t="s">
        <v>44671</v>
      </c>
      <c r="I7284" s="346"/>
      <c r="J7284" s="39">
        <v>113672</v>
      </c>
      <c r="K7284" s="36" t="str">
        <f>CONCATENATE(Cover!$D$6,"fdd/view?i=",J7284)</f>
        <v>https://www.dgiwg.org/FAD/fdd/view?i=113672</v>
      </c>
      <c r="L7284" s="36" t="s">
        <v>44672</v>
      </c>
      <c r="M7284" s="186"/>
      <c r="N7284" s="186"/>
      <c r="O7284" s="172"/>
    </row>
    <row r="7285" spans="1:15" ht="25.5" x14ac:dyDescent="0.2">
      <c r="A7285" s="197" t="str">
        <f t="shared" si="113"/>
        <v>RebCode_bahai</v>
      </c>
      <c r="B7285" s="409"/>
      <c r="C7285" s="416"/>
      <c r="D7285" s="198" t="s">
        <v>44673</v>
      </c>
      <c r="E7285" s="198">
        <v>2</v>
      </c>
      <c r="F7285" s="199" t="s">
        <v>44674</v>
      </c>
      <c r="G7285" s="1" t="s">
        <v>44675</v>
      </c>
      <c r="H7285" s="1" t="s">
        <v>44671</v>
      </c>
      <c r="I7285" s="346"/>
      <c r="J7285" s="39">
        <v>113673</v>
      </c>
      <c r="K7285" s="36" t="str">
        <f>CONCATENATE(Cover!$D$6,"fdd/view?i=",J7285)</f>
        <v>https://www.dgiwg.org/FAD/fdd/view?i=113673</v>
      </c>
      <c r="L7285" s="36" t="s">
        <v>44676</v>
      </c>
      <c r="M7285" s="186"/>
      <c r="N7285" s="186"/>
      <c r="O7285" s="172"/>
    </row>
    <row r="7286" spans="1:15" ht="38.25" x14ac:dyDescent="0.2">
      <c r="A7286" s="197" t="str">
        <f t="shared" si="113"/>
        <v>RebCode_blackSupremacistReligion</v>
      </c>
      <c r="B7286" s="409"/>
      <c r="C7286" s="416"/>
      <c r="D7286" s="198" t="s">
        <v>44677</v>
      </c>
      <c r="E7286" s="198">
        <v>21</v>
      </c>
      <c r="F7286" s="199" t="s">
        <v>44678</v>
      </c>
      <c r="G7286" s="1" t="s">
        <v>44679</v>
      </c>
      <c r="H7286" s="1" t="s">
        <v>44656</v>
      </c>
      <c r="I7286" s="346"/>
      <c r="J7286" s="39">
        <v>113692</v>
      </c>
      <c r="K7286" s="36" t="str">
        <f>CONCATENATE(Cover!$D$6,"fdd/view?i=",J7286)</f>
        <v>https://www.dgiwg.org/FAD/fdd/view?i=113692</v>
      </c>
      <c r="L7286" s="36" t="s">
        <v>44680</v>
      </c>
      <c r="M7286" s="186"/>
      <c r="N7286" s="186"/>
      <c r="O7286" s="172"/>
    </row>
    <row r="7287" spans="1:15" ht="38.25" x14ac:dyDescent="0.2">
      <c r="A7287" s="197" t="str">
        <f t="shared" si="113"/>
        <v>RebCode_buddhism</v>
      </c>
      <c r="B7287" s="409"/>
      <c r="C7287" s="416"/>
      <c r="D7287" s="198" t="s">
        <v>44681</v>
      </c>
      <c r="E7287" s="198">
        <v>9</v>
      </c>
      <c r="F7287" s="199" t="s">
        <v>44682</v>
      </c>
      <c r="G7287" s="1" t="s">
        <v>44683</v>
      </c>
      <c r="H7287" s="1" t="s">
        <v>44666</v>
      </c>
      <c r="I7287" s="346"/>
      <c r="J7287" s="39">
        <v>113680</v>
      </c>
      <c r="K7287" s="36" t="str">
        <f>CONCATENATE(Cover!$D$6,"fdd/view?i=",J7287)</f>
        <v>https://www.dgiwg.org/FAD/fdd/view?i=113680</v>
      </c>
      <c r="L7287" s="36" t="s">
        <v>44684</v>
      </c>
      <c r="M7287" s="186"/>
      <c r="N7287" s="186"/>
      <c r="O7287" s="172"/>
    </row>
    <row r="7288" spans="1:15" ht="38.25" x14ac:dyDescent="0.2">
      <c r="A7288" s="197" t="str">
        <f t="shared" si="113"/>
        <v>RebCode_buddhistOrientedNewMove</v>
      </c>
      <c r="B7288" s="409"/>
      <c r="C7288" s="416"/>
      <c r="D7288" s="198" t="s">
        <v>44685</v>
      </c>
      <c r="E7288" s="198">
        <v>29</v>
      </c>
      <c r="F7288" s="199" t="s">
        <v>44686</v>
      </c>
      <c r="G7288" s="1" t="s">
        <v>44687</v>
      </c>
      <c r="H7288" s="1" t="s">
        <v>44656</v>
      </c>
      <c r="I7288" s="346"/>
      <c r="J7288" s="39">
        <v>113700</v>
      </c>
      <c r="K7288" s="36" t="str">
        <f>CONCATENATE(Cover!$D$6,"fdd/view?i=",J7288)</f>
        <v>https://www.dgiwg.org/FAD/fdd/view?i=113700</v>
      </c>
      <c r="L7288" s="36" t="s">
        <v>44688</v>
      </c>
      <c r="M7288" s="186"/>
      <c r="N7288" s="186"/>
      <c r="O7288" s="172"/>
    </row>
    <row r="7289" spans="1:15" ht="63.75" x14ac:dyDescent="0.2">
      <c r="A7289" s="197" t="str">
        <f t="shared" si="113"/>
        <v>RebCode_caoDai</v>
      </c>
      <c r="B7289" s="409"/>
      <c r="C7289" s="416"/>
      <c r="D7289" s="198" t="s">
        <v>44689</v>
      </c>
      <c r="E7289" s="198">
        <v>49</v>
      </c>
      <c r="F7289" s="199" t="s">
        <v>44690</v>
      </c>
      <c r="G7289" s="1" t="s">
        <v>44691</v>
      </c>
      <c r="H7289" s="1" t="s">
        <v>44692</v>
      </c>
      <c r="I7289" s="346"/>
      <c r="J7289" s="39">
        <v>113720</v>
      </c>
      <c r="K7289" s="36" t="str">
        <f>CONCATENATE(Cover!$D$6,"fdd/view?i=",J7289)</f>
        <v>https://www.dgiwg.org/FAD/fdd/view?i=113720</v>
      </c>
      <c r="L7289" s="36" t="s">
        <v>44693</v>
      </c>
      <c r="M7289" s="186"/>
      <c r="N7289" s="186"/>
      <c r="O7289" s="172"/>
    </row>
    <row r="7290" spans="1:15" ht="25.5" x14ac:dyDescent="0.2">
      <c r="A7290" s="197" t="str">
        <f t="shared" si="113"/>
        <v>RebCode_cheondogyo</v>
      </c>
      <c r="B7290" s="409"/>
      <c r="C7290" s="416"/>
      <c r="D7290" s="198" t="s">
        <v>44694</v>
      </c>
      <c r="E7290" s="198">
        <v>50</v>
      </c>
      <c r="F7290" s="199" t="s">
        <v>44695</v>
      </c>
      <c r="G7290" s="1" t="s">
        <v>44696</v>
      </c>
      <c r="H7290" s="1" t="s">
        <v>44692</v>
      </c>
      <c r="I7290" s="346"/>
      <c r="J7290" s="39">
        <v>113721</v>
      </c>
      <c r="K7290" s="36" t="str">
        <f>CONCATENATE(Cover!$D$6,"fdd/view?i=",J7290)</f>
        <v>https://www.dgiwg.org/FAD/fdd/view?i=113721</v>
      </c>
      <c r="L7290" s="36" t="s">
        <v>44697</v>
      </c>
      <c r="M7290" s="186"/>
      <c r="N7290" s="186"/>
      <c r="O7290" s="172"/>
    </row>
    <row r="7291" spans="1:15" ht="25.5" x14ac:dyDescent="0.2">
      <c r="A7291" s="197" t="str">
        <f t="shared" si="113"/>
        <v>RebCode_chineseOrientedNewMove</v>
      </c>
      <c r="B7291" s="409"/>
      <c r="C7291" s="416"/>
      <c r="D7291" s="198" t="s">
        <v>44698</v>
      </c>
      <c r="E7291" s="198">
        <v>30</v>
      </c>
      <c r="F7291" s="199" t="s">
        <v>44699</v>
      </c>
      <c r="G7291" s="1" t="s">
        <v>44700</v>
      </c>
      <c r="H7291" s="1" t="s">
        <v>44656</v>
      </c>
      <c r="I7291" s="346"/>
      <c r="J7291" s="39">
        <v>113701</v>
      </c>
      <c r="K7291" s="36" t="str">
        <f>CONCATENATE(Cover!$D$6,"fdd/view?i=",J7291)</f>
        <v>https://www.dgiwg.org/FAD/fdd/view?i=113701</v>
      </c>
      <c r="L7291" s="36" t="s">
        <v>44701</v>
      </c>
      <c r="M7291" s="186"/>
      <c r="N7291" s="186"/>
      <c r="O7291" s="172"/>
    </row>
    <row r="7292" spans="1:15" ht="38.25" x14ac:dyDescent="0.2">
      <c r="A7292" s="197" t="str">
        <f t="shared" si="113"/>
        <v>RebCode_christianity</v>
      </c>
      <c r="B7292" s="409"/>
      <c r="C7292" s="416"/>
      <c r="D7292" s="198" t="s">
        <v>44702</v>
      </c>
      <c r="E7292" s="198">
        <v>3</v>
      </c>
      <c r="F7292" s="199" t="s">
        <v>44703</v>
      </c>
      <c r="G7292" s="1" t="s">
        <v>44704</v>
      </c>
      <c r="H7292" s="1" t="s">
        <v>44671</v>
      </c>
      <c r="I7292" s="346"/>
      <c r="J7292" s="39">
        <v>113674</v>
      </c>
      <c r="K7292" s="36" t="str">
        <f>CONCATENATE(Cover!$D$6,"fdd/view?i=",J7292)</f>
        <v>https://www.dgiwg.org/FAD/fdd/view?i=113674</v>
      </c>
      <c r="L7292" s="36" t="s">
        <v>44705</v>
      </c>
      <c r="M7292" s="186"/>
      <c r="N7292" s="186"/>
      <c r="O7292" s="172"/>
    </row>
    <row r="7293" spans="1:15" ht="38.25" x14ac:dyDescent="0.2">
      <c r="A7293" s="197" t="str">
        <f t="shared" si="113"/>
        <v>RebCode_christianOrientedNewMove</v>
      </c>
      <c r="B7293" s="409"/>
      <c r="C7293" s="416"/>
      <c r="D7293" s="198" t="s">
        <v>44706</v>
      </c>
      <c r="E7293" s="198">
        <v>31</v>
      </c>
      <c r="F7293" s="199" t="s">
        <v>44707</v>
      </c>
      <c r="G7293" s="1" t="s">
        <v>44708</v>
      </c>
      <c r="H7293" s="1" t="s">
        <v>44656</v>
      </c>
      <c r="I7293" s="346"/>
      <c r="J7293" s="39">
        <v>113702</v>
      </c>
      <c r="K7293" s="36" t="str">
        <f>CONCATENATE(Cover!$D$6,"fdd/view?i=",J7293)</f>
        <v>https://www.dgiwg.org/FAD/fdd/view?i=113702</v>
      </c>
      <c r="L7293" s="36" t="s">
        <v>44709</v>
      </c>
      <c r="M7293" s="186"/>
      <c r="N7293" s="186"/>
      <c r="O7293" s="172"/>
    </row>
    <row r="7294" spans="1:15" ht="25.5" x14ac:dyDescent="0.2">
      <c r="A7294" s="197" t="str">
        <f t="shared" si="113"/>
        <v>RebCode_confucianism</v>
      </c>
      <c r="B7294" s="409"/>
      <c r="C7294" s="416"/>
      <c r="D7294" s="198" t="s">
        <v>44710</v>
      </c>
      <c r="E7294" s="198">
        <v>51</v>
      </c>
      <c r="F7294" s="199" t="s">
        <v>44711</v>
      </c>
      <c r="G7294" s="1" t="s">
        <v>44712</v>
      </c>
      <c r="H7294" s="1" t="s">
        <v>44692</v>
      </c>
      <c r="I7294" s="346"/>
      <c r="J7294" s="39">
        <v>113722</v>
      </c>
      <c r="K7294" s="36" t="str">
        <f>CONCATENATE(Cover!$D$6,"fdd/view?i=",J7294)</f>
        <v>https://www.dgiwg.org/FAD/fdd/view?i=113722</v>
      </c>
      <c r="L7294" s="36" t="s">
        <v>44713</v>
      </c>
      <c r="M7294" s="186"/>
      <c r="N7294" s="186"/>
      <c r="O7294" s="172"/>
    </row>
    <row r="7295" spans="1:15" ht="38.25" x14ac:dyDescent="0.2">
      <c r="A7295" s="197" t="str">
        <f t="shared" si="113"/>
        <v>RebCode_esotericism</v>
      </c>
      <c r="B7295" s="409"/>
      <c r="C7295" s="416"/>
      <c r="D7295" s="198" t="s">
        <v>44714</v>
      </c>
      <c r="E7295" s="198">
        <v>38</v>
      </c>
      <c r="F7295" s="199" t="s">
        <v>44715</v>
      </c>
      <c r="G7295" s="1" t="s">
        <v>44716</v>
      </c>
      <c r="H7295" s="1" t="s">
        <v>44717</v>
      </c>
      <c r="I7295" s="346"/>
      <c r="J7295" s="39">
        <v>113709</v>
      </c>
      <c r="K7295" s="36" t="str">
        <f>CONCATENATE(Cover!$D$6,"fdd/view?i=",J7295)</f>
        <v>https://www.dgiwg.org/FAD/fdd/view?i=113709</v>
      </c>
      <c r="L7295" s="36" t="s">
        <v>44718</v>
      </c>
      <c r="M7295" s="186"/>
      <c r="N7295" s="186"/>
      <c r="O7295" s="172"/>
    </row>
    <row r="7296" spans="1:15" ht="25.5" x14ac:dyDescent="0.2">
      <c r="A7296" s="197" t="str">
        <f t="shared" si="113"/>
        <v>RebCode_filipinoOrientedNewMove</v>
      </c>
      <c r="B7296" s="409"/>
      <c r="C7296" s="416"/>
      <c r="D7296" s="198" t="s">
        <v>44719</v>
      </c>
      <c r="E7296" s="198">
        <v>32</v>
      </c>
      <c r="F7296" s="199" t="s">
        <v>44720</v>
      </c>
      <c r="G7296" s="1" t="s">
        <v>44721</v>
      </c>
      <c r="H7296" s="1" t="s">
        <v>44656</v>
      </c>
      <c r="I7296" s="346"/>
      <c r="J7296" s="39">
        <v>113703</v>
      </c>
      <c r="K7296" s="36" t="str">
        <f>CONCATENATE(Cover!$D$6,"fdd/view?i=",J7296)</f>
        <v>https://www.dgiwg.org/FAD/fdd/view?i=113703</v>
      </c>
      <c r="L7296" s="36" t="s">
        <v>44722</v>
      </c>
      <c r="M7296" s="186"/>
      <c r="N7296" s="186"/>
      <c r="O7296" s="172"/>
    </row>
    <row r="7297" spans="1:15" ht="38.25" x14ac:dyDescent="0.2">
      <c r="A7297" s="197" t="str">
        <f t="shared" si="113"/>
        <v>RebCode_gnosticism</v>
      </c>
      <c r="B7297" s="409"/>
      <c r="C7297" s="416"/>
      <c r="D7297" s="198" t="s">
        <v>44723</v>
      </c>
      <c r="E7297" s="198">
        <v>4</v>
      </c>
      <c r="F7297" s="199" t="s">
        <v>44724</v>
      </c>
      <c r="G7297" s="1" t="s">
        <v>44725</v>
      </c>
      <c r="H7297" s="1" t="s">
        <v>44671</v>
      </c>
      <c r="I7297" s="346"/>
      <c r="J7297" s="39">
        <v>113675</v>
      </c>
      <c r="K7297" s="36" t="str">
        <f>CONCATENATE(Cover!$D$6,"fdd/view?i=",J7297)</f>
        <v>https://www.dgiwg.org/FAD/fdd/view?i=113675</v>
      </c>
      <c r="L7297" s="36" t="s">
        <v>44726</v>
      </c>
      <c r="M7297" s="186"/>
      <c r="N7297" s="186"/>
      <c r="O7297" s="172"/>
    </row>
    <row r="7298" spans="1:15" ht="51" x14ac:dyDescent="0.2">
      <c r="A7298" s="197" t="str">
        <f t="shared" ref="A7298:A7361" si="114">HYPERLINK(K7298,L7298)</f>
        <v>RebCode_hinduism</v>
      </c>
      <c r="B7298" s="409"/>
      <c r="C7298" s="416"/>
      <c r="D7298" s="198" t="s">
        <v>44727</v>
      </c>
      <c r="E7298" s="198">
        <v>10</v>
      </c>
      <c r="F7298" s="199" t="s">
        <v>44728</v>
      </c>
      <c r="G7298" s="1" t="s">
        <v>44729</v>
      </c>
      <c r="H7298" s="1" t="s">
        <v>44666</v>
      </c>
      <c r="I7298" s="346"/>
      <c r="J7298" s="39">
        <v>113681</v>
      </c>
      <c r="K7298" s="36" t="str">
        <f>CONCATENATE(Cover!$D$6,"fdd/view?i=",J7298)</f>
        <v>https://www.dgiwg.org/FAD/fdd/view?i=113681</v>
      </c>
      <c r="L7298" s="36" t="s">
        <v>44730</v>
      </c>
      <c r="M7298" s="186"/>
      <c r="N7298" s="186"/>
      <c r="O7298" s="172"/>
    </row>
    <row r="7299" spans="1:15" ht="25.5" x14ac:dyDescent="0.2">
      <c r="A7299" s="197" t="str">
        <f t="shared" si="114"/>
        <v>RebCode_hinduOrientedNewMove</v>
      </c>
      <c r="B7299" s="409"/>
      <c r="C7299" s="416"/>
      <c r="D7299" s="198" t="s">
        <v>44731</v>
      </c>
      <c r="E7299" s="198">
        <v>33</v>
      </c>
      <c r="F7299" s="199" t="s">
        <v>44732</v>
      </c>
      <c r="G7299" s="1" t="s">
        <v>44733</v>
      </c>
      <c r="H7299" s="1" t="s">
        <v>44656</v>
      </c>
      <c r="I7299" s="346"/>
      <c r="J7299" s="39">
        <v>113704</v>
      </c>
      <c r="K7299" s="36" t="str">
        <f>CONCATENATE(Cover!$D$6,"fdd/view?i=",J7299)</f>
        <v>https://www.dgiwg.org/FAD/fdd/view?i=113704</v>
      </c>
      <c r="L7299" s="36" t="s">
        <v>44734</v>
      </c>
      <c r="M7299" s="186"/>
      <c r="N7299" s="186"/>
      <c r="O7299" s="172"/>
    </row>
    <row r="7300" spans="1:15" ht="51" x14ac:dyDescent="0.2">
      <c r="A7300" s="197" t="str">
        <f t="shared" si="114"/>
        <v>RebCode_iKuanTao</v>
      </c>
      <c r="B7300" s="409"/>
      <c r="C7300" s="416"/>
      <c r="D7300" s="198" t="s">
        <v>44735</v>
      </c>
      <c r="E7300" s="198">
        <v>52</v>
      </c>
      <c r="F7300" s="199" t="s">
        <v>44736</v>
      </c>
      <c r="G7300" s="1" t="s">
        <v>44737</v>
      </c>
      <c r="H7300" s="1" t="s">
        <v>44692</v>
      </c>
      <c r="I7300" s="351" t="s">
        <v>44738</v>
      </c>
      <c r="J7300" s="39">
        <v>113723</v>
      </c>
      <c r="K7300" s="36" t="str">
        <f>CONCATENATE(Cover!$D$6,"fdd/view?i=",J7300)</f>
        <v>https://www.dgiwg.org/FAD/fdd/view?i=113723</v>
      </c>
      <c r="L7300" s="36" t="s">
        <v>44739</v>
      </c>
      <c r="M7300" s="186"/>
      <c r="N7300" s="186"/>
      <c r="O7300" s="172"/>
    </row>
    <row r="7301" spans="1:15" ht="38.25" x14ac:dyDescent="0.2">
      <c r="A7301" s="197" t="str">
        <f t="shared" si="114"/>
        <v>RebCode_indigenousNewMove</v>
      </c>
      <c r="B7301" s="409"/>
      <c r="C7301" s="416"/>
      <c r="D7301" s="198" t="s">
        <v>44740</v>
      </c>
      <c r="E7301" s="198">
        <v>34</v>
      </c>
      <c r="F7301" s="199" t="s">
        <v>44741</v>
      </c>
      <c r="G7301" s="1" t="s">
        <v>44742</v>
      </c>
      <c r="H7301" s="1" t="s">
        <v>44656</v>
      </c>
      <c r="I7301" s="346"/>
      <c r="J7301" s="39">
        <v>113705</v>
      </c>
      <c r="K7301" s="36" t="str">
        <f>CONCATENATE(Cover!$D$6,"fdd/view?i=",J7301)</f>
        <v>https://www.dgiwg.org/FAD/fdd/view?i=113705</v>
      </c>
      <c r="L7301" s="36" t="s">
        <v>44743</v>
      </c>
      <c r="M7301" s="186"/>
      <c r="N7301" s="186"/>
      <c r="O7301" s="172"/>
    </row>
    <row r="7302" spans="1:15" ht="38.25" x14ac:dyDescent="0.2">
      <c r="A7302" s="197" t="str">
        <f t="shared" si="114"/>
        <v>RebCode_indonesianOrientedNewMove</v>
      </c>
      <c r="B7302" s="409"/>
      <c r="C7302" s="416"/>
      <c r="D7302" s="198" t="s">
        <v>44744</v>
      </c>
      <c r="E7302" s="198">
        <v>22</v>
      </c>
      <c r="F7302" s="199" t="s">
        <v>44745</v>
      </c>
      <c r="G7302" s="1" t="s">
        <v>44746</v>
      </c>
      <c r="H7302" s="1" t="s">
        <v>44656</v>
      </c>
      <c r="I7302" s="346"/>
      <c r="J7302" s="39">
        <v>113693</v>
      </c>
      <c r="K7302" s="36" t="str">
        <f>CONCATENATE(Cover!$D$6,"fdd/view?i=",J7302)</f>
        <v>https://www.dgiwg.org/FAD/fdd/view?i=113693</v>
      </c>
      <c r="L7302" s="36" t="s">
        <v>44747</v>
      </c>
      <c r="M7302" s="186"/>
      <c r="N7302" s="186"/>
      <c r="O7302" s="172"/>
    </row>
    <row r="7303" spans="1:15" ht="25.5" x14ac:dyDescent="0.2">
      <c r="A7303" s="197" t="str">
        <f t="shared" si="114"/>
        <v>RebCode_islam</v>
      </c>
      <c r="B7303" s="409"/>
      <c r="C7303" s="416"/>
      <c r="D7303" s="198" t="s">
        <v>44748</v>
      </c>
      <c r="E7303" s="198">
        <v>5</v>
      </c>
      <c r="F7303" s="199" t="s">
        <v>44749</v>
      </c>
      <c r="G7303" s="1" t="s">
        <v>44750</v>
      </c>
      <c r="H7303" s="1" t="s">
        <v>44671</v>
      </c>
      <c r="I7303" s="346"/>
      <c r="J7303" s="39">
        <v>113676</v>
      </c>
      <c r="K7303" s="36" t="str">
        <f>CONCATENATE(Cover!$D$6,"fdd/view?i=",J7303)</f>
        <v>https://www.dgiwg.org/FAD/fdd/view?i=113676</v>
      </c>
      <c r="L7303" s="36" t="s">
        <v>44751</v>
      </c>
      <c r="M7303" s="186"/>
      <c r="N7303" s="186"/>
      <c r="O7303" s="172"/>
    </row>
    <row r="7304" spans="1:15" ht="25.5" x14ac:dyDescent="0.2">
      <c r="A7304" s="197" t="str">
        <f t="shared" si="114"/>
        <v>RebCode_islamRootedNewMove</v>
      </c>
      <c r="B7304" s="409"/>
      <c r="C7304" s="416"/>
      <c r="D7304" s="198" t="s">
        <v>44752</v>
      </c>
      <c r="E7304" s="198">
        <v>35</v>
      </c>
      <c r="F7304" s="199" t="s">
        <v>44753</v>
      </c>
      <c r="G7304" s="1" t="s">
        <v>44754</v>
      </c>
      <c r="H7304" s="1" t="s">
        <v>44656</v>
      </c>
      <c r="I7304" s="346"/>
      <c r="J7304" s="39">
        <v>113706</v>
      </c>
      <c r="K7304" s="36" t="str">
        <f>CONCATENATE(Cover!$D$6,"fdd/view?i=",J7304)</f>
        <v>https://www.dgiwg.org/FAD/fdd/view?i=113706</v>
      </c>
      <c r="L7304" s="36" t="s">
        <v>44755</v>
      </c>
      <c r="M7304" s="186"/>
      <c r="N7304" s="186"/>
      <c r="O7304" s="172"/>
    </row>
    <row r="7305" spans="1:15" ht="38.25" x14ac:dyDescent="0.2">
      <c r="A7305" s="197" t="str">
        <f t="shared" si="114"/>
        <v>RebCode_jainism</v>
      </c>
      <c r="B7305" s="409"/>
      <c r="C7305" s="416"/>
      <c r="D7305" s="198" t="s">
        <v>44756</v>
      </c>
      <c r="E7305" s="198">
        <v>11</v>
      </c>
      <c r="F7305" s="199" t="s">
        <v>44757</v>
      </c>
      <c r="G7305" s="1" t="s">
        <v>44758</v>
      </c>
      <c r="H7305" s="1" t="s">
        <v>44666</v>
      </c>
      <c r="I7305" s="346"/>
      <c r="J7305" s="39">
        <v>113682</v>
      </c>
      <c r="K7305" s="36" t="str">
        <f>CONCATENATE(Cover!$D$6,"fdd/view?i=",J7305)</f>
        <v>https://www.dgiwg.org/FAD/fdd/view?i=113682</v>
      </c>
      <c r="L7305" s="36" t="s">
        <v>44759</v>
      </c>
      <c r="M7305" s="186"/>
      <c r="N7305" s="186"/>
      <c r="O7305" s="172"/>
    </row>
    <row r="7306" spans="1:15" ht="25.5" x14ac:dyDescent="0.2">
      <c r="A7306" s="197" t="str">
        <f t="shared" si="114"/>
        <v>RebCode_japaneseRootedNewMove</v>
      </c>
      <c r="B7306" s="409"/>
      <c r="C7306" s="416"/>
      <c r="D7306" s="198" t="s">
        <v>44760</v>
      </c>
      <c r="E7306" s="198">
        <v>23</v>
      </c>
      <c r="F7306" s="199" t="s">
        <v>44761</v>
      </c>
      <c r="G7306" s="1" t="s">
        <v>44762</v>
      </c>
      <c r="H7306" s="1" t="s">
        <v>44656</v>
      </c>
      <c r="I7306" s="346"/>
      <c r="J7306" s="39">
        <v>113694</v>
      </c>
      <c r="K7306" s="36" t="str">
        <f>CONCATENATE(Cover!$D$6,"fdd/view?i=",J7306)</f>
        <v>https://www.dgiwg.org/FAD/fdd/view?i=113694</v>
      </c>
      <c r="L7306" s="36" t="s">
        <v>44763</v>
      </c>
      <c r="M7306" s="186"/>
      <c r="N7306" s="186"/>
      <c r="O7306" s="172"/>
    </row>
    <row r="7307" spans="1:15" ht="51" x14ac:dyDescent="0.2">
      <c r="A7307" s="197" t="str">
        <f t="shared" si="114"/>
        <v>RebCode_judaism</v>
      </c>
      <c r="B7307" s="409"/>
      <c r="C7307" s="416"/>
      <c r="D7307" s="198" t="s">
        <v>44764</v>
      </c>
      <c r="E7307" s="198">
        <v>6</v>
      </c>
      <c r="F7307" s="199" t="s">
        <v>44765</v>
      </c>
      <c r="G7307" s="1" t="s">
        <v>44766</v>
      </c>
      <c r="H7307" s="1" t="s">
        <v>44671</v>
      </c>
      <c r="I7307" s="346"/>
      <c r="J7307" s="39">
        <v>113677</v>
      </c>
      <c r="K7307" s="36" t="str">
        <f>CONCATENATE(Cover!$D$6,"fdd/view?i=",J7307)</f>
        <v>https://www.dgiwg.org/FAD/fdd/view?i=113677</v>
      </c>
      <c r="L7307" s="36" t="s">
        <v>44767</v>
      </c>
      <c r="M7307" s="186"/>
      <c r="N7307" s="186"/>
      <c r="O7307" s="172"/>
    </row>
    <row r="7308" spans="1:15" ht="25.5" x14ac:dyDescent="0.2">
      <c r="A7308" s="197" t="str">
        <f t="shared" si="114"/>
        <v>RebCode_judaismOrientedNewMove</v>
      </c>
      <c r="B7308" s="409"/>
      <c r="C7308" s="416"/>
      <c r="D7308" s="198" t="s">
        <v>44768</v>
      </c>
      <c r="E7308" s="198">
        <v>36</v>
      </c>
      <c r="F7308" s="199" t="s">
        <v>44769</v>
      </c>
      <c r="G7308" s="1" t="s">
        <v>44770</v>
      </c>
      <c r="H7308" s="1" t="s">
        <v>44656</v>
      </c>
      <c r="I7308" s="346"/>
      <c r="J7308" s="39">
        <v>113707</v>
      </c>
      <c r="K7308" s="36" t="str">
        <f>CONCATENATE(Cover!$D$6,"fdd/view?i=",J7308)</f>
        <v>https://www.dgiwg.org/FAD/fdd/view?i=113707</v>
      </c>
      <c r="L7308" s="36" t="s">
        <v>44771</v>
      </c>
      <c r="M7308" s="186"/>
      <c r="N7308" s="186"/>
      <c r="O7308" s="172"/>
    </row>
    <row r="7309" spans="1:15" ht="25.5" x14ac:dyDescent="0.2">
      <c r="A7309" s="197" t="str">
        <f t="shared" si="114"/>
        <v>RebCode_koreanOrientedNewMove</v>
      </c>
      <c r="B7309" s="409"/>
      <c r="C7309" s="416"/>
      <c r="D7309" s="198" t="s">
        <v>44772</v>
      </c>
      <c r="E7309" s="198">
        <v>24</v>
      </c>
      <c r="F7309" s="199" t="s">
        <v>44773</v>
      </c>
      <c r="G7309" s="1" t="s">
        <v>44774</v>
      </c>
      <c r="H7309" s="1" t="s">
        <v>44656</v>
      </c>
      <c r="I7309" s="346"/>
      <c r="J7309" s="39">
        <v>113695</v>
      </c>
      <c r="K7309" s="36" t="str">
        <f>CONCATENATE(Cover!$D$6,"fdd/view?i=",J7309)</f>
        <v>https://www.dgiwg.org/FAD/fdd/view?i=113695</v>
      </c>
      <c r="L7309" s="36" t="s">
        <v>44775</v>
      </c>
      <c r="M7309" s="186"/>
      <c r="N7309" s="186"/>
      <c r="O7309" s="172"/>
    </row>
    <row r="7310" spans="1:15" ht="38.25" x14ac:dyDescent="0.2">
      <c r="A7310" s="197" t="str">
        <f t="shared" si="114"/>
        <v>RebCode_magic</v>
      </c>
      <c r="B7310" s="409"/>
      <c r="C7310" s="416"/>
      <c r="D7310" s="198" t="s">
        <v>44776</v>
      </c>
      <c r="E7310" s="198">
        <v>39</v>
      </c>
      <c r="F7310" s="199" t="s">
        <v>44777</v>
      </c>
      <c r="G7310" s="1" t="s">
        <v>44778</v>
      </c>
      <c r="H7310" s="1" t="s">
        <v>44717</v>
      </c>
      <c r="I7310" s="346"/>
      <c r="J7310" s="39">
        <v>113710</v>
      </c>
      <c r="K7310" s="36" t="str">
        <f>CONCATENATE(Cover!$D$6,"fdd/view?i=",J7310)</f>
        <v>https://www.dgiwg.org/FAD/fdd/view?i=113710</v>
      </c>
      <c r="L7310" s="36" t="s">
        <v>44779</v>
      </c>
      <c r="M7310" s="186"/>
      <c r="N7310" s="186"/>
      <c r="O7310" s="172"/>
    </row>
    <row r="7311" spans="1:15" ht="38.25" x14ac:dyDescent="0.2">
      <c r="A7311" s="197" t="str">
        <f t="shared" si="114"/>
        <v>RebCode_malaysianOrientedNewMove</v>
      </c>
      <c r="B7311" s="409"/>
      <c r="C7311" s="416"/>
      <c r="D7311" s="198" t="s">
        <v>44780</v>
      </c>
      <c r="E7311" s="198">
        <v>25</v>
      </c>
      <c r="F7311" s="199" t="s">
        <v>44781</v>
      </c>
      <c r="G7311" s="1" t="s">
        <v>44782</v>
      </c>
      <c r="H7311" s="1" t="s">
        <v>44656</v>
      </c>
      <c r="I7311" s="346"/>
      <c r="J7311" s="39">
        <v>113696</v>
      </c>
      <c r="K7311" s="36" t="str">
        <f>CONCATENATE(Cover!$D$6,"fdd/view?i=",J7311)</f>
        <v>https://www.dgiwg.org/FAD/fdd/view?i=113696</v>
      </c>
      <c r="L7311" s="36" t="s">
        <v>44783</v>
      </c>
      <c r="M7311" s="186"/>
      <c r="N7311" s="186"/>
      <c r="O7311" s="172"/>
    </row>
    <row r="7312" spans="1:15" ht="38.25" x14ac:dyDescent="0.2">
      <c r="A7312" s="197" t="str">
        <f t="shared" si="114"/>
        <v>RebCode_manichaeism</v>
      </c>
      <c r="B7312" s="409"/>
      <c r="C7312" s="416"/>
      <c r="D7312" s="198" t="s">
        <v>44784</v>
      </c>
      <c r="E7312" s="198">
        <v>45</v>
      </c>
      <c r="F7312" s="199" t="s">
        <v>44785</v>
      </c>
      <c r="G7312" s="1" t="s">
        <v>44786</v>
      </c>
      <c r="H7312" s="1" t="s">
        <v>44661</v>
      </c>
      <c r="I7312" s="346"/>
      <c r="J7312" s="39">
        <v>113716</v>
      </c>
      <c r="K7312" s="36" t="str">
        <f>CONCATENATE(Cover!$D$6,"fdd/view?i=",J7312)</f>
        <v>https://www.dgiwg.org/FAD/fdd/view?i=113716</v>
      </c>
      <c r="L7312" s="36" t="s">
        <v>44787</v>
      </c>
      <c r="M7312" s="186"/>
      <c r="N7312" s="186"/>
      <c r="O7312" s="172"/>
    </row>
    <row r="7313" spans="1:15" ht="38.25" x14ac:dyDescent="0.2">
      <c r="A7313" s="197" t="str">
        <f t="shared" si="114"/>
        <v>RebCode_mithraism</v>
      </c>
      <c r="B7313" s="409"/>
      <c r="C7313" s="416"/>
      <c r="D7313" s="198" t="s">
        <v>44788</v>
      </c>
      <c r="E7313" s="198">
        <v>46</v>
      </c>
      <c r="F7313" s="199" t="s">
        <v>44789</v>
      </c>
      <c r="G7313" s="1" t="s">
        <v>44790</v>
      </c>
      <c r="H7313" s="1" t="s">
        <v>44661</v>
      </c>
      <c r="I7313" s="346"/>
      <c r="J7313" s="39">
        <v>113717</v>
      </c>
      <c r="K7313" s="36" t="str">
        <f>CONCATENATE(Cover!$D$6,"fdd/view?i=",J7313)</f>
        <v>https://www.dgiwg.org/FAD/fdd/view?i=113717</v>
      </c>
      <c r="L7313" s="36" t="s">
        <v>44791</v>
      </c>
      <c r="M7313" s="186"/>
      <c r="N7313" s="186"/>
      <c r="O7313" s="172"/>
    </row>
    <row r="7314" spans="1:15" ht="25.5" x14ac:dyDescent="0.2">
      <c r="A7314" s="197" t="str">
        <f t="shared" si="114"/>
        <v>RebCode_monotheisticNewMove</v>
      </c>
      <c r="B7314" s="409"/>
      <c r="C7314" s="416"/>
      <c r="D7314" s="198" t="s">
        <v>44792</v>
      </c>
      <c r="E7314" s="198">
        <v>37</v>
      </c>
      <c r="F7314" s="199" t="s">
        <v>44793</v>
      </c>
      <c r="G7314" s="1" t="s">
        <v>44794</v>
      </c>
      <c r="H7314" s="1" t="s">
        <v>44656</v>
      </c>
      <c r="I7314" s="346"/>
      <c r="J7314" s="39">
        <v>113708</v>
      </c>
      <c r="K7314" s="36" t="str">
        <f>CONCATENATE(Cover!$D$6,"fdd/view?i=",J7314)</f>
        <v>https://www.dgiwg.org/FAD/fdd/view?i=113708</v>
      </c>
      <c r="L7314" s="36" t="s">
        <v>44795</v>
      </c>
      <c r="M7314" s="186"/>
      <c r="N7314" s="186"/>
      <c r="O7314" s="172"/>
    </row>
    <row r="7315" spans="1:15" ht="38.25" x14ac:dyDescent="0.2">
      <c r="A7315" s="197" t="str">
        <f t="shared" si="114"/>
        <v>RebCode_mysticism</v>
      </c>
      <c r="B7315" s="409"/>
      <c r="C7315" s="416"/>
      <c r="D7315" s="198" t="s">
        <v>44796</v>
      </c>
      <c r="E7315" s="198">
        <v>40</v>
      </c>
      <c r="F7315" s="199" t="s">
        <v>44797</v>
      </c>
      <c r="G7315" s="1" t="s">
        <v>44798</v>
      </c>
      <c r="H7315" s="1" t="s">
        <v>44717</v>
      </c>
      <c r="I7315" s="346"/>
      <c r="J7315" s="39">
        <v>113711</v>
      </c>
      <c r="K7315" s="36" t="str">
        <f>CONCATENATE(Cover!$D$6,"fdd/view?i=",J7315)</f>
        <v>https://www.dgiwg.org/FAD/fdd/view?i=113711</v>
      </c>
      <c r="L7315" s="36" t="s">
        <v>44799</v>
      </c>
      <c r="M7315" s="186"/>
      <c r="N7315" s="186"/>
      <c r="O7315" s="172"/>
    </row>
    <row r="7316" spans="1:15" ht="38.25" x14ac:dyDescent="0.2">
      <c r="A7316" s="197" t="str">
        <f t="shared" si="114"/>
        <v>RebCode_nativeAmericanReligion</v>
      </c>
      <c r="B7316" s="409"/>
      <c r="C7316" s="416"/>
      <c r="D7316" s="198" t="s">
        <v>44800</v>
      </c>
      <c r="E7316" s="198">
        <v>14</v>
      </c>
      <c r="F7316" s="199" t="s">
        <v>44801</v>
      </c>
      <c r="G7316" s="1" t="s">
        <v>44802</v>
      </c>
      <c r="H7316" s="1" t="s">
        <v>44651</v>
      </c>
      <c r="I7316" s="346"/>
      <c r="J7316" s="39">
        <v>113685</v>
      </c>
      <c r="K7316" s="36" t="str">
        <f>CONCATENATE(Cover!$D$6,"fdd/view?i=",J7316)</f>
        <v>https://www.dgiwg.org/FAD/fdd/view?i=113685</v>
      </c>
      <c r="L7316" s="36" t="s">
        <v>44803</v>
      </c>
      <c r="M7316" s="186"/>
      <c r="N7316" s="186"/>
      <c r="O7316" s="172"/>
    </row>
    <row r="7317" spans="1:15" ht="25.5" x14ac:dyDescent="0.2">
      <c r="A7317" s="197" t="str">
        <f t="shared" si="114"/>
        <v>RebCode_nearEasternReligion</v>
      </c>
      <c r="B7317" s="409"/>
      <c r="C7317" s="416"/>
      <c r="D7317" s="198" t="s">
        <v>44804</v>
      </c>
      <c r="E7317" s="198">
        <v>15</v>
      </c>
      <c r="F7317" s="199" t="s">
        <v>44805</v>
      </c>
      <c r="G7317" s="1" t="s">
        <v>44806</v>
      </c>
      <c r="H7317" s="1" t="s">
        <v>44651</v>
      </c>
      <c r="I7317" s="346"/>
      <c r="J7317" s="39">
        <v>113686</v>
      </c>
      <c r="K7317" s="36" t="str">
        <f>CONCATENATE(Cover!$D$6,"fdd/view?i=",J7317)</f>
        <v>https://www.dgiwg.org/FAD/fdd/view?i=113686</v>
      </c>
      <c r="L7317" s="36" t="s">
        <v>44807</v>
      </c>
      <c r="M7317" s="186"/>
      <c r="N7317" s="186"/>
      <c r="O7317" s="172"/>
    </row>
    <row r="7318" spans="1:15" ht="25.5" x14ac:dyDescent="0.2">
      <c r="A7318" s="197" t="str">
        <f t="shared" si="114"/>
        <v>RebCode_nonTheisticSystem</v>
      </c>
      <c r="B7318" s="409"/>
      <c r="C7318" s="416"/>
      <c r="D7318" s="198" t="s">
        <v>44808</v>
      </c>
      <c r="E7318" s="198">
        <v>41</v>
      </c>
      <c r="F7318" s="199" t="s">
        <v>44809</v>
      </c>
      <c r="G7318" s="1" t="s">
        <v>44810</v>
      </c>
      <c r="H7318" s="1" t="s">
        <v>44717</v>
      </c>
      <c r="I7318" s="346"/>
      <c r="J7318" s="39">
        <v>113712</v>
      </c>
      <c r="K7318" s="36" t="str">
        <f>CONCATENATE(Cover!$D$6,"fdd/view?i=",J7318)</f>
        <v>https://www.dgiwg.org/FAD/fdd/view?i=113712</v>
      </c>
      <c r="L7318" s="36" t="s">
        <v>44811</v>
      </c>
      <c r="M7318" s="186"/>
      <c r="N7318" s="186"/>
      <c r="O7318" s="172"/>
    </row>
    <row r="7319" spans="1:15" ht="25.5" x14ac:dyDescent="0.2">
      <c r="A7319" s="197" t="str">
        <f t="shared" si="114"/>
        <v>RebCode_orgPromotingEcumenism</v>
      </c>
      <c r="B7319" s="409"/>
      <c r="C7319" s="416"/>
      <c r="D7319" s="198" t="s">
        <v>44812</v>
      </c>
      <c r="E7319" s="198">
        <v>42</v>
      </c>
      <c r="F7319" s="199" t="s">
        <v>44813</v>
      </c>
      <c r="G7319" s="1" t="s">
        <v>44814</v>
      </c>
      <c r="H7319" s="1" t="s">
        <v>44717</v>
      </c>
      <c r="I7319" s="346"/>
      <c r="J7319" s="39">
        <v>113713</v>
      </c>
      <c r="K7319" s="36" t="str">
        <f>CONCATENATE(Cover!$D$6,"fdd/view?i=",J7319)</f>
        <v>https://www.dgiwg.org/FAD/fdd/view?i=113713</v>
      </c>
      <c r="L7319" s="36" t="s">
        <v>44815</v>
      </c>
      <c r="M7319" s="186"/>
      <c r="N7319" s="186"/>
      <c r="O7319" s="172"/>
    </row>
    <row r="7320" spans="1:15" ht="25.5" x14ac:dyDescent="0.2">
      <c r="A7320" s="197" t="str">
        <f t="shared" si="114"/>
        <v>RebCode_pacificReligion</v>
      </c>
      <c r="B7320" s="409"/>
      <c r="C7320" s="416"/>
      <c r="D7320" s="198" t="s">
        <v>44816</v>
      </c>
      <c r="E7320" s="198">
        <v>16</v>
      </c>
      <c r="F7320" s="199" t="s">
        <v>44817</v>
      </c>
      <c r="G7320" s="1" t="s">
        <v>44818</v>
      </c>
      <c r="H7320" s="1" t="s">
        <v>44651</v>
      </c>
      <c r="I7320" s="346"/>
      <c r="J7320" s="39">
        <v>113687</v>
      </c>
      <c r="K7320" s="36" t="str">
        <f>CONCATENATE(Cover!$D$6,"fdd/view?i=",J7320)</f>
        <v>https://www.dgiwg.org/FAD/fdd/view?i=113687</v>
      </c>
      <c r="L7320" s="36" t="s">
        <v>44819</v>
      </c>
      <c r="M7320" s="186"/>
      <c r="N7320" s="186"/>
      <c r="O7320" s="172"/>
    </row>
    <row r="7321" spans="1:15" ht="38.25" x14ac:dyDescent="0.2">
      <c r="A7321" s="197" t="str">
        <f t="shared" si="114"/>
        <v>RebCode_protoIndoEuropeanReligion</v>
      </c>
      <c r="B7321" s="409"/>
      <c r="C7321" s="416"/>
      <c r="D7321" s="198" t="s">
        <v>44820</v>
      </c>
      <c r="E7321" s="198">
        <v>17</v>
      </c>
      <c r="F7321" s="199" t="s">
        <v>44821</v>
      </c>
      <c r="G7321" s="1" t="s">
        <v>44822</v>
      </c>
      <c r="H7321" s="1" t="s">
        <v>44651</v>
      </c>
      <c r="I7321" s="346"/>
      <c r="J7321" s="39">
        <v>113688</v>
      </c>
      <c r="K7321" s="36" t="str">
        <f>CONCATENATE(Cover!$D$6,"fdd/view?i=",J7321)</f>
        <v>https://www.dgiwg.org/FAD/fdd/view?i=113688</v>
      </c>
      <c r="L7321" s="36" t="s">
        <v>44823</v>
      </c>
      <c r="M7321" s="186"/>
      <c r="N7321" s="186"/>
      <c r="O7321" s="172"/>
    </row>
    <row r="7322" spans="1:15" ht="25.5" x14ac:dyDescent="0.2">
      <c r="A7322" s="197" t="str">
        <f t="shared" si="114"/>
        <v>RebCode_reconstructionistPagan</v>
      </c>
      <c r="B7322" s="409"/>
      <c r="C7322" s="416"/>
      <c r="D7322" s="198" t="s">
        <v>44824</v>
      </c>
      <c r="E7322" s="198">
        <v>18</v>
      </c>
      <c r="F7322" s="199" t="s">
        <v>44825</v>
      </c>
      <c r="G7322" s="1" t="s">
        <v>44826</v>
      </c>
      <c r="H7322" s="1" t="s">
        <v>44827</v>
      </c>
      <c r="I7322" s="346"/>
      <c r="J7322" s="39">
        <v>113689</v>
      </c>
      <c r="K7322" s="36" t="str">
        <f>CONCATENATE(Cover!$D$6,"fdd/view?i=",J7322)</f>
        <v>https://www.dgiwg.org/FAD/fdd/view?i=113689</v>
      </c>
      <c r="L7322" s="36" t="s">
        <v>44828</v>
      </c>
      <c r="M7322" s="186"/>
      <c r="N7322" s="186"/>
      <c r="O7322" s="172"/>
    </row>
    <row r="7323" spans="1:15" ht="51" x14ac:dyDescent="0.2">
      <c r="A7323" s="197" t="str">
        <f t="shared" si="114"/>
        <v>RebCode_samaritanism</v>
      </c>
      <c r="B7323" s="409"/>
      <c r="C7323" s="416"/>
      <c r="D7323" s="198" t="s">
        <v>44829</v>
      </c>
      <c r="E7323" s="198">
        <v>7</v>
      </c>
      <c r="F7323" s="199" t="s">
        <v>44830</v>
      </c>
      <c r="G7323" s="1" t="s">
        <v>44831</v>
      </c>
      <c r="H7323" s="1" t="s">
        <v>44671</v>
      </c>
      <c r="I7323" s="346"/>
      <c r="J7323" s="39">
        <v>113678</v>
      </c>
      <c r="K7323" s="36" t="str">
        <f>CONCATENATE(Cover!$D$6,"fdd/view?i=",J7323)</f>
        <v>https://www.dgiwg.org/FAD/fdd/view?i=113678</v>
      </c>
      <c r="L7323" s="36" t="s">
        <v>44832</v>
      </c>
      <c r="M7323" s="186"/>
      <c r="N7323" s="186"/>
      <c r="O7323" s="172"/>
    </row>
    <row r="7324" spans="1:15" ht="38.25" x14ac:dyDescent="0.2">
      <c r="A7324" s="197" t="str">
        <f t="shared" si="114"/>
        <v>RebCode_shinto</v>
      </c>
      <c r="B7324" s="409"/>
      <c r="C7324" s="416"/>
      <c r="D7324" s="198" t="s">
        <v>44833</v>
      </c>
      <c r="E7324" s="198">
        <v>53</v>
      </c>
      <c r="F7324" s="199" t="s">
        <v>44834</v>
      </c>
      <c r="G7324" s="1" t="s">
        <v>44835</v>
      </c>
      <c r="H7324" s="1" t="s">
        <v>44692</v>
      </c>
      <c r="I7324" s="346"/>
      <c r="J7324" s="39">
        <v>113724</v>
      </c>
      <c r="K7324" s="36" t="str">
        <f>CONCATENATE(Cover!$D$6,"fdd/view?i=",J7324)</f>
        <v>https://www.dgiwg.org/FAD/fdd/view?i=113724</v>
      </c>
      <c r="L7324" s="36" t="s">
        <v>44836</v>
      </c>
      <c r="M7324" s="186"/>
      <c r="N7324" s="186"/>
      <c r="O7324" s="172"/>
    </row>
    <row r="7325" spans="1:15" ht="63.75" x14ac:dyDescent="0.2">
      <c r="A7325" s="197" t="str">
        <f t="shared" si="114"/>
        <v>RebCode_sikhism</v>
      </c>
      <c r="B7325" s="409"/>
      <c r="C7325" s="416"/>
      <c r="D7325" s="198" t="s">
        <v>44837</v>
      </c>
      <c r="E7325" s="198">
        <v>12</v>
      </c>
      <c r="F7325" s="199" t="s">
        <v>44838</v>
      </c>
      <c r="G7325" s="1" t="s">
        <v>44839</v>
      </c>
      <c r="H7325" s="1" t="s">
        <v>44666</v>
      </c>
      <c r="I7325" s="346"/>
      <c r="J7325" s="39">
        <v>113683</v>
      </c>
      <c r="K7325" s="36" t="str">
        <f>CONCATENATE(Cover!$D$6,"fdd/view?i=",J7325)</f>
        <v>https://www.dgiwg.org/FAD/fdd/view?i=113683</v>
      </c>
      <c r="L7325" s="36" t="s">
        <v>44840</v>
      </c>
      <c r="M7325" s="186"/>
      <c r="N7325" s="186"/>
      <c r="O7325" s="172"/>
    </row>
    <row r="7326" spans="1:15" ht="51" x14ac:dyDescent="0.2">
      <c r="A7326" s="197" t="str">
        <f t="shared" si="114"/>
        <v>RebCode_syncreticEclecticPagan</v>
      </c>
      <c r="B7326" s="409"/>
      <c r="C7326" s="416"/>
      <c r="D7326" s="198" t="s">
        <v>44841</v>
      </c>
      <c r="E7326" s="198">
        <v>19</v>
      </c>
      <c r="F7326" s="199" t="s">
        <v>44842</v>
      </c>
      <c r="G7326" s="1" t="s">
        <v>44843</v>
      </c>
      <c r="H7326" s="1" t="s">
        <v>44827</v>
      </c>
      <c r="I7326" s="346"/>
      <c r="J7326" s="39">
        <v>113690</v>
      </c>
      <c r="K7326" s="36" t="str">
        <f>CONCATENATE(Cover!$D$6,"fdd/view?i=",J7326)</f>
        <v>https://www.dgiwg.org/FAD/fdd/view?i=113690</v>
      </c>
      <c r="L7326" s="36" t="s">
        <v>44844</v>
      </c>
      <c r="M7326" s="186"/>
      <c r="N7326" s="186"/>
      <c r="O7326" s="172"/>
    </row>
    <row r="7327" spans="1:15" ht="38.25" x14ac:dyDescent="0.2">
      <c r="A7327" s="197" t="str">
        <f t="shared" si="114"/>
        <v>RebCode_systemClaimAsNonReligion</v>
      </c>
      <c r="B7327" s="409"/>
      <c r="C7327" s="416"/>
      <c r="D7327" s="198" t="s">
        <v>44845</v>
      </c>
      <c r="E7327" s="198">
        <v>43</v>
      </c>
      <c r="F7327" s="199" t="s">
        <v>44846</v>
      </c>
      <c r="G7327" s="1" t="s">
        <v>44847</v>
      </c>
      <c r="H7327" s="200"/>
      <c r="I7327" s="346"/>
      <c r="J7327" s="39">
        <v>113714</v>
      </c>
      <c r="K7327" s="36" t="str">
        <f>CONCATENATE(Cover!$D$6,"fdd/view?i=",J7327)</f>
        <v>https://www.dgiwg.org/FAD/fdd/view?i=113714</v>
      </c>
      <c r="L7327" s="36" t="s">
        <v>44848</v>
      </c>
      <c r="M7327" s="186"/>
      <c r="N7327" s="186"/>
      <c r="O7327" s="172"/>
    </row>
    <row r="7328" spans="1:15" ht="38.25" x14ac:dyDescent="0.2">
      <c r="A7328" s="197" t="str">
        <f t="shared" si="114"/>
        <v>RebCode_taoism</v>
      </c>
      <c r="B7328" s="409"/>
      <c r="C7328" s="416"/>
      <c r="D7328" s="198" t="s">
        <v>44849</v>
      </c>
      <c r="E7328" s="198">
        <v>54</v>
      </c>
      <c r="F7328" s="199" t="s">
        <v>44850</v>
      </c>
      <c r="G7328" s="1" t="s">
        <v>44851</v>
      </c>
      <c r="H7328" s="1" t="s">
        <v>44692</v>
      </c>
      <c r="I7328" s="346"/>
      <c r="J7328" s="39">
        <v>113725</v>
      </c>
      <c r="K7328" s="36" t="str">
        <f>CONCATENATE(Cover!$D$6,"fdd/view?i=",J7328)</f>
        <v>https://www.dgiwg.org/FAD/fdd/view?i=113725</v>
      </c>
      <c r="L7328" s="36" t="s">
        <v>44852</v>
      </c>
      <c r="M7328" s="186"/>
      <c r="N7328" s="186"/>
      <c r="O7328" s="172"/>
    </row>
    <row r="7329" spans="1:15" ht="38.25" x14ac:dyDescent="0.2">
      <c r="A7329" s="197" t="str">
        <f t="shared" si="114"/>
        <v>RebCode_vietnameseOrientedNewMove</v>
      </c>
      <c r="B7329" s="409"/>
      <c r="C7329" s="416"/>
      <c r="D7329" s="198" t="s">
        <v>44853</v>
      </c>
      <c r="E7329" s="198">
        <v>26</v>
      </c>
      <c r="F7329" s="199" t="s">
        <v>44854</v>
      </c>
      <c r="G7329" s="1" t="s">
        <v>44855</v>
      </c>
      <c r="H7329" s="1" t="s">
        <v>44656</v>
      </c>
      <c r="I7329" s="346"/>
      <c r="J7329" s="39">
        <v>113697</v>
      </c>
      <c r="K7329" s="36" t="str">
        <f>CONCATENATE(Cover!$D$6,"fdd/view?i=",J7329)</f>
        <v>https://www.dgiwg.org/FAD/fdd/view?i=113697</v>
      </c>
      <c r="L7329" s="36" t="s">
        <v>44856</v>
      </c>
      <c r="M7329" s="186"/>
      <c r="N7329" s="186"/>
      <c r="O7329" s="172"/>
    </row>
    <row r="7330" spans="1:15" ht="25.5" x14ac:dyDescent="0.2">
      <c r="A7330" s="197" t="str">
        <f t="shared" si="114"/>
        <v>RebCode_westernMagicalEsoteric</v>
      </c>
      <c r="B7330" s="409"/>
      <c r="C7330" s="416"/>
      <c r="D7330" s="198" t="s">
        <v>44857</v>
      </c>
      <c r="E7330" s="198">
        <v>27</v>
      </c>
      <c r="F7330" s="199" t="s">
        <v>44858</v>
      </c>
      <c r="G7330" s="1" t="s">
        <v>44859</v>
      </c>
      <c r="H7330" s="1" t="s">
        <v>44656</v>
      </c>
      <c r="I7330" s="346"/>
      <c r="J7330" s="39">
        <v>113698</v>
      </c>
      <c r="K7330" s="36" t="str">
        <f>CONCATENATE(Cover!$D$6,"fdd/view?i=",J7330)</f>
        <v>https://www.dgiwg.org/FAD/fdd/view?i=113698</v>
      </c>
      <c r="L7330" s="36" t="s">
        <v>44860</v>
      </c>
      <c r="M7330" s="186"/>
      <c r="N7330" s="186"/>
      <c r="O7330" s="172"/>
    </row>
    <row r="7331" spans="1:15" ht="25.5" x14ac:dyDescent="0.2">
      <c r="A7331" s="197" t="str">
        <f t="shared" si="114"/>
        <v>RebCode_whiteSupremacistReligion</v>
      </c>
      <c r="B7331" s="409"/>
      <c r="C7331" s="416"/>
      <c r="D7331" s="198" t="s">
        <v>44861</v>
      </c>
      <c r="E7331" s="198">
        <v>28</v>
      </c>
      <c r="F7331" s="199" t="s">
        <v>44862</v>
      </c>
      <c r="G7331" s="1" t="s">
        <v>44863</v>
      </c>
      <c r="H7331" s="1" t="s">
        <v>44656</v>
      </c>
      <c r="I7331" s="346"/>
      <c r="J7331" s="39">
        <v>113699</v>
      </c>
      <c r="K7331" s="36" t="str">
        <f>CONCATENATE(Cover!$D$6,"fdd/view?i=",J7331)</f>
        <v>https://www.dgiwg.org/FAD/fdd/view?i=113699</v>
      </c>
      <c r="L7331" s="36" t="s">
        <v>44864</v>
      </c>
      <c r="M7331" s="186"/>
      <c r="N7331" s="186"/>
      <c r="O7331" s="172"/>
    </row>
    <row r="7332" spans="1:15" ht="63.75" x14ac:dyDescent="0.2">
      <c r="A7332" s="197" t="str">
        <f t="shared" si="114"/>
        <v>RebCode_yazdanism</v>
      </c>
      <c r="B7332" s="409"/>
      <c r="C7332" s="416"/>
      <c r="D7332" s="198" t="s">
        <v>44865</v>
      </c>
      <c r="E7332" s="198">
        <v>47</v>
      </c>
      <c r="F7332" s="199" t="s">
        <v>44866</v>
      </c>
      <c r="G7332" s="1" t="s">
        <v>44867</v>
      </c>
      <c r="H7332" s="1" t="s">
        <v>44661</v>
      </c>
      <c r="I7332" s="346"/>
      <c r="J7332" s="39">
        <v>113718</v>
      </c>
      <c r="K7332" s="36" t="str">
        <f>CONCATENATE(Cover!$D$6,"fdd/view?i=",J7332)</f>
        <v>https://www.dgiwg.org/FAD/fdd/view?i=113718</v>
      </c>
      <c r="L7332" s="36" t="s">
        <v>44868</v>
      </c>
      <c r="M7332" s="186"/>
      <c r="N7332" s="186"/>
      <c r="O7332" s="172"/>
    </row>
    <row r="7333" spans="1:15" ht="38.25" x14ac:dyDescent="0.2">
      <c r="A7333" s="203" t="str">
        <f t="shared" si="114"/>
        <v>RebCode_zoroastrianism</v>
      </c>
      <c r="B7333" s="410"/>
      <c r="C7333" s="417"/>
      <c r="D7333" s="204" t="s">
        <v>44869</v>
      </c>
      <c r="E7333" s="204">
        <v>48</v>
      </c>
      <c r="F7333" s="205" t="s">
        <v>44870</v>
      </c>
      <c r="G7333" s="206" t="s">
        <v>44871</v>
      </c>
      <c r="H7333" s="206" t="s">
        <v>44661</v>
      </c>
      <c r="I7333" s="353" t="s">
        <v>44872</v>
      </c>
      <c r="J7333" s="39">
        <v>113719</v>
      </c>
      <c r="K7333" s="36" t="str">
        <f>CONCATENATE(Cover!$D$6,"fdd/view?i=",J7333)</f>
        <v>https://www.dgiwg.org/FAD/fdd/view?i=113719</v>
      </c>
      <c r="L7333" s="36" t="s">
        <v>44873</v>
      </c>
      <c r="M7333" s="186"/>
      <c r="N7333" s="186"/>
      <c r="O7333" s="172"/>
    </row>
    <row r="7334" spans="1:15" ht="38.25" x14ac:dyDescent="0.2">
      <c r="A7334" s="190" t="str">
        <f t="shared" si="114"/>
        <v>ReaCode_abrahamic</v>
      </c>
      <c r="B7334" s="414" t="str">
        <f>HYPERLINK("[#]Datatypes!A1284:L1284","ReaCode")</f>
        <v>ReaCode</v>
      </c>
      <c r="C7334" s="415" t="s">
        <v>15903</v>
      </c>
      <c r="D7334" s="221" t="s">
        <v>44874</v>
      </c>
      <c r="E7334" s="221">
        <v>1</v>
      </c>
      <c r="F7334" s="222" t="s">
        <v>44875</v>
      </c>
      <c r="G7334" s="223" t="s">
        <v>44876</v>
      </c>
      <c r="H7334" s="224"/>
      <c r="I7334" s="345"/>
      <c r="J7334" s="39">
        <v>113657</v>
      </c>
      <c r="K7334" s="36" t="str">
        <f>CONCATENATE(Cover!$D$6,"fdd/view?i=",J7334)</f>
        <v>https://www.dgiwg.org/FAD/fdd/view?i=113657</v>
      </c>
      <c r="L7334" s="36" t="s">
        <v>44877</v>
      </c>
      <c r="M7334" s="186"/>
      <c r="N7334" s="186"/>
      <c r="O7334" s="172"/>
    </row>
    <row r="7335" spans="1:15" ht="25.5" x14ac:dyDescent="0.2">
      <c r="A7335" s="197" t="str">
        <f t="shared" si="114"/>
        <v>ReaCode_africanDiasporic</v>
      </c>
      <c r="B7335" s="409"/>
      <c r="C7335" s="416"/>
      <c r="D7335" s="198" t="s">
        <v>44878</v>
      </c>
      <c r="E7335" s="198">
        <v>8</v>
      </c>
      <c r="F7335" s="199" t="s">
        <v>44879</v>
      </c>
      <c r="G7335" s="1" t="s">
        <v>44880</v>
      </c>
      <c r="H7335" s="200"/>
      <c r="I7335" s="346"/>
      <c r="J7335" s="39">
        <v>113664</v>
      </c>
      <c r="K7335" s="36" t="str">
        <f>CONCATENATE(Cover!$D$6,"fdd/view?i=",J7335)</f>
        <v>https://www.dgiwg.org/FAD/fdd/view?i=113664</v>
      </c>
      <c r="L7335" s="36" t="s">
        <v>44881</v>
      </c>
      <c r="M7335" s="186"/>
      <c r="N7335" s="186"/>
      <c r="O7335" s="172"/>
    </row>
    <row r="7336" spans="1:15" ht="25.5" x14ac:dyDescent="0.2">
      <c r="A7336" s="197" t="str">
        <f t="shared" si="114"/>
        <v>ReaCode_classicalMonotheism</v>
      </c>
      <c r="B7336" s="409"/>
      <c r="C7336" s="416"/>
      <c r="D7336" s="198" t="s">
        <v>44882</v>
      </c>
      <c r="E7336" s="198">
        <v>4</v>
      </c>
      <c r="F7336" s="199" t="s">
        <v>44883</v>
      </c>
      <c r="G7336" s="1" t="s">
        <v>44884</v>
      </c>
      <c r="H7336" s="200"/>
      <c r="I7336" s="346"/>
      <c r="J7336" s="39">
        <v>113660</v>
      </c>
      <c r="K7336" s="36" t="str">
        <f>CONCATENATE(Cover!$D$6,"fdd/view?i=",J7336)</f>
        <v>https://www.dgiwg.org/FAD/fdd/view?i=113660</v>
      </c>
      <c r="L7336" s="36" t="s">
        <v>44885</v>
      </c>
      <c r="M7336" s="186"/>
      <c r="N7336" s="186"/>
      <c r="O7336" s="172"/>
    </row>
    <row r="7337" spans="1:15" ht="25.5" x14ac:dyDescent="0.2">
      <c r="A7337" s="197" t="str">
        <f t="shared" si="114"/>
        <v>ReaCode_dharmic</v>
      </c>
      <c r="B7337" s="409"/>
      <c r="C7337" s="416"/>
      <c r="D7337" s="198" t="s">
        <v>44886</v>
      </c>
      <c r="E7337" s="198">
        <v>2</v>
      </c>
      <c r="F7337" s="199" t="s">
        <v>44887</v>
      </c>
      <c r="G7337" s="1" t="s">
        <v>44888</v>
      </c>
      <c r="H7337" s="200"/>
      <c r="I7337" s="346"/>
      <c r="J7337" s="39">
        <v>113658</v>
      </c>
      <c r="K7337" s="36" t="str">
        <f>CONCATENATE(Cover!$D$6,"fdd/view?i=",J7337)</f>
        <v>https://www.dgiwg.org/FAD/fdd/view?i=113658</v>
      </c>
      <c r="L7337" s="36" t="s">
        <v>44889</v>
      </c>
      <c r="M7337" s="186"/>
      <c r="N7337" s="186"/>
      <c r="O7337" s="172"/>
    </row>
    <row r="7338" spans="1:15" x14ac:dyDescent="0.2">
      <c r="A7338" s="197" t="str">
        <f t="shared" si="114"/>
        <v>ReaCode_entheogen</v>
      </c>
      <c r="B7338" s="409"/>
      <c r="C7338" s="416"/>
      <c r="D7338" s="198" t="s">
        <v>44890</v>
      </c>
      <c r="E7338" s="198">
        <v>11</v>
      </c>
      <c r="F7338" s="199" t="s">
        <v>44891</v>
      </c>
      <c r="G7338" s="1" t="s">
        <v>44892</v>
      </c>
      <c r="H7338" s="200"/>
      <c r="I7338" s="346"/>
      <c r="J7338" s="39">
        <v>113667</v>
      </c>
      <c r="K7338" s="36" t="str">
        <f>CONCATENATE(Cover!$D$6,"fdd/view?i=",J7338)</f>
        <v>https://www.dgiwg.org/FAD/fdd/view?i=113667</v>
      </c>
      <c r="L7338" s="36" t="s">
        <v>44893</v>
      </c>
      <c r="M7338" s="186"/>
      <c r="N7338" s="186"/>
      <c r="O7338" s="172"/>
    </row>
    <row r="7339" spans="1:15" ht="25.5" x14ac:dyDescent="0.2">
      <c r="A7339" s="197" t="str">
        <f t="shared" si="114"/>
        <v>ReaCode_indigenous</v>
      </c>
      <c r="B7339" s="409"/>
      <c r="C7339" s="416"/>
      <c r="D7339" s="198" t="s">
        <v>44894</v>
      </c>
      <c r="E7339" s="198">
        <v>5</v>
      </c>
      <c r="F7339" s="199" t="s">
        <v>44895</v>
      </c>
      <c r="G7339" s="1" t="s">
        <v>44896</v>
      </c>
      <c r="H7339" s="200"/>
      <c r="I7339" s="346"/>
      <c r="J7339" s="39">
        <v>113661</v>
      </c>
      <c r="K7339" s="36" t="str">
        <f>CONCATENATE(Cover!$D$6,"fdd/view?i=",J7339)</f>
        <v>https://www.dgiwg.org/FAD/fdd/view?i=113661</v>
      </c>
      <c r="L7339" s="36" t="s">
        <v>44897</v>
      </c>
      <c r="M7339" s="186"/>
      <c r="N7339" s="186"/>
      <c r="O7339" s="172"/>
    </row>
    <row r="7340" spans="1:15" ht="25.5" x14ac:dyDescent="0.2">
      <c r="A7340" s="197" t="str">
        <f t="shared" si="114"/>
        <v>ReaCode_leftHandPath</v>
      </c>
      <c r="B7340" s="409"/>
      <c r="C7340" s="416"/>
      <c r="D7340" s="198" t="s">
        <v>44898</v>
      </c>
      <c r="E7340" s="198">
        <v>7</v>
      </c>
      <c r="F7340" s="199" t="s">
        <v>44899</v>
      </c>
      <c r="G7340" s="1" t="s">
        <v>44900</v>
      </c>
      <c r="H7340" s="200"/>
      <c r="I7340" s="346"/>
      <c r="J7340" s="39">
        <v>113663</v>
      </c>
      <c r="K7340" s="36" t="str">
        <f>CONCATENATE(Cover!$D$6,"fdd/view?i=",J7340)</f>
        <v>https://www.dgiwg.org/FAD/fdd/view?i=113663</v>
      </c>
      <c r="L7340" s="36" t="s">
        <v>44901</v>
      </c>
      <c r="M7340" s="186"/>
      <c r="N7340" s="186"/>
      <c r="O7340" s="172"/>
    </row>
    <row r="7341" spans="1:15" x14ac:dyDescent="0.2">
      <c r="A7341" s="197" t="str">
        <f t="shared" si="114"/>
        <v>ReaCode_mock</v>
      </c>
      <c r="B7341" s="409"/>
      <c r="C7341" s="416"/>
      <c r="D7341" s="198" t="s">
        <v>44902</v>
      </c>
      <c r="E7341" s="198">
        <v>13</v>
      </c>
      <c r="F7341" s="199" t="s">
        <v>44903</v>
      </c>
      <c r="G7341" s="1" t="s">
        <v>44904</v>
      </c>
      <c r="H7341" s="200"/>
      <c r="I7341" s="351" t="s">
        <v>44905</v>
      </c>
      <c r="J7341" s="39">
        <v>113669</v>
      </c>
      <c r="K7341" s="36" t="str">
        <f>CONCATENATE(Cover!$D$6,"fdd/view?i=",J7341)</f>
        <v>https://www.dgiwg.org/FAD/fdd/view?i=113669</v>
      </c>
      <c r="L7341" s="36" t="s">
        <v>44906</v>
      </c>
      <c r="M7341" s="186"/>
      <c r="N7341" s="186"/>
      <c r="O7341" s="172"/>
    </row>
    <row r="7342" spans="1:15" ht="25.5" x14ac:dyDescent="0.2">
      <c r="A7342" s="197" t="str">
        <f t="shared" si="114"/>
        <v>ReaCode_neopagan</v>
      </c>
      <c r="B7342" s="409"/>
      <c r="C7342" s="416"/>
      <c r="D7342" s="198" t="s">
        <v>44907</v>
      </c>
      <c r="E7342" s="198">
        <v>6</v>
      </c>
      <c r="F7342" s="199" t="s">
        <v>44908</v>
      </c>
      <c r="G7342" s="1" t="s">
        <v>44909</v>
      </c>
      <c r="H7342" s="200"/>
      <c r="I7342" s="346"/>
      <c r="J7342" s="39">
        <v>113662</v>
      </c>
      <c r="K7342" s="36" t="str">
        <f>CONCATENATE(Cover!$D$6,"fdd/view?i=",J7342)</f>
        <v>https://www.dgiwg.org/FAD/fdd/view?i=113662</v>
      </c>
      <c r="L7342" s="36" t="s">
        <v>44910</v>
      </c>
      <c r="M7342" s="186"/>
      <c r="N7342" s="186"/>
      <c r="O7342" s="172"/>
    </row>
    <row r="7343" spans="1:15" ht="25.5" x14ac:dyDescent="0.2">
      <c r="A7343" s="197" t="str">
        <f t="shared" si="114"/>
        <v>ReaCode_newReligiousMovements</v>
      </c>
      <c r="B7343" s="409"/>
      <c r="C7343" s="416"/>
      <c r="D7343" s="198" t="s">
        <v>44911</v>
      </c>
      <c r="E7343" s="198">
        <v>12</v>
      </c>
      <c r="F7343" s="199" t="s">
        <v>44912</v>
      </c>
      <c r="G7343" s="1" t="s">
        <v>44913</v>
      </c>
      <c r="H7343" s="200"/>
      <c r="I7343" s="346"/>
      <c r="J7343" s="39">
        <v>113668</v>
      </c>
      <c r="K7343" s="36" t="str">
        <f>CONCATENATE(Cover!$D$6,"fdd/view?i=",J7343)</f>
        <v>https://www.dgiwg.org/FAD/fdd/view?i=113668</v>
      </c>
      <c r="L7343" s="36" t="s">
        <v>44914</v>
      </c>
      <c r="M7343" s="186"/>
      <c r="N7343" s="186"/>
      <c r="O7343" s="172"/>
    </row>
    <row r="7344" spans="1:15" x14ac:dyDescent="0.2">
      <c r="A7344" s="197" t="str">
        <f t="shared" si="114"/>
        <v>ReaCode_nonRevealed</v>
      </c>
      <c r="B7344" s="409"/>
      <c r="C7344" s="416"/>
      <c r="D7344" s="198" t="s">
        <v>44915</v>
      </c>
      <c r="E7344" s="198">
        <v>9</v>
      </c>
      <c r="F7344" s="199" t="s">
        <v>44916</v>
      </c>
      <c r="G7344" s="1" t="s">
        <v>44917</v>
      </c>
      <c r="H7344" s="200"/>
      <c r="I7344" s="346"/>
      <c r="J7344" s="39">
        <v>113665</v>
      </c>
      <c r="K7344" s="36" t="str">
        <f>CONCATENATE(Cover!$D$6,"fdd/view?i=",J7344)</f>
        <v>https://www.dgiwg.org/FAD/fdd/view?i=113665</v>
      </c>
      <c r="L7344" s="36" t="s">
        <v>44918</v>
      </c>
      <c r="M7344" s="186"/>
      <c r="N7344" s="186"/>
      <c r="O7344" s="172"/>
    </row>
    <row r="7345" spans="1:15" ht="25.5" x14ac:dyDescent="0.2">
      <c r="A7345" s="197" t="str">
        <f t="shared" si="114"/>
        <v>ReaCode_nonsectSpiritualPractices</v>
      </c>
      <c r="B7345" s="409"/>
      <c r="C7345" s="416"/>
      <c r="D7345" s="198" t="s">
        <v>44919</v>
      </c>
      <c r="E7345" s="198">
        <v>15</v>
      </c>
      <c r="F7345" s="199" t="s">
        <v>44920</v>
      </c>
      <c r="G7345" s="1" t="s">
        <v>44921</v>
      </c>
      <c r="H7345" s="200"/>
      <c r="I7345" s="346"/>
      <c r="J7345" s="39">
        <v>113671</v>
      </c>
      <c r="K7345" s="36" t="str">
        <f>CONCATENATE(Cover!$D$6,"fdd/view?i=",J7345)</f>
        <v>https://www.dgiwg.org/FAD/fdd/view?i=113671</v>
      </c>
      <c r="L7345" s="36" t="s">
        <v>44922</v>
      </c>
      <c r="M7345" s="186"/>
      <c r="N7345" s="186"/>
      <c r="O7345" s="172"/>
    </row>
    <row r="7346" spans="1:15" ht="25.5" x14ac:dyDescent="0.2">
      <c r="A7346" s="197" t="str">
        <f t="shared" si="114"/>
        <v>ReaCode_otherBeliefSystems</v>
      </c>
      <c r="B7346" s="409"/>
      <c r="C7346" s="416"/>
      <c r="D7346" s="198" t="s">
        <v>44923</v>
      </c>
      <c r="E7346" s="198">
        <v>14</v>
      </c>
      <c r="F7346" s="199" t="s">
        <v>44924</v>
      </c>
      <c r="G7346" s="1" t="s">
        <v>44925</v>
      </c>
      <c r="H7346" s="1" t="s">
        <v>44926</v>
      </c>
      <c r="I7346" s="346"/>
      <c r="J7346" s="39">
        <v>113670</v>
      </c>
      <c r="K7346" s="36" t="str">
        <f>CONCATENATE(Cover!$D$6,"fdd/view?i=",J7346)</f>
        <v>https://www.dgiwg.org/FAD/fdd/view?i=113670</v>
      </c>
      <c r="L7346" s="36" t="s">
        <v>44927</v>
      </c>
      <c r="M7346" s="186"/>
      <c r="N7346" s="186"/>
      <c r="O7346" s="172"/>
    </row>
    <row r="7347" spans="1:15" ht="25.5" x14ac:dyDescent="0.2">
      <c r="A7347" s="197" t="str">
        <f t="shared" si="114"/>
        <v>ReaCode_syncretic</v>
      </c>
      <c r="B7347" s="409"/>
      <c r="C7347" s="416"/>
      <c r="D7347" s="198" t="s">
        <v>44928</v>
      </c>
      <c r="E7347" s="198">
        <v>10</v>
      </c>
      <c r="F7347" s="199" t="s">
        <v>44929</v>
      </c>
      <c r="G7347" s="1" t="s">
        <v>44930</v>
      </c>
      <c r="H7347" s="200"/>
      <c r="I7347" s="346"/>
      <c r="J7347" s="39">
        <v>113666</v>
      </c>
      <c r="K7347" s="36" t="str">
        <f>CONCATENATE(Cover!$D$6,"fdd/view?i=",J7347)</f>
        <v>https://www.dgiwg.org/FAD/fdd/view?i=113666</v>
      </c>
      <c r="L7347" s="36" t="s">
        <v>44931</v>
      </c>
      <c r="M7347" s="186"/>
      <c r="N7347" s="186"/>
      <c r="O7347" s="172"/>
    </row>
    <row r="7348" spans="1:15" ht="51" x14ac:dyDescent="0.2">
      <c r="A7348" s="203" t="str">
        <f t="shared" si="114"/>
        <v>ReaCode_taoic</v>
      </c>
      <c r="B7348" s="410"/>
      <c r="C7348" s="417"/>
      <c r="D7348" s="204" t="s">
        <v>44932</v>
      </c>
      <c r="E7348" s="204">
        <v>3</v>
      </c>
      <c r="F7348" s="205" t="s">
        <v>44933</v>
      </c>
      <c r="G7348" s="206" t="s">
        <v>44934</v>
      </c>
      <c r="H7348" s="207"/>
      <c r="I7348" s="347"/>
      <c r="J7348" s="39">
        <v>113659</v>
      </c>
      <c r="K7348" s="36" t="str">
        <f>CONCATENATE(Cover!$D$6,"fdd/view?i=",J7348)</f>
        <v>https://www.dgiwg.org/FAD/fdd/view?i=113659</v>
      </c>
      <c r="L7348" s="36" t="s">
        <v>44935</v>
      </c>
      <c r="M7348" s="186"/>
      <c r="N7348" s="186"/>
      <c r="O7348" s="172"/>
    </row>
    <row r="7349" spans="1:15" ht="38.25" x14ac:dyDescent="0.2">
      <c r="A7349" s="190" t="str">
        <f t="shared" si="114"/>
        <v>RelCode_buddhism</v>
      </c>
      <c r="B7349" s="414" t="str">
        <f>HYPERLINK("[#]Datatypes!A1286:L1286","RelCode")</f>
        <v>RelCode</v>
      </c>
      <c r="C7349" s="415" t="s">
        <v>15905</v>
      </c>
      <c r="D7349" s="221" t="s">
        <v>44681</v>
      </c>
      <c r="E7349" s="221">
        <v>1</v>
      </c>
      <c r="F7349" s="222" t="s">
        <v>44682</v>
      </c>
      <c r="G7349" s="223" t="s">
        <v>44936</v>
      </c>
      <c r="H7349" s="224"/>
      <c r="I7349" s="345"/>
      <c r="J7349" s="39">
        <v>107129</v>
      </c>
      <c r="K7349" s="36" t="str">
        <f>CONCATENATE(Cover!$D$6,"fdd/view?i=",J7349)</f>
        <v>https://www.dgiwg.org/FAD/fdd/view?i=107129</v>
      </c>
      <c r="L7349" s="36" t="s">
        <v>44937</v>
      </c>
      <c r="M7349" s="186"/>
      <c r="N7349" s="186"/>
      <c r="O7349" s="172"/>
    </row>
    <row r="7350" spans="1:15" ht="38.25" x14ac:dyDescent="0.2">
      <c r="A7350" s="197" t="str">
        <f t="shared" si="114"/>
        <v>RelCode_chaldean</v>
      </c>
      <c r="B7350" s="409"/>
      <c r="C7350" s="416"/>
      <c r="D7350" s="198" t="s">
        <v>44938</v>
      </c>
      <c r="E7350" s="198">
        <v>13</v>
      </c>
      <c r="F7350" s="199" t="s">
        <v>44939</v>
      </c>
      <c r="G7350" s="1" t="s">
        <v>44940</v>
      </c>
      <c r="H7350" s="1" t="s">
        <v>44941</v>
      </c>
      <c r="I7350" s="346"/>
      <c r="J7350" s="39">
        <v>110323</v>
      </c>
      <c r="K7350" s="36" t="str">
        <f>CONCATENATE(Cover!$D$6,"fdd/view?i=",J7350)</f>
        <v>https://www.dgiwg.org/FAD/fdd/view?i=110323</v>
      </c>
      <c r="L7350" s="36" t="s">
        <v>44942</v>
      </c>
      <c r="M7350" s="186"/>
      <c r="N7350" s="186"/>
      <c r="O7350" s="172"/>
    </row>
    <row r="7351" spans="1:15" ht="25.5" x14ac:dyDescent="0.2">
      <c r="A7351" s="197" t="str">
        <f t="shared" si="114"/>
        <v>RelCode_christian</v>
      </c>
      <c r="B7351" s="409"/>
      <c r="C7351" s="416"/>
      <c r="D7351" s="198" t="s">
        <v>44943</v>
      </c>
      <c r="E7351" s="198">
        <v>4</v>
      </c>
      <c r="F7351" s="199" t="s">
        <v>44944</v>
      </c>
      <c r="G7351" s="1" t="s">
        <v>44945</v>
      </c>
      <c r="H7351" s="1" t="s">
        <v>44946</v>
      </c>
      <c r="I7351" s="346"/>
      <c r="J7351" s="39">
        <v>107132</v>
      </c>
      <c r="K7351" s="36" t="str">
        <f>CONCATENATE(Cover!$D$6,"fdd/view?i=",J7351)</f>
        <v>https://www.dgiwg.org/FAD/fdd/view?i=107132</v>
      </c>
      <c r="L7351" s="36" t="s">
        <v>44947</v>
      </c>
      <c r="M7351" s="186"/>
      <c r="N7351" s="186"/>
      <c r="O7351" s="172"/>
    </row>
    <row r="7352" spans="1:15" ht="51" x14ac:dyDescent="0.2">
      <c r="A7352" s="197" t="str">
        <f t="shared" si="114"/>
        <v>RelCode_hinduism</v>
      </c>
      <c r="B7352" s="409"/>
      <c r="C7352" s="416"/>
      <c r="D7352" s="198" t="s">
        <v>44727</v>
      </c>
      <c r="E7352" s="198">
        <v>9</v>
      </c>
      <c r="F7352" s="199" t="s">
        <v>44728</v>
      </c>
      <c r="G7352" s="1" t="s">
        <v>44948</v>
      </c>
      <c r="H7352" s="200"/>
      <c r="I7352" s="346"/>
      <c r="J7352" s="39">
        <v>110319</v>
      </c>
      <c r="K7352" s="36" t="str">
        <f>CONCATENATE(Cover!$D$6,"fdd/view?i=",J7352)</f>
        <v>https://www.dgiwg.org/FAD/fdd/view?i=110319</v>
      </c>
      <c r="L7352" s="36" t="s">
        <v>44949</v>
      </c>
      <c r="M7352" s="186"/>
      <c r="N7352" s="186"/>
      <c r="O7352" s="172"/>
    </row>
    <row r="7353" spans="1:15" x14ac:dyDescent="0.2">
      <c r="A7353" s="197" t="str">
        <f t="shared" si="114"/>
        <v>RelCode_islam</v>
      </c>
      <c r="B7353" s="409"/>
      <c r="C7353" s="416"/>
      <c r="D7353" s="198" t="s">
        <v>44748</v>
      </c>
      <c r="E7353" s="198">
        <v>2</v>
      </c>
      <c r="F7353" s="199" t="s">
        <v>44749</v>
      </c>
      <c r="G7353" s="1" t="s">
        <v>44950</v>
      </c>
      <c r="H7353" s="200"/>
      <c r="I7353" s="346"/>
      <c r="J7353" s="39">
        <v>107130</v>
      </c>
      <c r="K7353" s="36" t="str">
        <f>CONCATENATE(Cover!$D$6,"fdd/view?i=",J7353)</f>
        <v>https://www.dgiwg.org/FAD/fdd/view?i=107130</v>
      </c>
      <c r="L7353" s="36" t="s">
        <v>44951</v>
      </c>
      <c r="M7353" s="186"/>
      <c r="N7353" s="186"/>
      <c r="O7353" s="172"/>
    </row>
    <row r="7354" spans="1:15" ht="25.5" x14ac:dyDescent="0.2">
      <c r="A7354" s="197" t="str">
        <f t="shared" si="114"/>
        <v>RelCode_judaism</v>
      </c>
      <c r="B7354" s="409"/>
      <c r="C7354" s="416"/>
      <c r="D7354" s="198" t="s">
        <v>44764</v>
      </c>
      <c r="E7354" s="198">
        <v>5</v>
      </c>
      <c r="F7354" s="199" t="s">
        <v>44765</v>
      </c>
      <c r="G7354" s="1" t="s">
        <v>44952</v>
      </c>
      <c r="H7354" s="200"/>
      <c r="I7354" s="346"/>
      <c r="J7354" s="39">
        <v>107133</v>
      </c>
      <c r="K7354" s="36" t="str">
        <f>CONCATENATE(Cover!$D$6,"fdd/view?i=",J7354)</f>
        <v>https://www.dgiwg.org/FAD/fdd/view?i=107133</v>
      </c>
      <c r="L7354" s="36" t="s">
        <v>44953</v>
      </c>
      <c r="M7354" s="186"/>
      <c r="N7354" s="186"/>
      <c r="O7354" s="172"/>
    </row>
    <row r="7355" spans="1:15" ht="25.5" x14ac:dyDescent="0.2">
      <c r="A7355" s="197" t="str">
        <f t="shared" si="114"/>
        <v>RelCode_mixedNoDesignation</v>
      </c>
      <c r="B7355" s="409"/>
      <c r="C7355" s="416"/>
      <c r="D7355" s="198" t="s">
        <v>44954</v>
      </c>
      <c r="E7355" s="198">
        <v>14</v>
      </c>
      <c r="F7355" s="199" t="s">
        <v>44955</v>
      </c>
      <c r="G7355" s="1" t="s">
        <v>44956</v>
      </c>
      <c r="H7355" s="200"/>
      <c r="I7355" s="346"/>
      <c r="J7355" s="39">
        <v>208079</v>
      </c>
      <c r="K7355" s="36" t="str">
        <f>CONCATENATE(Cover!$D$6,"fdd/view?i=",J7355)</f>
        <v>https://www.dgiwg.org/FAD/fdd/view?i=208079</v>
      </c>
      <c r="L7355" s="36" t="s">
        <v>44957</v>
      </c>
      <c r="M7355" s="186"/>
      <c r="N7355" s="186"/>
      <c r="O7355" s="172"/>
    </row>
    <row r="7356" spans="1:15" ht="63.75" x14ac:dyDescent="0.2">
      <c r="A7356" s="197" t="str">
        <f t="shared" si="114"/>
        <v>RelCode_nestorian</v>
      </c>
      <c r="B7356" s="409"/>
      <c r="C7356" s="416"/>
      <c r="D7356" s="198" t="s">
        <v>44958</v>
      </c>
      <c r="E7356" s="198">
        <v>12</v>
      </c>
      <c r="F7356" s="199" t="s">
        <v>44959</v>
      </c>
      <c r="G7356" s="1" t="s">
        <v>44960</v>
      </c>
      <c r="H7356" s="1" t="s">
        <v>44961</v>
      </c>
      <c r="I7356" s="346"/>
      <c r="J7356" s="39">
        <v>110322</v>
      </c>
      <c r="K7356" s="36" t="str">
        <f>CONCATENATE(Cover!$D$6,"fdd/view?i=",J7356)</f>
        <v>https://www.dgiwg.org/FAD/fdd/view?i=110322</v>
      </c>
      <c r="L7356" s="36" t="s">
        <v>44962</v>
      </c>
      <c r="M7356" s="186"/>
      <c r="N7356" s="186"/>
      <c r="O7356" s="172"/>
    </row>
    <row r="7357" spans="1:15" ht="63.75" x14ac:dyDescent="0.2">
      <c r="A7357" s="197" t="str">
        <f t="shared" si="114"/>
        <v>RelCode_orthodox</v>
      </c>
      <c r="B7357" s="409"/>
      <c r="C7357" s="416"/>
      <c r="D7357" s="198" t="s">
        <v>44963</v>
      </c>
      <c r="E7357" s="198">
        <v>6</v>
      </c>
      <c r="F7357" s="199" t="s">
        <v>44964</v>
      </c>
      <c r="G7357" s="1" t="s">
        <v>44965</v>
      </c>
      <c r="H7357" s="200"/>
      <c r="I7357" s="346"/>
      <c r="J7357" s="39">
        <v>109902</v>
      </c>
      <c r="K7357" s="36" t="str">
        <f>CONCATENATE(Cover!$D$6,"fdd/view?i=",J7357)</f>
        <v>https://www.dgiwg.org/FAD/fdd/view?i=109902</v>
      </c>
      <c r="L7357" s="36" t="s">
        <v>44966</v>
      </c>
      <c r="M7357" s="186"/>
      <c r="N7357" s="186"/>
      <c r="O7357" s="172"/>
    </row>
    <row r="7358" spans="1:15" ht="76.5" x14ac:dyDescent="0.2">
      <c r="A7358" s="197" t="str">
        <f t="shared" si="114"/>
        <v>RelCode_protestant</v>
      </c>
      <c r="B7358" s="409"/>
      <c r="C7358" s="416"/>
      <c r="D7358" s="198" t="s">
        <v>44967</v>
      </c>
      <c r="E7358" s="198">
        <v>7</v>
      </c>
      <c r="F7358" s="199" t="s">
        <v>44968</v>
      </c>
      <c r="G7358" s="1" t="s">
        <v>44969</v>
      </c>
      <c r="H7358" s="200"/>
      <c r="I7358" s="346"/>
      <c r="J7358" s="39">
        <v>107135</v>
      </c>
      <c r="K7358" s="36" t="str">
        <f>CONCATENATE(Cover!$D$6,"fdd/view?i=",J7358)</f>
        <v>https://www.dgiwg.org/FAD/fdd/view?i=107135</v>
      </c>
      <c r="L7358" s="36" t="s">
        <v>44970</v>
      </c>
      <c r="M7358" s="186"/>
      <c r="N7358" s="186"/>
      <c r="O7358" s="172"/>
    </row>
    <row r="7359" spans="1:15" ht="25.5" x14ac:dyDescent="0.2">
      <c r="A7359" s="197" t="str">
        <f t="shared" si="114"/>
        <v>RelCode_romanCatholic</v>
      </c>
      <c r="B7359" s="409"/>
      <c r="C7359" s="416"/>
      <c r="D7359" s="198" t="s">
        <v>44971</v>
      </c>
      <c r="E7359" s="198">
        <v>3</v>
      </c>
      <c r="F7359" s="199" t="s">
        <v>44972</v>
      </c>
      <c r="G7359" s="1" t="s">
        <v>44973</v>
      </c>
      <c r="H7359" s="200"/>
      <c r="I7359" s="346"/>
      <c r="J7359" s="39">
        <v>107131</v>
      </c>
      <c r="K7359" s="36" t="str">
        <f>CONCATENATE(Cover!$D$6,"fdd/view?i=",J7359)</f>
        <v>https://www.dgiwg.org/FAD/fdd/view?i=107131</v>
      </c>
      <c r="L7359" s="36" t="s">
        <v>44974</v>
      </c>
      <c r="M7359" s="186"/>
      <c r="N7359" s="186"/>
      <c r="O7359" s="172"/>
    </row>
    <row r="7360" spans="1:15" ht="63.75" x14ac:dyDescent="0.2">
      <c r="A7360" s="197" t="str">
        <f t="shared" si="114"/>
        <v>RelCode_shia</v>
      </c>
      <c r="B7360" s="409"/>
      <c r="C7360" s="416"/>
      <c r="D7360" s="198" t="s">
        <v>44975</v>
      </c>
      <c r="E7360" s="198">
        <v>10</v>
      </c>
      <c r="F7360" s="199" t="s">
        <v>44976</v>
      </c>
      <c r="G7360" s="1" t="s">
        <v>44977</v>
      </c>
      <c r="H7360" s="200"/>
      <c r="I7360" s="346"/>
      <c r="J7360" s="39">
        <v>110320</v>
      </c>
      <c r="K7360" s="36" t="str">
        <f>CONCATENATE(Cover!$D$6,"fdd/view?i=",J7360)</f>
        <v>https://www.dgiwg.org/FAD/fdd/view?i=110320</v>
      </c>
      <c r="L7360" s="36" t="s">
        <v>44978</v>
      </c>
      <c r="M7360" s="186"/>
      <c r="N7360" s="186"/>
      <c r="O7360" s="172"/>
    </row>
    <row r="7361" spans="1:15" ht="38.25" x14ac:dyDescent="0.2">
      <c r="A7361" s="197" t="str">
        <f t="shared" si="114"/>
        <v>RelCode_shinto</v>
      </c>
      <c r="B7361" s="409"/>
      <c r="C7361" s="416"/>
      <c r="D7361" s="198" t="s">
        <v>44833</v>
      </c>
      <c r="E7361" s="198">
        <v>8</v>
      </c>
      <c r="F7361" s="199" t="s">
        <v>44834</v>
      </c>
      <c r="G7361" s="1" t="s">
        <v>44979</v>
      </c>
      <c r="H7361" s="1" t="s">
        <v>44980</v>
      </c>
      <c r="I7361" s="346"/>
      <c r="J7361" s="39">
        <v>107136</v>
      </c>
      <c r="K7361" s="36" t="str">
        <f>CONCATENATE(Cover!$D$6,"fdd/view?i=",J7361)</f>
        <v>https://www.dgiwg.org/FAD/fdd/view?i=107136</v>
      </c>
      <c r="L7361" s="36" t="s">
        <v>44981</v>
      </c>
      <c r="M7361" s="186"/>
      <c r="N7361" s="186"/>
      <c r="O7361" s="172"/>
    </row>
    <row r="7362" spans="1:15" ht="63.75" x14ac:dyDescent="0.2">
      <c r="A7362" s="197" t="str">
        <f t="shared" ref="A7362:A7425" si="115">HYPERLINK(K7362,L7362)</f>
        <v>RelCode_sunni</v>
      </c>
      <c r="B7362" s="409"/>
      <c r="C7362" s="416"/>
      <c r="D7362" s="198" t="s">
        <v>44982</v>
      </c>
      <c r="E7362" s="198">
        <v>11</v>
      </c>
      <c r="F7362" s="199" t="s">
        <v>44983</v>
      </c>
      <c r="G7362" s="1" t="s">
        <v>44984</v>
      </c>
      <c r="H7362" s="200"/>
      <c r="I7362" s="351" t="s">
        <v>44985</v>
      </c>
      <c r="J7362" s="39">
        <v>110321</v>
      </c>
      <c r="K7362" s="36" t="str">
        <f>CONCATENATE(Cover!$D$6,"fdd/view?i=",J7362)</f>
        <v>https://www.dgiwg.org/FAD/fdd/view?i=110321</v>
      </c>
      <c r="L7362" s="36" t="s">
        <v>44986</v>
      </c>
      <c r="M7362" s="186"/>
      <c r="N7362" s="186"/>
      <c r="O7362" s="172"/>
    </row>
    <row r="7363" spans="1:15" ht="38.25" x14ac:dyDescent="0.2">
      <c r="A7363" s="203" t="str">
        <f t="shared" si="115"/>
        <v>RelCode_tribalReligion</v>
      </c>
      <c r="B7363" s="410"/>
      <c r="C7363" s="417"/>
      <c r="D7363" s="204" t="s">
        <v>44987</v>
      </c>
      <c r="E7363" s="204">
        <v>15</v>
      </c>
      <c r="F7363" s="205" t="s">
        <v>44988</v>
      </c>
      <c r="G7363" s="206" t="s">
        <v>44989</v>
      </c>
      <c r="H7363" s="206" t="s">
        <v>44990</v>
      </c>
      <c r="I7363" s="353" t="s">
        <v>44991</v>
      </c>
      <c r="J7363" s="39">
        <v>114570</v>
      </c>
      <c r="K7363" s="36" t="str">
        <f>CONCATENATE(Cover!$D$6,"fdd/view?i=",J7363)</f>
        <v>https://www.dgiwg.org/FAD/fdd/view?i=114570</v>
      </c>
      <c r="L7363" s="36" t="s">
        <v>44992</v>
      </c>
      <c r="M7363" s="186"/>
      <c r="N7363" s="186"/>
      <c r="O7363" s="172"/>
    </row>
    <row r="7364" spans="1:15" ht="25.5" x14ac:dyDescent="0.2">
      <c r="A7364" s="190" t="str">
        <f t="shared" si="115"/>
        <v>RfaCode_burialSite</v>
      </c>
      <c r="B7364" s="414" t="str">
        <f>HYPERLINK("[#]Datatypes!A1288:L1288","RfaCode")</f>
        <v>RfaCode</v>
      </c>
      <c r="C7364" s="415" t="s">
        <v>15907</v>
      </c>
      <c r="D7364" s="221" t="s">
        <v>44993</v>
      </c>
      <c r="E7364" s="221">
        <v>23</v>
      </c>
      <c r="F7364" s="222" t="s">
        <v>44994</v>
      </c>
      <c r="G7364" s="223" t="s">
        <v>44995</v>
      </c>
      <c r="H7364" s="223" t="s">
        <v>44996</v>
      </c>
      <c r="I7364" s="345"/>
      <c r="J7364" s="39">
        <v>117959</v>
      </c>
      <c r="K7364" s="36" t="str">
        <f>CONCATENATE(Cover!$D$6,"fdd/view?i=",J7364)</f>
        <v>https://www.dgiwg.org/FAD/fdd/view?i=117959</v>
      </c>
      <c r="L7364" s="36" t="s">
        <v>44997</v>
      </c>
      <c r="M7364" s="186"/>
      <c r="N7364" s="186"/>
      <c r="O7364" s="172"/>
    </row>
    <row r="7365" spans="1:15" ht="51" x14ac:dyDescent="0.2">
      <c r="A7365" s="197" t="str">
        <f t="shared" si="115"/>
        <v>RfaCode_cathedral</v>
      </c>
      <c r="B7365" s="409"/>
      <c r="C7365" s="416"/>
      <c r="D7365" s="198" t="s">
        <v>34930</v>
      </c>
      <c r="E7365" s="198">
        <v>1</v>
      </c>
      <c r="F7365" s="199" t="s">
        <v>34931</v>
      </c>
      <c r="G7365" s="1" t="s">
        <v>44998</v>
      </c>
      <c r="H7365" s="1" t="s">
        <v>44999</v>
      </c>
      <c r="I7365" s="346"/>
      <c r="J7365" s="39">
        <v>112438</v>
      </c>
      <c r="K7365" s="36" t="str">
        <f>CONCATENATE(Cover!$D$6,"fdd/view?i=",J7365)</f>
        <v>https://www.dgiwg.org/FAD/fdd/view?i=112438</v>
      </c>
      <c r="L7365" s="36" t="s">
        <v>45000</v>
      </c>
      <c r="M7365" s="186"/>
      <c r="N7365" s="186"/>
      <c r="O7365" s="172"/>
    </row>
    <row r="7366" spans="1:15" ht="25.5" x14ac:dyDescent="0.2">
      <c r="A7366" s="197" t="str">
        <f t="shared" si="115"/>
        <v>RfaCode_cemeteryBuilding</v>
      </c>
      <c r="B7366" s="409"/>
      <c r="C7366" s="416"/>
      <c r="D7366" s="198" t="s">
        <v>45001</v>
      </c>
      <c r="E7366" s="198">
        <v>24</v>
      </c>
      <c r="F7366" s="199" t="s">
        <v>45002</v>
      </c>
      <c r="G7366" s="1" t="s">
        <v>45003</v>
      </c>
      <c r="H7366" s="1" t="s">
        <v>45004</v>
      </c>
      <c r="I7366" s="346"/>
      <c r="J7366" s="39">
        <v>118501</v>
      </c>
      <c r="K7366" s="36" t="str">
        <f>CONCATENATE(Cover!$D$6,"fdd/view?i=",J7366)</f>
        <v>https://www.dgiwg.org/FAD/fdd/view?i=118501</v>
      </c>
      <c r="L7366" s="36" t="s">
        <v>45005</v>
      </c>
      <c r="M7366" s="186"/>
      <c r="N7366" s="186"/>
      <c r="O7366" s="172"/>
    </row>
    <row r="7367" spans="1:15" ht="63.75" x14ac:dyDescent="0.2">
      <c r="A7367" s="197" t="str">
        <f t="shared" si="115"/>
        <v>RfaCode_chapel</v>
      </c>
      <c r="B7367" s="409"/>
      <c r="C7367" s="416"/>
      <c r="D7367" s="198" t="s">
        <v>34934</v>
      </c>
      <c r="E7367" s="198">
        <v>2</v>
      </c>
      <c r="F7367" s="199" t="s">
        <v>34935</v>
      </c>
      <c r="G7367" s="1" t="s">
        <v>45006</v>
      </c>
      <c r="H7367" s="1" t="s">
        <v>45007</v>
      </c>
      <c r="I7367" s="346"/>
      <c r="J7367" s="39">
        <v>112440</v>
      </c>
      <c r="K7367" s="36" t="str">
        <f>CONCATENATE(Cover!$D$6,"fdd/view?i=",J7367)</f>
        <v>https://www.dgiwg.org/FAD/fdd/view?i=112440</v>
      </c>
      <c r="L7367" s="36" t="s">
        <v>45008</v>
      </c>
      <c r="M7367" s="186"/>
      <c r="N7367" s="186"/>
      <c r="O7367" s="172"/>
    </row>
    <row r="7368" spans="1:15" x14ac:dyDescent="0.2">
      <c r="A7368" s="197" t="str">
        <f t="shared" si="115"/>
        <v>RfaCode_church</v>
      </c>
      <c r="B7368" s="409"/>
      <c r="C7368" s="416"/>
      <c r="D7368" s="198" t="s">
        <v>34938</v>
      </c>
      <c r="E7368" s="198">
        <v>3</v>
      </c>
      <c r="F7368" s="199" t="s">
        <v>34939</v>
      </c>
      <c r="G7368" s="1" t="s">
        <v>45009</v>
      </c>
      <c r="H7368" s="200"/>
      <c r="I7368" s="346"/>
      <c r="J7368" s="39">
        <v>112442</v>
      </c>
      <c r="K7368" s="36" t="str">
        <f>CONCATENATE(Cover!$D$6,"fdd/view?i=",J7368)</f>
        <v>https://www.dgiwg.org/FAD/fdd/view?i=112442</v>
      </c>
      <c r="L7368" s="36" t="s">
        <v>45010</v>
      </c>
      <c r="M7368" s="186"/>
      <c r="N7368" s="186"/>
      <c r="O7368" s="172"/>
    </row>
    <row r="7369" spans="1:15" ht="89.25" x14ac:dyDescent="0.2">
      <c r="A7369" s="197" t="str">
        <f t="shared" si="115"/>
        <v>RfaCode_convent</v>
      </c>
      <c r="B7369" s="409"/>
      <c r="C7369" s="416"/>
      <c r="D7369" s="198" t="s">
        <v>45011</v>
      </c>
      <c r="E7369" s="198">
        <v>18</v>
      </c>
      <c r="F7369" s="199" t="s">
        <v>45012</v>
      </c>
      <c r="G7369" s="1" t="s">
        <v>45013</v>
      </c>
      <c r="H7369" s="1" t="s">
        <v>45014</v>
      </c>
      <c r="I7369" s="346"/>
      <c r="J7369" s="39">
        <v>112468</v>
      </c>
      <c r="K7369" s="36" t="str">
        <f>CONCATENATE(Cover!$D$6,"fdd/view?i=",J7369)</f>
        <v>https://www.dgiwg.org/FAD/fdd/view?i=112468</v>
      </c>
      <c r="L7369" s="36" t="s">
        <v>45015</v>
      </c>
      <c r="M7369" s="186"/>
      <c r="N7369" s="186"/>
      <c r="O7369" s="172"/>
    </row>
    <row r="7370" spans="1:15" ht="51" x14ac:dyDescent="0.2">
      <c r="A7370" s="197" t="str">
        <f t="shared" si="115"/>
        <v>RfaCode_hermitage</v>
      </c>
      <c r="B7370" s="409"/>
      <c r="C7370" s="416"/>
      <c r="D7370" s="198" t="s">
        <v>45016</v>
      </c>
      <c r="E7370" s="198">
        <v>21</v>
      </c>
      <c r="F7370" s="199" t="s">
        <v>45017</v>
      </c>
      <c r="G7370" s="1" t="s">
        <v>45018</v>
      </c>
      <c r="H7370" s="1" t="s">
        <v>45019</v>
      </c>
      <c r="I7370" s="346"/>
      <c r="J7370" s="39">
        <v>112474</v>
      </c>
      <c r="K7370" s="36" t="str">
        <f>CONCATENATE(Cover!$D$6,"fdd/view?i=",J7370)</f>
        <v>https://www.dgiwg.org/FAD/fdd/view?i=112474</v>
      </c>
      <c r="L7370" s="36" t="s">
        <v>45020</v>
      </c>
      <c r="M7370" s="186"/>
      <c r="N7370" s="186"/>
      <c r="O7370" s="172"/>
    </row>
    <row r="7371" spans="1:15" ht="76.5" x14ac:dyDescent="0.2">
      <c r="A7371" s="197" t="str">
        <f t="shared" si="115"/>
        <v>RfaCode_marabout</v>
      </c>
      <c r="B7371" s="409"/>
      <c r="C7371" s="416"/>
      <c r="D7371" s="198" t="s">
        <v>34942</v>
      </c>
      <c r="E7371" s="198">
        <v>4</v>
      </c>
      <c r="F7371" s="199" t="s">
        <v>34943</v>
      </c>
      <c r="G7371" s="1" t="s">
        <v>45021</v>
      </c>
      <c r="H7371" s="1" t="s">
        <v>45022</v>
      </c>
      <c r="I7371" s="346"/>
      <c r="J7371" s="39">
        <v>112444</v>
      </c>
      <c r="K7371" s="36" t="str">
        <f>CONCATENATE(Cover!$D$6,"fdd/view?i=",J7371)</f>
        <v>https://www.dgiwg.org/FAD/fdd/view?i=112444</v>
      </c>
      <c r="L7371" s="36" t="s">
        <v>45023</v>
      </c>
      <c r="M7371" s="186"/>
      <c r="N7371" s="186"/>
      <c r="O7371" s="172"/>
    </row>
    <row r="7372" spans="1:15" ht="51" x14ac:dyDescent="0.2">
      <c r="A7372" s="197" t="str">
        <f t="shared" si="115"/>
        <v>RfaCode_minaret</v>
      </c>
      <c r="B7372" s="409"/>
      <c r="C7372" s="416"/>
      <c r="D7372" s="198" t="s">
        <v>24637</v>
      </c>
      <c r="E7372" s="198">
        <v>5</v>
      </c>
      <c r="F7372" s="199" t="s">
        <v>24638</v>
      </c>
      <c r="G7372" s="1" t="s">
        <v>45024</v>
      </c>
      <c r="H7372" s="1" t="s">
        <v>45025</v>
      </c>
      <c r="I7372" s="346"/>
      <c r="J7372" s="39">
        <v>112446</v>
      </c>
      <c r="K7372" s="36" t="str">
        <f>CONCATENATE(Cover!$D$6,"fdd/view?i=",J7372)</f>
        <v>https://www.dgiwg.org/FAD/fdd/view?i=112446</v>
      </c>
      <c r="L7372" s="36" t="s">
        <v>45026</v>
      </c>
      <c r="M7372" s="186"/>
      <c r="N7372" s="186"/>
      <c r="O7372" s="172"/>
    </row>
    <row r="7373" spans="1:15" ht="38.25" x14ac:dyDescent="0.2">
      <c r="A7373" s="197" t="str">
        <f t="shared" si="115"/>
        <v>RfaCode_mission</v>
      </c>
      <c r="B7373" s="409"/>
      <c r="C7373" s="416"/>
      <c r="D7373" s="198" t="s">
        <v>45027</v>
      </c>
      <c r="E7373" s="198">
        <v>6</v>
      </c>
      <c r="F7373" s="199" t="s">
        <v>45028</v>
      </c>
      <c r="G7373" s="1" t="s">
        <v>45029</v>
      </c>
      <c r="H7373" s="1" t="s">
        <v>45030</v>
      </c>
      <c r="I7373" s="351" t="s">
        <v>45031</v>
      </c>
      <c r="J7373" s="39">
        <v>112448</v>
      </c>
      <c r="K7373" s="36" t="str">
        <f>CONCATENATE(Cover!$D$6,"fdd/view?i=",J7373)</f>
        <v>https://www.dgiwg.org/FAD/fdd/view?i=112448</v>
      </c>
      <c r="L7373" s="36" t="s">
        <v>45032</v>
      </c>
      <c r="M7373" s="186"/>
      <c r="N7373" s="186"/>
      <c r="O7373" s="172"/>
    </row>
    <row r="7374" spans="1:15" ht="38.25" x14ac:dyDescent="0.2">
      <c r="A7374" s="197" t="str">
        <f t="shared" si="115"/>
        <v>RfaCode_monastery</v>
      </c>
      <c r="B7374" s="409"/>
      <c r="C7374" s="416"/>
      <c r="D7374" s="198" t="s">
        <v>45033</v>
      </c>
      <c r="E7374" s="198">
        <v>19</v>
      </c>
      <c r="F7374" s="199" t="s">
        <v>45034</v>
      </c>
      <c r="G7374" s="1" t="s">
        <v>45035</v>
      </c>
      <c r="H7374" s="1" t="s">
        <v>45036</v>
      </c>
      <c r="I7374" s="346"/>
      <c r="J7374" s="39">
        <v>112470</v>
      </c>
      <c r="K7374" s="36" t="str">
        <f>CONCATENATE(Cover!$D$6,"fdd/view?i=",J7374)</f>
        <v>https://www.dgiwg.org/FAD/fdd/view?i=112470</v>
      </c>
      <c r="L7374" s="36" t="s">
        <v>45037</v>
      </c>
      <c r="M7374" s="186"/>
      <c r="N7374" s="186"/>
      <c r="O7374" s="172"/>
    </row>
    <row r="7375" spans="1:15" x14ac:dyDescent="0.2">
      <c r="A7375" s="197" t="str">
        <f t="shared" si="115"/>
        <v>RfaCode_mosque</v>
      </c>
      <c r="B7375" s="409"/>
      <c r="C7375" s="416"/>
      <c r="D7375" s="198" t="s">
        <v>34948</v>
      </c>
      <c r="E7375" s="198">
        <v>7</v>
      </c>
      <c r="F7375" s="199" t="s">
        <v>34949</v>
      </c>
      <c r="G7375" s="1" t="s">
        <v>45038</v>
      </c>
      <c r="H7375" s="200"/>
      <c r="I7375" s="346"/>
      <c r="J7375" s="39">
        <v>112450</v>
      </c>
      <c r="K7375" s="36" t="str">
        <f>CONCATENATE(Cover!$D$6,"fdd/view?i=",J7375)</f>
        <v>https://www.dgiwg.org/FAD/fdd/view?i=112450</v>
      </c>
      <c r="L7375" s="36" t="s">
        <v>45039</v>
      </c>
      <c r="M7375" s="186"/>
      <c r="N7375" s="186"/>
      <c r="O7375" s="172"/>
    </row>
    <row r="7376" spans="1:15" ht="51" x14ac:dyDescent="0.2">
      <c r="A7376" s="197" t="str">
        <f t="shared" si="115"/>
        <v>RfaCode_noviciate</v>
      </c>
      <c r="B7376" s="409"/>
      <c r="C7376" s="416"/>
      <c r="D7376" s="198" t="s">
        <v>45040</v>
      </c>
      <c r="E7376" s="198">
        <v>20</v>
      </c>
      <c r="F7376" s="199" t="s">
        <v>45041</v>
      </c>
      <c r="G7376" s="1" t="s">
        <v>45042</v>
      </c>
      <c r="H7376" s="200"/>
      <c r="I7376" s="346"/>
      <c r="J7376" s="39">
        <v>112472</v>
      </c>
      <c r="K7376" s="36" t="str">
        <f>CONCATENATE(Cover!$D$6,"fdd/view?i=",J7376)</f>
        <v>https://www.dgiwg.org/FAD/fdd/view?i=112472</v>
      </c>
      <c r="L7376" s="36" t="s">
        <v>45043</v>
      </c>
      <c r="M7376" s="186"/>
      <c r="N7376" s="186"/>
      <c r="O7376" s="172"/>
    </row>
    <row r="7377" spans="1:15" ht="51" x14ac:dyDescent="0.2">
      <c r="A7377" s="197" t="str">
        <f t="shared" si="115"/>
        <v>RfaCode_pagoda</v>
      </c>
      <c r="B7377" s="409"/>
      <c r="C7377" s="416"/>
      <c r="D7377" s="198" t="s">
        <v>34953</v>
      </c>
      <c r="E7377" s="198">
        <v>8</v>
      </c>
      <c r="F7377" s="199" t="s">
        <v>34954</v>
      </c>
      <c r="G7377" s="1" t="s">
        <v>34955</v>
      </c>
      <c r="H7377" s="1" t="s">
        <v>45044</v>
      </c>
      <c r="I7377" s="346"/>
      <c r="J7377" s="39">
        <v>112452</v>
      </c>
      <c r="K7377" s="36" t="str">
        <f>CONCATENATE(Cover!$D$6,"fdd/view?i=",J7377)</f>
        <v>https://www.dgiwg.org/FAD/fdd/view?i=112452</v>
      </c>
      <c r="L7377" s="36" t="s">
        <v>45045</v>
      </c>
      <c r="M7377" s="186"/>
      <c r="N7377" s="186"/>
      <c r="O7377" s="172"/>
    </row>
    <row r="7378" spans="1:15" ht="25.5" x14ac:dyDescent="0.2">
      <c r="A7378" s="197" t="str">
        <f t="shared" si="115"/>
        <v>RfaCode_religiousCommunity</v>
      </c>
      <c r="B7378" s="409"/>
      <c r="C7378" s="416"/>
      <c r="D7378" s="198" t="s">
        <v>34957</v>
      </c>
      <c r="E7378" s="198">
        <v>9</v>
      </c>
      <c r="F7378" s="199" t="s">
        <v>34958</v>
      </c>
      <c r="G7378" s="1" t="s">
        <v>45046</v>
      </c>
      <c r="H7378" s="1" t="s">
        <v>34960</v>
      </c>
      <c r="I7378" s="346"/>
      <c r="J7378" s="39">
        <v>112454</v>
      </c>
      <c r="K7378" s="36" t="str">
        <f>CONCATENATE(Cover!$D$6,"fdd/view?i=",J7378)</f>
        <v>https://www.dgiwg.org/FAD/fdd/view?i=112454</v>
      </c>
      <c r="L7378" s="36" t="s">
        <v>45047</v>
      </c>
      <c r="M7378" s="186"/>
      <c r="N7378" s="186"/>
      <c r="O7378" s="172"/>
    </row>
    <row r="7379" spans="1:15" ht="51" x14ac:dyDescent="0.2">
      <c r="A7379" s="197" t="str">
        <f t="shared" si="115"/>
        <v>RfaCode_retreat</v>
      </c>
      <c r="B7379" s="409"/>
      <c r="C7379" s="416"/>
      <c r="D7379" s="198" t="s">
        <v>45048</v>
      </c>
      <c r="E7379" s="198">
        <v>22</v>
      </c>
      <c r="F7379" s="199" t="s">
        <v>45049</v>
      </c>
      <c r="G7379" s="1" t="s">
        <v>45050</v>
      </c>
      <c r="H7379" s="1" t="s">
        <v>45051</v>
      </c>
      <c r="I7379" s="346"/>
      <c r="J7379" s="39">
        <v>112476</v>
      </c>
      <c r="K7379" s="36" t="str">
        <f>CONCATENATE(Cover!$D$6,"fdd/view?i=",J7379)</f>
        <v>https://www.dgiwg.org/FAD/fdd/view?i=112476</v>
      </c>
      <c r="L7379" s="36" t="s">
        <v>45052</v>
      </c>
      <c r="M7379" s="186"/>
      <c r="N7379" s="186"/>
      <c r="O7379" s="172"/>
    </row>
    <row r="7380" spans="1:15" ht="63.75" x14ac:dyDescent="0.2">
      <c r="A7380" s="197" t="str">
        <f t="shared" si="115"/>
        <v>RfaCode_seminary</v>
      </c>
      <c r="B7380" s="409"/>
      <c r="C7380" s="416"/>
      <c r="D7380" s="198" t="s">
        <v>29215</v>
      </c>
      <c r="E7380" s="198">
        <v>10</v>
      </c>
      <c r="F7380" s="199" t="s">
        <v>29216</v>
      </c>
      <c r="G7380" s="1" t="s">
        <v>45053</v>
      </c>
      <c r="H7380" s="1" t="s">
        <v>45054</v>
      </c>
      <c r="I7380" s="351" t="s">
        <v>45055</v>
      </c>
      <c r="J7380" s="39">
        <v>112456</v>
      </c>
      <c r="K7380" s="36" t="str">
        <f>CONCATENATE(Cover!$D$6,"fdd/view?i=",J7380)</f>
        <v>https://www.dgiwg.org/FAD/fdd/view?i=112456</v>
      </c>
      <c r="L7380" s="36" t="s">
        <v>45056</v>
      </c>
      <c r="M7380" s="186"/>
      <c r="N7380" s="186"/>
      <c r="O7380" s="172"/>
    </row>
    <row r="7381" spans="1:15" ht="51" x14ac:dyDescent="0.2">
      <c r="A7381" s="197" t="str">
        <f t="shared" si="115"/>
        <v>RfaCode_shrine</v>
      </c>
      <c r="B7381" s="409"/>
      <c r="C7381" s="416"/>
      <c r="D7381" s="198" t="s">
        <v>34962</v>
      </c>
      <c r="E7381" s="198">
        <v>11</v>
      </c>
      <c r="F7381" s="199" t="s">
        <v>34963</v>
      </c>
      <c r="G7381" s="1" t="s">
        <v>45057</v>
      </c>
      <c r="H7381" s="1" t="s">
        <v>45058</v>
      </c>
      <c r="I7381" s="346"/>
      <c r="J7381" s="39">
        <v>112458</v>
      </c>
      <c r="K7381" s="36" t="str">
        <f>CONCATENATE(Cover!$D$6,"fdd/view?i=",J7381)</f>
        <v>https://www.dgiwg.org/FAD/fdd/view?i=112458</v>
      </c>
      <c r="L7381" s="36" t="s">
        <v>45059</v>
      </c>
      <c r="M7381" s="186"/>
      <c r="N7381" s="186"/>
      <c r="O7381" s="172"/>
    </row>
    <row r="7382" spans="1:15" ht="76.5" x14ac:dyDescent="0.2">
      <c r="A7382" s="197" t="str">
        <f t="shared" si="115"/>
        <v>RfaCode_stupa</v>
      </c>
      <c r="B7382" s="409"/>
      <c r="C7382" s="416"/>
      <c r="D7382" s="198" t="s">
        <v>34966</v>
      </c>
      <c r="E7382" s="198">
        <v>12</v>
      </c>
      <c r="F7382" s="199" t="s">
        <v>34967</v>
      </c>
      <c r="G7382" s="1" t="s">
        <v>34968</v>
      </c>
      <c r="H7382" s="1" t="s">
        <v>45060</v>
      </c>
      <c r="I7382" s="346"/>
      <c r="J7382" s="39">
        <v>112460</v>
      </c>
      <c r="K7382" s="36" t="str">
        <f>CONCATENATE(Cover!$D$6,"fdd/view?i=",J7382)</f>
        <v>https://www.dgiwg.org/FAD/fdd/view?i=112460</v>
      </c>
      <c r="L7382" s="36" t="s">
        <v>45061</v>
      </c>
      <c r="M7382" s="186"/>
      <c r="N7382" s="186"/>
      <c r="O7382" s="172"/>
    </row>
    <row r="7383" spans="1:15" ht="51" x14ac:dyDescent="0.2">
      <c r="A7383" s="197" t="str">
        <f t="shared" si="115"/>
        <v>RfaCode_synagogue</v>
      </c>
      <c r="B7383" s="409"/>
      <c r="C7383" s="416"/>
      <c r="D7383" s="198" t="s">
        <v>34970</v>
      </c>
      <c r="E7383" s="198">
        <v>13</v>
      </c>
      <c r="F7383" s="199" t="s">
        <v>34971</v>
      </c>
      <c r="G7383" s="1" t="s">
        <v>34972</v>
      </c>
      <c r="H7383" s="1" t="s">
        <v>45062</v>
      </c>
      <c r="I7383" s="346"/>
      <c r="J7383" s="39">
        <v>112462</v>
      </c>
      <c r="K7383" s="36" t="str">
        <f>CONCATENATE(Cover!$D$6,"fdd/view?i=",J7383)</f>
        <v>https://www.dgiwg.org/FAD/fdd/view?i=112462</v>
      </c>
      <c r="L7383" s="36" t="s">
        <v>45063</v>
      </c>
      <c r="M7383" s="186"/>
      <c r="N7383" s="186"/>
      <c r="O7383" s="172"/>
    </row>
    <row r="7384" spans="1:15" ht="102" x14ac:dyDescent="0.2">
      <c r="A7384" s="197" t="str">
        <f t="shared" si="115"/>
        <v>RfaCode_tabernacle</v>
      </c>
      <c r="B7384" s="409"/>
      <c r="C7384" s="416"/>
      <c r="D7384" s="198" t="s">
        <v>34974</v>
      </c>
      <c r="E7384" s="198">
        <v>14</v>
      </c>
      <c r="F7384" s="199" t="s">
        <v>34975</v>
      </c>
      <c r="G7384" s="1" t="s">
        <v>45064</v>
      </c>
      <c r="H7384" s="1" t="s">
        <v>45065</v>
      </c>
      <c r="I7384" s="346"/>
      <c r="J7384" s="39">
        <v>112464</v>
      </c>
      <c r="K7384" s="36" t="str">
        <f>CONCATENATE(Cover!$D$6,"fdd/view?i=",J7384)</f>
        <v>https://www.dgiwg.org/FAD/fdd/view?i=112464</v>
      </c>
      <c r="L7384" s="36" t="s">
        <v>45066</v>
      </c>
      <c r="M7384" s="186"/>
      <c r="N7384" s="186"/>
      <c r="O7384" s="172"/>
    </row>
    <row r="7385" spans="1:15" ht="51" x14ac:dyDescent="0.2">
      <c r="A7385" s="203" t="str">
        <f t="shared" si="115"/>
        <v>RfaCode_temple</v>
      </c>
      <c r="B7385" s="410"/>
      <c r="C7385" s="417"/>
      <c r="D7385" s="204" t="s">
        <v>34978</v>
      </c>
      <c r="E7385" s="204">
        <v>15</v>
      </c>
      <c r="F7385" s="205" t="s">
        <v>34979</v>
      </c>
      <c r="G7385" s="206" t="s">
        <v>45067</v>
      </c>
      <c r="H7385" s="206" t="s">
        <v>45068</v>
      </c>
      <c r="I7385" s="347"/>
      <c r="J7385" s="39">
        <v>112466</v>
      </c>
      <c r="K7385" s="36" t="str">
        <f>CONCATENATE(Cover!$D$6,"fdd/view?i=",J7385)</f>
        <v>https://www.dgiwg.org/FAD/fdd/view?i=112466</v>
      </c>
      <c r="L7385" s="36" t="s">
        <v>45069</v>
      </c>
      <c r="M7385" s="186"/>
      <c r="N7385" s="186"/>
      <c r="O7385" s="172"/>
    </row>
    <row r="7386" spans="1:15" x14ac:dyDescent="0.2">
      <c r="A7386" s="190" t="str">
        <f t="shared" si="115"/>
        <v>MioCode_electricField</v>
      </c>
      <c r="B7386" s="414" t="str">
        <f>HYPERLINK("[#]Datatypes!A1290:L1290","MioCode")</f>
        <v>MioCode</v>
      </c>
      <c r="C7386" s="415" t="s">
        <v>15909</v>
      </c>
      <c r="D7386" s="221" t="s">
        <v>45070</v>
      </c>
      <c r="E7386" s="221">
        <v>1</v>
      </c>
      <c r="F7386" s="222" t="s">
        <v>45071</v>
      </c>
      <c r="G7386" s="223" t="s">
        <v>45072</v>
      </c>
      <c r="H7386" s="224"/>
      <c r="I7386" s="345"/>
      <c r="J7386" s="39">
        <v>105724</v>
      </c>
      <c r="K7386" s="36" t="str">
        <f>CONCATENATE(Cover!$D$6,"fdd/view?i=",J7386)</f>
        <v>https://www.dgiwg.org/FAD/fdd/view?i=105724</v>
      </c>
      <c r="L7386" s="36" t="s">
        <v>45073</v>
      </c>
      <c r="M7386" s="186"/>
      <c r="N7386" s="186"/>
      <c r="O7386" s="172"/>
    </row>
    <row r="7387" spans="1:15" x14ac:dyDescent="0.2">
      <c r="A7387" s="197" t="str">
        <f t="shared" si="115"/>
        <v>MioCode_infrared</v>
      </c>
      <c r="B7387" s="409"/>
      <c r="C7387" s="416"/>
      <c r="D7387" s="198" t="s">
        <v>45074</v>
      </c>
      <c r="E7387" s="198">
        <v>5</v>
      </c>
      <c r="F7387" s="199" t="s">
        <v>45075</v>
      </c>
      <c r="G7387" s="1" t="s">
        <v>45076</v>
      </c>
      <c r="H7387" s="200"/>
      <c r="I7387" s="346"/>
      <c r="J7387" s="39">
        <v>105728</v>
      </c>
      <c r="K7387" s="36" t="str">
        <f>CONCATENATE(Cover!$D$6,"fdd/view?i=",J7387)</f>
        <v>https://www.dgiwg.org/FAD/fdd/view?i=105728</v>
      </c>
      <c r="L7387" s="36" t="s">
        <v>45077</v>
      </c>
      <c r="M7387" s="186"/>
      <c r="N7387" s="186"/>
      <c r="O7387" s="172"/>
    </row>
    <row r="7388" spans="1:15" x14ac:dyDescent="0.2">
      <c r="A7388" s="197" t="str">
        <f t="shared" si="115"/>
        <v>MioCode_laserSensors</v>
      </c>
      <c r="B7388" s="409"/>
      <c r="C7388" s="416"/>
      <c r="D7388" s="198" t="s">
        <v>45078</v>
      </c>
      <c r="E7388" s="198">
        <v>2</v>
      </c>
      <c r="F7388" s="199" t="s">
        <v>45079</v>
      </c>
      <c r="G7388" s="1" t="s">
        <v>45080</v>
      </c>
      <c r="H7388" s="200"/>
      <c r="I7388" s="346"/>
      <c r="J7388" s="39">
        <v>105725</v>
      </c>
      <c r="K7388" s="36" t="str">
        <f>CONCATENATE(Cover!$D$6,"fdd/view?i=",J7388)</f>
        <v>https://www.dgiwg.org/FAD/fdd/view?i=105725</v>
      </c>
      <c r="L7388" s="36" t="s">
        <v>45081</v>
      </c>
      <c r="M7388" s="186"/>
      <c r="N7388" s="186"/>
      <c r="O7388" s="172"/>
    </row>
    <row r="7389" spans="1:15" x14ac:dyDescent="0.2">
      <c r="A7389" s="197" t="str">
        <f t="shared" si="115"/>
        <v>MioCode_seismic</v>
      </c>
      <c r="B7389" s="409"/>
      <c r="C7389" s="416"/>
      <c r="D7389" s="198" t="s">
        <v>34194</v>
      </c>
      <c r="E7389" s="198">
        <v>3</v>
      </c>
      <c r="F7389" s="199" t="s">
        <v>34195</v>
      </c>
      <c r="G7389" s="1" t="s">
        <v>45082</v>
      </c>
      <c r="H7389" s="200"/>
      <c r="I7389" s="346"/>
      <c r="J7389" s="39">
        <v>105726</v>
      </c>
      <c r="K7389" s="36" t="str">
        <f>CONCATENATE(Cover!$D$6,"fdd/view?i=",J7389)</f>
        <v>https://www.dgiwg.org/FAD/fdd/view?i=105726</v>
      </c>
      <c r="L7389" s="36" t="s">
        <v>45083</v>
      </c>
      <c r="M7389" s="186"/>
      <c r="N7389" s="186"/>
      <c r="O7389" s="172"/>
    </row>
    <row r="7390" spans="1:15" x14ac:dyDescent="0.2">
      <c r="A7390" s="203" t="str">
        <f t="shared" si="115"/>
        <v>MioCode_velocityField</v>
      </c>
      <c r="B7390" s="410"/>
      <c r="C7390" s="417"/>
      <c r="D7390" s="204" t="s">
        <v>45084</v>
      </c>
      <c r="E7390" s="204">
        <v>7</v>
      </c>
      <c r="F7390" s="205" t="s">
        <v>45085</v>
      </c>
      <c r="G7390" s="206" t="s">
        <v>45086</v>
      </c>
      <c r="H7390" s="207"/>
      <c r="I7390" s="347"/>
      <c r="J7390" s="39">
        <v>105730</v>
      </c>
      <c r="K7390" s="36" t="str">
        <f>CONCATENATE(Cover!$D$6,"fdd/view?i=",J7390)</f>
        <v>https://www.dgiwg.org/FAD/fdd/view?i=105730</v>
      </c>
      <c r="L7390" s="36" t="s">
        <v>45087</v>
      </c>
      <c r="M7390" s="186"/>
      <c r="N7390" s="186"/>
      <c r="O7390" s="172"/>
    </row>
    <row r="7391" spans="1:15" ht="38.25" x14ac:dyDescent="0.2">
      <c r="A7391" s="190" t="str">
        <f t="shared" si="115"/>
        <v>ResCode_astronomicalStation</v>
      </c>
      <c r="B7391" s="414" t="str">
        <f>HYPERLINK("[#]Datatypes!A1292:L1292","ResCode")</f>
        <v>ResCode</v>
      </c>
      <c r="C7391" s="415" t="s">
        <v>15911</v>
      </c>
      <c r="D7391" s="221" t="s">
        <v>45088</v>
      </c>
      <c r="E7391" s="221">
        <v>1</v>
      </c>
      <c r="F7391" s="222" t="s">
        <v>45089</v>
      </c>
      <c r="G7391" s="223" t="s">
        <v>45090</v>
      </c>
      <c r="H7391" s="224"/>
      <c r="I7391" s="345"/>
      <c r="J7391" s="39">
        <v>110324</v>
      </c>
      <c r="K7391" s="36" t="str">
        <f>CONCATENATE(Cover!$D$6,"fdd/view?i=",J7391)</f>
        <v>https://www.dgiwg.org/FAD/fdd/view?i=110324</v>
      </c>
      <c r="L7391" s="36" t="s">
        <v>45091</v>
      </c>
      <c r="M7391" s="186"/>
      <c r="N7391" s="186"/>
      <c r="O7391" s="172"/>
    </row>
    <row r="7392" spans="1:15" ht="38.25" x14ac:dyDescent="0.2">
      <c r="A7392" s="197" t="str">
        <f t="shared" si="115"/>
        <v>ResCode_nuclearResearch</v>
      </c>
      <c r="B7392" s="409"/>
      <c r="C7392" s="416"/>
      <c r="D7392" s="198" t="s">
        <v>45092</v>
      </c>
      <c r="E7392" s="198">
        <v>5</v>
      </c>
      <c r="F7392" s="199" t="s">
        <v>45093</v>
      </c>
      <c r="G7392" s="1" t="s">
        <v>31215</v>
      </c>
      <c r="H7392" s="1" t="s">
        <v>31216</v>
      </c>
      <c r="I7392" s="346"/>
      <c r="J7392" s="39">
        <v>118525</v>
      </c>
      <c r="K7392" s="36" t="str">
        <f>CONCATENATE(Cover!$D$6,"fdd/view?i=",J7392)</f>
        <v>https://www.dgiwg.org/FAD/fdd/view?i=118525</v>
      </c>
      <c r="L7392" s="36" t="s">
        <v>45094</v>
      </c>
      <c r="M7392" s="186"/>
      <c r="N7392" s="186"/>
      <c r="O7392" s="172"/>
    </row>
    <row r="7393" spans="1:15" ht="25.5" x14ac:dyDescent="0.2">
      <c r="A7393" s="197" t="str">
        <f t="shared" si="115"/>
        <v>ResCode_observatory</v>
      </c>
      <c r="B7393" s="409"/>
      <c r="C7393" s="416"/>
      <c r="D7393" s="198" t="s">
        <v>45095</v>
      </c>
      <c r="E7393" s="198">
        <v>2</v>
      </c>
      <c r="F7393" s="199" t="s">
        <v>45096</v>
      </c>
      <c r="G7393" s="1" t="s">
        <v>45097</v>
      </c>
      <c r="H7393" s="200"/>
      <c r="I7393" s="346"/>
      <c r="J7393" s="39">
        <v>110325</v>
      </c>
      <c r="K7393" s="36" t="str">
        <f>CONCATENATE(Cover!$D$6,"fdd/view?i=",J7393)</f>
        <v>https://www.dgiwg.org/FAD/fdd/view?i=110325</v>
      </c>
      <c r="L7393" s="36" t="s">
        <v>45098</v>
      </c>
      <c r="M7393" s="186"/>
      <c r="N7393" s="186"/>
      <c r="O7393" s="172"/>
    </row>
    <row r="7394" spans="1:15" ht="25.5" x14ac:dyDescent="0.2">
      <c r="A7394" s="197" t="str">
        <f t="shared" si="115"/>
        <v>ResCode_particleAccelerator</v>
      </c>
      <c r="B7394" s="409"/>
      <c r="C7394" s="416"/>
      <c r="D7394" s="198" t="s">
        <v>45099</v>
      </c>
      <c r="E7394" s="198">
        <v>6</v>
      </c>
      <c r="F7394" s="199" t="s">
        <v>4411</v>
      </c>
      <c r="G7394" s="1" t="s">
        <v>4412</v>
      </c>
      <c r="H7394" s="200"/>
      <c r="I7394" s="346"/>
      <c r="J7394" s="39">
        <v>118526</v>
      </c>
      <c r="K7394" s="36" t="str">
        <f>CONCATENATE(Cover!$D$6,"fdd/view?i=",J7394)</f>
        <v>https://www.dgiwg.org/FAD/fdd/view?i=118526</v>
      </c>
      <c r="L7394" s="36" t="s">
        <v>45100</v>
      </c>
      <c r="M7394" s="186"/>
      <c r="N7394" s="186"/>
      <c r="O7394" s="172"/>
    </row>
    <row r="7395" spans="1:15" ht="38.25" x14ac:dyDescent="0.2">
      <c r="A7395" s="197" t="str">
        <f t="shared" si="115"/>
        <v>ResCode_researchCentre</v>
      </c>
      <c r="B7395" s="409"/>
      <c r="C7395" s="416"/>
      <c r="D7395" s="198" t="s">
        <v>45101</v>
      </c>
      <c r="E7395" s="198">
        <v>3</v>
      </c>
      <c r="F7395" s="199" t="s">
        <v>45102</v>
      </c>
      <c r="G7395" s="1" t="s">
        <v>45103</v>
      </c>
      <c r="H7395" s="200"/>
      <c r="I7395" s="346"/>
      <c r="J7395" s="39">
        <v>110326</v>
      </c>
      <c r="K7395" s="36" t="str">
        <f>CONCATENATE(Cover!$D$6,"fdd/view?i=",J7395)</f>
        <v>https://www.dgiwg.org/FAD/fdd/view?i=110326</v>
      </c>
      <c r="L7395" s="36" t="s">
        <v>45104</v>
      </c>
      <c r="M7395" s="186"/>
      <c r="N7395" s="186"/>
      <c r="O7395" s="172"/>
    </row>
    <row r="7396" spans="1:15" ht="25.5" x14ac:dyDescent="0.2">
      <c r="A7396" s="203" t="str">
        <f t="shared" si="115"/>
        <v>ResCode_weatherStation</v>
      </c>
      <c r="B7396" s="410"/>
      <c r="C7396" s="417"/>
      <c r="D7396" s="204" t="s">
        <v>31763</v>
      </c>
      <c r="E7396" s="204">
        <v>4</v>
      </c>
      <c r="F7396" s="205" t="s">
        <v>31764</v>
      </c>
      <c r="G7396" s="206" t="s">
        <v>31765</v>
      </c>
      <c r="H7396" s="207"/>
      <c r="I7396" s="347"/>
      <c r="J7396" s="39">
        <v>110327</v>
      </c>
      <c r="K7396" s="36" t="str">
        <f>CONCATENATE(Cover!$D$6,"fdd/view?i=",J7396)</f>
        <v>https://www.dgiwg.org/FAD/fdd/view?i=110327</v>
      </c>
      <c r="L7396" s="36" t="s">
        <v>45105</v>
      </c>
      <c r="M7396" s="186"/>
      <c r="N7396" s="186"/>
      <c r="O7396" s="172"/>
    </row>
    <row r="7397" spans="1:15" ht="127.5" x14ac:dyDescent="0.2">
      <c r="A7397" s="190" t="str">
        <f t="shared" si="115"/>
        <v>RdeCode_cryptologicSystem25Year</v>
      </c>
      <c r="B7397" s="414" t="str">
        <f>HYPERLINK("[#]Datatypes!A1294:L1294","RdeCode")</f>
        <v>RdeCode</v>
      </c>
      <c r="C7397" s="415" t="s">
        <v>15913</v>
      </c>
      <c r="D7397" s="221" t="s">
        <v>45140</v>
      </c>
      <c r="E7397" s="221">
        <v>11</v>
      </c>
      <c r="F7397" s="222" t="s">
        <v>45141</v>
      </c>
      <c r="G7397" s="223" t="s">
        <v>45142</v>
      </c>
      <c r="H7397" s="223" t="s">
        <v>45143</v>
      </c>
      <c r="I7397" s="345"/>
      <c r="J7397" s="39">
        <v>110303</v>
      </c>
      <c r="K7397" s="36" t="str">
        <f>CONCATENATE(Cover!$D$6,"fdd/view?i=",J7397)</f>
        <v>https://www.dgiwg.org/FAD/fdd/view?i=110303</v>
      </c>
      <c r="L7397" s="36" t="s">
        <v>45144</v>
      </c>
      <c r="M7397" s="186"/>
      <c r="N7397" s="186"/>
      <c r="O7397" s="172"/>
    </row>
    <row r="7398" spans="1:15" ht="76.5" x14ac:dyDescent="0.2">
      <c r="A7398" s="197" t="str">
        <f t="shared" si="115"/>
        <v>RdeCode_foreignGovInfo10Year</v>
      </c>
      <c r="B7398" s="409"/>
      <c r="C7398" s="416"/>
      <c r="D7398" s="198" t="s">
        <v>45106</v>
      </c>
      <c r="E7398" s="198">
        <v>5</v>
      </c>
      <c r="F7398" s="199" t="s">
        <v>45107</v>
      </c>
      <c r="G7398" s="1" t="s">
        <v>45108</v>
      </c>
      <c r="H7398" s="1" t="s">
        <v>45109</v>
      </c>
      <c r="I7398" s="346"/>
      <c r="J7398" s="39">
        <v>110314</v>
      </c>
      <c r="K7398" s="36" t="str">
        <f>CONCATENATE(Cover!$D$6,"fdd/view?i=",J7398)</f>
        <v>https://www.dgiwg.org/FAD/fdd/view?i=110314</v>
      </c>
      <c r="L7398" s="36" t="s">
        <v>45110</v>
      </c>
      <c r="M7398" s="186"/>
      <c r="N7398" s="186"/>
      <c r="O7398" s="172"/>
    </row>
    <row r="7399" spans="1:15" ht="127.5" x14ac:dyDescent="0.2">
      <c r="A7399" s="197" t="str">
        <f t="shared" si="115"/>
        <v>RdeCode_foreignGovInfo25Year</v>
      </c>
      <c r="B7399" s="409"/>
      <c r="C7399" s="416"/>
      <c r="D7399" s="198" t="s">
        <v>45145</v>
      </c>
      <c r="E7399" s="198">
        <v>14</v>
      </c>
      <c r="F7399" s="199" t="s">
        <v>45146</v>
      </c>
      <c r="G7399" s="1" t="s">
        <v>45147</v>
      </c>
      <c r="H7399" s="1" t="s">
        <v>45143</v>
      </c>
      <c r="I7399" s="346"/>
      <c r="J7399" s="39">
        <v>110306</v>
      </c>
      <c r="K7399" s="36" t="str">
        <f>CONCATENATE(Cover!$D$6,"fdd/view?i=",J7399)</f>
        <v>https://www.dgiwg.org/FAD/fdd/view?i=110306</v>
      </c>
      <c r="L7399" s="36" t="s">
        <v>45148</v>
      </c>
      <c r="M7399" s="186"/>
      <c r="N7399" s="186"/>
      <c r="O7399" s="172"/>
    </row>
    <row r="7400" spans="1:15" ht="76.5" x14ac:dyDescent="0.2">
      <c r="A7400" s="197" t="str">
        <f t="shared" si="115"/>
        <v>RdeCode_foreignRelations10Year</v>
      </c>
      <c r="B7400" s="409"/>
      <c r="C7400" s="416"/>
      <c r="D7400" s="198" t="s">
        <v>45111</v>
      </c>
      <c r="E7400" s="198">
        <v>6</v>
      </c>
      <c r="F7400" s="199" t="s">
        <v>45112</v>
      </c>
      <c r="G7400" s="1" t="s">
        <v>45113</v>
      </c>
      <c r="H7400" s="1" t="s">
        <v>45109</v>
      </c>
      <c r="I7400" s="346"/>
      <c r="J7400" s="39">
        <v>110315</v>
      </c>
      <c r="K7400" s="36" t="str">
        <f>CONCATENATE(Cover!$D$6,"fdd/view?i=",J7400)</f>
        <v>https://www.dgiwg.org/FAD/fdd/view?i=110315</v>
      </c>
      <c r="L7400" s="36" t="s">
        <v>45114</v>
      </c>
      <c r="M7400" s="186"/>
      <c r="N7400" s="186"/>
      <c r="O7400" s="172"/>
    </row>
    <row r="7401" spans="1:15" ht="127.5" x14ac:dyDescent="0.2">
      <c r="A7401" s="197" t="str">
        <f t="shared" si="115"/>
        <v>RdeCode_foreignRelations25Year</v>
      </c>
      <c r="B7401" s="409"/>
      <c r="C7401" s="416"/>
      <c r="D7401" s="198" t="s">
        <v>45149</v>
      </c>
      <c r="E7401" s="198">
        <v>15</v>
      </c>
      <c r="F7401" s="199" t="s">
        <v>45150</v>
      </c>
      <c r="G7401" s="1" t="s">
        <v>45151</v>
      </c>
      <c r="H7401" s="1" t="s">
        <v>45143</v>
      </c>
      <c r="I7401" s="346"/>
      <c r="J7401" s="39">
        <v>110307</v>
      </c>
      <c r="K7401" s="36" t="str">
        <f>CONCATENATE(Cover!$D$6,"fdd/view?i=",J7401)</f>
        <v>https://www.dgiwg.org/FAD/fdd/view?i=110307</v>
      </c>
      <c r="L7401" s="36" t="s">
        <v>45152</v>
      </c>
      <c r="M7401" s="186"/>
      <c r="N7401" s="186"/>
      <c r="O7401" s="172"/>
    </row>
    <row r="7402" spans="1:15" ht="76.5" x14ac:dyDescent="0.2">
      <c r="A7402" s="197" t="str">
        <f t="shared" si="115"/>
        <v>RdeCode_individualProtect10Year</v>
      </c>
      <c r="B7402" s="409"/>
      <c r="C7402" s="416"/>
      <c r="D7402" s="198" t="s">
        <v>45115</v>
      </c>
      <c r="E7402" s="198">
        <v>7</v>
      </c>
      <c r="F7402" s="199" t="s">
        <v>45116</v>
      </c>
      <c r="G7402" s="1" t="s">
        <v>45117</v>
      </c>
      <c r="H7402" s="1" t="s">
        <v>45109</v>
      </c>
      <c r="I7402" s="346"/>
      <c r="J7402" s="39">
        <v>110316</v>
      </c>
      <c r="K7402" s="36" t="str">
        <f>CONCATENATE(Cover!$D$6,"fdd/view?i=",J7402)</f>
        <v>https://www.dgiwg.org/FAD/fdd/view?i=110316</v>
      </c>
      <c r="L7402" s="36" t="s">
        <v>45118</v>
      </c>
      <c r="M7402" s="186"/>
      <c r="N7402" s="186"/>
      <c r="O7402" s="172"/>
    </row>
    <row r="7403" spans="1:15" ht="127.5" x14ac:dyDescent="0.2">
      <c r="A7403" s="197" t="str">
        <f t="shared" si="115"/>
        <v>RdeCode_individualProtect25Year</v>
      </c>
      <c r="B7403" s="409"/>
      <c r="C7403" s="416"/>
      <c r="D7403" s="198" t="s">
        <v>45153</v>
      </c>
      <c r="E7403" s="198">
        <v>16</v>
      </c>
      <c r="F7403" s="199" t="s">
        <v>45154</v>
      </c>
      <c r="G7403" s="1" t="s">
        <v>45155</v>
      </c>
      <c r="H7403" s="1" t="s">
        <v>45143</v>
      </c>
      <c r="I7403" s="346"/>
      <c r="J7403" s="39">
        <v>110308</v>
      </c>
      <c r="K7403" s="36" t="str">
        <f>CONCATENATE(Cover!$D$6,"fdd/view?i=",J7403)</f>
        <v>https://www.dgiwg.org/FAD/fdd/view?i=110308</v>
      </c>
      <c r="L7403" s="36" t="s">
        <v>45156</v>
      </c>
      <c r="M7403" s="186"/>
      <c r="N7403" s="186"/>
      <c r="O7403" s="172"/>
    </row>
    <row r="7404" spans="1:15" ht="89.25" x14ac:dyDescent="0.2">
      <c r="A7404" s="197" t="str">
        <f t="shared" si="115"/>
        <v>RdeCode_intelligenceSource10Year</v>
      </c>
      <c r="B7404" s="409"/>
      <c r="C7404" s="416"/>
      <c r="D7404" s="198" t="s">
        <v>45119</v>
      </c>
      <c r="E7404" s="198">
        <v>1</v>
      </c>
      <c r="F7404" s="199" t="s">
        <v>45120</v>
      </c>
      <c r="G7404" s="1" t="s">
        <v>45121</v>
      </c>
      <c r="H7404" s="1" t="s">
        <v>45122</v>
      </c>
      <c r="I7404" s="346"/>
      <c r="J7404" s="39">
        <v>110301</v>
      </c>
      <c r="K7404" s="36" t="str">
        <f>CONCATENATE(Cover!$D$6,"fdd/view?i=",J7404)</f>
        <v>https://www.dgiwg.org/FAD/fdd/view?i=110301</v>
      </c>
      <c r="L7404" s="36" t="s">
        <v>45123</v>
      </c>
      <c r="M7404" s="186"/>
      <c r="N7404" s="186"/>
      <c r="O7404" s="172"/>
    </row>
    <row r="7405" spans="1:15" ht="127.5" x14ac:dyDescent="0.2">
      <c r="A7405" s="197" t="str">
        <f t="shared" si="115"/>
        <v>RdeCode_intelligenceSource25Year</v>
      </c>
      <c r="B7405" s="409"/>
      <c r="C7405" s="416"/>
      <c r="D7405" s="198" t="s">
        <v>45157</v>
      </c>
      <c r="E7405" s="198">
        <v>9</v>
      </c>
      <c r="F7405" s="199" t="s">
        <v>45158</v>
      </c>
      <c r="G7405" s="1" t="s">
        <v>45159</v>
      </c>
      <c r="H7405" s="1" t="s">
        <v>45143</v>
      </c>
      <c r="I7405" s="346"/>
      <c r="J7405" s="39">
        <v>110318</v>
      </c>
      <c r="K7405" s="36" t="str">
        <f>CONCATENATE(Cover!$D$6,"fdd/view?i=",J7405)</f>
        <v>https://www.dgiwg.org/FAD/fdd/view?i=110318</v>
      </c>
      <c r="L7405" s="36" t="s">
        <v>45160</v>
      </c>
      <c r="M7405" s="186"/>
      <c r="N7405" s="186"/>
      <c r="O7405" s="172"/>
    </row>
    <row r="7406" spans="1:15" ht="76.5" x14ac:dyDescent="0.2">
      <c r="A7406" s="197" t="str">
        <f t="shared" si="115"/>
        <v>RdeCode_legalViolation10Year</v>
      </c>
      <c r="B7406" s="409"/>
      <c r="C7406" s="416"/>
      <c r="D7406" s="198" t="s">
        <v>45124</v>
      </c>
      <c r="E7406" s="198">
        <v>8</v>
      </c>
      <c r="F7406" s="199" t="s">
        <v>45125</v>
      </c>
      <c r="G7406" s="1" t="s">
        <v>45126</v>
      </c>
      <c r="H7406" s="1" t="s">
        <v>45109</v>
      </c>
      <c r="I7406" s="346"/>
      <c r="J7406" s="39">
        <v>110317</v>
      </c>
      <c r="K7406" s="36" t="str">
        <f>CONCATENATE(Cover!$D$6,"fdd/view?i=",J7406)</f>
        <v>https://www.dgiwg.org/FAD/fdd/view?i=110317</v>
      </c>
      <c r="L7406" s="36" t="s">
        <v>45127</v>
      </c>
      <c r="M7406" s="186"/>
      <c r="N7406" s="186"/>
      <c r="O7406" s="172"/>
    </row>
    <row r="7407" spans="1:15" ht="127.5" x14ac:dyDescent="0.2">
      <c r="A7407" s="197" t="str">
        <f t="shared" si="115"/>
        <v>RdeCode_legalViolation25Year</v>
      </c>
      <c r="B7407" s="409"/>
      <c r="C7407" s="416"/>
      <c r="D7407" s="198" t="s">
        <v>45161</v>
      </c>
      <c r="E7407" s="198">
        <v>17</v>
      </c>
      <c r="F7407" s="199" t="s">
        <v>45162</v>
      </c>
      <c r="G7407" s="1" t="s">
        <v>45126</v>
      </c>
      <c r="H7407" s="1" t="s">
        <v>45143</v>
      </c>
      <c r="I7407" s="346"/>
      <c r="J7407" s="39">
        <v>110309</v>
      </c>
      <c r="K7407" s="36" t="str">
        <f>CONCATENATE(Cover!$D$6,"fdd/view?i=",J7407)</f>
        <v>https://www.dgiwg.org/FAD/fdd/view?i=110309</v>
      </c>
      <c r="L7407" s="36" t="s">
        <v>45163</v>
      </c>
      <c r="M7407" s="186"/>
      <c r="N7407" s="186"/>
      <c r="O7407" s="172"/>
    </row>
    <row r="7408" spans="1:15" ht="25.5" x14ac:dyDescent="0.2">
      <c r="A7408" s="197" t="str">
        <f t="shared" si="115"/>
        <v>RdeCode_manualReview</v>
      </c>
      <c r="B7408" s="409"/>
      <c r="C7408" s="416"/>
      <c r="D7408" s="198" t="s">
        <v>45175</v>
      </c>
      <c r="E7408" s="198">
        <v>18</v>
      </c>
      <c r="F7408" s="199" t="s">
        <v>45176</v>
      </c>
      <c r="G7408" s="1" t="s">
        <v>45130</v>
      </c>
      <c r="H7408" s="200"/>
      <c r="I7408" s="346"/>
      <c r="J7408" s="39">
        <v>110310</v>
      </c>
      <c r="K7408" s="36" t="str">
        <f>CONCATENATE(Cover!$D$6,"fdd/view?i=",J7408)</f>
        <v>https://www.dgiwg.org/FAD/fdd/view?i=110310</v>
      </c>
      <c r="L7408" s="36" t="s">
        <v>45177</v>
      </c>
      <c r="M7408" s="186"/>
      <c r="N7408" s="186"/>
      <c r="O7408" s="172"/>
    </row>
    <row r="7409" spans="1:15" ht="76.5" x14ac:dyDescent="0.2">
      <c r="A7409" s="197" t="str">
        <f t="shared" si="115"/>
        <v>RdeCode_massDestructWeapon10Year</v>
      </c>
      <c r="B7409" s="409"/>
      <c r="C7409" s="416"/>
      <c r="D7409" s="198" t="s">
        <v>45128</v>
      </c>
      <c r="E7409" s="198">
        <v>2</v>
      </c>
      <c r="F7409" s="199" t="s">
        <v>45129</v>
      </c>
      <c r="G7409" s="1" t="s">
        <v>45130</v>
      </c>
      <c r="H7409" s="1" t="s">
        <v>45109</v>
      </c>
      <c r="I7409" s="346"/>
      <c r="J7409" s="39">
        <v>110311</v>
      </c>
      <c r="K7409" s="36" t="str">
        <f>CONCATENATE(Cover!$D$6,"fdd/view?i=",J7409)</f>
        <v>https://www.dgiwg.org/FAD/fdd/view?i=110311</v>
      </c>
      <c r="L7409" s="36" t="s">
        <v>45131</v>
      </c>
      <c r="M7409" s="186"/>
      <c r="N7409" s="186"/>
      <c r="O7409" s="172"/>
    </row>
    <row r="7410" spans="1:15" ht="127.5" x14ac:dyDescent="0.2">
      <c r="A7410" s="197" t="str">
        <f t="shared" si="115"/>
        <v>RdeCode_massDestructWeapon25Year</v>
      </c>
      <c r="B7410" s="409"/>
      <c r="C7410" s="416"/>
      <c r="D7410" s="198" t="s">
        <v>45164</v>
      </c>
      <c r="E7410" s="198">
        <v>10</v>
      </c>
      <c r="F7410" s="199" t="s">
        <v>45165</v>
      </c>
      <c r="G7410" s="1" t="s">
        <v>45130</v>
      </c>
      <c r="H7410" s="1" t="s">
        <v>45143</v>
      </c>
      <c r="I7410" s="346"/>
      <c r="J7410" s="39">
        <v>110302</v>
      </c>
      <c r="K7410" s="36" t="str">
        <f>CONCATENATE(Cover!$D$6,"fdd/view?i=",J7410)</f>
        <v>https://www.dgiwg.org/FAD/fdd/view?i=110302</v>
      </c>
      <c r="L7410" s="36" t="s">
        <v>45166</v>
      </c>
      <c r="M7410" s="186"/>
      <c r="N7410" s="186"/>
      <c r="O7410" s="172"/>
    </row>
    <row r="7411" spans="1:15" ht="76.5" x14ac:dyDescent="0.2">
      <c r="A7411" s="197" t="str">
        <f t="shared" si="115"/>
        <v>RdeCode_militaryPlan10Year</v>
      </c>
      <c r="B7411" s="409"/>
      <c r="C7411" s="416"/>
      <c r="D7411" s="198" t="s">
        <v>45132</v>
      </c>
      <c r="E7411" s="198">
        <v>4</v>
      </c>
      <c r="F7411" s="199" t="s">
        <v>45133</v>
      </c>
      <c r="G7411" s="1" t="s">
        <v>45134</v>
      </c>
      <c r="H7411" s="1" t="s">
        <v>45109</v>
      </c>
      <c r="I7411" s="346"/>
      <c r="J7411" s="39">
        <v>110313</v>
      </c>
      <c r="K7411" s="36" t="str">
        <f>CONCATENATE(Cover!$D$6,"fdd/view?i=",J7411)</f>
        <v>https://www.dgiwg.org/FAD/fdd/view?i=110313</v>
      </c>
      <c r="L7411" s="36" t="s">
        <v>45135</v>
      </c>
      <c r="M7411" s="186"/>
      <c r="N7411" s="186"/>
      <c r="O7411" s="172"/>
    </row>
    <row r="7412" spans="1:15" ht="127.5" x14ac:dyDescent="0.2">
      <c r="A7412" s="197" t="str">
        <f t="shared" si="115"/>
        <v>RdeCode_militaryPlan25Year</v>
      </c>
      <c r="B7412" s="409"/>
      <c r="C7412" s="416"/>
      <c r="D7412" s="198" t="s">
        <v>45167</v>
      </c>
      <c r="E7412" s="198">
        <v>13</v>
      </c>
      <c r="F7412" s="199" t="s">
        <v>45168</v>
      </c>
      <c r="G7412" s="1" t="s">
        <v>45169</v>
      </c>
      <c r="H7412" s="1" t="s">
        <v>45143</v>
      </c>
      <c r="I7412" s="346"/>
      <c r="J7412" s="39">
        <v>110305</v>
      </c>
      <c r="K7412" s="36" t="str">
        <f>CONCATENATE(Cover!$D$6,"fdd/view?i=",J7412)</f>
        <v>https://www.dgiwg.org/FAD/fdd/view?i=110305</v>
      </c>
      <c r="L7412" s="36" t="s">
        <v>45170</v>
      </c>
      <c r="M7412" s="186"/>
      <c r="N7412" s="186"/>
      <c r="O7412" s="172"/>
    </row>
    <row r="7413" spans="1:15" ht="76.5" x14ac:dyDescent="0.2">
      <c r="A7413" s="197" t="str">
        <f t="shared" si="115"/>
        <v>RdeCode_weaponSystemTech10Year</v>
      </c>
      <c r="B7413" s="409"/>
      <c r="C7413" s="416"/>
      <c r="D7413" s="198" t="s">
        <v>45136</v>
      </c>
      <c r="E7413" s="198">
        <v>3</v>
      </c>
      <c r="F7413" s="199" t="s">
        <v>45137</v>
      </c>
      <c r="G7413" s="1" t="s">
        <v>45138</v>
      </c>
      <c r="H7413" s="1" t="s">
        <v>45109</v>
      </c>
      <c r="I7413" s="346"/>
      <c r="J7413" s="39">
        <v>110312</v>
      </c>
      <c r="K7413" s="36" t="str">
        <f>CONCATENATE(Cover!$D$6,"fdd/view?i=",J7413)</f>
        <v>https://www.dgiwg.org/FAD/fdd/view?i=110312</v>
      </c>
      <c r="L7413" s="36" t="s">
        <v>45139</v>
      </c>
      <c r="M7413" s="186"/>
      <c r="N7413" s="186"/>
      <c r="O7413" s="172"/>
    </row>
    <row r="7414" spans="1:15" ht="127.5" x14ac:dyDescent="0.2">
      <c r="A7414" s="203" t="str">
        <f t="shared" si="115"/>
        <v>RdeCode_weaponSystemTech25Year</v>
      </c>
      <c r="B7414" s="410"/>
      <c r="C7414" s="417"/>
      <c r="D7414" s="204" t="s">
        <v>45171</v>
      </c>
      <c r="E7414" s="204">
        <v>12</v>
      </c>
      <c r="F7414" s="205" t="s">
        <v>45172</v>
      </c>
      <c r="G7414" s="206" t="s">
        <v>45173</v>
      </c>
      <c r="H7414" s="206" t="s">
        <v>45143</v>
      </c>
      <c r="I7414" s="347"/>
      <c r="J7414" s="39">
        <v>110304</v>
      </c>
      <c r="K7414" s="36" t="str">
        <f>CONCATENATE(Cover!$D$6,"fdd/view?i=",J7414)</f>
        <v>https://www.dgiwg.org/FAD/fdd/view?i=110304</v>
      </c>
      <c r="L7414" s="36" t="s">
        <v>45174</v>
      </c>
      <c r="M7414" s="186"/>
      <c r="N7414" s="186"/>
      <c r="O7414" s="172"/>
    </row>
    <row r="7415" spans="1:15" ht="38.25" x14ac:dyDescent="0.2">
      <c r="A7415" s="190" t="str">
        <f t="shared" si="115"/>
        <v>RvtCode_alosPalSar</v>
      </c>
      <c r="B7415" s="414" t="str">
        <f>HYPERLINK("[#]Datatypes!A1298:L1298","RvtCode")</f>
        <v>RvtCode</v>
      </c>
      <c r="C7415" s="415" t="s">
        <v>15917</v>
      </c>
      <c r="D7415" s="221" t="s">
        <v>45198</v>
      </c>
      <c r="E7415" s="221">
        <v>147</v>
      </c>
      <c r="F7415" s="222" t="s">
        <v>45199</v>
      </c>
      <c r="G7415" s="223" t="s">
        <v>45200</v>
      </c>
      <c r="H7415" s="224"/>
      <c r="I7415" s="345"/>
      <c r="J7415" s="39">
        <v>118392</v>
      </c>
      <c r="K7415" s="36" t="str">
        <f>CONCATENATE(Cover!$D$6,"fdd/view?i=",J7415)</f>
        <v>https://www.dgiwg.org/FAD/fdd/view?i=118392</v>
      </c>
      <c r="L7415" s="36" t="s">
        <v>45201</v>
      </c>
      <c r="M7415" s="186"/>
      <c r="N7415" s="186"/>
      <c r="O7415" s="172"/>
    </row>
    <row r="7416" spans="1:15" ht="38.25" x14ac:dyDescent="0.2">
      <c r="A7416" s="197" t="str">
        <f t="shared" si="115"/>
        <v>RvtCode_alosPrism</v>
      </c>
      <c r="B7416" s="409"/>
      <c r="C7416" s="416"/>
      <c r="D7416" s="198" t="s">
        <v>45202</v>
      </c>
      <c r="E7416" s="198">
        <v>146</v>
      </c>
      <c r="F7416" s="199" t="s">
        <v>45203</v>
      </c>
      <c r="G7416" s="1" t="s">
        <v>45204</v>
      </c>
      <c r="H7416" s="200"/>
      <c r="I7416" s="346"/>
      <c r="J7416" s="39">
        <v>118391</v>
      </c>
      <c r="K7416" s="36" t="str">
        <f>CONCATENATE(Cover!$D$6,"fdd/view?i=",J7416)</f>
        <v>https://www.dgiwg.org/FAD/fdd/view?i=118391</v>
      </c>
      <c r="L7416" s="36" t="s">
        <v>45205</v>
      </c>
      <c r="M7416" s="186"/>
      <c r="N7416" s="186"/>
      <c r="O7416" s="172"/>
    </row>
    <row r="7417" spans="1:15" ht="25.5" x14ac:dyDescent="0.2">
      <c r="A7417" s="197" t="str">
        <f t="shared" si="115"/>
        <v>RvtCode_arcStandardRaster</v>
      </c>
      <c r="B7417" s="409"/>
      <c r="C7417" s="416"/>
      <c r="D7417" s="198" t="s">
        <v>45206</v>
      </c>
      <c r="E7417" s="198">
        <v>124</v>
      </c>
      <c r="F7417" s="199" t="s">
        <v>45207</v>
      </c>
      <c r="G7417" s="1" t="s">
        <v>45208</v>
      </c>
      <c r="H7417" s="200"/>
      <c r="I7417" s="346"/>
      <c r="J7417" s="39">
        <v>118369</v>
      </c>
      <c r="K7417" s="36" t="str">
        <f>CONCATENATE(Cover!$D$6,"fdd/view?i=",J7417)</f>
        <v>https://www.dgiwg.org/FAD/fdd/view?i=118369</v>
      </c>
      <c r="L7417" s="36" t="s">
        <v>45209</v>
      </c>
      <c r="M7417" s="186"/>
      <c r="N7417" s="186"/>
      <c r="O7417" s="172"/>
    </row>
    <row r="7418" spans="1:15" x14ac:dyDescent="0.2">
      <c r="A7418" s="197" t="str">
        <f t="shared" si="115"/>
        <v>RvtCode_cartoSat1</v>
      </c>
      <c r="B7418" s="409"/>
      <c r="C7418" s="416"/>
      <c r="D7418" s="198" t="s">
        <v>45214</v>
      </c>
      <c r="E7418" s="198">
        <v>142</v>
      </c>
      <c r="F7418" s="199" t="s">
        <v>45215</v>
      </c>
      <c r="G7418" s="1" t="s">
        <v>45216</v>
      </c>
      <c r="H7418" s="200"/>
      <c r="I7418" s="346"/>
      <c r="J7418" s="39">
        <v>118387</v>
      </c>
      <c r="K7418" s="36" t="str">
        <f>CONCATENATE(Cover!$D$6,"fdd/view?i=",J7418)</f>
        <v>https://www.dgiwg.org/FAD/fdd/view?i=118387</v>
      </c>
      <c r="L7418" s="36" t="s">
        <v>45217</v>
      </c>
      <c r="M7418" s="186"/>
      <c r="N7418" s="186"/>
      <c r="O7418" s="172"/>
    </row>
    <row r="7419" spans="1:15" x14ac:dyDescent="0.2">
      <c r="A7419" s="197" t="str">
        <f t="shared" si="115"/>
        <v>RvtCode_cartoSat2</v>
      </c>
      <c r="B7419" s="409"/>
      <c r="C7419" s="416"/>
      <c r="D7419" s="198" t="s">
        <v>45218</v>
      </c>
      <c r="E7419" s="198">
        <v>143</v>
      </c>
      <c r="F7419" s="199" t="s">
        <v>45219</v>
      </c>
      <c r="G7419" s="1" t="s">
        <v>45220</v>
      </c>
      <c r="H7419" s="200"/>
      <c r="I7419" s="346"/>
      <c r="J7419" s="39">
        <v>118388</v>
      </c>
      <c r="K7419" s="36" t="str">
        <f>CONCATENATE(Cover!$D$6,"fdd/view?i=",J7419)</f>
        <v>https://www.dgiwg.org/FAD/fdd/view?i=118388</v>
      </c>
      <c r="L7419" s="36" t="s">
        <v>45221</v>
      </c>
      <c r="M7419" s="186"/>
      <c r="N7419" s="186"/>
      <c r="O7419" s="172"/>
    </row>
    <row r="7420" spans="1:15" ht="51" x14ac:dyDescent="0.2">
      <c r="A7420" s="197" t="str">
        <f t="shared" si="115"/>
        <v>RvtCode_cosmoSkymedScanSar</v>
      </c>
      <c r="B7420" s="409"/>
      <c r="C7420" s="416"/>
      <c r="D7420" s="198" t="s">
        <v>45242</v>
      </c>
      <c r="E7420" s="198">
        <v>151</v>
      </c>
      <c r="F7420" s="199" t="s">
        <v>45243</v>
      </c>
      <c r="G7420" s="1" t="s">
        <v>45244</v>
      </c>
      <c r="H7420" s="200"/>
      <c r="I7420" s="346"/>
      <c r="J7420" s="39">
        <v>118396</v>
      </c>
      <c r="K7420" s="36" t="str">
        <f>CONCATENATE(Cover!$D$6,"fdd/view?i=",J7420)</f>
        <v>https://www.dgiwg.org/FAD/fdd/view?i=118396</v>
      </c>
      <c r="L7420" s="36" t="s">
        <v>45245</v>
      </c>
      <c r="M7420" s="186"/>
      <c r="N7420" s="186"/>
      <c r="O7420" s="172"/>
    </row>
    <row r="7421" spans="1:15" ht="38.25" x14ac:dyDescent="0.2">
      <c r="A7421" s="197" t="str">
        <f t="shared" si="115"/>
        <v>RvtCode_cosmoSkymedStripMap</v>
      </c>
      <c r="B7421" s="409"/>
      <c r="C7421" s="416"/>
      <c r="D7421" s="198" t="s">
        <v>45246</v>
      </c>
      <c r="E7421" s="198">
        <v>152</v>
      </c>
      <c r="F7421" s="199" t="s">
        <v>45247</v>
      </c>
      <c r="G7421" s="1" t="s">
        <v>45248</v>
      </c>
      <c r="H7421" s="200"/>
      <c r="I7421" s="346"/>
      <c r="J7421" s="39">
        <v>118397</v>
      </c>
      <c r="K7421" s="36" t="str">
        <f>CONCATENATE(Cover!$D$6,"fdd/view?i=",J7421)</f>
        <v>https://www.dgiwg.org/FAD/fdd/view?i=118397</v>
      </c>
      <c r="L7421" s="36" t="s">
        <v>45249</v>
      </c>
      <c r="M7421" s="186"/>
      <c r="N7421" s="186"/>
      <c r="O7421" s="172"/>
    </row>
    <row r="7422" spans="1:15" ht="25.5" x14ac:dyDescent="0.2">
      <c r="A7422" s="197" t="str">
        <f t="shared" si="115"/>
        <v>RvtCode_digitalGlobeImagery</v>
      </c>
      <c r="B7422" s="409"/>
      <c r="C7422" s="416"/>
      <c r="D7422" s="198" t="s">
        <v>45250</v>
      </c>
      <c r="E7422" s="198">
        <v>105</v>
      </c>
      <c r="F7422" s="199" t="s">
        <v>45251</v>
      </c>
      <c r="G7422" s="1" t="s">
        <v>45252</v>
      </c>
      <c r="H7422" s="200"/>
      <c r="I7422" s="346"/>
      <c r="J7422" s="39">
        <v>112791</v>
      </c>
      <c r="K7422" s="36" t="str">
        <f>CONCATENATE(Cover!$D$6,"fdd/view?i=",J7422)</f>
        <v>https://www.dgiwg.org/FAD/fdd/view?i=112791</v>
      </c>
      <c r="L7422" s="36" t="s">
        <v>45253</v>
      </c>
      <c r="M7422" s="186"/>
      <c r="N7422" s="186"/>
      <c r="O7422" s="172"/>
    </row>
    <row r="7423" spans="1:15" ht="25.5" x14ac:dyDescent="0.2">
      <c r="A7423" s="197" t="str">
        <f t="shared" si="115"/>
        <v>RvtCode_electronicNavChart</v>
      </c>
      <c r="B7423" s="409"/>
      <c r="C7423" s="416"/>
      <c r="D7423" s="198" t="s">
        <v>45301</v>
      </c>
      <c r="E7423" s="198">
        <v>109</v>
      </c>
      <c r="F7423" s="199" t="s">
        <v>45302</v>
      </c>
      <c r="G7423" s="1" t="s">
        <v>45303</v>
      </c>
      <c r="H7423" s="200"/>
      <c r="I7423" s="346"/>
      <c r="J7423" s="39">
        <v>114395</v>
      </c>
      <c r="K7423" s="36" t="str">
        <f>CONCATENATE(Cover!$D$6,"fdd/view?i=",J7423)</f>
        <v>https://www.dgiwg.org/FAD/fdd/view?i=114395</v>
      </c>
      <c r="L7423" s="36" t="s">
        <v>45304</v>
      </c>
      <c r="M7423" s="186"/>
      <c r="N7423" s="186"/>
      <c r="O7423" s="172"/>
    </row>
    <row r="7424" spans="1:15" ht="25.5" x14ac:dyDescent="0.2">
      <c r="A7424" s="197" t="str">
        <f t="shared" si="115"/>
        <v>RvtCode_foreignNamesCommittee</v>
      </c>
      <c r="B7424" s="409"/>
      <c r="C7424" s="416"/>
      <c r="D7424" s="198" t="s">
        <v>45313</v>
      </c>
      <c r="E7424" s="198">
        <v>104</v>
      </c>
      <c r="F7424" s="199" t="s">
        <v>45314</v>
      </c>
      <c r="G7424" s="1" t="s">
        <v>45315</v>
      </c>
      <c r="H7424" s="200"/>
      <c r="I7424" s="346"/>
      <c r="J7424" s="39">
        <v>112790</v>
      </c>
      <c r="K7424" s="36" t="str">
        <f>CONCATENATE(Cover!$D$6,"fdd/view?i=",J7424)</f>
        <v>https://www.dgiwg.org/FAD/fdd/view?i=112790</v>
      </c>
      <c r="L7424" s="36" t="s">
        <v>45316</v>
      </c>
      <c r="M7424" s="186"/>
      <c r="N7424" s="186"/>
      <c r="O7424" s="172"/>
    </row>
    <row r="7425" spans="1:15" ht="25.5" x14ac:dyDescent="0.2">
      <c r="A7425" s="197" t="str">
        <f t="shared" si="115"/>
        <v>RvtCode_formoSat2</v>
      </c>
      <c r="B7425" s="409"/>
      <c r="C7425" s="416"/>
      <c r="D7425" s="198" t="s">
        <v>45317</v>
      </c>
      <c r="E7425" s="198">
        <v>145</v>
      </c>
      <c r="F7425" s="199" t="s">
        <v>45318</v>
      </c>
      <c r="G7425" s="1" t="s">
        <v>45319</v>
      </c>
      <c r="H7425" s="200"/>
      <c r="I7425" s="346"/>
      <c r="J7425" s="39">
        <v>118390</v>
      </c>
      <c r="K7425" s="36" t="str">
        <f>CONCATENATE(Cover!$D$6,"fdd/view?i=",J7425)</f>
        <v>https://www.dgiwg.org/FAD/fdd/view?i=118390</v>
      </c>
      <c r="L7425" s="36" t="s">
        <v>45320</v>
      </c>
      <c r="M7425" s="186"/>
      <c r="N7425" s="186"/>
      <c r="O7425" s="172"/>
    </row>
    <row r="7426" spans="1:15" ht="25.5" x14ac:dyDescent="0.2">
      <c r="A7426" s="197" t="str">
        <f t="shared" ref="A7426:A7489" si="116">HYPERLINK(K7426,L7426)</f>
        <v>RvtCode_frenchDefenseSensor</v>
      </c>
      <c r="B7426" s="409"/>
      <c r="C7426" s="416"/>
      <c r="D7426" s="198" t="s">
        <v>45321</v>
      </c>
      <c r="E7426" s="198">
        <v>123</v>
      </c>
      <c r="F7426" s="199" t="s">
        <v>45322</v>
      </c>
      <c r="G7426" s="1" t="s">
        <v>45323</v>
      </c>
      <c r="H7426" s="200"/>
      <c r="I7426" s="346"/>
      <c r="J7426" s="39">
        <v>118368</v>
      </c>
      <c r="K7426" s="36" t="str">
        <f>CONCATENATE(Cover!$D$6,"fdd/view?i=",J7426)</f>
        <v>https://www.dgiwg.org/FAD/fdd/view?i=118368</v>
      </c>
      <c r="L7426" s="36" t="s">
        <v>45324</v>
      </c>
      <c r="M7426" s="186"/>
      <c r="N7426" s="186"/>
      <c r="O7426" s="172"/>
    </row>
    <row r="7427" spans="1:15" ht="25.5" x14ac:dyDescent="0.2">
      <c r="A7427" s="197" t="str">
        <f t="shared" si="116"/>
        <v>RvtCode_frenchHRVectorDataVMap2i</v>
      </c>
      <c r="B7427" s="409"/>
      <c r="C7427" s="416"/>
      <c r="D7427" s="198" t="s">
        <v>45325</v>
      </c>
      <c r="E7427" s="198">
        <v>128</v>
      </c>
      <c r="F7427" s="199" t="s">
        <v>45326</v>
      </c>
      <c r="G7427" s="1" t="s">
        <v>45327</v>
      </c>
      <c r="H7427" s="200"/>
      <c r="I7427" s="346"/>
      <c r="J7427" s="39">
        <v>118373</v>
      </c>
      <c r="K7427" s="36" t="str">
        <f>CONCATENATE(Cover!$D$6,"fdd/view?i=",J7427)</f>
        <v>https://www.dgiwg.org/FAD/fdd/view?i=118373</v>
      </c>
      <c r="L7427" s="36" t="s">
        <v>45328</v>
      </c>
      <c r="M7427" s="186"/>
      <c r="N7427" s="186"/>
      <c r="O7427" s="172"/>
    </row>
    <row r="7428" spans="1:15" ht="25.5" x14ac:dyDescent="0.2">
      <c r="A7428" s="197" t="str">
        <f t="shared" si="116"/>
        <v>RvtCode_frenchImageProduct</v>
      </c>
      <c r="B7428" s="409"/>
      <c r="C7428" s="416"/>
      <c r="D7428" s="198" t="s">
        <v>45329</v>
      </c>
      <c r="E7428" s="198">
        <v>122</v>
      </c>
      <c r="F7428" s="199" t="s">
        <v>45330</v>
      </c>
      <c r="G7428" s="1" t="s">
        <v>45331</v>
      </c>
      <c r="H7428" s="200"/>
      <c r="I7428" s="346"/>
      <c r="J7428" s="39">
        <v>118367</v>
      </c>
      <c r="K7428" s="36" t="str">
        <f>CONCATENATE(Cover!$D$6,"fdd/view?i=",J7428)</f>
        <v>https://www.dgiwg.org/FAD/fdd/view?i=118367</v>
      </c>
      <c r="L7428" s="36" t="s">
        <v>45332</v>
      </c>
      <c r="M7428" s="186"/>
      <c r="N7428" s="186"/>
      <c r="O7428" s="172"/>
    </row>
    <row r="7429" spans="1:15" ht="25.5" x14ac:dyDescent="0.2">
      <c r="A7429" s="197" t="str">
        <f t="shared" si="116"/>
        <v>RvtCode_frenchUrbanCartoKheper</v>
      </c>
      <c r="B7429" s="409"/>
      <c r="C7429" s="416"/>
      <c r="D7429" s="198" t="s">
        <v>45357</v>
      </c>
      <c r="E7429" s="198">
        <v>135</v>
      </c>
      <c r="F7429" s="199" t="s">
        <v>45358</v>
      </c>
      <c r="G7429" s="1" t="s">
        <v>45359</v>
      </c>
      <c r="H7429" s="200"/>
      <c r="I7429" s="346"/>
      <c r="J7429" s="39">
        <v>118380</v>
      </c>
      <c r="K7429" s="36" t="str">
        <f>CONCATENATE(Cover!$D$6,"fdd/view?i=",J7429)</f>
        <v>https://www.dgiwg.org/FAD/fdd/view?i=118380</v>
      </c>
      <c r="L7429" s="36" t="s">
        <v>45360</v>
      </c>
      <c r="M7429" s="186"/>
      <c r="N7429" s="186"/>
      <c r="O7429" s="172"/>
    </row>
    <row r="7430" spans="1:15" ht="25.5" x14ac:dyDescent="0.2">
      <c r="A7430" s="197" t="str">
        <f t="shared" si="116"/>
        <v>RvtCode_frenchUrbanCartoTopo</v>
      </c>
      <c r="B7430" s="409"/>
      <c r="C7430" s="416"/>
      <c r="D7430" s="198" t="s">
        <v>45361</v>
      </c>
      <c r="E7430" s="198">
        <v>136</v>
      </c>
      <c r="F7430" s="199" t="s">
        <v>45362</v>
      </c>
      <c r="G7430" s="1" t="s">
        <v>45363</v>
      </c>
      <c r="H7430" s="200"/>
      <c r="I7430" s="346"/>
      <c r="J7430" s="39">
        <v>118381</v>
      </c>
      <c r="K7430" s="36" t="str">
        <f>CONCATENATE(Cover!$D$6,"fdd/view?i=",J7430)</f>
        <v>https://www.dgiwg.org/FAD/fdd/view?i=118381</v>
      </c>
      <c r="L7430" s="36" t="s">
        <v>45364</v>
      </c>
      <c r="M7430" s="186"/>
      <c r="N7430" s="186"/>
      <c r="O7430" s="172"/>
    </row>
    <row r="7431" spans="1:15" ht="25.5" x14ac:dyDescent="0.2">
      <c r="A7431" s="197" t="str">
        <f t="shared" si="116"/>
        <v>RvtCode_frOrthoLevel2Kheper</v>
      </c>
      <c r="B7431" s="409"/>
      <c r="C7431" s="416"/>
      <c r="D7431" s="198" t="s">
        <v>45337</v>
      </c>
      <c r="E7431" s="198">
        <v>131</v>
      </c>
      <c r="F7431" s="199" t="s">
        <v>45338</v>
      </c>
      <c r="G7431" s="1" t="s">
        <v>45339</v>
      </c>
      <c r="H7431" s="200"/>
      <c r="I7431" s="346"/>
      <c r="J7431" s="39">
        <v>118376</v>
      </c>
      <c r="K7431" s="36" t="str">
        <f>CONCATENATE(Cover!$D$6,"fdd/view?i=",J7431)</f>
        <v>https://www.dgiwg.org/FAD/fdd/view?i=118376</v>
      </c>
      <c r="L7431" s="36" t="s">
        <v>45340</v>
      </c>
      <c r="M7431" s="186"/>
      <c r="N7431" s="186"/>
      <c r="O7431" s="172"/>
    </row>
    <row r="7432" spans="1:15" ht="38.25" x14ac:dyDescent="0.2">
      <c r="A7432" s="197" t="str">
        <f t="shared" si="116"/>
        <v>RvtCode_frOrthoLvl2GeoBaseDefense</v>
      </c>
      <c r="B7432" s="409"/>
      <c r="C7432" s="416"/>
      <c r="D7432" s="198" t="s">
        <v>45333</v>
      </c>
      <c r="E7432" s="198">
        <v>129</v>
      </c>
      <c r="F7432" s="199" t="s">
        <v>45334</v>
      </c>
      <c r="G7432" s="1" t="s">
        <v>45335</v>
      </c>
      <c r="H7432" s="200"/>
      <c r="I7432" s="346"/>
      <c r="J7432" s="39">
        <v>118374</v>
      </c>
      <c r="K7432" s="36" t="str">
        <f>CONCATENATE(Cover!$D$6,"fdd/view?i=",J7432)</f>
        <v>https://www.dgiwg.org/FAD/fdd/view?i=118374</v>
      </c>
      <c r="L7432" s="36" t="s">
        <v>45336</v>
      </c>
      <c r="M7432" s="186"/>
      <c r="N7432" s="186"/>
      <c r="O7432" s="172"/>
    </row>
    <row r="7433" spans="1:15" ht="38.25" x14ac:dyDescent="0.2">
      <c r="A7433" s="197" t="str">
        <f t="shared" si="116"/>
        <v>RvtCode_frOrthoLvl2TopoBaseDef</v>
      </c>
      <c r="B7433" s="409"/>
      <c r="C7433" s="416"/>
      <c r="D7433" s="198" t="s">
        <v>45341</v>
      </c>
      <c r="E7433" s="198">
        <v>130</v>
      </c>
      <c r="F7433" s="199" t="s">
        <v>45342</v>
      </c>
      <c r="G7433" s="1" t="s">
        <v>45343</v>
      </c>
      <c r="H7433" s="200"/>
      <c r="I7433" s="346"/>
      <c r="J7433" s="39">
        <v>118375</v>
      </c>
      <c r="K7433" s="36" t="str">
        <f>CONCATENATE(Cover!$D$6,"fdd/view?i=",J7433)</f>
        <v>https://www.dgiwg.org/FAD/fdd/view?i=118375</v>
      </c>
      <c r="L7433" s="36" t="s">
        <v>45344</v>
      </c>
      <c r="M7433" s="186"/>
      <c r="N7433" s="186"/>
      <c r="O7433" s="172"/>
    </row>
    <row r="7434" spans="1:15" ht="38.25" x14ac:dyDescent="0.2">
      <c r="A7434" s="197" t="str">
        <f t="shared" si="116"/>
        <v>RvtCode_frOrthoLvl3GeoBaseDefense</v>
      </c>
      <c r="B7434" s="409"/>
      <c r="C7434" s="416"/>
      <c r="D7434" s="198" t="s">
        <v>45345</v>
      </c>
      <c r="E7434" s="198">
        <v>132</v>
      </c>
      <c r="F7434" s="199" t="s">
        <v>45346</v>
      </c>
      <c r="G7434" s="1" t="s">
        <v>45347</v>
      </c>
      <c r="H7434" s="200"/>
      <c r="I7434" s="346"/>
      <c r="J7434" s="39">
        <v>118377</v>
      </c>
      <c r="K7434" s="36" t="str">
        <f>CONCATENATE(Cover!$D$6,"fdd/view?i=",J7434)</f>
        <v>https://www.dgiwg.org/FAD/fdd/view?i=118377</v>
      </c>
      <c r="L7434" s="36" t="s">
        <v>45348</v>
      </c>
      <c r="M7434" s="186"/>
      <c r="N7434" s="186"/>
      <c r="O7434" s="172"/>
    </row>
    <row r="7435" spans="1:15" ht="25.5" x14ac:dyDescent="0.2">
      <c r="A7435" s="197" t="str">
        <f t="shared" si="116"/>
        <v>RvtCode_frOrthoUrbanLvlKheper</v>
      </c>
      <c r="B7435" s="409"/>
      <c r="C7435" s="416"/>
      <c r="D7435" s="198" t="s">
        <v>45349</v>
      </c>
      <c r="E7435" s="198">
        <v>134</v>
      </c>
      <c r="F7435" s="199" t="s">
        <v>45350</v>
      </c>
      <c r="G7435" s="1" t="s">
        <v>45351</v>
      </c>
      <c r="H7435" s="200"/>
      <c r="I7435" s="346"/>
      <c r="J7435" s="39">
        <v>118379</v>
      </c>
      <c r="K7435" s="36" t="str">
        <f>CONCATENATE(Cover!$D$6,"fdd/view?i=",J7435)</f>
        <v>https://www.dgiwg.org/FAD/fdd/view?i=118379</v>
      </c>
      <c r="L7435" s="36" t="s">
        <v>45352</v>
      </c>
      <c r="M7435" s="186"/>
      <c r="N7435" s="186"/>
      <c r="O7435" s="172"/>
    </row>
    <row r="7436" spans="1:15" ht="38.25" x14ac:dyDescent="0.2">
      <c r="A7436" s="197" t="str">
        <f t="shared" si="116"/>
        <v>RvtCode_frOrthoUrbLvlTopoBaseDef</v>
      </c>
      <c r="B7436" s="409"/>
      <c r="C7436" s="416"/>
      <c r="D7436" s="198" t="s">
        <v>45353</v>
      </c>
      <c r="E7436" s="198">
        <v>133</v>
      </c>
      <c r="F7436" s="199" t="s">
        <v>45354</v>
      </c>
      <c r="G7436" s="1" t="s">
        <v>45355</v>
      </c>
      <c r="H7436" s="200"/>
      <c r="I7436" s="346"/>
      <c r="J7436" s="39">
        <v>118378</v>
      </c>
      <c r="K7436" s="36" t="str">
        <f>CONCATENATE(Cover!$D$6,"fdd/view?i=",J7436)</f>
        <v>https://www.dgiwg.org/FAD/fdd/view?i=118378</v>
      </c>
      <c r="L7436" s="36" t="s">
        <v>45356</v>
      </c>
      <c r="M7436" s="186"/>
      <c r="N7436" s="186"/>
      <c r="O7436" s="172"/>
    </row>
    <row r="7437" spans="1:15" x14ac:dyDescent="0.2">
      <c r="A7437" s="197" t="str">
        <f t="shared" si="116"/>
        <v>RvtCode_gazetteer</v>
      </c>
      <c r="B7437" s="409"/>
      <c r="C7437" s="416"/>
      <c r="D7437" s="198" t="s">
        <v>45365</v>
      </c>
      <c r="E7437" s="198">
        <v>125</v>
      </c>
      <c r="F7437" s="199" t="s">
        <v>45366</v>
      </c>
      <c r="G7437" s="1" t="s">
        <v>45367</v>
      </c>
      <c r="H7437" s="200"/>
      <c r="I7437" s="346"/>
      <c r="J7437" s="39">
        <v>118370</v>
      </c>
      <c r="K7437" s="36" t="str">
        <f>CONCATENATE(Cover!$D$6,"fdd/view?i=",J7437)</f>
        <v>https://www.dgiwg.org/FAD/fdd/view?i=118370</v>
      </c>
      <c r="L7437" s="36" t="s">
        <v>45368</v>
      </c>
      <c r="M7437" s="186"/>
      <c r="N7437" s="186"/>
      <c r="O7437" s="172"/>
    </row>
    <row r="7438" spans="1:15" x14ac:dyDescent="0.2">
      <c r="A7438" s="197" t="str">
        <f t="shared" si="116"/>
        <v>RvtCode_geoEye1</v>
      </c>
      <c r="B7438" s="409"/>
      <c r="C7438" s="416"/>
      <c r="D7438" s="198" t="s">
        <v>45369</v>
      </c>
      <c r="E7438" s="198">
        <v>139</v>
      </c>
      <c r="F7438" s="199" t="s">
        <v>45370</v>
      </c>
      <c r="G7438" s="1" t="s">
        <v>45371</v>
      </c>
      <c r="H7438" s="200"/>
      <c r="I7438" s="346"/>
      <c r="J7438" s="39">
        <v>118384</v>
      </c>
      <c r="K7438" s="36" t="str">
        <f>CONCATENATE(Cover!$D$6,"fdd/view?i=",J7438)</f>
        <v>https://www.dgiwg.org/FAD/fdd/view?i=118384</v>
      </c>
      <c r="L7438" s="36" t="s">
        <v>45372</v>
      </c>
      <c r="M7438" s="186"/>
      <c r="N7438" s="186"/>
      <c r="O7438" s="172"/>
    </row>
    <row r="7439" spans="1:15" ht="25.5" x14ac:dyDescent="0.2">
      <c r="A7439" s="197" t="str">
        <f t="shared" si="116"/>
        <v>RvtCode_gpsBasedFieldCollect</v>
      </c>
      <c r="B7439" s="409"/>
      <c r="C7439" s="416"/>
      <c r="D7439" s="198" t="s">
        <v>45377</v>
      </c>
      <c r="E7439" s="198">
        <v>26</v>
      </c>
      <c r="F7439" s="199" t="s">
        <v>45378</v>
      </c>
      <c r="G7439" s="1" t="s">
        <v>45379</v>
      </c>
      <c r="H7439" s="200"/>
      <c r="I7439" s="346"/>
      <c r="J7439" s="39">
        <v>110350</v>
      </c>
      <c r="K7439" s="36" t="str">
        <f>CONCATENATE(Cover!$D$6,"fdd/view?i=",J7439)</f>
        <v>https://www.dgiwg.org/FAD/fdd/view?i=110350</v>
      </c>
      <c r="L7439" s="36" t="s">
        <v>45380</v>
      </c>
      <c r="M7439" s="186"/>
      <c r="N7439" s="186"/>
      <c r="O7439" s="172"/>
    </row>
    <row r="7440" spans="1:15" ht="38.25" x14ac:dyDescent="0.2">
      <c r="A7440" s="197" t="str">
        <f t="shared" si="116"/>
        <v>RvtCode_highResCommMonoImage</v>
      </c>
      <c r="B7440" s="409"/>
      <c r="C7440" s="416"/>
      <c r="D7440" s="198" t="s">
        <v>45381</v>
      </c>
      <c r="E7440" s="198">
        <v>112</v>
      </c>
      <c r="F7440" s="199" t="s">
        <v>45382</v>
      </c>
      <c r="G7440" s="1" t="s">
        <v>45383</v>
      </c>
      <c r="H7440" s="200"/>
      <c r="I7440" s="346"/>
      <c r="J7440" s="39">
        <v>118091</v>
      </c>
      <c r="K7440" s="36" t="str">
        <f>CONCATENATE(Cover!$D$6,"fdd/view?i=",J7440)</f>
        <v>https://www.dgiwg.org/FAD/fdd/view?i=118091</v>
      </c>
      <c r="L7440" s="36" t="s">
        <v>45384</v>
      </c>
      <c r="M7440" s="186"/>
      <c r="N7440" s="186"/>
      <c r="O7440" s="172"/>
    </row>
    <row r="7441" spans="1:15" ht="38.25" x14ac:dyDescent="0.2">
      <c r="A7441" s="197" t="str">
        <f t="shared" si="116"/>
        <v>RvtCode_highResCommStereoImage</v>
      </c>
      <c r="B7441" s="409"/>
      <c r="C7441" s="416"/>
      <c r="D7441" s="198" t="s">
        <v>45385</v>
      </c>
      <c r="E7441" s="198">
        <v>113</v>
      </c>
      <c r="F7441" s="199" t="s">
        <v>45386</v>
      </c>
      <c r="G7441" s="1" t="s">
        <v>45387</v>
      </c>
      <c r="H7441" s="200"/>
      <c r="I7441" s="346"/>
      <c r="J7441" s="39">
        <v>118092</v>
      </c>
      <c r="K7441" s="36" t="str">
        <f>CONCATENATE(Cover!$D$6,"fdd/view?i=",J7441)</f>
        <v>https://www.dgiwg.org/FAD/fdd/view?i=118092</v>
      </c>
      <c r="L7441" s="36" t="s">
        <v>45388</v>
      </c>
      <c r="M7441" s="186"/>
      <c r="N7441" s="186"/>
      <c r="O7441" s="172"/>
    </row>
    <row r="7442" spans="1:15" ht="38.25" x14ac:dyDescent="0.2">
      <c r="A7442" s="197" t="str">
        <f t="shared" si="116"/>
        <v>RvtCode_highResMonoSarImage</v>
      </c>
      <c r="B7442" s="409"/>
      <c r="C7442" s="416"/>
      <c r="D7442" s="198" t="s">
        <v>45389</v>
      </c>
      <c r="E7442" s="198">
        <v>155</v>
      </c>
      <c r="F7442" s="199" t="s">
        <v>45390</v>
      </c>
      <c r="G7442" s="1" t="s">
        <v>45391</v>
      </c>
      <c r="H7442" s="200"/>
      <c r="I7442" s="346"/>
      <c r="J7442" s="39">
        <v>118531</v>
      </c>
      <c r="K7442" s="36" t="str">
        <f>CONCATENATE(Cover!$D$6,"fdd/view?i=",J7442)</f>
        <v>https://www.dgiwg.org/FAD/fdd/view?i=118531</v>
      </c>
      <c r="L7442" s="36" t="s">
        <v>45392</v>
      </c>
      <c r="M7442" s="186"/>
      <c r="N7442" s="186"/>
      <c r="O7442" s="172"/>
    </row>
    <row r="7443" spans="1:15" ht="38.25" x14ac:dyDescent="0.2">
      <c r="A7443" s="197" t="str">
        <f t="shared" si="116"/>
        <v>RvtCode_highResStereoSarImage</v>
      </c>
      <c r="B7443" s="409"/>
      <c r="C7443" s="416"/>
      <c r="D7443" s="198" t="s">
        <v>45393</v>
      </c>
      <c r="E7443" s="198">
        <v>156</v>
      </c>
      <c r="F7443" s="199" t="s">
        <v>45394</v>
      </c>
      <c r="G7443" s="1" t="s">
        <v>45395</v>
      </c>
      <c r="H7443" s="200"/>
      <c r="I7443" s="346"/>
      <c r="J7443" s="39">
        <v>118532</v>
      </c>
      <c r="K7443" s="36" t="str">
        <f>CONCATENATE(Cover!$D$6,"fdd/view?i=",J7443)</f>
        <v>https://www.dgiwg.org/FAD/fdd/view?i=118532</v>
      </c>
      <c r="L7443" s="36" t="s">
        <v>45396</v>
      </c>
      <c r="M7443" s="186"/>
      <c r="N7443" s="186"/>
      <c r="O7443" s="172"/>
    </row>
    <row r="7444" spans="1:15" ht="25.5" x14ac:dyDescent="0.2">
      <c r="A7444" s="197" t="str">
        <f t="shared" si="116"/>
        <v>RvtCode_ikonosImagery</v>
      </c>
      <c r="B7444" s="409"/>
      <c r="C7444" s="416"/>
      <c r="D7444" s="198" t="s">
        <v>45401</v>
      </c>
      <c r="E7444" s="198">
        <v>28</v>
      </c>
      <c r="F7444" s="199" t="s">
        <v>45402</v>
      </c>
      <c r="G7444" s="1" t="s">
        <v>45403</v>
      </c>
      <c r="H7444" s="200"/>
      <c r="I7444" s="346"/>
      <c r="J7444" s="39">
        <v>110352</v>
      </c>
      <c r="K7444" s="36" t="str">
        <f>CONCATENATE(Cover!$D$6,"fdd/view?i=",J7444)</f>
        <v>https://www.dgiwg.org/FAD/fdd/view?i=110352</v>
      </c>
      <c r="L7444" s="36" t="s">
        <v>45404</v>
      </c>
      <c r="M7444" s="186"/>
      <c r="N7444" s="186"/>
      <c r="O7444" s="172"/>
    </row>
    <row r="7445" spans="1:15" ht="25.5" x14ac:dyDescent="0.2">
      <c r="A7445" s="197" t="str">
        <f t="shared" si="116"/>
        <v>RvtCode_ikonosMultiMono</v>
      </c>
      <c r="B7445" s="409"/>
      <c r="C7445" s="416"/>
      <c r="D7445" s="198" t="s">
        <v>45405</v>
      </c>
      <c r="E7445" s="198">
        <v>70</v>
      </c>
      <c r="F7445" s="199" t="s">
        <v>45406</v>
      </c>
      <c r="G7445" s="1" t="s">
        <v>45407</v>
      </c>
      <c r="H7445" s="200"/>
      <c r="I7445" s="346"/>
      <c r="J7445" s="39">
        <v>111065</v>
      </c>
      <c r="K7445" s="36" t="str">
        <f>CONCATENATE(Cover!$D$6,"fdd/view?i=",J7445)</f>
        <v>https://www.dgiwg.org/FAD/fdd/view?i=111065</v>
      </c>
      <c r="L7445" s="36" t="s">
        <v>45408</v>
      </c>
      <c r="M7445" s="186"/>
      <c r="N7445" s="186"/>
      <c r="O7445" s="172"/>
    </row>
    <row r="7446" spans="1:15" ht="25.5" x14ac:dyDescent="0.2">
      <c r="A7446" s="197" t="str">
        <f t="shared" si="116"/>
        <v>RvtCode_ikonosMultiStereo</v>
      </c>
      <c r="B7446" s="409"/>
      <c r="C7446" s="416"/>
      <c r="D7446" s="198" t="s">
        <v>45409</v>
      </c>
      <c r="E7446" s="198">
        <v>71</v>
      </c>
      <c r="F7446" s="199" t="s">
        <v>45410</v>
      </c>
      <c r="G7446" s="1" t="s">
        <v>45411</v>
      </c>
      <c r="H7446" s="200"/>
      <c r="I7446" s="346"/>
      <c r="J7446" s="39">
        <v>111066</v>
      </c>
      <c r="K7446" s="36" t="str">
        <f>CONCATENATE(Cover!$D$6,"fdd/view?i=",J7446)</f>
        <v>https://www.dgiwg.org/FAD/fdd/view?i=111066</v>
      </c>
      <c r="L7446" s="36" t="s">
        <v>45412</v>
      </c>
      <c r="M7446" s="186"/>
      <c r="N7446" s="186"/>
      <c r="O7446" s="172"/>
    </row>
    <row r="7447" spans="1:15" ht="25.5" x14ac:dyDescent="0.2">
      <c r="A7447" s="197" t="str">
        <f t="shared" si="116"/>
        <v>RvtCode_ikonosPanMono</v>
      </c>
      <c r="B7447" s="409"/>
      <c r="C7447" s="416"/>
      <c r="D7447" s="198" t="s">
        <v>45413</v>
      </c>
      <c r="E7447" s="198">
        <v>72</v>
      </c>
      <c r="F7447" s="199" t="s">
        <v>45414</v>
      </c>
      <c r="G7447" s="1" t="s">
        <v>45415</v>
      </c>
      <c r="H7447" s="200"/>
      <c r="I7447" s="346"/>
      <c r="J7447" s="39">
        <v>111067</v>
      </c>
      <c r="K7447" s="36" t="str">
        <f>CONCATENATE(Cover!$D$6,"fdd/view?i=",J7447)</f>
        <v>https://www.dgiwg.org/FAD/fdd/view?i=111067</v>
      </c>
      <c r="L7447" s="36" t="s">
        <v>45416</v>
      </c>
      <c r="M7447" s="186"/>
      <c r="N7447" s="186"/>
      <c r="O7447" s="172"/>
    </row>
    <row r="7448" spans="1:15" ht="25.5" x14ac:dyDescent="0.2">
      <c r="A7448" s="197" t="str">
        <f t="shared" si="116"/>
        <v>RvtCode_ikonosPanStereo</v>
      </c>
      <c r="B7448" s="409"/>
      <c r="C7448" s="416"/>
      <c r="D7448" s="198" t="s">
        <v>45417</v>
      </c>
      <c r="E7448" s="198">
        <v>73</v>
      </c>
      <c r="F7448" s="199" t="s">
        <v>45418</v>
      </c>
      <c r="G7448" s="1" t="s">
        <v>45419</v>
      </c>
      <c r="H7448" s="200"/>
      <c r="I7448" s="346"/>
      <c r="J7448" s="39">
        <v>111068</v>
      </c>
      <c r="K7448" s="36" t="str">
        <f>CONCATENATE(Cover!$D$6,"fdd/view?i=",J7448)</f>
        <v>https://www.dgiwg.org/FAD/fdd/view?i=111068</v>
      </c>
      <c r="L7448" s="36" t="s">
        <v>45420</v>
      </c>
      <c r="M7448" s="186"/>
      <c r="N7448" s="186"/>
      <c r="O7448" s="172"/>
    </row>
    <row r="7449" spans="1:15" ht="25.5" x14ac:dyDescent="0.2">
      <c r="A7449" s="197" t="str">
        <f t="shared" si="116"/>
        <v>RvtCode_imageryUnspecified</v>
      </c>
      <c r="B7449" s="409"/>
      <c r="C7449" s="416"/>
      <c r="D7449" s="198" t="s">
        <v>45421</v>
      </c>
      <c r="E7449" s="198">
        <v>30</v>
      </c>
      <c r="F7449" s="199" t="s">
        <v>45422</v>
      </c>
      <c r="G7449" s="1" t="s">
        <v>45423</v>
      </c>
      <c r="H7449" s="200"/>
      <c r="I7449" s="346"/>
      <c r="J7449" s="39">
        <v>110355</v>
      </c>
      <c r="K7449" s="36" t="str">
        <f>CONCATENATE(Cover!$D$6,"fdd/view?i=",J7449)</f>
        <v>https://www.dgiwg.org/FAD/fdd/view?i=110355</v>
      </c>
      <c r="L7449" s="36" t="s">
        <v>45424</v>
      </c>
      <c r="M7449" s="186"/>
      <c r="N7449" s="186"/>
      <c r="O7449" s="172"/>
    </row>
    <row r="7450" spans="1:15" ht="25.5" x14ac:dyDescent="0.2">
      <c r="A7450" s="197" t="str">
        <f t="shared" si="116"/>
        <v>RvtCode_kompSat2</v>
      </c>
      <c r="B7450" s="409"/>
      <c r="C7450" s="416"/>
      <c r="D7450" s="198" t="s">
        <v>45441</v>
      </c>
      <c r="E7450" s="198">
        <v>144</v>
      </c>
      <c r="F7450" s="199" t="s">
        <v>45442</v>
      </c>
      <c r="G7450" s="1" t="s">
        <v>45443</v>
      </c>
      <c r="H7450" s="200"/>
      <c r="I7450" s="346"/>
      <c r="J7450" s="39">
        <v>118389</v>
      </c>
      <c r="K7450" s="36" t="str">
        <f>CONCATENATE(Cover!$D$6,"fdd/view?i=",J7450)</f>
        <v>https://www.dgiwg.org/FAD/fdd/view?i=118389</v>
      </c>
      <c r="L7450" s="36" t="s">
        <v>45444</v>
      </c>
      <c r="M7450" s="186"/>
      <c r="N7450" s="186"/>
      <c r="O7450" s="172"/>
    </row>
    <row r="7451" spans="1:15" ht="25.5" x14ac:dyDescent="0.2">
      <c r="A7451" s="197" t="str">
        <f t="shared" si="116"/>
        <v>RvtCode_landsatImagery</v>
      </c>
      <c r="B7451" s="409"/>
      <c r="C7451" s="416"/>
      <c r="D7451" s="198" t="s">
        <v>45448</v>
      </c>
      <c r="E7451" s="198">
        <v>35</v>
      </c>
      <c r="F7451" s="199" t="s">
        <v>45449</v>
      </c>
      <c r="G7451" s="1" t="s">
        <v>45450</v>
      </c>
      <c r="H7451" s="200"/>
      <c r="I7451" s="346"/>
      <c r="J7451" s="39">
        <v>110360</v>
      </c>
      <c r="K7451" s="36" t="str">
        <f>CONCATENATE(Cover!$D$6,"fdd/view?i=",J7451)</f>
        <v>https://www.dgiwg.org/FAD/fdd/view?i=110360</v>
      </c>
      <c r="L7451" s="36" t="s">
        <v>45451</v>
      </c>
      <c r="M7451" s="186"/>
      <c r="N7451" s="186"/>
      <c r="O7451" s="172"/>
    </row>
    <row r="7452" spans="1:15" ht="38.25" x14ac:dyDescent="0.2">
      <c r="A7452" s="197" t="str">
        <f t="shared" si="116"/>
        <v>RvtCode_lowResCommMonoImage</v>
      </c>
      <c r="B7452" s="409"/>
      <c r="C7452" s="416"/>
      <c r="D7452" s="198" t="s">
        <v>45452</v>
      </c>
      <c r="E7452" s="198">
        <v>116</v>
      </c>
      <c r="F7452" s="199" t="s">
        <v>45453</v>
      </c>
      <c r="G7452" s="1" t="s">
        <v>45454</v>
      </c>
      <c r="H7452" s="200"/>
      <c r="I7452" s="346"/>
      <c r="J7452" s="39">
        <v>118095</v>
      </c>
      <c r="K7452" s="36" t="str">
        <f>CONCATENATE(Cover!$D$6,"fdd/view?i=",J7452)</f>
        <v>https://www.dgiwg.org/FAD/fdd/view?i=118095</v>
      </c>
      <c r="L7452" s="36" t="s">
        <v>45455</v>
      </c>
      <c r="M7452" s="186"/>
      <c r="N7452" s="186"/>
      <c r="O7452" s="172"/>
    </row>
    <row r="7453" spans="1:15" ht="38.25" x14ac:dyDescent="0.2">
      <c r="A7453" s="197" t="str">
        <f t="shared" si="116"/>
        <v>RvtCode_lowResCommStereoImage</v>
      </c>
      <c r="B7453" s="409"/>
      <c r="C7453" s="416"/>
      <c r="D7453" s="198" t="s">
        <v>45456</v>
      </c>
      <c r="E7453" s="198">
        <v>117</v>
      </c>
      <c r="F7453" s="199" t="s">
        <v>45457</v>
      </c>
      <c r="G7453" s="1" t="s">
        <v>45458</v>
      </c>
      <c r="H7453" s="200"/>
      <c r="I7453" s="346"/>
      <c r="J7453" s="39">
        <v>118096</v>
      </c>
      <c r="K7453" s="36" t="str">
        <f>CONCATENATE(Cover!$D$6,"fdd/view?i=",J7453)</f>
        <v>https://www.dgiwg.org/FAD/fdd/view?i=118096</v>
      </c>
      <c r="L7453" s="36" t="s">
        <v>45459</v>
      </c>
      <c r="M7453" s="186"/>
      <c r="N7453" s="186"/>
      <c r="O7453" s="172"/>
    </row>
    <row r="7454" spans="1:15" ht="25.5" x14ac:dyDescent="0.2">
      <c r="A7454" s="197" t="str">
        <f t="shared" si="116"/>
        <v>RvtCode_mapChartOrGeodeticData</v>
      </c>
      <c r="B7454" s="409"/>
      <c r="C7454" s="416"/>
      <c r="D7454" s="198" t="s">
        <v>45480</v>
      </c>
      <c r="E7454" s="198">
        <v>37</v>
      </c>
      <c r="F7454" s="199" t="s">
        <v>45481</v>
      </c>
      <c r="G7454" s="1" t="s">
        <v>45482</v>
      </c>
      <c r="H7454" s="200"/>
      <c r="I7454" s="346"/>
      <c r="J7454" s="39">
        <v>110362</v>
      </c>
      <c r="K7454" s="36" t="str">
        <f>CONCATENATE(Cover!$D$6,"fdd/view?i=",J7454)</f>
        <v>https://www.dgiwg.org/FAD/fdd/view?i=110362</v>
      </c>
      <c r="L7454" s="36" t="s">
        <v>45483</v>
      </c>
      <c r="M7454" s="186"/>
      <c r="N7454" s="186"/>
      <c r="O7454" s="172"/>
    </row>
    <row r="7455" spans="1:15" ht="25.5" x14ac:dyDescent="0.2">
      <c r="A7455" s="197" t="str">
        <f t="shared" si="116"/>
        <v>RvtCode_mapOneToFiftyK</v>
      </c>
      <c r="B7455" s="409"/>
      <c r="C7455" s="416"/>
      <c r="D7455" s="198" t="s">
        <v>45472</v>
      </c>
      <c r="E7455" s="198">
        <v>119</v>
      </c>
      <c r="F7455" s="199" t="s">
        <v>45473</v>
      </c>
      <c r="G7455" s="1" t="s">
        <v>45474</v>
      </c>
      <c r="H7455" s="200"/>
      <c r="I7455" s="346"/>
      <c r="J7455" s="39">
        <v>118098</v>
      </c>
      <c r="K7455" s="36" t="str">
        <f>CONCATENATE(Cover!$D$6,"fdd/view?i=",J7455)</f>
        <v>https://www.dgiwg.org/FAD/fdd/view?i=118098</v>
      </c>
      <c r="L7455" s="36" t="s">
        <v>45475</v>
      </c>
      <c r="M7455" s="186"/>
      <c r="N7455" s="186"/>
      <c r="O7455" s="172"/>
    </row>
    <row r="7456" spans="1:15" ht="25.5" x14ac:dyDescent="0.2">
      <c r="A7456" s="197" t="str">
        <f t="shared" si="116"/>
        <v>RvtCode_mapOneToHundredK</v>
      </c>
      <c r="B7456" s="409"/>
      <c r="C7456" s="416"/>
      <c r="D7456" s="198" t="s">
        <v>45464</v>
      </c>
      <c r="E7456" s="198">
        <v>120</v>
      </c>
      <c r="F7456" s="199" t="s">
        <v>45465</v>
      </c>
      <c r="G7456" s="1" t="s">
        <v>45466</v>
      </c>
      <c r="H7456" s="200"/>
      <c r="I7456" s="346"/>
      <c r="J7456" s="39">
        <v>118099</v>
      </c>
      <c r="K7456" s="36" t="str">
        <f>CONCATENATE(Cover!$D$6,"fdd/view?i=",J7456)</f>
        <v>https://www.dgiwg.org/FAD/fdd/view?i=118099</v>
      </c>
      <c r="L7456" s="36" t="s">
        <v>45467</v>
      </c>
      <c r="M7456" s="186"/>
      <c r="N7456" s="186"/>
      <c r="O7456" s="172"/>
    </row>
    <row r="7457" spans="1:15" ht="25.5" x14ac:dyDescent="0.2">
      <c r="A7457" s="197" t="str">
        <f t="shared" si="116"/>
        <v>RvtCode_mapOneToTwentyFiveK</v>
      </c>
      <c r="B7457" s="409"/>
      <c r="C7457" s="416"/>
      <c r="D7457" s="198" t="s">
        <v>45468</v>
      </c>
      <c r="E7457" s="198">
        <v>118</v>
      </c>
      <c r="F7457" s="199" t="s">
        <v>45469</v>
      </c>
      <c r="G7457" s="1" t="s">
        <v>45470</v>
      </c>
      <c r="H7457" s="200"/>
      <c r="I7457" s="346"/>
      <c r="J7457" s="39">
        <v>118097</v>
      </c>
      <c r="K7457" s="36" t="str">
        <f>CONCATENATE(Cover!$D$6,"fdd/view?i=",J7457)</f>
        <v>https://www.dgiwg.org/FAD/fdd/view?i=118097</v>
      </c>
      <c r="L7457" s="36" t="s">
        <v>45471</v>
      </c>
      <c r="M7457" s="186"/>
      <c r="N7457" s="186"/>
      <c r="O7457" s="172"/>
    </row>
    <row r="7458" spans="1:15" x14ac:dyDescent="0.2">
      <c r="A7458" s="197" t="str">
        <f t="shared" si="116"/>
        <v>RvtCode_maritimeChart</v>
      </c>
      <c r="B7458" s="409"/>
      <c r="C7458" s="416"/>
      <c r="D7458" s="198" t="s">
        <v>45476</v>
      </c>
      <c r="E7458" s="198">
        <v>101</v>
      </c>
      <c r="F7458" s="199" t="s">
        <v>45477</v>
      </c>
      <c r="G7458" s="1" t="s">
        <v>45478</v>
      </c>
      <c r="H7458" s="200"/>
      <c r="I7458" s="346"/>
      <c r="J7458" s="39">
        <v>112899</v>
      </c>
      <c r="K7458" s="36" t="str">
        <f>CONCATENATE(Cover!$D$6,"fdd/view?i=",J7458)</f>
        <v>https://www.dgiwg.org/FAD/fdd/view?i=112899</v>
      </c>
      <c r="L7458" s="36" t="s">
        <v>45479</v>
      </c>
      <c r="M7458" s="186"/>
      <c r="N7458" s="186"/>
      <c r="O7458" s="172"/>
    </row>
    <row r="7459" spans="1:15" ht="38.25" x14ac:dyDescent="0.2">
      <c r="A7459" s="197" t="str">
        <f t="shared" si="116"/>
        <v>RvtCode_mediumResCommMonoImage</v>
      </c>
      <c r="B7459" s="409"/>
      <c r="C7459" s="416"/>
      <c r="D7459" s="198" t="s">
        <v>45488</v>
      </c>
      <c r="E7459" s="198">
        <v>114</v>
      </c>
      <c r="F7459" s="199" t="s">
        <v>45489</v>
      </c>
      <c r="G7459" s="1" t="s">
        <v>45490</v>
      </c>
      <c r="H7459" s="200"/>
      <c r="I7459" s="346"/>
      <c r="J7459" s="39">
        <v>118093</v>
      </c>
      <c r="K7459" s="36" t="str">
        <f>CONCATENATE(Cover!$D$6,"fdd/view?i=",J7459)</f>
        <v>https://www.dgiwg.org/FAD/fdd/view?i=118093</v>
      </c>
      <c r="L7459" s="36" t="s">
        <v>45491</v>
      </c>
      <c r="M7459" s="186"/>
      <c r="N7459" s="186"/>
      <c r="O7459" s="172"/>
    </row>
    <row r="7460" spans="1:15" ht="38.25" x14ac:dyDescent="0.2">
      <c r="A7460" s="197" t="str">
        <f t="shared" si="116"/>
        <v>RvtCode_mediumResCommStereoImage</v>
      </c>
      <c r="B7460" s="409"/>
      <c r="C7460" s="416"/>
      <c r="D7460" s="198" t="s">
        <v>45492</v>
      </c>
      <c r="E7460" s="198">
        <v>115</v>
      </c>
      <c r="F7460" s="199" t="s">
        <v>45493</v>
      </c>
      <c r="G7460" s="1" t="s">
        <v>45494</v>
      </c>
      <c r="H7460" s="200"/>
      <c r="I7460" s="346"/>
      <c r="J7460" s="39">
        <v>118094</v>
      </c>
      <c r="K7460" s="36" t="str">
        <f>CONCATENATE(Cover!$D$6,"fdd/view?i=",J7460)</f>
        <v>https://www.dgiwg.org/FAD/fdd/view?i=118094</v>
      </c>
      <c r="L7460" s="36" t="s">
        <v>45495</v>
      </c>
      <c r="M7460" s="186"/>
      <c r="N7460" s="186"/>
      <c r="O7460" s="172"/>
    </row>
    <row r="7461" spans="1:15" ht="25.5" x14ac:dyDescent="0.2">
      <c r="A7461" s="197" t="str">
        <f t="shared" si="116"/>
        <v>RvtCode_nativeAuthData</v>
      </c>
      <c r="B7461" s="409"/>
      <c r="C7461" s="416"/>
      <c r="D7461" s="198" t="s">
        <v>45524</v>
      </c>
      <c r="E7461" s="198">
        <v>99</v>
      </c>
      <c r="F7461" s="199" t="s">
        <v>45525</v>
      </c>
      <c r="G7461" s="1" t="s">
        <v>45526</v>
      </c>
      <c r="H7461" s="200"/>
      <c r="I7461" s="346"/>
      <c r="J7461" s="39">
        <v>112795</v>
      </c>
      <c r="K7461" s="36" t="str">
        <f>CONCATENATE(Cover!$D$6,"fdd/view?i=",J7461)</f>
        <v>https://www.dgiwg.org/FAD/fdd/view?i=112795</v>
      </c>
      <c r="L7461" s="36" t="s">
        <v>45527</v>
      </c>
      <c r="M7461" s="186"/>
      <c r="N7461" s="186"/>
      <c r="O7461" s="172"/>
    </row>
    <row r="7462" spans="1:15" ht="25.5" x14ac:dyDescent="0.2">
      <c r="A7462" s="197" t="str">
        <f t="shared" si="116"/>
        <v>RvtCode_nativeAuthGraphic</v>
      </c>
      <c r="B7462" s="409"/>
      <c r="C7462" s="416"/>
      <c r="D7462" s="198" t="s">
        <v>45528</v>
      </c>
      <c r="E7462" s="198">
        <v>98</v>
      </c>
      <c r="F7462" s="199" t="s">
        <v>45529</v>
      </c>
      <c r="G7462" s="1" t="s">
        <v>45530</v>
      </c>
      <c r="H7462" s="200"/>
      <c r="I7462" s="346"/>
      <c r="J7462" s="39">
        <v>112794</v>
      </c>
      <c r="K7462" s="36" t="str">
        <f>CONCATENATE(Cover!$D$6,"fdd/view?i=",J7462)</f>
        <v>https://www.dgiwg.org/FAD/fdd/view?i=112794</v>
      </c>
      <c r="L7462" s="36" t="s">
        <v>45531</v>
      </c>
      <c r="M7462" s="186"/>
      <c r="N7462" s="186"/>
      <c r="O7462" s="172"/>
    </row>
    <row r="7463" spans="1:15" x14ac:dyDescent="0.2">
      <c r="A7463" s="197" t="str">
        <f t="shared" si="116"/>
        <v>RvtCode_nativeCensus</v>
      </c>
      <c r="B7463" s="409"/>
      <c r="C7463" s="416"/>
      <c r="D7463" s="198" t="s">
        <v>45532</v>
      </c>
      <c r="E7463" s="198">
        <v>97</v>
      </c>
      <c r="F7463" s="199" t="s">
        <v>45533</v>
      </c>
      <c r="G7463" s="1" t="s">
        <v>45534</v>
      </c>
      <c r="H7463" s="200"/>
      <c r="I7463" s="346"/>
      <c r="J7463" s="39">
        <v>112793</v>
      </c>
      <c r="K7463" s="36" t="str">
        <f>CONCATENATE(Cover!$D$6,"fdd/view?i=",J7463)</f>
        <v>https://www.dgiwg.org/FAD/fdd/view?i=112793</v>
      </c>
      <c r="L7463" s="36" t="s">
        <v>45535</v>
      </c>
      <c r="M7463" s="186"/>
      <c r="N7463" s="186"/>
      <c r="O7463" s="172"/>
    </row>
    <row r="7464" spans="1:15" x14ac:dyDescent="0.2">
      <c r="A7464" s="197" t="str">
        <f t="shared" si="116"/>
        <v>RvtCode_nativeData</v>
      </c>
      <c r="B7464" s="409"/>
      <c r="C7464" s="416"/>
      <c r="D7464" s="198" t="s">
        <v>45536</v>
      </c>
      <c r="E7464" s="198">
        <v>44</v>
      </c>
      <c r="F7464" s="199" t="s">
        <v>45537</v>
      </c>
      <c r="G7464" s="1" t="s">
        <v>45538</v>
      </c>
      <c r="H7464" s="200"/>
      <c r="I7464" s="346"/>
      <c r="J7464" s="39">
        <v>110370</v>
      </c>
      <c r="K7464" s="36" t="str">
        <f>CONCATENATE(Cover!$D$6,"fdd/view?i=",J7464)</f>
        <v>https://www.dgiwg.org/FAD/fdd/view?i=110370</v>
      </c>
      <c r="L7464" s="36" t="s">
        <v>45539</v>
      </c>
      <c r="M7464" s="186"/>
      <c r="N7464" s="186"/>
      <c r="O7464" s="172"/>
    </row>
    <row r="7465" spans="1:15" ht="25.5" x14ac:dyDescent="0.2">
      <c r="A7465" s="197" t="str">
        <f t="shared" si="116"/>
        <v>RvtCode_nativeGazetteer</v>
      </c>
      <c r="B7465" s="409"/>
      <c r="C7465" s="416"/>
      <c r="D7465" s="198" t="s">
        <v>45540</v>
      </c>
      <c r="E7465" s="198">
        <v>96</v>
      </c>
      <c r="F7465" s="199" t="s">
        <v>45541</v>
      </c>
      <c r="G7465" s="1" t="s">
        <v>45542</v>
      </c>
      <c r="H7465" s="200"/>
      <c r="I7465" s="346"/>
      <c r="J7465" s="39">
        <v>112792</v>
      </c>
      <c r="K7465" s="36" t="str">
        <f>CONCATENATE(Cover!$D$6,"fdd/view?i=",J7465)</f>
        <v>https://www.dgiwg.org/FAD/fdd/view?i=112792</v>
      </c>
      <c r="L7465" s="36" t="s">
        <v>45543</v>
      </c>
      <c r="M7465" s="186"/>
      <c r="N7465" s="186"/>
      <c r="O7465" s="172"/>
    </row>
    <row r="7466" spans="1:15" x14ac:dyDescent="0.2">
      <c r="A7466" s="197" t="str">
        <f t="shared" si="116"/>
        <v>RvtCode_nativeMap</v>
      </c>
      <c r="B7466" s="409"/>
      <c r="C7466" s="416"/>
      <c r="D7466" s="198" t="s">
        <v>45544</v>
      </c>
      <c r="E7466" s="198">
        <v>45</v>
      </c>
      <c r="F7466" s="199" t="s">
        <v>45545</v>
      </c>
      <c r="G7466" s="1" t="s">
        <v>45546</v>
      </c>
      <c r="H7466" s="200"/>
      <c r="I7466" s="346"/>
      <c r="J7466" s="39">
        <v>110371</v>
      </c>
      <c r="K7466" s="36" t="str">
        <f>CONCATENATE(Cover!$D$6,"fdd/view?i=",J7466)</f>
        <v>https://www.dgiwg.org/FAD/fdd/view?i=110371</v>
      </c>
      <c r="L7466" s="36" t="s">
        <v>45547</v>
      </c>
      <c r="M7466" s="186"/>
      <c r="N7466" s="186"/>
      <c r="O7466" s="172"/>
    </row>
    <row r="7467" spans="1:15" ht="25.5" x14ac:dyDescent="0.2">
      <c r="A7467" s="197" t="str">
        <f t="shared" si="116"/>
        <v>RvtCode_nativeNonAuthData</v>
      </c>
      <c r="B7467" s="409"/>
      <c r="C7467" s="416"/>
      <c r="D7467" s="198" t="s">
        <v>45548</v>
      </c>
      <c r="E7467" s="198">
        <v>107</v>
      </c>
      <c r="F7467" s="199" t="s">
        <v>45549</v>
      </c>
      <c r="G7467" s="1" t="s">
        <v>45550</v>
      </c>
      <c r="H7467" s="200"/>
      <c r="I7467" s="346"/>
      <c r="J7467" s="39">
        <v>112744</v>
      </c>
      <c r="K7467" s="36" t="str">
        <f>CONCATENATE(Cover!$D$6,"fdd/view?i=",J7467)</f>
        <v>https://www.dgiwg.org/FAD/fdd/view?i=112744</v>
      </c>
      <c r="L7467" s="36" t="s">
        <v>45551</v>
      </c>
      <c r="M7467" s="186"/>
      <c r="N7467" s="186"/>
      <c r="O7467" s="172"/>
    </row>
    <row r="7468" spans="1:15" ht="25.5" x14ac:dyDescent="0.2">
      <c r="A7468" s="197" t="str">
        <f t="shared" si="116"/>
        <v>RvtCode_nativeNonAuthGraphic</v>
      </c>
      <c r="B7468" s="409"/>
      <c r="C7468" s="416"/>
      <c r="D7468" s="198" t="s">
        <v>45552</v>
      </c>
      <c r="E7468" s="198">
        <v>106</v>
      </c>
      <c r="F7468" s="199" t="s">
        <v>45553</v>
      </c>
      <c r="G7468" s="1" t="s">
        <v>45554</v>
      </c>
      <c r="H7468" s="200"/>
      <c r="I7468" s="346"/>
      <c r="J7468" s="39">
        <v>112746</v>
      </c>
      <c r="K7468" s="36" t="str">
        <f>CONCATENATE(Cover!$D$6,"fdd/view?i=",J7468)</f>
        <v>https://www.dgiwg.org/FAD/fdd/view?i=112746</v>
      </c>
      <c r="L7468" s="36" t="s">
        <v>45555</v>
      </c>
      <c r="M7468" s="186"/>
      <c r="N7468" s="186"/>
      <c r="O7468" s="172"/>
    </row>
    <row r="7469" spans="1:15" x14ac:dyDescent="0.2">
      <c r="A7469" s="197" t="str">
        <f t="shared" si="116"/>
        <v>RvtCode_navteqData</v>
      </c>
      <c r="B7469" s="409"/>
      <c r="C7469" s="416"/>
      <c r="D7469" s="198" t="s">
        <v>45556</v>
      </c>
      <c r="E7469" s="198">
        <v>108</v>
      </c>
      <c r="F7469" s="199" t="s">
        <v>45557</v>
      </c>
      <c r="G7469" s="1" t="s">
        <v>45558</v>
      </c>
      <c r="H7469" s="200"/>
      <c r="I7469" s="346"/>
      <c r="J7469" s="39">
        <v>112745</v>
      </c>
      <c r="K7469" s="36" t="str">
        <f>CONCATENATE(Cover!$D$6,"fdd/view?i=",J7469)</f>
        <v>https://www.dgiwg.org/FAD/fdd/view?i=112745</v>
      </c>
      <c r="L7469" s="36" t="s">
        <v>45559</v>
      </c>
      <c r="M7469" s="186"/>
      <c r="N7469" s="186"/>
      <c r="O7469" s="172"/>
    </row>
    <row r="7470" spans="1:15" ht="25.5" x14ac:dyDescent="0.2">
      <c r="A7470" s="197" t="str">
        <f t="shared" si="116"/>
        <v>RvtCode_ngaArcDigRasterGraphic</v>
      </c>
      <c r="B7470" s="409"/>
      <c r="C7470" s="416"/>
      <c r="D7470" s="198" t="s">
        <v>45194</v>
      </c>
      <c r="E7470" s="198">
        <v>1</v>
      </c>
      <c r="F7470" s="199" t="s">
        <v>45195</v>
      </c>
      <c r="G7470" s="1" t="s">
        <v>45196</v>
      </c>
      <c r="H7470" s="200"/>
      <c r="I7470" s="346"/>
      <c r="J7470" s="39">
        <v>110332</v>
      </c>
      <c r="K7470" s="36" t="str">
        <f>CONCATENATE(Cover!$D$6,"fdd/view?i=",J7470)</f>
        <v>https://www.dgiwg.org/FAD/fdd/view?i=110332</v>
      </c>
      <c r="L7470" s="36" t="s">
        <v>45197</v>
      </c>
      <c r="M7470" s="186"/>
      <c r="N7470" s="186"/>
      <c r="O7470" s="172"/>
    </row>
    <row r="7471" spans="1:15" ht="25.5" x14ac:dyDescent="0.2">
      <c r="A7471" s="197" t="str">
        <f t="shared" si="116"/>
        <v>RvtCode_ngaAutoAirFacInfoFile</v>
      </c>
      <c r="B7471" s="409"/>
      <c r="C7471" s="416"/>
      <c r="D7471" s="198" t="s">
        <v>45190</v>
      </c>
      <c r="E7471" s="198">
        <v>2</v>
      </c>
      <c r="F7471" s="199" t="s">
        <v>45191</v>
      </c>
      <c r="G7471" s="1" t="s">
        <v>45192</v>
      </c>
      <c r="H7471" s="200"/>
      <c r="I7471" s="346"/>
      <c r="J7471" s="39">
        <v>110343</v>
      </c>
      <c r="K7471" s="36" t="str">
        <f>CONCATENATE(Cover!$D$6,"fdd/view?i=",J7471)</f>
        <v>https://www.dgiwg.org/FAD/fdd/view?i=110343</v>
      </c>
      <c r="L7471" s="36" t="s">
        <v>45193</v>
      </c>
      <c r="M7471" s="186"/>
      <c r="N7471" s="186"/>
      <c r="O7471" s="172"/>
    </row>
    <row r="7472" spans="1:15" ht="25.5" x14ac:dyDescent="0.2">
      <c r="A7472" s="197" t="str">
        <f t="shared" si="116"/>
        <v>RvtCode_ngaChartUpdateManual</v>
      </c>
      <c r="B7472" s="409"/>
      <c r="C7472" s="416"/>
      <c r="D7472" s="198" t="s">
        <v>45222</v>
      </c>
      <c r="E7472" s="198">
        <v>3</v>
      </c>
      <c r="F7472" s="199" t="s">
        <v>45223</v>
      </c>
      <c r="G7472" s="1" t="s">
        <v>45224</v>
      </c>
      <c r="H7472" s="200"/>
      <c r="I7472" s="346"/>
      <c r="J7472" s="39">
        <v>110354</v>
      </c>
      <c r="K7472" s="36" t="str">
        <f>CONCATENATE(Cover!$D$6,"fdd/view?i=",J7472)</f>
        <v>https://www.dgiwg.org/FAD/fdd/view?i=110354</v>
      </c>
      <c r="L7472" s="36" t="s">
        <v>45225</v>
      </c>
      <c r="M7472" s="186"/>
      <c r="N7472" s="186"/>
      <c r="O7472" s="172"/>
    </row>
    <row r="7473" spans="1:15" ht="25.5" x14ac:dyDescent="0.2">
      <c r="A7473" s="197" t="str">
        <f t="shared" si="116"/>
        <v>RvtCode_ngaCityGraphic</v>
      </c>
      <c r="B7473" s="409"/>
      <c r="C7473" s="416"/>
      <c r="D7473" s="198" t="s">
        <v>45234</v>
      </c>
      <c r="E7473" s="198">
        <v>4</v>
      </c>
      <c r="F7473" s="199" t="s">
        <v>45235</v>
      </c>
      <c r="G7473" s="1" t="s">
        <v>45236</v>
      </c>
      <c r="H7473" s="200"/>
      <c r="I7473" s="346"/>
      <c r="J7473" s="39">
        <v>110365</v>
      </c>
      <c r="K7473" s="36" t="str">
        <f>CONCATENATE(Cover!$D$6,"fdd/view?i=",J7473)</f>
        <v>https://www.dgiwg.org/FAD/fdd/view?i=110365</v>
      </c>
      <c r="L7473" s="36" t="s">
        <v>45237</v>
      </c>
      <c r="M7473" s="186"/>
      <c r="N7473" s="186"/>
      <c r="O7473" s="172"/>
    </row>
    <row r="7474" spans="1:15" ht="25.5" x14ac:dyDescent="0.2">
      <c r="A7474" s="197" t="str">
        <f t="shared" si="116"/>
        <v>RvtCode_ngaCombatChart</v>
      </c>
      <c r="B7474" s="409"/>
      <c r="C7474" s="416"/>
      <c r="D7474" s="198" t="s">
        <v>45238</v>
      </c>
      <c r="E7474" s="198">
        <v>5</v>
      </c>
      <c r="F7474" s="199" t="s">
        <v>45239</v>
      </c>
      <c r="G7474" s="1" t="s">
        <v>45240</v>
      </c>
      <c r="H7474" s="200"/>
      <c r="I7474" s="346"/>
      <c r="J7474" s="39">
        <v>110376</v>
      </c>
      <c r="K7474" s="36" t="str">
        <f>CONCATENATE(Cover!$D$6,"fdd/view?i=",J7474)</f>
        <v>https://www.dgiwg.org/FAD/fdd/view?i=110376</v>
      </c>
      <c r="L7474" s="36" t="s">
        <v>45241</v>
      </c>
      <c r="M7474" s="186"/>
      <c r="N7474" s="186"/>
      <c r="O7474" s="172"/>
    </row>
    <row r="7475" spans="1:15" ht="25.5" x14ac:dyDescent="0.2">
      <c r="A7475" s="197" t="str">
        <f t="shared" si="116"/>
        <v>RvtCode_ngaCompressedAdrg</v>
      </c>
      <c r="B7475" s="409"/>
      <c r="C7475" s="416"/>
      <c r="D7475" s="198" t="s">
        <v>45210</v>
      </c>
      <c r="E7475" s="198">
        <v>6</v>
      </c>
      <c r="F7475" s="199" t="s">
        <v>45211</v>
      </c>
      <c r="G7475" s="1" t="s">
        <v>45212</v>
      </c>
      <c r="H7475" s="200"/>
      <c r="I7475" s="346"/>
      <c r="J7475" s="39">
        <v>110387</v>
      </c>
      <c r="K7475" s="36" t="str">
        <f>CONCATENATE(Cover!$D$6,"fdd/view?i=",J7475)</f>
        <v>https://www.dgiwg.org/FAD/fdd/view?i=110387</v>
      </c>
      <c r="L7475" s="36" t="s">
        <v>45213</v>
      </c>
      <c r="M7475" s="186"/>
      <c r="N7475" s="186"/>
      <c r="O7475" s="172"/>
    </row>
    <row r="7476" spans="1:15" ht="25.5" x14ac:dyDescent="0.2">
      <c r="A7476" s="197" t="str">
        <f t="shared" si="116"/>
        <v>RvtCode_ngaControlledImageBase1</v>
      </c>
      <c r="B7476" s="409"/>
      <c r="C7476" s="416"/>
      <c r="D7476" s="198" t="s">
        <v>45226</v>
      </c>
      <c r="E7476" s="198">
        <v>7</v>
      </c>
      <c r="F7476" s="199" t="s">
        <v>45227</v>
      </c>
      <c r="G7476" s="1" t="s">
        <v>45228</v>
      </c>
      <c r="H7476" s="200"/>
      <c r="I7476" s="346"/>
      <c r="J7476" s="39">
        <v>110394</v>
      </c>
      <c r="K7476" s="36" t="str">
        <f>CONCATENATE(Cover!$D$6,"fdd/view?i=",J7476)</f>
        <v>https://www.dgiwg.org/FAD/fdd/view?i=110394</v>
      </c>
      <c r="L7476" s="36" t="s">
        <v>45229</v>
      </c>
      <c r="M7476" s="186"/>
      <c r="N7476" s="186"/>
      <c r="O7476" s="172"/>
    </row>
    <row r="7477" spans="1:15" ht="25.5" x14ac:dyDescent="0.2">
      <c r="A7477" s="197" t="str">
        <f t="shared" si="116"/>
        <v>RvtCode_ngaControlledImageBase5</v>
      </c>
      <c r="B7477" s="409"/>
      <c r="C7477" s="416"/>
      <c r="D7477" s="198" t="s">
        <v>45230</v>
      </c>
      <c r="E7477" s="198">
        <v>8</v>
      </c>
      <c r="F7477" s="199" t="s">
        <v>45231</v>
      </c>
      <c r="G7477" s="1" t="s">
        <v>45232</v>
      </c>
      <c r="H7477" s="200"/>
      <c r="I7477" s="346"/>
      <c r="J7477" s="39">
        <v>110395</v>
      </c>
      <c r="K7477" s="36" t="str">
        <f>CONCATENATE(Cover!$D$6,"fdd/view?i=",J7477)</f>
        <v>https://www.dgiwg.org/FAD/fdd/view?i=110395</v>
      </c>
      <c r="L7477" s="36" t="s">
        <v>45233</v>
      </c>
      <c r="M7477" s="186"/>
      <c r="N7477" s="186"/>
      <c r="O7477" s="172"/>
    </row>
    <row r="7478" spans="1:15" ht="25.5" x14ac:dyDescent="0.2">
      <c r="A7478" s="197" t="str">
        <f t="shared" si="116"/>
        <v>RvtCode_ngaDigitalNauticalChart</v>
      </c>
      <c r="B7478" s="409"/>
      <c r="C7478" s="416"/>
      <c r="D7478" s="198" t="s">
        <v>45254</v>
      </c>
      <c r="E7478" s="198">
        <v>10</v>
      </c>
      <c r="F7478" s="199" t="s">
        <v>30030</v>
      </c>
      <c r="G7478" s="1" t="s">
        <v>45255</v>
      </c>
      <c r="H7478" s="200"/>
      <c r="I7478" s="346"/>
      <c r="J7478" s="39">
        <v>110333</v>
      </c>
      <c r="K7478" s="36" t="str">
        <f>CONCATENATE(Cover!$D$6,"fdd/view?i=",J7478)</f>
        <v>https://www.dgiwg.org/FAD/fdd/view?i=110333</v>
      </c>
      <c r="L7478" s="36" t="s">
        <v>45256</v>
      </c>
      <c r="M7478" s="186"/>
      <c r="N7478" s="186"/>
      <c r="O7478" s="172"/>
    </row>
    <row r="7479" spans="1:15" ht="25.5" x14ac:dyDescent="0.2">
      <c r="A7479" s="197" t="str">
        <f t="shared" si="116"/>
        <v>RvtCode_ngaDigitalPrintFile</v>
      </c>
      <c r="B7479" s="409"/>
      <c r="C7479" s="416"/>
      <c r="D7479" s="198" t="s">
        <v>45257</v>
      </c>
      <c r="E7479" s="198">
        <v>11</v>
      </c>
      <c r="F7479" s="199" t="s">
        <v>45258</v>
      </c>
      <c r="G7479" s="1" t="s">
        <v>45259</v>
      </c>
      <c r="H7479" s="200"/>
      <c r="I7479" s="346"/>
      <c r="J7479" s="39">
        <v>110334</v>
      </c>
      <c r="K7479" s="36" t="str">
        <f>CONCATENATE(Cover!$D$6,"fdd/view?i=",J7479)</f>
        <v>https://www.dgiwg.org/FAD/fdd/view?i=110334</v>
      </c>
      <c r="L7479" s="36" t="s">
        <v>45260</v>
      </c>
      <c r="M7479" s="186"/>
      <c r="N7479" s="186"/>
      <c r="O7479" s="172"/>
    </row>
    <row r="7480" spans="1:15" ht="25.5" x14ac:dyDescent="0.2">
      <c r="A7480" s="197" t="str">
        <f t="shared" si="116"/>
        <v>RvtCode_ngaDigitalTerrElevData1</v>
      </c>
      <c r="B7480" s="409"/>
      <c r="C7480" s="416"/>
      <c r="D7480" s="198" t="s">
        <v>45261</v>
      </c>
      <c r="E7480" s="198">
        <v>12</v>
      </c>
      <c r="F7480" s="199" t="s">
        <v>45262</v>
      </c>
      <c r="G7480" s="1" t="s">
        <v>45263</v>
      </c>
      <c r="H7480" s="200"/>
      <c r="I7480" s="346"/>
      <c r="J7480" s="39">
        <v>110335</v>
      </c>
      <c r="K7480" s="36" t="str">
        <f>CONCATENATE(Cover!$D$6,"fdd/view?i=",J7480)</f>
        <v>https://www.dgiwg.org/FAD/fdd/view?i=110335</v>
      </c>
      <c r="L7480" s="36" t="s">
        <v>45264</v>
      </c>
      <c r="M7480" s="186"/>
      <c r="N7480" s="186"/>
      <c r="O7480" s="172"/>
    </row>
    <row r="7481" spans="1:15" ht="25.5" x14ac:dyDescent="0.2">
      <c r="A7481" s="197" t="str">
        <f t="shared" si="116"/>
        <v>RvtCode_ngaDigitalTerrElevData2</v>
      </c>
      <c r="B7481" s="409"/>
      <c r="C7481" s="416"/>
      <c r="D7481" s="198" t="s">
        <v>45265</v>
      </c>
      <c r="E7481" s="198">
        <v>13</v>
      </c>
      <c r="F7481" s="199" t="s">
        <v>45266</v>
      </c>
      <c r="G7481" s="1" t="s">
        <v>45267</v>
      </c>
      <c r="H7481" s="200"/>
      <c r="I7481" s="346"/>
      <c r="J7481" s="39">
        <v>110336</v>
      </c>
      <c r="K7481" s="36" t="str">
        <f>CONCATENATE(Cover!$D$6,"fdd/view?i=",J7481)</f>
        <v>https://www.dgiwg.org/FAD/fdd/view?i=110336</v>
      </c>
      <c r="L7481" s="36" t="s">
        <v>45268</v>
      </c>
      <c r="M7481" s="186"/>
      <c r="N7481" s="186"/>
      <c r="O7481" s="172"/>
    </row>
    <row r="7482" spans="1:15" ht="25.5" x14ac:dyDescent="0.2">
      <c r="A7482" s="197" t="str">
        <f t="shared" si="116"/>
        <v>RvtCode_ngaDigitalTerrElevData3</v>
      </c>
      <c r="B7482" s="409"/>
      <c r="C7482" s="416"/>
      <c r="D7482" s="198" t="s">
        <v>45269</v>
      </c>
      <c r="E7482" s="198">
        <v>14</v>
      </c>
      <c r="F7482" s="199" t="s">
        <v>45270</v>
      </c>
      <c r="G7482" s="1" t="s">
        <v>45271</v>
      </c>
      <c r="H7482" s="200"/>
      <c r="I7482" s="346"/>
      <c r="J7482" s="39">
        <v>110337</v>
      </c>
      <c r="K7482" s="36" t="str">
        <f>CONCATENATE(Cover!$D$6,"fdd/view?i=",J7482)</f>
        <v>https://www.dgiwg.org/FAD/fdd/view?i=110337</v>
      </c>
      <c r="L7482" s="36" t="s">
        <v>45272</v>
      </c>
      <c r="M7482" s="186"/>
      <c r="N7482" s="186"/>
      <c r="O7482" s="172"/>
    </row>
    <row r="7483" spans="1:15" ht="25.5" x14ac:dyDescent="0.2">
      <c r="A7483" s="197" t="str">
        <f t="shared" si="116"/>
        <v>RvtCode_ngaDigitalTerrElevData4</v>
      </c>
      <c r="B7483" s="409"/>
      <c r="C7483" s="416"/>
      <c r="D7483" s="198" t="s">
        <v>45273</v>
      </c>
      <c r="E7483" s="198">
        <v>15</v>
      </c>
      <c r="F7483" s="199" t="s">
        <v>45274</v>
      </c>
      <c r="G7483" s="1" t="s">
        <v>45275</v>
      </c>
      <c r="H7483" s="200"/>
      <c r="I7483" s="346"/>
      <c r="J7483" s="39">
        <v>110338</v>
      </c>
      <c r="K7483" s="36" t="str">
        <f>CONCATENATE(Cover!$D$6,"fdd/view?i=",J7483)</f>
        <v>https://www.dgiwg.org/FAD/fdd/view?i=110338</v>
      </c>
      <c r="L7483" s="36" t="s">
        <v>45276</v>
      </c>
      <c r="M7483" s="186"/>
      <c r="N7483" s="186"/>
      <c r="O7483" s="172"/>
    </row>
    <row r="7484" spans="1:15" ht="25.5" x14ac:dyDescent="0.2">
      <c r="A7484" s="197" t="str">
        <f t="shared" si="116"/>
        <v>RvtCode_ngaDigitalTopoData1</v>
      </c>
      <c r="B7484" s="409"/>
      <c r="C7484" s="416"/>
      <c r="D7484" s="198" t="s">
        <v>45277</v>
      </c>
      <c r="E7484" s="198">
        <v>16</v>
      </c>
      <c r="F7484" s="199" t="s">
        <v>45278</v>
      </c>
      <c r="G7484" s="1" t="s">
        <v>45279</v>
      </c>
      <c r="H7484" s="200"/>
      <c r="I7484" s="346"/>
      <c r="J7484" s="39">
        <v>110339</v>
      </c>
      <c r="K7484" s="36" t="str">
        <f>CONCATENATE(Cover!$D$6,"fdd/view?i=",J7484)</f>
        <v>https://www.dgiwg.org/FAD/fdd/view?i=110339</v>
      </c>
      <c r="L7484" s="36" t="s">
        <v>45280</v>
      </c>
      <c r="M7484" s="186"/>
      <c r="N7484" s="186"/>
      <c r="O7484" s="172"/>
    </row>
    <row r="7485" spans="1:15" ht="25.5" x14ac:dyDescent="0.2">
      <c r="A7485" s="197" t="str">
        <f t="shared" si="116"/>
        <v>RvtCode_ngaDigitalTopoData2</v>
      </c>
      <c r="B7485" s="409"/>
      <c r="C7485" s="416"/>
      <c r="D7485" s="198" t="s">
        <v>45281</v>
      </c>
      <c r="E7485" s="198">
        <v>17</v>
      </c>
      <c r="F7485" s="199" t="s">
        <v>45282</v>
      </c>
      <c r="G7485" s="1" t="s">
        <v>45283</v>
      </c>
      <c r="H7485" s="200"/>
      <c r="I7485" s="346"/>
      <c r="J7485" s="39">
        <v>110340</v>
      </c>
      <c r="K7485" s="36" t="str">
        <f>CONCATENATE(Cover!$D$6,"fdd/view?i=",J7485)</f>
        <v>https://www.dgiwg.org/FAD/fdd/view?i=110340</v>
      </c>
      <c r="L7485" s="36" t="s">
        <v>45284</v>
      </c>
      <c r="M7485" s="186"/>
      <c r="N7485" s="186"/>
      <c r="O7485" s="172"/>
    </row>
    <row r="7486" spans="1:15" ht="25.5" x14ac:dyDescent="0.2">
      <c r="A7486" s="197" t="str">
        <f t="shared" si="116"/>
        <v>RvtCode_ngaDigitalTopoData3</v>
      </c>
      <c r="B7486" s="409"/>
      <c r="C7486" s="416"/>
      <c r="D7486" s="198" t="s">
        <v>45285</v>
      </c>
      <c r="E7486" s="198">
        <v>18</v>
      </c>
      <c r="F7486" s="199" t="s">
        <v>45286</v>
      </c>
      <c r="G7486" s="1" t="s">
        <v>45287</v>
      </c>
      <c r="H7486" s="200"/>
      <c r="I7486" s="346"/>
      <c r="J7486" s="39">
        <v>110341</v>
      </c>
      <c r="K7486" s="36" t="str">
        <f>CONCATENATE(Cover!$D$6,"fdd/view?i=",J7486)</f>
        <v>https://www.dgiwg.org/FAD/fdd/view?i=110341</v>
      </c>
      <c r="L7486" s="36" t="s">
        <v>45288</v>
      </c>
      <c r="M7486" s="186"/>
      <c r="N7486" s="186"/>
      <c r="O7486" s="172"/>
    </row>
    <row r="7487" spans="1:15" ht="25.5" x14ac:dyDescent="0.2">
      <c r="A7487" s="197" t="str">
        <f t="shared" si="116"/>
        <v>RvtCode_ngaDigitalTopoData4</v>
      </c>
      <c r="B7487" s="409"/>
      <c r="C7487" s="416"/>
      <c r="D7487" s="198" t="s">
        <v>45289</v>
      </c>
      <c r="E7487" s="198">
        <v>19</v>
      </c>
      <c r="F7487" s="199" t="s">
        <v>45290</v>
      </c>
      <c r="G7487" s="1" t="s">
        <v>45291</v>
      </c>
      <c r="H7487" s="200"/>
      <c r="I7487" s="346"/>
      <c r="J7487" s="39">
        <v>110342</v>
      </c>
      <c r="K7487" s="36" t="str">
        <f>CONCATENATE(Cover!$D$6,"fdd/view?i=",J7487)</f>
        <v>https://www.dgiwg.org/FAD/fdd/view?i=110342</v>
      </c>
      <c r="L7487" s="36" t="s">
        <v>45292</v>
      </c>
      <c r="M7487" s="186"/>
      <c r="N7487" s="186"/>
      <c r="O7487" s="172"/>
    </row>
    <row r="7488" spans="1:15" ht="25.5" x14ac:dyDescent="0.2">
      <c r="A7488" s="197" t="str">
        <f t="shared" si="116"/>
        <v>RvtCode_ngaDigitalTopoData5</v>
      </c>
      <c r="B7488" s="409"/>
      <c r="C7488" s="416"/>
      <c r="D7488" s="198" t="s">
        <v>45293</v>
      </c>
      <c r="E7488" s="198">
        <v>20</v>
      </c>
      <c r="F7488" s="199" t="s">
        <v>45294</v>
      </c>
      <c r="G7488" s="1" t="s">
        <v>45295</v>
      </c>
      <c r="H7488" s="200"/>
      <c r="I7488" s="346"/>
      <c r="J7488" s="39">
        <v>110344</v>
      </c>
      <c r="K7488" s="36" t="str">
        <f>CONCATENATE(Cover!$D$6,"fdd/view?i=",J7488)</f>
        <v>https://www.dgiwg.org/FAD/fdd/view?i=110344</v>
      </c>
      <c r="L7488" s="36" t="s">
        <v>45296</v>
      </c>
      <c r="M7488" s="186"/>
      <c r="N7488" s="186"/>
      <c r="O7488" s="172"/>
    </row>
    <row r="7489" spans="1:15" ht="25.5" x14ac:dyDescent="0.2">
      <c r="A7489" s="197" t="str">
        <f t="shared" si="116"/>
        <v>RvtCode_ngaDigitalVertObstruction</v>
      </c>
      <c r="B7489" s="409"/>
      <c r="C7489" s="416"/>
      <c r="D7489" s="198" t="s">
        <v>45297</v>
      </c>
      <c r="E7489" s="198">
        <v>21</v>
      </c>
      <c r="F7489" s="199" t="s">
        <v>45298</v>
      </c>
      <c r="G7489" s="1" t="s">
        <v>45299</v>
      </c>
      <c r="H7489" s="200"/>
      <c r="I7489" s="346"/>
      <c r="J7489" s="39">
        <v>110345</v>
      </c>
      <c r="K7489" s="36" t="str">
        <f>CONCATENATE(Cover!$D$6,"fdd/view?i=",J7489)</f>
        <v>https://www.dgiwg.org/FAD/fdd/view?i=110345</v>
      </c>
      <c r="L7489" s="36" t="s">
        <v>45300</v>
      </c>
      <c r="M7489" s="186"/>
      <c r="N7489" s="186"/>
      <c r="O7489" s="172"/>
    </row>
    <row r="7490" spans="1:15" ht="25.5" x14ac:dyDescent="0.2">
      <c r="A7490" s="197" t="str">
        <f t="shared" ref="A7490:A7553" si="117">HYPERLINK(K7490,L7490)</f>
        <v>RvtCode_ngaFfdWithRtad</v>
      </c>
      <c r="B7490" s="409"/>
      <c r="C7490" s="416"/>
      <c r="D7490" s="198" t="s">
        <v>45309</v>
      </c>
      <c r="E7490" s="198">
        <v>23</v>
      </c>
      <c r="F7490" s="199" t="s">
        <v>45310</v>
      </c>
      <c r="G7490" s="1" t="s">
        <v>45311</v>
      </c>
      <c r="H7490" s="200"/>
      <c r="I7490" s="346"/>
      <c r="J7490" s="39">
        <v>110347</v>
      </c>
      <c r="K7490" s="36" t="str">
        <f>CONCATENATE(Cover!$D$6,"fdd/view?i=",J7490)</f>
        <v>https://www.dgiwg.org/FAD/fdd/view?i=110347</v>
      </c>
      <c r="L7490" s="36" t="s">
        <v>45312</v>
      </c>
      <c r="M7490" s="186"/>
      <c r="N7490" s="186"/>
      <c r="O7490" s="172"/>
    </row>
    <row r="7491" spans="1:15" ht="25.5" x14ac:dyDescent="0.2">
      <c r="A7491" s="197" t="str">
        <f t="shared" si="117"/>
        <v>RvtCode_ngaFoundationFeatureData</v>
      </c>
      <c r="B7491" s="409"/>
      <c r="C7491" s="416"/>
      <c r="D7491" s="198" t="s">
        <v>45305</v>
      </c>
      <c r="E7491" s="198">
        <v>22</v>
      </c>
      <c r="F7491" s="199" t="s">
        <v>45306</v>
      </c>
      <c r="G7491" s="1" t="s">
        <v>45307</v>
      </c>
      <c r="H7491" s="200"/>
      <c r="I7491" s="346"/>
      <c r="J7491" s="39">
        <v>110346</v>
      </c>
      <c r="K7491" s="36" t="str">
        <f>CONCATENATE(Cover!$D$6,"fdd/view?i=",J7491)</f>
        <v>https://www.dgiwg.org/FAD/fdd/view?i=110346</v>
      </c>
      <c r="L7491" s="36" t="s">
        <v>45308</v>
      </c>
      <c r="M7491" s="186"/>
      <c r="N7491" s="186"/>
      <c r="O7491" s="172"/>
    </row>
    <row r="7492" spans="1:15" ht="25.5" x14ac:dyDescent="0.2">
      <c r="A7492" s="197" t="str">
        <f t="shared" si="117"/>
        <v>RvtCode_ngaGeoLandCover</v>
      </c>
      <c r="B7492" s="409"/>
      <c r="C7492" s="416"/>
      <c r="D7492" s="198" t="s">
        <v>45445</v>
      </c>
      <c r="E7492" s="198">
        <v>24</v>
      </c>
      <c r="F7492" s="199" t="s">
        <v>3796</v>
      </c>
      <c r="G7492" s="1" t="s">
        <v>45446</v>
      </c>
      <c r="H7492" s="200"/>
      <c r="I7492" s="346"/>
      <c r="J7492" s="39">
        <v>110348</v>
      </c>
      <c r="K7492" s="36" t="str">
        <f>CONCATENATE(Cover!$D$6,"fdd/view?i=",J7492)</f>
        <v>https://www.dgiwg.org/FAD/fdd/view?i=110348</v>
      </c>
      <c r="L7492" s="36" t="s">
        <v>45447</v>
      </c>
      <c r="M7492" s="186"/>
      <c r="N7492" s="186"/>
      <c r="O7492" s="172"/>
    </row>
    <row r="7493" spans="1:15" ht="25.5" x14ac:dyDescent="0.2">
      <c r="A7493" s="197" t="str">
        <f t="shared" si="117"/>
        <v>RvtCode_ngaGeoNames</v>
      </c>
      <c r="B7493" s="409"/>
      <c r="C7493" s="416"/>
      <c r="D7493" s="198" t="s">
        <v>45373</v>
      </c>
      <c r="E7493" s="198">
        <v>25</v>
      </c>
      <c r="F7493" s="199" t="s">
        <v>45374</v>
      </c>
      <c r="G7493" s="1" t="s">
        <v>45375</v>
      </c>
      <c r="H7493" s="200"/>
      <c r="I7493" s="346"/>
      <c r="J7493" s="39">
        <v>110349</v>
      </c>
      <c r="K7493" s="36" t="str">
        <f>CONCATENATE(Cover!$D$6,"fdd/view?i=",J7493)</f>
        <v>https://www.dgiwg.org/FAD/fdd/view?i=110349</v>
      </c>
      <c r="L7493" s="36" t="s">
        <v>45376</v>
      </c>
      <c r="M7493" s="186"/>
      <c r="N7493" s="186"/>
      <c r="O7493" s="172"/>
    </row>
    <row r="7494" spans="1:15" ht="25.5" x14ac:dyDescent="0.2">
      <c r="A7494" s="197" t="str">
        <f t="shared" si="117"/>
        <v>RvtCode_ngaImageCityMap</v>
      </c>
      <c r="B7494" s="409"/>
      <c r="C7494" s="416"/>
      <c r="D7494" s="198" t="s">
        <v>45397</v>
      </c>
      <c r="E7494" s="198">
        <v>27</v>
      </c>
      <c r="F7494" s="199" t="s">
        <v>45398</v>
      </c>
      <c r="G7494" s="1" t="s">
        <v>45399</v>
      </c>
      <c r="H7494" s="200"/>
      <c r="I7494" s="346"/>
      <c r="J7494" s="39">
        <v>110351</v>
      </c>
      <c r="K7494" s="36" t="str">
        <f>CONCATENATE(Cover!$D$6,"fdd/view?i=",J7494)</f>
        <v>https://www.dgiwg.org/FAD/fdd/view?i=110351</v>
      </c>
      <c r="L7494" s="36" t="s">
        <v>45400</v>
      </c>
      <c r="M7494" s="186"/>
      <c r="N7494" s="186"/>
      <c r="O7494" s="172"/>
    </row>
    <row r="7495" spans="1:15" ht="25.5" x14ac:dyDescent="0.2">
      <c r="A7495" s="197" t="str">
        <f t="shared" si="117"/>
        <v>RvtCode_ngaInterimTerrainData</v>
      </c>
      <c r="B7495" s="409"/>
      <c r="C7495" s="416"/>
      <c r="D7495" s="198" t="s">
        <v>45429</v>
      </c>
      <c r="E7495" s="198">
        <v>31</v>
      </c>
      <c r="F7495" s="199" t="s">
        <v>45430</v>
      </c>
      <c r="G7495" s="1" t="s">
        <v>45431</v>
      </c>
      <c r="H7495" s="200"/>
      <c r="I7495" s="346"/>
      <c r="J7495" s="39">
        <v>110356</v>
      </c>
      <c r="K7495" s="36" t="str">
        <f>CONCATENATE(Cover!$D$6,"fdd/view?i=",J7495)</f>
        <v>https://www.dgiwg.org/FAD/fdd/view?i=110356</v>
      </c>
      <c r="L7495" s="36" t="s">
        <v>45432</v>
      </c>
      <c r="M7495" s="186"/>
      <c r="N7495" s="186"/>
      <c r="O7495" s="172"/>
    </row>
    <row r="7496" spans="1:15" ht="25.5" x14ac:dyDescent="0.2">
      <c r="A7496" s="197" t="str">
        <f t="shared" si="117"/>
        <v>RvtCode_ngaInterimVectorData</v>
      </c>
      <c r="B7496" s="409"/>
      <c r="C7496" s="416"/>
      <c r="D7496" s="198" t="s">
        <v>45433</v>
      </c>
      <c r="E7496" s="198">
        <v>32</v>
      </c>
      <c r="F7496" s="199" t="s">
        <v>45434</v>
      </c>
      <c r="G7496" s="1" t="s">
        <v>45435</v>
      </c>
      <c r="H7496" s="200"/>
      <c r="I7496" s="346"/>
      <c r="J7496" s="39">
        <v>110357</v>
      </c>
      <c r="K7496" s="36" t="str">
        <f>CONCATENATE(Cover!$D$6,"fdd/view?i=",J7496)</f>
        <v>https://www.dgiwg.org/FAD/fdd/view?i=110357</v>
      </c>
      <c r="L7496" s="36" t="s">
        <v>45436</v>
      </c>
      <c r="M7496" s="186"/>
      <c r="N7496" s="186"/>
      <c r="O7496" s="172"/>
    </row>
    <row r="7497" spans="1:15" ht="25.5" x14ac:dyDescent="0.2">
      <c r="A7497" s="197" t="str">
        <f t="shared" si="117"/>
        <v>RvtCode_ngaInternationalBoundary</v>
      </c>
      <c r="B7497" s="409"/>
      <c r="C7497" s="416"/>
      <c r="D7497" s="198" t="s">
        <v>45425</v>
      </c>
      <c r="E7497" s="198">
        <v>33</v>
      </c>
      <c r="F7497" s="199" t="s">
        <v>45426</v>
      </c>
      <c r="G7497" s="1" t="s">
        <v>45427</v>
      </c>
      <c r="H7497" s="200"/>
      <c r="I7497" s="346"/>
      <c r="J7497" s="39">
        <v>110358</v>
      </c>
      <c r="K7497" s="36" t="str">
        <f>CONCATENATE(Cover!$D$6,"fdd/view?i=",J7497)</f>
        <v>https://www.dgiwg.org/FAD/fdd/view?i=110358</v>
      </c>
      <c r="L7497" s="36" t="s">
        <v>45428</v>
      </c>
      <c r="M7497" s="186"/>
      <c r="N7497" s="186"/>
      <c r="O7497" s="172"/>
    </row>
    <row r="7498" spans="1:15" ht="25.5" x14ac:dyDescent="0.2">
      <c r="A7498" s="197" t="str">
        <f t="shared" si="117"/>
        <v>RvtCode_ngaJointOperatGraphic</v>
      </c>
      <c r="B7498" s="409"/>
      <c r="C7498" s="416"/>
      <c r="D7498" s="198" t="s">
        <v>45437</v>
      </c>
      <c r="E7498" s="198">
        <v>34</v>
      </c>
      <c r="F7498" s="199" t="s">
        <v>45438</v>
      </c>
      <c r="G7498" s="1" t="s">
        <v>45439</v>
      </c>
      <c r="H7498" s="200"/>
      <c r="I7498" s="346"/>
      <c r="J7498" s="39">
        <v>110359</v>
      </c>
      <c r="K7498" s="36" t="str">
        <f>CONCATENATE(Cover!$D$6,"fdd/view?i=",J7498)</f>
        <v>https://www.dgiwg.org/FAD/fdd/view?i=110359</v>
      </c>
      <c r="L7498" s="36" t="s">
        <v>45440</v>
      </c>
      <c r="M7498" s="186"/>
      <c r="N7498" s="186"/>
      <c r="O7498" s="172"/>
    </row>
    <row r="7499" spans="1:15" ht="25.5" x14ac:dyDescent="0.2">
      <c r="A7499" s="197" t="str">
        <f t="shared" si="117"/>
        <v>RvtCode_ngaLittoralWarfareData</v>
      </c>
      <c r="B7499" s="409"/>
      <c r="C7499" s="416"/>
      <c r="D7499" s="198" t="s">
        <v>45460</v>
      </c>
      <c r="E7499" s="198">
        <v>36</v>
      </c>
      <c r="F7499" s="199" t="s">
        <v>45461</v>
      </c>
      <c r="G7499" s="1" t="s">
        <v>45462</v>
      </c>
      <c r="H7499" s="200"/>
      <c r="I7499" s="346"/>
      <c r="J7499" s="39">
        <v>110361</v>
      </c>
      <c r="K7499" s="36" t="str">
        <f>CONCATENATE(Cover!$D$6,"fdd/view?i=",J7499)</f>
        <v>https://www.dgiwg.org/FAD/fdd/view?i=110361</v>
      </c>
      <c r="L7499" s="36" t="s">
        <v>45463</v>
      </c>
      <c r="M7499" s="186"/>
      <c r="N7499" s="186"/>
      <c r="O7499" s="172"/>
    </row>
    <row r="7500" spans="1:15" ht="25.5" x14ac:dyDescent="0.2">
      <c r="A7500" s="197" t="str">
        <f t="shared" si="117"/>
        <v>RvtCode_ngaMedicalFacilities</v>
      </c>
      <c r="B7500" s="409"/>
      <c r="C7500" s="416"/>
      <c r="D7500" s="198" t="s">
        <v>45484</v>
      </c>
      <c r="E7500" s="198">
        <v>46</v>
      </c>
      <c r="F7500" s="199" t="s">
        <v>45485</v>
      </c>
      <c r="G7500" s="1" t="s">
        <v>45486</v>
      </c>
      <c r="H7500" s="200"/>
      <c r="I7500" s="346"/>
      <c r="J7500" s="39">
        <v>110372</v>
      </c>
      <c r="K7500" s="36" t="str">
        <f>CONCATENATE(Cover!$D$6,"fdd/view?i=",J7500)</f>
        <v>https://www.dgiwg.org/FAD/fdd/view?i=110372</v>
      </c>
      <c r="L7500" s="36" t="s">
        <v>45487</v>
      </c>
      <c r="M7500" s="186"/>
      <c r="N7500" s="186"/>
      <c r="O7500" s="172"/>
    </row>
    <row r="7501" spans="1:15" ht="25.5" x14ac:dyDescent="0.2">
      <c r="A7501" s="197" t="str">
        <f t="shared" si="117"/>
        <v>RvtCode_ngaMissionSpecificData1</v>
      </c>
      <c r="B7501" s="409"/>
      <c r="C7501" s="416"/>
      <c r="D7501" s="198" t="s">
        <v>45500</v>
      </c>
      <c r="E7501" s="198">
        <v>38</v>
      </c>
      <c r="F7501" s="199" t="s">
        <v>45501</v>
      </c>
      <c r="G7501" s="1" t="s">
        <v>45502</v>
      </c>
      <c r="H7501" s="200"/>
      <c r="I7501" s="346"/>
      <c r="J7501" s="39">
        <v>110363</v>
      </c>
      <c r="K7501" s="36" t="str">
        <f>CONCATENATE(Cover!$D$6,"fdd/view?i=",J7501)</f>
        <v>https://www.dgiwg.org/FAD/fdd/view?i=110363</v>
      </c>
      <c r="L7501" s="36" t="s">
        <v>45503</v>
      </c>
      <c r="M7501" s="186"/>
      <c r="N7501" s="186"/>
      <c r="O7501" s="172"/>
    </row>
    <row r="7502" spans="1:15" ht="25.5" x14ac:dyDescent="0.2">
      <c r="A7502" s="197" t="str">
        <f t="shared" si="117"/>
        <v>RvtCode_ngaMissionSpecificData2</v>
      </c>
      <c r="B7502" s="409"/>
      <c r="C7502" s="416"/>
      <c r="D7502" s="198" t="s">
        <v>45504</v>
      </c>
      <c r="E7502" s="198">
        <v>39</v>
      </c>
      <c r="F7502" s="199" t="s">
        <v>45505</v>
      </c>
      <c r="G7502" s="1" t="s">
        <v>45506</v>
      </c>
      <c r="H7502" s="200"/>
      <c r="I7502" s="346"/>
      <c r="J7502" s="39">
        <v>110364</v>
      </c>
      <c r="K7502" s="36" t="str">
        <f>CONCATENATE(Cover!$D$6,"fdd/view?i=",J7502)</f>
        <v>https://www.dgiwg.org/FAD/fdd/view?i=110364</v>
      </c>
      <c r="L7502" s="36" t="s">
        <v>45507</v>
      </c>
      <c r="M7502" s="186"/>
      <c r="N7502" s="186"/>
      <c r="O7502" s="172"/>
    </row>
    <row r="7503" spans="1:15" ht="25.5" x14ac:dyDescent="0.2">
      <c r="A7503" s="197" t="str">
        <f t="shared" si="117"/>
        <v>RvtCode_ngaMissionSpecificData3</v>
      </c>
      <c r="B7503" s="409"/>
      <c r="C7503" s="416"/>
      <c r="D7503" s="198" t="s">
        <v>45508</v>
      </c>
      <c r="E7503" s="198">
        <v>40</v>
      </c>
      <c r="F7503" s="199" t="s">
        <v>45509</v>
      </c>
      <c r="G7503" s="1" t="s">
        <v>45510</v>
      </c>
      <c r="H7503" s="200"/>
      <c r="I7503" s="346"/>
      <c r="J7503" s="39">
        <v>110366</v>
      </c>
      <c r="K7503" s="36" t="str">
        <f>CONCATENATE(Cover!$D$6,"fdd/view?i=",J7503)</f>
        <v>https://www.dgiwg.org/FAD/fdd/view?i=110366</v>
      </c>
      <c r="L7503" s="36" t="s">
        <v>45511</v>
      </c>
      <c r="M7503" s="186"/>
      <c r="N7503" s="186"/>
      <c r="O7503" s="172"/>
    </row>
    <row r="7504" spans="1:15" ht="25.5" x14ac:dyDescent="0.2">
      <c r="A7504" s="197" t="str">
        <f t="shared" si="117"/>
        <v>RvtCode_ngaMissionSpecificData4</v>
      </c>
      <c r="B7504" s="409"/>
      <c r="C7504" s="416"/>
      <c r="D7504" s="198" t="s">
        <v>45512</v>
      </c>
      <c r="E7504" s="198">
        <v>41</v>
      </c>
      <c r="F7504" s="199" t="s">
        <v>45513</v>
      </c>
      <c r="G7504" s="1" t="s">
        <v>45514</v>
      </c>
      <c r="H7504" s="200"/>
      <c r="I7504" s="346"/>
      <c r="J7504" s="39">
        <v>110367</v>
      </c>
      <c r="K7504" s="36" t="str">
        <f>CONCATENATE(Cover!$D$6,"fdd/view?i=",J7504)</f>
        <v>https://www.dgiwg.org/FAD/fdd/view?i=110367</v>
      </c>
      <c r="L7504" s="36" t="s">
        <v>45515</v>
      </c>
      <c r="M7504" s="186"/>
      <c r="N7504" s="186"/>
      <c r="O7504" s="172"/>
    </row>
    <row r="7505" spans="1:15" ht="25.5" x14ac:dyDescent="0.2">
      <c r="A7505" s="197" t="str">
        <f t="shared" si="117"/>
        <v>RvtCode_ngaMissionSpecificData5</v>
      </c>
      <c r="B7505" s="409"/>
      <c r="C7505" s="416"/>
      <c r="D7505" s="198" t="s">
        <v>45516</v>
      </c>
      <c r="E7505" s="198">
        <v>42</v>
      </c>
      <c r="F7505" s="199" t="s">
        <v>45517</v>
      </c>
      <c r="G7505" s="1" t="s">
        <v>45518</v>
      </c>
      <c r="H7505" s="200"/>
      <c r="I7505" s="346"/>
      <c r="J7505" s="39">
        <v>110368</v>
      </c>
      <c r="K7505" s="36" t="str">
        <f>CONCATENATE(Cover!$D$6,"fdd/view?i=",J7505)</f>
        <v>https://www.dgiwg.org/FAD/fdd/view?i=110368</v>
      </c>
      <c r="L7505" s="36" t="s">
        <v>45519</v>
      </c>
      <c r="M7505" s="186"/>
      <c r="N7505" s="186"/>
      <c r="O7505" s="172"/>
    </row>
    <row r="7506" spans="1:15" ht="25.5" x14ac:dyDescent="0.2">
      <c r="A7506" s="197" t="str">
        <f t="shared" si="117"/>
        <v>RvtCode_ngaNominalAttTopoEvalMap</v>
      </c>
      <c r="B7506" s="409"/>
      <c r="C7506" s="416"/>
      <c r="D7506" s="198" t="s">
        <v>45520</v>
      </c>
      <c r="E7506" s="198">
        <v>47</v>
      </c>
      <c r="F7506" s="199" t="s">
        <v>45521</v>
      </c>
      <c r="G7506" s="1" t="s">
        <v>45522</v>
      </c>
      <c r="H7506" s="200"/>
      <c r="I7506" s="346"/>
      <c r="J7506" s="39">
        <v>110373</v>
      </c>
      <c r="K7506" s="36" t="str">
        <f>CONCATENATE(Cover!$D$6,"fdd/view?i=",J7506)</f>
        <v>https://www.dgiwg.org/FAD/fdd/view?i=110373</v>
      </c>
      <c r="L7506" s="36" t="s">
        <v>45523</v>
      </c>
      <c r="M7506" s="186"/>
      <c r="N7506" s="186"/>
      <c r="O7506" s="172"/>
    </row>
    <row r="7507" spans="1:15" ht="25.5" x14ac:dyDescent="0.2">
      <c r="A7507" s="197" t="str">
        <f t="shared" si="117"/>
        <v>RvtCode_ngaPlanningGraphic</v>
      </c>
      <c r="B7507" s="409"/>
      <c r="C7507" s="416"/>
      <c r="D7507" s="198" t="s">
        <v>45572</v>
      </c>
      <c r="E7507" s="198">
        <v>48</v>
      </c>
      <c r="F7507" s="199" t="s">
        <v>45573</v>
      </c>
      <c r="G7507" s="1" t="s">
        <v>45574</v>
      </c>
      <c r="H7507" s="200"/>
      <c r="I7507" s="346"/>
      <c r="J7507" s="39">
        <v>110374</v>
      </c>
      <c r="K7507" s="36" t="str">
        <f>CONCATENATE(Cover!$D$6,"fdd/view?i=",J7507)</f>
        <v>https://www.dgiwg.org/FAD/fdd/view?i=110374</v>
      </c>
      <c r="L7507" s="36" t="s">
        <v>45575</v>
      </c>
      <c r="M7507" s="186"/>
      <c r="N7507" s="186"/>
      <c r="O7507" s="172"/>
    </row>
    <row r="7508" spans="1:15" ht="25.5" x14ac:dyDescent="0.2">
      <c r="A7508" s="197" t="str">
        <f t="shared" si="117"/>
        <v>RvtCode_ngaTacticalOceanData0</v>
      </c>
      <c r="B7508" s="409"/>
      <c r="C7508" s="416"/>
      <c r="D7508" s="198" t="s">
        <v>45688</v>
      </c>
      <c r="E7508" s="198">
        <v>52</v>
      </c>
      <c r="F7508" s="199" t="s">
        <v>45689</v>
      </c>
      <c r="G7508" s="1" t="s">
        <v>45690</v>
      </c>
      <c r="H7508" s="200"/>
      <c r="I7508" s="346"/>
      <c r="J7508" s="39">
        <v>110379</v>
      </c>
      <c r="K7508" s="36" t="str">
        <f>CONCATENATE(Cover!$D$6,"fdd/view?i=",J7508)</f>
        <v>https://www.dgiwg.org/FAD/fdd/view?i=110379</v>
      </c>
      <c r="L7508" s="36" t="s">
        <v>45691</v>
      </c>
      <c r="M7508" s="186"/>
      <c r="N7508" s="186"/>
      <c r="O7508" s="172"/>
    </row>
    <row r="7509" spans="1:15" ht="25.5" x14ac:dyDescent="0.2">
      <c r="A7509" s="197" t="str">
        <f t="shared" si="117"/>
        <v>RvtCode_ngaTacticalOceanData1</v>
      </c>
      <c r="B7509" s="409"/>
      <c r="C7509" s="416"/>
      <c r="D7509" s="198" t="s">
        <v>45692</v>
      </c>
      <c r="E7509" s="198">
        <v>53</v>
      </c>
      <c r="F7509" s="199" t="s">
        <v>45693</v>
      </c>
      <c r="G7509" s="1" t="s">
        <v>45694</v>
      </c>
      <c r="H7509" s="200"/>
      <c r="I7509" s="346"/>
      <c r="J7509" s="39">
        <v>110380</v>
      </c>
      <c r="K7509" s="36" t="str">
        <f>CONCATENATE(Cover!$D$6,"fdd/view?i=",J7509)</f>
        <v>https://www.dgiwg.org/FAD/fdd/view?i=110380</v>
      </c>
      <c r="L7509" s="36" t="s">
        <v>45695</v>
      </c>
      <c r="M7509" s="186"/>
      <c r="N7509" s="186"/>
      <c r="O7509" s="172"/>
    </row>
    <row r="7510" spans="1:15" ht="25.5" x14ac:dyDescent="0.2">
      <c r="A7510" s="197" t="str">
        <f t="shared" si="117"/>
        <v>RvtCode_ngaTacticalOceanData2</v>
      </c>
      <c r="B7510" s="409"/>
      <c r="C7510" s="416"/>
      <c r="D7510" s="198" t="s">
        <v>45696</v>
      </c>
      <c r="E7510" s="198">
        <v>54</v>
      </c>
      <c r="F7510" s="199" t="s">
        <v>45697</v>
      </c>
      <c r="G7510" s="1" t="s">
        <v>45698</v>
      </c>
      <c r="H7510" s="200"/>
      <c r="I7510" s="346"/>
      <c r="J7510" s="39">
        <v>110381</v>
      </c>
      <c r="K7510" s="36" t="str">
        <f>CONCATENATE(Cover!$D$6,"fdd/view?i=",J7510)</f>
        <v>https://www.dgiwg.org/FAD/fdd/view?i=110381</v>
      </c>
      <c r="L7510" s="36" t="s">
        <v>45699</v>
      </c>
      <c r="M7510" s="186"/>
      <c r="N7510" s="186"/>
      <c r="O7510" s="172"/>
    </row>
    <row r="7511" spans="1:15" ht="25.5" x14ac:dyDescent="0.2">
      <c r="A7511" s="197" t="str">
        <f t="shared" si="117"/>
        <v>RvtCode_ngaTacticalOceanData3</v>
      </c>
      <c r="B7511" s="409"/>
      <c r="C7511" s="416"/>
      <c r="D7511" s="198" t="s">
        <v>45700</v>
      </c>
      <c r="E7511" s="198">
        <v>55</v>
      </c>
      <c r="F7511" s="199" t="s">
        <v>45701</v>
      </c>
      <c r="G7511" s="1" t="s">
        <v>45702</v>
      </c>
      <c r="H7511" s="200"/>
      <c r="I7511" s="346"/>
      <c r="J7511" s="39">
        <v>110382</v>
      </c>
      <c r="K7511" s="36" t="str">
        <f>CONCATENATE(Cover!$D$6,"fdd/view?i=",J7511)</f>
        <v>https://www.dgiwg.org/FAD/fdd/view?i=110382</v>
      </c>
      <c r="L7511" s="36" t="s">
        <v>45703</v>
      </c>
      <c r="M7511" s="186"/>
      <c r="N7511" s="186"/>
      <c r="O7511" s="172"/>
    </row>
    <row r="7512" spans="1:15" ht="25.5" x14ac:dyDescent="0.2">
      <c r="A7512" s="197" t="str">
        <f t="shared" si="117"/>
        <v>RvtCode_ngaTacticalOceanData4</v>
      </c>
      <c r="B7512" s="409"/>
      <c r="C7512" s="416"/>
      <c r="D7512" s="198" t="s">
        <v>45704</v>
      </c>
      <c r="E7512" s="198">
        <v>56</v>
      </c>
      <c r="F7512" s="199" t="s">
        <v>45705</v>
      </c>
      <c r="G7512" s="1" t="s">
        <v>45706</v>
      </c>
      <c r="H7512" s="200"/>
      <c r="I7512" s="346"/>
      <c r="J7512" s="39">
        <v>110383</v>
      </c>
      <c r="K7512" s="36" t="str">
        <f>CONCATENATE(Cover!$D$6,"fdd/view?i=",J7512)</f>
        <v>https://www.dgiwg.org/FAD/fdd/view?i=110383</v>
      </c>
      <c r="L7512" s="36" t="s">
        <v>45707</v>
      </c>
      <c r="M7512" s="186"/>
      <c r="N7512" s="186"/>
      <c r="O7512" s="172"/>
    </row>
    <row r="7513" spans="1:15" ht="25.5" x14ac:dyDescent="0.2">
      <c r="A7513" s="197" t="str">
        <f t="shared" si="117"/>
        <v>RvtCode_ngaTacticalOceanData5</v>
      </c>
      <c r="B7513" s="409"/>
      <c r="C7513" s="416"/>
      <c r="D7513" s="198" t="s">
        <v>45708</v>
      </c>
      <c r="E7513" s="198">
        <v>57</v>
      </c>
      <c r="F7513" s="199" t="s">
        <v>45709</v>
      </c>
      <c r="G7513" s="1" t="s">
        <v>45710</v>
      </c>
      <c r="H7513" s="200"/>
      <c r="I7513" s="346"/>
      <c r="J7513" s="39">
        <v>110384</v>
      </c>
      <c r="K7513" s="36" t="str">
        <f>CONCATENATE(Cover!$D$6,"fdd/view?i=",J7513)</f>
        <v>https://www.dgiwg.org/FAD/fdd/view?i=110384</v>
      </c>
      <c r="L7513" s="36" t="s">
        <v>45711</v>
      </c>
      <c r="M7513" s="186"/>
      <c r="N7513" s="186"/>
      <c r="O7513" s="172"/>
    </row>
    <row r="7514" spans="1:15" ht="25.5" x14ac:dyDescent="0.2">
      <c r="A7514" s="197" t="str">
        <f t="shared" si="117"/>
        <v>RvtCode_ngaTopographicLineMap</v>
      </c>
      <c r="B7514" s="409"/>
      <c r="C7514" s="416"/>
      <c r="D7514" s="198" t="s">
        <v>45685</v>
      </c>
      <c r="E7514" s="198">
        <v>58</v>
      </c>
      <c r="F7514" s="199" t="s">
        <v>13706</v>
      </c>
      <c r="G7514" s="1" t="s">
        <v>45686</v>
      </c>
      <c r="H7514" s="200"/>
      <c r="I7514" s="346"/>
      <c r="J7514" s="39">
        <v>110385</v>
      </c>
      <c r="K7514" s="36" t="str">
        <f>CONCATENATE(Cover!$D$6,"fdd/view?i=",J7514)</f>
        <v>https://www.dgiwg.org/FAD/fdd/view?i=110385</v>
      </c>
      <c r="L7514" s="36" t="s">
        <v>45687</v>
      </c>
      <c r="M7514" s="186"/>
      <c r="N7514" s="186"/>
      <c r="O7514" s="172"/>
    </row>
    <row r="7515" spans="1:15" ht="25.5" x14ac:dyDescent="0.2">
      <c r="A7515" s="197" t="str">
        <f t="shared" si="117"/>
        <v>RvtCode_ngaUrbanVectorMap</v>
      </c>
      <c r="B7515" s="409"/>
      <c r="C7515" s="416"/>
      <c r="D7515" s="198" t="s">
        <v>45716</v>
      </c>
      <c r="E7515" s="198">
        <v>60</v>
      </c>
      <c r="F7515" s="199" t="s">
        <v>45717</v>
      </c>
      <c r="G7515" s="1" t="s">
        <v>45718</v>
      </c>
      <c r="H7515" s="200"/>
      <c r="I7515" s="346"/>
      <c r="J7515" s="39">
        <v>110388</v>
      </c>
      <c r="K7515" s="36" t="str">
        <f>CONCATENATE(Cover!$D$6,"fdd/view?i=",J7515)</f>
        <v>https://www.dgiwg.org/FAD/fdd/view?i=110388</v>
      </c>
      <c r="L7515" s="36" t="s">
        <v>45719</v>
      </c>
      <c r="M7515" s="186"/>
      <c r="N7515" s="186"/>
      <c r="O7515" s="172"/>
    </row>
    <row r="7516" spans="1:15" ht="25.5" x14ac:dyDescent="0.2">
      <c r="A7516" s="197" t="str">
        <f t="shared" si="117"/>
        <v>RvtCode_ngaVectorInterimTerrain</v>
      </c>
      <c r="B7516" s="409"/>
      <c r="C7516" s="416"/>
      <c r="D7516" s="198" t="s">
        <v>45740</v>
      </c>
      <c r="E7516" s="198">
        <v>61</v>
      </c>
      <c r="F7516" s="199" t="s">
        <v>45741</v>
      </c>
      <c r="G7516" s="1" t="s">
        <v>45742</v>
      </c>
      <c r="H7516" s="200"/>
      <c r="I7516" s="346"/>
      <c r="J7516" s="39">
        <v>110389</v>
      </c>
      <c r="K7516" s="36" t="str">
        <f>CONCATENATE(Cover!$D$6,"fdd/view?i=",J7516)</f>
        <v>https://www.dgiwg.org/FAD/fdd/view?i=110389</v>
      </c>
      <c r="L7516" s="36" t="s">
        <v>45743</v>
      </c>
      <c r="M7516" s="186"/>
      <c r="N7516" s="186"/>
      <c r="O7516" s="172"/>
    </row>
    <row r="7517" spans="1:15" ht="25.5" x14ac:dyDescent="0.2">
      <c r="A7517" s="197" t="str">
        <f t="shared" si="117"/>
        <v>RvtCode_ngaVectorMap0</v>
      </c>
      <c r="B7517" s="409"/>
      <c r="C7517" s="416"/>
      <c r="D7517" s="198" t="s">
        <v>45744</v>
      </c>
      <c r="E7517" s="198">
        <v>62</v>
      </c>
      <c r="F7517" s="199" t="s">
        <v>45745</v>
      </c>
      <c r="G7517" s="1" t="s">
        <v>45746</v>
      </c>
      <c r="H7517" s="200"/>
      <c r="I7517" s="346"/>
      <c r="J7517" s="39">
        <v>110390</v>
      </c>
      <c r="K7517" s="36" t="str">
        <f>CONCATENATE(Cover!$D$6,"fdd/view?i=",J7517)</f>
        <v>https://www.dgiwg.org/FAD/fdd/view?i=110390</v>
      </c>
      <c r="L7517" s="36" t="s">
        <v>45747</v>
      </c>
      <c r="M7517" s="186"/>
      <c r="N7517" s="186"/>
      <c r="O7517" s="172"/>
    </row>
    <row r="7518" spans="1:15" ht="25.5" x14ac:dyDescent="0.2">
      <c r="A7518" s="197" t="str">
        <f t="shared" si="117"/>
        <v>RvtCode_ngaVectorMap1</v>
      </c>
      <c r="B7518" s="409"/>
      <c r="C7518" s="416"/>
      <c r="D7518" s="198" t="s">
        <v>45748</v>
      </c>
      <c r="E7518" s="198">
        <v>63</v>
      </c>
      <c r="F7518" s="199" t="s">
        <v>45749</v>
      </c>
      <c r="G7518" s="1" t="s">
        <v>45750</v>
      </c>
      <c r="H7518" s="200"/>
      <c r="I7518" s="346"/>
      <c r="J7518" s="39">
        <v>110391</v>
      </c>
      <c r="K7518" s="36" t="str">
        <f>CONCATENATE(Cover!$D$6,"fdd/view?i=",J7518)</f>
        <v>https://www.dgiwg.org/FAD/fdd/view?i=110391</v>
      </c>
      <c r="L7518" s="36" t="s">
        <v>45751</v>
      </c>
      <c r="M7518" s="186"/>
      <c r="N7518" s="186"/>
      <c r="O7518" s="172"/>
    </row>
    <row r="7519" spans="1:15" ht="25.5" x14ac:dyDescent="0.2">
      <c r="A7519" s="197" t="str">
        <f t="shared" si="117"/>
        <v>RvtCode_ngaVectorMap2</v>
      </c>
      <c r="B7519" s="409"/>
      <c r="C7519" s="416"/>
      <c r="D7519" s="198" t="s">
        <v>45752</v>
      </c>
      <c r="E7519" s="198">
        <v>64</v>
      </c>
      <c r="F7519" s="199" t="s">
        <v>45753</v>
      </c>
      <c r="G7519" s="1" t="s">
        <v>45754</v>
      </c>
      <c r="H7519" s="200"/>
      <c r="I7519" s="346"/>
      <c r="J7519" s="39">
        <v>110392</v>
      </c>
      <c r="K7519" s="36" t="str">
        <f>CONCATENATE(Cover!$D$6,"fdd/view?i=",J7519)</f>
        <v>https://www.dgiwg.org/FAD/fdd/view?i=110392</v>
      </c>
      <c r="L7519" s="36" t="s">
        <v>45755</v>
      </c>
      <c r="M7519" s="186"/>
      <c r="N7519" s="186"/>
      <c r="O7519" s="172"/>
    </row>
    <row r="7520" spans="1:15" ht="25.5" x14ac:dyDescent="0.2">
      <c r="A7520" s="197" t="str">
        <f t="shared" si="117"/>
        <v>RvtCode_ngaWorldVectorShorePlus</v>
      </c>
      <c r="B7520" s="409"/>
      <c r="C7520" s="416"/>
      <c r="D7520" s="198" t="s">
        <v>45768</v>
      </c>
      <c r="E7520" s="198">
        <v>65</v>
      </c>
      <c r="F7520" s="199" t="s">
        <v>45769</v>
      </c>
      <c r="G7520" s="1" t="s">
        <v>45770</v>
      </c>
      <c r="H7520" s="200"/>
      <c r="I7520" s="346"/>
      <c r="J7520" s="39">
        <v>110393</v>
      </c>
      <c r="K7520" s="36" t="str">
        <f>CONCATENATE(Cover!$D$6,"fdd/view?i=",J7520)</f>
        <v>https://www.dgiwg.org/FAD/fdd/view?i=110393</v>
      </c>
      <c r="L7520" s="36" t="s">
        <v>45771</v>
      </c>
      <c r="M7520" s="186"/>
      <c r="N7520" s="186"/>
      <c r="O7520" s="172"/>
    </row>
    <row r="7521" spans="1:15" ht="25.5" x14ac:dyDescent="0.2">
      <c r="A7521" s="197" t="str">
        <f t="shared" si="117"/>
        <v>RvtCode_orbimageImagery</v>
      </c>
      <c r="B7521" s="409"/>
      <c r="C7521" s="416"/>
      <c r="D7521" s="198" t="s">
        <v>45564</v>
      </c>
      <c r="E7521" s="198">
        <v>103</v>
      </c>
      <c r="F7521" s="199" t="s">
        <v>45565</v>
      </c>
      <c r="G7521" s="1" t="s">
        <v>45566</v>
      </c>
      <c r="H7521" s="200"/>
      <c r="I7521" s="346"/>
      <c r="J7521" s="39">
        <v>112789</v>
      </c>
      <c r="K7521" s="36" t="str">
        <f>CONCATENATE(Cover!$D$6,"fdd/view?i=",J7521)</f>
        <v>https://www.dgiwg.org/FAD/fdd/view?i=112789</v>
      </c>
      <c r="L7521" s="36" t="s">
        <v>45567</v>
      </c>
      <c r="M7521" s="186"/>
      <c r="N7521" s="186"/>
      <c r="O7521" s="172"/>
    </row>
    <row r="7522" spans="1:15" ht="25.5" x14ac:dyDescent="0.2">
      <c r="A7522" s="197" t="str">
        <f t="shared" si="117"/>
        <v>RvtCode_orbView3</v>
      </c>
      <c r="B7522" s="409"/>
      <c r="C7522" s="416"/>
      <c r="D7522" s="198" t="s">
        <v>45568</v>
      </c>
      <c r="E7522" s="198">
        <v>127</v>
      </c>
      <c r="F7522" s="199" t="s">
        <v>45569</v>
      </c>
      <c r="G7522" s="1" t="s">
        <v>45570</v>
      </c>
      <c r="H7522" s="200"/>
      <c r="I7522" s="346"/>
      <c r="J7522" s="39">
        <v>118372</v>
      </c>
      <c r="K7522" s="36" t="str">
        <f>CONCATENATE(Cover!$D$6,"fdd/view?i=",J7522)</f>
        <v>https://www.dgiwg.org/FAD/fdd/view?i=118372</v>
      </c>
      <c r="L7522" s="36" t="s">
        <v>45571</v>
      </c>
      <c r="M7522" s="186"/>
      <c r="N7522" s="186"/>
      <c r="O7522" s="172"/>
    </row>
    <row r="7523" spans="1:15" ht="25.5" x14ac:dyDescent="0.2">
      <c r="A7523" s="197" t="str">
        <f t="shared" si="117"/>
        <v>RvtCode_pleiadesHR1</v>
      </c>
      <c r="B7523" s="409"/>
      <c r="C7523" s="416"/>
      <c r="D7523" s="198" t="s">
        <v>45576</v>
      </c>
      <c r="E7523" s="198">
        <v>140</v>
      </c>
      <c r="F7523" s="199" t="s">
        <v>45577</v>
      </c>
      <c r="G7523" s="1" t="s">
        <v>45578</v>
      </c>
      <c r="H7523" s="200"/>
      <c r="I7523" s="346"/>
      <c r="J7523" s="39">
        <v>118385</v>
      </c>
      <c r="K7523" s="36" t="str">
        <f>CONCATENATE(Cover!$D$6,"fdd/view?i=",J7523)</f>
        <v>https://www.dgiwg.org/FAD/fdd/view?i=118385</v>
      </c>
      <c r="L7523" s="36" t="s">
        <v>45579</v>
      </c>
      <c r="M7523" s="186"/>
      <c r="N7523" s="186"/>
      <c r="O7523" s="172"/>
    </row>
    <row r="7524" spans="1:15" ht="25.5" x14ac:dyDescent="0.2">
      <c r="A7524" s="197" t="str">
        <f t="shared" si="117"/>
        <v>RvtCode_pleiadesHR2</v>
      </c>
      <c r="B7524" s="409"/>
      <c r="C7524" s="416"/>
      <c r="D7524" s="198" t="s">
        <v>45580</v>
      </c>
      <c r="E7524" s="198">
        <v>141</v>
      </c>
      <c r="F7524" s="199" t="s">
        <v>45581</v>
      </c>
      <c r="G7524" s="1" t="s">
        <v>45582</v>
      </c>
      <c r="H7524" s="200"/>
      <c r="I7524" s="346"/>
      <c r="J7524" s="39">
        <v>118386</v>
      </c>
      <c r="K7524" s="36" t="str">
        <f>CONCATENATE(Cover!$D$6,"fdd/view?i=",J7524)</f>
        <v>https://www.dgiwg.org/FAD/fdd/view?i=118386</v>
      </c>
      <c r="L7524" s="36" t="s">
        <v>45583</v>
      </c>
      <c r="M7524" s="186"/>
      <c r="N7524" s="186"/>
      <c r="O7524" s="172"/>
    </row>
    <row r="7525" spans="1:15" ht="25.5" x14ac:dyDescent="0.2">
      <c r="A7525" s="197" t="str">
        <f t="shared" si="117"/>
        <v>RvtCode_quickBirdImagery</v>
      </c>
      <c r="B7525" s="409"/>
      <c r="C7525" s="416"/>
      <c r="D7525" s="198" t="s">
        <v>45584</v>
      </c>
      <c r="E7525" s="198">
        <v>9</v>
      </c>
      <c r="F7525" s="199" t="s">
        <v>45585</v>
      </c>
      <c r="G7525" s="1" t="s">
        <v>45586</v>
      </c>
      <c r="H7525" s="200"/>
      <c r="I7525" s="346"/>
      <c r="J7525" s="39">
        <v>110396</v>
      </c>
      <c r="K7525" s="36" t="str">
        <f>CONCATENATE(Cover!$D$6,"fdd/view?i=",J7525)</f>
        <v>https://www.dgiwg.org/FAD/fdd/view?i=110396</v>
      </c>
      <c r="L7525" s="36" t="s">
        <v>45587</v>
      </c>
      <c r="M7525" s="186"/>
      <c r="N7525" s="186"/>
      <c r="O7525" s="172"/>
    </row>
    <row r="7526" spans="1:15" ht="38.25" x14ac:dyDescent="0.2">
      <c r="A7526" s="197" t="str">
        <f t="shared" si="117"/>
        <v>RvtCode_quickBirdMultiMono</v>
      </c>
      <c r="B7526" s="409"/>
      <c r="C7526" s="416"/>
      <c r="D7526" s="198" t="s">
        <v>45588</v>
      </c>
      <c r="E7526" s="198">
        <v>66</v>
      </c>
      <c r="F7526" s="199" t="s">
        <v>45589</v>
      </c>
      <c r="G7526" s="1" t="s">
        <v>45590</v>
      </c>
      <c r="H7526" s="200"/>
      <c r="I7526" s="346"/>
      <c r="J7526" s="39">
        <v>111061</v>
      </c>
      <c r="K7526" s="36" t="str">
        <f>CONCATENATE(Cover!$D$6,"fdd/view?i=",J7526)</f>
        <v>https://www.dgiwg.org/FAD/fdd/view?i=111061</v>
      </c>
      <c r="L7526" s="36" t="s">
        <v>45591</v>
      </c>
      <c r="M7526" s="186"/>
      <c r="N7526" s="186"/>
      <c r="O7526" s="172"/>
    </row>
    <row r="7527" spans="1:15" ht="38.25" x14ac:dyDescent="0.2">
      <c r="A7527" s="197" t="str">
        <f t="shared" si="117"/>
        <v>RvtCode_quickBirdMultiStereo</v>
      </c>
      <c r="B7527" s="409"/>
      <c r="C7527" s="416"/>
      <c r="D7527" s="198" t="s">
        <v>45592</v>
      </c>
      <c r="E7527" s="198">
        <v>67</v>
      </c>
      <c r="F7527" s="199" t="s">
        <v>45593</v>
      </c>
      <c r="G7527" s="1" t="s">
        <v>45594</v>
      </c>
      <c r="H7527" s="200"/>
      <c r="I7527" s="346"/>
      <c r="J7527" s="39">
        <v>111062</v>
      </c>
      <c r="K7527" s="36" t="str">
        <f>CONCATENATE(Cover!$D$6,"fdd/view?i=",J7527)</f>
        <v>https://www.dgiwg.org/FAD/fdd/view?i=111062</v>
      </c>
      <c r="L7527" s="36" t="s">
        <v>45595</v>
      </c>
      <c r="M7527" s="186"/>
      <c r="N7527" s="186"/>
      <c r="O7527" s="172"/>
    </row>
    <row r="7528" spans="1:15" ht="38.25" x14ac:dyDescent="0.2">
      <c r="A7528" s="197" t="str">
        <f t="shared" si="117"/>
        <v>RvtCode_quickBirdPanMono</v>
      </c>
      <c r="B7528" s="409"/>
      <c r="C7528" s="416"/>
      <c r="D7528" s="198" t="s">
        <v>45596</v>
      </c>
      <c r="E7528" s="198">
        <v>68</v>
      </c>
      <c r="F7528" s="199" t="s">
        <v>45597</v>
      </c>
      <c r="G7528" s="1" t="s">
        <v>45598</v>
      </c>
      <c r="H7528" s="200"/>
      <c r="I7528" s="346"/>
      <c r="J7528" s="39">
        <v>111063</v>
      </c>
      <c r="K7528" s="36" t="str">
        <f>CONCATENATE(Cover!$D$6,"fdd/view?i=",J7528)</f>
        <v>https://www.dgiwg.org/FAD/fdd/view?i=111063</v>
      </c>
      <c r="L7528" s="36" t="s">
        <v>45599</v>
      </c>
      <c r="M7528" s="186"/>
      <c r="N7528" s="186"/>
      <c r="O7528" s="172"/>
    </row>
    <row r="7529" spans="1:15" ht="38.25" x14ac:dyDescent="0.2">
      <c r="A7529" s="197" t="str">
        <f t="shared" si="117"/>
        <v>RvtCode_quickBirdPanStereo</v>
      </c>
      <c r="B7529" s="409"/>
      <c r="C7529" s="416"/>
      <c r="D7529" s="198" t="s">
        <v>45600</v>
      </c>
      <c r="E7529" s="198">
        <v>69</v>
      </c>
      <c r="F7529" s="199" t="s">
        <v>45601</v>
      </c>
      <c r="G7529" s="1" t="s">
        <v>45602</v>
      </c>
      <c r="H7529" s="200"/>
      <c r="I7529" s="346"/>
      <c r="J7529" s="39">
        <v>111064</v>
      </c>
      <c r="K7529" s="36" t="str">
        <f>CONCATENATE(Cover!$D$6,"fdd/view?i=",J7529)</f>
        <v>https://www.dgiwg.org/FAD/fdd/view?i=111064</v>
      </c>
      <c r="L7529" s="36" t="s">
        <v>45603</v>
      </c>
      <c r="M7529" s="186"/>
      <c r="N7529" s="186"/>
      <c r="O7529" s="172"/>
    </row>
    <row r="7530" spans="1:15" ht="25.5" x14ac:dyDescent="0.2">
      <c r="A7530" s="197" t="str">
        <f t="shared" si="117"/>
        <v>RvtCode_rapidEye</v>
      </c>
      <c r="B7530" s="409"/>
      <c r="C7530" s="416"/>
      <c r="D7530" s="198" t="s">
        <v>45604</v>
      </c>
      <c r="E7530" s="198">
        <v>148</v>
      </c>
      <c r="F7530" s="199" t="s">
        <v>45605</v>
      </c>
      <c r="G7530" s="1" t="s">
        <v>45606</v>
      </c>
      <c r="H7530" s="200"/>
      <c r="I7530" s="346"/>
      <c r="J7530" s="39">
        <v>118393</v>
      </c>
      <c r="K7530" s="36" t="str">
        <f>CONCATENATE(Cover!$D$6,"fdd/view?i=",J7530)</f>
        <v>https://www.dgiwg.org/FAD/fdd/view?i=118393</v>
      </c>
      <c r="L7530" s="36" t="s">
        <v>45607</v>
      </c>
      <c r="M7530" s="186"/>
      <c r="N7530" s="186"/>
      <c r="O7530" s="172"/>
    </row>
    <row r="7531" spans="1:15" x14ac:dyDescent="0.2">
      <c r="A7531" s="197" t="str">
        <f t="shared" si="117"/>
        <v>RvtCode_routingData</v>
      </c>
      <c r="B7531" s="409"/>
      <c r="C7531" s="416"/>
      <c r="D7531" s="198" t="s">
        <v>45608</v>
      </c>
      <c r="E7531" s="198">
        <v>121</v>
      </c>
      <c r="F7531" s="199" t="s">
        <v>45609</v>
      </c>
      <c r="G7531" s="1" t="s">
        <v>45610</v>
      </c>
      <c r="H7531" s="1" t="s">
        <v>45611</v>
      </c>
      <c r="I7531" s="346"/>
      <c r="J7531" s="39">
        <v>118100</v>
      </c>
      <c r="K7531" s="36" t="str">
        <f>CONCATENATE(Cover!$D$6,"fdd/view?i=",J7531)</f>
        <v>https://www.dgiwg.org/FAD/fdd/view?i=118100</v>
      </c>
      <c r="L7531" s="36" t="s">
        <v>45612</v>
      </c>
      <c r="M7531" s="186"/>
      <c r="N7531" s="186"/>
      <c r="O7531" s="172"/>
    </row>
    <row r="7532" spans="1:15" x14ac:dyDescent="0.2">
      <c r="A7532" s="197" t="str">
        <f t="shared" si="117"/>
        <v>RvtCode_siteMap</v>
      </c>
      <c r="B7532" s="409"/>
      <c r="C7532" s="416"/>
      <c r="D7532" s="198" t="s">
        <v>45613</v>
      </c>
      <c r="E7532" s="198">
        <v>51</v>
      </c>
      <c r="F7532" s="199" t="s">
        <v>45614</v>
      </c>
      <c r="G7532" s="1" t="s">
        <v>45615</v>
      </c>
      <c r="H7532" s="200"/>
      <c r="I7532" s="346"/>
      <c r="J7532" s="39">
        <v>110378</v>
      </c>
      <c r="K7532" s="36" t="str">
        <f>CONCATENATE(Cover!$D$6,"fdd/view?i=",J7532)</f>
        <v>https://www.dgiwg.org/FAD/fdd/view?i=110378</v>
      </c>
      <c r="L7532" s="36" t="s">
        <v>45616</v>
      </c>
      <c r="M7532" s="186"/>
      <c r="N7532" s="186"/>
      <c r="O7532" s="172"/>
    </row>
    <row r="7533" spans="1:15" ht="25.5" x14ac:dyDescent="0.2">
      <c r="A7533" s="197" t="str">
        <f t="shared" si="117"/>
        <v>RvtCode_spot10mImagery</v>
      </c>
      <c r="B7533" s="409"/>
      <c r="C7533" s="416"/>
      <c r="D7533" s="198" t="s">
        <v>45617</v>
      </c>
      <c r="E7533" s="198">
        <v>74</v>
      </c>
      <c r="F7533" s="199" t="s">
        <v>45618</v>
      </c>
      <c r="G7533" s="1" t="s">
        <v>45619</v>
      </c>
      <c r="H7533" s="200"/>
      <c r="I7533" s="346"/>
      <c r="J7533" s="39">
        <v>111069</v>
      </c>
      <c r="K7533" s="36" t="str">
        <f>CONCATENATE(Cover!$D$6,"fdd/view?i=",J7533)</f>
        <v>https://www.dgiwg.org/FAD/fdd/view?i=111069</v>
      </c>
      <c r="L7533" s="36" t="s">
        <v>45620</v>
      </c>
      <c r="M7533" s="186"/>
      <c r="N7533" s="186"/>
      <c r="O7533" s="172"/>
    </row>
    <row r="7534" spans="1:15" ht="38.25" x14ac:dyDescent="0.2">
      <c r="A7534" s="197" t="str">
        <f t="shared" si="117"/>
        <v>RvtCode_spot10mMultiMono</v>
      </c>
      <c r="B7534" s="409"/>
      <c r="C7534" s="416"/>
      <c r="D7534" s="198" t="s">
        <v>45621</v>
      </c>
      <c r="E7534" s="198">
        <v>84</v>
      </c>
      <c r="F7534" s="199" t="s">
        <v>45622</v>
      </c>
      <c r="G7534" s="1" t="s">
        <v>45623</v>
      </c>
      <c r="H7534" s="200"/>
      <c r="I7534" s="346"/>
      <c r="J7534" s="39">
        <v>111079</v>
      </c>
      <c r="K7534" s="36" t="str">
        <f>CONCATENATE(Cover!$D$6,"fdd/view?i=",J7534)</f>
        <v>https://www.dgiwg.org/FAD/fdd/view?i=111079</v>
      </c>
      <c r="L7534" s="36" t="s">
        <v>45624</v>
      </c>
      <c r="M7534" s="186"/>
      <c r="N7534" s="186"/>
      <c r="O7534" s="172"/>
    </row>
    <row r="7535" spans="1:15" ht="38.25" x14ac:dyDescent="0.2">
      <c r="A7535" s="197" t="str">
        <f t="shared" si="117"/>
        <v>RvtCode_spot2r5mMultiMono</v>
      </c>
      <c r="B7535" s="409"/>
      <c r="C7535" s="416"/>
      <c r="D7535" s="198" t="s">
        <v>45625</v>
      </c>
      <c r="E7535" s="198">
        <v>81</v>
      </c>
      <c r="F7535" s="199" t="s">
        <v>45626</v>
      </c>
      <c r="G7535" s="1" t="s">
        <v>45627</v>
      </c>
      <c r="H7535" s="200"/>
      <c r="I7535" s="346"/>
      <c r="J7535" s="39">
        <v>111076</v>
      </c>
      <c r="K7535" s="36" t="str">
        <f>CONCATENATE(Cover!$D$6,"fdd/view?i=",J7535)</f>
        <v>https://www.dgiwg.org/FAD/fdd/view?i=111076</v>
      </c>
      <c r="L7535" s="36" t="s">
        <v>45628</v>
      </c>
      <c r="M7535" s="186"/>
      <c r="N7535" s="186"/>
      <c r="O7535" s="172"/>
    </row>
    <row r="7536" spans="1:15" ht="38.25" x14ac:dyDescent="0.2">
      <c r="A7536" s="197" t="str">
        <f t="shared" si="117"/>
        <v>RvtCode_spot2r5mPanMono</v>
      </c>
      <c r="B7536" s="409"/>
      <c r="C7536" s="416"/>
      <c r="D7536" s="198" t="s">
        <v>45629</v>
      </c>
      <c r="E7536" s="198">
        <v>80</v>
      </c>
      <c r="F7536" s="199" t="s">
        <v>45630</v>
      </c>
      <c r="G7536" s="1" t="s">
        <v>45631</v>
      </c>
      <c r="H7536" s="200"/>
      <c r="I7536" s="346"/>
      <c r="J7536" s="39">
        <v>111075</v>
      </c>
      <c r="K7536" s="36" t="str">
        <f>CONCATENATE(Cover!$D$6,"fdd/view?i=",J7536)</f>
        <v>https://www.dgiwg.org/FAD/fdd/view?i=111075</v>
      </c>
      <c r="L7536" s="36" t="s">
        <v>45632</v>
      </c>
      <c r="M7536" s="186"/>
      <c r="N7536" s="186"/>
      <c r="O7536" s="172"/>
    </row>
    <row r="7537" spans="1:15" ht="25.5" x14ac:dyDescent="0.2">
      <c r="A7537" s="197" t="str">
        <f t="shared" si="117"/>
        <v>RvtCode_spot5mHrsDigTerModel</v>
      </c>
      <c r="B7537" s="409"/>
      <c r="C7537" s="416"/>
      <c r="D7537" s="198" t="s">
        <v>45633</v>
      </c>
      <c r="E7537" s="198">
        <v>102</v>
      </c>
      <c r="F7537" s="199" t="s">
        <v>45634</v>
      </c>
      <c r="G7537" s="1" t="s">
        <v>45635</v>
      </c>
      <c r="H7537" s="200"/>
      <c r="I7537" s="346"/>
      <c r="J7537" s="39">
        <v>112900</v>
      </c>
      <c r="K7537" s="36" t="str">
        <f>CONCATENATE(Cover!$D$6,"fdd/view?i=",J7537)</f>
        <v>https://www.dgiwg.org/FAD/fdd/view?i=112900</v>
      </c>
      <c r="L7537" s="36" t="s">
        <v>45636</v>
      </c>
      <c r="M7537" s="186"/>
      <c r="N7537" s="186"/>
      <c r="O7537" s="172"/>
    </row>
    <row r="7538" spans="1:15" ht="25.5" x14ac:dyDescent="0.2">
      <c r="A7538" s="197" t="str">
        <f t="shared" si="117"/>
        <v>RvtCode_spot5mImagery</v>
      </c>
      <c r="B7538" s="409"/>
      <c r="C7538" s="416"/>
      <c r="D7538" s="198" t="s">
        <v>45637</v>
      </c>
      <c r="E7538" s="198">
        <v>75</v>
      </c>
      <c r="F7538" s="199" t="s">
        <v>45638</v>
      </c>
      <c r="G7538" s="1" t="s">
        <v>45639</v>
      </c>
      <c r="H7538" s="200"/>
      <c r="I7538" s="346"/>
      <c r="J7538" s="39">
        <v>111070</v>
      </c>
      <c r="K7538" s="36" t="str">
        <f>CONCATENATE(Cover!$D$6,"fdd/view?i=",J7538)</f>
        <v>https://www.dgiwg.org/FAD/fdd/view?i=111070</v>
      </c>
      <c r="L7538" s="36" t="s">
        <v>45640</v>
      </c>
      <c r="M7538" s="186"/>
      <c r="N7538" s="186"/>
      <c r="O7538" s="172"/>
    </row>
    <row r="7539" spans="1:15" ht="25.5" x14ac:dyDescent="0.2">
      <c r="A7539" s="197" t="str">
        <f t="shared" si="117"/>
        <v>RvtCode_spot5mMonoImagery</v>
      </c>
      <c r="B7539" s="409"/>
      <c r="C7539" s="416"/>
      <c r="D7539" s="198" t="s">
        <v>45641</v>
      </c>
      <c r="E7539" s="198">
        <v>82</v>
      </c>
      <c r="F7539" s="199" t="s">
        <v>45642</v>
      </c>
      <c r="G7539" s="1" t="s">
        <v>45643</v>
      </c>
      <c r="H7539" s="200"/>
      <c r="I7539" s="346"/>
      <c r="J7539" s="39">
        <v>111077</v>
      </c>
      <c r="K7539" s="36" t="str">
        <f>CONCATENATE(Cover!$D$6,"fdd/view?i=",J7539)</f>
        <v>https://www.dgiwg.org/FAD/fdd/view?i=111077</v>
      </c>
      <c r="L7539" s="36" t="s">
        <v>45644</v>
      </c>
      <c r="M7539" s="186"/>
      <c r="N7539" s="186"/>
      <c r="O7539" s="172"/>
    </row>
    <row r="7540" spans="1:15" ht="38.25" x14ac:dyDescent="0.2">
      <c r="A7540" s="197" t="str">
        <f t="shared" si="117"/>
        <v>RvtCode_spot5mMultiMono</v>
      </c>
      <c r="B7540" s="409"/>
      <c r="C7540" s="416"/>
      <c r="D7540" s="198" t="s">
        <v>45645</v>
      </c>
      <c r="E7540" s="198">
        <v>76</v>
      </c>
      <c r="F7540" s="199" t="s">
        <v>45646</v>
      </c>
      <c r="G7540" s="1" t="s">
        <v>45647</v>
      </c>
      <c r="H7540" s="200"/>
      <c r="I7540" s="346"/>
      <c r="J7540" s="39">
        <v>111071</v>
      </c>
      <c r="K7540" s="36" t="str">
        <f>CONCATENATE(Cover!$D$6,"fdd/view?i=",J7540)</f>
        <v>https://www.dgiwg.org/FAD/fdd/view?i=111071</v>
      </c>
      <c r="L7540" s="36" t="s">
        <v>45648</v>
      </c>
      <c r="M7540" s="186"/>
      <c r="N7540" s="186"/>
      <c r="O7540" s="172"/>
    </row>
    <row r="7541" spans="1:15" ht="38.25" x14ac:dyDescent="0.2">
      <c r="A7541" s="197" t="str">
        <f t="shared" si="117"/>
        <v>RvtCode_spot5mMultiStereo</v>
      </c>
      <c r="B7541" s="409"/>
      <c r="C7541" s="416"/>
      <c r="D7541" s="198" t="s">
        <v>45649</v>
      </c>
      <c r="E7541" s="198">
        <v>77</v>
      </c>
      <c r="F7541" s="199" t="s">
        <v>45650</v>
      </c>
      <c r="G7541" s="1" t="s">
        <v>45651</v>
      </c>
      <c r="H7541" s="200"/>
      <c r="I7541" s="346"/>
      <c r="J7541" s="39">
        <v>111072</v>
      </c>
      <c r="K7541" s="36" t="str">
        <f>CONCATENATE(Cover!$D$6,"fdd/view?i=",J7541)</f>
        <v>https://www.dgiwg.org/FAD/fdd/view?i=111072</v>
      </c>
      <c r="L7541" s="36" t="s">
        <v>45652</v>
      </c>
      <c r="M7541" s="186"/>
      <c r="N7541" s="186"/>
      <c r="O7541" s="172"/>
    </row>
    <row r="7542" spans="1:15" ht="38.25" x14ac:dyDescent="0.2">
      <c r="A7542" s="197" t="str">
        <f t="shared" si="117"/>
        <v>RvtCode_spot5mPanMono</v>
      </c>
      <c r="B7542" s="409"/>
      <c r="C7542" s="416"/>
      <c r="D7542" s="198" t="s">
        <v>45653</v>
      </c>
      <c r="E7542" s="198">
        <v>78</v>
      </c>
      <c r="F7542" s="199" t="s">
        <v>45654</v>
      </c>
      <c r="G7542" s="1" t="s">
        <v>45655</v>
      </c>
      <c r="H7542" s="200"/>
      <c r="I7542" s="346"/>
      <c r="J7542" s="39">
        <v>111073</v>
      </c>
      <c r="K7542" s="36" t="str">
        <f>CONCATENATE(Cover!$D$6,"fdd/view?i=",J7542)</f>
        <v>https://www.dgiwg.org/FAD/fdd/view?i=111073</v>
      </c>
      <c r="L7542" s="36" t="s">
        <v>45656</v>
      </c>
      <c r="M7542" s="186"/>
      <c r="N7542" s="186"/>
      <c r="O7542" s="172"/>
    </row>
    <row r="7543" spans="1:15" ht="38.25" x14ac:dyDescent="0.2">
      <c r="A7543" s="197" t="str">
        <f t="shared" si="117"/>
        <v>RvtCode_spot5mPanStereo</v>
      </c>
      <c r="B7543" s="409"/>
      <c r="C7543" s="416"/>
      <c r="D7543" s="198" t="s">
        <v>45657</v>
      </c>
      <c r="E7543" s="198">
        <v>79</v>
      </c>
      <c r="F7543" s="199" t="s">
        <v>45658</v>
      </c>
      <c r="G7543" s="1" t="s">
        <v>45659</v>
      </c>
      <c r="H7543" s="200"/>
      <c r="I7543" s="346"/>
      <c r="J7543" s="39">
        <v>111074</v>
      </c>
      <c r="K7543" s="36" t="str">
        <f>CONCATENATE(Cover!$D$6,"fdd/view?i=",J7543)</f>
        <v>https://www.dgiwg.org/FAD/fdd/view?i=111074</v>
      </c>
      <c r="L7543" s="36" t="s">
        <v>45660</v>
      </c>
      <c r="M7543" s="186"/>
      <c r="N7543" s="186"/>
      <c r="O7543" s="172"/>
    </row>
    <row r="7544" spans="1:15" ht="25.5" x14ac:dyDescent="0.2">
      <c r="A7544" s="197" t="str">
        <f t="shared" si="117"/>
        <v>RvtCode_spot5mStereoImagery</v>
      </c>
      <c r="B7544" s="409"/>
      <c r="C7544" s="416"/>
      <c r="D7544" s="198" t="s">
        <v>45661</v>
      </c>
      <c r="E7544" s="198">
        <v>83</v>
      </c>
      <c r="F7544" s="199" t="s">
        <v>45662</v>
      </c>
      <c r="G7544" s="1" t="s">
        <v>45663</v>
      </c>
      <c r="H7544" s="200"/>
      <c r="I7544" s="346"/>
      <c r="J7544" s="39">
        <v>111078</v>
      </c>
      <c r="K7544" s="36" t="str">
        <f>CONCATENATE(Cover!$D$6,"fdd/view?i=",J7544)</f>
        <v>https://www.dgiwg.org/FAD/fdd/view?i=111078</v>
      </c>
      <c r="L7544" s="36" t="s">
        <v>45664</v>
      </c>
      <c r="M7544" s="186"/>
      <c r="N7544" s="186"/>
      <c r="O7544" s="172"/>
    </row>
    <row r="7545" spans="1:15" ht="25.5" x14ac:dyDescent="0.2">
      <c r="A7545" s="197" t="str">
        <f t="shared" si="117"/>
        <v>RvtCode_spotHrgDtm</v>
      </c>
      <c r="B7545" s="409"/>
      <c r="C7545" s="416"/>
      <c r="D7545" s="198" t="s">
        <v>45665</v>
      </c>
      <c r="E7545" s="198">
        <v>85</v>
      </c>
      <c r="F7545" s="199" t="s">
        <v>45666</v>
      </c>
      <c r="G7545" s="1" t="s">
        <v>45667</v>
      </c>
      <c r="H7545" s="200"/>
      <c r="I7545" s="346"/>
      <c r="J7545" s="39">
        <v>111080</v>
      </c>
      <c r="K7545" s="36" t="str">
        <f>CONCATENATE(Cover!$D$6,"fdd/view?i=",J7545)</f>
        <v>https://www.dgiwg.org/FAD/fdd/view?i=111080</v>
      </c>
      <c r="L7545" s="36" t="s">
        <v>45668</v>
      </c>
      <c r="M7545" s="186"/>
      <c r="N7545" s="186"/>
      <c r="O7545" s="172"/>
    </row>
    <row r="7546" spans="1:15" x14ac:dyDescent="0.2">
      <c r="A7546" s="197" t="str">
        <f t="shared" si="117"/>
        <v>RvtCode_stadtkarte</v>
      </c>
      <c r="B7546" s="409"/>
      <c r="C7546" s="416"/>
      <c r="D7546" s="198" t="s">
        <v>45673</v>
      </c>
      <c r="E7546" s="198">
        <v>100</v>
      </c>
      <c r="F7546" s="199" t="s">
        <v>45674</v>
      </c>
      <c r="G7546" s="1" t="s">
        <v>45675</v>
      </c>
      <c r="H7546" s="200"/>
      <c r="I7546" s="346"/>
      <c r="J7546" s="39">
        <v>112898</v>
      </c>
      <c r="K7546" s="36" t="str">
        <f>CONCATENATE(Cover!$D$6,"fdd/view?i=",J7546)</f>
        <v>https://www.dgiwg.org/FAD/fdd/view?i=112898</v>
      </c>
      <c r="L7546" s="36" t="s">
        <v>45676</v>
      </c>
      <c r="M7546" s="186"/>
      <c r="N7546" s="186"/>
      <c r="O7546" s="172"/>
    </row>
    <row r="7547" spans="1:15" ht="51" x14ac:dyDescent="0.2">
      <c r="A7547" s="197" t="str">
        <f t="shared" si="117"/>
        <v>RvtCode_terraSarXScanSar</v>
      </c>
      <c r="B7547" s="409"/>
      <c r="C7547" s="416"/>
      <c r="D7547" s="198" t="s">
        <v>45681</v>
      </c>
      <c r="E7547" s="198">
        <v>149</v>
      </c>
      <c r="F7547" s="199" t="s">
        <v>45682</v>
      </c>
      <c r="G7547" s="1" t="s">
        <v>45683</v>
      </c>
      <c r="H7547" s="200"/>
      <c r="I7547" s="346"/>
      <c r="J7547" s="39">
        <v>118394</v>
      </c>
      <c r="K7547" s="36" t="str">
        <f>CONCATENATE(Cover!$D$6,"fdd/view?i=",J7547)</f>
        <v>https://www.dgiwg.org/FAD/fdd/view?i=118394</v>
      </c>
      <c r="L7547" s="36" t="s">
        <v>45684</v>
      </c>
      <c r="M7547" s="186"/>
      <c r="N7547" s="186"/>
      <c r="O7547" s="172"/>
    </row>
    <row r="7548" spans="1:15" ht="51" x14ac:dyDescent="0.2">
      <c r="A7548" s="197" t="str">
        <f t="shared" si="117"/>
        <v>RvtCode_terraSarXStripMap</v>
      </c>
      <c r="B7548" s="409"/>
      <c r="C7548" s="416"/>
      <c r="D7548" s="198" t="s">
        <v>45677</v>
      </c>
      <c r="E7548" s="198">
        <v>150</v>
      </c>
      <c r="F7548" s="199" t="s">
        <v>45678</v>
      </c>
      <c r="G7548" s="1" t="s">
        <v>45679</v>
      </c>
      <c r="H7548" s="200"/>
      <c r="I7548" s="346"/>
      <c r="J7548" s="39">
        <v>118395</v>
      </c>
      <c r="K7548" s="36" t="str">
        <f>CONCATENATE(Cover!$D$6,"fdd/view?i=",J7548)</f>
        <v>https://www.dgiwg.org/FAD/fdd/view?i=118395</v>
      </c>
      <c r="L7548" s="36" t="s">
        <v>45680</v>
      </c>
      <c r="M7548" s="186"/>
      <c r="N7548" s="186"/>
      <c r="O7548" s="172"/>
    </row>
    <row r="7549" spans="1:15" ht="25.5" x14ac:dyDescent="0.2">
      <c r="A7549" s="197" t="str">
        <f t="shared" si="117"/>
        <v>RvtCode_unitedNationsData</v>
      </c>
      <c r="B7549" s="409"/>
      <c r="C7549" s="416"/>
      <c r="D7549" s="198" t="s">
        <v>45712</v>
      </c>
      <c r="E7549" s="198">
        <v>59</v>
      </c>
      <c r="F7549" s="199" t="s">
        <v>45713</v>
      </c>
      <c r="G7549" s="1" t="s">
        <v>45714</v>
      </c>
      <c r="H7549" s="200"/>
      <c r="I7549" s="346"/>
      <c r="J7549" s="39">
        <v>110386</v>
      </c>
      <c r="K7549" s="36" t="str">
        <f>CONCATENATE(Cover!$D$6,"fdd/view?i=",J7549)</f>
        <v>https://www.dgiwg.org/FAD/fdd/view?i=110386</v>
      </c>
      <c r="L7549" s="36" t="s">
        <v>45715</v>
      </c>
      <c r="M7549" s="186"/>
      <c r="N7549" s="186"/>
      <c r="O7549" s="172"/>
    </row>
    <row r="7550" spans="1:15" ht="25.5" x14ac:dyDescent="0.2">
      <c r="A7550" s="197" t="str">
        <f t="shared" si="117"/>
        <v>RvtCode_usModernizedIntegratedDB</v>
      </c>
      <c r="B7550" s="409"/>
      <c r="C7550" s="416"/>
      <c r="D7550" s="198" t="s">
        <v>45496</v>
      </c>
      <c r="E7550" s="198">
        <v>43</v>
      </c>
      <c r="F7550" s="199" t="s">
        <v>45497</v>
      </c>
      <c r="G7550" s="1" t="s">
        <v>45498</v>
      </c>
      <c r="H7550" s="200"/>
      <c r="I7550" s="346"/>
      <c r="J7550" s="39">
        <v>110369</v>
      </c>
      <c r="K7550" s="36" t="str">
        <f>CONCATENATE(Cover!$D$6,"fdd/view?i=",J7550)</f>
        <v>https://www.dgiwg.org/FAD/fdd/view?i=110369</v>
      </c>
      <c r="L7550" s="36" t="s">
        <v>45499</v>
      </c>
      <c r="M7550" s="186"/>
      <c r="N7550" s="186"/>
      <c r="O7550" s="172"/>
    </row>
    <row r="7551" spans="1:15" ht="25.5" x14ac:dyDescent="0.2">
      <c r="A7551" s="197" t="str">
        <f t="shared" si="117"/>
        <v>RvtCode_usNtmImagery</v>
      </c>
      <c r="B7551" s="409"/>
      <c r="C7551" s="416"/>
      <c r="D7551" s="198" t="s">
        <v>45560</v>
      </c>
      <c r="E7551" s="198">
        <v>29</v>
      </c>
      <c r="F7551" s="199" t="s">
        <v>45561</v>
      </c>
      <c r="G7551" s="1" t="s">
        <v>45562</v>
      </c>
      <c r="H7551" s="200"/>
      <c r="I7551" s="346"/>
      <c r="J7551" s="39">
        <v>110353</v>
      </c>
      <c r="K7551" s="36" t="str">
        <f>CONCATENATE(Cover!$D$6,"fdd/view?i=",J7551)</f>
        <v>https://www.dgiwg.org/FAD/fdd/view?i=110353</v>
      </c>
      <c r="L7551" s="36" t="s">
        <v>45563</v>
      </c>
      <c r="M7551" s="186"/>
      <c r="N7551" s="186"/>
      <c r="O7551" s="172"/>
    </row>
    <row r="7552" spans="1:15" ht="25.5" x14ac:dyDescent="0.2">
      <c r="A7552" s="197" t="str">
        <f t="shared" si="117"/>
        <v>RvtCode_usShuttleRadarTopoMission</v>
      </c>
      <c r="B7552" s="409"/>
      <c r="C7552" s="416"/>
      <c r="D7552" s="198" t="s">
        <v>45669</v>
      </c>
      <c r="E7552" s="198">
        <v>50</v>
      </c>
      <c r="F7552" s="199" t="s">
        <v>45670</v>
      </c>
      <c r="G7552" s="1" t="s">
        <v>45671</v>
      </c>
      <c r="H7552" s="200"/>
      <c r="I7552" s="346"/>
      <c r="J7552" s="39">
        <v>110377</v>
      </c>
      <c r="K7552" s="36" t="str">
        <f>CONCATENATE(Cover!$D$6,"fdd/view?i=",J7552)</f>
        <v>https://www.dgiwg.org/FAD/fdd/view?i=110377</v>
      </c>
      <c r="L7552" s="36" t="s">
        <v>45672</v>
      </c>
      <c r="M7552" s="186"/>
      <c r="N7552" s="186"/>
      <c r="O7552" s="172"/>
    </row>
    <row r="7553" spans="1:15" x14ac:dyDescent="0.2">
      <c r="A7553" s="197" t="str">
        <f t="shared" si="117"/>
        <v>RvtCode_vectorData</v>
      </c>
      <c r="B7553" s="409"/>
      <c r="C7553" s="416"/>
      <c r="D7553" s="198" t="s">
        <v>45720</v>
      </c>
      <c r="E7553" s="198">
        <v>92</v>
      </c>
      <c r="F7553" s="199" t="s">
        <v>45721</v>
      </c>
      <c r="G7553" s="1" t="s">
        <v>45722</v>
      </c>
      <c r="H7553" s="200"/>
      <c r="I7553" s="346"/>
      <c r="J7553" s="39">
        <v>111087</v>
      </c>
      <c r="K7553" s="36" t="str">
        <f>CONCATENATE(Cover!$D$6,"fdd/view?i=",J7553)</f>
        <v>https://www.dgiwg.org/FAD/fdd/view?i=111087</v>
      </c>
      <c r="L7553" s="36" t="s">
        <v>45723</v>
      </c>
      <c r="M7553" s="186"/>
      <c r="N7553" s="186"/>
      <c r="O7553" s="172"/>
    </row>
    <row r="7554" spans="1:15" ht="25.5" x14ac:dyDescent="0.2">
      <c r="A7554" s="197" t="str">
        <f t="shared" ref="A7554:A7617" si="118">HYPERLINK(K7554,L7554)</f>
        <v>RvtCode_vectorData100k</v>
      </c>
      <c r="B7554" s="409"/>
      <c r="C7554" s="416"/>
      <c r="D7554" s="198" t="s">
        <v>45178</v>
      </c>
      <c r="E7554" s="198">
        <v>95</v>
      </c>
      <c r="F7554" s="199" t="s">
        <v>45179</v>
      </c>
      <c r="G7554" s="1" t="s">
        <v>45180</v>
      </c>
      <c r="H7554" s="200"/>
      <c r="I7554" s="346"/>
      <c r="J7554" s="39">
        <v>111090</v>
      </c>
      <c r="K7554" s="36" t="str">
        <f>CONCATENATE(Cover!$D$6,"fdd/view?i=",J7554)</f>
        <v>https://www.dgiwg.org/FAD/fdd/view?i=111090</v>
      </c>
      <c r="L7554" s="36" t="s">
        <v>45181</v>
      </c>
      <c r="M7554" s="186"/>
      <c r="N7554" s="186"/>
      <c r="O7554" s="172"/>
    </row>
    <row r="7555" spans="1:15" x14ac:dyDescent="0.2">
      <c r="A7555" s="197" t="str">
        <f t="shared" si="118"/>
        <v>RvtCode_vectorData25k</v>
      </c>
      <c r="B7555" s="409"/>
      <c r="C7555" s="416"/>
      <c r="D7555" s="198" t="s">
        <v>45182</v>
      </c>
      <c r="E7555" s="198">
        <v>93</v>
      </c>
      <c r="F7555" s="199" t="s">
        <v>45183</v>
      </c>
      <c r="G7555" s="1" t="s">
        <v>45184</v>
      </c>
      <c r="H7555" s="200"/>
      <c r="I7555" s="346"/>
      <c r="J7555" s="39">
        <v>111088</v>
      </c>
      <c r="K7555" s="36" t="str">
        <f>CONCATENATE(Cover!$D$6,"fdd/view?i=",J7555)</f>
        <v>https://www.dgiwg.org/FAD/fdd/view?i=111088</v>
      </c>
      <c r="L7555" s="36" t="s">
        <v>45185</v>
      </c>
      <c r="M7555" s="186"/>
      <c r="N7555" s="186"/>
      <c r="O7555" s="172"/>
    </row>
    <row r="7556" spans="1:15" x14ac:dyDescent="0.2">
      <c r="A7556" s="197" t="str">
        <f t="shared" si="118"/>
        <v>RvtCode_vectorData50k</v>
      </c>
      <c r="B7556" s="409"/>
      <c r="C7556" s="416"/>
      <c r="D7556" s="198" t="s">
        <v>45186</v>
      </c>
      <c r="E7556" s="198">
        <v>94</v>
      </c>
      <c r="F7556" s="199" t="s">
        <v>45187</v>
      </c>
      <c r="G7556" s="1" t="s">
        <v>45188</v>
      </c>
      <c r="H7556" s="200"/>
      <c r="I7556" s="346"/>
      <c r="J7556" s="39">
        <v>111089</v>
      </c>
      <c r="K7556" s="36" t="str">
        <f>CONCATENATE(Cover!$D$6,"fdd/view?i=",J7556)</f>
        <v>https://www.dgiwg.org/FAD/fdd/view?i=111089</v>
      </c>
      <c r="L7556" s="36" t="s">
        <v>45189</v>
      </c>
      <c r="M7556" s="186"/>
      <c r="N7556" s="186"/>
      <c r="O7556" s="172"/>
    </row>
    <row r="7557" spans="1:15" ht="38.25" x14ac:dyDescent="0.2">
      <c r="A7557" s="197" t="str">
        <f t="shared" si="118"/>
        <v>RvtCode_veryHighResCommMonoImage</v>
      </c>
      <c r="B7557" s="409"/>
      <c r="C7557" s="416"/>
      <c r="D7557" s="198" t="s">
        <v>45724</v>
      </c>
      <c r="E7557" s="198">
        <v>110</v>
      </c>
      <c r="F7557" s="199" t="s">
        <v>45725</v>
      </c>
      <c r="G7557" s="1" t="s">
        <v>45726</v>
      </c>
      <c r="H7557" s="200"/>
      <c r="I7557" s="346"/>
      <c r="J7557" s="39">
        <v>118089</v>
      </c>
      <c r="K7557" s="36" t="str">
        <f>CONCATENATE(Cover!$D$6,"fdd/view?i=",J7557)</f>
        <v>https://www.dgiwg.org/FAD/fdd/view?i=118089</v>
      </c>
      <c r="L7557" s="36" t="s">
        <v>45727</v>
      </c>
      <c r="M7557" s="186"/>
      <c r="N7557" s="186"/>
      <c r="O7557" s="172"/>
    </row>
    <row r="7558" spans="1:15" ht="38.25" x14ac:dyDescent="0.2">
      <c r="A7558" s="197" t="str">
        <f t="shared" si="118"/>
        <v>RvtCode_veryHighResCommStereoImage</v>
      </c>
      <c r="B7558" s="409"/>
      <c r="C7558" s="416"/>
      <c r="D7558" s="198" t="s">
        <v>45728</v>
      </c>
      <c r="E7558" s="198">
        <v>111</v>
      </c>
      <c r="F7558" s="199" t="s">
        <v>45729</v>
      </c>
      <c r="G7558" s="1" t="s">
        <v>45730</v>
      </c>
      <c r="H7558" s="200"/>
      <c r="I7558" s="346"/>
      <c r="J7558" s="39">
        <v>118090</v>
      </c>
      <c r="K7558" s="36" t="str">
        <f>CONCATENATE(Cover!$D$6,"fdd/view?i=",J7558)</f>
        <v>https://www.dgiwg.org/FAD/fdd/view?i=118090</v>
      </c>
      <c r="L7558" s="36" t="s">
        <v>45731</v>
      </c>
      <c r="M7558" s="186"/>
      <c r="N7558" s="186"/>
      <c r="O7558" s="172"/>
    </row>
    <row r="7559" spans="1:15" ht="38.25" x14ac:dyDescent="0.2">
      <c r="A7559" s="197" t="str">
        <f t="shared" si="118"/>
        <v>RvtCode_veryHighResMonoSarImage</v>
      </c>
      <c r="B7559" s="409"/>
      <c r="C7559" s="416"/>
      <c r="D7559" s="198" t="s">
        <v>45732</v>
      </c>
      <c r="E7559" s="198">
        <v>153</v>
      </c>
      <c r="F7559" s="199" t="s">
        <v>45733</v>
      </c>
      <c r="G7559" s="1" t="s">
        <v>45734</v>
      </c>
      <c r="H7559" s="200"/>
      <c r="I7559" s="346"/>
      <c r="J7559" s="39">
        <v>118529</v>
      </c>
      <c r="K7559" s="36" t="str">
        <f>CONCATENATE(Cover!$D$6,"fdd/view?i=",J7559)</f>
        <v>https://www.dgiwg.org/FAD/fdd/view?i=118529</v>
      </c>
      <c r="L7559" s="36" t="s">
        <v>45735</v>
      </c>
      <c r="M7559" s="186"/>
      <c r="N7559" s="186"/>
      <c r="O7559" s="172"/>
    </row>
    <row r="7560" spans="1:15" ht="38.25" x14ac:dyDescent="0.2">
      <c r="A7560" s="197" t="str">
        <f t="shared" si="118"/>
        <v>RvtCode_veryHighResStereoSarImage</v>
      </c>
      <c r="B7560" s="409"/>
      <c r="C7560" s="416"/>
      <c r="D7560" s="198" t="s">
        <v>45736</v>
      </c>
      <c r="E7560" s="198">
        <v>154</v>
      </c>
      <c r="F7560" s="199" t="s">
        <v>45737</v>
      </c>
      <c r="G7560" s="1" t="s">
        <v>45738</v>
      </c>
      <c r="H7560" s="200"/>
      <c r="I7560" s="346"/>
      <c r="J7560" s="39">
        <v>118530</v>
      </c>
      <c r="K7560" s="36" t="str">
        <f>CONCATENATE(Cover!$D$6,"fdd/view?i=",J7560)</f>
        <v>https://www.dgiwg.org/FAD/fdd/view?i=118530</v>
      </c>
      <c r="L7560" s="36" t="s">
        <v>45739</v>
      </c>
      <c r="M7560" s="186"/>
      <c r="N7560" s="186"/>
      <c r="O7560" s="172"/>
    </row>
    <row r="7561" spans="1:15" ht="25.5" x14ac:dyDescent="0.2">
      <c r="A7561" s="197" t="str">
        <f t="shared" si="118"/>
        <v>RvtCode_worldView1</v>
      </c>
      <c r="B7561" s="409"/>
      <c r="C7561" s="416"/>
      <c r="D7561" s="198" t="s">
        <v>45760</v>
      </c>
      <c r="E7561" s="198">
        <v>137</v>
      </c>
      <c r="F7561" s="199" t="s">
        <v>45761</v>
      </c>
      <c r="G7561" s="1" t="s">
        <v>45762</v>
      </c>
      <c r="H7561" s="200"/>
      <c r="I7561" s="346"/>
      <c r="J7561" s="39">
        <v>118382</v>
      </c>
      <c r="K7561" s="36" t="str">
        <f>CONCATENATE(Cover!$D$6,"fdd/view?i=",J7561)</f>
        <v>https://www.dgiwg.org/FAD/fdd/view?i=118382</v>
      </c>
      <c r="L7561" s="36" t="s">
        <v>45763</v>
      </c>
      <c r="M7561" s="186"/>
      <c r="N7561" s="186"/>
      <c r="O7561" s="172"/>
    </row>
    <row r="7562" spans="1:15" ht="25.5" x14ac:dyDescent="0.2">
      <c r="A7562" s="197" t="str">
        <f t="shared" si="118"/>
        <v>RvtCode_worldView2</v>
      </c>
      <c r="B7562" s="409"/>
      <c r="C7562" s="416"/>
      <c r="D7562" s="198" t="s">
        <v>45764</v>
      </c>
      <c r="E7562" s="198">
        <v>138</v>
      </c>
      <c r="F7562" s="199" t="s">
        <v>45765</v>
      </c>
      <c r="G7562" s="1" t="s">
        <v>45766</v>
      </c>
      <c r="H7562" s="200"/>
      <c r="I7562" s="346"/>
      <c r="J7562" s="39">
        <v>118383</v>
      </c>
      <c r="K7562" s="36" t="str">
        <f>CONCATENATE(Cover!$D$6,"fdd/view?i=",J7562)</f>
        <v>https://www.dgiwg.org/FAD/fdd/view?i=118383</v>
      </c>
      <c r="L7562" s="36" t="s">
        <v>45767</v>
      </c>
      <c r="M7562" s="186"/>
      <c r="N7562" s="186"/>
      <c r="O7562" s="172"/>
    </row>
    <row r="7563" spans="1:15" ht="25.5" x14ac:dyDescent="0.2">
      <c r="A7563" s="203" t="str">
        <f t="shared" si="118"/>
        <v>RvtCode_worldWideWeb</v>
      </c>
      <c r="B7563" s="410"/>
      <c r="C7563" s="417"/>
      <c r="D7563" s="204" t="s">
        <v>45756</v>
      </c>
      <c r="E7563" s="204">
        <v>126</v>
      </c>
      <c r="F7563" s="205" t="s">
        <v>45757</v>
      </c>
      <c r="G7563" s="206" t="s">
        <v>45758</v>
      </c>
      <c r="H7563" s="207"/>
      <c r="I7563" s="347"/>
      <c r="J7563" s="39">
        <v>118371</v>
      </c>
      <c r="K7563" s="36" t="str">
        <f>CONCATENATE(Cover!$D$6,"fdd/view?i=",J7563)</f>
        <v>https://www.dgiwg.org/FAD/fdd/view?i=118371</v>
      </c>
      <c r="L7563" s="36" t="s">
        <v>45759</v>
      </c>
      <c r="M7563" s="186"/>
      <c r="N7563" s="186"/>
      <c r="O7563" s="172"/>
    </row>
    <row r="7564" spans="1:15" x14ac:dyDescent="0.2">
      <c r="A7564" s="190" t="str">
        <f t="shared" si="118"/>
        <v>AcrCode_accurate</v>
      </c>
      <c r="B7564" s="414" t="str">
        <f>HYPERLINK("[#]Datatypes!A1300:L1300","AcrCode")</f>
        <v>AcrCode</v>
      </c>
      <c r="C7564" s="415" t="s">
        <v>15919</v>
      </c>
      <c r="D7564" s="221" t="s">
        <v>29223</v>
      </c>
      <c r="E7564" s="221">
        <v>1</v>
      </c>
      <c r="F7564" s="222" t="s">
        <v>29224</v>
      </c>
      <c r="G7564" s="223" t="s">
        <v>29225</v>
      </c>
      <c r="H7564" s="224"/>
      <c r="I7564" s="345"/>
      <c r="J7564" s="39">
        <v>101593</v>
      </c>
      <c r="K7564" s="36" t="str">
        <f>CONCATENATE(Cover!$D$6,"fdd/view?i=",J7564)</f>
        <v>https://www.dgiwg.org/FAD/fdd/view?i=101593</v>
      </c>
      <c r="L7564" s="36" t="s">
        <v>45772</v>
      </c>
      <c r="M7564" s="186"/>
      <c r="N7564" s="186"/>
      <c r="O7564" s="172"/>
    </row>
    <row r="7565" spans="1:15" ht="25.5" x14ac:dyDescent="0.2">
      <c r="A7565" s="203" t="str">
        <f t="shared" si="118"/>
        <v>AcrCode_approximate</v>
      </c>
      <c r="B7565" s="410"/>
      <c r="C7565" s="417"/>
      <c r="D7565" s="204" t="s">
        <v>29227</v>
      </c>
      <c r="E7565" s="204">
        <v>2</v>
      </c>
      <c r="F7565" s="205" t="s">
        <v>29228</v>
      </c>
      <c r="G7565" s="206" t="s">
        <v>29229</v>
      </c>
      <c r="H7565" s="207"/>
      <c r="I7565" s="347"/>
      <c r="J7565" s="39">
        <v>101594</v>
      </c>
      <c r="K7565" s="36" t="str">
        <f>CONCATENATE(Cover!$D$6,"fdd/view?i=",J7565)</f>
        <v>https://www.dgiwg.org/FAD/fdd/view?i=101594</v>
      </c>
      <c r="L7565" s="36" t="s">
        <v>45773</v>
      </c>
      <c r="M7565" s="186"/>
      <c r="N7565" s="186"/>
      <c r="O7565" s="172"/>
    </row>
    <row r="7566" spans="1:15" ht="25.5" x14ac:dyDescent="0.2">
      <c r="A7566" s="190" t="str">
        <f t="shared" si="118"/>
        <v>ShrCode_buildingRubble</v>
      </c>
      <c r="B7566" s="414" t="str">
        <f>HYPERLINK("[#]Datatypes!A1302:L1302","ShrCode")</f>
        <v>ShrCode</v>
      </c>
      <c r="C7566" s="415" t="s">
        <v>15921</v>
      </c>
      <c r="D7566" s="221" t="s">
        <v>37144</v>
      </c>
      <c r="E7566" s="221">
        <v>11</v>
      </c>
      <c r="F7566" s="222" t="s">
        <v>37145</v>
      </c>
      <c r="G7566" s="223" t="s">
        <v>37146</v>
      </c>
      <c r="H7566" s="224"/>
      <c r="I7566" s="345"/>
      <c r="J7566" s="39">
        <v>107692</v>
      </c>
      <c r="K7566" s="36" t="str">
        <f>CONCATENATE(Cover!$D$6,"fdd/view?i=",J7566)</f>
        <v>https://www.dgiwg.org/FAD/fdd/view?i=107692</v>
      </c>
      <c r="L7566" s="36" t="s">
        <v>45774</v>
      </c>
      <c r="M7566" s="186"/>
      <c r="N7566" s="186"/>
      <c r="O7566" s="172"/>
    </row>
    <row r="7567" spans="1:15" ht="38.25" x14ac:dyDescent="0.2">
      <c r="A7567" s="197" t="str">
        <f t="shared" si="118"/>
        <v>ShrCode_erosionRubble</v>
      </c>
      <c r="B7567" s="409"/>
      <c r="C7567" s="416"/>
      <c r="D7567" s="198" t="s">
        <v>37148</v>
      </c>
      <c r="E7567" s="198">
        <v>12</v>
      </c>
      <c r="F7567" s="199" t="s">
        <v>37149</v>
      </c>
      <c r="G7567" s="1" t="s">
        <v>37150</v>
      </c>
      <c r="H7567" s="1" t="s">
        <v>37151</v>
      </c>
      <c r="I7567" s="346"/>
      <c r="J7567" s="39">
        <v>117753</v>
      </c>
      <c r="K7567" s="36" t="str">
        <f>CONCATENATE(Cover!$D$6,"fdd/view?i=",J7567)</f>
        <v>https://www.dgiwg.org/FAD/fdd/view?i=117753</v>
      </c>
      <c r="L7567" s="36" t="s">
        <v>45775</v>
      </c>
      <c r="M7567" s="186"/>
      <c r="N7567" s="186"/>
      <c r="O7567" s="172"/>
    </row>
    <row r="7568" spans="1:15" ht="38.25" x14ac:dyDescent="0.2">
      <c r="A7568" s="197" t="str">
        <f t="shared" si="118"/>
        <v>ShrCode_mangrove</v>
      </c>
      <c r="B7568" s="409"/>
      <c r="C7568" s="416"/>
      <c r="D7568" s="198" t="s">
        <v>26176</v>
      </c>
      <c r="E7568" s="198">
        <v>6</v>
      </c>
      <c r="F7568" s="199" t="s">
        <v>26177</v>
      </c>
      <c r="G7568" s="1" t="s">
        <v>37153</v>
      </c>
      <c r="H7568" s="200"/>
      <c r="I7568" s="346"/>
      <c r="J7568" s="39">
        <v>107689</v>
      </c>
      <c r="K7568" s="36" t="str">
        <f>CONCATENATE(Cover!$D$6,"fdd/view?i=",J7568)</f>
        <v>https://www.dgiwg.org/FAD/fdd/view?i=107689</v>
      </c>
      <c r="L7568" s="36" t="s">
        <v>45776</v>
      </c>
      <c r="M7568" s="186"/>
      <c r="N7568" s="186"/>
      <c r="O7568" s="172"/>
    </row>
    <row r="7569" spans="1:15" ht="38.25" x14ac:dyDescent="0.2">
      <c r="A7569" s="197" t="str">
        <f t="shared" si="118"/>
        <v>ShrCode_marshy</v>
      </c>
      <c r="B7569" s="409"/>
      <c r="C7569" s="416"/>
      <c r="D7569" s="198" t="s">
        <v>26180</v>
      </c>
      <c r="E7569" s="198">
        <v>8</v>
      </c>
      <c r="F7569" s="199" t="s">
        <v>26181</v>
      </c>
      <c r="G7569" s="1" t="s">
        <v>37155</v>
      </c>
      <c r="H7569" s="1" t="s">
        <v>37156</v>
      </c>
      <c r="I7569" s="346"/>
      <c r="J7569" s="39">
        <v>107690</v>
      </c>
      <c r="K7569" s="36" t="str">
        <f>CONCATENATE(Cover!$D$6,"fdd/view?i=",J7569)</f>
        <v>https://www.dgiwg.org/FAD/fdd/view?i=107690</v>
      </c>
      <c r="L7569" s="36" t="s">
        <v>45777</v>
      </c>
      <c r="M7569" s="186"/>
      <c r="N7569" s="186"/>
      <c r="O7569" s="172"/>
    </row>
    <row r="7570" spans="1:15" ht="38.25" x14ac:dyDescent="0.2">
      <c r="A7570" s="197" t="str">
        <f t="shared" si="118"/>
        <v>ShrCode_sandy</v>
      </c>
      <c r="B7570" s="409"/>
      <c r="C7570" s="416"/>
      <c r="D7570" s="198" t="s">
        <v>37158</v>
      </c>
      <c r="E7570" s="198">
        <v>13</v>
      </c>
      <c r="F7570" s="199" t="s">
        <v>37159</v>
      </c>
      <c r="G7570" s="1" t="s">
        <v>37160</v>
      </c>
      <c r="H7570" s="200"/>
      <c r="I7570" s="346"/>
      <c r="J7570" s="39">
        <v>107693</v>
      </c>
      <c r="K7570" s="36" t="str">
        <f>CONCATENATE(Cover!$D$6,"fdd/view?i=",J7570)</f>
        <v>https://www.dgiwg.org/FAD/fdd/view?i=107693</v>
      </c>
      <c r="L7570" s="36" t="s">
        <v>45778</v>
      </c>
      <c r="M7570" s="186"/>
      <c r="N7570" s="186"/>
      <c r="O7570" s="172"/>
    </row>
    <row r="7571" spans="1:15" ht="25.5" x14ac:dyDescent="0.2">
      <c r="A7571" s="197" t="str">
        <f t="shared" si="118"/>
        <v>ShrCode_shingly</v>
      </c>
      <c r="B7571" s="409"/>
      <c r="C7571" s="416"/>
      <c r="D7571" s="198" t="s">
        <v>37162</v>
      </c>
      <c r="E7571" s="198">
        <v>14</v>
      </c>
      <c r="F7571" s="199" t="s">
        <v>37163</v>
      </c>
      <c r="G7571" s="1" t="s">
        <v>37164</v>
      </c>
      <c r="H7571" s="200"/>
      <c r="I7571" s="346"/>
      <c r="J7571" s="39">
        <v>107694</v>
      </c>
      <c r="K7571" s="36" t="str">
        <f>CONCATENATE(Cover!$D$6,"fdd/view?i=",J7571)</f>
        <v>https://www.dgiwg.org/FAD/fdd/view?i=107694</v>
      </c>
      <c r="L7571" s="36" t="s">
        <v>45779</v>
      </c>
      <c r="M7571" s="186"/>
      <c r="N7571" s="186"/>
      <c r="O7571" s="172"/>
    </row>
    <row r="7572" spans="1:15" ht="25.5" x14ac:dyDescent="0.2">
      <c r="A7572" s="203" t="str">
        <f t="shared" si="118"/>
        <v>ShrCode_stony</v>
      </c>
      <c r="B7572" s="410"/>
      <c r="C7572" s="417"/>
      <c r="D7572" s="204" t="s">
        <v>37166</v>
      </c>
      <c r="E7572" s="204">
        <v>10</v>
      </c>
      <c r="F7572" s="205" t="s">
        <v>37167</v>
      </c>
      <c r="G7572" s="206" t="s">
        <v>37168</v>
      </c>
      <c r="H7572" s="207"/>
      <c r="I7572" s="347"/>
      <c r="J7572" s="39">
        <v>107691</v>
      </c>
      <c r="K7572" s="36" t="str">
        <f>CONCATENATE(Cover!$D$6,"fdd/view?i=",J7572)</f>
        <v>https://www.dgiwg.org/FAD/fdd/view?i=107691</v>
      </c>
      <c r="L7572" s="36" t="s">
        <v>45780</v>
      </c>
      <c r="M7572" s="186"/>
      <c r="N7572" s="186"/>
      <c r="O7572" s="172"/>
    </row>
    <row r="7573" spans="1:15" ht="63.75" x14ac:dyDescent="0.2">
      <c r="A7573" s="190" t="str">
        <f t="shared" si="118"/>
        <v>RitCode_cloverleaf</v>
      </c>
      <c r="B7573" s="414" t="str">
        <f>HYPERLINK("[#]Datatypes!A1304:L1304","RitCode")</f>
        <v>RitCode</v>
      </c>
      <c r="C7573" s="415" t="s">
        <v>15923</v>
      </c>
      <c r="D7573" s="221" t="s">
        <v>45781</v>
      </c>
      <c r="E7573" s="221">
        <v>1</v>
      </c>
      <c r="F7573" s="222" t="s">
        <v>45782</v>
      </c>
      <c r="G7573" s="223" t="s">
        <v>45783</v>
      </c>
      <c r="H7573" s="224"/>
      <c r="I7573" s="345"/>
      <c r="J7573" s="39">
        <v>107188</v>
      </c>
      <c r="K7573" s="36" t="str">
        <f>CONCATENATE(Cover!$D$6,"fdd/view?i=",J7573)</f>
        <v>https://www.dgiwg.org/FAD/fdd/view?i=107188</v>
      </c>
      <c r="L7573" s="36" t="s">
        <v>45784</v>
      </c>
      <c r="M7573" s="186"/>
      <c r="N7573" s="186"/>
      <c r="O7573" s="172"/>
    </row>
    <row r="7574" spans="1:15" ht="63.75" x14ac:dyDescent="0.2">
      <c r="A7574" s="197" t="str">
        <f t="shared" si="118"/>
        <v>RitCode_diamond</v>
      </c>
      <c r="B7574" s="409"/>
      <c r="C7574" s="416"/>
      <c r="D7574" s="198" t="s">
        <v>24752</v>
      </c>
      <c r="E7574" s="198">
        <v>2</v>
      </c>
      <c r="F7574" s="199" t="s">
        <v>24753</v>
      </c>
      <c r="G7574" s="1" t="s">
        <v>45785</v>
      </c>
      <c r="H7574" s="200"/>
      <c r="I7574" s="346"/>
      <c r="J7574" s="39">
        <v>107189</v>
      </c>
      <c r="K7574" s="36" t="str">
        <f>CONCATENATE(Cover!$D$6,"fdd/view?i=",J7574)</f>
        <v>https://www.dgiwg.org/FAD/fdd/view?i=107189</v>
      </c>
      <c r="L7574" s="36" t="s">
        <v>45786</v>
      </c>
      <c r="M7574" s="186"/>
      <c r="N7574" s="186"/>
      <c r="O7574" s="172"/>
    </row>
    <row r="7575" spans="1:15" ht="51" x14ac:dyDescent="0.2">
      <c r="A7575" s="197" t="str">
        <f t="shared" si="118"/>
        <v>RitCode_fork</v>
      </c>
      <c r="B7575" s="409"/>
      <c r="C7575" s="416"/>
      <c r="D7575" s="198" t="s">
        <v>45787</v>
      </c>
      <c r="E7575" s="198">
        <v>3</v>
      </c>
      <c r="F7575" s="199" t="s">
        <v>45788</v>
      </c>
      <c r="G7575" s="1" t="s">
        <v>45789</v>
      </c>
      <c r="H7575" s="200"/>
      <c r="I7575" s="346"/>
      <c r="J7575" s="39">
        <v>107190</v>
      </c>
      <c r="K7575" s="36" t="str">
        <f>CONCATENATE(Cover!$D$6,"fdd/view?i=",J7575)</f>
        <v>https://www.dgiwg.org/FAD/fdd/view?i=107190</v>
      </c>
      <c r="L7575" s="36" t="s">
        <v>45790</v>
      </c>
      <c r="M7575" s="186"/>
      <c r="N7575" s="186"/>
      <c r="O7575" s="172"/>
    </row>
    <row r="7576" spans="1:15" ht="51" x14ac:dyDescent="0.2">
      <c r="A7576" s="197" t="str">
        <f t="shared" si="118"/>
        <v>RitCode_rotary</v>
      </c>
      <c r="B7576" s="409"/>
      <c r="C7576" s="416"/>
      <c r="D7576" s="198" t="s">
        <v>45791</v>
      </c>
      <c r="E7576" s="198">
        <v>4</v>
      </c>
      <c r="F7576" s="199" t="s">
        <v>45792</v>
      </c>
      <c r="G7576" s="1" t="s">
        <v>45793</v>
      </c>
      <c r="H7576" s="200"/>
      <c r="I7576" s="351" t="s">
        <v>45794</v>
      </c>
      <c r="J7576" s="39">
        <v>107191</v>
      </c>
      <c r="K7576" s="36" t="str">
        <f>CONCATENATE(Cover!$D$6,"fdd/view?i=",J7576)</f>
        <v>https://www.dgiwg.org/FAD/fdd/view?i=107191</v>
      </c>
      <c r="L7576" s="36" t="s">
        <v>45795</v>
      </c>
      <c r="M7576" s="186"/>
      <c r="N7576" s="186"/>
      <c r="O7576" s="172"/>
    </row>
    <row r="7577" spans="1:15" ht="25.5" x14ac:dyDescent="0.2">
      <c r="A7577" s="197" t="str">
        <f t="shared" si="118"/>
        <v>RitCode_roundabout</v>
      </c>
      <c r="B7577" s="409"/>
      <c r="C7577" s="416"/>
      <c r="D7577" s="198" t="s">
        <v>38735</v>
      </c>
      <c r="E7577" s="198">
        <v>11</v>
      </c>
      <c r="F7577" s="199" t="s">
        <v>38736</v>
      </c>
      <c r="G7577" s="1" t="s">
        <v>45796</v>
      </c>
      <c r="H7577" s="200"/>
      <c r="I7577" s="346"/>
      <c r="J7577" s="39">
        <v>119389</v>
      </c>
      <c r="K7577" s="36" t="str">
        <f>CONCATENATE(Cover!$D$6,"fdd/view?i=",J7577)</f>
        <v>https://www.dgiwg.org/FAD/fdd/view?i=119389</v>
      </c>
      <c r="L7577" s="36" t="s">
        <v>45797</v>
      </c>
      <c r="M7577" s="186"/>
      <c r="N7577" s="186"/>
      <c r="O7577" s="172"/>
    </row>
    <row r="7578" spans="1:15" ht="51" x14ac:dyDescent="0.2">
      <c r="A7578" s="197" t="str">
        <f t="shared" si="118"/>
        <v>RitCode_staggeredRamps</v>
      </c>
      <c r="B7578" s="409"/>
      <c r="C7578" s="416"/>
      <c r="D7578" s="198" t="s">
        <v>45798</v>
      </c>
      <c r="E7578" s="198">
        <v>5</v>
      </c>
      <c r="F7578" s="199" t="s">
        <v>45799</v>
      </c>
      <c r="G7578" s="1" t="s">
        <v>45800</v>
      </c>
      <c r="H7578" s="200"/>
      <c r="I7578" s="346"/>
      <c r="J7578" s="39">
        <v>107192</v>
      </c>
      <c r="K7578" s="36" t="str">
        <f>CONCATENATE(Cover!$D$6,"fdd/view?i=",J7578)</f>
        <v>https://www.dgiwg.org/FAD/fdd/view?i=107192</v>
      </c>
      <c r="L7578" s="36" t="s">
        <v>45801</v>
      </c>
      <c r="M7578" s="186"/>
      <c r="N7578" s="186"/>
      <c r="O7578" s="172"/>
    </row>
    <row r="7579" spans="1:15" ht="38.25" x14ac:dyDescent="0.2">
      <c r="A7579" s="197" t="str">
        <f t="shared" si="118"/>
        <v>RitCode_standardRamps</v>
      </c>
      <c r="B7579" s="409"/>
      <c r="C7579" s="416"/>
      <c r="D7579" s="198" t="s">
        <v>45802</v>
      </c>
      <c r="E7579" s="198">
        <v>6</v>
      </c>
      <c r="F7579" s="199" t="s">
        <v>45803</v>
      </c>
      <c r="G7579" s="1" t="s">
        <v>45804</v>
      </c>
      <c r="H7579" s="200"/>
      <c r="I7579" s="346"/>
      <c r="J7579" s="39">
        <v>107193</v>
      </c>
      <c r="K7579" s="36" t="str">
        <f>CONCATENATE(Cover!$D$6,"fdd/view?i=",J7579)</f>
        <v>https://www.dgiwg.org/FAD/fdd/view?i=107193</v>
      </c>
      <c r="L7579" s="36" t="s">
        <v>45805</v>
      </c>
      <c r="M7579" s="186"/>
      <c r="N7579" s="186"/>
      <c r="O7579" s="172"/>
    </row>
    <row r="7580" spans="1:15" ht="51" x14ac:dyDescent="0.2">
      <c r="A7580" s="197" t="str">
        <f t="shared" si="118"/>
        <v>RitCode_symmetricalRamps</v>
      </c>
      <c r="B7580" s="409"/>
      <c r="C7580" s="416"/>
      <c r="D7580" s="198" t="s">
        <v>45806</v>
      </c>
      <c r="E7580" s="198">
        <v>7</v>
      </c>
      <c r="F7580" s="199" t="s">
        <v>45807</v>
      </c>
      <c r="G7580" s="1" t="s">
        <v>45808</v>
      </c>
      <c r="H7580" s="200"/>
      <c r="I7580" s="346"/>
      <c r="J7580" s="39">
        <v>107194</v>
      </c>
      <c r="K7580" s="36" t="str">
        <f>CONCATENATE(Cover!$D$6,"fdd/view?i=",J7580)</f>
        <v>https://www.dgiwg.org/FAD/fdd/view?i=107194</v>
      </c>
      <c r="L7580" s="36" t="s">
        <v>45809</v>
      </c>
      <c r="M7580" s="186"/>
      <c r="N7580" s="186"/>
      <c r="O7580" s="172"/>
    </row>
    <row r="7581" spans="1:15" ht="38.25" x14ac:dyDescent="0.2">
      <c r="A7581" s="197" t="str">
        <f t="shared" si="118"/>
        <v>RitCode_trumpet</v>
      </c>
      <c r="B7581" s="409"/>
      <c r="C7581" s="416"/>
      <c r="D7581" s="198" t="s">
        <v>45810</v>
      </c>
      <c r="E7581" s="198">
        <v>8</v>
      </c>
      <c r="F7581" s="199" t="s">
        <v>45811</v>
      </c>
      <c r="G7581" s="1" t="s">
        <v>45812</v>
      </c>
      <c r="H7581" s="200"/>
      <c r="I7581" s="346"/>
      <c r="J7581" s="39">
        <v>107195</v>
      </c>
      <c r="K7581" s="36" t="str">
        <f>CONCATENATE(Cover!$D$6,"fdd/view?i=",J7581)</f>
        <v>https://www.dgiwg.org/FAD/fdd/view?i=107195</v>
      </c>
      <c r="L7581" s="36" t="s">
        <v>45813</v>
      </c>
      <c r="M7581" s="186"/>
      <c r="N7581" s="186"/>
      <c r="O7581" s="172"/>
    </row>
    <row r="7582" spans="1:15" ht="76.5" x14ac:dyDescent="0.2">
      <c r="A7582" s="197" t="str">
        <f t="shared" si="118"/>
        <v>RitCode_turban</v>
      </c>
      <c r="B7582" s="409"/>
      <c r="C7582" s="416"/>
      <c r="D7582" s="198" t="s">
        <v>45814</v>
      </c>
      <c r="E7582" s="198">
        <v>9</v>
      </c>
      <c r="F7582" s="199" t="s">
        <v>45815</v>
      </c>
      <c r="G7582" s="1" t="s">
        <v>45816</v>
      </c>
      <c r="H7582" s="200"/>
      <c r="I7582" s="346"/>
      <c r="J7582" s="39">
        <v>107196</v>
      </c>
      <c r="K7582" s="36" t="str">
        <f>CONCATENATE(Cover!$D$6,"fdd/view?i=",J7582)</f>
        <v>https://www.dgiwg.org/FAD/fdd/view?i=107196</v>
      </c>
      <c r="L7582" s="36" t="s">
        <v>45817</v>
      </c>
      <c r="M7582" s="186"/>
      <c r="N7582" s="186"/>
      <c r="O7582" s="172"/>
    </row>
    <row r="7583" spans="1:15" ht="51" x14ac:dyDescent="0.2">
      <c r="A7583" s="203" t="str">
        <f t="shared" si="118"/>
        <v>RitCode_wye</v>
      </c>
      <c r="B7583" s="410"/>
      <c r="C7583" s="417"/>
      <c r="D7583" s="204" t="s">
        <v>45818</v>
      </c>
      <c r="E7583" s="204">
        <v>10</v>
      </c>
      <c r="F7583" s="205" t="s">
        <v>45819</v>
      </c>
      <c r="G7583" s="206" t="s">
        <v>45820</v>
      </c>
      <c r="H7583" s="207"/>
      <c r="I7583" s="347"/>
      <c r="J7583" s="39">
        <v>107197</v>
      </c>
      <c r="K7583" s="36" t="str">
        <f>CONCATENATE(Cover!$D$6,"fdd/view?i=",J7583)</f>
        <v>https://www.dgiwg.org/FAD/fdd/view?i=107197</v>
      </c>
      <c r="L7583" s="36" t="s">
        <v>45821</v>
      </c>
      <c r="M7583" s="186"/>
      <c r="N7583" s="186"/>
      <c r="O7583" s="172"/>
    </row>
    <row r="7584" spans="1:15" ht="102" x14ac:dyDescent="0.2">
      <c r="A7584" s="190" t="str">
        <f t="shared" si="118"/>
        <v>WtcCode_allWeather</v>
      </c>
      <c r="B7584" s="414" t="str">
        <f>HYPERLINK("[#]Datatypes!A1306:L1306","WtcCode")</f>
        <v>WtcCode</v>
      </c>
      <c r="C7584" s="415" t="s">
        <v>15925</v>
      </c>
      <c r="D7584" s="221" t="s">
        <v>45822</v>
      </c>
      <c r="E7584" s="221">
        <v>1</v>
      </c>
      <c r="F7584" s="222" t="s">
        <v>45823</v>
      </c>
      <c r="G7584" s="223" t="s">
        <v>45824</v>
      </c>
      <c r="H7584" s="223" t="s">
        <v>45825</v>
      </c>
      <c r="I7584" s="345"/>
      <c r="J7584" s="39">
        <v>109700</v>
      </c>
      <c r="K7584" s="36" t="str">
        <f>CONCATENATE(Cover!$D$6,"fdd/view?i=",J7584)</f>
        <v>https://www.dgiwg.org/FAD/fdd/view?i=109700</v>
      </c>
      <c r="L7584" s="36" t="s">
        <v>45826</v>
      </c>
      <c r="M7584" s="186"/>
      <c r="N7584" s="186"/>
      <c r="O7584" s="172"/>
    </row>
    <row r="7585" spans="1:15" ht="38.25" x14ac:dyDescent="0.2">
      <c r="A7585" s="197" t="str">
        <f t="shared" si="118"/>
        <v>WtcCode_closedInWinter</v>
      </c>
      <c r="B7585" s="409"/>
      <c r="C7585" s="416"/>
      <c r="D7585" s="198" t="s">
        <v>45827</v>
      </c>
      <c r="E7585" s="198">
        <v>5</v>
      </c>
      <c r="F7585" s="199" t="s">
        <v>45828</v>
      </c>
      <c r="G7585" s="1" t="s">
        <v>45829</v>
      </c>
      <c r="H7585" s="1" t="s">
        <v>45830</v>
      </c>
      <c r="I7585" s="346"/>
      <c r="J7585" s="39">
        <v>109914</v>
      </c>
      <c r="K7585" s="36" t="str">
        <f>CONCATENATE(Cover!$D$6,"fdd/view?i=",J7585)</f>
        <v>https://www.dgiwg.org/FAD/fdd/view?i=109914</v>
      </c>
      <c r="L7585" s="36" t="s">
        <v>45831</v>
      </c>
      <c r="M7585" s="186"/>
      <c r="N7585" s="186"/>
      <c r="O7585" s="172"/>
    </row>
    <row r="7586" spans="1:15" ht="89.25" x14ac:dyDescent="0.2">
      <c r="A7586" s="197" t="str">
        <f t="shared" si="118"/>
        <v>WtcCode_fairWeather</v>
      </c>
      <c r="B7586" s="409"/>
      <c r="C7586" s="416"/>
      <c r="D7586" s="198" t="s">
        <v>45832</v>
      </c>
      <c r="E7586" s="198">
        <v>2</v>
      </c>
      <c r="F7586" s="199" t="s">
        <v>45833</v>
      </c>
      <c r="G7586" s="1" t="s">
        <v>45834</v>
      </c>
      <c r="H7586" s="1" t="s">
        <v>45835</v>
      </c>
      <c r="I7586" s="346"/>
      <c r="J7586" s="39">
        <v>109701</v>
      </c>
      <c r="K7586" s="36" t="str">
        <f>CONCATENATE(Cover!$D$6,"fdd/view?i=",J7586)</f>
        <v>https://www.dgiwg.org/FAD/fdd/view?i=109701</v>
      </c>
      <c r="L7586" s="36" t="s">
        <v>45836</v>
      </c>
      <c r="M7586" s="186"/>
      <c r="N7586" s="186"/>
      <c r="O7586" s="172"/>
    </row>
    <row r="7587" spans="1:15" ht="127.5" x14ac:dyDescent="0.2">
      <c r="A7587" s="197" t="str">
        <f t="shared" si="118"/>
        <v>WtcCode_limitedAllWeather</v>
      </c>
      <c r="B7587" s="409"/>
      <c r="C7587" s="416"/>
      <c r="D7587" s="198" t="s">
        <v>45837</v>
      </c>
      <c r="E7587" s="198">
        <v>4</v>
      </c>
      <c r="F7587" s="199" t="s">
        <v>45838</v>
      </c>
      <c r="G7587" s="1" t="s">
        <v>45839</v>
      </c>
      <c r="H7587" s="1" t="s">
        <v>45840</v>
      </c>
      <c r="I7587" s="346"/>
      <c r="J7587" s="39">
        <v>109703</v>
      </c>
      <c r="K7587" s="36" t="str">
        <f>CONCATENATE(Cover!$D$6,"fdd/view?i=",J7587)</f>
        <v>https://www.dgiwg.org/FAD/fdd/view?i=109703</v>
      </c>
      <c r="L7587" s="36" t="s">
        <v>45841</v>
      </c>
      <c r="M7587" s="186"/>
      <c r="N7587" s="186"/>
      <c r="O7587" s="172"/>
    </row>
    <row r="7588" spans="1:15" ht="38.25" x14ac:dyDescent="0.2">
      <c r="A7588" s="203" t="str">
        <f t="shared" si="118"/>
        <v>WtcCode_winterOnly</v>
      </c>
      <c r="B7588" s="410"/>
      <c r="C7588" s="417"/>
      <c r="D7588" s="204" t="s">
        <v>45842</v>
      </c>
      <c r="E7588" s="204">
        <v>3</v>
      </c>
      <c r="F7588" s="205" t="s">
        <v>45843</v>
      </c>
      <c r="G7588" s="206" t="s">
        <v>45844</v>
      </c>
      <c r="H7588" s="206" t="s">
        <v>45845</v>
      </c>
      <c r="I7588" s="347"/>
      <c r="J7588" s="39">
        <v>109702</v>
      </c>
      <c r="K7588" s="36" t="str">
        <f>CONCATENATE(Cover!$D$6,"fdd/view?i=",J7588)</f>
        <v>https://www.dgiwg.org/FAD/fdd/view?i=109702</v>
      </c>
      <c r="L7588" s="36" t="s">
        <v>45846</v>
      </c>
      <c r="M7588" s="186"/>
      <c r="N7588" s="186"/>
      <c r="O7588" s="172"/>
    </row>
    <row r="7589" spans="1:15" ht="38.25" x14ac:dyDescent="0.2">
      <c r="A7589" s="190" t="str">
        <f t="shared" si="118"/>
        <v>RkfCode_columnar</v>
      </c>
      <c r="B7589" s="414" t="str">
        <f>HYPERLINK("[#]Datatypes!A1308:L1308","RkfCode")</f>
        <v>RkfCode</v>
      </c>
      <c r="C7589" s="415" t="s">
        <v>15927</v>
      </c>
      <c r="D7589" s="221" t="s">
        <v>45847</v>
      </c>
      <c r="E7589" s="221">
        <v>1</v>
      </c>
      <c r="F7589" s="222" t="s">
        <v>45848</v>
      </c>
      <c r="G7589" s="223" t="s">
        <v>45849</v>
      </c>
      <c r="H7589" s="224"/>
      <c r="I7589" s="345"/>
      <c r="J7589" s="39">
        <v>107202</v>
      </c>
      <c r="K7589" s="36" t="str">
        <f>CONCATENATE(Cover!$D$6,"fdd/view?i=",J7589)</f>
        <v>https://www.dgiwg.org/FAD/fdd/view?i=107202</v>
      </c>
      <c r="L7589" s="36" t="s">
        <v>45850</v>
      </c>
      <c r="M7589" s="186"/>
      <c r="N7589" s="186"/>
      <c r="O7589" s="172"/>
    </row>
    <row r="7590" spans="1:15" ht="25.5" x14ac:dyDescent="0.2">
      <c r="A7590" s="197" t="str">
        <f t="shared" si="118"/>
        <v>RkfCode_fossilizedForest</v>
      </c>
      <c r="B7590" s="409"/>
      <c r="C7590" s="416"/>
      <c r="D7590" s="198" t="s">
        <v>45851</v>
      </c>
      <c r="E7590" s="198">
        <v>4</v>
      </c>
      <c r="F7590" s="199" t="s">
        <v>45852</v>
      </c>
      <c r="G7590" s="1" t="s">
        <v>45853</v>
      </c>
      <c r="H7590" s="200"/>
      <c r="I7590" s="351" t="s">
        <v>45854</v>
      </c>
      <c r="J7590" s="39">
        <v>112738</v>
      </c>
      <c r="K7590" s="36" t="str">
        <f>CONCATENATE(Cover!$D$6,"fdd/view?i=",J7590)</f>
        <v>https://www.dgiwg.org/FAD/fdd/view?i=112738</v>
      </c>
      <c r="L7590" s="36" t="s">
        <v>45855</v>
      </c>
      <c r="M7590" s="186"/>
      <c r="N7590" s="186"/>
      <c r="O7590" s="172"/>
    </row>
    <row r="7591" spans="1:15" ht="25.5" x14ac:dyDescent="0.2">
      <c r="A7591" s="197" t="str">
        <f t="shared" si="118"/>
        <v>RkfCode_needle</v>
      </c>
      <c r="B7591" s="409"/>
      <c r="C7591" s="416"/>
      <c r="D7591" s="198" t="s">
        <v>45856</v>
      </c>
      <c r="E7591" s="198">
        <v>2</v>
      </c>
      <c r="F7591" s="199" t="s">
        <v>45857</v>
      </c>
      <c r="G7591" s="1" t="s">
        <v>45858</v>
      </c>
      <c r="H7591" s="200"/>
      <c r="I7591" s="346"/>
      <c r="J7591" s="39">
        <v>107203</v>
      </c>
      <c r="K7591" s="36" t="str">
        <f>CONCATENATE(Cover!$D$6,"fdd/view?i=",J7591)</f>
        <v>https://www.dgiwg.org/FAD/fdd/view?i=107203</v>
      </c>
      <c r="L7591" s="36" t="s">
        <v>45859</v>
      </c>
      <c r="M7591" s="186"/>
      <c r="N7591" s="186"/>
      <c r="O7591" s="172"/>
    </row>
    <row r="7592" spans="1:15" ht="38.25" x14ac:dyDescent="0.2">
      <c r="A7592" s="203" t="str">
        <f t="shared" si="118"/>
        <v>RkfCode_pinnacle</v>
      </c>
      <c r="B7592" s="410"/>
      <c r="C7592" s="417"/>
      <c r="D7592" s="204" t="s">
        <v>45860</v>
      </c>
      <c r="E7592" s="204">
        <v>3</v>
      </c>
      <c r="F7592" s="205" t="s">
        <v>45861</v>
      </c>
      <c r="G7592" s="206" t="s">
        <v>45862</v>
      </c>
      <c r="H7592" s="206" t="s">
        <v>45863</v>
      </c>
      <c r="I7592" s="347"/>
      <c r="J7592" s="39">
        <v>107204</v>
      </c>
      <c r="K7592" s="36" t="str">
        <f>CONCATENATE(Cover!$D$6,"fdd/view?i=",J7592)</f>
        <v>https://www.dgiwg.org/FAD/fdd/view?i=107204</v>
      </c>
      <c r="L7592" s="36" t="s">
        <v>45864</v>
      </c>
      <c r="M7592" s="186"/>
      <c r="N7592" s="186"/>
      <c r="O7592" s="172"/>
    </row>
    <row r="7593" spans="1:15" x14ac:dyDescent="0.2">
      <c r="A7593" s="190" t="str">
        <f t="shared" si="118"/>
        <v>StoCode_acidicIgneous</v>
      </c>
      <c r="B7593" s="414" t="str">
        <f>HYPERLINK("[#]Datatypes!A1310:L1310","StoCode")</f>
        <v>StoCode</v>
      </c>
      <c r="C7593" s="415" t="s">
        <v>15929</v>
      </c>
      <c r="D7593" s="221" t="s">
        <v>45865</v>
      </c>
      <c r="E7593" s="221">
        <v>26</v>
      </c>
      <c r="F7593" s="222" t="s">
        <v>45866</v>
      </c>
      <c r="G7593" s="223" t="s">
        <v>45867</v>
      </c>
      <c r="H7593" s="223" t="s">
        <v>45868</v>
      </c>
      <c r="I7593" s="345"/>
      <c r="J7593" s="39">
        <v>113819</v>
      </c>
      <c r="K7593" s="36" t="str">
        <f>CONCATENATE(Cover!$D$6,"fdd/view?i=",J7593)</f>
        <v>https://www.dgiwg.org/FAD/fdd/view?i=113819</v>
      </c>
      <c r="L7593" s="36" t="s">
        <v>45869</v>
      </c>
      <c r="M7593" s="186"/>
      <c r="N7593" s="186"/>
      <c r="O7593" s="172"/>
    </row>
    <row r="7594" spans="1:15" ht="25.5" x14ac:dyDescent="0.2">
      <c r="A7594" s="197" t="str">
        <f t="shared" si="118"/>
        <v>StoCode_amphibolite</v>
      </c>
      <c r="B7594" s="409"/>
      <c r="C7594" s="416"/>
      <c r="D7594" s="198" t="s">
        <v>45870</v>
      </c>
      <c r="E7594" s="198">
        <v>27</v>
      </c>
      <c r="F7594" s="199" t="s">
        <v>45871</v>
      </c>
      <c r="G7594" s="1" t="s">
        <v>45872</v>
      </c>
      <c r="H7594" s="200"/>
      <c r="I7594" s="346"/>
      <c r="J7594" s="39">
        <v>113820</v>
      </c>
      <c r="K7594" s="36" t="str">
        <f>CONCATENATE(Cover!$D$6,"fdd/view?i=",J7594)</f>
        <v>https://www.dgiwg.org/FAD/fdd/view?i=113820</v>
      </c>
      <c r="L7594" s="36" t="s">
        <v>45873</v>
      </c>
      <c r="M7594" s="186"/>
      <c r="N7594" s="186"/>
      <c r="O7594" s="172"/>
    </row>
    <row r="7595" spans="1:15" ht="25.5" x14ac:dyDescent="0.2">
      <c r="A7595" s="197" t="str">
        <f t="shared" si="118"/>
        <v>StoCode_andesite</v>
      </c>
      <c r="B7595" s="409"/>
      <c r="C7595" s="416"/>
      <c r="D7595" s="198" t="s">
        <v>45874</v>
      </c>
      <c r="E7595" s="198">
        <v>28</v>
      </c>
      <c r="F7595" s="199" t="s">
        <v>45875</v>
      </c>
      <c r="G7595" s="1" t="s">
        <v>45876</v>
      </c>
      <c r="H7595" s="200"/>
      <c r="I7595" s="346"/>
      <c r="J7595" s="39">
        <v>113821</v>
      </c>
      <c r="K7595" s="36" t="str">
        <f>CONCATENATE(Cover!$D$6,"fdd/view?i=",J7595)</f>
        <v>https://www.dgiwg.org/FAD/fdd/view?i=113821</v>
      </c>
      <c r="L7595" s="36" t="s">
        <v>45877</v>
      </c>
      <c r="M7595" s="186"/>
      <c r="N7595" s="186"/>
      <c r="O7595" s="172"/>
    </row>
    <row r="7596" spans="1:15" ht="38.25" x14ac:dyDescent="0.2">
      <c r="A7596" s="197" t="str">
        <f t="shared" si="118"/>
        <v>StoCode_anhydrite</v>
      </c>
      <c r="B7596" s="409"/>
      <c r="C7596" s="416"/>
      <c r="D7596" s="198" t="s">
        <v>43033</v>
      </c>
      <c r="E7596" s="198">
        <v>63</v>
      </c>
      <c r="F7596" s="199" t="s">
        <v>43034</v>
      </c>
      <c r="G7596" s="1" t="s">
        <v>45878</v>
      </c>
      <c r="H7596" s="200"/>
      <c r="I7596" s="346"/>
      <c r="J7596" s="39">
        <v>113856</v>
      </c>
      <c r="K7596" s="36" t="str">
        <f>CONCATENATE(Cover!$D$6,"fdd/view?i=",J7596)</f>
        <v>https://www.dgiwg.org/FAD/fdd/view?i=113856</v>
      </c>
      <c r="L7596" s="36" t="s">
        <v>45879</v>
      </c>
      <c r="M7596" s="186"/>
      <c r="N7596" s="186"/>
      <c r="O7596" s="172"/>
    </row>
    <row r="7597" spans="1:15" ht="38.25" x14ac:dyDescent="0.2">
      <c r="A7597" s="197" t="str">
        <f t="shared" si="118"/>
        <v>StoCode_arenites</v>
      </c>
      <c r="B7597" s="409"/>
      <c r="C7597" s="416"/>
      <c r="D7597" s="198" t="s">
        <v>45880</v>
      </c>
      <c r="E7597" s="198">
        <v>29</v>
      </c>
      <c r="F7597" s="199" t="s">
        <v>45881</v>
      </c>
      <c r="G7597" s="1" t="s">
        <v>45882</v>
      </c>
      <c r="H7597" s="200"/>
      <c r="I7597" s="346"/>
      <c r="J7597" s="39">
        <v>113822</v>
      </c>
      <c r="K7597" s="36" t="str">
        <f>CONCATENATE(Cover!$D$6,"fdd/view?i=",J7597)</f>
        <v>https://www.dgiwg.org/FAD/fdd/view?i=113822</v>
      </c>
      <c r="L7597" s="36" t="s">
        <v>45883</v>
      </c>
      <c r="M7597" s="186"/>
      <c r="N7597" s="186"/>
      <c r="O7597" s="172"/>
    </row>
    <row r="7598" spans="1:15" ht="25.5" x14ac:dyDescent="0.2">
      <c r="A7598" s="197" t="str">
        <f t="shared" si="118"/>
        <v>StoCode_arkose</v>
      </c>
      <c r="B7598" s="409"/>
      <c r="C7598" s="416"/>
      <c r="D7598" s="198" t="s">
        <v>45884</v>
      </c>
      <c r="E7598" s="198">
        <v>30</v>
      </c>
      <c r="F7598" s="199" t="s">
        <v>45885</v>
      </c>
      <c r="G7598" s="1" t="s">
        <v>45886</v>
      </c>
      <c r="H7598" s="200"/>
      <c r="I7598" s="346"/>
      <c r="J7598" s="39">
        <v>113823</v>
      </c>
      <c r="K7598" s="36" t="str">
        <f>CONCATENATE(Cover!$D$6,"fdd/view?i=",J7598)</f>
        <v>https://www.dgiwg.org/FAD/fdd/view?i=113823</v>
      </c>
      <c r="L7598" s="36" t="s">
        <v>45887</v>
      </c>
      <c r="M7598" s="186"/>
      <c r="N7598" s="186"/>
      <c r="O7598" s="172"/>
    </row>
    <row r="7599" spans="1:15" ht="25.5" x14ac:dyDescent="0.2">
      <c r="A7599" s="197" t="str">
        <f t="shared" si="118"/>
        <v>StoCode_basalt</v>
      </c>
      <c r="B7599" s="409"/>
      <c r="C7599" s="416"/>
      <c r="D7599" s="198" t="s">
        <v>22299</v>
      </c>
      <c r="E7599" s="198">
        <v>31</v>
      </c>
      <c r="F7599" s="199" t="s">
        <v>22300</v>
      </c>
      <c r="G7599" s="1" t="s">
        <v>45888</v>
      </c>
      <c r="H7599" s="200"/>
      <c r="I7599" s="346"/>
      <c r="J7599" s="39">
        <v>113824</v>
      </c>
      <c r="K7599" s="36" t="str">
        <f>CONCATENATE(Cover!$D$6,"fdd/view?i=",J7599)</f>
        <v>https://www.dgiwg.org/FAD/fdd/view?i=113824</v>
      </c>
      <c r="L7599" s="36" t="s">
        <v>45889</v>
      </c>
      <c r="M7599" s="186"/>
      <c r="N7599" s="186"/>
      <c r="O7599" s="172"/>
    </row>
    <row r="7600" spans="1:15" ht="25.5" x14ac:dyDescent="0.2">
      <c r="A7600" s="197" t="str">
        <f t="shared" si="118"/>
        <v>StoCode_basicIgneous</v>
      </c>
      <c r="B7600" s="409"/>
      <c r="C7600" s="416"/>
      <c r="D7600" s="198" t="s">
        <v>45890</v>
      </c>
      <c r="E7600" s="198">
        <v>32</v>
      </c>
      <c r="F7600" s="199" t="s">
        <v>45891</v>
      </c>
      <c r="G7600" s="1" t="s">
        <v>45892</v>
      </c>
      <c r="H7600" s="1" t="s">
        <v>45893</v>
      </c>
      <c r="I7600" s="346"/>
      <c r="J7600" s="39">
        <v>113825</v>
      </c>
      <c r="K7600" s="36" t="str">
        <f>CONCATENATE(Cover!$D$6,"fdd/view?i=",J7600)</f>
        <v>https://www.dgiwg.org/FAD/fdd/view?i=113825</v>
      </c>
      <c r="L7600" s="36" t="s">
        <v>45894</v>
      </c>
      <c r="M7600" s="186"/>
      <c r="N7600" s="186"/>
      <c r="O7600" s="172"/>
    </row>
    <row r="7601" spans="1:15" ht="38.25" x14ac:dyDescent="0.2">
      <c r="A7601" s="197" t="str">
        <f t="shared" si="118"/>
        <v>StoCode_bauxite</v>
      </c>
      <c r="B7601" s="409"/>
      <c r="C7601" s="416"/>
      <c r="D7601" s="198" t="s">
        <v>35434</v>
      </c>
      <c r="E7601" s="198">
        <v>33</v>
      </c>
      <c r="F7601" s="199" t="s">
        <v>35435</v>
      </c>
      <c r="G7601" s="1" t="s">
        <v>45895</v>
      </c>
      <c r="H7601" s="200"/>
      <c r="I7601" s="346"/>
      <c r="J7601" s="39">
        <v>113826</v>
      </c>
      <c r="K7601" s="36" t="str">
        <f>CONCATENATE(Cover!$D$6,"fdd/view?i=",J7601)</f>
        <v>https://www.dgiwg.org/FAD/fdd/view?i=113826</v>
      </c>
      <c r="L7601" s="36" t="s">
        <v>45896</v>
      </c>
      <c r="M7601" s="186"/>
      <c r="N7601" s="186"/>
      <c r="O7601" s="172"/>
    </row>
    <row r="7602" spans="1:15" ht="38.25" x14ac:dyDescent="0.2">
      <c r="A7602" s="197" t="str">
        <f t="shared" si="118"/>
        <v>StoCode_biochemical</v>
      </c>
      <c r="B7602" s="409"/>
      <c r="C7602" s="416"/>
      <c r="D7602" s="198" t="s">
        <v>43297</v>
      </c>
      <c r="E7602" s="198">
        <v>34</v>
      </c>
      <c r="F7602" s="199" t="s">
        <v>43298</v>
      </c>
      <c r="G7602" s="1" t="s">
        <v>45897</v>
      </c>
      <c r="H7602" s="1" t="s">
        <v>45898</v>
      </c>
      <c r="I7602" s="346"/>
      <c r="J7602" s="39">
        <v>113827</v>
      </c>
      <c r="K7602" s="36" t="str">
        <f>CONCATENATE(Cover!$D$6,"fdd/view?i=",J7602)</f>
        <v>https://www.dgiwg.org/FAD/fdd/view?i=113827</v>
      </c>
      <c r="L7602" s="36" t="s">
        <v>45899</v>
      </c>
      <c r="M7602" s="186"/>
      <c r="N7602" s="186"/>
      <c r="O7602" s="172"/>
    </row>
    <row r="7603" spans="1:15" ht="25.5" x14ac:dyDescent="0.2">
      <c r="A7603" s="197" t="str">
        <f t="shared" si="118"/>
        <v>StoCode_carbonaceous</v>
      </c>
      <c r="B7603" s="409"/>
      <c r="C7603" s="416"/>
      <c r="D7603" s="198" t="s">
        <v>45900</v>
      </c>
      <c r="E7603" s="198">
        <v>3</v>
      </c>
      <c r="F7603" s="199" t="s">
        <v>45901</v>
      </c>
      <c r="G7603" s="1" t="s">
        <v>45902</v>
      </c>
      <c r="H7603" s="1" t="s">
        <v>45903</v>
      </c>
      <c r="I7603" s="346"/>
      <c r="J7603" s="39">
        <v>113799</v>
      </c>
      <c r="K7603" s="36" t="str">
        <f>CONCATENATE(Cover!$D$6,"fdd/view?i=",J7603)</f>
        <v>https://www.dgiwg.org/FAD/fdd/view?i=113799</v>
      </c>
      <c r="L7603" s="36" t="s">
        <v>45904</v>
      </c>
      <c r="M7603" s="186"/>
      <c r="N7603" s="186"/>
      <c r="O7603" s="172"/>
    </row>
    <row r="7604" spans="1:15" x14ac:dyDescent="0.2">
      <c r="A7604" s="197" t="str">
        <f t="shared" si="118"/>
        <v>StoCode_carbonate</v>
      </c>
      <c r="B7604" s="409"/>
      <c r="C7604" s="416"/>
      <c r="D7604" s="198" t="s">
        <v>45905</v>
      </c>
      <c r="E7604" s="198">
        <v>1</v>
      </c>
      <c r="F7604" s="199" t="s">
        <v>45906</v>
      </c>
      <c r="G7604" s="1" t="s">
        <v>45907</v>
      </c>
      <c r="H7604" s="1" t="s">
        <v>45908</v>
      </c>
      <c r="I7604" s="346"/>
      <c r="J7604" s="39">
        <v>113797</v>
      </c>
      <c r="K7604" s="36" t="str">
        <f>CONCATENATE(Cover!$D$6,"fdd/view?i=",J7604)</f>
        <v>https://www.dgiwg.org/FAD/fdd/view?i=113797</v>
      </c>
      <c r="L7604" s="36" t="s">
        <v>45909</v>
      </c>
      <c r="M7604" s="186"/>
      <c r="N7604" s="186"/>
      <c r="O7604" s="172"/>
    </row>
    <row r="7605" spans="1:15" ht="38.25" x14ac:dyDescent="0.2">
      <c r="A7605" s="197" t="str">
        <f t="shared" si="118"/>
        <v>StoCode_chemical</v>
      </c>
      <c r="B7605" s="409"/>
      <c r="C7605" s="416"/>
      <c r="D7605" s="198" t="s">
        <v>40232</v>
      </c>
      <c r="E7605" s="198">
        <v>35</v>
      </c>
      <c r="F7605" s="199" t="s">
        <v>40233</v>
      </c>
      <c r="G7605" s="1" t="s">
        <v>45910</v>
      </c>
      <c r="H7605" s="1" t="s">
        <v>45911</v>
      </c>
      <c r="I7605" s="346"/>
      <c r="J7605" s="39">
        <v>113828</v>
      </c>
      <c r="K7605" s="36" t="str">
        <f>CONCATENATE(Cover!$D$6,"fdd/view?i=",J7605)</f>
        <v>https://www.dgiwg.org/FAD/fdd/view?i=113828</v>
      </c>
      <c r="L7605" s="36" t="s">
        <v>45912</v>
      </c>
      <c r="M7605" s="186"/>
      <c r="N7605" s="186"/>
      <c r="O7605" s="172"/>
    </row>
    <row r="7606" spans="1:15" ht="25.5" x14ac:dyDescent="0.2">
      <c r="A7606" s="197" t="str">
        <f t="shared" si="118"/>
        <v>StoCode_chert</v>
      </c>
      <c r="B7606" s="409"/>
      <c r="C7606" s="416"/>
      <c r="D7606" s="198" t="s">
        <v>45913</v>
      </c>
      <c r="E7606" s="198">
        <v>22</v>
      </c>
      <c r="F7606" s="199" t="s">
        <v>45914</v>
      </c>
      <c r="G7606" s="1" t="s">
        <v>45915</v>
      </c>
      <c r="H7606" s="1" t="s">
        <v>45916</v>
      </c>
      <c r="I7606" s="346"/>
      <c r="J7606" s="39">
        <v>113815</v>
      </c>
      <c r="K7606" s="36" t="str">
        <f>CONCATENATE(Cover!$D$6,"fdd/view?i=",J7606)</f>
        <v>https://www.dgiwg.org/FAD/fdd/view?i=113815</v>
      </c>
      <c r="L7606" s="36" t="s">
        <v>45917</v>
      </c>
      <c r="M7606" s="186"/>
      <c r="N7606" s="186"/>
      <c r="O7606" s="172"/>
    </row>
    <row r="7607" spans="1:15" ht="25.5" x14ac:dyDescent="0.2">
      <c r="A7607" s="197" t="str">
        <f t="shared" si="118"/>
        <v>StoCode_clastic</v>
      </c>
      <c r="B7607" s="409"/>
      <c r="C7607" s="416"/>
      <c r="D7607" s="198" t="s">
        <v>45918</v>
      </c>
      <c r="E7607" s="198">
        <v>2</v>
      </c>
      <c r="F7607" s="199" t="s">
        <v>45919</v>
      </c>
      <c r="G7607" s="1" t="s">
        <v>45920</v>
      </c>
      <c r="H7607" s="1" t="s">
        <v>45921</v>
      </c>
      <c r="I7607" s="346"/>
      <c r="J7607" s="39">
        <v>113798</v>
      </c>
      <c r="K7607" s="36" t="str">
        <f>CONCATENATE(Cover!$D$6,"fdd/view?i=",J7607)</f>
        <v>https://www.dgiwg.org/FAD/fdd/view?i=113798</v>
      </c>
      <c r="L7607" s="36" t="s">
        <v>45922</v>
      </c>
      <c r="M7607" s="186"/>
      <c r="N7607" s="186"/>
      <c r="O7607" s="172"/>
    </row>
    <row r="7608" spans="1:15" ht="25.5" x14ac:dyDescent="0.2">
      <c r="A7608" s="197" t="str">
        <f t="shared" si="118"/>
        <v>StoCode_conglomerate</v>
      </c>
      <c r="B7608" s="409"/>
      <c r="C7608" s="416"/>
      <c r="D7608" s="198" t="s">
        <v>22310</v>
      </c>
      <c r="E7608" s="198">
        <v>36</v>
      </c>
      <c r="F7608" s="199" t="s">
        <v>22311</v>
      </c>
      <c r="G7608" s="1" t="s">
        <v>45923</v>
      </c>
      <c r="H7608" s="200"/>
      <c r="I7608" s="346"/>
      <c r="J7608" s="39">
        <v>113829</v>
      </c>
      <c r="K7608" s="36" t="str">
        <f>CONCATENATE(Cover!$D$6,"fdd/view?i=",J7608)</f>
        <v>https://www.dgiwg.org/FAD/fdd/view?i=113829</v>
      </c>
      <c r="L7608" s="36" t="s">
        <v>45924</v>
      </c>
      <c r="M7608" s="186"/>
      <c r="N7608" s="186"/>
      <c r="O7608" s="172"/>
    </row>
    <row r="7609" spans="1:15" ht="25.5" x14ac:dyDescent="0.2">
      <c r="A7609" s="197" t="str">
        <f t="shared" si="118"/>
        <v>StoCode_dacite</v>
      </c>
      <c r="B7609" s="409"/>
      <c r="C7609" s="416"/>
      <c r="D7609" s="198" t="s">
        <v>45925</v>
      </c>
      <c r="E7609" s="198">
        <v>37</v>
      </c>
      <c r="F7609" s="199" t="s">
        <v>45926</v>
      </c>
      <c r="G7609" s="1" t="s">
        <v>45927</v>
      </c>
      <c r="H7609" s="200"/>
      <c r="I7609" s="346"/>
      <c r="J7609" s="39">
        <v>113830</v>
      </c>
      <c r="K7609" s="36" t="str">
        <f>CONCATENATE(Cover!$D$6,"fdd/view?i=",J7609)</f>
        <v>https://www.dgiwg.org/FAD/fdd/view?i=113830</v>
      </c>
      <c r="L7609" s="36" t="s">
        <v>45928</v>
      </c>
      <c r="M7609" s="186"/>
      <c r="N7609" s="186"/>
      <c r="O7609" s="172"/>
    </row>
    <row r="7610" spans="1:15" ht="25.5" x14ac:dyDescent="0.2">
      <c r="A7610" s="197" t="str">
        <f t="shared" si="118"/>
        <v>StoCode_diabaseorDolerite</v>
      </c>
      <c r="B7610" s="409"/>
      <c r="C7610" s="416"/>
      <c r="D7610" s="198" t="s">
        <v>45929</v>
      </c>
      <c r="E7610" s="198">
        <v>39</v>
      </c>
      <c r="F7610" s="199" t="s">
        <v>45930</v>
      </c>
      <c r="G7610" s="1" t="s">
        <v>45931</v>
      </c>
      <c r="H7610" s="200"/>
      <c r="I7610" s="346"/>
      <c r="J7610" s="39">
        <v>113832</v>
      </c>
      <c r="K7610" s="36" t="str">
        <f>CONCATENATE(Cover!$D$6,"fdd/view?i=",J7610)</f>
        <v>https://www.dgiwg.org/FAD/fdd/view?i=113832</v>
      </c>
      <c r="L7610" s="36" t="s">
        <v>45932</v>
      </c>
      <c r="M7610" s="186"/>
      <c r="N7610" s="186"/>
      <c r="O7610" s="172"/>
    </row>
    <row r="7611" spans="1:15" ht="25.5" x14ac:dyDescent="0.2">
      <c r="A7611" s="197" t="str">
        <f t="shared" si="118"/>
        <v>StoCode_diorite</v>
      </c>
      <c r="B7611" s="409"/>
      <c r="C7611" s="416"/>
      <c r="D7611" s="198" t="s">
        <v>45933</v>
      </c>
      <c r="E7611" s="198">
        <v>38</v>
      </c>
      <c r="F7611" s="199" t="s">
        <v>45934</v>
      </c>
      <c r="G7611" s="1" t="s">
        <v>45935</v>
      </c>
      <c r="H7611" s="200"/>
      <c r="I7611" s="346"/>
      <c r="J7611" s="39">
        <v>113831</v>
      </c>
      <c r="K7611" s="36" t="str">
        <f>CONCATENATE(Cover!$D$6,"fdd/view?i=",J7611)</f>
        <v>https://www.dgiwg.org/FAD/fdd/view?i=113831</v>
      </c>
      <c r="L7611" s="36" t="s">
        <v>45936</v>
      </c>
      <c r="M7611" s="186"/>
      <c r="N7611" s="186"/>
      <c r="O7611" s="172"/>
    </row>
    <row r="7612" spans="1:15" ht="38.25" x14ac:dyDescent="0.2">
      <c r="A7612" s="197" t="str">
        <f t="shared" si="118"/>
        <v>StoCode_dolomite</v>
      </c>
      <c r="B7612" s="409"/>
      <c r="C7612" s="416"/>
      <c r="D7612" s="198" t="s">
        <v>22315</v>
      </c>
      <c r="E7612" s="198">
        <v>4</v>
      </c>
      <c r="F7612" s="199" t="s">
        <v>22316</v>
      </c>
      <c r="G7612" s="1" t="s">
        <v>45937</v>
      </c>
      <c r="H7612" s="200"/>
      <c r="I7612" s="346"/>
      <c r="J7612" s="39">
        <v>113800</v>
      </c>
      <c r="K7612" s="36" t="str">
        <f>CONCATENATE(Cover!$D$6,"fdd/view?i=",J7612)</f>
        <v>https://www.dgiwg.org/FAD/fdd/view?i=113800</v>
      </c>
      <c r="L7612" s="36" t="s">
        <v>45938</v>
      </c>
      <c r="M7612" s="186"/>
      <c r="N7612" s="186"/>
      <c r="O7612" s="172"/>
    </row>
    <row r="7613" spans="1:15" ht="38.25" x14ac:dyDescent="0.2">
      <c r="A7613" s="197" t="str">
        <f t="shared" si="118"/>
        <v>StoCode_evaporite</v>
      </c>
      <c r="B7613" s="409"/>
      <c r="C7613" s="416"/>
      <c r="D7613" s="198" t="s">
        <v>45939</v>
      </c>
      <c r="E7613" s="198">
        <v>5</v>
      </c>
      <c r="F7613" s="199" t="s">
        <v>45940</v>
      </c>
      <c r="G7613" s="1" t="s">
        <v>45941</v>
      </c>
      <c r="H7613" s="1" t="s">
        <v>45942</v>
      </c>
      <c r="I7613" s="346"/>
      <c r="J7613" s="39">
        <v>113801</v>
      </c>
      <c r="K7613" s="36" t="str">
        <f>CONCATENATE(Cover!$D$6,"fdd/view?i=",J7613)</f>
        <v>https://www.dgiwg.org/FAD/fdd/view?i=113801</v>
      </c>
      <c r="L7613" s="36" t="s">
        <v>45943</v>
      </c>
      <c r="M7613" s="186"/>
      <c r="N7613" s="186"/>
      <c r="O7613" s="172"/>
    </row>
    <row r="7614" spans="1:15" ht="63.75" x14ac:dyDescent="0.2">
      <c r="A7614" s="197" t="str">
        <f t="shared" si="118"/>
        <v>StoCode_feldspathoidBearing</v>
      </c>
      <c r="B7614" s="409"/>
      <c r="C7614" s="416"/>
      <c r="D7614" s="198" t="s">
        <v>45944</v>
      </c>
      <c r="E7614" s="198">
        <v>40</v>
      </c>
      <c r="F7614" s="199" t="s">
        <v>45945</v>
      </c>
      <c r="G7614" s="1" t="s">
        <v>45946</v>
      </c>
      <c r="H7614" s="1" t="s">
        <v>45947</v>
      </c>
      <c r="I7614" s="346"/>
      <c r="J7614" s="39">
        <v>113833</v>
      </c>
      <c r="K7614" s="36" t="str">
        <f>CONCATENATE(Cover!$D$6,"fdd/view?i=",J7614)</f>
        <v>https://www.dgiwg.org/FAD/fdd/view?i=113833</v>
      </c>
      <c r="L7614" s="36" t="s">
        <v>45948</v>
      </c>
      <c r="M7614" s="186"/>
      <c r="N7614" s="186"/>
      <c r="O7614" s="172"/>
    </row>
    <row r="7615" spans="1:15" ht="25.5" x14ac:dyDescent="0.2">
      <c r="A7615" s="197" t="str">
        <f t="shared" si="118"/>
        <v>StoCode_felsic</v>
      </c>
      <c r="B7615" s="409"/>
      <c r="C7615" s="416"/>
      <c r="D7615" s="198" t="s">
        <v>45949</v>
      </c>
      <c r="E7615" s="198">
        <v>41</v>
      </c>
      <c r="F7615" s="199" t="s">
        <v>45950</v>
      </c>
      <c r="G7615" s="1" t="s">
        <v>45951</v>
      </c>
      <c r="H7615" s="1" t="s">
        <v>45952</v>
      </c>
      <c r="I7615" s="346"/>
      <c r="J7615" s="39">
        <v>113834</v>
      </c>
      <c r="K7615" s="36" t="str">
        <f>CONCATENATE(Cover!$D$6,"fdd/view?i=",J7615)</f>
        <v>https://www.dgiwg.org/FAD/fdd/view?i=113834</v>
      </c>
      <c r="L7615" s="36" t="s">
        <v>45953</v>
      </c>
      <c r="M7615" s="186"/>
      <c r="N7615" s="186"/>
      <c r="O7615" s="172"/>
    </row>
    <row r="7616" spans="1:15" ht="25.5" x14ac:dyDescent="0.2">
      <c r="A7616" s="197" t="str">
        <f t="shared" si="118"/>
        <v>StoCode_gabbro</v>
      </c>
      <c r="B7616" s="409"/>
      <c r="C7616" s="416"/>
      <c r="D7616" s="198" t="s">
        <v>45954</v>
      </c>
      <c r="E7616" s="198">
        <v>42</v>
      </c>
      <c r="F7616" s="199" t="s">
        <v>45955</v>
      </c>
      <c r="G7616" s="1" t="s">
        <v>45956</v>
      </c>
      <c r="H7616" s="200"/>
      <c r="I7616" s="346"/>
      <c r="J7616" s="39">
        <v>113835</v>
      </c>
      <c r="K7616" s="36" t="str">
        <f>CONCATENATE(Cover!$D$6,"fdd/view?i=",J7616)</f>
        <v>https://www.dgiwg.org/FAD/fdd/view?i=113835</v>
      </c>
      <c r="L7616" s="36" t="s">
        <v>45957</v>
      </c>
      <c r="M7616" s="186"/>
      <c r="N7616" s="186"/>
      <c r="O7616" s="172"/>
    </row>
    <row r="7617" spans="1:15" ht="25.5" x14ac:dyDescent="0.2">
      <c r="A7617" s="197" t="str">
        <f t="shared" si="118"/>
        <v>StoCode_gneiss</v>
      </c>
      <c r="B7617" s="409"/>
      <c r="C7617" s="416"/>
      <c r="D7617" s="198" t="s">
        <v>43463</v>
      </c>
      <c r="E7617" s="198">
        <v>8</v>
      </c>
      <c r="F7617" s="199" t="s">
        <v>43464</v>
      </c>
      <c r="G7617" s="1" t="s">
        <v>45958</v>
      </c>
      <c r="H7617" s="200"/>
      <c r="I7617" s="346"/>
      <c r="J7617" s="39">
        <v>113802</v>
      </c>
      <c r="K7617" s="36" t="str">
        <f>CONCATENATE(Cover!$D$6,"fdd/view?i=",J7617)</f>
        <v>https://www.dgiwg.org/FAD/fdd/view?i=113802</v>
      </c>
      <c r="L7617" s="36" t="s">
        <v>45959</v>
      </c>
      <c r="M7617" s="186"/>
      <c r="N7617" s="186"/>
      <c r="O7617" s="172"/>
    </row>
    <row r="7618" spans="1:15" ht="25.5" x14ac:dyDescent="0.2">
      <c r="A7618" s="197" t="str">
        <f t="shared" ref="A7618:A7681" si="119">HYPERLINK(K7618,L7618)</f>
        <v>StoCode_granite</v>
      </c>
      <c r="B7618" s="409"/>
      <c r="C7618" s="416"/>
      <c r="D7618" s="198" t="s">
        <v>22319</v>
      </c>
      <c r="E7618" s="198">
        <v>43</v>
      </c>
      <c r="F7618" s="199" t="s">
        <v>22320</v>
      </c>
      <c r="G7618" s="1" t="s">
        <v>45960</v>
      </c>
      <c r="H7618" s="200"/>
      <c r="I7618" s="346"/>
      <c r="J7618" s="39">
        <v>113836</v>
      </c>
      <c r="K7618" s="36" t="str">
        <f>CONCATENATE(Cover!$D$6,"fdd/view?i=",J7618)</f>
        <v>https://www.dgiwg.org/FAD/fdd/view?i=113836</v>
      </c>
      <c r="L7618" s="36" t="s">
        <v>45961</v>
      </c>
      <c r="M7618" s="186"/>
      <c r="N7618" s="186"/>
      <c r="O7618" s="172"/>
    </row>
    <row r="7619" spans="1:15" ht="25.5" x14ac:dyDescent="0.2">
      <c r="A7619" s="197" t="str">
        <f t="shared" si="119"/>
        <v>StoCode_granodiorite</v>
      </c>
      <c r="B7619" s="409"/>
      <c r="C7619" s="416"/>
      <c r="D7619" s="198" t="s">
        <v>45962</v>
      </c>
      <c r="E7619" s="198">
        <v>44</v>
      </c>
      <c r="F7619" s="199" t="s">
        <v>45963</v>
      </c>
      <c r="G7619" s="1" t="s">
        <v>45964</v>
      </c>
      <c r="H7619" s="200"/>
      <c r="I7619" s="346"/>
      <c r="J7619" s="39">
        <v>113837</v>
      </c>
      <c r="K7619" s="36" t="str">
        <f>CONCATENATE(Cover!$D$6,"fdd/view?i=",J7619)</f>
        <v>https://www.dgiwg.org/FAD/fdd/view?i=113837</v>
      </c>
      <c r="L7619" s="36" t="s">
        <v>45965</v>
      </c>
      <c r="M7619" s="186"/>
      <c r="N7619" s="186"/>
      <c r="O7619" s="172"/>
    </row>
    <row r="7620" spans="1:15" x14ac:dyDescent="0.2">
      <c r="A7620" s="197" t="str">
        <f t="shared" si="119"/>
        <v>StoCode_granulite</v>
      </c>
      <c r="B7620" s="409"/>
      <c r="C7620" s="416"/>
      <c r="D7620" s="198" t="s">
        <v>45966</v>
      </c>
      <c r="E7620" s="198">
        <v>45</v>
      </c>
      <c r="F7620" s="199" t="s">
        <v>45967</v>
      </c>
      <c r="G7620" s="1" t="s">
        <v>45968</v>
      </c>
      <c r="H7620" s="200"/>
      <c r="I7620" s="346"/>
      <c r="J7620" s="39">
        <v>113838</v>
      </c>
      <c r="K7620" s="36" t="str">
        <f>CONCATENATE(Cover!$D$6,"fdd/view?i=",J7620)</f>
        <v>https://www.dgiwg.org/FAD/fdd/view?i=113838</v>
      </c>
      <c r="L7620" s="36" t="s">
        <v>45969</v>
      </c>
      <c r="M7620" s="186"/>
      <c r="N7620" s="186"/>
      <c r="O7620" s="172"/>
    </row>
    <row r="7621" spans="1:15" ht="25.5" x14ac:dyDescent="0.2">
      <c r="A7621" s="197" t="str">
        <f t="shared" si="119"/>
        <v>StoCode_greenstone</v>
      </c>
      <c r="B7621" s="409"/>
      <c r="C7621" s="416"/>
      <c r="D7621" s="198" t="s">
        <v>43480</v>
      </c>
      <c r="E7621" s="198">
        <v>46</v>
      </c>
      <c r="F7621" s="199" t="s">
        <v>43481</v>
      </c>
      <c r="G7621" s="1" t="s">
        <v>45970</v>
      </c>
      <c r="H7621" s="1" t="s">
        <v>45893</v>
      </c>
      <c r="I7621" s="346"/>
      <c r="J7621" s="39">
        <v>113839</v>
      </c>
      <c r="K7621" s="36" t="str">
        <f>CONCATENATE(Cover!$D$6,"fdd/view?i=",J7621)</f>
        <v>https://www.dgiwg.org/FAD/fdd/view?i=113839</v>
      </c>
      <c r="L7621" s="36" t="s">
        <v>45971</v>
      </c>
      <c r="M7621" s="186"/>
      <c r="N7621" s="186"/>
      <c r="O7621" s="172"/>
    </row>
    <row r="7622" spans="1:15" ht="25.5" x14ac:dyDescent="0.2">
      <c r="A7622" s="197" t="str">
        <f t="shared" si="119"/>
        <v>StoCode_greywacke</v>
      </c>
      <c r="B7622" s="409"/>
      <c r="C7622" s="416"/>
      <c r="D7622" s="198" t="s">
        <v>45972</v>
      </c>
      <c r="E7622" s="198">
        <v>47</v>
      </c>
      <c r="F7622" s="199" t="s">
        <v>45973</v>
      </c>
      <c r="G7622" s="1" t="s">
        <v>45974</v>
      </c>
      <c r="H7622" s="200"/>
      <c r="I7622" s="346"/>
      <c r="J7622" s="39">
        <v>113840</v>
      </c>
      <c r="K7622" s="36" t="str">
        <f>CONCATENATE(Cover!$D$6,"fdd/view?i=",J7622)</f>
        <v>https://www.dgiwg.org/FAD/fdd/view?i=113840</v>
      </c>
      <c r="L7622" s="36" t="s">
        <v>45975</v>
      </c>
      <c r="M7622" s="186"/>
      <c r="N7622" s="186"/>
      <c r="O7622" s="172"/>
    </row>
    <row r="7623" spans="1:15" ht="25.5" x14ac:dyDescent="0.2">
      <c r="A7623" s="197" t="str">
        <f t="shared" si="119"/>
        <v>StoCode_gypsum</v>
      </c>
      <c r="B7623" s="409"/>
      <c r="C7623" s="416"/>
      <c r="D7623" s="198" t="s">
        <v>43044</v>
      </c>
      <c r="E7623" s="198">
        <v>64</v>
      </c>
      <c r="F7623" s="199" t="s">
        <v>43045</v>
      </c>
      <c r="G7623" s="1" t="s">
        <v>45976</v>
      </c>
      <c r="H7623" s="200"/>
      <c r="I7623" s="346"/>
      <c r="J7623" s="39">
        <v>113857</v>
      </c>
      <c r="K7623" s="36" t="str">
        <f>CONCATENATE(Cover!$D$6,"fdd/view?i=",J7623)</f>
        <v>https://www.dgiwg.org/FAD/fdd/view?i=113857</v>
      </c>
      <c r="L7623" s="36" t="s">
        <v>45977</v>
      </c>
      <c r="M7623" s="186"/>
      <c r="N7623" s="186"/>
      <c r="O7623" s="172"/>
    </row>
    <row r="7624" spans="1:15" ht="25.5" x14ac:dyDescent="0.2">
      <c r="A7624" s="197" t="str">
        <f t="shared" si="119"/>
        <v>StoCode_hydrothermallyAltered</v>
      </c>
      <c r="B7624" s="409"/>
      <c r="C7624" s="416"/>
      <c r="D7624" s="198" t="s">
        <v>45978</v>
      </c>
      <c r="E7624" s="198">
        <v>48</v>
      </c>
      <c r="F7624" s="199" t="s">
        <v>45979</v>
      </c>
      <c r="G7624" s="1" t="s">
        <v>45980</v>
      </c>
      <c r="H7624" s="200"/>
      <c r="I7624" s="346"/>
      <c r="J7624" s="39">
        <v>113841</v>
      </c>
      <c r="K7624" s="36" t="str">
        <f>CONCATENATE(Cover!$D$6,"fdd/view?i=",J7624)</f>
        <v>https://www.dgiwg.org/FAD/fdd/view?i=113841</v>
      </c>
      <c r="L7624" s="36" t="s">
        <v>45981</v>
      </c>
      <c r="M7624" s="186"/>
      <c r="N7624" s="186"/>
      <c r="O7624" s="172"/>
    </row>
    <row r="7625" spans="1:15" ht="25.5" x14ac:dyDescent="0.2">
      <c r="A7625" s="197" t="str">
        <f t="shared" si="119"/>
        <v>StoCode_igneous</v>
      </c>
      <c r="B7625" s="409"/>
      <c r="C7625" s="416"/>
      <c r="D7625" s="198" t="s">
        <v>45982</v>
      </c>
      <c r="E7625" s="198">
        <v>9</v>
      </c>
      <c r="F7625" s="199" t="s">
        <v>45983</v>
      </c>
      <c r="G7625" s="1" t="s">
        <v>45984</v>
      </c>
      <c r="H7625" s="200"/>
      <c r="I7625" s="346"/>
      <c r="J7625" s="39">
        <v>113803</v>
      </c>
      <c r="K7625" s="36" t="str">
        <f>CONCATENATE(Cover!$D$6,"fdd/view?i=",J7625)</f>
        <v>https://www.dgiwg.org/FAD/fdd/view?i=113803</v>
      </c>
      <c r="L7625" s="36" t="s">
        <v>45985</v>
      </c>
      <c r="M7625" s="186"/>
      <c r="N7625" s="186"/>
      <c r="O7625" s="172"/>
    </row>
    <row r="7626" spans="1:15" ht="38.25" x14ac:dyDescent="0.2">
      <c r="A7626" s="197" t="str">
        <f t="shared" si="119"/>
        <v>StoCode_intermediateIgneous</v>
      </c>
      <c r="B7626" s="409"/>
      <c r="C7626" s="416"/>
      <c r="D7626" s="198" t="s">
        <v>45986</v>
      </c>
      <c r="E7626" s="198">
        <v>10</v>
      </c>
      <c r="F7626" s="199" t="s">
        <v>45987</v>
      </c>
      <c r="G7626" s="1" t="s">
        <v>45988</v>
      </c>
      <c r="H7626" s="1" t="s">
        <v>45989</v>
      </c>
      <c r="I7626" s="346"/>
      <c r="J7626" s="39">
        <v>113804</v>
      </c>
      <c r="K7626" s="36" t="str">
        <f>CONCATENATE(Cover!$D$6,"fdd/view?i=",J7626)</f>
        <v>https://www.dgiwg.org/FAD/fdd/view?i=113804</v>
      </c>
      <c r="L7626" s="36" t="s">
        <v>45990</v>
      </c>
      <c r="M7626" s="186"/>
      <c r="N7626" s="186"/>
      <c r="O7626" s="172"/>
    </row>
    <row r="7627" spans="1:15" ht="25.5" x14ac:dyDescent="0.2">
      <c r="A7627" s="197" t="str">
        <f t="shared" si="119"/>
        <v>StoCode_ironstone</v>
      </c>
      <c r="B7627" s="409"/>
      <c r="C7627" s="416"/>
      <c r="D7627" s="198" t="s">
        <v>45991</v>
      </c>
      <c r="E7627" s="198">
        <v>49</v>
      </c>
      <c r="F7627" s="199" t="s">
        <v>45992</v>
      </c>
      <c r="G7627" s="1" t="s">
        <v>45993</v>
      </c>
      <c r="H7627" s="200"/>
      <c r="I7627" s="346"/>
      <c r="J7627" s="39">
        <v>113842</v>
      </c>
      <c r="K7627" s="36" t="str">
        <f>CONCATENATE(Cover!$D$6,"fdd/view?i=",J7627)</f>
        <v>https://www.dgiwg.org/FAD/fdd/view?i=113842</v>
      </c>
      <c r="L7627" s="36" t="s">
        <v>45994</v>
      </c>
      <c r="M7627" s="186"/>
      <c r="N7627" s="186"/>
      <c r="O7627" s="172"/>
    </row>
    <row r="7628" spans="1:15" ht="38.25" x14ac:dyDescent="0.2">
      <c r="A7628" s="197" t="str">
        <f t="shared" si="119"/>
        <v>StoCode_laterite</v>
      </c>
      <c r="B7628" s="409"/>
      <c r="C7628" s="416"/>
      <c r="D7628" s="198" t="s">
        <v>19570</v>
      </c>
      <c r="E7628" s="198">
        <v>50</v>
      </c>
      <c r="F7628" s="199" t="s">
        <v>19571</v>
      </c>
      <c r="G7628" s="1" t="s">
        <v>45995</v>
      </c>
      <c r="H7628" s="200"/>
      <c r="I7628" s="346"/>
      <c r="J7628" s="39">
        <v>113843</v>
      </c>
      <c r="K7628" s="36" t="str">
        <f>CONCATENATE(Cover!$D$6,"fdd/view?i=",J7628)</f>
        <v>https://www.dgiwg.org/FAD/fdd/view?i=113843</v>
      </c>
      <c r="L7628" s="36" t="s">
        <v>45996</v>
      </c>
      <c r="M7628" s="186"/>
      <c r="N7628" s="186"/>
      <c r="O7628" s="172"/>
    </row>
    <row r="7629" spans="1:15" ht="25.5" x14ac:dyDescent="0.2">
      <c r="A7629" s="197" t="str">
        <f t="shared" si="119"/>
        <v>StoCode_latite</v>
      </c>
      <c r="B7629" s="409"/>
      <c r="C7629" s="416"/>
      <c r="D7629" s="198" t="s">
        <v>45997</v>
      </c>
      <c r="E7629" s="198">
        <v>51</v>
      </c>
      <c r="F7629" s="199" t="s">
        <v>45998</v>
      </c>
      <c r="G7629" s="1" t="s">
        <v>45999</v>
      </c>
      <c r="H7629" s="200"/>
      <c r="I7629" s="346"/>
      <c r="J7629" s="39">
        <v>113844</v>
      </c>
      <c r="K7629" s="36" t="str">
        <f>CONCATENATE(Cover!$D$6,"fdd/view?i=",J7629)</f>
        <v>https://www.dgiwg.org/FAD/fdd/view?i=113844</v>
      </c>
      <c r="L7629" s="36" t="s">
        <v>46000</v>
      </c>
      <c r="M7629" s="186"/>
      <c r="N7629" s="186"/>
      <c r="O7629" s="172"/>
    </row>
    <row r="7630" spans="1:15" ht="25.5" x14ac:dyDescent="0.2">
      <c r="A7630" s="197" t="str">
        <f t="shared" si="119"/>
        <v>StoCode_lignite</v>
      </c>
      <c r="B7630" s="409"/>
      <c r="C7630" s="416"/>
      <c r="D7630" s="198" t="s">
        <v>46001</v>
      </c>
      <c r="E7630" s="198">
        <v>52</v>
      </c>
      <c r="F7630" s="199" t="s">
        <v>46002</v>
      </c>
      <c r="G7630" s="1" t="s">
        <v>46003</v>
      </c>
      <c r="H7630" s="200"/>
      <c r="I7630" s="346"/>
      <c r="J7630" s="39">
        <v>113845</v>
      </c>
      <c r="K7630" s="36" t="str">
        <f>CONCATENATE(Cover!$D$6,"fdd/view?i=",J7630)</f>
        <v>https://www.dgiwg.org/FAD/fdd/view?i=113845</v>
      </c>
      <c r="L7630" s="36" t="s">
        <v>46004</v>
      </c>
      <c r="M7630" s="186"/>
      <c r="N7630" s="186"/>
      <c r="O7630" s="172"/>
    </row>
    <row r="7631" spans="1:15" ht="25.5" x14ac:dyDescent="0.2">
      <c r="A7631" s="197" t="str">
        <f t="shared" si="119"/>
        <v>StoCode_limestone</v>
      </c>
      <c r="B7631" s="409"/>
      <c r="C7631" s="416"/>
      <c r="D7631" s="198" t="s">
        <v>22336</v>
      </c>
      <c r="E7631" s="198">
        <v>11</v>
      </c>
      <c r="F7631" s="199" t="s">
        <v>22337</v>
      </c>
      <c r="G7631" s="1" t="s">
        <v>46005</v>
      </c>
      <c r="H7631" s="200"/>
      <c r="I7631" s="346"/>
      <c r="J7631" s="39">
        <v>113805</v>
      </c>
      <c r="K7631" s="36" t="str">
        <f>CONCATENATE(Cover!$D$6,"fdd/view?i=",J7631)</f>
        <v>https://www.dgiwg.org/FAD/fdd/view?i=113805</v>
      </c>
      <c r="L7631" s="36" t="s">
        <v>46006</v>
      </c>
      <c r="M7631" s="186"/>
      <c r="N7631" s="186"/>
      <c r="O7631" s="172"/>
    </row>
    <row r="7632" spans="1:15" ht="25.5" x14ac:dyDescent="0.2">
      <c r="A7632" s="197" t="str">
        <f t="shared" si="119"/>
        <v>StoCode_mafic</v>
      </c>
      <c r="B7632" s="409"/>
      <c r="C7632" s="416"/>
      <c r="D7632" s="198" t="s">
        <v>46007</v>
      </c>
      <c r="E7632" s="198">
        <v>12</v>
      </c>
      <c r="F7632" s="199" t="s">
        <v>46008</v>
      </c>
      <c r="G7632" s="1" t="s">
        <v>46009</v>
      </c>
      <c r="H7632" s="1" t="s">
        <v>46010</v>
      </c>
      <c r="I7632" s="346"/>
      <c r="J7632" s="39">
        <v>113806</v>
      </c>
      <c r="K7632" s="36" t="str">
        <f>CONCATENATE(Cover!$D$6,"fdd/view?i=",J7632)</f>
        <v>https://www.dgiwg.org/FAD/fdd/view?i=113806</v>
      </c>
      <c r="L7632" s="36" t="s">
        <v>46011</v>
      </c>
      <c r="M7632" s="186"/>
      <c r="N7632" s="186"/>
      <c r="O7632" s="172"/>
    </row>
    <row r="7633" spans="1:15" ht="25.5" x14ac:dyDescent="0.2">
      <c r="A7633" s="197" t="str">
        <f t="shared" si="119"/>
        <v>StoCode_marble</v>
      </c>
      <c r="B7633" s="409"/>
      <c r="C7633" s="416"/>
      <c r="D7633" s="198" t="s">
        <v>43544</v>
      </c>
      <c r="E7633" s="198">
        <v>13</v>
      </c>
      <c r="F7633" s="199" t="s">
        <v>43545</v>
      </c>
      <c r="G7633" s="1" t="s">
        <v>46012</v>
      </c>
      <c r="H7633" s="200"/>
      <c r="I7633" s="346"/>
      <c r="J7633" s="39">
        <v>113807</v>
      </c>
      <c r="K7633" s="36" t="str">
        <f>CONCATENATE(Cover!$D$6,"fdd/view?i=",J7633)</f>
        <v>https://www.dgiwg.org/FAD/fdd/view?i=113807</v>
      </c>
      <c r="L7633" s="36" t="s">
        <v>46013</v>
      </c>
      <c r="M7633" s="186"/>
      <c r="N7633" s="186"/>
      <c r="O7633" s="172"/>
    </row>
    <row r="7634" spans="1:15" x14ac:dyDescent="0.2">
      <c r="A7634" s="197" t="str">
        <f t="shared" si="119"/>
        <v>StoCode_melilitite</v>
      </c>
      <c r="B7634" s="409"/>
      <c r="C7634" s="416"/>
      <c r="D7634" s="198" t="s">
        <v>46014</v>
      </c>
      <c r="E7634" s="198">
        <v>53</v>
      </c>
      <c r="F7634" s="199" t="s">
        <v>46015</v>
      </c>
      <c r="G7634" s="1" t="s">
        <v>46016</v>
      </c>
      <c r="H7634" s="200"/>
      <c r="I7634" s="346"/>
      <c r="J7634" s="39">
        <v>113846</v>
      </c>
      <c r="K7634" s="36" t="str">
        <f>CONCATENATE(Cover!$D$6,"fdd/view?i=",J7634)</f>
        <v>https://www.dgiwg.org/FAD/fdd/view?i=113846</v>
      </c>
      <c r="L7634" s="36" t="s">
        <v>46017</v>
      </c>
      <c r="M7634" s="186"/>
      <c r="N7634" s="186"/>
      <c r="O7634" s="172"/>
    </row>
    <row r="7635" spans="1:15" ht="38.25" x14ac:dyDescent="0.2">
      <c r="A7635" s="197" t="str">
        <f t="shared" si="119"/>
        <v>StoCode_metamorphic</v>
      </c>
      <c r="B7635" s="409"/>
      <c r="C7635" s="416"/>
      <c r="D7635" s="198" t="s">
        <v>46018</v>
      </c>
      <c r="E7635" s="198">
        <v>14</v>
      </c>
      <c r="F7635" s="199" t="s">
        <v>46019</v>
      </c>
      <c r="G7635" s="1" t="s">
        <v>46020</v>
      </c>
      <c r="H7635" s="200"/>
      <c r="I7635" s="346"/>
      <c r="J7635" s="39">
        <v>113808</v>
      </c>
      <c r="K7635" s="36" t="str">
        <f>CONCATENATE(Cover!$D$6,"fdd/view?i=",J7635)</f>
        <v>https://www.dgiwg.org/FAD/fdd/view?i=113808</v>
      </c>
      <c r="L7635" s="36" t="s">
        <v>46021</v>
      </c>
      <c r="M7635" s="186"/>
      <c r="N7635" s="186"/>
      <c r="O7635" s="172"/>
    </row>
    <row r="7636" spans="1:15" ht="25.5" x14ac:dyDescent="0.2">
      <c r="A7636" s="197" t="str">
        <f t="shared" si="119"/>
        <v>StoCode_monzonite</v>
      </c>
      <c r="B7636" s="409"/>
      <c r="C7636" s="416"/>
      <c r="D7636" s="198" t="s">
        <v>46022</v>
      </c>
      <c r="E7636" s="198">
        <v>54</v>
      </c>
      <c r="F7636" s="199" t="s">
        <v>46023</v>
      </c>
      <c r="G7636" s="1" t="s">
        <v>46024</v>
      </c>
      <c r="H7636" s="200"/>
      <c r="I7636" s="346"/>
      <c r="J7636" s="39">
        <v>113847</v>
      </c>
      <c r="K7636" s="36" t="str">
        <f>CONCATENATE(Cover!$D$6,"fdd/view?i=",J7636)</f>
        <v>https://www.dgiwg.org/FAD/fdd/view?i=113847</v>
      </c>
      <c r="L7636" s="36" t="s">
        <v>46025</v>
      </c>
      <c r="M7636" s="186"/>
      <c r="N7636" s="186"/>
      <c r="O7636" s="172"/>
    </row>
    <row r="7637" spans="1:15" ht="38.25" x14ac:dyDescent="0.2">
      <c r="A7637" s="197" t="str">
        <f t="shared" si="119"/>
        <v>StoCode_mudrock</v>
      </c>
      <c r="B7637" s="409"/>
      <c r="C7637" s="416"/>
      <c r="D7637" s="198" t="s">
        <v>46026</v>
      </c>
      <c r="E7637" s="198">
        <v>15</v>
      </c>
      <c r="F7637" s="199" t="s">
        <v>46027</v>
      </c>
      <c r="G7637" s="1" t="s">
        <v>46028</v>
      </c>
      <c r="H7637" s="200"/>
      <c r="I7637" s="346"/>
      <c r="J7637" s="39">
        <v>113809</v>
      </c>
      <c r="K7637" s="36" t="str">
        <f>CONCATENATE(Cover!$D$6,"fdd/view?i=",J7637)</f>
        <v>https://www.dgiwg.org/FAD/fdd/view?i=113809</v>
      </c>
      <c r="L7637" s="36" t="s">
        <v>46029</v>
      </c>
      <c r="M7637" s="186"/>
      <c r="N7637" s="186"/>
      <c r="O7637" s="172"/>
    </row>
    <row r="7638" spans="1:15" ht="25.5" x14ac:dyDescent="0.2">
      <c r="A7638" s="197" t="str">
        <f t="shared" si="119"/>
        <v>StoCode_mylonite</v>
      </c>
      <c r="B7638" s="409"/>
      <c r="C7638" s="416"/>
      <c r="D7638" s="198" t="s">
        <v>46030</v>
      </c>
      <c r="E7638" s="198">
        <v>55</v>
      </c>
      <c r="F7638" s="199" t="s">
        <v>46031</v>
      </c>
      <c r="G7638" s="1" t="s">
        <v>46032</v>
      </c>
      <c r="H7638" s="1" t="s">
        <v>46033</v>
      </c>
      <c r="I7638" s="346"/>
      <c r="J7638" s="39">
        <v>113848</v>
      </c>
      <c r="K7638" s="36" t="str">
        <f>CONCATENATE(Cover!$D$6,"fdd/view?i=",J7638)</f>
        <v>https://www.dgiwg.org/FAD/fdd/view?i=113848</v>
      </c>
      <c r="L7638" s="36" t="s">
        <v>46034</v>
      </c>
      <c r="M7638" s="186"/>
      <c r="N7638" s="186"/>
      <c r="O7638" s="172"/>
    </row>
    <row r="7639" spans="1:15" ht="25.5" x14ac:dyDescent="0.2">
      <c r="A7639" s="197" t="str">
        <f t="shared" si="119"/>
        <v>StoCode_peat</v>
      </c>
      <c r="B7639" s="409"/>
      <c r="C7639" s="416"/>
      <c r="D7639" s="198" t="s">
        <v>24169</v>
      </c>
      <c r="E7639" s="198">
        <v>56</v>
      </c>
      <c r="F7639" s="199" t="s">
        <v>24170</v>
      </c>
      <c r="G7639" s="1" t="s">
        <v>46035</v>
      </c>
      <c r="H7639" s="200"/>
      <c r="I7639" s="346"/>
      <c r="J7639" s="39">
        <v>113849</v>
      </c>
      <c r="K7639" s="36" t="str">
        <f>CONCATENATE(Cover!$D$6,"fdd/view?i=",J7639)</f>
        <v>https://www.dgiwg.org/FAD/fdd/view?i=113849</v>
      </c>
      <c r="L7639" s="36" t="s">
        <v>46036</v>
      </c>
      <c r="M7639" s="186"/>
      <c r="N7639" s="186"/>
      <c r="O7639" s="172"/>
    </row>
    <row r="7640" spans="1:15" ht="38.25" x14ac:dyDescent="0.2">
      <c r="A7640" s="197" t="str">
        <f t="shared" si="119"/>
        <v>StoCode_pegmatite</v>
      </c>
      <c r="B7640" s="409"/>
      <c r="C7640" s="416"/>
      <c r="D7640" s="198" t="s">
        <v>46037</v>
      </c>
      <c r="E7640" s="198">
        <v>57</v>
      </c>
      <c r="F7640" s="199" t="s">
        <v>46038</v>
      </c>
      <c r="G7640" s="1" t="s">
        <v>46039</v>
      </c>
      <c r="H7640" s="200"/>
      <c r="I7640" s="346"/>
      <c r="J7640" s="39">
        <v>113850</v>
      </c>
      <c r="K7640" s="36" t="str">
        <f>CONCATENATE(Cover!$D$6,"fdd/view?i=",J7640)</f>
        <v>https://www.dgiwg.org/FAD/fdd/view?i=113850</v>
      </c>
      <c r="L7640" s="36" t="s">
        <v>46040</v>
      </c>
      <c r="M7640" s="186"/>
      <c r="N7640" s="186"/>
      <c r="O7640" s="172"/>
    </row>
    <row r="7641" spans="1:15" ht="25.5" x14ac:dyDescent="0.2">
      <c r="A7641" s="197" t="str">
        <f t="shared" si="119"/>
        <v>StoCode_pelite</v>
      </c>
      <c r="B7641" s="409"/>
      <c r="C7641" s="416"/>
      <c r="D7641" s="198" t="s">
        <v>46041</v>
      </c>
      <c r="E7641" s="198">
        <v>59</v>
      </c>
      <c r="F7641" s="199" t="s">
        <v>46042</v>
      </c>
      <c r="G7641" s="1" t="s">
        <v>46043</v>
      </c>
      <c r="H7641" s="200"/>
      <c r="I7641" s="346"/>
      <c r="J7641" s="39">
        <v>113852</v>
      </c>
      <c r="K7641" s="36" t="str">
        <f>CONCATENATE(Cover!$D$6,"fdd/view?i=",J7641)</f>
        <v>https://www.dgiwg.org/FAD/fdd/view?i=113852</v>
      </c>
      <c r="L7641" s="36" t="s">
        <v>46044</v>
      </c>
      <c r="M7641" s="186"/>
      <c r="N7641" s="186"/>
      <c r="O7641" s="172"/>
    </row>
    <row r="7642" spans="1:15" x14ac:dyDescent="0.2">
      <c r="A7642" s="197" t="str">
        <f t="shared" si="119"/>
        <v>StoCode_peridotite</v>
      </c>
      <c r="B7642" s="409"/>
      <c r="C7642" s="416"/>
      <c r="D7642" s="198" t="s">
        <v>46045</v>
      </c>
      <c r="E7642" s="198">
        <v>58</v>
      </c>
      <c r="F7642" s="199" t="s">
        <v>46046</v>
      </c>
      <c r="G7642" s="1" t="s">
        <v>46047</v>
      </c>
      <c r="H7642" s="200"/>
      <c r="I7642" s="346"/>
      <c r="J7642" s="39">
        <v>113851</v>
      </c>
      <c r="K7642" s="36" t="str">
        <f>CONCATENATE(Cover!$D$6,"fdd/view?i=",J7642)</f>
        <v>https://www.dgiwg.org/FAD/fdd/view?i=113851</v>
      </c>
      <c r="L7642" s="36" t="s">
        <v>46048</v>
      </c>
      <c r="M7642" s="186"/>
      <c r="N7642" s="186"/>
      <c r="O7642" s="172"/>
    </row>
    <row r="7643" spans="1:15" ht="25.5" x14ac:dyDescent="0.2">
      <c r="A7643" s="197" t="str">
        <f t="shared" si="119"/>
        <v>StoCode_phonolite</v>
      </c>
      <c r="B7643" s="409"/>
      <c r="C7643" s="416"/>
      <c r="D7643" s="198" t="s">
        <v>46049</v>
      </c>
      <c r="E7643" s="198">
        <v>60</v>
      </c>
      <c r="F7643" s="199" t="s">
        <v>46050</v>
      </c>
      <c r="G7643" s="1" t="s">
        <v>46051</v>
      </c>
      <c r="H7643" s="200"/>
      <c r="I7643" s="346"/>
      <c r="J7643" s="39">
        <v>113853</v>
      </c>
      <c r="K7643" s="36" t="str">
        <f>CONCATENATE(Cover!$D$6,"fdd/view?i=",J7643)</f>
        <v>https://www.dgiwg.org/FAD/fdd/view?i=113853</v>
      </c>
      <c r="L7643" s="36" t="s">
        <v>46052</v>
      </c>
      <c r="M7643" s="186"/>
      <c r="N7643" s="186"/>
      <c r="O7643" s="172"/>
    </row>
    <row r="7644" spans="1:15" x14ac:dyDescent="0.2">
      <c r="A7644" s="197" t="str">
        <f t="shared" si="119"/>
        <v>StoCode_phosphorite</v>
      </c>
      <c r="B7644" s="409"/>
      <c r="C7644" s="416"/>
      <c r="D7644" s="198" t="s">
        <v>46053</v>
      </c>
      <c r="E7644" s="198">
        <v>16</v>
      </c>
      <c r="F7644" s="199" t="s">
        <v>46054</v>
      </c>
      <c r="G7644" s="1" t="s">
        <v>46055</v>
      </c>
      <c r="H7644" s="200"/>
      <c r="I7644" s="346"/>
      <c r="J7644" s="39">
        <v>113810</v>
      </c>
      <c r="K7644" s="36" t="str">
        <f>CONCATENATE(Cover!$D$6,"fdd/view?i=",J7644)</f>
        <v>https://www.dgiwg.org/FAD/fdd/view?i=113810</v>
      </c>
      <c r="L7644" s="36" t="s">
        <v>46056</v>
      </c>
      <c r="M7644" s="186"/>
      <c r="N7644" s="186"/>
      <c r="O7644" s="172"/>
    </row>
    <row r="7645" spans="1:15" ht="38.25" x14ac:dyDescent="0.2">
      <c r="A7645" s="197" t="str">
        <f t="shared" si="119"/>
        <v>StoCode_phyllite</v>
      </c>
      <c r="B7645" s="409"/>
      <c r="C7645" s="416"/>
      <c r="D7645" s="198" t="s">
        <v>46057</v>
      </c>
      <c r="E7645" s="198">
        <v>61</v>
      </c>
      <c r="F7645" s="199" t="s">
        <v>46058</v>
      </c>
      <c r="G7645" s="1" t="s">
        <v>46059</v>
      </c>
      <c r="H7645" s="200"/>
      <c r="I7645" s="346"/>
      <c r="J7645" s="39">
        <v>113854</v>
      </c>
      <c r="K7645" s="36" t="str">
        <f>CONCATENATE(Cover!$D$6,"fdd/view?i=",J7645)</f>
        <v>https://www.dgiwg.org/FAD/fdd/view?i=113854</v>
      </c>
      <c r="L7645" s="36" t="s">
        <v>46060</v>
      </c>
      <c r="M7645" s="186"/>
      <c r="N7645" s="186"/>
      <c r="O7645" s="172"/>
    </row>
    <row r="7646" spans="1:15" ht="25.5" x14ac:dyDescent="0.2">
      <c r="A7646" s="197" t="str">
        <f t="shared" si="119"/>
        <v>StoCode_plutonic</v>
      </c>
      <c r="B7646" s="409"/>
      <c r="C7646" s="416"/>
      <c r="D7646" s="198" t="s">
        <v>46061</v>
      </c>
      <c r="E7646" s="198">
        <v>17</v>
      </c>
      <c r="F7646" s="199" t="s">
        <v>46062</v>
      </c>
      <c r="G7646" s="1" t="s">
        <v>46063</v>
      </c>
      <c r="H7646" s="200"/>
      <c r="I7646" s="346"/>
      <c r="J7646" s="39">
        <v>113811</v>
      </c>
      <c r="K7646" s="36" t="str">
        <f>CONCATENATE(Cover!$D$6,"fdd/view?i=",J7646)</f>
        <v>https://www.dgiwg.org/FAD/fdd/view?i=113811</v>
      </c>
      <c r="L7646" s="36" t="s">
        <v>46064</v>
      </c>
      <c r="M7646" s="186"/>
      <c r="N7646" s="186"/>
      <c r="O7646" s="172"/>
    </row>
    <row r="7647" spans="1:15" ht="25.5" x14ac:dyDescent="0.2">
      <c r="A7647" s="197" t="str">
        <f t="shared" si="119"/>
        <v>StoCode_rhyolite</v>
      </c>
      <c r="B7647" s="409"/>
      <c r="C7647" s="416"/>
      <c r="D7647" s="198" t="s">
        <v>46065</v>
      </c>
      <c r="E7647" s="198">
        <v>62</v>
      </c>
      <c r="F7647" s="199" t="s">
        <v>46066</v>
      </c>
      <c r="G7647" s="1" t="s">
        <v>46067</v>
      </c>
      <c r="H7647" s="200"/>
      <c r="I7647" s="346"/>
      <c r="J7647" s="39">
        <v>113855</v>
      </c>
      <c r="K7647" s="36" t="str">
        <f>CONCATENATE(Cover!$D$6,"fdd/view?i=",J7647)</f>
        <v>https://www.dgiwg.org/FAD/fdd/view?i=113855</v>
      </c>
      <c r="L7647" s="36" t="s">
        <v>46068</v>
      </c>
      <c r="M7647" s="186"/>
      <c r="N7647" s="186"/>
      <c r="O7647" s="172"/>
    </row>
    <row r="7648" spans="1:15" ht="25.5" x14ac:dyDescent="0.2">
      <c r="A7648" s="197" t="str">
        <f t="shared" si="119"/>
        <v>StoCode_salt</v>
      </c>
      <c r="B7648" s="409"/>
      <c r="C7648" s="416"/>
      <c r="D7648" s="198" t="s">
        <v>27998</v>
      </c>
      <c r="E7648" s="198">
        <v>65</v>
      </c>
      <c r="F7648" s="199" t="s">
        <v>27999</v>
      </c>
      <c r="G7648" s="1" t="s">
        <v>46069</v>
      </c>
      <c r="H7648" s="200"/>
      <c r="I7648" s="346"/>
      <c r="J7648" s="39">
        <v>113858</v>
      </c>
      <c r="K7648" s="36" t="str">
        <f>CONCATENATE(Cover!$D$6,"fdd/view?i=",J7648)</f>
        <v>https://www.dgiwg.org/FAD/fdd/view?i=113858</v>
      </c>
      <c r="L7648" s="36" t="s">
        <v>46070</v>
      </c>
      <c r="M7648" s="186"/>
      <c r="N7648" s="186"/>
      <c r="O7648" s="172"/>
    </row>
    <row r="7649" spans="1:15" ht="38.25" x14ac:dyDescent="0.2">
      <c r="A7649" s="197" t="str">
        <f t="shared" si="119"/>
        <v>StoCode_sandstone</v>
      </c>
      <c r="B7649" s="409"/>
      <c r="C7649" s="416"/>
      <c r="D7649" s="198" t="s">
        <v>22358</v>
      </c>
      <c r="E7649" s="198">
        <v>20</v>
      </c>
      <c r="F7649" s="199" t="s">
        <v>22359</v>
      </c>
      <c r="G7649" s="1" t="s">
        <v>46071</v>
      </c>
      <c r="H7649" s="200"/>
      <c r="I7649" s="346"/>
      <c r="J7649" s="39">
        <v>113813</v>
      </c>
      <c r="K7649" s="36" t="str">
        <f>CONCATENATE(Cover!$D$6,"fdd/view?i=",J7649)</f>
        <v>https://www.dgiwg.org/FAD/fdd/view?i=113813</v>
      </c>
      <c r="L7649" s="36" t="s">
        <v>46072</v>
      </c>
      <c r="M7649" s="186"/>
      <c r="N7649" s="186"/>
      <c r="O7649" s="172"/>
    </row>
    <row r="7650" spans="1:15" ht="25.5" x14ac:dyDescent="0.2">
      <c r="A7650" s="197" t="str">
        <f t="shared" si="119"/>
        <v>StoCode_schist</v>
      </c>
      <c r="B7650" s="409"/>
      <c r="C7650" s="416"/>
      <c r="D7650" s="198" t="s">
        <v>22363</v>
      </c>
      <c r="E7650" s="198">
        <v>21</v>
      </c>
      <c r="F7650" s="199" t="s">
        <v>22364</v>
      </c>
      <c r="G7650" s="1" t="s">
        <v>46073</v>
      </c>
      <c r="H7650" s="200"/>
      <c r="I7650" s="346"/>
      <c r="J7650" s="39">
        <v>113814</v>
      </c>
      <c r="K7650" s="36" t="str">
        <f>CONCATENATE(Cover!$D$6,"fdd/view?i=",J7650)</f>
        <v>https://www.dgiwg.org/FAD/fdd/view?i=113814</v>
      </c>
      <c r="L7650" s="36" t="s">
        <v>46074</v>
      </c>
      <c r="M7650" s="186"/>
      <c r="N7650" s="186"/>
      <c r="O7650" s="172"/>
    </row>
    <row r="7651" spans="1:15" ht="38.25" x14ac:dyDescent="0.2">
      <c r="A7651" s="197" t="str">
        <f t="shared" si="119"/>
        <v>StoCode_sedimentary</v>
      </c>
      <c r="B7651" s="409"/>
      <c r="C7651" s="416"/>
      <c r="D7651" s="198" t="s">
        <v>46075</v>
      </c>
      <c r="E7651" s="198">
        <v>24</v>
      </c>
      <c r="F7651" s="199" t="s">
        <v>46076</v>
      </c>
      <c r="G7651" s="1" t="s">
        <v>46077</v>
      </c>
      <c r="H7651" s="200"/>
      <c r="I7651" s="346"/>
      <c r="J7651" s="39">
        <v>113817</v>
      </c>
      <c r="K7651" s="36" t="str">
        <f>CONCATENATE(Cover!$D$6,"fdd/view?i=",J7651)</f>
        <v>https://www.dgiwg.org/FAD/fdd/view?i=113817</v>
      </c>
      <c r="L7651" s="36" t="s">
        <v>46078</v>
      </c>
      <c r="M7651" s="186"/>
      <c r="N7651" s="186"/>
      <c r="O7651" s="172"/>
    </row>
    <row r="7652" spans="1:15" ht="25.5" x14ac:dyDescent="0.2">
      <c r="A7652" s="197" t="str">
        <f t="shared" si="119"/>
        <v>StoCode_serpentinite</v>
      </c>
      <c r="B7652" s="409"/>
      <c r="C7652" s="416"/>
      <c r="D7652" s="198" t="s">
        <v>46079</v>
      </c>
      <c r="E7652" s="198">
        <v>66</v>
      </c>
      <c r="F7652" s="199" t="s">
        <v>46080</v>
      </c>
      <c r="G7652" s="1" t="s">
        <v>46081</v>
      </c>
      <c r="H7652" s="1" t="s">
        <v>46082</v>
      </c>
      <c r="I7652" s="346"/>
      <c r="J7652" s="39">
        <v>113859</v>
      </c>
      <c r="K7652" s="36" t="str">
        <f>CONCATENATE(Cover!$D$6,"fdd/view?i=",J7652)</f>
        <v>https://www.dgiwg.org/FAD/fdd/view?i=113859</v>
      </c>
      <c r="L7652" s="36" t="s">
        <v>46083</v>
      </c>
      <c r="M7652" s="186"/>
      <c r="N7652" s="186"/>
      <c r="O7652" s="172"/>
    </row>
    <row r="7653" spans="1:15" x14ac:dyDescent="0.2">
      <c r="A7653" s="197" t="str">
        <f t="shared" si="119"/>
        <v>StoCode_shale</v>
      </c>
      <c r="B7653" s="409"/>
      <c r="C7653" s="416"/>
      <c r="D7653" s="198" t="s">
        <v>22372</v>
      </c>
      <c r="E7653" s="198">
        <v>67</v>
      </c>
      <c r="F7653" s="199" t="s">
        <v>22373</v>
      </c>
      <c r="G7653" s="1" t="s">
        <v>46084</v>
      </c>
      <c r="H7653" s="200"/>
      <c r="I7653" s="346"/>
      <c r="J7653" s="39">
        <v>113860</v>
      </c>
      <c r="K7653" s="36" t="str">
        <f>CONCATENATE(Cover!$D$6,"fdd/view?i=",J7653)</f>
        <v>https://www.dgiwg.org/FAD/fdd/view?i=113860</v>
      </c>
      <c r="L7653" s="36" t="s">
        <v>46085</v>
      </c>
      <c r="M7653" s="186"/>
      <c r="N7653" s="186"/>
      <c r="O7653" s="172"/>
    </row>
    <row r="7654" spans="1:15" ht="38.25" x14ac:dyDescent="0.2">
      <c r="A7654" s="197" t="str">
        <f t="shared" si="119"/>
        <v>StoCode_siltstone</v>
      </c>
      <c r="B7654" s="409"/>
      <c r="C7654" s="416"/>
      <c r="D7654" s="198" t="s">
        <v>46086</v>
      </c>
      <c r="E7654" s="198">
        <v>23</v>
      </c>
      <c r="F7654" s="199" t="s">
        <v>46087</v>
      </c>
      <c r="G7654" s="1" t="s">
        <v>46088</v>
      </c>
      <c r="H7654" s="200"/>
      <c r="I7654" s="346"/>
      <c r="J7654" s="39">
        <v>113816</v>
      </c>
      <c r="K7654" s="36" t="str">
        <f>CONCATENATE(Cover!$D$6,"fdd/view?i=",J7654)</f>
        <v>https://www.dgiwg.org/FAD/fdd/view?i=113816</v>
      </c>
      <c r="L7654" s="36" t="s">
        <v>46089</v>
      </c>
      <c r="M7654" s="186"/>
      <c r="N7654" s="186"/>
      <c r="O7654" s="172"/>
    </row>
    <row r="7655" spans="1:15" ht="25.5" x14ac:dyDescent="0.2">
      <c r="A7655" s="197" t="str">
        <f t="shared" si="119"/>
        <v>StoCode_slate</v>
      </c>
      <c r="B7655" s="409"/>
      <c r="C7655" s="416"/>
      <c r="D7655" s="198" t="s">
        <v>43741</v>
      </c>
      <c r="E7655" s="198">
        <v>68</v>
      </c>
      <c r="F7655" s="199" t="s">
        <v>43742</v>
      </c>
      <c r="G7655" s="1" t="s">
        <v>46090</v>
      </c>
      <c r="H7655" s="200"/>
      <c r="I7655" s="346"/>
      <c r="J7655" s="39">
        <v>113861</v>
      </c>
      <c r="K7655" s="36" t="str">
        <f>CONCATENATE(Cover!$D$6,"fdd/view?i=",J7655)</f>
        <v>https://www.dgiwg.org/FAD/fdd/view?i=113861</v>
      </c>
      <c r="L7655" s="36" t="s">
        <v>46091</v>
      </c>
      <c r="M7655" s="186"/>
      <c r="N7655" s="186"/>
      <c r="O7655" s="172"/>
    </row>
    <row r="7656" spans="1:15" ht="25.5" x14ac:dyDescent="0.2">
      <c r="A7656" s="197" t="str">
        <f t="shared" si="119"/>
        <v>StoCode_syenite</v>
      </c>
      <c r="B7656" s="409"/>
      <c r="C7656" s="416"/>
      <c r="D7656" s="198" t="s">
        <v>46092</v>
      </c>
      <c r="E7656" s="198">
        <v>69</v>
      </c>
      <c r="F7656" s="199" t="s">
        <v>46093</v>
      </c>
      <c r="G7656" s="1" t="s">
        <v>46094</v>
      </c>
      <c r="H7656" s="1" t="s">
        <v>46095</v>
      </c>
      <c r="I7656" s="346"/>
      <c r="J7656" s="39">
        <v>113862</v>
      </c>
      <c r="K7656" s="36" t="str">
        <f>CONCATENATE(Cover!$D$6,"fdd/view?i=",J7656)</f>
        <v>https://www.dgiwg.org/FAD/fdd/view?i=113862</v>
      </c>
      <c r="L7656" s="36" t="s">
        <v>46096</v>
      </c>
      <c r="M7656" s="186"/>
      <c r="N7656" s="186"/>
      <c r="O7656" s="172"/>
    </row>
    <row r="7657" spans="1:15" ht="25.5" x14ac:dyDescent="0.2">
      <c r="A7657" s="197" t="str">
        <f t="shared" si="119"/>
        <v>StoCode_tephrite</v>
      </c>
      <c r="B7657" s="409"/>
      <c r="C7657" s="416"/>
      <c r="D7657" s="198" t="s">
        <v>46097</v>
      </c>
      <c r="E7657" s="198">
        <v>70</v>
      </c>
      <c r="F7657" s="199" t="s">
        <v>46098</v>
      </c>
      <c r="G7657" s="1" t="s">
        <v>46099</v>
      </c>
      <c r="H7657" s="200"/>
      <c r="I7657" s="346"/>
      <c r="J7657" s="39">
        <v>113863</v>
      </c>
      <c r="K7657" s="36" t="str">
        <f>CONCATENATE(Cover!$D$6,"fdd/view?i=",J7657)</f>
        <v>https://www.dgiwg.org/FAD/fdd/view?i=113863</v>
      </c>
      <c r="L7657" s="36" t="s">
        <v>46100</v>
      </c>
      <c r="M7657" s="186"/>
      <c r="N7657" s="186"/>
      <c r="O7657" s="172"/>
    </row>
    <row r="7658" spans="1:15" ht="25.5" x14ac:dyDescent="0.2">
      <c r="A7658" s="197" t="str">
        <f t="shared" si="119"/>
        <v>StoCode_tonalite</v>
      </c>
      <c r="B7658" s="409"/>
      <c r="C7658" s="416"/>
      <c r="D7658" s="198" t="s">
        <v>46101</v>
      </c>
      <c r="E7658" s="198">
        <v>71</v>
      </c>
      <c r="F7658" s="199" t="s">
        <v>46102</v>
      </c>
      <c r="G7658" s="1" t="s">
        <v>46103</v>
      </c>
      <c r="H7658" s="200"/>
      <c r="I7658" s="346"/>
      <c r="J7658" s="39">
        <v>113864</v>
      </c>
      <c r="K7658" s="36" t="str">
        <f>CONCATENATE(Cover!$D$6,"fdd/view?i=",J7658)</f>
        <v>https://www.dgiwg.org/FAD/fdd/view?i=113864</v>
      </c>
      <c r="L7658" s="36" t="s">
        <v>46104</v>
      </c>
      <c r="M7658" s="186"/>
      <c r="N7658" s="186"/>
      <c r="O7658" s="172"/>
    </row>
    <row r="7659" spans="1:15" ht="25.5" x14ac:dyDescent="0.2">
      <c r="A7659" s="197" t="str">
        <f t="shared" si="119"/>
        <v>StoCode_trachyte</v>
      </c>
      <c r="B7659" s="409"/>
      <c r="C7659" s="416"/>
      <c r="D7659" s="198" t="s">
        <v>46105</v>
      </c>
      <c r="E7659" s="198">
        <v>72</v>
      </c>
      <c r="F7659" s="199" t="s">
        <v>46106</v>
      </c>
      <c r="G7659" s="1" t="s">
        <v>46107</v>
      </c>
      <c r="H7659" s="200"/>
      <c r="I7659" s="346"/>
      <c r="J7659" s="39">
        <v>113865</v>
      </c>
      <c r="K7659" s="36" t="str">
        <f>CONCATENATE(Cover!$D$6,"fdd/view?i=",J7659)</f>
        <v>https://www.dgiwg.org/FAD/fdd/view?i=113865</v>
      </c>
      <c r="L7659" s="36" t="s">
        <v>46108</v>
      </c>
      <c r="M7659" s="186"/>
      <c r="N7659" s="186"/>
      <c r="O7659" s="172"/>
    </row>
    <row r="7660" spans="1:15" x14ac:dyDescent="0.2">
      <c r="A7660" s="197" t="str">
        <f t="shared" si="119"/>
        <v>StoCode_ultrabasic</v>
      </c>
      <c r="B7660" s="409"/>
      <c r="C7660" s="416"/>
      <c r="D7660" s="198" t="s">
        <v>46109</v>
      </c>
      <c r="E7660" s="198">
        <v>73</v>
      </c>
      <c r="F7660" s="199" t="s">
        <v>46110</v>
      </c>
      <c r="G7660" s="1" t="s">
        <v>46111</v>
      </c>
      <c r="H7660" s="1" t="s">
        <v>46112</v>
      </c>
      <c r="I7660" s="346"/>
      <c r="J7660" s="39">
        <v>113866</v>
      </c>
      <c r="K7660" s="36" t="str">
        <f>CONCATENATE(Cover!$D$6,"fdd/view?i=",J7660)</f>
        <v>https://www.dgiwg.org/FAD/fdd/view?i=113866</v>
      </c>
      <c r="L7660" s="36" t="s">
        <v>46113</v>
      </c>
      <c r="M7660" s="186"/>
      <c r="N7660" s="186"/>
      <c r="O7660" s="172"/>
    </row>
    <row r="7661" spans="1:15" ht="25.5" x14ac:dyDescent="0.2">
      <c r="A7661" s="197" t="str">
        <f t="shared" si="119"/>
        <v>StoCode_ultramafic</v>
      </c>
      <c r="B7661" s="409"/>
      <c r="C7661" s="416"/>
      <c r="D7661" s="198" t="s">
        <v>46114</v>
      </c>
      <c r="E7661" s="198">
        <v>74</v>
      </c>
      <c r="F7661" s="199" t="s">
        <v>46115</v>
      </c>
      <c r="G7661" s="1" t="s">
        <v>46116</v>
      </c>
      <c r="H7661" s="1" t="s">
        <v>46082</v>
      </c>
      <c r="I7661" s="346"/>
      <c r="J7661" s="39">
        <v>113867</v>
      </c>
      <c r="K7661" s="36" t="str">
        <f>CONCATENATE(Cover!$D$6,"fdd/view?i=",J7661)</f>
        <v>https://www.dgiwg.org/FAD/fdd/view?i=113867</v>
      </c>
      <c r="L7661" s="36" t="s">
        <v>46117</v>
      </c>
      <c r="M7661" s="186"/>
      <c r="N7661" s="186"/>
      <c r="O7661" s="172"/>
    </row>
    <row r="7662" spans="1:15" ht="25.5" x14ac:dyDescent="0.2">
      <c r="A7662" s="197" t="str">
        <f t="shared" si="119"/>
        <v>StoCode_volcanic</v>
      </c>
      <c r="B7662" s="409"/>
      <c r="C7662" s="416"/>
      <c r="D7662" s="198" t="s">
        <v>43250</v>
      </c>
      <c r="E7662" s="198">
        <v>25</v>
      </c>
      <c r="F7662" s="199" t="s">
        <v>43251</v>
      </c>
      <c r="G7662" s="1" t="s">
        <v>46118</v>
      </c>
      <c r="H7662" s="200"/>
      <c r="I7662" s="346"/>
      <c r="J7662" s="39">
        <v>113818</v>
      </c>
      <c r="K7662" s="36" t="str">
        <f>CONCATENATE(Cover!$D$6,"fdd/view?i=",J7662)</f>
        <v>https://www.dgiwg.org/FAD/fdd/view?i=113818</v>
      </c>
      <c r="L7662" s="36" t="s">
        <v>46119</v>
      </c>
      <c r="M7662" s="186"/>
      <c r="N7662" s="186"/>
      <c r="O7662" s="172"/>
    </row>
    <row r="7663" spans="1:15" ht="25.5" x14ac:dyDescent="0.2">
      <c r="A7663" s="197" t="str">
        <f t="shared" si="119"/>
        <v>StoCode_volcaniclasticSediments</v>
      </c>
      <c r="B7663" s="409"/>
      <c r="C7663" s="416"/>
      <c r="D7663" s="198" t="s">
        <v>46120</v>
      </c>
      <c r="E7663" s="198">
        <v>18</v>
      </c>
      <c r="F7663" s="199" t="s">
        <v>46121</v>
      </c>
      <c r="G7663" s="1" t="s">
        <v>46122</v>
      </c>
      <c r="H7663" s="1" t="s">
        <v>46123</v>
      </c>
      <c r="I7663" s="346"/>
      <c r="J7663" s="39">
        <v>113812</v>
      </c>
      <c r="K7663" s="36" t="str">
        <f>CONCATENATE(Cover!$D$6,"fdd/view?i=",J7663)</f>
        <v>https://www.dgiwg.org/FAD/fdd/view?i=113812</v>
      </c>
      <c r="L7663" s="36" t="s">
        <v>46124</v>
      </c>
      <c r="M7663" s="186"/>
      <c r="N7663" s="186"/>
      <c r="O7663" s="172"/>
    </row>
    <row r="7664" spans="1:15" ht="25.5" x14ac:dyDescent="0.2">
      <c r="A7664" s="203" t="str">
        <f t="shared" si="119"/>
        <v>StoCode_wackes</v>
      </c>
      <c r="B7664" s="410"/>
      <c r="C7664" s="417"/>
      <c r="D7664" s="204" t="s">
        <v>46125</v>
      </c>
      <c r="E7664" s="204">
        <v>75</v>
      </c>
      <c r="F7664" s="205" t="s">
        <v>46126</v>
      </c>
      <c r="G7664" s="206" t="s">
        <v>46127</v>
      </c>
      <c r="H7664" s="207"/>
      <c r="I7664" s="347"/>
      <c r="J7664" s="39">
        <v>113868</v>
      </c>
      <c r="K7664" s="36" t="str">
        <f>CONCATENATE(Cover!$D$6,"fdd/view?i=",J7664)</f>
        <v>https://www.dgiwg.org/FAD/fdd/view?i=113868</v>
      </c>
      <c r="L7664" s="36" t="s">
        <v>46128</v>
      </c>
      <c r="M7664" s="186"/>
      <c r="N7664" s="186"/>
      <c r="O7664" s="172"/>
    </row>
    <row r="7665" spans="1:15" ht="25.5" x14ac:dyDescent="0.2">
      <c r="A7665" s="190" t="str">
        <f t="shared" si="119"/>
        <v>SsrCode_conical</v>
      </c>
      <c r="B7665" s="414" t="str">
        <f>HYPERLINK("[#]Datatypes!A1312:L1312","SsrCode")</f>
        <v>SsrCode</v>
      </c>
      <c r="C7665" s="415" t="s">
        <v>15931</v>
      </c>
      <c r="D7665" s="221" t="s">
        <v>24747</v>
      </c>
      <c r="E7665" s="221">
        <v>6</v>
      </c>
      <c r="F7665" s="222" t="s">
        <v>24748</v>
      </c>
      <c r="G7665" s="223" t="s">
        <v>46129</v>
      </c>
      <c r="H7665" s="224"/>
      <c r="I7665" s="345"/>
      <c r="J7665" s="39">
        <v>108178</v>
      </c>
      <c r="K7665" s="36" t="str">
        <f>CONCATENATE(Cover!$D$6,"fdd/view?i=",J7665)</f>
        <v>https://www.dgiwg.org/FAD/fdd/view?i=108178</v>
      </c>
      <c r="L7665" s="36" t="s">
        <v>46130</v>
      </c>
      <c r="M7665" s="186"/>
      <c r="N7665" s="186"/>
      <c r="O7665" s="172"/>
    </row>
    <row r="7666" spans="1:15" ht="25.5" x14ac:dyDescent="0.2">
      <c r="A7666" s="197" t="str">
        <f t="shared" si="119"/>
        <v>SsrCode_domed</v>
      </c>
      <c r="B7666" s="409"/>
      <c r="C7666" s="416"/>
      <c r="D7666" s="198" t="s">
        <v>46131</v>
      </c>
      <c r="E7666" s="198">
        <v>40</v>
      </c>
      <c r="F7666" s="199" t="s">
        <v>46132</v>
      </c>
      <c r="G7666" s="1" t="s">
        <v>46133</v>
      </c>
      <c r="H7666" s="1" t="s">
        <v>46134</v>
      </c>
      <c r="I7666" s="346"/>
      <c r="J7666" s="39">
        <v>108180</v>
      </c>
      <c r="K7666" s="36" t="str">
        <f>CONCATENATE(Cover!$D$6,"fdd/view?i=",J7666)</f>
        <v>https://www.dgiwg.org/FAD/fdd/view?i=108180</v>
      </c>
      <c r="L7666" s="36" t="s">
        <v>46135</v>
      </c>
      <c r="M7666" s="186"/>
      <c r="N7666" s="186"/>
      <c r="O7666" s="172"/>
    </row>
    <row r="7667" spans="1:15" ht="25.5" x14ac:dyDescent="0.2">
      <c r="A7667" s="197" t="str">
        <f t="shared" si="119"/>
        <v>SsrCode_flat</v>
      </c>
      <c r="B7667" s="409"/>
      <c r="C7667" s="416"/>
      <c r="D7667" s="198" t="s">
        <v>46136</v>
      </c>
      <c r="E7667" s="198">
        <v>41</v>
      </c>
      <c r="F7667" s="199" t="s">
        <v>46137</v>
      </c>
      <c r="G7667" s="1" t="s">
        <v>46138</v>
      </c>
      <c r="H7667" s="200"/>
      <c r="I7667" s="346"/>
      <c r="J7667" s="39">
        <v>108181</v>
      </c>
      <c r="K7667" s="36" t="str">
        <f>CONCATENATE(Cover!$D$6,"fdd/view?i=",J7667)</f>
        <v>https://www.dgiwg.org/FAD/fdd/view?i=108181</v>
      </c>
      <c r="L7667" s="36" t="s">
        <v>46139</v>
      </c>
      <c r="M7667" s="186"/>
      <c r="N7667" s="186"/>
      <c r="O7667" s="172"/>
    </row>
    <row r="7668" spans="1:15" ht="25.5" x14ac:dyDescent="0.2">
      <c r="A7668" s="197" t="str">
        <f t="shared" si="119"/>
        <v>SsrCode_flatWithClerestory</v>
      </c>
      <c r="B7668" s="409"/>
      <c r="C7668" s="416"/>
      <c r="D7668" s="198" t="s">
        <v>46140</v>
      </c>
      <c r="E7668" s="198">
        <v>55</v>
      </c>
      <c r="F7668" s="199" t="s">
        <v>46141</v>
      </c>
      <c r="G7668" s="1" t="s">
        <v>46142</v>
      </c>
      <c r="H7668" s="200"/>
      <c r="I7668" s="351" t="s">
        <v>46143</v>
      </c>
      <c r="J7668" s="39">
        <v>108192</v>
      </c>
      <c r="K7668" s="36" t="str">
        <f>CONCATENATE(Cover!$D$6,"fdd/view?i=",J7668)</f>
        <v>https://www.dgiwg.org/FAD/fdd/view?i=108192</v>
      </c>
      <c r="L7668" s="36" t="s">
        <v>46144</v>
      </c>
      <c r="M7668" s="186"/>
      <c r="N7668" s="186"/>
      <c r="O7668" s="172"/>
    </row>
    <row r="7669" spans="1:15" ht="25.5" x14ac:dyDescent="0.2">
      <c r="A7669" s="197" t="str">
        <f t="shared" si="119"/>
        <v>SsrCode_pitched</v>
      </c>
      <c r="B7669" s="409"/>
      <c r="C7669" s="416"/>
      <c r="D7669" s="198" t="s">
        <v>46145</v>
      </c>
      <c r="E7669" s="198">
        <v>42</v>
      </c>
      <c r="F7669" s="199" t="s">
        <v>46146</v>
      </c>
      <c r="G7669" s="1" t="s">
        <v>46147</v>
      </c>
      <c r="H7669" s="1" t="s">
        <v>46148</v>
      </c>
      <c r="I7669" s="346"/>
      <c r="J7669" s="39">
        <v>108182</v>
      </c>
      <c r="K7669" s="36" t="str">
        <f>CONCATENATE(Cover!$D$6,"fdd/view?i=",J7669)</f>
        <v>https://www.dgiwg.org/FAD/fdd/view?i=108182</v>
      </c>
      <c r="L7669" s="36" t="s">
        <v>46149</v>
      </c>
      <c r="M7669" s="186"/>
      <c r="N7669" s="186"/>
      <c r="O7669" s="172"/>
    </row>
    <row r="7670" spans="1:15" ht="25.5" x14ac:dyDescent="0.2">
      <c r="A7670" s="197" t="str">
        <f t="shared" si="119"/>
        <v>SsrCode_pitchedWithClerestory</v>
      </c>
      <c r="B7670" s="409"/>
      <c r="C7670" s="416"/>
      <c r="D7670" s="198" t="s">
        <v>46150</v>
      </c>
      <c r="E7670" s="198">
        <v>64</v>
      </c>
      <c r="F7670" s="199" t="s">
        <v>46151</v>
      </c>
      <c r="G7670" s="1" t="s">
        <v>46152</v>
      </c>
      <c r="H7670" s="1" t="s">
        <v>46153</v>
      </c>
      <c r="I7670" s="351" t="s">
        <v>46154</v>
      </c>
      <c r="J7670" s="39">
        <v>108194</v>
      </c>
      <c r="K7670" s="36" t="str">
        <f>CONCATENATE(Cover!$D$6,"fdd/view?i=",J7670)</f>
        <v>https://www.dgiwg.org/FAD/fdd/view?i=108194</v>
      </c>
      <c r="L7670" s="36" t="s">
        <v>46155</v>
      </c>
      <c r="M7670" s="186"/>
      <c r="N7670" s="186"/>
      <c r="O7670" s="172"/>
    </row>
    <row r="7671" spans="1:15" ht="38.25" x14ac:dyDescent="0.2">
      <c r="A7671" s="197" t="str">
        <f t="shared" si="119"/>
        <v>SsrCode_pyramidal</v>
      </c>
      <c r="B7671" s="409"/>
      <c r="C7671" s="416"/>
      <c r="D7671" s="198" t="s">
        <v>46156</v>
      </c>
      <c r="E7671" s="198">
        <v>7</v>
      </c>
      <c r="F7671" s="199" t="s">
        <v>46157</v>
      </c>
      <c r="G7671" s="1" t="s">
        <v>46158</v>
      </c>
      <c r="H7671" s="1" t="s">
        <v>46159</v>
      </c>
      <c r="I7671" s="346"/>
      <c r="J7671" s="39">
        <v>110889</v>
      </c>
      <c r="K7671" s="36" t="str">
        <f>CONCATENATE(Cover!$D$6,"fdd/view?i=",J7671)</f>
        <v>https://www.dgiwg.org/FAD/fdd/view?i=110889</v>
      </c>
      <c r="L7671" s="36" t="s">
        <v>46160</v>
      </c>
      <c r="M7671" s="186"/>
      <c r="N7671" s="186"/>
      <c r="O7671" s="172"/>
    </row>
    <row r="7672" spans="1:15" ht="25.5" x14ac:dyDescent="0.2">
      <c r="A7672" s="197" t="str">
        <f t="shared" si="119"/>
        <v>SsrCode_sawtoothed</v>
      </c>
      <c r="B7672" s="409"/>
      <c r="C7672" s="416"/>
      <c r="D7672" s="198" t="s">
        <v>46161</v>
      </c>
      <c r="E7672" s="198">
        <v>47</v>
      </c>
      <c r="F7672" s="199" t="s">
        <v>46162</v>
      </c>
      <c r="G7672" s="1" t="s">
        <v>46163</v>
      </c>
      <c r="H7672" s="200"/>
      <c r="I7672" s="346"/>
      <c r="J7672" s="39">
        <v>108187</v>
      </c>
      <c r="K7672" s="36" t="str">
        <f>CONCATENATE(Cover!$D$6,"fdd/view?i=",J7672)</f>
        <v>https://www.dgiwg.org/FAD/fdd/view?i=108187</v>
      </c>
      <c r="L7672" s="36" t="s">
        <v>46164</v>
      </c>
      <c r="M7672" s="186"/>
      <c r="N7672" s="186"/>
      <c r="O7672" s="172"/>
    </row>
    <row r="7673" spans="1:15" ht="38.25" x14ac:dyDescent="0.2">
      <c r="A7673" s="197" t="str">
        <f t="shared" si="119"/>
        <v>SsrCode_semiCylindrical</v>
      </c>
      <c r="B7673" s="409"/>
      <c r="C7673" s="416"/>
      <c r="D7673" s="198" t="s">
        <v>46165</v>
      </c>
      <c r="E7673" s="198">
        <v>38</v>
      </c>
      <c r="F7673" s="199" t="s">
        <v>46166</v>
      </c>
      <c r="G7673" s="1" t="s">
        <v>46167</v>
      </c>
      <c r="H7673" s="1" t="s">
        <v>46168</v>
      </c>
      <c r="I7673" s="346"/>
      <c r="J7673" s="39">
        <v>108179</v>
      </c>
      <c r="K7673" s="36" t="str">
        <f>CONCATENATE(Cover!$D$6,"fdd/view?i=",J7673)</f>
        <v>https://www.dgiwg.org/FAD/fdd/view?i=108179</v>
      </c>
      <c r="L7673" s="36" t="s">
        <v>46169</v>
      </c>
      <c r="M7673" s="186"/>
      <c r="N7673" s="186"/>
      <c r="O7673" s="172"/>
    </row>
    <row r="7674" spans="1:15" ht="25.5" x14ac:dyDescent="0.2">
      <c r="A7674" s="203" t="str">
        <f t="shared" si="119"/>
        <v>SsrCode_withClerestory</v>
      </c>
      <c r="B7674" s="410"/>
      <c r="C7674" s="417"/>
      <c r="D7674" s="204" t="s">
        <v>46170</v>
      </c>
      <c r="E7674" s="204">
        <v>50</v>
      </c>
      <c r="F7674" s="205" t="s">
        <v>46171</v>
      </c>
      <c r="G7674" s="206" t="s">
        <v>46172</v>
      </c>
      <c r="H7674" s="206" t="s">
        <v>46173</v>
      </c>
      <c r="I7674" s="353" t="s">
        <v>46174</v>
      </c>
      <c r="J7674" s="39">
        <v>108190</v>
      </c>
      <c r="K7674" s="36" t="str">
        <f>CONCATENATE(Cover!$D$6,"fdd/view?i=",J7674)</f>
        <v>https://www.dgiwg.org/FAD/fdd/view?i=108190</v>
      </c>
      <c r="L7674" s="36" t="s">
        <v>46175</v>
      </c>
      <c r="M7674" s="186"/>
      <c r="N7674" s="186"/>
      <c r="O7674" s="172"/>
    </row>
    <row r="7675" spans="1:15" ht="25.5" x14ac:dyDescent="0.2">
      <c r="A7675" s="190" t="str">
        <f t="shared" si="119"/>
        <v>RclCode_crossCountrySkiRun</v>
      </c>
      <c r="B7675" s="414" t="str">
        <f>HYPERLINK("[#]Datatypes!A1314:L1314","RclCode")</f>
        <v>RclCode</v>
      </c>
      <c r="C7675" s="415" t="s">
        <v>15933</v>
      </c>
      <c r="D7675" s="221" t="s">
        <v>46176</v>
      </c>
      <c r="E7675" s="221">
        <v>19</v>
      </c>
      <c r="F7675" s="222" t="s">
        <v>46177</v>
      </c>
      <c r="G7675" s="223" t="s">
        <v>46178</v>
      </c>
      <c r="H7675" s="224"/>
      <c r="I7675" s="345"/>
      <c r="J7675" s="39">
        <v>118875</v>
      </c>
      <c r="K7675" s="36" t="str">
        <f>CONCATENATE(Cover!$D$6,"fdd/view?i=",J7675)</f>
        <v>https://www.dgiwg.org/FAD/fdd/view?i=118875</v>
      </c>
      <c r="L7675" s="36" t="s">
        <v>46179</v>
      </c>
      <c r="M7675" s="186"/>
      <c r="N7675" s="186"/>
      <c r="O7675" s="172"/>
    </row>
    <row r="7676" spans="1:15" ht="25.5" x14ac:dyDescent="0.2">
      <c r="A7676" s="197" t="str">
        <f t="shared" si="119"/>
        <v>RclCode_farmersRoad</v>
      </c>
      <c r="B7676" s="409"/>
      <c r="C7676" s="416"/>
      <c r="D7676" s="198" t="s">
        <v>46180</v>
      </c>
      <c r="E7676" s="198">
        <v>14</v>
      </c>
      <c r="F7676" s="199" t="s">
        <v>46181</v>
      </c>
      <c r="G7676" s="1" t="s">
        <v>46182</v>
      </c>
      <c r="H7676" s="200"/>
      <c r="I7676" s="346"/>
      <c r="J7676" s="39">
        <v>118872</v>
      </c>
      <c r="K7676" s="36" t="str">
        <f>CONCATENATE(Cover!$D$6,"fdd/view?i=",J7676)</f>
        <v>https://www.dgiwg.org/FAD/fdd/view?i=118872</v>
      </c>
      <c r="L7676" s="36" t="s">
        <v>46183</v>
      </c>
      <c r="M7676" s="186"/>
      <c r="N7676" s="186"/>
      <c r="O7676" s="172"/>
    </row>
    <row r="7677" spans="1:15" ht="25.5" x14ac:dyDescent="0.2">
      <c r="A7677" s="197" t="str">
        <f t="shared" si="119"/>
        <v>RclCode_forestRoute</v>
      </c>
      <c r="B7677" s="409"/>
      <c r="C7677" s="416"/>
      <c r="D7677" s="198" t="s">
        <v>46184</v>
      </c>
      <c r="E7677" s="198">
        <v>6</v>
      </c>
      <c r="F7677" s="199" t="s">
        <v>46185</v>
      </c>
      <c r="G7677" s="1" t="s">
        <v>46186</v>
      </c>
      <c r="H7677" s="200"/>
      <c r="I7677" s="346"/>
      <c r="J7677" s="39">
        <v>118868</v>
      </c>
      <c r="K7677" s="36" t="str">
        <f>CONCATENATE(Cover!$D$6,"fdd/view?i=",J7677)</f>
        <v>https://www.dgiwg.org/FAD/fdd/view?i=118868</v>
      </c>
      <c r="L7677" s="36" t="s">
        <v>46187</v>
      </c>
      <c r="M7677" s="186"/>
      <c r="N7677" s="186"/>
      <c r="O7677" s="172"/>
    </row>
    <row r="7678" spans="1:15" x14ac:dyDescent="0.2">
      <c r="A7678" s="197" t="str">
        <f t="shared" si="119"/>
        <v>RclCode_guardRoute</v>
      </c>
      <c r="B7678" s="409"/>
      <c r="C7678" s="416"/>
      <c r="D7678" s="198" t="s">
        <v>46188</v>
      </c>
      <c r="E7678" s="198">
        <v>21</v>
      </c>
      <c r="F7678" s="199" t="s">
        <v>46189</v>
      </c>
      <c r="G7678" s="1" t="s">
        <v>46190</v>
      </c>
      <c r="H7678" s="200"/>
      <c r="I7678" s="346"/>
      <c r="J7678" s="39">
        <v>118877</v>
      </c>
      <c r="K7678" s="36" t="str">
        <f>CONCATENATE(Cover!$D$6,"fdd/view?i=",J7678)</f>
        <v>https://www.dgiwg.org/FAD/fdd/view?i=118877</v>
      </c>
      <c r="L7678" s="36" t="s">
        <v>46191</v>
      </c>
      <c r="M7678" s="186"/>
      <c r="N7678" s="186"/>
      <c r="O7678" s="172"/>
    </row>
    <row r="7679" spans="1:15" ht="25.5" x14ac:dyDescent="0.2">
      <c r="A7679" s="197" t="str">
        <f t="shared" si="119"/>
        <v>RclCode_mainFarmersRoad</v>
      </c>
      <c r="B7679" s="409"/>
      <c r="C7679" s="416"/>
      <c r="D7679" s="198" t="s">
        <v>46192</v>
      </c>
      <c r="E7679" s="198">
        <v>8</v>
      </c>
      <c r="F7679" s="199" t="s">
        <v>46193</v>
      </c>
      <c r="G7679" s="1" t="s">
        <v>46194</v>
      </c>
      <c r="H7679" s="200"/>
      <c r="I7679" s="346"/>
      <c r="J7679" s="39">
        <v>118869</v>
      </c>
      <c r="K7679" s="36" t="str">
        <f>CONCATENATE(Cover!$D$6,"fdd/view?i=",J7679)</f>
        <v>https://www.dgiwg.org/FAD/fdd/view?i=118869</v>
      </c>
      <c r="L7679" s="36" t="s">
        <v>46195</v>
      </c>
      <c r="M7679" s="186"/>
      <c r="N7679" s="186"/>
      <c r="O7679" s="172"/>
    </row>
    <row r="7680" spans="1:15" ht="25.5" x14ac:dyDescent="0.2">
      <c r="A7680" s="197" t="str">
        <f t="shared" si="119"/>
        <v>RclCode_minesweepingRoute</v>
      </c>
      <c r="B7680" s="409"/>
      <c r="C7680" s="416"/>
      <c r="D7680" s="198" t="s">
        <v>46196</v>
      </c>
      <c r="E7680" s="198">
        <v>18</v>
      </c>
      <c r="F7680" s="199" t="s">
        <v>46197</v>
      </c>
      <c r="G7680" s="1" t="s">
        <v>46198</v>
      </c>
      <c r="H7680" s="200"/>
      <c r="I7680" s="346"/>
      <c r="J7680" s="39">
        <v>118874</v>
      </c>
      <c r="K7680" s="36" t="str">
        <f>CONCATENATE(Cover!$D$6,"fdd/view?i=",J7680)</f>
        <v>https://www.dgiwg.org/FAD/fdd/view?i=118874</v>
      </c>
      <c r="L7680" s="36" t="s">
        <v>46199</v>
      </c>
      <c r="M7680" s="186"/>
      <c r="N7680" s="186"/>
      <c r="O7680" s="172"/>
    </row>
    <row r="7681" spans="1:15" ht="114.75" x14ac:dyDescent="0.2">
      <c r="A7681" s="197" t="str">
        <f t="shared" si="119"/>
        <v>RclCode_pedestrianZone</v>
      </c>
      <c r="B7681" s="409"/>
      <c r="C7681" s="416"/>
      <c r="D7681" s="198" t="s">
        <v>46200</v>
      </c>
      <c r="E7681" s="198">
        <v>9</v>
      </c>
      <c r="F7681" s="199" t="s">
        <v>46201</v>
      </c>
      <c r="G7681" s="1" t="s">
        <v>46202</v>
      </c>
      <c r="H7681" s="1" t="s">
        <v>46203</v>
      </c>
      <c r="I7681" s="351" t="s">
        <v>46204</v>
      </c>
      <c r="J7681" s="39">
        <v>118870</v>
      </c>
      <c r="K7681" s="36" t="str">
        <f>CONCATENATE(Cover!$D$6,"fdd/view?i=",J7681)</f>
        <v>https://www.dgiwg.org/FAD/fdd/view?i=118870</v>
      </c>
      <c r="L7681" s="36" t="s">
        <v>46205</v>
      </c>
      <c r="M7681" s="186"/>
      <c r="N7681" s="186"/>
      <c r="O7681" s="172"/>
    </row>
    <row r="7682" spans="1:15" ht="25.5" x14ac:dyDescent="0.2">
      <c r="A7682" s="197" t="str">
        <f t="shared" ref="A7682:A7745" si="120">HYPERLINK(K7682,L7682)</f>
        <v>RclCode_sidewalk</v>
      </c>
      <c r="B7682" s="409"/>
      <c r="C7682" s="416"/>
      <c r="D7682" s="198" t="s">
        <v>46206</v>
      </c>
      <c r="E7682" s="198">
        <v>22</v>
      </c>
      <c r="F7682" s="199" t="s">
        <v>5041</v>
      </c>
      <c r="G7682" s="1" t="s">
        <v>5043</v>
      </c>
      <c r="H7682" s="200"/>
      <c r="I7682" s="346"/>
      <c r="J7682" s="39">
        <v>118878</v>
      </c>
      <c r="K7682" s="36" t="str">
        <f>CONCATENATE(Cover!$D$6,"fdd/view?i=",J7682)</f>
        <v>https://www.dgiwg.org/FAD/fdd/view?i=118878</v>
      </c>
      <c r="L7682" s="36" t="s">
        <v>46207</v>
      </c>
      <c r="M7682" s="186"/>
      <c r="N7682" s="186"/>
      <c r="O7682" s="172"/>
    </row>
    <row r="7683" spans="1:15" ht="38.25" x14ac:dyDescent="0.2">
      <c r="A7683" s="197" t="str">
        <f t="shared" si="120"/>
        <v>RclCode_tidelandWay</v>
      </c>
      <c r="B7683" s="409"/>
      <c r="C7683" s="416"/>
      <c r="D7683" s="198" t="s">
        <v>46208</v>
      </c>
      <c r="E7683" s="198">
        <v>17</v>
      </c>
      <c r="F7683" s="199" t="s">
        <v>46209</v>
      </c>
      <c r="G7683" s="1" t="s">
        <v>46210</v>
      </c>
      <c r="H7683" s="1" t="s">
        <v>46211</v>
      </c>
      <c r="I7683" s="346"/>
      <c r="J7683" s="39">
        <v>118873</v>
      </c>
      <c r="K7683" s="36" t="str">
        <f>CONCATENATE(Cover!$D$6,"fdd/view?i=",J7683)</f>
        <v>https://www.dgiwg.org/FAD/fdd/view?i=118873</v>
      </c>
      <c r="L7683" s="36" t="s">
        <v>46212</v>
      </c>
      <c r="M7683" s="186"/>
      <c r="N7683" s="186"/>
      <c r="O7683" s="172"/>
    </row>
    <row r="7684" spans="1:15" x14ac:dyDescent="0.2">
      <c r="A7684" s="197" t="str">
        <f t="shared" si="120"/>
        <v>RclCode_trail</v>
      </c>
      <c r="B7684" s="409"/>
      <c r="C7684" s="416"/>
      <c r="D7684" s="198" t="s">
        <v>46213</v>
      </c>
      <c r="E7684" s="198">
        <v>20</v>
      </c>
      <c r="F7684" s="199" t="s">
        <v>5545</v>
      </c>
      <c r="G7684" s="1" t="s">
        <v>5547</v>
      </c>
      <c r="H7684" s="200"/>
      <c r="I7684" s="346"/>
      <c r="J7684" s="39">
        <v>118876</v>
      </c>
      <c r="K7684" s="36" t="str">
        <f>CONCATENATE(Cover!$D$6,"fdd/view?i=",J7684)</f>
        <v>https://www.dgiwg.org/FAD/fdd/view?i=118876</v>
      </c>
      <c r="L7684" s="36" t="s">
        <v>46214</v>
      </c>
      <c r="M7684" s="186"/>
      <c r="N7684" s="186"/>
      <c r="O7684" s="172"/>
    </row>
    <row r="7685" spans="1:15" ht="25.5" x14ac:dyDescent="0.2">
      <c r="A7685" s="203" t="str">
        <f t="shared" si="120"/>
        <v>RclCode_viaFerrata</v>
      </c>
      <c r="B7685" s="410"/>
      <c r="C7685" s="417"/>
      <c r="D7685" s="204" t="s">
        <v>46215</v>
      </c>
      <c r="E7685" s="204">
        <v>12</v>
      </c>
      <c r="F7685" s="205" t="s">
        <v>46216</v>
      </c>
      <c r="G7685" s="206" t="s">
        <v>46217</v>
      </c>
      <c r="H7685" s="207"/>
      <c r="I7685" s="347"/>
      <c r="J7685" s="39">
        <v>118871</v>
      </c>
      <c r="K7685" s="36" t="str">
        <f>CONCATENATE(Cover!$D$6,"fdd/view?i=",J7685)</f>
        <v>https://www.dgiwg.org/FAD/fdd/view?i=118871</v>
      </c>
      <c r="L7685" s="36" t="s">
        <v>46218</v>
      </c>
      <c r="M7685" s="186"/>
      <c r="N7685" s="186"/>
      <c r="O7685" s="172"/>
    </row>
    <row r="7686" spans="1:15" ht="25.5" x14ac:dyDescent="0.2">
      <c r="A7686" s="190" t="str">
        <f t="shared" si="120"/>
        <v>ConCode_arcade</v>
      </c>
      <c r="B7686" s="414" t="str">
        <f>HYPERLINK("[#]Datatypes!A1316:L1316","ConCode")</f>
        <v>ConCode</v>
      </c>
      <c r="C7686" s="415" t="s">
        <v>15935</v>
      </c>
      <c r="D7686" s="221" t="s">
        <v>42380</v>
      </c>
      <c r="E7686" s="221">
        <v>5</v>
      </c>
      <c r="F7686" s="222" t="s">
        <v>2112</v>
      </c>
      <c r="G7686" s="223" t="s">
        <v>2114</v>
      </c>
      <c r="H7686" s="224"/>
      <c r="I7686" s="345"/>
      <c r="J7686" s="39">
        <v>117844</v>
      </c>
      <c r="K7686" s="36" t="str">
        <f>CONCATENATE(Cover!$D$6,"fdd/view?i=",J7686)</f>
        <v>https://www.dgiwg.org/FAD/fdd/view?i=117844</v>
      </c>
      <c r="L7686" s="36" t="s">
        <v>46219</v>
      </c>
      <c r="M7686" s="186"/>
      <c r="N7686" s="186"/>
      <c r="O7686" s="172"/>
    </row>
    <row r="7687" spans="1:15" x14ac:dyDescent="0.2">
      <c r="A7687" s="197" t="str">
        <f t="shared" si="120"/>
        <v>ConCode_bridgePier</v>
      </c>
      <c r="B7687" s="409"/>
      <c r="C7687" s="416"/>
      <c r="D7687" s="198" t="s">
        <v>46220</v>
      </c>
      <c r="E7687" s="198">
        <v>6</v>
      </c>
      <c r="F7687" s="199" t="s">
        <v>2338</v>
      </c>
      <c r="G7687" s="1" t="s">
        <v>2339</v>
      </c>
      <c r="H7687" s="200"/>
      <c r="I7687" s="346"/>
      <c r="J7687" s="39">
        <v>117845</v>
      </c>
      <c r="K7687" s="36" t="str">
        <f>CONCATENATE(Cover!$D$6,"fdd/view?i=",J7687)</f>
        <v>https://www.dgiwg.org/FAD/fdd/view?i=117845</v>
      </c>
      <c r="L7687" s="36" t="s">
        <v>46221</v>
      </c>
      <c r="M7687" s="186"/>
      <c r="N7687" s="186"/>
      <c r="O7687" s="172"/>
    </row>
    <row r="7688" spans="1:15" ht="25.5" x14ac:dyDescent="0.2">
      <c r="A7688" s="197" t="str">
        <f t="shared" si="120"/>
        <v>ConCode_bridgeSuperstructure</v>
      </c>
      <c r="B7688" s="409"/>
      <c r="C7688" s="416"/>
      <c r="D7688" s="198" t="s">
        <v>42390</v>
      </c>
      <c r="E7688" s="198">
        <v>7</v>
      </c>
      <c r="F7688" s="199" t="s">
        <v>2346</v>
      </c>
      <c r="G7688" s="1" t="s">
        <v>42391</v>
      </c>
      <c r="H7688" s="200"/>
      <c r="I7688" s="346"/>
      <c r="J7688" s="39">
        <v>117846</v>
      </c>
      <c r="K7688" s="36" t="str">
        <f>CONCATENATE(Cover!$D$6,"fdd/view?i=",J7688)</f>
        <v>https://www.dgiwg.org/FAD/fdd/view?i=117846</v>
      </c>
      <c r="L7688" s="36" t="s">
        <v>46222</v>
      </c>
      <c r="M7688" s="186"/>
      <c r="N7688" s="186"/>
      <c r="O7688" s="172"/>
    </row>
    <row r="7689" spans="1:15" ht="25.5" x14ac:dyDescent="0.2">
      <c r="A7689" s="197" t="str">
        <f t="shared" si="120"/>
        <v>ConCode_bridgeTower</v>
      </c>
      <c r="B7689" s="409"/>
      <c r="C7689" s="416"/>
      <c r="D7689" s="198" t="s">
        <v>46223</v>
      </c>
      <c r="E7689" s="198">
        <v>8</v>
      </c>
      <c r="F7689" s="199" t="s">
        <v>2350</v>
      </c>
      <c r="G7689" s="1" t="s">
        <v>2351</v>
      </c>
      <c r="H7689" s="200"/>
      <c r="I7689" s="346"/>
      <c r="J7689" s="39">
        <v>117847</v>
      </c>
      <c r="K7689" s="36" t="str">
        <f>CONCATENATE(Cover!$D$6,"fdd/view?i=",J7689)</f>
        <v>https://www.dgiwg.org/FAD/fdd/view?i=117847</v>
      </c>
      <c r="L7689" s="36" t="s">
        <v>46224</v>
      </c>
      <c r="M7689" s="186"/>
      <c r="N7689" s="186"/>
      <c r="O7689" s="172"/>
    </row>
    <row r="7690" spans="1:15" ht="25.5" x14ac:dyDescent="0.2">
      <c r="A7690" s="197" t="str">
        <f t="shared" si="120"/>
        <v>ConCode_building</v>
      </c>
      <c r="B7690" s="409"/>
      <c r="C7690" s="416"/>
      <c r="D7690" s="198" t="s">
        <v>42393</v>
      </c>
      <c r="E7690" s="198">
        <v>3</v>
      </c>
      <c r="F7690" s="199" t="s">
        <v>2357</v>
      </c>
      <c r="G7690" s="1" t="s">
        <v>46225</v>
      </c>
      <c r="H7690" s="200"/>
      <c r="I7690" s="346"/>
      <c r="J7690" s="39">
        <v>103187</v>
      </c>
      <c r="K7690" s="36" t="str">
        <f>CONCATENATE(Cover!$D$6,"fdd/view?i=",J7690)</f>
        <v>https://www.dgiwg.org/FAD/fdd/view?i=103187</v>
      </c>
      <c r="L7690" s="36" t="s">
        <v>46226</v>
      </c>
      <c r="M7690" s="186"/>
      <c r="N7690" s="186"/>
      <c r="O7690" s="172"/>
    </row>
    <row r="7691" spans="1:15" ht="140.25" x14ac:dyDescent="0.2">
      <c r="A7691" s="197" t="str">
        <f t="shared" si="120"/>
        <v>ConCode_causewayStructure</v>
      </c>
      <c r="B7691" s="409"/>
      <c r="C7691" s="416"/>
      <c r="D7691" s="198" t="s">
        <v>46227</v>
      </c>
      <c r="E7691" s="198">
        <v>9</v>
      </c>
      <c r="F7691" s="199" t="s">
        <v>2457</v>
      </c>
      <c r="G7691" s="1" t="s">
        <v>2458</v>
      </c>
      <c r="H7691" s="1" t="s">
        <v>2459</v>
      </c>
      <c r="I7691" s="346"/>
      <c r="J7691" s="39">
        <v>117848</v>
      </c>
      <c r="K7691" s="36" t="str">
        <f>CONCATENATE(Cover!$D$6,"fdd/view?i=",J7691)</f>
        <v>https://www.dgiwg.org/FAD/fdd/view?i=117848</v>
      </c>
      <c r="L7691" s="36" t="s">
        <v>46228</v>
      </c>
      <c r="M7691" s="186"/>
      <c r="N7691" s="186"/>
      <c r="O7691" s="172"/>
    </row>
    <row r="7692" spans="1:15" ht="25.5" x14ac:dyDescent="0.2">
      <c r="A7692" s="197" t="str">
        <f t="shared" si="120"/>
        <v>ConCode_cave</v>
      </c>
      <c r="B7692" s="409"/>
      <c r="C7692" s="416"/>
      <c r="D7692" s="198" t="s">
        <v>46229</v>
      </c>
      <c r="E7692" s="198">
        <v>10</v>
      </c>
      <c r="F7692" s="199" t="s">
        <v>46230</v>
      </c>
      <c r="G7692" s="1" t="s">
        <v>46231</v>
      </c>
      <c r="H7692" s="1" t="s">
        <v>46232</v>
      </c>
      <c r="I7692" s="346"/>
      <c r="J7692" s="39">
        <v>117849</v>
      </c>
      <c r="K7692" s="36" t="str">
        <f>CONCATENATE(Cover!$D$6,"fdd/view?i=",J7692)</f>
        <v>https://www.dgiwg.org/FAD/fdd/view?i=117849</v>
      </c>
      <c r="L7692" s="36" t="s">
        <v>46233</v>
      </c>
      <c r="M7692" s="186"/>
      <c r="N7692" s="186"/>
      <c r="O7692" s="172"/>
    </row>
    <row r="7693" spans="1:15" ht="38.25" x14ac:dyDescent="0.2">
      <c r="A7693" s="197" t="str">
        <f t="shared" si="120"/>
        <v>ConCode_culvert</v>
      </c>
      <c r="B7693" s="409"/>
      <c r="C7693" s="416"/>
      <c r="D7693" s="198" t="s">
        <v>46234</v>
      </c>
      <c r="E7693" s="198">
        <v>11</v>
      </c>
      <c r="F7693" s="199" t="s">
        <v>2687</v>
      </c>
      <c r="G7693" s="1" t="s">
        <v>2689</v>
      </c>
      <c r="H7693" s="1" t="s">
        <v>2690</v>
      </c>
      <c r="I7693" s="346"/>
      <c r="J7693" s="39">
        <v>117850</v>
      </c>
      <c r="K7693" s="36" t="str">
        <f>CONCATENATE(Cover!$D$6,"fdd/view?i=",J7693)</f>
        <v>https://www.dgiwg.org/FAD/fdd/view?i=117850</v>
      </c>
      <c r="L7693" s="36" t="s">
        <v>46235</v>
      </c>
      <c r="M7693" s="186"/>
      <c r="N7693" s="186"/>
      <c r="O7693" s="172"/>
    </row>
    <row r="7694" spans="1:15" ht="25.5" x14ac:dyDescent="0.2">
      <c r="A7694" s="197" t="str">
        <f t="shared" si="120"/>
        <v>ConCode_curb</v>
      </c>
      <c r="B7694" s="409"/>
      <c r="C7694" s="416"/>
      <c r="D7694" s="198" t="s">
        <v>46236</v>
      </c>
      <c r="E7694" s="198">
        <v>12</v>
      </c>
      <c r="F7694" s="199" t="s">
        <v>2695</v>
      </c>
      <c r="G7694" s="1" t="s">
        <v>2697</v>
      </c>
      <c r="H7694" s="200"/>
      <c r="I7694" s="346"/>
      <c r="J7694" s="39">
        <v>117851</v>
      </c>
      <c r="K7694" s="36" t="str">
        <f>CONCATENATE(Cover!$D$6,"fdd/view?i=",J7694)</f>
        <v>https://www.dgiwg.org/FAD/fdd/view?i=117851</v>
      </c>
      <c r="L7694" s="36" t="s">
        <v>46237</v>
      </c>
      <c r="M7694" s="186"/>
      <c r="N7694" s="186"/>
      <c r="O7694" s="172"/>
    </row>
    <row r="7695" spans="1:15" ht="38.25" x14ac:dyDescent="0.2">
      <c r="A7695" s="197" t="str">
        <f t="shared" si="120"/>
        <v>ConCode_cut</v>
      </c>
      <c r="B7695" s="409"/>
      <c r="C7695" s="416"/>
      <c r="D7695" s="198" t="s">
        <v>46238</v>
      </c>
      <c r="E7695" s="198">
        <v>13</v>
      </c>
      <c r="F7695" s="199" t="s">
        <v>2707</v>
      </c>
      <c r="G7695" s="1" t="s">
        <v>2709</v>
      </c>
      <c r="H7695" s="200"/>
      <c r="I7695" s="346"/>
      <c r="J7695" s="39">
        <v>117852</v>
      </c>
      <c r="K7695" s="36" t="str">
        <f>CONCATENATE(Cover!$D$6,"fdd/view?i=",J7695)</f>
        <v>https://www.dgiwg.org/FAD/fdd/view?i=117852</v>
      </c>
      <c r="L7695" s="36" t="s">
        <v>46239</v>
      </c>
      <c r="M7695" s="186"/>
      <c r="N7695" s="186"/>
      <c r="O7695" s="172"/>
    </row>
    <row r="7696" spans="1:15" ht="25.5" x14ac:dyDescent="0.2">
      <c r="A7696" s="197" t="str">
        <f t="shared" si="120"/>
        <v>ConCode_dam</v>
      </c>
      <c r="B7696" s="409"/>
      <c r="C7696" s="416"/>
      <c r="D7696" s="198" t="s">
        <v>24033</v>
      </c>
      <c r="E7696" s="198">
        <v>14</v>
      </c>
      <c r="F7696" s="199" t="s">
        <v>2717</v>
      </c>
      <c r="G7696" s="1" t="s">
        <v>2719</v>
      </c>
      <c r="H7696" s="200"/>
      <c r="I7696" s="346"/>
      <c r="J7696" s="39">
        <v>117853</v>
      </c>
      <c r="K7696" s="36" t="str">
        <f>CONCATENATE(Cover!$D$6,"fdd/view?i=",J7696)</f>
        <v>https://www.dgiwg.org/FAD/fdd/view?i=117853</v>
      </c>
      <c r="L7696" s="36" t="s">
        <v>46240</v>
      </c>
      <c r="M7696" s="186"/>
      <c r="N7696" s="186"/>
      <c r="O7696" s="172"/>
    </row>
    <row r="7697" spans="1:15" ht="102" x14ac:dyDescent="0.2">
      <c r="A7697" s="197" t="str">
        <f t="shared" si="120"/>
        <v>ConCode_dropgate</v>
      </c>
      <c r="B7697" s="409"/>
      <c r="C7697" s="416"/>
      <c r="D7697" s="198" t="s">
        <v>46241</v>
      </c>
      <c r="E7697" s="198">
        <v>1</v>
      </c>
      <c r="F7697" s="199" t="s">
        <v>46242</v>
      </c>
      <c r="G7697" s="1" t="s">
        <v>46243</v>
      </c>
      <c r="H7697" s="1" t="s">
        <v>46244</v>
      </c>
      <c r="I7697" s="346"/>
      <c r="J7697" s="39">
        <v>103185</v>
      </c>
      <c r="K7697" s="36" t="str">
        <f>CONCATENATE(Cover!$D$6,"fdd/view?i=",J7697)</f>
        <v>https://www.dgiwg.org/FAD/fdd/view?i=103185</v>
      </c>
      <c r="L7697" s="36" t="s">
        <v>46245</v>
      </c>
      <c r="M7697" s="186"/>
      <c r="N7697" s="186"/>
      <c r="O7697" s="172"/>
    </row>
    <row r="7698" spans="1:15" x14ac:dyDescent="0.2">
      <c r="A7698" s="197" t="str">
        <f t="shared" si="120"/>
        <v>ConCode_embankment</v>
      </c>
      <c r="B7698" s="409"/>
      <c r="C7698" s="416"/>
      <c r="D7698" s="198" t="s">
        <v>46246</v>
      </c>
      <c r="E7698" s="198">
        <v>15</v>
      </c>
      <c r="F7698" s="199" t="s">
        <v>2949</v>
      </c>
      <c r="G7698" s="1" t="s">
        <v>2951</v>
      </c>
      <c r="H7698" s="200"/>
      <c r="I7698" s="346"/>
      <c r="J7698" s="39">
        <v>117854</v>
      </c>
      <c r="K7698" s="36" t="str">
        <f>CONCATENATE(Cover!$D$6,"fdd/view?i=",J7698)</f>
        <v>https://www.dgiwg.org/FAD/fdd/view?i=117854</v>
      </c>
      <c r="L7698" s="36" t="s">
        <v>46247</v>
      </c>
      <c r="M7698" s="186"/>
      <c r="N7698" s="186"/>
      <c r="O7698" s="172"/>
    </row>
    <row r="7699" spans="1:15" x14ac:dyDescent="0.2">
      <c r="A7699" s="197" t="str">
        <f t="shared" si="120"/>
        <v>ConCode_entranceExit</v>
      </c>
      <c r="B7699" s="409"/>
      <c r="C7699" s="416"/>
      <c r="D7699" s="198" t="s">
        <v>42406</v>
      </c>
      <c r="E7699" s="198">
        <v>16</v>
      </c>
      <c r="F7699" s="199" t="s">
        <v>2988</v>
      </c>
      <c r="G7699" s="1" t="s">
        <v>2989</v>
      </c>
      <c r="H7699" s="1" t="s">
        <v>2990</v>
      </c>
      <c r="I7699" s="346"/>
      <c r="J7699" s="39">
        <v>117855</v>
      </c>
      <c r="K7699" s="36" t="str">
        <f>CONCATENATE(Cover!$D$6,"fdd/view?i=",J7699)</f>
        <v>https://www.dgiwg.org/FAD/fdd/view?i=117855</v>
      </c>
      <c r="L7699" s="36" t="s">
        <v>46248</v>
      </c>
      <c r="M7699" s="186"/>
      <c r="N7699" s="186"/>
      <c r="O7699" s="172"/>
    </row>
    <row r="7700" spans="1:15" ht="25.5" x14ac:dyDescent="0.2">
      <c r="A7700" s="197" t="str">
        <f t="shared" si="120"/>
        <v>ConCode_fence</v>
      </c>
      <c r="B7700" s="409"/>
      <c r="C7700" s="416"/>
      <c r="D7700" s="198" t="s">
        <v>46249</v>
      </c>
      <c r="E7700" s="198">
        <v>17</v>
      </c>
      <c r="F7700" s="199" t="s">
        <v>3062</v>
      </c>
      <c r="G7700" s="1" t="s">
        <v>3064</v>
      </c>
      <c r="H7700" s="200"/>
      <c r="I7700" s="346"/>
      <c r="J7700" s="39">
        <v>117856</v>
      </c>
      <c r="K7700" s="36" t="str">
        <f>CONCATENATE(Cover!$D$6,"fdd/view?i=",J7700)</f>
        <v>https://www.dgiwg.org/FAD/fdd/view?i=117856</v>
      </c>
      <c r="L7700" s="36" t="s">
        <v>46250</v>
      </c>
      <c r="M7700" s="186"/>
      <c r="N7700" s="186"/>
      <c r="O7700" s="172"/>
    </row>
    <row r="7701" spans="1:15" ht="51" x14ac:dyDescent="0.2">
      <c r="A7701" s="197" t="str">
        <f t="shared" si="120"/>
        <v>ConCode_fireHydrant</v>
      </c>
      <c r="B7701" s="409"/>
      <c r="C7701" s="416"/>
      <c r="D7701" s="198" t="s">
        <v>46251</v>
      </c>
      <c r="E7701" s="198">
        <v>18</v>
      </c>
      <c r="F7701" s="199" t="s">
        <v>3096</v>
      </c>
      <c r="G7701" s="1" t="s">
        <v>3097</v>
      </c>
      <c r="H7701" s="200"/>
      <c r="I7701" s="346"/>
      <c r="J7701" s="39">
        <v>117857</v>
      </c>
      <c r="K7701" s="36" t="str">
        <f>CONCATENATE(Cover!$D$6,"fdd/view?i=",J7701)</f>
        <v>https://www.dgiwg.org/FAD/fdd/view?i=117857</v>
      </c>
      <c r="L7701" s="36" t="s">
        <v>46252</v>
      </c>
      <c r="M7701" s="186"/>
      <c r="N7701" s="186"/>
      <c r="O7701" s="172"/>
    </row>
    <row r="7702" spans="1:15" x14ac:dyDescent="0.2">
      <c r="A7702" s="197" t="str">
        <f t="shared" si="120"/>
        <v>ConCode_ford</v>
      </c>
      <c r="B7702" s="409"/>
      <c r="C7702" s="416"/>
      <c r="D7702" s="198" t="s">
        <v>46253</v>
      </c>
      <c r="E7702" s="198">
        <v>19</v>
      </c>
      <c r="F7702" s="199" t="s">
        <v>3201</v>
      </c>
      <c r="G7702" s="1" t="s">
        <v>3203</v>
      </c>
      <c r="H7702" s="200"/>
      <c r="I7702" s="346"/>
      <c r="J7702" s="39">
        <v>117858</v>
      </c>
      <c r="K7702" s="36" t="str">
        <f>CONCATENATE(Cover!$D$6,"fdd/view?i=",J7702)</f>
        <v>https://www.dgiwg.org/FAD/fdd/view?i=117858</v>
      </c>
      <c r="L7702" s="36" t="s">
        <v>46254</v>
      </c>
      <c r="M7702" s="186"/>
      <c r="N7702" s="186"/>
      <c r="O7702" s="172"/>
    </row>
    <row r="7703" spans="1:15" ht="38.25" x14ac:dyDescent="0.2">
      <c r="A7703" s="197" t="str">
        <f t="shared" si="120"/>
        <v>ConCode_gallery</v>
      </c>
      <c r="B7703" s="409"/>
      <c r="C7703" s="416"/>
      <c r="D7703" s="198" t="s">
        <v>46255</v>
      </c>
      <c r="E7703" s="198">
        <v>20</v>
      </c>
      <c r="F7703" s="199" t="s">
        <v>3241</v>
      </c>
      <c r="G7703" s="1" t="s">
        <v>3243</v>
      </c>
      <c r="H7703" s="1" t="s">
        <v>3244</v>
      </c>
      <c r="I7703" s="346"/>
      <c r="J7703" s="39">
        <v>117859</v>
      </c>
      <c r="K7703" s="36" t="str">
        <f>CONCATENATE(Cover!$D$6,"fdd/view?i=",J7703)</f>
        <v>https://www.dgiwg.org/FAD/fdd/view?i=117859</v>
      </c>
      <c r="L7703" s="36" t="s">
        <v>46256</v>
      </c>
      <c r="M7703" s="186"/>
      <c r="N7703" s="186"/>
      <c r="O7703" s="172"/>
    </row>
    <row r="7704" spans="1:15" ht="76.5" x14ac:dyDescent="0.2">
      <c r="A7704" s="197" t="str">
        <f t="shared" si="120"/>
        <v>ConCode_gantry</v>
      </c>
      <c r="B7704" s="409"/>
      <c r="C7704" s="416"/>
      <c r="D7704" s="198" t="s">
        <v>42412</v>
      </c>
      <c r="E7704" s="198">
        <v>21</v>
      </c>
      <c r="F7704" s="199" t="s">
        <v>3245</v>
      </c>
      <c r="G7704" s="1" t="s">
        <v>3247</v>
      </c>
      <c r="H7704" s="1" t="s">
        <v>3248</v>
      </c>
      <c r="I7704" s="346"/>
      <c r="J7704" s="39">
        <v>117860</v>
      </c>
      <c r="K7704" s="36" t="str">
        <f>CONCATENATE(Cover!$D$6,"fdd/view?i=",J7704)</f>
        <v>https://www.dgiwg.org/FAD/fdd/view?i=117860</v>
      </c>
      <c r="L7704" s="36" t="s">
        <v>46257</v>
      </c>
      <c r="M7704" s="186"/>
      <c r="N7704" s="186"/>
      <c r="O7704" s="172"/>
    </row>
    <row r="7705" spans="1:15" ht="38.25" x14ac:dyDescent="0.2">
      <c r="A7705" s="197" t="str">
        <f t="shared" si="120"/>
        <v>ConCode_gate</v>
      </c>
      <c r="B7705" s="409"/>
      <c r="C7705" s="416"/>
      <c r="D7705" s="198" t="s">
        <v>46258</v>
      </c>
      <c r="E7705" s="198">
        <v>22</v>
      </c>
      <c r="F7705" s="199" t="s">
        <v>3253</v>
      </c>
      <c r="G7705" s="1" t="s">
        <v>3255</v>
      </c>
      <c r="H7705" s="200"/>
      <c r="I7705" s="346"/>
      <c r="J7705" s="39">
        <v>117861</v>
      </c>
      <c r="K7705" s="36" t="str">
        <f>CONCATENATE(Cover!$D$6,"fdd/view?i=",J7705)</f>
        <v>https://www.dgiwg.org/FAD/fdd/view?i=117861</v>
      </c>
      <c r="L7705" s="36" t="s">
        <v>46259</v>
      </c>
      <c r="M7705" s="186"/>
      <c r="N7705" s="186"/>
      <c r="O7705" s="172"/>
    </row>
    <row r="7706" spans="1:15" ht="25.5" x14ac:dyDescent="0.2">
      <c r="A7706" s="197" t="str">
        <f t="shared" si="120"/>
        <v>ConCode_hedgerow</v>
      </c>
      <c r="B7706" s="409"/>
      <c r="C7706" s="416"/>
      <c r="D7706" s="198" t="s">
        <v>46260</v>
      </c>
      <c r="E7706" s="198">
        <v>23</v>
      </c>
      <c r="F7706" s="199" t="s">
        <v>3474</v>
      </c>
      <c r="G7706" s="1" t="s">
        <v>3476</v>
      </c>
      <c r="H7706" s="200"/>
      <c r="I7706" s="346"/>
      <c r="J7706" s="39">
        <v>117862</v>
      </c>
      <c r="K7706" s="36" t="str">
        <f>CONCATENATE(Cover!$D$6,"fdd/view?i=",J7706)</f>
        <v>https://www.dgiwg.org/FAD/fdd/view?i=117862</v>
      </c>
      <c r="L7706" s="36" t="s">
        <v>46261</v>
      </c>
      <c r="M7706" s="186"/>
      <c r="N7706" s="186"/>
      <c r="O7706" s="172"/>
    </row>
    <row r="7707" spans="1:15" ht="25.5" x14ac:dyDescent="0.2">
      <c r="A7707" s="197" t="str">
        <f t="shared" si="120"/>
        <v>ConCode_memorialMonument</v>
      </c>
      <c r="B7707" s="409"/>
      <c r="C7707" s="416"/>
      <c r="D7707" s="198" t="s">
        <v>42414</v>
      </c>
      <c r="E7707" s="198">
        <v>24</v>
      </c>
      <c r="F7707" s="199" t="s">
        <v>4093</v>
      </c>
      <c r="G7707" s="1" t="s">
        <v>4094</v>
      </c>
      <c r="H7707" s="200"/>
      <c r="I7707" s="346"/>
      <c r="J7707" s="39">
        <v>117863</v>
      </c>
      <c r="K7707" s="36" t="str">
        <f>CONCATENATE(Cover!$D$6,"fdd/view?i=",J7707)</f>
        <v>https://www.dgiwg.org/FAD/fdd/view?i=117863</v>
      </c>
      <c r="L7707" s="36" t="s">
        <v>46262</v>
      </c>
      <c r="M7707" s="186"/>
      <c r="N7707" s="186"/>
      <c r="O7707" s="172"/>
    </row>
    <row r="7708" spans="1:15" ht="25.5" x14ac:dyDescent="0.2">
      <c r="A7708" s="197" t="str">
        <f t="shared" si="120"/>
        <v>ConCode_nonBuildingStructure</v>
      </c>
      <c r="B7708" s="409"/>
      <c r="C7708" s="416"/>
      <c r="D7708" s="198" t="s">
        <v>42416</v>
      </c>
      <c r="E7708" s="198">
        <v>25</v>
      </c>
      <c r="F7708" s="199" t="s">
        <v>4290</v>
      </c>
      <c r="G7708" s="1" t="s">
        <v>42417</v>
      </c>
      <c r="H7708" s="200"/>
      <c r="I7708" s="346"/>
      <c r="J7708" s="39">
        <v>117864</v>
      </c>
      <c r="K7708" s="36" t="str">
        <f>CONCATENATE(Cover!$D$6,"fdd/view?i=",J7708)</f>
        <v>https://www.dgiwg.org/FAD/fdd/view?i=117864</v>
      </c>
      <c r="L7708" s="36" t="s">
        <v>46263</v>
      </c>
      <c r="M7708" s="186"/>
      <c r="N7708" s="186"/>
      <c r="O7708" s="172"/>
    </row>
    <row r="7709" spans="1:15" ht="25.5" x14ac:dyDescent="0.2">
      <c r="A7709" s="197" t="str">
        <f t="shared" si="120"/>
        <v>ConCode_parkingGarage</v>
      </c>
      <c r="B7709" s="409"/>
      <c r="C7709" s="416"/>
      <c r="D7709" s="198" t="s">
        <v>26276</v>
      </c>
      <c r="E7709" s="198">
        <v>26</v>
      </c>
      <c r="F7709" s="199" t="s">
        <v>4406</v>
      </c>
      <c r="G7709" s="1" t="s">
        <v>4407</v>
      </c>
      <c r="H7709" s="1" t="s">
        <v>4408</v>
      </c>
      <c r="I7709" s="346"/>
      <c r="J7709" s="39">
        <v>117865</v>
      </c>
      <c r="K7709" s="36" t="str">
        <f>CONCATENATE(Cover!$D$6,"fdd/view?i=",J7709)</f>
        <v>https://www.dgiwg.org/FAD/fdd/view?i=117865</v>
      </c>
      <c r="L7709" s="36" t="s">
        <v>46264</v>
      </c>
      <c r="M7709" s="186"/>
      <c r="N7709" s="186"/>
      <c r="O7709" s="172"/>
    </row>
    <row r="7710" spans="1:15" ht="38.25" x14ac:dyDescent="0.2">
      <c r="A7710" s="197" t="str">
        <f t="shared" si="120"/>
        <v>ConCode_pass</v>
      </c>
      <c r="B7710" s="409"/>
      <c r="C7710" s="416"/>
      <c r="D7710" s="198" t="s">
        <v>46265</v>
      </c>
      <c r="E7710" s="198">
        <v>2</v>
      </c>
      <c r="F7710" s="199" t="s">
        <v>46266</v>
      </c>
      <c r="G7710" s="1" t="s">
        <v>46267</v>
      </c>
      <c r="H7710" s="1" t="s">
        <v>46268</v>
      </c>
      <c r="I7710" s="346"/>
      <c r="J7710" s="39">
        <v>103186</v>
      </c>
      <c r="K7710" s="36" t="str">
        <f>CONCATENATE(Cover!$D$6,"fdd/view?i=",J7710)</f>
        <v>https://www.dgiwg.org/FAD/fdd/view?i=103186</v>
      </c>
      <c r="L7710" s="36" t="s">
        <v>46269</v>
      </c>
      <c r="M7710" s="186"/>
      <c r="N7710" s="186"/>
      <c r="O7710" s="172"/>
    </row>
    <row r="7711" spans="1:15" ht="25.5" x14ac:dyDescent="0.2">
      <c r="A7711" s="197" t="str">
        <f t="shared" si="120"/>
        <v>ConCode_pipeline</v>
      </c>
      <c r="B7711" s="409"/>
      <c r="C7711" s="416"/>
      <c r="D7711" s="198" t="s">
        <v>25045</v>
      </c>
      <c r="E7711" s="198">
        <v>27</v>
      </c>
      <c r="F7711" s="199" t="s">
        <v>4440</v>
      </c>
      <c r="G7711" s="1" t="s">
        <v>4442</v>
      </c>
      <c r="H7711" s="1" t="s">
        <v>4443</v>
      </c>
      <c r="I7711" s="346"/>
      <c r="J7711" s="39">
        <v>117866</v>
      </c>
      <c r="K7711" s="36" t="str">
        <f>CONCATENATE(Cover!$D$6,"fdd/view?i=",J7711)</f>
        <v>https://www.dgiwg.org/FAD/fdd/view?i=117866</v>
      </c>
      <c r="L7711" s="36" t="s">
        <v>46270</v>
      </c>
      <c r="M7711" s="186"/>
      <c r="N7711" s="186"/>
      <c r="O7711" s="172"/>
    </row>
    <row r="7712" spans="1:15" ht="25.5" x14ac:dyDescent="0.2">
      <c r="A7712" s="197" t="str">
        <f t="shared" si="120"/>
        <v>ConCode_pipelineCrossingPoint</v>
      </c>
      <c r="B7712" s="409"/>
      <c r="C7712" s="416"/>
      <c r="D7712" s="198" t="s">
        <v>42423</v>
      </c>
      <c r="E7712" s="198">
        <v>28</v>
      </c>
      <c r="F7712" s="199" t="s">
        <v>4446</v>
      </c>
      <c r="G7712" s="1" t="s">
        <v>4447</v>
      </c>
      <c r="H7712" s="200"/>
      <c r="I7712" s="346"/>
      <c r="J7712" s="39">
        <v>117867</v>
      </c>
      <c r="K7712" s="36" t="str">
        <f>CONCATENATE(Cover!$D$6,"fdd/view?i=",J7712)</f>
        <v>https://www.dgiwg.org/FAD/fdd/view?i=117867</v>
      </c>
      <c r="L7712" s="36" t="s">
        <v>46271</v>
      </c>
      <c r="M7712" s="186"/>
      <c r="N7712" s="186"/>
      <c r="O7712" s="172"/>
    </row>
    <row r="7713" spans="1:15" ht="51" x14ac:dyDescent="0.2">
      <c r="A7713" s="197" t="str">
        <f t="shared" si="120"/>
        <v>ConCode_preparedWatercourseCross</v>
      </c>
      <c r="B7713" s="409"/>
      <c r="C7713" s="416"/>
      <c r="D7713" s="198" t="s">
        <v>46272</v>
      </c>
      <c r="E7713" s="198">
        <v>29</v>
      </c>
      <c r="F7713" s="199" t="s">
        <v>4535</v>
      </c>
      <c r="G7713" s="1" t="s">
        <v>4536</v>
      </c>
      <c r="H7713" s="1" t="s">
        <v>4537</v>
      </c>
      <c r="I7713" s="346"/>
      <c r="J7713" s="39">
        <v>117868</v>
      </c>
      <c r="K7713" s="36" t="str">
        <f>CONCATENATE(Cover!$D$6,"fdd/view?i=",J7713)</f>
        <v>https://www.dgiwg.org/FAD/fdd/view?i=117868</v>
      </c>
      <c r="L7713" s="36" t="s">
        <v>46273</v>
      </c>
      <c r="M7713" s="186"/>
      <c r="N7713" s="186"/>
      <c r="O7713" s="172"/>
    </row>
    <row r="7714" spans="1:15" x14ac:dyDescent="0.2">
      <c r="A7714" s="197" t="str">
        <f t="shared" si="120"/>
        <v>ConCode_railwaySignal</v>
      </c>
      <c r="B7714" s="409"/>
      <c r="C7714" s="416"/>
      <c r="D7714" s="198" t="s">
        <v>46274</v>
      </c>
      <c r="E7714" s="198">
        <v>30</v>
      </c>
      <c r="F7714" s="199" t="s">
        <v>4633</v>
      </c>
      <c r="G7714" s="1" t="s">
        <v>4634</v>
      </c>
      <c r="H7714" s="200"/>
      <c r="I7714" s="346"/>
      <c r="J7714" s="39">
        <v>117869</v>
      </c>
      <c r="K7714" s="36" t="str">
        <f>CONCATENATE(Cover!$D$6,"fdd/view?i=",J7714)</f>
        <v>https://www.dgiwg.org/FAD/fdd/view?i=117869</v>
      </c>
      <c r="L7714" s="36" t="s">
        <v>46275</v>
      </c>
      <c r="M7714" s="186"/>
      <c r="N7714" s="186"/>
      <c r="O7714" s="172"/>
    </row>
    <row r="7715" spans="1:15" ht="25.5" x14ac:dyDescent="0.2">
      <c r="A7715" s="197" t="str">
        <f t="shared" si="120"/>
        <v>ConCode_railwaySwitch</v>
      </c>
      <c r="B7715" s="409"/>
      <c r="C7715" s="416"/>
      <c r="D7715" s="198" t="s">
        <v>46276</v>
      </c>
      <c r="E7715" s="198">
        <v>31</v>
      </c>
      <c r="F7715" s="199" t="s">
        <v>4641</v>
      </c>
      <c r="G7715" s="1" t="s">
        <v>4642</v>
      </c>
      <c r="H7715" s="200"/>
      <c r="I7715" s="346"/>
      <c r="J7715" s="39">
        <v>117870</v>
      </c>
      <c r="K7715" s="36" t="str">
        <f>CONCATENATE(Cover!$D$6,"fdd/view?i=",J7715)</f>
        <v>https://www.dgiwg.org/FAD/fdd/view?i=117870</v>
      </c>
      <c r="L7715" s="36" t="s">
        <v>46277</v>
      </c>
      <c r="M7715" s="186"/>
      <c r="N7715" s="186"/>
      <c r="O7715" s="172"/>
    </row>
    <row r="7716" spans="1:15" ht="25.5" x14ac:dyDescent="0.2">
      <c r="A7716" s="197" t="str">
        <f t="shared" si="120"/>
        <v>ConCode_ramp</v>
      </c>
      <c r="B7716" s="409"/>
      <c r="C7716" s="416"/>
      <c r="D7716" s="198" t="s">
        <v>46278</v>
      </c>
      <c r="E7716" s="198">
        <v>32</v>
      </c>
      <c r="F7716" s="199" t="s">
        <v>4668</v>
      </c>
      <c r="G7716" s="1" t="s">
        <v>4670</v>
      </c>
      <c r="H7716" s="200"/>
      <c r="I7716" s="346"/>
      <c r="J7716" s="39">
        <v>117871</v>
      </c>
      <c r="K7716" s="36" t="str">
        <f>CONCATENATE(Cover!$D$6,"fdd/view?i=",J7716)</f>
        <v>https://www.dgiwg.org/FAD/fdd/view?i=117871</v>
      </c>
      <c r="L7716" s="36" t="s">
        <v>46279</v>
      </c>
      <c r="M7716" s="186"/>
      <c r="N7716" s="186"/>
      <c r="O7716" s="172"/>
    </row>
    <row r="7717" spans="1:15" ht="38.25" x14ac:dyDescent="0.2">
      <c r="A7717" s="197" t="str">
        <f t="shared" si="120"/>
        <v>ConCode_reducedTrackLaneCount</v>
      </c>
      <c r="B7717" s="409"/>
      <c r="C7717" s="416"/>
      <c r="D7717" s="198" t="s">
        <v>46280</v>
      </c>
      <c r="E7717" s="198">
        <v>33</v>
      </c>
      <c r="F7717" s="199" t="s">
        <v>46281</v>
      </c>
      <c r="G7717" s="1" t="s">
        <v>46282</v>
      </c>
      <c r="H7717" s="200"/>
      <c r="I7717" s="346"/>
      <c r="J7717" s="39">
        <v>117872</v>
      </c>
      <c r="K7717" s="36" t="str">
        <f>CONCATENATE(Cover!$D$6,"fdd/view?i=",J7717)</f>
        <v>https://www.dgiwg.org/FAD/fdd/view?i=117872</v>
      </c>
      <c r="L7717" s="36" t="s">
        <v>46283</v>
      </c>
      <c r="M7717" s="186"/>
      <c r="N7717" s="186"/>
      <c r="O7717" s="172"/>
    </row>
    <row r="7718" spans="1:15" ht="63.75" x14ac:dyDescent="0.2">
      <c r="A7718" s="197" t="str">
        <f t="shared" si="120"/>
        <v>ConCode_retailStand</v>
      </c>
      <c r="B7718" s="409"/>
      <c r="C7718" s="416"/>
      <c r="D7718" s="198" t="s">
        <v>46284</v>
      </c>
      <c r="E7718" s="198">
        <v>34</v>
      </c>
      <c r="F7718" s="199" t="s">
        <v>4733</v>
      </c>
      <c r="G7718" s="1" t="s">
        <v>4734</v>
      </c>
      <c r="H7718" s="1" t="s">
        <v>46285</v>
      </c>
      <c r="I7718" s="346"/>
      <c r="J7718" s="39">
        <v>117873</v>
      </c>
      <c r="K7718" s="36" t="str">
        <f>CONCATENATE(Cover!$D$6,"fdd/view?i=",J7718)</f>
        <v>https://www.dgiwg.org/FAD/fdd/view?i=117873</v>
      </c>
      <c r="L7718" s="36" t="s">
        <v>46286</v>
      </c>
      <c r="M7718" s="186"/>
      <c r="N7718" s="186"/>
      <c r="O7718" s="172"/>
    </row>
    <row r="7719" spans="1:15" ht="25.5" x14ac:dyDescent="0.2">
      <c r="A7719" s="197" t="str">
        <f t="shared" si="120"/>
        <v>ConCode_roadInterchange</v>
      </c>
      <c r="B7719" s="409"/>
      <c r="C7719" s="416"/>
      <c r="D7719" s="198" t="s">
        <v>46287</v>
      </c>
      <c r="E7719" s="198">
        <v>35</v>
      </c>
      <c r="F7719" s="199" t="s">
        <v>4759</v>
      </c>
      <c r="G7719" s="1" t="s">
        <v>46288</v>
      </c>
      <c r="H7719" s="200"/>
      <c r="I7719" s="346"/>
      <c r="J7719" s="39">
        <v>117874</v>
      </c>
      <c r="K7719" s="36" t="str">
        <f>CONCATENATE(Cover!$D$6,"fdd/view?i=",J7719)</f>
        <v>https://www.dgiwg.org/FAD/fdd/view?i=117874</v>
      </c>
      <c r="L7719" s="36" t="s">
        <v>46289</v>
      </c>
      <c r="M7719" s="186"/>
      <c r="N7719" s="186"/>
      <c r="O7719" s="172"/>
    </row>
    <row r="7720" spans="1:15" ht="25.5" x14ac:dyDescent="0.2">
      <c r="A7720" s="197" t="str">
        <f t="shared" si="120"/>
        <v>ConCode_rockFormation</v>
      </c>
      <c r="B7720" s="409"/>
      <c r="C7720" s="416"/>
      <c r="D7720" s="198" t="s">
        <v>46290</v>
      </c>
      <c r="E7720" s="198">
        <v>36</v>
      </c>
      <c r="F7720" s="199" t="s">
        <v>4779</v>
      </c>
      <c r="G7720" s="1" t="s">
        <v>4780</v>
      </c>
      <c r="H7720" s="200"/>
      <c r="I7720" s="346"/>
      <c r="J7720" s="39">
        <v>117875</v>
      </c>
      <c r="K7720" s="36" t="str">
        <f>CONCATENATE(Cover!$D$6,"fdd/view?i=",J7720)</f>
        <v>https://www.dgiwg.org/FAD/fdd/view?i=117875</v>
      </c>
      <c r="L7720" s="36" t="s">
        <v>46291</v>
      </c>
      <c r="M7720" s="186"/>
      <c r="N7720" s="186"/>
      <c r="O7720" s="172"/>
    </row>
    <row r="7721" spans="1:15" ht="38.25" x14ac:dyDescent="0.2">
      <c r="A7721" s="197" t="str">
        <f t="shared" si="120"/>
        <v>ConCode_routeRelatedStructure</v>
      </c>
      <c r="B7721" s="409"/>
      <c r="C7721" s="416"/>
      <c r="D7721" s="198" t="s">
        <v>42436</v>
      </c>
      <c r="E7721" s="198">
        <v>37</v>
      </c>
      <c r="F7721" s="199" t="s">
        <v>42437</v>
      </c>
      <c r="G7721" s="1" t="s">
        <v>46292</v>
      </c>
      <c r="H7721" s="200"/>
      <c r="I7721" s="346"/>
      <c r="J7721" s="39">
        <v>117876</v>
      </c>
      <c r="K7721" s="36" t="str">
        <f>CONCATENATE(Cover!$D$6,"fdd/view?i=",J7721)</f>
        <v>https://www.dgiwg.org/FAD/fdd/view?i=117876</v>
      </c>
      <c r="L7721" s="36" t="s">
        <v>46293</v>
      </c>
      <c r="M7721" s="186"/>
      <c r="N7721" s="186"/>
      <c r="O7721" s="172"/>
    </row>
    <row r="7722" spans="1:15" ht="38.25" x14ac:dyDescent="0.2">
      <c r="A7722" s="197" t="str">
        <f t="shared" si="120"/>
        <v>ConCode_stair</v>
      </c>
      <c r="B7722" s="409"/>
      <c r="C7722" s="416"/>
      <c r="D7722" s="198" t="s">
        <v>46294</v>
      </c>
      <c r="E7722" s="198">
        <v>38</v>
      </c>
      <c r="F7722" s="199" t="s">
        <v>5227</v>
      </c>
      <c r="G7722" s="1" t="s">
        <v>5229</v>
      </c>
      <c r="H7722" s="1" t="s">
        <v>5230</v>
      </c>
      <c r="I7722" s="346"/>
      <c r="J7722" s="39">
        <v>117877</v>
      </c>
      <c r="K7722" s="36" t="str">
        <f>CONCATENATE(Cover!$D$6,"fdd/view?i=",J7722)</f>
        <v>https://www.dgiwg.org/FAD/fdd/view?i=117877</v>
      </c>
      <c r="L7722" s="36" t="s">
        <v>46295</v>
      </c>
      <c r="M7722" s="186"/>
      <c r="N7722" s="186"/>
      <c r="O7722" s="172"/>
    </row>
    <row r="7723" spans="1:15" ht="25.5" x14ac:dyDescent="0.2">
      <c r="A7723" s="197" t="str">
        <f t="shared" si="120"/>
        <v>ConCode_steepTerrainFace</v>
      </c>
      <c r="B7723" s="409"/>
      <c r="C7723" s="416"/>
      <c r="D7723" s="198" t="s">
        <v>46296</v>
      </c>
      <c r="E7723" s="198">
        <v>39</v>
      </c>
      <c r="F7723" s="199" t="s">
        <v>5258</v>
      </c>
      <c r="G7723" s="1" t="s">
        <v>5259</v>
      </c>
      <c r="H7723" s="1" t="s">
        <v>5260</v>
      </c>
      <c r="I7723" s="346"/>
      <c r="J7723" s="39">
        <v>117878</v>
      </c>
      <c r="K7723" s="36" t="str">
        <f>CONCATENATE(Cover!$D$6,"fdd/view?i=",J7723)</f>
        <v>https://www.dgiwg.org/FAD/fdd/view?i=117878</v>
      </c>
      <c r="L7723" s="36" t="s">
        <v>46297</v>
      </c>
      <c r="M7723" s="186"/>
      <c r="N7723" s="186"/>
      <c r="O7723" s="172"/>
    </row>
    <row r="7724" spans="1:15" ht="51" x14ac:dyDescent="0.2">
      <c r="A7724" s="197" t="str">
        <f t="shared" si="120"/>
        <v>ConCode_transportationBlock</v>
      </c>
      <c r="B7724" s="409"/>
      <c r="C7724" s="416"/>
      <c r="D7724" s="198" t="s">
        <v>42451</v>
      </c>
      <c r="E7724" s="198">
        <v>40</v>
      </c>
      <c r="F7724" s="199" t="s">
        <v>5570</v>
      </c>
      <c r="G7724" s="1" t="s">
        <v>5571</v>
      </c>
      <c r="H7724" s="1" t="s">
        <v>5572</v>
      </c>
      <c r="I7724" s="346"/>
      <c r="J7724" s="39">
        <v>117879</v>
      </c>
      <c r="K7724" s="36" t="str">
        <f>CONCATENATE(Cover!$D$6,"fdd/view?i=",J7724)</f>
        <v>https://www.dgiwg.org/FAD/fdd/view?i=117879</v>
      </c>
      <c r="L7724" s="36" t="s">
        <v>46298</v>
      </c>
      <c r="M7724" s="186"/>
      <c r="N7724" s="186"/>
      <c r="O7724" s="172"/>
    </row>
    <row r="7725" spans="1:15" ht="38.25" x14ac:dyDescent="0.2">
      <c r="A7725" s="197" t="str">
        <f t="shared" si="120"/>
        <v>ConCode_transRouteProtectStruct</v>
      </c>
      <c r="B7725" s="409"/>
      <c r="C7725" s="416"/>
      <c r="D7725" s="198" t="s">
        <v>42453</v>
      </c>
      <c r="E7725" s="198">
        <v>41</v>
      </c>
      <c r="F7725" s="199" t="s">
        <v>5580</v>
      </c>
      <c r="G7725" s="1" t="s">
        <v>5581</v>
      </c>
      <c r="H7725" s="200"/>
      <c r="I7725" s="346"/>
      <c r="J7725" s="39">
        <v>117880</v>
      </c>
      <c r="K7725" s="36" t="str">
        <f>CONCATENATE(Cover!$D$6,"fdd/view?i=",J7725)</f>
        <v>https://www.dgiwg.org/FAD/fdd/view?i=117880</v>
      </c>
      <c r="L7725" s="36" t="s">
        <v>46299</v>
      </c>
      <c r="M7725" s="186"/>
      <c r="N7725" s="186"/>
      <c r="O7725" s="172"/>
    </row>
    <row r="7726" spans="1:15" ht="38.25" x14ac:dyDescent="0.2">
      <c r="A7726" s="197" t="str">
        <f t="shared" si="120"/>
        <v>ConCode_tunnel</v>
      </c>
      <c r="B7726" s="409"/>
      <c r="C7726" s="416"/>
      <c r="D7726" s="198" t="s">
        <v>24042</v>
      </c>
      <c r="E7726" s="198">
        <v>42</v>
      </c>
      <c r="F7726" s="199" t="s">
        <v>5614</v>
      </c>
      <c r="G7726" s="1" t="s">
        <v>5616</v>
      </c>
      <c r="H7726" s="1" t="s">
        <v>5617</v>
      </c>
      <c r="I7726" s="346"/>
      <c r="J7726" s="39">
        <v>117881</v>
      </c>
      <c r="K7726" s="36" t="str">
        <f>CONCATENATE(Cover!$D$6,"fdd/view?i=",J7726)</f>
        <v>https://www.dgiwg.org/FAD/fdd/view?i=117881</v>
      </c>
      <c r="L7726" s="36" t="s">
        <v>46300</v>
      </c>
      <c r="M7726" s="186"/>
      <c r="N7726" s="186"/>
      <c r="O7726" s="172"/>
    </row>
    <row r="7727" spans="1:15" ht="25.5" x14ac:dyDescent="0.2">
      <c r="A7727" s="197" t="str">
        <f t="shared" si="120"/>
        <v>ConCode_underpass</v>
      </c>
      <c r="B7727" s="409"/>
      <c r="C7727" s="416"/>
      <c r="D7727" s="198" t="s">
        <v>46301</v>
      </c>
      <c r="E7727" s="198">
        <v>4</v>
      </c>
      <c r="F7727" s="199" t="s">
        <v>46302</v>
      </c>
      <c r="G7727" s="1" t="s">
        <v>46303</v>
      </c>
      <c r="H7727" s="200"/>
      <c r="I7727" s="346"/>
      <c r="J7727" s="39">
        <v>103188</v>
      </c>
      <c r="K7727" s="36" t="str">
        <f>CONCATENATE(Cover!$D$6,"fdd/view?i=",J7727)</f>
        <v>https://www.dgiwg.org/FAD/fdd/view?i=103188</v>
      </c>
      <c r="L7727" s="36" t="s">
        <v>46304</v>
      </c>
      <c r="M7727" s="186"/>
      <c r="N7727" s="186"/>
      <c r="O7727" s="172"/>
    </row>
    <row r="7728" spans="1:15" ht="25.5" x14ac:dyDescent="0.2">
      <c r="A7728" s="203" t="str">
        <f t="shared" si="120"/>
        <v>ConCode_woodenCauseway</v>
      </c>
      <c r="B7728" s="410"/>
      <c r="C7728" s="417"/>
      <c r="D7728" s="204" t="s">
        <v>46305</v>
      </c>
      <c r="E7728" s="204">
        <v>43</v>
      </c>
      <c r="F7728" s="205" t="s">
        <v>5917</v>
      </c>
      <c r="G7728" s="206" t="s">
        <v>5918</v>
      </c>
      <c r="H7728" s="207"/>
      <c r="I7728" s="347"/>
      <c r="J7728" s="39">
        <v>117882</v>
      </c>
      <c r="K7728" s="36" t="str">
        <f>CONCATENATE(Cover!$D$6,"fdd/view?i=",J7728)</f>
        <v>https://www.dgiwg.org/FAD/fdd/view?i=117882</v>
      </c>
      <c r="L7728" s="36" t="s">
        <v>46306</v>
      </c>
      <c r="M7728" s="186"/>
      <c r="N7728" s="186"/>
      <c r="O7728" s="172"/>
    </row>
    <row r="7729" spans="1:15" ht="38.25" x14ac:dyDescent="0.2">
      <c r="A7729" s="190" t="str">
        <f t="shared" si="120"/>
        <v>RoiCode_international</v>
      </c>
      <c r="B7729" s="414" t="str">
        <f>HYPERLINK("[#]Datatypes!A1318:L1318","RoiCode")</f>
        <v>RoiCode</v>
      </c>
      <c r="C7729" s="415" t="s">
        <v>15937</v>
      </c>
      <c r="D7729" s="221" t="s">
        <v>16684</v>
      </c>
      <c r="E7729" s="221">
        <v>1</v>
      </c>
      <c r="F7729" s="222" t="s">
        <v>16685</v>
      </c>
      <c r="G7729" s="223" t="s">
        <v>46307</v>
      </c>
      <c r="H7729" s="223" t="s">
        <v>46308</v>
      </c>
      <c r="I7729" s="345"/>
      <c r="J7729" s="39">
        <v>119380</v>
      </c>
      <c r="K7729" s="36" t="str">
        <f>CONCATENATE(Cover!$D$6,"fdd/view?i=",J7729)</f>
        <v>https://www.dgiwg.org/FAD/fdd/view?i=119380</v>
      </c>
      <c r="L7729" s="36" t="s">
        <v>46309</v>
      </c>
      <c r="M7729" s="186"/>
      <c r="N7729" s="186"/>
      <c r="O7729" s="172"/>
    </row>
    <row r="7730" spans="1:15" ht="38.25" x14ac:dyDescent="0.2">
      <c r="A7730" s="197" t="str">
        <f t="shared" si="120"/>
        <v>RoiCode_local</v>
      </c>
      <c r="B7730" s="409"/>
      <c r="C7730" s="416"/>
      <c r="D7730" s="198" t="s">
        <v>16688</v>
      </c>
      <c r="E7730" s="198">
        <v>5</v>
      </c>
      <c r="F7730" s="199" t="s">
        <v>16689</v>
      </c>
      <c r="G7730" s="1" t="s">
        <v>46310</v>
      </c>
      <c r="H7730" s="1" t="s">
        <v>46311</v>
      </c>
      <c r="I7730" s="346"/>
      <c r="J7730" s="39">
        <v>119384</v>
      </c>
      <c r="K7730" s="36" t="str">
        <f>CONCATENATE(Cover!$D$6,"fdd/view?i=",J7730)</f>
        <v>https://www.dgiwg.org/FAD/fdd/view?i=119384</v>
      </c>
      <c r="L7730" s="36" t="s">
        <v>46312</v>
      </c>
      <c r="M7730" s="186"/>
      <c r="N7730" s="186"/>
      <c r="O7730" s="172"/>
    </row>
    <row r="7731" spans="1:15" ht="51" x14ac:dyDescent="0.2">
      <c r="A7731" s="197" t="str">
        <f t="shared" si="120"/>
        <v>RoiCode_national</v>
      </c>
      <c r="B7731" s="409"/>
      <c r="C7731" s="416"/>
      <c r="D7731" s="198" t="s">
        <v>16698</v>
      </c>
      <c r="E7731" s="198">
        <v>3</v>
      </c>
      <c r="F7731" s="199" t="s">
        <v>16699</v>
      </c>
      <c r="G7731" s="1" t="s">
        <v>46313</v>
      </c>
      <c r="H7731" s="1" t="s">
        <v>46314</v>
      </c>
      <c r="I7731" s="346"/>
      <c r="J7731" s="39">
        <v>119382</v>
      </c>
      <c r="K7731" s="36" t="str">
        <f>CONCATENATE(Cover!$D$6,"fdd/view?i=",J7731)</f>
        <v>https://www.dgiwg.org/FAD/fdd/view?i=119382</v>
      </c>
      <c r="L7731" s="36" t="s">
        <v>46315</v>
      </c>
      <c r="M7731" s="186"/>
      <c r="N7731" s="186"/>
      <c r="O7731" s="172"/>
    </row>
    <row r="7732" spans="1:15" ht="76.5" x14ac:dyDescent="0.2">
      <c r="A7732" s="197" t="str">
        <f t="shared" si="120"/>
        <v>RoiCode_nationalMotorway</v>
      </c>
      <c r="B7732" s="409"/>
      <c r="C7732" s="416"/>
      <c r="D7732" s="198" t="s">
        <v>46316</v>
      </c>
      <c r="E7732" s="198">
        <v>2</v>
      </c>
      <c r="F7732" s="199" t="s">
        <v>46317</v>
      </c>
      <c r="G7732" s="1" t="s">
        <v>46318</v>
      </c>
      <c r="H7732" s="1" t="s">
        <v>46319</v>
      </c>
      <c r="I7732" s="346"/>
      <c r="J7732" s="39">
        <v>119381</v>
      </c>
      <c r="K7732" s="36" t="str">
        <f>CONCATENATE(Cover!$D$6,"fdd/view?i=",J7732)</f>
        <v>https://www.dgiwg.org/FAD/fdd/view?i=119381</v>
      </c>
      <c r="L7732" s="36" t="s">
        <v>46320</v>
      </c>
      <c r="M7732" s="186"/>
      <c r="N7732" s="186"/>
      <c r="O7732" s="172"/>
    </row>
    <row r="7733" spans="1:15" ht="38.25" x14ac:dyDescent="0.2">
      <c r="A7733" s="203" t="str">
        <f t="shared" si="120"/>
        <v>RoiCode_secondary</v>
      </c>
      <c r="B7733" s="410"/>
      <c r="C7733" s="417"/>
      <c r="D7733" s="204" t="s">
        <v>19287</v>
      </c>
      <c r="E7733" s="204">
        <v>4</v>
      </c>
      <c r="F7733" s="205" t="s">
        <v>19288</v>
      </c>
      <c r="G7733" s="206" t="s">
        <v>46321</v>
      </c>
      <c r="H7733" s="206" t="s">
        <v>46322</v>
      </c>
      <c r="I7733" s="347"/>
      <c r="J7733" s="39">
        <v>119383</v>
      </c>
      <c r="K7733" s="36" t="str">
        <f>CONCATENATE(Cover!$D$6,"fdd/view?i=",J7733)</f>
        <v>https://www.dgiwg.org/FAD/fdd/view?i=119383</v>
      </c>
      <c r="L7733" s="36" t="s">
        <v>46323</v>
      </c>
      <c r="M7733" s="186"/>
      <c r="N7733" s="186"/>
      <c r="O7733" s="172"/>
    </row>
    <row r="7734" spans="1:15" ht="25.5" x14ac:dyDescent="0.2">
      <c r="A7734" s="190" t="str">
        <f t="shared" si="120"/>
        <v>ExpCode_increasedTrackLaneCount</v>
      </c>
      <c r="B7734" s="414" t="str">
        <f>HYPERLINK("[#]Datatypes!A1320:L1320","ExpCode")</f>
        <v>ExpCode</v>
      </c>
      <c r="C7734" s="415" t="s">
        <v>15939</v>
      </c>
      <c r="D7734" s="221" t="s">
        <v>46324</v>
      </c>
      <c r="E7734" s="221">
        <v>2</v>
      </c>
      <c r="F7734" s="222" t="s">
        <v>46325</v>
      </c>
      <c r="G7734" s="223" t="s">
        <v>46326</v>
      </c>
      <c r="H7734" s="224"/>
      <c r="I7734" s="345"/>
      <c r="J7734" s="39">
        <v>117894</v>
      </c>
      <c r="K7734" s="36" t="str">
        <f>CONCATENATE(Cover!$D$6,"fdd/view?i=",J7734)</f>
        <v>https://www.dgiwg.org/FAD/fdd/view?i=117894</v>
      </c>
      <c r="L7734" s="36" t="s">
        <v>46327</v>
      </c>
      <c r="M7734" s="186"/>
      <c r="N7734" s="186"/>
      <c r="O7734" s="172"/>
    </row>
    <row r="7735" spans="1:15" ht="25.5" x14ac:dyDescent="0.2">
      <c r="A7735" s="197" t="str">
        <f t="shared" si="120"/>
        <v>ExpCode_railwaySidetrack</v>
      </c>
      <c r="B7735" s="409"/>
      <c r="C7735" s="416"/>
      <c r="D7735" s="198" t="s">
        <v>46328</v>
      </c>
      <c r="E7735" s="198">
        <v>3</v>
      </c>
      <c r="F7735" s="199" t="s">
        <v>4628</v>
      </c>
      <c r="G7735" s="1" t="s">
        <v>4629</v>
      </c>
      <c r="H7735" s="1" t="s">
        <v>46329</v>
      </c>
      <c r="I7735" s="346"/>
      <c r="J7735" s="39">
        <v>117895</v>
      </c>
      <c r="K7735" s="36" t="str">
        <f>CONCATENATE(Cover!$D$6,"fdd/view?i=",J7735)</f>
        <v>https://www.dgiwg.org/FAD/fdd/view?i=117895</v>
      </c>
      <c r="L7735" s="36" t="s">
        <v>46330</v>
      </c>
      <c r="M7735" s="186"/>
      <c r="N7735" s="186"/>
      <c r="O7735" s="172"/>
    </row>
    <row r="7736" spans="1:15" ht="25.5" x14ac:dyDescent="0.2">
      <c r="A7736" s="197" t="str">
        <f t="shared" si="120"/>
        <v>ExpCode_roadsideRestArea</v>
      </c>
      <c r="B7736" s="409"/>
      <c r="C7736" s="416"/>
      <c r="D7736" s="198" t="s">
        <v>46331</v>
      </c>
      <c r="E7736" s="198">
        <v>4</v>
      </c>
      <c r="F7736" s="199" t="s">
        <v>4770</v>
      </c>
      <c r="G7736" s="1" t="s">
        <v>4771</v>
      </c>
      <c r="H7736" s="200"/>
      <c r="I7736" s="346"/>
      <c r="J7736" s="39">
        <v>117896</v>
      </c>
      <c r="K7736" s="36" t="str">
        <f>CONCATENATE(Cover!$D$6,"fdd/view?i=",J7736)</f>
        <v>https://www.dgiwg.org/FAD/fdd/view?i=117896</v>
      </c>
      <c r="L7736" s="36" t="s">
        <v>46332</v>
      </c>
      <c r="M7736" s="186"/>
      <c r="N7736" s="186"/>
      <c r="O7736" s="172"/>
    </row>
    <row r="7737" spans="1:15" ht="38.25" x14ac:dyDescent="0.2">
      <c r="A7737" s="197" t="str">
        <f t="shared" si="120"/>
        <v>ExpCode_shoulder</v>
      </c>
      <c r="B7737" s="409"/>
      <c r="C7737" s="416"/>
      <c r="D7737" s="198" t="s">
        <v>46333</v>
      </c>
      <c r="E7737" s="198">
        <v>5</v>
      </c>
      <c r="F7737" s="199" t="s">
        <v>46334</v>
      </c>
      <c r="G7737" s="1" t="s">
        <v>4236</v>
      </c>
      <c r="H7737" s="1" t="s">
        <v>46335</v>
      </c>
      <c r="I7737" s="346"/>
      <c r="J7737" s="39">
        <v>117897</v>
      </c>
      <c r="K7737" s="36" t="str">
        <f>CONCATENATE(Cover!$D$6,"fdd/view?i=",J7737)</f>
        <v>https://www.dgiwg.org/FAD/fdd/view?i=117897</v>
      </c>
      <c r="L7737" s="36" t="s">
        <v>46336</v>
      </c>
      <c r="M7737" s="186"/>
      <c r="N7737" s="186"/>
      <c r="O7737" s="172"/>
    </row>
    <row r="7738" spans="1:15" ht="25.5" x14ac:dyDescent="0.2">
      <c r="A7738" s="203" t="str">
        <f t="shared" si="120"/>
        <v>ExpCode_siding</v>
      </c>
      <c r="B7738" s="410"/>
      <c r="C7738" s="417"/>
      <c r="D7738" s="204" t="s">
        <v>24439</v>
      </c>
      <c r="E7738" s="204">
        <v>1</v>
      </c>
      <c r="F7738" s="205" t="s">
        <v>24440</v>
      </c>
      <c r="G7738" s="206" t="s">
        <v>46337</v>
      </c>
      <c r="H7738" s="206" t="s">
        <v>46338</v>
      </c>
      <c r="I7738" s="347"/>
      <c r="J7738" s="39">
        <v>103480</v>
      </c>
      <c r="K7738" s="36" t="str">
        <f>CONCATENATE(Cover!$D$6,"fdd/view?i=",J7738)</f>
        <v>https://www.dgiwg.org/FAD/fdd/view?i=103480</v>
      </c>
      <c r="L7738" s="36" t="s">
        <v>46339</v>
      </c>
      <c r="M7738" s="186"/>
      <c r="N7738" s="186"/>
      <c r="O7738" s="172"/>
    </row>
    <row r="7739" spans="1:15" ht="76.5" x14ac:dyDescent="0.2">
      <c r="A7739" s="190" t="str">
        <f t="shared" si="120"/>
        <v>RttCode_deepWaterRoute</v>
      </c>
      <c r="B7739" s="414" t="str">
        <f>HYPERLINK("[#]Datatypes!A1322:L1322","RttCode")</f>
        <v>RttCode</v>
      </c>
      <c r="C7739" s="415" t="s">
        <v>15941</v>
      </c>
      <c r="D7739" s="221" t="s">
        <v>46340</v>
      </c>
      <c r="E7739" s="221">
        <v>4</v>
      </c>
      <c r="F7739" s="222" t="s">
        <v>46341</v>
      </c>
      <c r="G7739" s="223" t="s">
        <v>46342</v>
      </c>
      <c r="H7739" s="223" t="s">
        <v>46343</v>
      </c>
      <c r="I7739" s="345"/>
      <c r="J7739" s="39">
        <v>107364</v>
      </c>
      <c r="K7739" s="36" t="str">
        <f>CONCATENATE(Cover!$D$6,"fdd/view?i=",J7739)</f>
        <v>https://www.dgiwg.org/FAD/fdd/view?i=107364</v>
      </c>
      <c r="L7739" s="36" t="s">
        <v>46344</v>
      </c>
      <c r="M7739" s="186"/>
      <c r="N7739" s="186"/>
      <c r="O7739" s="172"/>
    </row>
    <row r="7740" spans="1:15" ht="25.5" x14ac:dyDescent="0.2">
      <c r="A7740" s="197" t="str">
        <f t="shared" si="120"/>
        <v>RttCode_deepWaterRouteCenterline</v>
      </c>
      <c r="B7740" s="409"/>
      <c r="C7740" s="416"/>
      <c r="D7740" s="198" t="s">
        <v>46348</v>
      </c>
      <c r="E7740" s="198">
        <v>98</v>
      </c>
      <c r="F7740" s="199" t="s">
        <v>46349</v>
      </c>
      <c r="G7740" s="1" t="s">
        <v>46350</v>
      </c>
      <c r="H7740" s="200"/>
      <c r="I7740" s="346"/>
      <c r="J7740" s="39">
        <v>107381</v>
      </c>
      <c r="K7740" s="36" t="str">
        <f>CONCATENATE(Cover!$D$6,"fdd/view?i=",J7740)</f>
        <v>https://www.dgiwg.org/FAD/fdd/view?i=107381</v>
      </c>
      <c r="L7740" s="36" t="s">
        <v>46351</v>
      </c>
      <c r="M7740" s="186"/>
      <c r="N7740" s="186"/>
      <c r="O7740" s="172"/>
    </row>
    <row r="7741" spans="1:15" ht="25.5" x14ac:dyDescent="0.2">
      <c r="A7741" s="197" t="str">
        <f t="shared" si="120"/>
        <v>RttCode_deepWaterRoutePart</v>
      </c>
      <c r="B7741" s="409"/>
      <c r="C7741" s="416"/>
      <c r="D7741" s="198" t="s">
        <v>46345</v>
      </c>
      <c r="E7741" s="198">
        <v>99</v>
      </c>
      <c r="F7741" s="199" t="s">
        <v>46346</v>
      </c>
      <c r="G7741" s="200"/>
      <c r="H7741" s="200"/>
      <c r="I7741" s="346"/>
      <c r="J7741" s="39">
        <v>107382</v>
      </c>
      <c r="K7741" s="36" t="str">
        <f>CONCATENATE(Cover!$D$6,"fdd/view?i=",J7741)</f>
        <v>https://www.dgiwg.org/FAD/fdd/view?i=107382</v>
      </c>
      <c r="L7741" s="36" t="s">
        <v>46347</v>
      </c>
      <c r="M7741" s="186"/>
      <c r="N7741" s="186"/>
      <c r="O7741" s="172"/>
    </row>
    <row r="7742" spans="1:15" ht="25.5" x14ac:dyDescent="0.2">
      <c r="A7742" s="197" t="str">
        <f t="shared" si="120"/>
        <v>RttCode_measuredDistanceLine</v>
      </c>
      <c r="B7742" s="409"/>
      <c r="C7742" s="416"/>
      <c r="D7742" s="198" t="s">
        <v>46352</v>
      </c>
      <c r="E7742" s="198">
        <v>7</v>
      </c>
      <c r="F7742" s="199" t="s">
        <v>4088</v>
      </c>
      <c r="G7742" s="200"/>
      <c r="H7742" s="200"/>
      <c r="I7742" s="346"/>
      <c r="J7742" s="39">
        <v>107367</v>
      </c>
      <c r="K7742" s="36" t="str">
        <f>CONCATENATE(Cover!$D$6,"fdd/view?i=",J7742)</f>
        <v>https://www.dgiwg.org/FAD/fdd/view?i=107367</v>
      </c>
      <c r="L7742" s="36" t="s">
        <v>46353</v>
      </c>
      <c r="M7742" s="186"/>
      <c r="N7742" s="186"/>
      <c r="O7742" s="172"/>
    </row>
    <row r="7743" spans="1:15" ht="51" x14ac:dyDescent="0.2">
      <c r="A7743" s="197" t="str">
        <f t="shared" si="120"/>
        <v>RttCode_qRoute</v>
      </c>
      <c r="B7743" s="409"/>
      <c r="C7743" s="416"/>
      <c r="D7743" s="198" t="s">
        <v>46354</v>
      </c>
      <c r="E7743" s="198">
        <v>17</v>
      </c>
      <c r="F7743" s="199" t="s">
        <v>46355</v>
      </c>
      <c r="G7743" s="1" t="s">
        <v>46356</v>
      </c>
      <c r="H7743" s="200"/>
      <c r="I7743" s="346"/>
      <c r="J7743" s="39">
        <v>107377</v>
      </c>
      <c r="K7743" s="36" t="str">
        <f>CONCATENATE(Cover!$D$6,"fdd/view?i=",J7743)</f>
        <v>https://www.dgiwg.org/FAD/fdd/view?i=107377</v>
      </c>
      <c r="L7743" s="36" t="s">
        <v>46357</v>
      </c>
      <c r="M7743" s="186"/>
      <c r="N7743" s="186"/>
      <c r="O7743" s="172"/>
    </row>
    <row r="7744" spans="1:15" ht="25.5" x14ac:dyDescent="0.2">
      <c r="A7744" s="197" t="str">
        <f t="shared" si="120"/>
        <v>RttCode_radarGuidedTrack</v>
      </c>
      <c r="B7744" s="409"/>
      <c r="C7744" s="416"/>
      <c r="D7744" s="198" t="s">
        <v>46358</v>
      </c>
      <c r="E7744" s="198">
        <v>6</v>
      </c>
      <c r="F7744" s="199" t="s">
        <v>4051</v>
      </c>
      <c r="G7744" s="200"/>
      <c r="H7744" s="200"/>
      <c r="I7744" s="346"/>
      <c r="J7744" s="39">
        <v>107366</v>
      </c>
      <c r="K7744" s="36" t="str">
        <f>CONCATENATE(Cover!$D$6,"fdd/view?i=",J7744)</f>
        <v>https://www.dgiwg.org/FAD/fdd/view?i=107366</v>
      </c>
      <c r="L7744" s="36" t="s">
        <v>46359</v>
      </c>
      <c r="M7744" s="186"/>
      <c r="N7744" s="186"/>
      <c r="O7744" s="172"/>
    </row>
    <row r="7745" spans="1:15" ht="38.25" x14ac:dyDescent="0.2">
      <c r="A7745" s="197" t="str">
        <f t="shared" si="120"/>
        <v>RttCode_recommendChannel</v>
      </c>
      <c r="B7745" s="409"/>
      <c r="C7745" s="416"/>
      <c r="D7745" s="198" t="s">
        <v>46360</v>
      </c>
      <c r="E7745" s="198">
        <v>19</v>
      </c>
      <c r="F7745" s="199" t="s">
        <v>12030</v>
      </c>
      <c r="G7745" s="1" t="s">
        <v>46361</v>
      </c>
      <c r="H7745" s="200"/>
      <c r="I7745" s="346"/>
      <c r="J7745" s="39">
        <v>109829</v>
      </c>
      <c r="K7745" s="36" t="str">
        <f>CONCATENATE(Cover!$D$6,"fdd/view?i=",J7745)</f>
        <v>https://www.dgiwg.org/FAD/fdd/view?i=109829</v>
      </c>
      <c r="L7745" s="36" t="s">
        <v>46362</v>
      </c>
      <c r="M7745" s="186"/>
      <c r="N7745" s="186"/>
      <c r="O7745" s="172"/>
    </row>
    <row r="7746" spans="1:15" ht="63.75" x14ac:dyDescent="0.2">
      <c r="A7746" s="197" t="str">
        <f t="shared" ref="A7746:A7809" si="121">HYPERLINK(K7746,L7746)</f>
        <v>RttCode_recommendDirectionTraffic</v>
      </c>
      <c r="B7746" s="409"/>
      <c r="C7746" s="416"/>
      <c r="D7746" s="198" t="s">
        <v>46363</v>
      </c>
      <c r="E7746" s="198">
        <v>13</v>
      </c>
      <c r="F7746" s="199" t="s">
        <v>46364</v>
      </c>
      <c r="G7746" s="1" t="s">
        <v>46365</v>
      </c>
      <c r="H7746" s="200"/>
      <c r="I7746" s="346"/>
      <c r="J7746" s="39">
        <v>107373</v>
      </c>
      <c r="K7746" s="36" t="str">
        <f>CONCATENATE(Cover!$D$6,"fdd/view?i=",J7746)</f>
        <v>https://www.dgiwg.org/FAD/fdd/view?i=107373</v>
      </c>
      <c r="L7746" s="36" t="s">
        <v>46366</v>
      </c>
      <c r="M7746" s="186"/>
      <c r="N7746" s="186"/>
      <c r="O7746" s="172"/>
    </row>
    <row r="7747" spans="1:15" ht="25.5" x14ac:dyDescent="0.2">
      <c r="A7747" s="197" t="str">
        <f t="shared" si="121"/>
        <v>RttCode_recommendRoute</v>
      </c>
      <c r="B7747" s="409"/>
      <c r="C7747" s="416"/>
      <c r="D7747" s="198" t="s">
        <v>46367</v>
      </c>
      <c r="E7747" s="198">
        <v>18</v>
      </c>
      <c r="F7747" s="199" t="s">
        <v>46368</v>
      </c>
      <c r="G7747" s="1" t="s">
        <v>46369</v>
      </c>
      <c r="H7747" s="200"/>
      <c r="I7747" s="346"/>
      <c r="J7747" s="39">
        <v>107378</v>
      </c>
      <c r="K7747" s="36" t="str">
        <f>CONCATENATE(Cover!$D$6,"fdd/view?i=",J7747)</f>
        <v>https://www.dgiwg.org/FAD/fdd/view?i=107378</v>
      </c>
      <c r="L7747" s="36" t="s">
        <v>46370</v>
      </c>
      <c r="M7747" s="186"/>
      <c r="N7747" s="186"/>
      <c r="O7747" s="172"/>
    </row>
    <row r="7748" spans="1:15" ht="25.5" x14ac:dyDescent="0.2">
      <c r="A7748" s="197" t="str">
        <f t="shared" si="121"/>
        <v>RttCode_recommendRouteCenterline</v>
      </c>
      <c r="B7748" s="409"/>
      <c r="C7748" s="416"/>
      <c r="D7748" s="198" t="s">
        <v>46371</v>
      </c>
      <c r="E7748" s="198">
        <v>97</v>
      </c>
      <c r="F7748" s="199" t="s">
        <v>46372</v>
      </c>
      <c r="G7748" s="1" t="s">
        <v>46373</v>
      </c>
      <c r="H7748" s="200"/>
      <c r="I7748" s="346"/>
      <c r="J7748" s="39">
        <v>107380</v>
      </c>
      <c r="K7748" s="36" t="str">
        <f>CONCATENATE(Cover!$D$6,"fdd/view?i=",J7748)</f>
        <v>https://www.dgiwg.org/FAD/fdd/view?i=107380</v>
      </c>
      <c r="L7748" s="36" t="s">
        <v>46374</v>
      </c>
      <c r="M7748" s="186"/>
      <c r="N7748" s="186"/>
      <c r="O7748" s="172"/>
    </row>
    <row r="7749" spans="1:15" ht="51" x14ac:dyDescent="0.2">
      <c r="A7749" s="197" t="str">
        <f t="shared" si="121"/>
        <v>RttCode_recommendTrack</v>
      </c>
      <c r="B7749" s="409"/>
      <c r="C7749" s="416"/>
      <c r="D7749" s="198" t="s">
        <v>46375</v>
      </c>
      <c r="E7749" s="198">
        <v>1</v>
      </c>
      <c r="F7749" s="199" t="s">
        <v>46376</v>
      </c>
      <c r="G7749" s="1" t="s">
        <v>46377</v>
      </c>
      <c r="H7749" s="1" t="s">
        <v>46378</v>
      </c>
      <c r="I7749" s="346"/>
      <c r="J7749" s="39">
        <v>107361</v>
      </c>
      <c r="K7749" s="36" t="str">
        <f>CONCATENATE(Cover!$D$6,"fdd/view?i=",J7749)</f>
        <v>https://www.dgiwg.org/FAD/fdd/view?i=107361</v>
      </c>
      <c r="L7749" s="36" t="s">
        <v>46379</v>
      </c>
      <c r="M7749" s="186"/>
      <c r="N7749" s="186"/>
      <c r="O7749" s="172"/>
    </row>
    <row r="7750" spans="1:15" ht="38.25" x14ac:dyDescent="0.2">
      <c r="A7750" s="197" t="str">
        <f t="shared" si="121"/>
        <v>RttCode_recommendTrackDeepDraft</v>
      </c>
      <c r="B7750" s="409"/>
      <c r="C7750" s="416"/>
      <c r="D7750" s="198" t="s">
        <v>46380</v>
      </c>
      <c r="E7750" s="198">
        <v>3</v>
      </c>
      <c r="F7750" s="199" t="s">
        <v>46381</v>
      </c>
      <c r="G7750" s="1" t="s">
        <v>46382</v>
      </c>
      <c r="H7750" s="200"/>
      <c r="I7750" s="346"/>
      <c r="J7750" s="39">
        <v>107363</v>
      </c>
      <c r="K7750" s="36" t="str">
        <f>CONCATENATE(Cover!$D$6,"fdd/view?i=",J7750)</f>
        <v>https://www.dgiwg.org/FAD/fdd/view?i=107363</v>
      </c>
      <c r="L7750" s="36" t="s">
        <v>46383</v>
      </c>
      <c r="M7750" s="186"/>
      <c r="N7750" s="186"/>
      <c r="O7750" s="172"/>
    </row>
    <row r="7751" spans="1:15" ht="38.25" x14ac:dyDescent="0.2">
      <c r="A7751" s="197" t="str">
        <f t="shared" si="121"/>
        <v>RttCode_recommendTrackOtherDraft</v>
      </c>
      <c r="B7751" s="409"/>
      <c r="C7751" s="416"/>
      <c r="D7751" s="198" t="s">
        <v>46384</v>
      </c>
      <c r="E7751" s="198">
        <v>2</v>
      </c>
      <c r="F7751" s="199" t="s">
        <v>46385</v>
      </c>
      <c r="G7751" s="1" t="s">
        <v>46386</v>
      </c>
      <c r="H7751" s="200"/>
      <c r="I7751" s="346"/>
      <c r="J7751" s="39">
        <v>107362</v>
      </c>
      <c r="K7751" s="36" t="str">
        <f>CONCATENATE(Cover!$D$6,"fdd/view?i=",J7751)</f>
        <v>https://www.dgiwg.org/FAD/fdd/view?i=107362</v>
      </c>
      <c r="L7751" s="36" t="s">
        <v>46387</v>
      </c>
      <c r="M7751" s="186"/>
      <c r="N7751" s="186"/>
      <c r="O7751" s="172"/>
    </row>
    <row r="7752" spans="1:15" ht="25.5" x14ac:dyDescent="0.2">
      <c r="A7752" s="197" t="str">
        <f t="shared" si="121"/>
        <v>RttCode_safetyFairwayChannel</v>
      </c>
      <c r="B7752" s="409"/>
      <c r="C7752" s="416"/>
      <c r="D7752" s="198" t="s">
        <v>46388</v>
      </c>
      <c r="E7752" s="198">
        <v>8</v>
      </c>
      <c r="F7752" s="199" t="s">
        <v>46389</v>
      </c>
      <c r="G7752" s="200"/>
      <c r="H7752" s="200"/>
      <c r="I7752" s="346"/>
      <c r="J7752" s="39">
        <v>107368</v>
      </c>
      <c r="K7752" s="36" t="str">
        <f>CONCATENATE(Cover!$D$6,"fdd/view?i=",J7752)</f>
        <v>https://www.dgiwg.org/FAD/fdd/view?i=107368</v>
      </c>
      <c r="L7752" s="36" t="s">
        <v>46390</v>
      </c>
      <c r="M7752" s="186"/>
      <c r="N7752" s="186"/>
      <c r="O7752" s="172"/>
    </row>
    <row r="7753" spans="1:15" ht="25.5" x14ac:dyDescent="0.2">
      <c r="A7753" s="197" t="str">
        <f t="shared" si="121"/>
        <v>RttCode_transitRoute</v>
      </c>
      <c r="B7753" s="409"/>
      <c r="C7753" s="416"/>
      <c r="D7753" s="198" t="s">
        <v>46391</v>
      </c>
      <c r="E7753" s="198">
        <v>5</v>
      </c>
      <c r="F7753" s="199" t="s">
        <v>46392</v>
      </c>
      <c r="G7753" s="1" t="s">
        <v>46393</v>
      </c>
      <c r="H7753" s="200"/>
      <c r="I7753" s="346"/>
      <c r="J7753" s="39">
        <v>107365</v>
      </c>
      <c r="K7753" s="36" t="str">
        <f>CONCATENATE(Cover!$D$6,"fdd/view?i=",J7753)</f>
        <v>https://www.dgiwg.org/FAD/fdd/view?i=107365</v>
      </c>
      <c r="L7753" s="36" t="s">
        <v>46394</v>
      </c>
      <c r="M7753" s="186"/>
      <c r="N7753" s="186"/>
      <c r="O7753" s="172"/>
    </row>
    <row r="7754" spans="1:15" ht="63.75" x14ac:dyDescent="0.2">
      <c r="A7754" s="203" t="str">
        <f t="shared" si="121"/>
        <v>RttCode_twoWayRoute</v>
      </c>
      <c r="B7754" s="410"/>
      <c r="C7754" s="417"/>
      <c r="D7754" s="204" t="s">
        <v>46395</v>
      </c>
      <c r="E7754" s="204">
        <v>11</v>
      </c>
      <c r="F7754" s="205" t="s">
        <v>46396</v>
      </c>
      <c r="G7754" s="206" t="s">
        <v>46397</v>
      </c>
      <c r="H7754" s="206" t="s">
        <v>46398</v>
      </c>
      <c r="I7754" s="347"/>
      <c r="J7754" s="39">
        <v>107371</v>
      </c>
      <c r="K7754" s="36" t="str">
        <f>CONCATENATE(Cover!$D$6,"fdd/view?i=",J7754)</f>
        <v>https://www.dgiwg.org/FAD/fdd/view?i=107371</v>
      </c>
      <c r="L7754" s="36" t="s">
        <v>46399</v>
      </c>
      <c r="M7754" s="186"/>
      <c r="N7754" s="186"/>
      <c r="O7754" s="172"/>
    </row>
    <row r="7755" spans="1:15" ht="38.25" x14ac:dyDescent="0.2">
      <c r="A7755" s="190" t="str">
        <f t="shared" si="121"/>
        <v>JcrCode_full</v>
      </c>
      <c r="B7755" s="414" t="str">
        <f>HYPERLINK("[#]Datatypes!A1324:L1324","JcrCode")</f>
        <v>JcrCode</v>
      </c>
      <c r="C7755" s="415" t="s">
        <v>15943</v>
      </c>
      <c r="D7755" s="221" t="s">
        <v>46400</v>
      </c>
      <c r="E7755" s="221">
        <v>1</v>
      </c>
      <c r="F7755" s="222" t="s">
        <v>46401</v>
      </c>
      <c r="G7755" s="223" t="s">
        <v>46402</v>
      </c>
      <c r="H7755" s="223" t="s">
        <v>46403</v>
      </c>
      <c r="I7755" s="345"/>
      <c r="J7755" s="39">
        <v>104763</v>
      </c>
      <c r="K7755" s="36" t="str">
        <f>CONCATENATE(Cover!$D$6,"fdd/view?i=",J7755)</f>
        <v>https://www.dgiwg.org/FAD/fdd/view?i=104763</v>
      </c>
      <c r="L7755" s="36" t="s">
        <v>46404</v>
      </c>
      <c r="M7755" s="186"/>
      <c r="N7755" s="186"/>
      <c r="O7755" s="172"/>
    </row>
    <row r="7756" spans="1:15" ht="38.25" x14ac:dyDescent="0.2">
      <c r="A7756" s="203" t="str">
        <f t="shared" si="121"/>
        <v>JcrCode_limited</v>
      </c>
      <c r="B7756" s="410"/>
      <c r="C7756" s="417"/>
      <c r="D7756" s="204" t="s">
        <v>16515</v>
      </c>
      <c r="E7756" s="204">
        <v>2</v>
      </c>
      <c r="F7756" s="205" t="s">
        <v>16516</v>
      </c>
      <c r="G7756" s="206" t="s">
        <v>46405</v>
      </c>
      <c r="H7756" s="206" t="s">
        <v>46406</v>
      </c>
      <c r="I7756" s="347"/>
      <c r="J7756" s="39">
        <v>104764</v>
      </c>
      <c r="K7756" s="36" t="str">
        <f>CONCATENATE(Cover!$D$6,"fdd/view?i=",J7756)</f>
        <v>https://www.dgiwg.org/FAD/fdd/view?i=104764</v>
      </c>
      <c r="L7756" s="36" t="s">
        <v>46407</v>
      </c>
      <c r="M7756" s="186"/>
      <c r="N7756" s="186"/>
      <c r="O7756" s="172"/>
    </row>
    <row r="7757" spans="1:15" x14ac:dyDescent="0.2">
      <c r="A7757" s="190" t="str">
        <f t="shared" si="121"/>
        <v>CrcCode_intersection</v>
      </c>
      <c r="B7757" s="414" t="str">
        <f>HYPERLINK("[#]Datatypes!A1326:L1326","CrcCode")</f>
        <v>CrcCode</v>
      </c>
      <c r="C7757" s="415" t="s">
        <v>15945</v>
      </c>
      <c r="D7757" s="221" t="s">
        <v>46408</v>
      </c>
      <c r="E7757" s="221">
        <v>2</v>
      </c>
      <c r="F7757" s="222" t="s">
        <v>46409</v>
      </c>
      <c r="G7757" s="223" t="s">
        <v>46410</v>
      </c>
      <c r="H7757" s="224"/>
      <c r="I7757" s="345"/>
      <c r="J7757" s="39">
        <v>103251</v>
      </c>
      <c r="K7757" s="36" t="str">
        <f>CONCATENATE(Cover!$D$6,"fdd/view?i=",J7757)</f>
        <v>https://www.dgiwg.org/FAD/fdd/view?i=103251</v>
      </c>
      <c r="L7757" s="36" t="s">
        <v>46411</v>
      </c>
      <c r="M7757" s="186"/>
      <c r="N7757" s="186"/>
      <c r="O7757" s="172"/>
    </row>
    <row r="7758" spans="1:15" x14ac:dyDescent="0.2">
      <c r="A7758" s="197" t="str">
        <f t="shared" si="121"/>
        <v>CrcCode_junction</v>
      </c>
      <c r="B7758" s="409"/>
      <c r="C7758" s="416"/>
      <c r="D7758" s="198" t="s">
        <v>24955</v>
      </c>
      <c r="E7758" s="198">
        <v>1</v>
      </c>
      <c r="F7758" s="199" t="s">
        <v>24956</v>
      </c>
      <c r="G7758" s="1" t="s">
        <v>46412</v>
      </c>
      <c r="H7758" s="200"/>
      <c r="I7758" s="346"/>
      <c r="J7758" s="39">
        <v>103250</v>
      </c>
      <c r="K7758" s="36" t="str">
        <f>CONCATENATE(Cover!$D$6,"fdd/view?i=",J7758)</f>
        <v>https://www.dgiwg.org/FAD/fdd/view?i=103250</v>
      </c>
      <c r="L7758" s="36" t="s">
        <v>46413</v>
      </c>
      <c r="M7758" s="186"/>
      <c r="N7758" s="186"/>
      <c r="O7758" s="172"/>
    </row>
    <row r="7759" spans="1:15" ht="25.5" x14ac:dyDescent="0.2">
      <c r="A7759" s="203" t="str">
        <f t="shared" si="121"/>
        <v>CrcCode_star</v>
      </c>
      <c r="B7759" s="410"/>
      <c r="C7759" s="417"/>
      <c r="D7759" s="204" t="s">
        <v>46414</v>
      </c>
      <c r="E7759" s="204">
        <v>3</v>
      </c>
      <c r="F7759" s="205" t="s">
        <v>46415</v>
      </c>
      <c r="G7759" s="206" t="s">
        <v>46416</v>
      </c>
      <c r="H7759" s="207"/>
      <c r="I7759" s="347"/>
      <c r="J7759" s="39">
        <v>103252</v>
      </c>
      <c r="K7759" s="36" t="str">
        <f>CONCATENATE(Cover!$D$6,"fdd/view?i=",J7759)</f>
        <v>https://www.dgiwg.org/FAD/fdd/view?i=103252</v>
      </c>
      <c r="L7759" s="36" t="s">
        <v>46417</v>
      </c>
      <c r="M7759" s="186"/>
      <c r="N7759" s="186"/>
      <c r="O7759" s="172"/>
    </row>
    <row r="7760" spans="1:15" ht="25.5" x14ac:dyDescent="0.2">
      <c r="A7760" s="190" t="str">
        <f t="shared" si="121"/>
        <v>RsfCode_localRoute</v>
      </c>
      <c r="B7760" s="414" t="str">
        <f>HYPERLINK("[#]Datatypes!A1328:L1328","RsfCode")</f>
        <v>RsfCode</v>
      </c>
      <c r="C7760" s="415" t="s">
        <v>15947</v>
      </c>
      <c r="D7760" s="221" t="s">
        <v>46418</v>
      </c>
      <c r="E7760" s="221">
        <v>4</v>
      </c>
      <c r="F7760" s="222" t="s">
        <v>46419</v>
      </c>
      <c r="G7760" s="223" t="s">
        <v>46420</v>
      </c>
      <c r="H7760" s="224"/>
      <c r="I7760" s="345"/>
      <c r="J7760" s="39">
        <v>118343</v>
      </c>
      <c r="K7760" s="36" t="str">
        <f>CONCATENATE(Cover!$D$6,"fdd/view?i=",J7760)</f>
        <v>https://www.dgiwg.org/FAD/fdd/view?i=118343</v>
      </c>
      <c r="L7760" s="36" t="s">
        <v>46421</v>
      </c>
      <c r="M7760" s="186"/>
      <c r="N7760" s="186"/>
      <c r="O7760" s="172"/>
    </row>
    <row r="7761" spans="1:15" x14ac:dyDescent="0.2">
      <c r="A7761" s="197" t="str">
        <f t="shared" si="121"/>
        <v>RsfCode_minorRoute</v>
      </c>
      <c r="B7761" s="409"/>
      <c r="C7761" s="416"/>
      <c r="D7761" s="198" t="s">
        <v>46422</v>
      </c>
      <c r="E7761" s="198">
        <v>5</v>
      </c>
      <c r="F7761" s="199" t="s">
        <v>46423</v>
      </c>
      <c r="G7761" s="1" t="s">
        <v>46424</v>
      </c>
      <c r="H7761" s="1" t="s">
        <v>46425</v>
      </c>
      <c r="I7761" s="346"/>
      <c r="J7761" s="39">
        <v>118344</v>
      </c>
      <c r="K7761" s="36" t="str">
        <f>CONCATENATE(Cover!$D$6,"fdd/view?i=",J7761)</f>
        <v>https://www.dgiwg.org/FAD/fdd/view?i=118344</v>
      </c>
      <c r="L7761" s="36" t="s">
        <v>46426</v>
      </c>
      <c r="M7761" s="186"/>
      <c r="N7761" s="186"/>
      <c r="O7761" s="172"/>
    </row>
    <row r="7762" spans="1:15" ht="25.5" x14ac:dyDescent="0.2">
      <c r="A7762" s="197" t="str">
        <f t="shared" si="121"/>
        <v>RsfCode_primaryRoute</v>
      </c>
      <c r="B7762" s="409"/>
      <c r="C7762" s="416"/>
      <c r="D7762" s="198" t="s">
        <v>46427</v>
      </c>
      <c r="E7762" s="198">
        <v>1</v>
      </c>
      <c r="F7762" s="199" t="s">
        <v>46428</v>
      </c>
      <c r="G7762" s="1" t="s">
        <v>46429</v>
      </c>
      <c r="H7762" s="200"/>
      <c r="I7762" s="346"/>
      <c r="J7762" s="39">
        <v>118340</v>
      </c>
      <c r="K7762" s="36" t="str">
        <f>CONCATENATE(Cover!$D$6,"fdd/view?i=",J7762)</f>
        <v>https://www.dgiwg.org/FAD/fdd/view?i=118340</v>
      </c>
      <c r="L7762" s="36" t="s">
        <v>46430</v>
      </c>
      <c r="M7762" s="186"/>
      <c r="N7762" s="186"/>
      <c r="O7762" s="172"/>
    </row>
    <row r="7763" spans="1:15" ht="25.5" x14ac:dyDescent="0.2">
      <c r="A7763" s="197" t="str">
        <f t="shared" si="121"/>
        <v>RsfCode_secondaryRoute</v>
      </c>
      <c r="B7763" s="409"/>
      <c r="C7763" s="416"/>
      <c r="D7763" s="198" t="s">
        <v>46431</v>
      </c>
      <c r="E7763" s="198">
        <v>2</v>
      </c>
      <c r="F7763" s="199" t="s">
        <v>46432</v>
      </c>
      <c r="G7763" s="1" t="s">
        <v>46433</v>
      </c>
      <c r="H7763" s="200"/>
      <c r="I7763" s="346"/>
      <c r="J7763" s="39">
        <v>118341</v>
      </c>
      <c r="K7763" s="36" t="str">
        <f>CONCATENATE(Cover!$D$6,"fdd/view?i=",J7763)</f>
        <v>https://www.dgiwg.org/FAD/fdd/view?i=118341</v>
      </c>
      <c r="L7763" s="36" t="s">
        <v>46434</v>
      </c>
      <c r="M7763" s="186"/>
      <c r="N7763" s="186"/>
      <c r="O7763" s="172"/>
    </row>
    <row r="7764" spans="1:15" ht="25.5" x14ac:dyDescent="0.2">
      <c r="A7764" s="203" t="str">
        <f t="shared" si="121"/>
        <v>RsfCode_tertiaryRoute</v>
      </c>
      <c r="B7764" s="410"/>
      <c r="C7764" s="417"/>
      <c r="D7764" s="204" t="s">
        <v>46435</v>
      </c>
      <c r="E7764" s="204">
        <v>3</v>
      </c>
      <c r="F7764" s="205" t="s">
        <v>46436</v>
      </c>
      <c r="G7764" s="206" t="s">
        <v>46437</v>
      </c>
      <c r="H7764" s="207"/>
      <c r="I7764" s="347"/>
      <c r="J7764" s="39">
        <v>118342</v>
      </c>
      <c r="K7764" s="36" t="str">
        <f>CONCATENATE(Cover!$D$6,"fdd/view?i=",J7764)</f>
        <v>https://www.dgiwg.org/FAD/fdd/view?i=118342</v>
      </c>
      <c r="L7764" s="36" t="s">
        <v>46438</v>
      </c>
      <c r="M7764" s="186"/>
      <c r="N7764" s="186"/>
      <c r="O7764" s="172"/>
    </row>
    <row r="7765" spans="1:15" ht="140.25" x14ac:dyDescent="0.2">
      <c r="A7765" s="190" t="str">
        <f t="shared" si="121"/>
        <v>RocCode_aggregate</v>
      </c>
      <c r="B7765" s="414" t="str">
        <f>HYPERLINK("[#]Datatypes!A1330:L1330","RocCode")</f>
        <v>RocCode</v>
      </c>
      <c r="C7765" s="415" t="s">
        <v>15949</v>
      </c>
      <c r="D7765" s="221" t="s">
        <v>46439</v>
      </c>
      <c r="E7765" s="221">
        <v>4</v>
      </c>
      <c r="F7765" s="222" t="s">
        <v>46440</v>
      </c>
      <c r="G7765" s="223" t="s">
        <v>46441</v>
      </c>
      <c r="H7765" s="223" t="s">
        <v>46442</v>
      </c>
      <c r="I7765" s="345"/>
      <c r="J7765" s="39">
        <v>112484</v>
      </c>
      <c r="K7765" s="36" t="str">
        <f>CONCATENATE(Cover!$D$6,"fdd/view?i=",J7765)</f>
        <v>https://www.dgiwg.org/FAD/fdd/view?i=112484</v>
      </c>
      <c r="L7765" s="36" t="s">
        <v>46443</v>
      </c>
      <c r="M7765" s="186"/>
      <c r="N7765" s="186"/>
      <c r="O7765" s="172"/>
    </row>
    <row r="7766" spans="1:15" ht="318.75" x14ac:dyDescent="0.2">
      <c r="A7766" s="197" t="str">
        <f t="shared" si="121"/>
        <v>RocCode_asphalt</v>
      </c>
      <c r="B7766" s="409"/>
      <c r="C7766" s="416"/>
      <c r="D7766" s="198" t="s">
        <v>19519</v>
      </c>
      <c r="E7766" s="198">
        <v>9</v>
      </c>
      <c r="F7766" s="199" t="s">
        <v>19520</v>
      </c>
      <c r="G7766" s="1" t="s">
        <v>46444</v>
      </c>
      <c r="H7766" s="1" t="s">
        <v>46445</v>
      </c>
      <c r="I7766" s="346"/>
      <c r="J7766" s="39">
        <v>112494</v>
      </c>
      <c r="K7766" s="36" t="str">
        <f>CONCATENATE(Cover!$D$6,"fdd/view?i=",J7766)</f>
        <v>https://www.dgiwg.org/FAD/fdd/view?i=112494</v>
      </c>
      <c r="L7766" s="36" t="s">
        <v>46446</v>
      </c>
      <c r="M7766" s="186"/>
      <c r="N7766" s="186"/>
      <c r="O7766" s="172"/>
    </row>
    <row r="7767" spans="1:15" ht="76.5" x14ac:dyDescent="0.2">
      <c r="A7767" s="197" t="str">
        <f t="shared" si="121"/>
        <v>RocCode_asphaltOverConcrete</v>
      </c>
      <c r="B7767" s="409"/>
      <c r="C7767" s="416"/>
      <c r="D7767" s="198" t="s">
        <v>19524</v>
      </c>
      <c r="E7767" s="198">
        <v>10</v>
      </c>
      <c r="F7767" s="199" t="s">
        <v>37398</v>
      </c>
      <c r="G7767" s="1" t="s">
        <v>46447</v>
      </c>
      <c r="H7767" s="1" t="s">
        <v>46448</v>
      </c>
      <c r="I7767" s="346"/>
      <c r="J7767" s="39">
        <v>112496</v>
      </c>
      <c r="K7767" s="36" t="str">
        <f>CONCATENATE(Cover!$D$6,"fdd/view?i=",J7767)</f>
        <v>https://www.dgiwg.org/FAD/fdd/view?i=112496</v>
      </c>
      <c r="L7767" s="36" t="s">
        <v>46449</v>
      </c>
      <c r="M7767" s="186"/>
      <c r="N7767" s="186"/>
      <c r="O7767" s="172"/>
    </row>
    <row r="7768" spans="1:15" ht="51" x14ac:dyDescent="0.2">
      <c r="A7768" s="197" t="str">
        <f t="shared" si="121"/>
        <v>RocCode_boundSurface</v>
      </c>
      <c r="B7768" s="409"/>
      <c r="C7768" s="416"/>
      <c r="D7768" s="198" t="s">
        <v>46450</v>
      </c>
      <c r="E7768" s="198">
        <v>6</v>
      </c>
      <c r="F7768" s="199" t="s">
        <v>46451</v>
      </c>
      <c r="G7768" s="1" t="s">
        <v>46452</v>
      </c>
      <c r="H7768" s="1" t="s">
        <v>46453</v>
      </c>
      <c r="I7768" s="346"/>
      <c r="J7768" s="39">
        <v>112488</v>
      </c>
      <c r="K7768" s="36" t="str">
        <f>CONCATENATE(Cover!$D$6,"fdd/view?i=",J7768)</f>
        <v>https://www.dgiwg.org/FAD/fdd/view?i=112488</v>
      </c>
      <c r="L7768" s="36" t="s">
        <v>46454</v>
      </c>
      <c r="M7768" s="186"/>
      <c r="N7768" s="186"/>
      <c r="O7768" s="172"/>
    </row>
    <row r="7769" spans="1:15" ht="25.5" x14ac:dyDescent="0.2">
      <c r="A7769" s="197" t="str">
        <f t="shared" si="121"/>
        <v>RocCode_brick</v>
      </c>
      <c r="B7769" s="409"/>
      <c r="C7769" s="416"/>
      <c r="D7769" s="198" t="s">
        <v>19533</v>
      </c>
      <c r="E7769" s="198">
        <v>12</v>
      </c>
      <c r="F7769" s="199" t="s">
        <v>19534</v>
      </c>
      <c r="G7769" s="1" t="s">
        <v>46455</v>
      </c>
      <c r="H7769" s="200"/>
      <c r="I7769" s="346"/>
      <c r="J7769" s="39">
        <v>112500</v>
      </c>
      <c r="K7769" s="36" t="str">
        <f>CONCATENATE(Cover!$D$6,"fdd/view?i=",J7769)</f>
        <v>https://www.dgiwg.org/FAD/fdd/view?i=112500</v>
      </c>
      <c r="L7769" s="36" t="s">
        <v>46456</v>
      </c>
      <c r="M7769" s="186"/>
      <c r="N7769" s="186"/>
      <c r="O7769" s="172"/>
    </row>
    <row r="7770" spans="1:15" ht="63.75" x14ac:dyDescent="0.2">
      <c r="A7770" s="197" t="str">
        <f t="shared" si="121"/>
        <v>RocCode_cobblestone</v>
      </c>
      <c r="B7770" s="409"/>
      <c r="C7770" s="416"/>
      <c r="D7770" s="198" t="s">
        <v>46457</v>
      </c>
      <c r="E7770" s="198">
        <v>11</v>
      </c>
      <c r="F7770" s="199" t="s">
        <v>37420</v>
      </c>
      <c r="G7770" s="1" t="s">
        <v>46458</v>
      </c>
      <c r="H7770" s="1" t="s">
        <v>46459</v>
      </c>
      <c r="I7770" s="346"/>
      <c r="J7770" s="39">
        <v>112498</v>
      </c>
      <c r="K7770" s="36" t="str">
        <f>CONCATENATE(Cover!$D$6,"fdd/view?i=",J7770)</f>
        <v>https://www.dgiwg.org/FAD/fdd/view?i=112498</v>
      </c>
      <c r="L7770" s="36" t="s">
        <v>46460</v>
      </c>
      <c r="M7770" s="186"/>
      <c r="N7770" s="186"/>
      <c r="O7770" s="172"/>
    </row>
    <row r="7771" spans="1:15" ht="76.5" x14ac:dyDescent="0.2">
      <c r="A7771" s="197" t="str">
        <f t="shared" si="121"/>
        <v>RocCode_concrete</v>
      </c>
      <c r="B7771" s="409"/>
      <c r="C7771" s="416"/>
      <c r="D7771" s="198" t="s">
        <v>19541</v>
      </c>
      <c r="E7771" s="198">
        <v>8</v>
      </c>
      <c r="F7771" s="199" t="s">
        <v>19542</v>
      </c>
      <c r="G7771" s="1" t="s">
        <v>46461</v>
      </c>
      <c r="H7771" s="200"/>
      <c r="I7771" s="346"/>
      <c r="J7771" s="39">
        <v>112492</v>
      </c>
      <c r="K7771" s="36" t="str">
        <f>CONCATENATE(Cover!$D$6,"fdd/view?i=",J7771)</f>
        <v>https://www.dgiwg.org/FAD/fdd/view?i=112492</v>
      </c>
      <c r="L7771" s="36" t="s">
        <v>46462</v>
      </c>
      <c r="M7771" s="186"/>
      <c r="N7771" s="186"/>
      <c r="O7771" s="172"/>
    </row>
    <row r="7772" spans="1:15" ht="38.25" x14ac:dyDescent="0.2">
      <c r="A7772" s="197" t="str">
        <f t="shared" si="121"/>
        <v>RocCode_corduroy</v>
      </c>
      <c r="B7772" s="409"/>
      <c r="C7772" s="416"/>
      <c r="D7772" s="198" t="s">
        <v>37436</v>
      </c>
      <c r="E7772" s="198">
        <v>15</v>
      </c>
      <c r="F7772" s="199" t="s">
        <v>37437</v>
      </c>
      <c r="G7772" s="1" t="s">
        <v>46463</v>
      </c>
      <c r="H7772" s="1" t="s">
        <v>46464</v>
      </c>
      <c r="I7772" s="346"/>
      <c r="J7772" s="39">
        <v>112506</v>
      </c>
      <c r="K7772" s="36" t="str">
        <f>CONCATENATE(Cover!$D$6,"fdd/view?i=",J7772)</f>
        <v>https://www.dgiwg.org/FAD/fdd/view?i=112506</v>
      </c>
      <c r="L7772" s="36" t="s">
        <v>46465</v>
      </c>
      <c r="M7772" s="186"/>
      <c r="N7772" s="186"/>
      <c r="O7772" s="172"/>
    </row>
    <row r="7773" spans="1:15" ht="51" x14ac:dyDescent="0.2">
      <c r="A7773" s="197" t="str">
        <f t="shared" si="121"/>
        <v>RocCode_flexiblePavement</v>
      </c>
      <c r="B7773" s="409"/>
      <c r="C7773" s="416"/>
      <c r="D7773" s="198" t="s">
        <v>42495</v>
      </c>
      <c r="E7773" s="198">
        <v>3</v>
      </c>
      <c r="F7773" s="199" t="s">
        <v>42496</v>
      </c>
      <c r="G7773" s="1" t="s">
        <v>46466</v>
      </c>
      <c r="H7773" s="1" t="s">
        <v>46467</v>
      </c>
      <c r="I7773" s="346"/>
      <c r="J7773" s="39">
        <v>112482</v>
      </c>
      <c r="K7773" s="36" t="str">
        <f>CONCATENATE(Cover!$D$6,"fdd/view?i=",J7773)</f>
        <v>https://www.dgiwg.org/FAD/fdd/view?i=112482</v>
      </c>
      <c r="L7773" s="36" t="s">
        <v>46468</v>
      </c>
      <c r="M7773" s="186"/>
      <c r="N7773" s="186"/>
      <c r="O7773" s="172"/>
    </row>
    <row r="7774" spans="1:15" ht="25.5" x14ac:dyDescent="0.2">
      <c r="A7774" s="197" t="str">
        <f t="shared" si="121"/>
        <v>RocCode_ice</v>
      </c>
      <c r="B7774" s="409"/>
      <c r="C7774" s="416"/>
      <c r="D7774" s="198" t="s">
        <v>19560</v>
      </c>
      <c r="E7774" s="198">
        <v>17</v>
      </c>
      <c r="F7774" s="199" t="s">
        <v>19561</v>
      </c>
      <c r="G7774" s="1" t="s">
        <v>46469</v>
      </c>
      <c r="H7774" s="1" t="s">
        <v>46470</v>
      </c>
      <c r="I7774" s="346"/>
      <c r="J7774" s="39">
        <v>112510</v>
      </c>
      <c r="K7774" s="36" t="str">
        <f>CONCATENATE(Cover!$D$6,"fdd/view?i=",J7774)</f>
        <v>https://www.dgiwg.org/FAD/fdd/view?i=112510</v>
      </c>
      <c r="L7774" s="36" t="s">
        <v>46471</v>
      </c>
      <c r="M7774" s="186"/>
      <c r="N7774" s="186"/>
      <c r="O7774" s="172"/>
    </row>
    <row r="7775" spans="1:15" ht="318.75" x14ac:dyDescent="0.2">
      <c r="A7775" s="197" t="str">
        <f t="shared" si="121"/>
        <v>RocCode_macadam</v>
      </c>
      <c r="B7775" s="409"/>
      <c r="C7775" s="416"/>
      <c r="D7775" s="198" t="s">
        <v>19575</v>
      </c>
      <c r="E7775" s="198">
        <v>5</v>
      </c>
      <c r="F7775" s="199" t="s">
        <v>19576</v>
      </c>
      <c r="G7775" s="1" t="s">
        <v>46472</v>
      </c>
      <c r="H7775" s="1" t="s">
        <v>46473</v>
      </c>
      <c r="I7775" s="346"/>
      <c r="J7775" s="39">
        <v>112486</v>
      </c>
      <c r="K7775" s="36" t="str">
        <f>CONCATENATE(Cover!$D$6,"fdd/view?i=",J7775)</f>
        <v>https://www.dgiwg.org/FAD/fdd/view?i=112486</v>
      </c>
      <c r="L7775" s="36" t="s">
        <v>46474</v>
      </c>
      <c r="M7775" s="186"/>
      <c r="N7775" s="186"/>
      <c r="O7775" s="172"/>
    </row>
    <row r="7776" spans="1:15" ht="25.5" x14ac:dyDescent="0.2">
      <c r="A7776" s="197" t="str">
        <f t="shared" si="121"/>
        <v>RocCode_metal</v>
      </c>
      <c r="B7776" s="409"/>
      <c r="C7776" s="416"/>
      <c r="D7776" s="198" t="s">
        <v>25276</v>
      </c>
      <c r="E7776" s="198">
        <v>13</v>
      </c>
      <c r="F7776" s="199" t="s">
        <v>25277</v>
      </c>
      <c r="G7776" s="1" t="s">
        <v>46475</v>
      </c>
      <c r="H7776" s="1" t="s">
        <v>46476</v>
      </c>
      <c r="I7776" s="346"/>
      <c r="J7776" s="39">
        <v>112502</v>
      </c>
      <c r="K7776" s="36" t="str">
        <f>CONCATENATE(Cover!$D$6,"fdd/view?i=",J7776)</f>
        <v>https://www.dgiwg.org/FAD/fdd/view?i=112502</v>
      </c>
      <c r="L7776" s="36" t="s">
        <v>46477</v>
      </c>
      <c r="M7776" s="186"/>
      <c r="N7776" s="186"/>
      <c r="O7776" s="172"/>
    </row>
    <row r="7777" spans="1:15" ht="51" x14ac:dyDescent="0.2">
      <c r="A7777" s="197" t="str">
        <f t="shared" si="121"/>
        <v>RocCode_rigidPavement</v>
      </c>
      <c r="B7777" s="409"/>
      <c r="C7777" s="416"/>
      <c r="D7777" s="198" t="s">
        <v>42499</v>
      </c>
      <c r="E7777" s="198">
        <v>7</v>
      </c>
      <c r="F7777" s="199" t="s">
        <v>42500</v>
      </c>
      <c r="G7777" s="1" t="s">
        <v>46478</v>
      </c>
      <c r="H7777" s="1" t="s">
        <v>46479</v>
      </c>
      <c r="I7777" s="346"/>
      <c r="J7777" s="39">
        <v>112490</v>
      </c>
      <c r="K7777" s="36" t="str">
        <f>CONCATENATE(Cover!$D$6,"fdd/view?i=",J7777)</f>
        <v>https://www.dgiwg.org/FAD/fdd/view?i=112490</v>
      </c>
      <c r="L7777" s="36" t="s">
        <v>46480</v>
      </c>
      <c r="M7777" s="186"/>
      <c r="N7777" s="186"/>
      <c r="O7777" s="172"/>
    </row>
    <row r="7778" spans="1:15" ht="38.25" x14ac:dyDescent="0.2">
      <c r="A7778" s="197" t="str">
        <f t="shared" si="121"/>
        <v>RocCode_snow</v>
      </c>
      <c r="B7778" s="409"/>
      <c r="C7778" s="416"/>
      <c r="D7778" s="198" t="s">
        <v>19598</v>
      </c>
      <c r="E7778" s="198">
        <v>18</v>
      </c>
      <c r="F7778" s="199" t="s">
        <v>19599</v>
      </c>
      <c r="G7778" s="1" t="s">
        <v>46481</v>
      </c>
      <c r="H7778" s="1" t="s">
        <v>46482</v>
      </c>
      <c r="I7778" s="346"/>
      <c r="J7778" s="39">
        <v>112512</v>
      </c>
      <c r="K7778" s="36" t="str">
        <f>CONCATENATE(Cover!$D$6,"fdd/view?i=",J7778)</f>
        <v>https://www.dgiwg.org/FAD/fdd/view?i=112512</v>
      </c>
      <c r="L7778" s="36" t="s">
        <v>46483</v>
      </c>
      <c r="M7778" s="186"/>
      <c r="N7778" s="186"/>
      <c r="O7778" s="172"/>
    </row>
    <row r="7779" spans="1:15" ht="51" x14ac:dyDescent="0.2">
      <c r="A7779" s="197" t="str">
        <f t="shared" si="121"/>
        <v>RocCode_stabilizedEarth</v>
      </c>
      <c r="B7779" s="409"/>
      <c r="C7779" s="416"/>
      <c r="D7779" s="198" t="s">
        <v>46484</v>
      </c>
      <c r="E7779" s="198">
        <v>2</v>
      </c>
      <c r="F7779" s="199" t="s">
        <v>46485</v>
      </c>
      <c r="G7779" s="1" t="s">
        <v>46486</v>
      </c>
      <c r="H7779" s="200"/>
      <c r="I7779" s="346"/>
      <c r="J7779" s="39">
        <v>112480</v>
      </c>
      <c r="K7779" s="36" t="str">
        <f>CONCATENATE(Cover!$D$6,"fdd/view?i=",J7779)</f>
        <v>https://www.dgiwg.org/FAD/fdd/view?i=112480</v>
      </c>
      <c r="L7779" s="36" t="s">
        <v>46487</v>
      </c>
      <c r="M7779" s="186"/>
      <c r="N7779" s="186"/>
      <c r="O7779" s="172"/>
    </row>
    <row r="7780" spans="1:15" ht="25.5" x14ac:dyDescent="0.2">
      <c r="A7780" s="197" t="str">
        <f t="shared" si="121"/>
        <v>RocCode_timber</v>
      </c>
      <c r="B7780" s="409"/>
      <c r="C7780" s="416"/>
      <c r="D7780" s="198" t="s">
        <v>27602</v>
      </c>
      <c r="E7780" s="198">
        <v>42</v>
      </c>
      <c r="F7780" s="199" t="s">
        <v>27603</v>
      </c>
      <c r="G7780" s="1" t="s">
        <v>43782</v>
      </c>
      <c r="H7780" s="200"/>
      <c r="I7780" s="346"/>
      <c r="J7780" s="39">
        <v>118338</v>
      </c>
      <c r="K7780" s="36" t="str">
        <f>CONCATENATE(Cover!$D$6,"fdd/view?i=",J7780)</f>
        <v>https://www.dgiwg.org/FAD/fdd/view?i=118338</v>
      </c>
      <c r="L7780" s="36" t="s">
        <v>46488</v>
      </c>
      <c r="M7780" s="186"/>
      <c r="N7780" s="186"/>
      <c r="O7780" s="172"/>
    </row>
    <row r="7781" spans="1:15" ht="25.5" x14ac:dyDescent="0.2">
      <c r="A7781" s="197" t="str">
        <f t="shared" si="121"/>
        <v>RocCode_unimproved</v>
      </c>
      <c r="B7781" s="409"/>
      <c r="C7781" s="416"/>
      <c r="D7781" s="198" t="s">
        <v>37494</v>
      </c>
      <c r="E7781" s="198">
        <v>1</v>
      </c>
      <c r="F7781" s="199" t="s">
        <v>37495</v>
      </c>
      <c r="G7781" s="1" t="s">
        <v>46489</v>
      </c>
      <c r="H7781" s="1" t="s">
        <v>46490</v>
      </c>
      <c r="I7781" s="346"/>
      <c r="J7781" s="39">
        <v>112478</v>
      </c>
      <c r="K7781" s="36" t="str">
        <f>CONCATENATE(Cover!$D$6,"fdd/view?i=",J7781)</f>
        <v>https://www.dgiwg.org/FAD/fdd/view?i=112478</v>
      </c>
      <c r="L7781" s="36" t="s">
        <v>46491</v>
      </c>
      <c r="M7781" s="186"/>
      <c r="N7781" s="186"/>
      <c r="O7781" s="172"/>
    </row>
    <row r="7782" spans="1:15" x14ac:dyDescent="0.2">
      <c r="A7782" s="197" t="str">
        <f t="shared" si="121"/>
        <v>RocCode_wood</v>
      </c>
      <c r="B7782" s="409"/>
      <c r="C7782" s="416"/>
      <c r="D7782" s="198" t="s">
        <v>19610</v>
      </c>
      <c r="E7782" s="198">
        <v>14</v>
      </c>
      <c r="F7782" s="199" t="s">
        <v>5911</v>
      </c>
      <c r="G7782" s="1" t="s">
        <v>46492</v>
      </c>
      <c r="H7782" s="200"/>
      <c r="I7782" s="346"/>
      <c r="J7782" s="39">
        <v>112504</v>
      </c>
      <c r="K7782" s="36" t="str">
        <f>CONCATENATE(Cover!$D$6,"fdd/view?i=",J7782)</f>
        <v>https://www.dgiwg.org/FAD/fdd/view?i=112504</v>
      </c>
      <c r="L7782" s="36" t="s">
        <v>46493</v>
      </c>
      <c r="M7782" s="186"/>
      <c r="N7782" s="186"/>
      <c r="O7782" s="172"/>
    </row>
    <row r="7783" spans="1:15" ht="25.5" x14ac:dyDescent="0.2">
      <c r="A7783" s="203" t="str">
        <f t="shared" si="121"/>
        <v>RocCode_woodPlank</v>
      </c>
      <c r="B7783" s="410"/>
      <c r="C7783" s="417"/>
      <c r="D7783" s="204" t="s">
        <v>37498</v>
      </c>
      <c r="E7783" s="204">
        <v>16</v>
      </c>
      <c r="F7783" s="205" t="s">
        <v>37499</v>
      </c>
      <c r="G7783" s="206" t="s">
        <v>46494</v>
      </c>
      <c r="H7783" s="206" t="s">
        <v>46495</v>
      </c>
      <c r="I7783" s="347"/>
      <c r="J7783" s="39">
        <v>112508</v>
      </c>
      <c r="K7783" s="36" t="str">
        <f>CONCATENATE(Cover!$D$6,"fdd/view?i=",J7783)</f>
        <v>https://www.dgiwg.org/FAD/fdd/view?i=112508</v>
      </c>
      <c r="L7783" s="36" t="s">
        <v>46496</v>
      </c>
      <c r="M7783" s="186"/>
      <c r="N7783" s="186"/>
      <c r="O7783" s="172"/>
    </row>
    <row r="7784" spans="1:15" ht="25.5" x14ac:dyDescent="0.2">
      <c r="A7784" s="190" t="str">
        <f t="shared" si="121"/>
        <v>RcpCode_abeamElevation</v>
      </c>
      <c r="B7784" s="414" t="str">
        <f>HYPERLINK("[#]Datatypes!A1332:L1332","RcpCode")</f>
        <v>RcpCode</v>
      </c>
      <c r="C7784" s="415" t="s">
        <v>15951</v>
      </c>
      <c r="D7784" s="221" t="s">
        <v>46497</v>
      </c>
      <c r="E7784" s="221">
        <v>1</v>
      </c>
      <c r="F7784" s="222" t="s">
        <v>46498</v>
      </c>
      <c r="G7784" s="223" t="s">
        <v>46499</v>
      </c>
      <c r="H7784" s="224"/>
      <c r="I7784" s="345"/>
      <c r="J7784" s="39">
        <v>119892</v>
      </c>
      <c r="K7784" s="36" t="str">
        <f>CONCATENATE(Cover!$D$6,"fdd/view?i=",J7784)</f>
        <v>https://www.dgiwg.org/FAD/fdd/view?i=119892</v>
      </c>
      <c r="L7784" s="36" t="s">
        <v>46500</v>
      </c>
      <c r="M7784" s="186"/>
      <c r="N7784" s="186"/>
      <c r="O7784" s="172"/>
    </row>
    <row r="7785" spans="1:15" ht="25.5" x14ac:dyDescent="0.2">
      <c r="A7785" s="197" t="str">
        <f t="shared" si="121"/>
        <v>RcpCode_abeamGlideslope</v>
      </c>
      <c r="B7785" s="409"/>
      <c r="C7785" s="416"/>
      <c r="D7785" s="198" t="s">
        <v>46501</v>
      </c>
      <c r="E7785" s="198">
        <v>2</v>
      </c>
      <c r="F7785" s="199" t="s">
        <v>46502</v>
      </c>
      <c r="G7785" s="1" t="s">
        <v>46503</v>
      </c>
      <c r="H7785" s="200"/>
      <c r="I7785" s="346"/>
      <c r="J7785" s="39">
        <v>119893</v>
      </c>
      <c r="K7785" s="36" t="str">
        <f>CONCATENATE(Cover!$D$6,"fdd/view?i=",J7785)</f>
        <v>https://www.dgiwg.org/FAD/fdd/view?i=119893</v>
      </c>
      <c r="L7785" s="36" t="s">
        <v>46504</v>
      </c>
      <c r="M7785" s="186"/>
      <c r="N7785" s="186"/>
      <c r="O7785" s="172"/>
    </row>
    <row r="7786" spans="1:15" ht="25.5" x14ac:dyDescent="0.2">
      <c r="A7786" s="197" t="str">
        <f t="shared" si="121"/>
        <v>RcpCode_abeamPrecisionApproachRadar</v>
      </c>
      <c r="B7786" s="409"/>
      <c r="C7786" s="416"/>
      <c r="D7786" s="198" t="s">
        <v>46505</v>
      </c>
      <c r="E7786" s="198">
        <v>3</v>
      </c>
      <c r="F7786" s="199" t="s">
        <v>46506</v>
      </c>
      <c r="G7786" s="1" t="s">
        <v>46507</v>
      </c>
      <c r="H7786" s="200"/>
      <c r="I7786" s="346"/>
      <c r="J7786" s="39">
        <v>119894</v>
      </c>
      <c r="K7786" s="36" t="str">
        <f>CONCATENATE(Cover!$D$6,"fdd/view?i=",J7786)</f>
        <v>https://www.dgiwg.org/FAD/fdd/view?i=119894</v>
      </c>
      <c r="L7786" s="36" t="s">
        <v>46508</v>
      </c>
      <c r="M7786" s="186"/>
      <c r="N7786" s="186"/>
      <c r="O7786" s="172"/>
    </row>
    <row r="7787" spans="1:15" ht="25.5" x14ac:dyDescent="0.2">
      <c r="A7787" s="197" t="str">
        <f t="shared" si="121"/>
        <v>RcpCode_abeamRunwayEndReflector</v>
      </c>
      <c r="B7787" s="409"/>
      <c r="C7787" s="416"/>
      <c r="D7787" s="198" t="s">
        <v>46509</v>
      </c>
      <c r="E7787" s="198">
        <v>4</v>
      </c>
      <c r="F7787" s="199" t="s">
        <v>46510</v>
      </c>
      <c r="G7787" s="1" t="s">
        <v>46511</v>
      </c>
      <c r="H7787" s="200"/>
      <c r="I7787" s="346"/>
      <c r="J7787" s="39">
        <v>119895</v>
      </c>
      <c r="K7787" s="36" t="str">
        <f>CONCATENATE(Cover!$D$6,"fdd/view?i=",J7787)</f>
        <v>https://www.dgiwg.org/FAD/fdd/view?i=119895</v>
      </c>
      <c r="L7787" s="36" t="s">
        <v>46512</v>
      </c>
      <c r="M7787" s="186"/>
      <c r="N7787" s="186"/>
      <c r="O7787" s="172"/>
    </row>
    <row r="7788" spans="1:15" ht="25.5" x14ac:dyDescent="0.2">
      <c r="A7788" s="197" t="str">
        <f t="shared" si="121"/>
        <v>RcpCode_abeamTouchdownReflector</v>
      </c>
      <c r="B7788" s="409"/>
      <c r="C7788" s="416"/>
      <c r="D7788" s="198" t="s">
        <v>46513</v>
      </c>
      <c r="E7788" s="198">
        <v>5</v>
      </c>
      <c r="F7788" s="199" t="s">
        <v>46514</v>
      </c>
      <c r="G7788" s="1" t="s">
        <v>46515</v>
      </c>
      <c r="H7788" s="200"/>
      <c r="I7788" s="346"/>
      <c r="J7788" s="39">
        <v>119896</v>
      </c>
      <c r="K7788" s="36" t="str">
        <f>CONCATENATE(Cover!$D$6,"fdd/view?i=",J7788)</f>
        <v>https://www.dgiwg.org/FAD/fdd/view?i=119896</v>
      </c>
      <c r="L7788" s="36" t="s">
        <v>46516</v>
      </c>
      <c r="M7788" s="186"/>
      <c r="N7788" s="186"/>
      <c r="O7788" s="172"/>
    </row>
    <row r="7789" spans="1:15" ht="25.5" x14ac:dyDescent="0.2">
      <c r="A7789" s="197" t="str">
        <f t="shared" si="121"/>
        <v>RcpCode_highestElevationPoint</v>
      </c>
      <c r="B7789" s="409"/>
      <c r="C7789" s="416"/>
      <c r="D7789" s="198" t="s">
        <v>46517</v>
      </c>
      <c r="E7789" s="198">
        <v>6</v>
      </c>
      <c r="F7789" s="199" t="s">
        <v>46518</v>
      </c>
      <c r="G7789" s="1" t="s">
        <v>46519</v>
      </c>
      <c r="H7789" s="200"/>
      <c r="I7789" s="346"/>
      <c r="J7789" s="39">
        <v>119897</v>
      </c>
      <c r="K7789" s="36" t="str">
        <f>CONCATENATE(Cover!$D$6,"fdd/view?i=",J7789)</f>
        <v>https://www.dgiwg.org/FAD/fdd/view?i=119897</v>
      </c>
      <c r="L7789" s="36" t="s">
        <v>46520</v>
      </c>
      <c r="M7789" s="186"/>
      <c r="N7789" s="186"/>
      <c r="O7789" s="172"/>
    </row>
    <row r="7790" spans="1:15" ht="25.5" x14ac:dyDescent="0.2">
      <c r="A7790" s="197" t="str">
        <f t="shared" si="121"/>
        <v>RcpCode_runwayMidpoint</v>
      </c>
      <c r="B7790" s="409"/>
      <c r="C7790" s="416"/>
      <c r="D7790" s="198" t="s">
        <v>46521</v>
      </c>
      <c r="E7790" s="198">
        <v>7</v>
      </c>
      <c r="F7790" s="199" t="s">
        <v>46522</v>
      </c>
      <c r="G7790" s="1" t="s">
        <v>46523</v>
      </c>
      <c r="H7790" s="200"/>
      <c r="I7790" s="346"/>
      <c r="J7790" s="39">
        <v>119898</v>
      </c>
      <c r="K7790" s="36" t="str">
        <f>CONCATENATE(Cover!$D$6,"fdd/view?i=",J7790)</f>
        <v>https://www.dgiwg.org/FAD/fdd/view?i=119898</v>
      </c>
      <c r="L7790" s="36" t="s">
        <v>46524</v>
      </c>
      <c r="M7790" s="186"/>
      <c r="N7790" s="186"/>
      <c r="O7790" s="172"/>
    </row>
    <row r="7791" spans="1:15" ht="25.5" x14ac:dyDescent="0.2">
      <c r="A7791" s="197" t="str">
        <f t="shared" si="121"/>
        <v>RcpCode_startRun</v>
      </c>
      <c r="B7791" s="409"/>
      <c r="C7791" s="416"/>
      <c r="D7791" s="198" t="s">
        <v>46525</v>
      </c>
      <c r="E7791" s="198">
        <v>8</v>
      </c>
      <c r="F7791" s="199" t="s">
        <v>46526</v>
      </c>
      <c r="G7791" s="1" t="s">
        <v>46527</v>
      </c>
      <c r="H7791" s="200"/>
      <c r="I7791" s="346"/>
      <c r="J7791" s="39">
        <v>119899</v>
      </c>
      <c r="K7791" s="36" t="str">
        <f>CONCATENATE(Cover!$D$6,"fdd/view?i=",J7791)</f>
        <v>https://www.dgiwg.org/FAD/fdd/view?i=119899</v>
      </c>
      <c r="L7791" s="36" t="s">
        <v>46528</v>
      </c>
      <c r="M7791" s="186"/>
      <c r="N7791" s="186"/>
      <c r="O7791" s="172"/>
    </row>
    <row r="7792" spans="1:15" ht="25.5" x14ac:dyDescent="0.2">
      <c r="A7792" s="203" t="str">
        <f t="shared" si="121"/>
        <v>RcpCode_touchdownZone</v>
      </c>
      <c r="B7792" s="410"/>
      <c r="C7792" s="417"/>
      <c r="D7792" s="204" t="s">
        <v>19458</v>
      </c>
      <c r="E7792" s="204">
        <v>9</v>
      </c>
      <c r="F7792" s="205" t="s">
        <v>19459</v>
      </c>
      <c r="G7792" s="206" t="s">
        <v>46529</v>
      </c>
      <c r="H7792" s="206" t="s">
        <v>46530</v>
      </c>
      <c r="I7792" s="347"/>
      <c r="J7792" s="39">
        <v>119900</v>
      </c>
      <c r="K7792" s="36" t="str">
        <f>CONCATENATE(Cover!$D$6,"fdd/view?i=",J7792)</f>
        <v>https://www.dgiwg.org/FAD/fdd/view?i=119900</v>
      </c>
      <c r="L7792" s="36" t="s">
        <v>46531</v>
      </c>
      <c r="M7792" s="186"/>
      <c r="N7792" s="186"/>
      <c r="O7792" s="172"/>
    </row>
    <row r="7793" spans="1:15" x14ac:dyDescent="0.2">
      <c r="A7793" s="190" t="str">
        <f t="shared" si="121"/>
        <v>RwtCode_highEnd</v>
      </c>
      <c r="B7793" s="414" t="str">
        <f>HYPERLINK("[#]Datatypes!A1336:L1336","RwtCode")</f>
        <v>RwtCode</v>
      </c>
      <c r="C7793" s="415" t="s">
        <v>15956</v>
      </c>
      <c r="D7793" s="221" t="s">
        <v>22874</v>
      </c>
      <c r="E7793" s="221">
        <v>1</v>
      </c>
      <c r="F7793" s="222" t="s">
        <v>22875</v>
      </c>
      <c r="G7793" s="224"/>
      <c r="H7793" s="224"/>
      <c r="I7793" s="345"/>
      <c r="J7793" s="39">
        <v>107395</v>
      </c>
      <c r="K7793" s="36" t="str">
        <f>CONCATENATE(Cover!$D$6,"fdd/view?i=",J7793)</f>
        <v>https://www.dgiwg.org/FAD/fdd/view?i=107395</v>
      </c>
      <c r="L7793" s="36" t="s">
        <v>46532</v>
      </c>
      <c r="M7793" s="186"/>
      <c r="N7793" s="186"/>
      <c r="O7793" s="172"/>
    </row>
    <row r="7794" spans="1:15" x14ac:dyDescent="0.2">
      <c r="A7794" s="203" t="str">
        <f t="shared" si="121"/>
        <v>RwtCode_lowEnd</v>
      </c>
      <c r="B7794" s="410"/>
      <c r="C7794" s="417"/>
      <c r="D7794" s="204" t="s">
        <v>22879</v>
      </c>
      <c r="E7794" s="204">
        <v>2</v>
      </c>
      <c r="F7794" s="205" t="s">
        <v>22880</v>
      </c>
      <c r="G7794" s="207"/>
      <c r="H7794" s="207"/>
      <c r="I7794" s="347"/>
      <c r="J7794" s="39">
        <v>107396</v>
      </c>
      <c r="K7794" s="36" t="str">
        <f>CONCATENATE(Cover!$D$6,"fdd/view?i=",J7794)</f>
        <v>https://www.dgiwg.org/FAD/fdd/view?i=107396</v>
      </c>
      <c r="L7794" s="36" t="s">
        <v>46533</v>
      </c>
      <c r="M7794" s="186"/>
      <c r="N7794" s="186"/>
      <c r="O7794" s="172"/>
    </row>
    <row r="7795" spans="1:15" ht="25.5" x14ac:dyDescent="0.2">
      <c r="A7795" s="190" t="str">
        <f t="shared" si="121"/>
        <v>RvoCode_middle</v>
      </c>
      <c r="B7795" s="414" t="str">
        <f>HYPERLINK("[#]Datatypes!A1342:L1342","RvoCode")</f>
        <v>RvoCode</v>
      </c>
      <c r="C7795" s="415" t="s">
        <v>15963</v>
      </c>
      <c r="D7795" s="221" t="s">
        <v>32239</v>
      </c>
      <c r="E7795" s="221">
        <v>2</v>
      </c>
      <c r="F7795" s="222" t="s">
        <v>32240</v>
      </c>
      <c r="G7795" s="223" t="s">
        <v>46534</v>
      </c>
      <c r="H7795" s="223" t="s">
        <v>46535</v>
      </c>
      <c r="I7795" s="345"/>
      <c r="J7795" s="39">
        <v>116568</v>
      </c>
      <c r="K7795" s="36" t="str">
        <f>CONCATENATE(Cover!$D$6,"fdd/view?i=",J7795)</f>
        <v>https://www.dgiwg.org/FAD/fdd/view?i=116568</v>
      </c>
      <c r="L7795" s="36" t="s">
        <v>46536</v>
      </c>
      <c r="M7795" s="186"/>
      <c r="N7795" s="186"/>
      <c r="O7795" s="172"/>
    </row>
    <row r="7796" spans="1:15" x14ac:dyDescent="0.2">
      <c r="A7796" s="197" t="str">
        <f t="shared" si="121"/>
        <v>RvoCode_takeoff</v>
      </c>
      <c r="B7796" s="409"/>
      <c r="C7796" s="416"/>
      <c r="D7796" s="198" t="s">
        <v>46537</v>
      </c>
      <c r="E7796" s="198">
        <v>3</v>
      </c>
      <c r="F7796" s="199" t="s">
        <v>46538</v>
      </c>
      <c r="G7796" s="1" t="s">
        <v>46539</v>
      </c>
      <c r="H7796" s="1" t="s">
        <v>46540</v>
      </c>
      <c r="I7796" s="346"/>
      <c r="J7796" s="39">
        <v>116569</v>
      </c>
      <c r="K7796" s="36" t="str">
        <f>CONCATENATE(Cover!$D$6,"fdd/view?i=",J7796)</f>
        <v>https://www.dgiwg.org/FAD/fdd/view?i=116569</v>
      </c>
      <c r="L7796" s="36" t="s">
        <v>46541</v>
      </c>
      <c r="M7796" s="186"/>
      <c r="N7796" s="186"/>
      <c r="O7796" s="172"/>
    </row>
    <row r="7797" spans="1:15" x14ac:dyDescent="0.2">
      <c r="A7797" s="203" t="str">
        <f t="shared" si="121"/>
        <v>RvoCode_touchdown</v>
      </c>
      <c r="B7797" s="410"/>
      <c r="C7797" s="417"/>
      <c r="D7797" s="204" t="s">
        <v>46542</v>
      </c>
      <c r="E7797" s="204">
        <v>1</v>
      </c>
      <c r="F7797" s="205" t="s">
        <v>46543</v>
      </c>
      <c r="G7797" s="206" t="s">
        <v>46544</v>
      </c>
      <c r="H7797" s="206" t="s">
        <v>46545</v>
      </c>
      <c r="I7797" s="347"/>
      <c r="J7797" s="39">
        <v>116570</v>
      </c>
      <c r="K7797" s="36" t="str">
        <f>CONCATENATE(Cover!$D$6,"fdd/view?i=",J7797)</f>
        <v>https://www.dgiwg.org/FAD/fdd/view?i=116570</v>
      </c>
      <c r="L7797" s="36" t="s">
        <v>46546</v>
      </c>
      <c r="M7797" s="186"/>
      <c r="N7797" s="186"/>
      <c r="O7797" s="172"/>
    </row>
    <row r="7798" spans="1:15" ht="25.5" x14ac:dyDescent="0.2">
      <c r="A7798" s="190" t="str">
        <f t="shared" si="121"/>
        <v>SdtCode_crescent</v>
      </c>
      <c r="B7798" s="414" t="str">
        <f>HYPERLINK("[#]Datatypes!A1344:L1344","SdtCode")</f>
        <v>SdtCode</v>
      </c>
      <c r="C7798" s="415" t="s">
        <v>15965</v>
      </c>
      <c r="D7798" s="221" t="s">
        <v>46547</v>
      </c>
      <c r="E7798" s="221">
        <v>1</v>
      </c>
      <c r="F7798" s="222" t="s">
        <v>46548</v>
      </c>
      <c r="G7798" s="223" t="s">
        <v>46549</v>
      </c>
      <c r="H7798" s="224"/>
      <c r="I7798" s="352" t="s">
        <v>46550</v>
      </c>
      <c r="J7798" s="39">
        <v>109830</v>
      </c>
      <c r="K7798" s="36" t="str">
        <f>CONCATENATE(Cover!$D$6,"fdd/view?i=",J7798)</f>
        <v>https://www.dgiwg.org/FAD/fdd/view?i=109830</v>
      </c>
      <c r="L7798" s="36" t="s">
        <v>46551</v>
      </c>
      <c r="M7798" s="186"/>
      <c r="N7798" s="186"/>
      <c r="O7798" s="172"/>
    </row>
    <row r="7799" spans="1:15" ht="25.5" x14ac:dyDescent="0.2">
      <c r="A7799" s="197" t="str">
        <f t="shared" si="121"/>
        <v>SdtCode_dome</v>
      </c>
      <c r="B7799" s="409"/>
      <c r="C7799" s="416"/>
      <c r="D7799" s="198" t="s">
        <v>24619</v>
      </c>
      <c r="E7799" s="198">
        <v>2</v>
      </c>
      <c r="F7799" s="199" t="s">
        <v>24620</v>
      </c>
      <c r="G7799" s="1" t="s">
        <v>46552</v>
      </c>
      <c r="H7799" s="1" t="s">
        <v>46553</v>
      </c>
      <c r="I7799" s="351" t="s">
        <v>29277</v>
      </c>
      <c r="J7799" s="39">
        <v>109831</v>
      </c>
      <c r="K7799" s="36" t="str">
        <f>CONCATENATE(Cover!$D$6,"fdd/view?i=",J7799)</f>
        <v>https://www.dgiwg.org/FAD/fdd/view?i=109831</v>
      </c>
      <c r="L7799" s="36" t="s">
        <v>46554</v>
      </c>
      <c r="M7799" s="186"/>
      <c r="N7799" s="186"/>
      <c r="O7799" s="172"/>
    </row>
    <row r="7800" spans="1:15" ht="38.25" x14ac:dyDescent="0.2">
      <c r="A7800" s="197" t="str">
        <f t="shared" si="121"/>
        <v>SdtCode_domeTransverse</v>
      </c>
      <c r="B7800" s="409"/>
      <c r="C7800" s="416"/>
      <c r="D7800" s="198" t="s">
        <v>46555</v>
      </c>
      <c r="E7800" s="198">
        <v>8</v>
      </c>
      <c r="F7800" s="199" t="s">
        <v>46556</v>
      </c>
      <c r="G7800" s="1" t="s">
        <v>46557</v>
      </c>
      <c r="H7800" s="200"/>
      <c r="I7800" s="346"/>
      <c r="J7800" s="39">
        <v>110451</v>
      </c>
      <c r="K7800" s="36" t="str">
        <f>CONCATENATE(Cover!$D$6,"fdd/view?i=",J7800)</f>
        <v>https://www.dgiwg.org/FAD/fdd/view?i=110451</v>
      </c>
      <c r="L7800" s="36" t="s">
        <v>46558</v>
      </c>
      <c r="M7800" s="186"/>
      <c r="N7800" s="186"/>
      <c r="O7800" s="172"/>
    </row>
    <row r="7801" spans="1:15" ht="51" x14ac:dyDescent="0.2">
      <c r="A7801" s="197" t="str">
        <f t="shared" si="121"/>
        <v>SdtCode_linear</v>
      </c>
      <c r="B7801" s="409"/>
      <c r="C7801" s="416"/>
      <c r="D7801" s="198" t="s">
        <v>30351</v>
      </c>
      <c r="E7801" s="198">
        <v>4</v>
      </c>
      <c r="F7801" s="199" t="s">
        <v>30352</v>
      </c>
      <c r="G7801" s="1" t="s">
        <v>46559</v>
      </c>
      <c r="H7801" s="1" t="s">
        <v>46560</v>
      </c>
      <c r="I7801" s="346"/>
      <c r="J7801" s="39">
        <v>109833</v>
      </c>
      <c r="K7801" s="36" t="str">
        <f>CONCATENATE(Cover!$D$6,"fdd/view?i=",J7801)</f>
        <v>https://www.dgiwg.org/FAD/fdd/view?i=109833</v>
      </c>
      <c r="L7801" s="36" t="s">
        <v>46561</v>
      </c>
      <c r="M7801" s="186"/>
      <c r="N7801" s="186"/>
      <c r="O7801" s="172"/>
    </row>
    <row r="7802" spans="1:15" ht="38.25" x14ac:dyDescent="0.2">
      <c r="A7802" s="197" t="str">
        <f t="shared" si="121"/>
        <v>SdtCode_parabolic</v>
      </c>
      <c r="B7802" s="409"/>
      <c r="C7802" s="416"/>
      <c r="D7802" s="198" t="s">
        <v>46562</v>
      </c>
      <c r="E7802" s="198">
        <v>5</v>
      </c>
      <c r="F7802" s="199" t="s">
        <v>46563</v>
      </c>
      <c r="G7802" s="1" t="s">
        <v>46564</v>
      </c>
      <c r="H7802" s="1" t="s">
        <v>46565</v>
      </c>
      <c r="I7802" s="351" t="s">
        <v>46566</v>
      </c>
      <c r="J7802" s="39">
        <v>109834</v>
      </c>
      <c r="K7802" s="36" t="str">
        <f>CONCATENATE(Cover!$D$6,"fdd/view?i=",J7802)</f>
        <v>https://www.dgiwg.org/FAD/fdd/view?i=109834</v>
      </c>
      <c r="L7802" s="36" t="s">
        <v>46567</v>
      </c>
      <c r="M7802" s="186"/>
      <c r="N7802" s="186"/>
      <c r="O7802" s="172"/>
    </row>
    <row r="7803" spans="1:15" ht="25.5" x14ac:dyDescent="0.2">
      <c r="A7803" s="197" t="str">
        <f t="shared" si="121"/>
        <v>SdtCode_ripple</v>
      </c>
      <c r="B7803" s="409"/>
      <c r="C7803" s="416"/>
      <c r="D7803" s="198" t="s">
        <v>46568</v>
      </c>
      <c r="E7803" s="198">
        <v>6</v>
      </c>
      <c r="F7803" s="199" t="s">
        <v>46569</v>
      </c>
      <c r="G7803" s="1" t="s">
        <v>46570</v>
      </c>
      <c r="H7803" s="200"/>
      <c r="I7803" s="346"/>
      <c r="J7803" s="39">
        <v>109835</v>
      </c>
      <c r="K7803" s="36" t="str">
        <f>CONCATENATE(Cover!$D$6,"fdd/view?i=",J7803)</f>
        <v>https://www.dgiwg.org/FAD/fdd/view?i=109835</v>
      </c>
      <c r="L7803" s="36" t="s">
        <v>46571</v>
      </c>
      <c r="M7803" s="186"/>
      <c r="N7803" s="186"/>
      <c r="O7803" s="172"/>
    </row>
    <row r="7804" spans="1:15" ht="38.25" x14ac:dyDescent="0.2">
      <c r="A7804" s="197" t="str">
        <f t="shared" si="121"/>
        <v>SdtCode_star</v>
      </c>
      <c r="B7804" s="409"/>
      <c r="C7804" s="416"/>
      <c r="D7804" s="198" t="s">
        <v>46414</v>
      </c>
      <c r="E7804" s="198">
        <v>7</v>
      </c>
      <c r="F7804" s="199" t="s">
        <v>46415</v>
      </c>
      <c r="G7804" s="1" t="s">
        <v>46572</v>
      </c>
      <c r="H7804" s="1" t="s">
        <v>46573</v>
      </c>
      <c r="I7804" s="346"/>
      <c r="J7804" s="39">
        <v>109836</v>
      </c>
      <c r="K7804" s="36" t="str">
        <f>CONCATENATE(Cover!$D$6,"fdd/view?i=",J7804)</f>
        <v>https://www.dgiwg.org/FAD/fdd/view?i=109836</v>
      </c>
      <c r="L7804" s="36" t="s">
        <v>46574</v>
      </c>
      <c r="M7804" s="186"/>
      <c r="N7804" s="186"/>
      <c r="O7804" s="172"/>
    </row>
    <row r="7805" spans="1:15" ht="114.75" x14ac:dyDescent="0.2">
      <c r="A7805" s="203" t="str">
        <f t="shared" si="121"/>
        <v>SdtCode_transverse</v>
      </c>
      <c r="B7805" s="410"/>
      <c r="C7805" s="417"/>
      <c r="D7805" s="204" t="s">
        <v>46575</v>
      </c>
      <c r="E7805" s="204">
        <v>3</v>
      </c>
      <c r="F7805" s="205" t="s">
        <v>46576</v>
      </c>
      <c r="G7805" s="206" t="s">
        <v>46577</v>
      </c>
      <c r="H7805" s="206" t="s">
        <v>46578</v>
      </c>
      <c r="I7805" s="353" t="s">
        <v>24971</v>
      </c>
      <c r="J7805" s="39">
        <v>109832</v>
      </c>
      <c r="K7805" s="36" t="str">
        <f>CONCATENATE(Cover!$D$6,"fdd/view?i=",J7805)</f>
        <v>https://www.dgiwg.org/FAD/fdd/view?i=109832</v>
      </c>
      <c r="L7805" s="36" t="s">
        <v>46579</v>
      </c>
      <c r="M7805" s="186"/>
      <c r="N7805" s="186"/>
      <c r="O7805" s="172"/>
    </row>
    <row r="7806" spans="1:15" ht="51" x14ac:dyDescent="0.2">
      <c r="A7806" s="190" t="str">
        <f t="shared" si="121"/>
        <v>SbaCode_europeanGeoNavOverlayServ</v>
      </c>
      <c r="B7806" s="414" t="str">
        <f>HYPERLINK("[#]Datatypes!A1348:L1348","SbaCode")</f>
        <v>SbaCode</v>
      </c>
      <c r="C7806" s="415" t="s">
        <v>15970</v>
      </c>
      <c r="D7806" s="221" t="s">
        <v>46580</v>
      </c>
      <c r="E7806" s="221">
        <v>1</v>
      </c>
      <c r="F7806" s="222" t="s">
        <v>46581</v>
      </c>
      <c r="G7806" s="223" t="s">
        <v>46582</v>
      </c>
      <c r="H7806" s="224"/>
      <c r="I7806" s="345"/>
      <c r="J7806" s="39">
        <v>116578</v>
      </c>
      <c r="K7806" s="36" t="str">
        <f>CONCATENATE(Cover!$D$6,"fdd/view?i=",J7806)</f>
        <v>https://www.dgiwg.org/FAD/fdd/view?i=116578</v>
      </c>
      <c r="L7806" s="36" t="s">
        <v>46583</v>
      </c>
      <c r="M7806" s="186"/>
      <c r="N7806" s="186"/>
      <c r="O7806" s="172"/>
    </row>
    <row r="7807" spans="1:15" ht="89.25" x14ac:dyDescent="0.2">
      <c r="A7807" s="197" t="str">
        <f t="shared" si="121"/>
        <v>SbaCode_localAreaAugmentSystem</v>
      </c>
      <c r="B7807" s="409"/>
      <c r="C7807" s="416"/>
      <c r="D7807" s="198" t="s">
        <v>46584</v>
      </c>
      <c r="E7807" s="198">
        <v>4</v>
      </c>
      <c r="F7807" s="199" t="s">
        <v>46585</v>
      </c>
      <c r="G7807" s="1" t="s">
        <v>46586</v>
      </c>
      <c r="H7807" s="1" t="s">
        <v>46587</v>
      </c>
      <c r="I7807" s="346"/>
      <c r="J7807" s="39">
        <v>116581</v>
      </c>
      <c r="K7807" s="36" t="str">
        <f>CONCATENATE(Cover!$D$6,"fdd/view?i=",J7807)</f>
        <v>https://www.dgiwg.org/FAD/fdd/view?i=116581</v>
      </c>
      <c r="L7807" s="36" t="s">
        <v>46588</v>
      </c>
      <c r="M7807" s="186"/>
      <c r="N7807" s="186"/>
      <c r="O7807" s="172"/>
    </row>
    <row r="7808" spans="1:15" ht="51" x14ac:dyDescent="0.2">
      <c r="A7808" s="197" t="str">
        <f t="shared" si="121"/>
        <v>SbaCode_multiFuncTransSatAugSys</v>
      </c>
      <c r="B7808" s="409"/>
      <c r="C7808" s="416"/>
      <c r="D7808" s="198" t="s">
        <v>46589</v>
      </c>
      <c r="E7808" s="198">
        <v>2</v>
      </c>
      <c r="F7808" s="199" t="s">
        <v>46590</v>
      </c>
      <c r="G7808" s="1" t="s">
        <v>46591</v>
      </c>
      <c r="H7808" s="200"/>
      <c r="I7808" s="346"/>
      <c r="J7808" s="39">
        <v>116579</v>
      </c>
      <c r="K7808" s="36" t="str">
        <f>CONCATENATE(Cover!$D$6,"fdd/view?i=",J7808)</f>
        <v>https://www.dgiwg.org/FAD/fdd/view?i=116579</v>
      </c>
      <c r="L7808" s="36" t="s">
        <v>46592</v>
      </c>
      <c r="M7808" s="186"/>
      <c r="N7808" s="186"/>
      <c r="O7808" s="172"/>
    </row>
    <row r="7809" spans="1:15" ht="153" x14ac:dyDescent="0.2">
      <c r="A7809" s="203" t="str">
        <f t="shared" si="121"/>
        <v>SbaCode_wideAreaAugmentSystem</v>
      </c>
      <c r="B7809" s="410"/>
      <c r="C7809" s="417"/>
      <c r="D7809" s="204" t="s">
        <v>46593</v>
      </c>
      <c r="E7809" s="204">
        <v>3</v>
      </c>
      <c r="F7809" s="205" t="s">
        <v>46594</v>
      </c>
      <c r="G7809" s="206" t="s">
        <v>46595</v>
      </c>
      <c r="H7809" s="206" t="s">
        <v>46596</v>
      </c>
      <c r="I7809" s="347"/>
      <c r="J7809" s="39">
        <v>116580</v>
      </c>
      <c r="K7809" s="36" t="str">
        <f>CONCATENATE(Cover!$D$6,"fdd/view?i=",J7809)</f>
        <v>https://www.dgiwg.org/FAD/fdd/view?i=116580</v>
      </c>
      <c r="L7809" s="36" t="s">
        <v>46597</v>
      </c>
      <c r="M7809" s="186"/>
      <c r="N7809" s="186"/>
      <c r="O7809" s="172"/>
    </row>
    <row r="7810" spans="1:15" x14ac:dyDescent="0.2">
      <c r="A7810" s="190" t="str">
        <f t="shared" ref="A7810:A7873" si="122">HYPERLINK(K7810,L7810)</f>
        <v>PheCode_bridge</v>
      </c>
      <c r="B7810" s="414" t="str">
        <f>HYPERLINK("[#]Datatypes!A1350:L1350","PheCode")</f>
        <v>PheCode</v>
      </c>
      <c r="C7810" s="415" t="s">
        <v>15972</v>
      </c>
      <c r="D7810" s="221" t="s">
        <v>24026</v>
      </c>
      <c r="E7810" s="221">
        <v>3</v>
      </c>
      <c r="F7810" s="222" t="s">
        <v>2332</v>
      </c>
      <c r="G7810" s="223" t="s">
        <v>46598</v>
      </c>
      <c r="H7810" s="224"/>
      <c r="I7810" s="345"/>
      <c r="J7810" s="39">
        <v>118299</v>
      </c>
      <c r="K7810" s="36" t="str">
        <f>CONCATENATE(Cover!$D$6,"fdd/view?i=",J7810)</f>
        <v>https://www.dgiwg.org/FAD/fdd/view?i=118299</v>
      </c>
      <c r="L7810" s="36" t="s">
        <v>46599</v>
      </c>
      <c r="M7810" s="186"/>
      <c r="N7810" s="186"/>
      <c r="O7810" s="172"/>
    </row>
    <row r="7811" spans="1:15" x14ac:dyDescent="0.2">
      <c r="A7811" s="197" t="str">
        <f t="shared" si="122"/>
        <v>PheCode_culvert</v>
      </c>
      <c r="B7811" s="409"/>
      <c r="C7811" s="416"/>
      <c r="D7811" s="198" t="s">
        <v>46234</v>
      </c>
      <c r="E7811" s="198">
        <v>2</v>
      </c>
      <c r="F7811" s="199" t="s">
        <v>2687</v>
      </c>
      <c r="G7811" s="1" t="s">
        <v>46600</v>
      </c>
      <c r="H7811" s="200"/>
      <c r="I7811" s="346"/>
      <c r="J7811" s="39">
        <v>118298</v>
      </c>
      <c r="K7811" s="36" t="str">
        <f>CONCATENATE(Cover!$D$6,"fdd/view?i=",J7811)</f>
        <v>https://www.dgiwg.org/FAD/fdd/view?i=118298</v>
      </c>
      <c r="L7811" s="36" t="s">
        <v>46601</v>
      </c>
      <c r="M7811" s="186"/>
      <c r="N7811" s="186"/>
      <c r="O7811" s="172"/>
    </row>
    <row r="7812" spans="1:15" x14ac:dyDescent="0.2">
      <c r="A7812" s="197" t="str">
        <f t="shared" si="122"/>
        <v>PheCode_desertedArea</v>
      </c>
      <c r="B7812" s="409"/>
      <c r="C7812" s="416"/>
      <c r="D7812" s="198" t="s">
        <v>46602</v>
      </c>
      <c r="E7812" s="198">
        <v>8</v>
      </c>
      <c r="F7812" s="199" t="s">
        <v>46603</v>
      </c>
      <c r="G7812" s="1" t="s">
        <v>46604</v>
      </c>
      <c r="H7812" s="200"/>
      <c r="I7812" s="346"/>
      <c r="J7812" s="39">
        <v>118304</v>
      </c>
      <c r="K7812" s="36" t="str">
        <f>CONCATENATE(Cover!$D$6,"fdd/view?i=",J7812)</f>
        <v>https://www.dgiwg.org/FAD/fdd/view?i=118304</v>
      </c>
      <c r="L7812" s="36" t="s">
        <v>46605</v>
      </c>
      <c r="M7812" s="186"/>
      <c r="N7812" s="186"/>
      <c r="O7812" s="172"/>
    </row>
    <row r="7813" spans="1:15" ht="25.5" x14ac:dyDescent="0.2">
      <c r="A7813" s="197" t="str">
        <f t="shared" si="122"/>
        <v>PheCode_entranceGate</v>
      </c>
      <c r="B7813" s="409"/>
      <c r="C7813" s="416"/>
      <c r="D7813" s="198" t="s">
        <v>46606</v>
      </c>
      <c r="E7813" s="198">
        <v>22</v>
      </c>
      <c r="F7813" s="199" t="s">
        <v>46607</v>
      </c>
      <c r="G7813" s="1" t="s">
        <v>46608</v>
      </c>
      <c r="H7813" s="200"/>
      <c r="I7813" s="346"/>
      <c r="J7813" s="39">
        <v>118312</v>
      </c>
      <c r="K7813" s="36" t="str">
        <f>CONCATENATE(Cover!$D$6,"fdd/view?i=",J7813)</f>
        <v>https://www.dgiwg.org/FAD/fdd/view?i=118312</v>
      </c>
      <c r="L7813" s="36" t="s">
        <v>46609</v>
      </c>
      <c r="M7813" s="186"/>
      <c r="N7813" s="186"/>
      <c r="O7813" s="172"/>
    </row>
    <row r="7814" spans="1:15" ht="25.5" x14ac:dyDescent="0.2">
      <c r="A7814" s="197" t="str">
        <f t="shared" si="122"/>
        <v>PheCode_gasStation</v>
      </c>
      <c r="B7814" s="409"/>
      <c r="C7814" s="416"/>
      <c r="D7814" s="198" t="s">
        <v>46610</v>
      </c>
      <c r="E7814" s="198">
        <v>19</v>
      </c>
      <c r="F7814" s="199" t="s">
        <v>46611</v>
      </c>
      <c r="G7814" s="1" t="s">
        <v>46612</v>
      </c>
      <c r="H7814" s="200"/>
      <c r="I7814" s="346"/>
      <c r="J7814" s="39">
        <v>118310</v>
      </c>
      <c r="K7814" s="36" t="str">
        <f>CONCATENATE(Cover!$D$6,"fdd/view?i=",J7814)</f>
        <v>https://www.dgiwg.org/FAD/fdd/view?i=118310</v>
      </c>
      <c r="L7814" s="36" t="s">
        <v>46613</v>
      </c>
      <c r="M7814" s="186"/>
      <c r="N7814" s="186"/>
      <c r="O7814" s="172"/>
    </row>
    <row r="7815" spans="1:15" ht="25.5" x14ac:dyDescent="0.2">
      <c r="A7815" s="197" t="str">
        <f t="shared" si="122"/>
        <v>PheCode_higherGround</v>
      </c>
      <c r="B7815" s="409"/>
      <c r="C7815" s="416"/>
      <c r="D7815" s="198" t="s">
        <v>25958</v>
      </c>
      <c r="E7815" s="198">
        <v>21</v>
      </c>
      <c r="F7815" s="199" t="s">
        <v>25959</v>
      </c>
      <c r="G7815" s="1" t="s">
        <v>25960</v>
      </c>
      <c r="H7815" s="200"/>
      <c r="I7815" s="346"/>
      <c r="J7815" s="39">
        <v>118311</v>
      </c>
      <c r="K7815" s="36" t="str">
        <f>CONCATENATE(Cover!$D$6,"fdd/view?i=",J7815)</f>
        <v>https://www.dgiwg.org/FAD/fdd/view?i=118311</v>
      </c>
      <c r="L7815" s="36" t="s">
        <v>46614</v>
      </c>
      <c r="M7815" s="186"/>
      <c r="N7815" s="186"/>
      <c r="O7815" s="172"/>
    </row>
    <row r="7816" spans="1:15" x14ac:dyDescent="0.2">
      <c r="A7816" s="197" t="str">
        <f t="shared" si="122"/>
        <v>PheCode_isafCamp</v>
      </c>
      <c r="B7816" s="409"/>
      <c r="C7816" s="416"/>
      <c r="D7816" s="198" t="s">
        <v>46615</v>
      </c>
      <c r="E7816" s="198">
        <v>14</v>
      </c>
      <c r="F7816" s="199" t="s">
        <v>46616</v>
      </c>
      <c r="G7816" s="1" t="s">
        <v>46617</v>
      </c>
      <c r="H7816" s="200"/>
      <c r="I7816" s="346"/>
      <c r="J7816" s="39">
        <v>118309</v>
      </c>
      <c r="K7816" s="36" t="str">
        <f>CONCATENATE(Cover!$D$6,"fdd/view?i=",J7816)</f>
        <v>https://www.dgiwg.org/FAD/fdd/view?i=118309</v>
      </c>
      <c r="L7816" s="36" t="s">
        <v>46618</v>
      </c>
      <c r="M7816" s="186"/>
      <c r="N7816" s="186"/>
      <c r="O7816" s="172"/>
    </row>
    <row r="7817" spans="1:15" ht="25.5" x14ac:dyDescent="0.2">
      <c r="A7817" s="197" t="str">
        <f t="shared" si="122"/>
        <v>PheCode_isafFob</v>
      </c>
      <c r="B7817" s="409"/>
      <c r="C7817" s="416"/>
      <c r="D7817" s="198" t="s">
        <v>46619</v>
      </c>
      <c r="E7817" s="198">
        <v>13</v>
      </c>
      <c r="F7817" s="199" t="s">
        <v>46620</v>
      </c>
      <c r="G7817" s="1" t="s">
        <v>46621</v>
      </c>
      <c r="H7817" s="200"/>
      <c r="I7817" s="346"/>
      <c r="J7817" s="39">
        <v>118308</v>
      </c>
      <c r="K7817" s="36" t="str">
        <f>CONCATENATE(Cover!$D$6,"fdd/view?i=",J7817)</f>
        <v>https://www.dgiwg.org/FAD/fdd/view?i=118308</v>
      </c>
      <c r="L7817" s="36" t="s">
        <v>46622</v>
      </c>
      <c r="M7817" s="186"/>
      <c r="N7817" s="186"/>
      <c r="O7817" s="172"/>
    </row>
    <row r="7818" spans="1:15" x14ac:dyDescent="0.2">
      <c r="A7818" s="197" t="str">
        <f t="shared" si="122"/>
        <v>PheCode_marketPlace</v>
      </c>
      <c r="B7818" s="409"/>
      <c r="C7818" s="416"/>
      <c r="D7818" s="198" t="s">
        <v>46623</v>
      </c>
      <c r="E7818" s="198">
        <v>7</v>
      </c>
      <c r="F7818" s="199" t="s">
        <v>46624</v>
      </c>
      <c r="G7818" s="1" t="s">
        <v>46625</v>
      </c>
      <c r="H7818" s="200"/>
      <c r="I7818" s="346"/>
      <c r="J7818" s="39">
        <v>118303</v>
      </c>
      <c r="K7818" s="36" t="str">
        <f>CONCATENATE(Cover!$D$6,"fdd/view?i=",J7818)</f>
        <v>https://www.dgiwg.org/FAD/fdd/view?i=118303</v>
      </c>
      <c r="L7818" s="36" t="s">
        <v>46626</v>
      </c>
      <c r="M7818" s="186"/>
      <c r="N7818" s="186"/>
      <c r="O7818" s="172"/>
    </row>
    <row r="7819" spans="1:15" ht="25.5" x14ac:dyDescent="0.2">
      <c r="A7819" s="197" t="str">
        <f t="shared" si="122"/>
        <v>PheCode_privateBuilding</v>
      </c>
      <c r="B7819" s="409"/>
      <c r="C7819" s="416"/>
      <c r="D7819" s="198" t="s">
        <v>46627</v>
      </c>
      <c r="E7819" s="198">
        <v>11</v>
      </c>
      <c r="F7819" s="199" t="s">
        <v>46628</v>
      </c>
      <c r="G7819" s="1" t="s">
        <v>46629</v>
      </c>
      <c r="H7819" s="200"/>
      <c r="I7819" s="346"/>
      <c r="J7819" s="39">
        <v>118307</v>
      </c>
      <c r="K7819" s="36" t="str">
        <f>CONCATENATE(Cover!$D$6,"fdd/view?i=",J7819)</f>
        <v>https://www.dgiwg.org/FAD/fdd/view?i=118307</v>
      </c>
      <c r="L7819" s="36" t="s">
        <v>46630</v>
      </c>
      <c r="M7819" s="186"/>
      <c r="N7819" s="186"/>
      <c r="O7819" s="172"/>
    </row>
    <row r="7820" spans="1:15" ht="25.5" x14ac:dyDescent="0.2">
      <c r="A7820" s="197" t="str">
        <f t="shared" si="122"/>
        <v>PheCode_publicBuilding</v>
      </c>
      <c r="B7820" s="409"/>
      <c r="C7820" s="416"/>
      <c r="D7820" s="198" t="s">
        <v>46631</v>
      </c>
      <c r="E7820" s="198">
        <v>10</v>
      </c>
      <c r="F7820" s="199" t="s">
        <v>46632</v>
      </c>
      <c r="G7820" s="1" t="s">
        <v>46633</v>
      </c>
      <c r="H7820" s="200"/>
      <c r="I7820" s="346"/>
      <c r="J7820" s="39">
        <v>118306</v>
      </c>
      <c r="K7820" s="36" t="str">
        <f>CONCATENATE(Cover!$D$6,"fdd/view?i=",J7820)</f>
        <v>https://www.dgiwg.org/FAD/fdd/view?i=118306</v>
      </c>
      <c r="L7820" s="36" t="s">
        <v>46634</v>
      </c>
      <c r="M7820" s="186"/>
      <c r="N7820" s="186"/>
      <c r="O7820" s="172"/>
    </row>
    <row r="7821" spans="1:15" x14ac:dyDescent="0.2">
      <c r="A7821" s="197" t="str">
        <f t="shared" si="122"/>
        <v>PheCode_qanat</v>
      </c>
      <c r="B7821" s="409"/>
      <c r="C7821" s="416"/>
      <c r="D7821" s="198" t="s">
        <v>22279</v>
      </c>
      <c r="E7821" s="198">
        <v>4</v>
      </c>
      <c r="F7821" s="199" t="s">
        <v>22280</v>
      </c>
      <c r="G7821" s="1" t="s">
        <v>46635</v>
      </c>
      <c r="H7821" s="200"/>
      <c r="I7821" s="346"/>
      <c r="J7821" s="39">
        <v>118300</v>
      </c>
      <c r="K7821" s="36" t="str">
        <f>CONCATENATE(Cover!$D$6,"fdd/view?i=",J7821)</f>
        <v>https://www.dgiwg.org/FAD/fdd/view?i=118300</v>
      </c>
      <c r="L7821" s="36" t="s">
        <v>46636</v>
      </c>
      <c r="M7821" s="186"/>
      <c r="N7821" s="186"/>
      <c r="O7821" s="172"/>
    </row>
    <row r="7822" spans="1:15" ht="25.5" x14ac:dyDescent="0.2">
      <c r="A7822" s="197" t="str">
        <f t="shared" si="122"/>
        <v>PheCode_qanatShaft</v>
      </c>
      <c r="B7822" s="409"/>
      <c r="C7822" s="416"/>
      <c r="D7822" s="198" t="s">
        <v>46637</v>
      </c>
      <c r="E7822" s="198">
        <v>5</v>
      </c>
      <c r="F7822" s="199" t="s">
        <v>4585</v>
      </c>
      <c r="G7822" s="1" t="s">
        <v>46638</v>
      </c>
      <c r="H7822" s="200"/>
      <c r="I7822" s="346"/>
      <c r="J7822" s="39">
        <v>118301</v>
      </c>
      <c r="K7822" s="36" t="str">
        <f>CONCATENATE(Cover!$D$6,"fdd/view?i=",J7822)</f>
        <v>https://www.dgiwg.org/FAD/fdd/view?i=118301</v>
      </c>
      <c r="L7822" s="36" t="s">
        <v>46639</v>
      </c>
      <c r="M7822" s="186"/>
      <c r="N7822" s="186"/>
      <c r="O7822" s="172"/>
    </row>
    <row r="7823" spans="1:15" ht="25.5" x14ac:dyDescent="0.2">
      <c r="A7823" s="197" t="str">
        <f t="shared" si="122"/>
        <v>PheCode_railwayCrossing</v>
      </c>
      <c r="B7823" s="409"/>
      <c r="C7823" s="416"/>
      <c r="D7823" s="198" t="s">
        <v>46640</v>
      </c>
      <c r="E7823" s="198">
        <v>32</v>
      </c>
      <c r="F7823" s="199" t="s">
        <v>46641</v>
      </c>
      <c r="G7823" s="1" t="s">
        <v>46642</v>
      </c>
      <c r="H7823" s="200"/>
      <c r="I7823" s="346"/>
      <c r="J7823" s="39">
        <v>118313</v>
      </c>
      <c r="K7823" s="36" t="str">
        <f>CONCATENATE(Cover!$D$6,"fdd/view?i=",J7823)</f>
        <v>https://www.dgiwg.org/FAD/fdd/view?i=118313</v>
      </c>
      <c r="L7823" s="36" t="s">
        <v>46643</v>
      </c>
      <c r="M7823" s="186"/>
      <c r="N7823" s="186"/>
      <c r="O7823" s="172"/>
    </row>
    <row r="7824" spans="1:15" ht="25.5" x14ac:dyDescent="0.2">
      <c r="A7824" s="197" t="str">
        <f t="shared" si="122"/>
        <v>PheCode_undergroundUtilityDuct</v>
      </c>
      <c r="B7824" s="409"/>
      <c r="C7824" s="416"/>
      <c r="D7824" s="198" t="s">
        <v>46644</v>
      </c>
      <c r="E7824" s="198">
        <v>6</v>
      </c>
      <c r="F7824" s="199" t="s">
        <v>46645</v>
      </c>
      <c r="G7824" s="1" t="s">
        <v>46646</v>
      </c>
      <c r="H7824" s="200"/>
      <c r="I7824" s="346"/>
      <c r="J7824" s="39">
        <v>118302</v>
      </c>
      <c r="K7824" s="36" t="str">
        <f>CONCATENATE(Cover!$D$6,"fdd/view?i=",J7824)</f>
        <v>https://www.dgiwg.org/FAD/fdd/view?i=118302</v>
      </c>
      <c r="L7824" s="36" t="s">
        <v>46647</v>
      </c>
      <c r="M7824" s="186"/>
      <c r="N7824" s="186"/>
      <c r="O7824" s="172"/>
    </row>
    <row r="7825" spans="1:15" ht="25.5" x14ac:dyDescent="0.2">
      <c r="A7825" s="197" t="str">
        <f t="shared" si="122"/>
        <v>PheCode_urbanEnvironment</v>
      </c>
      <c r="B7825" s="409"/>
      <c r="C7825" s="416"/>
      <c r="D7825" s="198" t="s">
        <v>46648</v>
      </c>
      <c r="E7825" s="198">
        <v>9</v>
      </c>
      <c r="F7825" s="199" t="s">
        <v>46649</v>
      </c>
      <c r="G7825" s="1" t="s">
        <v>46650</v>
      </c>
      <c r="H7825" s="200"/>
      <c r="I7825" s="346"/>
      <c r="J7825" s="39">
        <v>118305</v>
      </c>
      <c r="K7825" s="36" t="str">
        <f>CONCATENATE(Cover!$D$6,"fdd/view?i=",J7825)</f>
        <v>https://www.dgiwg.org/FAD/fdd/view?i=118305</v>
      </c>
      <c r="L7825" s="36" t="s">
        <v>46651</v>
      </c>
      <c r="M7825" s="186"/>
      <c r="N7825" s="186"/>
      <c r="O7825" s="172"/>
    </row>
    <row r="7826" spans="1:15" ht="25.5" x14ac:dyDescent="0.2">
      <c r="A7826" s="203" t="str">
        <f t="shared" si="122"/>
        <v>PheCode_utilityCover</v>
      </c>
      <c r="B7826" s="410"/>
      <c r="C7826" s="417"/>
      <c r="D7826" s="204" t="s">
        <v>46652</v>
      </c>
      <c r="E7826" s="204">
        <v>1</v>
      </c>
      <c r="F7826" s="205" t="s">
        <v>5667</v>
      </c>
      <c r="G7826" s="206" t="s">
        <v>46653</v>
      </c>
      <c r="H7826" s="207"/>
      <c r="I7826" s="347"/>
      <c r="J7826" s="39">
        <v>118297</v>
      </c>
      <c r="K7826" s="36" t="str">
        <f>CONCATENATE(Cover!$D$6,"fdd/view?i=",J7826)</f>
        <v>https://www.dgiwg.org/FAD/fdd/view?i=118297</v>
      </c>
      <c r="L7826" s="36" t="s">
        <v>46654</v>
      </c>
      <c r="M7826" s="186"/>
      <c r="N7826" s="186"/>
      <c r="O7826" s="172"/>
    </row>
    <row r="7827" spans="1:15" ht="25.5" x14ac:dyDescent="0.2">
      <c r="A7827" s="190" t="str">
        <f t="shared" si="122"/>
        <v>WscCode_automobile</v>
      </c>
      <c r="B7827" s="414" t="str">
        <f>HYPERLINK("[#]Datatypes!A1352:L1352","WscCode")</f>
        <v>WscCode</v>
      </c>
      <c r="C7827" s="415" t="s">
        <v>15974</v>
      </c>
      <c r="D7827" s="221" t="s">
        <v>46655</v>
      </c>
      <c r="E7827" s="221">
        <v>1</v>
      </c>
      <c r="F7827" s="222" t="s">
        <v>46656</v>
      </c>
      <c r="G7827" s="223" t="s">
        <v>46657</v>
      </c>
      <c r="H7827" s="224"/>
      <c r="I7827" s="345"/>
      <c r="J7827" s="39">
        <v>109627</v>
      </c>
      <c r="K7827" s="36" t="str">
        <f>CONCATENATE(Cover!$D$6,"fdd/view?i=",J7827)</f>
        <v>https://www.dgiwg.org/FAD/fdd/view?i=109627</v>
      </c>
      <c r="L7827" s="36" t="s">
        <v>46658</v>
      </c>
      <c r="M7827" s="186"/>
      <c r="N7827" s="186"/>
      <c r="O7827" s="172"/>
    </row>
    <row r="7828" spans="1:15" x14ac:dyDescent="0.2">
      <c r="A7828" s="197" t="str">
        <f t="shared" si="122"/>
        <v>WscCode_glass</v>
      </c>
      <c r="B7828" s="409"/>
      <c r="C7828" s="416"/>
      <c r="D7828" s="198" t="s">
        <v>43458</v>
      </c>
      <c r="E7828" s="198">
        <v>5</v>
      </c>
      <c r="F7828" s="199" t="s">
        <v>43459</v>
      </c>
      <c r="G7828" s="1" t="s">
        <v>46659</v>
      </c>
      <c r="H7828" s="200"/>
      <c r="I7828" s="346"/>
      <c r="J7828" s="39">
        <v>110655</v>
      </c>
      <c r="K7828" s="36" t="str">
        <f>CONCATENATE(Cover!$D$6,"fdd/view?i=",J7828)</f>
        <v>https://www.dgiwg.org/FAD/fdd/view?i=110655</v>
      </c>
      <c r="L7828" s="36" t="s">
        <v>46660</v>
      </c>
      <c r="M7828" s="186"/>
      <c r="N7828" s="186"/>
      <c r="O7828" s="172"/>
    </row>
    <row r="7829" spans="1:15" ht="25.5" x14ac:dyDescent="0.2">
      <c r="A7829" s="197" t="str">
        <f t="shared" si="122"/>
        <v>WscCode_iron</v>
      </c>
      <c r="B7829" s="409"/>
      <c r="C7829" s="416"/>
      <c r="D7829" s="198" t="s">
        <v>25766</v>
      </c>
      <c r="E7829" s="198">
        <v>2</v>
      </c>
      <c r="F7829" s="199" t="s">
        <v>43508</v>
      </c>
      <c r="G7829" s="1" t="s">
        <v>46661</v>
      </c>
      <c r="H7829" s="1" t="s">
        <v>46662</v>
      </c>
      <c r="I7829" s="346"/>
      <c r="J7829" s="39">
        <v>110652</v>
      </c>
      <c r="K7829" s="36" t="str">
        <f>CONCATENATE(Cover!$D$6,"fdd/view?i=",J7829)</f>
        <v>https://www.dgiwg.org/FAD/fdd/view?i=110652</v>
      </c>
      <c r="L7829" s="36" t="s">
        <v>46663</v>
      </c>
      <c r="M7829" s="186"/>
      <c r="N7829" s="186"/>
      <c r="O7829" s="172"/>
    </row>
    <row r="7830" spans="1:15" x14ac:dyDescent="0.2">
      <c r="A7830" s="197" t="str">
        <f t="shared" si="122"/>
        <v>WscCode_paper</v>
      </c>
      <c r="B7830" s="409"/>
      <c r="C7830" s="416"/>
      <c r="D7830" s="198" t="s">
        <v>43627</v>
      </c>
      <c r="E7830" s="198">
        <v>3</v>
      </c>
      <c r="F7830" s="199" t="s">
        <v>43628</v>
      </c>
      <c r="G7830" s="1" t="s">
        <v>46664</v>
      </c>
      <c r="H7830" s="200"/>
      <c r="I7830" s="346"/>
      <c r="J7830" s="39">
        <v>110653</v>
      </c>
      <c r="K7830" s="36" t="str">
        <f>CONCATENATE(Cover!$D$6,"fdd/view?i=",J7830)</f>
        <v>https://www.dgiwg.org/FAD/fdd/view?i=110653</v>
      </c>
      <c r="L7830" s="36" t="s">
        <v>46665</v>
      </c>
      <c r="M7830" s="186"/>
      <c r="N7830" s="186"/>
      <c r="O7830" s="172"/>
    </row>
    <row r="7831" spans="1:15" x14ac:dyDescent="0.2">
      <c r="A7831" s="203" t="str">
        <f t="shared" si="122"/>
        <v>WscCode_plastic</v>
      </c>
      <c r="B7831" s="410"/>
      <c r="C7831" s="417"/>
      <c r="D7831" s="204" t="s">
        <v>43659</v>
      </c>
      <c r="E7831" s="204">
        <v>4</v>
      </c>
      <c r="F7831" s="205" t="s">
        <v>43660</v>
      </c>
      <c r="G7831" s="206" t="s">
        <v>46666</v>
      </c>
      <c r="H7831" s="207"/>
      <c r="I7831" s="347"/>
      <c r="J7831" s="39">
        <v>110654</v>
      </c>
      <c r="K7831" s="36" t="str">
        <f>CONCATENATE(Cover!$D$6,"fdd/view?i=",J7831)</f>
        <v>https://www.dgiwg.org/FAD/fdd/view?i=110654</v>
      </c>
      <c r="L7831" s="36" t="s">
        <v>46667</v>
      </c>
      <c r="M7831" s="186"/>
      <c r="N7831" s="186"/>
      <c r="O7831" s="172"/>
    </row>
    <row r="7832" spans="1:15" x14ac:dyDescent="0.2">
      <c r="A7832" s="190" t="str">
        <f t="shared" si="122"/>
        <v>IccCode_bergyWater</v>
      </c>
      <c r="B7832" s="414" t="str">
        <f>HYPERLINK("[#]Datatypes!A1354:L1354","IccCode")</f>
        <v>IccCode</v>
      </c>
      <c r="C7832" s="415" t="s">
        <v>15976</v>
      </c>
      <c r="D7832" s="221" t="s">
        <v>46668</v>
      </c>
      <c r="E7832" s="221">
        <v>10</v>
      </c>
      <c r="F7832" s="222" t="s">
        <v>46669</v>
      </c>
      <c r="G7832" s="224"/>
      <c r="H7832" s="224"/>
      <c r="I7832" s="345"/>
      <c r="J7832" s="39">
        <v>104687</v>
      </c>
      <c r="K7832" s="36" t="str">
        <f>CONCATENATE(Cover!$D$6,"fdd/view?i=",J7832)</f>
        <v>https://www.dgiwg.org/FAD/fdd/view?i=104687</v>
      </c>
      <c r="L7832" s="36" t="s">
        <v>46670</v>
      </c>
      <c r="M7832" s="186"/>
      <c r="N7832" s="186"/>
      <c r="O7832" s="172"/>
    </row>
    <row r="7833" spans="1:15" ht="25.5" x14ac:dyDescent="0.2">
      <c r="A7833" s="197" t="str">
        <f t="shared" si="122"/>
        <v>IccCode_fastIce</v>
      </c>
      <c r="B7833" s="409"/>
      <c r="C7833" s="416"/>
      <c r="D7833" s="198" t="s">
        <v>46671</v>
      </c>
      <c r="E7833" s="198">
        <v>1</v>
      </c>
      <c r="F7833" s="199" t="s">
        <v>46672</v>
      </c>
      <c r="G7833" s="1" t="s">
        <v>46673</v>
      </c>
      <c r="H7833" s="200"/>
      <c r="I7833" s="346"/>
      <c r="J7833" s="39">
        <v>104678</v>
      </c>
      <c r="K7833" s="36" t="str">
        <f>CONCATENATE(Cover!$D$6,"fdd/view?i=",J7833)</f>
        <v>https://www.dgiwg.org/FAD/fdd/view?i=104678</v>
      </c>
      <c r="L7833" s="36" t="s">
        <v>46674</v>
      </c>
      <c r="M7833" s="186"/>
      <c r="N7833" s="186"/>
      <c r="O7833" s="172"/>
    </row>
    <row r="7834" spans="1:15" ht="25.5" x14ac:dyDescent="0.2">
      <c r="A7834" s="197" t="str">
        <f t="shared" si="122"/>
        <v>IccCode_glacier</v>
      </c>
      <c r="B7834" s="409"/>
      <c r="C7834" s="416"/>
      <c r="D7834" s="198" t="s">
        <v>25559</v>
      </c>
      <c r="E7834" s="198">
        <v>5</v>
      </c>
      <c r="F7834" s="199" t="s">
        <v>3346</v>
      </c>
      <c r="G7834" s="1" t="s">
        <v>46675</v>
      </c>
      <c r="H7834" s="200"/>
      <c r="I7834" s="346"/>
      <c r="J7834" s="39">
        <v>104682</v>
      </c>
      <c r="K7834" s="36" t="str">
        <f>CONCATENATE(Cover!$D$6,"fdd/view?i=",J7834)</f>
        <v>https://www.dgiwg.org/FAD/fdd/view?i=104682</v>
      </c>
      <c r="L7834" s="36" t="s">
        <v>46676</v>
      </c>
      <c r="M7834" s="186"/>
      <c r="N7834" s="186"/>
      <c r="O7834" s="172"/>
    </row>
    <row r="7835" spans="1:15" ht="38.25" x14ac:dyDescent="0.2">
      <c r="A7835" s="197" t="str">
        <f t="shared" si="122"/>
        <v>IccCode_growlerArea</v>
      </c>
      <c r="B7835" s="409"/>
      <c r="C7835" s="416"/>
      <c r="D7835" s="198" t="s">
        <v>46677</v>
      </c>
      <c r="E7835" s="198">
        <v>3</v>
      </c>
      <c r="F7835" s="199" t="s">
        <v>46678</v>
      </c>
      <c r="G7835" s="1" t="s">
        <v>46679</v>
      </c>
      <c r="H7835" s="1" t="s">
        <v>46680</v>
      </c>
      <c r="I7835" s="346"/>
      <c r="J7835" s="39">
        <v>104680</v>
      </c>
      <c r="K7835" s="36" t="str">
        <f>CONCATENATE(Cover!$D$6,"fdd/view?i=",J7835)</f>
        <v>https://www.dgiwg.org/FAD/fdd/view?i=104680</v>
      </c>
      <c r="L7835" s="36" t="s">
        <v>46681</v>
      </c>
      <c r="M7835" s="186"/>
      <c r="N7835" s="186"/>
      <c r="O7835" s="172"/>
    </row>
    <row r="7836" spans="1:15" ht="25.5" x14ac:dyDescent="0.2">
      <c r="A7836" s="197" t="str">
        <f t="shared" si="122"/>
        <v>IccCode_icePeak</v>
      </c>
      <c r="B7836" s="409"/>
      <c r="C7836" s="416"/>
      <c r="D7836" s="198" t="s">
        <v>46682</v>
      </c>
      <c r="E7836" s="198">
        <v>6</v>
      </c>
      <c r="F7836" s="199" t="s">
        <v>3582</v>
      </c>
      <c r="G7836" s="1" t="s">
        <v>3583</v>
      </c>
      <c r="H7836" s="200"/>
      <c r="I7836" s="351" t="s">
        <v>3584</v>
      </c>
      <c r="J7836" s="39">
        <v>104683</v>
      </c>
      <c r="K7836" s="36" t="str">
        <f>CONCATENATE(Cover!$D$6,"fdd/view?i=",J7836)</f>
        <v>https://www.dgiwg.org/FAD/fdd/view?i=104683</v>
      </c>
      <c r="L7836" s="36" t="s">
        <v>46683</v>
      </c>
      <c r="M7836" s="186"/>
      <c r="N7836" s="186"/>
      <c r="O7836" s="172"/>
    </row>
    <row r="7837" spans="1:15" x14ac:dyDescent="0.2">
      <c r="A7837" s="197" t="str">
        <f t="shared" si="122"/>
        <v>IccCode_levelIce</v>
      </c>
      <c r="B7837" s="409"/>
      <c r="C7837" s="416"/>
      <c r="D7837" s="198" t="s">
        <v>46684</v>
      </c>
      <c r="E7837" s="198">
        <v>12</v>
      </c>
      <c r="F7837" s="199" t="s">
        <v>46685</v>
      </c>
      <c r="G7837" s="200"/>
      <c r="H7837" s="200"/>
      <c r="I7837" s="346"/>
      <c r="J7837" s="39">
        <v>104689</v>
      </c>
      <c r="K7837" s="36" t="str">
        <f>CONCATENATE(Cover!$D$6,"fdd/view?i=",J7837)</f>
        <v>https://www.dgiwg.org/FAD/fdd/view?i=104689</v>
      </c>
      <c r="L7837" s="36" t="s">
        <v>46686</v>
      </c>
      <c r="M7837" s="186"/>
      <c r="N7837" s="186"/>
      <c r="O7837" s="172"/>
    </row>
    <row r="7838" spans="1:15" x14ac:dyDescent="0.2">
      <c r="A7838" s="197" t="str">
        <f t="shared" si="122"/>
        <v>IccCode_newIce</v>
      </c>
      <c r="B7838" s="409"/>
      <c r="C7838" s="416"/>
      <c r="D7838" s="198" t="s">
        <v>46687</v>
      </c>
      <c r="E7838" s="198">
        <v>11</v>
      </c>
      <c r="F7838" s="199" t="s">
        <v>46688</v>
      </c>
      <c r="G7838" s="200"/>
      <c r="H7838" s="200"/>
      <c r="I7838" s="346"/>
      <c r="J7838" s="39">
        <v>104688</v>
      </c>
      <c r="K7838" s="36" t="str">
        <f>CONCATENATE(Cover!$D$6,"fdd/view?i=",J7838)</f>
        <v>https://www.dgiwg.org/FAD/fdd/view?i=104688</v>
      </c>
      <c r="L7838" s="36" t="s">
        <v>46689</v>
      </c>
      <c r="M7838" s="186"/>
      <c r="N7838" s="186"/>
      <c r="O7838" s="172"/>
    </row>
    <row r="7839" spans="1:15" ht="102" x14ac:dyDescent="0.2">
      <c r="A7839" s="197" t="str">
        <f t="shared" si="122"/>
        <v>IccCode_packIce</v>
      </c>
      <c r="B7839" s="409"/>
      <c r="C7839" s="416"/>
      <c r="D7839" s="198" t="s">
        <v>46690</v>
      </c>
      <c r="E7839" s="198">
        <v>7</v>
      </c>
      <c r="F7839" s="199" t="s">
        <v>4397</v>
      </c>
      <c r="G7839" s="1" t="s">
        <v>4398</v>
      </c>
      <c r="H7839" s="1" t="s">
        <v>4399</v>
      </c>
      <c r="I7839" s="346"/>
      <c r="J7839" s="39">
        <v>104684</v>
      </c>
      <c r="K7839" s="36" t="str">
        <f>CONCATENATE(Cover!$D$6,"fdd/view?i=",J7839)</f>
        <v>https://www.dgiwg.org/FAD/fdd/view?i=104684</v>
      </c>
      <c r="L7839" s="36" t="s">
        <v>46691</v>
      </c>
      <c r="M7839" s="186"/>
      <c r="N7839" s="186"/>
      <c r="O7839" s="172"/>
    </row>
    <row r="7840" spans="1:15" ht="38.25" x14ac:dyDescent="0.2">
      <c r="A7840" s="197" t="str">
        <f t="shared" si="122"/>
        <v>IccCode_pancakeIce</v>
      </c>
      <c r="B7840" s="409"/>
      <c r="C7840" s="416"/>
      <c r="D7840" s="198" t="s">
        <v>46692</v>
      </c>
      <c r="E7840" s="198">
        <v>4</v>
      </c>
      <c r="F7840" s="199" t="s">
        <v>46693</v>
      </c>
      <c r="G7840" s="1" t="s">
        <v>46694</v>
      </c>
      <c r="H7840" s="200"/>
      <c r="I7840" s="346"/>
      <c r="J7840" s="39">
        <v>104681</v>
      </c>
      <c r="K7840" s="36" t="str">
        <f>CONCATENATE(Cover!$D$6,"fdd/view?i=",J7840)</f>
        <v>https://www.dgiwg.org/FAD/fdd/view?i=104681</v>
      </c>
      <c r="L7840" s="36" t="s">
        <v>46695</v>
      </c>
      <c r="M7840" s="186"/>
      <c r="N7840" s="186"/>
      <c r="O7840" s="172"/>
    </row>
    <row r="7841" spans="1:15" ht="38.25" x14ac:dyDescent="0.2">
      <c r="A7841" s="197" t="str">
        <f t="shared" si="122"/>
        <v>IccCode_polarIce</v>
      </c>
      <c r="B7841" s="409"/>
      <c r="C7841" s="416"/>
      <c r="D7841" s="198" t="s">
        <v>46696</v>
      </c>
      <c r="E7841" s="198">
        <v>8</v>
      </c>
      <c r="F7841" s="199" t="s">
        <v>4472</v>
      </c>
      <c r="G7841" s="1" t="s">
        <v>46697</v>
      </c>
      <c r="H7841" s="1" t="s">
        <v>46698</v>
      </c>
      <c r="I7841" s="346"/>
      <c r="J7841" s="39">
        <v>104685</v>
      </c>
      <c r="K7841" s="36" t="str">
        <f>CONCATENATE(Cover!$D$6,"fdd/view?i=",J7841)</f>
        <v>https://www.dgiwg.org/FAD/fdd/view?i=104685</v>
      </c>
      <c r="L7841" s="36" t="s">
        <v>46699</v>
      </c>
      <c r="M7841" s="186"/>
      <c r="N7841" s="186"/>
      <c r="O7841" s="172"/>
    </row>
    <row r="7842" spans="1:15" x14ac:dyDescent="0.2">
      <c r="A7842" s="203" t="str">
        <f t="shared" si="122"/>
        <v>IccCode_seaIce</v>
      </c>
      <c r="B7842" s="410"/>
      <c r="C7842" s="417"/>
      <c r="D7842" s="204" t="s">
        <v>46700</v>
      </c>
      <c r="E7842" s="204">
        <v>2</v>
      </c>
      <c r="F7842" s="205" t="s">
        <v>46701</v>
      </c>
      <c r="G7842" s="206" t="s">
        <v>46702</v>
      </c>
      <c r="H7842" s="206" t="s">
        <v>46703</v>
      </c>
      <c r="I7842" s="347"/>
      <c r="J7842" s="39">
        <v>104679</v>
      </c>
      <c r="K7842" s="36" t="str">
        <f>CONCATENATE(Cover!$D$6,"fdd/view?i=",J7842)</f>
        <v>https://www.dgiwg.org/FAD/fdd/view?i=104679</v>
      </c>
      <c r="L7842" s="36" t="s">
        <v>46704</v>
      </c>
      <c r="M7842" s="186"/>
      <c r="N7842" s="186"/>
      <c r="O7842" s="172"/>
    </row>
    <row r="7843" spans="1:15" ht="25.5" x14ac:dyDescent="0.2">
      <c r="A7843" s="190" t="str">
        <f t="shared" si="122"/>
        <v>McsCode_aluminum</v>
      </c>
      <c r="B7843" s="414" t="str">
        <f>HYPERLINK("[#]Datatypes!A1358:L1358","McsCode")</f>
        <v>McsCode</v>
      </c>
      <c r="C7843" s="415" t="s">
        <v>15981</v>
      </c>
      <c r="D7843" s="221" t="s">
        <v>25660</v>
      </c>
      <c r="E7843" s="221">
        <v>121</v>
      </c>
      <c r="F7843" s="222" t="s">
        <v>43276</v>
      </c>
      <c r="G7843" s="223" t="s">
        <v>43277</v>
      </c>
      <c r="H7843" s="224"/>
      <c r="I7843" s="345"/>
      <c r="J7843" s="39">
        <v>108250</v>
      </c>
      <c r="K7843" s="36" t="str">
        <f>CONCATENATE(Cover!$D$6,"fdd/view?i=",J7843)</f>
        <v>https://www.dgiwg.org/FAD/fdd/view?i=108250</v>
      </c>
      <c r="L7843" s="36" t="s">
        <v>46705</v>
      </c>
      <c r="M7843" s="186"/>
      <c r="N7843" s="186"/>
      <c r="O7843" s="172"/>
    </row>
    <row r="7844" spans="1:15" ht="25.5" x14ac:dyDescent="0.2">
      <c r="A7844" s="197" t="str">
        <f t="shared" si="122"/>
        <v>McsCode_ash</v>
      </c>
      <c r="B7844" s="409"/>
      <c r="C7844" s="416"/>
      <c r="D7844" s="198" t="s">
        <v>25254</v>
      </c>
      <c r="E7844" s="198">
        <v>4</v>
      </c>
      <c r="F7844" s="199" t="s">
        <v>25255</v>
      </c>
      <c r="G7844" s="1" t="s">
        <v>25256</v>
      </c>
      <c r="H7844" s="200"/>
      <c r="I7844" s="346"/>
      <c r="J7844" s="39">
        <v>105455</v>
      </c>
      <c r="K7844" s="36" t="str">
        <f>CONCATENATE(Cover!$D$6,"fdd/view?i=",J7844)</f>
        <v>https://www.dgiwg.org/FAD/fdd/view?i=105455</v>
      </c>
      <c r="L7844" s="36" t="s">
        <v>46706</v>
      </c>
      <c r="M7844" s="186"/>
      <c r="N7844" s="186"/>
      <c r="O7844" s="172"/>
    </row>
    <row r="7845" spans="1:15" ht="38.25" x14ac:dyDescent="0.2">
      <c r="A7845" s="197" t="str">
        <f t="shared" si="122"/>
        <v>McsCode_basalt</v>
      </c>
      <c r="B7845" s="409"/>
      <c r="C7845" s="416"/>
      <c r="D7845" s="198" t="s">
        <v>22299</v>
      </c>
      <c r="E7845" s="198">
        <v>122</v>
      </c>
      <c r="F7845" s="199" t="s">
        <v>22300</v>
      </c>
      <c r="G7845" s="1" t="s">
        <v>44407</v>
      </c>
      <c r="H7845" s="200"/>
      <c r="I7845" s="346"/>
      <c r="J7845" s="39">
        <v>108257</v>
      </c>
      <c r="K7845" s="36" t="str">
        <f>CONCATENATE(Cover!$D$6,"fdd/view?i=",J7845)</f>
        <v>https://www.dgiwg.org/FAD/fdd/view?i=108257</v>
      </c>
      <c r="L7845" s="36" t="s">
        <v>46707</v>
      </c>
      <c r="M7845" s="186"/>
      <c r="N7845" s="186"/>
      <c r="O7845" s="172"/>
    </row>
    <row r="7846" spans="1:15" ht="38.25" x14ac:dyDescent="0.2">
      <c r="A7846" s="197" t="str">
        <f t="shared" si="122"/>
        <v>McsCode_bedrock</v>
      </c>
      <c r="B7846" s="409"/>
      <c r="C7846" s="416"/>
      <c r="D7846" s="198" t="s">
        <v>24141</v>
      </c>
      <c r="E7846" s="198">
        <v>123</v>
      </c>
      <c r="F7846" s="199" t="s">
        <v>24142</v>
      </c>
      <c r="G7846" s="1" t="s">
        <v>24143</v>
      </c>
      <c r="H7846" s="1" t="s">
        <v>24144</v>
      </c>
      <c r="I7846" s="346"/>
      <c r="J7846" s="39">
        <v>108498</v>
      </c>
      <c r="K7846" s="36" t="str">
        <f>CONCATENATE(Cover!$D$6,"fdd/view?i=",J7846)</f>
        <v>https://www.dgiwg.org/FAD/fdd/view?i=108498</v>
      </c>
      <c r="L7846" s="36" t="s">
        <v>46708</v>
      </c>
      <c r="M7846" s="186"/>
      <c r="N7846" s="186"/>
      <c r="O7846" s="172"/>
    </row>
    <row r="7847" spans="1:15" x14ac:dyDescent="0.2">
      <c r="A7847" s="197" t="str">
        <f t="shared" si="122"/>
        <v>McsCode_boulders</v>
      </c>
      <c r="B7847" s="409"/>
      <c r="C7847" s="416"/>
      <c r="D7847" s="198" t="s">
        <v>22303</v>
      </c>
      <c r="E7847" s="198">
        <v>8</v>
      </c>
      <c r="F7847" s="199" t="s">
        <v>22304</v>
      </c>
      <c r="G7847" s="1" t="s">
        <v>24180</v>
      </c>
      <c r="H7847" s="200"/>
      <c r="I7847" s="346"/>
      <c r="J7847" s="39">
        <v>105456</v>
      </c>
      <c r="K7847" s="36" t="str">
        <f>CONCATENATE(Cover!$D$6,"fdd/view?i=",J7847)</f>
        <v>https://www.dgiwg.org/FAD/fdd/view?i=105456</v>
      </c>
      <c r="L7847" s="36" t="s">
        <v>46709</v>
      </c>
      <c r="M7847" s="186"/>
      <c r="N7847" s="186"/>
      <c r="O7847" s="172"/>
    </row>
    <row r="7848" spans="1:15" ht="38.25" x14ac:dyDescent="0.2">
      <c r="A7848" s="197" t="str">
        <f t="shared" si="122"/>
        <v>McsCode_breccia</v>
      </c>
      <c r="B7848" s="409"/>
      <c r="C7848" s="416"/>
      <c r="D7848" s="198" t="s">
        <v>43309</v>
      </c>
      <c r="E7848" s="198">
        <v>124</v>
      </c>
      <c r="F7848" s="199" t="s">
        <v>43310</v>
      </c>
      <c r="G7848" s="1" t="s">
        <v>43312</v>
      </c>
      <c r="H7848" s="200"/>
      <c r="I7848" s="346"/>
      <c r="J7848" s="39">
        <v>108566</v>
      </c>
      <c r="K7848" s="36" t="str">
        <f>CONCATENATE(Cover!$D$6,"fdd/view?i=",J7848)</f>
        <v>https://www.dgiwg.org/FAD/fdd/view?i=108566</v>
      </c>
      <c r="L7848" s="36" t="s">
        <v>46710</v>
      </c>
      <c r="M7848" s="186"/>
      <c r="N7848" s="186"/>
      <c r="O7848" s="172"/>
    </row>
    <row r="7849" spans="1:15" ht="25.5" x14ac:dyDescent="0.2">
      <c r="A7849" s="197" t="str">
        <f t="shared" si="122"/>
        <v>McsCode_brick</v>
      </c>
      <c r="B7849" s="409"/>
      <c r="C7849" s="416"/>
      <c r="D7849" s="198" t="s">
        <v>19533</v>
      </c>
      <c r="E7849" s="198">
        <v>125</v>
      </c>
      <c r="F7849" s="199" t="s">
        <v>19534</v>
      </c>
      <c r="G7849" s="1" t="s">
        <v>43314</v>
      </c>
      <c r="H7849" s="200"/>
      <c r="I7849" s="346"/>
      <c r="J7849" s="39">
        <v>108567</v>
      </c>
      <c r="K7849" s="36" t="str">
        <f>CONCATENATE(Cover!$D$6,"fdd/view?i=",J7849)</f>
        <v>https://www.dgiwg.org/FAD/fdd/view?i=108567</v>
      </c>
      <c r="L7849" s="36" t="s">
        <v>46711</v>
      </c>
      <c r="M7849" s="186"/>
      <c r="N7849" s="186"/>
      <c r="O7849" s="172"/>
    </row>
    <row r="7850" spans="1:15" ht="25.5" x14ac:dyDescent="0.2">
      <c r="A7850" s="197" t="str">
        <f t="shared" si="122"/>
        <v>McsCode_ceramic</v>
      </c>
      <c r="B7850" s="409"/>
      <c r="C7850" s="416"/>
      <c r="D7850" s="198" t="s">
        <v>46712</v>
      </c>
      <c r="E7850" s="198">
        <v>126</v>
      </c>
      <c r="F7850" s="199" t="s">
        <v>46713</v>
      </c>
      <c r="G7850" s="1" t="s">
        <v>46714</v>
      </c>
      <c r="H7850" s="1" t="s">
        <v>46715</v>
      </c>
      <c r="I7850" s="346"/>
      <c r="J7850" s="39">
        <v>108568</v>
      </c>
      <c r="K7850" s="36" t="str">
        <f>CONCATENATE(Cover!$D$6,"fdd/view?i=",J7850)</f>
        <v>https://www.dgiwg.org/FAD/fdd/view?i=108568</v>
      </c>
      <c r="L7850" s="36" t="s">
        <v>46716</v>
      </c>
      <c r="M7850" s="186"/>
      <c r="N7850" s="186"/>
      <c r="O7850" s="172"/>
    </row>
    <row r="7851" spans="1:15" ht="38.25" x14ac:dyDescent="0.2">
      <c r="A7851" s="197" t="str">
        <f t="shared" si="122"/>
        <v>McsCode_chalk</v>
      </c>
      <c r="B7851" s="409"/>
      <c r="C7851" s="416"/>
      <c r="D7851" s="198" t="s">
        <v>43328</v>
      </c>
      <c r="E7851" s="198">
        <v>12</v>
      </c>
      <c r="F7851" s="199" t="s">
        <v>43329</v>
      </c>
      <c r="G7851" s="1" t="s">
        <v>43330</v>
      </c>
      <c r="H7851" s="200"/>
      <c r="I7851" s="346"/>
      <c r="J7851" s="39">
        <v>105457</v>
      </c>
      <c r="K7851" s="36" t="str">
        <f>CONCATENATE(Cover!$D$6,"fdd/view?i=",J7851)</f>
        <v>https://www.dgiwg.org/FAD/fdd/view?i=105457</v>
      </c>
      <c r="L7851" s="36" t="s">
        <v>46717</v>
      </c>
      <c r="M7851" s="186"/>
      <c r="N7851" s="186"/>
      <c r="O7851" s="172"/>
    </row>
    <row r="7852" spans="1:15" ht="25.5" x14ac:dyDescent="0.2">
      <c r="A7852" s="197" t="str">
        <f t="shared" si="122"/>
        <v>McsCode_cinders</v>
      </c>
      <c r="B7852" s="409"/>
      <c r="C7852" s="416"/>
      <c r="D7852" s="198" t="s">
        <v>25258</v>
      </c>
      <c r="E7852" s="198">
        <v>14</v>
      </c>
      <c r="F7852" s="199" t="s">
        <v>25259</v>
      </c>
      <c r="G7852" s="1" t="s">
        <v>25260</v>
      </c>
      <c r="H7852" s="200"/>
      <c r="I7852" s="346"/>
      <c r="J7852" s="39">
        <v>105458</v>
      </c>
      <c r="K7852" s="36" t="str">
        <f>CONCATENATE(Cover!$D$6,"fdd/view?i=",J7852)</f>
        <v>https://www.dgiwg.org/FAD/fdd/view?i=105458</v>
      </c>
      <c r="L7852" s="36" t="s">
        <v>46718</v>
      </c>
      <c r="M7852" s="186"/>
      <c r="N7852" s="186"/>
      <c r="O7852" s="172"/>
    </row>
    <row r="7853" spans="1:15" ht="38.25" x14ac:dyDescent="0.2">
      <c r="A7853" s="197" t="str">
        <f t="shared" si="122"/>
        <v>McsCode_cirripedia</v>
      </c>
      <c r="B7853" s="409"/>
      <c r="C7853" s="416"/>
      <c r="D7853" s="198" t="s">
        <v>46719</v>
      </c>
      <c r="E7853" s="198">
        <v>15</v>
      </c>
      <c r="F7853" s="199" t="s">
        <v>46720</v>
      </c>
      <c r="G7853" s="1" t="s">
        <v>46721</v>
      </c>
      <c r="H7853" s="1" t="s">
        <v>46722</v>
      </c>
      <c r="I7853" s="346"/>
      <c r="J7853" s="39">
        <v>105459</v>
      </c>
      <c r="K7853" s="36" t="str">
        <f>CONCATENATE(Cover!$D$6,"fdd/view?i=",J7853)</f>
        <v>https://www.dgiwg.org/FAD/fdd/view?i=105459</v>
      </c>
      <c r="L7853" s="36" t="s">
        <v>46723</v>
      </c>
      <c r="M7853" s="186"/>
      <c r="N7853" s="186"/>
      <c r="O7853" s="172"/>
    </row>
    <row r="7854" spans="1:15" ht="38.25" x14ac:dyDescent="0.2">
      <c r="A7854" s="197" t="str">
        <f t="shared" si="122"/>
        <v>McsCode_clay</v>
      </c>
      <c r="B7854" s="409"/>
      <c r="C7854" s="416"/>
      <c r="D7854" s="198" t="s">
        <v>19537</v>
      </c>
      <c r="E7854" s="198">
        <v>16</v>
      </c>
      <c r="F7854" s="199" t="s">
        <v>19538</v>
      </c>
      <c r="G7854" s="1" t="s">
        <v>43343</v>
      </c>
      <c r="H7854" s="1" t="s">
        <v>43344</v>
      </c>
      <c r="I7854" s="346"/>
      <c r="J7854" s="39">
        <v>105460</v>
      </c>
      <c r="K7854" s="36" t="str">
        <f>CONCATENATE(Cover!$D$6,"fdd/view?i=",J7854)</f>
        <v>https://www.dgiwg.org/FAD/fdd/view?i=105460</v>
      </c>
      <c r="L7854" s="36" t="s">
        <v>46724</v>
      </c>
      <c r="M7854" s="186"/>
      <c r="N7854" s="186"/>
      <c r="O7854" s="172"/>
    </row>
    <row r="7855" spans="1:15" x14ac:dyDescent="0.2">
      <c r="A7855" s="197" t="str">
        <f t="shared" si="122"/>
        <v>McsCode_cobbles</v>
      </c>
      <c r="B7855" s="409"/>
      <c r="C7855" s="416"/>
      <c r="D7855" s="198" t="s">
        <v>43358</v>
      </c>
      <c r="E7855" s="198">
        <v>18</v>
      </c>
      <c r="F7855" s="199" t="s">
        <v>43359</v>
      </c>
      <c r="G7855" s="1" t="s">
        <v>43360</v>
      </c>
      <c r="H7855" s="200"/>
      <c r="I7855" s="351" t="s">
        <v>43361</v>
      </c>
      <c r="J7855" s="39">
        <v>105461</v>
      </c>
      <c r="K7855" s="36" t="str">
        <f>CONCATENATE(Cover!$D$6,"fdd/view?i=",J7855)</f>
        <v>https://www.dgiwg.org/FAD/fdd/view?i=105461</v>
      </c>
      <c r="L7855" s="36" t="s">
        <v>46725</v>
      </c>
      <c r="M7855" s="186"/>
      <c r="N7855" s="186"/>
      <c r="O7855" s="172"/>
    </row>
    <row r="7856" spans="1:15" ht="38.25" x14ac:dyDescent="0.2">
      <c r="A7856" s="197" t="str">
        <f t="shared" si="122"/>
        <v>McsCode_composition</v>
      </c>
      <c r="B7856" s="409"/>
      <c r="C7856" s="416"/>
      <c r="D7856" s="198" t="s">
        <v>43965</v>
      </c>
      <c r="E7856" s="198">
        <v>127</v>
      </c>
      <c r="F7856" s="199" t="s">
        <v>43966</v>
      </c>
      <c r="G7856" s="1" t="s">
        <v>43967</v>
      </c>
      <c r="H7856" s="200"/>
      <c r="I7856" s="346"/>
      <c r="J7856" s="39">
        <v>108569</v>
      </c>
      <c r="K7856" s="36" t="str">
        <f>CONCATENATE(Cover!$D$6,"fdd/view?i=",J7856)</f>
        <v>https://www.dgiwg.org/FAD/fdd/view?i=108569</v>
      </c>
      <c r="L7856" s="36" t="s">
        <v>46726</v>
      </c>
      <c r="M7856" s="186"/>
      <c r="N7856" s="186"/>
      <c r="O7856" s="172"/>
    </row>
    <row r="7857" spans="1:15" ht="38.25" x14ac:dyDescent="0.2">
      <c r="A7857" s="197" t="str">
        <f t="shared" si="122"/>
        <v>McsCode_concrete</v>
      </c>
      <c r="B7857" s="409"/>
      <c r="C7857" s="416"/>
      <c r="D7857" s="198" t="s">
        <v>19541</v>
      </c>
      <c r="E7857" s="198">
        <v>128</v>
      </c>
      <c r="F7857" s="199" t="s">
        <v>19542</v>
      </c>
      <c r="G7857" s="1" t="s">
        <v>24150</v>
      </c>
      <c r="H7857" s="200"/>
      <c r="I7857" s="346"/>
      <c r="J7857" s="39">
        <v>108570</v>
      </c>
      <c r="K7857" s="36" t="str">
        <f>CONCATENATE(Cover!$D$6,"fdd/view?i=",J7857)</f>
        <v>https://www.dgiwg.org/FAD/fdd/view?i=108570</v>
      </c>
      <c r="L7857" s="36" t="s">
        <v>46727</v>
      </c>
      <c r="M7857" s="186"/>
      <c r="N7857" s="186"/>
      <c r="O7857" s="172"/>
    </row>
    <row r="7858" spans="1:15" ht="25.5" x14ac:dyDescent="0.2">
      <c r="A7858" s="197" t="str">
        <f t="shared" si="122"/>
        <v>McsCode_copper</v>
      </c>
      <c r="B7858" s="409"/>
      <c r="C7858" s="416"/>
      <c r="D7858" s="198" t="s">
        <v>25734</v>
      </c>
      <c r="E7858" s="198">
        <v>129</v>
      </c>
      <c r="F7858" s="199" t="s">
        <v>43378</v>
      </c>
      <c r="G7858" s="1" t="s">
        <v>43379</v>
      </c>
      <c r="H7858" s="1" t="s">
        <v>43380</v>
      </c>
      <c r="I7858" s="346"/>
      <c r="J7858" s="39">
        <v>108571</v>
      </c>
      <c r="K7858" s="36" t="str">
        <f>CONCATENATE(Cover!$D$6,"fdd/view?i=",J7858)</f>
        <v>https://www.dgiwg.org/FAD/fdd/view?i=108571</v>
      </c>
      <c r="L7858" s="36" t="s">
        <v>46728</v>
      </c>
      <c r="M7858" s="186"/>
      <c r="N7858" s="186"/>
      <c r="O7858" s="172"/>
    </row>
    <row r="7859" spans="1:15" ht="38.25" x14ac:dyDescent="0.2">
      <c r="A7859" s="197" t="str">
        <f t="shared" si="122"/>
        <v>McsCode_coral</v>
      </c>
      <c r="B7859" s="409"/>
      <c r="C7859" s="416"/>
      <c r="D7859" s="198" t="s">
        <v>19546</v>
      </c>
      <c r="E7859" s="198">
        <v>24</v>
      </c>
      <c r="F7859" s="199" t="s">
        <v>19547</v>
      </c>
      <c r="G7859" s="1" t="s">
        <v>24152</v>
      </c>
      <c r="H7859" s="1" t="s">
        <v>24153</v>
      </c>
      <c r="I7859" s="346"/>
      <c r="J7859" s="39">
        <v>105462</v>
      </c>
      <c r="K7859" s="36" t="str">
        <f>CONCATENATE(Cover!$D$6,"fdd/view?i=",J7859)</f>
        <v>https://www.dgiwg.org/FAD/fdd/view?i=105462</v>
      </c>
      <c r="L7859" s="36" t="s">
        <v>46729</v>
      </c>
      <c r="M7859" s="186"/>
      <c r="N7859" s="186"/>
      <c r="O7859" s="172"/>
    </row>
    <row r="7860" spans="1:15" ht="25.5" x14ac:dyDescent="0.2">
      <c r="A7860" s="197" t="str">
        <f t="shared" si="122"/>
        <v>McsCode_coralHead</v>
      </c>
      <c r="B7860" s="409"/>
      <c r="C7860" s="416"/>
      <c r="D7860" s="198" t="s">
        <v>46730</v>
      </c>
      <c r="E7860" s="198">
        <v>25</v>
      </c>
      <c r="F7860" s="199" t="s">
        <v>46731</v>
      </c>
      <c r="G7860" s="1" t="s">
        <v>46732</v>
      </c>
      <c r="H7860" s="200"/>
      <c r="I7860" s="346"/>
      <c r="J7860" s="39">
        <v>105463</v>
      </c>
      <c r="K7860" s="36" t="str">
        <f>CONCATENATE(Cover!$D$6,"fdd/view?i=",J7860)</f>
        <v>https://www.dgiwg.org/FAD/fdd/view?i=105463</v>
      </c>
      <c r="L7860" s="36" t="s">
        <v>46733</v>
      </c>
      <c r="M7860" s="186"/>
      <c r="N7860" s="186"/>
      <c r="O7860" s="172"/>
    </row>
    <row r="7861" spans="1:15" ht="25.5" x14ac:dyDescent="0.2">
      <c r="A7861" s="197" t="str">
        <f t="shared" si="122"/>
        <v>McsCode_diatomaceousEarth</v>
      </c>
      <c r="B7861" s="409"/>
      <c r="C7861" s="416"/>
      <c r="D7861" s="198" t="s">
        <v>43406</v>
      </c>
      <c r="E7861" s="198">
        <v>28</v>
      </c>
      <c r="F7861" s="199" t="s">
        <v>43407</v>
      </c>
      <c r="G7861" s="1" t="s">
        <v>43408</v>
      </c>
      <c r="H7861" s="1" t="s">
        <v>43409</v>
      </c>
      <c r="I7861" s="346"/>
      <c r="J7861" s="39">
        <v>105464</v>
      </c>
      <c r="K7861" s="36" t="str">
        <f>CONCATENATE(Cover!$D$6,"fdd/view?i=",J7861)</f>
        <v>https://www.dgiwg.org/FAD/fdd/view?i=105464</v>
      </c>
      <c r="L7861" s="36" t="s">
        <v>46734</v>
      </c>
      <c r="M7861" s="186"/>
      <c r="N7861" s="186"/>
      <c r="O7861" s="172"/>
    </row>
    <row r="7862" spans="1:15" ht="25.5" x14ac:dyDescent="0.2">
      <c r="A7862" s="197" t="str">
        <f t="shared" si="122"/>
        <v>McsCode_dolerite</v>
      </c>
      <c r="B7862" s="409"/>
      <c r="C7862" s="416"/>
      <c r="D7862" s="198" t="s">
        <v>43413</v>
      </c>
      <c r="E7862" s="198">
        <v>130</v>
      </c>
      <c r="F7862" s="199" t="s">
        <v>43414</v>
      </c>
      <c r="G7862" s="1" t="s">
        <v>44429</v>
      </c>
      <c r="H7862" s="1" t="s">
        <v>44430</v>
      </c>
      <c r="I7862" s="346"/>
      <c r="J7862" s="39">
        <v>108572</v>
      </c>
      <c r="K7862" s="36" t="str">
        <f>CONCATENATE(Cover!$D$6,"fdd/view?i=",J7862)</f>
        <v>https://www.dgiwg.org/FAD/fdd/view?i=108572</v>
      </c>
      <c r="L7862" s="36" t="s">
        <v>46735</v>
      </c>
      <c r="M7862" s="186"/>
      <c r="N7862" s="186"/>
      <c r="O7862" s="172"/>
    </row>
    <row r="7863" spans="1:15" ht="38.25" x14ac:dyDescent="0.2">
      <c r="A7863" s="197" t="str">
        <f t="shared" si="122"/>
        <v>McsCode_dolomite</v>
      </c>
      <c r="B7863" s="409"/>
      <c r="C7863" s="416"/>
      <c r="D7863" s="198" t="s">
        <v>22315</v>
      </c>
      <c r="E7863" s="198">
        <v>131</v>
      </c>
      <c r="F7863" s="199" t="s">
        <v>22316</v>
      </c>
      <c r="G7863" s="1" t="s">
        <v>43419</v>
      </c>
      <c r="H7863" s="200"/>
      <c r="I7863" s="346"/>
      <c r="J7863" s="39">
        <v>108573</v>
      </c>
      <c r="K7863" s="36" t="str">
        <f>CONCATENATE(Cover!$D$6,"fdd/view?i=",J7863)</f>
        <v>https://www.dgiwg.org/FAD/fdd/view?i=108573</v>
      </c>
      <c r="L7863" s="36" t="s">
        <v>46736</v>
      </c>
      <c r="M7863" s="186"/>
      <c r="N7863" s="186"/>
      <c r="O7863" s="172"/>
    </row>
    <row r="7864" spans="1:15" ht="25.5" x14ac:dyDescent="0.2">
      <c r="A7864" s="197" t="str">
        <f t="shared" si="122"/>
        <v>McsCode_evaporite</v>
      </c>
      <c r="B7864" s="409"/>
      <c r="C7864" s="416"/>
      <c r="D7864" s="198" t="s">
        <v>45939</v>
      </c>
      <c r="E7864" s="198">
        <v>119</v>
      </c>
      <c r="F7864" s="199" t="s">
        <v>45940</v>
      </c>
      <c r="G7864" s="1" t="s">
        <v>46737</v>
      </c>
      <c r="H7864" s="200"/>
      <c r="I7864" s="346"/>
      <c r="J7864" s="39">
        <v>105508</v>
      </c>
      <c r="K7864" s="36" t="str">
        <f>CONCATENATE(Cover!$D$6,"fdd/view?i=",J7864)</f>
        <v>https://www.dgiwg.org/FAD/fdd/view?i=105508</v>
      </c>
      <c r="L7864" s="36" t="s">
        <v>46738</v>
      </c>
      <c r="M7864" s="186"/>
      <c r="N7864" s="186"/>
      <c r="O7864" s="172"/>
    </row>
    <row r="7865" spans="1:15" ht="38.25" x14ac:dyDescent="0.2">
      <c r="A7865" s="197" t="str">
        <f t="shared" si="122"/>
        <v>McsCode_flysch</v>
      </c>
      <c r="B7865" s="409"/>
      <c r="C7865" s="416"/>
      <c r="D7865" s="198" t="s">
        <v>46739</v>
      </c>
      <c r="E7865" s="198">
        <v>132</v>
      </c>
      <c r="F7865" s="199" t="s">
        <v>46740</v>
      </c>
      <c r="G7865" s="1" t="s">
        <v>46741</v>
      </c>
      <c r="H7865" s="200"/>
      <c r="I7865" s="346"/>
      <c r="J7865" s="39">
        <v>108574</v>
      </c>
      <c r="K7865" s="36" t="str">
        <f>CONCATENATE(Cover!$D$6,"fdd/view?i=",J7865)</f>
        <v>https://www.dgiwg.org/FAD/fdd/view?i=108574</v>
      </c>
      <c r="L7865" s="36" t="s">
        <v>46742</v>
      </c>
      <c r="M7865" s="186"/>
      <c r="N7865" s="186"/>
      <c r="O7865" s="172"/>
    </row>
    <row r="7866" spans="1:15" ht="51" x14ac:dyDescent="0.2">
      <c r="A7866" s="197" t="str">
        <f t="shared" si="122"/>
        <v>McsCode_foraminifera</v>
      </c>
      <c r="B7866" s="409"/>
      <c r="C7866" s="416"/>
      <c r="D7866" s="198" t="s">
        <v>44434</v>
      </c>
      <c r="E7866" s="198">
        <v>36</v>
      </c>
      <c r="F7866" s="199" t="s">
        <v>44435</v>
      </c>
      <c r="G7866" s="1" t="s">
        <v>44436</v>
      </c>
      <c r="H7866" s="200"/>
      <c r="I7866" s="346"/>
      <c r="J7866" s="39">
        <v>105465</v>
      </c>
      <c r="K7866" s="36" t="str">
        <f>CONCATENATE(Cover!$D$6,"fdd/view?i=",J7866)</f>
        <v>https://www.dgiwg.org/FAD/fdd/view?i=105465</v>
      </c>
      <c r="L7866" s="36" t="s">
        <v>46743</v>
      </c>
      <c r="M7866" s="186"/>
      <c r="N7866" s="186"/>
      <c r="O7866" s="172"/>
    </row>
    <row r="7867" spans="1:15" x14ac:dyDescent="0.2">
      <c r="A7867" s="197" t="str">
        <f t="shared" si="122"/>
        <v>McsCode_fucus</v>
      </c>
      <c r="B7867" s="409"/>
      <c r="C7867" s="416"/>
      <c r="D7867" s="198" t="s">
        <v>46744</v>
      </c>
      <c r="E7867" s="198">
        <v>37</v>
      </c>
      <c r="F7867" s="199" t="s">
        <v>46745</v>
      </c>
      <c r="G7867" s="1" t="s">
        <v>46746</v>
      </c>
      <c r="H7867" s="1" t="s">
        <v>46747</v>
      </c>
      <c r="I7867" s="346"/>
      <c r="J7867" s="39">
        <v>105466</v>
      </c>
      <c r="K7867" s="36" t="str">
        <f>CONCATENATE(Cover!$D$6,"fdd/view?i=",J7867)</f>
        <v>https://www.dgiwg.org/FAD/fdd/view?i=105466</v>
      </c>
      <c r="L7867" s="36" t="s">
        <v>46748</v>
      </c>
      <c r="M7867" s="186"/>
      <c r="N7867" s="186"/>
      <c r="O7867" s="172"/>
    </row>
    <row r="7868" spans="1:15" ht="25.5" x14ac:dyDescent="0.2">
      <c r="A7868" s="197" t="str">
        <f t="shared" si="122"/>
        <v>McsCode_glassReinforcedPlastic</v>
      </c>
      <c r="B7868" s="409"/>
      <c r="C7868" s="416"/>
      <c r="D7868" s="198" t="s">
        <v>46749</v>
      </c>
      <c r="E7868" s="198">
        <v>120</v>
      </c>
      <c r="F7868" s="199" t="s">
        <v>46750</v>
      </c>
      <c r="G7868" s="1" t="s">
        <v>46751</v>
      </c>
      <c r="H7868" s="1" t="s">
        <v>46752</v>
      </c>
      <c r="I7868" s="346"/>
      <c r="J7868" s="39">
        <v>105509</v>
      </c>
      <c r="K7868" s="36" t="str">
        <f>CONCATENATE(Cover!$D$6,"fdd/view?i=",J7868)</f>
        <v>https://www.dgiwg.org/FAD/fdd/view?i=105509</v>
      </c>
      <c r="L7868" s="36" t="s">
        <v>46753</v>
      </c>
      <c r="M7868" s="186"/>
      <c r="N7868" s="186"/>
      <c r="O7868" s="172"/>
    </row>
    <row r="7869" spans="1:15" ht="51" x14ac:dyDescent="0.2">
      <c r="A7869" s="197" t="str">
        <f t="shared" si="122"/>
        <v>McsCode_gneiss</v>
      </c>
      <c r="B7869" s="409"/>
      <c r="C7869" s="416"/>
      <c r="D7869" s="198" t="s">
        <v>43463</v>
      </c>
      <c r="E7869" s="198">
        <v>133</v>
      </c>
      <c r="F7869" s="199" t="s">
        <v>43464</v>
      </c>
      <c r="G7869" s="1" t="s">
        <v>44441</v>
      </c>
      <c r="H7869" s="1" t="s">
        <v>44442</v>
      </c>
      <c r="I7869" s="346"/>
      <c r="J7869" s="39">
        <v>108575</v>
      </c>
      <c r="K7869" s="36" t="str">
        <f>CONCATENATE(Cover!$D$6,"fdd/view?i=",J7869)</f>
        <v>https://www.dgiwg.org/FAD/fdd/view?i=108575</v>
      </c>
      <c r="L7869" s="36" t="s">
        <v>46754</v>
      </c>
      <c r="M7869" s="186"/>
      <c r="N7869" s="186"/>
      <c r="O7869" s="172"/>
    </row>
    <row r="7870" spans="1:15" ht="51" x14ac:dyDescent="0.2">
      <c r="A7870" s="197" t="str">
        <f t="shared" si="122"/>
        <v>McsCode_gold</v>
      </c>
      <c r="B7870" s="409"/>
      <c r="C7870" s="416"/>
      <c r="D7870" s="198" t="s">
        <v>25753</v>
      </c>
      <c r="E7870" s="198">
        <v>134</v>
      </c>
      <c r="F7870" s="199" t="s">
        <v>43020</v>
      </c>
      <c r="G7870" s="1" t="s">
        <v>43468</v>
      </c>
      <c r="H7870" s="200"/>
      <c r="I7870" s="346"/>
      <c r="J7870" s="39">
        <v>108576</v>
      </c>
      <c r="K7870" s="36" t="str">
        <f>CONCATENATE(Cover!$D$6,"fdd/view?i=",J7870)</f>
        <v>https://www.dgiwg.org/FAD/fdd/view?i=108576</v>
      </c>
      <c r="L7870" s="36" t="s">
        <v>46755</v>
      </c>
      <c r="M7870" s="186"/>
      <c r="N7870" s="186"/>
      <c r="O7870" s="172"/>
    </row>
    <row r="7871" spans="1:15" ht="38.25" x14ac:dyDescent="0.2">
      <c r="A7871" s="197" t="str">
        <f t="shared" si="122"/>
        <v>McsCode_granite</v>
      </c>
      <c r="B7871" s="409"/>
      <c r="C7871" s="416"/>
      <c r="D7871" s="198" t="s">
        <v>22319</v>
      </c>
      <c r="E7871" s="198">
        <v>135</v>
      </c>
      <c r="F7871" s="199" t="s">
        <v>22320</v>
      </c>
      <c r="G7871" s="1" t="s">
        <v>43475</v>
      </c>
      <c r="H7871" s="1" t="s">
        <v>44446</v>
      </c>
      <c r="I7871" s="346"/>
      <c r="J7871" s="39">
        <v>108577</v>
      </c>
      <c r="K7871" s="36" t="str">
        <f>CONCATENATE(Cover!$D$6,"fdd/view?i=",J7871)</f>
        <v>https://www.dgiwg.org/FAD/fdd/view?i=108577</v>
      </c>
      <c r="L7871" s="36" t="s">
        <v>46756</v>
      </c>
      <c r="M7871" s="186"/>
      <c r="N7871" s="186"/>
      <c r="O7871" s="172"/>
    </row>
    <row r="7872" spans="1:15" ht="25.5" x14ac:dyDescent="0.2">
      <c r="A7872" s="197" t="str">
        <f t="shared" si="122"/>
        <v>McsCode_gravel</v>
      </c>
      <c r="B7872" s="409"/>
      <c r="C7872" s="416"/>
      <c r="D7872" s="198" t="s">
        <v>19556</v>
      </c>
      <c r="E7872" s="198">
        <v>46</v>
      </c>
      <c r="F7872" s="199" t="s">
        <v>19557</v>
      </c>
      <c r="G7872" s="1" t="s">
        <v>43477</v>
      </c>
      <c r="H7872" s="1" t="s">
        <v>43478</v>
      </c>
      <c r="I7872" s="346"/>
      <c r="J7872" s="39">
        <v>105469</v>
      </c>
      <c r="K7872" s="36" t="str">
        <f>CONCATENATE(Cover!$D$6,"fdd/view?i=",J7872)</f>
        <v>https://www.dgiwg.org/FAD/fdd/view?i=105469</v>
      </c>
      <c r="L7872" s="36" t="s">
        <v>46757</v>
      </c>
      <c r="M7872" s="186"/>
      <c r="N7872" s="186"/>
      <c r="O7872" s="172"/>
    </row>
    <row r="7873" spans="1:15" ht="25.5" x14ac:dyDescent="0.2">
      <c r="A7873" s="197" t="str">
        <f t="shared" si="122"/>
        <v>McsCode_greenstone</v>
      </c>
      <c r="B7873" s="409"/>
      <c r="C7873" s="416"/>
      <c r="D7873" s="198" t="s">
        <v>43480</v>
      </c>
      <c r="E7873" s="198">
        <v>136</v>
      </c>
      <c r="F7873" s="199" t="s">
        <v>43481</v>
      </c>
      <c r="G7873" s="1" t="s">
        <v>44449</v>
      </c>
      <c r="H7873" s="1" t="s">
        <v>44450</v>
      </c>
      <c r="I7873" s="346"/>
      <c r="J7873" s="39">
        <v>108578</v>
      </c>
      <c r="K7873" s="36" t="str">
        <f>CONCATENATE(Cover!$D$6,"fdd/view?i=",J7873)</f>
        <v>https://www.dgiwg.org/FAD/fdd/view?i=108578</v>
      </c>
      <c r="L7873" s="36" t="s">
        <v>46758</v>
      </c>
      <c r="M7873" s="186"/>
      <c r="N7873" s="186"/>
      <c r="O7873" s="172"/>
    </row>
    <row r="7874" spans="1:15" ht="38.25" x14ac:dyDescent="0.2">
      <c r="A7874" s="197" t="str">
        <f t="shared" ref="A7874:A7937" si="123">HYPERLINK(K7874,L7874)</f>
        <v>McsCode_iron</v>
      </c>
      <c r="B7874" s="409"/>
      <c r="C7874" s="416"/>
      <c r="D7874" s="198" t="s">
        <v>25766</v>
      </c>
      <c r="E7874" s="198">
        <v>137</v>
      </c>
      <c r="F7874" s="199" t="s">
        <v>43508</v>
      </c>
      <c r="G7874" s="1" t="s">
        <v>43509</v>
      </c>
      <c r="H7874" s="1" t="s">
        <v>43510</v>
      </c>
      <c r="I7874" s="346"/>
      <c r="J7874" s="39">
        <v>108579</v>
      </c>
      <c r="K7874" s="36" t="str">
        <f>CONCATENATE(Cover!$D$6,"fdd/view?i=",J7874)</f>
        <v>https://www.dgiwg.org/FAD/fdd/view?i=108579</v>
      </c>
      <c r="L7874" s="36" t="s">
        <v>46759</v>
      </c>
      <c r="M7874" s="186"/>
      <c r="N7874" s="186"/>
      <c r="O7874" s="172"/>
    </row>
    <row r="7875" spans="1:15" ht="63.75" x14ac:dyDescent="0.2">
      <c r="A7875" s="197" t="str">
        <f t="shared" si="123"/>
        <v>McsCode_laterite</v>
      </c>
      <c r="B7875" s="409"/>
      <c r="C7875" s="416"/>
      <c r="D7875" s="198" t="s">
        <v>19570</v>
      </c>
      <c r="E7875" s="198">
        <v>138</v>
      </c>
      <c r="F7875" s="199" t="s">
        <v>19571</v>
      </c>
      <c r="G7875" s="1" t="s">
        <v>46760</v>
      </c>
      <c r="H7875" s="1" t="s">
        <v>46761</v>
      </c>
      <c r="I7875" s="346"/>
      <c r="J7875" s="39">
        <v>108580</v>
      </c>
      <c r="K7875" s="36" t="str">
        <f>CONCATENATE(Cover!$D$6,"fdd/view?i=",J7875)</f>
        <v>https://www.dgiwg.org/FAD/fdd/view?i=108580</v>
      </c>
      <c r="L7875" s="36" t="s">
        <v>46762</v>
      </c>
      <c r="M7875" s="186"/>
      <c r="N7875" s="186"/>
      <c r="O7875" s="172"/>
    </row>
    <row r="7876" spans="1:15" ht="25.5" x14ac:dyDescent="0.2">
      <c r="A7876" s="197" t="str">
        <f t="shared" si="123"/>
        <v>McsCode_lava</v>
      </c>
      <c r="B7876" s="409"/>
      <c r="C7876" s="416"/>
      <c r="D7876" s="198" t="s">
        <v>25563</v>
      </c>
      <c r="E7876" s="198">
        <v>52</v>
      </c>
      <c r="F7876" s="199" t="s">
        <v>25564</v>
      </c>
      <c r="G7876" s="1" t="s">
        <v>44455</v>
      </c>
      <c r="H7876" s="200"/>
      <c r="I7876" s="346"/>
      <c r="J7876" s="39">
        <v>105471</v>
      </c>
      <c r="K7876" s="36" t="str">
        <f>CONCATENATE(Cover!$D$6,"fdd/view?i=",J7876)</f>
        <v>https://www.dgiwg.org/FAD/fdd/view?i=105471</v>
      </c>
      <c r="L7876" s="36" t="s">
        <v>46763</v>
      </c>
      <c r="M7876" s="186"/>
      <c r="N7876" s="186"/>
      <c r="O7876" s="172"/>
    </row>
    <row r="7877" spans="1:15" ht="38.25" x14ac:dyDescent="0.2">
      <c r="A7877" s="197" t="str">
        <f t="shared" si="123"/>
        <v>McsCode_lead</v>
      </c>
      <c r="B7877" s="409"/>
      <c r="C7877" s="416"/>
      <c r="D7877" s="198" t="s">
        <v>25776</v>
      </c>
      <c r="E7877" s="198">
        <v>139</v>
      </c>
      <c r="F7877" s="199" t="s">
        <v>43512</v>
      </c>
      <c r="G7877" s="1" t="s">
        <v>43513</v>
      </c>
      <c r="H7877" s="200"/>
      <c r="I7877" s="346"/>
      <c r="J7877" s="39">
        <v>108581</v>
      </c>
      <c r="K7877" s="36" t="str">
        <f>CONCATENATE(Cover!$D$6,"fdd/view?i=",J7877)</f>
        <v>https://www.dgiwg.org/FAD/fdd/view?i=108581</v>
      </c>
      <c r="L7877" s="36" t="s">
        <v>46764</v>
      </c>
      <c r="M7877" s="186"/>
      <c r="N7877" s="186"/>
      <c r="O7877" s="172"/>
    </row>
    <row r="7878" spans="1:15" ht="25.5" x14ac:dyDescent="0.2">
      <c r="A7878" s="197" t="str">
        <f t="shared" si="123"/>
        <v>McsCode_limestone</v>
      </c>
      <c r="B7878" s="409"/>
      <c r="C7878" s="416"/>
      <c r="D7878" s="198" t="s">
        <v>22336</v>
      </c>
      <c r="E7878" s="198">
        <v>140</v>
      </c>
      <c r="F7878" s="199" t="s">
        <v>22337</v>
      </c>
      <c r="G7878" s="1" t="s">
        <v>44459</v>
      </c>
      <c r="H7878" s="1" t="s">
        <v>44460</v>
      </c>
      <c r="I7878" s="346"/>
      <c r="J7878" s="39">
        <v>108582</v>
      </c>
      <c r="K7878" s="36" t="str">
        <f>CONCATENATE(Cover!$D$6,"fdd/view?i=",J7878)</f>
        <v>https://www.dgiwg.org/FAD/fdd/view?i=108582</v>
      </c>
      <c r="L7878" s="36" t="s">
        <v>46765</v>
      </c>
      <c r="M7878" s="186"/>
      <c r="N7878" s="186"/>
      <c r="O7878" s="172"/>
    </row>
    <row r="7879" spans="1:15" ht="25.5" x14ac:dyDescent="0.2">
      <c r="A7879" s="197" t="str">
        <f t="shared" si="123"/>
        <v>McsCode_loess</v>
      </c>
      <c r="B7879" s="409"/>
      <c r="C7879" s="416"/>
      <c r="D7879" s="198" t="s">
        <v>44465</v>
      </c>
      <c r="E7879" s="198">
        <v>55</v>
      </c>
      <c r="F7879" s="199" t="s">
        <v>44466</v>
      </c>
      <c r="G7879" s="1" t="s">
        <v>44467</v>
      </c>
      <c r="H7879" s="200"/>
      <c r="I7879" s="346"/>
      <c r="J7879" s="39">
        <v>105472</v>
      </c>
      <c r="K7879" s="36" t="str">
        <f>CONCATENATE(Cover!$D$6,"fdd/view?i=",J7879)</f>
        <v>https://www.dgiwg.org/FAD/fdd/view?i=105472</v>
      </c>
      <c r="L7879" s="36" t="s">
        <v>46766</v>
      </c>
      <c r="M7879" s="186"/>
      <c r="N7879" s="186"/>
      <c r="O7879" s="172"/>
    </row>
    <row r="7880" spans="1:15" x14ac:dyDescent="0.2">
      <c r="A7880" s="197" t="str">
        <f t="shared" si="123"/>
        <v>McsCode_lumber</v>
      </c>
      <c r="B7880" s="409"/>
      <c r="C7880" s="416"/>
      <c r="D7880" s="198" t="s">
        <v>43526</v>
      </c>
      <c r="E7880" s="198">
        <v>141</v>
      </c>
      <c r="F7880" s="199" t="s">
        <v>43527</v>
      </c>
      <c r="G7880" s="1" t="s">
        <v>43528</v>
      </c>
      <c r="H7880" s="200"/>
      <c r="I7880" s="346"/>
      <c r="J7880" s="39">
        <v>108583</v>
      </c>
      <c r="K7880" s="36" t="str">
        <f>CONCATENATE(Cover!$D$6,"fdd/view?i=",J7880)</f>
        <v>https://www.dgiwg.org/FAD/fdd/view?i=108583</v>
      </c>
      <c r="L7880" s="36" t="s">
        <v>46767</v>
      </c>
      <c r="M7880" s="186"/>
      <c r="N7880" s="186"/>
      <c r="O7880" s="172"/>
    </row>
    <row r="7881" spans="1:15" x14ac:dyDescent="0.2">
      <c r="A7881" s="197" t="str">
        <f t="shared" si="123"/>
        <v>McsCode_madrepore</v>
      </c>
      <c r="B7881" s="409"/>
      <c r="C7881" s="416"/>
      <c r="D7881" s="198" t="s">
        <v>43534</v>
      </c>
      <c r="E7881" s="198">
        <v>58</v>
      </c>
      <c r="F7881" s="199" t="s">
        <v>43535</v>
      </c>
      <c r="G7881" s="1" t="s">
        <v>44470</v>
      </c>
      <c r="H7881" s="200"/>
      <c r="I7881" s="346"/>
      <c r="J7881" s="39">
        <v>105473</v>
      </c>
      <c r="K7881" s="36" t="str">
        <f>CONCATENATE(Cover!$D$6,"fdd/view?i=",J7881)</f>
        <v>https://www.dgiwg.org/FAD/fdd/view?i=105473</v>
      </c>
      <c r="L7881" s="36" t="s">
        <v>46768</v>
      </c>
      <c r="M7881" s="186"/>
      <c r="N7881" s="186"/>
      <c r="O7881" s="172"/>
    </row>
    <row r="7882" spans="1:15" ht="25.5" x14ac:dyDescent="0.2">
      <c r="A7882" s="197" t="str">
        <f t="shared" si="123"/>
        <v>McsCode_manganese</v>
      </c>
      <c r="B7882" s="409"/>
      <c r="C7882" s="416"/>
      <c r="D7882" s="198" t="s">
        <v>25791</v>
      </c>
      <c r="E7882" s="198">
        <v>59</v>
      </c>
      <c r="F7882" s="199" t="s">
        <v>43539</v>
      </c>
      <c r="G7882" s="1" t="s">
        <v>43540</v>
      </c>
      <c r="H7882" s="1" t="s">
        <v>43541</v>
      </c>
      <c r="I7882" s="346"/>
      <c r="J7882" s="39">
        <v>105474</v>
      </c>
      <c r="K7882" s="36" t="str">
        <f>CONCATENATE(Cover!$D$6,"fdd/view?i=",J7882)</f>
        <v>https://www.dgiwg.org/FAD/fdd/view?i=105474</v>
      </c>
      <c r="L7882" s="36" t="s">
        <v>46769</v>
      </c>
      <c r="M7882" s="186"/>
      <c r="N7882" s="186"/>
      <c r="O7882" s="172"/>
    </row>
    <row r="7883" spans="1:15" ht="38.25" x14ac:dyDescent="0.2">
      <c r="A7883" s="197" t="str">
        <f t="shared" si="123"/>
        <v>McsCode_marble</v>
      </c>
      <c r="B7883" s="409"/>
      <c r="C7883" s="416"/>
      <c r="D7883" s="198" t="s">
        <v>43544</v>
      </c>
      <c r="E7883" s="198">
        <v>142</v>
      </c>
      <c r="F7883" s="199" t="s">
        <v>43545</v>
      </c>
      <c r="G7883" s="1" t="s">
        <v>43547</v>
      </c>
      <c r="H7883" s="200"/>
      <c r="I7883" s="346"/>
      <c r="J7883" s="39">
        <v>108584</v>
      </c>
      <c r="K7883" s="36" t="str">
        <f>CONCATENATE(Cover!$D$6,"fdd/view?i=",J7883)</f>
        <v>https://www.dgiwg.org/FAD/fdd/view?i=108584</v>
      </c>
      <c r="L7883" s="36" t="s">
        <v>46770</v>
      </c>
      <c r="M7883" s="186"/>
      <c r="N7883" s="186"/>
      <c r="O7883" s="172"/>
    </row>
    <row r="7884" spans="1:15" ht="38.25" x14ac:dyDescent="0.2">
      <c r="A7884" s="197" t="str">
        <f t="shared" si="123"/>
        <v>McsCode_marl</v>
      </c>
      <c r="B7884" s="409"/>
      <c r="C7884" s="416"/>
      <c r="D7884" s="198" t="s">
        <v>22341</v>
      </c>
      <c r="E7884" s="198">
        <v>61</v>
      </c>
      <c r="F7884" s="199" t="s">
        <v>22342</v>
      </c>
      <c r="G7884" s="1" t="s">
        <v>43549</v>
      </c>
      <c r="H7884" s="200"/>
      <c r="I7884" s="346"/>
      <c r="J7884" s="39">
        <v>105475</v>
      </c>
      <c r="K7884" s="36" t="str">
        <f>CONCATENATE(Cover!$D$6,"fdd/view?i=",J7884)</f>
        <v>https://www.dgiwg.org/FAD/fdd/view?i=105475</v>
      </c>
      <c r="L7884" s="36" t="s">
        <v>46771</v>
      </c>
      <c r="M7884" s="186"/>
      <c r="N7884" s="186"/>
      <c r="O7884" s="172"/>
    </row>
    <row r="7885" spans="1:15" ht="63.75" x14ac:dyDescent="0.2">
      <c r="A7885" s="197" t="str">
        <f t="shared" si="123"/>
        <v>McsCode_masonry</v>
      </c>
      <c r="B7885" s="409"/>
      <c r="C7885" s="416"/>
      <c r="D7885" s="198" t="s">
        <v>24160</v>
      </c>
      <c r="E7885" s="198">
        <v>143</v>
      </c>
      <c r="F7885" s="199" t="s">
        <v>24161</v>
      </c>
      <c r="G7885" s="1" t="s">
        <v>24162</v>
      </c>
      <c r="H7885" s="200"/>
      <c r="I7885" s="351" t="s">
        <v>24163</v>
      </c>
      <c r="J7885" s="39">
        <v>108585</v>
      </c>
      <c r="K7885" s="36" t="str">
        <f>CONCATENATE(Cover!$D$6,"fdd/view?i=",J7885)</f>
        <v>https://www.dgiwg.org/FAD/fdd/view?i=108585</v>
      </c>
      <c r="L7885" s="36" t="s">
        <v>46772</v>
      </c>
      <c r="M7885" s="186"/>
      <c r="N7885" s="186"/>
      <c r="O7885" s="172"/>
    </row>
    <row r="7886" spans="1:15" ht="38.25" x14ac:dyDescent="0.2">
      <c r="A7886" s="197" t="str">
        <f t="shared" si="123"/>
        <v>McsCode_metal</v>
      </c>
      <c r="B7886" s="409"/>
      <c r="C7886" s="416"/>
      <c r="D7886" s="198" t="s">
        <v>25276</v>
      </c>
      <c r="E7886" s="198">
        <v>144</v>
      </c>
      <c r="F7886" s="199" t="s">
        <v>25277</v>
      </c>
      <c r="G7886" s="1" t="s">
        <v>25278</v>
      </c>
      <c r="H7886" s="1" t="s">
        <v>25279</v>
      </c>
      <c r="I7886" s="346"/>
      <c r="J7886" s="39">
        <v>108586</v>
      </c>
      <c r="K7886" s="36" t="str">
        <f>CONCATENATE(Cover!$D$6,"fdd/view?i=",J7886)</f>
        <v>https://www.dgiwg.org/FAD/fdd/view?i=108586</v>
      </c>
      <c r="L7886" s="36" t="s">
        <v>46773</v>
      </c>
      <c r="M7886" s="186"/>
      <c r="N7886" s="186"/>
      <c r="O7886" s="172"/>
    </row>
    <row r="7887" spans="1:15" ht="25.5" x14ac:dyDescent="0.2">
      <c r="A7887" s="197" t="str">
        <f t="shared" si="123"/>
        <v>McsCode_mud</v>
      </c>
      <c r="B7887" s="409"/>
      <c r="C7887" s="416"/>
      <c r="D7887" s="198" t="s">
        <v>22351</v>
      </c>
      <c r="E7887" s="198">
        <v>65</v>
      </c>
      <c r="F7887" s="199" t="s">
        <v>22352</v>
      </c>
      <c r="G7887" s="1" t="s">
        <v>25281</v>
      </c>
      <c r="H7887" s="1" t="s">
        <v>25282</v>
      </c>
      <c r="I7887" s="351" t="s">
        <v>25283</v>
      </c>
      <c r="J7887" s="39">
        <v>105477</v>
      </c>
      <c r="K7887" s="36" t="str">
        <f>CONCATENATE(Cover!$D$6,"fdd/view?i=",J7887)</f>
        <v>https://www.dgiwg.org/FAD/fdd/view?i=105477</v>
      </c>
      <c r="L7887" s="36" t="s">
        <v>46774</v>
      </c>
      <c r="M7887" s="186"/>
      <c r="N7887" s="186"/>
      <c r="O7887" s="172"/>
    </row>
    <row r="7888" spans="1:15" ht="51" x14ac:dyDescent="0.2">
      <c r="A7888" s="197" t="str">
        <f t="shared" si="123"/>
        <v>McsCode_mussels</v>
      </c>
      <c r="B7888" s="409"/>
      <c r="C7888" s="416"/>
      <c r="D7888" s="198" t="s">
        <v>43583</v>
      </c>
      <c r="E7888" s="198">
        <v>66</v>
      </c>
      <c r="F7888" s="199" t="s">
        <v>43584</v>
      </c>
      <c r="G7888" s="1" t="s">
        <v>43585</v>
      </c>
      <c r="H7888" s="1" t="s">
        <v>43586</v>
      </c>
      <c r="I7888" s="346"/>
      <c r="J7888" s="39">
        <v>105478</v>
      </c>
      <c r="K7888" s="36" t="str">
        <f>CONCATENATE(Cover!$D$6,"fdd/view?i=",J7888)</f>
        <v>https://www.dgiwg.org/FAD/fdd/view?i=105478</v>
      </c>
      <c r="L7888" s="36" t="s">
        <v>46775</v>
      </c>
      <c r="M7888" s="186"/>
      <c r="N7888" s="186"/>
      <c r="O7888" s="172"/>
    </row>
    <row r="7889" spans="1:15" ht="38.25" x14ac:dyDescent="0.2">
      <c r="A7889" s="197" t="str">
        <f t="shared" si="123"/>
        <v>McsCode_ooze</v>
      </c>
      <c r="B7889" s="409"/>
      <c r="C7889" s="416"/>
      <c r="D7889" s="198" t="s">
        <v>46776</v>
      </c>
      <c r="E7889" s="198">
        <v>69</v>
      </c>
      <c r="F7889" s="199" t="s">
        <v>46777</v>
      </c>
      <c r="G7889" s="1" t="s">
        <v>46778</v>
      </c>
      <c r="H7889" s="200"/>
      <c r="I7889" s="346"/>
      <c r="J7889" s="39">
        <v>105479</v>
      </c>
      <c r="K7889" s="36" t="str">
        <f>CONCATENATE(Cover!$D$6,"fdd/view?i=",J7889)</f>
        <v>https://www.dgiwg.org/FAD/fdd/view?i=105479</v>
      </c>
      <c r="L7889" s="36" t="s">
        <v>46779</v>
      </c>
      <c r="M7889" s="186"/>
      <c r="N7889" s="186"/>
      <c r="O7889" s="172"/>
    </row>
    <row r="7890" spans="1:15" ht="38.25" x14ac:dyDescent="0.2">
      <c r="A7890" s="197" t="str">
        <f t="shared" si="123"/>
        <v>McsCode_oysters</v>
      </c>
      <c r="B7890" s="409"/>
      <c r="C7890" s="416"/>
      <c r="D7890" s="198" t="s">
        <v>43616</v>
      </c>
      <c r="E7890" s="198">
        <v>70</v>
      </c>
      <c r="F7890" s="199" t="s">
        <v>43617</v>
      </c>
      <c r="G7890" s="1" t="s">
        <v>43618</v>
      </c>
      <c r="H7890" s="1" t="s">
        <v>43619</v>
      </c>
      <c r="I7890" s="346"/>
      <c r="J7890" s="39">
        <v>105480</v>
      </c>
      <c r="K7890" s="36" t="str">
        <f>CONCATENATE(Cover!$D$6,"fdd/view?i=",J7890)</f>
        <v>https://www.dgiwg.org/FAD/fdd/view?i=105480</v>
      </c>
      <c r="L7890" s="36" t="s">
        <v>46780</v>
      </c>
      <c r="M7890" s="186"/>
      <c r="N7890" s="186"/>
      <c r="O7890" s="172"/>
    </row>
    <row r="7891" spans="1:15" x14ac:dyDescent="0.2">
      <c r="A7891" s="197" t="str">
        <f t="shared" si="123"/>
        <v>McsCode_partMetal</v>
      </c>
      <c r="B7891" s="409"/>
      <c r="C7891" s="416"/>
      <c r="D7891" s="198" t="s">
        <v>43978</v>
      </c>
      <c r="E7891" s="198">
        <v>145</v>
      </c>
      <c r="F7891" s="199" t="s">
        <v>43979</v>
      </c>
      <c r="G7891" s="1" t="s">
        <v>43980</v>
      </c>
      <c r="H7891" s="200"/>
      <c r="I7891" s="346"/>
      <c r="J7891" s="39">
        <v>108587</v>
      </c>
      <c r="K7891" s="36" t="str">
        <f>CONCATENATE(Cover!$D$6,"fdd/view?i=",J7891)</f>
        <v>https://www.dgiwg.org/FAD/fdd/view?i=108587</v>
      </c>
      <c r="L7891" s="36" t="s">
        <v>46781</v>
      </c>
      <c r="M7891" s="186"/>
      <c r="N7891" s="186"/>
      <c r="O7891" s="172"/>
    </row>
    <row r="7892" spans="1:15" ht="25.5" x14ac:dyDescent="0.2">
      <c r="A7892" s="197" t="str">
        <f t="shared" si="123"/>
        <v>McsCode_pebbles</v>
      </c>
      <c r="B7892" s="409"/>
      <c r="C7892" s="416"/>
      <c r="D7892" s="198" t="s">
        <v>43632</v>
      </c>
      <c r="E7892" s="198">
        <v>73</v>
      </c>
      <c r="F7892" s="199" t="s">
        <v>43633</v>
      </c>
      <c r="G7892" s="1" t="s">
        <v>43634</v>
      </c>
      <c r="H7892" s="200"/>
      <c r="I7892" s="351" t="s">
        <v>43635</v>
      </c>
      <c r="J7892" s="39">
        <v>105481</v>
      </c>
      <c r="K7892" s="36" t="str">
        <f>CONCATENATE(Cover!$D$6,"fdd/view?i=",J7892)</f>
        <v>https://www.dgiwg.org/FAD/fdd/view?i=105481</v>
      </c>
      <c r="L7892" s="36" t="s">
        <v>46782</v>
      </c>
      <c r="M7892" s="186"/>
      <c r="N7892" s="186"/>
      <c r="O7892" s="172"/>
    </row>
    <row r="7893" spans="1:15" ht="38.25" x14ac:dyDescent="0.2">
      <c r="A7893" s="197" t="str">
        <f t="shared" si="123"/>
        <v>McsCode_plantMaterial</v>
      </c>
      <c r="B7893" s="409"/>
      <c r="C7893" s="416"/>
      <c r="D7893" s="198" t="s">
        <v>43655</v>
      </c>
      <c r="E7893" s="198">
        <v>45</v>
      </c>
      <c r="F7893" s="199" t="s">
        <v>43656</v>
      </c>
      <c r="G7893" s="1" t="s">
        <v>43657</v>
      </c>
      <c r="H7893" s="1" t="s">
        <v>46783</v>
      </c>
      <c r="I7893" s="346"/>
      <c r="J7893" s="39">
        <v>105468</v>
      </c>
      <c r="K7893" s="36" t="str">
        <f>CONCATENATE(Cover!$D$6,"fdd/view?i=",J7893)</f>
        <v>https://www.dgiwg.org/FAD/fdd/view?i=105468</v>
      </c>
      <c r="L7893" s="36" t="s">
        <v>46784</v>
      </c>
      <c r="M7893" s="186"/>
      <c r="N7893" s="186"/>
      <c r="O7893" s="172"/>
    </row>
    <row r="7894" spans="1:15" ht="38.25" x14ac:dyDescent="0.2">
      <c r="A7894" s="197" t="str">
        <f t="shared" si="123"/>
        <v>McsCode_plastic</v>
      </c>
      <c r="B7894" s="409"/>
      <c r="C7894" s="416"/>
      <c r="D7894" s="198" t="s">
        <v>43659</v>
      </c>
      <c r="E7894" s="198">
        <v>146</v>
      </c>
      <c r="F7894" s="199" t="s">
        <v>43660</v>
      </c>
      <c r="G7894" s="1" t="s">
        <v>43661</v>
      </c>
      <c r="H7894" s="1" t="s">
        <v>43662</v>
      </c>
      <c r="I7894" s="346"/>
      <c r="J7894" s="39">
        <v>108588</v>
      </c>
      <c r="K7894" s="36" t="str">
        <f>CONCATENATE(Cover!$D$6,"fdd/view?i=",J7894)</f>
        <v>https://www.dgiwg.org/FAD/fdd/view?i=108588</v>
      </c>
      <c r="L7894" s="36" t="s">
        <v>46785</v>
      </c>
      <c r="M7894" s="186"/>
      <c r="N7894" s="186"/>
      <c r="O7894" s="172"/>
    </row>
    <row r="7895" spans="1:15" ht="63.75" x14ac:dyDescent="0.2">
      <c r="A7895" s="197" t="str">
        <f t="shared" si="123"/>
        <v>McsCode_porphyry</v>
      </c>
      <c r="B7895" s="409"/>
      <c r="C7895" s="416"/>
      <c r="D7895" s="198" t="s">
        <v>43664</v>
      </c>
      <c r="E7895" s="198">
        <v>147</v>
      </c>
      <c r="F7895" s="199" t="s">
        <v>43665</v>
      </c>
      <c r="G7895" s="1" t="s">
        <v>44495</v>
      </c>
      <c r="H7895" s="1" t="s">
        <v>44496</v>
      </c>
      <c r="I7895" s="346"/>
      <c r="J7895" s="39">
        <v>108589</v>
      </c>
      <c r="K7895" s="36" t="str">
        <f>CONCATENATE(Cover!$D$6,"fdd/view?i=",J7895)</f>
        <v>https://www.dgiwg.org/FAD/fdd/view?i=108589</v>
      </c>
      <c r="L7895" s="36" t="s">
        <v>46786</v>
      </c>
      <c r="M7895" s="186"/>
      <c r="N7895" s="186"/>
      <c r="O7895" s="172"/>
    </row>
    <row r="7896" spans="1:15" ht="38.25" x14ac:dyDescent="0.2">
      <c r="A7896" s="197" t="str">
        <f t="shared" si="123"/>
        <v>McsCode_prestressedConcrete</v>
      </c>
      <c r="B7896" s="409"/>
      <c r="C7896" s="416"/>
      <c r="D7896" s="198" t="s">
        <v>43678</v>
      </c>
      <c r="E7896" s="198">
        <v>148</v>
      </c>
      <c r="F7896" s="199" t="s">
        <v>43679</v>
      </c>
      <c r="G7896" s="1" t="s">
        <v>43680</v>
      </c>
      <c r="H7896" s="200"/>
      <c r="I7896" s="346"/>
      <c r="J7896" s="39">
        <v>108590</v>
      </c>
      <c r="K7896" s="36" t="str">
        <f>CONCATENATE(Cover!$D$6,"fdd/view?i=",J7896)</f>
        <v>https://www.dgiwg.org/FAD/fdd/view?i=108590</v>
      </c>
      <c r="L7896" s="36" t="s">
        <v>46787</v>
      </c>
      <c r="M7896" s="186"/>
      <c r="N7896" s="186"/>
      <c r="O7896" s="172"/>
    </row>
    <row r="7897" spans="1:15" ht="38.25" x14ac:dyDescent="0.2">
      <c r="A7897" s="197" t="str">
        <f t="shared" si="123"/>
        <v>McsCode_pumice</v>
      </c>
      <c r="B7897" s="409"/>
      <c r="C7897" s="416"/>
      <c r="D7897" s="198" t="s">
        <v>43682</v>
      </c>
      <c r="E7897" s="198">
        <v>79</v>
      </c>
      <c r="F7897" s="199" t="s">
        <v>43683</v>
      </c>
      <c r="G7897" s="1" t="s">
        <v>43684</v>
      </c>
      <c r="H7897" s="1" t="s">
        <v>43685</v>
      </c>
      <c r="I7897" s="346"/>
      <c r="J7897" s="39">
        <v>105484</v>
      </c>
      <c r="K7897" s="36" t="str">
        <f>CONCATENATE(Cover!$D$6,"fdd/view?i=",J7897)</f>
        <v>https://www.dgiwg.org/FAD/fdd/view?i=105484</v>
      </c>
      <c r="L7897" s="36" t="s">
        <v>46788</v>
      </c>
      <c r="M7897" s="186"/>
      <c r="N7897" s="186"/>
      <c r="O7897" s="172"/>
    </row>
    <row r="7898" spans="1:15" ht="38.25" x14ac:dyDescent="0.2">
      <c r="A7898" s="197" t="str">
        <f t="shared" si="123"/>
        <v>McsCode_quartz</v>
      </c>
      <c r="B7898" s="409"/>
      <c r="C7898" s="416"/>
      <c r="D7898" s="198" t="s">
        <v>35487</v>
      </c>
      <c r="E7898" s="198">
        <v>80</v>
      </c>
      <c r="F7898" s="199" t="s">
        <v>35488</v>
      </c>
      <c r="G7898" s="1" t="s">
        <v>44499</v>
      </c>
      <c r="H7898" s="1" t="s">
        <v>44500</v>
      </c>
      <c r="I7898" s="346"/>
      <c r="J7898" s="39">
        <v>105485</v>
      </c>
      <c r="K7898" s="36" t="str">
        <f>CONCATENATE(Cover!$D$6,"fdd/view?i=",J7898)</f>
        <v>https://www.dgiwg.org/FAD/fdd/view?i=105485</v>
      </c>
      <c r="L7898" s="36" t="s">
        <v>46789</v>
      </c>
      <c r="M7898" s="186"/>
      <c r="N7898" s="186"/>
      <c r="O7898" s="172"/>
    </row>
    <row r="7899" spans="1:15" ht="51" x14ac:dyDescent="0.2">
      <c r="A7899" s="197" t="str">
        <f t="shared" si="123"/>
        <v>McsCode_quartzite</v>
      </c>
      <c r="B7899" s="409"/>
      <c r="C7899" s="416"/>
      <c r="D7899" s="198" t="s">
        <v>43690</v>
      </c>
      <c r="E7899" s="198">
        <v>149</v>
      </c>
      <c r="F7899" s="199" t="s">
        <v>43691</v>
      </c>
      <c r="G7899" s="1" t="s">
        <v>44502</v>
      </c>
      <c r="H7899" s="1" t="s">
        <v>44503</v>
      </c>
      <c r="I7899" s="346"/>
      <c r="J7899" s="39">
        <v>108591</v>
      </c>
      <c r="K7899" s="36" t="str">
        <f>CONCATENATE(Cover!$D$6,"fdd/view?i=",J7899)</f>
        <v>https://www.dgiwg.org/FAD/fdd/view?i=108591</v>
      </c>
      <c r="L7899" s="36" t="s">
        <v>46790</v>
      </c>
      <c r="M7899" s="186"/>
      <c r="N7899" s="186"/>
      <c r="O7899" s="172"/>
    </row>
    <row r="7900" spans="1:15" ht="38.25" x14ac:dyDescent="0.2">
      <c r="A7900" s="197" t="str">
        <f t="shared" si="123"/>
        <v>McsCode_radioactiveMaterial</v>
      </c>
      <c r="B7900" s="409"/>
      <c r="C7900" s="416"/>
      <c r="D7900" s="198" t="s">
        <v>25289</v>
      </c>
      <c r="E7900" s="198">
        <v>150</v>
      </c>
      <c r="F7900" s="199" t="s">
        <v>25290</v>
      </c>
      <c r="G7900" s="1" t="s">
        <v>25291</v>
      </c>
      <c r="H7900" s="200"/>
      <c r="I7900" s="346"/>
      <c r="J7900" s="39">
        <v>108592</v>
      </c>
      <c r="K7900" s="36" t="str">
        <f>CONCATENATE(Cover!$D$6,"fdd/view?i=",J7900)</f>
        <v>https://www.dgiwg.org/FAD/fdd/view?i=108592</v>
      </c>
      <c r="L7900" s="36" t="s">
        <v>46791</v>
      </c>
      <c r="M7900" s="186"/>
      <c r="N7900" s="186"/>
      <c r="O7900" s="172"/>
    </row>
    <row r="7901" spans="1:15" ht="25.5" x14ac:dyDescent="0.2">
      <c r="A7901" s="197" t="str">
        <f t="shared" si="123"/>
        <v>McsCode_radiolaria</v>
      </c>
      <c r="B7901" s="409"/>
      <c r="C7901" s="416"/>
      <c r="D7901" s="198" t="s">
        <v>43696</v>
      </c>
      <c r="E7901" s="198">
        <v>81</v>
      </c>
      <c r="F7901" s="199" t="s">
        <v>43697</v>
      </c>
      <c r="G7901" s="1" t="s">
        <v>43698</v>
      </c>
      <c r="H7901" s="200"/>
      <c r="I7901" s="346"/>
      <c r="J7901" s="39">
        <v>105486</v>
      </c>
      <c r="K7901" s="36" t="str">
        <f>CONCATENATE(Cover!$D$6,"fdd/view?i=",J7901)</f>
        <v>https://www.dgiwg.org/FAD/fdd/view?i=105486</v>
      </c>
      <c r="L7901" s="36" t="s">
        <v>46792</v>
      </c>
      <c r="M7901" s="186"/>
      <c r="N7901" s="186"/>
      <c r="O7901" s="172"/>
    </row>
    <row r="7902" spans="1:15" ht="25.5" x14ac:dyDescent="0.2">
      <c r="A7902" s="197" t="str">
        <f t="shared" si="123"/>
        <v>McsCode_reinforcedConcrete</v>
      </c>
      <c r="B7902" s="409"/>
      <c r="C7902" s="416"/>
      <c r="D7902" s="198" t="s">
        <v>24173</v>
      </c>
      <c r="E7902" s="198">
        <v>151</v>
      </c>
      <c r="F7902" s="199" t="s">
        <v>24174</v>
      </c>
      <c r="G7902" s="1" t="s">
        <v>24175</v>
      </c>
      <c r="H7902" s="200"/>
      <c r="I7902" s="351" t="s">
        <v>24176</v>
      </c>
      <c r="J7902" s="39">
        <v>108593</v>
      </c>
      <c r="K7902" s="36" t="str">
        <f>CONCATENATE(Cover!$D$6,"fdd/view?i=",J7902)</f>
        <v>https://www.dgiwg.org/FAD/fdd/view?i=108593</v>
      </c>
      <c r="L7902" s="36" t="s">
        <v>46793</v>
      </c>
      <c r="M7902" s="186"/>
      <c r="N7902" s="186"/>
      <c r="O7902" s="172"/>
    </row>
    <row r="7903" spans="1:15" x14ac:dyDescent="0.2">
      <c r="A7903" s="197" t="str">
        <f t="shared" si="123"/>
        <v>McsCode_rock</v>
      </c>
      <c r="B7903" s="409"/>
      <c r="C7903" s="416"/>
      <c r="D7903" s="198" t="s">
        <v>27993</v>
      </c>
      <c r="E7903" s="198">
        <v>84</v>
      </c>
      <c r="F7903" s="199" t="s">
        <v>27994</v>
      </c>
      <c r="G7903" s="1" t="s">
        <v>43702</v>
      </c>
      <c r="H7903" s="200"/>
      <c r="I7903" s="346"/>
      <c r="J7903" s="39">
        <v>105487</v>
      </c>
      <c r="K7903" s="36" t="str">
        <f>CONCATENATE(Cover!$D$6,"fdd/view?i=",J7903)</f>
        <v>https://www.dgiwg.org/FAD/fdd/view?i=105487</v>
      </c>
      <c r="L7903" s="36" t="s">
        <v>46794</v>
      </c>
      <c r="M7903" s="186"/>
      <c r="N7903" s="186"/>
      <c r="O7903" s="172"/>
    </row>
    <row r="7904" spans="1:15" ht="76.5" x14ac:dyDescent="0.2">
      <c r="A7904" s="197" t="str">
        <f t="shared" si="123"/>
        <v>McsCode_sand</v>
      </c>
      <c r="B7904" s="409"/>
      <c r="C7904" s="416"/>
      <c r="D7904" s="198" t="s">
        <v>19594</v>
      </c>
      <c r="E7904" s="198">
        <v>88</v>
      </c>
      <c r="F7904" s="199" t="s">
        <v>19595</v>
      </c>
      <c r="G7904" s="1" t="s">
        <v>24183</v>
      </c>
      <c r="H7904" s="1" t="s">
        <v>24184</v>
      </c>
      <c r="I7904" s="346"/>
      <c r="J7904" s="39">
        <v>105488</v>
      </c>
      <c r="K7904" s="36" t="str">
        <f>CONCATENATE(Cover!$D$6,"fdd/view?i=",J7904)</f>
        <v>https://www.dgiwg.org/FAD/fdd/view?i=105488</v>
      </c>
      <c r="L7904" s="36" t="s">
        <v>46795</v>
      </c>
      <c r="M7904" s="186"/>
      <c r="N7904" s="186"/>
      <c r="O7904" s="172"/>
    </row>
    <row r="7905" spans="1:15" ht="25.5" x14ac:dyDescent="0.2">
      <c r="A7905" s="197" t="str">
        <f t="shared" si="123"/>
        <v>McsCode_sandstone</v>
      </c>
      <c r="B7905" s="409"/>
      <c r="C7905" s="416"/>
      <c r="D7905" s="198" t="s">
        <v>22358</v>
      </c>
      <c r="E7905" s="198">
        <v>152</v>
      </c>
      <c r="F7905" s="199" t="s">
        <v>22359</v>
      </c>
      <c r="G7905" s="1" t="s">
        <v>22360</v>
      </c>
      <c r="H7905" s="1" t="s">
        <v>22361</v>
      </c>
      <c r="I7905" s="346"/>
      <c r="J7905" s="39">
        <v>108594</v>
      </c>
      <c r="K7905" s="36" t="str">
        <f>CONCATENATE(Cover!$D$6,"fdd/view?i=",J7905)</f>
        <v>https://www.dgiwg.org/FAD/fdd/view?i=108594</v>
      </c>
      <c r="L7905" s="36" t="s">
        <v>46796</v>
      </c>
      <c r="M7905" s="186"/>
      <c r="N7905" s="186"/>
      <c r="O7905" s="172"/>
    </row>
    <row r="7906" spans="1:15" ht="38.25" x14ac:dyDescent="0.2">
      <c r="A7906" s="197" t="str">
        <f t="shared" si="123"/>
        <v>McsCode_schist</v>
      </c>
      <c r="B7906" s="409"/>
      <c r="C7906" s="416"/>
      <c r="D7906" s="198" t="s">
        <v>22363</v>
      </c>
      <c r="E7906" s="198">
        <v>90</v>
      </c>
      <c r="F7906" s="199" t="s">
        <v>22364</v>
      </c>
      <c r="G7906" s="1" t="s">
        <v>43720</v>
      </c>
      <c r="H7906" s="200"/>
      <c r="I7906" s="346"/>
      <c r="J7906" s="39">
        <v>105489</v>
      </c>
      <c r="K7906" s="36" t="str">
        <f>CONCATENATE(Cover!$D$6,"fdd/view?i=",J7906)</f>
        <v>https://www.dgiwg.org/FAD/fdd/view?i=105489</v>
      </c>
      <c r="L7906" s="36" t="s">
        <v>46797</v>
      </c>
      <c r="M7906" s="186"/>
      <c r="N7906" s="186"/>
      <c r="O7906" s="172"/>
    </row>
    <row r="7907" spans="1:15" ht="25.5" x14ac:dyDescent="0.2">
      <c r="A7907" s="197" t="str">
        <f t="shared" si="123"/>
        <v>McsCode_scoria</v>
      </c>
      <c r="B7907" s="409"/>
      <c r="C7907" s="416"/>
      <c r="D7907" s="198" t="s">
        <v>43722</v>
      </c>
      <c r="E7907" s="198">
        <v>92</v>
      </c>
      <c r="F7907" s="199" t="s">
        <v>43723</v>
      </c>
      <c r="G7907" s="1" t="s">
        <v>43725</v>
      </c>
      <c r="H7907" s="200"/>
      <c r="I7907" s="346"/>
      <c r="J7907" s="39">
        <v>105490</v>
      </c>
      <c r="K7907" s="36" t="str">
        <f>CONCATENATE(Cover!$D$6,"fdd/view?i=",J7907)</f>
        <v>https://www.dgiwg.org/FAD/fdd/view?i=105490</v>
      </c>
      <c r="L7907" s="36" t="s">
        <v>46798</v>
      </c>
      <c r="M7907" s="186"/>
      <c r="N7907" s="186"/>
      <c r="O7907" s="172"/>
    </row>
    <row r="7908" spans="1:15" ht="25.5" x14ac:dyDescent="0.2">
      <c r="A7908" s="197" t="str">
        <f t="shared" si="123"/>
        <v>McsCode_seaMoss</v>
      </c>
      <c r="B7908" s="409"/>
      <c r="C7908" s="416"/>
      <c r="D7908" s="198" t="s">
        <v>43727</v>
      </c>
      <c r="E7908" s="198">
        <v>75</v>
      </c>
      <c r="F7908" s="199" t="s">
        <v>43728</v>
      </c>
      <c r="G7908" s="1" t="s">
        <v>43729</v>
      </c>
      <c r="H7908" s="200"/>
      <c r="I7908" s="346"/>
      <c r="J7908" s="39">
        <v>105482</v>
      </c>
      <c r="K7908" s="36" t="str">
        <f>CONCATENATE(Cover!$D$6,"fdd/view?i=",J7908)</f>
        <v>https://www.dgiwg.org/FAD/fdd/view?i=105482</v>
      </c>
      <c r="L7908" s="36" t="s">
        <v>46799</v>
      </c>
      <c r="M7908" s="186"/>
      <c r="N7908" s="186"/>
      <c r="O7908" s="172"/>
    </row>
    <row r="7909" spans="1:15" ht="25.5" x14ac:dyDescent="0.2">
      <c r="A7909" s="197" t="str">
        <f t="shared" si="123"/>
        <v>McsCode_shale</v>
      </c>
      <c r="B7909" s="409"/>
      <c r="C7909" s="416"/>
      <c r="D7909" s="198" t="s">
        <v>22372</v>
      </c>
      <c r="E7909" s="198">
        <v>153</v>
      </c>
      <c r="F7909" s="199" t="s">
        <v>22373</v>
      </c>
      <c r="G7909" s="1" t="s">
        <v>22374</v>
      </c>
      <c r="H7909" s="200"/>
      <c r="I7909" s="346"/>
      <c r="J7909" s="39">
        <v>108595</v>
      </c>
      <c r="K7909" s="36" t="str">
        <f>CONCATENATE(Cover!$D$6,"fdd/view?i=",J7909)</f>
        <v>https://www.dgiwg.org/FAD/fdd/view?i=108595</v>
      </c>
      <c r="L7909" s="36" t="s">
        <v>46800</v>
      </c>
      <c r="M7909" s="186"/>
      <c r="N7909" s="186"/>
      <c r="O7909" s="172"/>
    </row>
    <row r="7910" spans="1:15" ht="25.5" x14ac:dyDescent="0.2">
      <c r="A7910" s="197" t="str">
        <f t="shared" si="123"/>
        <v>McsCode_shell</v>
      </c>
      <c r="B7910" s="409"/>
      <c r="C7910" s="416"/>
      <c r="D7910" s="198" t="s">
        <v>37482</v>
      </c>
      <c r="E7910" s="198">
        <v>96</v>
      </c>
      <c r="F7910" s="199" t="s">
        <v>37483</v>
      </c>
      <c r="G7910" s="1" t="s">
        <v>43732</v>
      </c>
      <c r="H7910" s="200"/>
      <c r="I7910" s="346"/>
      <c r="J7910" s="39">
        <v>105493</v>
      </c>
      <c r="K7910" s="36" t="str">
        <f>CONCATENATE(Cover!$D$6,"fdd/view?i=",J7910)</f>
        <v>https://www.dgiwg.org/FAD/fdd/view?i=105493</v>
      </c>
      <c r="L7910" s="36" t="s">
        <v>46801</v>
      </c>
      <c r="M7910" s="186"/>
      <c r="N7910" s="186"/>
      <c r="O7910" s="172"/>
    </row>
    <row r="7911" spans="1:15" ht="25.5" x14ac:dyDescent="0.2">
      <c r="A7911" s="197" t="str">
        <f t="shared" si="123"/>
        <v>McsCode_shingle</v>
      </c>
      <c r="B7911" s="409"/>
      <c r="C7911" s="416"/>
      <c r="D7911" s="198" t="s">
        <v>46802</v>
      </c>
      <c r="E7911" s="198">
        <v>98</v>
      </c>
      <c r="F7911" s="199" t="s">
        <v>46803</v>
      </c>
      <c r="G7911" s="1" t="s">
        <v>46804</v>
      </c>
      <c r="H7911" s="200"/>
      <c r="I7911" s="346"/>
      <c r="J7911" s="39">
        <v>105494</v>
      </c>
      <c r="K7911" s="36" t="str">
        <f>CONCATENATE(Cover!$D$6,"fdd/view?i=",J7911)</f>
        <v>https://www.dgiwg.org/FAD/fdd/view?i=105494</v>
      </c>
      <c r="L7911" s="36" t="s">
        <v>46805</v>
      </c>
      <c r="M7911" s="186"/>
      <c r="N7911" s="186"/>
      <c r="O7911" s="172"/>
    </row>
    <row r="7912" spans="1:15" ht="38.25" x14ac:dyDescent="0.2">
      <c r="A7912" s="197" t="str">
        <f t="shared" si="123"/>
        <v>McsCode_silt</v>
      </c>
      <c r="B7912" s="409"/>
      <c r="C7912" s="416"/>
      <c r="D7912" s="198" t="s">
        <v>25312</v>
      </c>
      <c r="E7912" s="198">
        <v>99</v>
      </c>
      <c r="F7912" s="199" t="s">
        <v>25313</v>
      </c>
      <c r="G7912" s="1" t="s">
        <v>25314</v>
      </c>
      <c r="H7912" s="200"/>
      <c r="I7912" s="346"/>
      <c r="J7912" s="39">
        <v>105495</v>
      </c>
      <c r="K7912" s="36" t="str">
        <f>CONCATENATE(Cover!$D$6,"fdd/view?i=",J7912)</f>
        <v>https://www.dgiwg.org/FAD/fdd/view?i=105495</v>
      </c>
      <c r="L7912" s="36" t="s">
        <v>46806</v>
      </c>
      <c r="M7912" s="186"/>
      <c r="N7912" s="186"/>
      <c r="O7912" s="172"/>
    </row>
    <row r="7913" spans="1:15" ht="38.25" x14ac:dyDescent="0.2">
      <c r="A7913" s="197" t="str">
        <f t="shared" si="123"/>
        <v>McsCode_silver</v>
      </c>
      <c r="B7913" s="409"/>
      <c r="C7913" s="416"/>
      <c r="D7913" s="198" t="s">
        <v>25871</v>
      </c>
      <c r="E7913" s="198">
        <v>154</v>
      </c>
      <c r="F7913" s="199" t="s">
        <v>43029</v>
      </c>
      <c r="G7913" s="1" t="s">
        <v>43739</v>
      </c>
      <c r="H7913" s="200"/>
      <c r="I7913" s="346"/>
      <c r="J7913" s="39">
        <v>108596</v>
      </c>
      <c r="K7913" s="36" t="str">
        <f>CONCATENATE(Cover!$D$6,"fdd/view?i=",J7913)</f>
        <v>https://www.dgiwg.org/FAD/fdd/view?i=108596</v>
      </c>
      <c r="L7913" s="36" t="s">
        <v>46807</v>
      </c>
      <c r="M7913" s="186"/>
      <c r="N7913" s="186"/>
      <c r="O7913" s="172"/>
    </row>
    <row r="7914" spans="1:15" ht="38.25" x14ac:dyDescent="0.2">
      <c r="A7914" s="197" t="str">
        <f t="shared" si="123"/>
        <v>McsCode_slate</v>
      </c>
      <c r="B7914" s="409"/>
      <c r="C7914" s="416"/>
      <c r="D7914" s="198" t="s">
        <v>43741</v>
      </c>
      <c r="E7914" s="198">
        <v>155</v>
      </c>
      <c r="F7914" s="199" t="s">
        <v>43742</v>
      </c>
      <c r="G7914" s="1" t="s">
        <v>44520</v>
      </c>
      <c r="H7914" s="1" t="s">
        <v>44521</v>
      </c>
      <c r="I7914" s="346"/>
      <c r="J7914" s="39">
        <v>108597</v>
      </c>
      <c r="K7914" s="36" t="str">
        <f>CONCATENATE(Cover!$D$6,"fdd/view?i=",J7914)</f>
        <v>https://www.dgiwg.org/FAD/fdd/view?i=108597</v>
      </c>
      <c r="L7914" s="36" t="s">
        <v>46808</v>
      </c>
      <c r="M7914" s="186"/>
      <c r="N7914" s="186"/>
      <c r="O7914" s="172"/>
    </row>
    <row r="7915" spans="1:15" ht="38.25" x14ac:dyDescent="0.2">
      <c r="A7915" s="197" t="str">
        <f t="shared" si="123"/>
        <v>McsCode_soil</v>
      </c>
      <c r="B7915" s="409"/>
      <c r="C7915" s="416"/>
      <c r="D7915" s="198" t="s">
        <v>24205</v>
      </c>
      <c r="E7915" s="198">
        <v>104</v>
      </c>
      <c r="F7915" s="199" t="s">
        <v>24206</v>
      </c>
      <c r="G7915" s="1" t="s">
        <v>24207</v>
      </c>
      <c r="H7915" s="200"/>
      <c r="I7915" s="346"/>
      <c r="J7915" s="39">
        <v>105496</v>
      </c>
      <c r="K7915" s="36" t="str">
        <f>CONCATENATE(Cover!$D$6,"fdd/view?i=",J7915)</f>
        <v>https://www.dgiwg.org/FAD/fdd/view?i=105496</v>
      </c>
      <c r="L7915" s="36" t="s">
        <v>46809</v>
      </c>
      <c r="M7915" s="186"/>
      <c r="N7915" s="186"/>
      <c r="O7915" s="172"/>
    </row>
    <row r="7916" spans="1:15" ht="25.5" x14ac:dyDescent="0.2">
      <c r="A7916" s="197" t="str">
        <f t="shared" si="123"/>
        <v>McsCode_spicules</v>
      </c>
      <c r="B7916" s="409"/>
      <c r="C7916" s="416"/>
      <c r="D7916" s="198" t="s">
        <v>44525</v>
      </c>
      <c r="E7916" s="198">
        <v>105</v>
      </c>
      <c r="F7916" s="199" t="s">
        <v>44526</v>
      </c>
      <c r="G7916" s="1" t="s">
        <v>44527</v>
      </c>
      <c r="H7916" s="200"/>
      <c r="I7916" s="346"/>
      <c r="J7916" s="39">
        <v>105497</v>
      </c>
      <c r="K7916" s="36" t="str">
        <f>CONCATENATE(Cover!$D$6,"fdd/view?i=",J7916)</f>
        <v>https://www.dgiwg.org/FAD/fdd/view?i=105497</v>
      </c>
      <c r="L7916" s="36" t="s">
        <v>46810</v>
      </c>
      <c r="M7916" s="186"/>
      <c r="N7916" s="186"/>
      <c r="O7916" s="172"/>
    </row>
    <row r="7917" spans="1:15" ht="38.25" x14ac:dyDescent="0.2">
      <c r="A7917" s="197" t="str">
        <f t="shared" si="123"/>
        <v>McsCode_sponge</v>
      </c>
      <c r="B7917" s="409"/>
      <c r="C7917" s="416"/>
      <c r="D7917" s="198" t="s">
        <v>43750</v>
      </c>
      <c r="E7917" s="198">
        <v>106</v>
      </c>
      <c r="F7917" s="199" t="s">
        <v>43751</v>
      </c>
      <c r="G7917" s="1" t="s">
        <v>43752</v>
      </c>
      <c r="H7917" s="200"/>
      <c r="I7917" s="346"/>
      <c r="J7917" s="39">
        <v>105498</v>
      </c>
      <c r="K7917" s="36" t="str">
        <f>CONCATENATE(Cover!$D$6,"fdd/view?i=",J7917)</f>
        <v>https://www.dgiwg.org/FAD/fdd/view?i=105498</v>
      </c>
      <c r="L7917" s="36" t="s">
        <v>46811</v>
      </c>
      <c r="M7917" s="186"/>
      <c r="N7917" s="186"/>
      <c r="O7917" s="172"/>
    </row>
    <row r="7918" spans="1:15" ht="38.25" x14ac:dyDescent="0.2">
      <c r="A7918" s="197" t="str">
        <f t="shared" si="123"/>
        <v>McsCode_steel</v>
      </c>
      <c r="B7918" s="409"/>
      <c r="C7918" s="416"/>
      <c r="D7918" s="198" t="s">
        <v>43754</v>
      </c>
      <c r="E7918" s="198">
        <v>156</v>
      </c>
      <c r="F7918" s="199" t="s">
        <v>43755</v>
      </c>
      <c r="G7918" s="1" t="s">
        <v>43756</v>
      </c>
      <c r="H7918" s="1" t="s">
        <v>43757</v>
      </c>
      <c r="I7918" s="346"/>
      <c r="J7918" s="39">
        <v>108598</v>
      </c>
      <c r="K7918" s="36" t="str">
        <f>CONCATENATE(Cover!$D$6,"fdd/view?i=",J7918)</f>
        <v>https://www.dgiwg.org/FAD/fdd/view?i=108598</v>
      </c>
      <c r="L7918" s="36" t="s">
        <v>46812</v>
      </c>
      <c r="M7918" s="186"/>
      <c r="N7918" s="186"/>
      <c r="O7918" s="172"/>
    </row>
    <row r="7919" spans="1:15" ht="38.25" x14ac:dyDescent="0.2">
      <c r="A7919" s="197" t="str">
        <f t="shared" si="123"/>
        <v>McsCode_stone</v>
      </c>
      <c r="B7919" s="409"/>
      <c r="C7919" s="416"/>
      <c r="D7919" s="198" t="s">
        <v>19602</v>
      </c>
      <c r="E7919" s="198">
        <v>108</v>
      </c>
      <c r="F7919" s="199" t="s">
        <v>19603</v>
      </c>
      <c r="G7919" s="1" t="s">
        <v>43759</v>
      </c>
      <c r="H7919" s="1" t="s">
        <v>43760</v>
      </c>
      <c r="I7919" s="346"/>
      <c r="J7919" s="39">
        <v>105499</v>
      </c>
      <c r="K7919" s="36" t="str">
        <f>CONCATENATE(Cover!$D$6,"fdd/view?i=",J7919)</f>
        <v>https://www.dgiwg.org/FAD/fdd/view?i=105499</v>
      </c>
      <c r="L7919" s="36" t="s">
        <v>46813</v>
      </c>
      <c r="M7919" s="186"/>
      <c r="N7919" s="186"/>
      <c r="O7919" s="172"/>
    </row>
    <row r="7920" spans="1:15" ht="25.5" x14ac:dyDescent="0.2">
      <c r="A7920" s="197" t="str">
        <f t="shared" si="123"/>
        <v>McsCode_timber</v>
      </c>
      <c r="B7920" s="409"/>
      <c r="C7920" s="416"/>
      <c r="D7920" s="198" t="s">
        <v>27602</v>
      </c>
      <c r="E7920" s="198">
        <v>157</v>
      </c>
      <c r="F7920" s="199" t="s">
        <v>27603</v>
      </c>
      <c r="G7920" s="1" t="s">
        <v>43782</v>
      </c>
      <c r="H7920" s="200"/>
      <c r="I7920" s="346"/>
      <c r="J7920" s="39">
        <v>108599</v>
      </c>
      <c r="K7920" s="36" t="str">
        <f>CONCATENATE(Cover!$D$6,"fdd/view?i=",J7920)</f>
        <v>https://www.dgiwg.org/FAD/fdd/view?i=108599</v>
      </c>
      <c r="L7920" s="36" t="s">
        <v>46814</v>
      </c>
      <c r="M7920" s="186"/>
      <c r="N7920" s="186"/>
      <c r="O7920" s="172"/>
    </row>
    <row r="7921" spans="1:15" ht="38.25" x14ac:dyDescent="0.2">
      <c r="A7921" s="197" t="str">
        <f t="shared" si="123"/>
        <v>McsCode_travertine</v>
      </c>
      <c r="B7921" s="409"/>
      <c r="C7921" s="416"/>
      <c r="D7921" s="198" t="s">
        <v>43791</v>
      </c>
      <c r="E7921" s="198">
        <v>158</v>
      </c>
      <c r="F7921" s="199" t="s">
        <v>43792</v>
      </c>
      <c r="G7921" s="1" t="s">
        <v>43794</v>
      </c>
      <c r="H7921" s="1" t="s">
        <v>44539</v>
      </c>
      <c r="I7921" s="346"/>
      <c r="J7921" s="39">
        <v>108600</v>
      </c>
      <c r="K7921" s="36" t="str">
        <f>CONCATENATE(Cover!$D$6,"fdd/view?i=",J7921)</f>
        <v>https://www.dgiwg.org/FAD/fdd/view?i=108600</v>
      </c>
      <c r="L7921" s="36" t="s">
        <v>46815</v>
      </c>
      <c r="M7921" s="186"/>
      <c r="N7921" s="186"/>
      <c r="O7921" s="172"/>
    </row>
    <row r="7922" spans="1:15" ht="25.5" x14ac:dyDescent="0.2">
      <c r="A7922" s="197" t="str">
        <f t="shared" si="123"/>
        <v>McsCode_treatedTimber</v>
      </c>
      <c r="B7922" s="409"/>
      <c r="C7922" s="416"/>
      <c r="D7922" s="198" t="s">
        <v>46816</v>
      </c>
      <c r="E7922" s="198">
        <v>159</v>
      </c>
      <c r="F7922" s="199" t="s">
        <v>46817</v>
      </c>
      <c r="G7922" s="1" t="s">
        <v>46818</v>
      </c>
      <c r="H7922" s="1" t="s">
        <v>46819</v>
      </c>
      <c r="I7922" s="346"/>
      <c r="J7922" s="39">
        <v>112764</v>
      </c>
      <c r="K7922" s="36" t="str">
        <f>CONCATENATE(Cover!$D$6,"fdd/view?i=",J7922)</f>
        <v>https://www.dgiwg.org/FAD/fdd/view?i=112764</v>
      </c>
      <c r="L7922" s="36" t="s">
        <v>46820</v>
      </c>
      <c r="M7922" s="186"/>
      <c r="N7922" s="186"/>
      <c r="O7922" s="172"/>
    </row>
    <row r="7923" spans="1:15" ht="25.5" x14ac:dyDescent="0.2">
      <c r="A7923" s="197" t="str">
        <f t="shared" si="123"/>
        <v>McsCode_tufa</v>
      </c>
      <c r="B7923" s="409"/>
      <c r="C7923" s="416"/>
      <c r="D7923" s="198" t="s">
        <v>43796</v>
      </c>
      <c r="E7923" s="198">
        <v>111</v>
      </c>
      <c r="F7923" s="199" t="s">
        <v>43797</v>
      </c>
      <c r="G7923" s="1" t="s">
        <v>44541</v>
      </c>
      <c r="H7923" s="1" t="s">
        <v>44542</v>
      </c>
      <c r="I7923" s="346"/>
      <c r="J7923" s="39">
        <v>105500</v>
      </c>
      <c r="K7923" s="36" t="str">
        <f>CONCATENATE(Cover!$D$6,"fdd/view?i=",J7923)</f>
        <v>https://www.dgiwg.org/FAD/fdd/view?i=105500</v>
      </c>
      <c r="L7923" s="36" t="s">
        <v>46821</v>
      </c>
      <c r="M7923" s="186"/>
      <c r="N7923" s="186"/>
      <c r="O7923" s="172"/>
    </row>
    <row r="7924" spans="1:15" ht="38.25" x14ac:dyDescent="0.2">
      <c r="A7924" s="197" t="str">
        <f t="shared" si="123"/>
        <v>McsCode_uraniumOre</v>
      </c>
      <c r="B7924" s="409"/>
      <c r="C7924" s="416"/>
      <c r="D7924" s="198" t="s">
        <v>39125</v>
      </c>
      <c r="E7924" s="198">
        <v>112</v>
      </c>
      <c r="F7924" s="199" t="s">
        <v>39126</v>
      </c>
      <c r="G7924" s="1" t="s">
        <v>46822</v>
      </c>
      <c r="H7924" s="1" t="s">
        <v>46823</v>
      </c>
      <c r="I7924" s="346"/>
      <c r="J7924" s="39">
        <v>105501</v>
      </c>
      <c r="K7924" s="36" t="str">
        <f>CONCATENATE(Cover!$D$6,"fdd/view?i=",J7924)</f>
        <v>https://www.dgiwg.org/FAD/fdd/view?i=105501</v>
      </c>
      <c r="L7924" s="36" t="s">
        <v>46824</v>
      </c>
      <c r="M7924" s="186"/>
      <c r="N7924" s="186"/>
      <c r="O7924" s="172"/>
    </row>
    <row r="7925" spans="1:15" ht="25.5" x14ac:dyDescent="0.2">
      <c r="A7925" s="197" t="str">
        <f t="shared" si="123"/>
        <v>McsCode_vegetation</v>
      </c>
      <c r="B7925" s="409"/>
      <c r="C7925" s="416"/>
      <c r="D7925" s="198" t="s">
        <v>29248</v>
      </c>
      <c r="E7925" s="198">
        <v>113</v>
      </c>
      <c r="F7925" s="199" t="s">
        <v>29249</v>
      </c>
      <c r="G7925" s="1" t="s">
        <v>46825</v>
      </c>
      <c r="H7925" s="200"/>
      <c r="I7925" s="351" t="s">
        <v>46826</v>
      </c>
      <c r="J7925" s="39">
        <v>105502</v>
      </c>
      <c r="K7925" s="36" t="str">
        <f>CONCATENATE(Cover!$D$6,"fdd/view?i=",J7925)</f>
        <v>https://www.dgiwg.org/FAD/fdd/view?i=105502</v>
      </c>
      <c r="L7925" s="36" t="s">
        <v>46827</v>
      </c>
      <c r="M7925" s="186"/>
      <c r="N7925" s="186"/>
      <c r="O7925" s="172"/>
    </row>
    <row r="7926" spans="1:15" x14ac:dyDescent="0.2">
      <c r="A7926" s="197" t="str">
        <f t="shared" si="123"/>
        <v>McsCode_volcanicAsh</v>
      </c>
      <c r="B7926" s="409"/>
      <c r="C7926" s="416"/>
      <c r="D7926" s="198" t="s">
        <v>41130</v>
      </c>
      <c r="E7926" s="198">
        <v>115</v>
      </c>
      <c r="F7926" s="199" t="s">
        <v>41131</v>
      </c>
      <c r="G7926" s="1" t="s">
        <v>44548</v>
      </c>
      <c r="H7926" s="200"/>
      <c r="I7926" s="346"/>
      <c r="J7926" s="39">
        <v>105504</v>
      </c>
      <c r="K7926" s="36" t="str">
        <f>CONCATENATE(Cover!$D$6,"fdd/view?i=",J7926)</f>
        <v>https://www.dgiwg.org/FAD/fdd/view?i=105504</v>
      </c>
      <c r="L7926" s="36" t="s">
        <v>46828</v>
      </c>
      <c r="M7926" s="186"/>
      <c r="N7926" s="186"/>
      <c r="O7926" s="172"/>
    </row>
    <row r="7927" spans="1:15" ht="38.25" x14ac:dyDescent="0.2">
      <c r="A7927" s="197" t="str">
        <f t="shared" si="123"/>
        <v>McsCode_water</v>
      </c>
      <c r="B7927" s="409"/>
      <c r="C7927" s="416"/>
      <c r="D7927" s="198" t="s">
        <v>19606</v>
      </c>
      <c r="E7927" s="198">
        <v>116</v>
      </c>
      <c r="F7927" s="199" t="s">
        <v>19607</v>
      </c>
      <c r="G7927" s="1" t="s">
        <v>23000</v>
      </c>
      <c r="H7927" s="1" t="s">
        <v>43810</v>
      </c>
      <c r="I7927" s="346"/>
      <c r="J7927" s="39">
        <v>105505</v>
      </c>
      <c r="K7927" s="36" t="str">
        <f>CONCATENATE(Cover!$D$6,"fdd/view?i=",J7927)</f>
        <v>https://www.dgiwg.org/FAD/fdd/view?i=105505</v>
      </c>
      <c r="L7927" s="36" t="s">
        <v>46829</v>
      </c>
      <c r="M7927" s="186"/>
      <c r="N7927" s="186"/>
      <c r="O7927" s="172"/>
    </row>
    <row r="7928" spans="1:15" ht="38.25" x14ac:dyDescent="0.2">
      <c r="A7928" s="197" t="str">
        <f t="shared" si="123"/>
        <v>McsCode_wood</v>
      </c>
      <c r="B7928" s="409"/>
      <c r="C7928" s="416"/>
      <c r="D7928" s="198" t="s">
        <v>19610</v>
      </c>
      <c r="E7928" s="198">
        <v>117</v>
      </c>
      <c r="F7928" s="199" t="s">
        <v>5911</v>
      </c>
      <c r="G7928" s="1" t="s">
        <v>43822</v>
      </c>
      <c r="H7928" s="1" t="s">
        <v>43823</v>
      </c>
      <c r="I7928" s="346"/>
      <c r="J7928" s="39">
        <v>105506</v>
      </c>
      <c r="K7928" s="36" t="str">
        <f>CONCATENATE(Cover!$D$6,"fdd/view?i=",J7928)</f>
        <v>https://www.dgiwg.org/FAD/fdd/view?i=105506</v>
      </c>
      <c r="L7928" s="36" t="s">
        <v>46830</v>
      </c>
      <c r="M7928" s="186"/>
      <c r="N7928" s="186"/>
      <c r="O7928" s="172"/>
    </row>
    <row r="7929" spans="1:15" ht="38.25" x14ac:dyDescent="0.2">
      <c r="A7929" s="203" t="str">
        <f t="shared" si="123"/>
        <v>McsCode_zinc</v>
      </c>
      <c r="B7929" s="410"/>
      <c r="C7929" s="417"/>
      <c r="D7929" s="204" t="s">
        <v>25937</v>
      </c>
      <c r="E7929" s="204">
        <v>118</v>
      </c>
      <c r="F7929" s="205" t="s">
        <v>43826</v>
      </c>
      <c r="G7929" s="206" t="s">
        <v>43827</v>
      </c>
      <c r="H7929" s="206" t="s">
        <v>43828</v>
      </c>
      <c r="I7929" s="347"/>
      <c r="J7929" s="39">
        <v>105507</v>
      </c>
      <c r="K7929" s="36" t="str">
        <f>CONCATENATE(Cover!$D$6,"fdd/view?i=",J7929)</f>
        <v>https://www.dgiwg.org/FAD/fdd/view?i=105507</v>
      </c>
      <c r="L7929" s="36" t="s">
        <v>46831</v>
      </c>
      <c r="M7929" s="186"/>
      <c r="N7929" s="186"/>
      <c r="O7929" s="172"/>
    </row>
    <row r="7930" spans="1:15" ht="25.5" x14ac:dyDescent="0.2">
      <c r="A7930" s="190" t="str">
        <f t="shared" si="123"/>
        <v>SthCode_derivativeImageryPolicy</v>
      </c>
      <c r="B7930" s="414" t="str">
        <f>HYPERLINK("[#]Datatypes!A1360:L1360","SthCode")</f>
        <v>SthCode</v>
      </c>
      <c r="C7930" s="415" t="s">
        <v>15983</v>
      </c>
      <c r="D7930" s="221" t="s">
        <v>46832</v>
      </c>
      <c r="E7930" s="221">
        <v>7</v>
      </c>
      <c r="F7930" s="222" t="s">
        <v>46833</v>
      </c>
      <c r="G7930" s="223" t="s">
        <v>46834</v>
      </c>
      <c r="H7930" s="224"/>
      <c r="I7930" s="345"/>
      <c r="J7930" s="39">
        <v>110546</v>
      </c>
      <c r="K7930" s="36" t="str">
        <f>CONCATENATE(Cover!$D$6,"fdd/view?i=",J7930)</f>
        <v>https://www.dgiwg.org/FAD/fdd/view?i=110546</v>
      </c>
      <c r="L7930" s="36" t="s">
        <v>46835</v>
      </c>
      <c r="M7930" s="186"/>
      <c r="N7930" s="186"/>
      <c r="O7930" s="172"/>
    </row>
    <row r="7931" spans="1:15" ht="25.5" x14ac:dyDescent="0.2">
      <c r="A7931" s="197" t="str">
        <f t="shared" si="123"/>
        <v>SthCode_derivativeMidbSecurity</v>
      </c>
      <c r="B7931" s="409"/>
      <c r="C7931" s="416"/>
      <c r="D7931" s="198" t="s">
        <v>46836</v>
      </c>
      <c r="E7931" s="198">
        <v>6</v>
      </c>
      <c r="F7931" s="199" t="s">
        <v>46837</v>
      </c>
      <c r="G7931" s="1" t="s">
        <v>46838</v>
      </c>
      <c r="H7931" s="200"/>
      <c r="I7931" s="346"/>
      <c r="J7931" s="39">
        <v>110545</v>
      </c>
      <c r="K7931" s="36" t="str">
        <f>CONCATENATE(Cover!$D$6,"fdd/view?i=",J7931)</f>
        <v>https://www.dgiwg.org/FAD/fdd/view?i=110545</v>
      </c>
      <c r="L7931" s="36" t="s">
        <v>46839</v>
      </c>
      <c r="M7931" s="186"/>
      <c r="N7931" s="186"/>
      <c r="O7931" s="172"/>
    </row>
    <row r="7932" spans="1:15" ht="25.5" x14ac:dyDescent="0.2">
      <c r="A7932" s="197" t="str">
        <f t="shared" si="123"/>
        <v>SthCode_derivativeNgaSecurity</v>
      </c>
      <c r="B7932" s="409"/>
      <c r="C7932" s="416"/>
      <c r="D7932" s="198" t="s">
        <v>46840</v>
      </c>
      <c r="E7932" s="198">
        <v>5</v>
      </c>
      <c r="F7932" s="199" t="s">
        <v>46841</v>
      </c>
      <c r="G7932" s="1" t="s">
        <v>46842</v>
      </c>
      <c r="H7932" s="200"/>
      <c r="I7932" s="346"/>
      <c r="J7932" s="39">
        <v>110544</v>
      </c>
      <c r="K7932" s="36" t="str">
        <f>CONCATENATE(Cover!$D$6,"fdd/view?i=",J7932)</f>
        <v>https://www.dgiwg.org/FAD/fdd/view?i=110544</v>
      </c>
      <c r="L7932" s="36" t="s">
        <v>46843</v>
      </c>
      <c r="M7932" s="186"/>
      <c r="N7932" s="186"/>
      <c r="O7932" s="172"/>
    </row>
    <row r="7933" spans="1:15" ht="38.25" x14ac:dyDescent="0.2">
      <c r="A7933" s="197" t="str">
        <f t="shared" si="123"/>
        <v>SthCode_derivativeOpnavSecurity</v>
      </c>
      <c r="B7933" s="409"/>
      <c r="C7933" s="416"/>
      <c r="D7933" s="198" t="s">
        <v>46844</v>
      </c>
      <c r="E7933" s="198">
        <v>4</v>
      </c>
      <c r="F7933" s="199" t="s">
        <v>46845</v>
      </c>
      <c r="G7933" s="1" t="s">
        <v>46846</v>
      </c>
      <c r="H7933" s="200"/>
      <c r="I7933" s="346"/>
      <c r="J7933" s="39">
        <v>110543</v>
      </c>
      <c r="K7933" s="36" t="str">
        <f>CONCATENATE(Cover!$D$6,"fdd/view?i=",J7933)</f>
        <v>https://www.dgiwg.org/FAD/fdd/view?i=110543</v>
      </c>
      <c r="L7933" s="36" t="s">
        <v>46847</v>
      </c>
      <c r="M7933" s="186"/>
      <c r="N7933" s="186"/>
      <c r="O7933" s="172"/>
    </row>
    <row r="7934" spans="1:15" ht="38.25" x14ac:dyDescent="0.2">
      <c r="A7934" s="197" t="str">
        <f t="shared" si="123"/>
        <v>SthCode_execOrder12951Imagery</v>
      </c>
      <c r="B7934" s="409"/>
      <c r="C7934" s="416"/>
      <c r="D7934" s="198" t="s">
        <v>46848</v>
      </c>
      <c r="E7934" s="198">
        <v>1</v>
      </c>
      <c r="F7934" s="199" t="s">
        <v>46849</v>
      </c>
      <c r="G7934" s="1" t="s">
        <v>46850</v>
      </c>
      <c r="H7934" s="200"/>
      <c r="I7934" s="346"/>
      <c r="J7934" s="39">
        <v>110540</v>
      </c>
      <c r="K7934" s="36" t="str">
        <f>CONCATENATE(Cover!$D$6,"fdd/view?i=",J7934)</f>
        <v>https://www.dgiwg.org/FAD/fdd/view?i=110540</v>
      </c>
      <c r="L7934" s="36" t="s">
        <v>46851</v>
      </c>
      <c r="M7934" s="186"/>
      <c r="N7934" s="186"/>
      <c r="O7934" s="172"/>
    </row>
    <row r="7935" spans="1:15" ht="25.5" x14ac:dyDescent="0.2">
      <c r="A7935" s="197" t="str">
        <f t="shared" si="123"/>
        <v>SthCode_multipleSourceDerivative</v>
      </c>
      <c r="B7935" s="409"/>
      <c r="C7935" s="416"/>
      <c r="D7935" s="198" t="s">
        <v>46852</v>
      </c>
      <c r="E7935" s="198">
        <v>2</v>
      </c>
      <c r="F7935" s="199" t="s">
        <v>46853</v>
      </c>
      <c r="G7935" s="1" t="s">
        <v>46854</v>
      </c>
      <c r="H7935" s="200"/>
      <c r="I7935" s="346"/>
      <c r="J7935" s="39">
        <v>110541</v>
      </c>
      <c r="K7935" s="36" t="str">
        <f>CONCATENATE(Cover!$D$6,"fdd/view?i=",J7935)</f>
        <v>https://www.dgiwg.org/FAD/fdd/view?i=110541</v>
      </c>
      <c r="L7935" s="36" t="s">
        <v>46855</v>
      </c>
      <c r="M7935" s="186"/>
      <c r="N7935" s="186"/>
      <c r="O7935" s="172"/>
    </row>
    <row r="7936" spans="1:15" ht="25.5" x14ac:dyDescent="0.2">
      <c r="A7936" s="203" t="str">
        <f t="shared" si="123"/>
        <v>SthCode_originalAuthority</v>
      </c>
      <c r="B7936" s="410"/>
      <c r="C7936" s="417"/>
      <c r="D7936" s="204" t="s">
        <v>46856</v>
      </c>
      <c r="E7936" s="204">
        <v>3</v>
      </c>
      <c r="F7936" s="205" t="s">
        <v>46857</v>
      </c>
      <c r="G7936" s="206" t="s">
        <v>46858</v>
      </c>
      <c r="H7936" s="207"/>
      <c r="I7936" s="347"/>
      <c r="J7936" s="39">
        <v>110542</v>
      </c>
      <c r="K7936" s="36" t="str">
        <f>CONCATENATE(Cover!$D$6,"fdd/view?i=",J7936)</f>
        <v>https://www.dgiwg.org/FAD/fdd/view?i=110542</v>
      </c>
      <c r="L7936" s="36" t="s">
        <v>46859</v>
      </c>
      <c r="M7936" s="186"/>
      <c r="N7936" s="186"/>
      <c r="O7936" s="172"/>
    </row>
    <row r="7937" spans="1:15" ht="63.75" x14ac:dyDescent="0.2">
      <c r="A7937" s="190" t="str">
        <f t="shared" si="123"/>
        <v>SecCode_confidentialAtomal</v>
      </c>
      <c r="B7937" s="414" t="str">
        <f>HYPERLINK("[#]Datatypes!A1362:L1362","SecCode")</f>
        <v>SecCode</v>
      </c>
      <c r="C7937" s="415" t="s">
        <v>15985</v>
      </c>
      <c r="D7937" s="221" t="s">
        <v>46885</v>
      </c>
      <c r="E7937" s="221">
        <v>21</v>
      </c>
      <c r="F7937" s="222" t="s">
        <v>46886</v>
      </c>
      <c r="G7937" s="223" t="s">
        <v>46867</v>
      </c>
      <c r="H7937" s="223" t="s">
        <v>46874</v>
      </c>
      <c r="I7937" s="345"/>
      <c r="J7937" s="39">
        <v>110463</v>
      </c>
      <c r="K7937" s="36" t="str">
        <f>CONCATENATE(Cover!$D$6,"fdd/view?i=",J7937)</f>
        <v>https://www.dgiwg.org/FAD/fdd/view?i=110463</v>
      </c>
      <c r="L7937" s="36" t="s">
        <v>46887</v>
      </c>
      <c r="M7937" s="186"/>
      <c r="N7937" s="186"/>
      <c r="O7937" s="172"/>
    </row>
    <row r="7938" spans="1:15" ht="127.5" x14ac:dyDescent="0.2">
      <c r="A7938" s="197" t="str">
        <f t="shared" ref="A7938:A8001" si="124">HYPERLINK(K7938,L7938)</f>
        <v>SecCode_cosmicTopSecret</v>
      </c>
      <c r="B7938" s="409"/>
      <c r="C7938" s="416"/>
      <c r="D7938" s="198" t="s">
        <v>46860</v>
      </c>
      <c r="E7938" s="198">
        <v>6</v>
      </c>
      <c r="F7938" s="199" t="s">
        <v>46861</v>
      </c>
      <c r="G7938" s="1" t="s">
        <v>46862</v>
      </c>
      <c r="H7938" s="1" t="s">
        <v>46863</v>
      </c>
      <c r="I7938" s="346"/>
      <c r="J7938" s="39">
        <v>107576</v>
      </c>
      <c r="K7938" s="36" t="str">
        <f>CONCATENATE(Cover!$D$6,"fdd/view?i=",J7938)</f>
        <v>https://www.dgiwg.org/FAD/fdd/view?i=107576</v>
      </c>
      <c r="L7938" s="36" t="s">
        <v>46864</v>
      </c>
      <c r="M7938" s="186"/>
      <c r="N7938" s="186"/>
      <c r="O7938" s="172"/>
    </row>
    <row r="7939" spans="1:15" ht="63.75" x14ac:dyDescent="0.2">
      <c r="A7939" s="197" t="str">
        <f t="shared" si="124"/>
        <v>SecCode_cosmicTopSecretAtomal</v>
      </c>
      <c r="B7939" s="409"/>
      <c r="C7939" s="416"/>
      <c r="D7939" s="198" t="s">
        <v>46872</v>
      </c>
      <c r="E7939" s="198">
        <v>17</v>
      </c>
      <c r="F7939" s="199" t="s">
        <v>46873</v>
      </c>
      <c r="G7939" s="1" t="s">
        <v>46867</v>
      </c>
      <c r="H7939" s="1" t="s">
        <v>46874</v>
      </c>
      <c r="I7939" s="346"/>
      <c r="J7939" s="39">
        <v>110459</v>
      </c>
      <c r="K7939" s="36" t="str">
        <f>CONCATENATE(Cover!$D$6,"fdd/view?i=",J7939)</f>
        <v>https://www.dgiwg.org/FAD/fdd/view?i=110459</v>
      </c>
      <c r="L7939" s="36" t="s">
        <v>46875</v>
      </c>
      <c r="M7939" s="186"/>
      <c r="N7939" s="186"/>
      <c r="O7939" s="172"/>
    </row>
    <row r="7940" spans="1:15" ht="25.5" x14ac:dyDescent="0.2">
      <c r="A7940" s="197" t="str">
        <f t="shared" si="124"/>
        <v>SecCode_cosmicTopSecretBalk</v>
      </c>
      <c r="B7940" s="409"/>
      <c r="C7940" s="416"/>
      <c r="D7940" s="198" t="s">
        <v>46865</v>
      </c>
      <c r="E7940" s="198">
        <v>16</v>
      </c>
      <c r="F7940" s="199" t="s">
        <v>46866</v>
      </c>
      <c r="G7940" s="1" t="s">
        <v>46867</v>
      </c>
      <c r="H7940" s="200"/>
      <c r="I7940" s="346"/>
      <c r="J7940" s="39">
        <v>110458</v>
      </c>
      <c r="K7940" s="36" t="str">
        <f>CONCATENATE(Cover!$D$6,"fdd/view?i=",J7940)</f>
        <v>https://www.dgiwg.org/FAD/fdd/view?i=110458</v>
      </c>
      <c r="L7940" s="36" t="s">
        <v>46868</v>
      </c>
      <c r="M7940" s="186"/>
      <c r="N7940" s="186"/>
      <c r="O7940" s="172"/>
    </row>
    <row r="7941" spans="1:15" ht="25.5" x14ac:dyDescent="0.2">
      <c r="A7941" s="197" t="str">
        <f t="shared" si="124"/>
        <v>SecCode_cosmicTopSecretBohemia</v>
      </c>
      <c r="B7941" s="409"/>
      <c r="C7941" s="416"/>
      <c r="D7941" s="198" t="s">
        <v>46869</v>
      </c>
      <c r="E7941" s="198">
        <v>15</v>
      </c>
      <c r="F7941" s="199" t="s">
        <v>46870</v>
      </c>
      <c r="G7941" s="1" t="s">
        <v>46867</v>
      </c>
      <c r="H7941" s="200"/>
      <c r="I7941" s="346"/>
      <c r="J7941" s="39">
        <v>110457</v>
      </c>
      <c r="K7941" s="36" t="str">
        <f>CONCATENATE(Cover!$D$6,"fdd/view?i=",J7941)</f>
        <v>https://www.dgiwg.org/FAD/fdd/view?i=110457</v>
      </c>
      <c r="L7941" s="36" t="s">
        <v>46871</v>
      </c>
      <c r="M7941" s="186"/>
      <c r="N7941" s="186"/>
      <c r="O7941" s="172"/>
    </row>
    <row r="7942" spans="1:15" ht="63.75" x14ac:dyDescent="0.2">
      <c r="A7942" s="197" t="str">
        <f t="shared" si="124"/>
        <v>SecCode_focalTopSecret</v>
      </c>
      <c r="B7942" s="409"/>
      <c r="C7942" s="416"/>
      <c r="D7942" s="198" t="s">
        <v>46876</v>
      </c>
      <c r="E7942" s="198">
        <v>7</v>
      </c>
      <c r="F7942" s="199" t="s">
        <v>46877</v>
      </c>
      <c r="G7942" s="1" t="s">
        <v>46878</v>
      </c>
      <c r="H7942" s="1" t="s">
        <v>46879</v>
      </c>
      <c r="I7942" s="346"/>
      <c r="J7942" s="39">
        <v>107577</v>
      </c>
      <c r="K7942" s="36" t="str">
        <f>CONCATENATE(Cover!$D$6,"fdd/view?i=",J7942)</f>
        <v>https://www.dgiwg.org/FAD/fdd/view?i=107577</v>
      </c>
      <c r="L7942" s="36" t="s">
        <v>46880</v>
      </c>
      <c r="M7942" s="186"/>
      <c r="N7942" s="186"/>
      <c r="O7942" s="172"/>
    </row>
    <row r="7943" spans="1:15" ht="38.25" x14ac:dyDescent="0.2">
      <c r="A7943" s="197" t="str">
        <f t="shared" si="124"/>
        <v>SecCode_natoConfidential</v>
      </c>
      <c r="B7943" s="409"/>
      <c r="C7943" s="416"/>
      <c r="D7943" s="198" t="s">
        <v>46881</v>
      </c>
      <c r="E7943" s="198">
        <v>9</v>
      </c>
      <c r="F7943" s="199" t="s">
        <v>46882</v>
      </c>
      <c r="G7943" s="1" t="s">
        <v>46883</v>
      </c>
      <c r="H7943" s="200"/>
      <c r="I7943" s="346"/>
      <c r="J7943" s="39">
        <v>110465</v>
      </c>
      <c r="K7943" s="36" t="str">
        <f>CONCATENATE(Cover!$D$6,"fdd/view?i=",J7943)</f>
        <v>https://www.dgiwg.org/FAD/fdd/view?i=110465</v>
      </c>
      <c r="L7943" s="36" t="s">
        <v>46884</v>
      </c>
      <c r="M7943" s="186"/>
      <c r="N7943" s="186"/>
      <c r="O7943" s="172"/>
    </row>
    <row r="7944" spans="1:15" ht="127.5" x14ac:dyDescent="0.2">
      <c r="A7944" s="197" t="str">
        <f t="shared" si="124"/>
        <v>SecCode_natoRestricted</v>
      </c>
      <c r="B7944" s="409"/>
      <c r="C7944" s="416"/>
      <c r="D7944" s="198" t="s">
        <v>46888</v>
      </c>
      <c r="E7944" s="198">
        <v>10</v>
      </c>
      <c r="F7944" s="199" t="s">
        <v>46889</v>
      </c>
      <c r="G7944" s="1" t="s">
        <v>46890</v>
      </c>
      <c r="H7944" s="1" t="s">
        <v>46891</v>
      </c>
      <c r="I7944" s="346"/>
      <c r="J7944" s="39">
        <v>110452</v>
      </c>
      <c r="K7944" s="36" t="str">
        <f>CONCATENATE(Cover!$D$6,"fdd/view?i=",J7944)</f>
        <v>https://www.dgiwg.org/FAD/fdd/view?i=110452</v>
      </c>
      <c r="L7944" s="36" t="s">
        <v>46892</v>
      </c>
      <c r="M7944" s="186"/>
      <c r="N7944" s="186"/>
      <c r="O7944" s="172"/>
    </row>
    <row r="7945" spans="1:15" ht="127.5" x14ac:dyDescent="0.2">
      <c r="A7945" s="197" t="str">
        <f t="shared" si="124"/>
        <v>SecCode_natoSecret</v>
      </c>
      <c r="B7945" s="409"/>
      <c r="C7945" s="416"/>
      <c r="D7945" s="198" t="s">
        <v>46893</v>
      </c>
      <c r="E7945" s="198">
        <v>8</v>
      </c>
      <c r="F7945" s="199" t="s">
        <v>46894</v>
      </c>
      <c r="G7945" s="1" t="s">
        <v>46895</v>
      </c>
      <c r="H7945" s="1" t="s">
        <v>46896</v>
      </c>
      <c r="I7945" s="346"/>
      <c r="J7945" s="39">
        <v>110464</v>
      </c>
      <c r="K7945" s="36" t="str">
        <f>CONCATENATE(Cover!$D$6,"fdd/view?i=",J7945)</f>
        <v>https://www.dgiwg.org/FAD/fdd/view?i=110464</v>
      </c>
      <c r="L7945" s="36" t="s">
        <v>46897</v>
      </c>
      <c r="M7945" s="186"/>
      <c r="N7945" s="186"/>
      <c r="O7945" s="172"/>
    </row>
    <row r="7946" spans="1:15" ht="25.5" x14ac:dyDescent="0.2">
      <c r="A7946" s="197" t="str">
        <f t="shared" si="124"/>
        <v>SecCode_natoSecretAvicula</v>
      </c>
      <c r="B7946" s="409"/>
      <c r="C7946" s="416"/>
      <c r="D7946" s="198" t="s">
        <v>46901</v>
      </c>
      <c r="E7946" s="198">
        <v>19</v>
      </c>
      <c r="F7946" s="199" t="s">
        <v>46902</v>
      </c>
      <c r="G7946" s="1" t="s">
        <v>46867</v>
      </c>
      <c r="H7946" s="200"/>
      <c r="I7946" s="346"/>
      <c r="J7946" s="39">
        <v>110461</v>
      </c>
      <c r="K7946" s="36" t="str">
        <f>CONCATENATE(Cover!$D$6,"fdd/view?i=",J7946)</f>
        <v>https://www.dgiwg.org/FAD/fdd/view?i=110461</v>
      </c>
      <c r="L7946" s="36" t="s">
        <v>46903</v>
      </c>
      <c r="M7946" s="186"/>
      <c r="N7946" s="186"/>
      <c r="O7946" s="172"/>
    </row>
    <row r="7947" spans="1:15" ht="25.5" x14ac:dyDescent="0.2">
      <c r="A7947" s="197" t="str">
        <f t="shared" si="124"/>
        <v>SecCode_natoSecretSavate</v>
      </c>
      <c r="B7947" s="409"/>
      <c r="C7947" s="416"/>
      <c r="D7947" s="198" t="s">
        <v>46904</v>
      </c>
      <c r="E7947" s="198">
        <v>18</v>
      </c>
      <c r="F7947" s="199" t="s">
        <v>46905</v>
      </c>
      <c r="G7947" s="1" t="s">
        <v>46867</v>
      </c>
      <c r="H7947" s="200"/>
      <c r="I7947" s="346"/>
      <c r="J7947" s="39">
        <v>110460</v>
      </c>
      <c r="K7947" s="36" t="str">
        <f>CONCATENATE(Cover!$D$6,"fdd/view?i=",J7947)</f>
        <v>https://www.dgiwg.org/FAD/fdd/view?i=110460</v>
      </c>
      <c r="L7947" s="36" t="s">
        <v>46906</v>
      </c>
      <c r="M7947" s="186"/>
      <c r="N7947" s="186"/>
      <c r="O7947" s="172"/>
    </row>
    <row r="7948" spans="1:15" ht="25.5" x14ac:dyDescent="0.2">
      <c r="A7948" s="197" t="str">
        <f t="shared" si="124"/>
        <v>SecCode_natoUnclassified</v>
      </c>
      <c r="B7948" s="409"/>
      <c r="C7948" s="416"/>
      <c r="D7948" s="198" t="s">
        <v>46907</v>
      </c>
      <c r="E7948" s="198">
        <v>23</v>
      </c>
      <c r="F7948" s="199" t="s">
        <v>46908</v>
      </c>
      <c r="G7948" s="1" t="s">
        <v>46909</v>
      </c>
      <c r="H7948" s="1" t="s">
        <v>46910</v>
      </c>
      <c r="I7948" s="346"/>
      <c r="J7948" s="39">
        <v>110862</v>
      </c>
      <c r="K7948" s="36" t="str">
        <f>CONCATENATE(Cover!$D$6,"fdd/view?i=",J7948)</f>
        <v>https://www.dgiwg.org/FAD/fdd/view?i=110862</v>
      </c>
      <c r="L7948" s="36" t="s">
        <v>46911</v>
      </c>
      <c r="M7948" s="186"/>
      <c r="N7948" s="186"/>
      <c r="O7948" s="172"/>
    </row>
    <row r="7949" spans="1:15" ht="63.75" x14ac:dyDescent="0.2">
      <c r="A7949" s="197" t="str">
        <f t="shared" si="124"/>
        <v>SecCode_secretAtomal</v>
      </c>
      <c r="B7949" s="409"/>
      <c r="C7949" s="416"/>
      <c r="D7949" s="198" t="s">
        <v>46898</v>
      </c>
      <c r="E7949" s="198">
        <v>20</v>
      </c>
      <c r="F7949" s="199" t="s">
        <v>46899</v>
      </c>
      <c r="G7949" s="1" t="s">
        <v>46867</v>
      </c>
      <c r="H7949" s="1" t="s">
        <v>46874</v>
      </c>
      <c r="I7949" s="346"/>
      <c r="J7949" s="39">
        <v>110462</v>
      </c>
      <c r="K7949" s="36" t="str">
        <f>CONCATENATE(Cover!$D$6,"fdd/view?i=",J7949)</f>
        <v>https://www.dgiwg.org/FAD/fdd/view?i=110462</v>
      </c>
      <c r="L7949" s="36" t="s">
        <v>46900</v>
      </c>
      <c r="M7949" s="186"/>
      <c r="N7949" s="186"/>
      <c r="O7949" s="172"/>
    </row>
    <row r="7950" spans="1:15" ht="38.25" x14ac:dyDescent="0.2">
      <c r="A7950" s="197" t="str">
        <f t="shared" si="124"/>
        <v>SecCode_ukConfidential</v>
      </c>
      <c r="B7950" s="409"/>
      <c r="C7950" s="416"/>
      <c r="D7950" s="198" t="s">
        <v>46912</v>
      </c>
      <c r="E7950" s="198">
        <v>13</v>
      </c>
      <c r="F7950" s="199" t="s">
        <v>46913</v>
      </c>
      <c r="G7950" s="1" t="s">
        <v>46914</v>
      </c>
      <c r="H7950" s="200"/>
      <c r="I7950" s="346"/>
      <c r="J7950" s="39">
        <v>110455</v>
      </c>
      <c r="K7950" s="36" t="str">
        <f>CONCATENATE(Cover!$D$6,"fdd/view?i=",J7950)</f>
        <v>https://www.dgiwg.org/FAD/fdd/view?i=110455</v>
      </c>
      <c r="L7950" s="36" t="s">
        <v>46915</v>
      </c>
      <c r="M7950" s="186"/>
      <c r="N7950" s="186"/>
      <c r="O7950" s="172"/>
    </row>
    <row r="7951" spans="1:15" ht="38.25" x14ac:dyDescent="0.2">
      <c r="A7951" s="197" t="str">
        <f t="shared" si="124"/>
        <v>SecCode_ukRestricted</v>
      </c>
      <c r="B7951" s="409"/>
      <c r="C7951" s="416"/>
      <c r="D7951" s="198" t="s">
        <v>46916</v>
      </c>
      <c r="E7951" s="198">
        <v>14</v>
      </c>
      <c r="F7951" s="199" t="s">
        <v>46917</v>
      </c>
      <c r="G7951" s="1" t="s">
        <v>46918</v>
      </c>
      <c r="H7951" s="200"/>
      <c r="I7951" s="346"/>
      <c r="J7951" s="39">
        <v>110456</v>
      </c>
      <c r="K7951" s="36" t="str">
        <f>CONCATENATE(Cover!$D$6,"fdd/view?i=",J7951)</f>
        <v>https://www.dgiwg.org/FAD/fdd/view?i=110456</v>
      </c>
      <c r="L7951" s="36" t="s">
        <v>46919</v>
      </c>
      <c r="M7951" s="186"/>
      <c r="N7951" s="186"/>
      <c r="O7951" s="172"/>
    </row>
    <row r="7952" spans="1:15" ht="38.25" x14ac:dyDescent="0.2">
      <c r="A7952" s="197" t="str">
        <f t="shared" si="124"/>
        <v>SecCode_ukSecret</v>
      </c>
      <c r="B7952" s="409"/>
      <c r="C7952" s="416"/>
      <c r="D7952" s="198" t="s">
        <v>46920</v>
      </c>
      <c r="E7952" s="198">
        <v>12</v>
      </c>
      <c r="F7952" s="199" t="s">
        <v>46921</v>
      </c>
      <c r="G7952" s="1" t="s">
        <v>46922</v>
      </c>
      <c r="H7952" s="200"/>
      <c r="I7952" s="346"/>
      <c r="J7952" s="39">
        <v>110454</v>
      </c>
      <c r="K7952" s="36" t="str">
        <f>CONCATENATE(Cover!$D$6,"fdd/view?i=",J7952)</f>
        <v>https://www.dgiwg.org/FAD/fdd/view?i=110454</v>
      </c>
      <c r="L7952" s="36" t="s">
        <v>46923</v>
      </c>
      <c r="M7952" s="186"/>
      <c r="N7952" s="186"/>
      <c r="O7952" s="172"/>
    </row>
    <row r="7953" spans="1:15" ht="38.25" x14ac:dyDescent="0.2">
      <c r="A7953" s="197" t="str">
        <f t="shared" si="124"/>
        <v>SecCode_ukTopSecret</v>
      </c>
      <c r="B7953" s="409"/>
      <c r="C7953" s="416"/>
      <c r="D7953" s="198" t="s">
        <v>46924</v>
      </c>
      <c r="E7953" s="198">
        <v>11</v>
      </c>
      <c r="F7953" s="199" t="s">
        <v>46925</v>
      </c>
      <c r="G7953" s="1" t="s">
        <v>46926</v>
      </c>
      <c r="H7953" s="200"/>
      <c r="I7953" s="346"/>
      <c r="J7953" s="39">
        <v>110453</v>
      </c>
      <c r="K7953" s="36" t="str">
        <f>CONCATENATE(Cover!$D$6,"fdd/view?i=",J7953)</f>
        <v>https://www.dgiwg.org/FAD/fdd/view?i=110453</v>
      </c>
      <c r="L7953" s="36" t="s">
        <v>46927</v>
      </c>
      <c r="M7953" s="186"/>
      <c r="N7953" s="186"/>
      <c r="O7953" s="172"/>
    </row>
    <row r="7954" spans="1:15" ht="38.25" x14ac:dyDescent="0.2">
      <c r="A7954" s="197" t="str">
        <f t="shared" si="124"/>
        <v>SecCode_usConfidential</v>
      </c>
      <c r="B7954" s="409"/>
      <c r="C7954" s="416"/>
      <c r="D7954" s="198" t="s">
        <v>46928</v>
      </c>
      <c r="E7954" s="198">
        <v>3</v>
      </c>
      <c r="F7954" s="199" t="s">
        <v>46929</v>
      </c>
      <c r="G7954" s="1" t="s">
        <v>46930</v>
      </c>
      <c r="H7954" s="200"/>
      <c r="I7954" s="346"/>
      <c r="J7954" s="39">
        <v>107573</v>
      </c>
      <c r="K7954" s="36" t="str">
        <f>CONCATENATE(Cover!$D$6,"fdd/view?i=",J7954)</f>
        <v>https://www.dgiwg.org/FAD/fdd/view?i=107573</v>
      </c>
      <c r="L7954" s="36" t="s">
        <v>46931</v>
      </c>
      <c r="M7954" s="186"/>
      <c r="N7954" s="186"/>
      <c r="O7954" s="172"/>
    </row>
    <row r="7955" spans="1:15" ht="102" x14ac:dyDescent="0.2">
      <c r="A7955" s="197" t="str">
        <f t="shared" si="124"/>
        <v>SecCode_usForOfficialUseOnly</v>
      </c>
      <c r="B7955" s="409"/>
      <c r="C7955" s="416"/>
      <c r="D7955" s="198" t="s">
        <v>46932</v>
      </c>
      <c r="E7955" s="198">
        <v>22</v>
      </c>
      <c r="F7955" s="199" t="s">
        <v>46933</v>
      </c>
      <c r="G7955" s="1" t="s">
        <v>46934</v>
      </c>
      <c r="H7955" s="200"/>
      <c r="I7955" s="346"/>
      <c r="J7955" s="39">
        <v>110817</v>
      </c>
      <c r="K7955" s="36" t="str">
        <f>CONCATENATE(Cover!$D$6,"fdd/view?i=",J7955)</f>
        <v>https://www.dgiwg.org/FAD/fdd/view?i=110817</v>
      </c>
      <c r="L7955" s="36" t="s">
        <v>46935</v>
      </c>
      <c r="M7955" s="186"/>
      <c r="N7955" s="186"/>
      <c r="O7955" s="172"/>
    </row>
    <row r="7956" spans="1:15" ht="51" x14ac:dyDescent="0.2">
      <c r="A7956" s="197" t="str">
        <f t="shared" si="124"/>
        <v>SecCode_usRestricted</v>
      </c>
      <c r="B7956" s="409"/>
      <c r="C7956" s="416"/>
      <c r="D7956" s="198" t="s">
        <v>46936</v>
      </c>
      <c r="E7956" s="198">
        <v>4</v>
      </c>
      <c r="F7956" s="199" t="s">
        <v>46937</v>
      </c>
      <c r="G7956" s="1" t="s">
        <v>46938</v>
      </c>
      <c r="H7956" s="200"/>
      <c r="I7956" s="346"/>
      <c r="J7956" s="39">
        <v>107574</v>
      </c>
      <c r="K7956" s="36" t="str">
        <f>CONCATENATE(Cover!$D$6,"fdd/view?i=",J7956)</f>
        <v>https://www.dgiwg.org/FAD/fdd/view?i=107574</v>
      </c>
      <c r="L7956" s="36" t="s">
        <v>46939</v>
      </c>
      <c r="M7956" s="186"/>
      <c r="N7956" s="186"/>
      <c r="O7956" s="172"/>
    </row>
    <row r="7957" spans="1:15" ht="51" x14ac:dyDescent="0.2">
      <c r="A7957" s="197" t="str">
        <f t="shared" si="124"/>
        <v>SecCode_usSecret</v>
      </c>
      <c r="B7957" s="409"/>
      <c r="C7957" s="416"/>
      <c r="D7957" s="198" t="s">
        <v>46940</v>
      </c>
      <c r="E7957" s="198">
        <v>2</v>
      </c>
      <c r="F7957" s="199" t="s">
        <v>46941</v>
      </c>
      <c r="G7957" s="1" t="s">
        <v>46942</v>
      </c>
      <c r="H7957" s="200"/>
      <c r="I7957" s="346"/>
      <c r="J7957" s="39">
        <v>107572</v>
      </c>
      <c r="K7957" s="36" t="str">
        <f>CONCATENATE(Cover!$D$6,"fdd/view?i=",J7957)</f>
        <v>https://www.dgiwg.org/FAD/fdd/view?i=107572</v>
      </c>
      <c r="L7957" s="36" t="s">
        <v>46943</v>
      </c>
      <c r="M7957" s="186"/>
      <c r="N7957" s="186"/>
      <c r="O7957" s="172"/>
    </row>
    <row r="7958" spans="1:15" ht="51" x14ac:dyDescent="0.2">
      <c r="A7958" s="197" t="str">
        <f t="shared" si="124"/>
        <v>SecCode_usTopSecret</v>
      </c>
      <c r="B7958" s="409"/>
      <c r="C7958" s="416"/>
      <c r="D7958" s="198" t="s">
        <v>46944</v>
      </c>
      <c r="E7958" s="198">
        <v>1</v>
      </c>
      <c r="F7958" s="199" t="s">
        <v>46945</v>
      </c>
      <c r="G7958" s="1" t="s">
        <v>46946</v>
      </c>
      <c r="H7958" s="200"/>
      <c r="I7958" s="346"/>
      <c r="J7958" s="39">
        <v>107571</v>
      </c>
      <c r="K7958" s="36" t="str">
        <f>CONCATENATE(Cover!$D$6,"fdd/view?i=",J7958)</f>
        <v>https://www.dgiwg.org/FAD/fdd/view?i=107571</v>
      </c>
      <c r="L7958" s="36" t="s">
        <v>46947</v>
      </c>
      <c r="M7958" s="186"/>
      <c r="N7958" s="186"/>
      <c r="O7958" s="172"/>
    </row>
    <row r="7959" spans="1:15" ht="38.25" x14ac:dyDescent="0.2">
      <c r="A7959" s="203" t="str">
        <f t="shared" si="124"/>
        <v>SecCode_usUnclassified</v>
      </c>
      <c r="B7959" s="410"/>
      <c r="C7959" s="417"/>
      <c r="D7959" s="204" t="s">
        <v>46948</v>
      </c>
      <c r="E7959" s="204">
        <v>5</v>
      </c>
      <c r="F7959" s="205" t="s">
        <v>46949</v>
      </c>
      <c r="G7959" s="206" t="s">
        <v>46950</v>
      </c>
      <c r="H7959" s="207"/>
      <c r="I7959" s="347"/>
      <c r="J7959" s="39">
        <v>107575</v>
      </c>
      <c r="K7959" s="36" t="str">
        <f>CONCATENATE(Cover!$D$6,"fdd/view?i=",J7959)</f>
        <v>https://www.dgiwg.org/FAD/fdd/view?i=107575</v>
      </c>
      <c r="L7959" s="36" t="s">
        <v>46951</v>
      </c>
      <c r="M7959" s="186"/>
      <c r="N7959" s="186"/>
      <c r="O7959" s="172"/>
    </row>
    <row r="7960" spans="1:15" x14ac:dyDescent="0.2">
      <c r="A7960" s="190" t="str">
        <f t="shared" si="124"/>
        <v>SfyCode_guardhouse</v>
      </c>
      <c r="B7960" s="414" t="str">
        <f>HYPERLINK("[#]Datatypes!A1364:L1364","SfyCode")</f>
        <v>SfyCode</v>
      </c>
      <c r="C7960" s="415" t="s">
        <v>15987</v>
      </c>
      <c r="D7960" s="221" t="s">
        <v>46952</v>
      </c>
      <c r="E7960" s="221">
        <v>1</v>
      </c>
      <c r="F7960" s="222" t="s">
        <v>46953</v>
      </c>
      <c r="G7960" s="223" t="s">
        <v>46954</v>
      </c>
      <c r="H7960" s="224"/>
      <c r="I7960" s="345"/>
      <c r="J7960" s="39">
        <v>107629</v>
      </c>
      <c r="K7960" s="36" t="str">
        <f>CONCATENATE(Cover!$D$6,"fdd/view?i=",J7960)</f>
        <v>https://www.dgiwg.org/FAD/fdd/view?i=107629</v>
      </c>
      <c r="L7960" s="36" t="s">
        <v>46955</v>
      </c>
      <c r="M7960" s="186"/>
      <c r="N7960" s="186"/>
      <c r="O7960" s="172"/>
    </row>
    <row r="7961" spans="1:15" x14ac:dyDescent="0.2">
      <c r="A7961" s="203" t="str">
        <f t="shared" si="124"/>
        <v>SfyCode_guardroom</v>
      </c>
      <c r="B7961" s="410"/>
      <c r="C7961" s="417"/>
      <c r="D7961" s="204" t="s">
        <v>46956</v>
      </c>
      <c r="E7961" s="204">
        <v>2</v>
      </c>
      <c r="F7961" s="205" t="s">
        <v>46957</v>
      </c>
      <c r="G7961" s="206" t="s">
        <v>46958</v>
      </c>
      <c r="H7961" s="207"/>
      <c r="I7961" s="347"/>
      <c r="J7961" s="39">
        <v>107630</v>
      </c>
      <c r="K7961" s="36" t="str">
        <f>CONCATENATE(Cover!$D$6,"fdd/view?i=",J7961)</f>
        <v>https://www.dgiwg.org/FAD/fdd/view?i=107630</v>
      </c>
      <c r="L7961" s="36" t="s">
        <v>46959</v>
      </c>
      <c r="M7961" s="186"/>
      <c r="N7961" s="186"/>
      <c r="O7961" s="172"/>
    </row>
    <row r="7962" spans="1:15" x14ac:dyDescent="0.2">
      <c r="A7962" s="190" t="str">
        <f t="shared" si="124"/>
        <v>ScoCode_black</v>
      </c>
      <c r="B7962" s="414" t="str">
        <f>HYPERLINK("[#]Datatypes!A1366:L1366","ScoCode")</f>
        <v>ScoCode</v>
      </c>
      <c r="C7962" s="415" t="s">
        <v>15989</v>
      </c>
      <c r="D7962" s="221" t="s">
        <v>41637</v>
      </c>
      <c r="E7962" s="221">
        <v>49</v>
      </c>
      <c r="F7962" s="222" t="s">
        <v>41638</v>
      </c>
      <c r="G7962" s="223" t="s">
        <v>46960</v>
      </c>
      <c r="H7962" s="224"/>
      <c r="I7962" s="345"/>
      <c r="J7962" s="39">
        <v>110888</v>
      </c>
      <c r="K7962" s="36" t="str">
        <f>CONCATENATE(Cover!$D$6,"fdd/view?i=",J7962)</f>
        <v>https://www.dgiwg.org/FAD/fdd/view?i=110888</v>
      </c>
      <c r="L7962" s="36" t="s">
        <v>46961</v>
      </c>
      <c r="M7962" s="186"/>
      <c r="N7962" s="186"/>
      <c r="O7962" s="172"/>
    </row>
    <row r="7963" spans="1:15" x14ac:dyDescent="0.2">
      <c r="A7963" s="197" t="str">
        <f t="shared" si="124"/>
        <v>ScoCode_brilliantGreen</v>
      </c>
      <c r="B7963" s="409"/>
      <c r="C7963" s="416"/>
      <c r="D7963" s="198" t="s">
        <v>46962</v>
      </c>
      <c r="E7963" s="198">
        <v>27</v>
      </c>
      <c r="F7963" s="199" t="s">
        <v>46963</v>
      </c>
      <c r="G7963" s="1" t="s">
        <v>46964</v>
      </c>
      <c r="H7963" s="200"/>
      <c r="I7963" s="346"/>
      <c r="J7963" s="39">
        <v>110432</v>
      </c>
      <c r="K7963" s="36" t="str">
        <f>CONCATENATE(Cover!$D$6,"fdd/view?i=",J7963)</f>
        <v>https://www.dgiwg.org/FAD/fdd/view?i=110432</v>
      </c>
      <c r="L7963" s="36" t="s">
        <v>46965</v>
      </c>
      <c r="M7963" s="186"/>
      <c r="N7963" s="186"/>
      <c r="O7963" s="172"/>
    </row>
    <row r="7964" spans="1:15" ht="25.5" x14ac:dyDescent="0.2">
      <c r="A7964" s="197" t="str">
        <f t="shared" si="124"/>
        <v>ScoCode_darkGreenishYellow</v>
      </c>
      <c r="B7964" s="409"/>
      <c r="C7964" s="416"/>
      <c r="D7964" s="198" t="s">
        <v>46966</v>
      </c>
      <c r="E7964" s="198">
        <v>21</v>
      </c>
      <c r="F7964" s="199" t="s">
        <v>46967</v>
      </c>
      <c r="G7964" s="1" t="s">
        <v>46968</v>
      </c>
      <c r="H7964" s="200"/>
      <c r="I7964" s="346"/>
      <c r="J7964" s="39">
        <v>110426</v>
      </c>
      <c r="K7964" s="36" t="str">
        <f>CONCATENATE(Cover!$D$6,"fdd/view?i=",J7964)</f>
        <v>https://www.dgiwg.org/FAD/fdd/view?i=110426</v>
      </c>
      <c r="L7964" s="36" t="s">
        <v>46969</v>
      </c>
      <c r="M7964" s="186"/>
      <c r="N7964" s="186"/>
      <c r="O7964" s="172"/>
    </row>
    <row r="7965" spans="1:15" ht="25.5" x14ac:dyDescent="0.2">
      <c r="A7965" s="197" t="str">
        <f t="shared" si="124"/>
        <v>ScoCode_darkReddishBrown</v>
      </c>
      <c r="B7965" s="409"/>
      <c r="C7965" s="416"/>
      <c r="D7965" s="198" t="s">
        <v>46970</v>
      </c>
      <c r="E7965" s="198">
        <v>10</v>
      </c>
      <c r="F7965" s="199" t="s">
        <v>46971</v>
      </c>
      <c r="G7965" s="1" t="s">
        <v>46972</v>
      </c>
      <c r="H7965" s="200"/>
      <c r="I7965" s="346"/>
      <c r="J7965" s="39">
        <v>110415</v>
      </c>
      <c r="K7965" s="36" t="str">
        <f>CONCATENATE(Cover!$D$6,"fdd/view?i=",J7965)</f>
        <v>https://www.dgiwg.org/FAD/fdd/view?i=110415</v>
      </c>
      <c r="L7965" s="36" t="s">
        <v>46973</v>
      </c>
      <c r="M7965" s="186"/>
      <c r="N7965" s="186"/>
      <c r="O7965" s="172"/>
    </row>
    <row r="7966" spans="1:15" ht="25.5" x14ac:dyDescent="0.2">
      <c r="A7966" s="197" t="str">
        <f t="shared" si="124"/>
        <v>ScoCode_darkYellowishGreen</v>
      </c>
      <c r="B7966" s="409"/>
      <c r="C7966" s="416"/>
      <c r="D7966" s="198" t="s">
        <v>46974</v>
      </c>
      <c r="E7966" s="198">
        <v>5</v>
      </c>
      <c r="F7966" s="199" t="s">
        <v>46975</v>
      </c>
      <c r="G7966" s="1" t="s">
        <v>46976</v>
      </c>
      <c r="H7966" s="200"/>
      <c r="I7966" s="346"/>
      <c r="J7966" s="39">
        <v>110410</v>
      </c>
      <c r="K7966" s="36" t="str">
        <f>CONCATENATE(Cover!$D$6,"fdd/view?i=",J7966)</f>
        <v>https://www.dgiwg.org/FAD/fdd/view?i=110410</v>
      </c>
      <c r="L7966" s="36" t="s">
        <v>46977</v>
      </c>
      <c r="M7966" s="186"/>
      <c r="N7966" s="186"/>
      <c r="O7966" s="172"/>
    </row>
    <row r="7967" spans="1:15" ht="25.5" x14ac:dyDescent="0.2">
      <c r="A7967" s="197" t="str">
        <f t="shared" si="124"/>
        <v>ScoCode_duskyBlueGreen</v>
      </c>
      <c r="B7967" s="409"/>
      <c r="C7967" s="416"/>
      <c r="D7967" s="198" t="s">
        <v>46978</v>
      </c>
      <c r="E7967" s="198">
        <v>46</v>
      </c>
      <c r="F7967" s="199" t="s">
        <v>46979</v>
      </c>
      <c r="G7967" s="1" t="s">
        <v>46980</v>
      </c>
      <c r="H7967" s="200"/>
      <c r="I7967" s="346"/>
      <c r="J7967" s="39">
        <v>110885</v>
      </c>
      <c r="K7967" s="36" t="str">
        <f>CONCATENATE(Cover!$D$6,"fdd/view?i=",J7967)</f>
        <v>https://www.dgiwg.org/FAD/fdd/view?i=110885</v>
      </c>
      <c r="L7967" s="36" t="s">
        <v>46981</v>
      </c>
      <c r="M7967" s="186"/>
      <c r="N7967" s="186"/>
      <c r="O7967" s="172"/>
    </row>
    <row r="7968" spans="1:15" x14ac:dyDescent="0.2">
      <c r="A7968" s="197" t="str">
        <f t="shared" si="124"/>
        <v>ScoCode_duskyGreen</v>
      </c>
      <c r="B7968" s="409"/>
      <c r="C7968" s="416"/>
      <c r="D7968" s="198" t="s">
        <v>46982</v>
      </c>
      <c r="E7968" s="198">
        <v>24</v>
      </c>
      <c r="F7968" s="199" t="s">
        <v>46983</v>
      </c>
      <c r="G7968" s="1" t="s">
        <v>46984</v>
      </c>
      <c r="H7968" s="200"/>
      <c r="I7968" s="346"/>
      <c r="J7968" s="39">
        <v>110429</v>
      </c>
      <c r="K7968" s="36" t="str">
        <f>CONCATENATE(Cover!$D$6,"fdd/view?i=",J7968)</f>
        <v>https://www.dgiwg.org/FAD/fdd/view?i=110429</v>
      </c>
      <c r="L7968" s="36" t="s">
        <v>46985</v>
      </c>
      <c r="M7968" s="186"/>
      <c r="N7968" s="186"/>
      <c r="O7968" s="172"/>
    </row>
    <row r="7969" spans="1:15" x14ac:dyDescent="0.2">
      <c r="A7969" s="197" t="str">
        <f t="shared" si="124"/>
        <v>ScoCode_duskyRed</v>
      </c>
      <c r="B7969" s="409"/>
      <c r="C7969" s="416"/>
      <c r="D7969" s="198" t="s">
        <v>46986</v>
      </c>
      <c r="E7969" s="198">
        <v>34</v>
      </c>
      <c r="F7969" s="199" t="s">
        <v>46987</v>
      </c>
      <c r="G7969" s="1" t="s">
        <v>46988</v>
      </c>
      <c r="H7969" s="200"/>
      <c r="I7969" s="346"/>
      <c r="J7969" s="39">
        <v>110439</v>
      </c>
      <c r="K7969" s="36" t="str">
        <f>CONCATENATE(Cover!$D$6,"fdd/view?i=",J7969)</f>
        <v>https://www.dgiwg.org/FAD/fdd/view?i=110439</v>
      </c>
      <c r="L7969" s="36" t="s">
        <v>46989</v>
      </c>
      <c r="M7969" s="186"/>
      <c r="N7969" s="186"/>
      <c r="O7969" s="172"/>
    </row>
    <row r="7970" spans="1:15" x14ac:dyDescent="0.2">
      <c r="A7970" s="197" t="str">
        <f t="shared" si="124"/>
        <v>ScoCode_duskyYellow</v>
      </c>
      <c r="B7970" s="409"/>
      <c r="C7970" s="416"/>
      <c r="D7970" s="198" t="s">
        <v>46990</v>
      </c>
      <c r="E7970" s="198">
        <v>43</v>
      </c>
      <c r="F7970" s="199" t="s">
        <v>46991</v>
      </c>
      <c r="G7970" s="1" t="s">
        <v>46992</v>
      </c>
      <c r="H7970" s="200"/>
      <c r="I7970" s="346"/>
      <c r="J7970" s="39">
        <v>110448</v>
      </c>
      <c r="K7970" s="36" t="str">
        <f>CONCATENATE(Cover!$D$6,"fdd/view?i=",J7970)</f>
        <v>https://www.dgiwg.org/FAD/fdd/view?i=110448</v>
      </c>
      <c r="L7970" s="36" t="s">
        <v>46993</v>
      </c>
      <c r="M7970" s="186"/>
      <c r="N7970" s="186"/>
      <c r="O7970" s="172"/>
    </row>
    <row r="7971" spans="1:15" ht="25.5" x14ac:dyDescent="0.2">
      <c r="A7971" s="197" t="str">
        <f t="shared" si="124"/>
        <v>ScoCode_duskyYellowishGreen</v>
      </c>
      <c r="B7971" s="409"/>
      <c r="C7971" s="416"/>
      <c r="D7971" s="198" t="s">
        <v>46994</v>
      </c>
      <c r="E7971" s="198">
        <v>4</v>
      </c>
      <c r="F7971" s="199" t="s">
        <v>46995</v>
      </c>
      <c r="G7971" s="1" t="s">
        <v>46996</v>
      </c>
      <c r="H7971" s="200"/>
      <c r="I7971" s="346"/>
      <c r="J7971" s="39">
        <v>110409</v>
      </c>
      <c r="K7971" s="36" t="str">
        <f>CONCATENATE(Cover!$D$6,"fdd/view?i=",J7971)</f>
        <v>https://www.dgiwg.org/FAD/fdd/view?i=110409</v>
      </c>
      <c r="L7971" s="36" t="s">
        <v>46997</v>
      </c>
      <c r="M7971" s="186"/>
      <c r="N7971" s="186"/>
      <c r="O7971" s="172"/>
    </row>
    <row r="7972" spans="1:15" x14ac:dyDescent="0.2">
      <c r="A7972" s="197" t="str">
        <f t="shared" si="124"/>
        <v>ScoCode_grayishGreen</v>
      </c>
      <c r="B7972" s="409"/>
      <c r="C7972" s="416"/>
      <c r="D7972" s="198" t="s">
        <v>46998</v>
      </c>
      <c r="E7972" s="198">
        <v>1</v>
      </c>
      <c r="F7972" s="199" t="s">
        <v>46999</v>
      </c>
      <c r="G7972" s="1" t="s">
        <v>47000</v>
      </c>
      <c r="H7972" s="200"/>
      <c r="I7972" s="346"/>
      <c r="J7972" s="39">
        <v>110406</v>
      </c>
      <c r="K7972" s="36" t="str">
        <f>CONCATENATE(Cover!$D$6,"fdd/view?i=",J7972)</f>
        <v>https://www.dgiwg.org/FAD/fdd/view?i=110406</v>
      </c>
      <c r="L7972" s="36" t="s">
        <v>47001</v>
      </c>
      <c r="M7972" s="186"/>
      <c r="N7972" s="186"/>
      <c r="O7972" s="172"/>
    </row>
    <row r="7973" spans="1:15" ht="25.5" x14ac:dyDescent="0.2">
      <c r="A7973" s="197" t="str">
        <f t="shared" si="124"/>
        <v>ScoCode_grayishOrangePink</v>
      </c>
      <c r="B7973" s="409"/>
      <c r="C7973" s="416"/>
      <c r="D7973" s="198" t="s">
        <v>47002</v>
      </c>
      <c r="E7973" s="198">
        <v>17</v>
      </c>
      <c r="F7973" s="199" t="s">
        <v>47003</v>
      </c>
      <c r="G7973" s="1" t="s">
        <v>47004</v>
      </c>
      <c r="H7973" s="200"/>
      <c r="I7973" s="346"/>
      <c r="J7973" s="39">
        <v>110422</v>
      </c>
      <c r="K7973" s="36" t="str">
        <f>CONCATENATE(Cover!$D$6,"fdd/view?i=",J7973)</f>
        <v>https://www.dgiwg.org/FAD/fdd/view?i=110422</v>
      </c>
      <c r="L7973" s="36" t="s">
        <v>47005</v>
      </c>
      <c r="M7973" s="186"/>
      <c r="N7973" s="186"/>
      <c r="O7973" s="172"/>
    </row>
    <row r="7974" spans="1:15" x14ac:dyDescent="0.2">
      <c r="A7974" s="197" t="str">
        <f t="shared" si="124"/>
        <v>ScoCode_grayishRed</v>
      </c>
      <c r="B7974" s="409"/>
      <c r="C7974" s="416"/>
      <c r="D7974" s="198" t="s">
        <v>47006</v>
      </c>
      <c r="E7974" s="198">
        <v>11</v>
      </c>
      <c r="F7974" s="199" t="s">
        <v>47007</v>
      </c>
      <c r="G7974" s="1" t="s">
        <v>47008</v>
      </c>
      <c r="H7974" s="200"/>
      <c r="I7974" s="346"/>
      <c r="J7974" s="39">
        <v>110416</v>
      </c>
      <c r="K7974" s="36" t="str">
        <f>CONCATENATE(Cover!$D$6,"fdd/view?i=",J7974)</f>
        <v>https://www.dgiwg.org/FAD/fdd/view?i=110416</v>
      </c>
      <c r="L7974" s="36" t="s">
        <v>47009</v>
      </c>
      <c r="M7974" s="186"/>
      <c r="N7974" s="186"/>
      <c r="O7974" s="172"/>
    </row>
    <row r="7975" spans="1:15" ht="25.5" x14ac:dyDescent="0.2">
      <c r="A7975" s="197" t="str">
        <f t="shared" si="124"/>
        <v>ScoCode_grayishYellow</v>
      </c>
      <c r="B7975" s="409"/>
      <c r="C7975" s="416"/>
      <c r="D7975" s="198" t="s">
        <v>47010</v>
      </c>
      <c r="E7975" s="198">
        <v>45</v>
      </c>
      <c r="F7975" s="199" t="s">
        <v>47011</v>
      </c>
      <c r="G7975" s="1" t="s">
        <v>47012</v>
      </c>
      <c r="H7975" s="200"/>
      <c r="I7975" s="346"/>
      <c r="J7975" s="39">
        <v>110450</v>
      </c>
      <c r="K7975" s="36" t="str">
        <f>CONCATENATE(Cover!$D$6,"fdd/view?i=",J7975)</f>
        <v>https://www.dgiwg.org/FAD/fdd/view?i=110450</v>
      </c>
      <c r="L7975" s="36" t="s">
        <v>47013</v>
      </c>
      <c r="M7975" s="186"/>
      <c r="N7975" s="186"/>
      <c r="O7975" s="172"/>
    </row>
    <row r="7976" spans="1:15" ht="25.5" x14ac:dyDescent="0.2">
      <c r="A7976" s="197" t="str">
        <f t="shared" si="124"/>
        <v>ScoCode_grayishYellowishGreen</v>
      </c>
      <c r="B7976" s="409"/>
      <c r="C7976" s="416"/>
      <c r="D7976" s="198" t="s">
        <v>47014</v>
      </c>
      <c r="E7976" s="198">
        <v>6</v>
      </c>
      <c r="F7976" s="199" t="s">
        <v>47015</v>
      </c>
      <c r="G7976" s="1" t="s">
        <v>47016</v>
      </c>
      <c r="H7976" s="200"/>
      <c r="I7976" s="346"/>
      <c r="J7976" s="39">
        <v>110411</v>
      </c>
      <c r="K7976" s="36" t="str">
        <f>CONCATENATE(Cover!$D$6,"fdd/view?i=",J7976)</f>
        <v>https://www.dgiwg.org/FAD/fdd/view?i=110411</v>
      </c>
      <c r="L7976" s="36" t="s">
        <v>47017</v>
      </c>
      <c r="M7976" s="186"/>
      <c r="N7976" s="186"/>
      <c r="O7976" s="172"/>
    </row>
    <row r="7977" spans="1:15" x14ac:dyDescent="0.2">
      <c r="A7977" s="197" t="str">
        <f t="shared" si="124"/>
        <v>ScoCode_greenishOlive</v>
      </c>
      <c r="B7977" s="409"/>
      <c r="C7977" s="416"/>
      <c r="D7977" s="198" t="s">
        <v>47018</v>
      </c>
      <c r="E7977" s="198">
        <v>18</v>
      </c>
      <c r="F7977" s="199" t="s">
        <v>47019</v>
      </c>
      <c r="G7977" s="1" t="s">
        <v>47020</v>
      </c>
      <c r="H7977" s="200"/>
      <c r="I7977" s="346"/>
      <c r="J7977" s="39">
        <v>110423</v>
      </c>
      <c r="K7977" s="36" t="str">
        <f>CONCATENATE(Cover!$D$6,"fdd/view?i=",J7977)</f>
        <v>https://www.dgiwg.org/FAD/fdd/view?i=110423</v>
      </c>
      <c r="L7977" s="36" t="s">
        <v>47021</v>
      </c>
      <c r="M7977" s="186"/>
      <c r="N7977" s="186"/>
      <c r="O7977" s="172"/>
    </row>
    <row r="7978" spans="1:15" ht="25.5" x14ac:dyDescent="0.2">
      <c r="A7978" s="197" t="str">
        <f t="shared" si="124"/>
        <v>ScoCode_lightBlueGreen</v>
      </c>
      <c r="B7978" s="409"/>
      <c r="C7978" s="416"/>
      <c r="D7978" s="198" t="s">
        <v>47022</v>
      </c>
      <c r="E7978" s="198">
        <v>47</v>
      </c>
      <c r="F7978" s="199" t="s">
        <v>47023</v>
      </c>
      <c r="G7978" s="1" t="s">
        <v>47024</v>
      </c>
      <c r="H7978" s="200"/>
      <c r="I7978" s="346"/>
      <c r="J7978" s="39">
        <v>110886</v>
      </c>
      <c r="K7978" s="36" t="str">
        <f>CONCATENATE(Cover!$D$6,"fdd/view?i=",J7978)</f>
        <v>https://www.dgiwg.org/FAD/fdd/view?i=110886</v>
      </c>
      <c r="L7978" s="36" t="s">
        <v>47025</v>
      </c>
      <c r="M7978" s="186"/>
      <c r="N7978" s="186"/>
      <c r="O7978" s="172"/>
    </row>
    <row r="7979" spans="1:15" x14ac:dyDescent="0.2">
      <c r="A7979" s="197" t="str">
        <f t="shared" si="124"/>
        <v>ScoCode_lightGreen</v>
      </c>
      <c r="B7979" s="409"/>
      <c r="C7979" s="416"/>
      <c r="D7979" s="198" t="s">
        <v>47026</v>
      </c>
      <c r="E7979" s="198">
        <v>29</v>
      </c>
      <c r="F7979" s="199" t="s">
        <v>47027</v>
      </c>
      <c r="G7979" s="1" t="s">
        <v>47028</v>
      </c>
      <c r="H7979" s="200"/>
      <c r="I7979" s="346"/>
      <c r="J7979" s="39">
        <v>110434</v>
      </c>
      <c r="K7979" s="36" t="str">
        <f>CONCATENATE(Cover!$D$6,"fdd/view?i=",J7979)</f>
        <v>https://www.dgiwg.org/FAD/fdd/view?i=110434</v>
      </c>
      <c r="L7979" s="36" t="s">
        <v>47029</v>
      </c>
      <c r="M7979" s="186"/>
      <c r="N7979" s="186"/>
      <c r="O7979" s="172"/>
    </row>
    <row r="7980" spans="1:15" x14ac:dyDescent="0.2">
      <c r="A7980" s="197" t="str">
        <f t="shared" si="124"/>
        <v>ScoCode_lightOlive</v>
      </c>
      <c r="B7980" s="409"/>
      <c r="C7980" s="416"/>
      <c r="D7980" s="198" t="s">
        <v>47030</v>
      </c>
      <c r="E7980" s="198">
        <v>19</v>
      </c>
      <c r="F7980" s="199" t="s">
        <v>47031</v>
      </c>
      <c r="G7980" s="1" t="s">
        <v>47032</v>
      </c>
      <c r="H7980" s="200"/>
      <c r="I7980" s="346"/>
      <c r="J7980" s="39">
        <v>110424</v>
      </c>
      <c r="K7980" s="36" t="str">
        <f>CONCATENATE(Cover!$D$6,"fdd/view?i=",J7980)</f>
        <v>https://www.dgiwg.org/FAD/fdd/view?i=110424</v>
      </c>
      <c r="L7980" s="36" t="s">
        <v>47033</v>
      </c>
      <c r="M7980" s="186"/>
      <c r="N7980" s="186"/>
      <c r="O7980" s="172"/>
    </row>
    <row r="7981" spans="1:15" ht="25.5" x14ac:dyDescent="0.2">
      <c r="A7981" s="197" t="str">
        <f t="shared" si="124"/>
        <v>ScoCode_lightOliveBrown</v>
      </c>
      <c r="B7981" s="409"/>
      <c r="C7981" s="416"/>
      <c r="D7981" s="198" t="s">
        <v>47034</v>
      </c>
      <c r="E7981" s="198">
        <v>42</v>
      </c>
      <c r="F7981" s="199" t="s">
        <v>47035</v>
      </c>
      <c r="G7981" s="1" t="s">
        <v>47036</v>
      </c>
      <c r="H7981" s="200"/>
      <c r="I7981" s="346"/>
      <c r="J7981" s="39">
        <v>110447</v>
      </c>
      <c r="K7981" s="36" t="str">
        <f>CONCATENATE(Cover!$D$6,"fdd/view?i=",J7981)</f>
        <v>https://www.dgiwg.org/FAD/fdd/view?i=110447</v>
      </c>
      <c r="L7981" s="36" t="s">
        <v>47037</v>
      </c>
      <c r="M7981" s="186"/>
      <c r="N7981" s="186"/>
      <c r="O7981" s="172"/>
    </row>
    <row r="7982" spans="1:15" x14ac:dyDescent="0.2">
      <c r="A7982" s="197" t="str">
        <f t="shared" si="124"/>
        <v>ScoCode_lightRed</v>
      </c>
      <c r="B7982" s="409"/>
      <c r="C7982" s="416"/>
      <c r="D7982" s="198" t="s">
        <v>47038</v>
      </c>
      <c r="E7982" s="198">
        <v>36</v>
      </c>
      <c r="F7982" s="199" t="s">
        <v>47039</v>
      </c>
      <c r="G7982" s="1" t="s">
        <v>47040</v>
      </c>
      <c r="H7982" s="200"/>
      <c r="I7982" s="346"/>
      <c r="J7982" s="39">
        <v>110441</v>
      </c>
      <c r="K7982" s="36" t="str">
        <f>CONCATENATE(Cover!$D$6,"fdd/view?i=",J7982)</f>
        <v>https://www.dgiwg.org/FAD/fdd/view?i=110441</v>
      </c>
      <c r="L7982" s="36" t="s">
        <v>47041</v>
      </c>
      <c r="M7982" s="186"/>
      <c r="N7982" s="186"/>
      <c r="O7982" s="172"/>
    </row>
    <row r="7983" spans="1:15" ht="25.5" x14ac:dyDescent="0.2">
      <c r="A7983" s="197" t="str">
        <f t="shared" si="124"/>
        <v>ScoCode_lightYellowishGreen</v>
      </c>
      <c r="B7983" s="409"/>
      <c r="C7983" s="416"/>
      <c r="D7983" s="198" t="s">
        <v>47042</v>
      </c>
      <c r="E7983" s="198">
        <v>30</v>
      </c>
      <c r="F7983" s="199" t="s">
        <v>47043</v>
      </c>
      <c r="G7983" s="1" t="s">
        <v>47044</v>
      </c>
      <c r="H7983" s="200"/>
      <c r="I7983" s="346"/>
      <c r="J7983" s="39">
        <v>110435</v>
      </c>
      <c r="K7983" s="36" t="str">
        <f>CONCATENATE(Cover!$D$6,"fdd/view?i=",J7983)</f>
        <v>https://www.dgiwg.org/FAD/fdd/view?i=110435</v>
      </c>
      <c r="L7983" s="36" t="s">
        <v>47045</v>
      </c>
      <c r="M7983" s="186"/>
      <c r="N7983" s="186"/>
      <c r="O7983" s="172"/>
    </row>
    <row r="7984" spans="1:15" ht="25.5" x14ac:dyDescent="0.2">
      <c r="A7984" s="197" t="str">
        <f t="shared" si="124"/>
        <v>ScoCode_moderateGrayishGreen</v>
      </c>
      <c r="B7984" s="409"/>
      <c r="C7984" s="416"/>
      <c r="D7984" s="198" t="s">
        <v>47046</v>
      </c>
      <c r="E7984" s="198">
        <v>25</v>
      </c>
      <c r="F7984" s="199" t="s">
        <v>47047</v>
      </c>
      <c r="G7984" s="1" t="s">
        <v>47048</v>
      </c>
      <c r="H7984" s="200"/>
      <c r="I7984" s="346"/>
      <c r="J7984" s="39">
        <v>110430</v>
      </c>
      <c r="K7984" s="36" t="str">
        <f>CONCATENATE(Cover!$D$6,"fdd/view?i=",J7984)</f>
        <v>https://www.dgiwg.org/FAD/fdd/view?i=110430</v>
      </c>
      <c r="L7984" s="36" t="s">
        <v>47049</v>
      </c>
      <c r="M7984" s="186"/>
      <c r="N7984" s="186"/>
      <c r="O7984" s="172"/>
    </row>
    <row r="7985" spans="1:15" ht="25.5" x14ac:dyDescent="0.2">
      <c r="A7985" s="197" t="str">
        <f t="shared" si="124"/>
        <v>ScoCode_moderateGreen</v>
      </c>
      <c r="B7985" s="409"/>
      <c r="C7985" s="416"/>
      <c r="D7985" s="198" t="s">
        <v>47050</v>
      </c>
      <c r="E7985" s="198">
        <v>26</v>
      </c>
      <c r="F7985" s="199" t="s">
        <v>47051</v>
      </c>
      <c r="G7985" s="1" t="s">
        <v>47052</v>
      </c>
      <c r="H7985" s="200"/>
      <c r="I7985" s="346"/>
      <c r="J7985" s="39">
        <v>110431</v>
      </c>
      <c r="K7985" s="36" t="str">
        <f>CONCATENATE(Cover!$D$6,"fdd/view?i=",J7985)</f>
        <v>https://www.dgiwg.org/FAD/fdd/view?i=110431</v>
      </c>
      <c r="L7985" s="36" t="s">
        <v>47053</v>
      </c>
      <c r="M7985" s="186"/>
      <c r="N7985" s="186"/>
      <c r="O7985" s="172"/>
    </row>
    <row r="7986" spans="1:15" ht="25.5" x14ac:dyDescent="0.2">
      <c r="A7986" s="197" t="str">
        <f t="shared" si="124"/>
        <v>ScoCode_moderateGreenishYellow</v>
      </c>
      <c r="B7986" s="409"/>
      <c r="C7986" s="416"/>
      <c r="D7986" s="198" t="s">
        <v>47054</v>
      </c>
      <c r="E7986" s="198">
        <v>22</v>
      </c>
      <c r="F7986" s="199" t="s">
        <v>47055</v>
      </c>
      <c r="G7986" s="1" t="s">
        <v>47056</v>
      </c>
      <c r="H7986" s="200"/>
      <c r="I7986" s="346"/>
      <c r="J7986" s="39">
        <v>110427</v>
      </c>
      <c r="K7986" s="36" t="str">
        <f>CONCATENATE(Cover!$D$6,"fdd/view?i=",J7986)</f>
        <v>https://www.dgiwg.org/FAD/fdd/view?i=110427</v>
      </c>
      <c r="L7986" s="36" t="s">
        <v>47057</v>
      </c>
      <c r="M7986" s="186"/>
      <c r="N7986" s="186"/>
      <c r="O7986" s="172"/>
    </row>
    <row r="7987" spans="1:15" ht="25.5" x14ac:dyDescent="0.2">
      <c r="A7987" s="197" t="str">
        <f t="shared" si="124"/>
        <v>ScoCode_moderateOliveBrown</v>
      </c>
      <c r="B7987" s="409"/>
      <c r="C7987" s="416"/>
      <c r="D7987" s="198" t="s">
        <v>47058</v>
      </c>
      <c r="E7987" s="198">
        <v>41</v>
      </c>
      <c r="F7987" s="199" t="s">
        <v>47059</v>
      </c>
      <c r="G7987" s="1" t="s">
        <v>47060</v>
      </c>
      <c r="H7987" s="200"/>
      <c r="I7987" s="346"/>
      <c r="J7987" s="39">
        <v>110446</v>
      </c>
      <c r="K7987" s="36" t="str">
        <f>CONCATENATE(Cover!$D$6,"fdd/view?i=",J7987)</f>
        <v>https://www.dgiwg.org/FAD/fdd/view?i=110446</v>
      </c>
      <c r="L7987" s="36" t="s">
        <v>47061</v>
      </c>
      <c r="M7987" s="186"/>
      <c r="N7987" s="186"/>
      <c r="O7987" s="172"/>
    </row>
    <row r="7988" spans="1:15" ht="25.5" x14ac:dyDescent="0.2">
      <c r="A7988" s="197" t="str">
        <f t="shared" si="124"/>
        <v>ScoCode_moderateOrangePink</v>
      </c>
      <c r="B7988" s="409"/>
      <c r="C7988" s="416"/>
      <c r="D7988" s="198" t="s">
        <v>47062</v>
      </c>
      <c r="E7988" s="198">
        <v>16</v>
      </c>
      <c r="F7988" s="199" t="s">
        <v>47063</v>
      </c>
      <c r="G7988" s="1" t="s">
        <v>47064</v>
      </c>
      <c r="H7988" s="200"/>
      <c r="I7988" s="346"/>
      <c r="J7988" s="39">
        <v>110421</v>
      </c>
      <c r="K7988" s="36" t="str">
        <f>CONCATENATE(Cover!$D$6,"fdd/view?i=",J7988)</f>
        <v>https://www.dgiwg.org/FAD/fdd/view?i=110421</v>
      </c>
      <c r="L7988" s="36" t="s">
        <v>47065</v>
      </c>
      <c r="M7988" s="186"/>
      <c r="N7988" s="186"/>
      <c r="O7988" s="172"/>
    </row>
    <row r="7989" spans="1:15" ht="25.5" x14ac:dyDescent="0.2">
      <c r="A7989" s="197" t="str">
        <f t="shared" si="124"/>
        <v>ScoCode_moderatePink</v>
      </c>
      <c r="B7989" s="409"/>
      <c r="C7989" s="416"/>
      <c r="D7989" s="198" t="s">
        <v>47066</v>
      </c>
      <c r="E7989" s="198">
        <v>37</v>
      </c>
      <c r="F7989" s="199" t="s">
        <v>47067</v>
      </c>
      <c r="G7989" s="1" t="s">
        <v>47068</v>
      </c>
      <c r="H7989" s="200"/>
      <c r="I7989" s="346"/>
      <c r="J7989" s="39">
        <v>110442</v>
      </c>
      <c r="K7989" s="36" t="str">
        <f>CONCATENATE(Cover!$D$6,"fdd/view?i=",J7989)</f>
        <v>https://www.dgiwg.org/FAD/fdd/view?i=110442</v>
      </c>
      <c r="L7989" s="36" t="s">
        <v>47069</v>
      </c>
      <c r="M7989" s="186"/>
      <c r="N7989" s="186"/>
      <c r="O7989" s="172"/>
    </row>
    <row r="7990" spans="1:15" x14ac:dyDescent="0.2">
      <c r="A7990" s="197" t="str">
        <f t="shared" si="124"/>
        <v>ScoCode_moderateRed</v>
      </c>
      <c r="B7990" s="409"/>
      <c r="C7990" s="416"/>
      <c r="D7990" s="198" t="s">
        <v>47070</v>
      </c>
      <c r="E7990" s="198">
        <v>35</v>
      </c>
      <c r="F7990" s="199" t="s">
        <v>47071</v>
      </c>
      <c r="G7990" s="1" t="s">
        <v>47072</v>
      </c>
      <c r="H7990" s="200"/>
      <c r="I7990" s="346"/>
      <c r="J7990" s="39">
        <v>110440</v>
      </c>
      <c r="K7990" s="36" t="str">
        <f>CONCATENATE(Cover!$D$6,"fdd/view?i=",J7990)</f>
        <v>https://www.dgiwg.org/FAD/fdd/view?i=110440</v>
      </c>
      <c r="L7990" s="36" t="s">
        <v>47073</v>
      </c>
      <c r="M7990" s="186"/>
      <c r="N7990" s="186"/>
      <c r="O7990" s="172"/>
    </row>
    <row r="7991" spans="1:15" ht="25.5" x14ac:dyDescent="0.2">
      <c r="A7991" s="197" t="str">
        <f t="shared" si="124"/>
        <v>ScoCode_moderateReddishBrown</v>
      </c>
      <c r="B7991" s="409"/>
      <c r="C7991" s="416"/>
      <c r="D7991" s="198" t="s">
        <v>47074</v>
      </c>
      <c r="E7991" s="198">
        <v>12</v>
      </c>
      <c r="F7991" s="199" t="s">
        <v>47075</v>
      </c>
      <c r="G7991" s="1" t="s">
        <v>47076</v>
      </c>
      <c r="H7991" s="200"/>
      <c r="I7991" s="346"/>
      <c r="J7991" s="39">
        <v>110417</v>
      </c>
      <c r="K7991" s="36" t="str">
        <f>CONCATENATE(Cover!$D$6,"fdd/view?i=",J7991)</f>
        <v>https://www.dgiwg.org/FAD/fdd/view?i=110417</v>
      </c>
      <c r="L7991" s="36" t="s">
        <v>47077</v>
      </c>
      <c r="M7991" s="186"/>
      <c r="N7991" s="186"/>
      <c r="O7991" s="172"/>
    </row>
    <row r="7992" spans="1:15" ht="25.5" x14ac:dyDescent="0.2">
      <c r="A7992" s="197" t="str">
        <f t="shared" si="124"/>
        <v>ScoCode_moderateReddishOrange</v>
      </c>
      <c r="B7992" s="409"/>
      <c r="C7992" s="416"/>
      <c r="D7992" s="198" t="s">
        <v>47078</v>
      </c>
      <c r="E7992" s="198">
        <v>15</v>
      </c>
      <c r="F7992" s="199" t="s">
        <v>47079</v>
      </c>
      <c r="G7992" s="1" t="s">
        <v>47080</v>
      </c>
      <c r="H7992" s="200"/>
      <c r="I7992" s="346"/>
      <c r="J7992" s="39">
        <v>110420</v>
      </c>
      <c r="K7992" s="36" t="str">
        <f>CONCATENATE(Cover!$D$6,"fdd/view?i=",J7992)</f>
        <v>https://www.dgiwg.org/FAD/fdd/view?i=110420</v>
      </c>
      <c r="L7992" s="36" t="s">
        <v>47081</v>
      </c>
      <c r="M7992" s="186"/>
      <c r="N7992" s="186"/>
      <c r="O7992" s="172"/>
    </row>
    <row r="7993" spans="1:15" ht="25.5" x14ac:dyDescent="0.2">
      <c r="A7993" s="197" t="str">
        <f t="shared" si="124"/>
        <v>ScoCode_moderateYellow</v>
      </c>
      <c r="B7993" s="409"/>
      <c r="C7993" s="416"/>
      <c r="D7993" s="198" t="s">
        <v>47082</v>
      </c>
      <c r="E7993" s="198">
        <v>44</v>
      </c>
      <c r="F7993" s="199" t="s">
        <v>47083</v>
      </c>
      <c r="G7993" s="1" t="s">
        <v>47084</v>
      </c>
      <c r="H7993" s="200"/>
      <c r="I7993" s="346"/>
      <c r="J7993" s="39">
        <v>110449</v>
      </c>
      <c r="K7993" s="36" t="str">
        <f>CONCATENATE(Cover!$D$6,"fdd/view?i=",J7993)</f>
        <v>https://www.dgiwg.org/FAD/fdd/view?i=110449</v>
      </c>
      <c r="L7993" s="36" t="s">
        <v>47085</v>
      </c>
      <c r="M7993" s="186"/>
      <c r="N7993" s="186"/>
      <c r="O7993" s="172"/>
    </row>
    <row r="7994" spans="1:15" ht="25.5" x14ac:dyDescent="0.2">
      <c r="A7994" s="197" t="str">
        <f t="shared" si="124"/>
        <v>ScoCode_moderateYellowishGreen</v>
      </c>
      <c r="B7994" s="409"/>
      <c r="C7994" s="416"/>
      <c r="D7994" s="198" t="s">
        <v>47086</v>
      </c>
      <c r="E7994" s="198">
        <v>7</v>
      </c>
      <c r="F7994" s="199" t="s">
        <v>47087</v>
      </c>
      <c r="G7994" s="1" t="s">
        <v>47088</v>
      </c>
      <c r="H7994" s="200"/>
      <c r="I7994" s="346"/>
      <c r="J7994" s="39">
        <v>110412</v>
      </c>
      <c r="K7994" s="36" t="str">
        <f>CONCATENATE(Cover!$D$6,"fdd/view?i=",J7994)</f>
        <v>https://www.dgiwg.org/FAD/fdd/view?i=110412</v>
      </c>
      <c r="L7994" s="36" t="s">
        <v>47089</v>
      </c>
      <c r="M7994" s="186"/>
      <c r="N7994" s="186"/>
      <c r="O7994" s="172"/>
    </row>
    <row r="7995" spans="1:15" ht="25.5" x14ac:dyDescent="0.2">
      <c r="A7995" s="197" t="str">
        <f t="shared" si="124"/>
        <v>ScoCode_paleGrayishGreen</v>
      </c>
      <c r="B7995" s="409"/>
      <c r="C7995" s="416"/>
      <c r="D7995" s="198" t="s">
        <v>47090</v>
      </c>
      <c r="E7995" s="198">
        <v>2</v>
      </c>
      <c r="F7995" s="199" t="s">
        <v>47091</v>
      </c>
      <c r="G7995" s="1" t="s">
        <v>47092</v>
      </c>
      <c r="H7995" s="200"/>
      <c r="I7995" s="346"/>
      <c r="J7995" s="39">
        <v>110407</v>
      </c>
      <c r="K7995" s="36" t="str">
        <f>CONCATENATE(Cover!$D$6,"fdd/view?i=",J7995)</f>
        <v>https://www.dgiwg.org/FAD/fdd/view?i=110407</v>
      </c>
      <c r="L7995" s="36" t="s">
        <v>47093</v>
      </c>
      <c r="M7995" s="186"/>
      <c r="N7995" s="186"/>
      <c r="O7995" s="172"/>
    </row>
    <row r="7996" spans="1:15" x14ac:dyDescent="0.2">
      <c r="A7996" s="197" t="str">
        <f t="shared" si="124"/>
        <v>ScoCode_paleGreen</v>
      </c>
      <c r="B7996" s="409"/>
      <c r="C7996" s="416"/>
      <c r="D7996" s="198" t="s">
        <v>47094</v>
      </c>
      <c r="E7996" s="198">
        <v>28</v>
      </c>
      <c r="F7996" s="199" t="s">
        <v>47095</v>
      </c>
      <c r="G7996" s="1" t="s">
        <v>47096</v>
      </c>
      <c r="H7996" s="200"/>
      <c r="I7996" s="346"/>
      <c r="J7996" s="39">
        <v>110433</v>
      </c>
      <c r="K7996" s="36" t="str">
        <f>CONCATENATE(Cover!$D$6,"fdd/view?i=",J7996)</f>
        <v>https://www.dgiwg.org/FAD/fdd/view?i=110433</v>
      </c>
      <c r="L7996" s="36" t="s">
        <v>47097</v>
      </c>
      <c r="M7996" s="186"/>
      <c r="N7996" s="186"/>
      <c r="O7996" s="172"/>
    </row>
    <row r="7997" spans="1:15" ht="25.5" x14ac:dyDescent="0.2">
      <c r="A7997" s="197" t="str">
        <f t="shared" si="124"/>
        <v>ScoCode_paleGreenishYellow</v>
      </c>
      <c r="B7997" s="409"/>
      <c r="C7997" s="416"/>
      <c r="D7997" s="198" t="s">
        <v>47098</v>
      </c>
      <c r="E7997" s="198">
        <v>23</v>
      </c>
      <c r="F7997" s="199" t="s">
        <v>47099</v>
      </c>
      <c r="G7997" s="1" t="s">
        <v>47100</v>
      </c>
      <c r="H7997" s="200"/>
      <c r="I7997" s="346"/>
      <c r="J7997" s="39">
        <v>110428</v>
      </c>
      <c r="K7997" s="36" t="str">
        <f>CONCATENATE(Cover!$D$6,"fdd/view?i=",J7997)</f>
        <v>https://www.dgiwg.org/FAD/fdd/view?i=110428</v>
      </c>
      <c r="L7997" s="36" t="s">
        <v>47101</v>
      </c>
      <c r="M7997" s="186"/>
      <c r="N7997" s="186"/>
      <c r="O7997" s="172"/>
    </row>
    <row r="7998" spans="1:15" x14ac:dyDescent="0.2">
      <c r="A7998" s="197" t="str">
        <f t="shared" si="124"/>
        <v>ScoCode_paleOlive</v>
      </c>
      <c r="B7998" s="409"/>
      <c r="C7998" s="416"/>
      <c r="D7998" s="198" t="s">
        <v>47102</v>
      </c>
      <c r="E7998" s="198">
        <v>20</v>
      </c>
      <c r="F7998" s="199" t="s">
        <v>47103</v>
      </c>
      <c r="G7998" s="1" t="s">
        <v>47104</v>
      </c>
      <c r="H7998" s="200"/>
      <c r="I7998" s="346"/>
      <c r="J7998" s="39">
        <v>110425</v>
      </c>
      <c r="K7998" s="36" t="str">
        <f>CONCATENATE(Cover!$D$6,"fdd/view?i=",J7998)</f>
        <v>https://www.dgiwg.org/FAD/fdd/view?i=110425</v>
      </c>
      <c r="L7998" s="36" t="s">
        <v>47105</v>
      </c>
      <c r="M7998" s="186"/>
      <c r="N7998" s="186"/>
      <c r="O7998" s="172"/>
    </row>
    <row r="7999" spans="1:15" x14ac:dyDescent="0.2">
      <c r="A7999" s="197" t="str">
        <f t="shared" si="124"/>
        <v>ScoCode_palePink</v>
      </c>
      <c r="B7999" s="409"/>
      <c r="C7999" s="416"/>
      <c r="D7999" s="198" t="s">
        <v>47106</v>
      </c>
      <c r="E7999" s="198">
        <v>40</v>
      </c>
      <c r="F7999" s="199" t="s">
        <v>47107</v>
      </c>
      <c r="G7999" s="1" t="s">
        <v>47108</v>
      </c>
      <c r="H7999" s="200"/>
      <c r="I7999" s="346"/>
      <c r="J7999" s="39">
        <v>110445</v>
      </c>
      <c r="K7999" s="36" t="str">
        <f>CONCATENATE(Cover!$D$6,"fdd/view?i=",J7999)</f>
        <v>https://www.dgiwg.org/FAD/fdd/view?i=110445</v>
      </c>
      <c r="L7999" s="36" t="s">
        <v>47109</v>
      </c>
      <c r="M7999" s="186"/>
      <c r="N7999" s="186"/>
      <c r="O7999" s="172"/>
    </row>
    <row r="8000" spans="1:15" x14ac:dyDescent="0.2">
      <c r="A8000" s="197" t="str">
        <f t="shared" si="124"/>
        <v>ScoCode_palePurple</v>
      </c>
      <c r="B8000" s="409"/>
      <c r="C8000" s="416"/>
      <c r="D8000" s="198" t="s">
        <v>47110</v>
      </c>
      <c r="E8000" s="198">
        <v>32</v>
      </c>
      <c r="F8000" s="199" t="s">
        <v>47111</v>
      </c>
      <c r="G8000" s="1" t="s">
        <v>47112</v>
      </c>
      <c r="H8000" s="200"/>
      <c r="I8000" s="346"/>
      <c r="J8000" s="39">
        <v>110437</v>
      </c>
      <c r="K8000" s="36" t="str">
        <f>CONCATENATE(Cover!$D$6,"fdd/view?i=",J8000)</f>
        <v>https://www.dgiwg.org/FAD/fdd/view?i=110437</v>
      </c>
      <c r="L8000" s="36" t="s">
        <v>47113</v>
      </c>
      <c r="M8000" s="186"/>
      <c r="N8000" s="186"/>
      <c r="O8000" s="172"/>
    </row>
    <row r="8001" spans="1:15" x14ac:dyDescent="0.2">
      <c r="A8001" s="197" t="str">
        <f t="shared" si="124"/>
        <v>ScoCode_paleRed</v>
      </c>
      <c r="B8001" s="409"/>
      <c r="C8001" s="416"/>
      <c r="D8001" s="198" t="s">
        <v>47114</v>
      </c>
      <c r="E8001" s="198">
        <v>14</v>
      </c>
      <c r="F8001" s="199" t="s">
        <v>47115</v>
      </c>
      <c r="G8001" s="1" t="s">
        <v>47116</v>
      </c>
      <c r="H8001" s="200"/>
      <c r="I8001" s="346"/>
      <c r="J8001" s="39">
        <v>110419</v>
      </c>
      <c r="K8001" s="36" t="str">
        <f>CONCATENATE(Cover!$D$6,"fdd/view?i=",J8001)</f>
        <v>https://www.dgiwg.org/FAD/fdd/view?i=110419</v>
      </c>
      <c r="L8001" s="36" t="s">
        <v>47117</v>
      </c>
      <c r="M8001" s="186"/>
      <c r="N8001" s="186"/>
      <c r="O8001" s="172"/>
    </row>
    <row r="8002" spans="1:15" ht="25.5" x14ac:dyDescent="0.2">
      <c r="A8002" s="197" t="str">
        <f t="shared" ref="A8002:A8065" si="125">HYPERLINK(K8002,L8002)</f>
        <v>ScoCode_paleReddishBrown</v>
      </c>
      <c r="B8002" s="409"/>
      <c r="C8002" s="416"/>
      <c r="D8002" s="198" t="s">
        <v>47122</v>
      </c>
      <c r="E8002" s="198">
        <v>13</v>
      </c>
      <c r="F8002" s="199" t="s">
        <v>47123</v>
      </c>
      <c r="G8002" s="1" t="s">
        <v>47124</v>
      </c>
      <c r="H8002" s="200"/>
      <c r="I8002" s="346"/>
      <c r="J8002" s="39">
        <v>110418</v>
      </c>
      <c r="K8002" s="36" t="str">
        <f>CONCATENATE(Cover!$D$6,"fdd/view?i=",J8002)</f>
        <v>https://www.dgiwg.org/FAD/fdd/view?i=110418</v>
      </c>
      <c r="L8002" s="36" t="s">
        <v>47125</v>
      </c>
      <c r="M8002" s="186"/>
      <c r="N8002" s="186"/>
      <c r="O8002" s="172"/>
    </row>
    <row r="8003" spans="1:15" ht="25.5" x14ac:dyDescent="0.2">
      <c r="A8003" s="197" t="str">
        <f t="shared" si="125"/>
        <v>ScoCode_paleRedPurple</v>
      </c>
      <c r="B8003" s="409"/>
      <c r="C8003" s="416"/>
      <c r="D8003" s="198" t="s">
        <v>47118</v>
      </c>
      <c r="E8003" s="198">
        <v>39</v>
      </c>
      <c r="F8003" s="199" t="s">
        <v>47119</v>
      </c>
      <c r="G8003" s="1" t="s">
        <v>47120</v>
      </c>
      <c r="H8003" s="200"/>
      <c r="I8003" s="346"/>
      <c r="J8003" s="39">
        <v>110444</v>
      </c>
      <c r="K8003" s="36" t="str">
        <f>CONCATENATE(Cover!$D$6,"fdd/view?i=",J8003)</f>
        <v>https://www.dgiwg.org/FAD/fdd/view?i=110444</v>
      </c>
      <c r="L8003" s="36" t="s">
        <v>47121</v>
      </c>
      <c r="M8003" s="186"/>
      <c r="N8003" s="186"/>
      <c r="O8003" s="172"/>
    </row>
    <row r="8004" spans="1:15" ht="25.5" x14ac:dyDescent="0.2">
      <c r="A8004" s="197" t="str">
        <f t="shared" si="125"/>
        <v>ScoCode_paleYellowishGreen</v>
      </c>
      <c r="B8004" s="409"/>
      <c r="C8004" s="416"/>
      <c r="D8004" s="198" t="s">
        <v>47126</v>
      </c>
      <c r="E8004" s="198">
        <v>8</v>
      </c>
      <c r="F8004" s="199" t="s">
        <v>47127</v>
      </c>
      <c r="G8004" s="1" t="s">
        <v>47128</v>
      </c>
      <c r="H8004" s="200"/>
      <c r="I8004" s="346"/>
      <c r="J8004" s="39">
        <v>110413</v>
      </c>
      <c r="K8004" s="36" t="str">
        <f>CONCATENATE(Cover!$D$6,"fdd/view?i=",J8004)</f>
        <v>https://www.dgiwg.org/FAD/fdd/view?i=110413</v>
      </c>
      <c r="L8004" s="36" t="s">
        <v>47129</v>
      </c>
      <c r="M8004" s="186"/>
      <c r="N8004" s="186"/>
      <c r="O8004" s="172"/>
    </row>
    <row r="8005" spans="1:15" x14ac:dyDescent="0.2">
      <c r="A8005" s="197" t="str">
        <f t="shared" si="125"/>
        <v>ScoCode_veryDarkRed</v>
      </c>
      <c r="B8005" s="409"/>
      <c r="C8005" s="416"/>
      <c r="D8005" s="198" t="s">
        <v>47130</v>
      </c>
      <c r="E8005" s="198">
        <v>33</v>
      </c>
      <c r="F8005" s="199" t="s">
        <v>47131</v>
      </c>
      <c r="G8005" s="1" t="s">
        <v>47132</v>
      </c>
      <c r="H8005" s="200"/>
      <c r="I8005" s="346"/>
      <c r="J8005" s="39">
        <v>110438</v>
      </c>
      <c r="K8005" s="36" t="str">
        <f>CONCATENATE(Cover!$D$6,"fdd/view?i=",J8005)</f>
        <v>https://www.dgiwg.org/FAD/fdd/view?i=110438</v>
      </c>
      <c r="L8005" s="36" t="s">
        <v>47133</v>
      </c>
      <c r="M8005" s="186"/>
      <c r="N8005" s="186"/>
      <c r="O8005" s="172"/>
    </row>
    <row r="8006" spans="1:15" ht="25.5" x14ac:dyDescent="0.2">
      <c r="A8006" s="197" t="str">
        <f t="shared" si="125"/>
        <v>ScoCode_veryDuskyPurple</v>
      </c>
      <c r="B8006" s="409"/>
      <c r="C8006" s="416"/>
      <c r="D8006" s="198" t="s">
        <v>47134</v>
      </c>
      <c r="E8006" s="198">
        <v>31</v>
      </c>
      <c r="F8006" s="199" t="s">
        <v>47135</v>
      </c>
      <c r="G8006" s="1" t="s">
        <v>47136</v>
      </c>
      <c r="H8006" s="200"/>
      <c r="I8006" s="346"/>
      <c r="J8006" s="39">
        <v>110436</v>
      </c>
      <c r="K8006" s="36" t="str">
        <f>CONCATENATE(Cover!$D$6,"fdd/view?i=",J8006)</f>
        <v>https://www.dgiwg.org/FAD/fdd/view?i=110436</v>
      </c>
      <c r="L8006" s="36" t="s">
        <v>47137</v>
      </c>
      <c r="M8006" s="186"/>
      <c r="N8006" s="186"/>
      <c r="O8006" s="172"/>
    </row>
    <row r="8007" spans="1:15" ht="25.5" x14ac:dyDescent="0.2">
      <c r="A8007" s="197" t="str">
        <f t="shared" si="125"/>
        <v>ScoCode_veryDuskyRed</v>
      </c>
      <c r="B8007" s="409"/>
      <c r="C8007" s="416"/>
      <c r="D8007" s="198" t="s">
        <v>47138</v>
      </c>
      <c r="E8007" s="198">
        <v>9</v>
      </c>
      <c r="F8007" s="199" t="s">
        <v>47139</v>
      </c>
      <c r="G8007" s="1" t="s">
        <v>47140</v>
      </c>
      <c r="H8007" s="200"/>
      <c r="I8007" s="346"/>
      <c r="J8007" s="39">
        <v>110414</v>
      </c>
      <c r="K8007" s="36" t="str">
        <f>CONCATENATE(Cover!$D$6,"fdd/view?i=",J8007)</f>
        <v>https://www.dgiwg.org/FAD/fdd/view?i=110414</v>
      </c>
      <c r="L8007" s="36" t="s">
        <v>47141</v>
      </c>
      <c r="M8007" s="186"/>
      <c r="N8007" s="186"/>
      <c r="O8007" s="172"/>
    </row>
    <row r="8008" spans="1:15" ht="25.5" x14ac:dyDescent="0.2">
      <c r="A8008" s="197" t="str">
        <f t="shared" si="125"/>
        <v>ScoCode_veryDuskyRedPurple</v>
      </c>
      <c r="B8008" s="409"/>
      <c r="C8008" s="416"/>
      <c r="D8008" s="198" t="s">
        <v>47142</v>
      </c>
      <c r="E8008" s="198">
        <v>38</v>
      </c>
      <c r="F8008" s="199" t="s">
        <v>47143</v>
      </c>
      <c r="G8008" s="1" t="s">
        <v>47144</v>
      </c>
      <c r="H8008" s="200"/>
      <c r="I8008" s="346"/>
      <c r="J8008" s="39">
        <v>110443</v>
      </c>
      <c r="K8008" s="36" t="str">
        <f>CONCATENATE(Cover!$D$6,"fdd/view?i=",J8008)</f>
        <v>https://www.dgiwg.org/FAD/fdd/view?i=110443</v>
      </c>
      <c r="L8008" s="36" t="s">
        <v>47145</v>
      </c>
      <c r="M8008" s="186"/>
      <c r="N8008" s="186"/>
      <c r="O8008" s="172"/>
    </row>
    <row r="8009" spans="1:15" ht="25.5" x14ac:dyDescent="0.2">
      <c r="A8009" s="197" t="str">
        <f t="shared" si="125"/>
        <v>ScoCode_veryPaleGreen</v>
      </c>
      <c r="B8009" s="409"/>
      <c r="C8009" s="416"/>
      <c r="D8009" s="198" t="s">
        <v>47146</v>
      </c>
      <c r="E8009" s="198">
        <v>3</v>
      </c>
      <c r="F8009" s="199" t="s">
        <v>47147</v>
      </c>
      <c r="G8009" s="1" t="s">
        <v>47148</v>
      </c>
      <c r="H8009" s="200"/>
      <c r="I8009" s="346"/>
      <c r="J8009" s="39">
        <v>110408</v>
      </c>
      <c r="K8009" s="36" t="str">
        <f>CONCATENATE(Cover!$D$6,"fdd/view?i=",J8009)</f>
        <v>https://www.dgiwg.org/FAD/fdd/view?i=110408</v>
      </c>
      <c r="L8009" s="36" t="s">
        <v>47149</v>
      </c>
      <c r="M8009" s="186"/>
      <c r="N8009" s="186"/>
      <c r="O8009" s="172"/>
    </row>
    <row r="8010" spans="1:15" x14ac:dyDescent="0.2">
      <c r="A8010" s="203" t="str">
        <f t="shared" si="125"/>
        <v>ScoCode_white</v>
      </c>
      <c r="B8010" s="410"/>
      <c r="C8010" s="417"/>
      <c r="D8010" s="204" t="s">
        <v>41677</v>
      </c>
      <c r="E8010" s="204">
        <v>48</v>
      </c>
      <c r="F8010" s="205" t="s">
        <v>41678</v>
      </c>
      <c r="G8010" s="206" t="s">
        <v>47150</v>
      </c>
      <c r="H8010" s="207"/>
      <c r="I8010" s="347"/>
      <c r="J8010" s="39">
        <v>110887</v>
      </c>
      <c r="K8010" s="36" t="str">
        <f>CONCATENATE(Cover!$D$6,"fdd/view?i=",J8010)</f>
        <v>https://www.dgiwg.org/FAD/fdd/view?i=110887</v>
      </c>
      <c r="L8010" s="36" t="s">
        <v>47151</v>
      </c>
      <c r="M8010" s="186"/>
      <c r="N8010" s="186"/>
      <c r="O8010" s="172"/>
    </row>
    <row r="8011" spans="1:15" ht="25.5" x14ac:dyDescent="0.2">
      <c r="A8011" s="190" t="str">
        <f t="shared" si="125"/>
        <v>EqkCode_collapse</v>
      </c>
      <c r="B8011" s="414" t="str">
        <f>HYPERLINK("[#]Datatypes!A1368:L1368","EqkCode")</f>
        <v>EqkCode</v>
      </c>
      <c r="C8011" s="415" t="s">
        <v>15991</v>
      </c>
      <c r="D8011" s="221" t="s">
        <v>26916</v>
      </c>
      <c r="E8011" s="221">
        <v>1</v>
      </c>
      <c r="F8011" s="222" t="s">
        <v>26917</v>
      </c>
      <c r="G8011" s="223" t="s">
        <v>47152</v>
      </c>
      <c r="H8011" s="223" t="s">
        <v>47153</v>
      </c>
      <c r="I8011" s="345"/>
      <c r="J8011" s="39">
        <v>113197</v>
      </c>
      <c r="K8011" s="36" t="str">
        <f>CONCATENATE(Cover!$D$6,"fdd/view?i=",J8011)</f>
        <v>https://www.dgiwg.org/FAD/fdd/view?i=113197</v>
      </c>
      <c r="L8011" s="36" t="s">
        <v>47154</v>
      </c>
      <c r="M8011" s="186"/>
      <c r="N8011" s="186"/>
      <c r="O8011" s="172"/>
    </row>
    <row r="8012" spans="1:15" ht="25.5" x14ac:dyDescent="0.2">
      <c r="A8012" s="197" t="str">
        <f t="shared" si="125"/>
        <v>EqkCode_explosion</v>
      </c>
      <c r="B8012" s="409"/>
      <c r="C8012" s="416"/>
      <c r="D8012" s="198" t="s">
        <v>47155</v>
      </c>
      <c r="E8012" s="198">
        <v>5</v>
      </c>
      <c r="F8012" s="199" t="s">
        <v>47156</v>
      </c>
      <c r="G8012" s="1" t="s">
        <v>47157</v>
      </c>
      <c r="H8012" s="200"/>
      <c r="I8012" s="346"/>
      <c r="J8012" s="39">
        <v>113201</v>
      </c>
      <c r="K8012" s="36" t="str">
        <f>CONCATENATE(Cover!$D$6,"fdd/view?i=",J8012)</f>
        <v>https://www.dgiwg.org/FAD/fdd/view?i=113201</v>
      </c>
      <c r="L8012" s="36" t="s">
        <v>47158</v>
      </c>
      <c r="M8012" s="186"/>
      <c r="N8012" s="186"/>
      <c r="O8012" s="172"/>
    </row>
    <row r="8013" spans="1:15" x14ac:dyDescent="0.2">
      <c r="A8013" s="197" t="str">
        <f t="shared" si="125"/>
        <v>EqkCode_impact</v>
      </c>
      <c r="B8013" s="409"/>
      <c r="C8013" s="416"/>
      <c r="D8013" s="198" t="s">
        <v>26920</v>
      </c>
      <c r="E8013" s="198">
        <v>2</v>
      </c>
      <c r="F8013" s="199" t="s">
        <v>26921</v>
      </c>
      <c r="G8013" s="1" t="s">
        <v>47159</v>
      </c>
      <c r="H8013" s="200"/>
      <c r="I8013" s="346"/>
      <c r="J8013" s="39">
        <v>113198</v>
      </c>
      <c r="K8013" s="36" t="str">
        <f>CONCATENATE(Cover!$D$6,"fdd/view?i=",J8013)</f>
        <v>https://www.dgiwg.org/FAD/fdd/view?i=113198</v>
      </c>
      <c r="L8013" s="36" t="s">
        <v>47160</v>
      </c>
      <c r="M8013" s="186"/>
      <c r="N8013" s="186"/>
      <c r="O8013" s="172"/>
    </row>
    <row r="8014" spans="1:15" ht="25.5" x14ac:dyDescent="0.2">
      <c r="A8014" s="197" t="str">
        <f t="shared" si="125"/>
        <v>EqkCode_tectonic</v>
      </c>
      <c r="B8014" s="409"/>
      <c r="C8014" s="416"/>
      <c r="D8014" s="198" t="s">
        <v>47161</v>
      </c>
      <c r="E8014" s="198">
        <v>3</v>
      </c>
      <c r="F8014" s="199" t="s">
        <v>47162</v>
      </c>
      <c r="G8014" s="1" t="s">
        <v>47163</v>
      </c>
      <c r="H8014" s="200"/>
      <c r="I8014" s="346"/>
      <c r="J8014" s="39">
        <v>113199</v>
      </c>
      <c r="K8014" s="36" t="str">
        <f>CONCATENATE(Cover!$D$6,"fdd/view?i=",J8014)</f>
        <v>https://www.dgiwg.org/FAD/fdd/view?i=113199</v>
      </c>
      <c r="L8014" s="36" t="s">
        <v>47164</v>
      </c>
      <c r="M8014" s="186"/>
      <c r="N8014" s="186"/>
      <c r="O8014" s="172"/>
    </row>
    <row r="8015" spans="1:15" x14ac:dyDescent="0.2">
      <c r="A8015" s="203" t="str">
        <f t="shared" si="125"/>
        <v>EqkCode_volcanic</v>
      </c>
      <c r="B8015" s="410"/>
      <c r="C8015" s="417"/>
      <c r="D8015" s="204" t="s">
        <v>43250</v>
      </c>
      <c r="E8015" s="204">
        <v>4</v>
      </c>
      <c r="F8015" s="205" t="s">
        <v>43251</v>
      </c>
      <c r="G8015" s="206" t="s">
        <v>47165</v>
      </c>
      <c r="H8015" s="207"/>
      <c r="I8015" s="347"/>
      <c r="J8015" s="39">
        <v>113200</v>
      </c>
      <c r="K8015" s="36" t="str">
        <f>CONCATENATE(Cover!$D$6,"fdd/view?i=",J8015)</f>
        <v>https://www.dgiwg.org/FAD/fdd/view?i=113200</v>
      </c>
      <c r="L8015" s="36" t="s">
        <v>47166</v>
      </c>
      <c r="M8015" s="186"/>
      <c r="N8015" s="186"/>
      <c r="O8015" s="172"/>
    </row>
    <row r="8016" spans="1:15" ht="63.75" x14ac:dyDescent="0.2">
      <c r="A8016" s="190" t="str">
        <f t="shared" si="125"/>
        <v>NcuCode_bomisPoint</v>
      </c>
      <c r="B8016" s="414" t="str">
        <f>HYPERLINK("[#]Datatypes!A1370:L1370","NcuCode")</f>
        <v>NcuCode</v>
      </c>
      <c r="C8016" s="415" t="s">
        <v>15993</v>
      </c>
      <c r="D8016" s="221" t="s">
        <v>47167</v>
      </c>
      <c r="E8016" s="221">
        <v>1</v>
      </c>
      <c r="F8016" s="222" t="s">
        <v>47168</v>
      </c>
      <c r="G8016" s="223" t="s">
        <v>47169</v>
      </c>
      <c r="H8016" s="223" t="s">
        <v>47170</v>
      </c>
      <c r="I8016" s="345"/>
      <c r="J8016" s="39">
        <v>119817</v>
      </c>
      <c r="K8016" s="36" t="str">
        <f>CONCATENATE(Cover!$D$6,"fdd/view?i=",J8016)</f>
        <v>https://www.dgiwg.org/FAD/fdd/view?i=119817</v>
      </c>
      <c r="L8016" s="36" t="s">
        <v>47171</v>
      </c>
      <c r="M8016" s="186"/>
      <c r="N8016" s="186"/>
      <c r="O8016" s="172"/>
    </row>
    <row r="8017" spans="1:15" ht="25.5" x14ac:dyDescent="0.2">
      <c r="A8017" s="197" t="str">
        <f t="shared" si="125"/>
        <v>NcuCode_radarTargetPoint</v>
      </c>
      <c r="B8017" s="409"/>
      <c r="C8017" s="416"/>
      <c r="D8017" s="198" t="s">
        <v>47172</v>
      </c>
      <c r="E8017" s="198">
        <v>2</v>
      </c>
      <c r="F8017" s="199" t="s">
        <v>47173</v>
      </c>
      <c r="G8017" s="1" t="s">
        <v>47174</v>
      </c>
      <c r="H8017" s="200"/>
      <c r="I8017" s="346"/>
      <c r="J8017" s="39">
        <v>119818</v>
      </c>
      <c r="K8017" s="36" t="str">
        <f>CONCATENATE(Cover!$D$6,"fdd/view?i=",J8017)</f>
        <v>https://www.dgiwg.org/FAD/fdd/view?i=119818</v>
      </c>
      <c r="L8017" s="36" t="s">
        <v>47175</v>
      </c>
      <c r="M8017" s="186"/>
      <c r="N8017" s="186"/>
      <c r="O8017" s="172"/>
    </row>
    <row r="8018" spans="1:15" ht="38.25" x14ac:dyDescent="0.2">
      <c r="A8018" s="197" t="str">
        <f t="shared" si="125"/>
        <v>NcuCode_sonarCalibrationPoint</v>
      </c>
      <c r="B8018" s="409"/>
      <c r="C8018" s="416"/>
      <c r="D8018" s="198" t="s">
        <v>47176</v>
      </c>
      <c r="E8018" s="198">
        <v>3</v>
      </c>
      <c r="F8018" s="199" t="s">
        <v>47177</v>
      </c>
      <c r="G8018" s="1" t="s">
        <v>47178</v>
      </c>
      <c r="H8018" s="1" t="s">
        <v>47179</v>
      </c>
      <c r="I8018" s="346"/>
      <c r="J8018" s="39">
        <v>119819</v>
      </c>
      <c r="K8018" s="36" t="str">
        <f>CONCATENATE(Cover!$D$6,"fdd/view?i=",J8018)</f>
        <v>https://www.dgiwg.org/FAD/fdd/view?i=119819</v>
      </c>
      <c r="L8018" s="36" t="s">
        <v>47180</v>
      </c>
      <c r="M8018" s="186"/>
      <c r="N8018" s="186"/>
      <c r="O8018" s="172"/>
    </row>
    <row r="8019" spans="1:15" ht="25.5" x14ac:dyDescent="0.2">
      <c r="A8019" s="197" t="str">
        <f t="shared" si="125"/>
        <v>NcuCode_sonarTargetPoint</v>
      </c>
      <c r="B8019" s="409"/>
      <c r="C8019" s="416"/>
      <c r="D8019" s="198" t="s">
        <v>47181</v>
      </c>
      <c r="E8019" s="198">
        <v>4</v>
      </c>
      <c r="F8019" s="199" t="s">
        <v>47182</v>
      </c>
      <c r="G8019" s="1" t="s">
        <v>47183</v>
      </c>
      <c r="H8019" s="200"/>
      <c r="I8019" s="346"/>
      <c r="J8019" s="39">
        <v>119820</v>
      </c>
      <c r="K8019" s="36" t="str">
        <f>CONCATENATE(Cover!$D$6,"fdd/view?i=",J8019)</f>
        <v>https://www.dgiwg.org/FAD/fdd/view?i=119820</v>
      </c>
      <c r="L8019" s="36" t="s">
        <v>47184</v>
      </c>
      <c r="M8019" s="186"/>
      <c r="N8019" s="186"/>
      <c r="O8019" s="172"/>
    </row>
    <row r="8020" spans="1:15" ht="51" x14ac:dyDescent="0.2">
      <c r="A8020" s="203" t="str">
        <f t="shared" si="125"/>
        <v>NcuCode_underwaterAcousticPhonePt</v>
      </c>
      <c r="B8020" s="410"/>
      <c r="C8020" s="417"/>
      <c r="D8020" s="204" t="s">
        <v>47185</v>
      </c>
      <c r="E8020" s="204">
        <v>5</v>
      </c>
      <c r="F8020" s="205" t="s">
        <v>47186</v>
      </c>
      <c r="G8020" s="206" t="s">
        <v>47187</v>
      </c>
      <c r="H8020" s="206" t="s">
        <v>47188</v>
      </c>
      <c r="I8020" s="347"/>
      <c r="J8020" s="39">
        <v>119821</v>
      </c>
      <c r="K8020" s="36" t="str">
        <f>CONCATENATE(Cover!$D$6,"fdd/view?i=",J8020)</f>
        <v>https://www.dgiwg.org/FAD/fdd/view?i=119821</v>
      </c>
      <c r="L8020" s="36" t="s">
        <v>47189</v>
      </c>
      <c r="M8020" s="186"/>
      <c r="N8020" s="186"/>
      <c r="O8020" s="172"/>
    </row>
    <row r="8021" spans="1:15" ht="63.75" x14ac:dyDescent="0.2">
      <c r="A8021" s="190" t="str">
        <f t="shared" si="125"/>
        <v>UspCode_concentricRegular</v>
      </c>
      <c r="B8021" s="414" t="str">
        <f>HYPERLINK("[#]Datatypes!A1374:L1374","UspCode")</f>
        <v>UspCode</v>
      </c>
      <c r="C8021" s="415" t="s">
        <v>15997</v>
      </c>
      <c r="D8021" s="221" t="s">
        <v>47190</v>
      </c>
      <c r="E8021" s="221">
        <v>14</v>
      </c>
      <c r="F8021" s="222" t="s">
        <v>47191</v>
      </c>
      <c r="G8021" s="223" t="s">
        <v>47192</v>
      </c>
      <c r="H8021" s="224"/>
      <c r="I8021" s="345"/>
      <c r="J8021" s="39">
        <v>110583</v>
      </c>
      <c r="K8021" s="36" t="str">
        <f>CONCATENATE(Cover!$D$6,"fdd/view?i=",J8021)</f>
        <v>https://www.dgiwg.org/FAD/fdd/view?i=110583</v>
      </c>
      <c r="L8021" s="36" t="s">
        <v>47193</v>
      </c>
      <c r="M8021" s="186"/>
      <c r="N8021" s="186"/>
      <c r="O8021" s="172"/>
    </row>
    <row r="8022" spans="1:15" ht="38.25" x14ac:dyDescent="0.2">
      <c r="A8022" s="197" t="str">
        <f t="shared" si="125"/>
        <v>UspCode_contourConforming</v>
      </c>
      <c r="B8022" s="409"/>
      <c r="C8022" s="416"/>
      <c r="D8022" s="198" t="s">
        <v>47194</v>
      </c>
      <c r="E8022" s="198">
        <v>17</v>
      </c>
      <c r="F8022" s="199" t="s">
        <v>47195</v>
      </c>
      <c r="G8022" s="1" t="s">
        <v>47196</v>
      </c>
      <c r="H8022" s="1" t="s">
        <v>47197</v>
      </c>
      <c r="I8022" s="351" t="s">
        <v>47198</v>
      </c>
      <c r="J8022" s="39">
        <v>110586</v>
      </c>
      <c r="K8022" s="36" t="str">
        <f>CONCATENATE(Cover!$D$6,"fdd/view?i=",J8022)</f>
        <v>https://www.dgiwg.org/FAD/fdd/view?i=110586</v>
      </c>
      <c r="L8022" s="36" t="s">
        <v>47199</v>
      </c>
      <c r="M8022" s="186"/>
      <c r="N8022" s="186"/>
      <c r="O8022" s="172"/>
    </row>
    <row r="8023" spans="1:15" ht="38.25" x14ac:dyDescent="0.2">
      <c r="A8023" s="197" t="str">
        <f t="shared" si="125"/>
        <v>UspCode_contouringButIrregular</v>
      </c>
      <c r="B8023" s="409"/>
      <c r="C8023" s="416"/>
      <c r="D8023" s="198" t="s">
        <v>47200</v>
      </c>
      <c r="E8023" s="198">
        <v>18</v>
      </c>
      <c r="F8023" s="199" t="s">
        <v>47201</v>
      </c>
      <c r="G8023" s="1" t="s">
        <v>47202</v>
      </c>
      <c r="H8023" s="1" t="s">
        <v>47197</v>
      </c>
      <c r="I8023" s="351" t="s">
        <v>47203</v>
      </c>
      <c r="J8023" s="39">
        <v>110587</v>
      </c>
      <c r="K8023" s="36" t="str">
        <f>CONCATENATE(Cover!$D$6,"fdd/view?i=",J8023)</f>
        <v>https://www.dgiwg.org/FAD/fdd/view?i=110587</v>
      </c>
      <c r="L8023" s="36" t="s">
        <v>47204</v>
      </c>
      <c r="M8023" s="186"/>
      <c r="N8023" s="186"/>
      <c r="O8023" s="172"/>
    </row>
    <row r="8024" spans="1:15" ht="38.25" x14ac:dyDescent="0.2">
      <c r="A8024" s="197" t="str">
        <f t="shared" si="125"/>
        <v>UspCode_curvilinear</v>
      </c>
      <c r="B8024" s="409"/>
      <c r="C8024" s="416"/>
      <c r="D8024" s="198" t="s">
        <v>47205</v>
      </c>
      <c r="E8024" s="198">
        <v>4</v>
      </c>
      <c r="F8024" s="199" t="s">
        <v>47206</v>
      </c>
      <c r="G8024" s="1" t="s">
        <v>47207</v>
      </c>
      <c r="H8024" s="1" t="s">
        <v>47208</v>
      </c>
      <c r="I8024" s="351" t="s">
        <v>47209</v>
      </c>
      <c r="J8024" s="39">
        <v>109072</v>
      </c>
      <c r="K8024" s="36" t="str">
        <f>CONCATENATE(Cover!$D$6,"fdd/view?i=",J8024)</f>
        <v>https://www.dgiwg.org/FAD/fdd/view?i=109072</v>
      </c>
      <c r="L8024" s="36" t="s">
        <v>47210</v>
      </c>
      <c r="M8024" s="186"/>
      <c r="N8024" s="186"/>
      <c r="O8024" s="172"/>
    </row>
    <row r="8025" spans="1:15" ht="25.5" x14ac:dyDescent="0.2">
      <c r="A8025" s="197" t="str">
        <f t="shared" si="125"/>
        <v>UspCode_irregularCanals</v>
      </c>
      <c r="B8025" s="409"/>
      <c r="C8025" s="416"/>
      <c r="D8025" s="198" t="s">
        <v>47211</v>
      </c>
      <c r="E8025" s="198">
        <v>16</v>
      </c>
      <c r="F8025" s="199" t="s">
        <v>47212</v>
      </c>
      <c r="G8025" s="1" t="s">
        <v>47213</v>
      </c>
      <c r="H8025" s="200"/>
      <c r="I8025" s="346"/>
      <c r="J8025" s="39">
        <v>110585</v>
      </c>
      <c r="K8025" s="36" t="str">
        <f>CONCATENATE(Cover!$D$6,"fdd/view?i=",J8025)</f>
        <v>https://www.dgiwg.org/FAD/fdd/view?i=110585</v>
      </c>
      <c r="L8025" s="36" t="s">
        <v>47214</v>
      </c>
      <c r="M8025" s="186"/>
      <c r="N8025" s="186"/>
      <c r="O8025" s="172"/>
    </row>
    <row r="8026" spans="1:15" ht="63.75" x14ac:dyDescent="0.2">
      <c r="A8026" s="197" t="str">
        <f t="shared" si="125"/>
        <v>UspCode_linear</v>
      </c>
      <c r="B8026" s="409"/>
      <c r="C8026" s="416"/>
      <c r="D8026" s="198" t="s">
        <v>30351</v>
      </c>
      <c r="E8026" s="198">
        <v>13</v>
      </c>
      <c r="F8026" s="199" t="s">
        <v>30352</v>
      </c>
      <c r="G8026" s="1" t="s">
        <v>47215</v>
      </c>
      <c r="H8026" s="1" t="s">
        <v>47216</v>
      </c>
      <c r="I8026" s="351" t="s">
        <v>47217</v>
      </c>
      <c r="J8026" s="39">
        <v>109079</v>
      </c>
      <c r="K8026" s="36" t="str">
        <f>CONCATENATE(Cover!$D$6,"fdd/view?i=",J8026)</f>
        <v>https://www.dgiwg.org/FAD/fdd/view?i=109079</v>
      </c>
      <c r="L8026" s="36" t="s">
        <v>47218</v>
      </c>
      <c r="M8026" s="186"/>
      <c r="N8026" s="186"/>
      <c r="O8026" s="172"/>
    </row>
    <row r="8027" spans="1:15" ht="38.25" x14ac:dyDescent="0.2">
      <c r="A8027" s="197" t="str">
        <f t="shared" si="125"/>
        <v>UspCode_medievalAndIrregular</v>
      </c>
      <c r="B8027" s="409"/>
      <c r="C8027" s="416"/>
      <c r="D8027" s="198" t="s">
        <v>47219</v>
      </c>
      <c r="E8027" s="198">
        <v>19</v>
      </c>
      <c r="F8027" s="199" t="s">
        <v>47220</v>
      </c>
      <c r="G8027" s="1" t="s">
        <v>47221</v>
      </c>
      <c r="H8027" s="1" t="s">
        <v>47222</v>
      </c>
      <c r="I8027" s="351" t="s">
        <v>47223</v>
      </c>
      <c r="J8027" s="39">
        <v>110588</v>
      </c>
      <c r="K8027" s="36" t="str">
        <f>CONCATENATE(Cover!$D$6,"fdd/view?i=",J8027)</f>
        <v>https://www.dgiwg.org/FAD/fdd/view?i=110588</v>
      </c>
      <c r="L8027" s="36" t="s">
        <v>47224</v>
      </c>
      <c r="M8027" s="186"/>
      <c r="N8027" s="186"/>
      <c r="O8027" s="172"/>
    </row>
    <row r="8028" spans="1:15" ht="25.5" x14ac:dyDescent="0.2">
      <c r="A8028" s="197" t="str">
        <f t="shared" si="125"/>
        <v>UspCode_mixedRadialCurvilinear</v>
      </c>
      <c r="B8028" s="409"/>
      <c r="C8028" s="416"/>
      <c r="D8028" s="198" t="s">
        <v>47225</v>
      </c>
      <c r="E8028" s="198">
        <v>11</v>
      </c>
      <c r="F8028" s="199" t="s">
        <v>47226</v>
      </c>
      <c r="G8028" s="1" t="s">
        <v>47227</v>
      </c>
      <c r="H8028" s="200"/>
      <c r="I8028" s="346"/>
      <c r="J8028" s="39">
        <v>109077</v>
      </c>
      <c r="K8028" s="36" t="str">
        <f>CONCATENATE(Cover!$D$6,"fdd/view?i=",J8028)</f>
        <v>https://www.dgiwg.org/FAD/fdd/view?i=109077</v>
      </c>
      <c r="L8028" s="36" t="s">
        <v>47228</v>
      </c>
      <c r="M8028" s="186"/>
      <c r="N8028" s="186"/>
      <c r="O8028" s="172"/>
    </row>
    <row r="8029" spans="1:15" ht="25.5" x14ac:dyDescent="0.2">
      <c r="A8029" s="197" t="str">
        <f t="shared" si="125"/>
        <v>UspCode_mixedRectangularRadial</v>
      </c>
      <c r="B8029" s="409"/>
      <c r="C8029" s="416"/>
      <c r="D8029" s="198" t="s">
        <v>47233</v>
      </c>
      <c r="E8029" s="198">
        <v>10</v>
      </c>
      <c r="F8029" s="199" t="s">
        <v>47234</v>
      </c>
      <c r="G8029" s="1" t="s">
        <v>47235</v>
      </c>
      <c r="H8029" s="200"/>
      <c r="I8029" s="346"/>
      <c r="J8029" s="39">
        <v>109076</v>
      </c>
      <c r="K8029" s="36" t="str">
        <f>CONCATENATE(Cover!$D$6,"fdd/view?i=",J8029)</f>
        <v>https://www.dgiwg.org/FAD/fdd/view?i=109076</v>
      </c>
      <c r="L8029" s="36" t="s">
        <v>47236</v>
      </c>
      <c r="M8029" s="186"/>
      <c r="N8029" s="186"/>
      <c r="O8029" s="172"/>
    </row>
    <row r="8030" spans="1:15" ht="25.5" x14ac:dyDescent="0.2">
      <c r="A8030" s="197" t="str">
        <f t="shared" si="125"/>
        <v>UspCode_mixedRectCurvilinear</v>
      </c>
      <c r="B8030" s="409"/>
      <c r="C8030" s="416"/>
      <c r="D8030" s="198" t="s">
        <v>47229</v>
      </c>
      <c r="E8030" s="198">
        <v>9</v>
      </c>
      <c r="F8030" s="199" t="s">
        <v>47230</v>
      </c>
      <c r="G8030" s="1" t="s">
        <v>47231</v>
      </c>
      <c r="H8030" s="200"/>
      <c r="I8030" s="346"/>
      <c r="J8030" s="39">
        <v>109075</v>
      </c>
      <c r="K8030" s="36" t="str">
        <f>CONCATENATE(Cover!$D$6,"fdd/view?i=",J8030)</f>
        <v>https://www.dgiwg.org/FAD/fdd/view?i=109075</v>
      </c>
      <c r="L8030" s="36" t="s">
        <v>47232</v>
      </c>
      <c r="M8030" s="186"/>
      <c r="N8030" s="186"/>
      <c r="O8030" s="172"/>
    </row>
    <row r="8031" spans="1:15" ht="63.75" x14ac:dyDescent="0.2">
      <c r="A8031" s="197" t="str">
        <f t="shared" si="125"/>
        <v>UspCode_radialButIrregular</v>
      </c>
      <c r="B8031" s="409"/>
      <c r="C8031" s="416"/>
      <c r="D8031" s="198" t="s">
        <v>47241</v>
      </c>
      <c r="E8031" s="198">
        <v>7</v>
      </c>
      <c r="F8031" s="199" t="s">
        <v>47242</v>
      </c>
      <c r="G8031" s="1" t="s">
        <v>47243</v>
      </c>
      <c r="H8031" s="200"/>
      <c r="I8031" s="346"/>
      <c r="J8031" s="39">
        <v>109074</v>
      </c>
      <c r="K8031" s="36" t="str">
        <f>CONCATENATE(Cover!$D$6,"fdd/view?i=",J8031)</f>
        <v>https://www.dgiwg.org/FAD/fdd/view?i=109074</v>
      </c>
      <c r="L8031" s="36" t="s">
        <v>47244</v>
      </c>
      <c r="M8031" s="186"/>
      <c r="N8031" s="186"/>
      <c r="O8031" s="172"/>
    </row>
    <row r="8032" spans="1:15" ht="63.75" x14ac:dyDescent="0.2">
      <c r="A8032" s="197" t="str">
        <f t="shared" si="125"/>
        <v>UspCode_radialRegular</v>
      </c>
      <c r="B8032" s="409"/>
      <c r="C8032" s="416"/>
      <c r="D8032" s="198" t="s">
        <v>47237</v>
      </c>
      <c r="E8032" s="198">
        <v>6</v>
      </c>
      <c r="F8032" s="199" t="s">
        <v>47238</v>
      </c>
      <c r="G8032" s="1" t="s">
        <v>47239</v>
      </c>
      <c r="H8032" s="200"/>
      <c r="I8032" s="346"/>
      <c r="J8032" s="39">
        <v>109073</v>
      </c>
      <c r="K8032" s="36" t="str">
        <f>CONCATENATE(Cover!$D$6,"fdd/view?i=",J8032)</f>
        <v>https://www.dgiwg.org/FAD/fdd/view?i=109073</v>
      </c>
      <c r="L8032" s="36" t="s">
        <v>47240</v>
      </c>
      <c r="M8032" s="186"/>
      <c r="N8032" s="186"/>
      <c r="O8032" s="172"/>
    </row>
    <row r="8033" spans="1:15" ht="51" x14ac:dyDescent="0.2">
      <c r="A8033" s="197" t="str">
        <f t="shared" si="125"/>
        <v>UspCode_rectangularButIrregular</v>
      </c>
      <c r="B8033" s="409"/>
      <c r="C8033" s="416"/>
      <c r="D8033" s="198" t="s">
        <v>47250</v>
      </c>
      <c r="E8033" s="198">
        <v>3</v>
      </c>
      <c r="F8033" s="199" t="s">
        <v>47251</v>
      </c>
      <c r="G8033" s="1" t="s">
        <v>47252</v>
      </c>
      <c r="H8033" s="1" t="s">
        <v>47253</v>
      </c>
      <c r="I8033" s="351" t="s">
        <v>47254</v>
      </c>
      <c r="J8033" s="39">
        <v>109071</v>
      </c>
      <c r="K8033" s="36" t="str">
        <f>CONCATENATE(Cover!$D$6,"fdd/view?i=",J8033)</f>
        <v>https://www.dgiwg.org/FAD/fdd/view?i=109071</v>
      </c>
      <c r="L8033" s="36" t="s">
        <v>47255</v>
      </c>
      <c r="M8033" s="186"/>
      <c r="N8033" s="186"/>
      <c r="O8033" s="172"/>
    </row>
    <row r="8034" spans="1:15" ht="25.5" x14ac:dyDescent="0.2">
      <c r="A8034" s="197" t="str">
        <f t="shared" si="125"/>
        <v>UspCode_rectangularRegular</v>
      </c>
      <c r="B8034" s="409"/>
      <c r="C8034" s="416"/>
      <c r="D8034" s="198" t="s">
        <v>47245</v>
      </c>
      <c r="E8034" s="198">
        <v>2</v>
      </c>
      <c r="F8034" s="199" t="s">
        <v>47246</v>
      </c>
      <c r="G8034" s="1" t="s">
        <v>47247</v>
      </c>
      <c r="H8034" s="200"/>
      <c r="I8034" s="351" t="s">
        <v>47248</v>
      </c>
      <c r="J8034" s="39">
        <v>109070</v>
      </c>
      <c r="K8034" s="36" t="str">
        <f>CONCATENATE(Cover!$D$6,"fdd/view?i=",J8034)</f>
        <v>https://www.dgiwg.org/FAD/fdd/view?i=109070</v>
      </c>
      <c r="L8034" s="36" t="s">
        <v>47249</v>
      </c>
      <c r="M8034" s="186"/>
      <c r="N8034" s="186"/>
      <c r="O8034" s="172"/>
    </row>
    <row r="8035" spans="1:15" ht="25.5" x14ac:dyDescent="0.2">
      <c r="A8035" s="203" t="str">
        <f t="shared" si="125"/>
        <v>UspCode_regularCanals</v>
      </c>
      <c r="B8035" s="410"/>
      <c r="C8035" s="417"/>
      <c r="D8035" s="204" t="s">
        <v>47256</v>
      </c>
      <c r="E8035" s="204">
        <v>15</v>
      </c>
      <c r="F8035" s="205" t="s">
        <v>47257</v>
      </c>
      <c r="G8035" s="206" t="s">
        <v>47258</v>
      </c>
      <c r="H8035" s="207"/>
      <c r="I8035" s="347"/>
      <c r="J8035" s="39">
        <v>110584</v>
      </c>
      <c r="K8035" s="36" t="str">
        <f>CONCATENATE(Cover!$D$6,"fdd/view?i=",J8035)</f>
        <v>https://www.dgiwg.org/FAD/fdd/view?i=110584</v>
      </c>
      <c r="L8035" s="36" t="s">
        <v>47259</v>
      </c>
      <c r="M8035" s="186"/>
      <c r="N8035" s="186"/>
      <c r="O8035" s="172"/>
    </row>
    <row r="8036" spans="1:15" ht="25.5" x14ac:dyDescent="0.2">
      <c r="A8036" s="190" t="str">
        <f t="shared" si="125"/>
        <v>SldCode_partiallyAbandoned</v>
      </c>
      <c r="B8036" s="414" t="str">
        <f>HYPERLINK("[#]Datatypes!A1376:L1376","SldCode")</f>
        <v>SldCode</v>
      </c>
      <c r="C8036" s="415" t="s">
        <v>15999</v>
      </c>
      <c r="D8036" s="221" t="s">
        <v>47260</v>
      </c>
      <c r="E8036" s="221">
        <v>7</v>
      </c>
      <c r="F8036" s="222" t="s">
        <v>47261</v>
      </c>
      <c r="G8036" s="223" t="s">
        <v>47262</v>
      </c>
      <c r="H8036" s="224"/>
      <c r="I8036" s="345"/>
      <c r="J8036" s="39">
        <v>113772</v>
      </c>
      <c r="K8036" s="36" t="str">
        <f>CONCATENATE(Cover!$D$6,"fdd/view?i=",J8036)</f>
        <v>https://www.dgiwg.org/FAD/fdd/view?i=113772</v>
      </c>
      <c r="L8036" s="36" t="s">
        <v>47263</v>
      </c>
      <c r="M8036" s="186"/>
      <c r="N8036" s="186"/>
      <c r="O8036" s="172"/>
    </row>
    <row r="8037" spans="1:15" ht="25.5" x14ac:dyDescent="0.2">
      <c r="A8037" s="197" t="str">
        <f t="shared" si="125"/>
        <v>SldCode_permanentlyExisting</v>
      </c>
      <c r="B8037" s="409"/>
      <c r="C8037" s="416"/>
      <c r="D8037" s="198" t="s">
        <v>47264</v>
      </c>
      <c r="E8037" s="198">
        <v>2</v>
      </c>
      <c r="F8037" s="199" t="s">
        <v>47265</v>
      </c>
      <c r="G8037" s="1" t="s">
        <v>47266</v>
      </c>
      <c r="H8037" s="200"/>
      <c r="I8037" s="346"/>
      <c r="J8037" s="39">
        <v>113767</v>
      </c>
      <c r="K8037" s="36" t="str">
        <f>CONCATENATE(Cover!$D$6,"fdd/view?i=",J8037)</f>
        <v>https://www.dgiwg.org/FAD/fdd/view?i=113767</v>
      </c>
      <c r="L8037" s="36" t="s">
        <v>47267</v>
      </c>
      <c r="M8037" s="186"/>
      <c r="N8037" s="186"/>
      <c r="O8037" s="172"/>
    </row>
    <row r="8038" spans="1:15" ht="25.5" x14ac:dyDescent="0.2">
      <c r="A8038" s="197" t="str">
        <f t="shared" si="125"/>
        <v>SldCode_permanentlyMoved</v>
      </c>
      <c r="B8038" s="409"/>
      <c r="C8038" s="416"/>
      <c r="D8038" s="198" t="s">
        <v>47268</v>
      </c>
      <c r="E8038" s="198">
        <v>1</v>
      </c>
      <c r="F8038" s="199" t="s">
        <v>47269</v>
      </c>
      <c r="G8038" s="1" t="s">
        <v>47270</v>
      </c>
      <c r="H8038" s="200"/>
      <c r="I8038" s="346"/>
      <c r="J8038" s="39">
        <v>113766</v>
      </c>
      <c r="K8038" s="36" t="str">
        <f>CONCATENATE(Cover!$D$6,"fdd/view?i=",J8038)</f>
        <v>https://www.dgiwg.org/FAD/fdd/view?i=113766</v>
      </c>
      <c r="L8038" s="36" t="s">
        <v>47271</v>
      </c>
      <c r="M8038" s="186"/>
      <c r="N8038" s="186"/>
      <c r="O8038" s="172"/>
    </row>
    <row r="8039" spans="1:15" x14ac:dyDescent="0.2">
      <c r="A8039" s="197" t="str">
        <f t="shared" si="125"/>
        <v>SldCode_seasonal</v>
      </c>
      <c r="B8039" s="409"/>
      <c r="C8039" s="416"/>
      <c r="D8039" s="198" t="s">
        <v>20100</v>
      </c>
      <c r="E8039" s="198">
        <v>5</v>
      </c>
      <c r="F8039" s="199" t="s">
        <v>20101</v>
      </c>
      <c r="G8039" s="1" t="s">
        <v>47272</v>
      </c>
      <c r="H8039" s="1" t="s">
        <v>47273</v>
      </c>
      <c r="I8039" s="346"/>
      <c r="J8039" s="39">
        <v>113770</v>
      </c>
      <c r="K8039" s="36" t="str">
        <f>CONCATENATE(Cover!$D$6,"fdd/view?i=",J8039)</f>
        <v>https://www.dgiwg.org/FAD/fdd/view?i=113770</v>
      </c>
      <c r="L8039" s="36" t="s">
        <v>47274</v>
      </c>
      <c r="M8039" s="186"/>
      <c r="N8039" s="186"/>
      <c r="O8039" s="172"/>
    </row>
    <row r="8040" spans="1:15" ht="25.5" x14ac:dyDescent="0.2">
      <c r="A8040" s="197" t="str">
        <f t="shared" si="125"/>
        <v>SldCode_semipermanent</v>
      </c>
      <c r="B8040" s="409"/>
      <c r="C8040" s="416"/>
      <c r="D8040" s="198" t="s">
        <v>47275</v>
      </c>
      <c r="E8040" s="198">
        <v>6</v>
      </c>
      <c r="F8040" s="199" t="s">
        <v>47276</v>
      </c>
      <c r="G8040" s="1" t="s">
        <v>47277</v>
      </c>
      <c r="H8040" s="1" t="s">
        <v>47278</v>
      </c>
      <c r="I8040" s="346"/>
      <c r="J8040" s="39">
        <v>113771</v>
      </c>
      <c r="K8040" s="36" t="str">
        <f>CONCATENATE(Cover!$D$6,"fdd/view?i=",J8040)</f>
        <v>https://www.dgiwg.org/FAD/fdd/view?i=113771</v>
      </c>
      <c r="L8040" s="36" t="s">
        <v>47279</v>
      </c>
      <c r="M8040" s="186"/>
      <c r="N8040" s="186"/>
      <c r="O8040" s="172"/>
    </row>
    <row r="8041" spans="1:15" ht="25.5" x14ac:dyDescent="0.2">
      <c r="A8041" s="197" t="str">
        <f t="shared" si="125"/>
        <v>SldCode_temporary</v>
      </c>
      <c r="B8041" s="409"/>
      <c r="C8041" s="416"/>
      <c r="D8041" s="198" t="s">
        <v>30159</v>
      </c>
      <c r="E8041" s="198">
        <v>4</v>
      </c>
      <c r="F8041" s="199" t="s">
        <v>30160</v>
      </c>
      <c r="G8041" s="1" t="s">
        <v>47280</v>
      </c>
      <c r="H8041" s="1" t="s">
        <v>47281</v>
      </c>
      <c r="I8041" s="346"/>
      <c r="J8041" s="39">
        <v>113769</v>
      </c>
      <c r="K8041" s="36" t="str">
        <f>CONCATENATE(Cover!$D$6,"fdd/view?i=",J8041)</f>
        <v>https://www.dgiwg.org/FAD/fdd/view?i=113769</v>
      </c>
      <c r="L8041" s="36" t="s">
        <v>47282</v>
      </c>
      <c r="M8041" s="186"/>
      <c r="N8041" s="186"/>
      <c r="O8041" s="172"/>
    </row>
    <row r="8042" spans="1:15" ht="25.5" x14ac:dyDescent="0.2">
      <c r="A8042" s="197" t="str">
        <f t="shared" si="125"/>
        <v>SldCode_totallyAbandoned</v>
      </c>
      <c r="B8042" s="409"/>
      <c r="C8042" s="416"/>
      <c r="D8042" s="198" t="s">
        <v>47283</v>
      </c>
      <c r="E8042" s="198">
        <v>8</v>
      </c>
      <c r="F8042" s="199" t="s">
        <v>47284</v>
      </c>
      <c r="G8042" s="1" t="s">
        <v>47285</v>
      </c>
      <c r="H8042" s="200"/>
      <c r="I8042" s="346"/>
      <c r="J8042" s="39">
        <v>113773</v>
      </c>
      <c r="K8042" s="36" t="str">
        <f>CONCATENATE(Cover!$D$6,"fdd/view?i=",J8042)</f>
        <v>https://www.dgiwg.org/FAD/fdd/view?i=113773</v>
      </c>
      <c r="L8042" s="36" t="s">
        <v>47286</v>
      </c>
      <c r="M8042" s="186"/>
      <c r="N8042" s="186"/>
      <c r="O8042" s="172"/>
    </row>
    <row r="8043" spans="1:15" ht="25.5" x14ac:dyDescent="0.2">
      <c r="A8043" s="203" t="str">
        <f t="shared" si="125"/>
        <v>SldCode_transitory</v>
      </c>
      <c r="B8043" s="410"/>
      <c r="C8043" s="417"/>
      <c r="D8043" s="204" t="s">
        <v>47287</v>
      </c>
      <c r="E8043" s="204">
        <v>3</v>
      </c>
      <c r="F8043" s="205" t="s">
        <v>47288</v>
      </c>
      <c r="G8043" s="206" t="s">
        <v>47289</v>
      </c>
      <c r="H8043" s="206" t="s">
        <v>47290</v>
      </c>
      <c r="I8043" s="353" t="s">
        <v>47291</v>
      </c>
      <c r="J8043" s="39">
        <v>113768</v>
      </c>
      <c r="K8043" s="36" t="str">
        <f>CONCATENATE(Cover!$D$6,"fdd/view?i=",J8043)</f>
        <v>https://www.dgiwg.org/FAD/fdd/view?i=113768</v>
      </c>
      <c r="L8043" s="36" t="s">
        <v>47292</v>
      </c>
      <c r="M8043" s="186"/>
      <c r="N8043" s="186"/>
      <c r="O8043" s="172"/>
    </row>
    <row r="8044" spans="1:15" x14ac:dyDescent="0.2">
      <c r="A8044" s="190" t="str">
        <f t="shared" si="125"/>
        <v>SohCode_dangerous</v>
      </c>
      <c r="B8044" s="414" t="str">
        <f>HYPERLINK("[#]Datatypes!A1378:L1378","SohCode")</f>
        <v>SohCode</v>
      </c>
      <c r="C8044" s="415" t="s">
        <v>16001</v>
      </c>
      <c r="D8044" s="221" t="s">
        <v>47293</v>
      </c>
      <c r="E8044" s="221">
        <v>1</v>
      </c>
      <c r="F8044" s="222" t="s">
        <v>47294</v>
      </c>
      <c r="G8044" s="224"/>
      <c r="H8044" s="224"/>
      <c r="I8044" s="345"/>
      <c r="J8044" s="39">
        <v>107950</v>
      </c>
      <c r="K8044" s="36" t="str">
        <f>CONCATENATE(Cover!$D$6,"fdd/view?i=",J8044)</f>
        <v>https://www.dgiwg.org/FAD/fdd/view?i=107950</v>
      </c>
      <c r="L8044" s="36" t="s">
        <v>47295</v>
      </c>
      <c r="M8044" s="186"/>
      <c r="N8044" s="186"/>
      <c r="O8044" s="172"/>
    </row>
    <row r="8045" spans="1:15" ht="25.5" x14ac:dyDescent="0.2">
      <c r="A8045" s="197" t="str">
        <f t="shared" si="125"/>
        <v>SohCode_nonDangerous</v>
      </c>
      <c r="B8045" s="409"/>
      <c r="C8045" s="416"/>
      <c r="D8045" s="198" t="s">
        <v>47296</v>
      </c>
      <c r="E8045" s="198">
        <v>2</v>
      </c>
      <c r="F8045" s="199" t="s">
        <v>47297</v>
      </c>
      <c r="G8045" s="200"/>
      <c r="H8045" s="200"/>
      <c r="I8045" s="346"/>
      <c r="J8045" s="39">
        <v>107951</v>
      </c>
      <c r="K8045" s="36" t="str">
        <f>CONCATENATE(Cover!$D$6,"fdd/view?i=",J8045)</f>
        <v>https://www.dgiwg.org/FAD/fdd/view?i=107951</v>
      </c>
      <c r="L8045" s="36" t="s">
        <v>47298</v>
      </c>
      <c r="M8045" s="186"/>
      <c r="N8045" s="186"/>
      <c r="O8045" s="172"/>
    </row>
    <row r="8046" spans="1:15" ht="25.5" x14ac:dyDescent="0.2">
      <c r="A8046" s="197" t="str">
        <f t="shared" si="125"/>
        <v>SohCode_nonDangerousButAvoid</v>
      </c>
      <c r="B8046" s="409"/>
      <c r="C8046" s="416"/>
      <c r="D8046" s="198" t="s">
        <v>47299</v>
      </c>
      <c r="E8046" s="198">
        <v>99</v>
      </c>
      <c r="F8046" s="199" t="s">
        <v>47300</v>
      </c>
      <c r="G8046" s="1" t="s">
        <v>47301</v>
      </c>
      <c r="H8046" s="200"/>
      <c r="I8046" s="346"/>
      <c r="J8046" s="39">
        <v>107953</v>
      </c>
      <c r="K8046" s="36" t="str">
        <f>CONCATENATE(Cover!$D$6,"fdd/view?i=",J8046)</f>
        <v>https://www.dgiwg.org/FAD/fdd/view?i=107953</v>
      </c>
      <c r="L8046" s="36" t="s">
        <v>47302</v>
      </c>
      <c r="M8046" s="186"/>
      <c r="N8046" s="186"/>
      <c r="O8046" s="172"/>
    </row>
    <row r="8047" spans="1:15" x14ac:dyDescent="0.2">
      <c r="A8047" s="203" t="str">
        <f t="shared" si="125"/>
        <v>SohCode_obstruction</v>
      </c>
      <c r="B8047" s="410"/>
      <c r="C8047" s="417"/>
      <c r="D8047" s="204" t="s">
        <v>20031</v>
      </c>
      <c r="E8047" s="204">
        <v>3</v>
      </c>
      <c r="F8047" s="205" t="s">
        <v>20032</v>
      </c>
      <c r="G8047" s="207"/>
      <c r="H8047" s="207"/>
      <c r="I8047" s="347"/>
      <c r="J8047" s="39">
        <v>107952</v>
      </c>
      <c r="K8047" s="36" t="str">
        <f>CONCATENATE(Cover!$D$6,"fdd/view?i=",J8047)</f>
        <v>https://www.dgiwg.org/FAD/fdd/view?i=107952</v>
      </c>
      <c r="L8047" s="36" t="s">
        <v>47303</v>
      </c>
      <c r="M8047" s="186"/>
      <c r="N8047" s="186"/>
      <c r="O8047" s="172"/>
    </row>
    <row r="8048" spans="1:15" x14ac:dyDescent="0.2">
      <c r="A8048" s="190" t="str">
        <f t="shared" si="125"/>
        <v>SsoCode_horizontal</v>
      </c>
      <c r="B8048" s="414" t="str">
        <f>HYPERLINK("[#]Datatypes!A1380:L1380","SsoCode")</f>
        <v>SsoCode</v>
      </c>
      <c r="C8048" s="415" t="s">
        <v>16003</v>
      </c>
      <c r="D8048" s="221" t="s">
        <v>19980</v>
      </c>
      <c r="E8048" s="221">
        <v>1</v>
      </c>
      <c r="F8048" s="222" t="s">
        <v>19981</v>
      </c>
      <c r="G8048" s="223" t="s">
        <v>47304</v>
      </c>
      <c r="H8048" s="224"/>
      <c r="I8048" s="345"/>
      <c r="J8048" s="39">
        <v>108170</v>
      </c>
      <c r="K8048" s="36" t="str">
        <f>CONCATENATE(Cover!$D$6,"fdd/view?i=",J8048)</f>
        <v>https://www.dgiwg.org/FAD/fdd/view?i=108170</v>
      </c>
      <c r="L8048" s="36" t="s">
        <v>47305</v>
      </c>
      <c r="M8048" s="186"/>
      <c r="N8048" s="186"/>
      <c r="O8048" s="172"/>
    </row>
    <row r="8049" spans="1:15" ht="25.5" x14ac:dyDescent="0.2">
      <c r="A8049" s="197" t="str">
        <f t="shared" si="125"/>
        <v>SsoCode_slopesDownward</v>
      </c>
      <c r="B8049" s="409"/>
      <c r="C8049" s="416"/>
      <c r="D8049" s="198" t="s">
        <v>47306</v>
      </c>
      <c r="E8049" s="198">
        <v>3</v>
      </c>
      <c r="F8049" s="199" t="s">
        <v>47307</v>
      </c>
      <c r="G8049" s="1" t="s">
        <v>47308</v>
      </c>
      <c r="H8049" s="200"/>
      <c r="I8049" s="346"/>
      <c r="J8049" s="39">
        <v>108172</v>
      </c>
      <c r="K8049" s="36" t="str">
        <f>CONCATENATE(Cover!$D$6,"fdd/view?i=",J8049)</f>
        <v>https://www.dgiwg.org/FAD/fdd/view?i=108172</v>
      </c>
      <c r="L8049" s="36" t="s">
        <v>47309</v>
      </c>
      <c r="M8049" s="186"/>
      <c r="N8049" s="186"/>
      <c r="O8049" s="172"/>
    </row>
    <row r="8050" spans="1:15" ht="25.5" x14ac:dyDescent="0.2">
      <c r="A8050" s="197" t="str">
        <f t="shared" si="125"/>
        <v>SsoCode_slopesUpward</v>
      </c>
      <c r="B8050" s="409"/>
      <c r="C8050" s="416"/>
      <c r="D8050" s="198" t="s">
        <v>47310</v>
      </c>
      <c r="E8050" s="198">
        <v>4</v>
      </c>
      <c r="F8050" s="199" t="s">
        <v>47311</v>
      </c>
      <c r="G8050" s="1" t="s">
        <v>47312</v>
      </c>
      <c r="H8050" s="200"/>
      <c r="I8050" s="346"/>
      <c r="J8050" s="39">
        <v>108173</v>
      </c>
      <c r="K8050" s="36" t="str">
        <f>CONCATENATE(Cover!$D$6,"fdd/view?i=",J8050)</f>
        <v>https://www.dgiwg.org/FAD/fdd/view?i=108173</v>
      </c>
      <c r="L8050" s="36" t="s">
        <v>47313</v>
      </c>
      <c r="M8050" s="186"/>
      <c r="N8050" s="186"/>
      <c r="O8050" s="172"/>
    </row>
    <row r="8051" spans="1:15" x14ac:dyDescent="0.2">
      <c r="A8051" s="203" t="str">
        <f t="shared" si="125"/>
        <v>SsoCode_vertical</v>
      </c>
      <c r="B8051" s="410"/>
      <c r="C8051" s="417"/>
      <c r="D8051" s="204" t="s">
        <v>20169</v>
      </c>
      <c r="E8051" s="204">
        <v>2</v>
      </c>
      <c r="F8051" s="205" t="s">
        <v>20170</v>
      </c>
      <c r="G8051" s="206" t="s">
        <v>47314</v>
      </c>
      <c r="H8051" s="207"/>
      <c r="I8051" s="347"/>
      <c r="J8051" s="39">
        <v>108171</v>
      </c>
      <c r="K8051" s="36" t="str">
        <f>CONCATENATE(Cover!$D$6,"fdd/view?i=",J8051)</f>
        <v>https://www.dgiwg.org/FAD/fdd/view?i=108171</v>
      </c>
      <c r="L8051" s="36" t="s">
        <v>47315</v>
      </c>
      <c r="M8051" s="186"/>
      <c r="N8051" s="186"/>
      <c r="O8051" s="172"/>
    </row>
    <row r="8052" spans="1:15" ht="25.5" x14ac:dyDescent="0.2">
      <c r="A8052" s="190" t="str">
        <f t="shared" si="125"/>
        <v>SucCode_rockShed</v>
      </c>
      <c r="B8052" s="414" t="str">
        <f>HYPERLINK("[#]Datatypes!A1382:L1382","SucCode")</f>
        <v>SucCode</v>
      </c>
      <c r="C8052" s="415" t="s">
        <v>16005</v>
      </c>
      <c r="D8052" s="221" t="s">
        <v>47320</v>
      </c>
      <c r="E8052" s="221">
        <v>2</v>
      </c>
      <c r="F8052" s="222" t="s">
        <v>47321</v>
      </c>
      <c r="G8052" s="223" t="s">
        <v>47322</v>
      </c>
      <c r="H8052" s="224"/>
      <c r="I8052" s="345"/>
      <c r="J8052" s="39">
        <v>108346</v>
      </c>
      <c r="K8052" s="36" t="str">
        <f>CONCATENATE(Cover!$D$6,"fdd/view?i=",J8052)</f>
        <v>https://www.dgiwg.org/FAD/fdd/view?i=108346</v>
      </c>
      <c r="L8052" s="36" t="s">
        <v>47323</v>
      </c>
      <c r="M8052" s="186"/>
      <c r="N8052" s="186"/>
      <c r="O8052" s="172"/>
    </row>
    <row r="8053" spans="1:15" ht="25.5" x14ac:dyDescent="0.2">
      <c r="A8053" s="197" t="str">
        <f t="shared" si="125"/>
        <v>SucCode_rockSnowShed</v>
      </c>
      <c r="B8053" s="409"/>
      <c r="C8053" s="416"/>
      <c r="D8053" s="198" t="s">
        <v>47316</v>
      </c>
      <c r="E8053" s="198">
        <v>4</v>
      </c>
      <c r="F8053" s="199" t="s">
        <v>47317</v>
      </c>
      <c r="G8053" s="1" t="s">
        <v>47318</v>
      </c>
      <c r="H8053" s="200"/>
      <c r="I8053" s="346"/>
      <c r="J8053" s="39">
        <v>108348</v>
      </c>
      <c r="K8053" s="36" t="str">
        <f>CONCATENATE(Cover!$D$6,"fdd/view?i=",J8053)</f>
        <v>https://www.dgiwg.org/FAD/fdd/view?i=108348</v>
      </c>
      <c r="L8053" s="36" t="s">
        <v>47319</v>
      </c>
      <c r="M8053" s="186"/>
      <c r="N8053" s="186"/>
      <c r="O8053" s="172"/>
    </row>
    <row r="8054" spans="1:15" ht="25.5" x14ac:dyDescent="0.2">
      <c r="A8054" s="197" t="str">
        <f t="shared" si="125"/>
        <v>SucCode_snowShed</v>
      </c>
      <c r="B8054" s="409"/>
      <c r="C8054" s="416"/>
      <c r="D8054" s="198" t="s">
        <v>47324</v>
      </c>
      <c r="E8054" s="198">
        <v>1</v>
      </c>
      <c r="F8054" s="199" t="s">
        <v>47325</v>
      </c>
      <c r="G8054" s="1" t="s">
        <v>47326</v>
      </c>
      <c r="H8054" s="200"/>
      <c r="I8054" s="346"/>
      <c r="J8054" s="39">
        <v>108345</v>
      </c>
      <c r="K8054" s="36" t="str">
        <f>CONCATENATE(Cover!$D$6,"fdd/view?i=",J8054)</f>
        <v>https://www.dgiwg.org/FAD/fdd/view?i=108345</v>
      </c>
      <c r="L8054" s="36" t="s">
        <v>47327</v>
      </c>
      <c r="M8054" s="186"/>
      <c r="N8054" s="186"/>
      <c r="O8054" s="172"/>
    </row>
    <row r="8055" spans="1:15" ht="25.5" x14ac:dyDescent="0.2">
      <c r="A8055" s="203" t="str">
        <f t="shared" si="125"/>
        <v>SucCode_utilityShed</v>
      </c>
      <c r="B8055" s="410"/>
      <c r="C8055" s="417"/>
      <c r="D8055" s="204" t="s">
        <v>47328</v>
      </c>
      <c r="E8055" s="204">
        <v>3</v>
      </c>
      <c r="F8055" s="205" t="s">
        <v>47329</v>
      </c>
      <c r="G8055" s="206" t="s">
        <v>47330</v>
      </c>
      <c r="H8055" s="207"/>
      <c r="I8055" s="347"/>
      <c r="J8055" s="39">
        <v>108347</v>
      </c>
      <c r="K8055" s="36" t="str">
        <f>CONCATENATE(Cover!$D$6,"fdd/view?i=",J8055)</f>
        <v>https://www.dgiwg.org/FAD/fdd/view?i=108347</v>
      </c>
      <c r="L8055" s="36" t="s">
        <v>47331</v>
      </c>
      <c r="M8055" s="186"/>
      <c r="N8055" s="186"/>
      <c r="O8055" s="172"/>
    </row>
    <row r="8056" spans="1:15" ht="38.25" x14ac:dyDescent="0.2">
      <c r="A8056" s="190" t="str">
        <f t="shared" si="125"/>
        <v>ShtCode_deliverableContainer</v>
      </c>
      <c r="B8056" s="414" t="str">
        <f>HYPERLINK("[#]Datatypes!A1384:L1384","ShtCode")</f>
        <v>ShtCode</v>
      </c>
      <c r="C8056" s="415" t="s">
        <v>16007</v>
      </c>
      <c r="D8056" s="221" t="s">
        <v>47332</v>
      </c>
      <c r="E8056" s="221">
        <v>1</v>
      </c>
      <c r="F8056" s="222" t="s">
        <v>47333</v>
      </c>
      <c r="G8056" s="223" t="s">
        <v>47334</v>
      </c>
      <c r="H8056" s="223" t="s">
        <v>47335</v>
      </c>
      <c r="I8056" s="345"/>
      <c r="J8056" s="39">
        <v>118032</v>
      </c>
      <c r="K8056" s="36" t="str">
        <f>CONCATENATE(Cover!$D$6,"fdd/view?i=",J8056)</f>
        <v>https://www.dgiwg.org/FAD/fdd/view?i=118032</v>
      </c>
      <c r="L8056" s="36" t="s">
        <v>47336</v>
      </c>
      <c r="M8056" s="186"/>
      <c r="N8056" s="186"/>
      <c r="O8056" s="172"/>
    </row>
    <row r="8057" spans="1:15" ht="25.5" x14ac:dyDescent="0.2">
      <c r="A8057" s="197" t="str">
        <f t="shared" si="125"/>
        <v>ShtCode_dumpster</v>
      </c>
      <c r="B8057" s="409"/>
      <c r="C8057" s="416"/>
      <c r="D8057" s="198" t="s">
        <v>47337</v>
      </c>
      <c r="E8057" s="198">
        <v>2</v>
      </c>
      <c r="F8057" s="199" t="s">
        <v>47338</v>
      </c>
      <c r="G8057" s="1" t="s">
        <v>47339</v>
      </c>
      <c r="H8057" s="200"/>
      <c r="I8057" s="346"/>
      <c r="J8057" s="39">
        <v>118033</v>
      </c>
      <c r="K8057" s="36" t="str">
        <f>CONCATENATE(Cover!$D$6,"fdd/view?i=",J8057)</f>
        <v>https://www.dgiwg.org/FAD/fdd/view?i=118033</v>
      </c>
      <c r="L8057" s="36" t="s">
        <v>47340</v>
      </c>
      <c r="M8057" s="186"/>
      <c r="N8057" s="186"/>
      <c r="O8057" s="172"/>
    </row>
    <row r="8058" spans="1:15" ht="51" x14ac:dyDescent="0.2">
      <c r="A8058" s="197" t="str">
        <f t="shared" si="125"/>
        <v>ShtCode_isoContainer</v>
      </c>
      <c r="B8058" s="409"/>
      <c r="C8058" s="416"/>
      <c r="D8058" s="198" t="s">
        <v>47341</v>
      </c>
      <c r="E8058" s="198">
        <v>3</v>
      </c>
      <c r="F8058" s="199" t="s">
        <v>47342</v>
      </c>
      <c r="G8058" s="1" t="s">
        <v>47343</v>
      </c>
      <c r="H8058" s="1" t="s">
        <v>47344</v>
      </c>
      <c r="I8058" s="346"/>
      <c r="J8058" s="39">
        <v>118034</v>
      </c>
      <c r="K8058" s="36" t="str">
        <f>CONCATENATE(Cover!$D$6,"fdd/view?i=",J8058)</f>
        <v>https://www.dgiwg.org/FAD/fdd/view?i=118034</v>
      </c>
      <c r="L8058" s="36" t="s">
        <v>47345</v>
      </c>
      <c r="M8058" s="186"/>
      <c r="N8058" s="186"/>
      <c r="O8058" s="172"/>
    </row>
    <row r="8059" spans="1:15" ht="25.5" x14ac:dyDescent="0.2">
      <c r="A8059" s="197" t="str">
        <f t="shared" si="125"/>
        <v>ShtCode_rollOffDumpster</v>
      </c>
      <c r="B8059" s="409"/>
      <c r="C8059" s="416"/>
      <c r="D8059" s="198" t="s">
        <v>47346</v>
      </c>
      <c r="E8059" s="198">
        <v>4</v>
      </c>
      <c r="F8059" s="199" t="s">
        <v>47347</v>
      </c>
      <c r="G8059" s="1" t="s">
        <v>47348</v>
      </c>
      <c r="H8059" s="1" t="s">
        <v>47349</v>
      </c>
      <c r="I8059" s="346"/>
      <c r="J8059" s="39">
        <v>118035</v>
      </c>
      <c r="K8059" s="36" t="str">
        <f>CONCATENATE(Cover!$D$6,"fdd/view?i=",J8059)</f>
        <v>https://www.dgiwg.org/FAD/fdd/view?i=118035</v>
      </c>
      <c r="L8059" s="36" t="s">
        <v>47350</v>
      </c>
      <c r="M8059" s="186"/>
      <c r="N8059" s="186"/>
      <c r="O8059" s="172"/>
    </row>
    <row r="8060" spans="1:15" ht="38.25" x14ac:dyDescent="0.2">
      <c r="A8060" s="203" t="str">
        <f t="shared" si="125"/>
        <v>ShtCode_tankContainer</v>
      </c>
      <c r="B8060" s="410"/>
      <c r="C8060" s="417"/>
      <c r="D8060" s="204" t="s">
        <v>47351</v>
      </c>
      <c r="E8060" s="204">
        <v>5</v>
      </c>
      <c r="F8060" s="205" t="s">
        <v>47352</v>
      </c>
      <c r="G8060" s="206" t="s">
        <v>47353</v>
      </c>
      <c r="H8060" s="206" t="s">
        <v>47354</v>
      </c>
      <c r="I8060" s="347"/>
      <c r="J8060" s="39">
        <v>118036</v>
      </c>
      <c r="K8060" s="36" t="str">
        <f>CONCATENATE(Cover!$D$6,"fdd/view?i=",J8060)</f>
        <v>https://www.dgiwg.org/FAD/fdd/view?i=118036</v>
      </c>
      <c r="L8060" s="36" t="s">
        <v>47355</v>
      </c>
      <c r="M8060" s="186"/>
      <c r="N8060" s="186"/>
      <c r="O8060" s="172"/>
    </row>
    <row r="8061" spans="1:15" ht="51" x14ac:dyDescent="0.2">
      <c r="A8061" s="190" t="str">
        <f t="shared" si="125"/>
        <v>PwcCode_breakwater</v>
      </c>
      <c r="B8061" s="414" t="str">
        <f>HYPERLINK("[#]Datatypes!A1386:L1386","PwcCode")</f>
        <v>PwcCode</v>
      </c>
      <c r="C8061" s="415" t="s">
        <v>16009</v>
      </c>
      <c r="D8061" s="221" t="s">
        <v>47356</v>
      </c>
      <c r="E8061" s="221">
        <v>4</v>
      </c>
      <c r="F8061" s="222" t="s">
        <v>2329</v>
      </c>
      <c r="G8061" s="223" t="s">
        <v>2331</v>
      </c>
      <c r="H8061" s="224"/>
      <c r="I8061" s="345"/>
      <c r="J8061" s="39">
        <v>108652</v>
      </c>
      <c r="K8061" s="36" t="str">
        <f>CONCATENATE(Cover!$D$6,"fdd/view?i=",J8061)</f>
        <v>https://www.dgiwg.org/FAD/fdd/view?i=108652</v>
      </c>
      <c r="L8061" s="36" t="s">
        <v>47357</v>
      </c>
      <c r="M8061" s="186"/>
      <c r="N8061" s="186"/>
      <c r="O8061" s="172"/>
    </row>
    <row r="8062" spans="1:15" ht="38.25" x14ac:dyDescent="0.2">
      <c r="A8062" s="197" t="str">
        <f t="shared" si="125"/>
        <v>PwcCode_groin</v>
      </c>
      <c r="B8062" s="409"/>
      <c r="C8062" s="416"/>
      <c r="D8062" s="198" t="s">
        <v>47358</v>
      </c>
      <c r="E8062" s="198">
        <v>5</v>
      </c>
      <c r="F8062" s="199" t="s">
        <v>3413</v>
      </c>
      <c r="G8062" s="1" t="s">
        <v>3415</v>
      </c>
      <c r="H8062" s="200"/>
      <c r="I8062" s="351" t="s">
        <v>47359</v>
      </c>
      <c r="J8062" s="39">
        <v>108653</v>
      </c>
      <c r="K8062" s="36" t="str">
        <f>CONCATENATE(Cover!$D$6,"fdd/view?i=",J8062)</f>
        <v>https://www.dgiwg.org/FAD/fdd/view?i=108653</v>
      </c>
      <c r="L8062" s="36" t="s">
        <v>47360</v>
      </c>
      <c r="M8062" s="186"/>
      <c r="N8062" s="186"/>
      <c r="O8062" s="172"/>
    </row>
    <row r="8063" spans="1:15" ht="25.5" x14ac:dyDescent="0.2">
      <c r="A8063" s="197" t="str">
        <f t="shared" si="125"/>
        <v>PwcCode_landingSteps</v>
      </c>
      <c r="B8063" s="409"/>
      <c r="C8063" s="416"/>
      <c r="D8063" s="198" t="s">
        <v>47361</v>
      </c>
      <c r="E8063" s="198">
        <v>12</v>
      </c>
      <c r="F8063" s="199" t="s">
        <v>3835</v>
      </c>
      <c r="G8063" s="1" t="s">
        <v>3836</v>
      </c>
      <c r="H8063" s="200"/>
      <c r="I8063" s="346"/>
      <c r="J8063" s="39">
        <v>108660</v>
      </c>
      <c r="K8063" s="36" t="str">
        <f>CONCATENATE(Cover!$D$6,"fdd/view?i=",J8063)</f>
        <v>https://www.dgiwg.org/FAD/fdd/view?i=108660</v>
      </c>
      <c r="L8063" s="36" t="s">
        <v>47362</v>
      </c>
      <c r="M8063" s="186"/>
      <c r="N8063" s="186"/>
      <c r="O8063" s="172"/>
    </row>
    <row r="8064" spans="1:15" ht="25.5" x14ac:dyDescent="0.2">
      <c r="A8064" s="197" t="str">
        <f t="shared" si="125"/>
        <v>PwcCode_logRamp</v>
      </c>
      <c r="B8064" s="409"/>
      <c r="C8064" s="416"/>
      <c r="D8064" s="198" t="s">
        <v>47363</v>
      </c>
      <c r="E8064" s="198">
        <v>17</v>
      </c>
      <c r="F8064" s="199" t="s">
        <v>3926</v>
      </c>
      <c r="G8064" s="1" t="s">
        <v>3927</v>
      </c>
      <c r="H8064" s="200"/>
      <c r="I8064" s="346"/>
      <c r="J8064" s="39">
        <v>108665</v>
      </c>
      <c r="K8064" s="36" t="str">
        <f>CONCATENATE(Cover!$D$6,"fdd/view?i=",J8064)</f>
        <v>https://www.dgiwg.org/FAD/fdd/view?i=108665</v>
      </c>
      <c r="L8064" s="36" t="s">
        <v>47364</v>
      </c>
      <c r="M8064" s="186"/>
      <c r="N8064" s="186"/>
      <c r="O8064" s="172"/>
    </row>
    <row r="8065" spans="1:15" ht="38.25" x14ac:dyDescent="0.2">
      <c r="A8065" s="197" t="str">
        <f t="shared" si="125"/>
        <v>PwcCode_marineRevetment</v>
      </c>
      <c r="B8065" s="409"/>
      <c r="C8065" s="416"/>
      <c r="D8065" s="198" t="s">
        <v>47388</v>
      </c>
      <c r="E8065" s="198">
        <v>10</v>
      </c>
      <c r="F8065" s="199" t="s">
        <v>47389</v>
      </c>
      <c r="G8065" s="1" t="s">
        <v>47390</v>
      </c>
      <c r="H8065" s="1" t="s">
        <v>47391</v>
      </c>
      <c r="I8065" s="346"/>
      <c r="J8065" s="39">
        <v>108658</v>
      </c>
      <c r="K8065" s="36" t="str">
        <f>CONCATENATE(Cover!$D$6,"fdd/view?i=",J8065)</f>
        <v>https://www.dgiwg.org/FAD/fdd/view?i=108658</v>
      </c>
      <c r="L8065" s="36" t="s">
        <v>47392</v>
      </c>
      <c r="M8065" s="186"/>
      <c r="N8065" s="186"/>
      <c r="O8065" s="172"/>
    </row>
    <row r="8066" spans="1:15" ht="25.5" x14ac:dyDescent="0.2">
      <c r="A8066" s="197" t="str">
        <f t="shared" ref="A8066:A8129" si="126">HYPERLINK(K8066,L8066)</f>
        <v>PwcCode_mole</v>
      </c>
      <c r="B8066" s="409"/>
      <c r="C8066" s="416"/>
      <c r="D8066" s="198" t="s">
        <v>393</v>
      </c>
      <c r="E8066" s="198">
        <v>6</v>
      </c>
      <c r="F8066" s="199" t="s">
        <v>394</v>
      </c>
      <c r="G8066" s="1" t="s">
        <v>4189</v>
      </c>
      <c r="H8066" s="1" t="s">
        <v>47365</v>
      </c>
      <c r="I8066" s="346"/>
      <c r="J8066" s="39">
        <v>108654</v>
      </c>
      <c r="K8066" s="36" t="str">
        <f>CONCATENATE(Cover!$D$6,"fdd/view?i=",J8066)</f>
        <v>https://www.dgiwg.org/FAD/fdd/view?i=108654</v>
      </c>
      <c r="L8066" s="36" t="s">
        <v>47366</v>
      </c>
      <c r="M8066" s="186"/>
      <c r="N8066" s="186"/>
      <c r="O8066" s="172"/>
    </row>
    <row r="8067" spans="1:15" ht="25.5" x14ac:dyDescent="0.2">
      <c r="A8067" s="197" t="str">
        <f t="shared" si="126"/>
        <v>PwcCode_openFaceWharf</v>
      </c>
      <c r="B8067" s="409"/>
      <c r="C8067" s="416"/>
      <c r="D8067" s="198" t="s">
        <v>47367</v>
      </c>
      <c r="E8067" s="198">
        <v>16</v>
      </c>
      <c r="F8067" s="199" t="s">
        <v>47368</v>
      </c>
      <c r="G8067" s="1" t="s">
        <v>47369</v>
      </c>
      <c r="H8067" s="200"/>
      <c r="I8067" s="346"/>
      <c r="J8067" s="39">
        <v>108664</v>
      </c>
      <c r="K8067" s="36" t="str">
        <f>CONCATENATE(Cover!$D$6,"fdd/view?i=",J8067)</f>
        <v>https://www.dgiwg.org/FAD/fdd/view?i=108664</v>
      </c>
      <c r="L8067" s="36" t="s">
        <v>47370</v>
      </c>
      <c r="M8067" s="186"/>
      <c r="N8067" s="186"/>
      <c r="O8067" s="172"/>
    </row>
    <row r="8068" spans="1:15" ht="25.5" x14ac:dyDescent="0.2">
      <c r="A8068" s="197" t="str">
        <f t="shared" si="126"/>
        <v>PwcCode_pier</v>
      </c>
      <c r="B8068" s="409"/>
      <c r="C8068" s="416"/>
      <c r="D8068" s="198" t="s">
        <v>24582</v>
      </c>
      <c r="E8068" s="198">
        <v>1</v>
      </c>
      <c r="F8068" s="199" t="s">
        <v>24583</v>
      </c>
      <c r="G8068" s="1" t="s">
        <v>47371</v>
      </c>
      <c r="H8068" s="1" t="s">
        <v>47372</v>
      </c>
      <c r="I8068" s="346"/>
      <c r="J8068" s="39">
        <v>101658</v>
      </c>
      <c r="K8068" s="36" t="str">
        <f>CONCATENATE(Cover!$D$6,"fdd/view?i=",J8068)</f>
        <v>https://www.dgiwg.org/FAD/fdd/view?i=101658</v>
      </c>
      <c r="L8068" s="36" t="s">
        <v>47373</v>
      </c>
      <c r="M8068" s="186"/>
      <c r="N8068" s="186"/>
      <c r="O8068" s="172"/>
    </row>
    <row r="8069" spans="1:15" ht="25.5" x14ac:dyDescent="0.2">
      <c r="A8069" s="197" t="str">
        <f t="shared" si="126"/>
        <v>PwcCode_promenade</v>
      </c>
      <c r="B8069" s="409"/>
      <c r="C8069" s="416"/>
      <c r="D8069" s="198" t="s">
        <v>47374</v>
      </c>
      <c r="E8069" s="198">
        <v>18</v>
      </c>
      <c r="F8069" s="199" t="s">
        <v>47375</v>
      </c>
      <c r="G8069" s="1" t="s">
        <v>47376</v>
      </c>
      <c r="H8069" s="1" t="s">
        <v>47377</v>
      </c>
      <c r="I8069" s="346"/>
      <c r="J8069" s="39">
        <v>112783</v>
      </c>
      <c r="K8069" s="36" t="str">
        <f>CONCATENATE(Cover!$D$6,"fdd/view?i=",J8069)</f>
        <v>https://www.dgiwg.org/FAD/fdd/view?i=112783</v>
      </c>
      <c r="L8069" s="36" t="s">
        <v>47378</v>
      </c>
      <c r="M8069" s="186"/>
      <c r="N8069" s="186"/>
      <c r="O8069" s="172"/>
    </row>
    <row r="8070" spans="1:15" ht="38.25" x14ac:dyDescent="0.2">
      <c r="A8070" s="197" t="str">
        <f t="shared" si="126"/>
        <v>PwcCode_quay</v>
      </c>
      <c r="B8070" s="409"/>
      <c r="C8070" s="416"/>
      <c r="D8070" s="198" t="s">
        <v>47379</v>
      </c>
      <c r="E8070" s="198">
        <v>3</v>
      </c>
      <c r="F8070" s="199" t="s">
        <v>47380</v>
      </c>
      <c r="G8070" s="1" t="s">
        <v>47381</v>
      </c>
      <c r="H8070" s="1" t="s">
        <v>47382</v>
      </c>
      <c r="I8070" s="346"/>
      <c r="J8070" s="39">
        <v>103552</v>
      </c>
      <c r="K8070" s="36" t="str">
        <f>CONCATENATE(Cover!$D$6,"fdd/view?i=",J8070)</f>
        <v>https://www.dgiwg.org/FAD/fdd/view?i=103552</v>
      </c>
      <c r="L8070" s="36" t="s">
        <v>47383</v>
      </c>
      <c r="M8070" s="186"/>
      <c r="N8070" s="186"/>
      <c r="O8070" s="172"/>
    </row>
    <row r="8071" spans="1:15" ht="38.25" x14ac:dyDescent="0.2">
      <c r="A8071" s="197" t="str">
        <f t="shared" si="126"/>
        <v>PwcCode_rampMarine</v>
      </c>
      <c r="B8071" s="409"/>
      <c r="C8071" s="416"/>
      <c r="D8071" s="198" t="s">
        <v>23175</v>
      </c>
      <c r="E8071" s="198">
        <v>13</v>
      </c>
      <c r="F8071" s="199" t="s">
        <v>23176</v>
      </c>
      <c r="G8071" s="1" t="s">
        <v>3996</v>
      </c>
      <c r="H8071" s="1" t="s">
        <v>3997</v>
      </c>
      <c r="I8071" s="346"/>
      <c r="J8071" s="39">
        <v>108661</v>
      </c>
      <c r="K8071" s="36" t="str">
        <f>CONCATENATE(Cover!$D$6,"fdd/view?i=",J8071)</f>
        <v>https://www.dgiwg.org/FAD/fdd/view?i=108661</v>
      </c>
      <c r="L8071" s="36" t="s">
        <v>47384</v>
      </c>
      <c r="M8071" s="186"/>
      <c r="N8071" s="186"/>
      <c r="O8071" s="172"/>
    </row>
    <row r="8072" spans="1:15" ht="38.25" x14ac:dyDescent="0.2">
      <c r="A8072" s="197" t="str">
        <f t="shared" si="126"/>
        <v>PwcCode_recreationalPier</v>
      </c>
      <c r="B8072" s="409"/>
      <c r="C8072" s="416"/>
      <c r="D8072" s="198" t="s">
        <v>47385</v>
      </c>
      <c r="E8072" s="198">
        <v>7</v>
      </c>
      <c r="F8072" s="199" t="s">
        <v>4682</v>
      </c>
      <c r="G8072" s="1" t="s">
        <v>47386</v>
      </c>
      <c r="H8072" s="1" t="s">
        <v>4684</v>
      </c>
      <c r="I8072" s="346"/>
      <c r="J8072" s="39">
        <v>108655</v>
      </c>
      <c r="K8072" s="36" t="str">
        <f>CONCATENATE(Cover!$D$6,"fdd/view?i=",J8072)</f>
        <v>https://www.dgiwg.org/FAD/fdd/view?i=108655</v>
      </c>
      <c r="L8072" s="36" t="s">
        <v>47387</v>
      </c>
      <c r="M8072" s="186"/>
      <c r="N8072" s="186"/>
      <c r="O8072" s="172"/>
    </row>
    <row r="8073" spans="1:15" ht="51" x14ac:dyDescent="0.2">
      <c r="A8073" s="197" t="str">
        <f t="shared" si="126"/>
        <v>PwcCode_ripRap</v>
      </c>
      <c r="B8073" s="409"/>
      <c r="C8073" s="416"/>
      <c r="D8073" s="198" t="s">
        <v>47393</v>
      </c>
      <c r="E8073" s="198">
        <v>9</v>
      </c>
      <c r="F8073" s="199" t="s">
        <v>4747</v>
      </c>
      <c r="G8073" s="1" t="s">
        <v>4749</v>
      </c>
      <c r="H8073" s="1" t="s">
        <v>47394</v>
      </c>
      <c r="I8073" s="346"/>
      <c r="J8073" s="39">
        <v>108657</v>
      </c>
      <c r="K8073" s="36" t="str">
        <f>CONCATENATE(Cover!$D$6,"fdd/view?i=",J8073)</f>
        <v>https://www.dgiwg.org/FAD/fdd/view?i=108657</v>
      </c>
      <c r="L8073" s="36" t="s">
        <v>47395</v>
      </c>
      <c r="M8073" s="186"/>
      <c r="N8073" s="186"/>
      <c r="O8073" s="172"/>
    </row>
    <row r="8074" spans="1:15" ht="25.5" x14ac:dyDescent="0.2">
      <c r="A8074" s="197" t="str">
        <f t="shared" si="126"/>
        <v>PwcCode_seawall</v>
      </c>
      <c r="B8074" s="409"/>
      <c r="C8074" s="416"/>
      <c r="D8074" s="198" t="s">
        <v>47396</v>
      </c>
      <c r="E8074" s="198">
        <v>11</v>
      </c>
      <c r="F8074" s="199" t="s">
        <v>4939</v>
      </c>
      <c r="G8074" s="1" t="s">
        <v>4941</v>
      </c>
      <c r="H8074" s="200"/>
      <c r="I8074" s="346"/>
      <c r="J8074" s="39">
        <v>108659</v>
      </c>
      <c r="K8074" s="36" t="str">
        <f>CONCATENATE(Cover!$D$6,"fdd/view?i=",J8074)</f>
        <v>https://www.dgiwg.org/FAD/fdd/view?i=108659</v>
      </c>
      <c r="L8074" s="36" t="s">
        <v>47397</v>
      </c>
      <c r="M8074" s="186"/>
      <c r="N8074" s="186"/>
      <c r="O8074" s="172"/>
    </row>
    <row r="8075" spans="1:15" ht="38.25" x14ac:dyDescent="0.2">
      <c r="A8075" s="197" t="str">
        <f t="shared" si="126"/>
        <v>PwcCode_slipway</v>
      </c>
      <c r="B8075" s="409"/>
      <c r="C8075" s="416"/>
      <c r="D8075" s="198" t="s">
        <v>47398</v>
      </c>
      <c r="E8075" s="198">
        <v>14</v>
      </c>
      <c r="F8075" s="199" t="s">
        <v>5086</v>
      </c>
      <c r="G8075" s="1" t="s">
        <v>5088</v>
      </c>
      <c r="H8075" s="1" t="s">
        <v>5089</v>
      </c>
      <c r="I8075" s="351" t="s">
        <v>5090</v>
      </c>
      <c r="J8075" s="39">
        <v>108662</v>
      </c>
      <c r="K8075" s="36" t="str">
        <f>CONCATENATE(Cover!$D$6,"fdd/view?i=",J8075)</f>
        <v>https://www.dgiwg.org/FAD/fdd/view?i=108662</v>
      </c>
      <c r="L8075" s="36" t="s">
        <v>47399</v>
      </c>
      <c r="M8075" s="186"/>
      <c r="N8075" s="186"/>
      <c r="O8075" s="172"/>
    </row>
    <row r="8076" spans="1:15" ht="76.5" x14ac:dyDescent="0.2">
      <c r="A8076" s="197" t="str">
        <f t="shared" si="126"/>
        <v>PwcCode_solidFaceWharf</v>
      </c>
      <c r="B8076" s="409"/>
      <c r="C8076" s="416"/>
      <c r="D8076" s="198" t="s">
        <v>47400</v>
      </c>
      <c r="E8076" s="198">
        <v>15</v>
      </c>
      <c r="F8076" s="199" t="s">
        <v>47401</v>
      </c>
      <c r="G8076" s="1" t="s">
        <v>47402</v>
      </c>
      <c r="H8076" s="1" t="s">
        <v>47403</v>
      </c>
      <c r="I8076" s="346"/>
      <c r="J8076" s="39">
        <v>108663</v>
      </c>
      <c r="K8076" s="36" t="str">
        <f>CONCATENATE(Cover!$D$6,"fdd/view?i=",J8076)</f>
        <v>https://www.dgiwg.org/FAD/fdd/view?i=108663</v>
      </c>
      <c r="L8076" s="36" t="s">
        <v>47404</v>
      </c>
      <c r="M8076" s="186"/>
      <c r="N8076" s="186"/>
      <c r="O8076" s="172"/>
    </row>
    <row r="8077" spans="1:15" ht="25.5" x14ac:dyDescent="0.2">
      <c r="A8077" s="197" t="str">
        <f t="shared" si="126"/>
        <v>PwcCode_trainingWall</v>
      </c>
      <c r="B8077" s="409"/>
      <c r="C8077" s="416"/>
      <c r="D8077" s="198" t="s">
        <v>47405</v>
      </c>
      <c r="E8077" s="198">
        <v>8</v>
      </c>
      <c r="F8077" s="199" t="s">
        <v>5555</v>
      </c>
      <c r="G8077" s="1" t="s">
        <v>5556</v>
      </c>
      <c r="H8077" s="200"/>
      <c r="I8077" s="346"/>
      <c r="J8077" s="39">
        <v>108656</v>
      </c>
      <c r="K8077" s="36" t="str">
        <f>CONCATENATE(Cover!$D$6,"fdd/view?i=",J8077)</f>
        <v>https://www.dgiwg.org/FAD/fdd/view?i=108656</v>
      </c>
      <c r="L8077" s="36" t="s">
        <v>47406</v>
      </c>
      <c r="M8077" s="186"/>
      <c r="N8077" s="186"/>
      <c r="O8077" s="172"/>
    </row>
    <row r="8078" spans="1:15" x14ac:dyDescent="0.2">
      <c r="A8078" s="203" t="str">
        <f t="shared" si="126"/>
        <v>PwcCode_wharf</v>
      </c>
      <c r="B8078" s="410"/>
      <c r="C8078" s="417"/>
      <c r="D8078" s="204" t="s">
        <v>47407</v>
      </c>
      <c r="E8078" s="204">
        <v>2</v>
      </c>
      <c r="F8078" s="205" t="s">
        <v>47408</v>
      </c>
      <c r="G8078" s="206" t="s">
        <v>47409</v>
      </c>
      <c r="H8078" s="207"/>
      <c r="I8078" s="347"/>
      <c r="J8078" s="39">
        <v>103143</v>
      </c>
      <c r="K8078" s="36" t="str">
        <f>CONCATENATE(Cover!$D$6,"fdd/view?i=",J8078)</f>
        <v>https://www.dgiwg.org/FAD/fdd/view?i=103143</v>
      </c>
      <c r="L8078" s="36" t="s">
        <v>47410</v>
      </c>
      <c r="M8078" s="186"/>
      <c r="N8078" s="186"/>
      <c r="O8078" s="172"/>
    </row>
    <row r="8079" spans="1:15" ht="25.5" x14ac:dyDescent="0.2">
      <c r="A8079" s="190" t="str">
        <f t="shared" si="126"/>
        <v>SlrCode_logRamp</v>
      </c>
      <c r="B8079" s="414" t="str">
        <f>HYPERLINK("[#]Datatypes!A1388:L1388","SlrCode")</f>
        <v>SlrCode</v>
      </c>
      <c r="C8079" s="415" t="s">
        <v>16011</v>
      </c>
      <c r="D8079" s="221" t="s">
        <v>47363</v>
      </c>
      <c r="E8079" s="221">
        <v>1</v>
      </c>
      <c r="F8079" s="222" t="s">
        <v>3926</v>
      </c>
      <c r="G8079" s="223" t="s">
        <v>3927</v>
      </c>
      <c r="H8079" s="224"/>
      <c r="I8079" s="345"/>
      <c r="J8079" s="39">
        <v>112526</v>
      </c>
      <c r="K8079" s="36" t="str">
        <f>CONCATENATE(Cover!$D$6,"fdd/view?i=",J8079)</f>
        <v>https://www.dgiwg.org/FAD/fdd/view?i=112526</v>
      </c>
      <c r="L8079" s="36" t="s">
        <v>47411</v>
      </c>
      <c r="M8079" s="186"/>
      <c r="N8079" s="186"/>
      <c r="O8079" s="172"/>
    </row>
    <row r="8080" spans="1:15" ht="38.25" x14ac:dyDescent="0.2">
      <c r="A8080" s="197" t="str">
        <f t="shared" si="126"/>
        <v>SlrCode_marineRamp</v>
      </c>
      <c r="B8080" s="409"/>
      <c r="C8080" s="416"/>
      <c r="D8080" s="198" t="s">
        <v>47412</v>
      </c>
      <c r="E8080" s="198">
        <v>2</v>
      </c>
      <c r="F8080" s="199" t="s">
        <v>3995</v>
      </c>
      <c r="G8080" s="1" t="s">
        <v>3996</v>
      </c>
      <c r="H8080" s="1" t="s">
        <v>3997</v>
      </c>
      <c r="I8080" s="346"/>
      <c r="J8080" s="39">
        <v>112528</v>
      </c>
      <c r="K8080" s="36" t="str">
        <f>CONCATENATE(Cover!$D$6,"fdd/view?i=",J8080)</f>
        <v>https://www.dgiwg.org/FAD/fdd/view?i=112528</v>
      </c>
      <c r="L8080" s="36" t="s">
        <v>47413</v>
      </c>
      <c r="M8080" s="186"/>
      <c r="N8080" s="186"/>
      <c r="O8080" s="172"/>
    </row>
    <row r="8081" spans="1:15" ht="38.25" x14ac:dyDescent="0.2">
      <c r="A8081" s="203" t="str">
        <f t="shared" si="126"/>
        <v>SlrCode_slipway</v>
      </c>
      <c r="B8081" s="410"/>
      <c r="C8081" s="417"/>
      <c r="D8081" s="204" t="s">
        <v>47398</v>
      </c>
      <c r="E8081" s="204">
        <v>3</v>
      </c>
      <c r="F8081" s="205" t="s">
        <v>5086</v>
      </c>
      <c r="G8081" s="206" t="s">
        <v>5088</v>
      </c>
      <c r="H8081" s="206" t="s">
        <v>5089</v>
      </c>
      <c r="I8081" s="347"/>
      <c r="J8081" s="39">
        <v>112530</v>
      </c>
      <c r="K8081" s="36" t="str">
        <f>CONCATENATE(Cover!$D$6,"fdd/view?i=",J8081)</f>
        <v>https://www.dgiwg.org/FAD/fdd/view?i=112530</v>
      </c>
      <c r="L8081" s="36" t="s">
        <v>47414</v>
      </c>
      <c r="M8081" s="186"/>
      <c r="N8081" s="186"/>
      <c r="O8081" s="172"/>
    </row>
    <row r="8082" spans="1:15" ht="25.5" x14ac:dyDescent="0.2">
      <c r="A8082" s="190" t="str">
        <f t="shared" si="126"/>
        <v>SltCode_buildingRubble</v>
      </c>
      <c r="B8082" s="414" t="str">
        <f>HYPERLINK("[#]Datatypes!A1390:L1390","SltCode")</f>
        <v>SltCode</v>
      </c>
      <c r="C8082" s="415" t="s">
        <v>16013</v>
      </c>
      <c r="D8082" s="221" t="s">
        <v>37144</v>
      </c>
      <c r="E8082" s="221">
        <v>11</v>
      </c>
      <c r="F8082" s="222" t="s">
        <v>37145</v>
      </c>
      <c r="G8082" s="223" t="s">
        <v>37146</v>
      </c>
      <c r="H8082" s="224"/>
      <c r="I8082" s="345"/>
      <c r="J8082" s="39">
        <v>107743</v>
      </c>
      <c r="K8082" s="36" t="str">
        <f>CONCATENATE(Cover!$D$6,"fdd/view?i=",J8082)</f>
        <v>https://www.dgiwg.org/FAD/fdd/view?i=107743</v>
      </c>
      <c r="L8082" s="36" t="s">
        <v>47415</v>
      </c>
      <c r="M8082" s="186"/>
      <c r="N8082" s="186"/>
      <c r="O8082" s="172"/>
    </row>
    <row r="8083" spans="1:15" ht="25.5" x14ac:dyDescent="0.2">
      <c r="A8083" s="197" t="str">
        <f t="shared" si="126"/>
        <v>SltCode_coral</v>
      </c>
      <c r="B8083" s="409"/>
      <c r="C8083" s="416"/>
      <c r="D8083" s="198" t="s">
        <v>19546</v>
      </c>
      <c r="E8083" s="198">
        <v>16</v>
      </c>
      <c r="F8083" s="199" t="s">
        <v>19547</v>
      </c>
      <c r="G8083" s="1" t="s">
        <v>47416</v>
      </c>
      <c r="H8083" s="200"/>
      <c r="I8083" s="346"/>
      <c r="J8083" s="39">
        <v>107747</v>
      </c>
      <c r="K8083" s="36" t="str">
        <f>CONCATENATE(Cover!$D$6,"fdd/view?i=",J8083)</f>
        <v>https://www.dgiwg.org/FAD/fdd/view?i=107747</v>
      </c>
      <c r="L8083" s="36" t="s">
        <v>47417</v>
      </c>
      <c r="M8083" s="186"/>
      <c r="N8083" s="186"/>
      <c r="O8083" s="172"/>
    </row>
    <row r="8084" spans="1:15" ht="38.25" x14ac:dyDescent="0.2">
      <c r="A8084" s="197" t="str">
        <f t="shared" si="126"/>
        <v>SltCode_erosionRubble</v>
      </c>
      <c r="B8084" s="409"/>
      <c r="C8084" s="416"/>
      <c r="D8084" s="198" t="s">
        <v>37148</v>
      </c>
      <c r="E8084" s="198">
        <v>12</v>
      </c>
      <c r="F8084" s="199" t="s">
        <v>37149</v>
      </c>
      <c r="G8084" s="1" t="s">
        <v>37150</v>
      </c>
      <c r="H8084" s="1" t="s">
        <v>37151</v>
      </c>
      <c r="I8084" s="346"/>
      <c r="J8084" s="39">
        <v>117751</v>
      </c>
      <c r="K8084" s="36" t="str">
        <f>CONCATENATE(Cover!$D$6,"fdd/view?i=",J8084)</f>
        <v>https://www.dgiwg.org/FAD/fdd/view?i=117751</v>
      </c>
      <c r="L8084" s="36" t="s">
        <v>47418</v>
      </c>
      <c r="M8084" s="186"/>
      <c r="N8084" s="186"/>
      <c r="O8084" s="172"/>
    </row>
    <row r="8085" spans="1:15" ht="38.25" x14ac:dyDescent="0.2">
      <c r="A8085" s="197" t="str">
        <f t="shared" si="126"/>
        <v>SltCode_ice</v>
      </c>
      <c r="B8085" s="409"/>
      <c r="C8085" s="416"/>
      <c r="D8085" s="198" t="s">
        <v>19560</v>
      </c>
      <c r="E8085" s="198">
        <v>17</v>
      </c>
      <c r="F8085" s="199" t="s">
        <v>19561</v>
      </c>
      <c r="G8085" s="1" t="s">
        <v>47419</v>
      </c>
      <c r="H8085" s="200"/>
      <c r="I8085" s="346"/>
      <c r="J8085" s="39">
        <v>107748</v>
      </c>
      <c r="K8085" s="36" t="str">
        <f>CONCATENATE(Cover!$D$6,"fdd/view?i=",J8085)</f>
        <v>https://www.dgiwg.org/FAD/fdd/view?i=107748</v>
      </c>
      <c r="L8085" s="36" t="s">
        <v>47420</v>
      </c>
      <c r="M8085" s="186"/>
      <c r="N8085" s="186"/>
      <c r="O8085" s="172"/>
    </row>
    <row r="8086" spans="1:15" ht="38.25" x14ac:dyDescent="0.2">
      <c r="A8086" s="197" t="str">
        <f t="shared" si="126"/>
        <v>SltCode_mangrove</v>
      </c>
      <c r="B8086" s="409"/>
      <c r="C8086" s="416"/>
      <c r="D8086" s="198" t="s">
        <v>26176</v>
      </c>
      <c r="E8086" s="198">
        <v>6</v>
      </c>
      <c r="F8086" s="199" t="s">
        <v>26177</v>
      </c>
      <c r="G8086" s="1" t="s">
        <v>37153</v>
      </c>
      <c r="H8086" s="200"/>
      <c r="I8086" s="346"/>
      <c r="J8086" s="39">
        <v>107740</v>
      </c>
      <c r="K8086" s="36" t="str">
        <f>CONCATENATE(Cover!$D$6,"fdd/view?i=",J8086)</f>
        <v>https://www.dgiwg.org/FAD/fdd/view?i=107740</v>
      </c>
      <c r="L8086" s="36" t="s">
        <v>47421</v>
      </c>
      <c r="M8086" s="186"/>
      <c r="N8086" s="186"/>
      <c r="O8086" s="172"/>
    </row>
    <row r="8087" spans="1:15" ht="38.25" x14ac:dyDescent="0.2">
      <c r="A8087" s="197" t="str">
        <f t="shared" si="126"/>
        <v>SltCode_marshy</v>
      </c>
      <c r="B8087" s="409"/>
      <c r="C8087" s="416"/>
      <c r="D8087" s="198" t="s">
        <v>26180</v>
      </c>
      <c r="E8087" s="198">
        <v>8</v>
      </c>
      <c r="F8087" s="199" t="s">
        <v>26181</v>
      </c>
      <c r="G8087" s="1" t="s">
        <v>37155</v>
      </c>
      <c r="H8087" s="1" t="s">
        <v>37156</v>
      </c>
      <c r="I8087" s="346"/>
      <c r="J8087" s="39">
        <v>107741</v>
      </c>
      <c r="K8087" s="36" t="str">
        <f>CONCATENATE(Cover!$D$6,"fdd/view?i=",J8087)</f>
        <v>https://www.dgiwg.org/FAD/fdd/view?i=107741</v>
      </c>
      <c r="L8087" s="36" t="s">
        <v>47422</v>
      </c>
      <c r="M8087" s="186"/>
      <c r="N8087" s="186"/>
      <c r="O8087" s="172"/>
    </row>
    <row r="8088" spans="1:15" x14ac:dyDescent="0.2">
      <c r="A8088" s="197" t="str">
        <f t="shared" si="126"/>
        <v>SltCode_mud</v>
      </c>
      <c r="B8088" s="409"/>
      <c r="C8088" s="416"/>
      <c r="D8088" s="198" t="s">
        <v>22351</v>
      </c>
      <c r="E8088" s="198">
        <v>18</v>
      </c>
      <c r="F8088" s="199" t="s">
        <v>22352</v>
      </c>
      <c r="G8088" s="1" t="s">
        <v>47423</v>
      </c>
      <c r="H8088" s="200"/>
      <c r="I8088" s="346"/>
      <c r="J8088" s="39">
        <v>119111</v>
      </c>
      <c r="K8088" s="36" t="str">
        <f>CONCATENATE(Cover!$D$6,"fdd/view?i=",J8088)</f>
        <v>https://www.dgiwg.org/FAD/fdd/view?i=119111</v>
      </c>
      <c r="L8088" s="36" t="s">
        <v>47424</v>
      </c>
      <c r="M8088" s="186"/>
      <c r="N8088" s="186"/>
      <c r="O8088" s="172"/>
    </row>
    <row r="8089" spans="1:15" ht="38.25" x14ac:dyDescent="0.2">
      <c r="A8089" s="197" t="str">
        <f t="shared" si="126"/>
        <v>SltCode_sandy</v>
      </c>
      <c r="B8089" s="409"/>
      <c r="C8089" s="416"/>
      <c r="D8089" s="198" t="s">
        <v>37158</v>
      </c>
      <c r="E8089" s="198">
        <v>13</v>
      </c>
      <c r="F8089" s="199" t="s">
        <v>37159</v>
      </c>
      <c r="G8089" s="1" t="s">
        <v>37160</v>
      </c>
      <c r="H8089" s="200"/>
      <c r="I8089" s="346"/>
      <c r="J8089" s="39">
        <v>107744</v>
      </c>
      <c r="K8089" s="36" t="str">
        <f>CONCATENATE(Cover!$D$6,"fdd/view?i=",J8089)</f>
        <v>https://www.dgiwg.org/FAD/fdd/view?i=107744</v>
      </c>
      <c r="L8089" s="36" t="s">
        <v>47425</v>
      </c>
      <c r="M8089" s="186"/>
      <c r="N8089" s="186"/>
      <c r="O8089" s="172"/>
    </row>
    <row r="8090" spans="1:15" ht="25.5" x14ac:dyDescent="0.2">
      <c r="A8090" s="197" t="str">
        <f t="shared" si="126"/>
        <v>SltCode_shingly</v>
      </c>
      <c r="B8090" s="409"/>
      <c r="C8090" s="416"/>
      <c r="D8090" s="198" t="s">
        <v>37162</v>
      </c>
      <c r="E8090" s="198">
        <v>14</v>
      </c>
      <c r="F8090" s="199" t="s">
        <v>37163</v>
      </c>
      <c r="G8090" s="1" t="s">
        <v>37164</v>
      </c>
      <c r="H8090" s="200"/>
      <c r="I8090" s="346"/>
      <c r="J8090" s="39">
        <v>107745</v>
      </c>
      <c r="K8090" s="36" t="str">
        <f>CONCATENATE(Cover!$D$6,"fdd/view?i=",J8090)</f>
        <v>https://www.dgiwg.org/FAD/fdd/view?i=107745</v>
      </c>
      <c r="L8090" s="36" t="s">
        <v>47426</v>
      </c>
      <c r="M8090" s="186"/>
      <c r="N8090" s="186"/>
      <c r="O8090" s="172"/>
    </row>
    <row r="8091" spans="1:15" ht="25.5" x14ac:dyDescent="0.2">
      <c r="A8091" s="203" t="str">
        <f t="shared" si="126"/>
        <v>SltCode_stony</v>
      </c>
      <c r="B8091" s="410"/>
      <c r="C8091" s="417"/>
      <c r="D8091" s="204" t="s">
        <v>37166</v>
      </c>
      <c r="E8091" s="204">
        <v>10</v>
      </c>
      <c r="F8091" s="205" t="s">
        <v>37167</v>
      </c>
      <c r="G8091" s="206" t="s">
        <v>37168</v>
      </c>
      <c r="H8091" s="207"/>
      <c r="I8091" s="347"/>
      <c r="J8091" s="39">
        <v>107742</v>
      </c>
      <c r="K8091" s="36" t="str">
        <f>CONCATENATE(Cover!$D$6,"fdd/view?i=",J8091)</f>
        <v>https://www.dgiwg.org/FAD/fdd/view?i=107742</v>
      </c>
      <c r="L8091" s="36" t="s">
        <v>47427</v>
      </c>
      <c r="M8091" s="186"/>
      <c r="N8091" s="186"/>
      <c r="O8091" s="172"/>
    </row>
    <row r="8092" spans="1:15" ht="25.5" x14ac:dyDescent="0.2">
      <c r="A8092" s="190" t="str">
        <f t="shared" si="126"/>
        <v>RshCode_hardShoulder</v>
      </c>
      <c r="B8092" s="414" t="str">
        <f>HYPERLINK("[#]Datatypes!A1392:L1392","RshCode")</f>
        <v>RshCode</v>
      </c>
      <c r="C8092" s="415" t="s">
        <v>16015</v>
      </c>
      <c r="D8092" s="221" t="s">
        <v>47428</v>
      </c>
      <c r="E8092" s="221">
        <v>2</v>
      </c>
      <c r="F8092" s="222" t="s">
        <v>47429</v>
      </c>
      <c r="G8092" s="223" t="s">
        <v>47430</v>
      </c>
      <c r="H8092" s="223" t="s">
        <v>47431</v>
      </c>
      <c r="I8092" s="345"/>
      <c r="J8092" s="39">
        <v>118346</v>
      </c>
      <c r="K8092" s="36" t="str">
        <f>CONCATENATE(Cover!$D$6,"fdd/view?i=",J8092)</f>
        <v>https://www.dgiwg.org/FAD/fdd/view?i=118346</v>
      </c>
      <c r="L8092" s="36" t="s">
        <v>47432</v>
      </c>
      <c r="M8092" s="186"/>
      <c r="N8092" s="186"/>
      <c r="O8092" s="172"/>
    </row>
    <row r="8093" spans="1:15" ht="25.5" x14ac:dyDescent="0.2">
      <c r="A8093" s="203" t="str">
        <f t="shared" si="126"/>
        <v>RshCode_softShoulder</v>
      </c>
      <c r="B8093" s="410"/>
      <c r="C8093" s="417"/>
      <c r="D8093" s="204" t="s">
        <v>47433</v>
      </c>
      <c r="E8093" s="204">
        <v>1</v>
      </c>
      <c r="F8093" s="205" t="s">
        <v>47434</v>
      </c>
      <c r="G8093" s="206" t="s">
        <v>47435</v>
      </c>
      <c r="H8093" s="206" t="s">
        <v>47436</v>
      </c>
      <c r="I8093" s="347"/>
      <c r="J8093" s="39">
        <v>118345</v>
      </c>
      <c r="K8093" s="36" t="str">
        <f>CONCATENATE(Cover!$D$6,"fdd/view?i=",J8093)</f>
        <v>https://www.dgiwg.org/FAD/fdd/view?i=118345</v>
      </c>
      <c r="L8093" s="36" t="s">
        <v>47437</v>
      </c>
      <c r="M8093" s="186"/>
      <c r="N8093" s="186"/>
      <c r="O8093" s="172"/>
    </row>
    <row r="8094" spans="1:15" ht="38.25" x14ac:dyDescent="0.2">
      <c r="A8094" s="190" t="str">
        <f t="shared" si="126"/>
        <v>SiaCode_billboard</v>
      </c>
      <c r="B8094" s="414" t="str">
        <f>HYPERLINK("[#]Datatypes!A1394:L1394","SiaCode")</f>
        <v>SiaCode</v>
      </c>
      <c r="C8094" s="415" t="s">
        <v>16017</v>
      </c>
      <c r="D8094" s="221" t="s">
        <v>47438</v>
      </c>
      <c r="E8094" s="221">
        <v>1</v>
      </c>
      <c r="F8094" s="222" t="s">
        <v>2262</v>
      </c>
      <c r="G8094" s="223" t="s">
        <v>2264</v>
      </c>
      <c r="H8094" s="223" t="s">
        <v>2265</v>
      </c>
      <c r="I8094" s="345"/>
      <c r="J8094" s="39">
        <v>107699</v>
      </c>
      <c r="K8094" s="36" t="str">
        <f>CONCATENATE(Cover!$D$6,"fdd/view?i=",J8094)</f>
        <v>https://www.dgiwg.org/FAD/fdd/view?i=107699</v>
      </c>
      <c r="L8094" s="36" t="s">
        <v>47439</v>
      </c>
      <c r="M8094" s="186"/>
      <c r="N8094" s="186"/>
      <c r="O8094" s="172"/>
    </row>
    <row r="8095" spans="1:15" ht="25.5" x14ac:dyDescent="0.2">
      <c r="A8095" s="197" t="str">
        <f t="shared" si="126"/>
        <v>SiaCode_noticeBoard</v>
      </c>
      <c r="B8095" s="409"/>
      <c r="C8095" s="416"/>
      <c r="D8095" s="198" t="s">
        <v>47440</v>
      </c>
      <c r="E8095" s="198">
        <v>4</v>
      </c>
      <c r="F8095" s="199" t="s">
        <v>2792</v>
      </c>
      <c r="G8095" s="1" t="s">
        <v>4046</v>
      </c>
      <c r="H8095" s="200"/>
      <c r="I8095" s="346"/>
      <c r="J8095" s="39">
        <v>112827</v>
      </c>
      <c r="K8095" s="36" t="str">
        <f>CONCATENATE(Cover!$D$6,"fdd/view?i=",J8095)</f>
        <v>https://www.dgiwg.org/FAD/fdd/view?i=112827</v>
      </c>
      <c r="L8095" s="36" t="s">
        <v>47441</v>
      </c>
      <c r="M8095" s="186"/>
      <c r="N8095" s="186"/>
      <c r="O8095" s="172"/>
    </row>
    <row r="8096" spans="1:15" ht="25.5" x14ac:dyDescent="0.2">
      <c r="A8096" s="197" t="str">
        <f t="shared" si="126"/>
        <v>SiaCode_outdoorTheatreScreen</v>
      </c>
      <c r="B8096" s="409"/>
      <c r="C8096" s="416"/>
      <c r="D8096" s="198" t="s">
        <v>47442</v>
      </c>
      <c r="E8096" s="198">
        <v>5</v>
      </c>
      <c r="F8096" s="199" t="s">
        <v>4383</v>
      </c>
      <c r="G8096" s="1" t="s">
        <v>4384</v>
      </c>
      <c r="H8096" s="200"/>
      <c r="I8096" s="346"/>
      <c r="J8096" s="39">
        <v>118085</v>
      </c>
      <c r="K8096" s="36" t="str">
        <f>CONCATENATE(Cover!$D$6,"fdd/view?i=",J8096)</f>
        <v>https://www.dgiwg.org/FAD/fdd/view?i=118085</v>
      </c>
      <c r="L8096" s="36" t="s">
        <v>47443</v>
      </c>
      <c r="M8096" s="186"/>
      <c r="N8096" s="186"/>
      <c r="O8096" s="172"/>
    </row>
    <row r="8097" spans="1:15" ht="25.5" x14ac:dyDescent="0.2">
      <c r="A8097" s="197" t="str">
        <f t="shared" si="126"/>
        <v>SiaCode_scoreboard</v>
      </c>
      <c r="B8097" s="409"/>
      <c r="C8097" s="416"/>
      <c r="D8097" s="198" t="s">
        <v>47444</v>
      </c>
      <c r="E8097" s="198">
        <v>2</v>
      </c>
      <c r="F8097" s="199" t="s">
        <v>4902</v>
      </c>
      <c r="G8097" s="1" t="s">
        <v>4904</v>
      </c>
      <c r="H8097" s="1" t="s">
        <v>47445</v>
      </c>
      <c r="I8097" s="346"/>
      <c r="J8097" s="39">
        <v>107700</v>
      </c>
      <c r="K8097" s="36" t="str">
        <f>CONCATENATE(Cover!$D$6,"fdd/view?i=",J8097)</f>
        <v>https://www.dgiwg.org/FAD/fdd/view?i=107700</v>
      </c>
      <c r="L8097" s="36" t="s">
        <v>47446</v>
      </c>
      <c r="M8097" s="186"/>
      <c r="N8097" s="186"/>
      <c r="O8097" s="172"/>
    </row>
    <row r="8098" spans="1:15" ht="25.5" x14ac:dyDescent="0.2">
      <c r="A8098" s="203" t="str">
        <f t="shared" si="126"/>
        <v>SiaCode_trafficSign</v>
      </c>
      <c r="B8098" s="410"/>
      <c r="C8098" s="417"/>
      <c r="D8098" s="204" t="s">
        <v>42446</v>
      </c>
      <c r="E8098" s="204">
        <v>3</v>
      </c>
      <c r="F8098" s="205" t="s">
        <v>42447</v>
      </c>
      <c r="G8098" s="206" t="s">
        <v>47447</v>
      </c>
      <c r="H8098" s="207"/>
      <c r="I8098" s="347"/>
      <c r="J8098" s="39">
        <v>107701</v>
      </c>
      <c r="K8098" s="36" t="str">
        <f>CONCATENATE(Cover!$D$6,"fdd/view?i=",J8098)</f>
        <v>https://www.dgiwg.org/FAD/fdd/view?i=107701</v>
      </c>
      <c r="L8098" s="36" t="s">
        <v>47448</v>
      </c>
      <c r="M8098" s="186"/>
      <c r="N8098" s="186"/>
      <c r="O8098" s="172"/>
    </row>
    <row r="8099" spans="1:15" ht="38.25" x14ac:dyDescent="0.2">
      <c r="A8099" s="190" t="str">
        <f t="shared" si="126"/>
        <v>SpuCode_entryExitPoint</v>
      </c>
      <c r="B8099" s="414" t="str">
        <f>HYPERLINK("[#]Datatypes!A1398:L1398","SpuCode")</f>
        <v>SpuCode</v>
      </c>
      <c r="C8099" s="415" t="s">
        <v>16022</v>
      </c>
      <c r="D8099" s="221" t="s">
        <v>47453</v>
      </c>
      <c r="E8099" s="221">
        <v>3</v>
      </c>
      <c r="F8099" s="222" t="s">
        <v>47454</v>
      </c>
      <c r="G8099" s="223" t="s">
        <v>47455</v>
      </c>
      <c r="H8099" s="224"/>
      <c r="I8099" s="345"/>
      <c r="J8099" s="39">
        <v>114762</v>
      </c>
      <c r="K8099" s="36" t="str">
        <f>CONCATENATE(Cover!$D$6,"fdd/view?i=",J8099)</f>
        <v>https://www.dgiwg.org/FAD/fdd/view?i=114762</v>
      </c>
      <c r="L8099" s="36" t="s">
        <v>47456</v>
      </c>
      <c r="M8099" s="186"/>
      <c r="N8099" s="186"/>
      <c r="O8099" s="13" t="s">
        <v>47452</v>
      </c>
    </row>
    <row r="8100" spans="1:15" ht="38.25" x14ac:dyDescent="0.2">
      <c r="A8100" s="197" t="str">
        <f t="shared" si="126"/>
        <v>SpuCode_entryPoint</v>
      </c>
      <c r="B8100" s="409"/>
      <c r="C8100" s="416"/>
      <c r="D8100" s="198" t="s">
        <v>20616</v>
      </c>
      <c r="E8100" s="198">
        <v>1</v>
      </c>
      <c r="F8100" s="199" t="s">
        <v>20617</v>
      </c>
      <c r="G8100" s="1" t="s">
        <v>47450</v>
      </c>
      <c r="H8100" s="200"/>
      <c r="I8100" s="346"/>
      <c r="J8100" s="39">
        <v>114761</v>
      </c>
      <c r="K8100" s="36" t="str">
        <f>CONCATENATE(Cover!$D$6,"fdd/view?i=",J8100)</f>
        <v>https://www.dgiwg.org/FAD/fdd/view?i=114761</v>
      </c>
      <c r="L8100" s="36" t="s">
        <v>47451</v>
      </c>
      <c r="M8100" s="186"/>
      <c r="N8100" s="186"/>
      <c r="O8100" s="13" t="s">
        <v>47449</v>
      </c>
    </row>
    <row r="8101" spans="1:15" ht="38.25" x14ac:dyDescent="0.2">
      <c r="A8101" s="203" t="str">
        <f t="shared" si="126"/>
        <v>SpuCode_exitPoint</v>
      </c>
      <c r="B8101" s="410"/>
      <c r="C8101" s="417"/>
      <c r="D8101" s="204" t="s">
        <v>20620</v>
      </c>
      <c r="E8101" s="204">
        <v>2</v>
      </c>
      <c r="F8101" s="205" t="s">
        <v>20621</v>
      </c>
      <c r="G8101" s="206" t="s">
        <v>47458</v>
      </c>
      <c r="H8101" s="207"/>
      <c r="I8101" s="347"/>
      <c r="J8101" s="39">
        <v>114763</v>
      </c>
      <c r="K8101" s="36" t="str">
        <f>CONCATENATE(Cover!$D$6,"fdd/view?i=",J8101)</f>
        <v>https://www.dgiwg.org/FAD/fdd/view?i=114763</v>
      </c>
      <c r="L8101" s="36" t="s">
        <v>47459</v>
      </c>
      <c r="M8101" s="186"/>
      <c r="N8101" s="186"/>
      <c r="O8101" s="13" t="s">
        <v>47457</v>
      </c>
    </row>
    <row r="8102" spans="1:15" ht="25.5" x14ac:dyDescent="0.2">
      <c r="A8102" s="190" t="str">
        <f t="shared" si="126"/>
        <v>SprCode_border</v>
      </c>
      <c r="B8102" s="414" t="str">
        <f>HYPERLINK("[#]Datatypes!A1400:L1400","SprCode")</f>
        <v>SprCode</v>
      </c>
      <c r="C8102" s="415" t="s">
        <v>16024</v>
      </c>
      <c r="D8102" s="221" t="s">
        <v>47460</v>
      </c>
      <c r="E8102" s="221">
        <v>1</v>
      </c>
      <c r="F8102" s="222" t="s">
        <v>47461</v>
      </c>
      <c r="G8102" s="223" t="s">
        <v>47462</v>
      </c>
      <c r="H8102" s="224"/>
      <c r="I8102" s="345"/>
      <c r="J8102" s="39">
        <v>114764</v>
      </c>
      <c r="K8102" s="36" t="str">
        <f>CONCATENATE(Cover!$D$6,"fdd/view?i=",J8102)</f>
        <v>https://www.dgiwg.org/FAD/fdd/view?i=114764</v>
      </c>
      <c r="L8102" s="36" t="s">
        <v>47463</v>
      </c>
      <c r="M8102" s="186"/>
      <c r="N8102" s="186"/>
      <c r="O8102" s="13" t="s">
        <v>20869</v>
      </c>
    </row>
    <row r="8103" spans="1:15" ht="25.5" x14ac:dyDescent="0.2">
      <c r="A8103" s="197" t="str">
        <f t="shared" si="126"/>
        <v>SprCode_in</v>
      </c>
      <c r="B8103" s="409"/>
      <c r="C8103" s="416"/>
      <c r="D8103" s="198" t="s">
        <v>47464</v>
      </c>
      <c r="E8103" s="198">
        <v>2</v>
      </c>
      <c r="F8103" s="199" t="s">
        <v>47465</v>
      </c>
      <c r="G8103" s="1" t="s">
        <v>47466</v>
      </c>
      <c r="H8103" s="200"/>
      <c r="I8103" s="346"/>
      <c r="J8103" s="39">
        <v>114765</v>
      </c>
      <c r="K8103" s="36" t="str">
        <f>CONCATENATE(Cover!$D$6,"fdd/view?i=",J8103)</f>
        <v>https://www.dgiwg.org/FAD/fdd/view?i=114765</v>
      </c>
      <c r="L8103" s="36" t="s">
        <v>47467</v>
      </c>
      <c r="M8103" s="186"/>
      <c r="N8103" s="186"/>
      <c r="O8103" s="13" t="s">
        <v>44561</v>
      </c>
    </row>
    <row r="8104" spans="1:15" ht="25.5" x14ac:dyDescent="0.2">
      <c r="A8104" s="203" t="str">
        <f t="shared" si="126"/>
        <v>SprCode_out</v>
      </c>
      <c r="B8104" s="410"/>
      <c r="C8104" s="417"/>
      <c r="D8104" s="204" t="s">
        <v>47468</v>
      </c>
      <c r="E8104" s="204">
        <v>3</v>
      </c>
      <c r="F8104" s="205" t="s">
        <v>47469</v>
      </c>
      <c r="G8104" s="206" t="s">
        <v>47470</v>
      </c>
      <c r="H8104" s="207"/>
      <c r="I8104" s="347"/>
      <c r="J8104" s="39">
        <v>114766</v>
      </c>
      <c r="K8104" s="36" t="str">
        <f>CONCATENATE(Cover!$D$6,"fdd/view?i=",J8104)</f>
        <v>https://www.dgiwg.org/FAD/fdd/view?i=114766</v>
      </c>
      <c r="L8104" s="36" t="s">
        <v>47471</v>
      </c>
      <c r="M8104" s="186"/>
      <c r="N8104" s="186"/>
      <c r="O8104" s="13" t="s">
        <v>44567</v>
      </c>
    </row>
    <row r="8105" spans="1:15" x14ac:dyDescent="0.2">
      <c r="A8105" s="190" t="str">
        <f t="shared" si="126"/>
        <v>SkmCode_aircraft</v>
      </c>
      <c r="B8105" s="414" t="str">
        <f>HYPERLINK("[#]Datatypes!A1402:L1402","SkmCode")</f>
        <v>SkmCode</v>
      </c>
      <c r="C8105" s="415" t="s">
        <v>16026</v>
      </c>
      <c r="D8105" s="221" t="s">
        <v>26569</v>
      </c>
      <c r="E8105" s="221">
        <v>1</v>
      </c>
      <c r="F8105" s="222" t="s">
        <v>26570</v>
      </c>
      <c r="G8105" s="223" t="s">
        <v>47472</v>
      </c>
      <c r="H8105" s="224"/>
      <c r="I8105" s="345"/>
      <c r="J8105" s="39">
        <v>118347</v>
      </c>
      <c r="K8105" s="36" t="str">
        <f>CONCATENATE(Cover!$D$6,"fdd/view?i=",J8105)</f>
        <v>https://www.dgiwg.org/FAD/fdd/view?i=118347</v>
      </c>
      <c r="L8105" s="36" t="s">
        <v>47473</v>
      </c>
      <c r="M8105" s="186"/>
      <c r="N8105" s="186"/>
      <c r="O8105" s="172"/>
    </row>
    <row r="8106" spans="1:15" ht="25.5" x14ac:dyDescent="0.2">
      <c r="A8106" s="197" t="str">
        <f t="shared" si="126"/>
        <v>SkmCode_explosiveMine</v>
      </c>
      <c r="B8106" s="409"/>
      <c r="C8106" s="416"/>
      <c r="D8106" s="198" t="s">
        <v>47474</v>
      </c>
      <c r="E8106" s="198">
        <v>2</v>
      </c>
      <c r="F8106" s="199" t="s">
        <v>47475</v>
      </c>
      <c r="G8106" s="1" t="s">
        <v>47476</v>
      </c>
      <c r="H8106" s="200"/>
      <c r="I8106" s="346"/>
      <c r="J8106" s="39">
        <v>118348</v>
      </c>
      <c r="K8106" s="36" t="str">
        <f>CONCATENATE(Cover!$D$6,"fdd/view?i=",J8106)</f>
        <v>https://www.dgiwg.org/FAD/fdd/view?i=118348</v>
      </c>
      <c r="L8106" s="36" t="s">
        <v>47477</v>
      </c>
      <c r="M8106" s="186"/>
      <c r="N8106" s="186"/>
      <c r="O8106" s="172"/>
    </row>
    <row r="8107" spans="1:15" ht="25.5" x14ac:dyDescent="0.2">
      <c r="A8107" s="197" t="str">
        <f t="shared" si="126"/>
        <v>SkmCode_marineCasualty</v>
      </c>
      <c r="B8107" s="409"/>
      <c r="C8107" s="416"/>
      <c r="D8107" s="198" t="s">
        <v>47478</v>
      </c>
      <c r="E8107" s="198">
        <v>3</v>
      </c>
      <c r="F8107" s="199" t="s">
        <v>47479</v>
      </c>
      <c r="G8107" s="1" t="s">
        <v>47480</v>
      </c>
      <c r="H8107" s="200"/>
      <c r="I8107" s="346"/>
      <c r="J8107" s="39">
        <v>118349</v>
      </c>
      <c r="K8107" s="36" t="str">
        <f>CONCATENATE(Cover!$D$6,"fdd/view?i=",J8107)</f>
        <v>https://www.dgiwg.org/FAD/fdd/view?i=118349</v>
      </c>
      <c r="L8107" s="36" t="s">
        <v>47481</v>
      </c>
      <c r="M8107" s="186"/>
      <c r="N8107" s="186"/>
      <c r="O8107" s="172"/>
    </row>
    <row r="8108" spans="1:15" ht="25.5" x14ac:dyDescent="0.2">
      <c r="A8108" s="197" t="str">
        <f t="shared" si="126"/>
        <v>SkmCode_ordnanceExerciseTarget</v>
      </c>
      <c r="B8108" s="409"/>
      <c r="C8108" s="416"/>
      <c r="D8108" s="198" t="s">
        <v>47482</v>
      </c>
      <c r="E8108" s="198">
        <v>4</v>
      </c>
      <c r="F8108" s="199" t="s">
        <v>47483</v>
      </c>
      <c r="G8108" s="1" t="s">
        <v>47484</v>
      </c>
      <c r="H8108" s="200"/>
      <c r="I8108" s="346"/>
      <c r="J8108" s="39">
        <v>118350</v>
      </c>
      <c r="K8108" s="36" t="str">
        <f>CONCATENATE(Cover!$D$6,"fdd/view?i=",J8108)</f>
        <v>https://www.dgiwg.org/FAD/fdd/view?i=118350</v>
      </c>
      <c r="L8108" s="36" t="s">
        <v>47485</v>
      </c>
      <c r="M8108" s="186"/>
      <c r="N8108" s="186"/>
      <c r="O8108" s="172"/>
    </row>
    <row r="8109" spans="1:15" ht="25.5" x14ac:dyDescent="0.2">
      <c r="A8109" s="197" t="str">
        <f t="shared" si="126"/>
        <v>SkmCode_scuttled</v>
      </c>
      <c r="B8109" s="409"/>
      <c r="C8109" s="416"/>
      <c r="D8109" s="198" t="s">
        <v>47486</v>
      </c>
      <c r="E8109" s="198">
        <v>5</v>
      </c>
      <c r="F8109" s="199" t="s">
        <v>47487</v>
      </c>
      <c r="G8109" s="1" t="s">
        <v>47488</v>
      </c>
      <c r="H8109" s="200"/>
      <c r="I8109" s="346"/>
      <c r="J8109" s="39">
        <v>118351</v>
      </c>
      <c r="K8109" s="36" t="str">
        <f>CONCATENATE(Cover!$D$6,"fdd/view?i=",J8109)</f>
        <v>https://www.dgiwg.org/FAD/fdd/view?i=118351</v>
      </c>
      <c r="L8109" s="36" t="s">
        <v>47489</v>
      </c>
      <c r="M8109" s="186"/>
      <c r="N8109" s="186"/>
      <c r="O8109" s="172"/>
    </row>
    <row r="8110" spans="1:15" ht="25.5" x14ac:dyDescent="0.2">
      <c r="A8110" s="197" t="str">
        <f t="shared" si="126"/>
        <v>SkmCode_shoreBasedGunfire</v>
      </c>
      <c r="B8110" s="409"/>
      <c r="C8110" s="416"/>
      <c r="D8110" s="198" t="s">
        <v>47490</v>
      </c>
      <c r="E8110" s="198">
        <v>6</v>
      </c>
      <c r="F8110" s="199" t="s">
        <v>47491</v>
      </c>
      <c r="G8110" s="1" t="s">
        <v>47492</v>
      </c>
      <c r="H8110" s="200"/>
      <c r="I8110" s="346"/>
      <c r="J8110" s="39">
        <v>118352</v>
      </c>
      <c r="K8110" s="36" t="str">
        <f>CONCATENATE(Cover!$D$6,"fdd/view?i=",J8110)</f>
        <v>https://www.dgiwg.org/FAD/fdd/view?i=118352</v>
      </c>
      <c r="L8110" s="36" t="s">
        <v>47493</v>
      </c>
      <c r="M8110" s="186"/>
      <c r="N8110" s="186"/>
      <c r="O8110" s="172"/>
    </row>
    <row r="8111" spans="1:15" ht="25.5" x14ac:dyDescent="0.2">
      <c r="A8111" s="197" t="str">
        <f t="shared" si="126"/>
        <v>SkmCode_submarine</v>
      </c>
      <c r="B8111" s="409"/>
      <c r="C8111" s="416"/>
      <c r="D8111" s="198" t="s">
        <v>47494</v>
      </c>
      <c r="E8111" s="198">
        <v>7</v>
      </c>
      <c r="F8111" s="199" t="s">
        <v>47495</v>
      </c>
      <c r="G8111" s="1" t="s">
        <v>47496</v>
      </c>
      <c r="H8111" s="200"/>
      <c r="I8111" s="346"/>
      <c r="J8111" s="39">
        <v>118353</v>
      </c>
      <c r="K8111" s="36" t="str">
        <f>CONCATENATE(Cover!$D$6,"fdd/view?i=",J8111)</f>
        <v>https://www.dgiwg.org/FAD/fdd/view?i=118353</v>
      </c>
      <c r="L8111" s="36" t="s">
        <v>47497</v>
      </c>
      <c r="M8111" s="186"/>
      <c r="N8111" s="186"/>
      <c r="O8111" s="172"/>
    </row>
    <row r="8112" spans="1:15" ht="25.5" x14ac:dyDescent="0.2">
      <c r="A8112" s="197" t="str">
        <f t="shared" si="126"/>
        <v>SkmCode_surfaceCraft</v>
      </c>
      <c r="B8112" s="409"/>
      <c r="C8112" s="416"/>
      <c r="D8112" s="198" t="s">
        <v>47498</v>
      </c>
      <c r="E8112" s="198">
        <v>8</v>
      </c>
      <c r="F8112" s="199" t="s">
        <v>47499</v>
      </c>
      <c r="G8112" s="1" t="s">
        <v>47500</v>
      </c>
      <c r="H8112" s="200"/>
      <c r="I8112" s="346"/>
      <c r="J8112" s="39">
        <v>118354</v>
      </c>
      <c r="K8112" s="36" t="str">
        <f>CONCATENATE(Cover!$D$6,"fdd/view?i=",J8112)</f>
        <v>https://www.dgiwg.org/FAD/fdd/view?i=118354</v>
      </c>
      <c r="L8112" s="36" t="s">
        <v>47501</v>
      </c>
      <c r="M8112" s="186"/>
      <c r="N8112" s="186"/>
      <c r="O8112" s="172"/>
    </row>
    <row r="8113" spans="1:15" ht="25.5" x14ac:dyDescent="0.2">
      <c r="A8113" s="203" t="str">
        <f t="shared" si="126"/>
        <v>SkmCode_undefinedEnemyAction</v>
      </c>
      <c r="B8113" s="410"/>
      <c r="C8113" s="417"/>
      <c r="D8113" s="204" t="s">
        <v>47502</v>
      </c>
      <c r="E8113" s="204">
        <v>9</v>
      </c>
      <c r="F8113" s="205" t="s">
        <v>47503</v>
      </c>
      <c r="G8113" s="206" t="s">
        <v>47504</v>
      </c>
      <c r="H8113" s="207"/>
      <c r="I8113" s="347"/>
      <c r="J8113" s="39">
        <v>118355</v>
      </c>
      <c r="K8113" s="36" t="str">
        <f>CONCATENATE(Cover!$D$6,"fdd/view?i=",J8113)</f>
        <v>https://www.dgiwg.org/FAD/fdd/view?i=118355</v>
      </c>
      <c r="L8113" s="36" t="s">
        <v>47505</v>
      </c>
      <c r="M8113" s="186"/>
      <c r="N8113" s="186"/>
      <c r="O8113" s="172"/>
    </row>
    <row r="8114" spans="1:15" ht="25.5" x14ac:dyDescent="0.2">
      <c r="A8114" s="190" t="str">
        <f t="shared" si="126"/>
        <v>MokCode_alluvialFan</v>
      </c>
      <c r="B8114" s="414" t="str">
        <f>HYPERLINK("[#]Datatypes!A1406:L1406","MokCode")</f>
        <v>MokCode</v>
      </c>
      <c r="C8114" s="415" t="s">
        <v>16030</v>
      </c>
      <c r="D8114" s="221" t="s">
        <v>47506</v>
      </c>
      <c r="E8114" s="221">
        <v>29</v>
      </c>
      <c r="F8114" s="222" t="s">
        <v>2037</v>
      </c>
      <c r="G8114" s="223" t="s">
        <v>47507</v>
      </c>
      <c r="H8114" s="223" t="s">
        <v>47508</v>
      </c>
      <c r="I8114" s="345"/>
      <c r="J8114" s="39">
        <v>113552</v>
      </c>
      <c r="K8114" s="36" t="str">
        <f>CONCATENATE(Cover!$D$6,"fdd/view?i=",J8114)</f>
        <v>https://www.dgiwg.org/FAD/fdd/view?i=113552</v>
      </c>
      <c r="L8114" s="36" t="s">
        <v>47509</v>
      </c>
      <c r="M8114" s="186"/>
      <c r="N8114" s="186"/>
      <c r="O8114" s="172"/>
    </row>
    <row r="8115" spans="1:15" x14ac:dyDescent="0.2">
      <c r="A8115" s="197" t="str">
        <f t="shared" si="126"/>
        <v>MokCode_arch</v>
      </c>
      <c r="B8115" s="409"/>
      <c r="C8115" s="416"/>
      <c r="D8115" s="198" t="s">
        <v>24494</v>
      </c>
      <c r="E8115" s="198">
        <v>1</v>
      </c>
      <c r="F8115" s="199" t="s">
        <v>24495</v>
      </c>
      <c r="G8115" s="1" t="s">
        <v>47510</v>
      </c>
      <c r="H8115" s="200"/>
      <c r="I8115" s="346"/>
      <c r="J8115" s="39">
        <v>113524</v>
      </c>
      <c r="K8115" s="36" t="str">
        <f>CONCATENATE(Cover!$D$6,"fdd/view?i=",J8115)</f>
        <v>https://www.dgiwg.org/FAD/fdd/view?i=113524</v>
      </c>
      <c r="L8115" s="36" t="s">
        <v>47511</v>
      </c>
      <c r="M8115" s="186"/>
      <c r="N8115" s="186"/>
      <c r="O8115" s="172"/>
    </row>
    <row r="8116" spans="1:15" ht="25.5" x14ac:dyDescent="0.2">
      <c r="A8116" s="197" t="str">
        <f t="shared" si="126"/>
        <v>MokCode_atoll</v>
      </c>
      <c r="B8116" s="409"/>
      <c r="C8116" s="416"/>
      <c r="D8116" s="198" t="s">
        <v>47512</v>
      </c>
      <c r="E8116" s="198">
        <v>2</v>
      </c>
      <c r="F8116" s="199" t="s">
        <v>47513</v>
      </c>
      <c r="G8116" s="1" t="s">
        <v>47514</v>
      </c>
      <c r="H8116" s="200"/>
      <c r="I8116" s="346"/>
      <c r="J8116" s="39">
        <v>113525</v>
      </c>
      <c r="K8116" s="36" t="str">
        <f>CONCATENATE(Cover!$D$6,"fdd/view?i=",J8116)</f>
        <v>https://www.dgiwg.org/FAD/fdd/view?i=113525</v>
      </c>
      <c r="L8116" s="36" t="s">
        <v>47515</v>
      </c>
      <c r="M8116" s="186"/>
      <c r="N8116" s="186"/>
      <c r="O8116" s="172"/>
    </row>
    <row r="8117" spans="1:15" ht="51" x14ac:dyDescent="0.2">
      <c r="A8117" s="197" t="str">
        <f t="shared" si="126"/>
        <v>MokCode_beachRidge</v>
      </c>
      <c r="B8117" s="409"/>
      <c r="C8117" s="416"/>
      <c r="D8117" s="198" t="s">
        <v>47516</v>
      </c>
      <c r="E8117" s="198">
        <v>31</v>
      </c>
      <c r="F8117" s="199" t="s">
        <v>47517</v>
      </c>
      <c r="G8117" s="1" t="s">
        <v>47518</v>
      </c>
      <c r="H8117" s="1" t="s">
        <v>47519</v>
      </c>
      <c r="I8117" s="346"/>
      <c r="J8117" s="39">
        <v>113554</v>
      </c>
      <c r="K8117" s="36" t="str">
        <f>CONCATENATE(Cover!$D$6,"fdd/view?i=",J8117)</f>
        <v>https://www.dgiwg.org/FAD/fdd/view?i=113554</v>
      </c>
      <c r="L8117" s="36" t="s">
        <v>47520</v>
      </c>
      <c r="M8117" s="186"/>
      <c r="N8117" s="186"/>
      <c r="O8117" s="172"/>
    </row>
    <row r="8118" spans="1:15" ht="25.5" x14ac:dyDescent="0.2">
      <c r="A8118" s="197" t="str">
        <f t="shared" si="126"/>
        <v>MokCode_bench</v>
      </c>
      <c r="B8118" s="409"/>
      <c r="C8118" s="416"/>
      <c r="D8118" s="198" t="s">
        <v>47521</v>
      </c>
      <c r="E8118" s="198">
        <v>5</v>
      </c>
      <c r="F8118" s="199" t="s">
        <v>2243</v>
      </c>
      <c r="G8118" s="1" t="s">
        <v>47522</v>
      </c>
      <c r="H8118" s="200"/>
      <c r="I8118" s="346"/>
      <c r="J8118" s="39">
        <v>113528</v>
      </c>
      <c r="K8118" s="36" t="str">
        <f>CONCATENATE(Cover!$D$6,"fdd/view?i=",J8118)</f>
        <v>https://www.dgiwg.org/FAD/fdd/view?i=113528</v>
      </c>
      <c r="L8118" s="36" t="s">
        <v>47523</v>
      </c>
      <c r="M8118" s="186"/>
      <c r="N8118" s="186"/>
      <c r="O8118" s="172"/>
    </row>
    <row r="8119" spans="1:15" ht="25.5" x14ac:dyDescent="0.2">
      <c r="A8119" s="197" t="str">
        <f t="shared" si="126"/>
        <v>MokCode_blowhole</v>
      </c>
      <c r="B8119" s="409"/>
      <c r="C8119" s="416"/>
      <c r="D8119" s="198" t="s">
        <v>47524</v>
      </c>
      <c r="E8119" s="198">
        <v>3</v>
      </c>
      <c r="F8119" s="199" t="s">
        <v>47525</v>
      </c>
      <c r="G8119" s="1" t="s">
        <v>47526</v>
      </c>
      <c r="H8119" s="200"/>
      <c r="I8119" s="346"/>
      <c r="J8119" s="39">
        <v>113526</v>
      </c>
      <c r="K8119" s="36" t="str">
        <f>CONCATENATE(Cover!$D$6,"fdd/view?i=",J8119)</f>
        <v>https://www.dgiwg.org/FAD/fdd/view?i=113526</v>
      </c>
      <c r="L8119" s="36" t="s">
        <v>47527</v>
      </c>
      <c r="M8119" s="186"/>
      <c r="N8119" s="186"/>
      <c r="O8119" s="172"/>
    </row>
    <row r="8120" spans="1:15" ht="25.5" x14ac:dyDescent="0.2">
      <c r="A8120" s="197" t="str">
        <f t="shared" si="126"/>
        <v>MokCode_blowOutArea</v>
      </c>
      <c r="B8120" s="409"/>
      <c r="C8120" s="416"/>
      <c r="D8120" s="198" t="s">
        <v>47528</v>
      </c>
      <c r="E8120" s="198">
        <v>4</v>
      </c>
      <c r="F8120" s="199" t="s">
        <v>47529</v>
      </c>
      <c r="G8120" s="1" t="s">
        <v>47530</v>
      </c>
      <c r="H8120" s="200"/>
      <c r="I8120" s="346"/>
      <c r="J8120" s="39">
        <v>113527</v>
      </c>
      <c r="K8120" s="36" t="str">
        <f>CONCATENATE(Cover!$D$6,"fdd/view?i=",J8120)</f>
        <v>https://www.dgiwg.org/FAD/fdd/view?i=113527</v>
      </c>
      <c r="L8120" s="36" t="s">
        <v>47531</v>
      </c>
      <c r="M8120" s="186"/>
      <c r="N8120" s="186"/>
      <c r="O8120" s="172"/>
    </row>
    <row r="8121" spans="1:15" x14ac:dyDescent="0.2">
      <c r="A8121" s="197" t="str">
        <f t="shared" si="126"/>
        <v>MokCode_butte</v>
      </c>
      <c r="B8121" s="409"/>
      <c r="C8121" s="416"/>
      <c r="D8121" s="198" t="s">
        <v>47532</v>
      </c>
      <c r="E8121" s="198">
        <v>6</v>
      </c>
      <c r="F8121" s="199" t="s">
        <v>47533</v>
      </c>
      <c r="G8121" s="1" t="s">
        <v>47534</v>
      </c>
      <c r="H8121" s="200"/>
      <c r="I8121" s="346"/>
      <c r="J8121" s="39">
        <v>113529</v>
      </c>
      <c r="K8121" s="36" t="str">
        <f>CONCATENATE(Cover!$D$6,"fdd/view?i=",J8121)</f>
        <v>https://www.dgiwg.org/FAD/fdd/view?i=113529</v>
      </c>
      <c r="L8121" s="36" t="s">
        <v>47535</v>
      </c>
      <c r="M8121" s="186"/>
      <c r="N8121" s="186"/>
      <c r="O8121" s="172"/>
    </row>
    <row r="8122" spans="1:15" ht="25.5" x14ac:dyDescent="0.2">
      <c r="A8122" s="197" t="str">
        <f t="shared" si="126"/>
        <v>MokCode_cape</v>
      </c>
      <c r="B8122" s="409"/>
      <c r="C8122" s="416"/>
      <c r="D8122" s="198" t="s">
        <v>47536</v>
      </c>
      <c r="E8122" s="198">
        <v>7</v>
      </c>
      <c r="F8122" s="199" t="s">
        <v>47537</v>
      </c>
      <c r="G8122" s="1" t="s">
        <v>47538</v>
      </c>
      <c r="H8122" s="200"/>
      <c r="I8122" s="346"/>
      <c r="J8122" s="39">
        <v>113530</v>
      </c>
      <c r="K8122" s="36" t="str">
        <f>CONCATENATE(Cover!$D$6,"fdd/view?i=",J8122)</f>
        <v>https://www.dgiwg.org/FAD/fdd/view?i=113530</v>
      </c>
      <c r="L8122" s="36" t="s">
        <v>47539</v>
      </c>
      <c r="M8122" s="186"/>
      <c r="N8122" s="186"/>
      <c r="O8122" s="172"/>
    </row>
    <row r="8123" spans="1:15" ht="25.5" x14ac:dyDescent="0.2">
      <c r="A8123" s="197" t="str">
        <f t="shared" si="126"/>
        <v>MokCode_cirque</v>
      </c>
      <c r="B8123" s="409"/>
      <c r="C8123" s="416"/>
      <c r="D8123" s="198" t="s">
        <v>47540</v>
      </c>
      <c r="E8123" s="198">
        <v>10</v>
      </c>
      <c r="F8123" s="199" t="s">
        <v>47541</v>
      </c>
      <c r="G8123" s="1" t="s">
        <v>47542</v>
      </c>
      <c r="H8123" s="200"/>
      <c r="I8123" s="346"/>
      <c r="J8123" s="39">
        <v>113533</v>
      </c>
      <c r="K8123" s="36" t="str">
        <f>CONCATENATE(Cover!$D$6,"fdd/view?i=",J8123)</f>
        <v>https://www.dgiwg.org/FAD/fdd/view?i=113533</v>
      </c>
      <c r="L8123" s="36" t="s">
        <v>47543</v>
      </c>
      <c r="M8123" s="186"/>
      <c r="N8123" s="186"/>
      <c r="O8123" s="172"/>
    </row>
    <row r="8124" spans="1:15" x14ac:dyDescent="0.2">
      <c r="A8124" s="197" t="str">
        <f t="shared" si="126"/>
        <v>MokCode_cleft</v>
      </c>
      <c r="B8124" s="409"/>
      <c r="C8124" s="416"/>
      <c r="D8124" s="198" t="s">
        <v>47544</v>
      </c>
      <c r="E8124" s="198">
        <v>8</v>
      </c>
      <c r="F8124" s="199" t="s">
        <v>47545</v>
      </c>
      <c r="G8124" s="1" t="s">
        <v>47546</v>
      </c>
      <c r="H8124" s="200"/>
      <c r="I8124" s="346"/>
      <c r="J8124" s="39">
        <v>113531</v>
      </c>
      <c r="K8124" s="36" t="str">
        <f>CONCATENATE(Cover!$D$6,"fdd/view?i=",J8124)</f>
        <v>https://www.dgiwg.org/FAD/fdd/view?i=113531</v>
      </c>
      <c r="L8124" s="36" t="s">
        <v>47547</v>
      </c>
      <c r="M8124" s="186"/>
      <c r="N8124" s="186"/>
      <c r="O8124" s="172"/>
    </row>
    <row r="8125" spans="1:15" x14ac:dyDescent="0.2">
      <c r="A8125" s="197" t="str">
        <f t="shared" si="126"/>
        <v>MokCode_corridor</v>
      </c>
      <c r="B8125" s="409"/>
      <c r="C8125" s="416"/>
      <c r="D8125" s="198" t="s">
        <v>47548</v>
      </c>
      <c r="E8125" s="198">
        <v>9</v>
      </c>
      <c r="F8125" s="199" t="s">
        <v>47549</v>
      </c>
      <c r="G8125" s="1" t="s">
        <v>47550</v>
      </c>
      <c r="H8125" s="200"/>
      <c r="I8125" s="346"/>
      <c r="J8125" s="39">
        <v>113532</v>
      </c>
      <c r="K8125" s="36" t="str">
        <f>CONCATENATE(Cover!$D$6,"fdd/view?i=",J8125)</f>
        <v>https://www.dgiwg.org/FAD/fdd/view?i=113532</v>
      </c>
      <c r="L8125" s="36" t="s">
        <v>47551</v>
      </c>
      <c r="M8125" s="186"/>
      <c r="N8125" s="186"/>
      <c r="O8125" s="172"/>
    </row>
    <row r="8126" spans="1:15" x14ac:dyDescent="0.2">
      <c r="A8126" s="197" t="str">
        <f t="shared" si="126"/>
        <v>MokCode_cuesta</v>
      </c>
      <c r="B8126" s="409"/>
      <c r="C8126" s="416"/>
      <c r="D8126" s="198" t="s">
        <v>47552</v>
      </c>
      <c r="E8126" s="198">
        <v>11</v>
      </c>
      <c r="F8126" s="199" t="s">
        <v>47553</v>
      </c>
      <c r="G8126" s="1" t="s">
        <v>47554</v>
      </c>
      <c r="H8126" s="200"/>
      <c r="I8126" s="346"/>
      <c r="J8126" s="39">
        <v>113534</v>
      </c>
      <c r="K8126" s="36" t="str">
        <f>CONCATENATE(Cover!$D$6,"fdd/view?i=",J8126)</f>
        <v>https://www.dgiwg.org/FAD/fdd/view?i=113534</v>
      </c>
      <c r="L8126" s="36" t="s">
        <v>47555</v>
      </c>
      <c r="M8126" s="186"/>
      <c r="N8126" s="186"/>
      <c r="O8126" s="172"/>
    </row>
    <row r="8127" spans="1:15" x14ac:dyDescent="0.2">
      <c r="A8127" s="197" t="str">
        <f t="shared" si="126"/>
        <v>MokCode_dome</v>
      </c>
      <c r="B8127" s="409"/>
      <c r="C8127" s="416"/>
      <c r="D8127" s="198" t="s">
        <v>24619</v>
      </c>
      <c r="E8127" s="198">
        <v>12</v>
      </c>
      <c r="F8127" s="199" t="s">
        <v>24620</v>
      </c>
      <c r="G8127" s="1" t="s">
        <v>47556</v>
      </c>
      <c r="H8127" s="200"/>
      <c r="I8127" s="346"/>
      <c r="J8127" s="39">
        <v>113535</v>
      </c>
      <c r="K8127" s="36" t="str">
        <f>CONCATENATE(Cover!$D$6,"fdd/view?i=",J8127)</f>
        <v>https://www.dgiwg.org/FAD/fdd/view?i=113535</v>
      </c>
      <c r="L8127" s="36" t="s">
        <v>47557</v>
      </c>
      <c r="M8127" s="186"/>
      <c r="N8127" s="186"/>
      <c r="O8127" s="172"/>
    </row>
    <row r="8128" spans="1:15" x14ac:dyDescent="0.2">
      <c r="A8128" s="197" t="str">
        <f t="shared" si="126"/>
        <v>MokCode_gap</v>
      </c>
      <c r="B8128" s="409"/>
      <c r="C8128" s="416"/>
      <c r="D8128" s="198" t="s">
        <v>47558</v>
      </c>
      <c r="E8128" s="198">
        <v>13</v>
      </c>
      <c r="F8128" s="199" t="s">
        <v>47559</v>
      </c>
      <c r="G8128" s="1" t="s">
        <v>47560</v>
      </c>
      <c r="H8128" s="200"/>
      <c r="I8128" s="346"/>
      <c r="J8128" s="39">
        <v>113536</v>
      </c>
      <c r="K8128" s="36" t="str">
        <f>CONCATENATE(Cover!$D$6,"fdd/view?i=",J8128)</f>
        <v>https://www.dgiwg.org/FAD/fdd/view?i=113536</v>
      </c>
      <c r="L8128" s="36" t="s">
        <v>47561</v>
      </c>
      <c r="M8128" s="186"/>
      <c r="N8128" s="186"/>
      <c r="O8128" s="172"/>
    </row>
    <row r="8129" spans="1:15" ht="25.5" x14ac:dyDescent="0.2">
      <c r="A8129" s="197" t="str">
        <f t="shared" si="126"/>
        <v>MokCode_hangingValley</v>
      </c>
      <c r="B8129" s="409"/>
      <c r="C8129" s="416"/>
      <c r="D8129" s="198" t="s">
        <v>47562</v>
      </c>
      <c r="E8129" s="198">
        <v>28</v>
      </c>
      <c r="F8129" s="199" t="s">
        <v>47563</v>
      </c>
      <c r="G8129" s="1" t="s">
        <v>47564</v>
      </c>
      <c r="H8129" s="1" t="s">
        <v>47565</v>
      </c>
      <c r="I8129" s="346"/>
      <c r="J8129" s="39">
        <v>113551</v>
      </c>
      <c r="K8129" s="36" t="str">
        <f>CONCATENATE(Cover!$D$6,"fdd/view?i=",J8129)</f>
        <v>https://www.dgiwg.org/FAD/fdd/view?i=113551</v>
      </c>
      <c r="L8129" s="36" t="s">
        <v>47566</v>
      </c>
      <c r="M8129" s="186"/>
      <c r="N8129" s="186"/>
      <c r="O8129" s="172"/>
    </row>
    <row r="8130" spans="1:15" ht="25.5" x14ac:dyDescent="0.2">
      <c r="A8130" s="197" t="str">
        <f t="shared" ref="A8130:A8193" si="127">HYPERLINK(K8130,L8130)</f>
        <v>MokCode_interduneTrough</v>
      </c>
      <c r="B8130" s="409"/>
      <c r="C8130" s="416"/>
      <c r="D8130" s="198" t="s">
        <v>47567</v>
      </c>
      <c r="E8130" s="198">
        <v>26</v>
      </c>
      <c r="F8130" s="199" t="s">
        <v>47568</v>
      </c>
      <c r="G8130" s="1" t="s">
        <v>47569</v>
      </c>
      <c r="H8130" s="200"/>
      <c r="I8130" s="346"/>
      <c r="J8130" s="39">
        <v>113549</v>
      </c>
      <c r="K8130" s="36" t="str">
        <f>CONCATENATE(Cover!$D$6,"fdd/view?i=",J8130)</f>
        <v>https://www.dgiwg.org/FAD/fdd/view?i=113549</v>
      </c>
      <c r="L8130" s="36" t="s">
        <v>47570</v>
      </c>
      <c r="M8130" s="186"/>
      <c r="N8130" s="186"/>
      <c r="O8130" s="172"/>
    </row>
    <row r="8131" spans="1:15" x14ac:dyDescent="0.2">
      <c r="A8131" s="197" t="str">
        <f t="shared" si="127"/>
        <v>MokCode_interfluve</v>
      </c>
      <c r="B8131" s="409"/>
      <c r="C8131" s="416"/>
      <c r="D8131" s="198" t="s">
        <v>47571</v>
      </c>
      <c r="E8131" s="198">
        <v>14</v>
      </c>
      <c r="F8131" s="199" t="s">
        <v>47572</v>
      </c>
      <c r="G8131" s="1" t="s">
        <v>47573</v>
      </c>
      <c r="H8131" s="200"/>
      <c r="I8131" s="346"/>
      <c r="J8131" s="39">
        <v>113537</v>
      </c>
      <c r="K8131" s="36" t="str">
        <f>CONCATENATE(Cover!$D$6,"fdd/view?i=",J8131)</f>
        <v>https://www.dgiwg.org/FAD/fdd/view?i=113537</v>
      </c>
      <c r="L8131" s="36" t="s">
        <v>47574</v>
      </c>
      <c r="M8131" s="186"/>
      <c r="N8131" s="186"/>
      <c r="O8131" s="172"/>
    </row>
    <row r="8132" spans="1:15" ht="25.5" x14ac:dyDescent="0.2">
      <c r="A8132" s="197" t="str">
        <f t="shared" si="127"/>
        <v>MokCode_isthmus</v>
      </c>
      <c r="B8132" s="409"/>
      <c r="C8132" s="416"/>
      <c r="D8132" s="198" t="s">
        <v>47575</v>
      </c>
      <c r="E8132" s="198">
        <v>15</v>
      </c>
      <c r="F8132" s="199" t="s">
        <v>47576</v>
      </c>
      <c r="G8132" s="1" t="s">
        <v>47577</v>
      </c>
      <c r="H8132" s="200"/>
      <c r="I8132" s="346"/>
      <c r="J8132" s="39">
        <v>113538</v>
      </c>
      <c r="K8132" s="36" t="str">
        <f>CONCATENATE(Cover!$D$6,"fdd/view?i=",J8132)</f>
        <v>https://www.dgiwg.org/FAD/fdd/view?i=113538</v>
      </c>
      <c r="L8132" s="36" t="s">
        <v>47578</v>
      </c>
      <c r="M8132" s="186"/>
      <c r="N8132" s="186"/>
      <c r="O8132" s="172"/>
    </row>
    <row r="8133" spans="1:15" ht="25.5" x14ac:dyDescent="0.2">
      <c r="A8133" s="197" t="str">
        <f t="shared" si="127"/>
        <v>MokCode_mangroveIsland</v>
      </c>
      <c r="B8133" s="409"/>
      <c r="C8133" s="416"/>
      <c r="D8133" s="198" t="s">
        <v>47579</v>
      </c>
      <c r="E8133" s="198">
        <v>30</v>
      </c>
      <c r="F8133" s="199" t="s">
        <v>47580</v>
      </c>
      <c r="G8133" s="1" t="s">
        <v>47581</v>
      </c>
      <c r="H8133" s="200"/>
      <c r="I8133" s="346"/>
      <c r="J8133" s="39">
        <v>113553</v>
      </c>
      <c r="K8133" s="36" t="str">
        <f>CONCATENATE(Cover!$D$6,"fdd/view?i=",J8133)</f>
        <v>https://www.dgiwg.org/FAD/fdd/view?i=113553</v>
      </c>
      <c r="L8133" s="36" t="s">
        <v>47582</v>
      </c>
      <c r="M8133" s="186"/>
      <c r="N8133" s="186"/>
      <c r="O8133" s="172"/>
    </row>
    <row r="8134" spans="1:15" ht="25.5" x14ac:dyDescent="0.2">
      <c r="A8134" s="197" t="str">
        <f t="shared" si="127"/>
        <v>MokCode_meanderNeck</v>
      </c>
      <c r="B8134" s="409"/>
      <c r="C8134" s="416"/>
      <c r="D8134" s="198" t="s">
        <v>47583</v>
      </c>
      <c r="E8134" s="198">
        <v>16</v>
      </c>
      <c r="F8134" s="199" t="s">
        <v>47584</v>
      </c>
      <c r="G8134" s="1" t="s">
        <v>47585</v>
      </c>
      <c r="H8134" s="200"/>
      <c r="I8134" s="346"/>
      <c r="J8134" s="39">
        <v>113539</v>
      </c>
      <c r="K8134" s="36" t="str">
        <f>CONCATENATE(Cover!$D$6,"fdd/view?i=",J8134)</f>
        <v>https://www.dgiwg.org/FAD/fdd/view?i=113539</v>
      </c>
      <c r="L8134" s="36" t="s">
        <v>47586</v>
      </c>
      <c r="M8134" s="186"/>
      <c r="N8134" s="186"/>
      <c r="O8134" s="172"/>
    </row>
    <row r="8135" spans="1:15" ht="25.5" x14ac:dyDescent="0.2">
      <c r="A8135" s="197" t="str">
        <f t="shared" si="127"/>
        <v>MokCode_mesa</v>
      </c>
      <c r="B8135" s="409"/>
      <c r="C8135" s="416"/>
      <c r="D8135" s="198" t="s">
        <v>47587</v>
      </c>
      <c r="E8135" s="198">
        <v>32</v>
      </c>
      <c r="F8135" s="199" t="s">
        <v>47588</v>
      </c>
      <c r="G8135" s="1" t="s">
        <v>47589</v>
      </c>
      <c r="H8135" s="200"/>
      <c r="I8135" s="346"/>
      <c r="J8135" s="39">
        <v>113555</v>
      </c>
      <c r="K8135" s="36" t="str">
        <f>CONCATENATE(Cover!$D$6,"fdd/view?i=",J8135)</f>
        <v>https://www.dgiwg.org/FAD/fdd/view?i=113555</v>
      </c>
      <c r="L8135" s="36" t="s">
        <v>47590</v>
      </c>
      <c r="M8135" s="186"/>
      <c r="N8135" s="186"/>
      <c r="O8135" s="172"/>
    </row>
    <row r="8136" spans="1:15" ht="25.5" x14ac:dyDescent="0.2">
      <c r="A8136" s="197" t="str">
        <f t="shared" si="127"/>
        <v>MokCode_point</v>
      </c>
      <c r="B8136" s="409"/>
      <c r="C8136" s="416"/>
      <c r="D8136" s="198" t="s">
        <v>38726</v>
      </c>
      <c r="E8136" s="198">
        <v>19</v>
      </c>
      <c r="F8136" s="199" t="s">
        <v>38727</v>
      </c>
      <c r="G8136" s="1" t="s">
        <v>47591</v>
      </c>
      <c r="H8136" s="200"/>
      <c r="I8136" s="346"/>
      <c r="J8136" s="39">
        <v>113542</v>
      </c>
      <c r="K8136" s="36" t="str">
        <f>CONCATENATE(Cover!$D$6,"fdd/view?i=",J8136)</f>
        <v>https://www.dgiwg.org/FAD/fdd/view?i=113542</v>
      </c>
      <c r="L8136" s="36" t="s">
        <v>47592</v>
      </c>
      <c r="M8136" s="186"/>
      <c r="N8136" s="186"/>
      <c r="O8136" s="172"/>
    </row>
    <row r="8137" spans="1:15" x14ac:dyDescent="0.2">
      <c r="A8137" s="197" t="str">
        <f t="shared" si="127"/>
        <v>MokCode_polder</v>
      </c>
      <c r="B8137" s="409"/>
      <c r="C8137" s="416"/>
      <c r="D8137" s="198" t="s">
        <v>47593</v>
      </c>
      <c r="E8137" s="198">
        <v>17</v>
      </c>
      <c r="F8137" s="199" t="s">
        <v>47594</v>
      </c>
      <c r="G8137" s="1" t="s">
        <v>47595</v>
      </c>
      <c r="H8137" s="200"/>
      <c r="I8137" s="346"/>
      <c r="J8137" s="39">
        <v>113540</v>
      </c>
      <c r="K8137" s="36" t="str">
        <f>CONCATENATE(Cover!$D$6,"fdd/view?i=",J8137)</f>
        <v>https://www.dgiwg.org/FAD/fdd/view?i=113540</v>
      </c>
      <c r="L8137" s="36" t="s">
        <v>47596</v>
      </c>
      <c r="M8137" s="186"/>
      <c r="N8137" s="186"/>
      <c r="O8137" s="172"/>
    </row>
    <row r="8138" spans="1:15" x14ac:dyDescent="0.2">
      <c r="A8138" s="197" t="str">
        <f t="shared" si="127"/>
        <v>MokCode_promontory</v>
      </c>
      <c r="B8138" s="409"/>
      <c r="C8138" s="416"/>
      <c r="D8138" s="198" t="s">
        <v>47597</v>
      </c>
      <c r="E8138" s="198">
        <v>18</v>
      </c>
      <c r="F8138" s="199" t="s">
        <v>47598</v>
      </c>
      <c r="G8138" s="1" t="s">
        <v>47599</v>
      </c>
      <c r="H8138" s="200"/>
      <c r="I8138" s="346"/>
      <c r="J8138" s="39">
        <v>113541</v>
      </c>
      <c r="K8138" s="36" t="str">
        <f>CONCATENATE(Cover!$D$6,"fdd/view?i=",J8138)</f>
        <v>https://www.dgiwg.org/FAD/fdd/view?i=113541</v>
      </c>
      <c r="L8138" s="36" t="s">
        <v>47600</v>
      </c>
      <c r="M8138" s="186"/>
      <c r="N8138" s="186"/>
      <c r="O8138" s="172"/>
    </row>
    <row r="8139" spans="1:15" x14ac:dyDescent="0.2">
      <c r="A8139" s="197" t="str">
        <f t="shared" si="127"/>
        <v>MokCode_saddle</v>
      </c>
      <c r="B8139" s="409"/>
      <c r="C8139" s="416"/>
      <c r="D8139" s="198" t="s">
        <v>47601</v>
      </c>
      <c r="E8139" s="198">
        <v>20</v>
      </c>
      <c r="F8139" s="199" t="s">
        <v>47602</v>
      </c>
      <c r="G8139" s="1" t="s">
        <v>47603</v>
      </c>
      <c r="H8139" s="200"/>
      <c r="I8139" s="346"/>
      <c r="J8139" s="39">
        <v>113543</v>
      </c>
      <c r="K8139" s="36" t="str">
        <f>CONCATENATE(Cover!$D$6,"fdd/view?i=",J8139)</f>
        <v>https://www.dgiwg.org/FAD/fdd/view?i=113543</v>
      </c>
      <c r="L8139" s="36" t="s">
        <v>47604</v>
      </c>
      <c r="M8139" s="186"/>
      <c r="N8139" s="186"/>
      <c r="O8139" s="172"/>
    </row>
    <row r="8140" spans="1:15" x14ac:dyDescent="0.2">
      <c r="A8140" s="197" t="str">
        <f t="shared" si="127"/>
        <v>MokCode_sinkhole</v>
      </c>
      <c r="B8140" s="409"/>
      <c r="C8140" s="416"/>
      <c r="D8140" s="198" t="s">
        <v>47605</v>
      </c>
      <c r="E8140" s="198">
        <v>21</v>
      </c>
      <c r="F8140" s="199" t="s">
        <v>47606</v>
      </c>
      <c r="G8140" s="1" t="s">
        <v>47607</v>
      </c>
      <c r="H8140" s="200"/>
      <c r="I8140" s="346"/>
      <c r="J8140" s="39">
        <v>113544</v>
      </c>
      <c r="K8140" s="36" t="str">
        <f>CONCATENATE(Cover!$D$6,"fdd/view?i=",J8140)</f>
        <v>https://www.dgiwg.org/FAD/fdd/view?i=113544</v>
      </c>
      <c r="L8140" s="36" t="s">
        <v>47608</v>
      </c>
      <c r="M8140" s="186"/>
      <c r="N8140" s="186"/>
      <c r="O8140" s="172"/>
    </row>
    <row r="8141" spans="1:15" x14ac:dyDescent="0.2">
      <c r="A8141" s="197" t="str">
        <f t="shared" si="127"/>
        <v>MokCode_slope</v>
      </c>
      <c r="B8141" s="409"/>
      <c r="C8141" s="416"/>
      <c r="D8141" s="198" t="s">
        <v>27899</v>
      </c>
      <c r="E8141" s="198">
        <v>22</v>
      </c>
      <c r="F8141" s="199" t="s">
        <v>27900</v>
      </c>
      <c r="G8141" s="1" t="s">
        <v>47609</v>
      </c>
      <c r="H8141" s="200"/>
      <c r="I8141" s="346"/>
      <c r="J8141" s="39">
        <v>113545</v>
      </c>
      <c r="K8141" s="36" t="str">
        <f>CONCATENATE(Cover!$D$6,"fdd/view?i=",J8141)</f>
        <v>https://www.dgiwg.org/FAD/fdd/view?i=113545</v>
      </c>
      <c r="L8141" s="36" t="s">
        <v>47610</v>
      </c>
      <c r="M8141" s="186"/>
      <c r="N8141" s="186"/>
      <c r="O8141" s="172"/>
    </row>
    <row r="8142" spans="1:15" ht="25.5" x14ac:dyDescent="0.2">
      <c r="A8142" s="197" t="str">
        <f t="shared" si="127"/>
        <v>MokCode_spit</v>
      </c>
      <c r="B8142" s="409"/>
      <c r="C8142" s="416"/>
      <c r="D8142" s="198" t="s">
        <v>47611</v>
      </c>
      <c r="E8142" s="198">
        <v>23</v>
      </c>
      <c r="F8142" s="199" t="s">
        <v>47612</v>
      </c>
      <c r="G8142" s="1" t="s">
        <v>47613</v>
      </c>
      <c r="H8142" s="200"/>
      <c r="I8142" s="346"/>
      <c r="J8142" s="39">
        <v>113546</v>
      </c>
      <c r="K8142" s="36" t="str">
        <f>CONCATENATE(Cover!$D$6,"fdd/view?i=",J8142)</f>
        <v>https://www.dgiwg.org/FAD/fdd/view?i=113546</v>
      </c>
      <c r="L8142" s="36" t="s">
        <v>47614</v>
      </c>
      <c r="M8142" s="186"/>
      <c r="N8142" s="186"/>
      <c r="O8142" s="172"/>
    </row>
    <row r="8143" spans="1:15" ht="25.5" x14ac:dyDescent="0.2">
      <c r="A8143" s="197" t="str">
        <f t="shared" si="127"/>
        <v>MokCode_spur</v>
      </c>
      <c r="B8143" s="409"/>
      <c r="C8143" s="416"/>
      <c r="D8143" s="198" t="s">
        <v>24443</v>
      </c>
      <c r="E8143" s="198">
        <v>24</v>
      </c>
      <c r="F8143" s="199" t="s">
        <v>24444</v>
      </c>
      <c r="G8143" s="1" t="s">
        <v>47615</v>
      </c>
      <c r="H8143" s="200"/>
      <c r="I8143" s="346"/>
      <c r="J8143" s="39">
        <v>113547</v>
      </c>
      <c r="K8143" s="36" t="str">
        <f>CONCATENATE(Cover!$D$6,"fdd/view?i=",J8143)</f>
        <v>https://www.dgiwg.org/FAD/fdd/view?i=113547</v>
      </c>
      <c r="L8143" s="36" t="s">
        <v>47616</v>
      </c>
      <c r="M8143" s="186"/>
      <c r="N8143" s="186"/>
      <c r="O8143" s="172"/>
    </row>
    <row r="8144" spans="1:15" ht="25.5" x14ac:dyDescent="0.2">
      <c r="A8144" s="197" t="str">
        <f t="shared" si="127"/>
        <v>MokCode_talusSlope</v>
      </c>
      <c r="B8144" s="409"/>
      <c r="C8144" s="416"/>
      <c r="D8144" s="198" t="s">
        <v>47617</v>
      </c>
      <c r="E8144" s="198">
        <v>25</v>
      </c>
      <c r="F8144" s="199" t="s">
        <v>47618</v>
      </c>
      <c r="G8144" s="1" t="s">
        <v>47619</v>
      </c>
      <c r="H8144" s="200"/>
      <c r="I8144" s="346"/>
      <c r="J8144" s="39">
        <v>113548</v>
      </c>
      <c r="K8144" s="36" t="str">
        <f>CONCATENATE(Cover!$D$6,"fdd/view?i=",J8144)</f>
        <v>https://www.dgiwg.org/FAD/fdd/view?i=113548</v>
      </c>
      <c r="L8144" s="36" t="s">
        <v>47620</v>
      </c>
      <c r="M8144" s="186"/>
      <c r="N8144" s="186"/>
      <c r="O8144" s="172"/>
    </row>
    <row r="8145" spans="1:15" ht="25.5" x14ac:dyDescent="0.2">
      <c r="A8145" s="203" t="str">
        <f t="shared" si="127"/>
        <v>MokCode_terrace</v>
      </c>
      <c r="B8145" s="410"/>
      <c r="C8145" s="417"/>
      <c r="D8145" s="204" t="s">
        <v>35988</v>
      </c>
      <c r="E8145" s="204">
        <v>27</v>
      </c>
      <c r="F8145" s="205" t="s">
        <v>35989</v>
      </c>
      <c r="G8145" s="206" t="s">
        <v>47621</v>
      </c>
      <c r="H8145" s="207"/>
      <c r="I8145" s="347"/>
      <c r="J8145" s="39">
        <v>113550</v>
      </c>
      <c r="K8145" s="36" t="str">
        <f>CONCATENATE(Cover!$D$6,"fdd/view?i=",J8145)</f>
        <v>https://www.dgiwg.org/FAD/fdd/view?i=113550</v>
      </c>
      <c r="L8145" s="36" t="s">
        <v>47622</v>
      </c>
      <c r="M8145" s="186"/>
      <c r="N8145" s="186"/>
      <c r="O8145" s="172"/>
    </row>
    <row r="8146" spans="1:15" ht="25.5" x14ac:dyDescent="0.2">
      <c r="A8146" s="190" t="str">
        <f t="shared" si="127"/>
        <v>SoaCode_alluviation</v>
      </c>
      <c r="B8146" s="414" t="str">
        <f>HYPERLINK("[#]Datatypes!A1408:L1408","SoaCode")</f>
        <v>SoaCode</v>
      </c>
      <c r="C8146" s="415" t="s">
        <v>16032</v>
      </c>
      <c r="D8146" s="221" t="s">
        <v>47623</v>
      </c>
      <c r="E8146" s="221">
        <v>28</v>
      </c>
      <c r="F8146" s="222" t="s">
        <v>47624</v>
      </c>
      <c r="G8146" s="223" t="s">
        <v>47625</v>
      </c>
      <c r="H8146" s="224"/>
      <c r="I8146" s="345"/>
      <c r="J8146" s="39">
        <v>118771</v>
      </c>
      <c r="K8146" s="36" t="str">
        <f>CONCATENATE(Cover!$D$6,"fdd/view?i=",J8146)</f>
        <v>https://www.dgiwg.org/FAD/fdd/view?i=118771</v>
      </c>
      <c r="L8146" s="36" t="s">
        <v>47626</v>
      </c>
      <c r="M8146" s="186"/>
      <c r="N8146" s="186"/>
      <c r="O8146" s="172"/>
    </row>
    <row r="8147" spans="1:15" ht="25.5" x14ac:dyDescent="0.2">
      <c r="A8147" s="197" t="str">
        <f t="shared" si="127"/>
        <v>SoaCode_avalanche</v>
      </c>
      <c r="B8147" s="409"/>
      <c r="C8147" s="416"/>
      <c r="D8147" s="198" t="s">
        <v>29061</v>
      </c>
      <c r="E8147" s="198">
        <v>26</v>
      </c>
      <c r="F8147" s="199" t="s">
        <v>29062</v>
      </c>
      <c r="G8147" s="1" t="s">
        <v>47627</v>
      </c>
      <c r="H8147" s="200"/>
      <c r="I8147" s="346"/>
      <c r="J8147" s="39">
        <v>118769</v>
      </c>
      <c r="K8147" s="36" t="str">
        <f>CONCATENATE(Cover!$D$6,"fdd/view?i=",J8147)</f>
        <v>https://www.dgiwg.org/FAD/fdd/view?i=118769</v>
      </c>
      <c r="L8147" s="36" t="s">
        <v>47628</v>
      </c>
      <c r="M8147" s="186"/>
      <c r="N8147" s="186"/>
      <c r="O8147" s="172"/>
    </row>
    <row r="8148" spans="1:15" x14ac:dyDescent="0.2">
      <c r="A8148" s="197" t="str">
        <f t="shared" si="127"/>
        <v>SoaCode_buildingOver</v>
      </c>
      <c r="B8148" s="409"/>
      <c r="C8148" s="416"/>
      <c r="D8148" s="198" t="s">
        <v>47629</v>
      </c>
      <c r="E8148" s="198">
        <v>27</v>
      </c>
      <c r="F8148" s="199" t="s">
        <v>47630</v>
      </c>
      <c r="G8148" s="1" t="s">
        <v>47631</v>
      </c>
      <c r="H8148" s="200"/>
      <c r="I8148" s="346"/>
      <c r="J8148" s="39">
        <v>118770</v>
      </c>
      <c r="K8148" s="36" t="str">
        <f>CONCATENATE(Cover!$D$6,"fdd/view?i=",J8148)</f>
        <v>https://www.dgiwg.org/FAD/fdd/view?i=118770</v>
      </c>
      <c r="L8148" s="36" t="s">
        <v>47632</v>
      </c>
      <c r="M8148" s="186"/>
      <c r="N8148" s="186"/>
      <c r="O8148" s="172"/>
    </row>
    <row r="8149" spans="1:15" ht="25.5" x14ac:dyDescent="0.2">
      <c r="A8149" s="197" t="str">
        <f t="shared" si="127"/>
        <v>SoaCode_chemicalSubstances</v>
      </c>
      <c r="B8149" s="409"/>
      <c r="C8149" s="416"/>
      <c r="D8149" s="198" t="s">
        <v>47633</v>
      </c>
      <c r="E8149" s="198">
        <v>8</v>
      </c>
      <c r="F8149" s="199" t="s">
        <v>47634</v>
      </c>
      <c r="G8149" s="1" t="s">
        <v>47635</v>
      </c>
      <c r="H8149" s="200"/>
      <c r="I8149" s="346"/>
      <c r="J8149" s="39">
        <v>118751</v>
      </c>
      <c r="K8149" s="36" t="str">
        <f>CONCATENATE(Cover!$D$6,"fdd/view?i=",J8149)</f>
        <v>https://www.dgiwg.org/FAD/fdd/view?i=118751</v>
      </c>
      <c r="L8149" s="36" t="s">
        <v>47636</v>
      </c>
      <c r="M8149" s="186"/>
      <c r="N8149" s="186"/>
      <c r="O8149" s="172"/>
    </row>
    <row r="8150" spans="1:15" ht="25.5" x14ac:dyDescent="0.2">
      <c r="A8150" s="197" t="str">
        <f t="shared" si="127"/>
        <v>SoaCode_clearingByBurning</v>
      </c>
      <c r="B8150" s="409"/>
      <c r="C8150" s="416"/>
      <c r="D8150" s="198" t="s">
        <v>47637</v>
      </c>
      <c r="E8150" s="198">
        <v>22</v>
      </c>
      <c r="F8150" s="199" t="s">
        <v>47638</v>
      </c>
      <c r="G8150" s="1" t="s">
        <v>47639</v>
      </c>
      <c r="H8150" s="200"/>
      <c r="I8150" s="346"/>
      <c r="J8150" s="39">
        <v>118765</v>
      </c>
      <c r="K8150" s="36" t="str">
        <f>CONCATENATE(Cover!$D$6,"fdd/view?i=",J8150)</f>
        <v>https://www.dgiwg.org/FAD/fdd/view?i=118765</v>
      </c>
      <c r="L8150" s="36" t="s">
        <v>47640</v>
      </c>
      <c r="M8150" s="186"/>
      <c r="N8150" s="186"/>
      <c r="O8150" s="172"/>
    </row>
    <row r="8151" spans="1:15" ht="25.5" x14ac:dyDescent="0.2">
      <c r="A8151" s="197" t="str">
        <f t="shared" si="127"/>
        <v>SoaCode_compaction</v>
      </c>
      <c r="B8151" s="409"/>
      <c r="C8151" s="416"/>
      <c r="D8151" s="198" t="s">
        <v>47641</v>
      </c>
      <c r="E8151" s="198">
        <v>29</v>
      </c>
      <c r="F8151" s="199" t="s">
        <v>47642</v>
      </c>
      <c r="G8151" s="1" t="s">
        <v>47643</v>
      </c>
      <c r="H8151" s="200"/>
      <c r="I8151" s="346"/>
      <c r="J8151" s="39">
        <v>118772</v>
      </c>
      <c r="K8151" s="36" t="str">
        <f>CONCATENATE(Cover!$D$6,"fdd/view?i=",J8151)</f>
        <v>https://www.dgiwg.org/FAD/fdd/view?i=118772</v>
      </c>
      <c r="L8151" s="36" t="s">
        <v>47644</v>
      </c>
      <c r="M8151" s="186"/>
      <c r="N8151" s="186"/>
      <c r="O8151" s="172"/>
    </row>
    <row r="8152" spans="1:15" ht="25.5" x14ac:dyDescent="0.2">
      <c r="A8152" s="197" t="str">
        <f t="shared" si="127"/>
        <v>SoaCode_contamination</v>
      </c>
      <c r="B8152" s="409"/>
      <c r="C8152" s="416"/>
      <c r="D8152" s="198" t="s">
        <v>47645</v>
      </c>
      <c r="E8152" s="198">
        <v>32</v>
      </c>
      <c r="F8152" s="199" t="s">
        <v>47646</v>
      </c>
      <c r="G8152" s="1" t="s">
        <v>47647</v>
      </c>
      <c r="H8152" s="200"/>
      <c r="I8152" s="346"/>
      <c r="J8152" s="39">
        <v>118775</v>
      </c>
      <c r="K8152" s="36" t="str">
        <f>CONCATENATE(Cover!$D$6,"fdd/view?i=",J8152)</f>
        <v>https://www.dgiwg.org/FAD/fdd/view?i=118775</v>
      </c>
      <c r="L8152" s="36" t="s">
        <v>47648</v>
      </c>
      <c r="M8152" s="186"/>
      <c r="N8152" s="186"/>
      <c r="O8152" s="172"/>
    </row>
    <row r="8153" spans="1:15" x14ac:dyDescent="0.2">
      <c r="A8153" s="197" t="str">
        <f t="shared" si="127"/>
        <v>SoaCode_damBreak</v>
      </c>
      <c r="B8153" s="409"/>
      <c r="C8153" s="416"/>
      <c r="D8153" s="198" t="s">
        <v>29065</v>
      </c>
      <c r="E8153" s="198">
        <v>20</v>
      </c>
      <c r="F8153" s="199" t="s">
        <v>29066</v>
      </c>
      <c r="G8153" s="1" t="s">
        <v>47649</v>
      </c>
      <c r="H8153" s="200"/>
      <c r="I8153" s="346"/>
      <c r="J8153" s="39">
        <v>118763</v>
      </c>
      <c r="K8153" s="36" t="str">
        <f>CONCATENATE(Cover!$D$6,"fdd/view?i=",J8153)</f>
        <v>https://www.dgiwg.org/FAD/fdd/view?i=118763</v>
      </c>
      <c r="L8153" s="36" t="s">
        <v>47650</v>
      </c>
      <c r="M8153" s="186"/>
      <c r="N8153" s="186"/>
      <c r="O8153" s="172"/>
    </row>
    <row r="8154" spans="1:15" ht="25.5" x14ac:dyDescent="0.2">
      <c r="A8154" s="197" t="str">
        <f t="shared" si="127"/>
        <v>SoaCode_deforestation</v>
      </c>
      <c r="B8154" s="409"/>
      <c r="C8154" s="416"/>
      <c r="D8154" s="198" t="s">
        <v>29492</v>
      </c>
      <c r="E8154" s="198">
        <v>13</v>
      </c>
      <c r="F8154" s="199" t="s">
        <v>29493</v>
      </c>
      <c r="G8154" s="1" t="s">
        <v>47651</v>
      </c>
      <c r="H8154" s="200"/>
      <c r="I8154" s="346"/>
      <c r="J8154" s="39">
        <v>118756</v>
      </c>
      <c r="K8154" s="36" t="str">
        <f>CONCATENATE(Cover!$D$6,"fdd/view?i=",J8154)</f>
        <v>https://www.dgiwg.org/FAD/fdd/view?i=118756</v>
      </c>
      <c r="L8154" s="36" t="s">
        <v>47652</v>
      </c>
      <c r="M8154" s="186"/>
      <c r="N8154" s="186"/>
      <c r="O8154" s="172"/>
    </row>
    <row r="8155" spans="1:15" ht="25.5" x14ac:dyDescent="0.2">
      <c r="A8155" s="197" t="str">
        <f t="shared" si="127"/>
        <v>SoaCode_earthquake</v>
      </c>
      <c r="B8155" s="409"/>
      <c r="C8155" s="416"/>
      <c r="D8155" s="198" t="s">
        <v>41088</v>
      </c>
      <c r="E8155" s="198">
        <v>21</v>
      </c>
      <c r="F8155" s="199" t="s">
        <v>41089</v>
      </c>
      <c r="G8155" s="1" t="s">
        <v>41090</v>
      </c>
      <c r="H8155" s="200"/>
      <c r="I8155" s="346"/>
      <c r="J8155" s="39">
        <v>118764</v>
      </c>
      <c r="K8155" s="36" t="str">
        <f>CONCATENATE(Cover!$D$6,"fdd/view?i=",J8155)</f>
        <v>https://www.dgiwg.org/FAD/fdd/view?i=118764</v>
      </c>
      <c r="L8155" s="36" t="s">
        <v>47657</v>
      </c>
      <c r="M8155" s="186"/>
      <c r="N8155" s="186"/>
      <c r="O8155" s="172"/>
    </row>
    <row r="8156" spans="1:15" ht="25.5" x14ac:dyDescent="0.2">
      <c r="A8156" s="197" t="str">
        <f t="shared" si="127"/>
        <v>SoaCode_earthSlip</v>
      </c>
      <c r="B8156" s="409"/>
      <c r="C8156" s="416"/>
      <c r="D8156" s="198" t="s">
        <v>47653</v>
      </c>
      <c r="E8156" s="198">
        <v>24</v>
      </c>
      <c r="F8156" s="199" t="s">
        <v>47654</v>
      </c>
      <c r="G8156" s="1" t="s">
        <v>47655</v>
      </c>
      <c r="H8156" s="200"/>
      <c r="I8156" s="346"/>
      <c r="J8156" s="39">
        <v>118767</v>
      </c>
      <c r="K8156" s="36" t="str">
        <f>CONCATENATE(Cover!$D$6,"fdd/view?i=",J8156)</f>
        <v>https://www.dgiwg.org/FAD/fdd/view?i=118767</v>
      </c>
      <c r="L8156" s="36" t="s">
        <v>47656</v>
      </c>
      <c r="M8156" s="186"/>
      <c r="N8156" s="186"/>
      <c r="O8156" s="172"/>
    </row>
    <row r="8157" spans="1:15" x14ac:dyDescent="0.2">
      <c r="A8157" s="197" t="str">
        <f t="shared" si="127"/>
        <v>SoaCode_fallow</v>
      </c>
      <c r="B8157" s="409"/>
      <c r="C8157" s="416"/>
      <c r="D8157" s="198" t="s">
        <v>30323</v>
      </c>
      <c r="E8157" s="198">
        <v>11</v>
      </c>
      <c r="F8157" s="199" t="s">
        <v>30324</v>
      </c>
      <c r="G8157" s="1" t="s">
        <v>47658</v>
      </c>
      <c r="H8157" s="200"/>
      <c r="I8157" s="346"/>
      <c r="J8157" s="39">
        <v>118754</v>
      </c>
      <c r="K8157" s="36" t="str">
        <f>CONCATENATE(Cover!$D$6,"fdd/view?i=",J8157)</f>
        <v>https://www.dgiwg.org/FAD/fdd/view?i=118754</v>
      </c>
      <c r="L8157" s="36" t="s">
        <v>47659</v>
      </c>
      <c r="M8157" s="186"/>
      <c r="N8157" s="186"/>
      <c r="O8157" s="172"/>
    </row>
    <row r="8158" spans="1:15" x14ac:dyDescent="0.2">
      <c r="A8158" s="197" t="str">
        <f t="shared" si="127"/>
        <v>SoaCode_fertilization</v>
      </c>
      <c r="B8158" s="409"/>
      <c r="C8158" s="416"/>
      <c r="D8158" s="198" t="s">
        <v>47660</v>
      </c>
      <c r="E8158" s="198">
        <v>10</v>
      </c>
      <c r="F8158" s="199" t="s">
        <v>47661</v>
      </c>
      <c r="G8158" s="1" t="s">
        <v>47662</v>
      </c>
      <c r="H8158" s="200"/>
      <c r="I8158" s="346"/>
      <c r="J8158" s="39">
        <v>118753</v>
      </c>
      <c r="K8158" s="36" t="str">
        <f>CONCATENATE(Cover!$D$6,"fdd/view?i=",J8158)</f>
        <v>https://www.dgiwg.org/FAD/fdd/view?i=118753</v>
      </c>
      <c r="L8158" s="36" t="s">
        <v>47663</v>
      </c>
      <c r="M8158" s="186"/>
      <c r="N8158" s="186"/>
      <c r="O8158" s="172"/>
    </row>
    <row r="8159" spans="1:15" x14ac:dyDescent="0.2">
      <c r="A8159" s="197" t="str">
        <f t="shared" si="127"/>
        <v>SoaCode_frostSplitting</v>
      </c>
      <c r="B8159" s="409"/>
      <c r="C8159" s="416"/>
      <c r="D8159" s="198" t="s">
        <v>47664</v>
      </c>
      <c r="E8159" s="198">
        <v>7</v>
      </c>
      <c r="F8159" s="199" t="s">
        <v>47665</v>
      </c>
      <c r="G8159" s="1" t="s">
        <v>47666</v>
      </c>
      <c r="H8159" s="200"/>
      <c r="I8159" s="346"/>
      <c r="J8159" s="39">
        <v>118750</v>
      </c>
      <c r="K8159" s="36" t="str">
        <f>CONCATENATE(Cover!$D$6,"fdd/view?i=",J8159)</f>
        <v>https://www.dgiwg.org/FAD/fdd/view?i=118750</v>
      </c>
      <c r="L8159" s="36" t="s">
        <v>47667</v>
      </c>
      <c r="M8159" s="186"/>
      <c r="N8159" s="186"/>
      <c r="O8159" s="172"/>
    </row>
    <row r="8160" spans="1:15" ht="25.5" x14ac:dyDescent="0.2">
      <c r="A8160" s="197" t="str">
        <f t="shared" si="127"/>
        <v>SoaCode_gravityMassMovements</v>
      </c>
      <c r="B8160" s="409"/>
      <c r="C8160" s="416"/>
      <c r="D8160" s="198" t="s">
        <v>47668</v>
      </c>
      <c r="E8160" s="198">
        <v>6</v>
      </c>
      <c r="F8160" s="199" t="s">
        <v>47669</v>
      </c>
      <c r="G8160" s="1" t="s">
        <v>47670</v>
      </c>
      <c r="H8160" s="200"/>
      <c r="I8160" s="346"/>
      <c r="J8160" s="39">
        <v>118749</v>
      </c>
      <c r="K8160" s="36" t="str">
        <f>CONCATENATE(Cover!$D$6,"fdd/view?i=",J8160)</f>
        <v>https://www.dgiwg.org/FAD/fdd/view?i=118749</v>
      </c>
      <c r="L8160" s="36" t="s">
        <v>47671</v>
      </c>
      <c r="M8160" s="186"/>
      <c r="N8160" s="186"/>
      <c r="O8160" s="172"/>
    </row>
    <row r="8161" spans="1:15" x14ac:dyDescent="0.2">
      <c r="A8161" s="197" t="str">
        <f t="shared" si="127"/>
        <v>SoaCode_heavyRain</v>
      </c>
      <c r="B8161" s="409"/>
      <c r="C8161" s="416"/>
      <c r="D8161" s="198" t="s">
        <v>47672</v>
      </c>
      <c r="E8161" s="198">
        <v>4</v>
      </c>
      <c r="F8161" s="199" t="s">
        <v>47673</v>
      </c>
      <c r="G8161" s="1" t="s">
        <v>47674</v>
      </c>
      <c r="H8161" s="200"/>
      <c r="I8161" s="346"/>
      <c r="J8161" s="39">
        <v>118747</v>
      </c>
      <c r="K8161" s="36" t="str">
        <f>CONCATENATE(Cover!$D$6,"fdd/view?i=",J8161)</f>
        <v>https://www.dgiwg.org/FAD/fdd/view?i=118747</v>
      </c>
      <c r="L8161" s="36" t="s">
        <v>47675</v>
      </c>
      <c r="M8161" s="186"/>
      <c r="N8161" s="186"/>
      <c r="O8161" s="172"/>
    </row>
    <row r="8162" spans="1:15" x14ac:dyDescent="0.2">
      <c r="A8162" s="197" t="str">
        <f t="shared" si="127"/>
        <v>SoaCode_irrigation</v>
      </c>
      <c r="B8162" s="409"/>
      <c r="C8162" s="416"/>
      <c r="D8162" s="198" t="s">
        <v>28913</v>
      </c>
      <c r="E8162" s="198">
        <v>31</v>
      </c>
      <c r="F8162" s="199" t="s">
        <v>28914</v>
      </c>
      <c r="G8162" s="1" t="s">
        <v>47676</v>
      </c>
      <c r="H8162" s="200"/>
      <c r="I8162" s="346"/>
      <c r="J8162" s="39">
        <v>118774</v>
      </c>
      <c r="K8162" s="36" t="str">
        <f>CONCATENATE(Cover!$D$6,"fdd/view?i=",J8162)</f>
        <v>https://www.dgiwg.org/FAD/fdd/view?i=118774</v>
      </c>
      <c r="L8162" s="36" t="s">
        <v>47677</v>
      </c>
      <c r="M8162" s="186"/>
      <c r="N8162" s="186"/>
      <c r="O8162" s="172"/>
    </row>
    <row r="8163" spans="1:15" ht="25.5" x14ac:dyDescent="0.2">
      <c r="A8163" s="197" t="str">
        <f t="shared" si="127"/>
        <v>SoaCode_meteoriteImpact</v>
      </c>
      <c r="B8163" s="409"/>
      <c r="C8163" s="416"/>
      <c r="D8163" s="198" t="s">
        <v>47678</v>
      </c>
      <c r="E8163" s="198">
        <v>16</v>
      </c>
      <c r="F8163" s="199" t="s">
        <v>47679</v>
      </c>
      <c r="G8163" s="1" t="s">
        <v>47680</v>
      </c>
      <c r="H8163" s="200"/>
      <c r="I8163" s="346"/>
      <c r="J8163" s="39">
        <v>118759</v>
      </c>
      <c r="K8163" s="36" t="str">
        <f>CONCATENATE(Cover!$D$6,"fdd/view?i=",J8163)</f>
        <v>https://www.dgiwg.org/FAD/fdd/view?i=118759</v>
      </c>
      <c r="L8163" s="36" t="s">
        <v>47681</v>
      </c>
      <c r="M8163" s="186"/>
      <c r="N8163" s="186"/>
      <c r="O8163" s="172"/>
    </row>
    <row r="8164" spans="1:15" x14ac:dyDescent="0.2">
      <c r="A8164" s="197" t="str">
        <f t="shared" si="127"/>
        <v>SoaCode_mining</v>
      </c>
      <c r="B8164" s="409"/>
      <c r="C8164" s="416"/>
      <c r="D8164" s="198" t="s">
        <v>47682</v>
      </c>
      <c r="E8164" s="198">
        <v>15</v>
      </c>
      <c r="F8164" s="199" t="s">
        <v>47683</v>
      </c>
      <c r="G8164" s="1" t="s">
        <v>47684</v>
      </c>
      <c r="H8164" s="200"/>
      <c r="I8164" s="346"/>
      <c r="J8164" s="39">
        <v>118758</v>
      </c>
      <c r="K8164" s="36" t="str">
        <f>CONCATENATE(Cover!$D$6,"fdd/view?i=",J8164)</f>
        <v>https://www.dgiwg.org/FAD/fdd/view?i=118758</v>
      </c>
      <c r="L8164" s="36" t="s">
        <v>47685</v>
      </c>
      <c r="M8164" s="186"/>
      <c r="N8164" s="186"/>
      <c r="O8164" s="172"/>
    </row>
    <row r="8165" spans="1:15" ht="25.5" x14ac:dyDescent="0.2">
      <c r="A8165" s="197" t="str">
        <f t="shared" si="127"/>
        <v>SoaCode_mudFlowFlowOfDebris</v>
      </c>
      <c r="B8165" s="409"/>
      <c r="C8165" s="416"/>
      <c r="D8165" s="198" t="s">
        <v>47686</v>
      </c>
      <c r="E8165" s="198">
        <v>19</v>
      </c>
      <c r="F8165" s="199" t="s">
        <v>47687</v>
      </c>
      <c r="G8165" s="1" t="s">
        <v>47688</v>
      </c>
      <c r="H8165" s="200"/>
      <c r="I8165" s="346"/>
      <c r="J8165" s="39">
        <v>118762</v>
      </c>
      <c r="K8165" s="36" t="str">
        <f>CONCATENATE(Cover!$D$6,"fdd/view?i=",J8165)</f>
        <v>https://www.dgiwg.org/FAD/fdd/view?i=118762</v>
      </c>
      <c r="L8165" s="36" t="s">
        <v>47689</v>
      </c>
      <c r="M8165" s="186"/>
      <c r="N8165" s="186"/>
      <c r="O8165" s="172"/>
    </row>
    <row r="8166" spans="1:15" ht="25.5" x14ac:dyDescent="0.2">
      <c r="A8166" s="197" t="str">
        <f t="shared" si="127"/>
        <v>SoaCode_nuclearRadiation</v>
      </c>
      <c r="B8166" s="409"/>
      <c r="C8166" s="416"/>
      <c r="D8166" s="198" t="s">
        <v>47690</v>
      </c>
      <c r="E8166" s="198">
        <v>9</v>
      </c>
      <c r="F8166" s="199" t="s">
        <v>47691</v>
      </c>
      <c r="G8166" s="1" t="s">
        <v>47692</v>
      </c>
      <c r="H8166" s="200"/>
      <c r="I8166" s="346"/>
      <c r="J8166" s="39">
        <v>118752</v>
      </c>
      <c r="K8166" s="36" t="str">
        <f>CONCATENATE(Cover!$D$6,"fdd/view?i=",J8166)</f>
        <v>https://www.dgiwg.org/FAD/fdd/view?i=118752</v>
      </c>
      <c r="L8166" s="36" t="s">
        <v>47693</v>
      </c>
      <c r="M8166" s="186"/>
      <c r="N8166" s="186"/>
      <c r="O8166" s="172"/>
    </row>
    <row r="8167" spans="1:15" ht="25.5" x14ac:dyDescent="0.2">
      <c r="A8167" s="197" t="str">
        <f t="shared" si="127"/>
        <v>SoaCode_overgrazing</v>
      </c>
      <c r="B8167" s="409"/>
      <c r="C8167" s="416"/>
      <c r="D8167" s="198" t="s">
        <v>47694</v>
      </c>
      <c r="E8167" s="198">
        <v>30</v>
      </c>
      <c r="F8167" s="199" t="s">
        <v>47695</v>
      </c>
      <c r="G8167" s="1" t="s">
        <v>47696</v>
      </c>
      <c r="H8167" s="200"/>
      <c r="I8167" s="346"/>
      <c r="J8167" s="39">
        <v>118773</v>
      </c>
      <c r="K8167" s="36" t="str">
        <f>CONCATENATE(Cover!$D$6,"fdd/view?i=",J8167)</f>
        <v>https://www.dgiwg.org/FAD/fdd/view?i=118773</v>
      </c>
      <c r="L8167" s="36" t="s">
        <v>47697</v>
      </c>
      <c r="M8167" s="186"/>
      <c r="N8167" s="186"/>
      <c r="O8167" s="172"/>
    </row>
    <row r="8168" spans="1:15" x14ac:dyDescent="0.2">
      <c r="A8168" s="197" t="str">
        <f t="shared" si="127"/>
        <v>SoaCode_overUse</v>
      </c>
      <c r="B8168" s="409"/>
      <c r="C8168" s="416"/>
      <c r="D8168" s="198" t="s">
        <v>47698</v>
      </c>
      <c r="E8168" s="198">
        <v>12</v>
      </c>
      <c r="F8168" s="199" t="s">
        <v>47699</v>
      </c>
      <c r="G8168" s="1" t="s">
        <v>47700</v>
      </c>
      <c r="H8168" s="200"/>
      <c r="I8168" s="346"/>
      <c r="J8168" s="39">
        <v>118755</v>
      </c>
      <c r="K8168" s="36" t="str">
        <f>CONCATENATE(Cover!$D$6,"fdd/view?i=",J8168)</f>
        <v>https://www.dgiwg.org/FAD/fdd/view?i=118755</v>
      </c>
      <c r="L8168" s="36" t="s">
        <v>47701</v>
      </c>
      <c r="M8168" s="186"/>
      <c r="N8168" s="186"/>
      <c r="O8168" s="172"/>
    </row>
    <row r="8169" spans="1:15" ht="25.5" x14ac:dyDescent="0.2">
      <c r="A8169" s="197" t="str">
        <f t="shared" si="127"/>
        <v>SoaCode_rockSlide</v>
      </c>
      <c r="B8169" s="409"/>
      <c r="C8169" s="416"/>
      <c r="D8169" s="198" t="s">
        <v>47702</v>
      </c>
      <c r="E8169" s="198">
        <v>25</v>
      </c>
      <c r="F8169" s="199" t="s">
        <v>47703</v>
      </c>
      <c r="G8169" s="1" t="s">
        <v>47704</v>
      </c>
      <c r="H8169" s="200"/>
      <c r="I8169" s="346"/>
      <c r="J8169" s="39">
        <v>118768</v>
      </c>
      <c r="K8169" s="36" t="str">
        <f>CONCATENATE(Cover!$D$6,"fdd/view?i=",J8169)</f>
        <v>https://www.dgiwg.org/FAD/fdd/view?i=118768</v>
      </c>
      <c r="L8169" s="36" t="s">
        <v>47705</v>
      </c>
      <c r="M8169" s="186"/>
      <c r="N8169" s="186"/>
      <c r="O8169" s="172"/>
    </row>
    <row r="8170" spans="1:15" x14ac:dyDescent="0.2">
      <c r="A8170" s="197" t="str">
        <f t="shared" si="127"/>
        <v>SoaCode_surf</v>
      </c>
      <c r="B8170" s="409"/>
      <c r="C8170" s="416"/>
      <c r="D8170" s="198" t="s">
        <v>47706</v>
      </c>
      <c r="E8170" s="198">
        <v>3</v>
      </c>
      <c r="F8170" s="199" t="s">
        <v>47707</v>
      </c>
      <c r="G8170" s="1" t="s">
        <v>47708</v>
      </c>
      <c r="H8170" s="200"/>
      <c r="I8170" s="346"/>
      <c r="J8170" s="39">
        <v>118746</v>
      </c>
      <c r="K8170" s="36" t="str">
        <f>CONCATENATE(Cover!$D$6,"fdd/view?i=",J8170)</f>
        <v>https://www.dgiwg.org/FAD/fdd/view?i=118746</v>
      </c>
      <c r="L8170" s="36" t="s">
        <v>47709</v>
      </c>
      <c r="M8170" s="186"/>
      <c r="N8170" s="186"/>
      <c r="O8170" s="172"/>
    </row>
    <row r="8171" spans="1:15" ht="25.5" x14ac:dyDescent="0.2">
      <c r="A8171" s="197" t="str">
        <f t="shared" si="127"/>
        <v>SoaCode_tectonicMassMovements</v>
      </c>
      <c r="B8171" s="409"/>
      <c r="C8171" s="416"/>
      <c r="D8171" s="198" t="s">
        <v>47710</v>
      </c>
      <c r="E8171" s="198">
        <v>5</v>
      </c>
      <c r="F8171" s="199" t="s">
        <v>47711</v>
      </c>
      <c r="G8171" s="1" t="s">
        <v>47712</v>
      </c>
      <c r="H8171" s="200"/>
      <c r="I8171" s="346"/>
      <c r="J8171" s="39">
        <v>118748</v>
      </c>
      <c r="K8171" s="36" t="str">
        <f>CONCATENATE(Cover!$D$6,"fdd/view?i=",J8171)</f>
        <v>https://www.dgiwg.org/FAD/fdd/view?i=118748</v>
      </c>
      <c r="L8171" s="36" t="s">
        <v>47713</v>
      </c>
      <c r="M8171" s="186"/>
      <c r="N8171" s="186"/>
      <c r="O8171" s="172"/>
    </row>
    <row r="8172" spans="1:15" ht="25.5" x14ac:dyDescent="0.2">
      <c r="A8172" s="197" t="str">
        <f t="shared" si="127"/>
        <v>SoaCode_thawingOfPermaFrostSoil</v>
      </c>
      <c r="B8172" s="409"/>
      <c r="C8172" s="416"/>
      <c r="D8172" s="198" t="s">
        <v>47714</v>
      </c>
      <c r="E8172" s="198">
        <v>14</v>
      </c>
      <c r="F8172" s="199" t="s">
        <v>47715</v>
      </c>
      <c r="G8172" s="1" t="s">
        <v>47716</v>
      </c>
      <c r="H8172" s="200"/>
      <c r="I8172" s="346"/>
      <c r="J8172" s="39">
        <v>118757</v>
      </c>
      <c r="K8172" s="36" t="str">
        <f>CONCATENATE(Cover!$D$6,"fdd/view?i=",J8172)</f>
        <v>https://www.dgiwg.org/FAD/fdd/view?i=118757</v>
      </c>
      <c r="L8172" s="36" t="s">
        <v>47717</v>
      </c>
      <c r="M8172" s="186"/>
      <c r="N8172" s="186"/>
      <c r="O8172" s="172"/>
    </row>
    <row r="8173" spans="1:15" x14ac:dyDescent="0.2">
      <c r="A8173" s="197" t="str">
        <f t="shared" si="127"/>
        <v>SoaCode_tidalWave</v>
      </c>
      <c r="B8173" s="409"/>
      <c r="C8173" s="416"/>
      <c r="D8173" s="198" t="s">
        <v>47718</v>
      </c>
      <c r="E8173" s="198">
        <v>1</v>
      </c>
      <c r="F8173" s="199" t="s">
        <v>47719</v>
      </c>
      <c r="G8173" s="1" t="s">
        <v>47720</v>
      </c>
      <c r="H8173" s="200"/>
      <c r="I8173" s="346"/>
      <c r="J8173" s="39">
        <v>118744</v>
      </c>
      <c r="K8173" s="36" t="str">
        <f>CONCATENATE(Cover!$D$6,"fdd/view?i=",J8173)</f>
        <v>https://www.dgiwg.org/FAD/fdd/view?i=118744</v>
      </c>
      <c r="L8173" s="36" t="s">
        <v>47721</v>
      </c>
      <c r="M8173" s="186"/>
      <c r="N8173" s="186"/>
      <c r="O8173" s="172"/>
    </row>
    <row r="8174" spans="1:15" ht="38.25" x14ac:dyDescent="0.2">
      <c r="A8174" s="197" t="str">
        <f t="shared" si="127"/>
        <v>SoaCode_tsunami</v>
      </c>
      <c r="B8174" s="409"/>
      <c r="C8174" s="416"/>
      <c r="D8174" s="198" t="s">
        <v>29090</v>
      </c>
      <c r="E8174" s="198">
        <v>23</v>
      </c>
      <c r="F8174" s="199" t="s">
        <v>29091</v>
      </c>
      <c r="G8174" s="1" t="s">
        <v>47722</v>
      </c>
      <c r="H8174" s="200"/>
      <c r="I8174" s="346"/>
      <c r="J8174" s="39">
        <v>118766</v>
      </c>
      <c r="K8174" s="36" t="str">
        <f>CONCATENATE(Cover!$D$6,"fdd/view?i=",J8174)</f>
        <v>https://www.dgiwg.org/FAD/fdd/view?i=118766</v>
      </c>
      <c r="L8174" s="36" t="s">
        <v>47723</v>
      </c>
      <c r="M8174" s="186"/>
      <c r="N8174" s="186"/>
      <c r="O8174" s="172"/>
    </row>
    <row r="8175" spans="1:15" x14ac:dyDescent="0.2">
      <c r="A8175" s="197" t="str">
        <f t="shared" si="127"/>
        <v>SoaCode_undercutting</v>
      </c>
      <c r="B8175" s="409"/>
      <c r="C8175" s="416"/>
      <c r="D8175" s="198" t="s">
        <v>47724</v>
      </c>
      <c r="E8175" s="198">
        <v>2</v>
      </c>
      <c r="F8175" s="199" t="s">
        <v>47725</v>
      </c>
      <c r="G8175" s="1" t="s">
        <v>47726</v>
      </c>
      <c r="H8175" s="200"/>
      <c r="I8175" s="346"/>
      <c r="J8175" s="39">
        <v>118745</v>
      </c>
      <c r="K8175" s="36" t="str">
        <f>CONCATENATE(Cover!$D$6,"fdd/view?i=",J8175)</f>
        <v>https://www.dgiwg.org/FAD/fdd/view?i=118745</v>
      </c>
      <c r="L8175" s="36" t="s">
        <v>47727</v>
      </c>
      <c r="M8175" s="186"/>
      <c r="N8175" s="186"/>
      <c r="O8175" s="172"/>
    </row>
    <row r="8176" spans="1:15" ht="25.5" x14ac:dyDescent="0.2">
      <c r="A8176" s="197" t="str">
        <f t="shared" si="127"/>
        <v>SoaCode_vegetationFire</v>
      </c>
      <c r="B8176" s="409"/>
      <c r="C8176" s="416"/>
      <c r="D8176" s="198" t="s">
        <v>47728</v>
      </c>
      <c r="E8176" s="198">
        <v>18</v>
      </c>
      <c r="F8176" s="199" t="s">
        <v>47729</v>
      </c>
      <c r="G8176" s="1" t="s">
        <v>47730</v>
      </c>
      <c r="H8176" s="200"/>
      <c r="I8176" s="346"/>
      <c r="J8176" s="39">
        <v>118761</v>
      </c>
      <c r="K8176" s="36" t="str">
        <f>CONCATENATE(Cover!$D$6,"fdd/view?i=",J8176)</f>
        <v>https://www.dgiwg.org/FAD/fdd/view?i=118761</v>
      </c>
      <c r="L8176" s="36" t="s">
        <v>47731</v>
      </c>
      <c r="M8176" s="186"/>
      <c r="N8176" s="186"/>
      <c r="O8176" s="172"/>
    </row>
    <row r="8177" spans="1:15" ht="25.5" x14ac:dyDescent="0.2">
      <c r="A8177" s="203" t="str">
        <f t="shared" si="127"/>
        <v>SoaCode_warInducedDamages</v>
      </c>
      <c r="B8177" s="410"/>
      <c r="C8177" s="417"/>
      <c r="D8177" s="204" t="s">
        <v>47732</v>
      </c>
      <c r="E8177" s="204">
        <v>17</v>
      </c>
      <c r="F8177" s="205" t="s">
        <v>47733</v>
      </c>
      <c r="G8177" s="206" t="s">
        <v>47734</v>
      </c>
      <c r="H8177" s="207"/>
      <c r="I8177" s="347"/>
      <c r="J8177" s="39">
        <v>118760</v>
      </c>
      <c r="K8177" s="36" t="str">
        <f>CONCATENATE(Cover!$D$6,"fdd/view?i=",J8177)</f>
        <v>https://www.dgiwg.org/FAD/fdd/view?i=118760</v>
      </c>
      <c r="L8177" s="36" t="s">
        <v>47735</v>
      </c>
      <c r="M8177" s="186"/>
      <c r="N8177" s="186"/>
      <c r="O8177" s="172"/>
    </row>
    <row r="8178" spans="1:15" x14ac:dyDescent="0.2">
      <c r="A8178" s="190" t="str">
        <f t="shared" si="127"/>
        <v>SorCode_abrasion</v>
      </c>
      <c r="B8178" s="414" t="str">
        <f>HYPERLINK("[#]Datatypes!A1410:L1410","SorCode")</f>
        <v>SorCode</v>
      </c>
      <c r="C8178" s="415" t="s">
        <v>16034</v>
      </c>
      <c r="D8178" s="221" t="s">
        <v>34083</v>
      </c>
      <c r="E8178" s="221">
        <v>13</v>
      </c>
      <c r="F8178" s="222" t="s">
        <v>34084</v>
      </c>
      <c r="G8178" s="223" t="s">
        <v>47736</v>
      </c>
      <c r="H8178" s="224"/>
      <c r="I8178" s="345"/>
      <c r="J8178" s="39">
        <v>118788</v>
      </c>
      <c r="K8178" s="36" t="str">
        <f>CONCATENATE(Cover!$D$6,"fdd/view?i=",J8178)</f>
        <v>https://www.dgiwg.org/FAD/fdd/view?i=118788</v>
      </c>
      <c r="L8178" s="36" t="s">
        <v>47737</v>
      </c>
      <c r="M8178" s="186"/>
      <c r="N8178" s="186"/>
      <c r="O8178" s="172"/>
    </row>
    <row r="8179" spans="1:15" ht="25.5" x14ac:dyDescent="0.2">
      <c r="A8179" s="197" t="str">
        <f t="shared" si="127"/>
        <v>SorCode_bogFormation</v>
      </c>
      <c r="B8179" s="409"/>
      <c r="C8179" s="416"/>
      <c r="D8179" s="198" t="s">
        <v>47738</v>
      </c>
      <c r="E8179" s="198">
        <v>7</v>
      </c>
      <c r="F8179" s="199" t="s">
        <v>47739</v>
      </c>
      <c r="G8179" s="1" t="s">
        <v>47740</v>
      </c>
      <c r="H8179" s="200"/>
      <c r="I8179" s="346"/>
      <c r="J8179" s="39">
        <v>118782</v>
      </c>
      <c r="K8179" s="36" t="str">
        <f>CONCATENATE(Cover!$D$6,"fdd/view?i=",J8179)</f>
        <v>https://www.dgiwg.org/FAD/fdd/view?i=118782</v>
      </c>
      <c r="L8179" s="36" t="s">
        <v>47741</v>
      </c>
      <c r="M8179" s="186"/>
      <c r="N8179" s="186"/>
      <c r="O8179" s="172"/>
    </row>
    <row r="8180" spans="1:15" x14ac:dyDescent="0.2">
      <c r="A8180" s="197" t="str">
        <f t="shared" si="127"/>
        <v>SorCode_corrasion</v>
      </c>
      <c r="B8180" s="409"/>
      <c r="C8180" s="416"/>
      <c r="D8180" s="198" t="s">
        <v>47742</v>
      </c>
      <c r="E8180" s="198">
        <v>21</v>
      </c>
      <c r="F8180" s="199" t="s">
        <v>47743</v>
      </c>
      <c r="G8180" s="1" t="s">
        <v>47744</v>
      </c>
      <c r="H8180" s="200"/>
      <c r="I8180" s="346"/>
      <c r="J8180" s="39">
        <v>118796</v>
      </c>
      <c r="K8180" s="36" t="str">
        <f>CONCATENATE(Cover!$D$6,"fdd/view?i=",J8180)</f>
        <v>https://www.dgiwg.org/FAD/fdd/view?i=118796</v>
      </c>
      <c r="L8180" s="36" t="s">
        <v>47745</v>
      </c>
      <c r="M8180" s="186"/>
      <c r="N8180" s="186"/>
      <c r="O8180" s="172"/>
    </row>
    <row r="8181" spans="1:15" x14ac:dyDescent="0.2">
      <c r="A8181" s="197" t="str">
        <f t="shared" si="127"/>
        <v>SorCode_coverage</v>
      </c>
      <c r="B8181" s="409"/>
      <c r="C8181" s="416"/>
      <c r="D8181" s="198" t="s">
        <v>47746</v>
      </c>
      <c r="E8181" s="198">
        <v>14</v>
      </c>
      <c r="F8181" s="199" t="s">
        <v>47747</v>
      </c>
      <c r="G8181" s="1" t="s">
        <v>47748</v>
      </c>
      <c r="H8181" s="200"/>
      <c r="I8181" s="346"/>
      <c r="J8181" s="39">
        <v>118789</v>
      </c>
      <c r="K8181" s="36" t="str">
        <f>CONCATENATE(Cover!$D$6,"fdd/view?i=",J8181)</f>
        <v>https://www.dgiwg.org/FAD/fdd/view?i=118789</v>
      </c>
      <c r="L8181" s="36" t="s">
        <v>47749</v>
      </c>
      <c r="M8181" s="186"/>
      <c r="N8181" s="186"/>
      <c r="O8181" s="172"/>
    </row>
    <row r="8182" spans="1:15" x14ac:dyDescent="0.2">
      <c r="A8182" s="197" t="str">
        <f t="shared" si="127"/>
        <v>SorCode_deflation</v>
      </c>
      <c r="B8182" s="409"/>
      <c r="C8182" s="416"/>
      <c r="D8182" s="198" t="s">
        <v>34102</v>
      </c>
      <c r="E8182" s="198">
        <v>12</v>
      </c>
      <c r="F8182" s="199" t="s">
        <v>34103</v>
      </c>
      <c r="G8182" s="1" t="s">
        <v>47750</v>
      </c>
      <c r="H8182" s="200"/>
      <c r="I8182" s="346"/>
      <c r="J8182" s="39">
        <v>118787</v>
      </c>
      <c r="K8182" s="36" t="str">
        <f>CONCATENATE(Cover!$D$6,"fdd/view?i=",J8182)</f>
        <v>https://www.dgiwg.org/FAD/fdd/view?i=118787</v>
      </c>
      <c r="L8182" s="36" t="s">
        <v>47751</v>
      </c>
      <c r="M8182" s="186"/>
      <c r="N8182" s="186"/>
      <c r="O8182" s="172"/>
    </row>
    <row r="8183" spans="1:15" x14ac:dyDescent="0.2">
      <c r="A8183" s="197" t="str">
        <f t="shared" si="127"/>
        <v>SorCode_denudation</v>
      </c>
      <c r="B8183" s="409"/>
      <c r="C8183" s="416"/>
      <c r="D8183" s="198" t="s">
        <v>47752</v>
      </c>
      <c r="E8183" s="198">
        <v>10</v>
      </c>
      <c r="F8183" s="199" t="s">
        <v>47753</v>
      </c>
      <c r="G8183" s="1" t="s">
        <v>47754</v>
      </c>
      <c r="H8183" s="200"/>
      <c r="I8183" s="346"/>
      <c r="J8183" s="39">
        <v>118785</v>
      </c>
      <c r="K8183" s="36" t="str">
        <f>CONCATENATE(Cover!$D$6,"fdd/view?i=",J8183)</f>
        <v>https://www.dgiwg.org/FAD/fdd/view?i=118785</v>
      </c>
      <c r="L8183" s="36" t="s">
        <v>47755</v>
      </c>
      <c r="M8183" s="186"/>
      <c r="N8183" s="186"/>
      <c r="O8183" s="172"/>
    </row>
    <row r="8184" spans="1:15" x14ac:dyDescent="0.2">
      <c r="A8184" s="197" t="str">
        <f t="shared" si="127"/>
        <v>SorCode_desertification</v>
      </c>
      <c r="B8184" s="409"/>
      <c r="C8184" s="416"/>
      <c r="D8184" s="198" t="s">
        <v>47756</v>
      </c>
      <c r="E8184" s="198">
        <v>2</v>
      </c>
      <c r="F8184" s="199" t="s">
        <v>47757</v>
      </c>
      <c r="G8184" s="1" t="s">
        <v>47758</v>
      </c>
      <c r="H8184" s="200"/>
      <c r="I8184" s="346"/>
      <c r="J8184" s="39">
        <v>118777</v>
      </c>
      <c r="K8184" s="36" t="str">
        <f>CONCATENATE(Cover!$D$6,"fdd/view?i=",J8184)</f>
        <v>https://www.dgiwg.org/FAD/fdd/view?i=118777</v>
      </c>
      <c r="L8184" s="36" t="s">
        <v>47759</v>
      </c>
      <c r="M8184" s="186"/>
      <c r="N8184" s="186"/>
      <c r="O8184" s="172"/>
    </row>
    <row r="8185" spans="1:15" x14ac:dyDescent="0.2">
      <c r="A8185" s="197" t="str">
        <f t="shared" si="127"/>
        <v>SorCode_fluvialErosin</v>
      </c>
      <c r="B8185" s="409"/>
      <c r="C8185" s="416"/>
      <c r="D8185" s="198" t="s">
        <v>47760</v>
      </c>
      <c r="E8185" s="198">
        <v>18</v>
      </c>
      <c r="F8185" s="199" t="s">
        <v>47761</v>
      </c>
      <c r="G8185" s="1" t="s">
        <v>47762</v>
      </c>
      <c r="H8185" s="200"/>
      <c r="I8185" s="346"/>
      <c r="J8185" s="39">
        <v>118793</v>
      </c>
      <c r="K8185" s="36" t="str">
        <f>CONCATENATE(Cover!$D$6,"fdd/view?i=",J8185)</f>
        <v>https://www.dgiwg.org/FAD/fdd/view?i=118793</v>
      </c>
      <c r="L8185" s="36" t="s">
        <v>47763</v>
      </c>
      <c r="M8185" s="186"/>
      <c r="N8185" s="186"/>
      <c r="O8185" s="172"/>
    </row>
    <row r="8186" spans="1:15" ht="25.5" x14ac:dyDescent="0.2">
      <c r="A8186" s="197" t="str">
        <f t="shared" si="127"/>
        <v>SorCode_glacialErosion</v>
      </c>
      <c r="B8186" s="409"/>
      <c r="C8186" s="416"/>
      <c r="D8186" s="198" t="s">
        <v>47764</v>
      </c>
      <c r="E8186" s="198">
        <v>20</v>
      </c>
      <c r="F8186" s="199" t="s">
        <v>47765</v>
      </c>
      <c r="G8186" s="1" t="s">
        <v>47766</v>
      </c>
      <c r="H8186" s="200"/>
      <c r="I8186" s="346"/>
      <c r="J8186" s="39">
        <v>118795</v>
      </c>
      <c r="K8186" s="36" t="str">
        <f>CONCATENATE(Cover!$D$6,"fdd/view?i=",J8186)</f>
        <v>https://www.dgiwg.org/FAD/fdd/view?i=118795</v>
      </c>
      <c r="L8186" s="36" t="s">
        <v>47767</v>
      </c>
      <c r="M8186" s="186"/>
      <c r="N8186" s="186"/>
      <c r="O8186" s="172"/>
    </row>
    <row r="8187" spans="1:15" ht="25.5" x14ac:dyDescent="0.2">
      <c r="A8187" s="197" t="str">
        <f t="shared" si="127"/>
        <v>SorCode_incrustation</v>
      </c>
      <c r="B8187" s="409"/>
      <c r="C8187" s="416"/>
      <c r="D8187" s="198" t="s">
        <v>47768</v>
      </c>
      <c r="E8187" s="198">
        <v>19</v>
      </c>
      <c r="F8187" s="199" t="s">
        <v>47769</v>
      </c>
      <c r="G8187" s="1" t="s">
        <v>47770</v>
      </c>
      <c r="H8187" s="200"/>
      <c r="I8187" s="346"/>
      <c r="J8187" s="39">
        <v>118794</v>
      </c>
      <c r="K8187" s="36" t="str">
        <f>CONCATENATE(Cover!$D$6,"fdd/view?i=",J8187)</f>
        <v>https://www.dgiwg.org/FAD/fdd/view?i=118794</v>
      </c>
      <c r="L8187" s="36" t="s">
        <v>47771</v>
      </c>
      <c r="M8187" s="186"/>
      <c r="N8187" s="186"/>
      <c r="O8187" s="172"/>
    </row>
    <row r="8188" spans="1:15" x14ac:dyDescent="0.2">
      <c r="A8188" s="197" t="str">
        <f t="shared" si="127"/>
        <v>SorCode_inundation</v>
      </c>
      <c r="B8188" s="409"/>
      <c r="C8188" s="416"/>
      <c r="D8188" s="198" t="s">
        <v>47772</v>
      </c>
      <c r="E8188" s="198">
        <v>11</v>
      </c>
      <c r="F8188" s="199" t="s">
        <v>47773</v>
      </c>
      <c r="G8188" s="1" t="s">
        <v>47774</v>
      </c>
      <c r="H8188" s="200"/>
      <c r="I8188" s="346"/>
      <c r="J8188" s="39">
        <v>118786</v>
      </c>
      <c r="K8188" s="36" t="str">
        <f>CONCATENATE(Cover!$D$6,"fdd/view?i=",J8188)</f>
        <v>https://www.dgiwg.org/FAD/fdd/view?i=118786</v>
      </c>
      <c r="L8188" s="36" t="s">
        <v>47775</v>
      </c>
      <c r="M8188" s="186"/>
      <c r="N8188" s="186"/>
      <c r="O8188" s="172"/>
    </row>
    <row r="8189" spans="1:15" ht="25.5" x14ac:dyDescent="0.2">
      <c r="A8189" s="197" t="str">
        <f t="shared" si="127"/>
        <v>SorCode_overfertilization</v>
      </c>
      <c r="B8189" s="409"/>
      <c r="C8189" s="416"/>
      <c r="D8189" s="198" t="s">
        <v>47776</v>
      </c>
      <c r="E8189" s="198">
        <v>17</v>
      </c>
      <c r="F8189" s="199" t="s">
        <v>47777</v>
      </c>
      <c r="G8189" s="1" t="s">
        <v>47778</v>
      </c>
      <c r="H8189" s="200"/>
      <c r="I8189" s="346"/>
      <c r="J8189" s="39">
        <v>118792</v>
      </c>
      <c r="K8189" s="36" t="str">
        <f>CONCATENATE(Cover!$D$6,"fdd/view?i=",J8189)</f>
        <v>https://www.dgiwg.org/FAD/fdd/view?i=118792</v>
      </c>
      <c r="L8189" s="36" t="s">
        <v>47779</v>
      </c>
      <c r="M8189" s="186"/>
      <c r="N8189" s="186"/>
      <c r="O8189" s="172"/>
    </row>
    <row r="8190" spans="1:15" ht="25.5" x14ac:dyDescent="0.2">
      <c r="A8190" s="197" t="str">
        <f t="shared" si="127"/>
        <v>SorCode_physicalTransformation</v>
      </c>
      <c r="B8190" s="409"/>
      <c r="C8190" s="416"/>
      <c r="D8190" s="198" t="s">
        <v>47780</v>
      </c>
      <c r="E8190" s="198">
        <v>9</v>
      </c>
      <c r="F8190" s="199" t="s">
        <v>47781</v>
      </c>
      <c r="G8190" s="1" t="s">
        <v>47782</v>
      </c>
      <c r="H8190" s="200"/>
      <c r="I8190" s="346"/>
      <c r="J8190" s="39">
        <v>118784</v>
      </c>
      <c r="K8190" s="36" t="str">
        <f>CONCATENATE(Cover!$D$6,"fdd/view?i=",J8190)</f>
        <v>https://www.dgiwg.org/FAD/fdd/view?i=118784</v>
      </c>
      <c r="L8190" s="36" t="s">
        <v>47783</v>
      </c>
      <c r="M8190" s="186"/>
      <c r="N8190" s="186"/>
      <c r="O8190" s="172"/>
    </row>
    <row r="8191" spans="1:15" x14ac:dyDescent="0.2">
      <c r="A8191" s="197" t="str">
        <f t="shared" si="127"/>
        <v>SorCode_poisoning</v>
      </c>
      <c r="B8191" s="409"/>
      <c r="C8191" s="416"/>
      <c r="D8191" s="198" t="s">
        <v>47784</v>
      </c>
      <c r="E8191" s="198">
        <v>15</v>
      </c>
      <c r="F8191" s="199" t="s">
        <v>47785</v>
      </c>
      <c r="G8191" s="1" t="s">
        <v>47786</v>
      </c>
      <c r="H8191" s="200"/>
      <c r="I8191" s="346"/>
      <c r="J8191" s="39">
        <v>118790</v>
      </c>
      <c r="K8191" s="36" t="str">
        <f>CONCATENATE(Cover!$D$6,"fdd/view?i=",J8191)</f>
        <v>https://www.dgiwg.org/FAD/fdd/view?i=118790</v>
      </c>
      <c r="L8191" s="36" t="s">
        <v>47787</v>
      </c>
      <c r="M8191" s="186"/>
      <c r="N8191" s="186"/>
      <c r="O8191" s="172"/>
    </row>
    <row r="8192" spans="1:15" ht="25.5" x14ac:dyDescent="0.2">
      <c r="A8192" s="197" t="str">
        <f t="shared" si="127"/>
        <v>SorCode_radioactiveContamination</v>
      </c>
      <c r="B8192" s="409"/>
      <c r="C8192" s="416"/>
      <c r="D8192" s="198" t="s">
        <v>47788</v>
      </c>
      <c r="E8192" s="198">
        <v>16</v>
      </c>
      <c r="F8192" s="199" t="s">
        <v>47789</v>
      </c>
      <c r="G8192" s="1" t="s">
        <v>47790</v>
      </c>
      <c r="H8192" s="200"/>
      <c r="I8192" s="346"/>
      <c r="J8192" s="39">
        <v>118791</v>
      </c>
      <c r="K8192" s="36" t="str">
        <f>CONCATENATE(Cover!$D$6,"fdd/view?i=",J8192)</f>
        <v>https://www.dgiwg.org/FAD/fdd/view?i=118791</v>
      </c>
      <c r="L8192" s="36" t="s">
        <v>47791</v>
      </c>
      <c r="M8192" s="186"/>
      <c r="N8192" s="186"/>
      <c r="O8192" s="172"/>
    </row>
    <row r="8193" spans="1:15" ht="25.5" x14ac:dyDescent="0.2">
      <c r="A8193" s="197" t="str">
        <f t="shared" si="127"/>
        <v>SorCode_soilAcidification</v>
      </c>
      <c r="B8193" s="409"/>
      <c r="C8193" s="416"/>
      <c r="D8193" s="198" t="s">
        <v>47792</v>
      </c>
      <c r="E8193" s="198">
        <v>4</v>
      </c>
      <c r="F8193" s="199" t="s">
        <v>47793</v>
      </c>
      <c r="G8193" s="1" t="s">
        <v>47794</v>
      </c>
      <c r="H8193" s="200"/>
      <c r="I8193" s="346"/>
      <c r="J8193" s="39">
        <v>118779</v>
      </c>
      <c r="K8193" s="36" t="str">
        <f>CONCATENATE(Cover!$D$6,"fdd/view?i=",J8193)</f>
        <v>https://www.dgiwg.org/FAD/fdd/view?i=118779</v>
      </c>
      <c r="L8193" s="36" t="s">
        <v>47795</v>
      </c>
      <c r="M8193" s="186"/>
      <c r="N8193" s="186"/>
      <c r="O8193" s="172"/>
    </row>
    <row r="8194" spans="1:15" x14ac:dyDescent="0.2">
      <c r="A8194" s="197" t="str">
        <f t="shared" ref="A8194:A8257" si="128">HYPERLINK(K8194,L8194)</f>
        <v>SorCode_soilCoverage</v>
      </c>
      <c r="B8194" s="409"/>
      <c r="C8194" s="416"/>
      <c r="D8194" s="198" t="s">
        <v>47796</v>
      </c>
      <c r="E8194" s="198">
        <v>5</v>
      </c>
      <c r="F8194" s="199" t="s">
        <v>47797</v>
      </c>
      <c r="G8194" s="1" t="s">
        <v>47798</v>
      </c>
      <c r="H8194" s="200"/>
      <c r="I8194" s="346"/>
      <c r="J8194" s="39">
        <v>118780</v>
      </c>
      <c r="K8194" s="36" t="str">
        <f>CONCATENATE(Cover!$D$6,"fdd/view?i=",J8194)</f>
        <v>https://www.dgiwg.org/FAD/fdd/view?i=118780</v>
      </c>
      <c r="L8194" s="36" t="s">
        <v>47799</v>
      </c>
      <c r="M8194" s="186"/>
      <c r="N8194" s="186"/>
      <c r="O8194" s="172"/>
    </row>
    <row r="8195" spans="1:15" x14ac:dyDescent="0.2">
      <c r="A8195" s="197" t="str">
        <f t="shared" si="128"/>
        <v>SorCode_soilSalination</v>
      </c>
      <c r="B8195" s="409"/>
      <c r="C8195" s="416"/>
      <c r="D8195" s="198" t="s">
        <v>47800</v>
      </c>
      <c r="E8195" s="198">
        <v>1</v>
      </c>
      <c r="F8195" s="199" t="s">
        <v>47801</v>
      </c>
      <c r="G8195" s="1" t="s">
        <v>47802</v>
      </c>
      <c r="H8195" s="200"/>
      <c r="I8195" s="346"/>
      <c r="J8195" s="39">
        <v>118776</v>
      </c>
      <c r="K8195" s="36" t="str">
        <f>CONCATENATE(Cover!$D$6,"fdd/view?i=",J8195)</f>
        <v>https://www.dgiwg.org/FAD/fdd/view?i=118776</v>
      </c>
      <c r="L8195" s="36" t="s">
        <v>47803</v>
      </c>
      <c r="M8195" s="186"/>
      <c r="N8195" s="186"/>
      <c r="O8195" s="172"/>
    </row>
    <row r="8196" spans="1:15" x14ac:dyDescent="0.2">
      <c r="A8196" s="197" t="str">
        <f t="shared" si="128"/>
        <v>SorCode_soilWatering</v>
      </c>
      <c r="B8196" s="409"/>
      <c r="C8196" s="416"/>
      <c r="D8196" s="198" t="s">
        <v>47804</v>
      </c>
      <c r="E8196" s="198">
        <v>3</v>
      </c>
      <c r="F8196" s="199" t="s">
        <v>47805</v>
      </c>
      <c r="G8196" s="1" t="s">
        <v>47806</v>
      </c>
      <c r="H8196" s="200"/>
      <c r="I8196" s="346"/>
      <c r="J8196" s="39">
        <v>118778</v>
      </c>
      <c r="K8196" s="36" t="str">
        <f>CONCATENATE(Cover!$D$6,"fdd/view?i=",J8196)</f>
        <v>https://www.dgiwg.org/FAD/fdd/view?i=118778</v>
      </c>
      <c r="L8196" s="36" t="s">
        <v>47807</v>
      </c>
      <c r="M8196" s="186"/>
      <c r="N8196" s="186"/>
      <c r="O8196" s="172"/>
    </row>
    <row r="8197" spans="1:15" ht="25.5" x14ac:dyDescent="0.2">
      <c r="A8197" s="197" t="str">
        <f t="shared" si="128"/>
        <v>SorCode_subrosion</v>
      </c>
      <c r="B8197" s="409"/>
      <c r="C8197" s="416"/>
      <c r="D8197" s="198" t="s">
        <v>47808</v>
      </c>
      <c r="E8197" s="198">
        <v>6</v>
      </c>
      <c r="F8197" s="199" t="s">
        <v>47809</v>
      </c>
      <c r="G8197" s="1" t="s">
        <v>47810</v>
      </c>
      <c r="H8197" s="200"/>
      <c r="I8197" s="346"/>
      <c r="J8197" s="39">
        <v>118781</v>
      </c>
      <c r="K8197" s="36" t="str">
        <f>CONCATENATE(Cover!$D$6,"fdd/view?i=",J8197)</f>
        <v>https://www.dgiwg.org/FAD/fdd/view?i=118781</v>
      </c>
      <c r="L8197" s="36" t="s">
        <v>47811</v>
      </c>
      <c r="M8197" s="186"/>
      <c r="N8197" s="186"/>
      <c r="O8197" s="172"/>
    </row>
    <row r="8198" spans="1:15" ht="25.5" x14ac:dyDescent="0.2">
      <c r="A8198" s="203" t="str">
        <f t="shared" si="128"/>
        <v>SorCode_swampFormation</v>
      </c>
      <c r="B8198" s="410"/>
      <c r="C8198" s="417"/>
      <c r="D8198" s="204" t="s">
        <v>47812</v>
      </c>
      <c r="E8198" s="204">
        <v>8</v>
      </c>
      <c r="F8198" s="205" t="s">
        <v>47813</v>
      </c>
      <c r="G8198" s="206" t="s">
        <v>47814</v>
      </c>
      <c r="H8198" s="207"/>
      <c r="I8198" s="347"/>
      <c r="J8198" s="39">
        <v>118783</v>
      </c>
      <c r="K8198" s="36" t="str">
        <f>CONCATENATE(Cover!$D$6,"fdd/view?i=",J8198)</f>
        <v>https://www.dgiwg.org/FAD/fdd/view?i=118783</v>
      </c>
      <c r="L8198" s="36" t="s">
        <v>47815</v>
      </c>
      <c r="M8198" s="186"/>
      <c r="N8198" s="186"/>
      <c r="O8198" s="172"/>
    </row>
    <row r="8199" spans="1:15" ht="25.5" x14ac:dyDescent="0.2">
      <c r="A8199" s="190" t="str">
        <f t="shared" si="128"/>
        <v>KgeCode_blowOut</v>
      </c>
      <c r="B8199" s="414" t="str">
        <f>HYPERLINK("[#]Datatypes!A1412:L1412","KgeCode")</f>
        <v>KgeCode</v>
      </c>
      <c r="C8199" s="415" t="s">
        <v>16036</v>
      </c>
      <c r="D8199" s="221" t="s">
        <v>47816</v>
      </c>
      <c r="E8199" s="221">
        <v>1</v>
      </c>
      <c r="F8199" s="222" t="s">
        <v>47817</v>
      </c>
      <c r="G8199" s="223" t="s">
        <v>47818</v>
      </c>
      <c r="H8199" s="224"/>
      <c r="I8199" s="352" t="s">
        <v>34103</v>
      </c>
      <c r="J8199" s="39">
        <v>113480</v>
      </c>
      <c r="K8199" s="36" t="str">
        <f>CONCATENATE(Cover!$D$6,"fdd/view?i=",J8199)</f>
        <v>https://www.dgiwg.org/FAD/fdd/view?i=113480</v>
      </c>
      <c r="L8199" s="36" t="s">
        <v>47819</v>
      </c>
      <c r="M8199" s="186"/>
      <c r="N8199" s="186"/>
      <c r="O8199" s="172"/>
    </row>
    <row r="8200" spans="1:15" ht="38.25" x14ac:dyDescent="0.2">
      <c r="A8200" s="197" t="str">
        <f t="shared" si="128"/>
        <v>KgeCode_glacial</v>
      </c>
      <c r="B8200" s="409"/>
      <c r="C8200" s="416"/>
      <c r="D8200" s="198" t="s">
        <v>43175</v>
      </c>
      <c r="E8200" s="198">
        <v>4</v>
      </c>
      <c r="F8200" s="199" t="s">
        <v>43176</v>
      </c>
      <c r="G8200" s="1" t="s">
        <v>47820</v>
      </c>
      <c r="H8200" s="200"/>
      <c r="I8200" s="346"/>
      <c r="J8200" s="39">
        <v>113483</v>
      </c>
      <c r="K8200" s="36" t="str">
        <f>CONCATENATE(Cover!$D$6,"fdd/view?i=",J8200)</f>
        <v>https://www.dgiwg.org/FAD/fdd/view?i=113483</v>
      </c>
      <c r="L8200" s="36" t="s">
        <v>47821</v>
      </c>
      <c r="M8200" s="186"/>
      <c r="N8200" s="186"/>
      <c r="O8200" s="172"/>
    </row>
    <row r="8201" spans="1:15" ht="25.5" x14ac:dyDescent="0.2">
      <c r="A8201" s="197" t="str">
        <f t="shared" si="128"/>
        <v>KgeCode_massMovement</v>
      </c>
      <c r="B8201" s="409"/>
      <c r="C8201" s="416"/>
      <c r="D8201" s="198" t="s">
        <v>47822</v>
      </c>
      <c r="E8201" s="198">
        <v>5</v>
      </c>
      <c r="F8201" s="199" t="s">
        <v>47823</v>
      </c>
      <c r="G8201" s="1" t="s">
        <v>47824</v>
      </c>
      <c r="H8201" s="200"/>
      <c r="I8201" s="346"/>
      <c r="J8201" s="39">
        <v>113484</v>
      </c>
      <c r="K8201" s="36" t="str">
        <f>CONCATENATE(Cover!$D$6,"fdd/view?i=",J8201)</f>
        <v>https://www.dgiwg.org/FAD/fdd/view?i=113484</v>
      </c>
      <c r="L8201" s="36" t="s">
        <v>47825</v>
      </c>
      <c r="M8201" s="186"/>
      <c r="N8201" s="186"/>
      <c r="O8201" s="172"/>
    </row>
    <row r="8202" spans="1:15" ht="38.25" x14ac:dyDescent="0.2">
      <c r="A8202" s="197" t="str">
        <f t="shared" si="128"/>
        <v>KgeCode_precipitation</v>
      </c>
      <c r="B8202" s="409"/>
      <c r="C8202" s="416"/>
      <c r="D8202" s="198" t="s">
        <v>47826</v>
      </c>
      <c r="E8202" s="198">
        <v>2</v>
      </c>
      <c r="F8202" s="199" t="s">
        <v>47827</v>
      </c>
      <c r="G8202" s="1" t="s">
        <v>47828</v>
      </c>
      <c r="H8202" s="1" t="s">
        <v>47829</v>
      </c>
      <c r="I8202" s="346"/>
      <c r="J8202" s="39">
        <v>113481</v>
      </c>
      <c r="K8202" s="36" t="str">
        <f>CONCATENATE(Cover!$D$6,"fdd/view?i=",J8202)</f>
        <v>https://www.dgiwg.org/FAD/fdd/view?i=113481</v>
      </c>
      <c r="L8202" s="36" t="s">
        <v>47830</v>
      </c>
      <c r="M8202" s="186"/>
      <c r="N8202" s="186"/>
      <c r="O8202" s="172"/>
    </row>
    <row r="8203" spans="1:15" x14ac:dyDescent="0.2">
      <c r="A8203" s="197" t="str">
        <f t="shared" si="128"/>
        <v>KgeCode_surf</v>
      </c>
      <c r="B8203" s="409"/>
      <c r="C8203" s="416"/>
      <c r="D8203" s="198" t="s">
        <v>47706</v>
      </c>
      <c r="E8203" s="198">
        <v>6</v>
      </c>
      <c r="F8203" s="199" t="s">
        <v>47707</v>
      </c>
      <c r="G8203" s="1" t="s">
        <v>47831</v>
      </c>
      <c r="H8203" s="200"/>
      <c r="I8203" s="346"/>
      <c r="J8203" s="39">
        <v>113485</v>
      </c>
      <c r="K8203" s="36" t="str">
        <f>CONCATENATE(Cover!$D$6,"fdd/view?i=",J8203)</f>
        <v>https://www.dgiwg.org/FAD/fdd/view?i=113485</v>
      </c>
      <c r="L8203" s="36" t="s">
        <v>47832</v>
      </c>
      <c r="M8203" s="186"/>
      <c r="N8203" s="186"/>
      <c r="O8203" s="172"/>
    </row>
    <row r="8204" spans="1:15" ht="51" x14ac:dyDescent="0.2">
      <c r="A8204" s="197" t="str">
        <f t="shared" si="128"/>
        <v>KgeCode_thermalCycle</v>
      </c>
      <c r="B8204" s="409"/>
      <c r="C8204" s="416"/>
      <c r="D8204" s="198" t="s">
        <v>47833</v>
      </c>
      <c r="E8204" s="198">
        <v>3</v>
      </c>
      <c r="F8204" s="199" t="s">
        <v>47834</v>
      </c>
      <c r="G8204" s="1" t="s">
        <v>47835</v>
      </c>
      <c r="H8204" s="200"/>
      <c r="I8204" s="346"/>
      <c r="J8204" s="39">
        <v>113482</v>
      </c>
      <c r="K8204" s="36" t="str">
        <f>CONCATENATE(Cover!$D$6,"fdd/view?i=",J8204)</f>
        <v>https://www.dgiwg.org/FAD/fdd/view?i=113482</v>
      </c>
      <c r="L8204" s="36" t="s">
        <v>47836</v>
      </c>
      <c r="M8204" s="186"/>
      <c r="N8204" s="186"/>
      <c r="O8204" s="172"/>
    </row>
    <row r="8205" spans="1:15" ht="25.5" x14ac:dyDescent="0.2">
      <c r="A8205" s="197" t="str">
        <f t="shared" si="128"/>
        <v>KgeCode_tidalWave</v>
      </c>
      <c r="B8205" s="409"/>
      <c r="C8205" s="416"/>
      <c r="D8205" s="198" t="s">
        <v>47718</v>
      </c>
      <c r="E8205" s="198">
        <v>7</v>
      </c>
      <c r="F8205" s="199" t="s">
        <v>47719</v>
      </c>
      <c r="G8205" s="1" t="s">
        <v>47837</v>
      </c>
      <c r="H8205" s="200"/>
      <c r="I8205" s="346"/>
      <c r="J8205" s="39">
        <v>113486</v>
      </c>
      <c r="K8205" s="36" t="str">
        <f>CONCATENATE(Cover!$D$6,"fdd/view?i=",J8205)</f>
        <v>https://www.dgiwg.org/FAD/fdd/view?i=113486</v>
      </c>
      <c r="L8205" s="36" t="s">
        <v>47838</v>
      </c>
      <c r="M8205" s="186"/>
      <c r="N8205" s="186"/>
      <c r="O8205" s="172"/>
    </row>
    <row r="8206" spans="1:15" ht="25.5" x14ac:dyDescent="0.2">
      <c r="A8206" s="197" t="str">
        <f t="shared" si="128"/>
        <v>KgeCode_underwash</v>
      </c>
      <c r="B8206" s="409"/>
      <c r="C8206" s="416"/>
      <c r="D8206" s="198" t="s">
        <v>47839</v>
      </c>
      <c r="E8206" s="198">
        <v>8</v>
      </c>
      <c r="F8206" s="199" t="s">
        <v>47840</v>
      </c>
      <c r="G8206" s="1" t="s">
        <v>47841</v>
      </c>
      <c r="H8206" s="200"/>
      <c r="I8206" s="346"/>
      <c r="J8206" s="39">
        <v>113487</v>
      </c>
      <c r="K8206" s="36" t="str">
        <f>CONCATENATE(Cover!$D$6,"fdd/view?i=",J8206)</f>
        <v>https://www.dgiwg.org/FAD/fdd/view?i=113487</v>
      </c>
      <c r="L8206" s="36" t="s">
        <v>47842</v>
      </c>
      <c r="M8206" s="186"/>
      <c r="N8206" s="186"/>
      <c r="O8206" s="172"/>
    </row>
    <row r="8207" spans="1:15" x14ac:dyDescent="0.2">
      <c r="A8207" s="197" t="str">
        <f t="shared" si="128"/>
        <v>KgeCode_water</v>
      </c>
      <c r="B8207" s="409"/>
      <c r="C8207" s="416"/>
      <c r="D8207" s="198" t="s">
        <v>19606</v>
      </c>
      <c r="E8207" s="198">
        <v>10</v>
      </c>
      <c r="F8207" s="199" t="s">
        <v>19607</v>
      </c>
      <c r="G8207" s="1" t="s">
        <v>47843</v>
      </c>
      <c r="H8207" s="200"/>
      <c r="I8207" s="346"/>
      <c r="J8207" s="39">
        <v>113488</v>
      </c>
      <c r="K8207" s="36" t="str">
        <f>CONCATENATE(Cover!$D$6,"fdd/view?i=",J8207)</f>
        <v>https://www.dgiwg.org/FAD/fdd/view?i=113488</v>
      </c>
      <c r="L8207" s="36" t="s">
        <v>47844</v>
      </c>
      <c r="M8207" s="186"/>
      <c r="N8207" s="186"/>
      <c r="O8207" s="172"/>
    </row>
    <row r="8208" spans="1:15" x14ac:dyDescent="0.2">
      <c r="A8208" s="203" t="str">
        <f t="shared" si="128"/>
        <v>KgeCode_wind</v>
      </c>
      <c r="B8208" s="410"/>
      <c r="C8208" s="417"/>
      <c r="D8208" s="204" t="s">
        <v>31848</v>
      </c>
      <c r="E8208" s="204">
        <v>11</v>
      </c>
      <c r="F8208" s="205" t="s">
        <v>31849</v>
      </c>
      <c r="G8208" s="206" t="s">
        <v>47845</v>
      </c>
      <c r="H8208" s="207"/>
      <c r="I8208" s="347"/>
      <c r="J8208" s="39">
        <v>113489</v>
      </c>
      <c r="K8208" s="36" t="str">
        <f>CONCATENATE(Cover!$D$6,"fdd/view?i=",J8208)</f>
        <v>https://www.dgiwg.org/FAD/fdd/view?i=113489</v>
      </c>
      <c r="L8208" s="36" t="s">
        <v>47846</v>
      </c>
      <c r="M8208" s="186"/>
      <c r="N8208" s="186"/>
      <c r="O8208" s="172"/>
    </row>
    <row r="8209" spans="1:15" x14ac:dyDescent="0.2">
      <c r="A8209" s="190" t="str">
        <f t="shared" si="128"/>
        <v>StpCode_clayeyGravel</v>
      </c>
      <c r="B8209" s="414" t="str">
        <f>HYPERLINK("[#]Datatypes!A1414:L1414","StpCode")</f>
        <v>StpCode</v>
      </c>
      <c r="C8209" s="415" t="s">
        <v>16038</v>
      </c>
      <c r="D8209" s="221" t="s">
        <v>47857</v>
      </c>
      <c r="E8209" s="221">
        <v>4</v>
      </c>
      <c r="F8209" s="222" t="s">
        <v>47858</v>
      </c>
      <c r="G8209" s="223" t="s">
        <v>47859</v>
      </c>
      <c r="H8209" s="224"/>
      <c r="I8209" s="345"/>
      <c r="J8209" s="39">
        <v>108311</v>
      </c>
      <c r="K8209" s="36" t="str">
        <f>CONCATENATE(Cover!$D$6,"fdd/view?i=",J8209)</f>
        <v>https://www.dgiwg.org/FAD/fdd/view?i=108311</v>
      </c>
      <c r="L8209" s="36" t="s">
        <v>47860</v>
      </c>
      <c r="M8209" s="186"/>
      <c r="N8209" s="186"/>
      <c r="O8209" s="172"/>
    </row>
    <row r="8210" spans="1:15" x14ac:dyDescent="0.2">
      <c r="A8210" s="197" t="str">
        <f t="shared" si="128"/>
        <v>StpCode_clayeySand</v>
      </c>
      <c r="B8210" s="409"/>
      <c r="C8210" s="416"/>
      <c r="D8210" s="198" t="s">
        <v>47900</v>
      </c>
      <c r="E8210" s="198">
        <v>8</v>
      </c>
      <c r="F8210" s="199" t="s">
        <v>47901</v>
      </c>
      <c r="G8210" s="1" t="s">
        <v>47902</v>
      </c>
      <c r="H8210" s="200"/>
      <c r="I8210" s="346"/>
      <c r="J8210" s="39">
        <v>108315</v>
      </c>
      <c r="K8210" s="36" t="str">
        <f>CONCATENATE(Cover!$D$6,"fdd/view?i=",J8210)</f>
        <v>https://www.dgiwg.org/FAD/fdd/view?i=108315</v>
      </c>
      <c r="L8210" s="36" t="s">
        <v>47903</v>
      </c>
      <c r="M8210" s="186"/>
      <c r="N8210" s="186"/>
      <c r="O8210" s="172"/>
    </row>
    <row r="8211" spans="1:15" ht="25.5" x14ac:dyDescent="0.2">
      <c r="A8211" s="197" t="str">
        <f t="shared" si="128"/>
        <v>StpCode_evaporite</v>
      </c>
      <c r="B8211" s="409"/>
      <c r="C8211" s="416"/>
      <c r="D8211" s="198" t="s">
        <v>45939</v>
      </c>
      <c r="E8211" s="198">
        <v>18</v>
      </c>
      <c r="F8211" s="199" t="s">
        <v>45940</v>
      </c>
      <c r="G8211" s="1" t="s">
        <v>47855</v>
      </c>
      <c r="H8211" s="200"/>
      <c r="I8211" s="346"/>
      <c r="J8211" s="39">
        <v>108324</v>
      </c>
      <c r="K8211" s="36" t="str">
        <f>CONCATENATE(Cover!$D$6,"fdd/view?i=",J8211)</f>
        <v>https://www.dgiwg.org/FAD/fdd/view?i=108324</v>
      </c>
      <c r="L8211" s="36" t="s">
        <v>47856</v>
      </c>
      <c r="M8211" s="186"/>
      <c r="N8211" s="186"/>
      <c r="O8211" s="172"/>
    </row>
    <row r="8212" spans="1:15" x14ac:dyDescent="0.2">
      <c r="A8212" s="197" t="str">
        <f t="shared" si="128"/>
        <v>StpCode_fatClay</v>
      </c>
      <c r="B8212" s="409"/>
      <c r="C8212" s="416"/>
      <c r="D8212" s="198" t="s">
        <v>47847</v>
      </c>
      <c r="E8212" s="198">
        <v>12</v>
      </c>
      <c r="F8212" s="199" t="s">
        <v>47848</v>
      </c>
      <c r="G8212" s="1" t="s">
        <v>47849</v>
      </c>
      <c r="H8212" s="200"/>
      <c r="I8212" s="346"/>
      <c r="J8212" s="39">
        <v>108319</v>
      </c>
      <c r="K8212" s="36" t="str">
        <f>CONCATENATE(Cover!$D$6,"fdd/view?i=",J8212)</f>
        <v>https://www.dgiwg.org/FAD/fdd/view?i=108319</v>
      </c>
      <c r="L8212" s="36" t="s">
        <v>47850</v>
      </c>
      <c r="M8212" s="186"/>
      <c r="N8212" s="186"/>
      <c r="O8212" s="172"/>
    </row>
    <row r="8213" spans="1:15" ht="25.5" x14ac:dyDescent="0.2">
      <c r="A8213" s="197" t="str">
        <f t="shared" si="128"/>
        <v>StpCode_leanClay</v>
      </c>
      <c r="B8213" s="409"/>
      <c r="C8213" s="416"/>
      <c r="D8213" s="198" t="s">
        <v>47851</v>
      </c>
      <c r="E8213" s="198">
        <v>10</v>
      </c>
      <c r="F8213" s="199" t="s">
        <v>47852</v>
      </c>
      <c r="G8213" s="1" t="s">
        <v>47853</v>
      </c>
      <c r="H8213" s="200"/>
      <c r="I8213" s="346"/>
      <c r="J8213" s="39">
        <v>108317</v>
      </c>
      <c r="K8213" s="36" t="str">
        <f>CONCATENATE(Cover!$D$6,"fdd/view?i=",J8213)</f>
        <v>https://www.dgiwg.org/FAD/fdd/view?i=108317</v>
      </c>
      <c r="L8213" s="36" t="s">
        <v>47854</v>
      </c>
      <c r="M8213" s="186"/>
      <c r="N8213" s="186"/>
      <c r="O8213" s="172"/>
    </row>
    <row r="8214" spans="1:15" x14ac:dyDescent="0.2">
      <c r="A8214" s="197" t="str">
        <f t="shared" si="128"/>
        <v>StpCode_micraceous</v>
      </c>
      <c r="B8214" s="409"/>
      <c r="C8214" s="416"/>
      <c r="D8214" s="198" t="s">
        <v>47873</v>
      </c>
      <c r="E8214" s="198">
        <v>13</v>
      </c>
      <c r="F8214" s="199" t="s">
        <v>47874</v>
      </c>
      <c r="G8214" s="1" t="s">
        <v>47875</v>
      </c>
      <c r="H8214" s="200"/>
      <c r="I8214" s="346"/>
      <c r="J8214" s="39">
        <v>108320</v>
      </c>
      <c r="K8214" s="36" t="str">
        <f>CONCATENATE(Cover!$D$6,"fdd/view?i=",J8214)</f>
        <v>https://www.dgiwg.org/FAD/fdd/view?i=108320</v>
      </c>
      <c r="L8214" s="36" t="s">
        <v>47876</v>
      </c>
      <c r="M8214" s="186"/>
      <c r="N8214" s="186"/>
      <c r="O8214" s="172"/>
    </row>
    <row r="8215" spans="1:15" x14ac:dyDescent="0.2">
      <c r="A8215" s="197" t="str">
        <f t="shared" si="128"/>
        <v>StpCode_notEvaluated</v>
      </c>
      <c r="B8215" s="409"/>
      <c r="C8215" s="416"/>
      <c r="D8215" s="198" t="s">
        <v>47885</v>
      </c>
      <c r="E8215" s="198">
        <v>99</v>
      </c>
      <c r="F8215" s="199" t="s">
        <v>47886</v>
      </c>
      <c r="G8215" s="1" t="s">
        <v>47887</v>
      </c>
      <c r="H8215" s="200"/>
      <c r="I8215" s="346"/>
      <c r="J8215" s="39">
        <v>108325</v>
      </c>
      <c r="K8215" s="36" t="str">
        <f>CONCATENATE(Cover!$D$6,"fdd/view?i=",J8215)</f>
        <v>https://www.dgiwg.org/FAD/fdd/view?i=108325</v>
      </c>
      <c r="L8215" s="36" t="s">
        <v>47888</v>
      </c>
      <c r="M8215" s="186"/>
      <c r="N8215" s="186"/>
      <c r="O8215" s="172"/>
    </row>
    <row r="8216" spans="1:15" x14ac:dyDescent="0.2">
      <c r="A8216" s="197" t="str">
        <f t="shared" si="128"/>
        <v>StpCode_organicClay</v>
      </c>
      <c r="B8216" s="409"/>
      <c r="C8216" s="416"/>
      <c r="D8216" s="198" t="s">
        <v>47889</v>
      </c>
      <c r="E8216" s="198">
        <v>14</v>
      </c>
      <c r="F8216" s="199" t="s">
        <v>47890</v>
      </c>
      <c r="G8216" s="1" t="s">
        <v>47891</v>
      </c>
      <c r="H8216" s="200"/>
      <c r="I8216" s="346"/>
      <c r="J8216" s="39">
        <v>108321</v>
      </c>
      <c r="K8216" s="36" t="str">
        <f>CONCATENATE(Cover!$D$6,"fdd/view?i=",J8216)</f>
        <v>https://www.dgiwg.org/FAD/fdd/view?i=108321</v>
      </c>
      <c r="L8216" s="36" t="s">
        <v>47892</v>
      </c>
      <c r="M8216" s="186"/>
      <c r="N8216" s="186"/>
      <c r="O8216" s="172"/>
    </row>
    <row r="8217" spans="1:15" ht="25.5" x14ac:dyDescent="0.2">
      <c r="A8217" s="197" t="str">
        <f t="shared" si="128"/>
        <v>StpCode_organicSiltandClay</v>
      </c>
      <c r="B8217" s="409"/>
      <c r="C8217" s="416"/>
      <c r="D8217" s="198" t="s">
        <v>47893</v>
      </c>
      <c r="E8217" s="198">
        <v>11</v>
      </c>
      <c r="F8217" s="199" t="s">
        <v>47894</v>
      </c>
      <c r="G8217" s="1" t="s">
        <v>47895</v>
      </c>
      <c r="H8217" s="200"/>
      <c r="I8217" s="346"/>
      <c r="J8217" s="39">
        <v>108318</v>
      </c>
      <c r="K8217" s="36" t="str">
        <f>CONCATENATE(Cover!$D$6,"fdd/view?i=",J8217)</f>
        <v>https://www.dgiwg.org/FAD/fdd/view?i=108318</v>
      </c>
      <c r="L8217" s="36" t="s">
        <v>47896</v>
      </c>
      <c r="M8217" s="186"/>
      <c r="N8217" s="186"/>
      <c r="O8217" s="172"/>
    </row>
    <row r="8218" spans="1:15" x14ac:dyDescent="0.2">
      <c r="A8218" s="197" t="str">
        <f t="shared" si="128"/>
        <v>StpCode_peat</v>
      </c>
      <c r="B8218" s="409"/>
      <c r="C8218" s="416"/>
      <c r="D8218" s="198" t="s">
        <v>24169</v>
      </c>
      <c r="E8218" s="198">
        <v>15</v>
      </c>
      <c r="F8218" s="199" t="s">
        <v>47897</v>
      </c>
      <c r="G8218" s="1" t="s">
        <v>47898</v>
      </c>
      <c r="H8218" s="200"/>
      <c r="I8218" s="346"/>
      <c r="J8218" s="39">
        <v>108322</v>
      </c>
      <c r="K8218" s="36" t="str">
        <f>CONCATENATE(Cover!$D$6,"fdd/view?i=",J8218)</f>
        <v>https://www.dgiwg.org/FAD/fdd/view?i=108322</v>
      </c>
      <c r="L8218" s="36" t="s">
        <v>47899</v>
      </c>
      <c r="M8218" s="186"/>
      <c r="N8218" s="186"/>
      <c r="O8218" s="172"/>
    </row>
    <row r="8219" spans="1:15" ht="25.5" x14ac:dyDescent="0.2">
      <c r="A8219" s="197" t="str">
        <f t="shared" si="128"/>
        <v>StpCode_poorlyGradedGravel</v>
      </c>
      <c r="B8219" s="409"/>
      <c r="C8219" s="416"/>
      <c r="D8219" s="198" t="s">
        <v>47865</v>
      </c>
      <c r="E8219" s="198">
        <v>2</v>
      </c>
      <c r="F8219" s="199" t="s">
        <v>47866</v>
      </c>
      <c r="G8219" s="1" t="s">
        <v>47867</v>
      </c>
      <c r="H8219" s="200"/>
      <c r="I8219" s="346"/>
      <c r="J8219" s="39">
        <v>108309</v>
      </c>
      <c r="K8219" s="36" t="str">
        <f>CONCATENATE(Cover!$D$6,"fdd/view?i=",J8219)</f>
        <v>https://www.dgiwg.org/FAD/fdd/view?i=108309</v>
      </c>
      <c r="L8219" s="36" t="s">
        <v>47868</v>
      </c>
      <c r="M8219" s="186"/>
      <c r="N8219" s="186"/>
      <c r="O8219" s="172"/>
    </row>
    <row r="8220" spans="1:15" ht="25.5" x14ac:dyDescent="0.2">
      <c r="A8220" s="197" t="str">
        <f t="shared" si="128"/>
        <v>StpCode_poorlyGradedSand</v>
      </c>
      <c r="B8220" s="409"/>
      <c r="C8220" s="416"/>
      <c r="D8220" s="198" t="s">
        <v>47908</v>
      </c>
      <c r="E8220" s="198">
        <v>6</v>
      </c>
      <c r="F8220" s="199" t="s">
        <v>47909</v>
      </c>
      <c r="G8220" s="1" t="s">
        <v>47910</v>
      </c>
      <c r="H8220" s="200"/>
      <c r="I8220" s="346"/>
      <c r="J8220" s="39">
        <v>108313</v>
      </c>
      <c r="K8220" s="36" t="str">
        <f>CONCATENATE(Cover!$D$6,"fdd/view?i=",J8220)</f>
        <v>https://www.dgiwg.org/FAD/fdd/view?i=108313</v>
      </c>
      <c r="L8220" s="36" t="s">
        <v>47911</v>
      </c>
      <c r="M8220" s="186"/>
      <c r="N8220" s="186"/>
      <c r="O8220" s="172"/>
    </row>
    <row r="8221" spans="1:15" ht="25.5" x14ac:dyDescent="0.2">
      <c r="A8221" s="197" t="str">
        <f t="shared" si="128"/>
        <v>StpCode_siltAndFineSand</v>
      </c>
      <c r="B8221" s="409"/>
      <c r="C8221" s="416"/>
      <c r="D8221" s="198" t="s">
        <v>47877</v>
      </c>
      <c r="E8221" s="198">
        <v>9</v>
      </c>
      <c r="F8221" s="199" t="s">
        <v>47878</v>
      </c>
      <c r="G8221" s="1" t="s">
        <v>47879</v>
      </c>
      <c r="H8221" s="200"/>
      <c r="I8221" s="346"/>
      <c r="J8221" s="39">
        <v>108316</v>
      </c>
      <c r="K8221" s="36" t="str">
        <f>CONCATENATE(Cover!$D$6,"fdd/view?i=",J8221)</f>
        <v>https://www.dgiwg.org/FAD/fdd/view?i=108316</v>
      </c>
      <c r="L8221" s="36" t="s">
        <v>47880</v>
      </c>
      <c r="M8221" s="186"/>
      <c r="N8221" s="186"/>
      <c r="O8221" s="172"/>
    </row>
    <row r="8222" spans="1:15" ht="51" x14ac:dyDescent="0.2">
      <c r="A8222" s="197" t="str">
        <f t="shared" si="128"/>
        <v>StpCode_siltFineSandLeanClay</v>
      </c>
      <c r="B8222" s="409"/>
      <c r="C8222" s="416"/>
      <c r="D8222" s="198" t="s">
        <v>47881</v>
      </c>
      <c r="E8222" s="198">
        <v>17</v>
      </c>
      <c r="F8222" s="199" t="s">
        <v>47882</v>
      </c>
      <c r="G8222" s="1" t="s">
        <v>47883</v>
      </c>
      <c r="H8222" s="200"/>
      <c r="I8222" s="346"/>
      <c r="J8222" s="39">
        <v>108323</v>
      </c>
      <c r="K8222" s="36" t="str">
        <f>CONCATENATE(Cover!$D$6,"fdd/view?i=",J8222)</f>
        <v>https://www.dgiwg.org/FAD/fdd/view?i=108323</v>
      </c>
      <c r="L8222" s="36" t="s">
        <v>47884</v>
      </c>
      <c r="M8222" s="186"/>
      <c r="N8222" s="186"/>
      <c r="O8222" s="172"/>
    </row>
    <row r="8223" spans="1:15" ht="25.5" x14ac:dyDescent="0.2">
      <c r="A8223" s="197" t="str">
        <f t="shared" si="128"/>
        <v>StpCode_siltyGravelSand</v>
      </c>
      <c r="B8223" s="409"/>
      <c r="C8223" s="416"/>
      <c r="D8223" s="198" t="s">
        <v>47861</v>
      </c>
      <c r="E8223" s="198">
        <v>3</v>
      </c>
      <c r="F8223" s="199" t="s">
        <v>47862</v>
      </c>
      <c r="G8223" s="1" t="s">
        <v>47863</v>
      </c>
      <c r="H8223" s="200"/>
      <c r="I8223" s="346"/>
      <c r="J8223" s="39">
        <v>108310</v>
      </c>
      <c r="K8223" s="36" t="str">
        <f>CONCATENATE(Cover!$D$6,"fdd/view?i=",J8223)</f>
        <v>https://www.dgiwg.org/FAD/fdd/view?i=108310</v>
      </c>
      <c r="L8223" s="36" t="s">
        <v>47864</v>
      </c>
      <c r="M8223" s="186"/>
      <c r="N8223" s="186"/>
      <c r="O8223" s="172"/>
    </row>
    <row r="8224" spans="1:15" x14ac:dyDescent="0.2">
      <c r="A8224" s="197" t="str">
        <f t="shared" si="128"/>
        <v>StpCode_siltySand</v>
      </c>
      <c r="B8224" s="409"/>
      <c r="C8224" s="416"/>
      <c r="D8224" s="198" t="s">
        <v>47904</v>
      </c>
      <c r="E8224" s="198">
        <v>7</v>
      </c>
      <c r="F8224" s="199" t="s">
        <v>47905</v>
      </c>
      <c r="G8224" s="1" t="s">
        <v>47906</v>
      </c>
      <c r="H8224" s="200"/>
      <c r="I8224" s="346"/>
      <c r="J8224" s="39">
        <v>108314</v>
      </c>
      <c r="K8224" s="36" t="str">
        <f>CONCATENATE(Cover!$D$6,"fdd/view?i=",J8224)</f>
        <v>https://www.dgiwg.org/FAD/fdd/view?i=108314</v>
      </c>
      <c r="L8224" s="36" t="s">
        <v>47907</v>
      </c>
      <c r="M8224" s="186"/>
      <c r="N8224" s="186"/>
      <c r="O8224" s="172"/>
    </row>
    <row r="8225" spans="1:15" ht="25.5" x14ac:dyDescent="0.2">
      <c r="A8225" s="197" t="str">
        <f t="shared" si="128"/>
        <v>StpCode_wellGradedGravel</v>
      </c>
      <c r="B8225" s="409"/>
      <c r="C8225" s="416"/>
      <c r="D8225" s="198" t="s">
        <v>47869</v>
      </c>
      <c r="E8225" s="198">
        <v>1</v>
      </c>
      <c r="F8225" s="199" t="s">
        <v>47870</v>
      </c>
      <c r="G8225" s="1" t="s">
        <v>47871</v>
      </c>
      <c r="H8225" s="200"/>
      <c r="I8225" s="346"/>
      <c r="J8225" s="39">
        <v>108308</v>
      </c>
      <c r="K8225" s="36" t="str">
        <f>CONCATENATE(Cover!$D$6,"fdd/view?i=",J8225)</f>
        <v>https://www.dgiwg.org/FAD/fdd/view?i=108308</v>
      </c>
      <c r="L8225" s="36" t="s">
        <v>47872</v>
      </c>
      <c r="M8225" s="186"/>
      <c r="N8225" s="186"/>
      <c r="O8225" s="172"/>
    </row>
    <row r="8226" spans="1:15" ht="25.5" x14ac:dyDescent="0.2">
      <c r="A8226" s="203" t="str">
        <f t="shared" si="128"/>
        <v>StpCode_wellGradedSand</v>
      </c>
      <c r="B8226" s="410"/>
      <c r="C8226" s="417"/>
      <c r="D8226" s="204" t="s">
        <v>47912</v>
      </c>
      <c r="E8226" s="204">
        <v>5</v>
      </c>
      <c r="F8226" s="205" t="s">
        <v>47913</v>
      </c>
      <c r="G8226" s="206" t="s">
        <v>47914</v>
      </c>
      <c r="H8226" s="207"/>
      <c r="I8226" s="347"/>
      <c r="J8226" s="39">
        <v>108312</v>
      </c>
      <c r="K8226" s="36" t="str">
        <f>CONCATENATE(Cover!$D$6,"fdd/view?i=",J8226)</f>
        <v>https://www.dgiwg.org/FAD/fdd/view?i=108312</v>
      </c>
      <c r="L8226" s="36" t="s">
        <v>47915</v>
      </c>
      <c r="M8226" s="186"/>
      <c r="N8226" s="186"/>
      <c r="O8226" s="172"/>
    </row>
    <row r="8227" spans="1:15" ht="25.5" x14ac:dyDescent="0.2">
      <c r="A8227" s="190" t="str">
        <f t="shared" si="128"/>
        <v>SuqCode_abrubtic</v>
      </c>
      <c r="B8227" s="414" t="str">
        <f>HYPERLINK("[#]Datatypes!A1416:L1416","SuqCode")</f>
        <v>SuqCode</v>
      </c>
      <c r="C8227" s="415" t="s">
        <v>16040</v>
      </c>
      <c r="D8227" s="221" t="s">
        <v>47916</v>
      </c>
      <c r="E8227" s="221">
        <v>1</v>
      </c>
      <c r="F8227" s="222" t="s">
        <v>47917</v>
      </c>
      <c r="G8227" s="223" t="s">
        <v>47918</v>
      </c>
      <c r="H8227" s="223" t="s">
        <v>47919</v>
      </c>
      <c r="I8227" s="345"/>
      <c r="J8227" s="39">
        <v>113869</v>
      </c>
      <c r="K8227" s="36" t="str">
        <f>CONCATENATE(Cover!$D$6,"fdd/view?i=",J8227)</f>
        <v>https://www.dgiwg.org/FAD/fdd/view?i=113869</v>
      </c>
      <c r="L8227" s="36" t="s">
        <v>47920</v>
      </c>
      <c r="M8227" s="186"/>
      <c r="N8227" s="186"/>
      <c r="O8227" s="172"/>
    </row>
    <row r="8228" spans="1:15" ht="38.25" x14ac:dyDescent="0.2">
      <c r="A8228" s="197" t="str">
        <f t="shared" si="128"/>
        <v>SuqCode_aceric</v>
      </c>
      <c r="B8228" s="409"/>
      <c r="C8228" s="416"/>
      <c r="D8228" s="198" t="s">
        <v>47921</v>
      </c>
      <c r="E8228" s="198">
        <v>2</v>
      </c>
      <c r="F8228" s="199" t="s">
        <v>47922</v>
      </c>
      <c r="G8228" s="1" t="s">
        <v>47923</v>
      </c>
      <c r="H8228" s="1" t="s">
        <v>47924</v>
      </c>
      <c r="I8228" s="346"/>
      <c r="J8228" s="39">
        <v>113870</v>
      </c>
      <c r="K8228" s="36" t="str">
        <f>CONCATENATE(Cover!$D$6,"fdd/view?i=",J8228)</f>
        <v>https://www.dgiwg.org/FAD/fdd/view?i=113870</v>
      </c>
      <c r="L8228" s="36" t="s">
        <v>47925</v>
      </c>
      <c r="M8228" s="186"/>
      <c r="N8228" s="186"/>
      <c r="O8228" s="172"/>
    </row>
    <row r="8229" spans="1:15" ht="102" x14ac:dyDescent="0.2">
      <c r="A8229" s="197" t="str">
        <f t="shared" si="128"/>
        <v>SuqCode_acric</v>
      </c>
      <c r="B8229" s="409"/>
      <c r="C8229" s="416"/>
      <c r="D8229" s="198" t="s">
        <v>47926</v>
      </c>
      <c r="E8229" s="198">
        <v>3</v>
      </c>
      <c r="F8229" s="199" t="s">
        <v>47927</v>
      </c>
      <c r="G8229" s="1" t="s">
        <v>47928</v>
      </c>
      <c r="H8229" s="1" t="s">
        <v>47929</v>
      </c>
      <c r="I8229" s="346"/>
      <c r="J8229" s="39">
        <v>113871</v>
      </c>
      <c r="K8229" s="36" t="str">
        <f>CONCATENATE(Cover!$D$6,"fdd/view?i=",J8229)</f>
        <v>https://www.dgiwg.org/FAD/fdd/view?i=113871</v>
      </c>
      <c r="L8229" s="36" t="s">
        <v>47930</v>
      </c>
      <c r="M8229" s="186"/>
      <c r="N8229" s="186"/>
      <c r="O8229" s="172"/>
    </row>
    <row r="8230" spans="1:15" ht="51" x14ac:dyDescent="0.2">
      <c r="A8230" s="197" t="str">
        <f t="shared" si="128"/>
        <v>SuqCode_acroxic</v>
      </c>
      <c r="B8230" s="409"/>
      <c r="C8230" s="416"/>
      <c r="D8230" s="198" t="s">
        <v>47931</v>
      </c>
      <c r="E8230" s="198">
        <v>4</v>
      </c>
      <c r="F8230" s="199" t="s">
        <v>47932</v>
      </c>
      <c r="G8230" s="1" t="s">
        <v>47933</v>
      </c>
      <c r="H8230" s="1" t="s">
        <v>47934</v>
      </c>
      <c r="I8230" s="346"/>
      <c r="J8230" s="39">
        <v>113872</v>
      </c>
      <c r="K8230" s="36" t="str">
        <f>CONCATENATE(Cover!$D$6,"fdd/view?i=",J8230)</f>
        <v>https://www.dgiwg.org/FAD/fdd/view?i=113872</v>
      </c>
      <c r="L8230" s="36" t="s">
        <v>47935</v>
      </c>
      <c r="M8230" s="186"/>
      <c r="N8230" s="186"/>
      <c r="O8230" s="172"/>
    </row>
    <row r="8231" spans="1:15" ht="25.5" x14ac:dyDescent="0.2">
      <c r="A8231" s="197" t="str">
        <f t="shared" si="128"/>
        <v>SuqCode_albic</v>
      </c>
      <c r="B8231" s="409"/>
      <c r="C8231" s="416"/>
      <c r="D8231" s="198" t="s">
        <v>47936</v>
      </c>
      <c r="E8231" s="198">
        <v>5</v>
      </c>
      <c r="F8231" s="199" t="s">
        <v>47937</v>
      </c>
      <c r="G8231" s="1" t="s">
        <v>47938</v>
      </c>
      <c r="H8231" s="1" t="s">
        <v>47939</v>
      </c>
      <c r="I8231" s="346"/>
      <c r="J8231" s="39">
        <v>113873</v>
      </c>
      <c r="K8231" s="36" t="str">
        <f>CONCATENATE(Cover!$D$6,"fdd/view?i=",J8231)</f>
        <v>https://www.dgiwg.org/FAD/fdd/view?i=113873</v>
      </c>
      <c r="L8231" s="36" t="s">
        <v>47940</v>
      </c>
      <c r="M8231" s="186"/>
      <c r="N8231" s="186"/>
      <c r="O8231" s="172"/>
    </row>
    <row r="8232" spans="1:15" ht="38.25" x14ac:dyDescent="0.2">
      <c r="A8232" s="197" t="str">
        <f t="shared" si="128"/>
        <v>SuqCode_alcalic</v>
      </c>
      <c r="B8232" s="409"/>
      <c r="C8232" s="416"/>
      <c r="D8232" s="198" t="s">
        <v>47941</v>
      </c>
      <c r="E8232" s="198">
        <v>6</v>
      </c>
      <c r="F8232" s="199" t="s">
        <v>47942</v>
      </c>
      <c r="G8232" s="1" t="s">
        <v>47943</v>
      </c>
      <c r="H8232" s="1" t="s">
        <v>47944</v>
      </c>
      <c r="I8232" s="346"/>
      <c r="J8232" s="39">
        <v>113874</v>
      </c>
      <c r="K8232" s="36" t="str">
        <f>CONCATENATE(Cover!$D$6,"fdd/view?i=",J8232)</f>
        <v>https://www.dgiwg.org/FAD/fdd/view?i=113874</v>
      </c>
      <c r="L8232" s="36" t="s">
        <v>47945</v>
      </c>
      <c r="M8232" s="186"/>
      <c r="N8232" s="186"/>
      <c r="O8232" s="172"/>
    </row>
    <row r="8233" spans="1:15" ht="102" x14ac:dyDescent="0.2">
      <c r="A8233" s="197" t="str">
        <f t="shared" si="128"/>
        <v>SuqCode_alic</v>
      </c>
      <c r="B8233" s="409"/>
      <c r="C8233" s="416"/>
      <c r="D8233" s="198" t="s">
        <v>47946</v>
      </c>
      <c r="E8233" s="198">
        <v>7</v>
      </c>
      <c r="F8233" s="199" t="s">
        <v>47947</v>
      </c>
      <c r="G8233" s="1" t="s">
        <v>47948</v>
      </c>
      <c r="H8233" s="1" t="s">
        <v>47949</v>
      </c>
      <c r="I8233" s="346"/>
      <c r="J8233" s="39">
        <v>113875</v>
      </c>
      <c r="K8233" s="36" t="str">
        <f>CONCATENATE(Cover!$D$6,"fdd/view?i=",J8233)</f>
        <v>https://www.dgiwg.org/FAD/fdd/view?i=113875</v>
      </c>
      <c r="L8233" s="36" t="s">
        <v>47950</v>
      </c>
      <c r="M8233" s="186"/>
      <c r="N8233" s="186"/>
      <c r="O8233" s="172"/>
    </row>
    <row r="8234" spans="1:15" ht="63.75" x14ac:dyDescent="0.2">
      <c r="A8234" s="197" t="str">
        <f t="shared" si="128"/>
        <v>SuqCode_aluandic</v>
      </c>
      <c r="B8234" s="409"/>
      <c r="C8234" s="416"/>
      <c r="D8234" s="198" t="s">
        <v>47951</v>
      </c>
      <c r="E8234" s="198">
        <v>8</v>
      </c>
      <c r="F8234" s="199" t="s">
        <v>47952</v>
      </c>
      <c r="G8234" s="1" t="s">
        <v>47953</v>
      </c>
      <c r="H8234" s="1" t="s">
        <v>47954</v>
      </c>
      <c r="I8234" s="346"/>
      <c r="J8234" s="39">
        <v>113876</v>
      </c>
      <c r="K8234" s="36" t="str">
        <f>CONCATENATE(Cover!$D$6,"fdd/view?i=",J8234)</f>
        <v>https://www.dgiwg.org/FAD/fdd/view?i=113876</v>
      </c>
      <c r="L8234" s="36" t="s">
        <v>47955</v>
      </c>
      <c r="M8234" s="186"/>
      <c r="N8234" s="186"/>
      <c r="O8234" s="172"/>
    </row>
    <row r="8235" spans="1:15" ht="25.5" x14ac:dyDescent="0.2">
      <c r="A8235" s="197" t="str">
        <f t="shared" si="128"/>
        <v>SuqCode_alumic</v>
      </c>
      <c r="B8235" s="409"/>
      <c r="C8235" s="416"/>
      <c r="D8235" s="198" t="s">
        <v>47956</v>
      </c>
      <c r="E8235" s="198">
        <v>9</v>
      </c>
      <c r="F8235" s="199" t="s">
        <v>47957</v>
      </c>
      <c r="G8235" s="1" t="s">
        <v>47958</v>
      </c>
      <c r="H8235" s="1" t="s">
        <v>47959</v>
      </c>
      <c r="I8235" s="346"/>
      <c r="J8235" s="39">
        <v>113877</v>
      </c>
      <c r="K8235" s="36" t="str">
        <f>CONCATENATE(Cover!$D$6,"fdd/view?i=",J8235)</f>
        <v>https://www.dgiwg.org/FAD/fdd/view?i=113877</v>
      </c>
      <c r="L8235" s="36" t="s">
        <v>47960</v>
      </c>
      <c r="M8235" s="186"/>
      <c r="N8235" s="186"/>
      <c r="O8235" s="172"/>
    </row>
    <row r="8236" spans="1:15" ht="38.25" x14ac:dyDescent="0.2">
      <c r="A8236" s="197" t="str">
        <f t="shared" si="128"/>
        <v>SuqCode_andic</v>
      </c>
      <c r="B8236" s="409"/>
      <c r="C8236" s="416"/>
      <c r="D8236" s="198" t="s">
        <v>47961</v>
      </c>
      <c r="E8236" s="198">
        <v>10</v>
      </c>
      <c r="F8236" s="199" t="s">
        <v>47962</v>
      </c>
      <c r="G8236" s="1" t="s">
        <v>47963</v>
      </c>
      <c r="H8236" s="1" t="s">
        <v>47964</v>
      </c>
      <c r="I8236" s="346"/>
      <c r="J8236" s="39">
        <v>113878</v>
      </c>
      <c r="K8236" s="36" t="str">
        <f>CONCATENATE(Cover!$D$6,"fdd/view?i=",J8236)</f>
        <v>https://www.dgiwg.org/FAD/fdd/view?i=113878</v>
      </c>
      <c r="L8236" s="36" t="s">
        <v>47965</v>
      </c>
      <c r="M8236" s="186"/>
      <c r="N8236" s="186"/>
      <c r="O8236" s="172"/>
    </row>
    <row r="8237" spans="1:15" x14ac:dyDescent="0.2">
      <c r="A8237" s="197" t="str">
        <f t="shared" si="128"/>
        <v>SuqCode_anthraquic</v>
      </c>
      <c r="B8237" s="409"/>
      <c r="C8237" s="416"/>
      <c r="D8237" s="198" t="s">
        <v>47966</v>
      </c>
      <c r="E8237" s="198">
        <v>11</v>
      </c>
      <c r="F8237" s="199" t="s">
        <v>47967</v>
      </c>
      <c r="G8237" s="1" t="s">
        <v>47968</v>
      </c>
      <c r="H8237" s="1" t="s">
        <v>47969</v>
      </c>
      <c r="I8237" s="346"/>
      <c r="J8237" s="39">
        <v>113879</v>
      </c>
      <c r="K8237" s="36" t="str">
        <f>CONCATENATE(Cover!$D$6,"fdd/view?i=",J8237)</f>
        <v>https://www.dgiwg.org/FAD/fdd/view?i=113879</v>
      </c>
      <c r="L8237" s="36" t="s">
        <v>47970</v>
      </c>
      <c r="M8237" s="186"/>
      <c r="N8237" s="186"/>
      <c r="O8237" s="172"/>
    </row>
    <row r="8238" spans="1:15" x14ac:dyDescent="0.2">
      <c r="A8238" s="197" t="str">
        <f t="shared" si="128"/>
        <v>SuqCode_anthric</v>
      </c>
      <c r="B8238" s="409"/>
      <c r="C8238" s="416"/>
      <c r="D8238" s="198" t="s">
        <v>47971</v>
      </c>
      <c r="E8238" s="198">
        <v>12</v>
      </c>
      <c r="F8238" s="199" t="s">
        <v>47972</v>
      </c>
      <c r="G8238" s="1" t="s">
        <v>47973</v>
      </c>
      <c r="H8238" s="1" t="s">
        <v>47974</v>
      </c>
      <c r="I8238" s="346"/>
      <c r="J8238" s="39">
        <v>113880</v>
      </c>
      <c r="K8238" s="36" t="str">
        <f>CONCATENATE(Cover!$D$6,"fdd/view?i=",J8238)</f>
        <v>https://www.dgiwg.org/FAD/fdd/view?i=113880</v>
      </c>
      <c r="L8238" s="36" t="s">
        <v>47975</v>
      </c>
      <c r="M8238" s="186"/>
      <c r="N8238" s="186"/>
      <c r="O8238" s="172"/>
    </row>
    <row r="8239" spans="1:15" ht="38.25" x14ac:dyDescent="0.2">
      <c r="A8239" s="197" t="str">
        <f t="shared" si="128"/>
        <v>SuqCode_arenic</v>
      </c>
      <c r="B8239" s="409"/>
      <c r="C8239" s="416"/>
      <c r="D8239" s="198" t="s">
        <v>47976</v>
      </c>
      <c r="E8239" s="198">
        <v>13</v>
      </c>
      <c r="F8239" s="199" t="s">
        <v>47977</v>
      </c>
      <c r="G8239" s="1" t="s">
        <v>47978</v>
      </c>
      <c r="H8239" s="1" t="s">
        <v>47979</v>
      </c>
      <c r="I8239" s="346"/>
      <c r="J8239" s="39">
        <v>113881</v>
      </c>
      <c r="K8239" s="36" t="str">
        <f>CONCATENATE(Cover!$D$6,"fdd/view?i=",J8239)</f>
        <v>https://www.dgiwg.org/FAD/fdd/view?i=113881</v>
      </c>
      <c r="L8239" s="36" t="s">
        <v>47980</v>
      </c>
      <c r="M8239" s="186"/>
      <c r="N8239" s="186"/>
      <c r="O8239" s="172"/>
    </row>
    <row r="8240" spans="1:15" ht="25.5" x14ac:dyDescent="0.2">
      <c r="A8240" s="197" t="str">
        <f t="shared" si="128"/>
        <v>SuqCode_aric</v>
      </c>
      <c r="B8240" s="409"/>
      <c r="C8240" s="416"/>
      <c r="D8240" s="198" t="s">
        <v>47981</v>
      </c>
      <c r="E8240" s="198">
        <v>14</v>
      </c>
      <c r="F8240" s="199" t="s">
        <v>47982</v>
      </c>
      <c r="G8240" s="1" t="s">
        <v>47983</v>
      </c>
      <c r="H8240" s="1" t="s">
        <v>47984</v>
      </c>
      <c r="I8240" s="346"/>
      <c r="J8240" s="39">
        <v>113882</v>
      </c>
      <c r="K8240" s="36" t="str">
        <f>CONCATENATE(Cover!$D$6,"fdd/view?i=",J8240)</f>
        <v>https://www.dgiwg.org/FAD/fdd/view?i=113882</v>
      </c>
      <c r="L8240" s="36" t="s">
        <v>47985</v>
      </c>
      <c r="M8240" s="186"/>
      <c r="N8240" s="186"/>
      <c r="O8240" s="172"/>
    </row>
    <row r="8241" spans="1:15" x14ac:dyDescent="0.2">
      <c r="A8241" s="197" t="str">
        <f t="shared" si="128"/>
        <v>SuqCode_aridic</v>
      </c>
      <c r="B8241" s="409"/>
      <c r="C8241" s="416"/>
      <c r="D8241" s="198" t="s">
        <v>47986</v>
      </c>
      <c r="E8241" s="198">
        <v>15</v>
      </c>
      <c r="F8241" s="199" t="s">
        <v>47987</v>
      </c>
      <c r="G8241" s="1" t="s">
        <v>47988</v>
      </c>
      <c r="H8241" s="1" t="s">
        <v>47989</v>
      </c>
      <c r="I8241" s="346"/>
      <c r="J8241" s="39">
        <v>113883</v>
      </c>
      <c r="K8241" s="36" t="str">
        <f>CONCATENATE(Cover!$D$6,"fdd/view?i=",J8241)</f>
        <v>https://www.dgiwg.org/FAD/fdd/view?i=113883</v>
      </c>
      <c r="L8241" s="36" t="s">
        <v>47990</v>
      </c>
      <c r="M8241" s="186"/>
      <c r="N8241" s="186"/>
      <c r="O8241" s="172"/>
    </row>
    <row r="8242" spans="1:15" ht="63.75" x14ac:dyDescent="0.2">
      <c r="A8242" s="197" t="str">
        <f t="shared" si="128"/>
        <v>SuqCode_arzic</v>
      </c>
      <c r="B8242" s="409"/>
      <c r="C8242" s="416"/>
      <c r="D8242" s="198" t="s">
        <v>47991</v>
      </c>
      <c r="E8242" s="198">
        <v>16</v>
      </c>
      <c r="F8242" s="199" t="s">
        <v>47992</v>
      </c>
      <c r="G8242" s="1" t="s">
        <v>47993</v>
      </c>
      <c r="H8242" s="1" t="s">
        <v>47994</v>
      </c>
      <c r="I8242" s="346"/>
      <c r="J8242" s="39">
        <v>113884</v>
      </c>
      <c r="K8242" s="36" t="str">
        <f>CONCATENATE(Cover!$D$6,"fdd/view?i=",J8242)</f>
        <v>https://www.dgiwg.org/FAD/fdd/view?i=113884</v>
      </c>
      <c r="L8242" s="36" t="s">
        <v>47995</v>
      </c>
      <c r="M8242" s="186"/>
      <c r="N8242" s="186"/>
      <c r="O8242" s="172"/>
    </row>
    <row r="8243" spans="1:15" ht="38.25" x14ac:dyDescent="0.2">
      <c r="A8243" s="197" t="str">
        <f t="shared" si="128"/>
        <v>SuqCode_brunic</v>
      </c>
      <c r="B8243" s="409"/>
      <c r="C8243" s="416"/>
      <c r="D8243" s="198" t="s">
        <v>47996</v>
      </c>
      <c r="E8243" s="198">
        <v>17</v>
      </c>
      <c r="F8243" s="199" t="s">
        <v>47997</v>
      </c>
      <c r="G8243" s="1" t="s">
        <v>47998</v>
      </c>
      <c r="H8243" s="1" t="s">
        <v>47999</v>
      </c>
      <c r="I8243" s="346"/>
      <c r="J8243" s="39">
        <v>113885</v>
      </c>
      <c r="K8243" s="36" t="str">
        <f>CONCATENATE(Cover!$D$6,"fdd/view?i=",J8243)</f>
        <v>https://www.dgiwg.org/FAD/fdd/view?i=113885</v>
      </c>
      <c r="L8243" s="36" t="s">
        <v>48000</v>
      </c>
      <c r="M8243" s="186"/>
      <c r="N8243" s="186"/>
      <c r="O8243" s="172"/>
    </row>
    <row r="8244" spans="1:15" ht="38.25" x14ac:dyDescent="0.2">
      <c r="A8244" s="197" t="str">
        <f t="shared" si="128"/>
        <v>SuqCode_calcaric</v>
      </c>
      <c r="B8244" s="409"/>
      <c r="C8244" s="416"/>
      <c r="D8244" s="198" t="s">
        <v>48001</v>
      </c>
      <c r="E8244" s="198">
        <v>18</v>
      </c>
      <c r="F8244" s="199" t="s">
        <v>48002</v>
      </c>
      <c r="G8244" s="1" t="s">
        <v>48003</v>
      </c>
      <c r="H8244" s="1" t="s">
        <v>48004</v>
      </c>
      <c r="I8244" s="346"/>
      <c r="J8244" s="39">
        <v>113886</v>
      </c>
      <c r="K8244" s="36" t="str">
        <f>CONCATENATE(Cover!$D$6,"fdd/view?i=",J8244)</f>
        <v>https://www.dgiwg.org/FAD/fdd/view?i=113886</v>
      </c>
      <c r="L8244" s="36" t="s">
        <v>48005</v>
      </c>
      <c r="M8244" s="186"/>
      <c r="N8244" s="186"/>
      <c r="O8244" s="172"/>
    </row>
    <row r="8245" spans="1:15" ht="25.5" x14ac:dyDescent="0.2">
      <c r="A8245" s="197" t="str">
        <f t="shared" si="128"/>
        <v>SuqCode_calcic</v>
      </c>
      <c r="B8245" s="409"/>
      <c r="C8245" s="416"/>
      <c r="D8245" s="198" t="s">
        <v>48006</v>
      </c>
      <c r="E8245" s="198">
        <v>19</v>
      </c>
      <c r="F8245" s="199" t="s">
        <v>48007</v>
      </c>
      <c r="G8245" s="1" t="s">
        <v>48008</v>
      </c>
      <c r="H8245" s="1" t="s">
        <v>48009</v>
      </c>
      <c r="I8245" s="346"/>
      <c r="J8245" s="39">
        <v>113887</v>
      </c>
      <c r="K8245" s="36" t="str">
        <f>CONCATENATE(Cover!$D$6,"fdd/view?i=",J8245)</f>
        <v>https://www.dgiwg.org/FAD/fdd/view?i=113887</v>
      </c>
      <c r="L8245" s="36" t="s">
        <v>48010</v>
      </c>
      <c r="M8245" s="186"/>
      <c r="N8245" s="186"/>
      <c r="O8245" s="172"/>
    </row>
    <row r="8246" spans="1:15" ht="25.5" x14ac:dyDescent="0.2">
      <c r="A8246" s="197" t="str">
        <f t="shared" si="128"/>
        <v>SuqCode_cambic</v>
      </c>
      <c r="B8246" s="409"/>
      <c r="C8246" s="416"/>
      <c r="D8246" s="198" t="s">
        <v>48011</v>
      </c>
      <c r="E8246" s="198">
        <v>20</v>
      </c>
      <c r="F8246" s="199" t="s">
        <v>48012</v>
      </c>
      <c r="G8246" s="1" t="s">
        <v>48013</v>
      </c>
      <c r="H8246" s="1" t="s">
        <v>48014</v>
      </c>
      <c r="I8246" s="346"/>
      <c r="J8246" s="39">
        <v>113888</v>
      </c>
      <c r="K8246" s="36" t="str">
        <f>CONCATENATE(Cover!$D$6,"fdd/view?i=",J8246)</f>
        <v>https://www.dgiwg.org/FAD/fdd/view?i=113888</v>
      </c>
      <c r="L8246" s="36" t="s">
        <v>48015</v>
      </c>
      <c r="M8246" s="186"/>
      <c r="N8246" s="186"/>
      <c r="O8246" s="172"/>
    </row>
    <row r="8247" spans="1:15" ht="25.5" x14ac:dyDescent="0.2">
      <c r="A8247" s="197" t="str">
        <f t="shared" si="128"/>
        <v>SuqCode_carbic</v>
      </c>
      <c r="B8247" s="409"/>
      <c r="C8247" s="416"/>
      <c r="D8247" s="198" t="s">
        <v>48016</v>
      </c>
      <c r="E8247" s="198">
        <v>21</v>
      </c>
      <c r="F8247" s="199" t="s">
        <v>48017</v>
      </c>
      <c r="G8247" s="1" t="s">
        <v>48018</v>
      </c>
      <c r="H8247" s="1" t="s">
        <v>48019</v>
      </c>
      <c r="I8247" s="346"/>
      <c r="J8247" s="39">
        <v>113889</v>
      </c>
      <c r="K8247" s="36" t="str">
        <f>CONCATENATE(Cover!$D$6,"fdd/view?i=",J8247)</f>
        <v>https://www.dgiwg.org/FAD/fdd/view?i=113889</v>
      </c>
      <c r="L8247" s="36" t="s">
        <v>48020</v>
      </c>
      <c r="M8247" s="186"/>
      <c r="N8247" s="186"/>
      <c r="O8247" s="172"/>
    </row>
    <row r="8248" spans="1:15" ht="38.25" x14ac:dyDescent="0.2">
      <c r="A8248" s="197" t="str">
        <f t="shared" si="128"/>
        <v>SuqCode_carbonatic</v>
      </c>
      <c r="B8248" s="409"/>
      <c r="C8248" s="416"/>
      <c r="D8248" s="198" t="s">
        <v>48021</v>
      </c>
      <c r="E8248" s="198">
        <v>22</v>
      </c>
      <c r="F8248" s="199" t="s">
        <v>48022</v>
      </c>
      <c r="G8248" s="1" t="s">
        <v>48023</v>
      </c>
      <c r="H8248" s="1" t="s">
        <v>48024</v>
      </c>
      <c r="I8248" s="346"/>
      <c r="J8248" s="39">
        <v>113890</v>
      </c>
      <c r="K8248" s="36" t="str">
        <f>CONCATENATE(Cover!$D$6,"fdd/view?i=",J8248)</f>
        <v>https://www.dgiwg.org/FAD/fdd/view?i=113890</v>
      </c>
      <c r="L8248" s="36" t="s">
        <v>48025</v>
      </c>
      <c r="M8248" s="186"/>
      <c r="N8248" s="186"/>
      <c r="O8248" s="172"/>
    </row>
    <row r="8249" spans="1:15" ht="25.5" x14ac:dyDescent="0.2">
      <c r="A8249" s="197" t="str">
        <f t="shared" si="128"/>
        <v>SuqCode_chloridic</v>
      </c>
      <c r="B8249" s="409"/>
      <c r="C8249" s="416"/>
      <c r="D8249" s="198" t="s">
        <v>48026</v>
      </c>
      <c r="E8249" s="198">
        <v>23</v>
      </c>
      <c r="F8249" s="199" t="s">
        <v>48027</v>
      </c>
      <c r="G8249" s="1" t="s">
        <v>48028</v>
      </c>
      <c r="H8249" s="1" t="s">
        <v>48029</v>
      </c>
      <c r="I8249" s="346"/>
      <c r="J8249" s="39">
        <v>113891</v>
      </c>
      <c r="K8249" s="36" t="str">
        <f>CONCATENATE(Cover!$D$6,"fdd/view?i=",J8249)</f>
        <v>https://www.dgiwg.org/FAD/fdd/view?i=113891</v>
      </c>
      <c r="L8249" s="36" t="s">
        <v>48030</v>
      </c>
      <c r="M8249" s="186"/>
      <c r="N8249" s="186"/>
      <c r="O8249" s="172"/>
    </row>
    <row r="8250" spans="1:15" ht="51" x14ac:dyDescent="0.2">
      <c r="A8250" s="197" t="str">
        <f t="shared" si="128"/>
        <v>SuqCode_chromic</v>
      </c>
      <c r="B8250" s="409"/>
      <c r="C8250" s="416"/>
      <c r="D8250" s="198" t="s">
        <v>48031</v>
      </c>
      <c r="E8250" s="198">
        <v>24</v>
      </c>
      <c r="F8250" s="199" t="s">
        <v>48032</v>
      </c>
      <c r="G8250" s="1" t="s">
        <v>48033</v>
      </c>
      <c r="H8250" s="1" t="s">
        <v>48034</v>
      </c>
      <c r="I8250" s="346"/>
      <c r="J8250" s="39">
        <v>113892</v>
      </c>
      <c r="K8250" s="36" t="str">
        <f>CONCATENATE(Cover!$D$6,"fdd/view?i=",J8250)</f>
        <v>https://www.dgiwg.org/FAD/fdd/view?i=113892</v>
      </c>
      <c r="L8250" s="36" t="s">
        <v>48035</v>
      </c>
      <c r="M8250" s="186"/>
      <c r="N8250" s="186"/>
      <c r="O8250" s="172"/>
    </row>
    <row r="8251" spans="1:15" ht="25.5" x14ac:dyDescent="0.2">
      <c r="A8251" s="197" t="str">
        <f t="shared" si="128"/>
        <v>SuqCode_clayic</v>
      </c>
      <c r="B8251" s="409"/>
      <c r="C8251" s="416"/>
      <c r="D8251" s="198" t="s">
        <v>48036</v>
      </c>
      <c r="E8251" s="198">
        <v>25</v>
      </c>
      <c r="F8251" s="199" t="s">
        <v>48037</v>
      </c>
      <c r="G8251" s="1" t="s">
        <v>48038</v>
      </c>
      <c r="H8251" s="1" t="s">
        <v>48039</v>
      </c>
      <c r="I8251" s="346"/>
      <c r="J8251" s="39">
        <v>113893</v>
      </c>
      <c r="K8251" s="36" t="str">
        <f>CONCATENATE(Cover!$D$6,"fdd/view?i=",J8251)</f>
        <v>https://www.dgiwg.org/FAD/fdd/view?i=113893</v>
      </c>
      <c r="L8251" s="36" t="s">
        <v>48040</v>
      </c>
      <c r="M8251" s="186"/>
      <c r="N8251" s="186"/>
      <c r="O8251" s="172"/>
    </row>
    <row r="8252" spans="1:15" ht="25.5" x14ac:dyDescent="0.2">
      <c r="A8252" s="197" t="str">
        <f t="shared" si="128"/>
        <v>SuqCode_colluvic</v>
      </c>
      <c r="B8252" s="409"/>
      <c r="C8252" s="416"/>
      <c r="D8252" s="198" t="s">
        <v>48041</v>
      </c>
      <c r="E8252" s="198">
        <v>26</v>
      </c>
      <c r="F8252" s="199" t="s">
        <v>48042</v>
      </c>
      <c r="G8252" s="1" t="s">
        <v>48043</v>
      </c>
      <c r="H8252" s="1" t="s">
        <v>48044</v>
      </c>
      <c r="I8252" s="346"/>
      <c r="J8252" s="39">
        <v>113894</v>
      </c>
      <c r="K8252" s="36" t="str">
        <f>CONCATENATE(Cover!$D$6,"fdd/view?i=",J8252)</f>
        <v>https://www.dgiwg.org/FAD/fdd/view?i=113894</v>
      </c>
      <c r="L8252" s="36" t="s">
        <v>48045</v>
      </c>
      <c r="M8252" s="186"/>
      <c r="N8252" s="186"/>
      <c r="O8252" s="172"/>
    </row>
    <row r="8253" spans="1:15" ht="51" x14ac:dyDescent="0.2">
      <c r="A8253" s="197" t="str">
        <f t="shared" si="128"/>
        <v>SuqCode_cryic</v>
      </c>
      <c r="B8253" s="409"/>
      <c r="C8253" s="416"/>
      <c r="D8253" s="198" t="s">
        <v>48046</v>
      </c>
      <c r="E8253" s="198">
        <v>27</v>
      </c>
      <c r="F8253" s="199" t="s">
        <v>48047</v>
      </c>
      <c r="G8253" s="1" t="s">
        <v>48048</v>
      </c>
      <c r="H8253" s="1" t="s">
        <v>48049</v>
      </c>
      <c r="I8253" s="346"/>
      <c r="J8253" s="39">
        <v>113895</v>
      </c>
      <c r="K8253" s="36" t="str">
        <f>CONCATENATE(Cover!$D$6,"fdd/view?i=",J8253)</f>
        <v>https://www.dgiwg.org/FAD/fdd/view?i=113895</v>
      </c>
      <c r="L8253" s="36" t="s">
        <v>48050</v>
      </c>
      <c r="M8253" s="186"/>
      <c r="N8253" s="186"/>
      <c r="O8253" s="172"/>
    </row>
    <row r="8254" spans="1:15" ht="51" x14ac:dyDescent="0.2">
      <c r="A8254" s="197" t="str">
        <f t="shared" si="128"/>
        <v>SuqCode_cutanic</v>
      </c>
      <c r="B8254" s="409"/>
      <c r="C8254" s="416"/>
      <c r="D8254" s="198" t="s">
        <v>48051</v>
      </c>
      <c r="E8254" s="198">
        <v>28</v>
      </c>
      <c r="F8254" s="199" t="s">
        <v>48052</v>
      </c>
      <c r="G8254" s="1" t="s">
        <v>48053</v>
      </c>
      <c r="H8254" s="1" t="s">
        <v>48054</v>
      </c>
      <c r="I8254" s="346"/>
      <c r="J8254" s="39">
        <v>113896</v>
      </c>
      <c r="K8254" s="36" t="str">
        <f>CONCATENATE(Cover!$D$6,"fdd/view?i=",J8254)</f>
        <v>https://www.dgiwg.org/FAD/fdd/view?i=113896</v>
      </c>
      <c r="L8254" s="36" t="s">
        <v>48055</v>
      </c>
      <c r="M8254" s="186"/>
      <c r="N8254" s="186"/>
      <c r="O8254" s="172"/>
    </row>
    <row r="8255" spans="1:15" ht="25.5" x14ac:dyDescent="0.2">
      <c r="A8255" s="197" t="str">
        <f t="shared" si="128"/>
        <v>SuqCode_densic</v>
      </c>
      <c r="B8255" s="409"/>
      <c r="C8255" s="416"/>
      <c r="D8255" s="198" t="s">
        <v>48056</v>
      </c>
      <c r="E8255" s="198">
        <v>29</v>
      </c>
      <c r="F8255" s="199" t="s">
        <v>48057</v>
      </c>
      <c r="G8255" s="1" t="s">
        <v>48058</v>
      </c>
      <c r="H8255" s="1" t="s">
        <v>48059</v>
      </c>
      <c r="I8255" s="346"/>
      <c r="J8255" s="39">
        <v>113897</v>
      </c>
      <c r="K8255" s="36" t="str">
        <f>CONCATENATE(Cover!$D$6,"fdd/view?i=",J8255)</f>
        <v>https://www.dgiwg.org/FAD/fdd/view?i=113897</v>
      </c>
      <c r="L8255" s="36" t="s">
        <v>48060</v>
      </c>
      <c r="M8255" s="186"/>
      <c r="N8255" s="186"/>
      <c r="O8255" s="172"/>
    </row>
    <row r="8256" spans="1:15" ht="25.5" x14ac:dyDescent="0.2">
      <c r="A8256" s="197" t="str">
        <f t="shared" si="128"/>
        <v>SuqCode_drainic</v>
      </c>
      <c r="B8256" s="409"/>
      <c r="C8256" s="416"/>
      <c r="D8256" s="198" t="s">
        <v>48061</v>
      </c>
      <c r="E8256" s="198">
        <v>30</v>
      </c>
      <c r="F8256" s="199" t="s">
        <v>48062</v>
      </c>
      <c r="G8256" s="1" t="s">
        <v>48063</v>
      </c>
      <c r="H8256" s="1" t="s">
        <v>48064</v>
      </c>
      <c r="I8256" s="346"/>
      <c r="J8256" s="39">
        <v>113898</v>
      </c>
      <c r="K8256" s="36" t="str">
        <f>CONCATENATE(Cover!$D$6,"fdd/view?i=",J8256)</f>
        <v>https://www.dgiwg.org/FAD/fdd/view?i=113898</v>
      </c>
      <c r="L8256" s="36" t="s">
        <v>48065</v>
      </c>
      <c r="M8256" s="186"/>
      <c r="N8256" s="186"/>
      <c r="O8256" s="172"/>
    </row>
    <row r="8257" spans="1:15" ht="25.5" x14ac:dyDescent="0.2">
      <c r="A8257" s="197" t="str">
        <f t="shared" si="128"/>
        <v>SuqCode_duric</v>
      </c>
      <c r="B8257" s="409"/>
      <c r="C8257" s="416"/>
      <c r="D8257" s="198" t="s">
        <v>48066</v>
      </c>
      <c r="E8257" s="198">
        <v>31</v>
      </c>
      <c r="F8257" s="199" t="s">
        <v>48067</v>
      </c>
      <c r="G8257" s="1" t="s">
        <v>48068</v>
      </c>
      <c r="H8257" s="1" t="s">
        <v>48069</v>
      </c>
      <c r="I8257" s="346"/>
      <c r="J8257" s="39">
        <v>113899</v>
      </c>
      <c r="K8257" s="36" t="str">
        <f>CONCATENATE(Cover!$D$6,"fdd/view?i=",J8257)</f>
        <v>https://www.dgiwg.org/FAD/fdd/view?i=113899</v>
      </c>
      <c r="L8257" s="36" t="s">
        <v>48070</v>
      </c>
      <c r="M8257" s="186"/>
      <c r="N8257" s="186"/>
      <c r="O8257" s="172"/>
    </row>
    <row r="8258" spans="1:15" ht="63.75" x14ac:dyDescent="0.2">
      <c r="A8258" s="197" t="str">
        <f t="shared" ref="A8258:A8321" si="129">HYPERLINK(K8258,L8258)</f>
        <v>SuqCode_dystric</v>
      </c>
      <c r="B8258" s="409"/>
      <c r="C8258" s="416"/>
      <c r="D8258" s="198" t="s">
        <v>48071</v>
      </c>
      <c r="E8258" s="198">
        <v>32</v>
      </c>
      <c r="F8258" s="199" t="s">
        <v>48072</v>
      </c>
      <c r="G8258" s="1" t="s">
        <v>48073</v>
      </c>
      <c r="H8258" s="1" t="s">
        <v>48074</v>
      </c>
      <c r="I8258" s="346"/>
      <c r="J8258" s="39">
        <v>113900</v>
      </c>
      <c r="K8258" s="36" t="str">
        <f>CONCATENATE(Cover!$D$6,"fdd/view?i=",J8258)</f>
        <v>https://www.dgiwg.org/FAD/fdd/view?i=113900</v>
      </c>
      <c r="L8258" s="36" t="s">
        <v>48075</v>
      </c>
      <c r="M8258" s="186"/>
      <c r="N8258" s="186"/>
      <c r="O8258" s="172"/>
    </row>
    <row r="8259" spans="1:15" ht="38.25" x14ac:dyDescent="0.2">
      <c r="A8259" s="197" t="str">
        <f t="shared" si="129"/>
        <v>SuqCode_ekranic</v>
      </c>
      <c r="B8259" s="409"/>
      <c r="C8259" s="416"/>
      <c r="D8259" s="198" t="s">
        <v>48076</v>
      </c>
      <c r="E8259" s="198">
        <v>33</v>
      </c>
      <c r="F8259" s="199" t="s">
        <v>48077</v>
      </c>
      <c r="G8259" s="1" t="s">
        <v>48078</v>
      </c>
      <c r="H8259" s="1" t="s">
        <v>48079</v>
      </c>
      <c r="I8259" s="346"/>
      <c r="J8259" s="39">
        <v>113901</v>
      </c>
      <c r="K8259" s="36" t="str">
        <f>CONCATENATE(Cover!$D$6,"fdd/view?i=",J8259)</f>
        <v>https://www.dgiwg.org/FAD/fdd/view?i=113901</v>
      </c>
      <c r="L8259" s="36" t="s">
        <v>48080</v>
      </c>
      <c r="M8259" s="186"/>
      <c r="N8259" s="186"/>
      <c r="O8259" s="172"/>
    </row>
    <row r="8260" spans="1:15" ht="25.5" x14ac:dyDescent="0.2">
      <c r="A8260" s="197" t="str">
        <f t="shared" si="129"/>
        <v>SuqCode_endoduric</v>
      </c>
      <c r="B8260" s="409"/>
      <c r="C8260" s="416"/>
      <c r="D8260" s="198" t="s">
        <v>48081</v>
      </c>
      <c r="E8260" s="198">
        <v>34</v>
      </c>
      <c r="F8260" s="199" t="s">
        <v>48082</v>
      </c>
      <c r="G8260" s="1" t="s">
        <v>48083</v>
      </c>
      <c r="H8260" s="1" t="s">
        <v>48084</v>
      </c>
      <c r="I8260" s="346"/>
      <c r="J8260" s="39">
        <v>113902</v>
      </c>
      <c r="K8260" s="36" t="str">
        <f>CONCATENATE(Cover!$D$6,"fdd/view?i=",J8260)</f>
        <v>https://www.dgiwg.org/FAD/fdd/view?i=113902</v>
      </c>
      <c r="L8260" s="36" t="s">
        <v>48085</v>
      </c>
      <c r="M8260" s="186"/>
      <c r="N8260" s="186"/>
      <c r="O8260" s="172"/>
    </row>
    <row r="8261" spans="1:15" ht="25.5" x14ac:dyDescent="0.2">
      <c r="A8261" s="197" t="str">
        <f t="shared" si="129"/>
        <v>SuqCode_endodystric</v>
      </c>
      <c r="B8261" s="409"/>
      <c r="C8261" s="416"/>
      <c r="D8261" s="198" t="s">
        <v>48086</v>
      </c>
      <c r="E8261" s="198">
        <v>35</v>
      </c>
      <c r="F8261" s="199" t="s">
        <v>48087</v>
      </c>
      <c r="G8261" s="1" t="s">
        <v>48088</v>
      </c>
      <c r="H8261" s="1" t="s">
        <v>48089</v>
      </c>
      <c r="I8261" s="346"/>
      <c r="J8261" s="39">
        <v>113903</v>
      </c>
      <c r="K8261" s="36" t="str">
        <f>CONCATENATE(Cover!$D$6,"fdd/view?i=",J8261)</f>
        <v>https://www.dgiwg.org/FAD/fdd/view?i=113903</v>
      </c>
      <c r="L8261" s="36" t="s">
        <v>48090</v>
      </c>
      <c r="M8261" s="186"/>
      <c r="N8261" s="186"/>
      <c r="O8261" s="172"/>
    </row>
    <row r="8262" spans="1:15" ht="25.5" x14ac:dyDescent="0.2">
      <c r="A8262" s="197" t="str">
        <f t="shared" si="129"/>
        <v>SuqCode_endoeutric</v>
      </c>
      <c r="B8262" s="409"/>
      <c r="C8262" s="416"/>
      <c r="D8262" s="198" t="s">
        <v>48091</v>
      </c>
      <c r="E8262" s="198">
        <v>36</v>
      </c>
      <c r="F8262" s="199" t="s">
        <v>48092</v>
      </c>
      <c r="G8262" s="1" t="s">
        <v>48093</v>
      </c>
      <c r="H8262" s="1" t="s">
        <v>48094</v>
      </c>
      <c r="I8262" s="346"/>
      <c r="J8262" s="39">
        <v>113904</v>
      </c>
      <c r="K8262" s="36" t="str">
        <f>CONCATENATE(Cover!$D$6,"fdd/view?i=",J8262)</f>
        <v>https://www.dgiwg.org/FAD/fdd/view?i=113904</v>
      </c>
      <c r="L8262" s="36" t="s">
        <v>48095</v>
      </c>
      <c r="M8262" s="186"/>
      <c r="N8262" s="186"/>
      <c r="O8262" s="172"/>
    </row>
    <row r="8263" spans="1:15" ht="25.5" x14ac:dyDescent="0.2">
      <c r="A8263" s="197" t="str">
        <f t="shared" si="129"/>
        <v>SuqCode_endofluvic</v>
      </c>
      <c r="B8263" s="409"/>
      <c r="C8263" s="416"/>
      <c r="D8263" s="198" t="s">
        <v>48096</v>
      </c>
      <c r="E8263" s="198">
        <v>37</v>
      </c>
      <c r="F8263" s="199" t="s">
        <v>48097</v>
      </c>
      <c r="G8263" s="1" t="s">
        <v>48098</v>
      </c>
      <c r="H8263" s="1" t="s">
        <v>48099</v>
      </c>
      <c r="I8263" s="346"/>
      <c r="J8263" s="39">
        <v>113905</v>
      </c>
      <c r="K8263" s="36" t="str">
        <f>CONCATENATE(Cover!$D$6,"fdd/view?i=",J8263)</f>
        <v>https://www.dgiwg.org/FAD/fdd/view?i=113905</v>
      </c>
      <c r="L8263" s="36" t="s">
        <v>48100</v>
      </c>
      <c r="M8263" s="186"/>
      <c r="N8263" s="186"/>
      <c r="O8263" s="172"/>
    </row>
    <row r="8264" spans="1:15" ht="38.25" x14ac:dyDescent="0.2">
      <c r="A8264" s="197" t="str">
        <f t="shared" si="129"/>
        <v>SuqCode_endogleyic</v>
      </c>
      <c r="B8264" s="409"/>
      <c r="C8264" s="416"/>
      <c r="D8264" s="198" t="s">
        <v>48101</v>
      </c>
      <c r="E8264" s="198">
        <v>38</v>
      </c>
      <c r="F8264" s="199" t="s">
        <v>48102</v>
      </c>
      <c r="G8264" s="1" t="s">
        <v>48103</v>
      </c>
      <c r="H8264" s="1" t="s">
        <v>48104</v>
      </c>
      <c r="I8264" s="346"/>
      <c r="J8264" s="39">
        <v>113906</v>
      </c>
      <c r="K8264" s="36" t="str">
        <f>CONCATENATE(Cover!$D$6,"fdd/view?i=",J8264)</f>
        <v>https://www.dgiwg.org/FAD/fdd/view?i=113906</v>
      </c>
      <c r="L8264" s="36" t="s">
        <v>48105</v>
      </c>
      <c r="M8264" s="186"/>
      <c r="N8264" s="186"/>
      <c r="O8264" s="172"/>
    </row>
    <row r="8265" spans="1:15" ht="25.5" x14ac:dyDescent="0.2">
      <c r="A8265" s="197" t="str">
        <f t="shared" si="129"/>
        <v>SuqCode_endoleptic</v>
      </c>
      <c r="B8265" s="409"/>
      <c r="C8265" s="416"/>
      <c r="D8265" s="198" t="s">
        <v>48106</v>
      </c>
      <c r="E8265" s="198">
        <v>39</v>
      </c>
      <c r="F8265" s="199" t="s">
        <v>48107</v>
      </c>
      <c r="G8265" s="1" t="s">
        <v>48108</v>
      </c>
      <c r="H8265" s="1" t="s">
        <v>48109</v>
      </c>
      <c r="I8265" s="346"/>
      <c r="J8265" s="39">
        <v>113907</v>
      </c>
      <c r="K8265" s="36" t="str">
        <f>CONCATENATE(Cover!$D$6,"fdd/view?i=",J8265)</f>
        <v>https://www.dgiwg.org/FAD/fdd/view?i=113907</v>
      </c>
      <c r="L8265" s="36" t="s">
        <v>48110</v>
      </c>
      <c r="M8265" s="186"/>
      <c r="N8265" s="186"/>
      <c r="O8265" s="172"/>
    </row>
    <row r="8266" spans="1:15" ht="25.5" x14ac:dyDescent="0.2">
      <c r="A8266" s="197" t="str">
        <f t="shared" si="129"/>
        <v>SuqCode_endosalic</v>
      </c>
      <c r="B8266" s="409"/>
      <c r="C8266" s="416"/>
      <c r="D8266" s="198" t="s">
        <v>48111</v>
      </c>
      <c r="E8266" s="198">
        <v>40</v>
      </c>
      <c r="F8266" s="199" t="s">
        <v>48112</v>
      </c>
      <c r="G8266" s="1" t="s">
        <v>48113</v>
      </c>
      <c r="H8266" s="1" t="s">
        <v>48114</v>
      </c>
      <c r="I8266" s="346"/>
      <c r="J8266" s="39">
        <v>113908</v>
      </c>
      <c r="K8266" s="36" t="str">
        <f>CONCATENATE(Cover!$D$6,"fdd/view?i=",J8266)</f>
        <v>https://www.dgiwg.org/FAD/fdd/view?i=113908</v>
      </c>
      <c r="L8266" s="36" t="s">
        <v>48115</v>
      </c>
      <c r="M8266" s="186"/>
      <c r="N8266" s="186"/>
      <c r="O8266" s="172"/>
    </row>
    <row r="8267" spans="1:15" x14ac:dyDescent="0.2">
      <c r="A8267" s="197" t="str">
        <f t="shared" si="129"/>
        <v>SuqCode_entic</v>
      </c>
      <c r="B8267" s="409"/>
      <c r="C8267" s="416"/>
      <c r="D8267" s="198" t="s">
        <v>48116</v>
      </c>
      <c r="E8267" s="198">
        <v>41</v>
      </c>
      <c r="F8267" s="199" t="s">
        <v>48117</v>
      </c>
      <c r="G8267" s="1" t="s">
        <v>48118</v>
      </c>
      <c r="H8267" s="1" t="s">
        <v>48119</v>
      </c>
      <c r="I8267" s="346"/>
      <c r="J8267" s="39">
        <v>113909</v>
      </c>
      <c r="K8267" s="36" t="str">
        <f>CONCATENATE(Cover!$D$6,"fdd/view?i=",J8267)</f>
        <v>https://www.dgiwg.org/FAD/fdd/view?i=113909</v>
      </c>
      <c r="L8267" s="36" t="s">
        <v>48120</v>
      </c>
      <c r="M8267" s="186"/>
      <c r="N8267" s="186"/>
      <c r="O8267" s="172"/>
    </row>
    <row r="8268" spans="1:15" ht="25.5" x14ac:dyDescent="0.2">
      <c r="A8268" s="197" t="str">
        <f t="shared" si="129"/>
        <v>SuqCode_epidystric</v>
      </c>
      <c r="B8268" s="409"/>
      <c r="C8268" s="416"/>
      <c r="D8268" s="198" t="s">
        <v>48121</v>
      </c>
      <c r="E8268" s="198">
        <v>42</v>
      </c>
      <c r="F8268" s="199" t="s">
        <v>48122</v>
      </c>
      <c r="G8268" s="1" t="s">
        <v>48123</v>
      </c>
      <c r="H8268" s="1" t="s">
        <v>48124</v>
      </c>
      <c r="I8268" s="346"/>
      <c r="J8268" s="39">
        <v>113910</v>
      </c>
      <c r="K8268" s="36" t="str">
        <f>CONCATENATE(Cover!$D$6,"fdd/view?i=",J8268)</f>
        <v>https://www.dgiwg.org/FAD/fdd/view?i=113910</v>
      </c>
      <c r="L8268" s="36" t="s">
        <v>48125</v>
      </c>
      <c r="M8268" s="186"/>
      <c r="N8268" s="186"/>
      <c r="O8268" s="172"/>
    </row>
    <row r="8269" spans="1:15" ht="25.5" x14ac:dyDescent="0.2">
      <c r="A8269" s="197" t="str">
        <f t="shared" si="129"/>
        <v>SuqCode_epieutric</v>
      </c>
      <c r="B8269" s="409"/>
      <c r="C8269" s="416"/>
      <c r="D8269" s="198" t="s">
        <v>48126</v>
      </c>
      <c r="E8269" s="198">
        <v>43</v>
      </c>
      <c r="F8269" s="199" t="s">
        <v>48127</v>
      </c>
      <c r="G8269" s="1" t="s">
        <v>48128</v>
      </c>
      <c r="H8269" s="1" t="s">
        <v>48129</v>
      </c>
      <c r="I8269" s="346"/>
      <c r="J8269" s="39">
        <v>113911</v>
      </c>
      <c r="K8269" s="36" t="str">
        <f>CONCATENATE(Cover!$D$6,"fdd/view?i=",J8269)</f>
        <v>https://www.dgiwg.org/FAD/fdd/view?i=113911</v>
      </c>
      <c r="L8269" s="36" t="s">
        <v>48130</v>
      </c>
      <c r="M8269" s="186"/>
      <c r="N8269" s="186"/>
      <c r="O8269" s="172"/>
    </row>
    <row r="8270" spans="1:15" ht="25.5" x14ac:dyDescent="0.2">
      <c r="A8270" s="197" t="str">
        <f t="shared" si="129"/>
        <v>SuqCode_epileptic</v>
      </c>
      <c r="B8270" s="409"/>
      <c r="C8270" s="416"/>
      <c r="D8270" s="198" t="s">
        <v>48131</v>
      </c>
      <c r="E8270" s="198">
        <v>44</v>
      </c>
      <c r="F8270" s="199" t="s">
        <v>48132</v>
      </c>
      <c r="G8270" s="1" t="s">
        <v>48133</v>
      </c>
      <c r="H8270" s="1" t="s">
        <v>48134</v>
      </c>
      <c r="I8270" s="346"/>
      <c r="J8270" s="39">
        <v>113912</v>
      </c>
      <c r="K8270" s="36" t="str">
        <f>CONCATENATE(Cover!$D$6,"fdd/view?i=",J8270)</f>
        <v>https://www.dgiwg.org/FAD/fdd/view?i=113912</v>
      </c>
      <c r="L8270" s="36" t="s">
        <v>48135</v>
      </c>
      <c r="M8270" s="186"/>
      <c r="N8270" s="186"/>
      <c r="O8270" s="172"/>
    </row>
    <row r="8271" spans="1:15" ht="25.5" x14ac:dyDescent="0.2">
      <c r="A8271" s="197" t="str">
        <f t="shared" si="129"/>
        <v>SuqCode_episalic</v>
      </c>
      <c r="B8271" s="409"/>
      <c r="C8271" s="416"/>
      <c r="D8271" s="198" t="s">
        <v>48136</v>
      </c>
      <c r="E8271" s="198">
        <v>45</v>
      </c>
      <c r="F8271" s="199" t="s">
        <v>48137</v>
      </c>
      <c r="G8271" s="1" t="s">
        <v>48138</v>
      </c>
      <c r="H8271" s="1" t="s">
        <v>48139</v>
      </c>
      <c r="I8271" s="346"/>
      <c r="J8271" s="39">
        <v>113913</v>
      </c>
      <c r="K8271" s="36" t="str">
        <f>CONCATENATE(Cover!$D$6,"fdd/view?i=",J8271)</f>
        <v>https://www.dgiwg.org/FAD/fdd/view?i=113913</v>
      </c>
      <c r="L8271" s="36" t="s">
        <v>48140</v>
      </c>
      <c r="M8271" s="186"/>
      <c r="N8271" s="186"/>
      <c r="O8271" s="172"/>
    </row>
    <row r="8272" spans="1:15" x14ac:dyDescent="0.2">
      <c r="A8272" s="197" t="str">
        <f t="shared" si="129"/>
        <v>SuqCode_escalic</v>
      </c>
      <c r="B8272" s="409"/>
      <c r="C8272" s="416"/>
      <c r="D8272" s="198" t="s">
        <v>48141</v>
      </c>
      <c r="E8272" s="198">
        <v>46</v>
      </c>
      <c r="F8272" s="199" t="s">
        <v>48142</v>
      </c>
      <c r="G8272" s="1" t="s">
        <v>48143</v>
      </c>
      <c r="H8272" s="1" t="s">
        <v>48144</v>
      </c>
      <c r="I8272" s="346"/>
      <c r="J8272" s="39">
        <v>113914</v>
      </c>
      <c r="K8272" s="36" t="str">
        <f>CONCATENATE(Cover!$D$6,"fdd/view?i=",J8272)</f>
        <v>https://www.dgiwg.org/FAD/fdd/view?i=113914</v>
      </c>
      <c r="L8272" s="36" t="s">
        <v>48145</v>
      </c>
      <c r="M8272" s="186"/>
      <c r="N8272" s="186"/>
      <c r="O8272" s="172"/>
    </row>
    <row r="8273" spans="1:15" ht="63.75" x14ac:dyDescent="0.2">
      <c r="A8273" s="197" t="str">
        <f t="shared" si="129"/>
        <v>SuqCode_eutric</v>
      </c>
      <c r="B8273" s="409"/>
      <c r="C8273" s="416"/>
      <c r="D8273" s="198" t="s">
        <v>48146</v>
      </c>
      <c r="E8273" s="198">
        <v>47</v>
      </c>
      <c r="F8273" s="199" t="s">
        <v>48147</v>
      </c>
      <c r="G8273" s="1" t="s">
        <v>48148</v>
      </c>
      <c r="H8273" s="1" t="s">
        <v>48149</v>
      </c>
      <c r="I8273" s="346"/>
      <c r="J8273" s="39">
        <v>113915</v>
      </c>
      <c r="K8273" s="36" t="str">
        <f>CONCATENATE(Cover!$D$6,"fdd/view?i=",J8273)</f>
        <v>https://www.dgiwg.org/FAD/fdd/view?i=113915</v>
      </c>
      <c r="L8273" s="36" t="s">
        <v>48150</v>
      </c>
      <c r="M8273" s="186"/>
      <c r="N8273" s="186"/>
      <c r="O8273" s="172"/>
    </row>
    <row r="8274" spans="1:15" ht="51" x14ac:dyDescent="0.2">
      <c r="A8274" s="197" t="str">
        <f t="shared" si="129"/>
        <v>SuqCode_eutrosilic</v>
      </c>
      <c r="B8274" s="409"/>
      <c r="C8274" s="416"/>
      <c r="D8274" s="198" t="s">
        <v>48151</v>
      </c>
      <c r="E8274" s="198">
        <v>48</v>
      </c>
      <c r="F8274" s="199" t="s">
        <v>48152</v>
      </c>
      <c r="G8274" s="1" t="s">
        <v>48153</v>
      </c>
      <c r="H8274" s="1" t="s">
        <v>48154</v>
      </c>
      <c r="I8274" s="346"/>
      <c r="J8274" s="39">
        <v>113916</v>
      </c>
      <c r="K8274" s="36" t="str">
        <f>CONCATENATE(Cover!$D$6,"fdd/view?i=",J8274)</f>
        <v>https://www.dgiwg.org/FAD/fdd/view?i=113916</v>
      </c>
      <c r="L8274" s="36" t="s">
        <v>48155</v>
      </c>
      <c r="M8274" s="186"/>
      <c r="N8274" s="186"/>
      <c r="O8274" s="172"/>
    </row>
    <row r="8275" spans="1:15" ht="51" x14ac:dyDescent="0.2">
      <c r="A8275" s="197" t="str">
        <f t="shared" si="129"/>
        <v>SuqCode_ferralic</v>
      </c>
      <c r="B8275" s="409"/>
      <c r="C8275" s="416"/>
      <c r="D8275" s="198" t="s">
        <v>48156</v>
      </c>
      <c r="E8275" s="198">
        <v>49</v>
      </c>
      <c r="F8275" s="199" t="s">
        <v>48157</v>
      </c>
      <c r="G8275" s="1" t="s">
        <v>48158</v>
      </c>
      <c r="H8275" s="1" t="s">
        <v>48159</v>
      </c>
      <c r="I8275" s="346"/>
      <c r="J8275" s="39">
        <v>113917</v>
      </c>
      <c r="K8275" s="36" t="str">
        <f>CONCATENATE(Cover!$D$6,"fdd/view?i=",J8275)</f>
        <v>https://www.dgiwg.org/FAD/fdd/view?i=113917</v>
      </c>
      <c r="L8275" s="36" t="s">
        <v>48160</v>
      </c>
      <c r="M8275" s="186"/>
      <c r="N8275" s="186"/>
      <c r="O8275" s="172"/>
    </row>
    <row r="8276" spans="1:15" ht="25.5" x14ac:dyDescent="0.2">
      <c r="A8276" s="197" t="str">
        <f t="shared" si="129"/>
        <v>SuqCode_ferric</v>
      </c>
      <c r="B8276" s="409"/>
      <c r="C8276" s="416"/>
      <c r="D8276" s="198" t="s">
        <v>48161</v>
      </c>
      <c r="E8276" s="198">
        <v>50</v>
      </c>
      <c r="F8276" s="199" t="s">
        <v>48162</v>
      </c>
      <c r="G8276" s="1" t="s">
        <v>48163</v>
      </c>
      <c r="H8276" s="1" t="s">
        <v>48164</v>
      </c>
      <c r="I8276" s="346"/>
      <c r="J8276" s="39">
        <v>113918</v>
      </c>
      <c r="K8276" s="36" t="str">
        <f>CONCATENATE(Cover!$D$6,"fdd/view?i=",J8276)</f>
        <v>https://www.dgiwg.org/FAD/fdd/view?i=113918</v>
      </c>
      <c r="L8276" s="36" t="s">
        <v>48165</v>
      </c>
      <c r="M8276" s="186"/>
      <c r="N8276" s="186"/>
      <c r="O8276" s="172"/>
    </row>
    <row r="8277" spans="1:15" ht="38.25" x14ac:dyDescent="0.2">
      <c r="A8277" s="197" t="str">
        <f t="shared" si="129"/>
        <v>SuqCode_fibric</v>
      </c>
      <c r="B8277" s="409"/>
      <c r="C8277" s="416"/>
      <c r="D8277" s="198" t="s">
        <v>48166</v>
      </c>
      <c r="E8277" s="198">
        <v>51</v>
      </c>
      <c r="F8277" s="199" t="s">
        <v>48167</v>
      </c>
      <c r="G8277" s="1" t="s">
        <v>48168</v>
      </c>
      <c r="H8277" s="1" t="s">
        <v>48169</v>
      </c>
      <c r="I8277" s="346"/>
      <c r="J8277" s="39">
        <v>113919</v>
      </c>
      <c r="K8277" s="36" t="str">
        <f>CONCATENATE(Cover!$D$6,"fdd/view?i=",J8277)</f>
        <v>https://www.dgiwg.org/FAD/fdd/view?i=113919</v>
      </c>
      <c r="L8277" s="36" t="s">
        <v>48170</v>
      </c>
      <c r="M8277" s="186"/>
      <c r="N8277" s="186"/>
      <c r="O8277" s="172"/>
    </row>
    <row r="8278" spans="1:15" x14ac:dyDescent="0.2">
      <c r="A8278" s="197" t="str">
        <f t="shared" si="129"/>
        <v>SuqCode_floatic</v>
      </c>
      <c r="B8278" s="409"/>
      <c r="C8278" s="416"/>
      <c r="D8278" s="198" t="s">
        <v>48171</v>
      </c>
      <c r="E8278" s="198">
        <v>52</v>
      </c>
      <c r="F8278" s="199" t="s">
        <v>48172</v>
      </c>
      <c r="G8278" s="1" t="s">
        <v>48173</v>
      </c>
      <c r="H8278" s="1" t="s">
        <v>48174</v>
      </c>
      <c r="I8278" s="346"/>
      <c r="J8278" s="39">
        <v>113920</v>
      </c>
      <c r="K8278" s="36" t="str">
        <f>CONCATENATE(Cover!$D$6,"fdd/view?i=",J8278)</f>
        <v>https://www.dgiwg.org/FAD/fdd/view?i=113920</v>
      </c>
      <c r="L8278" s="36" t="s">
        <v>48175</v>
      </c>
      <c r="M8278" s="186"/>
      <c r="N8278" s="186"/>
      <c r="O8278" s="172"/>
    </row>
    <row r="8279" spans="1:15" ht="25.5" x14ac:dyDescent="0.2">
      <c r="A8279" s="197" t="str">
        <f t="shared" si="129"/>
        <v>SuqCode_fluvic</v>
      </c>
      <c r="B8279" s="409"/>
      <c r="C8279" s="416"/>
      <c r="D8279" s="198" t="s">
        <v>48176</v>
      </c>
      <c r="E8279" s="198">
        <v>53</v>
      </c>
      <c r="F8279" s="199" t="s">
        <v>48177</v>
      </c>
      <c r="G8279" s="1" t="s">
        <v>48178</v>
      </c>
      <c r="H8279" s="1" t="s">
        <v>48179</v>
      </c>
      <c r="I8279" s="346"/>
      <c r="J8279" s="39">
        <v>113921</v>
      </c>
      <c r="K8279" s="36" t="str">
        <f>CONCATENATE(Cover!$D$6,"fdd/view?i=",J8279)</f>
        <v>https://www.dgiwg.org/FAD/fdd/view?i=113921</v>
      </c>
      <c r="L8279" s="36" t="s">
        <v>48180</v>
      </c>
      <c r="M8279" s="186"/>
      <c r="N8279" s="186"/>
      <c r="O8279" s="172"/>
    </row>
    <row r="8280" spans="1:15" ht="25.5" x14ac:dyDescent="0.2">
      <c r="A8280" s="197" t="str">
        <f t="shared" si="129"/>
        <v>SuqCode_folic</v>
      </c>
      <c r="B8280" s="409"/>
      <c r="C8280" s="416"/>
      <c r="D8280" s="198" t="s">
        <v>48181</v>
      </c>
      <c r="E8280" s="198">
        <v>54</v>
      </c>
      <c r="F8280" s="199" t="s">
        <v>48182</v>
      </c>
      <c r="G8280" s="1" t="s">
        <v>48183</v>
      </c>
      <c r="H8280" s="1" t="s">
        <v>48184</v>
      </c>
      <c r="I8280" s="346"/>
      <c r="J8280" s="39">
        <v>113922</v>
      </c>
      <c r="K8280" s="36" t="str">
        <f>CONCATENATE(Cover!$D$6,"fdd/view?i=",J8280)</f>
        <v>https://www.dgiwg.org/FAD/fdd/view?i=113922</v>
      </c>
      <c r="L8280" s="36" t="s">
        <v>48185</v>
      </c>
      <c r="M8280" s="186"/>
      <c r="N8280" s="186"/>
      <c r="O8280" s="172"/>
    </row>
    <row r="8281" spans="1:15" ht="38.25" x14ac:dyDescent="0.2">
      <c r="A8281" s="197" t="str">
        <f t="shared" si="129"/>
        <v>SuqCode_fractipetric</v>
      </c>
      <c r="B8281" s="409"/>
      <c r="C8281" s="416"/>
      <c r="D8281" s="198" t="s">
        <v>48186</v>
      </c>
      <c r="E8281" s="198">
        <v>55</v>
      </c>
      <c r="F8281" s="199" t="s">
        <v>48187</v>
      </c>
      <c r="G8281" s="1" t="s">
        <v>48188</v>
      </c>
      <c r="H8281" s="1" t="s">
        <v>48189</v>
      </c>
      <c r="I8281" s="346"/>
      <c r="J8281" s="39">
        <v>113923</v>
      </c>
      <c r="K8281" s="36" t="str">
        <f>CONCATENATE(Cover!$D$6,"fdd/view?i=",J8281)</f>
        <v>https://www.dgiwg.org/FAD/fdd/view?i=113923</v>
      </c>
      <c r="L8281" s="36" t="s">
        <v>48190</v>
      </c>
      <c r="M8281" s="186"/>
      <c r="N8281" s="186"/>
      <c r="O8281" s="172"/>
    </row>
    <row r="8282" spans="1:15" ht="38.25" x14ac:dyDescent="0.2">
      <c r="A8282" s="197" t="str">
        <f t="shared" si="129"/>
        <v>SuqCode_fractiplinthic</v>
      </c>
      <c r="B8282" s="409"/>
      <c r="C8282" s="416"/>
      <c r="D8282" s="198" t="s">
        <v>48191</v>
      </c>
      <c r="E8282" s="198">
        <v>56</v>
      </c>
      <c r="F8282" s="199" t="s">
        <v>48192</v>
      </c>
      <c r="G8282" s="1" t="s">
        <v>48193</v>
      </c>
      <c r="H8282" s="1" t="s">
        <v>48194</v>
      </c>
      <c r="I8282" s="346"/>
      <c r="J8282" s="39">
        <v>113924</v>
      </c>
      <c r="K8282" s="36" t="str">
        <f>CONCATENATE(Cover!$D$6,"fdd/view?i=",J8282)</f>
        <v>https://www.dgiwg.org/FAD/fdd/view?i=113924</v>
      </c>
      <c r="L8282" s="36" t="s">
        <v>48195</v>
      </c>
      <c r="M8282" s="186"/>
      <c r="N8282" s="186"/>
      <c r="O8282" s="172"/>
    </row>
    <row r="8283" spans="1:15" ht="25.5" x14ac:dyDescent="0.2">
      <c r="A8283" s="197" t="str">
        <f t="shared" si="129"/>
        <v>SuqCode_fragic</v>
      </c>
      <c r="B8283" s="409"/>
      <c r="C8283" s="416"/>
      <c r="D8283" s="198" t="s">
        <v>48196</v>
      </c>
      <c r="E8283" s="198">
        <v>57</v>
      </c>
      <c r="F8283" s="199" t="s">
        <v>48197</v>
      </c>
      <c r="G8283" s="1" t="s">
        <v>48198</v>
      </c>
      <c r="H8283" s="1" t="s">
        <v>48199</v>
      </c>
      <c r="I8283" s="346"/>
      <c r="J8283" s="39">
        <v>113925</v>
      </c>
      <c r="K8283" s="36" t="str">
        <f>CONCATENATE(Cover!$D$6,"fdd/view?i=",J8283)</f>
        <v>https://www.dgiwg.org/FAD/fdd/view?i=113925</v>
      </c>
      <c r="L8283" s="36" t="s">
        <v>48200</v>
      </c>
      <c r="M8283" s="186"/>
      <c r="N8283" s="186"/>
      <c r="O8283" s="172"/>
    </row>
    <row r="8284" spans="1:15" ht="25.5" x14ac:dyDescent="0.2">
      <c r="A8284" s="197" t="str">
        <f t="shared" si="129"/>
        <v>SuqCode_fulvic</v>
      </c>
      <c r="B8284" s="409"/>
      <c r="C8284" s="416"/>
      <c r="D8284" s="198" t="s">
        <v>48201</v>
      </c>
      <c r="E8284" s="198">
        <v>58</v>
      </c>
      <c r="F8284" s="199" t="s">
        <v>48202</v>
      </c>
      <c r="G8284" s="1" t="s">
        <v>48203</v>
      </c>
      <c r="H8284" s="1" t="s">
        <v>48204</v>
      </c>
      <c r="I8284" s="346"/>
      <c r="J8284" s="39">
        <v>113926</v>
      </c>
      <c r="K8284" s="36" t="str">
        <f>CONCATENATE(Cover!$D$6,"fdd/view?i=",J8284)</f>
        <v>https://www.dgiwg.org/FAD/fdd/view?i=113926</v>
      </c>
      <c r="L8284" s="36" t="s">
        <v>48205</v>
      </c>
      <c r="M8284" s="186"/>
      <c r="N8284" s="186"/>
      <c r="O8284" s="172"/>
    </row>
    <row r="8285" spans="1:15" ht="51" x14ac:dyDescent="0.2">
      <c r="A8285" s="197" t="str">
        <f t="shared" si="129"/>
        <v>SuqCode_garbic</v>
      </c>
      <c r="B8285" s="409"/>
      <c r="C8285" s="416"/>
      <c r="D8285" s="198" t="s">
        <v>48206</v>
      </c>
      <c r="E8285" s="198">
        <v>59</v>
      </c>
      <c r="F8285" s="199" t="s">
        <v>48207</v>
      </c>
      <c r="G8285" s="1" t="s">
        <v>48208</v>
      </c>
      <c r="H8285" s="1" t="s">
        <v>48209</v>
      </c>
      <c r="I8285" s="346"/>
      <c r="J8285" s="39">
        <v>113927</v>
      </c>
      <c r="K8285" s="36" t="str">
        <f>CONCATENATE(Cover!$D$6,"fdd/view?i=",J8285)</f>
        <v>https://www.dgiwg.org/FAD/fdd/view?i=113927</v>
      </c>
      <c r="L8285" s="36" t="s">
        <v>48210</v>
      </c>
      <c r="M8285" s="186"/>
      <c r="N8285" s="186"/>
      <c r="O8285" s="172"/>
    </row>
    <row r="8286" spans="1:15" ht="38.25" x14ac:dyDescent="0.2">
      <c r="A8286" s="197" t="str">
        <f t="shared" si="129"/>
        <v>SuqCode_gelic</v>
      </c>
      <c r="B8286" s="409"/>
      <c r="C8286" s="416"/>
      <c r="D8286" s="198" t="s">
        <v>48211</v>
      </c>
      <c r="E8286" s="198">
        <v>60</v>
      </c>
      <c r="F8286" s="199" t="s">
        <v>48212</v>
      </c>
      <c r="G8286" s="1" t="s">
        <v>48213</v>
      </c>
      <c r="H8286" s="1" t="s">
        <v>48214</v>
      </c>
      <c r="I8286" s="346"/>
      <c r="J8286" s="39">
        <v>113928</v>
      </c>
      <c r="K8286" s="36" t="str">
        <f>CONCATENATE(Cover!$D$6,"fdd/view?i=",J8286)</f>
        <v>https://www.dgiwg.org/FAD/fdd/view?i=113928</v>
      </c>
      <c r="L8286" s="36" t="s">
        <v>48215</v>
      </c>
      <c r="M8286" s="186"/>
      <c r="N8286" s="186"/>
      <c r="O8286" s="172"/>
    </row>
    <row r="8287" spans="1:15" ht="25.5" x14ac:dyDescent="0.2">
      <c r="A8287" s="197" t="str">
        <f t="shared" si="129"/>
        <v>SuqCode_gelistagnic</v>
      </c>
      <c r="B8287" s="409"/>
      <c r="C8287" s="416"/>
      <c r="D8287" s="198" t="s">
        <v>48216</v>
      </c>
      <c r="E8287" s="198">
        <v>61</v>
      </c>
      <c r="F8287" s="199" t="s">
        <v>48217</v>
      </c>
      <c r="G8287" s="1" t="s">
        <v>48218</v>
      </c>
      <c r="H8287" s="1" t="s">
        <v>48219</v>
      </c>
      <c r="I8287" s="346"/>
      <c r="J8287" s="39">
        <v>113929</v>
      </c>
      <c r="K8287" s="36" t="str">
        <f>CONCATENATE(Cover!$D$6,"fdd/view?i=",J8287)</f>
        <v>https://www.dgiwg.org/FAD/fdd/view?i=113929</v>
      </c>
      <c r="L8287" s="36" t="s">
        <v>48220</v>
      </c>
      <c r="M8287" s="186"/>
      <c r="N8287" s="186"/>
      <c r="O8287" s="172"/>
    </row>
    <row r="8288" spans="1:15" ht="25.5" x14ac:dyDescent="0.2">
      <c r="A8288" s="197" t="str">
        <f t="shared" si="129"/>
        <v>SuqCode_geric</v>
      </c>
      <c r="B8288" s="409"/>
      <c r="C8288" s="416"/>
      <c r="D8288" s="198" t="s">
        <v>48221</v>
      </c>
      <c r="E8288" s="198">
        <v>62</v>
      </c>
      <c r="F8288" s="199" t="s">
        <v>48222</v>
      </c>
      <c r="G8288" s="1" t="s">
        <v>48223</v>
      </c>
      <c r="H8288" s="1" t="s">
        <v>48224</v>
      </c>
      <c r="I8288" s="346"/>
      <c r="J8288" s="39">
        <v>113930</v>
      </c>
      <c r="K8288" s="36" t="str">
        <f>CONCATENATE(Cover!$D$6,"fdd/view?i=",J8288)</f>
        <v>https://www.dgiwg.org/FAD/fdd/view?i=113930</v>
      </c>
      <c r="L8288" s="36" t="s">
        <v>48225</v>
      </c>
      <c r="M8288" s="186"/>
      <c r="N8288" s="186"/>
      <c r="O8288" s="172"/>
    </row>
    <row r="8289" spans="1:15" ht="38.25" x14ac:dyDescent="0.2">
      <c r="A8289" s="197" t="str">
        <f t="shared" si="129"/>
        <v>SuqCode_gibbsic</v>
      </c>
      <c r="B8289" s="409"/>
      <c r="C8289" s="416"/>
      <c r="D8289" s="198" t="s">
        <v>48226</v>
      </c>
      <c r="E8289" s="198">
        <v>63</v>
      </c>
      <c r="F8289" s="199" t="s">
        <v>48227</v>
      </c>
      <c r="G8289" s="1" t="s">
        <v>48228</v>
      </c>
      <c r="H8289" s="1" t="s">
        <v>48229</v>
      </c>
      <c r="I8289" s="346"/>
      <c r="J8289" s="39">
        <v>113931</v>
      </c>
      <c r="K8289" s="36" t="str">
        <f>CONCATENATE(Cover!$D$6,"fdd/view?i=",J8289)</f>
        <v>https://www.dgiwg.org/FAD/fdd/view?i=113931</v>
      </c>
      <c r="L8289" s="36" t="s">
        <v>48230</v>
      </c>
      <c r="M8289" s="186"/>
      <c r="N8289" s="186"/>
      <c r="O8289" s="172"/>
    </row>
    <row r="8290" spans="1:15" ht="38.25" x14ac:dyDescent="0.2">
      <c r="A8290" s="197" t="str">
        <f t="shared" si="129"/>
        <v>SuqCode_glacic</v>
      </c>
      <c r="B8290" s="409"/>
      <c r="C8290" s="416"/>
      <c r="D8290" s="198" t="s">
        <v>48231</v>
      </c>
      <c r="E8290" s="198">
        <v>64</v>
      </c>
      <c r="F8290" s="199" t="s">
        <v>48232</v>
      </c>
      <c r="G8290" s="1" t="s">
        <v>48233</v>
      </c>
      <c r="H8290" s="1" t="s">
        <v>48234</v>
      </c>
      <c r="I8290" s="346"/>
      <c r="J8290" s="39">
        <v>113932</v>
      </c>
      <c r="K8290" s="36" t="str">
        <f>CONCATENATE(Cover!$D$6,"fdd/view?i=",J8290)</f>
        <v>https://www.dgiwg.org/FAD/fdd/view?i=113932</v>
      </c>
      <c r="L8290" s="36" t="s">
        <v>48235</v>
      </c>
      <c r="M8290" s="186"/>
      <c r="N8290" s="186"/>
      <c r="O8290" s="172"/>
    </row>
    <row r="8291" spans="1:15" ht="38.25" x14ac:dyDescent="0.2">
      <c r="A8291" s="197" t="str">
        <f t="shared" si="129"/>
        <v>SuqCode_gleyic</v>
      </c>
      <c r="B8291" s="409"/>
      <c r="C8291" s="416"/>
      <c r="D8291" s="198" t="s">
        <v>48236</v>
      </c>
      <c r="E8291" s="198">
        <v>65</v>
      </c>
      <c r="F8291" s="199" t="s">
        <v>48237</v>
      </c>
      <c r="G8291" s="1" t="s">
        <v>48238</v>
      </c>
      <c r="H8291" s="1" t="s">
        <v>48239</v>
      </c>
      <c r="I8291" s="346"/>
      <c r="J8291" s="39">
        <v>113933</v>
      </c>
      <c r="K8291" s="36" t="str">
        <f>CONCATENATE(Cover!$D$6,"fdd/view?i=",J8291)</f>
        <v>https://www.dgiwg.org/FAD/fdd/view?i=113933</v>
      </c>
      <c r="L8291" s="36" t="s">
        <v>48240</v>
      </c>
      <c r="M8291" s="186"/>
      <c r="N8291" s="186"/>
      <c r="O8291" s="172"/>
    </row>
    <row r="8292" spans="1:15" x14ac:dyDescent="0.2">
      <c r="A8292" s="197" t="str">
        <f t="shared" si="129"/>
        <v>SuqCode_glossalbic</v>
      </c>
      <c r="B8292" s="409"/>
      <c r="C8292" s="416"/>
      <c r="D8292" s="198" t="s">
        <v>48241</v>
      </c>
      <c r="E8292" s="198">
        <v>66</v>
      </c>
      <c r="F8292" s="199" t="s">
        <v>48242</v>
      </c>
      <c r="G8292" s="1" t="s">
        <v>48243</v>
      </c>
      <c r="H8292" s="1" t="s">
        <v>48244</v>
      </c>
      <c r="I8292" s="346"/>
      <c r="J8292" s="39">
        <v>113934</v>
      </c>
      <c r="K8292" s="36" t="str">
        <f>CONCATENATE(Cover!$D$6,"fdd/view?i=",J8292)</f>
        <v>https://www.dgiwg.org/FAD/fdd/view?i=113934</v>
      </c>
      <c r="L8292" s="36" t="s">
        <v>48245</v>
      </c>
      <c r="M8292" s="186"/>
      <c r="N8292" s="186"/>
      <c r="O8292" s="172"/>
    </row>
    <row r="8293" spans="1:15" ht="25.5" x14ac:dyDescent="0.2">
      <c r="A8293" s="197" t="str">
        <f t="shared" si="129"/>
        <v>SuqCode_glossic</v>
      </c>
      <c r="B8293" s="409"/>
      <c r="C8293" s="416"/>
      <c r="D8293" s="198" t="s">
        <v>48246</v>
      </c>
      <c r="E8293" s="198">
        <v>67</v>
      </c>
      <c r="F8293" s="199" t="s">
        <v>48247</v>
      </c>
      <c r="G8293" s="1" t="s">
        <v>48248</v>
      </c>
      <c r="H8293" s="1" t="s">
        <v>48249</v>
      </c>
      <c r="I8293" s="346"/>
      <c r="J8293" s="39">
        <v>113935</v>
      </c>
      <c r="K8293" s="36" t="str">
        <f>CONCATENATE(Cover!$D$6,"fdd/view?i=",J8293)</f>
        <v>https://www.dgiwg.org/FAD/fdd/view?i=113935</v>
      </c>
      <c r="L8293" s="36" t="s">
        <v>48250</v>
      </c>
      <c r="M8293" s="186"/>
      <c r="N8293" s="186"/>
      <c r="O8293" s="172"/>
    </row>
    <row r="8294" spans="1:15" ht="51" x14ac:dyDescent="0.2">
      <c r="A8294" s="197" t="str">
        <f t="shared" si="129"/>
        <v>SuqCode_greyic</v>
      </c>
      <c r="B8294" s="409"/>
      <c r="C8294" s="416"/>
      <c r="D8294" s="198" t="s">
        <v>48251</v>
      </c>
      <c r="E8294" s="198">
        <v>68</v>
      </c>
      <c r="F8294" s="199" t="s">
        <v>48252</v>
      </c>
      <c r="G8294" s="1" t="s">
        <v>48253</v>
      </c>
      <c r="H8294" s="1" t="s">
        <v>48254</v>
      </c>
      <c r="I8294" s="346"/>
      <c r="J8294" s="39">
        <v>113936</v>
      </c>
      <c r="K8294" s="36" t="str">
        <f>CONCATENATE(Cover!$D$6,"fdd/view?i=",J8294)</f>
        <v>https://www.dgiwg.org/FAD/fdd/view?i=113936</v>
      </c>
      <c r="L8294" s="36" t="s">
        <v>48255</v>
      </c>
      <c r="M8294" s="186"/>
      <c r="N8294" s="186"/>
      <c r="O8294" s="172"/>
    </row>
    <row r="8295" spans="1:15" ht="38.25" x14ac:dyDescent="0.2">
      <c r="A8295" s="197" t="str">
        <f t="shared" si="129"/>
        <v>SuqCode_grumic</v>
      </c>
      <c r="B8295" s="409"/>
      <c r="C8295" s="416"/>
      <c r="D8295" s="198" t="s">
        <v>48256</v>
      </c>
      <c r="E8295" s="198">
        <v>69</v>
      </c>
      <c r="F8295" s="199" t="s">
        <v>48257</v>
      </c>
      <c r="G8295" s="1" t="s">
        <v>48258</v>
      </c>
      <c r="H8295" s="1" t="s">
        <v>48259</v>
      </c>
      <c r="I8295" s="346"/>
      <c r="J8295" s="39">
        <v>113937</v>
      </c>
      <c r="K8295" s="36" t="str">
        <f>CONCATENATE(Cover!$D$6,"fdd/view?i=",J8295)</f>
        <v>https://www.dgiwg.org/FAD/fdd/view?i=113937</v>
      </c>
      <c r="L8295" s="36" t="s">
        <v>48260</v>
      </c>
      <c r="M8295" s="186"/>
      <c r="N8295" s="186"/>
      <c r="O8295" s="172"/>
    </row>
    <row r="8296" spans="1:15" ht="25.5" x14ac:dyDescent="0.2">
      <c r="A8296" s="197" t="str">
        <f t="shared" si="129"/>
        <v>SuqCode_gypsic</v>
      </c>
      <c r="B8296" s="409"/>
      <c r="C8296" s="416"/>
      <c r="D8296" s="198" t="s">
        <v>48261</v>
      </c>
      <c r="E8296" s="198">
        <v>70</v>
      </c>
      <c r="F8296" s="199" t="s">
        <v>48262</v>
      </c>
      <c r="G8296" s="1" t="s">
        <v>48263</v>
      </c>
      <c r="H8296" s="1" t="s">
        <v>48264</v>
      </c>
      <c r="I8296" s="346"/>
      <c r="J8296" s="39">
        <v>113938</v>
      </c>
      <c r="K8296" s="36" t="str">
        <f>CONCATENATE(Cover!$D$6,"fdd/view?i=",J8296)</f>
        <v>https://www.dgiwg.org/FAD/fdd/view?i=113938</v>
      </c>
      <c r="L8296" s="36" t="s">
        <v>48265</v>
      </c>
      <c r="M8296" s="186"/>
      <c r="N8296" s="186"/>
      <c r="O8296" s="172"/>
    </row>
    <row r="8297" spans="1:15" ht="25.5" x14ac:dyDescent="0.2">
      <c r="A8297" s="197" t="str">
        <f t="shared" si="129"/>
        <v>SuqCode_gypsiric</v>
      </c>
      <c r="B8297" s="409"/>
      <c r="C8297" s="416"/>
      <c r="D8297" s="198" t="s">
        <v>48266</v>
      </c>
      <c r="E8297" s="198">
        <v>71</v>
      </c>
      <c r="F8297" s="199" t="s">
        <v>48267</v>
      </c>
      <c r="G8297" s="1" t="s">
        <v>48268</v>
      </c>
      <c r="H8297" s="1" t="s">
        <v>48269</v>
      </c>
      <c r="I8297" s="346"/>
      <c r="J8297" s="39">
        <v>113939</v>
      </c>
      <c r="K8297" s="36" t="str">
        <f>CONCATENATE(Cover!$D$6,"fdd/view?i=",J8297)</f>
        <v>https://www.dgiwg.org/FAD/fdd/view?i=113939</v>
      </c>
      <c r="L8297" s="36" t="s">
        <v>48270</v>
      </c>
      <c r="M8297" s="186"/>
      <c r="N8297" s="186"/>
      <c r="O8297" s="172"/>
    </row>
    <row r="8298" spans="1:15" ht="38.25" x14ac:dyDescent="0.2">
      <c r="A8298" s="197" t="str">
        <f t="shared" si="129"/>
        <v>SuqCode_haplic</v>
      </c>
      <c r="B8298" s="409"/>
      <c r="C8298" s="416"/>
      <c r="D8298" s="198" t="s">
        <v>48271</v>
      </c>
      <c r="E8298" s="198">
        <v>72</v>
      </c>
      <c r="F8298" s="199" t="s">
        <v>48272</v>
      </c>
      <c r="G8298" s="1" t="s">
        <v>48273</v>
      </c>
      <c r="H8298" s="1" t="s">
        <v>48274</v>
      </c>
      <c r="I8298" s="346"/>
      <c r="J8298" s="39">
        <v>113940</v>
      </c>
      <c r="K8298" s="36" t="str">
        <f>CONCATENATE(Cover!$D$6,"fdd/view?i=",J8298)</f>
        <v>https://www.dgiwg.org/FAD/fdd/view?i=113940</v>
      </c>
      <c r="L8298" s="36" t="s">
        <v>48275</v>
      </c>
      <c r="M8298" s="186"/>
      <c r="N8298" s="186"/>
      <c r="O8298" s="172"/>
    </row>
    <row r="8299" spans="1:15" ht="38.25" x14ac:dyDescent="0.2">
      <c r="A8299" s="197" t="str">
        <f t="shared" si="129"/>
        <v>SuqCode_hemic</v>
      </c>
      <c r="B8299" s="409"/>
      <c r="C8299" s="416"/>
      <c r="D8299" s="198" t="s">
        <v>48276</v>
      </c>
      <c r="E8299" s="198">
        <v>73</v>
      </c>
      <c r="F8299" s="199" t="s">
        <v>48277</v>
      </c>
      <c r="G8299" s="1" t="s">
        <v>48278</v>
      </c>
      <c r="H8299" s="1" t="s">
        <v>48279</v>
      </c>
      <c r="I8299" s="346"/>
      <c r="J8299" s="39">
        <v>113941</v>
      </c>
      <c r="K8299" s="36" t="str">
        <f>CONCATENATE(Cover!$D$6,"fdd/view?i=",J8299)</f>
        <v>https://www.dgiwg.org/FAD/fdd/view?i=113941</v>
      </c>
      <c r="L8299" s="36" t="s">
        <v>48280</v>
      </c>
      <c r="M8299" s="186"/>
      <c r="N8299" s="186"/>
      <c r="O8299" s="172"/>
    </row>
    <row r="8300" spans="1:15" ht="25.5" x14ac:dyDescent="0.2">
      <c r="A8300" s="197" t="str">
        <f t="shared" si="129"/>
        <v>SuqCode_histic</v>
      </c>
      <c r="B8300" s="409"/>
      <c r="C8300" s="416"/>
      <c r="D8300" s="198" t="s">
        <v>48281</v>
      </c>
      <c r="E8300" s="198">
        <v>74</v>
      </c>
      <c r="F8300" s="199" t="s">
        <v>48282</v>
      </c>
      <c r="G8300" s="1" t="s">
        <v>48283</v>
      </c>
      <c r="H8300" s="1" t="s">
        <v>48284</v>
      </c>
      <c r="I8300" s="346"/>
      <c r="J8300" s="39">
        <v>113942</v>
      </c>
      <c r="K8300" s="36" t="str">
        <f>CONCATENATE(Cover!$D$6,"fdd/view?i=",J8300)</f>
        <v>https://www.dgiwg.org/FAD/fdd/view?i=113942</v>
      </c>
      <c r="L8300" s="36" t="s">
        <v>48285</v>
      </c>
      <c r="M8300" s="186"/>
      <c r="N8300" s="186"/>
      <c r="O8300" s="172"/>
    </row>
    <row r="8301" spans="1:15" x14ac:dyDescent="0.2">
      <c r="A8301" s="197" t="str">
        <f t="shared" si="129"/>
        <v>SuqCode_hortic</v>
      </c>
      <c r="B8301" s="409"/>
      <c r="C8301" s="416"/>
      <c r="D8301" s="198" t="s">
        <v>48286</v>
      </c>
      <c r="E8301" s="198">
        <v>75</v>
      </c>
      <c r="F8301" s="199" t="s">
        <v>48287</v>
      </c>
      <c r="G8301" s="1" t="s">
        <v>48288</v>
      </c>
      <c r="H8301" s="1" t="s">
        <v>48289</v>
      </c>
      <c r="I8301" s="346"/>
      <c r="J8301" s="39">
        <v>113943</v>
      </c>
      <c r="K8301" s="36" t="str">
        <f>CONCATENATE(Cover!$D$6,"fdd/view?i=",J8301)</f>
        <v>https://www.dgiwg.org/FAD/fdd/view?i=113943</v>
      </c>
      <c r="L8301" s="36" t="s">
        <v>48290</v>
      </c>
      <c r="M8301" s="186"/>
      <c r="N8301" s="186"/>
      <c r="O8301" s="172"/>
    </row>
    <row r="8302" spans="1:15" ht="63.75" x14ac:dyDescent="0.2">
      <c r="A8302" s="197" t="str">
        <f t="shared" si="129"/>
        <v>SuqCode_humic</v>
      </c>
      <c r="B8302" s="409"/>
      <c r="C8302" s="416"/>
      <c r="D8302" s="198" t="s">
        <v>48291</v>
      </c>
      <c r="E8302" s="198">
        <v>76</v>
      </c>
      <c r="F8302" s="199" t="s">
        <v>48292</v>
      </c>
      <c r="G8302" s="1" t="s">
        <v>48293</v>
      </c>
      <c r="H8302" s="1" t="s">
        <v>48294</v>
      </c>
      <c r="I8302" s="346"/>
      <c r="J8302" s="39">
        <v>113944</v>
      </c>
      <c r="K8302" s="36" t="str">
        <f>CONCATENATE(Cover!$D$6,"fdd/view?i=",J8302)</f>
        <v>https://www.dgiwg.org/FAD/fdd/view?i=113944</v>
      </c>
      <c r="L8302" s="36" t="s">
        <v>48295</v>
      </c>
      <c r="M8302" s="186"/>
      <c r="N8302" s="186"/>
      <c r="O8302" s="172"/>
    </row>
    <row r="8303" spans="1:15" ht="25.5" x14ac:dyDescent="0.2">
      <c r="A8303" s="197" t="str">
        <f t="shared" si="129"/>
        <v>SuqCode_hydragric</v>
      </c>
      <c r="B8303" s="409"/>
      <c r="C8303" s="416"/>
      <c r="D8303" s="198" t="s">
        <v>48296</v>
      </c>
      <c r="E8303" s="198">
        <v>77</v>
      </c>
      <c r="F8303" s="199" t="s">
        <v>48297</v>
      </c>
      <c r="G8303" s="1" t="s">
        <v>48298</v>
      </c>
      <c r="H8303" s="1" t="s">
        <v>48299</v>
      </c>
      <c r="I8303" s="346"/>
      <c r="J8303" s="39">
        <v>113945</v>
      </c>
      <c r="K8303" s="36" t="str">
        <f>CONCATENATE(Cover!$D$6,"fdd/view?i=",J8303)</f>
        <v>https://www.dgiwg.org/FAD/fdd/view?i=113945</v>
      </c>
      <c r="L8303" s="36" t="s">
        <v>48300</v>
      </c>
      <c r="M8303" s="186"/>
      <c r="N8303" s="186"/>
      <c r="O8303" s="172"/>
    </row>
    <row r="8304" spans="1:15" ht="51" x14ac:dyDescent="0.2">
      <c r="A8304" s="197" t="str">
        <f t="shared" si="129"/>
        <v>SuqCode_hydric</v>
      </c>
      <c r="B8304" s="409"/>
      <c r="C8304" s="416"/>
      <c r="D8304" s="198" t="s">
        <v>48301</v>
      </c>
      <c r="E8304" s="198">
        <v>78</v>
      </c>
      <c r="F8304" s="199" t="s">
        <v>48302</v>
      </c>
      <c r="G8304" s="1" t="s">
        <v>48303</v>
      </c>
      <c r="H8304" s="1" t="s">
        <v>48304</v>
      </c>
      <c r="I8304" s="346"/>
      <c r="J8304" s="39">
        <v>113946</v>
      </c>
      <c r="K8304" s="36" t="str">
        <f>CONCATENATE(Cover!$D$6,"fdd/view?i=",J8304)</f>
        <v>https://www.dgiwg.org/FAD/fdd/view?i=113946</v>
      </c>
      <c r="L8304" s="36" t="s">
        <v>48305</v>
      </c>
      <c r="M8304" s="186"/>
      <c r="N8304" s="186"/>
      <c r="O8304" s="172"/>
    </row>
    <row r="8305" spans="1:15" ht="25.5" x14ac:dyDescent="0.2">
      <c r="A8305" s="197" t="str">
        <f t="shared" si="129"/>
        <v>SuqCode_hydrophobic</v>
      </c>
      <c r="B8305" s="409"/>
      <c r="C8305" s="416"/>
      <c r="D8305" s="198" t="s">
        <v>48306</v>
      </c>
      <c r="E8305" s="198">
        <v>79</v>
      </c>
      <c r="F8305" s="199" t="s">
        <v>48307</v>
      </c>
      <c r="G8305" s="1" t="s">
        <v>48308</v>
      </c>
      <c r="H8305" s="1" t="s">
        <v>48309</v>
      </c>
      <c r="I8305" s="346"/>
      <c r="J8305" s="39">
        <v>113947</v>
      </c>
      <c r="K8305" s="36" t="str">
        <f>CONCATENATE(Cover!$D$6,"fdd/view?i=",J8305)</f>
        <v>https://www.dgiwg.org/FAD/fdd/view?i=113947</v>
      </c>
      <c r="L8305" s="36" t="s">
        <v>48310</v>
      </c>
      <c r="M8305" s="186"/>
      <c r="N8305" s="186"/>
      <c r="O8305" s="172"/>
    </row>
    <row r="8306" spans="1:15" ht="38.25" x14ac:dyDescent="0.2">
      <c r="A8306" s="197" t="str">
        <f t="shared" si="129"/>
        <v>SuqCode_hyperalbic</v>
      </c>
      <c r="B8306" s="409"/>
      <c r="C8306" s="416"/>
      <c r="D8306" s="198" t="s">
        <v>48311</v>
      </c>
      <c r="E8306" s="198">
        <v>80</v>
      </c>
      <c r="F8306" s="199" t="s">
        <v>48312</v>
      </c>
      <c r="G8306" s="1" t="s">
        <v>48313</v>
      </c>
      <c r="H8306" s="1" t="s">
        <v>48274</v>
      </c>
      <c r="I8306" s="346"/>
      <c r="J8306" s="39">
        <v>113948</v>
      </c>
      <c r="K8306" s="36" t="str">
        <f>CONCATENATE(Cover!$D$6,"fdd/view?i=",J8306)</f>
        <v>https://www.dgiwg.org/FAD/fdd/view?i=113948</v>
      </c>
      <c r="L8306" s="36" t="s">
        <v>48314</v>
      </c>
      <c r="M8306" s="186"/>
      <c r="N8306" s="186"/>
      <c r="O8306" s="172"/>
    </row>
    <row r="8307" spans="1:15" ht="51" x14ac:dyDescent="0.2">
      <c r="A8307" s="197" t="str">
        <f t="shared" si="129"/>
        <v>SuqCode_hyperalic</v>
      </c>
      <c r="B8307" s="409"/>
      <c r="C8307" s="416"/>
      <c r="D8307" s="198" t="s">
        <v>48315</v>
      </c>
      <c r="E8307" s="198">
        <v>81</v>
      </c>
      <c r="F8307" s="199" t="s">
        <v>48316</v>
      </c>
      <c r="G8307" s="1" t="s">
        <v>48317</v>
      </c>
      <c r="H8307" s="1" t="s">
        <v>48318</v>
      </c>
      <c r="I8307" s="346"/>
      <c r="J8307" s="39">
        <v>113949</v>
      </c>
      <c r="K8307" s="36" t="str">
        <f>CONCATENATE(Cover!$D$6,"fdd/view?i=",J8307)</f>
        <v>https://www.dgiwg.org/FAD/fdd/view?i=113949</v>
      </c>
      <c r="L8307" s="36" t="s">
        <v>48319</v>
      </c>
      <c r="M8307" s="186"/>
      <c r="N8307" s="186"/>
      <c r="O8307" s="172"/>
    </row>
    <row r="8308" spans="1:15" ht="25.5" x14ac:dyDescent="0.2">
      <c r="A8308" s="197" t="str">
        <f t="shared" si="129"/>
        <v>SuqCode_hypercalcic</v>
      </c>
      <c r="B8308" s="409"/>
      <c r="C8308" s="416"/>
      <c r="D8308" s="198" t="s">
        <v>48320</v>
      </c>
      <c r="E8308" s="198">
        <v>82</v>
      </c>
      <c r="F8308" s="199" t="s">
        <v>48321</v>
      </c>
      <c r="G8308" s="1" t="s">
        <v>48322</v>
      </c>
      <c r="H8308" s="1" t="s">
        <v>48323</v>
      </c>
      <c r="I8308" s="346"/>
      <c r="J8308" s="39">
        <v>113950</v>
      </c>
      <c r="K8308" s="36" t="str">
        <f>CONCATENATE(Cover!$D$6,"fdd/view?i=",J8308)</f>
        <v>https://www.dgiwg.org/FAD/fdd/view?i=113950</v>
      </c>
      <c r="L8308" s="36" t="s">
        <v>48324</v>
      </c>
      <c r="M8308" s="186"/>
      <c r="N8308" s="186"/>
      <c r="O8308" s="172"/>
    </row>
    <row r="8309" spans="1:15" ht="51" x14ac:dyDescent="0.2">
      <c r="A8309" s="197" t="str">
        <f t="shared" si="129"/>
        <v>SuqCode_hyperdystric</v>
      </c>
      <c r="B8309" s="409"/>
      <c r="C8309" s="416"/>
      <c r="D8309" s="198" t="s">
        <v>48325</v>
      </c>
      <c r="E8309" s="198">
        <v>83</v>
      </c>
      <c r="F8309" s="199" t="s">
        <v>48326</v>
      </c>
      <c r="G8309" s="1" t="s">
        <v>48327</v>
      </c>
      <c r="H8309" s="1" t="s">
        <v>48328</v>
      </c>
      <c r="I8309" s="346"/>
      <c r="J8309" s="39">
        <v>113951</v>
      </c>
      <c r="K8309" s="36" t="str">
        <f>CONCATENATE(Cover!$D$6,"fdd/view?i=",J8309)</f>
        <v>https://www.dgiwg.org/FAD/fdd/view?i=113951</v>
      </c>
      <c r="L8309" s="36" t="s">
        <v>48329</v>
      </c>
      <c r="M8309" s="186"/>
      <c r="N8309" s="186"/>
      <c r="O8309" s="172"/>
    </row>
    <row r="8310" spans="1:15" ht="51" x14ac:dyDescent="0.2">
      <c r="A8310" s="197" t="str">
        <f t="shared" si="129"/>
        <v>SuqCode_hypereutric</v>
      </c>
      <c r="B8310" s="409"/>
      <c r="C8310" s="416"/>
      <c r="D8310" s="198" t="s">
        <v>48330</v>
      </c>
      <c r="E8310" s="198">
        <v>84</v>
      </c>
      <c r="F8310" s="199" t="s">
        <v>48331</v>
      </c>
      <c r="G8310" s="1" t="s">
        <v>48332</v>
      </c>
      <c r="H8310" s="1" t="s">
        <v>48333</v>
      </c>
      <c r="I8310" s="346"/>
      <c r="J8310" s="39">
        <v>113952</v>
      </c>
      <c r="K8310" s="36" t="str">
        <f>CONCATENATE(Cover!$D$6,"fdd/view?i=",J8310)</f>
        <v>https://www.dgiwg.org/FAD/fdd/view?i=113952</v>
      </c>
      <c r="L8310" s="36" t="s">
        <v>48334</v>
      </c>
      <c r="M8310" s="186"/>
      <c r="N8310" s="186"/>
      <c r="O8310" s="172"/>
    </row>
    <row r="8311" spans="1:15" ht="25.5" x14ac:dyDescent="0.2">
      <c r="A8311" s="197" t="str">
        <f t="shared" si="129"/>
        <v>SuqCode_hypergypsic</v>
      </c>
      <c r="B8311" s="409"/>
      <c r="C8311" s="416"/>
      <c r="D8311" s="198" t="s">
        <v>48335</v>
      </c>
      <c r="E8311" s="198">
        <v>85</v>
      </c>
      <c r="F8311" s="199" t="s">
        <v>48336</v>
      </c>
      <c r="G8311" s="1" t="s">
        <v>48337</v>
      </c>
      <c r="H8311" s="1" t="s">
        <v>48338</v>
      </c>
      <c r="I8311" s="346"/>
      <c r="J8311" s="39">
        <v>113953</v>
      </c>
      <c r="K8311" s="36" t="str">
        <f>CONCATENATE(Cover!$D$6,"fdd/view?i=",J8311)</f>
        <v>https://www.dgiwg.org/FAD/fdd/view?i=113953</v>
      </c>
      <c r="L8311" s="36" t="s">
        <v>48339</v>
      </c>
      <c r="M8311" s="186"/>
      <c r="N8311" s="186"/>
      <c r="O8311" s="172"/>
    </row>
    <row r="8312" spans="1:15" ht="51" x14ac:dyDescent="0.2">
      <c r="A8312" s="197" t="str">
        <f t="shared" si="129"/>
        <v>SuqCode_hyperochric</v>
      </c>
      <c r="B8312" s="409"/>
      <c r="C8312" s="416"/>
      <c r="D8312" s="198" t="s">
        <v>48340</v>
      </c>
      <c r="E8312" s="198">
        <v>86</v>
      </c>
      <c r="F8312" s="199" t="s">
        <v>48341</v>
      </c>
      <c r="G8312" s="1" t="s">
        <v>48342</v>
      </c>
      <c r="H8312" s="1" t="s">
        <v>48343</v>
      </c>
      <c r="I8312" s="346"/>
      <c r="J8312" s="39">
        <v>113954</v>
      </c>
      <c r="K8312" s="36" t="str">
        <f>CONCATENATE(Cover!$D$6,"fdd/view?i=",J8312)</f>
        <v>https://www.dgiwg.org/FAD/fdd/view?i=113954</v>
      </c>
      <c r="L8312" s="36" t="s">
        <v>48344</v>
      </c>
      <c r="M8312" s="186"/>
      <c r="N8312" s="186"/>
      <c r="O8312" s="172"/>
    </row>
    <row r="8313" spans="1:15" ht="25.5" x14ac:dyDescent="0.2">
      <c r="A8313" s="197" t="str">
        <f t="shared" si="129"/>
        <v>SuqCode_hypersalic</v>
      </c>
      <c r="B8313" s="409"/>
      <c r="C8313" s="416"/>
      <c r="D8313" s="198" t="s">
        <v>48345</v>
      </c>
      <c r="E8313" s="198">
        <v>87</v>
      </c>
      <c r="F8313" s="199" t="s">
        <v>48346</v>
      </c>
      <c r="G8313" s="1" t="s">
        <v>48347</v>
      </c>
      <c r="H8313" s="1" t="s">
        <v>48348</v>
      </c>
      <c r="I8313" s="346"/>
      <c r="J8313" s="39">
        <v>113955</v>
      </c>
      <c r="K8313" s="36" t="str">
        <f>CONCATENATE(Cover!$D$6,"fdd/view?i=",J8313)</f>
        <v>https://www.dgiwg.org/FAD/fdd/view?i=113955</v>
      </c>
      <c r="L8313" s="36" t="s">
        <v>48349</v>
      </c>
      <c r="M8313" s="186"/>
      <c r="N8313" s="186"/>
      <c r="O8313" s="172"/>
    </row>
    <row r="8314" spans="1:15" ht="38.25" x14ac:dyDescent="0.2">
      <c r="A8314" s="197" t="str">
        <f t="shared" si="129"/>
        <v>SuqCode_hyperskeletic</v>
      </c>
      <c r="B8314" s="409"/>
      <c r="C8314" s="416"/>
      <c r="D8314" s="198" t="s">
        <v>48350</v>
      </c>
      <c r="E8314" s="198">
        <v>88</v>
      </c>
      <c r="F8314" s="199" t="s">
        <v>48351</v>
      </c>
      <c r="G8314" s="1" t="s">
        <v>48352</v>
      </c>
      <c r="H8314" s="1" t="s">
        <v>48353</v>
      </c>
      <c r="I8314" s="346"/>
      <c r="J8314" s="39">
        <v>113956</v>
      </c>
      <c r="K8314" s="36" t="str">
        <f>CONCATENATE(Cover!$D$6,"fdd/view?i=",J8314)</f>
        <v>https://www.dgiwg.org/FAD/fdd/view?i=113956</v>
      </c>
      <c r="L8314" s="36" t="s">
        <v>48354</v>
      </c>
      <c r="M8314" s="186"/>
      <c r="N8314" s="186"/>
      <c r="O8314" s="172"/>
    </row>
    <row r="8315" spans="1:15" ht="51" x14ac:dyDescent="0.2">
      <c r="A8315" s="197" t="str">
        <f t="shared" si="129"/>
        <v>SuqCode_hypocalcic</v>
      </c>
      <c r="B8315" s="409"/>
      <c r="C8315" s="416"/>
      <c r="D8315" s="198" t="s">
        <v>48355</v>
      </c>
      <c r="E8315" s="198">
        <v>89</v>
      </c>
      <c r="F8315" s="199" t="s">
        <v>48356</v>
      </c>
      <c r="G8315" s="1" t="s">
        <v>48357</v>
      </c>
      <c r="H8315" s="1" t="s">
        <v>48358</v>
      </c>
      <c r="I8315" s="346"/>
      <c r="J8315" s="39">
        <v>113957</v>
      </c>
      <c r="K8315" s="36" t="str">
        <f>CONCATENATE(Cover!$D$6,"fdd/view?i=",J8315)</f>
        <v>https://www.dgiwg.org/FAD/fdd/view?i=113957</v>
      </c>
      <c r="L8315" s="36" t="s">
        <v>48359</v>
      </c>
      <c r="M8315" s="186"/>
      <c r="N8315" s="186"/>
      <c r="O8315" s="172"/>
    </row>
    <row r="8316" spans="1:15" ht="38.25" x14ac:dyDescent="0.2">
      <c r="A8316" s="197" t="str">
        <f t="shared" si="129"/>
        <v>SuqCode_hypogypsic</v>
      </c>
      <c r="B8316" s="409"/>
      <c r="C8316" s="416"/>
      <c r="D8316" s="198" t="s">
        <v>48360</v>
      </c>
      <c r="E8316" s="198">
        <v>90</v>
      </c>
      <c r="F8316" s="199" t="s">
        <v>48361</v>
      </c>
      <c r="G8316" s="1" t="s">
        <v>48362</v>
      </c>
      <c r="H8316" s="1" t="s">
        <v>48363</v>
      </c>
      <c r="I8316" s="346"/>
      <c r="J8316" s="39">
        <v>113958</v>
      </c>
      <c r="K8316" s="36" t="str">
        <f>CONCATENATE(Cover!$D$6,"fdd/view?i=",J8316)</f>
        <v>https://www.dgiwg.org/FAD/fdd/view?i=113958</v>
      </c>
      <c r="L8316" s="36" t="s">
        <v>48364</v>
      </c>
      <c r="M8316" s="186"/>
      <c r="N8316" s="186"/>
      <c r="O8316" s="172"/>
    </row>
    <row r="8317" spans="1:15" ht="25.5" x14ac:dyDescent="0.2">
      <c r="A8317" s="197" t="str">
        <f t="shared" si="129"/>
        <v>SuqCode_hypoluvic</v>
      </c>
      <c r="B8317" s="409"/>
      <c r="C8317" s="416"/>
      <c r="D8317" s="198" t="s">
        <v>48365</v>
      </c>
      <c r="E8317" s="198">
        <v>91</v>
      </c>
      <c r="F8317" s="199" t="s">
        <v>48366</v>
      </c>
      <c r="G8317" s="1" t="s">
        <v>48367</v>
      </c>
      <c r="H8317" s="1" t="s">
        <v>48368</v>
      </c>
      <c r="I8317" s="346"/>
      <c r="J8317" s="39">
        <v>113959</v>
      </c>
      <c r="K8317" s="36" t="str">
        <f>CONCATENATE(Cover!$D$6,"fdd/view?i=",J8317)</f>
        <v>https://www.dgiwg.org/FAD/fdd/view?i=113959</v>
      </c>
      <c r="L8317" s="36" t="s">
        <v>48369</v>
      </c>
      <c r="M8317" s="186"/>
      <c r="N8317" s="186"/>
      <c r="O8317" s="172"/>
    </row>
    <row r="8318" spans="1:15" ht="25.5" x14ac:dyDescent="0.2">
      <c r="A8318" s="197" t="str">
        <f t="shared" si="129"/>
        <v>SuqCode_hyposalic</v>
      </c>
      <c r="B8318" s="409"/>
      <c r="C8318" s="416"/>
      <c r="D8318" s="198" t="s">
        <v>48370</v>
      </c>
      <c r="E8318" s="198">
        <v>92</v>
      </c>
      <c r="F8318" s="199" t="s">
        <v>48371</v>
      </c>
      <c r="G8318" s="1" t="s">
        <v>48372</v>
      </c>
      <c r="H8318" s="1" t="s">
        <v>48373</v>
      </c>
      <c r="I8318" s="346"/>
      <c r="J8318" s="39">
        <v>113960</v>
      </c>
      <c r="K8318" s="36" t="str">
        <f>CONCATENATE(Cover!$D$6,"fdd/view?i=",J8318)</f>
        <v>https://www.dgiwg.org/FAD/fdd/view?i=113960</v>
      </c>
      <c r="L8318" s="36" t="s">
        <v>48374</v>
      </c>
      <c r="M8318" s="186"/>
      <c r="N8318" s="186"/>
      <c r="O8318" s="172"/>
    </row>
    <row r="8319" spans="1:15" ht="38.25" x14ac:dyDescent="0.2">
      <c r="A8319" s="197" t="str">
        <f t="shared" si="129"/>
        <v>SuqCode_hyposodic</v>
      </c>
      <c r="B8319" s="409"/>
      <c r="C8319" s="416"/>
      <c r="D8319" s="198" t="s">
        <v>48375</v>
      </c>
      <c r="E8319" s="198">
        <v>93</v>
      </c>
      <c r="F8319" s="199" t="s">
        <v>48376</v>
      </c>
      <c r="G8319" s="1" t="s">
        <v>48377</v>
      </c>
      <c r="H8319" s="1" t="s">
        <v>48378</v>
      </c>
      <c r="I8319" s="346"/>
      <c r="J8319" s="39">
        <v>113961</v>
      </c>
      <c r="K8319" s="36" t="str">
        <f>CONCATENATE(Cover!$D$6,"fdd/view?i=",J8319)</f>
        <v>https://www.dgiwg.org/FAD/fdd/view?i=113961</v>
      </c>
      <c r="L8319" s="36" t="s">
        <v>48379</v>
      </c>
      <c r="M8319" s="186"/>
      <c r="N8319" s="186"/>
      <c r="O8319" s="172"/>
    </row>
    <row r="8320" spans="1:15" x14ac:dyDescent="0.2">
      <c r="A8320" s="197" t="str">
        <f t="shared" si="129"/>
        <v>SuqCode_irragric</v>
      </c>
      <c r="B8320" s="409"/>
      <c r="C8320" s="416"/>
      <c r="D8320" s="198" t="s">
        <v>48380</v>
      </c>
      <c r="E8320" s="198">
        <v>94</v>
      </c>
      <c r="F8320" s="199" t="s">
        <v>48381</v>
      </c>
      <c r="G8320" s="1" t="s">
        <v>48382</v>
      </c>
      <c r="H8320" s="1" t="s">
        <v>48383</v>
      </c>
      <c r="I8320" s="346"/>
      <c r="J8320" s="39">
        <v>113962</v>
      </c>
      <c r="K8320" s="36" t="str">
        <f>CONCATENATE(Cover!$D$6,"fdd/view?i=",J8320)</f>
        <v>https://www.dgiwg.org/FAD/fdd/view?i=113962</v>
      </c>
      <c r="L8320" s="36" t="s">
        <v>48384</v>
      </c>
      <c r="M8320" s="186"/>
      <c r="N8320" s="186"/>
      <c r="O8320" s="172"/>
    </row>
    <row r="8321" spans="1:15" ht="25.5" x14ac:dyDescent="0.2">
      <c r="A8321" s="197" t="str">
        <f t="shared" si="129"/>
        <v>SuqCode_lamellic</v>
      </c>
      <c r="B8321" s="409"/>
      <c r="C8321" s="416"/>
      <c r="D8321" s="198" t="s">
        <v>48385</v>
      </c>
      <c r="E8321" s="198">
        <v>95</v>
      </c>
      <c r="F8321" s="199" t="s">
        <v>48386</v>
      </c>
      <c r="G8321" s="1" t="s">
        <v>48387</v>
      </c>
      <c r="H8321" s="1" t="s">
        <v>48388</v>
      </c>
      <c r="I8321" s="346"/>
      <c r="J8321" s="39">
        <v>113963</v>
      </c>
      <c r="K8321" s="36" t="str">
        <f>CONCATENATE(Cover!$D$6,"fdd/view?i=",J8321)</f>
        <v>https://www.dgiwg.org/FAD/fdd/view?i=113963</v>
      </c>
      <c r="L8321" s="36" t="s">
        <v>48389</v>
      </c>
      <c r="M8321" s="186"/>
      <c r="N8321" s="186"/>
      <c r="O8321" s="172"/>
    </row>
    <row r="8322" spans="1:15" ht="38.25" x14ac:dyDescent="0.2">
      <c r="A8322" s="197" t="str">
        <f t="shared" ref="A8322:A8385" si="130">HYPERLINK(K8322,L8322)</f>
        <v>SuqCode_laxic</v>
      </c>
      <c r="B8322" s="409"/>
      <c r="C8322" s="416"/>
      <c r="D8322" s="198" t="s">
        <v>48390</v>
      </c>
      <c r="E8322" s="198">
        <v>96</v>
      </c>
      <c r="F8322" s="199" t="s">
        <v>48391</v>
      </c>
      <c r="G8322" s="1" t="s">
        <v>48392</v>
      </c>
      <c r="H8322" s="1" t="s">
        <v>48393</v>
      </c>
      <c r="I8322" s="346"/>
      <c r="J8322" s="39">
        <v>113964</v>
      </c>
      <c r="K8322" s="36" t="str">
        <f>CONCATENATE(Cover!$D$6,"fdd/view?i=",J8322)</f>
        <v>https://www.dgiwg.org/FAD/fdd/view?i=113964</v>
      </c>
      <c r="L8322" s="36" t="s">
        <v>48394</v>
      </c>
      <c r="M8322" s="186"/>
      <c r="N8322" s="186"/>
      <c r="O8322" s="172"/>
    </row>
    <row r="8323" spans="1:15" ht="25.5" x14ac:dyDescent="0.2">
      <c r="A8323" s="197" t="str">
        <f t="shared" si="130"/>
        <v>SuqCode_leptic</v>
      </c>
      <c r="B8323" s="409"/>
      <c r="C8323" s="416"/>
      <c r="D8323" s="198" t="s">
        <v>48395</v>
      </c>
      <c r="E8323" s="198">
        <v>97</v>
      </c>
      <c r="F8323" s="199" t="s">
        <v>48396</v>
      </c>
      <c r="G8323" s="1" t="s">
        <v>48397</v>
      </c>
      <c r="H8323" s="1" t="s">
        <v>48398</v>
      </c>
      <c r="I8323" s="346"/>
      <c r="J8323" s="39">
        <v>113965</v>
      </c>
      <c r="K8323" s="36" t="str">
        <f>CONCATENATE(Cover!$D$6,"fdd/view?i=",J8323)</f>
        <v>https://www.dgiwg.org/FAD/fdd/view?i=113965</v>
      </c>
      <c r="L8323" s="36" t="s">
        <v>48399</v>
      </c>
      <c r="M8323" s="186"/>
      <c r="N8323" s="186"/>
      <c r="O8323" s="172"/>
    </row>
    <row r="8324" spans="1:15" ht="38.25" x14ac:dyDescent="0.2">
      <c r="A8324" s="197" t="str">
        <f t="shared" si="130"/>
        <v>SuqCode_lignic</v>
      </c>
      <c r="B8324" s="409"/>
      <c r="C8324" s="416"/>
      <c r="D8324" s="198" t="s">
        <v>48400</v>
      </c>
      <c r="E8324" s="198">
        <v>98</v>
      </c>
      <c r="F8324" s="199" t="s">
        <v>48401</v>
      </c>
      <c r="G8324" s="1" t="s">
        <v>48402</v>
      </c>
      <c r="H8324" s="1" t="s">
        <v>48403</v>
      </c>
      <c r="I8324" s="346"/>
      <c r="J8324" s="39">
        <v>113966</v>
      </c>
      <c r="K8324" s="36" t="str">
        <f>CONCATENATE(Cover!$D$6,"fdd/view?i=",J8324)</f>
        <v>https://www.dgiwg.org/FAD/fdd/view?i=113966</v>
      </c>
      <c r="L8324" s="36" t="s">
        <v>48404</v>
      </c>
      <c r="M8324" s="186"/>
      <c r="N8324" s="186"/>
      <c r="O8324" s="172"/>
    </row>
    <row r="8325" spans="1:15" ht="25.5" x14ac:dyDescent="0.2">
      <c r="A8325" s="197" t="str">
        <f t="shared" si="130"/>
        <v>SuqCode_limnic</v>
      </c>
      <c r="B8325" s="409"/>
      <c r="C8325" s="416"/>
      <c r="D8325" s="198" t="s">
        <v>48405</v>
      </c>
      <c r="E8325" s="198">
        <v>99</v>
      </c>
      <c r="F8325" s="199" t="s">
        <v>48406</v>
      </c>
      <c r="G8325" s="1" t="s">
        <v>48407</v>
      </c>
      <c r="H8325" s="1" t="s">
        <v>48408</v>
      </c>
      <c r="I8325" s="346"/>
      <c r="J8325" s="39">
        <v>113967</v>
      </c>
      <c r="K8325" s="36" t="str">
        <f>CONCATENATE(Cover!$D$6,"fdd/view?i=",J8325)</f>
        <v>https://www.dgiwg.org/FAD/fdd/view?i=113967</v>
      </c>
      <c r="L8325" s="36" t="s">
        <v>48409</v>
      </c>
      <c r="M8325" s="186"/>
      <c r="N8325" s="186"/>
      <c r="O8325" s="172"/>
    </row>
    <row r="8326" spans="1:15" ht="38.25" x14ac:dyDescent="0.2">
      <c r="A8326" s="197" t="str">
        <f t="shared" si="130"/>
        <v>SuqCode_linic</v>
      </c>
      <c r="B8326" s="409"/>
      <c r="C8326" s="416"/>
      <c r="D8326" s="198" t="s">
        <v>48410</v>
      </c>
      <c r="E8326" s="198">
        <v>100</v>
      </c>
      <c r="F8326" s="199" t="s">
        <v>48411</v>
      </c>
      <c r="G8326" s="1" t="s">
        <v>48412</v>
      </c>
      <c r="H8326" s="1" t="s">
        <v>48413</v>
      </c>
      <c r="I8326" s="346"/>
      <c r="J8326" s="39">
        <v>113968</v>
      </c>
      <c r="K8326" s="36" t="str">
        <f>CONCATENATE(Cover!$D$6,"fdd/view?i=",J8326)</f>
        <v>https://www.dgiwg.org/FAD/fdd/view?i=113968</v>
      </c>
      <c r="L8326" s="36" t="s">
        <v>48414</v>
      </c>
      <c r="M8326" s="186"/>
      <c r="N8326" s="186"/>
      <c r="O8326" s="172"/>
    </row>
    <row r="8327" spans="1:15" ht="25.5" x14ac:dyDescent="0.2">
      <c r="A8327" s="197" t="str">
        <f t="shared" si="130"/>
        <v>SuqCode_lithic</v>
      </c>
      <c r="B8327" s="409"/>
      <c r="C8327" s="416"/>
      <c r="D8327" s="198" t="s">
        <v>48415</v>
      </c>
      <c r="E8327" s="198">
        <v>101</v>
      </c>
      <c r="F8327" s="199" t="s">
        <v>48416</v>
      </c>
      <c r="G8327" s="1" t="s">
        <v>48417</v>
      </c>
      <c r="H8327" s="1" t="s">
        <v>48418</v>
      </c>
      <c r="I8327" s="346"/>
      <c r="J8327" s="39">
        <v>113969</v>
      </c>
      <c r="K8327" s="36" t="str">
        <f>CONCATENATE(Cover!$D$6,"fdd/view?i=",J8327)</f>
        <v>https://www.dgiwg.org/FAD/fdd/view?i=113969</v>
      </c>
      <c r="L8327" s="36" t="s">
        <v>48419</v>
      </c>
      <c r="M8327" s="186"/>
      <c r="N8327" s="186"/>
      <c r="O8327" s="172"/>
    </row>
    <row r="8328" spans="1:15" ht="102" x14ac:dyDescent="0.2">
      <c r="A8328" s="197" t="str">
        <f t="shared" si="130"/>
        <v>SuqCode_lixic</v>
      </c>
      <c r="B8328" s="409"/>
      <c r="C8328" s="416"/>
      <c r="D8328" s="198" t="s">
        <v>48420</v>
      </c>
      <c r="E8328" s="198">
        <v>102</v>
      </c>
      <c r="F8328" s="199" t="s">
        <v>48421</v>
      </c>
      <c r="G8328" s="1" t="s">
        <v>48422</v>
      </c>
      <c r="H8328" s="1" t="s">
        <v>48423</v>
      </c>
      <c r="I8328" s="346"/>
      <c r="J8328" s="39">
        <v>113970</v>
      </c>
      <c r="K8328" s="36" t="str">
        <f>CONCATENATE(Cover!$D$6,"fdd/view?i=",J8328)</f>
        <v>https://www.dgiwg.org/FAD/fdd/view?i=113970</v>
      </c>
      <c r="L8328" s="36" t="s">
        <v>48424</v>
      </c>
      <c r="M8328" s="186"/>
      <c r="N8328" s="186"/>
      <c r="O8328" s="172"/>
    </row>
    <row r="8329" spans="1:15" ht="102" x14ac:dyDescent="0.2">
      <c r="A8329" s="197" t="str">
        <f t="shared" si="130"/>
        <v>SuqCode_luvic</v>
      </c>
      <c r="B8329" s="409"/>
      <c r="C8329" s="416"/>
      <c r="D8329" s="198" t="s">
        <v>48425</v>
      </c>
      <c r="E8329" s="198">
        <v>103</v>
      </c>
      <c r="F8329" s="199" t="s">
        <v>48426</v>
      </c>
      <c r="G8329" s="1" t="s">
        <v>48427</v>
      </c>
      <c r="H8329" s="1" t="s">
        <v>48428</v>
      </c>
      <c r="I8329" s="346"/>
      <c r="J8329" s="39">
        <v>113971</v>
      </c>
      <c r="K8329" s="36" t="str">
        <f>CONCATENATE(Cover!$D$6,"fdd/view?i=",J8329)</f>
        <v>https://www.dgiwg.org/FAD/fdd/view?i=113971</v>
      </c>
      <c r="L8329" s="36" t="s">
        <v>48429</v>
      </c>
      <c r="M8329" s="186"/>
      <c r="N8329" s="186"/>
      <c r="O8329" s="172"/>
    </row>
    <row r="8330" spans="1:15" ht="38.25" x14ac:dyDescent="0.2">
      <c r="A8330" s="197" t="str">
        <f t="shared" si="130"/>
        <v>SuqCode_magnesic</v>
      </c>
      <c r="B8330" s="409"/>
      <c r="C8330" s="416"/>
      <c r="D8330" s="198" t="s">
        <v>48430</v>
      </c>
      <c r="E8330" s="198">
        <v>104</v>
      </c>
      <c r="F8330" s="199" t="s">
        <v>48431</v>
      </c>
      <c r="G8330" s="1" t="s">
        <v>48432</v>
      </c>
      <c r="H8330" s="1" t="s">
        <v>48433</v>
      </c>
      <c r="I8330" s="346"/>
      <c r="J8330" s="39">
        <v>113972</v>
      </c>
      <c r="K8330" s="36" t="str">
        <f>CONCATENATE(Cover!$D$6,"fdd/view?i=",J8330)</f>
        <v>https://www.dgiwg.org/FAD/fdd/view?i=113972</v>
      </c>
      <c r="L8330" s="36" t="s">
        <v>48434</v>
      </c>
      <c r="M8330" s="186"/>
      <c r="N8330" s="186"/>
      <c r="O8330" s="172"/>
    </row>
    <row r="8331" spans="1:15" ht="25.5" x14ac:dyDescent="0.2">
      <c r="A8331" s="197" t="str">
        <f t="shared" si="130"/>
        <v>SuqCode_manganiferric</v>
      </c>
      <c r="B8331" s="409"/>
      <c r="C8331" s="416"/>
      <c r="D8331" s="198" t="s">
        <v>48435</v>
      </c>
      <c r="E8331" s="198">
        <v>105</v>
      </c>
      <c r="F8331" s="199" t="s">
        <v>48436</v>
      </c>
      <c r="G8331" s="1" t="s">
        <v>48437</v>
      </c>
      <c r="H8331" s="1" t="s">
        <v>48438</v>
      </c>
      <c r="I8331" s="346"/>
      <c r="J8331" s="39">
        <v>113973</v>
      </c>
      <c r="K8331" s="36" t="str">
        <f>CONCATENATE(Cover!$D$6,"fdd/view?i=",J8331)</f>
        <v>https://www.dgiwg.org/FAD/fdd/view?i=113973</v>
      </c>
      <c r="L8331" s="36" t="s">
        <v>48439</v>
      </c>
      <c r="M8331" s="186"/>
      <c r="N8331" s="186"/>
      <c r="O8331" s="172"/>
    </row>
    <row r="8332" spans="1:15" ht="25.5" x14ac:dyDescent="0.2">
      <c r="A8332" s="197" t="str">
        <f t="shared" si="130"/>
        <v>SuqCode_mazic</v>
      </c>
      <c r="B8332" s="409"/>
      <c r="C8332" s="416"/>
      <c r="D8332" s="198" t="s">
        <v>48440</v>
      </c>
      <c r="E8332" s="198">
        <v>106</v>
      </c>
      <c r="F8332" s="199" t="s">
        <v>48441</v>
      </c>
      <c r="G8332" s="1" t="s">
        <v>48442</v>
      </c>
      <c r="H8332" s="1" t="s">
        <v>48443</v>
      </c>
      <c r="I8332" s="346"/>
      <c r="J8332" s="39">
        <v>113974</v>
      </c>
      <c r="K8332" s="36" t="str">
        <f>CONCATENATE(Cover!$D$6,"fdd/view?i=",J8332)</f>
        <v>https://www.dgiwg.org/FAD/fdd/view?i=113974</v>
      </c>
      <c r="L8332" s="36" t="s">
        <v>48444</v>
      </c>
      <c r="M8332" s="186"/>
      <c r="N8332" s="186"/>
      <c r="O8332" s="172"/>
    </row>
    <row r="8333" spans="1:15" ht="25.5" x14ac:dyDescent="0.2">
      <c r="A8333" s="197" t="str">
        <f t="shared" si="130"/>
        <v>SuqCode_melanic</v>
      </c>
      <c r="B8333" s="409"/>
      <c r="C8333" s="416"/>
      <c r="D8333" s="198" t="s">
        <v>48445</v>
      </c>
      <c r="E8333" s="198">
        <v>107</v>
      </c>
      <c r="F8333" s="199" t="s">
        <v>48446</v>
      </c>
      <c r="G8333" s="1" t="s">
        <v>48447</v>
      </c>
      <c r="H8333" s="1" t="s">
        <v>48448</v>
      </c>
      <c r="I8333" s="346"/>
      <c r="J8333" s="39">
        <v>113975</v>
      </c>
      <c r="K8333" s="36" t="str">
        <f>CONCATENATE(Cover!$D$6,"fdd/view?i=",J8333)</f>
        <v>https://www.dgiwg.org/FAD/fdd/view?i=113975</v>
      </c>
      <c r="L8333" s="36" t="s">
        <v>48449</v>
      </c>
      <c r="M8333" s="186"/>
      <c r="N8333" s="186"/>
      <c r="O8333" s="172"/>
    </row>
    <row r="8334" spans="1:15" ht="38.25" x14ac:dyDescent="0.2">
      <c r="A8334" s="197" t="str">
        <f t="shared" si="130"/>
        <v>SuqCode_mesotrophic</v>
      </c>
      <c r="B8334" s="409"/>
      <c r="C8334" s="416"/>
      <c r="D8334" s="198" t="s">
        <v>48450</v>
      </c>
      <c r="E8334" s="198">
        <v>108</v>
      </c>
      <c r="F8334" s="199" t="s">
        <v>48451</v>
      </c>
      <c r="G8334" s="1" t="s">
        <v>48452</v>
      </c>
      <c r="H8334" s="1" t="s">
        <v>48453</v>
      </c>
      <c r="I8334" s="346"/>
      <c r="J8334" s="39">
        <v>113976</v>
      </c>
      <c r="K8334" s="36" t="str">
        <f>CONCATENATE(Cover!$D$6,"fdd/view?i=",J8334)</f>
        <v>https://www.dgiwg.org/FAD/fdd/view?i=113976</v>
      </c>
      <c r="L8334" s="36" t="s">
        <v>48454</v>
      </c>
      <c r="M8334" s="186"/>
      <c r="N8334" s="186"/>
      <c r="O8334" s="172"/>
    </row>
    <row r="8335" spans="1:15" x14ac:dyDescent="0.2">
      <c r="A8335" s="197" t="str">
        <f t="shared" si="130"/>
        <v>SuqCode_mollic</v>
      </c>
      <c r="B8335" s="409"/>
      <c r="C8335" s="416"/>
      <c r="D8335" s="198" t="s">
        <v>48455</v>
      </c>
      <c r="E8335" s="198">
        <v>109</v>
      </c>
      <c r="F8335" s="199" t="s">
        <v>48456</v>
      </c>
      <c r="G8335" s="1" t="s">
        <v>48457</v>
      </c>
      <c r="H8335" s="1" t="s">
        <v>48458</v>
      </c>
      <c r="I8335" s="346"/>
      <c r="J8335" s="39">
        <v>113977</v>
      </c>
      <c r="K8335" s="36" t="str">
        <f>CONCATENATE(Cover!$D$6,"fdd/view?i=",J8335)</f>
        <v>https://www.dgiwg.org/FAD/fdd/view?i=113977</v>
      </c>
      <c r="L8335" s="36" t="s">
        <v>48459</v>
      </c>
      <c r="M8335" s="186"/>
      <c r="N8335" s="186"/>
      <c r="O8335" s="172"/>
    </row>
    <row r="8336" spans="1:15" x14ac:dyDescent="0.2">
      <c r="A8336" s="197" t="str">
        <f t="shared" si="130"/>
        <v>SuqCode_molliglossic</v>
      </c>
      <c r="B8336" s="409"/>
      <c r="C8336" s="416"/>
      <c r="D8336" s="198" t="s">
        <v>48460</v>
      </c>
      <c r="E8336" s="198">
        <v>110</v>
      </c>
      <c r="F8336" s="199" t="s">
        <v>48461</v>
      </c>
      <c r="G8336" s="1" t="s">
        <v>48462</v>
      </c>
      <c r="H8336" s="1" t="s">
        <v>48463</v>
      </c>
      <c r="I8336" s="346"/>
      <c r="J8336" s="39">
        <v>113978</v>
      </c>
      <c r="K8336" s="36" t="str">
        <f>CONCATENATE(Cover!$D$6,"fdd/view?i=",J8336)</f>
        <v>https://www.dgiwg.org/FAD/fdd/view?i=113978</v>
      </c>
      <c r="L8336" s="36" t="s">
        <v>48464</v>
      </c>
      <c r="M8336" s="186"/>
      <c r="N8336" s="186"/>
      <c r="O8336" s="172"/>
    </row>
    <row r="8337" spans="1:15" ht="25.5" x14ac:dyDescent="0.2">
      <c r="A8337" s="197" t="str">
        <f t="shared" si="130"/>
        <v>SuqCode_natric</v>
      </c>
      <c r="B8337" s="409"/>
      <c r="C8337" s="416"/>
      <c r="D8337" s="198" t="s">
        <v>48465</v>
      </c>
      <c r="E8337" s="198">
        <v>111</v>
      </c>
      <c r="F8337" s="199" t="s">
        <v>48466</v>
      </c>
      <c r="G8337" s="1" t="s">
        <v>48467</v>
      </c>
      <c r="H8337" s="1" t="s">
        <v>48468</v>
      </c>
      <c r="I8337" s="346"/>
      <c r="J8337" s="39">
        <v>113979</v>
      </c>
      <c r="K8337" s="36" t="str">
        <f>CONCATENATE(Cover!$D$6,"fdd/view?i=",J8337)</f>
        <v>https://www.dgiwg.org/FAD/fdd/view?i=113979</v>
      </c>
      <c r="L8337" s="36" t="s">
        <v>48469</v>
      </c>
      <c r="M8337" s="186"/>
      <c r="N8337" s="186"/>
      <c r="O8337" s="172"/>
    </row>
    <row r="8338" spans="1:15" ht="25.5" x14ac:dyDescent="0.2">
      <c r="A8338" s="197" t="str">
        <f t="shared" si="130"/>
        <v>SuqCode_nitic</v>
      </c>
      <c r="B8338" s="409"/>
      <c r="C8338" s="416"/>
      <c r="D8338" s="198" t="s">
        <v>48470</v>
      </c>
      <c r="E8338" s="198">
        <v>112</v>
      </c>
      <c r="F8338" s="199" t="s">
        <v>48471</v>
      </c>
      <c r="G8338" s="1" t="s">
        <v>48472</v>
      </c>
      <c r="H8338" s="1" t="s">
        <v>48473</v>
      </c>
      <c r="I8338" s="346"/>
      <c r="J8338" s="39">
        <v>113980</v>
      </c>
      <c r="K8338" s="36" t="str">
        <f>CONCATENATE(Cover!$D$6,"fdd/view?i=",J8338)</f>
        <v>https://www.dgiwg.org/FAD/fdd/view?i=113980</v>
      </c>
      <c r="L8338" s="36" t="s">
        <v>48474</v>
      </c>
      <c r="M8338" s="186"/>
      <c r="N8338" s="186"/>
      <c r="O8338" s="172"/>
    </row>
    <row r="8339" spans="1:15" ht="38.25" x14ac:dyDescent="0.2">
      <c r="A8339" s="197" t="str">
        <f t="shared" si="130"/>
        <v>SuqCode_novic</v>
      </c>
      <c r="B8339" s="409"/>
      <c r="C8339" s="416"/>
      <c r="D8339" s="198" t="s">
        <v>48475</v>
      </c>
      <c r="E8339" s="198">
        <v>113</v>
      </c>
      <c r="F8339" s="199" t="s">
        <v>48476</v>
      </c>
      <c r="G8339" s="1" t="s">
        <v>48477</v>
      </c>
      <c r="H8339" s="1" t="s">
        <v>48478</v>
      </c>
      <c r="I8339" s="346"/>
      <c r="J8339" s="39">
        <v>113981</v>
      </c>
      <c r="K8339" s="36" t="str">
        <f>CONCATENATE(Cover!$D$6,"fdd/view?i=",J8339)</f>
        <v>https://www.dgiwg.org/FAD/fdd/view?i=113981</v>
      </c>
      <c r="L8339" s="36" t="s">
        <v>48479</v>
      </c>
      <c r="M8339" s="186"/>
      <c r="N8339" s="186"/>
      <c r="O8339" s="172"/>
    </row>
    <row r="8340" spans="1:15" x14ac:dyDescent="0.2">
      <c r="A8340" s="197" t="str">
        <f t="shared" si="130"/>
        <v>SuqCode_nudilithic</v>
      </c>
      <c r="B8340" s="409"/>
      <c r="C8340" s="416"/>
      <c r="D8340" s="198" t="s">
        <v>48480</v>
      </c>
      <c r="E8340" s="198">
        <v>114</v>
      </c>
      <c r="F8340" s="199" t="s">
        <v>48481</v>
      </c>
      <c r="G8340" s="1" t="s">
        <v>48482</v>
      </c>
      <c r="H8340" s="1" t="s">
        <v>48483</v>
      </c>
      <c r="I8340" s="346"/>
      <c r="J8340" s="39">
        <v>113982</v>
      </c>
      <c r="K8340" s="36" t="str">
        <f>CONCATENATE(Cover!$D$6,"fdd/view?i=",J8340)</f>
        <v>https://www.dgiwg.org/FAD/fdd/view?i=113982</v>
      </c>
      <c r="L8340" s="36" t="s">
        <v>48484</v>
      </c>
      <c r="M8340" s="186"/>
      <c r="N8340" s="186"/>
      <c r="O8340" s="172"/>
    </row>
    <row r="8341" spans="1:15" ht="38.25" x14ac:dyDescent="0.2">
      <c r="A8341" s="197" t="str">
        <f t="shared" si="130"/>
        <v>SuqCode_ombric</v>
      </c>
      <c r="B8341" s="409"/>
      <c r="C8341" s="416"/>
      <c r="D8341" s="198" t="s">
        <v>48485</v>
      </c>
      <c r="E8341" s="198">
        <v>115</v>
      </c>
      <c r="F8341" s="199" t="s">
        <v>48486</v>
      </c>
      <c r="G8341" s="1" t="s">
        <v>48487</v>
      </c>
      <c r="H8341" s="1" t="s">
        <v>48488</v>
      </c>
      <c r="I8341" s="346"/>
      <c r="J8341" s="39">
        <v>113983</v>
      </c>
      <c r="K8341" s="36" t="str">
        <f>CONCATENATE(Cover!$D$6,"fdd/view?i=",J8341)</f>
        <v>https://www.dgiwg.org/FAD/fdd/view?i=113983</v>
      </c>
      <c r="L8341" s="36" t="s">
        <v>48489</v>
      </c>
      <c r="M8341" s="186"/>
      <c r="N8341" s="186"/>
      <c r="O8341" s="172"/>
    </row>
    <row r="8342" spans="1:15" ht="25.5" x14ac:dyDescent="0.2">
      <c r="A8342" s="197" t="str">
        <f t="shared" si="130"/>
        <v>SuqCode_ornithic</v>
      </c>
      <c r="B8342" s="409"/>
      <c r="C8342" s="416"/>
      <c r="D8342" s="198" t="s">
        <v>48490</v>
      </c>
      <c r="E8342" s="198">
        <v>116</v>
      </c>
      <c r="F8342" s="199" t="s">
        <v>48491</v>
      </c>
      <c r="G8342" s="1" t="s">
        <v>48492</v>
      </c>
      <c r="H8342" s="1" t="s">
        <v>48493</v>
      </c>
      <c r="I8342" s="346"/>
      <c r="J8342" s="39">
        <v>113984</v>
      </c>
      <c r="K8342" s="36" t="str">
        <f>CONCATENATE(Cover!$D$6,"fdd/view?i=",J8342)</f>
        <v>https://www.dgiwg.org/FAD/fdd/view?i=113984</v>
      </c>
      <c r="L8342" s="36" t="s">
        <v>48494</v>
      </c>
      <c r="M8342" s="186"/>
      <c r="N8342" s="186"/>
      <c r="O8342" s="172"/>
    </row>
    <row r="8343" spans="1:15" x14ac:dyDescent="0.2">
      <c r="A8343" s="197" t="str">
        <f t="shared" si="130"/>
        <v>SuqCode_ortsteinic</v>
      </c>
      <c r="B8343" s="409"/>
      <c r="C8343" s="416"/>
      <c r="D8343" s="198" t="s">
        <v>48495</v>
      </c>
      <c r="E8343" s="198">
        <v>117</v>
      </c>
      <c r="F8343" s="199" t="s">
        <v>48496</v>
      </c>
      <c r="G8343" s="1" t="s">
        <v>48497</v>
      </c>
      <c r="H8343" s="1" t="s">
        <v>48498</v>
      </c>
      <c r="I8343" s="346"/>
      <c r="J8343" s="39">
        <v>113985</v>
      </c>
      <c r="K8343" s="36" t="str">
        <f>CONCATENATE(Cover!$D$6,"fdd/view?i=",J8343)</f>
        <v>https://www.dgiwg.org/FAD/fdd/view?i=113985</v>
      </c>
      <c r="L8343" s="36" t="s">
        <v>48499</v>
      </c>
      <c r="M8343" s="186"/>
      <c r="N8343" s="186"/>
      <c r="O8343" s="172"/>
    </row>
    <row r="8344" spans="1:15" ht="38.25" x14ac:dyDescent="0.2">
      <c r="A8344" s="197" t="str">
        <f t="shared" si="130"/>
        <v>SuqCode_oxyaquic</v>
      </c>
      <c r="B8344" s="409"/>
      <c r="C8344" s="416"/>
      <c r="D8344" s="198" t="s">
        <v>48500</v>
      </c>
      <c r="E8344" s="198">
        <v>118</v>
      </c>
      <c r="F8344" s="199" t="s">
        <v>48501</v>
      </c>
      <c r="G8344" s="1" t="s">
        <v>48502</v>
      </c>
      <c r="H8344" s="1" t="s">
        <v>48503</v>
      </c>
      <c r="I8344" s="346"/>
      <c r="J8344" s="39">
        <v>113986</v>
      </c>
      <c r="K8344" s="36" t="str">
        <f>CONCATENATE(Cover!$D$6,"fdd/view?i=",J8344)</f>
        <v>https://www.dgiwg.org/FAD/fdd/view?i=113986</v>
      </c>
      <c r="L8344" s="36" t="s">
        <v>48504</v>
      </c>
      <c r="M8344" s="186"/>
      <c r="N8344" s="186"/>
      <c r="O8344" s="172"/>
    </row>
    <row r="8345" spans="1:15" x14ac:dyDescent="0.2">
      <c r="A8345" s="197" t="str">
        <f t="shared" si="130"/>
        <v>SuqCode_pachic</v>
      </c>
      <c r="B8345" s="409"/>
      <c r="C8345" s="416"/>
      <c r="D8345" s="198" t="s">
        <v>48505</v>
      </c>
      <c r="E8345" s="198">
        <v>119</v>
      </c>
      <c r="F8345" s="199" t="s">
        <v>48506</v>
      </c>
      <c r="G8345" s="1" t="s">
        <v>48507</v>
      </c>
      <c r="H8345" s="1" t="s">
        <v>48508</v>
      </c>
      <c r="I8345" s="346"/>
      <c r="J8345" s="39">
        <v>113987</v>
      </c>
      <c r="K8345" s="36" t="str">
        <f>CONCATENATE(Cover!$D$6,"fdd/view?i=",J8345)</f>
        <v>https://www.dgiwg.org/FAD/fdd/view?i=113987</v>
      </c>
      <c r="L8345" s="36" t="s">
        <v>48509</v>
      </c>
      <c r="M8345" s="186"/>
      <c r="N8345" s="186"/>
      <c r="O8345" s="172"/>
    </row>
    <row r="8346" spans="1:15" ht="38.25" x14ac:dyDescent="0.2">
      <c r="A8346" s="197" t="str">
        <f t="shared" si="130"/>
        <v>SuqCode_pellic</v>
      </c>
      <c r="B8346" s="409"/>
      <c r="C8346" s="416"/>
      <c r="D8346" s="198" t="s">
        <v>48510</v>
      </c>
      <c r="E8346" s="198">
        <v>120</v>
      </c>
      <c r="F8346" s="199" t="s">
        <v>48511</v>
      </c>
      <c r="G8346" s="1" t="s">
        <v>48512</v>
      </c>
      <c r="H8346" s="1" t="s">
        <v>48513</v>
      </c>
      <c r="I8346" s="346"/>
      <c r="J8346" s="39">
        <v>113988</v>
      </c>
      <c r="K8346" s="36" t="str">
        <f>CONCATENATE(Cover!$D$6,"fdd/view?i=",J8346)</f>
        <v>https://www.dgiwg.org/FAD/fdd/view?i=113988</v>
      </c>
      <c r="L8346" s="36" t="s">
        <v>48514</v>
      </c>
      <c r="M8346" s="186"/>
      <c r="N8346" s="186"/>
      <c r="O8346" s="172"/>
    </row>
    <row r="8347" spans="1:15" ht="25.5" x14ac:dyDescent="0.2">
      <c r="A8347" s="197" t="str">
        <f t="shared" si="130"/>
        <v>SuqCode_petric</v>
      </c>
      <c r="B8347" s="409"/>
      <c r="C8347" s="416"/>
      <c r="D8347" s="198" t="s">
        <v>48515</v>
      </c>
      <c r="E8347" s="198">
        <v>121</v>
      </c>
      <c r="F8347" s="199" t="s">
        <v>48516</v>
      </c>
      <c r="G8347" s="1" t="s">
        <v>48517</v>
      </c>
      <c r="H8347" s="1" t="s">
        <v>48518</v>
      </c>
      <c r="I8347" s="346"/>
      <c r="J8347" s="39">
        <v>113989</v>
      </c>
      <c r="K8347" s="36" t="str">
        <f>CONCATENATE(Cover!$D$6,"fdd/view?i=",J8347)</f>
        <v>https://www.dgiwg.org/FAD/fdd/view?i=113989</v>
      </c>
      <c r="L8347" s="36" t="s">
        <v>48519</v>
      </c>
      <c r="M8347" s="186"/>
      <c r="N8347" s="186"/>
      <c r="O8347" s="172"/>
    </row>
    <row r="8348" spans="1:15" ht="25.5" x14ac:dyDescent="0.2">
      <c r="A8348" s="197" t="str">
        <f t="shared" si="130"/>
        <v>SuqCode_petrocalcic</v>
      </c>
      <c r="B8348" s="409"/>
      <c r="C8348" s="416"/>
      <c r="D8348" s="198" t="s">
        <v>48520</v>
      </c>
      <c r="E8348" s="198">
        <v>122</v>
      </c>
      <c r="F8348" s="199" t="s">
        <v>48521</v>
      </c>
      <c r="G8348" s="1" t="s">
        <v>48522</v>
      </c>
      <c r="H8348" s="1" t="s">
        <v>48523</v>
      </c>
      <c r="I8348" s="346"/>
      <c r="J8348" s="39">
        <v>113990</v>
      </c>
      <c r="K8348" s="36" t="str">
        <f>CONCATENATE(Cover!$D$6,"fdd/view?i=",J8348)</f>
        <v>https://www.dgiwg.org/FAD/fdd/view?i=113990</v>
      </c>
      <c r="L8348" s="36" t="s">
        <v>48524</v>
      </c>
      <c r="M8348" s="186"/>
      <c r="N8348" s="186"/>
      <c r="O8348" s="172"/>
    </row>
    <row r="8349" spans="1:15" ht="25.5" x14ac:dyDescent="0.2">
      <c r="A8349" s="197" t="str">
        <f t="shared" si="130"/>
        <v>SuqCode_petroduric</v>
      </c>
      <c r="B8349" s="409"/>
      <c r="C8349" s="416"/>
      <c r="D8349" s="198" t="s">
        <v>48525</v>
      </c>
      <c r="E8349" s="198">
        <v>123</v>
      </c>
      <c r="F8349" s="199" t="s">
        <v>48526</v>
      </c>
      <c r="G8349" s="1" t="s">
        <v>48527</v>
      </c>
      <c r="H8349" s="1" t="s">
        <v>48528</v>
      </c>
      <c r="I8349" s="346"/>
      <c r="J8349" s="39">
        <v>113991</v>
      </c>
      <c r="K8349" s="36" t="str">
        <f>CONCATENATE(Cover!$D$6,"fdd/view?i=",J8349)</f>
        <v>https://www.dgiwg.org/FAD/fdd/view?i=113991</v>
      </c>
      <c r="L8349" s="36" t="s">
        <v>48529</v>
      </c>
      <c r="M8349" s="186"/>
      <c r="N8349" s="186"/>
      <c r="O8349" s="172"/>
    </row>
    <row r="8350" spans="1:15" ht="38.25" x14ac:dyDescent="0.2">
      <c r="A8350" s="197" t="str">
        <f t="shared" si="130"/>
        <v>SuqCode_petrogleyic</v>
      </c>
      <c r="B8350" s="409"/>
      <c r="C8350" s="416"/>
      <c r="D8350" s="198" t="s">
        <v>48530</v>
      </c>
      <c r="E8350" s="198">
        <v>124</v>
      </c>
      <c r="F8350" s="199" t="s">
        <v>48531</v>
      </c>
      <c r="G8350" s="1" t="s">
        <v>48532</v>
      </c>
      <c r="H8350" s="1" t="s">
        <v>48533</v>
      </c>
      <c r="I8350" s="346"/>
      <c r="J8350" s="39">
        <v>113992</v>
      </c>
      <c r="K8350" s="36" t="str">
        <f>CONCATENATE(Cover!$D$6,"fdd/view?i=",J8350)</f>
        <v>https://www.dgiwg.org/FAD/fdd/view?i=113992</v>
      </c>
      <c r="L8350" s="36" t="s">
        <v>48534</v>
      </c>
      <c r="M8350" s="186"/>
      <c r="N8350" s="186"/>
      <c r="O8350" s="172"/>
    </row>
    <row r="8351" spans="1:15" ht="25.5" x14ac:dyDescent="0.2">
      <c r="A8351" s="197" t="str">
        <f t="shared" si="130"/>
        <v>SuqCode_petrogypsic</v>
      </c>
      <c r="B8351" s="409"/>
      <c r="C8351" s="416"/>
      <c r="D8351" s="198" t="s">
        <v>48535</v>
      </c>
      <c r="E8351" s="198">
        <v>125</v>
      </c>
      <c r="F8351" s="199" t="s">
        <v>48536</v>
      </c>
      <c r="G8351" s="1" t="s">
        <v>48537</v>
      </c>
      <c r="H8351" s="1" t="s">
        <v>48538</v>
      </c>
      <c r="I8351" s="346"/>
      <c r="J8351" s="39">
        <v>113993</v>
      </c>
      <c r="K8351" s="36" t="str">
        <f>CONCATENATE(Cover!$D$6,"fdd/view?i=",J8351)</f>
        <v>https://www.dgiwg.org/FAD/fdd/view?i=113993</v>
      </c>
      <c r="L8351" s="36" t="s">
        <v>48539</v>
      </c>
      <c r="M8351" s="186"/>
      <c r="N8351" s="186"/>
      <c r="O8351" s="172"/>
    </row>
    <row r="8352" spans="1:15" ht="25.5" x14ac:dyDescent="0.2">
      <c r="A8352" s="197" t="str">
        <f t="shared" si="130"/>
        <v>SuqCode_petroplinthic</v>
      </c>
      <c r="B8352" s="409"/>
      <c r="C8352" s="416"/>
      <c r="D8352" s="198" t="s">
        <v>48540</v>
      </c>
      <c r="E8352" s="198">
        <v>126</v>
      </c>
      <c r="F8352" s="199" t="s">
        <v>48541</v>
      </c>
      <c r="G8352" s="1" t="s">
        <v>48542</v>
      </c>
      <c r="H8352" s="1" t="s">
        <v>48543</v>
      </c>
      <c r="I8352" s="346"/>
      <c r="J8352" s="39">
        <v>113994</v>
      </c>
      <c r="K8352" s="36" t="str">
        <f>CONCATENATE(Cover!$D$6,"fdd/view?i=",J8352)</f>
        <v>https://www.dgiwg.org/FAD/fdd/view?i=113994</v>
      </c>
      <c r="L8352" s="36" t="s">
        <v>48544</v>
      </c>
      <c r="M8352" s="186"/>
      <c r="N8352" s="186"/>
      <c r="O8352" s="172"/>
    </row>
    <row r="8353" spans="1:15" ht="38.25" x14ac:dyDescent="0.2">
      <c r="A8353" s="197" t="str">
        <f t="shared" si="130"/>
        <v>SuqCode_petrosalic</v>
      </c>
      <c r="B8353" s="409"/>
      <c r="C8353" s="416"/>
      <c r="D8353" s="198" t="s">
        <v>48545</v>
      </c>
      <c r="E8353" s="198">
        <v>127</v>
      </c>
      <c r="F8353" s="199" t="s">
        <v>48546</v>
      </c>
      <c r="G8353" s="1" t="s">
        <v>48547</v>
      </c>
      <c r="H8353" s="1" t="s">
        <v>48548</v>
      </c>
      <c r="I8353" s="346"/>
      <c r="J8353" s="39">
        <v>113995</v>
      </c>
      <c r="K8353" s="36" t="str">
        <f>CONCATENATE(Cover!$D$6,"fdd/view?i=",J8353)</f>
        <v>https://www.dgiwg.org/FAD/fdd/view?i=113995</v>
      </c>
      <c r="L8353" s="36" t="s">
        <v>48549</v>
      </c>
      <c r="M8353" s="186"/>
      <c r="N8353" s="186"/>
      <c r="O8353" s="172"/>
    </row>
    <row r="8354" spans="1:15" ht="25.5" x14ac:dyDescent="0.2">
      <c r="A8354" s="197" t="str">
        <f t="shared" si="130"/>
        <v>SuqCode_pisoplinthic</v>
      </c>
      <c r="B8354" s="409"/>
      <c r="C8354" s="416"/>
      <c r="D8354" s="198" t="s">
        <v>48550</v>
      </c>
      <c r="E8354" s="198">
        <v>128</v>
      </c>
      <c r="F8354" s="199" t="s">
        <v>48551</v>
      </c>
      <c r="G8354" s="1" t="s">
        <v>48552</v>
      </c>
      <c r="H8354" s="1" t="s">
        <v>48553</v>
      </c>
      <c r="I8354" s="346"/>
      <c r="J8354" s="39">
        <v>113996</v>
      </c>
      <c r="K8354" s="36" t="str">
        <f>CONCATENATE(Cover!$D$6,"fdd/view?i=",J8354)</f>
        <v>https://www.dgiwg.org/FAD/fdd/view?i=113996</v>
      </c>
      <c r="L8354" s="36" t="s">
        <v>48554</v>
      </c>
      <c r="M8354" s="186"/>
      <c r="N8354" s="186"/>
      <c r="O8354" s="172"/>
    </row>
    <row r="8355" spans="1:15" ht="38.25" x14ac:dyDescent="0.2">
      <c r="A8355" s="197" t="str">
        <f t="shared" si="130"/>
        <v>SuqCode_placic</v>
      </c>
      <c r="B8355" s="409"/>
      <c r="C8355" s="416"/>
      <c r="D8355" s="198" t="s">
        <v>48555</v>
      </c>
      <c r="E8355" s="198">
        <v>129</v>
      </c>
      <c r="F8355" s="199" t="s">
        <v>48556</v>
      </c>
      <c r="G8355" s="1" t="s">
        <v>48557</v>
      </c>
      <c r="H8355" s="1" t="s">
        <v>48558</v>
      </c>
      <c r="I8355" s="346"/>
      <c r="J8355" s="39">
        <v>113997</v>
      </c>
      <c r="K8355" s="36" t="str">
        <f>CONCATENATE(Cover!$D$6,"fdd/view?i=",J8355)</f>
        <v>https://www.dgiwg.org/FAD/fdd/view?i=113997</v>
      </c>
      <c r="L8355" s="36" t="s">
        <v>48559</v>
      </c>
      <c r="M8355" s="186"/>
      <c r="N8355" s="186"/>
      <c r="O8355" s="172"/>
    </row>
    <row r="8356" spans="1:15" x14ac:dyDescent="0.2">
      <c r="A8356" s="197" t="str">
        <f t="shared" si="130"/>
        <v>SuqCode_plaggic</v>
      </c>
      <c r="B8356" s="409"/>
      <c r="C8356" s="416"/>
      <c r="D8356" s="198" t="s">
        <v>48560</v>
      </c>
      <c r="E8356" s="198">
        <v>130</v>
      </c>
      <c r="F8356" s="199" t="s">
        <v>48561</v>
      </c>
      <c r="G8356" s="1" t="s">
        <v>48562</v>
      </c>
      <c r="H8356" s="1" t="s">
        <v>48563</v>
      </c>
      <c r="I8356" s="346"/>
      <c r="J8356" s="39">
        <v>113998</v>
      </c>
      <c r="K8356" s="36" t="str">
        <f>CONCATENATE(Cover!$D$6,"fdd/view?i=",J8356)</f>
        <v>https://www.dgiwg.org/FAD/fdd/view?i=113998</v>
      </c>
      <c r="L8356" s="36" t="s">
        <v>48564</v>
      </c>
      <c r="M8356" s="186"/>
      <c r="N8356" s="186"/>
      <c r="O8356" s="172"/>
    </row>
    <row r="8357" spans="1:15" ht="25.5" x14ac:dyDescent="0.2">
      <c r="A8357" s="197" t="str">
        <f t="shared" si="130"/>
        <v>SuqCode_plinthic</v>
      </c>
      <c r="B8357" s="409"/>
      <c r="C8357" s="416"/>
      <c r="D8357" s="198" t="s">
        <v>48565</v>
      </c>
      <c r="E8357" s="198">
        <v>131</v>
      </c>
      <c r="F8357" s="199" t="s">
        <v>48566</v>
      </c>
      <c r="G8357" s="1" t="s">
        <v>48567</v>
      </c>
      <c r="H8357" s="1" t="s">
        <v>48568</v>
      </c>
      <c r="I8357" s="346"/>
      <c r="J8357" s="39">
        <v>113999</v>
      </c>
      <c r="K8357" s="36" t="str">
        <f>CONCATENATE(Cover!$D$6,"fdd/view?i=",J8357)</f>
        <v>https://www.dgiwg.org/FAD/fdd/view?i=113999</v>
      </c>
      <c r="L8357" s="36" t="s">
        <v>48569</v>
      </c>
      <c r="M8357" s="186"/>
      <c r="N8357" s="186"/>
      <c r="O8357" s="172"/>
    </row>
    <row r="8358" spans="1:15" ht="38.25" x14ac:dyDescent="0.2">
      <c r="A8358" s="197" t="str">
        <f t="shared" si="130"/>
        <v>SuqCode_posic</v>
      </c>
      <c r="B8358" s="409"/>
      <c r="C8358" s="416"/>
      <c r="D8358" s="198" t="s">
        <v>48570</v>
      </c>
      <c r="E8358" s="198">
        <v>132</v>
      </c>
      <c r="F8358" s="199" t="s">
        <v>48571</v>
      </c>
      <c r="G8358" s="1" t="s">
        <v>48572</v>
      </c>
      <c r="H8358" s="1" t="s">
        <v>48573</v>
      </c>
      <c r="I8358" s="346"/>
      <c r="J8358" s="39">
        <v>114000</v>
      </c>
      <c r="K8358" s="36" t="str">
        <f>CONCATENATE(Cover!$D$6,"fdd/view?i=",J8358)</f>
        <v>https://www.dgiwg.org/FAD/fdd/view?i=114000</v>
      </c>
      <c r="L8358" s="36" t="s">
        <v>48574</v>
      </c>
      <c r="M8358" s="186"/>
      <c r="N8358" s="186"/>
      <c r="O8358" s="172"/>
    </row>
    <row r="8359" spans="1:15" ht="38.25" x14ac:dyDescent="0.2">
      <c r="A8359" s="197" t="str">
        <f t="shared" si="130"/>
        <v>SuqCode_profondic</v>
      </c>
      <c r="B8359" s="409"/>
      <c r="C8359" s="416"/>
      <c r="D8359" s="198" t="s">
        <v>48575</v>
      </c>
      <c r="E8359" s="198">
        <v>133</v>
      </c>
      <c r="F8359" s="199" t="s">
        <v>48576</v>
      </c>
      <c r="G8359" s="1" t="s">
        <v>48577</v>
      </c>
      <c r="H8359" s="1" t="s">
        <v>48578</v>
      </c>
      <c r="I8359" s="346"/>
      <c r="J8359" s="39">
        <v>114001</v>
      </c>
      <c r="K8359" s="36" t="str">
        <f>CONCATENATE(Cover!$D$6,"fdd/view?i=",J8359)</f>
        <v>https://www.dgiwg.org/FAD/fdd/view?i=114001</v>
      </c>
      <c r="L8359" s="36" t="s">
        <v>48579</v>
      </c>
      <c r="M8359" s="186"/>
      <c r="N8359" s="186"/>
      <c r="O8359" s="172"/>
    </row>
    <row r="8360" spans="1:15" x14ac:dyDescent="0.2">
      <c r="A8360" s="197" t="str">
        <f t="shared" si="130"/>
        <v>SuqCode_protic</v>
      </c>
      <c r="B8360" s="409"/>
      <c r="C8360" s="416"/>
      <c r="D8360" s="198" t="s">
        <v>48580</v>
      </c>
      <c r="E8360" s="198">
        <v>134</v>
      </c>
      <c r="F8360" s="199" t="s">
        <v>48581</v>
      </c>
      <c r="G8360" s="1" t="s">
        <v>48582</v>
      </c>
      <c r="H8360" s="1" t="s">
        <v>48583</v>
      </c>
      <c r="I8360" s="346"/>
      <c r="J8360" s="39">
        <v>114002</v>
      </c>
      <c r="K8360" s="36" t="str">
        <f>CONCATENATE(Cover!$D$6,"fdd/view?i=",J8360)</f>
        <v>https://www.dgiwg.org/FAD/fdd/view?i=114002</v>
      </c>
      <c r="L8360" s="36" t="s">
        <v>48584</v>
      </c>
      <c r="M8360" s="186"/>
      <c r="N8360" s="186"/>
      <c r="O8360" s="172"/>
    </row>
    <row r="8361" spans="1:15" x14ac:dyDescent="0.2">
      <c r="A8361" s="197" t="str">
        <f t="shared" si="130"/>
        <v>SuqCode_puffic</v>
      </c>
      <c r="B8361" s="409"/>
      <c r="C8361" s="416"/>
      <c r="D8361" s="198" t="s">
        <v>48585</v>
      </c>
      <c r="E8361" s="198">
        <v>135</v>
      </c>
      <c r="F8361" s="199" t="s">
        <v>48586</v>
      </c>
      <c r="G8361" s="1" t="s">
        <v>48587</v>
      </c>
      <c r="H8361" s="1" t="s">
        <v>48588</v>
      </c>
      <c r="I8361" s="346"/>
      <c r="J8361" s="39">
        <v>114003</v>
      </c>
      <c r="K8361" s="36" t="str">
        <f>CONCATENATE(Cover!$D$6,"fdd/view?i=",J8361)</f>
        <v>https://www.dgiwg.org/FAD/fdd/view?i=114003</v>
      </c>
      <c r="L8361" s="36" t="s">
        <v>48589</v>
      </c>
      <c r="M8361" s="186"/>
      <c r="N8361" s="186"/>
      <c r="O8361" s="172"/>
    </row>
    <row r="8362" spans="1:15" ht="38.25" x14ac:dyDescent="0.2">
      <c r="A8362" s="197" t="str">
        <f t="shared" si="130"/>
        <v>SuqCode_reductaquic</v>
      </c>
      <c r="B8362" s="409"/>
      <c r="C8362" s="416"/>
      <c r="D8362" s="198" t="s">
        <v>48590</v>
      </c>
      <c r="E8362" s="198">
        <v>136</v>
      </c>
      <c r="F8362" s="199" t="s">
        <v>48591</v>
      </c>
      <c r="G8362" s="1" t="s">
        <v>48592</v>
      </c>
      <c r="H8362" s="1" t="s">
        <v>48593</v>
      </c>
      <c r="I8362" s="346"/>
      <c r="J8362" s="39">
        <v>114004</v>
      </c>
      <c r="K8362" s="36" t="str">
        <f>CONCATENATE(Cover!$D$6,"fdd/view?i=",J8362)</f>
        <v>https://www.dgiwg.org/FAD/fdd/view?i=114004</v>
      </c>
      <c r="L8362" s="36" t="s">
        <v>48594</v>
      </c>
      <c r="M8362" s="186"/>
      <c r="N8362" s="186"/>
      <c r="O8362" s="172"/>
    </row>
    <row r="8363" spans="1:15" ht="51" x14ac:dyDescent="0.2">
      <c r="A8363" s="197" t="str">
        <f t="shared" si="130"/>
        <v>SuqCode_reductic</v>
      </c>
      <c r="B8363" s="409"/>
      <c r="C8363" s="416"/>
      <c r="D8363" s="198" t="s">
        <v>48595</v>
      </c>
      <c r="E8363" s="198">
        <v>137</v>
      </c>
      <c r="F8363" s="199" t="s">
        <v>48596</v>
      </c>
      <c r="G8363" s="1" t="s">
        <v>48597</v>
      </c>
      <c r="H8363" s="1" t="s">
        <v>48598</v>
      </c>
      <c r="I8363" s="346"/>
      <c r="J8363" s="39">
        <v>114005</v>
      </c>
      <c r="K8363" s="36" t="str">
        <f>CONCATENATE(Cover!$D$6,"fdd/view?i=",J8363)</f>
        <v>https://www.dgiwg.org/FAD/fdd/view?i=114005</v>
      </c>
      <c r="L8363" s="36" t="s">
        <v>48599</v>
      </c>
      <c r="M8363" s="186"/>
      <c r="N8363" s="186"/>
      <c r="O8363" s="172"/>
    </row>
    <row r="8364" spans="1:15" x14ac:dyDescent="0.2">
      <c r="A8364" s="197" t="str">
        <f t="shared" si="130"/>
        <v>SuqCode_regic</v>
      </c>
      <c r="B8364" s="409"/>
      <c r="C8364" s="416"/>
      <c r="D8364" s="198" t="s">
        <v>48600</v>
      </c>
      <c r="E8364" s="198">
        <v>138</v>
      </c>
      <c r="F8364" s="199" t="s">
        <v>48601</v>
      </c>
      <c r="G8364" s="1" t="s">
        <v>48602</v>
      </c>
      <c r="H8364" s="1" t="s">
        <v>48603</v>
      </c>
      <c r="I8364" s="346"/>
      <c r="J8364" s="39">
        <v>114006</v>
      </c>
      <c r="K8364" s="36" t="str">
        <f>CONCATENATE(Cover!$D$6,"fdd/view?i=",J8364)</f>
        <v>https://www.dgiwg.org/FAD/fdd/view?i=114006</v>
      </c>
      <c r="L8364" s="36" t="s">
        <v>48604</v>
      </c>
      <c r="M8364" s="186"/>
      <c r="N8364" s="186"/>
      <c r="O8364" s="172"/>
    </row>
    <row r="8365" spans="1:15" ht="38.25" x14ac:dyDescent="0.2">
      <c r="A8365" s="197" t="str">
        <f t="shared" si="130"/>
        <v>SuqCode_rendzic</v>
      </c>
      <c r="B8365" s="409"/>
      <c r="C8365" s="416"/>
      <c r="D8365" s="198" t="s">
        <v>48605</v>
      </c>
      <c r="E8365" s="198">
        <v>139</v>
      </c>
      <c r="F8365" s="199" t="s">
        <v>48606</v>
      </c>
      <c r="G8365" s="1" t="s">
        <v>48607</v>
      </c>
      <c r="H8365" s="1" t="s">
        <v>48608</v>
      </c>
      <c r="I8365" s="346"/>
      <c r="J8365" s="39">
        <v>114007</v>
      </c>
      <c r="K8365" s="36" t="str">
        <f>CONCATENATE(Cover!$D$6,"fdd/view?i=",J8365)</f>
        <v>https://www.dgiwg.org/FAD/fdd/view?i=114007</v>
      </c>
      <c r="L8365" s="36" t="s">
        <v>48609</v>
      </c>
      <c r="M8365" s="186"/>
      <c r="N8365" s="186"/>
      <c r="O8365" s="172"/>
    </row>
    <row r="8366" spans="1:15" ht="38.25" x14ac:dyDescent="0.2">
      <c r="A8366" s="197" t="str">
        <f t="shared" si="130"/>
        <v>SuqCode_rheic</v>
      </c>
      <c r="B8366" s="409"/>
      <c r="C8366" s="416"/>
      <c r="D8366" s="198" t="s">
        <v>48610</v>
      </c>
      <c r="E8366" s="198">
        <v>140</v>
      </c>
      <c r="F8366" s="199" t="s">
        <v>48611</v>
      </c>
      <c r="G8366" s="1" t="s">
        <v>48612</v>
      </c>
      <c r="H8366" s="1" t="s">
        <v>48613</v>
      </c>
      <c r="I8366" s="346"/>
      <c r="J8366" s="39">
        <v>114008</v>
      </c>
      <c r="K8366" s="36" t="str">
        <f>CONCATENATE(Cover!$D$6,"fdd/view?i=",J8366)</f>
        <v>https://www.dgiwg.org/FAD/fdd/view?i=114008</v>
      </c>
      <c r="L8366" s="36" t="s">
        <v>48614</v>
      </c>
      <c r="M8366" s="186"/>
      <c r="N8366" s="186"/>
      <c r="O8366" s="172"/>
    </row>
    <row r="8367" spans="1:15" ht="51" x14ac:dyDescent="0.2">
      <c r="A8367" s="197" t="str">
        <f t="shared" si="130"/>
        <v>SuqCode_rhodic</v>
      </c>
      <c r="B8367" s="409"/>
      <c r="C8367" s="416"/>
      <c r="D8367" s="198" t="s">
        <v>48615</v>
      </c>
      <c r="E8367" s="198">
        <v>141</v>
      </c>
      <c r="F8367" s="199" t="s">
        <v>48616</v>
      </c>
      <c r="G8367" s="1" t="s">
        <v>48617</v>
      </c>
      <c r="H8367" s="1" t="s">
        <v>48618</v>
      </c>
      <c r="I8367" s="346"/>
      <c r="J8367" s="39">
        <v>114009</v>
      </c>
      <c r="K8367" s="36" t="str">
        <f>CONCATENATE(Cover!$D$6,"fdd/view?i=",J8367)</f>
        <v>https://www.dgiwg.org/FAD/fdd/view?i=114009</v>
      </c>
      <c r="L8367" s="36" t="s">
        <v>48619</v>
      </c>
      <c r="M8367" s="186"/>
      <c r="N8367" s="186"/>
      <c r="O8367" s="172"/>
    </row>
    <row r="8368" spans="1:15" ht="38.25" x14ac:dyDescent="0.2">
      <c r="A8368" s="197" t="str">
        <f t="shared" si="130"/>
        <v>SuqCode_rubic</v>
      </c>
      <c r="B8368" s="409"/>
      <c r="C8368" s="416"/>
      <c r="D8368" s="198" t="s">
        <v>48620</v>
      </c>
      <c r="E8368" s="198">
        <v>142</v>
      </c>
      <c r="F8368" s="199" t="s">
        <v>48621</v>
      </c>
      <c r="G8368" s="1" t="s">
        <v>48622</v>
      </c>
      <c r="H8368" s="1" t="s">
        <v>48623</v>
      </c>
      <c r="I8368" s="346"/>
      <c r="J8368" s="39">
        <v>114010</v>
      </c>
      <c r="K8368" s="36" t="str">
        <f>CONCATENATE(Cover!$D$6,"fdd/view?i=",J8368)</f>
        <v>https://www.dgiwg.org/FAD/fdd/view?i=114010</v>
      </c>
      <c r="L8368" s="36" t="s">
        <v>48624</v>
      </c>
      <c r="M8368" s="186"/>
      <c r="N8368" s="186"/>
      <c r="O8368" s="172"/>
    </row>
    <row r="8369" spans="1:15" ht="25.5" x14ac:dyDescent="0.2">
      <c r="A8369" s="197" t="str">
        <f t="shared" si="130"/>
        <v>SuqCode_ruptic</v>
      </c>
      <c r="B8369" s="409"/>
      <c r="C8369" s="416"/>
      <c r="D8369" s="198" t="s">
        <v>48625</v>
      </c>
      <c r="E8369" s="198">
        <v>143</v>
      </c>
      <c r="F8369" s="199" t="s">
        <v>48626</v>
      </c>
      <c r="G8369" s="1" t="s">
        <v>48627</v>
      </c>
      <c r="H8369" s="1" t="s">
        <v>48628</v>
      </c>
      <c r="I8369" s="346"/>
      <c r="J8369" s="39">
        <v>114011</v>
      </c>
      <c r="K8369" s="36" t="str">
        <f>CONCATENATE(Cover!$D$6,"fdd/view?i=",J8369)</f>
        <v>https://www.dgiwg.org/FAD/fdd/view?i=114011</v>
      </c>
      <c r="L8369" s="36" t="s">
        <v>48629</v>
      </c>
      <c r="M8369" s="186"/>
      <c r="N8369" s="186"/>
      <c r="O8369" s="172"/>
    </row>
    <row r="8370" spans="1:15" ht="25.5" x14ac:dyDescent="0.2">
      <c r="A8370" s="197" t="str">
        <f t="shared" si="130"/>
        <v>SuqCode_rustic</v>
      </c>
      <c r="B8370" s="409"/>
      <c r="C8370" s="416"/>
      <c r="D8370" s="198" t="s">
        <v>48630</v>
      </c>
      <c r="E8370" s="198">
        <v>144</v>
      </c>
      <c r="F8370" s="199" t="s">
        <v>48631</v>
      </c>
      <c r="G8370" s="1" t="s">
        <v>48632</v>
      </c>
      <c r="H8370" s="1" t="s">
        <v>48633</v>
      </c>
      <c r="I8370" s="346"/>
      <c r="J8370" s="39">
        <v>114012</v>
      </c>
      <c r="K8370" s="36" t="str">
        <f>CONCATENATE(Cover!$D$6,"fdd/view?i=",J8370)</f>
        <v>https://www.dgiwg.org/FAD/fdd/view?i=114012</v>
      </c>
      <c r="L8370" s="36" t="s">
        <v>48634</v>
      </c>
      <c r="M8370" s="186"/>
      <c r="N8370" s="186"/>
      <c r="O8370" s="172"/>
    </row>
    <row r="8371" spans="1:15" ht="25.5" x14ac:dyDescent="0.2">
      <c r="A8371" s="197" t="str">
        <f t="shared" si="130"/>
        <v>SuqCode_salic</v>
      </c>
      <c r="B8371" s="409"/>
      <c r="C8371" s="416"/>
      <c r="D8371" s="198" t="s">
        <v>48635</v>
      </c>
      <c r="E8371" s="198">
        <v>145</v>
      </c>
      <c r="F8371" s="199" t="s">
        <v>48636</v>
      </c>
      <c r="G8371" s="1" t="s">
        <v>48637</v>
      </c>
      <c r="H8371" s="1" t="s">
        <v>48638</v>
      </c>
      <c r="I8371" s="346"/>
      <c r="J8371" s="39">
        <v>114013</v>
      </c>
      <c r="K8371" s="36" t="str">
        <f>CONCATENATE(Cover!$D$6,"fdd/view?i=",J8371)</f>
        <v>https://www.dgiwg.org/FAD/fdd/view?i=114013</v>
      </c>
      <c r="L8371" s="36" t="s">
        <v>48639</v>
      </c>
      <c r="M8371" s="186"/>
      <c r="N8371" s="186"/>
      <c r="O8371" s="172"/>
    </row>
    <row r="8372" spans="1:15" ht="38.25" x14ac:dyDescent="0.2">
      <c r="A8372" s="197" t="str">
        <f t="shared" si="130"/>
        <v>SuqCode_sapric</v>
      </c>
      <c r="B8372" s="409"/>
      <c r="C8372" s="416"/>
      <c r="D8372" s="198" t="s">
        <v>48640</v>
      </c>
      <c r="E8372" s="198">
        <v>146</v>
      </c>
      <c r="F8372" s="199" t="s">
        <v>48641</v>
      </c>
      <c r="G8372" s="1" t="s">
        <v>48642</v>
      </c>
      <c r="H8372" s="1" t="s">
        <v>48643</v>
      </c>
      <c r="I8372" s="346"/>
      <c r="J8372" s="39">
        <v>114014</v>
      </c>
      <c r="K8372" s="36" t="str">
        <f>CONCATENATE(Cover!$D$6,"fdd/view?i=",J8372)</f>
        <v>https://www.dgiwg.org/FAD/fdd/view?i=114014</v>
      </c>
      <c r="L8372" s="36" t="s">
        <v>48644</v>
      </c>
      <c r="M8372" s="186"/>
      <c r="N8372" s="186"/>
      <c r="O8372" s="172"/>
    </row>
    <row r="8373" spans="1:15" ht="63.75" x14ac:dyDescent="0.2">
      <c r="A8373" s="197" t="str">
        <f t="shared" si="130"/>
        <v>SuqCode_silandic</v>
      </c>
      <c r="B8373" s="409"/>
      <c r="C8373" s="416"/>
      <c r="D8373" s="198" t="s">
        <v>48645</v>
      </c>
      <c r="E8373" s="198">
        <v>147</v>
      </c>
      <c r="F8373" s="199" t="s">
        <v>48646</v>
      </c>
      <c r="G8373" s="1" t="s">
        <v>48647</v>
      </c>
      <c r="H8373" s="1" t="s">
        <v>48648</v>
      </c>
      <c r="I8373" s="346"/>
      <c r="J8373" s="39">
        <v>114015</v>
      </c>
      <c r="K8373" s="36" t="str">
        <f>CONCATENATE(Cover!$D$6,"fdd/view?i=",J8373)</f>
        <v>https://www.dgiwg.org/FAD/fdd/view?i=114015</v>
      </c>
      <c r="L8373" s="36" t="s">
        <v>48649</v>
      </c>
      <c r="M8373" s="186"/>
      <c r="N8373" s="186"/>
      <c r="O8373" s="172"/>
    </row>
    <row r="8374" spans="1:15" ht="38.25" x14ac:dyDescent="0.2">
      <c r="A8374" s="197" t="str">
        <f t="shared" si="130"/>
        <v>SuqCode_siltic</v>
      </c>
      <c r="B8374" s="409"/>
      <c r="C8374" s="416"/>
      <c r="D8374" s="198" t="s">
        <v>48650</v>
      </c>
      <c r="E8374" s="198">
        <v>148</v>
      </c>
      <c r="F8374" s="199" t="s">
        <v>48651</v>
      </c>
      <c r="G8374" s="1" t="s">
        <v>48652</v>
      </c>
      <c r="H8374" s="1" t="s">
        <v>48653</v>
      </c>
      <c r="I8374" s="346"/>
      <c r="J8374" s="39">
        <v>114016</v>
      </c>
      <c r="K8374" s="36" t="str">
        <f>CONCATENATE(Cover!$D$6,"fdd/view?i=",J8374)</f>
        <v>https://www.dgiwg.org/FAD/fdd/view?i=114016</v>
      </c>
      <c r="L8374" s="36" t="s">
        <v>48654</v>
      </c>
      <c r="M8374" s="186"/>
      <c r="N8374" s="186"/>
      <c r="O8374" s="172"/>
    </row>
    <row r="8375" spans="1:15" ht="51" x14ac:dyDescent="0.2">
      <c r="A8375" s="197" t="str">
        <f t="shared" si="130"/>
        <v>SuqCode_skeletic</v>
      </c>
      <c r="B8375" s="409"/>
      <c r="C8375" s="416"/>
      <c r="D8375" s="198" t="s">
        <v>48655</v>
      </c>
      <c r="E8375" s="198">
        <v>149</v>
      </c>
      <c r="F8375" s="199" t="s">
        <v>48656</v>
      </c>
      <c r="G8375" s="1" t="s">
        <v>48657</v>
      </c>
      <c r="H8375" s="1" t="s">
        <v>48658</v>
      </c>
      <c r="I8375" s="346"/>
      <c r="J8375" s="39">
        <v>114017</v>
      </c>
      <c r="K8375" s="36" t="str">
        <f>CONCATENATE(Cover!$D$6,"fdd/view?i=",J8375)</f>
        <v>https://www.dgiwg.org/FAD/fdd/view?i=114017</v>
      </c>
      <c r="L8375" s="36" t="s">
        <v>48659</v>
      </c>
      <c r="M8375" s="186"/>
      <c r="N8375" s="186"/>
      <c r="O8375" s="172"/>
    </row>
    <row r="8376" spans="1:15" ht="38.25" x14ac:dyDescent="0.2">
      <c r="A8376" s="197" t="str">
        <f t="shared" si="130"/>
        <v>SuqCode_sodic</v>
      </c>
      <c r="B8376" s="409"/>
      <c r="C8376" s="416"/>
      <c r="D8376" s="198" t="s">
        <v>48660</v>
      </c>
      <c r="E8376" s="198">
        <v>150</v>
      </c>
      <c r="F8376" s="199" t="s">
        <v>48661</v>
      </c>
      <c r="G8376" s="1" t="s">
        <v>48662</v>
      </c>
      <c r="H8376" s="1" t="s">
        <v>48663</v>
      </c>
      <c r="I8376" s="346"/>
      <c r="J8376" s="39">
        <v>114018</v>
      </c>
      <c r="K8376" s="36" t="str">
        <f>CONCATENATE(Cover!$D$6,"fdd/view?i=",J8376)</f>
        <v>https://www.dgiwg.org/FAD/fdd/view?i=114018</v>
      </c>
      <c r="L8376" s="36" t="s">
        <v>48664</v>
      </c>
      <c r="M8376" s="186"/>
      <c r="N8376" s="186"/>
      <c r="O8376" s="172"/>
    </row>
    <row r="8377" spans="1:15" ht="51" x14ac:dyDescent="0.2">
      <c r="A8377" s="197" t="str">
        <f t="shared" si="130"/>
        <v>SuqCode_solodic</v>
      </c>
      <c r="B8377" s="409"/>
      <c r="C8377" s="416"/>
      <c r="D8377" s="198" t="s">
        <v>48665</v>
      </c>
      <c r="E8377" s="198">
        <v>151</v>
      </c>
      <c r="F8377" s="199" t="s">
        <v>48666</v>
      </c>
      <c r="G8377" s="1" t="s">
        <v>48667</v>
      </c>
      <c r="H8377" s="1" t="s">
        <v>48668</v>
      </c>
      <c r="I8377" s="346"/>
      <c r="J8377" s="39">
        <v>114019</v>
      </c>
      <c r="K8377" s="36" t="str">
        <f>CONCATENATE(Cover!$D$6,"fdd/view?i=",J8377)</f>
        <v>https://www.dgiwg.org/FAD/fdd/view?i=114019</v>
      </c>
      <c r="L8377" s="36" t="s">
        <v>48669</v>
      </c>
      <c r="M8377" s="186"/>
      <c r="N8377" s="186"/>
      <c r="O8377" s="172"/>
    </row>
    <row r="8378" spans="1:15" ht="25.5" x14ac:dyDescent="0.2">
      <c r="A8378" s="197" t="str">
        <f t="shared" si="130"/>
        <v>SuqCode_sombric</v>
      </c>
      <c r="B8378" s="409"/>
      <c r="C8378" s="416"/>
      <c r="D8378" s="198" t="s">
        <v>48670</v>
      </c>
      <c r="E8378" s="198">
        <v>152</v>
      </c>
      <c r="F8378" s="199" t="s">
        <v>48671</v>
      </c>
      <c r="G8378" s="1" t="s">
        <v>48672</v>
      </c>
      <c r="H8378" s="1" t="s">
        <v>48673</v>
      </c>
      <c r="I8378" s="346"/>
      <c r="J8378" s="39">
        <v>114020</v>
      </c>
      <c r="K8378" s="36" t="str">
        <f>CONCATENATE(Cover!$D$6,"fdd/view?i=",J8378)</f>
        <v>https://www.dgiwg.org/FAD/fdd/view?i=114020</v>
      </c>
      <c r="L8378" s="36" t="s">
        <v>48674</v>
      </c>
      <c r="M8378" s="186"/>
      <c r="N8378" s="186"/>
      <c r="O8378" s="172"/>
    </row>
    <row r="8379" spans="1:15" ht="25.5" x14ac:dyDescent="0.2">
      <c r="A8379" s="197" t="str">
        <f t="shared" si="130"/>
        <v>SuqCode_spodic</v>
      </c>
      <c r="B8379" s="409"/>
      <c r="C8379" s="416"/>
      <c r="D8379" s="198" t="s">
        <v>48675</v>
      </c>
      <c r="E8379" s="198">
        <v>153</v>
      </c>
      <c r="F8379" s="199" t="s">
        <v>48676</v>
      </c>
      <c r="G8379" s="1" t="s">
        <v>48677</v>
      </c>
      <c r="H8379" s="1" t="s">
        <v>48678</v>
      </c>
      <c r="I8379" s="346"/>
      <c r="J8379" s="39">
        <v>114021</v>
      </c>
      <c r="K8379" s="36" t="str">
        <f>CONCATENATE(Cover!$D$6,"fdd/view?i=",J8379)</f>
        <v>https://www.dgiwg.org/FAD/fdd/view?i=114021</v>
      </c>
      <c r="L8379" s="36" t="s">
        <v>48679</v>
      </c>
      <c r="M8379" s="186"/>
      <c r="N8379" s="186"/>
      <c r="O8379" s="172"/>
    </row>
    <row r="8380" spans="1:15" ht="63.75" x14ac:dyDescent="0.2">
      <c r="A8380" s="197" t="str">
        <f t="shared" si="130"/>
        <v>SuqCode_spolic</v>
      </c>
      <c r="B8380" s="409"/>
      <c r="C8380" s="416"/>
      <c r="D8380" s="198" t="s">
        <v>48680</v>
      </c>
      <c r="E8380" s="198">
        <v>154</v>
      </c>
      <c r="F8380" s="199" t="s">
        <v>48681</v>
      </c>
      <c r="G8380" s="1" t="s">
        <v>48682</v>
      </c>
      <c r="H8380" s="1" t="s">
        <v>48683</v>
      </c>
      <c r="I8380" s="346"/>
      <c r="J8380" s="39">
        <v>114022</v>
      </c>
      <c r="K8380" s="36" t="str">
        <f>CONCATENATE(Cover!$D$6,"fdd/view?i=",J8380)</f>
        <v>https://www.dgiwg.org/FAD/fdd/view?i=114022</v>
      </c>
      <c r="L8380" s="36" t="s">
        <v>48684</v>
      </c>
      <c r="M8380" s="186"/>
      <c r="N8380" s="186"/>
      <c r="O8380" s="172"/>
    </row>
    <row r="8381" spans="1:15" ht="51" x14ac:dyDescent="0.2">
      <c r="A8381" s="197" t="str">
        <f t="shared" si="130"/>
        <v>SuqCode_stagnic</v>
      </c>
      <c r="B8381" s="409"/>
      <c r="C8381" s="416"/>
      <c r="D8381" s="198" t="s">
        <v>48685</v>
      </c>
      <c r="E8381" s="198">
        <v>155</v>
      </c>
      <c r="F8381" s="199" t="s">
        <v>48686</v>
      </c>
      <c r="G8381" s="1" t="s">
        <v>48687</v>
      </c>
      <c r="H8381" s="1" t="s">
        <v>48688</v>
      </c>
      <c r="I8381" s="346"/>
      <c r="J8381" s="39">
        <v>114023</v>
      </c>
      <c r="K8381" s="36" t="str">
        <f>CONCATENATE(Cover!$D$6,"fdd/view?i=",J8381)</f>
        <v>https://www.dgiwg.org/FAD/fdd/view?i=114023</v>
      </c>
      <c r="L8381" s="36" t="s">
        <v>48689</v>
      </c>
      <c r="M8381" s="186"/>
      <c r="N8381" s="186"/>
      <c r="O8381" s="172"/>
    </row>
    <row r="8382" spans="1:15" ht="25.5" x14ac:dyDescent="0.2">
      <c r="A8382" s="197" t="str">
        <f t="shared" si="130"/>
        <v>SuqCode_subaquatic</v>
      </c>
      <c r="B8382" s="409"/>
      <c r="C8382" s="416"/>
      <c r="D8382" s="198" t="s">
        <v>48690</v>
      </c>
      <c r="E8382" s="198">
        <v>156</v>
      </c>
      <c r="F8382" s="199" t="s">
        <v>48691</v>
      </c>
      <c r="G8382" s="1" t="s">
        <v>48692</v>
      </c>
      <c r="H8382" s="1" t="s">
        <v>48693</v>
      </c>
      <c r="I8382" s="346"/>
      <c r="J8382" s="39">
        <v>114024</v>
      </c>
      <c r="K8382" s="36" t="str">
        <f>CONCATENATE(Cover!$D$6,"fdd/view?i=",J8382)</f>
        <v>https://www.dgiwg.org/FAD/fdd/view?i=114024</v>
      </c>
      <c r="L8382" s="36" t="s">
        <v>48694</v>
      </c>
      <c r="M8382" s="186"/>
      <c r="N8382" s="186"/>
      <c r="O8382" s="172"/>
    </row>
    <row r="8383" spans="1:15" ht="25.5" x14ac:dyDescent="0.2">
      <c r="A8383" s="197" t="str">
        <f t="shared" si="130"/>
        <v>SuqCode_sulphatic</v>
      </c>
      <c r="B8383" s="409"/>
      <c r="C8383" s="416"/>
      <c r="D8383" s="198" t="s">
        <v>48695</v>
      </c>
      <c r="E8383" s="198">
        <v>157</v>
      </c>
      <c r="F8383" s="199" t="s">
        <v>48696</v>
      </c>
      <c r="G8383" s="1" t="s">
        <v>48697</v>
      </c>
      <c r="H8383" s="1" t="s">
        <v>48698</v>
      </c>
      <c r="I8383" s="346"/>
      <c r="J8383" s="39">
        <v>114025</v>
      </c>
      <c r="K8383" s="36" t="str">
        <f>CONCATENATE(Cover!$D$6,"fdd/view?i=",J8383)</f>
        <v>https://www.dgiwg.org/FAD/fdd/view?i=114025</v>
      </c>
      <c r="L8383" s="36" t="s">
        <v>48699</v>
      </c>
      <c r="M8383" s="186"/>
      <c r="N8383" s="186"/>
      <c r="O8383" s="172"/>
    </row>
    <row r="8384" spans="1:15" x14ac:dyDescent="0.2">
      <c r="A8384" s="197" t="str">
        <f t="shared" si="130"/>
        <v>SuqCode_takyric</v>
      </c>
      <c r="B8384" s="409"/>
      <c r="C8384" s="416"/>
      <c r="D8384" s="198" t="s">
        <v>48700</v>
      </c>
      <c r="E8384" s="198">
        <v>158</v>
      </c>
      <c r="F8384" s="199" t="s">
        <v>48701</v>
      </c>
      <c r="G8384" s="1" t="s">
        <v>48702</v>
      </c>
      <c r="H8384" s="1" t="s">
        <v>48703</v>
      </c>
      <c r="I8384" s="346"/>
      <c r="J8384" s="39">
        <v>114026</v>
      </c>
      <c r="K8384" s="36" t="str">
        <f>CONCATENATE(Cover!$D$6,"fdd/view?i=",J8384)</f>
        <v>https://www.dgiwg.org/FAD/fdd/view?i=114026</v>
      </c>
      <c r="L8384" s="36" t="s">
        <v>48704</v>
      </c>
      <c r="M8384" s="186"/>
      <c r="N8384" s="186"/>
      <c r="O8384" s="172"/>
    </row>
    <row r="8385" spans="1:15" ht="51" x14ac:dyDescent="0.2">
      <c r="A8385" s="197" t="str">
        <f t="shared" si="130"/>
        <v>SuqCode_technic</v>
      </c>
      <c r="B8385" s="409"/>
      <c r="C8385" s="416"/>
      <c r="D8385" s="198" t="s">
        <v>48705</v>
      </c>
      <c r="E8385" s="198">
        <v>159</v>
      </c>
      <c r="F8385" s="199" t="s">
        <v>48706</v>
      </c>
      <c r="G8385" s="1" t="s">
        <v>48707</v>
      </c>
      <c r="H8385" s="1" t="s">
        <v>48708</v>
      </c>
      <c r="I8385" s="346"/>
      <c r="J8385" s="39">
        <v>114027</v>
      </c>
      <c r="K8385" s="36" t="str">
        <f>CONCATENATE(Cover!$D$6,"fdd/view?i=",J8385)</f>
        <v>https://www.dgiwg.org/FAD/fdd/view?i=114027</v>
      </c>
      <c r="L8385" s="36" t="s">
        <v>48709</v>
      </c>
      <c r="M8385" s="186"/>
      <c r="N8385" s="186"/>
      <c r="O8385" s="172"/>
    </row>
    <row r="8386" spans="1:15" ht="25.5" x14ac:dyDescent="0.2">
      <c r="A8386" s="197" t="str">
        <f t="shared" ref="A8386:A8449" si="131">HYPERLINK(K8386,L8386)</f>
        <v>SuqCode_tephric</v>
      </c>
      <c r="B8386" s="409"/>
      <c r="C8386" s="416"/>
      <c r="D8386" s="198" t="s">
        <v>48710</v>
      </c>
      <c r="E8386" s="198">
        <v>160</v>
      </c>
      <c r="F8386" s="199" t="s">
        <v>48711</v>
      </c>
      <c r="G8386" s="1" t="s">
        <v>48712</v>
      </c>
      <c r="H8386" s="1" t="s">
        <v>48713</v>
      </c>
      <c r="I8386" s="346"/>
      <c r="J8386" s="39">
        <v>114028</v>
      </c>
      <c r="K8386" s="36" t="str">
        <f>CONCATENATE(Cover!$D$6,"fdd/view?i=",J8386)</f>
        <v>https://www.dgiwg.org/FAD/fdd/view?i=114028</v>
      </c>
      <c r="L8386" s="36" t="s">
        <v>48714</v>
      </c>
      <c r="M8386" s="186"/>
      <c r="N8386" s="186"/>
      <c r="O8386" s="172"/>
    </row>
    <row r="8387" spans="1:15" x14ac:dyDescent="0.2">
      <c r="A8387" s="197" t="str">
        <f t="shared" si="131"/>
        <v>SuqCode_terric</v>
      </c>
      <c r="B8387" s="409"/>
      <c r="C8387" s="416"/>
      <c r="D8387" s="198" t="s">
        <v>48715</v>
      </c>
      <c r="E8387" s="198">
        <v>161</v>
      </c>
      <c r="F8387" s="199" t="s">
        <v>48716</v>
      </c>
      <c r="G8387" s="1" t="s">
        <v>48717</v>
      </c>
      <c r="H8387" s="1" t="s">
        <v>48718</v>
      </c>
      <c r="I8387" s="346"/>
      <c r="J8387" s="39">
        <v>114029</v>
      </c>
      <c r="K8387" s="36" t="str">
        <f>CONCATENATE(Cover!$D$6,"fdd/view?i=",J8387)</f>
        <v>https://www.dgiwg.org/FAD/fdd/view?i=114029</v>
      </c>
      <c r="L8387" s="36" t="s">
        <v>48719</v>
      </c>
      <c r="M8387" s="186"/>
      <c r="N8387" s="186"/>
      <c r="O8387" s="172"/>
    </row>
    <row r="8388" spans="1:15" ht="38.25" x14ac:dyDescent="0.2">
      <c r="A8388" s="197" t="str">
        <f t="shared" si="131"/>
        <v>SuqCode_thaptandic</v>
      </c>
      <c r="B8388" s="409"/>
      <c r="C8388" s="416"/>
      <c r="D8388" s="198" t="s">
        <v>48720</v>
      </c>
      <c r="E8388" s="198">
        <v>162</v>
      </c>
      <c r="F8388" s="199" t="s">
        <v>48721</v>
      </c>
      <c r="G8388" s="1" t="s">
        <v>48722</v>
      </c>
      <c r="H8388" s="1" t="s">
        <v>48723</v>
      </c>
      <c r="I8388" s="346"/>
      <c r="J8388" s="39">
        <v>114030</v>
      </c>
      <c r="K8388" s="36" t="str">
        <f>CONCATENATE(Cover!$D$6,"fdd/view?i=",J8388)</f>
        <v>https://www.dgiwg.org/FAD/fdd/view?i=114030</v>
      </c>
      <c r="L8388" s="36" t="s">
        <v>48724</v>
      </c>
      <c r="M8388" s="186"/>
      <c r="N8388" s="186"/>
      <c r="O8388" s="172"/>
    </row>
    <row r="8389" spans="1:15" ht="38.25" x14ac:dyDescent="0.2">
      <c r="A8389" s="197" t="str">
        <f t="shared" si="131"/>
        <v>SuqCode_thaptovitric</v>
      </c>
      <c r="B8389" s="409"/>
      <c r="C8389" s="416"/>
      <c r="D8389" s="198" t="s">
        <v>48725</v>
      </c>
      <c r="E8389" s="198">
        <v>163</v>
      </c>
      <c r="F8389" s="199" t="s">
        <v>48726</v>
      </c>
      <c r="G8389" s="1" t="s">
        <v>48727</v>
      </c>
      <c r="H8389" s="1" t="s">
        <v>48728</v>
      </c>
      <c r="I8389" s="346"/>
      <c r="J8389" s="39">
        <v>114031</v>
      </c>
      <c r="K8389" s="36" t="str">
        <f>CONCATENATE(Cover!$D$6,"fdd/view?i=",J8389)</f>
        <v>https://www.dgiwg.org/FAD/fdd/view?i=114031</v>
      </c>
      <c r="L8389" s="36" t="s">
        <v>48729</v>
      </c>
      <c r="M8389" s="186"/>
      <c r="N8389" s="186"/>
      <c r="O8389" s="172"/>
    </row>
    <row r="8390" spans="1:15" ht="38.25" x14ac:dyDescent="0.2">
      <c r="A8390" s="197" t="str">
        <f t="shared" si="131"/>
        <v>SuqCode_thionic</v>
      </c>
      <c r="B8390" s="409"/>
      <c r="C8390" s="416"/>
      <c r="D8390" s="198" t="s">
        <v>48730</v>
      </c>
      <c r="E8390" s="198">
        <v>164</v>
      </c>
      <c r="F8390" s="199" t="s">
        <v>48731</v>
      </c>
      <c r="G8390" s="1" t="s">
        <v>48732</v>
      </c>
      <c r="H8390" s="1" t="s">
        <v>48733</v>
      </c>
      <c r="I8390" s="346"/>
      <c r="J8390" s="39">
        <v>114032</v>
      </c>
      <c r="K8390" s="36" t="str">
        <f>CONCATENATE(Cover!$D$6,"fdd/view?i=",J8390)</f>
        <v>https://www.dgiwg.org/FAD/fdd/view?i=114032</v>
      </c>
      <c r="L8390" s="36" t="s">
        <v>48734</v>
      </c>
      <c r="M8390" s="186"/>
      <c r="N8390" s="186"/>
      <c r="O8390" s="172"/>
    </row>
    <row r="8391" spans="1:15" ht="38.25" x14ac:dyDescent="0.2">
      <c r="A8391" s="197" t="str">
        <f t="shared" si="131"/>
        <v>SuqCode_thixotropic</v>
      </c>
      <c r="B8391" s="409"/>
      <c r="C8391" s="416"/>
      <c r="D8391" s="198" t="s">
        <v>48735</v>
      </c>
      <c r="E8391" s="198">
        <v>165</v>
      </c>
      <c r="F8391" s="199" t="s">
        <v>48736</v>
      </c>
      <c r="G8391" s="1" t="s">
        <v>48737</v>
      </c>
      <c r="H8391" s="1" t="s">
        <v>48738</v>
      </c>
      <c r="I8391" s="346"/>
      <c r="J8391" s="39">
        <v>114033</v>
      </c>
      <c r="K8391" s="36" t="str">
        <f>CONCATENATE(Cover!$D$6,"fdd/view?i=",J8391)</f>
        <v>https://www.dgiwg.org/FAD/fdd/view?i=114033</v>
      </c>
      <c r="L8391" s="36" t="s">
        <v>48739</v>
      </c>
      <c r="M8391" s="186"/>
      <c r="N8391" s="186"/>
      <c r="O8391" s="172"/>
    </row>
    <row r="8392" spans="1:15" ht="25.5" x14ac:dyDescent="0.2">
      <c r="A8392" s="197" t="str">
        <f t="shared" si="131"/>
        <v>SuqCode_tidalic</v>
      </c>
      <c r="B8392" s="409"/>
      <c r="C8392" s="416"/>
      <c r="D8392" s="198" t="s">
        <v>48740</v>
      </c>
      <c r="E8392" s="198">
        <v>166</v>
      </c>
      <c r="F8392" s="199" t="s">
        <v>48741</v>
      </c>
      <c r="G8392" s="1" t="s">
        <v>48742</v>
      </c>
      <c r="H8392" s="1" t="s">
        <v>48743</v>
      </c>
      <c r="I8392" s="346"/>
      <c r="J8392" s="39">
        <v>114034</v>
      </c>
      <c r="K8392" s="36" t="str">
        <f>CONCATENATE(Cover!$D$6,"fdd/view?i=",J8392)</f>
        <v>https://www.dgiwg.org/FAD/fdd/view?i=114034</v>
      </c>
      <c r="L8392" s="36" t="s">
        <v>48744</v>
      </c>
      <c r="M8392" s="186"/>
      <c r="N8392" s="186"/>
      <c r="O8392" s="172"/>
    </row>
    <row r="8393" spans="1:15" ht="38.25" x14ac:dyDescent="0.2">
      <c r="A8393" s="197" t="str">
        <f t="shared" si="131"/>
        <v>SuqCode_toxic</v>
      </c>
      <c r="B8393" s="409"/>
      <c r="C8393" s="416"/>
      <c r="D8393" s="198" t="s">
        <v>48745</v>
      </c>
      <c r="E8393" s="198">
        <v>167</v>
      </c>
      <c r="F8393" s="199" t="s">
        <v>48746</v>
      </c>
      <c r="G8393" s="1" t="s">
        <v>48747</v>
      </c>
      <c r="H8393" s="1" t="s">
        <v>48748</v>
      </c>
      <c r="I8393" s="346"/>
      <c r="J8393" s="39">
        <v>114035</v>
      </c>
      <c r="K8393" s="36" t="str">
        <f>CONCATENATE(Cover!$D$6,"fdd/view?i=",J8393)</f>
        <v>https://www.dgiwg.org/FAD/fdd/view?i=114035</v>
      </c>
      <c r="L8393" s="36" t="s">
        <v>48749</v>
      </c>
      <c r="M8393" s="186"/>
      <c r="N8393" s="186"/>
      <c r="O8393" s="172"/>
    </row>
    <row r="8394" spans="1:15" ht="63.75" x14ac:dyDescent="0.2">
      <c r="A8394" s="197" t="str">
        <f t="shared" si="131"/>
        <v>SuqCode_transportic</v>
      </c>
      <c r="B8394" s="409"/>
      <c r="C8394" s="416"/>
      <c r="D8394" s="198" t="s">
        <v>48750</v>
      </c>
      <c r="E8394" s="198">
        <v>168</v>
      </c>
      <c r="F8394" s="199" t="s">
        <v>48751</v>
      </c>
      <c r="G8394" s="1" t="s">
        <v>48752</v>
      </c>
      <c r="H8394" s="1" t="s">
        <v>48753</v>
      </c>
      <c r="I8394" s="346"/>
      <c r="J8394" s="39">
        <v>114036</v>
      </c>
      <c r="K8394" s="36" t="str">
        <f>CONCATENATE(Cover!$D$6,"fdd/view?i=",J8394)</f>
        <v>https://www.dgiwg.org/FAD/fdd/view?i=114036</v>
      </c>
      <c r="L8394" s="36" t="s">
        <v>48754</v>
      </c>
      <c r="M8394" s="186"/>
      <c r="N8394" s="186"/>
      <c r="O8394" s="172"/>
    </row>
    <row r="8395" spans="1:15" ht="63.75" x14ac:dyDescent="0.2">
      <c r="A8395" s="197" t="str">
        <f t="shared" si="131"/>
        <v>SuqCode_turbic</v>
      </c>
      <c r="B8395" s="409"/>
      <c r="C8395" s="416"/>
      <c r="D8395" s="198" t="s">
        <v>48755</v>
      </c>
      <c r="E8395" s="198">
        <v>169</v>
      </c>
      <c r="F8395" s="199" t="s">
        <v>48756</v>
      </c>
      <c r="G8395" s="1" t="s">
        <v>48757</v>
      </c>
      <c r="H8395" s="1" t="s">
        <v>48758</v>
      </c>
      <c r="I8395" s="346"/>
      <c r="J8395" s="39">
        <v>114037</v>
      </c>
      <c r="K8395" s="36" t="str">
        <f>CONCATENATE(Cover!$D$6,"fdd/view?i=",J8395)</f>
        <v>https://www.dgiwg.org/FAD/fdd/view?i=114037</v>
      </c>
      <c r="L8395" s="36" t="s">
        <v>48759</v>
      </c>
      <c r="M8395" s="186"/>
      <c r="N8395" s="186"/>
      <c r="O8395" s="172"/>
    </row>
    <row r="8396" spans="1:15" x14ac:dyDescent="0.2">
      <c r="A8396" s="197" t="str">
        <f t="shared" si="131"/>
        <v>SuqCode_umbric</v>
      </c>
      <c r="B8396" s="409"/>
      <c r="C8396" s="416"/>
      <c r="D8396" s="198" t="s">
        <v>48760</v>
      </c>
      <c r="E8396" s="198">
        <v>170</v>
      </c>
      <c r="F8396" s="199" t="s">
        <v>48761</v>
      </c>
      <c r="G8396" s="1" t="s">
        <v>48762</v>
      </c>
      <c r="H8396" s="1" t="s">
        <v>48763</v>
      </c>
      <c r="I8396" s="346"/>
      <c r="J8396" s="39">
        <v>114038</v>
      </c>
      <c r="K8396" s="36" t="str">
        <f>CONCATENATE(Cover!$D$6,"fdd/view?i=",J8396)</f>
        <v>https://www.dgiwg.org/FAD/fdd/view?i=114038</v>
      </c>
      <c r="L8396" s="36" t="s">
        <v>48764</v>
      </c>
      <c r="M8396" s="186"/>
      <c r="N8396" s="186"/>
      <c r="O8396" s="172"/>
    </row>
    <row r="8397" spans="1:15" x14ac:dyDescent="0.2">
      <c r="A8397" s="197" t="str">
        <f t="shared" si="131"/>
        <v>SuqCode_umbriglossic</v>
      </c>
      <c r="B8397" s="409"/>
      <c r="C8397" s="416"/>
      <c r="D8397" s="198" t="s">
        <v>48765</v>
      </c>
      <c r="E8397" s="198">
        <v>171</v>
      </c>
      <c r="F8397" s="199" t="s">
        <v>48766</v>
      </c>
      <c r="G8397" s="1" t="s">
        <v>48767</v>
      </c>
      <c r="H8397" s="1" t="s">
        <v>48768</v>
      </c>
      <c r="I8397" s="346"/>
      <c r="J8397" s="39">
        <v>114039</v>
      </c>
      <c r="K8397" s="36" t="str">
        <f>CONCATENATE(Cover!$D$6,"fdd/view?i=",J8397)</f>
        <v>https://www.dgiwg.org/FAD/fdd/view?i=114039</v>
      </c>
      <c r="L8397" s="36" t="s">
        <v>48769</v>
      </c>
      <c r="M8397" s="186"/>
      <c r="N8397" s="186"/>
      <c r="O8397" s="172"/>
    </row>
    <row r="8398" spans="1:15" ht="63.75" x14ac:dyDescent="0.2">
      <c r="A8398" s="197" t="str">
        <f t="shared" si="131"/>
        <v>SuqCode_urbic</v>
      </c>
      <c r="B8398" s="409"/>
      <c r="C8398" s="416"/>
      <c r="D8398" s="198" t="s">
        <v>48770</v>
      </c>
      <c r="E8398" s="198">
        <v>172</v>
      </c>
      <c r="F8398" s="199" t="s">
        <v>48771</v>
      </c>
      <c r="G8398" s="1" t="s">
        <v>48772</v>
      </c>
      <c r="H8398" s="1" t="s">
        <v>48773</v>
      </c>
      <c r="I8398" s="346"/>
      <c r="J8398" s="39">
        <v>114040</v>
      </c>
      <c r="K8398" s="36" t="str">
        <f>CONCATENATE(Cover!$D$6,"fdd/view?i=",J8398)</f>
        <v>https://www.dgiwg.org/FAD/fdd/view?i=114040</v>
      </c>
      <c r="L8398" s="36" t="s">
        <v>48774</v>
      </c>
      <c r="M8398" s="186"/>
      <c r="N8398" s="186"/>
      <c r="O8398" s="172"/>
    </row>
    <row r="8399" spans="1:15" ht="51" x14ac:dyDescent="0.2">
      <c r="A8399" s="197" t="str">
        <f t="shared" si="131"/>
        <v>SuqCode_vermic</v>
      </c>
      <c r="B8399" s="409"/>
      <c r="C8399" s="416"/>
      <c r="D8399" s="198" t="s">
        <v>48775</v>
      </c>
      <c r="E8399" s="198">
        <v>173</v>
      </c>
      <c r="F8399" s="199" t="s">
        <v>48776</v>
      </c>
      <c r="G8399" s="1" t="s">
        <v>48777</v>
      </c>
      <c r="H8399" s="1" t="s">
        <v>48778</v>
      </c>
      <c r="I8399" s="346"/>
      <c r="J8399" s="39">
        <v>114041</v>
      </c>
      <c r="K8399" s="36" t="str">
        <f>CONCATENATE(Cover!$D$6,"fdd/view?i=",J8399)</f>
        <v>https://www.dgiwg.org/FAD/fdd/view?i=114041</v>
      </c>
      <c r="L8399" s="36" t="s">
        <v>48779</v>
      </c>
      <c r="M8399" s="186"/>
      <c r="N8399" s="186"/>
      <c r="O8399" s="172"/>
    </row>
    <row r="8400" spans="1:15" ht="25.5" x14ac:dyDescent="0.2">
      <c r="A8400" s="197" t="str">
        <f t="shared" si="131"/>
        <v>SuqCode_vertic</v>
      </c>
      <c r="B8400" s="409"/>
      <c r="C8400" s="416"/>
      <c r="D8400" s="198" t="s">
        <v>48780</v>
      </c>
      <c r="E8400" s="198">
        <v>174</v>
      </c>
      <c r="F8400" s="199" t="s">
        <v>48781</v>
      </c>
      <c r="G8400" s="1" t="s">
        <v>48782</v>
      </c>
      <c r="H8400" s="1" t="s">
        <v>48783</v>
      </c>
      <c r="I8400" s="346"/>
      <c r="J8400" s="39">
        <v>114042</v>
      </c>
      <c r="K8400" s="36" t="str">
        <f>CONCATENATE(Cover!$D$6,"fdd/view?i=",J8400)</f>
        <v>https://www.dgiwg.org/FAD/fdd/view?i=114042</v>
      </c>
      <c r="L8400" s="36" t="s">
        <v>48784</v>
      </c>
      <c r="M8400" s="186"/>
      <c r="N8400" s="186"/>
      <c r="O8400" s="172"/>
    </row>
    <row r="8401" spans="1:15" ht="38.25" x14ac:dyDescent="0.2">
      <c r="A8401" s="197" t="str">
        <f t="shared" si="131"/>
        <v>SuqCode_vetic</v>
      </c>
      <c r="B8401" s="409"/>
      <c r="C8401" s="416"/>
      <c r="D8401" s="198" t="s">
        <v>48785</v>
      </c>
      <c r="E8401" s="198">
        <v>175</v>
      </c>
      <c r="F8401" s="199" t="s">
        <v>48786</v>
      </c>
      <c r="G8401" s="1" t="s">
        <v>48787</v>
      </c>
      <c r="H8401" s="1" t="s">
        <v>48788</v>
      </c>
      <c r="I8401" s="346"/>
      <c r="J8401" s="39">
        <v>114043</v>
      </c>
      <c r="K8401" s="36" t="str">
        <f>CONCATENATE(Cover!$D$6,"fdd/view?i=",J8401)</f>
        <v>https://www.dgiwg.org/FAD/fdd/view?i=114043</v>
      </c>
      <c r="L8401" s="36" t="s">
        <v>48789</v>
      </c>
      <c r="M8401" s="186"/>
      <c r="N8401" s="186"/>
      <c r="O8401" s="172"/>
    </row>
    <row r="8402" spans="1:15" ht="38.25" x14ac:dyDescent="0.2">
      <c r="A8402" s="197" t="str">
        <f t="shared" si="131"/>
        <v>SuqCode_vitric</v>
      </c>
      <c r="B8402" s="409"/>
      <c r="C8402" s="416"/>
      <c r="D8402" s="198" t="s">
        <v>48790</v>
      </c>
      <c r="E8402" s="198">
        <v>176</v>
      </c>
      <c r="F8402" s="199" t="s">
        <v>48791</v>
      </c>
      <c r="G8402" s="1" t="s">
        <v>48792</v>
      </c>
      <c r="H8402" s="1" t="s">
        <v>48793</v>
      </c>
      <c r="I8402" s="346"/>
      <c r="J8402" s="39">
        <v>114044</v>
      </c>
      <c r="K8402" s="36" t="str">
        <f>CONCATENATE(Cover!$D$6,"fdd/view?i=",J8402)</f>
        <v>https://www.dgiwg.org/FAD/fdd/view?i=114044</v>
      </c>
      <c r="L8402" s="36" t="s">
        <v>48794</v>
      </c>
      <c r="M8402" s="186"/>
      <c r="N8402" s="186"/>
      <c r="O8402" s="172"/>
    </row>
    <row r="8403" spans="1:15" x14ac:dyDescent="0.2">
      <c r="A8403" s="197" t="str">
        <f t="shared" si="131"/>
        <v>SuqCode_voronic</v>
      </c>
      <c r="B8403" s="409"/>
      <c r="C8403" s="416"/>
      <c r="D8403" s="198" t="s">
        <v>48795</v>
      </c>
      <c r="E8403" s="198">
        <v>177</v>
      </c>
      <c r="F8403" s="199" t="s">
        <v>48796</v>
      </c>
      <c r="G8403" s="1" t="s">
        <v>48797</v>
      </c>
      <c r="H8403" s="1" t="s">
        <v>48798</v>
      </c>
      <c r="I8403" s="346"/>
      <c r="J8403" s="39">
        <v>114045</v>
      </c>
      <c r="K8403" s="36" t="str">
        <f>CONCATENATE(Cover!$D$6,"fdd/view?i=",J8403)</f>
        <v>https://www.dgiwg.org/FAD/fdd/view?i=114045</v>
      </c>
      <c r="L8403" s="36" t="s">
        <v>48799</v>
      </c>
      <c r="M8403" s="186"/>
      <c r="N8403" s="186"/>
      <c r="O8403" s="172"/>
    </row>
    <row r="8404" spans="1:15" ht="51" x14ac:dyDescent="0.2">
      <c r="A8404" s="197" t="str">
        <f t="shared" si="131"/>
        <v>SuqCode_xanthic</v>
      </c>
      <c r="B8404" s="409"/>
      <c r="C8404" s="416"/>
      <c r="D8404" s="198" t="s">
        <v>48800</v>
      </c>
      <c r="E8404" s="198">
        <v>178</v>
      </c>
      <c r="F8404" s="199" t="s">
        <v>48801</v>
      </c>
      <c r="G8404" s="1" t="s">
        <v>48802</v>
      </c>
      <c r="H8404" s="1" t="s">
        <v>48803</v>
      </c>
      <c r="I8404" s="346"/>
      <c r="J8404" s="39">
        <v>114046</v>
      </c>
      <c r="K8404" s="36" t="str">
        <f>CONCATENATE(Cover!$D$6,"fdd/view?i=",J8404)</f>
        <v>https://www.dgiwg.org/FAD/fdd/view?i=114046</v>
      </c>
      <c r="L8404" s="36" t="s">
        <v>48804</v>
      </c>
      <c r="M8404" s="186"/>
      <c r="N8404" s="186"/>
      <c r="O8404" s="172"/>
    </row>
    <row r="8405" spans="1:15" x14ac:dyDescent="0.2">
      <c r="A8405" s="203" t="str">
        <f t="shared" si="131"/>
        <v>SuqCode_yermic</v>
      </c>
      <c r="B8405" s="410"/>
      <c r="C8405" s="417"/>
      <c r="D8405" s="204" t="s">
        <v>48805</v>
      </c>
      <c r="E8405" s="204">
        <v>179</v>
      </c>
      <c r="F8405" s="205" t="s">
        <v>48806</v>
      </c>
      <c r="G8405" s="206" t="s">
        <v>48807</v>
      </c>
      <c r="H8405" s="206" t="s">
        <v>48808</v>
      </c>
      <c r="I8405" s="347"/>
      <c r="J8405" s="39">
        <v>114047</v>
      </c>
      <c r="K8405" s="36" t="str">
        <f>CONCATENATE(Cover!$D$6,"fdd/view?i=",J8405)</f>
        <v>https://www.dgiwg.org/FAD/fdd/view?i=114047</v>
      </c>
      <c r="L8405" s="36" t="s">
        <v>48809</v>
      </c>
      <c r="M8405" s="186"/>
      <c r="N8405" s="186"/>
      <c r="O8405" s="172"/>
    </row>
    <row r="8406" spans="1:15" ht="25.5" x14ac:dyDescent="0.2">
      <c r="A8406" s="190" t="str">
        <f t="shared" si="131"/>
        <v>StgCode_a</v>
      </c>
      <c r="B8406" s="414" t="str">
        <f>HYPERLINK("[#]Datatypes!A1418:L1418","StgCode")</f>
        <v>StgCode</v>
      </c>
      <c r="C8406" s="415" t="s">
        <v>16042</v>
      </c>
      <c r="D8406" s="221" t="s">
        <v>23220</v>
      </c>
      <c r="E8406" s="221">
        <v>1</v>
      </c>
      <c r="F8406" s="222" t="s">
        <v>23221</v>
      </c>
      <c r="G8406" s="223" t="s">
        <v>48810</v>
      </c>
      <c r="H8406" s="224"/>
      <c r="I8406" s="345"/>
      <c r="J8406" s="39">
        <v>108292</v>
      </c>
      <c r="K8406" s="36" t="str">
        <f>CONCATENATE(Cover!$D$6,"fdd/view?i=",J8406)</f>
        <v>https://www.dgiwg.org/FAD/fdd/view?i=108292</v>
      </c>
      <c r="L8406" s="36" t="s">
        <v>48811</v>
      </c>
      <c r="M8406" s="186"/>
      <c r="N8406" s="186"/>
      <c r="O8406" s="172"/>
    </row>
    <row r="8407" spans="1:15" x14ac:dyDescent="0.2">
      <c r="A8407" s="197" t="str">
        <f t="shared" si="131"/>
        <v>StgCode_b</v>
      </c>
      <c r="B8407" s="409"/>
      <c r="C8407" s="416"/>
      <c r="D8407" s="198" t="s">
        <v>23246</v>
      </c>
      <c r="E8407" s="198">
        <v>2</v>
      </c>
      <c r="F8407" s="199" t="s">
        <v>23247</v>
      </c>
      <c r="G8407" s="1" t="s">
        <v>48812</v>
      </c>
      <c r="H8407" s="200"/>
      <c r="I8407" s="346"/>
      <c r="J8407" s="39">
        <v>108293</v>
      </c>
      <c r="K8407" s="36" t="str">
        <f>CONCATENATE(Cover!$D$6,"fdd/view?i=",J8407)</f>
        <v>https://www.dgiwg.org/FAD/fdd/view?i=108293</v>
      </c>
      <c r="L8407" s="36" t="s">
        <v>48813</v>
      </c>
      <c r="M8407" s="186"/>
      <c r="N8407" s="186"/>
      <c r="O8407" s="172"/>
    </row>
    <row r="8408" spans="1:15" x14ac:dyDescent="0.2">
      <c r="A8408" s="197" t="str">
        <f t="shared" si="131"/>
        <v>StgCode_c</v>
      </c>
      <c r="B8408" s="409"/>
      <c r="C8408" s="416"/>
      <c r="D8408" s="198" t="s">
        <v>48814</v>
      </c>
      <c r="E8408" s="198">
        <v>3</v>
      </c>
      <c r="F8408" s="199" t="s">
        <v>48815</v>
      </c>
      <c r="G8408" s="1" t="s">
        <v>48816</v>
      </c>
      <c r="H8408" s="200"/>
      <c r="I8408" s="346"/>
      <c r="J8408" s="39">
        <v>108294</v>
      </c>
      <c r="K8408" s="36" t="str">
        <f>CONCATENATE(Cover!$D$6,"fdd/view?i=",J8408)</f>
        <v>https://www.dgiwg.org/FAD/fdd/view?i=108294</v>
      </c>
      <c r="L8408" s="36" t="s">
        <v>48817</v>
      </c>
      <c r="M8408" s="186"/>
      <c r="N8408" s="186"/>
      <c r="O8408" s="172"/>
    </row>
    <row r="8409" spans="1:15" ht="38.25" x14ac:dyDescent="0.2">
      <c r="A8409" s="197" t="str">
        <f t="shared" si="131"/>
        <v>StgCode_d</v>
      </c>
      <c r="B8409" s="409"/>
      <c r="C8409" s="416"/>
      <c r="D8409" s="198" t="s">
        <v>48818</v>
      </c>
      <c r="E8409" s="198">
        <v>4</v>
      </c>
      <c r="F8409" s="199" t="s">
        <v>48819</v>
      </c>
      <c r="G8409" s="1" t="s">
        <v>48820</v>
      </c>
      <c r="H8409" s="200"/>
      <c r="I8409" s="346"/>
      <c r="J8409" s="39">
        <v>108295</v>
      </c>
      <c r="K8409" s="36" t="str">
        <f>CONCATENATE(Cover!$D$6,"fdd/view?i=",J8409)</f>
        <v>https://www.dgiwg.org/FAD/fdd/view?i=108295</v>
      </c>
      <c r="L8409" s="36" t="s">
        <v>48821</v>
      </c>
      <c r="M8409" s="186"/>
      <c r="N8409" s="186"/>
      <c r="O8409" s="172"/>
    </row>
    <row r="8410" spans="1:15" x14ac:dyDescent="0.2">
      <c r="A8410" s="197" t="str">
        <f t="shared" si="131"/>
        <v>StgCode_e</v>
      </c>
      <c r="B8410" s="409"/>
      <c r="C8410" s="416"/>
      <c r="D8410" s="198" t="s">
        <v>48822</v>
      </c>
      <c r="E8410" s="198">
        <v>5</v>
      </c>
      <c r="F8410" s="199" t="s">
        <v>48823</v>
      </c>
      <c r="G8410" s="1" t="s">
        <v>48824</v>
      </c>
      <c r="H8410" s="200"/>
      <c r="I8410" s="346"/>
      <c r="J8410" s="39">
        <v>108296</v>
      </c>
      <c r="K8410" s="36" t="str">
        <f>CONCATENATE(Cover!$D$6,"fdd/view?i=",J8410)</f>
        <v>https://www.dgiwg.org/FAD/fdd/view?i=108296</v>
      </c>
      <c r="L8410" s="36" t="s">
        <v>48825</v>
      </c>
      <c r="M8410" s="186"/>
      <c r="N8410" s="186"/>
      <c r="O8410" s="172"/>
    </row>
    <row r="8411" spans="1:15" x14ac:dyDescent="0.2">
      <c r="A8411" s="203" t="str">
        <f t="shared" si="131"/>
        <v>StgCode_x</v>
      </c>
      <c r="B8411" s="410"/>
      <c r="C8411" s="417"/>
      <c r="D8411" s="204" t="s">
        <v>48826</v>
      </c>
      <c r="E8411" s="204">
        <v>6</v>
      </c>
      <c r="F8411" s="205" t="s">
        <v>1790</v>
      </c>
      <c r="G8411" s="206" t="s">
        <v>47887</v>
      </c>
      <c r="H8411" s="207"/>
      <c r="I8411" s="347"/>
      <c r="J8411" s="39">
        <v>108297</v>
      </c>
      <c r="K8411" s="36" t="str">
        <f>CONCATENATE(Cover!$D$6,"fdd/view?i=",J8411)</f>
        <v>https://www.dgiwg.org/FAD/fdd/view?i=108297</v>
      </c>
      <c r="L8411" s="36" t="s">
        <v>48827</v>
      </c>
      <c r="M8411" s="186"/>
      <c r="N8411" s="186"/>
      <c r="O8411" s="172"/>
    </row>
    <row r="8412" spans="1:15" ht="255" x14ac:dyDescent="0.2">
      <c r="A8412" s="190" t="str">
        <f t="shared" si="131"/>
        <v>SwcCode_normallyDry</v>
      </c>
      <c r="B8412" s="414" t="str">
        <f>HYPERLINK("[#]Datatypes!A1420:L1420","SwcCode")</f>
        <v>SwcCode</v>
      </c>
      <c r="C8412" s="415" t="s">
        <v>16044</v>
      </c>
      <c r="D8412" s="221" t="s">
        <v>48828</v>
      </c>
      <c r="E8412" s="221">
        <v>1</v>
      </c>
      <c r="F8412" s="222" t="s">
        <v>48829</v>
      </c>
      <c r="G8412" s="223" t="s">
        <v>48830</v>
      </c>
      <c r="H8412" s="223" t="s">
        <v>48831</v>
      </c>
      <c r="I8412" s="345"/>
      <c r="J8412" s="39">
        <v>108384</v>
      </c>
      <c r="K8412" s="36" t="str">
        <f>CONCATENATE(Cover!$D$6,"fdd/view?i=",J8412)</f>
        <v>https://www.dgiwg.org/FAD/fdd/view?i=108384</v>
      </c>
      <c r="L8412" s="36" t="s">
        <v>48832</v>
      </c>
      <c r="M8412" s="186"/>
      <c r="N8412" s="186"/>
      <c r="O8412" s="172"/>
    </row>
    <row r="8413" spans="1:15" ht="25.5" x14ac:dyDescent="0.2">
      <c r="A8413" s="197" t="str">
        <f t="shared" si="131"/>
        <v>SwcCode_normallyFrozen</v>
      </c>
      <c r="B8413" s="409"/>
      <c r="C8413" s="416"/>
      <c r="D8413" s="198" t="s">
        <v>48833</v>
      </c>
      <c r="E8413" s="198">
        <v>4</v>
      </c>
      <c r="F8413" s="199" t="s">
        <v>48834</v>
      </c>
      <c r="G8413" s="1" t="s">
        <v>48835</v>
      </c>
      <c r="H8413" s="200"/>
      <c r="I8413" s="346"/>
      <c r="J8413" s="39">
        <v>108387</v>
      </c>
      <c r="K8413" s="36" t="str">
        <f>CONCATENATE(Cover!$D$6,"fdd/view?i=",J8413)</f>
        <v>https://www.dgiwg.org/FAD/fdd/view?i=108387</v>
      </c>
      <c r="L8413" s="36" t="s">
        <v>48836</v>
      </c>
      <c r="M8413" s="186"/>
      <c r="N8413" s="186"/>
      <c r="O8413" s="172"/>
    </row>
    <row r="8414" spans="1:15" ht="369.75" x14ac:dyDescent="0.2">
      <c r="A8414" s="197" t="str">
        <f t="shared" si="131"/>
        <v>SwcCode_normallyMoist</v>
      </c>
      <c r="B8414" s="409"/>
      <c r="C8414" s="416"/>
      <c r="D8414" s="198" t="s">
        <v>48837</v>
      </c>
      <c r="E8414" s="198">
        <v>2</v>
      </c>
      <c r="F8414" s="199" t="s">
        <v>48838</v>
      </c>
      <c r="G8414" s="1" t="s">
        <v>48839</v>
      </c>
      <c r="H8414" s="1" t="s">
        <v>48840</v>
      </c>
      <c r="I8414" s="346"/>
      <c r="J8414" s="39">
        <v>108385</v>
      </c>
      <c r="K8414" s="36" t="str">
        <f>CONCATENATE(Cover!$D$6,"fdd/view?i=",J8414)</f>
        <v>https://www.dgiwg.org/FAD/fdd/view?i=108385</v>
      </c>
      <c r="L8414" s="36" t="s">
        <v>48841</v>
      </c>
      <c r="M8414" s="186"/>
      <c r="N8414" s="186"/>
      <c r="O8414" s="172"/>
    </row>
    <row r="8415" spans="1:15" ht="216.75" x14ac:dyDescent="0.2">
      <c r="A8415" s="203" t="str">
        <f t="shared" si="131"/>
        <v>SwcCode_normallyWet</v>
      </c>
      <c r="B8415" s="410"/>
      <c r="C8415" s="417"/>
      <c r="D8415" s="204" t="s">
        <v>48842</v>
      </c>
      <c r="E8415" s="204">
        <v>3</v>
      </c>
      <c r="F8415" s="205" t="s">
        <v>48843</v>
      </c>
      <c r="G8415" s="206" t="s">
        <v>48844</v>
      </c>
      <c r="H8415" s="206" t="s">
        <v>48845</v>
      </c>
      <c r="I8415" s="347"/>
      <c r="J8415" s="39">
        <v>108386</v>
      </c>
      <c r="K8415" s="36" t="str">
        <f>CONCATENATE(Cover!$D$6,"fdd/view?i=",J8415)</f>
        <v>https://www.dgiwg.org/FAD/fdd/view?i=108386</v>
      </c>
      <c r="L8415" s="36" t="s">
        <v>48846</v>
      </c>
      <c r="M8415" s="186"/>
      <c r="N8415" s="186"/>
      <c r="O8415" s="172"/>
    </row>
    <row r="8416" spans="1:15" x14ac:dyDescent="0.2">
      <c r="A8416" s="190" t="str">
        <f t="shared" si="131"/>
        <v>ScrCode_high</v>
      </c>
      <c r="B8416" s="414" t="str">
        <f>HYPERLINK("[#]Datatypes!A1422:L1422","ScrCode")</f>
        <v>ScrCode</v>
      </c>
      <c r="C8416" s="415" t="s">
        <v>16046</v>
      </c>
      <c r="D8416" s="221" t="s">
        <v>20199</v>
      </c>
      <c r="E8416" s="221">
        <v>1</v>
      </c>
      <c r="F8416" s="222" t="s">
        <v>20200</v>
      </c>
      <c r="G8416" s="223" t="s">
        <v>48847</v>
      </c>
      <c r="H8416" s="224"/>
      <c r="I8416" s="345"/>
      <c r="J8416" s="39">
        <v>114446</v>
      </c>
      <c r="K8416" s="36" t="str">
        <f>CONCATENATE(Cover!$D$6,"fdd/view?i=",J8416)</f>
        <v>https://www.dgiwg.org/FAD/fdd/view?i=114446</v>
      </c>
      <c r="L8416" s="36" t="s">
        <v>48848</v>
      </c>
      <c r="M8416" s="186"/>
      <c r="N8416" s="186"/>
      <c r="O8416" s="172"/>
    </row>
    <row r="8417" spans="1:15" x14ac:dyDescent="0.2">
      <c r="A8417" s="197" t="str">
        <f t="shared" si="131"/>
        <v>ScrCode_low</v>
      </c>
      <c r="B8417" s="409"/>
      <c r="C8417" s="416"/>
      <c r="D8417" s="198" t="s">
        <v>20203</v>
      </c>
      <c r="E8417" s="198">
        <v>3</v>
      </c>
      <c r="F8417" s="199" t="s">
        <v>20204</v>
      </c>
      <c r="G8417" s="1" t="s">
        <v>48849</v>
      </c>
      <c r="H8417" s="200"/>
      <c r="I8417" s="346"/>
      <c r="J8417" s="39">
        <v>114448</v>
      </c>
      <c r="K8417" s="36" t="str">
        <f>CONCATENATE(Cover!$D$6,"fdd/view?i=",J8417)</f>
        <v>https://www.dgiwg.org/FAD/fdd/view?i=114448</v>
      </c>
      <c r="L8417" s="36" t="s">
        <v>48850</v>
      </c>
      <c r="M8417" s="186"/>
      <c r="N8417" s="186"/>
      <c r="O8417" s="172"/>
    </row>
    <row r="8418" spans="1:15" x14ac:dyDescent="0.2">
      <c r="A8418" s="203" t="str">
        <f t="shared" si="131"/>
        <v>ScrCode_medium</v>
      </c>
      <c r="B8418" s="410"/>
      <c r="C8418" s="417"/>
      <c r="D8418" s="204" t="s">
        <v>37187</v>
      </c>
      <c r="E8418" s="204">
        <v>2</v>
      </c>
      <c r="F8418" s="205" t="s">
        <v>37188</v>
      </c>
      <c r="G8418" s="206" t="s">
        <v>48851</v>
      </c>
      <c r="H8418" s="207"/>
      <c r="I8418" s="347"/>
      <c r="J8418" s="39">
        <v>114447</v>
      </c>
      <c r="K8418" s="36" t="str">
        <f>CONCATENATE(Cover!$D$6,"fdd/view?i=",J8418)</f>
        <v>https://www.dgiwg.org/FAD/fdd/view?i=114447</v>
      </c>
      <c r="L8418" s="36" t="s">
        <v>48852</v>
      </c>
      <c r="M8418" s="186"/>
      <c r="N8418" s="186"/>
      <c r="O8418" s="172"/>
    </row>
    <row r="8419" spans="1:15" ht="25.5" x14ac:dyDescent="0.2">
      <c r="A8419" s="190" t="str">
        <f t="shared" si="131"/>
        <v>VdcCode_approxLowestAstronomTide</v>
      </c>
      <c r="B8419" s="414" t="str">
        <f>HYPERLINK("[#]Datatypes!A1424:L1424","VdcCode")</f>
        <v>VdcCode</v>
      </c>
      <c r="C8419" s="415" t="s">
        <v>16048</v>
      </c>
      <c r="D8419" s="221" t="s">
        <v>48853</v>
      </c>
      <c r="E8419" s="221">
        <v>94</v>
      </c>
      <c r="F8419" s="222" t="s">
        <v>48854</v>
      </c>
      <c r="G8419" s="223" t="s">
        <v>48855</v>
      </c>
      <c r="H8419" s="224"/>
      <c r="I8419" s="345"/>
      <c r="J8419" s="39">
        <v>109166</v>
      </c>
      <c r="K8419" s="36" t="str">
        <f>CONCATENATE(Cover!$D$6,"fdd/view?i=",J8419)</f>
        <v>https://www.dgiwg.org/FAD/fdd/view?i=109166</v>
      </c>
      <c r="L8419" s="36" t="s">
        <v>48856</v>
      </c>
      <c r="M8419" s="186"/>
      <c r="N8419" s="186"/>
      <c r="O8419" s="172"/>
    </row>
    <row r="8420" spans="1:15" ht="25.5" x14ac:dyDescent="0.2">
      <c r="A8420" s="197" t="str">
        <f t="shared" si="131"/>
        <v>VdcCode_approxMeanLowerLowWater</v>
      </c>
      <c r="B8420" s="409"/>
      <c r="C8420" s="416"/>
      <c r="D8420" s="198" t="s">
        <v>48865</v>
      </c>
      <c r="E8420" s="198">
        <v>97</v>
      </c>
      <c r="F8420" s="199" t="s">
        <v>48866</v>
      </c>
      <c r="G8420" s="1" t="s">
        <v>48867</v>
      </c>
      <c r="H8420" s="200"/>
      <c r="I8420" s="346"/>
      <c r="J8420" s="39">
        <v>109169</v>
      </c>
      <c r="K8420" s="36" t="str">
        <f>CONCATENATE(Cover!$D$6,"fdd/view?i=",J8420)</f>
        <v>https://www.dgiwg.org/FAD/fdd/view?i=109169</v>
      </c>
      <c r="L8420" s="36" t="s">
        <v>48868</v>
      </c>
      <c r="M8420" s="186"/>
      <c r="N8420" s="186"/>
      <c r="O8420" s="172"/>
    </row>
    <row r="8421" spans="1:15" ht="25.5" x14ac:dyDescent="0.2">
      <c r="A8421" s="197" t="str">
        <f t="shared" si="131"/>
        <v>VdcCode_approxMeanLowWater</v>
      </c>
      <c r="B8421" s="409"/>
      <c r="C8421" s="416"/>
      <c r="D8421" s="198" t="s">
        <v>48857</v>
      </c>
      <c r="E8421" s="198">
        <v>96</v>
      </c>
      <c r="F8421" s="199" t="s">
        <v>48858</v>
      </c>
      <c r="G8421" s="1" t="s">
        <v>48859</v>
      </c>
      <c r="H8421" s="200"/>
      <c r="I8421" s="346"/>
      <c r="J8421" s="39">
        <v>109168</v>
      </c>
      <c r="K8421" s="36" t="str">
        <f>CONCATENATE(Cover!$D$6,"fdd/view?i=",J8421)</f>
        <v>https://www.dgiwg.org/FAD/fdd/view?i=109168</v>
      </c>
      <c r="L8421" s="36" t="s">
        <v>48860</v>
      </c>
      <c r="M8421" s="186"/>
      <c r="N8421" s="186"/>
      <c r="O8421" s="172"/>
    </row>
    <row r="8422" spans="1:15" ht="25.5" x14ac:dyDescent="0.2">
      <c r="A8422" s="197" t="str">
        <f t="shared" si="131"/>
        <v>VdcCode_approxMeanLowWaterSprings</v>
      </c>
      <c r="B8422" s="409"/>
      <c r="C8422" s="416"/>
      <c r="D8422" s="198" t="s">
        <v>48861</v>
      </c>
      <c r="E8422" s="198">
        <v>92</v>
      </c>
      <c r="F8422" s="199" t="s">
        <v>48862</v>
      </c>
      <c r="G8422" s="1" t="s">
        <v>48863</v>
      </c>
      <c r="H8422" s="200"/>
      <c r="I8422" s="346"/>
      <c r="J8422" s="39">
        <v>109164</v>
      </c>
      <c r="K8422" s="36" t="str">
        <f>CONCATENATE(Cover!$D$6,"fdd/view?i=",J8422)</f>
        <v>https://www.dgiwg.org/FAD/fdd/view?i=109164</v>
      </c>
      <c r="L8422" s="36" t="s">
        <v>48864</v>
      </c>
      <c r="M8422" s="186"/>
      <c r="N8422" s="186"/>
      <c r="O8422" s="172"/>
    </row>
    <row r="8423" spans="1:15" ht="25.5" x14ac:dyDescent="0.2">
      <c r="A8423" s="197" t="str">
        <f t="shared" si="131"/>
        <v>VdcCode_approxMeanSeaLevel</v>
      </c>
      <c r="B8423" s="409"/>
      <c r="C8423" s="416"/>
      <c r="D8423" s="198" t="s">
        <v>48869</v>
      </c>
      <c r="E8423" s="198">
        <v>98</v>
      </c>
      <c r="F8423" s="199" t="s">
        <v>48870</v>
      </c>
      <c r="G8423" s="1" t="s">
        <v>48871</v>
      </c>
      <c r="H8423" s="200"/>
      <c r="I8423" s="346"/>
      <c r="J8423" s="39">
        <v>109170</v>
      </c>
      <c r="K8423" s="36" t="str">
        <f>CONCATENATE(Cover!$D$6,"fdd/view?i=",J8423)</f>
        <v>https://www.dgiwg.org/FAD/fdd/view?i=109170</v>
      </c>
      <c r="L8423" s="36" t="s">
        <v>48872</v>
      </c>
      <c r="M8423" s="186"/>
      <c r="N8423" s="186"/>
      <c r="O8423" s="172"/>
    </row>
    <row r="8424" spans="1:15" ht="25.5" x14ac:dyDescent="0.2">
      <c r="A8424" s="197" t="str">
        <f t="shared" si="131"/>
        <v>VdcCode_chartDatumUnspecified</v>
      </c>
      <c r="B8424" s="409"/>
      <c r="C8424" s="416"/>
      <c r="D8424" s="198" t="s">
        <v>48873</v>
      </c>
      <c r="E8424" s="198">
        <v>21</v>
      </c>
      <c r="F8424" s="199" t="s">
        <v>48874</v>
      </c>
      <c r="G8424" s="1" t="s">
        <v>48875</v>
      </c>
      <c r="H8424" s="200"/>
      <c r="I8424" s="346"/>
      <c r="J8424" s="39">
        <v>109155</v>
      </c>
      <c r="K8424" s="36" t="str">
        <f>CONCATENATE(Cover!$D$6,"fdd/view?i=",J8424)</f>
        <v>https://www.dgiwg.org/FAD/fdd/view?i=109155</v>
      </c>
      <c r="L8424" s="36" t="s">
        <v>48876</v>
      </c>
      <c r="M8424" s="186"/>
      <c r="N8424" s="186"/>
      <c r="O8424" s="172"/>
    </row>
    <row r="8425" spans="1:15" ht="25.5" x14ac:dyDescent="0.2">
      <c r="A8425" s="197" t="str">
        <f t="shared" si="131"/>
        <v>VdcCode_equinoctialSpringLowWater</v>
      </c>
      <c r="B8425" s="409"/>
      <c r="C8425" s="416"/>
      <c r="D8425" s="198" t="s">
        <v>48877</v>
      </c>
      <c r="E8425" s="198">
        <v>100</v>
      </c>
      <c r="F8425" s="199" t="s">
        <v>48878</v>
      </c>
      <c r="G8425" s="1" t="s">
        <v>48879</v>
      </c>
      <c r="H8425" s="200"/>
      <c r="I8425" s="346"/>
      <c r="J8425" s="39">
        <v>109172</v>
      </c>
      <c r="K8425" s="36" t="str">
        <f>CONCATENATE(Cover!$D$6,"fdd/view?i=",J8425)</f>
        <v>https://www.dgiwg.org/FAD/fdd/view?i=109172</v>
      </c>
      <c r="L8425" s="36" t="s">
        <v>48880</v>
      </c>
      <c r="M8425" s="186"/>
      <c r="N8425" s="186"/>
      <c r="O8425" s="172"/>
    </row>
    <row r="8426" spans="1:15" ht="38.25" x14ac:dyDescent="0.2">
      <c r="A8426" s="197" t="str">
        <f t="shared" si="131"/>
        <v>VdcCode_higherHighWater</v>
      </c>
      <c r="B8426" s="409"/>
      <c r="C8426" s="416"/>
      <c r="D8426" s="198" t="s">
        <v>48891</v>
      </c>
      <c r="E8426" s="198">
        <v>3</v>
      </c>
      <c r="F8426" s="199" t="s">
        <v>48892</v>
      </c>
      <c r="G8426" s="1" t="s">
        <v>48893</v>
      </c>
      <c r="H8426" s="200"/>
      <c r="I8426" s="351" t="s">
        <v>48894</v>
      </c>
      <c r="J8426" s="39">
        <v>109137</v>
      </c>
      <c r="K8426" s="36" t="str">
        <f>CONCATENATE(Cover!$D$6,"fdd/view?i=",J8426)</f>
        <v>https://www.dgiwg.org/FAD/fdd/view?i=109137</v>
      </c>
      <c r="L8426" s="36" t="s">
        <v>48895</v>
      </c>
      <c r="M8426" s="186"/>
      <c r="N8426" s="186"/>
      <c r="O8426" s="172"/>
    </row>
    <row r="8427" spans="1:15" ht="25.5" x14ac:dyDescent="0.2">
      <c r="A8427" s="197" t="str">
        <f t="shared" si="131"/>
        <v>VdcCode_higherHighWaterLargeTide</v>
      </c>
      <c r="B8427" s="409"/>
      <c r="C8427" s="416"/>
      <c r="D8427" s="198" t="s">
        <v>48896</v>
      </c>
      <c r="E8427" s="198">
        <v>105</v>
      </c>
      <c r="F8427" s="199" t="s">
        <v>48897</v>
      </c>
      <c r="G8427" s="1" t="s">
        <v>48898</v>
      </c>
      <c r="H8427" s="200"/>
      <c r="I8427" s="351" t="s">
        <v>48899</v>
      </c>
      <c r="J8427" s="39">
        <v>109177</v>
      </c>
      <c r="K8427" s="36" t="str">
        <f>CONCATENATE(Cover!$D$6,"fdd/view?i=",J8427)</f>
        <v>https://www.dgiwg.org/FAD/fdd/view?i=109177</v>
      </c>
      <c r="L8427" s="36" t="s">
        <v>48900</v>
      </c>
      <c r="M8427" s="186"/>
      <c r="N8427" s="186"/>
      <c r="O8427" s="172"/>
    </row>
    <row r="8428" spans="1:15" ht="38.25" x14ac:dyDescent="0.2">
      <c r="A8428" s="197" t="str">
        <f t="shared" si="131"/>
        <v>VdcCode_highestAstronomicalTide</v>
      </c>
      <c r="B8428" s="409"/>
      <c r="C8428" s="416"/>
      <c r="D8428" s="198" t="s">
        <v>48901</v>
      </c>
      <c r="E8428" s="198">
        <v>22</v>
      </c>
      <c r="F8428" s="199" t="s">
        <v>48902</v>
      </c>
      <c r="G8428" s="1" t="s">
        <v>48903</v>
      </c>
      <c r="H8428" s="200"/>
      <c r="I8428" s="351" t="s">
        <v>9300</v>
      </c>
      <c r="J8428" s="39">
        <v>109156</v>
      </c>
      <c r="K8428" s="36" t="str">
        <f>CONCATENATE(Cover!$D$6,"fdd/view?i=",J8428)</f>
        <v>https://www.dgiwg.org/FAD/fdd/view?i=109156</v>
      </c>
      <c r="L8428" s="36" t="s">
        <v>48904</v>
      </c>
      <c r="M8428" s="186"/>
      <c r="N8428" s="186"/>
      <c r="O8428" s="172"/>
    </row>
    <row r="8429" spans="1:15" ht="25.5" x14ac:dyDescent="0.2">
      <c r="A8429" s="197" t="str">
        <f t="shared" si="131"/>
        <v>VdcCode_highestHighWater</v>
      </c>
      <c r="B8429" s="409"/>
      <c r="C8429" s="416"/>
      <c r="D8429" s="198" t="s">
        <v>35070</v>
      </c>
      <c r="E8429" s="198">
        <v>28</v>
      </c>
      <c r="F8429" s="199" t="s">
        <v>35071</v>
      </c>
      <c r="G8429" s="1" t="s">
        <v>35072</v>
      </c>
      <c r="H8429" s="200"/>
      <c r="I8429" s="346"/>
      <c r="J8429" s="39">
        <v>109160</v>
      </c>
      <c r="K8429" s="36" t="str">
        <f>CONCATENATE(Cover!$D$6,"fdd/view?i=",J8429)</f>
        <v>https://www.dgiwg.org/FAD/fdd/view?i=109160</v>
      </c>
      <c r="L8429" s="36" t="s">
        <v>48905</v>
      </c>
      <c r="M8429" s="186"/>
      <c r="N8429" s="186"/>
      <c r="O8429" s="172"/>
    </row>
    <row r="8430" spans="1:15" ht="38.25" x14ac:dyDescent="0.2">
      <c r="A8430" s="197" t="str">
        <f t="shared" si="131"/>
        <v>VdcCode_highWater</v>
      </c>
      <c r="B8430" s="409"/>
      <c r="C8430" s="416"/>
      <c r="D8430" s="198" t="s">
        <v>48881</v>
      </c>
      <c r="E8430" s="198">
        <v>2</v>
      </c>
      <c r="F8430" s="199" t="s">
        <v>48882</v>
      </c>
      <c r="G8430" s="1" t="s">
        <v>48883</v>
      </c>
      <c r="H8430" s="1" t="s">
        <v>48884</v>
      </c>
      <c r="I8430" s="351" t="s">
        <v>48885</v>
      </c>
      <c r="J8430" s="39">
        <v>109136</v>
      </c>
      <c r="K8430" s="36" t="str">
        <f>CONCATENATE(Cover!$D$6,"fdd/view?i=",J8430)</f>
        <v>https://www.dgiwg.org/FAD/fdd/view?i=109136</v>
      </c>
      <c r="L8430" s="36" t="s">
        <v>48886</v>
      </c>
      <c r="M8430" s="186"/>
      <c r="N8430" s="186"/>
      <c r="O8430" s="172"/>
    </row>
    <row r="8431" spans="1:15" ht="25.5" x14ac:dyDescent="0.2">
      <c r="A8431" s="197" t="str">
        <f t="shared" si="131"/>
        <v>VdcCode_highWaterSprings</v>
      </c>
      <c r="B8431" s="409"/>
      <c r="C8431" s="416"/>
      <c r="D8431" s="198" t="s">
        <v>48887</v>
      </c>
      <c r="E8431" s="198">
        <v>99</v>
      </c>
      <c r="F8431" s="199" t="s">
        <v>48888</v>
      </c>
      <c r="G8431" s="1" t="s">
        <v>48889</v>
      </c>
      <c r="H8431" s="200"/>
      <c r="I8431" s="346"/>
      <c r="J8431" s="39">
        <v>109171</v>
      </c>
      <c r="K8431" s="36" t="str">
        <f>CONCATENATE(Cover!$D$6,"fdd/view?i=",J8431)</f>
        <v>https://www.dgiwg.org/FAD/fdd/view?i=109171</v>
      </c>
      <c r="L8431" s="36" t="s">
        <v>48890</v>
      </c>
      <c r="M8431" s="186"/>
      <c r="N8431" s="186"/>
      <c r="O8431" s="172"/>
    </row>
    <row r="8432" spans="1:15" ht="38.25" x14ac:dyDescent="0.2">
      <c r="A8432" s="197" t="str">
        <f t="shared" si="131"/>
        <v>VdcCode_igld1985</v>
      </c>
      <c r="B8432" s="409"/>
      <c r="C8432" s="416"/>
      <c r="D8432" s="198" t="s">
        <v>48914</v>
      </c>
      <c r="E8432" s="198">
        <v>102</v>
      </c>
      <c r="F8432" s="199" t="s">
        <v>48915</v>
      </c>
      <c r="G8432" s="1" t="s">
        <v>48916</v>
      </c>
      <c r="H8432" s="200"/>
      <c r="I8432" s="346"/>
      <c r="J8432" s="39">
        <v>109174</v>
      </c>
      <c r="K8432" s="36" t="str">
        <f>CONCATENATE(Cover!$D$6,"fdd/view?i=",J8432)</f>
        <v>https://www.dgiwg.org/FAD/fdd/view?i=109174</v>
      </c>
      <c r="L8432" s="36" t="s">
        <v>48917</v>
      </c>
      <c r="M8432" s="186"/>
      <c r="N8432" s="186"/>
      <c r="O8432" s="172"/>
    </row>
    <row r="8433" spans="1:15" ht="38.25" x14ac:dyDescent="0.2">
      <c r="A8433" s="197" t="str">
        <f t="shared" si="131"/>
        <v>VdcCode_indianSpringHighWater</v>
      </c>
      <c r="B8433" s="409"/>
      <c r="C8433" s="416"/>
      <c r="D8433" s="198" t="s">
        <v>35074</v>
      </c>
      <c r="E8433" s="198">
        <v>30</v>
      </c>
      <c r="F8433" s="199" t="s">
        <v>35075</v>
      </c>
      <c r="G8433" s="1" t="s">
        <v>35076</v>
      </c>
      <c r="H8433" s="1" t="s">
        <v>48906</v>
      </c>
      <c r="I8433" s="346"/>
      <c r="J8433" s="39">
        <v>109161</v>
      </c>
      <c r="K8433" s="36" t="str">
        <f>CONCATENATE(Cover!$D$6,"fdd/view?i=",J8433)</f>
        <v>https://www.dgiwg.org/FAD/fdd/view?i=109161</v>
      </c>
      <c r="L8433" s="36" t="s">
        <v>48907</v>
      </c>
      <c r="M8433" s="186"/>
      <c r="N8433" s="186"/>
      <c r="O8433" s="172"/>
    </row>
    <row r="8434" spans="1:15" ht="38.25" x14ac:dyDescent="0.2">
      <c r="A8434" s="197" t="str">
        <f t="shared" si="131"/>
        <v>VdcCode_indianSpringLowWater</v>
      </c>
      <c r="B8434" s="409"/>
      <c r="C8434" s="416"/>
      <c r="D8434" s="198" t="s">
        <v>48908</v>
      </c>
      <c r="E8434" s="198">
        <v>4</v>
      </c>
      <c r="F8434" s="199" t="s">
        <v>48909</v>
      </c>
      <c r="G8434" s="1" t="s">
        <v>48910</v>
      </c>
      <c r="H8434" s="1" t="s">
        <v>48911</v>
      </c>
      <c r="I8434" s="351" t="s">
        <v>48912</v>
      </c>
      <c r="J8434" s="39">
        <v>109138</v>
      </c>
      <c r="K8434" s="36" t="str">
        <f>CONCATENATE(Cover!$D$6,"fdd/view?i=",J8434)</f>
        <v>https://www.dgiwg.org/FAD/fdd/view?i=109138</v>
      </c>
      <c r="L8434" s="36" t="s">
        <v>48913</v>
      </c>
      <c r="M8434" s="186"/>
      <c r="N8434" s="186"/>
      <c r="O8434" s="172"/>
    </row>
    <row r="8435" spans="1:15" ht="25.5" x14ac:dyDescent="0.2">
      <c r="A8435" s="197" t="str">
        <f t="shared" si="131"/>
        <v>VdcCode_localDatum</v>
      </c>
      <c r="B8435" s="409"/>
      <c r="C8435" s="416"/>
      <c r="D8435" s="198" t="s">
        <v>48918</v>
      </c>
      <c r="E8435" s="198">
        <v>101</v>
      </c>
      <c r="F8435" s="199" t="s">
        <v>48919</v>
      </c>
      <c r="G8435" s="1" t="s">
        <v>48920</v>
      </c>
      <c r="H8435" s="200"/>
      <c r="I8435" s="346"/>
      <c r="J8435" s="39">
        <v>109173</v>
      </c>
      <c r="K8435" s="36" t="str">
        <f>CONCATENATE(Cover!$D$6,"fdd/view?i=",J8435)</f>
        <v>https://www.dgiwg.org/FAD/fdd/view?i=109173</v>
      </c>
      <c r="L8435" s="36" t="s">
        <v>48921</v>
      </c>
      <c r="M8435" s="186"/>
      <c r="N8435" s="186"/>
      <c r="O8435" s="172"/>
    </row>
    <row r="8436" spans="1:15" ht="25.5" x14ac:dyDescent="0.2">
      <c r="A8436" s="197" t="str">
        <f t="shared" si="131"/>
        <v>VdcCode_lowerLowWater</v>
      </c>
      <c r="B8436" s="409"/>
      <c r="C8436" s="416"/>
      <c r="D8436" s="198" t="s">
        <v>48937</v>
      </c>
      <c r="E8436" s="198">
        <v>6</v>
      </c>
      <c r="F8436" s="199" t="s">
        <v>48938</v>
      </c>
      <c r="G8436" s="1" t="s">
        <v>48939</v>
      </c>
      <c r="H8436" s="200"/>
      <c r="I8436" s="351" t="s">
        <v>48940</v>
      </c>
      <c r="J8436" s="39">
        <v>109140</v>
      </c>
      <c r="K8436" s="36" t="str">
        <f>CONCATENATE(Cover!$D$6,"fdd/view?i=",J8436)</f>
        <v>https://www.dgiwg.org/FAD/fdd/view?i=109140</v>
      </c>
      <c r="L8436" s="36" t="s">
        <v>48941</v>
      </c>
      <c r="M8436" s="186"/>
      <c r="N8436" s="186"/>
      <c r="O8436" s="172"/>
    </row>
    <row r="8437" spans="1:15" ht="25.5" x14ac:dyDescent="0.2">
      <c r="A8437" s="197" t="str">
        <f t="shared" si="131"/>
        <v>VdcCode_lowerLowWaterLargeTide</v>
      </c>
      <c r="B8437" s="409"/>
      <c r="C8437" s="416"/>
      <c r="D8437" s="198" t="s">
        <v>48942</v>
      </c>
      <c r="E8437" s="198">
        <v>104</v>
      </c>
      <c r="F8437" s="199" t="s">
        <v>48943</v>
      </c>
      <c r="G8437" s="1" t="s">
        <v>48944</v>
      </c>
      <c r="H8437" s="200"/>
      <c r="I8437" s="351" t="s">
        <v>48945</v>
      </c>
      <c r="J8437" s="39">
        <v>109176</v>
      </c>
      <c r="K8437" s="36" t="str">
        <f>CONCATENATE(Cover!$D$6,"fdd/view?i=",J8437)</f>
        <v>https://www.dgiwg.org/FAD/fdd/view?i=109176</v>
      </c>
      <c r="L8437" s="36" t="s">
        <v>48946</v>
      </c>
      <c r="M8437" s="186"/>
      <c r="N8437" s="186"/>
      <c r="O8437" s="172"/>
    </row>
    <row r="8438" spans="1:15" ht="38.25" x14ac:dyDescent="0.2">
      <c r="A8438" s="197" t="str">
        <f t="shared" si="131"/>
        <v>VdcCode_lowestAstronomicalTide</v>
      </c>
      <c r="B8438" s="409"/>
      <c r="C8438" s="416"/>
      <c r="D8438" s="198" t="s">
        <v>48947</v>
      </c>
      <c r="E8438" s="198">
        <v>20</v>
      </c>
      <c r="F8438" s="199" t="s">
        <v>48948</v>
      </c>
      <c r="G8438" s="1" t="s">
        <v>48949</v>
      </c>
      <c r="H8438" s="200"/>
      <c r="I8438" s="351" t="s">
        <v>48950</v>
      </c>
      <c r="J8438" s="39">
        <v>109154</v>
      </c>
      <c r="K8438" s="36" t="str">
        <f>CONCATENATE(Cover!$D$6,"fdd/view?i=",J8438)</f>
        <v>https://www.dgiwg.org/FAD/fdd/view?i=109154</v>
      </c>
      <c r="L8438" s="36" t="s">
        <v>48951</v>
      </c>
      <c r="M8438" s="186"/>
      <c r="N8438" s="186"/>
      <c r="O8438" s="172"/>
    </row>
    <row r="8439" spans="1:15" ht="25.5" x14ac:dyDescent="0.2">
      <c r="A8439" s="197" t="str">
        <f t="shared" si="131"/>
        <v>VdcCode_lowestLowWater</v>
      </c>
      <c r="B8439" s="409"/>
      <c r="C8439" s="416"/>
      <c r="D8439" s="198" t="s">
        <v>48952</v>
      </c>
      <c r="E8439" s="198">
        <v>90</v>
      </c>
      <c r="F8439" s="199" t="s">
        <v>48953</v>
      </c>
      <c r="G8439" s="1" t="s">
        <v>48954</v>
      </c>
      <c r="H8439" s="200"/>
      <c r="I8439" s="346"/>
      <c r="J8439" s="39">
        <v>109162</v>
      </c>
      <c r="K8439" s="36" t="str">
        <f>CONCATENATE(Cover!$D$6,"fdd/view?i=",J8439)</f>
        <v>https://www.dgiwg.org/FAD/fdd/view?i=109162</v>
      </c>
      <c r="L8439" s="36" t="s">
        <v>48955</v>
      </c>
      <c r="M8439" s="186"/>
      <c r="N8439" s="186"/>
      <c r="O8439" s="172"/>
    </row>
    <row r="8440" spans="1:15" ht="25.5" x14ac:dyDescent="0.2">
      <c r="A8440" s="197" t="str">
        <f t="shared" si="131"/>
        <v>VdcCode_lowestLowWaterSprings</v>
      </c>
      <c r="B8440" s="409"/>
      <c r="C8440" s="416"/>
      <c r="D8440" s="198" t="s">
        <v>48956</v>
      </c>
      <c r="E8440" s="198">
        <v>91</v>
      </c>
      <c r="F8440" s="199" t="s">
        <v>48957</v>
      </c>
      <c r="G8440" s="1" t="s">
        <v>48958</v>
      </c>
      <c r="H8440" s="200"/>
      <c r="I8440" s="346"/>
      <c r="J8440" s="39">
        <v>109163</v>
      </c>
      <c r="K8440" s="36" t="str">
        <f>CONCATENATE(Cover!$D$6,"fdd/view?i=",J8440)</f>
        <v>https://www.dgiwg.org/FAD/fdd/view?i=109163</v>
      </c>
      <c r="L8440" s="36" t="s">
        <v>48959</v>
      </c>
      <c r="M8440" s="186"/>
      <c r="N8440" s="186"/>
      <c r="O8440" s="172"/>
    </row>
    <row r="8441" spans="1:15" ht="114.75" x14ac:dyDescent="0.2">
      <c r="A8441" s="197" t="str">
        <f t="shared" si="131"/>
        <v>VdcCode_lowWater</v>
      </c>
      <c r="B8441" s="409"/>
      <c r="C8441" s="416"/>
      <c r="D8441" s="198" t="s">
        <v>48922</v>
      </c>
      <c r="E8441" s="198">
        <v>5</v>
      </c>
      <c r="F8441" s="199" t="s">
        <v>48923</v>
      </c>
      <c r="G8441" s="1" t="s">
        <v>48924</v>
      </c>
      <c r="H8441" s="1" t="s">
        <v>48925</v>
      </c>
      <c r="I8441" s="351" t="s">
        <v>48926</v>
      </c>
      <c r="J8441" s="39">
        <v>109139</v>
      </c>
      <c r="K8441" s="36" t="str">
        <f>CONCATENATE(Cover!$D$6,"fdd/view?i=",J8441)</f>
        <v>https://www.dgiwg.org/FAD/fdd/view?i=109139</v>
      </c>
      <c r="L8441" s="36" t="s">
        <v>48927</v>
      </c>
      <c r="M8441" s="186"/>
      <c r="N8441" s="186"/>
      <c r="O8441" s="172"/>
    </row>
    <row r="8442" spans="1:15" ht="63.75" x14ac:dyDescent="0.2">
      <c r="A8442" s="197" t="str">
        <f t="shared" si="131"/>
        <v>VdcCode_lowWaterDatum</v>
      </c>
      <c r="B8442" s="409"/>
      <c r="C8442" s="416"/>
      <c r="D8442" s="198" t="s">
        <v>48928</v>
      </c>
      <c r="E8442" s="198">
        <v>51</v>
      </c>
      <c r="F8442" s="199" t="s">
        <v>48929</v>
      </c>
      <c r="G8442" s="1" t="s">
        <v>48930</v>
      </c>
      <c r="H8442" s="1" t="s">
        <v>48931</v>
      </c>
      <c r="I8442" s="351" t="s">
        <v>45461</v>
      </c>
      <c r="J8442" s="39">
        <v>110592</v>
      </c>
      <c r="K8442" s="36" t="str">
        <f>CONCATENATE(Cover!$D$6,"fdd/view?i=",J8442)</f>
        <v>https://www.dgiwg.org/FAD/fdd/view?i=110592</v>
      </c>
      <c r="L8442" s="36" t="s">
        <v>48932</v>
      </c>
      <c r="M8442" s="186"/>
      <c r="N8442" s="186"/>
      <c r="O8442" s="172"/>
    </row>
    <row r="8443" spans="1:15" ht="25.5" x14ac:dyDescent="0.2">
      <c r="A8443" s="197" t="str">
        <f t="shared" si="131"/>
        <v>VdcCode_lowWaterSprings</v>
      </c>
      <c r="B8443" s="409"/>
      <c r="C8443" s="416"/>
      <c r="D8443" s="198" t="s">
        <v>48933</v>
      </c>
      <c r="E8443" s="198">
        <v>93</v>
      </c>
      <c r="F8443" s="199" t="s">
        <v>48934</v>
      </c>
      <c r="G8443" s="1" t="s">
        <v>48935</v>
      </c>
      <c r="H8443" s="200"/>
      <c r="I8443" s="346"/>
      <c r="J8443" s="39">
        <v>109165</v>
      </c>
      <c r="K8443" s="36" t="str">
        <f>CONCATENATE(Cover!$D$6,"fdd/view?i=",J8443)</f>
        <v>https://www.dgiwg.org/FAD/fdd/view?i=109165</v>
      </c>
      <c r="L8443" s="36" t="s">
        <v>48936</v>
      </c>
      <c r="M8443" s="186"/>
      <c r="N8443" s="186"/>
      <c r="O8443" s="172"/>
    </row>
    <row r="8444" spans="1:15" ht="25.5" x14ac:dyDescent="0.2">
      <c r="A8444" s="197" t="str">
        <f t="shared" si="131"/>
        <v>VdcCode_meanHigherHighWater</v>
      </c>
      <c r="B8444" s="409"/>
      <c r="C8444" s="416"/>
      <c r="D8444" s="198" t="s">
        <v>35086</v>
      </c>
      <c r="E8444" s="198">
        <v>10</v>
      </c>
      <c r="F8444" s="199" t="s">
        <v>35087</v>
      </c>
      <c r="G8444" s="1" t="s">
        <v>35088</v>
      </c>
      <c r="H8444" s="200"/>
      <c r="I8444" s="351" t="s">
        <v>48969</v>
      </c>
      <c r="J8444" s="39">
        <v>109144</v>
      </c>
      <c r="K8444" s="36" t="str">
        <f>CONCATENATE(Cover!$D$6,"fdd/view?i=",J8444)</f>
        <v>https://www.dgiwg.org/FAD/fdd/view?i=109144</v>
      </c>
      <c r="L8444" s="36" t="s">
        <v>48970</v>
      </c>
      <c r="M8444" s="186"/>
      <c r="N8444" s="186"/>
      <c r="O8444" s="172"/>
    </row>
    <row r="8445" spans="1:15" ht="25.5" x14ac:dyDescent="0.2">
      <c r="A8445" s="197" t="str">
        <f t="shared" si="131"/>
        <v>VdcCode_meanHigherHighWaterSprings</v>
      </c>
      <c r="B8445" s="409"/>
      <c r="C8445" s="416"/>
      <c r="D8445" s="198" t="s">
        <v>35090</v>
      </c>
      <c r="E8445" s="198">
        <v>24</v>
      </c>
      <c r="F8445" s="199" t="s">
        <v>35091</v>
      </c>
      <c r="G8445" s="1" t="s">
        <v>35092</v>
      </c>
      <c r="H8445" s="200"/>
      <c r="I8445" s="346"/>
      <c r="J8445" s="39">
        <v>109157</v>
      </c>
      <c r="K8445" s="36" t="str">
        <f>CONCATENATE(Cover!$D$6,"fdd/view?i=",J8445)</f>
        <v>https://www.dgiwg.org/FAD/fdd/view?i=109157</v>
      </c>
      <c r="L8445" s="36" t="s">
        <v>48971</v>
      </c>
      <c r="M8445" s="186"/>
      <c r="N8445" s="186"/>
      <c r="O8445" s="172"/>
    </row>
    <row r="8446" spans="1:15" ht="51" x14ac:dyDescent="0.2">
      <c r="A8446" s="197" t="str">
        <f t="shared" si="131"/>
        <v>VdcCode_meanHigherLowWater</v>
      </c>
      <c r="B8446" s="409"/>
      <c r="C8446" s="416"/>
      <c r="D8446" s="198" t="s">
        <v>48972</v>
      </c>
      <c r="E8446" s="198">
        <v>52</v>
      </c>
      <c r="F8446" s="199" t="s">
        <v>48973</v>
      </c>
      <c r="G8446" s="1" t="s">
        <v>48974</v>
      </c>
      <c r="H8446" s="1" t="s">
        <v>48975</v>
      </c>
      <c r="I8446" s="351" t="s">
        <v>48976</v>
      </c>
      <c r="J8446" s="39">
        <v>110593</v>
      </c>
      <c r="K8446" s="36" t="str">
        <f>CONCATENATE(Cover!$D$6,"fdd/view?i=",J8446)</f>
        <v>https://www.dgiwg.org/FAD/fdd/view?i=110593</v>
      </c>
      <c r="L8446" s="36" t="s">
        <v>48977</v>
      </c>
      <c r="M8446" s="186"/>
      <c r="N8446" s="186"/>
      <c r="O8446" s="172"/>
    </row>
    <row r="8447" spans="1:15" ht="25.5" x14ac:dyDescent="0.2">
      <c r="A8447" s="197" t="str">
        <f t="shared" si="131"/>
        <v>VdcCode_meanHighWater</v>
      </c>
      <c r="B8447" s="409"/>
      <c r="C8447" s="416"/>
      <c r="D8447" s="198" t="s">
        <v>35078</v>
      </c>
      <c r="E8447" s="198">
        <v>7</v>
      </c>
      <c r="F8447" s="199" t="s">
        <v>35079</v>
      </c>
      <c r="G8447" s="1" t="s">
        <v>35080</v>
      </c>
      <c r="H8447" s="200"/>
      <c r="I8447" s="351" t="s">
        <v>48960</v>
      </c>
      <c r="J8447" s="39">
        <v>109141</v>
      </c>
      <c r="K8447" s="36" t="str">
        <f>CONCATENATE(Cover!$D$6,"fdd/view?i=",J8447)</f>
        <v>https://www.dgiwg.org/FAD/fdd/view?i=109141</v>
      </c>
      <c r="L8447" s="36" t="s">
        <v>48961</v>
      </c>
      <c r="M8447" s="186"/>
      <c r="N8447" s="186"/>
      <c r="O8447" s="172"/>
    </row>
    <row r="8448" spans="1:15" ht="38.25" x14ac:dyDescent="0.2">
      <c r="A8448" s="197" t="str">
        <f t="shared" si="131"/>
        <v>VdcCode_meanHighWaterNeaps</v>
      </c>
      <c r="B8448" s="409"/>
      <c r="C8448" s="416"/>
      <c r="D8448" s="198" t="s">
        <v>48962</v>
      </c>
      <c r="E8448" s="198">
        <v>8</v>
      </c>
      <c r="F8448" s="199" t="s">
        <v>48963</v>
      </c>
      <c r="G8448" s="1" t="s">
        <v>48964</v>
      </c>
      <c r="H8448" s="200"/>
      <c r="I8448" s="351" t="s">
        <v>48965</v>
      </c>
      <c r="J8448" s="39">
        <v>109142</v>
      </c>
      <c r="K8448" s="36" t="str">
        <f>CONCATENATE(Cover!$D$6,"fdd/view?i=",J8448)</f>
        <v>https://www.dgiwg.org/FAD/fdd/view?i=109142</v>
      </c>
      <c r="L8448" s="36" t="s">
        <v>48966</v>
      </c>
      <c r="M8448" s="186"/>
      <c r="N8448" s="186"/>
      <c r="O8448" s="172"/>
    </row>
    <row r="8449" spans="1:15" ht="25.5" x14ac:dyDescent="0.2">
      <c r="A8449" s="197" t="str">
        <f t="shared" si="131"/>
        <v>VdcCode_meanHighWaterSprings</v>
      </c>
      <c r="B8449" s="409"/>
      <c r="C8449" s="416"/>
      <c r="D8449" s="198" t="s">
        <v>35082</v>
      </c>
      <c r="E8449" s="198">
        <v>9</v>
      </c>
      <c r="F8449" s="199" t="s">
        <v>35083</v>
      </c>
      <c r="G8449" s="1" t="s">
        <v>35084</v>
      </c>
      <c r="H8449" s="200"/>
      <c r="I8449" s="351" t="s">
        <v>48967</v>
      </c>
      <c r="J8449" s="39">
        <v>109143</v>
      </c>
      <c r="K8449" s="36" t="str">
        <f>CONCATENATE(Cover!$D$6,"fdd/view?i=",J8449)</f>
        <v>https://www.dgiwg.org/FAD/fdd/view?i=109143</v>
      </c>
      <c r="L8449" s="36" t="s">
        <v>48968</v>
      </c>
      <c r="M8449" s="186"/>
      <c r="N8449" s="186"/>
      <c r="O8449" s="172"/>
    </row>
    <row r="8450" spans="1:15" ht="51" x14ac:dyDescent="0.2">
      <c r="A8450" s="197" t="str">
        <f t="shared" ref="A8450:A8513" si="132">HYPERLINK(K8450,L8450)</f>
        <v>VdcCode_meanLowerHighWater</v>
      </c>
      <c r="B8450" s="409"/>
      <c r="C8450" s="416"/>
      <c r="D8450" s="198" t="s">
        <v>48993</v>
      </c>
      <c r="E8450" s="198">
        <v>53</v>
      </c>
      <c r="F8450" s="199" t="s">
        <v>48994</v>
      </c>
      <c r="G8450" s="1" t="s">
        <v>48995</v>
      </c>
      <c r="H8450" s="1" t="s">
        <v>48975</v>
      </c>
      <c r="I8450" s="351" t="s">
        <v>48996</v>
      </c>
      <c r="J8450" s="39">
        <v>110594</v>
      </c>
      <c r="K8450" s="36" t="str">
        <f>CONCATENATE(Cover!$D$6,"fdd/view?i=",J8450)</f>
        <v>https://www.dgiwg.org/FAD/fdd/view?i=110594</v>
      </c>
      <c r="L8450" s="36" t="s">
        <v>48997</v>
      </c>
      <c r="M8450" s="186"/>
      <c r="N8450" s="186"/>
      <c r="O8450" s="172"/>
    </row>
    <row r="8451" spans="1:15" ht="25.5" x14ac:dyDescent="0.2">
      <c r="A8451" s="197" t="str">
        <f t="shared" si="132"/>
        <v>VdcCode_meanLowerLowWater</v>
      </c>
      <c r="B8451" s="409"/>
      <c r="C8451" s="416"/>
      <c r="D8451" s="198" t="s">
        <v>48998</v>
      </c>
      <c r="E8451" s="198">
        <v>14</v>
      </c>
      <c r="F8451" s="199" t="s">
        <v>48999</v>
      </c>
      <c r="G8451" s="1" t="s">
        <v>49000</v>
      </c>
      <c r="H8451" s="200"/>
      <c r="I8451" s="351" t="s">
        <v>49001</v>
      </c>
      <c r="J8451" s="39">
        <v>109148</v>
      </c>
      <c r="K8451" s="36" t="str">
        <f>CONCATENATE(Cover!$D$6,"fdd/view?i=",J8451)</f>
        <v>https://www.dgiwg.org/FAD/fdd/view?i=109148</v>
      </c>
      <c r="L8451" s="36" t="s">
        <v>49002</v>
      </c>
      <c r="M8451" s="186"/>
      <c r="N8451" s="186"/>
      <c r="O8451" s="172"/>
    </row>
    <row r="8452" spans="1:15" ht="25.5" x14ac:dyDescent="0.2">
      <c r="A8452" s="197" t="str">
        <f t="shared" si="132"/>
        <v>VdcCode_meanLowerLowWaterSprings</v>
      </c>
      <c r="B8452" s="409"/>
      <c r="C8452" s="416"/>
      <c r="D8452" s="198" t="s">
        <v>49003</v>
      </c>
      <c r="E8452" s="198">
        <v>19</v>
      </c>
      <c r="F8452" s="199" t="s">
        <v>49004</v>
      </c>
      <c r="G8452" s="1" t="s">
        <v>49005</v>
      </c>
      <c r="H8452" s="200"/>
      <c r="I8452" s="351" t="s">
        <v>49006</v>
      </c>
      <c r="J8452" s="39">
        <v>109153</v>
      </c>
      <c r="K8452" s="36" t="str">
        <f>CONCATENATE(Cover!$D$6,"fdd/view?i=",J8452)</f>
        <v>https://www.dgiwg.org/FAD/fdd/view?i=109153</v>
      </c>
      <c r="L8452" s="36" t="s">
        <v>49007</v>
      </c>
      <c r="M8452" s="186"/>
      <c r="N8452" s="186"/>
      <c r="O8452" s="172"/>
    </row>
    <row r="8453" spans="1:15" ht="25.5" x14ac:dyDescent="0.2">
      <c r="A8453" s="197" t="str">
        <f t="shared" si="132"/>
        <v>VdcCode_meanLowWater</v>
      </c>
      <c r="B8453" s="409"/>
      <c r="C8453" s="416"/>
      <c r="D8453" s="198" t="s">
        <v>48978</v>
      </c>
      <c r="E8453" s="198">
        <v>11</v>
      </c>
      <c r="F8453" s="199" t="s">
        <v>48979</v>
      </c>
      <c r="G8453" s="1" t="s">
        <v>48980</v>
      </c>
      <c r="H8453" s="200"/>
      <c r="I8453" s="351" t="s">
        <v>48981</v>
      </c>
      <c r="J8453" s="39">
        <v>109145</v>
      </c>
      <c r="K8453" s="36" t="str">
        <f>CONCATENATE(Cover!$D$6,"fdd/view?i=",J8453)</f>
        <v>https://www.dgiwg.org/FAD/fdd/view?i=109145</v>
      </c>
      <c r="L8453" s="36" t="s">
        <v>48982</v>
      </c>
      <c r="M8453" s="186"/>
      <c r="N8453" s="186"/>
      <c r="O8453" s="172"/>
    </row>
    <row r="8454" spans="1:15" ht="38.25" x14ac:dyDescent="0.2">
      <c r="A8454" s="197" t="str">
        <f t="shared" si="132"/>
        <v>VdcCode_meanLowWaterNeaps</v>
      </c>
      <c r="B8454" s="409"/>
      <c r="C8454" s="416"/>
      <c r="D8454" s="198" t="s">
        <v>48983</v>
      </c>
      <c r="E8454" s="198">
        <v>12</v>
      </c>
      <c r="F8454" s="199" t="s">
        <v>48984</v>
      </c>
      <c r="G8454" s="1" t="s">
        <v>48985</v>
      </c>
      <c r="H8454" s="200"/>
      <c r="I8454" s="351" t="s">
        <v>48986</v>
      </c>
      <c r="J8454" s="39">
        <v>109146</v>
      </c>
      <c r="K8454" s="36" t="str">
        <f>CONCATENATE(Cover!$D$6,"fdd/view?i=",J8454)</f>
        <v>https://www.dgiwg.org/FAD/fdd/view?i=109146</v>
      </c>
      <c r="L8454" s="36" t="s">
        <v>48987</v>
      </c>
      <c r="M8454" s="186"/>
      <c r="N8454" s="186"/>
      <c r="O8454" s="172"/>
    </row>
    <row r="8455" spans="1:15" ht="25.5" x14ac:dyDescent="0.2">
      <c r="A8455" s="197" t="str">
        <f t="shared" si="132"/>
        <v>VdcCode_meanLowWaterSprings</v>
      </c>
      <c r="B8455" s="409"/>
      <c r="C8455" s="416"/>
      <c r="D8455" s="198" t="s">
        <v>48988</v>
      </c>
      <c r="E8455" s="198">
        <v>13</v>
      </c>
      <c r="F8455" s="199" t="s">
        <v>48989</v>
      </c>
      <c r="G8455" s="1" t="s">
        <v>48990</v>
      </c>
      <c r="H8455" s="200"/>
      <c r="I8455" s="351" t="s">
        <v>48991</v>
      </c>
      <c r="J8455" s="39">
        <v>109147</v>
      </c>
      <c r="K8455" s="36" t="str">
        <f>CONCATENATE(Cover!$D$6,"fdd/view?i=",J8455)</f>
        <v>https://www.dgiwg.org/FAD/fdd/view?i=109147</v>
      </c>
      <c r="L8455" s="36" t="s">
        <v>48992</v>
      </c>
      <c r="M8455" s="186"/>
      <c r="N8455" s="186"/>
      <c r="O8455" s="172"/>
    </row>
    <row r="8456" spans="1:15" ht="25.5" x14ac:dyDescent="0.2">
      <c r="A8456" s="197" t="str">
        <f t="shared" si="132"/>
        <v>VdcCode_meanSeaLevel</v>
      </c>
      <c r="B8456" s="409"/>
      <c r="C8456" s="416"/>
      <c r="D8456" s="198" t="s">
        <v>35094</v>
      </c>
      <c r="E8456" s="198">
        <v>15</v>
      </c>
      <c r="F8456" s="199" t="s">
        <v>35095</v>
      </c>
      <c r="G8456" s="1" t="s">
        <v>35096</v>
      </c>
      <c r="H8456" s="1" t="s">
        <v>49008</v>
      </c>
      <c r="I8456" s="351" t="s">
        <v>8352</v>
      </c>
      <c r="J8456" s="39">
        <v>109149</v>
      </c>
      <c r="K8456" s="36" t="str">
        <f>CONCATENATE(Cover!$D$6,"fdd/view?i=",J8456)</f>
        <v>https://www.dgiwg.org/FAD/fdd/view?i=109149</v>
      </c>
      <c r="L8456" s="36" t="s">
        <v>49009</v>
      </c>
      <c r="M8456" s="186"/>
      <c r="N8456" s="186"/>
      <c r="O8456" s="172"/>
    </row>
    <row r="8457" spans="1:15" ht="25.5" x14ac:dyDescent="0.2">
      <c r="A8457" s="197" t="str">
        <f t="shared" si="132"/>
        <v>VdcCode_meanTideLevel</v>
      </c>
      <c r="B8457" s="409"/>
      <c r="C8457" s="416"/>
      <c r="D8457" s="198" t="s">
        <v>49010</v>
      </c>
      <c r="E8457" s="198">
        <v>16</v>
      </c>
      <c r="F8457" s="199" t="s">
        <v>49011</v>
      </c>
      <c r="G8457" s="1" t="s">
        <v>49012</v>
      </c>
      <c r="H8457" s="200"/>
      <c r="I8457" s="351" t="s">
        <v>49013</v>
      </c>
      <c r="J8457" s="39">
        <v>109150</v>
      </c>
      <c r="K8457" s="36" t="str">
        <f>CONCATENATE(Cover!$D$6,"fdd/view?i=",J8457)</f>
        <v>https://www.dgiwg.org/FAD/fdd/view?i=109150</v>
      </c>
      <c r="L8457" s="36" t="s">
        <v>49014</v>
      </c>
      <c r="M8457" s="186"/>
      <c r="N8457" s="186"/>
      <c r="O8457" s="172"/>
    </row>
    <row r="8458" spans="1:15" ht="25.5" x14ac:dyDescent="0.2">
      <c r="A8458" s="197" t="str">
        <f t="shared" si="132"/>
        <v>VdcCode_meanWaterLevel</v>
      </c>
      <c r="B8458" s="409"/>
      <c r="C8458" s="416"/>
      <c r="D8458" s="198" t="s">
        <v>49015</v>
      </c>
      <c r="E8458" s="198">
        <v>103</v>
      </c>
      <c r="F8458" s="199" t="s">
        <v>49016</v>
      </c>
      <c r="G8458" s="1" t="s">
        <v>49017</v>
      </c>
      <c r="H8458" s="200"/>
      <c r="I8458" s="346"/>
      <c r="J8458" s="39">
        <v>109175</v>
      </c>
      <c r="K8458" s="36" t="str">
        <f>CONCATENATE(Cover!$D$6,"fdd/view?i=",J8458)</f>
        <v>https://www.dgiwg.org/FAD/fdd/view?i=109175</v>
      </c>
      <c r="L8458" s="36" t="s">
        <v>49018</v>
      </c>
      <c r="M8458" s="186"/>
      <c r="N8458" s="186"/>
      <c r="O8458" s="172"/>
    </row>
    <row r="8459" spans="1:15" ht="89.25" x14ac:dyDescent="0.2">
      <c r="A8459" s="197" t="str">
        <f t="shared" si="132"/>
        <v>VdcCode_neapTide</v>
      </c>
      <c r="B8459" s="409"/>
      <c r="C8459" s="416"/>
      <c r="D8459" s="198" t="s">
        <v>49019</v>
      </c>
      <c r="E8459" s="198">
        <v>17</v>
      </c>
      <c r="F8459" s="199" t="s">
        <v>49020</v>
      </c>
      <c r="G8459" s="1" t="s">
        <v>49021</v>
      </c>
      <c r="H8459" s="1" t="s">
        <v>49022</v>
      </c>
      <c r="I8459" s="346"/>
      <c r="J8459" s="39">
        <v>109151</v>
      </c>
      <c r="K8459" s="36" t="str">
        <f>CONCATENATE(Cover!$D$6,"fdd/view?i=",J8459)</f>
        <v>https://www.dgiwg.org/FAD/fdd/view?i=109151</v>
      </c>
      <c r="L8459" s="36" t="s">
        <v>49023</v>
      </c>
      <c r="M8459" s="186"/>
      <c r="N8459" s="186"/>
      <c r="O8459" s="172"/>
    </row>
    <row r="8460" spans="1:15" ht="25.5" x14ac:dyDescent="0.2">
      <c r="A8460" s="197" t="str">
        <f t="shared" si="132"/>
        <v>VdcCode_nearlyHighestHighWater</v>
      </c>
      <c r="B8460" s="409"/>
      <c r="C8460" s="416"/>
      <c r="D8460" s="198" t="s">
        <v>49024</v>
      </c>
      <c r="E8460" s="198">
        <v>107</v>
      </c>
      <c r="F8460" s="199" t="s">
        <v>49025</v>
      </c>
      <c r="G8460" s="1" t="s">
        <v>49026</v>
      </c>
      <c r="H8460" s="200"/>
      <c r="I8460" s="346"/>
      <c r="J8460" s="39">
        <v>109179</v>
      </c>
      <c r="K8460" s="36" t="str">
        <f>CONCATENATE(Cover!$D$6,"fdd/view?i=",J8460)</f>
        <v>https://www.dgiwg.org/FAD/fdd/view?i=109179</v>
      </c>
      <c r="L8460" s="36" t="s">
        <v>49027</v>
      </c>
      <c r="M8460" s="186"/>
      <c r="N8460" s="186"/>
      <c r="O8460" s="172"/>
    </row>
    <row r="8461" spans="1:15" ht="25.5" x14ac:dyDescent="0.2">
      <c r="A8461" s="197" t="str">
        <f t="shared" si="132"/>
        <v>VdcCode_nearlyLowestLowWater</v>
      </c>
      <c r="B8461" s="409"/>
      <c r="C8461" s="416"/>
      <c r="D8461" s="198" t="s">
        <v>49028</v>
      </c>
      <c r="E8461" s="198">
        <v>95</v>
      </c>
      <c r="F8461" s="199" t="s">
        <v>49029</v>
      </c>
      <c r="G8461" s="1" t="s">
        <v>49030</v>
      </c>
      <c r="H8461" s="200"/>
      <c r="I8461" s="346"/>
      <c r="J8461" s="39">
        <v>109167</v>
      </c>
      <c r="K8461" s="36" t="str">
        <f>CONCATENATE(Cover!$D$6,"fdd/view?i=",J8461)</f>
        <v>https://www.dgiwg.org/FAD/fdd/view?i=109167</v>
      </c>
      <c r="L8461" s="36" t="s">
        <v>49031</v>
      </c>
      <c r="M8461" s="186"/>
      <c r="N8461" s="186"/>
      <c r="O8461" s="172"/>
    </row>
    <row r="8462" spans="1:15" ht="89.25" x14ac:dyDescent="0.2">
      <c r="A8462" s="197" t="str">
        <f t="shared" si="132"/>
        <v>VdcCode_springTide</v>
      </c>
      <c r="B8462" s="409"/>
      <c r="C8462" s="416"/>
      <c r="D8462" s="198" t="s">
        <v>49032</v>
      </c>
      <c r="E8462" s="198">
        <v>18</v>
      </c>
      <c r="F8462" s="199" t="s">
        <v>49033</v>
      </c>
      <c r="G8462" s="1" t="s">
        <v>49034</v>
      </c>
      <c r="H8462" s="1" t="s">
        <v>49035</v>
      </c>
      <c r="I8462" s="346"/>
      <c r="J8462" s="39">
        <v>109152</v>
      </c>
      <c r="K8462" s="36" t="str">
        <f>CONCATENATE(Cover!$D$6,"fdd/view?i=",J8462)</f>
        <v>https://www.dgiwg.org/FAD/fdd/view?i=109152</v>
      </c>
      <c r="L8462" s="36" t="s">
        <v>49036</v>
      </c>
      <c r="M8462" s="186"/>
      <c r="N8462" s="186"/>
      <c r="O8462" s="172"/>
    </row>
    <row r="8463" spans="1:15" ht="38.25" x14ac:dyDescent="0.2">
      <c r="A8463" s="197" t="str">
        <f t="shared" si="132"/>
        <v>VdcCode_tropicHigherHighWater</v>
      </c>
      <c r="B8463" s="409"/>
      <c r="C8463" s="416"/>
      <c r="D8463" s="198" t="s">
        <v>49037</v>
      </c>
      <c r="E8463" s="198">
        <v>55</v>
      </c>
      <c r="F8463" s="199" t="s">
        <v>49038</v>
      </c>
      <c r="G8463" s="1" t="s">
        <v>49039</v>
      </c>
      <c r="H8463" s="1" t="s">
        <v>49040</v>
      </c>
      <c r="I8463" s="351" t="s">
        <v>49041</v>
      </c>
      <c r="J8463" s="39">
        <v>110596</v>
      </c>
      <c r="K8463" s="36" t="str">
        <f>CONCATENATE(Cover!$D$6,"fdd/view?i=",J8463)</f>
        <v>https://www.dgiwg.org/FAD/fdd/view?i=110596</v>
      </c>
      <c r="L8463" s="36" t="s">
        <v>49042</v>
      </c>
      <c r="M8463" s="186"/>
      <c r="N8463" s="186"/>
      <c r="O8463" s="172"/>
    </row>
    <row r="8464" spans="1:15" ht="38.25" x14ac:dyDescent="0.2">
      <c r="A8464" s="203" t="str">
        <f t="shared" si="132"/>
        <v>VdcCode_tropicLowerLowWater</v>
      </c>
      <c r="B8464" s="410"/>
      <c r="C8464" s="417"/>
      <c r="D8464" s="204" t="s">
        <v>49043</v>
      </c>
      <c r="E8464" s="204">
        <v>54</v>
      </c>
      <c r="F8464" s="205" t="s">
        <v>49044</v>
      </c>
      <c r="G8464" s="206" t="s">
        <v>49045</v>
      </c>
      <c r="H8464" s="206" t="s">
        <v>49040</v>
      </c>
      <c r="I8464" s="353" t="s">
        <v>49046</v>
      </c>
      <c r="J8464" s="39">
        <v>110595</v>
      </c>
      <c r="K8464" s="36" t="str">
        <f>CONCATENATE(Cover!$D$6,"fdd/view?i=",J8464)</f>
        <v>https://www.dgiwg.org/FAD/fdd/view?i=110595</v>
      </c>
      <c r="L8464" s="36" t="s">
        <v>49047</v>
      </c>
      <c r="M8464" s="186"/>
      <c r="N8464" s="186"/>
      <c r="O8464" s="172"/>
    </row>
    <row r="8465" spans="1:15" ht="25.5" x14ac:dyDescent="0.2">
      <c r="A8465" s="190" t="str">
        <f t="shared" si="132"/>
        <v>SouCode_deeper</v>
      </c>
      <c r="B8465" s="414" t="str">
        <f>HYPERLINK("[#]Datatypes!A1426:L1426","SouCode")</f>
        <v>SouCode</v>
      </c>
      <c r="C8465" s="415" t="s">
        <v>16050</v>
      </c>
      <c r="D8465" s="221" t="s">
        <v>49048</v>
      </c>
      <c r="E8465" s="221">
        <v>3</v>
      </c>
      <c r="F8465" s="222" t="s">
        <v>49049</v>
      </c>
      <c r="G8465" s="223" t="s">
        <v>49050</v>
      </c>
      <c r="H8465" s="224"/>
      <c r="I8465" s="345"/>
      <c r="J8465" s="39">
        <v>107960</v>
      </c>
      <c r="K8465" s="36" t="str">
        <f>CONCATENATE(Cover!$D$6,"fdd/view?i=",J8465)</f>
        <v>https://www.dgiwg.org/FAD/fdd/view?i=107960</v>
      </c>
      <c r="L8465" s="36" t="s">
        <v>49051</v>
      </c>
      <c r="M8465" s="186"/>
      <c r="N8465" s="186"/>
      <c r="O8465" s="172"/>
    </row>
    <row r="8466" spans="1:15" ht="25.5" x14ac:dyDescent="0.2">
      <c r="A8466" s="197" t="str">
        <f t="shared" si="132"/>
        <v>SouCode_shallower</v>
      </c>
      <c r="B8466" s="409"/>
      <c r="C8466" s="416"/>
      <c r="D8466" s="198" t="s">
        <v>49052</v>
      </c>
      <c r="E8466" s="198">
        <v>2</v>
      </c>
      <c r="F8466" s="199" t="s">
        <v>49053</v>
      </c>
      <c r="G8466" s="1" t="s">
        <v>49054</v>
      </c>
      <c r="H8466" s="1" t="s">
        <v>49055</v>
      </c>
      <c r="I8466" s="346"/>
      <c r="J8466" s="39">
        <v>107959</v>
      </c>
      <c r="K8466" s="36" t="str">
        <f>CONCATENATE(Cover!$D$6,"fdd/view?i=",J8466)</f>
        <v>https://www.dgiwg.org/FAD/fdd/view?i=107959</v>
      </c>
      <c r="L8466" s="36" t="s">
        <v>49056</v>
      </c>
      <c r="M8466" s="186"/>
      <c r="N8466" s="186"/>
      <c r="O8466" s="172"/>
    </row>
    <row r="8467" spans="1:15" ht="38.25" x14ac:dyDescent="0.2">
      <c r="A8467" s="203" t="str">
        <f t="shared" si="132"/>
        <v>SouCode_withinRange</v>
      </c>
      <c r="B8467" s="410"/>
      <c r="C8467" s="417"/>
      <c r="D8467" s="204" t="s">
        <v>49057</v>
      </c>
      <c r="E8467" s="204">
        <v>1</v>
      </c>
      <c r="F8467" s="205" t="s">
        <v>49058</v>
      </c>
      <c r="G8467" s="206" t="s">
        <v>49059</v>
      </c>
      <c r="H8467" s="206" t="s">
        <v>49060</v>
      </c>
      <c r="I8467" s="347"/>
      <c r="J8467" s="39">
        <v>107958</v>
      </c>
      <c r="K8467" s="36" t="str">
        <f>CONCATENATE(Cover!$D$6,"fdd/view?i=",J8467)</f>
        <v>https://www.dgiwg.org/FAD/fdd/view?i=107958</v>
      </c>
      <c r="L8467" s="36" t="s">
        <v>49061</v>
      </c>
      <c r="M8467" s="186"/>
      <c r="N8467" s="186"/>
      <c r="O8467" s="172"/>
    </row>
    <row r="8468" spans="1:15" ht="25.5" x14ac:dyDescent="0.2">
      <c r="A8468" s="190" t="str">
        <f t="shared" si="132"/>
        <v>SvcCode_mathewsTables</v>
      </c>
      <c r="B8468" s="414" t="str">
        <f>HYPERLINK("[#]Datatypes!A1428:L1428","SvcCode")</f>
        <v>SvcCode</v>
      </c>
      <c r="C8468" s="415" t="s">
        <v>16052</v>
      </c>
      <c r="D8468" s="221" t="s">
        <v>49062</v>
      </c>
      <c r="E8468" s="221">
        <v>3</v>
      </c>
      <c r="F8468" s="222" t="s">
        <v>49063</v>
      </c>
      <c r="G8468" s="223" t="s">
        <v>49064</v>
      </c>
      <c r="H8468" s="224"/>
      <c r="I8468" s="345"/>
      <c r="J8468" s="39">
        <v>108377</v>
      </c>
      <c r="K8468" s="36" t="str">
        <f>CONCATENATE(Cover!$D$6,"fdd/view?i=",J8468)</f>
        <v>https://www.dgiwg.org/FAD/fdd/view?i=108377</v>
      </c>
      <c r="L8468" s="36" t="s">
        <v>49065</v>
      </c>
      <c r="M8468" s="186"/>
      <c r="N8468" s="186"/>
      <c r="O8468" s="172"/>
    </row>
    <row r="8469" spans="1:15" ht="25.5" x14ac:dyDescent="0.2">
      <c r="A8469" s="197" t="str">
        <f t="shared" si="132"/>
        <v>SvcCode_sounder1500Calibrated</v>
      </c>
      <c r="B8469" s="409"/>
      <c r="C8469" s="416"/>
      <c r="D8469" s="198" t="s">
        <v>49070</v>
      </c>
      <c r="E8469" s="198">
        <v>2</v>
      </c>
      <c r="F8469" s="199" t="s">
        <v>49071</v>
      </c>
      <c r="G8469" s="1" t="s">
        <v>49072</v>
      </c>
      <c r="H8469" s="200"/>
      <c r="I8469" s="346"/>
      <c r="J8469" s="39">
        <v>108376</v>
      </c>
      <c r="K8469" s="36" t="str">
        <f>CONCATENATE(Cover!$D$6,"fdd/view?i=",J8469)</f>
        <v>https://www.dgiwg.org/FAD/fdd/view?i=108376</v>
      </c>
      <c r="L8469" s="36" t="s">
        <v>49073</v>
      </c>
      <c r="M8469" s="186"/>
      <c r="N8469" s="186"/>
      <c r="O8469" s="172"/>
    </row>
    <row r="8470" spans="1:15" ht="25.5" x14ac:dyDescent="0.2">
      <c r="A8470" s="197" t="str">
        <f t="shared" si="132"/>
        <v>SvcCode_sounder4800Calibrated</v>
      </c>
      <c r="B8470" s="409"/>
      <c r="C8470" s="416"/>
      <c r="D8470" s="198" t="s">
        <v>49074</v>
      </c>
      <c r="E8470" s="198">
        <v>1</v>
      </c>
      <c r="F8470" s="199" t="s">
        <v>49075</v>
      </c>
      <c r="G8470" s="1" t="s">
        <v>49076</v>
      </c>
      <c r="H8470" s="1" t="s">
        <v>49077</v>
      </c>
      <c r="I8470" s="346"/>
      <c r="J8470" s="39">
        <v>108375</v>
      </c>
      <c r="K8470" s="36" t="str">
        <f>CONCATENATE(Cover!$D$6,"fdd/view?i=",J8470)</f>
        <v>https://www.dgiwg.org/FAD/fdd/view?i=108375</v>
      </c>
      <c r="L8470" s="36" t="s">
        <v>49078</v>
      </c>
      <c r="M8470" s="186"/>
      <c r="N8470" s="186"/>
      <c r="O8470" s="172"/>
    </row>
    <row r="8471" spans="1:15" ht="25.5" x14ac:dyDescent="0.2">
      <c r="A8471" s="197" t="str">
        <f t="shared" si="132"/>
        <v>SvcCode_sounderOtherCalibrated</v>
      </c>
      <c r="B8471" s="409"/>
      <c r="C8471" s="416"/>
      <c r="D8471" s="198" t="s">
        <v>49079</v>
      </c>
      <c r="E8471" s="198">
        <v>5</v>
      </c>
      <c r="F8471" s="199" t="s">
        <v>49080</v>
      </c>
      <c r="G8471" s="1" t="s">
        <v>49081</v>
      </c>
      <c r="H8471" s="200"/>
      <c r="I8471" s="346"/>
      <c r="J8471" s="39">
        <v>108379</v>
      </c>
      <c r="K8471" s="36" t="str">
        <f>CONCATENATE(Cover!$D$6,"fdd/view?i=",J8471)</f>
        <v>https://www.dgiwg.org/FAD/fdd/view?i=108379</v>
      </c>
      <c r="L8471" s="36" t="s">
        <v>49082</v>
      </c>
      <c r="M8471" s="186"/>
      <c r="N8471" s="186"/>
      <c r="O8471" s="172"/>
    </row>
    <row r="8472" spans="1:15" ht="25.5" x14ac:dyDescent="0.2">
      <c r="A8472" s="203" t="str">
        <f t="shared" si="132"/>
        <v>SvcCode_soundVelocityMeter</v>
      </c>
      <c r="B8472" s="410"/>
      <c r="C8472" s="417"/>
      <c r="D8472" s="204" t="s">
        <v>49066</v>
      </c>
      <c r="E8472" s="204">
        <v>4</v>
      </c>
      <c r="F8472" s="205" t="s">
        <v>49067</v>
      </c>
      <c r="G8472" s="206" t="s">
        <v>49068</v>
      </c>
      <c r="H8472" s="207"/>
      <c r="I8472" s="347"/>
      <c r="J8472" s="39">
        <v>108378</v>
      </c>
      <c r="K8472" s="36" t="str">
        <f>CONCATENATE(Cover!$D$6,"fdd/view?i=",J8472)</f>
        <v>https://www.dgiwg.org/FAD/fdd/view?i=108378</v>
      </c>
      <c r="L8472" s="36" t="s">
        <v>49069</v>
      </c>
      <c r="M8472" s="186"/>
      <c r="N8472" s="186"/>
      <c r="O8472" s="172"/>
    </row>
    <row r="8473" spans="1:15" ht="25.5" x14ac:dyDescent="0.2">
      <c r="A8473" s="190" t="str">
        <f t="shared" si="132"/>
        <v>StcCode_bathymetricModelData</v>
      </c>
      <c r="B8473" s="414" t="str">
        <f>HYPERLINK("[#]Datatypes!A1432:L1432","StcCode")</f>
        <v>StcCode</v>
      </c>
      <c r="C8473" s="415" t="s">
        <v>16057</v>
      </c>
      <c r="D8473" s="221" t="s">
        <v>49083</v>
      </c>
      <c r="E8473" s="221">
        <v>10</v>
      </c>
      <c r="F8473" s="222" t="s">
        <v>49084</v>
      </c>
      <c r="G8473" s="223" t="s">
        <v>49085</v>
      </c>
      <c r="H8473" s="224"/>
      <c r="I8473" s="345"/>
      <c r="J8473" s="39">
        <v>108287</v>
      </c>
      <c r="K8473" s="36" t="str">
        <f>CONCATENATE(Cover!$D$6,"fdd/view?i=",J8473)</f>
        <v>https://www.dgiwg.org/FAD/fdd/view?i=108287</v>
      </c>
      <c r="L8473" s="36" t="s">
        <v>49086</v>
      </c>
      <c r="M8473" s="186"/>
      <c r="N8473" s="186"/>
      <c r="O8473" s="172"/>
    </row>
    <row r="8474" spans="1:15" ht="25.5" x14ac:dyDescent="0.2">
      <c r="A8474" s="197" t="str">
        <f t="shared" si="132"/>
        <v>StcCode_bathymetricSurveyData</v>
      </c>
      <c r="B8474" s="409"/>
      <c r="C8474" s="416"/>
      <c r="D8474" s="198" t="s">
        <v>49087</v>
      </c>
      <c r="E8474" s="198">
        <v>9</v>
      </c>
      <c r="F8474" s="199" t="s">
        <v>49088</v>
      </c>
      <c r="G8474" s="1" t="s">
        <v>49089</v>
      </c>
      <c r="H8474" s="200"/>
      <c r="I8474" s="346"/>
      <c r="J8474" s="39">
        <v>108286</v>
      </c>
      <c r="K8474" s="36" t="str">
        <f>CONCATENATE(Cover!$D$6,"fdd/view?i=",J8474)</f>
        <v>https://www.dgiwg.org/FAD/fdd/view?i=108286</v>
      </c>
      <c r="L8474" s="36" t="s">
        <v>49090</v>
      </c>
      <c r="M8474" s="186"/>
      <c r="N8474" s="186"/>
      <c r="O8474" s="172"/>
    </row>
    <row r="8475" spans="1:15" ht="25.5" x14ac:dyDescent="0.2">
      <c r="A8475" s="197" t="str">
        <f t="shared" si="132"/>
        <v>StcCode_cartographicSource</v>
      </c>
      <c r="B8475" s="409"/>
      <c r="C8475" s="416"/>
      <c r="D8475" s="198" t="s">
        <v>49091</v>
      </c>
      <c r="E8475" s="198">
        <v>4</v>
      </c>
      <c r="F8475" s="199" t="s">
        <v>49092</v>
      </c>
      <c r="G8475" s="1" t="s">
        <v>49093</v>
      </c>
      <c r="H8475" s="200"/>
      <c r="I8475" s="346"/>
      <c r="J8475" s="39">
        <v>108281</v>
      </c>
      <c r="K8475" s="36" t="str">
        <f>CONCATENATE(Cover!$D$6,"fdd/view?i=",J8475)</f>
        <v>https://www.dgiwg.org/FAD/fdd/view?i=108281</v>
      </c>
      <c r="L8475" s="36" t="s">
        <v>49094</v>
      </c>
      <c r="M8475" s="186"/>
      <c r="N8475" s="186"/>
      <c r="O8475" s="172"/>
    </row>
    <row r="8476" spans="1:15" ht="25.5" x14ac:dyDescent="0.2">
      <c r="A8476" s="197" t="str">
        <f t="shared" si="132"/>
        <v>StcCode_hyperspectralImagery</v>
      </c>
      <c r="B8476" s="409"/>
      <c r="C8476" s="416"/>
      <c r="D8476" s="198" t="s">
        <v>49095</v>
      </c>
      <c r="E8476" s="198">
        <v>7</v>
      </c>
      <c r="F8476" s="199" t="s">
        <v>49096</v>
      </c>
      <c r="G8476" s="1" t="s">
        <v>49097</v>
      </c>
      <c r="H8476" s="200"/>
      <c r="I8476" s="346"/>
      <c r="J8476" s="39">
        <v>108284</v>
      </c>
      <c r="K8476" s="36" t="str">
        <f>CONCATENATE(Cover!$D$6,"fdd/view?i=",J8476)</f>
        <v>https://www.dgiwg.org/FAD/fdd/view?i=108284</v>
      </c>
      <c r="L8476" s="36" t="s">
        <v>49098</v>
      </c>
      <c r="M8476" s="186"/>
      <c r="N8476" s="186"/>
      <c r="O8476" s="172"/>
    </row>
    <row r="8477" spans="1:15" ht="25.5" x14ac:dyDescent="0.2">
      <c r="A8477" s="197" t="str">
        <f t="shared" si="132"/>
        <v>StcCode_landSurveyData</v>
      </c>
      <c r="B8477" s="409"/>
      <c r="C8477" s="416"/>
      <c r="D8477" s="198" t="s">
        <v>49099</v>
      </c>
      <c r="E8477" s="198">
        <v>1</v>
      </c>
      <c r="F8477" s="199" t="s">
        <v>49100</v>
      </c>
      <c r="G8477" s="1" t="s">
        <v>49101</v>
      </c>
      <c r="H8477" s="200"/>
      <c r="I8477" s="346"/>
      <c r="J8477" s="39">
        <v>108278</v>
      </c>
      <c r="K8477" s="36" t="str">
        <f>CONCATENATE(Cover!$D$6,"fdd/view?i=",J8477)</f>
        <v>https://www.dgiwg.org/FAD/fdd/view?i=108278</v>
      </c>
      <c r="L8477" s="36" t="s">
        <v>49102</v>
      </c>
      <c r="M8477" s="186"/>
      <c r="N8477" s="186"/>
      <c r="O8477" s="172"/>
    </row>
    <row r="8478" spans="1:15" ht="25.5" x14ac:dyDescent="0.2">
      <c r="A8478" s="197" t="str">
        <f t="shared" si="132"/>
        <v>StcCode_monoscopicImagery</v>
      </c>
      <c r="B8478" s="409"/>
      <c r="C8478" s="416"/>
      <c r="D8478" s="198" t="s">
        <v>49103</v>
      </c>
      <c r="E8478" s="198">
        <v>3</v>
      </c>
      <c r="F8478" s="199" t="s">
        <v>49104</v>
      </c>
      <c r="G8478" s="1" t="s">
        <v>49105</v>
      </c>
      <c r="H8478" s="200"/>
      <c r="I8478" s="346"/>
      <c r="J8478" s="39">
        <v>108280</v>
      </c>
      <c r="K8478" s="36" t="str">
        <f>CONCATENATE(Cover!$D$6,"fdd/view?i=",J8478)</f>
        <v>https://www.dgiwg.org/FAD/fdd/view?i=108280</v>
      </c>
      <c r="L8478" s="36" t="s">
        <v>49106</v>
      </c>
      <c r="M8478" s="186"/>
      <c r="N8478" s="186"/>
      <c r="O8478" s="172"/>
    </row>
    <row r="8479" spans="1:15" ht="25.5" x14ac:dyDescent="0.2">
      <c r="A8479" s="197" t="str">
        <f t="shared" si="132"/>
        <v>StcCode_multispectralImagery</v>
      </c>
      <c r="B8479" s="409"/>
      <c r="C8479" s="416"/>
      <c r="D8479" s="198" t="s">
        <v>49107</v>
      </c>
      <c r="E8479" s="198">
        <v>6</v>
      </c>
      <c r="F8479" s="199" t="s">
        <v>49108</v>
      </c>
      <c r="G8479" s="1" t="s">
        <v>49109</v>
      </c>
      <c r="H8479" s="200"/>
      <c r="I8479" s="346"/>
      <c r="J8479" s="39">
        <v>108283</v>
      </c>
      <c r="K8479" s="36" t="str">
        <f>CONCATENATE(Cover!$D$6,"fdd/view?i=",J8479)</f>
        <v>https://www.dgiwg.org/FAD/fdd/view?i=108283</v>
      </c>
      <c r="L8479" s="36" t="s">
        <v>49110</v>
      </c>
      <c r="M8479" s="186"/>
      <c r="N8479" s="186"/>
      <c r="O8479" s="172"/>
    </row>
    <row r="8480" spans="1:15" ht="25.5" x14ac:dyDescent="0.2">
      <c r="A8480" s="197" t="str">
        <f t="shared" si="132"/>
        <v>StcCode_reportedInformation</v>
      </c>
      <c r="B8480" s="409"/>
      <c r="C8480" s="416"/>
      <c r="D8480" s="198" t="s">
        <v>49111</v>
      </c>
      <c r="E8480" s="198">
        <v>5</v>
      </c>
      <c r="F8480" s="199" t="s">
        <v>49112</v>
      </c>
      <c r="G8480" s="1" t="s">
        <v>49113</v>
      </c>
      <c r="H8480" s="200"/>
      <c r="I8480" s="346"/>
      <c r="J8480" s="39">
        <v>108282</v>
      </c>
      <c r="K8480" s="36" t="str">
        <f>CONCATENATE(Cover!$D$6,"fdd/view?i=",J8480)</f>
        <v>https://www.dgiwg.org/FAD/fdd/view?i=108282</v>
      </c>
      <c r="L8480" s="36" t="s">
        <v>49114</v>
      </c>
      <c r="M8480" s="186"/>
      <c r="N8480" s="186"/>
      <c r="O8480" s="172"/>
    </row>
    <row r="8481" spans="1:15" ht="25.5" x14ac:dyDescent="0.2">
      <c r="A8481" s="197" t="str">
        <f t="shared" si="132"/>
        <v>StcCode_sarImagery</v>
      </c>
      <c r="B8481" s="409"/>
      <c r="C8481" s="416"/>
      <c r="D8481" s="198" t="s">
        <v>49119</v>
      </c>
      <c r="E8481" s="198">
        <v>8</v>
      </c>
      <c r="F8481" s="199" t="s">
        <v>49120</v>
      </c>
      <c r="G8481" s="1" t="s">
        <v>49121</v>
      </c>
      <c r="H8481" s="200"/>
      <c r="I8481" s="346"/>
      <c r="J8481" s="39">
        <v>108285</v>
      </c>
      <c r="K8481" s="36" t="str">
        <f>CONCATENATE(Cover!$D$6,"fdd/view?i=",J8481)</f>
        <v>https://www.dgiwg.org/FAD/fdd/view?i=108285</v>
      </c>
      <c r="L8481" s="36" t="s">
        <v>49122</v>
      </c>
      <c r="M8481" s="186"/>
      <c r="N8481" s="186"/>
      <c r="O8481" s="172"/>
    </row>
    <row r="8482" spans="1:15" ht="25.5" x14ac:dyDescent="0.2">
      <c r="A8482" s="203" t="str">
        <f t="shared" si="132"/>
        <v>StcCode_stereoscopicImagery</v>
      </c>
      <c r="B8482" s="410"/>
      <c r="C8482" s="417"/>
      <c r="D8482" s="204" t="s">
        <v>49115</v>
      </c>
      <c r="E8482" s="204">
        <v>2</v>
      </c>
      <c r="F8482" s="205" t="s">
        <v>49116</v>
      </c>
      <c r="G8482" s="206" t="s">
        <v>49117</v>
      </c>
      <c r="H8482" s="207"/>
      <c r="I8482" s="347"/>
      <c r="J8482" s="39">
        <v>108279</v>
      </c>
      <c r="K8482" s="36" t="str">
        <f>CONCATENATE(Cover!$D$6,"fdd/view?i=",J8482)</f>
        <v>https://www.dgiwg.org/FAD/fdd/view?i=108279</v>
      </c>
      <c r="L8482" s="36" t="s">
        <v>49118</v>
      </c>
      <c r="M8482" s="186"/>
      <c r="N8482" s="186"/>
      <c r="O8482" s="172"/>
    </row>
    <row r="8483" spans="1:15" ht="25.5" x14ac:dyDescent="0.2">
      <c r="A8483" s="190" t="str">
        <f t="shared" si="132"/>
        <v>WsrCode_allLossesWwII</v>
      </c>
      <c r="B8483" s="414" t="str">
        <f>HYPERLINK("[#]Datatypes!A1436:L1436","WsrCode")</f>
        <v>WsrCode</v>
      </c>
      <c r="C8483" s="415" t="s">
        <v>16061</v>
      </c>
      <c r="D8483" s="221" t="s">
        <v>49123</v>
      </c>
      <c r="E8483" s="221">
        <v>26</v>
      </c>
      <c r="F8483" s="222" t="s">
        <v>49124</v>
      </c>
      <c r="G8483" s="223" t="s">
        <v>49125</v>
      </c>
      <c r="H8483" s="224"/>
      <c r="I8483" s="345"/>
      <c r="J8483" s="39">
        <v>109650</v>
      </c>
      <c r="K8483" s="36" t="str">
        <f>CONCATENATE(Cover!$D$6,"fdd/view?i=",J8483)</f>
        <v>https://www.dgiwg.org/FAD/fdd/view?i=109650</v>
      </c>
      <c r="L8483" s="36" t="s">
        <v>49126</v>
      </c>
      <c r="M8483" s="186"/>
      <c r="N8483" s="186"/>
      <c r="O8483" s="172"/>
    </row>
    <row r="8484" spans="1:15" ht="25.5" x14ac:dyDescent="0.2">
      <c r="A8484" s="197" t="str">
        <f t="shared" si="132"/>
        <v>WsrCode_axisSubmarineLossesWwII</v>
      </c>
      <c r="B8484" s="409"/>
      <c r="C8484" s="416"/>
      <c r="D8484" s="198" t="s">
        <v>49127</v>
      </c>
      <c r="E8484" s="198">
        <v>20</v>
      </c>
      <c r="F8484" s="199" t="s">
        <v>49128</v>
      </c>
      <c r="G8484" s="1" t="s">
        <v>49129</v>
      </c>
      <c r="H8484" s="1" t="s">
        <v>49130</v>
      </c>
      <c r="I8484" s="346"/>
      <c r="J8484" s="39">
        <v>109644</v>
      </c>
      <c r="K8484" s="36" t="str">
        <f>CONCATENATE(Cover!$D$6,"fdd/view?i=",J8484)</f>
        <v>https://www.dgiwg.org/FAD/fdd/view?i=109644</v>
      </c>
      <c r="L8484" s="36" t="s">
        <v>49131</v>
      </c>
      <c r="M8484" s="186"/>
      <c r="N8484" s="186"/>
      <c r="O8484" s="172"/>
    </row>
    <row r="8485" spans="1:15" ht="25.5" x14ac:dyDescent="0.2">
      <c r="A8485" s="197" t="str">
        <f t="shared" si="132"/>
        <v>WsrCode_britishAdmiralty1921</v>
      </c>
      <c r="B8485" s="409"/>
      <c r="C8485" s="416"/>
      <c r="D8485" s="198" t="s">
        <v>49137</v>
      </c>
      <c r="E8485" s="198">
        <v>48</v>
      </c>
      <c r="F8485" s="199" t="s">
        <v>49138</v>
      </c>
      <c r="G8485" s="1" t="s">
        <v>49139</v>
      </c>
      <c r="H8485" s="200"/>
      <c r="I8485" s="346"/>
      <c r="J8485" s="39">
        <v>109672</v>
      </c>
      <c r="K8485" s="36" t="str">
        <f>CONCATENATE(Cover!$D$6,"fdd/view?i=",J8485)</f>
        <v>https://www.dgiwg.org/FAD/fdd/view?i=109672</v>
      </c>
      <c r="L8485" s="36" t="s">
        <v>49140</v>
      </c>
      <c r="M8485" s="186"/>
      <c r="N8485" s="186"/>
      <c r="O8485" s="172"/>
    </row>
    <row r="8486" spans="1:15" ht="25.5" x14ac:dyDescent="0.2">
      <c r="A8486" s="197" t="str">
        <f t="shared" si="132"/>
        <v>WsrCode_britishAdmiralty1961</v>
      </c>
      <c r="B8486" s="409"/>
      <c r="C8486" s="416"/>
      <c r="D8486" s="198" t="s">
        <v>49141</v>
      </c>
      <c r="E8486" s="198">
        <v>50</v>
      </c>
      <c r="F8486" s="199" t="s">
        <v>49142</v>
      </c>
      <c r="G8486" s="1" t="s">
        <v>49143</v>
      </c>
      <c r="H8486" s="200"/>
      <c r="I8486" s="346"/>
      <c r="J8486" s="39">
        <v>109674</v>
      </c>
      <c r="K8486" s="36" t="str">
        <f>CONCATENATE(Cover!$D$6,"fdd/view?i=",J8486)</f>
        <v>https://www.dgiwg.org/FAD/fdd/view?i=109674</v>
      </c>
      <c r="L8486" s="36" t="s">
        <v>49144</v>
      </c>
      <c r="M8486" s="186"/>
      <c r="N8486" s="186"/>
      <c r="O8486" s="172"/>
    </row>
    <row r="8487" spans="1:15" ht="76.5" x14ac:dyDescent="0.2">
      <c r="A8487" s="197" t="str">
        <f t="shared" si="132"/>
        <v>WsrCode_britishAdmiraltyCharts</v>
      </c>
      <c r="B8487" s="409"/>
      <c r="C8487" s="416"/>
      <c r="D8487" s="198" t="s">
        <v>49145</v>
      </c>
      <c r="E8487" s="198">
        <v>15</v>
      </c>
      <c r="F8487" s="199" t="s">
        <v>49146</v>
      </c>
      <c r="G8487" s="1" t="s">
        <v>49147</v>
      </c>
      <c r="H8487" s="1" t="s">
        <v>49148</v>
      </c>
      <c r="I8487" s="346"/>
      <c r="J8487" s="39">
        <v>109639</v>
      </c>
      <c r="K8487" s="36" t="str">
        <f>CONCATENATE(Cover!$D$6,"fdd/view?i=",J8487)</f>
        <v>https://www.dgiwg.org/FAD/fdd/view?i=109639</v>
      </c>
      <c r="L8487" s="36" t="s">
        <v>49149</v>
      </c>
      <c r="M8487" s="186"/>
      <c r="N8487" s="186"/>
      <c r="O8487" s="172"/>
    </row>
    <row r="8488" spans="1:15" ht="25.5" x14ac:dyDescent="0.2">
      <c r="A8488" s="197" t="str">
        <f t="shared" si="132"/>
        <v>WsrCode_britishAdmiraltyFiles</v>
      </c>
      <c r="B8488" s="409"/>
      <c r="C8488" s="416"/>
      <c r="D8488" s="198" t="s">
        <v>49150</v>
      </c>
      <c r="E8488" s="198">
        <v>12</v>
      </c>
      <c r="F8488" s="199" t="s">
        <v>49151</v>
      </c>
      <c r="G8488" s="1" t="s">
        <v>49152</v>
      </c>
      <c r="H8488" s="200"/>
      <c r="I8488" s="346"/>
      <c r="J8488" s="39">
        <v>109636</v>
      </c>
      <c r="K8488" s="36" t="str">
        <f>CONCATENATE(Cover!$D$6,"fdd/view?i=",J8488)</f>
        <v>https://www.dgiwg.org/FAD/fdd/view?i=109636</v>
      </c>
      <c r="L8488" s="36" t="s">
        <v>49153</v>
      </c>
      <c r="M8488" s="186"/>
      <c r="N8488" s="186"/>
      <c r="O8488" s="172"/>
    </row>
    <row r="8489" spans="1:15" ht="63.75" x14ac:dyDescent="0.2">
      <c r="A8489" s="197" t="str">
        <f t="shared" si="132"/>
        <v>WsrCode_britishAdmiraltyNotice</v>
      </c>
      <c r="B8489" s="409"/>
      <c r="C8489" s="416"/>
      <c r="D8489" s="198" t="s">
        <v>49154</v>
      </c>
      <c r="E8489" s="198">
        <v>16</v>
      </c>
      <c r="F8489" s="199" t="s">
        <v>49155</v>
      </c>
      <c r="G8489" s="1" t="s">
        <v>49156</v>
      </c>
      <c r="H8489" s="1" t="s">
        <v>49157</v>
      </c>
      <c r="I8489" s="346"/>
      <c r="J8489" s="39">
        <v>109640</v>
      </c>
      <c r="K8489" s="36" t="str">
        <f>CONCATENATE(Cover!$D$6,"fdd/view?i=",J8489)</f>
        <v>https://www.dgiwg.org/FAD/fdd/view?i=109640</v>
      </c>
      <c r="L8489" s="36" t="s">
        <v>49158</v>
      </c>
      <c r="M8489" s="186"/>
      <c r="N8489" s="186"/>
      <c r="O8489" s="172"/>
    </row>
    <row r="8490" spans="1:15" ht="25.5" x14ac:dyDescent="0.2">
      <c r="A8490" s="197" t="str">
        <f t="shared" si="132"/>
        <v>WsrCode_britishAdmiraltyWreckList</v>
      </c>
      <c r="B8490" s="409"/>
      <c r="C8490" s="416"/>
      <c r="D8490" s="198" t="s">
        <v>49132</v>
      </c>
      <c r="E8490" s="198">
        <v>22</v>
      </c>
      <c r="F8490" s="199" t="s">
        <v>49133</v>
      </c>
      <c r="G8490" s="1" t="s">
        <v>49134</v>
      </c>
      <c r="H8490" s="1" t="s">
        <v>49135</v>
      </c>
      <c r="I8490" s="346"/>
      <c r="J8490" s="39">
        <v>109646</v>
      </c>
      <c r="K8490" s="36" t="str">
        <f>CONCATENATE(Cover!$D$6,"fdd/view?i=",J8490)</f>
        <v>https://www.dgiwg.org/FAD/fdd/view?i=109646</v>
      </c>
      <c r="L8490" s="36" t="s">
        <v>49136</v>
      </c>
      <c r="M8490" s="186"/>
      <c r="N8490" s="186"/>
      <c r="O8490" s="172"/>
    </row>
    <row r="8491" spans="1:15" ht="25.5" x14ac:dyDescent="0.2">
      <c r="A8491" s="197" t="str">
        <f t="shared" si="132"/>
        <v>WsrCode_britishLossesWwI</v>
      </c>
      <c r="B8491" s="409"/>
      <c r="C8491" s="416"/>
      <c r="D8491" s="198" t="s">
        <v>49159</v>
      </c>
      <c r="E8491" s="198">
        <v>29</v>
      </c>
      <c r="F8491" s="199" t="s">
        <v>49160</v>
      </c>
      <c r="G8491" s="1" t="s">
        <v>49161</v>
      </c>
      <c r="H8491" s="1" t="s">
        <v>49135</v>
      </c>
      <c r="I8491" s="346"/>
      <c r="J8491" s="39">
        <v>109653</v>
      </c>
      <c r="K8491" s="36" t="str">
        <f>CONCATENATE(Cover!$D$6,"fdd/view?i=",J8491)</f>
        <v>https://www.dgiwg.org/FAD/fdd/view?i=109653</v>
      </c>
      <c r="L8491" s="36" t="s">
        <v>49162</v>
      </c>
      <c r="M8491" s="186"/>
      <c r="N8491" s="186"/>
      <c r="O8491" s="172"/>
    </row>
    <row r="8492" spans="1:15" x14ac:dyDescent="0.2">
      <c r="A8492" s="197" t="str">
        <f t="shared" si="132"/>
        <v>WsrCode_comnavfe</v>
      </c>
      <c r="B8492" s="409"/>
      <c r="C8492" s="416"/>
      <c r="D8492" s="198" t="s">
        <v>49163</v>
      </c>
      <c r="E8492" s="198">
        <v>14</v>
      </c>
      <c r="F8492" s="199" t="s">
        <v>49164</v>
      </c>
      <c r="G8492" s="1" t="s">
        <v>49165</v>
      </c>
      <c r="H8492" s="200"/>
      <c r="I8492" s="346"/>
      <c r="J8492" s="39">
        <v>109638</v>
      </c>
      <c r="K8492" s="36" t="str">
        <f>CONCATENATE(Cover!$D$6,"fdd/view?i=",J8492)</f>
        <v>https://www.dgiwg.org/FAD/fdd/view?i=109638</v>
      </c>
      <c r="L8492" s="36" t="s">
        <v>49166</v>
      </c>
      <c r="M8492" s="186"/>
      <c r="N8492" s="186"/>
      <c r="O8492" s="172"/>
    </row>
    <row r="8493" spans="1:15" x14ac:dyDescent="0.2">
      <c r="A8493" s="197" t="str">
        <f t="shared" si="132"/>
        <v>WsrCode_comnavpac</v>
      </c>
      <c r="B8493" s="409"/>
      <c r="C8493" s="416"/>
      <c r="D8493" s="198" t="s">
        <v>49167</v>
      </c>
      <c r="E8493" s="198">
        <v>13</v>
      </c>
      <c r="F8493" s="199" t="s">
        <v>49168</v>
      </c>
      <c r="G8493" s="1" t="s">
        <v>49169</v>
      </c>
      <c r="H8493" s="200"/>
      <c r="I8493" s="346"/>
      <c r="J8493" s="39">
        <v>109637</v>
      </c>
      <c r="K8493" s="36" t="str">
        <f>CONCATENATE(Cover!$D$6,"fdd/view?i=",J8493)</f>
        <v>https://www.dgiwg.org/FAD/fdd/view?i=109637</v>
      </c>
      <c r="L8493" s="36" t="s">
        <v>49170</v>
      </c>
      <c r="M8493" s="186"/>
      <c r="N8493" s="186"/>
      <c r="O8493" s="172"/>
    </row>
    <row r="8494" spans="1:15" ht="25.5" x14ac:dyDescent="0.2">
      <c r="A8494" s="197" t="str">
        <f t="shared" si="132"/>
        <v>WsrCode_danishLossesWwI</v>
      </c>
      <c r="B8494" s="409"/>
      <c r="C8494" s="416"/>
      <c r="D8494" s="198" t="s">
        <v>49175</v>
      </c>
      <c r="E8494" s="198">
        <v>43</v>
      </c>
      <c r="F8494" s="199" t="s">
        <v>49176</v>
      </c>
      <c r="G8494" s="1" t="s">
        <v>49177</v>
      </c>
      <c r="H8494" s="1" t="s">
        <v>49135</v>
      </c>
      <c r="I8494" s="346"/>
      <c r="J8494" s="39">
        <v>109667</v>
      </c>
      <c r="K8494" s="36" t="str">
        <f>CONCATENATE(Cover!$D$6,"fdd/view?i=",J8494)</f>
        <v>https://www.dgiwg.org/FAD/fdd/view?i=109667</v>
      </c>
      <c r="L8494" s="36" t="s">
        <v>49178</v>
      </c>
      <c r="M8494" s="186"/>
      <c r="N8494" s="186"/>
      <c r="O8494" s="172"/>
    </row>
    <row r="8495" spans="1:15" ht="25.5" x14ac:dyDescent="0.2">
      <c r="A8495" s="197" t="str">
        <f t="shared" si="132"/>
        <v>WsrCode_danishLossListWwI</v>
      </c>
      <c r="B8495" s="409"/>
      <c r="C8495" s="416"/>
      <c r="D8495" s="198" t="s">
        <v>49171</v>
      </c>
      <c r="E8495" s="198">
        <v>28</v>
      </c>
      <c r="F8495" s="199" t="s">
        <v>49172</v>
      </c>
      <c r="G8495" s="1" t="s">
        <v>49173</v>
      </c>
      <c r="H8495" s="1" t="s">
        <v>49135</v>
      </c>
      <c r="I8495" s="346"/>
      <c r="J8495" s="39">
        <v>109652</v>
      </c>
      <c r="K8495" s="36" t="str">
        <f>CONCATENATE(Cover!$D$6,"fdd/view?i=",J8495)</f>
        <v>https://www.dgiwg.org/FAD/fdd/view?i=109652</v>
      </c>
      <c r="L8495" s="36" t="s">
        <v>49174</v>
      </c>
      <c r="M8495" s="186"/>
      <c r="N8495" s="186"/>
      <c r="O8495" s="172"/>
    </row>
    <row r="8496" spans="1:15" ht="25.5" x14ac:dyDescent="0.2">
      <c r="A8496" s="197" t="str">
        <f t="shared" si="132"/>
        <v>WsrCode_dutchWreckList</v>
      </c>
      <c r="B8496" s="409"/>
      <c r="C8496" s="416"/>
      <c r="D8496" s="198" t="s">
        <v>49179</v>
      </c>
      <c r="E8496" s="198">
        <v>58</v>
      </c>
      <c r="F8496" s="199" t="s">
        <v>49180</v>
      </c>
      <c r="G8496" s="1" t="s">
        <v>49181</v>
      </c>
      <c r="H8496" s="1" t="s">
        <v>49182</v>
      </c>
      <c r="I8496" s="346"/>
      <c r="J8496" s="39">
        <v>109682</v>
      </c>
      <c r="K8496" s="36" t="str">
        <f>CONCATENATE(Cover!$D$6,"fdd/view?i=",J8496)</f>
        <v>https://www.dgiwg.org/FAD/fdd/view?i=109682</v>
      </c>
      <c r="L8496" s="36" t="s">
        <v>49183</v>
      </c>
      <c r="M8496" s="186"/>
      <c r="N8496" s="186"/>
      <c r="O8496" s="172"/>
    </row>
    <row r="8497" spans="1:15" ht="25.5" x14ac:dyDescent="0.2">
      <c r="A8497" s="197" t="str">
        <f t="shared" si="132"/>
        <v>WsrCode_frenchLossesWwI</v>
      </c>
      <c r="B8497" s="409"/>
      <c r="C8497" s="416"/>
      <c r="D8497" s="198" t="s">
        <v>49184</v>
      </c>
      <c r="E8497" s="198">
        <v>40</v>
      </c>
      <c r="F8497" s="199" t="s">
        <v>49185</v>
      </c>
      <c r="G8497" s="1" t="s">
        <v>49186</v>
      </c>
      <c r="H8497" s="1" t="s">
        <v>49135</v>
      </c>
      <c r="I8497" s="346"/>
      <c r="J8497" s="39">
        <v>109664</v>
      </c>
      <c r="K8497" s="36" t="str">
        <f>CONCATENATE(Cover!$D$6,"fdd/view?i=",J8497)</f>
        <v>https://www.dgiwg.org/FAD/fdd/view?i=109664</v>
      </c>
      <c r="L8497" s="36" t="s">
        <v>49187</v>
      </c>
      <c r="M8497" s="186"/>
      <c r="N8497" s="186"/>
      <c r="O8497" s="172"/>
    </row>
    <row r="8498" spans="1:15" ht="25.5" x14ac:dyDescent="0.2">
      <c r="A8498" s="197" t="str">
        <f t="shared" si="132"/>
        <v>WsrCode_germanNeutralSinkings</v>
      </c>
      <c r="B8498" s="409"/>
      <c r="C8498" s="416"/>
      <c r="D8498" s="198" t="s">
        <v>49188</v>
      </c>
      <c r="E8498" s="198">
        <v>32</v>
      </c>
      <c r="F8498" s="199" t="s">
        <v>49189</v>
      </c>
      <c r="G8498" s="1" t="s">
        <v>49190</v>
      </c>
      <c r="H8498" s="1" t="s">
        <v>49191</v>
      </c>
      <c r="I8498" s="346"/>
      <c r="J8498" s="39">
        <v>109656</v>
      </c>
      <c r="K8498" s="36" t="str">
        <f>CONCATENATE(Cover!$D$6,"fdd/view?i=",J8498)</f>
        <v>https://www.dgiwg.org/FAD/fdd/view?i=109656</v>
      </c>
      <c r="L8498" s="36" t="s">
        <v>49192</v>
      </c>
      <c r="M8498" s="186"/>
      <c r="N8498" s="186"/>
      <c r="O8498" s="172"/>
    </row>
    <row r="8499" spans="1:15" ht="25.5" x14ac:dyDescent="0.2">
      <c r="A8499" s="197" t="str">
        <f t="shared" si="132"/>
        <v>WsrCode_greekLossesWwII</v>
      </c>
      <c r="B8499" s="409"/>
      <c r="C8499" s="416"/>
      <c r="D8499" s="198" t="s">
        <v>49193</v>
      </c>
      <c r="E8499" s="198">
        <v>33</v>
      </c>
      <c r="F8499" s="199" t="s">
        <v>49194</v>
      </c>
      <c r="G8499" s="1" t="s">
        <v>49195</v>
      </c>
      <c r="H8499" s="1" t="s">
        <v>49135</v>
      </c>
      <c r="I8499" s="346"/>
      <c r="J8499" s="39">
        <v>109657</v>
      </c>
      <c r="K8499" s="36" t="str">
        <f>CONCATENATE(Cover!$D$6,"fdd/view?i=",J8499)</f>
        <v>https://www.dgiwg.org/FAD/fdd/view?i=109657</v>
      </c>
      <c r="L8499" s="36" t="s">
        <v>49196</v>
      </c>
      <c r="M8499" s="186"/>
      <c r="N8499" s="186"/>
      <c r="O8499" s="172"/>
    </row>
    <row r="8500" spans="1:15" ht="25.5" x14ac:dyDescent="0.2">
      <c r="A8500" s="197" t="str">
        <f t="shared" si="132"/>
        <v>WsrCode_insuranceReport</v>
      </c>
      <c r="B8500" s="409"/>
      <c r="C8500" s="416"/>
      <c r="D8500" s="198" t="s">
        <v>49197</v>
      </c>
      <c r="E8500" s="198">
        <v>17</v>
      </c>
      <c r="F8500" s="199" t="s">
        <v>49198</v>
      </c>
      <c r="G8500" s="1" t="s">
        <v>49199</v>
      </c>
      <c r="H8500" s="200"/>
      <c r="I8500" s="346"/>
      <c r="J8500" s="39">
        <v>109641</v>
      </c>
      <c r="K8500" s="36" t="str">
        <f>CONCATENATE(Cover!$D$6,"fdd/view?i=",J8500)</f>
        <v>https://www.dgiwg.org/FAD/fdd/view?i=109641</v>
      </c>
      <c r="L8500" s="36" t="s">
        <v>49200</v>
      </c>
      <c r="M8500" s="186"/>
      <c r="N8500" s="186"/>
      <c r="O8500" s="172"/>
    </row>
    <row r="8501" spans="1:15" ht="25.5" x14ac:dyDescent="0.2">
      <c r="A8501" s="197" t="str">
        <f t="shared" si="132"/>
        <v>WsrCode_italianLossesWwII</v>
      </c>
      <c r="B8501" s="409"/>
      <c r="C8501" s="416"/>
      <c r="D8501" s="198" t="s">
        <v>49201</v>
      </c>
      <c r="E8501" s="198">
        <v>27</v>
      </c>
      <c r="F8501" s="199" t="s">
        <v>49202</v>
      </c>
      <c r="G8501" s="1" t="s">
        <v>49203</v>
      </c>
      <c r="H8501" s="1" t="s">
        <v>49135</v>
      </c>
      <c r="I8501" s="346"/>
      <c r="J8501" s="39">
        <v>109651</v>
      </c>
      <c r="K8501" s="36" t="str">
        <f>CONCATENATE(Cover!$D$6,"fdd/view?i=",J8501)</f>
        <v>https://www.dgiwg.org/FAD/fdd/view?i=109651</v>
      </c>
      <c r="L8501" s="36" t="s">
        <v>49204</v>
      </c>
      <c r="M8501" s="186"/>
      <c r="N8501" s="186"/>
      <c r="O8501" s="172"/>
    </row>
    <row r="8502" spans="1:15" ht="25.5" x14ac:dyDescent="0.2">
      <c r="A8502" s="197" t="str">
        <f t="shared" si="132"/>
        <v>WsrCode_italianMerchantLossesWwI</v>
      </c>
      <c r="B8502" s="409"/>
      <c r="C8502" s="416"/>
      <c r="D8502" s="198" t="s">
        <v>49205</v>
      </c>
      <c r="E8502" s="198">
        <v>37</v>
      </c>
      <c r="F8502" s="199" t="s">
        <v>49206</v>
      </c>
      <c r="G8502" s="1" t="s">
        <v>49207</v>
      </c>
      <c r="H8502" s="1" t="s">
        <v>49135</v>
      </c>
      <c r="I8502" s="346"/>
      <c r="J8502" s="39">
        <v>109661</v>
      </c>
      <c r="K8502" s="36" t="str">
        <f>CONCATENATE(Cover!$D$6,"fdd/view?i=",J8502)</f>
        <v>https://www.dgiwg.org/FAD/fdd/view?i=109661</v>
      </c>
      <c r="L8502" s="36" t="s">
        <v>49208</v>
      </c>
      <c r="M8502" s="186"/>
      <c r="N8502" s="186"/>
      <c r="O8502" s="172"/>
    </row>
    <row r="8503" spans="1:15" ht="25.5" x14ac:dyDescent="0.2">
      <c r="A8503" s="197" t="str">
        <f t="shared" si="132"/>
        <v>WsrCode_italianNavalCharts</v>
      </c>
      <c r="B8503" s="409"/>
      <c r="C8503" s="416"/>
      <c r="D8503" s="198" t="s">
        <v>49209</v>
      </c>
      <c r="E8503" s="198">
        <v>54</v>
      </c>
      <c r="F8503" s="199" t="s">
        <v>49210</v>
      </c>
      <c r="G8503" s="1" t="s">
        <v>49211</v>
      </c>
      <c r="H8503" s="1" t="s">
        <v>49182</v>
      </c>
      <c r="I8503" s="346"/>
      <c r="J8503" s="39">
        <v>109678</v>
      </c>
      <c r="K8503" s="36" t="str">
        <f>CONCATENATE(Cover!$D$6,"fdd/view?i=",J8503)</f>
        <v>https://www.dgiwg.org/FAD/fdd/view?i=109678</v>
      </c>
      <c r="L8503" s="36" t="s">
        <v>49212</v>
      </c>
      <c r="M8503" s="186"/>
      <c r="N8503" s="186"/>
      <c r="O8503" s="172"/>
    </row>
    <row r="8504" spans="1:15" ht="25.5" x14ac:dyDescent="0.2">
      <c r="A8504" s="197" t="str">
        <f t="shared" si="132"/>
        <v>WsrCode_italianNavalSurvey</v>
      </c>
      <c r="B8504" s="409"/>
      <c r="C8504" s="416"/>
      <c r="D8504" s="198" t="s">
        <v>49213</v>
      </c>
      <c r="E8504" s="198">
        <v>52</v>
      </c>
      <c r="F8504" s="199" t="s">
        <v>49214</v>
      </c>
      <c r="G8504" s="1" t="s">
        <v>49215</v>
      </c>
      <c r="H8504" s="1" t="s">
        <v>49182</v>
      </c>
      <c r="I8504" s="346"/>
      <c r="J8504" s="39">
        <v>109676</v>
      </c>
      <c r="K8504" s="36" t="str">
        <f>CONCATENATE(Cover!$D$6,"fdd/view?i=",J8504)</f>
        <v>https://www.dgiwg.org/FAD/fdd/view?i=109676</v>
      </c>
      <c r="L8504" s="36" t="s">
        <v>49216</v>
      </c>
      <c r="M8504" s="186"/>
      <c r="N8504" s="186"/>
      <c r="O8504" s="172"/>
    </row>
    <row r="8505" spans="1:15" ht="25.5" x14ac:dyDescent="0.2">
      <c r="A8505" s="197" t="str">
        <f t="shared" si="132"/>
        <v>WsrCode_italianNavyLossesWwI</v>
      </c>
      <c r="B8505" s="409"/>
      <c r="C8505" s="416"/>
      <c r="D8505" s="198" t="s">
        <v>49217</v>
      </c>
      <c r="E8505" s="198">
        <v>34</v>
      </c>
      <c r="F8505" s="199" t="s">
        <v>49218</v>
      </c>
      <c r="G8505" s="1" t="s">
        <v>49219</v>
      </c>
      <c r="H8505" s="1" t="s">
        <v>49135</v>
      </c>
      <c r="I8505" s="346"/>
      <c r="J8505" s="39">
        <v>109658</v>
      </c>
      <c r="K8505" s="36" t="str">
        <f>CONCATENATE(Cover!$D$6,"fdd/view?i=",J8505)</f>
        <v>https://www.dgiwg.org/FAD/fdd/view?i=109658</v>
      </c>
      <c r="L8505" s="36" t="s">
        <v>49220</v>
      </c>
      <c r="M8505" s="186"/>
      <c r="N8505" s="186"/>
      <c r="O8505" s="172"/>
    </row>
    <row r="8506" spans="1:15" ht="25.5" x14ac:dyDescent="0.2">
      <c r="A8506" s="197" t="str">
        <f t="shared" si="132"/>
        <v>WsrCode_japaneseLossWwII</v>
      </c>
      <c r="B8506" s="409"/>
      <c r="C8506" s="416"/>
      <c r="D8506" s="198" t="s">
        <v>49221</v>
      </c>
      <c r="E8506" s="198">
        <v>10</v>
      </c>
      <c r="F8506" s="199" t="s">
        <v>49222</v>
      </c>
      <c r="G8506" s="1" t="s">
        <v>49223</v>
      </c>
      <c r="H8506" s="1" t="s">
        <v>49135</v>
      </c>
      <c r="I8506" s="346"/>
      <c r="J8506" s="39">
        <v>109634</v>
      </c>
      <c r="K8506" s="36" t="str">
        <f>CONCATENATE(Cover!$D$6,"fdd/view?i=",J8506)</f>
        <v>https://www.dgiwg.org/FAD/fdd/view?i=109634</v>
      </c>
      <c r="L8506" s="36" t="s">
        <v>49224</v>
      </c>
      <c r="M8506" s="186"/>
      <c r="N8506" s="186"/>
      <c r="O8506" s="172"/>
    </row>
    <row r="8507" spans="1:15" ht="25.5" x14ac:dyDescent="0.2">
      <c r="A8507" s="197" t="str">
        <f t="shared" si="132"/>
        <v>WsrCode_japaneseNavyReportsWwII</v>
      </c>
      <c r="B8507" s="409"/>
      <c r="C8507" s="416"/>
      <c r="D8507" s="198" t="s">
        <v>49225</v>
      </c>
      <c r="E8507" s="198">
        <v>18</v>
      </c>
      <c r="F8507" s="199" t="s">
        <v>49226</v>
      </c>
      <c r="G8507" s="1" t="s">
        <v>49227</v>
      </c>
      <c r="H8507" s="1" t="s">
        <v>49135</v>
      </c>
      <c r="I8507" s="346"/>
      <c r="J8507" s="39">
        <v>109642</v>
      </c>
      <c r="K8507" s="36" t="str">
        <f>CONCATENATE(Cover!$D$6,"fdd/view?i=",J8507)</f>
        <v>https://www.dgiwg.org/FAD/fdd/view?i=109642</v>
      </c>
      <c r="L8507" s="36" t="s">
        <v>49228</v>
      </c>
      <c r="M8507" s="186"/>
      <c r="N8507" s="186"/>
      <c r="O8507" s="172"/>
    </row>
    <row r="8508" spans="1:15" x14ac:dyDescent="0.2">
      <c r="A8508" s="197" t="str">
        <f t="shared" si="132"/>
        <v>WsrCode_lossesWwI</v>
      </c>
      <c r="B8508" s="409"/>
      <c r="C8508" s="416"/>
      <c r="D8508" s="198" t="s">
        <v>49229</v>
      </c>
      <c r="E8508" s="198">
        <v>30</v>
      </c>
      <c r="F8508" s="199" t="s">
        <v>49230</v>
      </c>
      <c r="G8508" s="1" t="s">
        <v>49231</v>
      </c>
      <c r="H8508" s="200"/>
      <c r="I8508" s="346"/>
      <c r="J8508" s="39">
        <v>109654</v>
      </c>
      <c r="K8508" s="36" t="str">
        <f>CONCATENATE(Cover!$D$6,"fdd/view?i=",J8508)</f>
        <v>https://www.dgiwg.org/FAD/fdd/view?i=109654</v>
      </c>
      <c r="L8508" s="36" t="s">
        <v>49232</v>
      </c>
      <c r="M8508" s="186"/>
      <c r="N8508" s="186"/>
      <c r="O8508" s="172"/>
    </row>
    <row r="8509" spans="1:15" x14ac:dyDescent="0.2">
      <c r="A8509" s="197" t="str">
        <f t="shared" si="132"/>
        <v>WsrCode_madVerified</v>
      </c>
      <c r="B8509" s="409"/>
      <c r="C8509" s="416"/>
      <c r="D8509" s="198" t="s">
        <v>49233</v>
      </c>
      <c r="E8509" s="198">
        <v>9</v>
      </c>
      <c r="F8509" s="199" t="s">
        <v>49234</v>
      </c>
      <c r="G8509" s="1" t="s">
        <v>49235</v>
      </c>
      <c r="H8509" s="200"/>
      <c r="I8509" s="346"/>
      <c r="J8509" s="39">
        <v>109633</v>
      </c>
      <c r="K8509" s="36" t="str">
        <f>CONCATENATE(Cover!$D$6,"fdd/view?i=",J8509)</f>
        <v>https://www.dgiwg.org/FAD/fdd/view?i=109633</v>
      </c>
      <c r="L8509" s="36" t="s">
        <v>49236</v>
      </c>
      <c r="M8509" s="186"/>
      <c r="N8509" s="186"/>
      <c r="O8509" s="172"/>
    </row>
    <row r="8510" spans="1:15" ht="25.5" x14ac:dyDescent="0.2">
      <c r="A8510" s="197" t="str">
        <f t="shared" si="132"/>
        <v>WsrCode_merchantLossesWwII</v>
      </c>
      <c r="B8510" s="409"/>
      <c r="C8510" s="416"/>
      <c r="D8510" s="198" t="s">
        <v>49237</v>
      </c>
      <c r="E8510" s="198">
        <v>31</v>
      </c>
      <c r="F8510" s="199" t="s">
        <v>49238</v>
      </c>
      <c r="G8510" s="1" t="s">
        <v>49239</v>
      </c>
      <c r="H8510" s="1" t="s">
        <v>49135</v>
      </c>
      <c r="I8510" s="346"/>
      <c r="J8510" s="39">
        <v>109655</v>
      </c>
      <c r="K8510" s="36" t="str">
        <f>CONCATENATE(Cover!$D$6,"fdd/view?i=",J8510)</f>
        <v>https://www.dgiwg.org/FAD/fdd/view?i=109655</v>
      </c>
      <c r="L8510" s="36" t="s">
        <v>49240</v>
      </c>
      <c r="M8510" s="186"/>
      <c r="N8510" s="186"/>
      <c r="O8510" s="172"/>
    </row>
    <row r="8511" spans="1:15" ht="25.5" x14ac:dyDescent="0.2">
      <c r="A8511" s="197" t="str">
        <f t="shared" si="132"/>
        <v>WsrCode_navalChronologyWwII</v>
      </c>
      <c r="B8511" s="409"/>
      <c r="C8511" s="416"/>
      <c r="D8511" s="198" t="s">
        <v>49241</v>
      </c>
      <c r="E8511" s="198">
        <v>45</v>
      </c>
      <c r="F8511" s="199" t="s">
        <v>49242</v>
      </c>
      <c r="G8511" s="1" t="s">
        <v>49243</v>
      </c>
      <c r="H8511" s="200"/>
      <c r="I8511" s="346"/>
      <c r="J8511" s="39">
        <v>109669</v>
      </c>
      <c r="K8511" s="36" t="str">
        <f>CONCATENATE(Cover!$D$6,"fdd/view?i=",J8511)</f>
        <v>https://www.dgiwg.org/FAD/fdd/view?i=109669</v>
      </c>
      <c r="L8511" s="36" t="s">
        <v>49244</v>
      </c>
      <c r="M8511" s="186"/>
      <c r="N8511" s="186"/>
      <c r="O8511" s="172"/>
    </row>
    <row r="8512" spans="1:15" ht="25.5" x14ac:dyDescent="0.2">
      <c r="A8512" s="197" t="str">
        <f t="shared" si="132"/>
        <v>WsrCode_netherlandsLossesWwI</v>
      </c>
      <c r="B8512" s="409"/>
      <c r="C8512" s="416"/>
      <c r="D8512" s="198" t="s">
        <v>49245</v>
      </c>
      <c r="E8512" s="198">
        <v>36</v>
      </c>
      <c r="F8512" s="199" t="s">
        <v>49246</v>
      </c>
      <c r="G8512" s="1" t="s">
        <v>49247</v>
      </c>
      <c r="H8512" s="1" t="s">
        <v>49135</v>
      </c>
      <c r="I8512" s="346"/>
      <c r="J8512" s="39">
        <v>109660</v>
      </c>
      <c r="K8512" s="36" t="str">
        <f>CONCATENATE(Cover!$D$6,"fdd/view?i=",J8512)</f>
        <v>https://www.dgiwg.org/FAD/fdd/view?i=109660</v>
      </c>
      <c r="L8512" s="36" t="s">
        <v>49248</v>
      </c>
      <c r="M8512" s="186"/>
      <c r="N8512" s="186"/>
      <c r="O8512" s="172"/>
    </row>
    <row r="8513" spans="1:15" ht="25.5" x14ac:dyDescent="0.2">
      <c r="A8513" s="197" t="str">
        <f t="shared" si="132"/>
        <v>WsrCode_northSeaFishingCharts</v>
      </c>
      <c r="B8513" s="409"/>
      <c r="C8513" s="416"/>
      <c r="D8513" s="198" t="s">
        <v>42010</v>
      </c>
      <c r="E8513" s="198">
        <v>59</v>
      </c>
      <c r="F8513" s="199" t="s">
        <v>42011</v>
      </c>
      <c r="G8513" s="200"/>
      <c r="H8513" s="200"/>
      <c r="I8513" s="346"/>
      <c r="J8513" s="39">
        <v>109683</v>
      </c>
      <c r="K8513" s="36" t="str">
        <f>CONCATENATE(Cover!$D$6,"fdd/view?i=",J8513)</f>
        <v>https://www.dgiwg.org/FAD/fdd/view?i=109683</v>
      </c>
      <c r="L8513" s="36" t="s">
        <v>49249</v>
      </c>
      <c r="M8513" s="186"/>
      <c r="N8513" s="186"/>
      <c r="O8513" s="172"/>
    </row>
    <row r="8514" spans="1:15" ht="25.5" x14ac:dyDescent="0.2">
      <c r="A8514" s="197" t="str">
        <f t="shared" ref="A8514:A8577" si="133">HYPERLINK(K8514,L8514)</f>
        <v>WsrCode_norwegianLossesWwI</v>
      </c>
      <c r="B8514" s="409"/>
      <c r="C8514" s="416"/>
      <c r="D8514" s="198" t="s">
        <v>49250</v>
      </c>
      <c r="E8514" s="198">
        <v>38</v>
      </c>
      <c r="F8514" s="199" t="s">
        <v>49251</v>
      </c>
      <c r="G8514" s="1" t="s">
        <v>49252</v>
      </c>
      <c r="H8514" s="1" t="s">
        <v>49135</v>
      </c>
      <c r="I8514" s="346"/>
      <c r="J8514" s="39">
        <v>109662</v>
      </c>
      <c r="K8514" s="36" t="str">
        <f>CONCATENATE(Cover!$D$6,"fdd/view?i=",J8514)</f>
        <v>https://www.dgiwg.org/FAD/fdd/view?i=109662</v>
      </c>
      <c r="L8514" s="36" t="s">
        <v>49253</v>
      </c>
      <c r="M8514" s="186"/>
      <c r="N8514" s="186"/>
      <c r="O8514" s="172"/>
    </row>
    <row r="8515" spans="1:15" ht="25.5" x14ac:dyDescent="0.2">
      <c r="A8515" s="197" t="str">
        <f t="shared" si="133"/>
        <v>WsrCode_omanHydroOffice</v>
      </c>
      <c r="B8515" s="409"/>
      <c r="C8515" s="416"/>
      <c r="D8515" s="198" t="s">
        <v>49254</v>
      </c>
      <c r="E8515" s="198">
        <v>63</v>
      </c>
      <c r="F8515" s="199" t="s">
        <v>49255</v>
      </c>
      <c r="G8515" s="1" t="s">
        <v>49256</v>
      </c>
      <c r="H8515" s="200"/>
      <c r="I8515" s="346"/>
      <c r="J8515" s="39">
        <v>109687</v>
      </c>
      <c r="K8515" s="36" t="str">
        <f>CONCATENATE(Cover!$D$6,"fdd/view?i=",J8515)</f>
        <v>https://www.dgiwg.org/FAD/fdd/view?i=109687</v>
      </c>
      <c r="L8515" s="36" t="s">
        <v>49257</v>
      </c>
      <c r="M8515" s="186"/>
      <c r="N8515" s="186"/>
      <c r="O8515" s="172"/>
    </row>
    <row r="8516" spans="1:15" ht="38.25" x14ac:dyDescent="0.2">
      <c r="A8516" s="197" t="str">
        <f t="shared" si="133"/>
        <v>WsrCode_photoPinnaclesMiscMetals</v>
      </c>
      <c r="B8516" s="409"/>
      <c r="C8516" s="416"/>
      <c r="D8516" s="198" t="s">
        <v>49258</v>
      </c>
      <c r="E8516" s="198">
        <v>60</v>
      </c>
      <c r="F8516" s="199" t="s">
        <v>49259</v>
      </c>
      <c r="G8516" s="200"/>
      <c r="H8516" s="200"/>
      <c r="I8516" s="346"/>
      <c r="J8516" s="39">
        <v>109684</v>
      </c>
      <c r="K8516" s="36" t="str">
        <f>CONCATENATE(Cover!$D$6,"fdd/view?i=",J8516)</f>
        <v>https://www.dgiwg.org/FAD/fdd/view?i=109684</v>
      </c>
      <c r="L8516" s="36" t="s">
        <v>49260</v>
      </c>
      <c r="M8516" s="186"/>
      <c r="N8516" s="186"/>
      <c r="O8516" s="172"/>
    </row>
    <row r="8517" spans="1:15" ht="25.5" x14ac:dyDescent="0.2">
      <c r="A8517" s="197" t="str">
        <f t="shared" si="133"/>
        <v>WsrCode_portugalHydroOffice</v>
      </c>
      <c r="B8517" s="409"/>
      <c r="C8517" s="416"/>
      <c r="D8517" s="198" t="s">
        <v>49261</v>
      </c>
      <c r="E8517" s="198">
        <v>51</v>
      </c>
      <c r="F8517" s="199" t="s">
        <v>49262</v>
      </c>
      <c r="G8517" s="1" t="s">
        <v>49263</v>
      </c>
      <c r="H8517" s="200"/>
      <c r="I8517" s="346"/>
      <c r="J8517" s="39">
        <v>109675</v>
      </c>
      <c r="K8517" s="36" t="str">
        <f>CONCATENATE(Cover!$D$6,"fdd/view?i=",J8517)</f>
        <v>https://www.dgiwg.org/FAD/fdd/view?i=109675</v>
      </c>
      <c r="L8517" s="36" t="s">
        <v>49264</v>
      </c>
      <c r="M8517" s="186"/>
      <c r="N8517" s="186"/>
      <c r="O8517" s="172"/>
    </row>
    <row r="8518" spans="1:15" ht="25.5" x14ac:dyDescent="0.2">
      <c r="A8518" s="197" t="str">
        <f t="shared" si="133"/>
        <v>WsrCode_radioNavigationWarning</v>
      </c>
      <c r="B8518" s="409"/>
      <c r="C8518" s="416"/>
      <c r="D8518" s="198" t="s">
        <v>49269</v>
      </c>
      <c r="E8518" s="198">
        <v>62</v>
      </c>
      <c r="F8518" s="199" t="s">
        <v>49270</v>
      </c>
      <c r="G8518" s="1" t="s">
        <v>49271</v>
      </c>
      <c r="H8518" s="200"/>
      <c r="I8518" s="346"/>
      <c r="J8518" s="39">
        <v>109686</v>
      </c>
      <c r="K8518" s="36" t="str">
        <f>CONCATENATE(Cover!$D$6,"fdd/view?i=",J8518)</f>
        <v>https://www.dgiwg.org/FAD/fdd/view?i=109686</v>
      </c>
      <c r="L8518" s="36" t="s">
        <v>49272</v>
      </c>
      <c r="M8518" s="186"/>
      <c r="N8518" s="186"/>
      <c r="O8518" s="172"/>
    </row>
    <row r="8519" spans="1:15" ht="25.5" x14ac:dyDescent="0.2">
      <c r="A8519" s="197" t="str">
        <f t="shared" si="133"/>
        <v>WsrCode_rcnWreckList</v>
      </c>
      <c r="B8519" s="409"/>
      <c r="C8519" s="416"/>
      <c r="D8519" s="198" t="s">
        <v>49265</v>
      </c>
      <c r="E8519" s="198">
        <v>57</v>
      </c>
      <c r="F8519" s="199" t="s">
        <v>49266</v>
      </c>
      <c r="G8519" s="1" t="s">
        <v>49267</v>
      </c>
      <c r="H8519" s="1" t="s">
        <v>49182</v>
      </c>
      <c r="I8519" s="346"/>
      <c r="J8519" s="39">
        <v>109681</v>
      </c>
      <c r="K8519" s="36" t="str">
        <f>CONCATENATE(Cover!$D$6,"fdd/view?i=",J8519)</f>
        <v>https://www.dgiwg.org/FAD/fdd/view?i=109681</v>
      </c>
      <c r="L8519" s="36" t="s">
        <v>49268</v>
      </c>
      <c r="M8519" s="186"/>
      <c r="N8519" s="186"/>
      <c r="O8519" s="172"/>
    </row>
    <row r="8520" spans="1:15" ht="25.5" x14ac:dyDescent="0.2">
      <c r="A8520" s="197" t="str">
        <f t="shared" si="133"/>
        <v>WsrCode_shipVisitReports</v>
      </c>
      <c r="B8520" s="409"/>
      <c r="C8520" s="416"/>
      <c r="D8520" s="198" t="s">
        <v>49273</v>
      </c>
      <c r="E8520" s="198">
        <v>46</v>
      </c>
      <c r="F8520" s="199" t="s">
        <v>49274</v>
      </c>
      <c r="G8520" s="200"/>
      <c r="H8520" s="200"/>
      <c r="I8520" s="346"/>
      <c r="J8520" s="39">
        <v>109670</v>
      </c>
      <c r="K8520" s="36" t="str">
        <f>CONCATENATE(Cover!$D$6,"fdd/view?i=",J8520)</f>
        <v>https://www.dgiwg.org/FAD/fdd/view?i=109670</v>
      </c>
      <c r="L8520" s="36" t="s">
        <v>49275</v>
      </c>
      <c r="M8520" s="186"/>
      <c r="N8520" s="186"/>
      <c r="O8520" s="172"/>
    </row>
    <row r="8521" spans="1:15" ht="25.5" x14ac:dyDescent="0.2">
      <c r="A8521" s="197" t="str">
        <f t="shared" si="133"/>
        <v>WsrCode_sonarVerified</v>
      </c>
      <c r="B8521" s="409"/>
      <c r="C8521" s="416"/>
      <c r="D8521" s="198" t="s">
        <v>49276</v>
      </c>
      <c r="E8521" s="198">
        <v>8</v>
      </c>
      <c r="F8521" s="199" t="s">
        <v>49277</v>
      </c>
      <c r="G8521" s="1" t="s">
        <v>49278</v>
      </c>
      <c r="H8521" s="200"/>
      <c r="I8521" s="346"/>
      <c r="J8521" s="39">
        <v>109632</v>
      </c>
      <c r="K8521" s="36" t="str">
        <f>CONCATENATE(Cover!$D$6,"fdd/view?i=",J8521)</f>
        <v>https://www.dgiwg.org/FAD/fdd/view?i=109632</v>
      </c>
      <c r="L8521" s="36" t="s">
        <v>49279</v>
      </c>
      <c r="M8521" s="186"/>
      <c r="N8521" s="186"/>
      <c r="O8521" s="172"/>
    </row>
    <row r="8522" spans="1:15" ht="25.5" x14ac:dyDescent="0.2">
      <c r="A8522" s="197" t="str">
        <f t="shared" si="133"/>
        <v>WsrCode_spanishHydroOffice</v>
      </c>
      <c r="B8522" s="409"/>
      <c r="C8522" s="416"/>
      <c r="D8522" s="198" t="s">
        <v>49280</v>
      </c>
      <c r="E8522" s="198">
        <v>47</v>
      </c>
      <c r="F8522" s="199" t="s">
        <v>49281</v>
      </c>
      <c r="G8522" s="1" t="s">
        <v>49282</v>
      </c>
      <c r="H8522" s="200"/>
      <c r="I8522" s="346"/>
      <c r="J8522" s="39">
        <v>109671</v>
      </c>
      <c r="K8522" s="36" t="str">
        <f>CONCATENATE(Cover!$D$6,"fdd/view?i=",J8522)</f>
        <v>https://www.dgiwg.org/FAD/fdd/view?i=109671</v>
      </c>
      <c r="L8522" s="36" t="s">
        <v>49283</v>
      </c>
      <c r="M8522" s="186"/>
      <c r="N8522" s="186"/>
      <c r="O8522" s="172"/>
    </row>
    <row r="8523" spans="1:15" ht="25.5" x14ac:dyDescent="0.2">
      <c r="A8523" s="197" t="str">
        <f t="shared" si="133"/>
        <v>WsrCode_spanishLossesWwI</v>
      </c>
      <c r="B8523" s="409"/>
      <c r="C8523" s="416"/>
      <c r="D8523" s="198" t="s">
        <v>49284</v>
      </c>
      <c r="E8523" s="198">
        <v>35</v>
      </c>
      <c r="F8523" s="199" t="s">
        <v>49285</v>
      </c>
      <c r="G8523" s="1" t="s">
        <v>49286</v>
      </c>
      <c r="H8523" s="1" t="s">
        <v>49135</v>
      </c>
      <c r="I8523" s="346"/>
      <c r="J8523" s="39">
        <v>109659</v>
      </c>
      <c r="K8523" s="36" t="str">
        <f>CONCATENATE(Cover!$D$6,"fdd/view?i=",J8523)</f>
        <v>https://www.dgiwg.org/FAD/fdd/view?i=109659</v>
      </c>
      <c r="L8523" s="36" t="s">
        <v>49287</v>
      </c>
      <c r="M8523" s="186"/>
      <c r="N8523" s="186"/>
      <c r="O8523" s="172"/>
    </row>
    <row r="8524" spans="1:15" ht="25.5" x14ac:dyDescent="0.2">
      <c r="A8524" s="197" t="str">
        <f t="shared" si="133"/>
        <v>WsrCode_stateOfShippingCasualties</v>
      </c>
      <c r="B8524" s="409"/>
      <c r="C8524" s="416"/>
      <c r="D8524" s="198" t="s">
        <v>49288</v>
      </c>
      <c r="E8524" s="198">
        <v>53</v>
      </c>
      <c r="F8524" s="199" t="s">
        <v>49289</v>
      </c>
      <c r="G8524" s="200"/>
      <c r="H8524" s="200"/>
      <c r="I8524" s="346"/>
      <c r="J8524" s="39">
        <v>109677</v>
      </c>
      <c r="K8524" s="36" t="str">
        <f>CONCATENATE(Cover!$D$6,"fdd/view?i=",J8524)</f>
        <v>https://www.dgiwg.org/FAD/fdd/view?i=109677</v>
      </c>
      <c r="L8524" s="36" t="s">
        <v>49290</v>
      </c>
      <c r="M8524" s="186"/>
      <c r="N8524" s="186"/>
      <c r="O8524" s="172"/>
    </row>
    <row r="8525" spans="1:15" ht="38.25" x14ac:dyDescent="0.2">
      <c r="A8525" s="197" t="str">
        <f t="shared" si="133"/>
        <v>WsrCode_swedishHydroOffice</v>
      </c>
      <c r="B8525" s="409"/>
      <c r="C8525" s="416"/>
      <c r="D8525" s="198" t="s">
        <v>49291</v>
      </c>
      <c r="E8525" s="198">
        <v>49</v>
      </c>
      <c r="F8525" s="199" t="s">
        <v>49292</v>
      </c>
      <c r="G8525" s="1" t="s">
        <v>49293</v>
      </c>
      <c r="H8525" s="200"/>
      <c r="I8525" s="346"/>
      <c r="J8525" s="39">
        <v>109673</v>
      </c>
      <c r="K8525" s="36" t="str">
        <f>CONCATENATE(Cover!$D$6,"fdd/view?i=",J8525)</f>
        <v>https://www.dgiwg.org/FAD/fdd/view?i=109673</v>
      </c>
      <c r="L8525" s="36" t="s">
        <v>49294</v>
      </c>
      <c r="M8525" s="186"/>
      <c r="N8525" s="186"/>
      <c r="O8525" s="172"/>
    </row>
    <row r="8526" spans="1:15" ht="25.5" x14ac:dyDescent="0.2">
      <c r="A8526" s="197" t="str">
        <f t="shared" si="133"/>
        <v>WsrCode_swedishLossesWwI</v>
      </c>
      <c r="B8526" s="409"/>
      <c r="C8526" s="416"/>
      <c r="D8526" s="198" t="s">
        <v>49295</v>
      </c>
      <c r="E8526" s="198">
        <v>21</v>
      </c>
      <c r="F8526" s="199" t="s">
        <v>49296</v>
      </c>
      <c r="G8526" s="1" t="s">
        <v>49297</v>
      </c>
      <c r="H8526" s="1" t="s">
        <v>49135</v>
      </c>
      <c r="I8526" s="346"/>
      <c r="J8526" s="39">
        <v>109645</v>
      </c>
      <c r="K8526" s="36" t="str">
        <f>CONCATENATE(Cover!$D$6,"fdd/view?i=",J8526)</f>
        <v>https://www.dgiwg.org/FAD/fdd/view?i=109645</v>
      </c>
      <c r="L8526" s="36" t="s">
        <v>49298</v>
      </c>
      <c r="M8526" s="186"/>
      <c r="N8526" s="186"/>
      <c r="O8526" s="172"/>
    </row>
    <row r="8527" spans="1:15" ht="25.5" x14ac:dyDescent="0.2">
      <c r="A8527" s="197" t="str">
        <f t="shared" si="133"/>
        <v>WsrCode_usCoastGuard</v>
      </c>
      <c r="B8527" s="409"/>
      <c r="C8527" s="416"/>
      <c r="D8527" s="198" t="s">
        <v>49299</v>
      </c>
      <c r="E8527" s="198">
        <v>24</v>
      </c>
      <c r="F8527" s="199" t="s">
        <v>49300</v>
      </c>
      <c r="G8527" s="1" t="s">
        <v>49301</v>
      </c>
      <c r="H8527" s="1" t="s">
        <v>49182</v>
      </c>
      <c r="I8527" s="346"/>
      <c r="J8527" s="39">
        <v>109648</v>
      </c>
      <c r="K8527" s="36" t="str">
        <f>CONCATENATE(Cover!$D$6,"fdd/view?i=",J8527)</f>
        <v>https://www.dgiwg.org/FAD/fdd/view?i=109648</v>
      </c>
      <c r="L8527" s="36" t="s">
        <v>49302</v>
      </c>
      <c r="M8527" s="186"/>
      <c r="N8527" s="186"/>
      <c r="O8527" s="172"/>
    </row>
    <row r="8528" spans="1:15" ht="25.5" x14ac:dyDescent="0.2">
      <c r="A8528" s="197" t="str">
        <f t="shared" si="133"/>
        <v>WsrCode_usCoastGuard1950</v>
      </c>
      <c r="B8528" s="409"/>
      <c r="C8528" s="416"/>
      <c r="D8528" s="198" t="s">
        <v>49303</v>
      </c>
      <c r="E8528" s="198">
        <v>39</v>
      </c>
      <c r="F8528" s="199" t="s">
        <v>49304</v>
      </c>
      <c r="G8528" s="1" t="s">
        <v>49305</v>
      </c>
      <c r="H8528" s="200"/>
      <c r="I8528" s="346"/>
      <c r="J8528" s="39">
        <v>109663</v>
      </c>
      <c r="K8528" s="36" t="str">
        <f>CONCATENATE(Cover!$D$6,"fdd/view?i=",J8528)</f>
        <v>https://www.dgiwg.org/FAD/fdd/view?i=109663</v>
      </c>
      <c r="L8528" s="36" t="s">
        <v>49306</v>
      </c>
      <c r="M8528" s="186"/>
      <c r="N8528" s="186"/>
      <c r="O8528" s="172"/>
    </row>
    <row r="8529" spans="1:15" ht="25.5" x14ac:dyDescent="0.2">
      <c r="A8529" s="197" t="str">
        <f t="shared" si="133"/>
        <v>WsrCode_usLosses</v>
      </c>
      <c r="B8529" s="409"/>
      <c r="C8529" s="416"/>
      <c r="D8529" s="198" t="s">
        <v>49339</v>
      </c>
      <c r="E8529" s="198">
        <v>11</v>
      </c>
      <c r="F8529" s="199" t="s">
        <v>49340</v>
      </c>
      <c r="G8529" s="1" t="s">
        <v>49341</v>
      </c>
      <c r="H8529" s="1" t="s">
        <v>49135</v>
      </c>
      <c r="I8529" s="346"/>
      <c r="J8529" s="39">
        <v>109635</v>
      </c>
      <c r="K8529" s="36" t="str">
        <f>CONCATENATE(Cover!$D$6,"fdd/view?i=",J8529)</f>
        <v>https://www.dgiwg.org/FAD/fdd/view?i=109635</v>
      </c>
      <c r="L8529" s="36" t="s">
        <v>49342</v>
      </c>
      <c r="M8529" s="186"/>
      <c r="N8529" s="186"/>
      <c r="O8529" s="172"/>
    </row>
    <row r="8530" spans="1:15" ht="25.5" x14ac:dyDescent="0.2">
      <c r="A8530" s="197" t="str">
        <f t="shared" si="133"/>
        <v>WsrCode_usLossesWwI</v>
      </c>
      <c r="B8530" s="409"/>
      <c r="C8530" s="416"/>
      <c r="D8530" s="198" t="s">
        <v>49307</v>
      </c>
      <c r="E8530" s="198">
        <v>23</v>
      </c>
      <c r="F8530" s="199" t="s">
        <v>49308</v>
      </c>
      <c r="G8530" s="1" t="s">
        <v>49309</v>
      </c>
      <c r="H8530" s="1" t="s">
        <v>49135</v>
      </c>
      <c r="I8530" s="346"/>
      <c r="J8530" s="39">
        <v>109647</v>
      </c>
      <c r="K8530" s="36" t="str">
        <f>CONCATENATE(Cover!$D$6,"fdd/view?i=",J8530)</f>
        <v>https://www.dgiwg.org/FAD/fdd/view?i=109647</v>
      </c>
      <c r="L8530" s="36" t="s">
        <v>49310</v>
      </c>
      <c r="M8530" s="186"/>
      <c r="N8530" s="186"/>
      <c r="O8530" s="172"/>
    </row>
    <row r="8531" spans="1:15" ht="25.5" x14ac:dyDescent="0.2">
      <c r="A8531" s="197" t="str">
        <f t="shared" si="133"/>
        <v>WsrCode_usMerchantLosses</v>
      </c>
      <c r="B8531" s="409"/>
      <c r="C8531" s="416"/>
      <c r="D8531" s="198" t="s">
        <v>49311</v>
      </c>
      <c r="E8531" s="198">
        <v>44</v>
      </c>
      <c r="F8531" s="199" t="s">
        <v>49312</v>
      </c>
      <c r="G8531" s="1" t="s">
        <v>49313</v>
      </c>
      <c r="H8531" s="1" t="s">
        <v>49135</v>
      </c>
      <c r="I8531" s="346"/>
      <c r="J8531" s="39">
        <v>109668</v>
      </c>
      <c r="K8531" s="36" t="str">
        <f>CONCATENATE(Cover!$D$6,"fdd/view?i=",J8531)</f>
        <v>https://www.dgiwg.org/FAD/fdd/view?i=109668</v>
      </c>
      <c r="L8531" s="36" t="s">
        <v>49314</v>
      </c>
      <c r="M8531" s="186"/>
      <c r="N8531" s="186"/>
      <c r="O8531" s="172"/>
    </row>
    <row r="8532" spans="1:15" ht="38.25" x14ac:dyDescent="0.2">
      <c r="A8532" s="197" t="str">
        <f t="shared" si="133"/>
        <v>WsrCode_usNationalOceanSurvey</v>
      </c>
      <c r="B8532" s="409"/>
      <c r="C8532" s="416"/>
      <c r="D8532" s="198" t="s">
        <v>49315</v>
      </c>
      <c r="E8532" s="198">
        <v>61</v>
      </c>
      <c r="F8532" s="199" t="s">
        <v>49316</v>
      </c>
      <c r="G8532" s="1" t="s">
        <v>49317</v>
      </c>
      <c r="H8532" s="1" t="s">
        <v>49182</v>
      </c>
      <c r="I8532" s="346"/>
      <c r="J8532" s="39">
        <v>109685</v>
      </c>
      <c r="K8532" s="36" t="str">
        <f>CONCATENATE(Cover!$D$6,"fdd/view?i=",J8532)</f>
        <v>https://www.dgiwg.org/FAD/fdd/view?i=109685</v>
      </c>
      <c r="L8532" s="36" t="s">
        <v>49318</v>
      </c>
      <c r="M8532" s="186"/>
      <c r="N8532" s="186"/>
      <c r="O8532" s="172"/>
    </row>
    <row r="8533" spans="1:15" ht="25.5" x14ac:dyDescent="0.2">
      <c r="A8533" s="197" t="str">
        <f t="shared" si="133"/>
        <v>WsrCode_usNavyReportsWwII</v>
      </c>
      <c r="B8533" s="409"/>
      <c r="C8533" s="416"/>
      <c r="D8533" s="198" t="s">
        <v>49319</v>
      </c>
      <c r="E8533" s="198">
        <v>19</v>
      </c>
      <c r="F8533" s="199" t="s">
        <v>49320</v>
      </c>
      <c r="G8533" s="1" t="s">
        <v>49321</v>
      </c>
      <c r="H8533" s="1" t="s">
        <v>49135</v>
      </c>
      <c r="I8533" s="346"/>
      <c r="J8533" s="39">
        <v>109643</v>
      </c>
      <c r="K8533" s="36" t="str">
        <f>CONCATENATE(Cover!$D$6,"fdd/view?i=",J8533)</f>
        <v>https://www.dgiwg.org/FAD/fdd/view?i=109643</v>
      </c>
      <c r="L8533" s="36" t="s">
        <v>49322</v>
      </c>
      <c r="M8533" s="186"/>
      <c r="N8533" s="186"/>
      <c r="O8533" s="172"/>
    </row>
    <row r="8534" spans="1:15" ht="25.5" x14ac:dyDescent="0.2">
      <c r="A8534" s="197" t="str">
        <f t="shared" si="133"/>
        <v>WsrCode_usNavySensor</v>
      </c>
      <c r="B8534" s="409"/>
      <c r="C8534" s="416"/>
      <c r="D8534" s="198" t="s">
        <v>49323</v>
      </c>
      <c r="E8534" s="198">
        <v>41</v>
      </c>
      <c r="F8534" s="199" t="s">
        <v>49324</v>
      </c>
      <c r="G8534" s="1" t="s">
        <v>49325</v>
      </c>
      <c r="H8534" s="200"/>
      <c r="I8534" s="346"/>
      <c r="J8534" s="39">
        <v>109665</v>
      </c>
      <c r="K8534" s="36" t="str">
        <f>CONCATENATE(Cover!$D$6,"fdd/view?i=",J8534)</f>
        <v>https://www.dgiwg.org/FAD/fdd/view?i=109665</v>
      </c>
      <c r="L8534" s="36" t="s">
        <v>49326</v>
      </c>
      <c r="M8534" s="186"/>
      <c r="N8534" s="186"/>
      <c r="O8534" s="172"/>
    </row>
    <row r="8535" spans="1:15" ht="25.5" x14ac:dyDescent="0.2">
      <c r="A8535" s="197" t="str">
        <f t="shared" si="133"/>
        <v>WsrCode_usOni</v>
      </c>
      <c r="B8535" s="409"/>
      <c r="C8535" s="416"/>
      <c r="D8535" s="198" t="s">
        <v>49327</v>
      </c>
      <c r="E8535" s="198">
        <v>55</v>
      </c>
      <c r="F8535" s="199" t="s">
        <v>49328</v>
      </c>
      <c r="G8535" s="1" t="s">
        <v>49329</v>
      </c>
      <c r="H8535" s="200"/>
      <c r="I8535" s="346"/>
      <c r="J8535" s="39">
        <v>109679</v>
      </c>
      <c r="K8535" s="36" t="str">
        <f>CONCATENATE(Cover!$D$6,"fdd/view?i=",J8535)</f>
        <v>https://www.dgiwg.org/FAD/fdd/view?i=109679</v>
      </c>
      <c r="L8535" s="36" t="s">
        <v>49330</v>
      </c>
      <c r="M8535" s="186"/>
      <c r="N8535" s="186"/>
      <c r="O8535" s="172"/>
    </row>
    <row r="8536" spans="1:15" ht="25.5" x14ac:dyDescent="0.2">
      <c r="A8536" s="197" t="str">
        <f t="shared" si="133"/>
        <v>WsrCode_usReportsWwI</v>
      </c>
      <c r="B8536" s="409"/>
      <c r="C8536" s="416"/>
      <c r="D8536" s="198" t="s">
        <v>49331</v>
      </c>
      <c r="E8536" s="198">
        <v>42</v>
      </c>
      <c r="F8536" s="199" t="s">
        <v>49332</v>
      </c>
      <c r="G8536" s="1" t="s">
        <v>49333</v>
      </c>
      <c r="H8536" s="200"/>
      <c r="I8536" s="346"/>
      <c r="J8536" s="39">
        <v>109666</v>
      </c>
      <c r="K8536" s="36" t="str">
        <f>CONCATENATE(Cover!$D$6,"fdd/view?i=",J8536)</f>
        <v>https://www.dgiwg.org/FAD/fdd/view?i=109666</v>
      </c>
      <c r="L8536" s="36" t="s">
        <v>49334</v>
      </c>
      <c r="M8536" s="186"/>
      <c r="N8536" s="186"/>
      <c r="O8536" s="172"/>
    </row>
    <row r="8537" spans="1:15" x14ac:dyDescent="0.2">
      <c r="A8537" s="203" t="str">
        <f t="shared" si="133"/>
        <v>WsrCode_usTenthFleet</v>
      </c>
      <c r="B8537" s="410"/>
      <c r="C8537" s="417"/>
      <c r="D8537" s="204" t="s">
        <v>49335</v>
      </c>
      <c r="E8537" s="204">
        <v>25</v>
      </c>
      <c r="F8537" s="205" t="s">
        <v>49336</v>
      </c>
      <c r="G8537" s="206" t="s">
        <v>49337</v>
      </c>
      <c r="H8537" s="207"/>
      <c r="I8537" s="347"/>
      <c r="J8537" s="39">
        <v>109649</v>
      </c>
      <c r="K8537" s="36" t="str">
        <f>CONCATENATE(Cover!$D$6,"fdd/view?i=",J8537)</f>
        <v>https://www.dgiwg.org/FAD/fdd/view?i=109649</v>
      </c>
      <c r="L8537" s="36" t="s">
        <v>49338</v>
      </c>
      <c r="M8537" s="186"/>
      <c r="N8537" s="186"/>
      <c r="O8537" s="172"/>
    </row>
    <row r="8538" spans="1:15" ht="38.25" x14ac:dyDescent="0.2">
      <c r="A8538" s="190" t="str">
        <f t="shared" si="133"/>
        <v>SrtCode_alosPalSar</v>
      </c>
      <c r="B8538" s="414" t="str">
        <f>HYPERLINK("[#]Datatypes!A1438:L1438","SrtCode")</f>
        <v>SrtCode</v>
      </c>
      <c r="C8538" s="415" t="s">
        <v>16063</v>
      </c>
      <c r="D8538" s="221" t="s">
        <v>45198</v>
      </c>
      <c r="E8538" s="221">
        <v>147</v>
      </c>
      <c r="F8538" s="222" t="s">
        <v>45199</v>
      </c>
      <c r="G8538" s="223" t="s">
        <v>45200</v>
      </c>
      <c r="H8538" s="224"/>
      <c r="I8538" s="345"/>
      <c r="J8538" s="39">
        <v>118423</v>
      </c>
      <c r="K8538" s="36" t="str">
        <f>CONCATENATE(Cover!$D$6,"fdd/view?i=",J8538)</f>
        <v>https://www.dgiwg.org/FAD/fdd/view?i=118423</v>
      </c>
      <c r="L8538" s="36" t="s">
        <v>49348</v>
      </c>
      <c r="M8538" s="186"/>
      <c r="N8538" s="186"/>
      <c r="O8538" s="172"/>
    </row>
    <row r="8539" spans="1:15" ht="38.25" x14ac:dyDescent="0.2">
      <c r="A8539" s="197" t="str">
        <f t="shared" si="133"/>
        <v>SrtCode_alosPrism</v>
      </c>
      <c r="B8539" s="409"/>
      <c r="C8539" s="416"/>
      <c r="D8539" s="198" t="s">
        <v>45202</v>
      </c>
      <c r="E8539" s="198">
        <v>146</v>
      </c>
      <c r="F8539" s="199" t="s">
        <v>45203</v>
      </c>
      <c r="G8539" s="1" t="s">
        <v>45204</v>
      </c>
      <c r="H8539" s="200"/>
      <c r="I8539" s="346"/>
      <c r="J8539" s="39">
        <v>118422</v>
      </c>
      <c r="K8539" s="36" t="str">
        <f>CONCATENATE(Cover!$D$6,"fdd/view?i=",J8539)</f>
        <v>https://www.dgiwg.org/FAD/fdd/view?i=118422</v>
      </c>
      <c r="L8539" s="36" t="s">
        <v>49349</v>
      </c>
      <c r="M8539" s="186"/>
      <c r="N8539" s="186"/>
      <c r="O8539" s="172"/>
    </row>
    <row r="8540" spans="1:15" ht="25.5" x14ac:dyDescent="0.2">
      <c r="A8540" s="197" t="str">
        <f t="shared" si="133"/>
        <v>SrtCode_arcStandardRaster</v>
      </c>
      <c r="B8540" s="409"/>
      <c r="C8540" s="416"/>
      <c r="D8540" s="198" t="s">
        <v>45206</v>
      </c>
      <c r="E8540" s="198">
        <v>124</v>
      </c>
      <c r="F8540" s="199" t="s">
        <v>45207</v>
      </c>
      <c r="G8540" s="1" t="s">
        <v>45208</v>
      </c>
      <c r="H8540" s="200"/>
      <c r="I8540" s="346"/>
      <c r="J8540" s="39">
        <v>118400</v>
      </c>
      <c r="K8540" s="36" t="str">
        <f>CONCATENATE(Cover!$D$6,"fdd/view?i=",J8540)</f>
        <v>https://www.dgiwg.org/FAD/fdd/view?i=118400</v>
      </c>
      <c r="L8540" s="36" t="s">
        <v>49350</v>
      </c>
      <c r="M8540" s="186"/>
      <c r="N8540" s="186"/>
      <c r="O8540" s="172"/>
    </row>
    <row r="8541" spans="1:15" x14ac:dyDescent="0.2">
      <c r="A8541" s="197" t="str">
        <f t="shared" si="133"/>
        <v>SrtCode_cartoSat1</v>
      </c>
      <c r="B8541" s="409"/>
      <c r="C8541" s="416"/>
      <c r="D8541" s="198" t="s">
        <v>45214</v>
      </c>
      <c r="E8541" s="198">
        <v>142</v>
      </c>
      <c r="F8541" s="199" t="s">
        <v>45215</v>
      </c>
      <c r="G8541" s="1" t="s">
        <v>45216</v>
      </c>
      <c r="H8541" s="200"/>
      <c r="I8541" s="346"/>
      <c r="J8541" s="39">
        <v>118418</v>
      </c>
      <c r="K8541" s="36" t="str">
        <f>CONCATENATE(Cover!$D$6,"fdd/view?i=",J8541)</f>
        <v>https://www.dgiwg.org/FAD/fdd/view?i=118418</v>
      </c>
      <c r="L8541" s="36" t="s">
        <v>49352</v>
      </c>
      <c r="M8541" s="186"/>
      <c r="N8541" s="186"/>
      <c r="O8541" s="172"/>
    </row>
    <row r="8542" spans="1:15" x14ac:dyDescent="0.2">
      <c r="A8542" s="197" t="str">
        <f t="shared" si="133"/>
        <v>SrtCode_cartoSat2</v>
      </c>
      <c r="B8542" s="409"/>
      <c r="C8542" s="416"/>
      <c r="D8542" s="198" t="s">
        <v>45218</v>
      </c>
      <c r="E8542" s="198">
        <v>143</v>
      </c>
      <c r="F8542" s="199" t="s">
        <v>45219</v>
      </c>
      <c r="G8542" s="1" t="s">
        <v>45220</v>
      </c>
      <c r="H8542" s="200"/>
      <c r="I8542" s="346"/>
      <c r="J8542" s="39">
        <v>118419</v>
      </c>
      <c r="K8542" s="36" t="str">
        <f>CONCATENATE(Cover!$D$6,"fdd/view?i=",J8542)</f>
        <v>https://www.dgiwg.org/FAD/fdd/view?i=118419</v>
      </c>
      <c r="L8542" s="36" t="s">
        <v>49353</v>
      </c>
      <c r="M8542" s="186"/>
      <c r="N8542" s="186"/>
      <c r="O8542" s="172"/>
    </row>
    <row r="8543" spans="1:15" ht="25.5" x14ac:dyDescent="0.2">
      <c r="A8543" s="197" t="str">
        <f t="shared" si="133"/>
        <v>SrtCode_commercial</v>
      </c>
      <c r="B8543" s="409"/>
      <c r="C8543" s="416"/>
      <c r="D8543" s="198" t="s">
        <v>28919</v>
      </c>
      <c r="E8543" s="198">
        <v>159</v>
      </c>
      <c r="F8543" s="199" t="s">
        <v>28920</v>
      </c>
      <c r="G8543" s="1" t="s">
        <v>49361</v>
      </c>
      <c r="H8543" s="200"/>
      <c r="I8543" s="346"/>
      <c r="J8543" s="39">
        <v>119722</v>
      </c>
      <c r="K8543" s="36" t="str">
        <f>CONCATENATE(Cover!$D$6,"fdd/view?i=",J8543)</f>
        <v>https://www.dgiwg.org/FAD/fdd/view?i=119722</v>
      </c>
      <c r="L8543" s="36" t="s">
        <v>49362</v>
      </c>
      <c r="M8543" s="186"/>
      <c r="N8543" s="186"/>
      <c r="O8543" s="172"/>
    </row>
    <row r="8544" spans="1:15" ht="51" x14ac:dyDescent="0.2">
      <c r="A8544" s="197" t="str">
        <f t="shared" si="133"/>
        <v>SrtCode_cosmoSkymedScanSar</v>
      </c>
      <c r="B8544" s="409"/>
      <c r="C8544" s="416"/>
      <c r="D8544" s="198" t="s">
        <v>45242</v>
      </c>
      <c r="E8544" s="198">
        <v>151</v>
      </c>
      <c r="F8544" s="199" t="s">
        <v>45243</v>
      </c>
      <c r="G8544" s="1" t="s">
        <v>45244</v>
      </c>
      <c r="H8544" s="200"/>
      <c r="I8544" s="346"/>
      <c r="J8544" s="39">
        <v>118427</v>
      </c>
      <c r="K8544" s="36" t="str">
        <f>CONCATENATE(Cover!$D$6,"fdd/view?i=",J8544)</f>
        <v>https://www.dgiwg.org/FAD/fdd/view?i=118427</v>
      </c>
      <c r="L8544" s="36" t="s">
        <v>49363</v>
      </c>
      <c r="M8544" s="186"/>
      <c r="N8544" s="186"/>
      <c r="O8544" s="172"/>
    </row>
    <row r="8545" spans="1:15" ht="38.25" x14ac:dyDescent="0.2">
      <c r="A8545" s="197" t="str">
        <f t="shared" si="133"/>
        <v>SrtCode_cosmoSkymedStripMap</v>
      </c>
      <c r="B8545" s="409"/>
      <c r="C8545" s="416"/>
      <c r="D8545" s="198" t="s">
        <v>45246</v>
      </c>
      <c r="E8545" s="198">
        <v>152</v>
      </c>
      <c r="F8545" s="199" t="s">
        <v>45247</v>
      </c>
      <c r="G8545" s="1" t="s">
        <v>45248</v>
      </c>
      <c r="H8545" s="200"/>
      <c r="I8545" s="346"/>
      <c r="J8545" s="39">
        <v>118428</v>
      </c>
      <c r="K8545" s="36" t="str">
        <f>CONCATENATE(Cover!$D$6,"fdd/view?i=",J8545)</f>
        <v>https://www.dgiwg.org/FAD/fdd/view?i=118428</v>
      </c>
      <c r="L8545" s="36" t="s">
        <v>49364</v>
      </c>
      <c r="M8545" s="186"/>
      <c r="N8545" s="186"/>
      <c r="O8545" s="172"/>
    </row>
    <row r="8546" spans="1:15" ht="25.5" x14ac:dyDescent="0.2">
      <c r="A8546" s="197" t="str">
        <f t="shared" si="133"/>
        <v>SrtCode_digitalGlobeImagery</v>
      </c>
      <c r="B8546" s="409"/>
      <c r="C8546" s="416"/>
      <c r="D8546" s="198" t="s">
        <v>45250</v>
      </c>
      <c r="E8546" s="198">
        <v>105</v>
      </c>
      <c r="F8546" s="199" t="s">
        <v>45251</v>
      </c>
      <c r="G8546" s="1" t="s">
        <v>45252</v>
      </c>
      <c r="H8546" s="200"/>
      <c r="I8546" s="346"/>
      <c r="J8546" s="39">
        <v>112832</v>
      </c>
      <c r="K8546" s="36" t="str">
        <f>CONCATENATE(Cover!$D$6,"fdd/view?i=",J8546)</f>
        <v>https://www.dgiwg.org/FAD/fdd/view?i=112832</v>
      </c>
      <c r="L8546" s="36" t="s">
        <v>49365</v>
      </c>
      <c r="M8546" s="186"/>
      <c r="N8546" s="186"/>
      <c r="O8546" s="172"/>
    </row>
    <row r="8547" spans="1:15" ht="25.5" x14ac:dyDescent="0.2">
      <c r="A8547" s="197" t="str">
        <f t="shared" si="133"/>
        <v>SrtCode_electronicNavChart</v>
      </c>
      <c r="B8547" s="409"/>
      <c r="C8547" s="416"/>
      <c r="D8547" s="198" t="s">
        <v>45301</v>
      </c>
      <c r="E8547" s="198">
        <v>109</v>
      </c>
      <c r="F8547" s="199" t="s">
        <v>45302</v>
      </c>
      <c r="G8547" s="1" t="s">
        <v>49378</v>
      </c>
      <c r="H8547" s="200"/>
      <c r="I8547" s="346"/>
      <c r="J8547" s="39">
        <v>114396</v>
      </c>
      <c r="K8547" s="36" t="str">
        <f>CONCATENATE(Cover!$D$6,"fdd/view?i=",J8547)</f>
        <v>https://www.dgiwg.org/FAD/fdd/view?i=114396</v>
      </c>
      <c r="L8547" s="36" t="s">
        <v>49379</v>
      </c>
      <c r="M8547" s="186"/>
      <c r="N8547" s="186"/>
      <c r="O8547" s="172"/>
    </row>
    <row r="8548" spans="1:15" ht="25.5" x14ac:dyDescent="0.2">
      <c r="A8548" s="197" t="str">
        <f t="shared" si="133"/>
        <v>SrtCode_foreignNamesCommittee</v>
      </c>
      <c r="B8548" s="409"/>
      <c r="C8548" s="416"/>
      <c r="D8548" s="198" t="s">
        <v>45313</v>
      </c>
      <c r="E8548" s="198">
        <v>104</v>
      </c>
      <c r="F8548" s="199" t="s">
        <v>45314</v>
      </c>
      <c r="G8548" s="1" t="s">
        <v>45315</v>
      </c>
      <c r="H8548" s="200"/>
      <c r="I8548" s="346"/>
      <c r="J8548" s="39">
        <v>112831</v>
      </c>
      <c r="K8548" s="36" t="str">
        <f>CONCATENATE(Cover!$D$6,"fdd/view?i=",J8548)</f>
        <v>https://www.dgiwg.org/FAD/fdd/view?i=112831</v>
      </c>
      <c r="L8548" s="36" t="s">
        <v>49382</v>
      </c>
      <c r="M8548" s="186"/>
      <c r="N8548" s="186"/>
      <c r="O8548" s="172"/>
    </row>
    <row r="8549" spans="1:15" ht="25.5" x14ac:dyDescent="0.2">
      <c r="A8549" s="197" t="str">
        <f t="shared" si="133"/>
        <v>SrtCode_formoSat2</v>
      </c>
      <c r="B8549" s="409"/>
      <c r="C8549" s="416"/>
      <c r="D8549" s="198" t="s">
        <v>45317</v>
      </c>
      <c r="E8549" s="198">
        <v>145</v>
      </c>
      <c r="F8549" s="199" t="s">
        <v>45318</v>
      </c>
      <c r="G8549" s="1" t="s">
        <v>45319</v>
      </c>
      <c r="H8549" s="200"/>
      <c r="I8549" s="346"/>
      <c r="J8549" s="39">
        <v>118421</v>
      </c>
      <c r="K8549" s="36" t="str">
        <f>CONCATENATE(Cover!$D$6,"fdd/view?i=",J8549)</f>
        <v>https://www.dgiwg.org/FAD/fdd/view?i=118421</v>
      </c>
      <c r="L8549" s="36" t="s">
        <v>49383</v>
      </c>
      <c r="M8549" s="186"/>
      <c r="N8549" s="186"/>
      <c r="O8549" s="172"/>
    </row>
    <row r="8550" spans="1:15" ht="25.5" x14ac:dyDescent="0.2">
      <c r="A8550" s="197" t="str">
        <f t="shared" si="133"/>
        <v>SrtCode_frenchDefenseSensor</v>
      </c>
      <c r="B8550" s="409"/>
      <c r="C8550" s="416"/>
      <c r="D8550" s="198" t="s">
        <v>45321</v>
      </c>
      <c r="E8550" s="198">
        <v>123</v>
      </c>
      <c r="F8550" s="199" t="s">
        <v>45322</v>
      </c>
      <c r="G8550" s="1" t="s">
        <v>45323</v>
      </c>
      <c r="H8550" s="200"/>
      <c r="I8550" s="346"/>
      <c r="J8550" s="39">
        <v>118399</v>
      </c>
      <c r="K8550" s="36" t="str">
        <f>CONCATENATE(Cover!$D$6,"fdd/view?i=",J8550)</f>
        <v>https://www.dgiwg.org/FAD/fdd/view?i=118399</v>
      </c>
      <c r="L8550" s="36" t="s">
        <v>49384</v>
      </c>
      <c r="M8550" s="186"/>
      <c r="N8550" s="186"/>
      <c r="O8550" s="172"/>
    </row>
    <row r="8551" spans="1:15" ht="25.5" x14ac:dyDescent="0.2">
      <c r="A8551" s="197" t="str">
        <f t="shared" si="133"/>
        <v>SrtCode_frenchHRVectorDataVMap2i</v>
      </c>
      <c r="B8551" s="409"/>
      <c r="C8551" s="416"/>
      <c r="D8551" s="198" t="s">
        <v>45325</v>
      </c>
      <c r="E8551" s="198">
        <v>128</v>
      </c>
      <c r="F8551" s="199" t="s">
        <v>45326</v>
      </c>
      <c r="G8551" s="1" t="s">
        <v>45327</v>
      </c>
      <c r="H8551" s="200"/>
      <c r="I8551" s="346"/>
      <c r="J8551" s="39">
        <v>118404</v>
      </c>
      <c r="K8551" s="36" t="str">
        <f>CONCATENATE(Cover!$D$6,"fdd/view?i=",J8551)</f>
        <v>https://www.dgiwg.org/FAD/fdd/view?i=118404</v>
      </c>
      <c r="L8551" s="36" t="s">
        <v>49385</v>
      </c>
      <c r="M8551" s="186"/>
      <c r="N8551" s="186"/>
      <c r="O8551" s="172"/>
    </row>
    <row r="8552" spans="1:15" ht="25.5" x14ac:dyDescent="0.2">
      <c r="A8552" s="197" t="str">
        <f t="shared" si="133"/>
        <v>SrtCode_frenchImageProduct</v>
      </c>
      <c r="B8552" s="409"/>
      <c r="C8552" s="416"/>
      <c r="D8552" s="198" t="s">
        <v>45329</v>
      </c>
      <c r="E8552" s="198">
        <v>122</v>
      </c>
      <c r="F8552" s="199" t="s">
        <v>45330</v>
      </c>
      <c r="G8552" s="1" t="s">
        <v>45331</v>
      </c>
      <c r="H8552" s="200"/>
      <c r="I8552" s="346"/>
      <c r="J8552" s="39">
        <v>118398</v>
      </c>
      <c r="K8552" s="36" t="str">
        <f>CONCATENATE(Cover!$D$6,"fdd/view?i=",J8552)</f>
        <v>https://www.dgiwg.org/FAD/fdd/view?i=118398</v>
      </c>
      <c r="L8552" s="36" t="s">
        <v>49386</v>
      </c>
      <c r="M8552" s="186"/>
      <c r="N8552" s="186"/>
      <c r="O8552" s="172"/>
    </row>
    <row r="8553" spans="1:15" ht="25.5" x14ac:dyDescent="0.2">
      <c r="A8553" s="197" t="str">
        <f t="shared" si="133"/>
        <v>SrtCode_frenchUrbanCartoKheper</v>
      </c>
      <c r="B8553" s="409"/>
      <c r="C8553" s="416"/>
      <c r="D8553" s="198" t="s">
        <v>45357</v>
      </c>
      <c r="E8553" s="198">
        <v>135</v>
      </c>
      <c r="F8553" s="199" t="s">
        <v>45358</v>
      </c>
      <c r="G8553" s="1" t="s">
        <v>45359</v>
      </c>
      <c r="H8553" s="200"/>
      <c r="I8553" s="346"/>
      <c r="J8553" s="39">
        <v>118411</v>
      </c>
      <c r="K8553" s="36" t="str">
        <f>CONCATENATE(Cover!$D$6,"fdd/view?i=",J8553)</f>
        <v>https://www.dgiwg.org/FAD/fdd/view?i=118411</v>
      </c>
      <c r="L8553" s="36" t="s">
        <v>49393</v>
      </c>
      <c r="M8553" s="186"/>
      <c r="N8553" s="186"/>
      <c r="O8553" s="172"/>
    </row>
    <row r="8554" spans="1:15" ht="25.5" x14ac:dyDescent="0.2">
      <c r="A8554" s="197" t="str">
        <f t="shared" si="133"/>
        <v>SrtCode_frenchUrbanCartoTopo</v>
      </c>
      <c r="B8554" s="409"/>
      <c r="C8554" s="416"/>
      <c r="D8554" s="198" t="s">
        <v>45361</v>
      </c>
      <c r="E8554" s="198">
        <v>136</v>
      </c>
      <c r="F8554" s="199" t="s">
        <v>45362</v>
      </c>
      <c r="G8554" s="1" t="s">
        <v>45363</v>
      </c>
      <c r="H8554" s="200"/>
      <c r="I8554" s="346"/>
      <c r="J8554" s="39">
        <v>118412</v>
      </c>
      <c r="K8554" s="36" t="str">
        <f>CONCATENATE(Cover!$D$6,"fdd/view?i=",J8554)</f>
        <v>https://www.dgiwg.org/FAD/fdd/view?i=118412</v>
      </c>
      <c r="L8554" s="36" t="s">
        <v>49394</v>
      </c>
      <c r="M8554" s="186"/>
      <c r="N8554" s="186"/>
      <c r="O8554" s="172"/>
    </row>
    <row r="8555" spans="1:15" ht="25.5" x14ac:dyDescent="0.2">
      <c r="A8555" s="197" t="str">
        <f t="shared" si="133"/>
        <v>SrtCode_frOrthoLevel2Kheper</v>
      </c>
      <c r="B8555" s="409"/>
      <c r="C8555" s="416"/>
      <c r="D8555" s="198" t="s">
        <v>45337</v>
      </c>
      <c r="E8555" s="198">
        <v>131</v>
      </c>
      <c r="F8555" s="199" t="s">
        <v>45338</v>
      </c>
      <c r="G8555" s="1" t="s">
        <v>45339</v>
      </c>
      <c r="H8555" s="200"/>
      <c r="I8555" s="346"/>
      <c r="J8555" s="39">
        <v>118407</v>
      </c>
      <c r="K8555" s="36" t="str">
        <f>CONCATENATE(Cover!$D$6,"fdd/view?i=",J8555)</f>
        <v>https://www.dgiwg.org/FAD/fdd/view?i=118407</v>
      </c>
      <c r="L8555" s="36" t="s">
        <v>49388</v>
      </c>
      <c r="M8555" s="186"/>
      <c r="N8555" s="186"/>
      <c r="O8555" s="172"/>
    </row>
    <row r="8556" spans="1:15" ht="38.25" x14ac:dyDescent="0.2">
      <c r="A8556" s="197" t="str">
        <f t="shared" si="133"/>
        <v>SrtCode_frOrthoLvl2GeoBaseDefense</v>
      </c>
      <c r="B8556" s="409"/>
      <c r="C8556" s="416"/>
      <c r="D8556" s="198" t="s">
        <v>45333</v>
      </c>
      <c r="E8556" s="198">
        <v>129</v>
      </c>
      <c r="F8556" s="199" t="s">
        <v>45334</v>
      </c>
      <c r="G8556" s="1" t="s">
        <v>45335</v>
      </c>
      <c r="H8556" s="200"/>
      <c r="I8556" s="346"/>
      <c r="J8556" s="39">
        <v>118405</v>
      </c>
      <c r="K8556" s="36" t="str">
        <f>CONCATENATE(Cover!$D$6,"fdd/view?i=",J8556)</f>
        <v>https://www.dgiwg.org/FAD/fdd/view?i=118405</v>
      </c>
      <c r="L8556" s="36" t="s">
        <v>49387</v>
      </c>
      <c r="M8556" s="186"/>
      <c r="N8556" s="186"/>
      <c r="O8556" s="172"/>
    </row>
    <row r="8557" spans="1:15" ht="38.25" x14ac:dyDescent="0.2">
      <c r="A8557" s="197" t="str">
        <f t="shared" si="133"/>
        <v>SrtCode_frOrthoLvl2TopoBaseDef</v>
      </c>
      <c r="B8557" s="409"/>
      <c r="C8557" s="416"/>
      <c r="D8557" s="198" t="s">
        <v>45341</v>
      </c>
      <c r="E8557" s="198">
        <v>130</v>
      </c>
      <c r="F8557" s="199" t="s">
        <v>45342</v>
      </c>
      <c r="G8557" s="1" t="s">
        <v>45343</v>
      </c>
      <c r="H8557" s="200"/>
      <c r="I8557" s="346"/>
      <c r="J8557" s="39">
        <v>118406</v>
      </c>
      <c r="K8557" s="36" t="str">
        <f>CONCATENATE(Cover!$D$6,"fdd/view?i=",J8557)</f>
        <v>https://www.dgiwg.org/FAD/fdd/view?i=118406</v>
      </c>
      <c r="L8557" s="36" t="s">
        <v>49389</v>
      </c>
      <c r="M8557" s="186"/>
      <c r="N8557" s="186"/>
      <c r="O8557" s="172"/>
    </row>
    <row r="8558" spans="1:15" ht="38.25" x14ac:dyDescent="0.2">
      <c r="A8558" s="197" t="str">
        <f t="shared" si="133"/>
        <v>SrtCode_frOrthoLvl3GeoBaseDefense</v>
      </c>
      <c r="B8558" s="409"/>
      <c r="C8558" s="416"/>
      <c r="D8558" s="198" t="s">
        <v>45345</v>
      </c>
      <c r="E8558" s="198">
        <v>132</v>
      </c>
      <c r="F8558" s="199" t="s">
        <v>45346</v>
      </c>
      <c r="G8558" s="1" t="s">
        <v>45347</v>
      </c>
      <c r="H8558" s="200"/>
      <c r="I8558" s="346"/>
      <c r="J8558" s="39">
        <v>118408</v>
      </c>
      <c r="K8558" s="36" t="str">
        <f>CONCATENATE(Cover!$D$6,"fdd/view?i=",J8558)</f>
        <v>https://www.dgiwg.org/FAD/fdd/view?i=118408</v>
      </c>
      <c r="L8558" s="36" t="s">
        <v>49390</v>
      </c>
      <c r="M8558" s="186"/>
      <c r="N8558" s="186"/>
      <c r="O8558" s="172"/>
    </row>
    <row r="8559" spans="1:15" ht="25.5" x14ac:dyDescent="0.2">
      <c r="A8559" s="197" t="str">
        <f t="shared" si="133"/>
        <v>SrtCode_frOrthoUrbanLvlKheper</v>
      </c>
      <c r="B8559" s="409"/>
      <c r="C8559" s="416"/>
      <c r="D8559" s="198" t="s">
        <v>45349</v>
      </c>
      <c r="E8559" s="198">
        <v>134</v>
      </c>
      <c r="F8559" s="199" t="s">
        <v>45350</v>
      </c>
      <c r="G8559" s="1" t="s">
        <v>45351</v>
      </c>
      <c r="H8559" s="200"/>
      <c r="I8559" s="346"/>
      <c r="J8559" s="39">
        <v>118410</v>
      </c>
      <c r="K8559" s="36" t="str">
        <f>CONCATENATE(Cover!$D$6,"fdd/view?i=",J8559)</f>
        <v>https://www.dgiwg.org/FAD/fdd/view?i=118410</v>
      </c>
      <c r="L8559" s="36" t="s">
        <v>49391</v>
      </c>
      <c r="M8559" s="186"/>
      <c r="N8559" s="186"/>
      <c r="O8559" s="172"/>
    </row>
    <row r="8560" spans="1:15" ht="38.25" x14ac:dyDescent="0.2">
      <c r="A8560" s="197" t="str">
        <f t="shared" si="133"/>
        <v>SrtCode_frOrthoUrbLvlTopoBaseDef</v>
      </c>
      <c r="B8560" s="409"/>
      <c r="C8560" s="416"/>
      <c r="D8560" s="198" t="s">
        <v>45353</v>
      </c>
      <c r="E8560" s="198">
        <v>133</v>
      </c>
      <c r="F8560" s="199" t="s">
        <v>45354</v>
      </c>
      <c r="G8560" s="1" t="s">
        <v>45355</v>
      </c>
      <c r="H8560" s="200"/>
      <c r="I8560" s="346"/>
      <c r="J8560" s="39">
        <v>118409</v>
      </c>
      <c r="K8560" s="36" t="str">
        <f>CONCATENATE(Cover!$D$6,"fdd/view?i=",J8560)</f>
        <v>https://www.dgiwg.org/FAD/fdd/view?i=118409</v>
      </c>
      <c r="L8560" s="36" t="s">
        <v>49392</v>
      </c>
      <c r="M8560" s="186"/>
      <c r="N8560" s="186"/>
      <c r="O8560" s="172"/>
    </row>
    <row r="8561" spans="1:15" x14ac:dyDescent="0.2">
      <c r="A8561" s="197" t="str">
        <f t="shared" si="133"/>
        <v>SrtCode_gazetteer</v>
      </c>
      <c r="B8561" s="409"/>
      <c r="C8561" s="416"/>
      <c r="D8561" s="198" t="s">
        <v>45365</v>
      </c>
      <c r="E8561" s="198">
        <v>125</v>
      </c>
      <c r="F8561" s="199" t="s">
        <v>45366</v>
      </c>
      <c r="G8561" s="1" t="s">
        <v>45367</v>
      </c>
      <c r="H8561" s="200"/>
      <c r="I8561" s="346"/>
      <c r="J8561" s="39">
        <v>118401</v>
      </c>
      <c r="K8561" s="36" t="str">
        <f>CONCATENATE(Cover!$D$6,"fdd/view?i=",J8561)</f>
        <v>https://www.dgiwg.org/FAD/fdd/view?i=118401</v>
      </c>
      <c r="L8561" s="36" t="s">
        <v>49395</v>
      </c>
      <c r="M8561" s="186"/>
      <c r="N8561" s="186"/>
      <c r="O8561" s="172"/>
    </row>
    <row r="8562" spans="1:15" x14ac:dyDescent="0.2">
      <c r="A8562" s="197" t="str">
        <f t="shared" si="133"/>
        <v>SrtCode_geoEye1</v>
      </c>
      <c r="B8562" s="409"/>
      <c r="C8562" s="416"/>
      <c r="D8562" s="198" t="s">
        <v>45369</v>
      </c>
      <c r="E8562" s="198">
        <v>139</v>
      </c>
      <c r="F8562" s="199" t="s">
        <v>45370</v>
      </c>
      <c r="G8562" s="1" t="s">
        <v>45371</v>
      </c>
      <c r="H8562" s="200"/>
      <c r="I8562" s="346"/>
      <c r="J8562" s="39">
        <v>118415</v>
      </c>
      <c r="K8562" s="36" t="str">
        <f>CONCATENATE(Cover!$D$6,"fdd/view?i=",J8562)</f>
        <v>https://www.dgiwg.org/FAD/fdd/view?i=118415</v>
      </c>
      <c r="L8562" s="36" t="s">
        <v>49396</v>
      </c>
      <c r="M8562" s="186"/>
      <c r="N8562" s="186"/>
      <c r="O8562" s="172"/>
    </row>
    <row r="8563" spans="1:15" ht="25.5" x14ac:dyDescent="0.2">
      <c r="A8563" s="197" t="str">
        <f t="shared" si="133"/>
        <v>SrtCode_gpsBasedFieldCollect</v>
      </c>
      <c r="B8563" s="409"/>
      <c r="C8563" s="416"/>
      <c r="D8563" s="198" t="s">
        <v>45377</v>
      </c>
      <c r="E8563" s="198">
        <v>26</v>
      </c>
      <c r="F8563" s="199" t="s">
        <v>45378</v>
      </c>
      <c r="G8563" s="1" t="s">
        <v>45379</v>
      </c>
      <c r="H8563" s="200"/>
      <c r="I8563" s="346"/>
      <c r="J8563" s="39">
        <v>110493</v>
      </c>
      <c r="K8563" s="36" t="str">
        <f>CONCATENATE(Cover!$D$6,"fdd/view?i=",J8563)</f>
        <v>https://www.dgiwg.org/FAD/fdd/view?i=110493</v>
      </c>
      <c r="L8563" s="36" t="s">
        <v>49398</v>
      </c>
      <c r="M8563" s="186"/>
      <c r="N8563" s="186"/>
      <c r="O8563" s="172"/>
    </row>
    <row r="8564" spans="1:15" ht="38.25" x14ac:dyDescent="0.2">
      <c r="A8564" s="197" t="str">
        <f t="shared" si="133"/>
        <v>SrtCode_highResCommMonoImage</v>
      </c>
      <c r="B8564" s="409"/>
      <c r="C8564" s="416"/>
      <c r="D8564" s="198" t="s">
        <v>45381</v>
      </c>
      <c r="E8564" s="198">
        <v>112</v>
      </c>
      <c r="F8564" s="199" t="s">
        <v>45382</v>
      </c>
      <c r="G8564" s="1" t="s">
        <v>45383</v>
      </c>
      <c r="H8564" s="200"/>
      <c r="I8564" s="346"/>
      <c r="J8564" s="39">
        <v>118103</v>
      </c>
      <c r="K8564" s="36" t="str">
        <f>CONCATENATE(Cover!$D$6,"fdd/view?i=",J8564)</f>
        <v>https://www.dgiwg.org/FAD/fdd/view?i=118103</v>
      </c>
      <c r="L8564" s="36" t="s">
        <v>49399</v>
      </c>
      <c r="M8564" s="186"/>
      <c r="N8564" s="186"/>
      <c r="O8564" s="172"/>
    </row>
    <row r="8565" spans="1:15" ht="38.25" x14ac:dyDescent="0.2">
      <c r="A8565" s="197" t="str">
        <f t="shared" si="133"/>
        <v>SrtCode_highResCommStereoImage</v>
      </c>
      <c r="B8565" s="409"/>
      <c r="C8565" s="416"/>
      <c r="D8565" s="198" t="s">
        <v>45385</v>
      </c>
      <c r="E8565" s="198">
        <v>113</v>
      </c>
      <c r="F8565" s="199" t="s">
        <v>45386</v>
      </c>
      <c r="G8565" s="1" t="s">
        <v>45387</v>
      </c>
      <c r="H8565" s="200"/>
      <c r="I8565" s="346"/>
      <c r="J8565" s="39">
        <v>118104</v>
      </c>
      <c r="K8565" s="36" t="str">
        <f>CONCATENATE(Cover!$D$6,"fdd/view?i=",J8565)</f>
        <v>https://www.dgiwg.org/FAD/fdd/view?i=118104</v>
      </c>
      <c r="L8565" s="36" t="s">
        <v>49400</v>
      </c>
      <c r="M8565" s="186"/>
      <c r="N8565" s="186"/>
      <c r="O8565" s="172"/>
    </row>
    <row r="8566" spans="1:15" ht="38.25" x14ac:dyDescent="0.2">
      <c r="A8566" s="197" t="str">
        <f t="shared" si="133"/>
        <v>SrtCode_highResMonoSarImage</v>
      </c>
      <c r="B8566" s="409"/>
      <c r="C8566" s="416"/>
      <c r="D8566" s="198" t="s">
        <v>45389</v>
      </c>
      <c r="E8566" s="198">
        <v>155</v>
      </c>
      <c r="F8566" s="199" t="s">
        <v>45390</v>
      </c>
      <c r="G8566" s="1" t="s">
        <v>45391</v>
      </c>
      <c r="H8566" s="200"/>
      <c r="I8566" s="346"/>
      <c r="J8566" s="39">
        <v>118536</v>
      </c>
      <c r="K8566" s="36" t="str">
        <f>CONCATENATE(Cover!$D$6,"fdd/view?i=",J8566)</f>
        <v>https://www.dgiwg.org/FAD/fdd/view?i=118536</v>
      </c>
      <c r="L8566" s="36" t="s">
        <v>49401</v>
      </c>
      <c r="M8566" s="186"/>
      <c r="N8566" s="186"/>
      <c r="O8566" s="172"/>
    </row>
    <row r="8567" spans="1:15" ht="38.25" x14ac:dyDescent="0.2">
      <c r="A8567" s="197" t="str">
        <f t="shared" si="133"/>
        <v>SrtCode_highResStereoSarImage</v>
      </c>
      <c r="B8567" s="409"/>
      <c r="C8567" s="416"/>
      <c r="D8567" s="198" t="s">
        <v>45393</v>
      </c>
      <c r="E8567" s="198">
        <v>156</v>
      </c>
      <c r="F8567" s="199" t="s">
        <v>45394</v>
      </c>
      <c r="G8567" s="1" t="s">
        <v>45395</v>
      </c>
      <c r="H8567" s="200"/>
      <c r="I8567" s="346"/>
      <c r="J8567" s="39">
        <v>118537</v>
      </c>
      <c r="K8567" s="36" t="str">
        <f>CONCATENATE(Cover!$D$6,"fdd/view?i=",J8567)</f>
        <v>https://www.dgiwg.org/FAD/fdd/view?i=118537</v>
      </c>
      <c r="L8567" s="36" t="s">
        <v>49402</v>
      </c>
      <c r="M8567" s="186"/>
      <c r="N8567" s="186"/>
      <c r="O8567" s="172"/>
    </row>
    <row r="8568" spans="1:15" ht="25.5" x14ac:dyDescent="0.2">
      <c r="A8568" s="197" t="str">
        <f t="shared" si="133"/>
        <v>SrtCode_ikonosImagery</v>
      </c>
      <c r="B8568" s="409"/>
      <c r="C8568" s="416"/>
      <c r="D8568" s="198" t="s">
        <v>45401</v>
      </c>
      <c r="E8568" s="198">
        <v>28</v>
      </c>
      <c r="F8568" s="199" t="s">
        <v>45402</v>
      </c>
      <c r="G8568" s="1" t="s">
        <v>45403</v>
      </c>
      <c r="H8568" s="200"/>
      <c r="I8568" s="346"/>
      <c r="J8568" s="39">
        <v>110495</v>
      </c>
      <c r="K8568" s="36" t="str">
        <f>CONCATENATE(Cover!$D$6,"fdd/view?i=",J8568)</f>
        <v>https://www.dgiwg.org/FAD/fdd/view?i=110495</v>
      </c>
      <c r="L8568" s="36" t="s">
        <v>49405</v>
      </c>
      <c r="M8568" s="186"/>
      <c r="N8568" s="186"/>
      <c r="O8568" s="172"/>
    </row>
    <row r="8569" spans="1:15" ht="25.5" x14ac:dyDescent="0.2">
      <c r="A8569" s="197" t="str">
        <f t="shared" si="133"/>
        <v>SrtCode_ikonosMultiMono</v>
      </c>
      <c r="B8569" s="409"/>
      <c r="C8569" s="416"/>
      <c r="D8569" s="198" t="s">
        <v>45405</v>
      </c>
      <c r="E8569" s="198">
        <v>70</v>
      </c>
      <c r="F8569" s="199" t="s">
        <v>45406</v>
      </c>
      <c r="G8569" s="1" t="s">
        <v>45407</v>
      </c>
      <c r="H8569" s="200"/>
      <c r="I8569" s="346"/>
      <c r="J8569" s="39">
        <v>111035</v>
      </c>
      <c r="K8569" s="36" t="str">
        <f>CONCATENATE(Cover!$D$6,"fdd/view?i=",J8569)</f>
        <v>https://www.dgiwg.org/FAD/fdd/view?i=111035</v>
      </c>
      <c r="L8569" s="36" t="s">
        <v>49406</v>
      </c>
      <c r="M8569" s="186"/>
      <c r="N8569" s="186"/>
      <c r="O8569" s="172"/>
    </row>
    <row r="8570" spans="1:15" ht="25.5" x14ac:dyDescent="0.2">
      <c r="A8570" s="197" t="str">
        <f t="shared" si="133"/>
        <v>SrtCode_ikonosMultiStereo</v>
      </c>
      <c r="B8570" s="409"/>
      <c r="C8570" s="416"/>
      <c r="D8570" s="198" t="s">
        <v>45409</v>
      </c>
      <c r="E8570" s="198">
        <v>71</v>
      </c>
      <c r="F8570" s="199" t="s">
        <v>45410</v>
      </c>
      <c r="G8570" s="1" t="s">
        <v>45411</v>
      </c>
      <c r="H8570" s="200"/>
      <c r="I8570" s="346"/>
      <c r="J8570" s="39">
        <v>111036</v>
      </c>
      <c r="K8570" s="36" t="str">
        <f>CONCATENATE(Cover!$D$6,"fdd/view?i=",J8570)</f>
        <v>https://www.dgiwg.org/FAD/fdd/view?i=111036</v>
      </c>
      <c r="L8570" s="36" t="s">
        <v>49407</v>
      </c>
      <c r="M8570" s="186"/>
      <c r="N8570" s="186"/>
      <c r="O8570" s="172"/>
    </row>
    <row r="8571" spans="1:15" ht="25.5" x14ac:dyDescent="0.2">
      <c r="A8571" s="197" t="str">
        <f t="shared" si="133"/>
        <v>SrtCode_ikonosPanMono</v>
      </c>
      <c r="B8571" s="409"/>
      <c r="C8571" s="416"/>
      <c r="D8571" s="198" t="s">
        <v>45413</v>
      </c>
      <c r="E8571" s="198">
        <v>72</v>
      </c>
      <c r="F8571" s="199" t="s">
        <v>45414</v>
      </c>
      <c r="G8571" s="1" t="s">
        <v>45415</v>
      </c>
      <c r="H8571" s="200"/>
      <c r="I8571" s="346"/>
      <c r="J8571" s="39">
        <v>111037</v>
      </c>
      <c r="K8571" s="36" t="str">
        <f>CONCATENATE(Cover!$D$6,"fdd/view?i=",J8571)</f>
        <v>https://www.dgiwg.org/FAD/fdd/view?i=111037</v>
      </c>
      <c r="L8571" s="36" t="s">
        <v>49408</v>
      </c>
      <c r="M8571" s="186"/>
      <c r="N8571" s="186"/>
      <c r="O8571" s="172"/>
    </row>
    <row r="8572" spans="1:15" ht="25.5" x14ac:dyDescent="0.2">
      <c r="A8572" s="197" t="str">
        <f t="shared" si="133"/>
        <v>SrtCode_ikonosPanStereo</v>
      </c>
      <c r="B8572" s="409"/>
      <c r="C8572" s="416"/>
      <c r="D8572" s="198" t="s">
        <v>45417</v>
      </c>
      <c r="E8572" s="198">
        <v>73</v>
      </c>
      <c r="F8572" s="199" t="s">
        <v>45418</v>
      </c>
      <c r="G8572" s="1" t="s">
        <v>45419</v>
      </c>
      <c r="H8572" s="200"/>
      <c r="I8572" s="346"/>
      <c r="J8572" s="39">
        <v>111038</v>
      </c>
      <c r="K8572" s="36" t="str">
        <f>CONCATENATE(Cover!$D$6,"fdd/view?i=",J8572)</f>
        <v>https://www.dgiwg.org/FAD/fdd/view?i=111038</v>
      </c>
      <c r="L8572" s="36" t="s">
        <v>49409</v>
      </c>
      <c r="M8572" s="186"/>
      <c r="N8572" s="186"/>
      <c r="O8572" s="172"/>
    </row>
    <row r="8573" spans="1:15" ht="25.5" x14ac:dyDescent="0.2">
      <c r="A8573" s="197" t="str">
        <f t="shared" si="133"/>
        <v>SrtCode_imageryUnspecified</v>
      </c>
      <c r="B8573" s="409"/>
      <c r="C8573" s="416"/>
      <c r="D8573" s="198" t="s">
        <v>45421</v>
      </c>
      <c r="E8573" s="198">
        <v>30</v>
      </c>
      <c r="F8573" s="199" t="s">
        <v>45422</v>
      </c>
      <c r="G8573" s="1" t="s">
        <v>45423</v>
      </c>
      <c r="H8573" s="200"/>
      <c r="I8573" s="346"/>
      <c r="J8573" s="39">
        <v>110498</v>
      </c>
      <c r="K8573" s="36" t="str">
        <f>CONCATENATE(Cover!$D$6,"fdd/view?i=",J8573)</f>
        <v>https://www.dgiwg.org/FAD/fdd/view?i=110498</v>
      </c>
      <c r="L8573" s="36" t="s">
        <v>49410</v>
      </c>
      <c r="M8573" s="186"/>
      <c r="N8573" s="186"/>
      <c r="O8573" s="172"/>
    </row>
    <row r="8574" spans="1:15" ht="25.5" x14ac:dyDescent="0.2">
      <c r="A8574" s="197" t="str">
        <f t="shared" si="133"/>
        <v>SrtCode_kompSat2</v>
      </c>
      <c r="B8574" s="409"/>
      <c r="C8574" s="416"/>
      <c r="D8574" s="198" t="s">
        <v>45441</v>
      </c>
      <c r="E8574" s="198">
        <v>144</v>
      </c>
      <c r="F8574" s="199" t="s">
        <v>45442</v>
      </c>
      <c r="G8574" s="1" t="s">
        <v>45443</v>
      </c>
      <c r="H8574" s="200"/>
      <c r="I8574" s="346"/>
      <c r="J8574" s="39">
        <v>118420</v>
      </c>
      <c r="K8574" s="36" t="str">
        <f>CONCATENATE(Cover!$D$6,"fdd/view?i=",J8574)</f>
        <v>https://www.dgiwg.org/FAD/fdd/view?i=118420</v>
      </c>
      <c r="L8574" s="36" t="s">
        <v>49415</v>
      </c>
      <c r="M8574" s="186"/>
      <c r="N8574" s="186"/>
      <c r="O8574" s="172"/>
    </row>
    <row r="8575" spans="1:15" ht="25.5" x14ac:dyDescent="0.2">
      <c r="A8575" s="197" t="str">
        <f t="shared" si="133"/>
        <v>SrtCode_landsatImagery</v>
      </c>
      <c r="B8575" s="409"/>
      <c r="C8575" s="416"/>
      <c r="D8575" s="198" t="s">
        <v>45448</v>
      </c>
      <c r="E8575" s="198">
        <v>35</v>
      </c>
      <c r="F8575" s="199" t="s">
        <v>45449</v>
      </c>
      <c r="G8575" s="1" t="s">
        <v>45450</v>
      </c>
      <c r="H8575" s="200"/>
      <c r="I8575" s="346"/>
      <c r="J8575" s="39">
        <v>110503</v>
      </c>
      <c r="K8575" s="36" t="str">
        <f>CONCATENATE(Cover!$D$6,"fdd/view?i=",J8575)</f>
        <v>https://www.dgiwg.org/FAD/fdd/view?i=110503</v>
      </c>
      <c r="L8575" s="36" t="s">
        <v>49417</v>
      </c>
      <c r="M8575" s="186"/>
      <c r="N8575" s="186"/>
      <c r="O8575" s="172"/>
    </row>
    <row r="8576" spans="1:15" ht="38.25" x14ac:dyDescent="0.2">
      <c r="A8576" s="197" t="str">
        <f t="shared" si="133"/>
        <v>SrtCode_lowResCommMonoImage</v>
      </c>
      <c r="B8576" s="409"/>
      <c r="C8576" s="416"/>
      <c r="D8576" s="198" t="s">
        <v>45452</v>
      </c>
      <c r="E8576" s="198">
        <v>116</v>
      </c>
      <c r="F8576" s="199" t="s">
        <v>45453</v>
      </c>
      <c r="G8576" s="1" t="s">
        <v>45454</v>
      </c>
      <c r="H8576" s="200"/>
      <c r="I8576" s="346"/>
      <c r="J8576" s="39">
        <v>118107</v>
      </c>
      <c r="K8576" s="36" t="str">
        <f>CONCATENATE(Cover!$D$6,"fdd/view?i=",J8576)</f>
        <v>https://www.dgiwg.org/FAD/fdd/view?i=118107</v>
      </c>
      <c r="L8576" s="36" t="s">
        <v>49418</v>
      </c>
      <c r="M8576" s="186"/>
      <c r="N8576" s="186"/>
      <c r="O8576" s="172"/>
    </row>
    <row r="8577" spans="1:15" ht="38.25" x14ac:dyDescent="0.2">
      <c r="A8577" s="197" t="str">
        <f t="shared" si="133"/>
        <v>SrtCode_lowResCommStereoImage</v>
      </c>
      <c r="B8577" s="409"/>
      <c r="C8577" s="416"/>
      <c r="D8577" s="198" t="s">
        <v>45456</v>
      </c>
      <c r="E8577" s="198">
        <v>117</v>
      </c>
      <c r="F8577" s="199" t="s">
        <v>45457</v>
      </c>
      <c r="G8577" s="1" t="s">
        <v>45458</v>
      </c>
      <c r="H8577" s="200"/>
      <c r="I8577" s="346"/>
      <c r="J8577" s="39">
        <v>118108</v>
      </c>
      <c r="K8577" s="36" t="str">
        <f>CONCATENATE(Cover!$D$6,"fdd/view?i=",J8577)</f>
        <v>https://www.dgiwg.org/FAD/fdd/view?i=118108</v>
      </c>
      <c r="L8577" s="36" t="s">
        <v>49419</v>
      </c>
      <c r="M8577" s="186"/>
      <c r="N8577" s="186"/>
      <c r="O8577" s="172"/>
    </row>
    <row r="8578" spans="1:15" ht="25.5" x14ac:dyDescent="0.2">
      <c r="A8578" s="197" t="str">
        <f t="shared" ref="A8578:A8641" si="134">HYPERLINK(K8578,L8578)</f>
        <v>SrtCode_mapChartOrGeodeticData</v>
      </c>
      <c r="B8578" s="409"/>
      <c r="C8578" s="416"/>
      <c r="D8578" s="198" t="s">
        <v>45480</v>
      </c>
      <c r="E8578" s="198">
        <v>37</v>
      </c>
      <c r="F8578" s="199" t="s">
        <v>45481</v>
      </c>
      <c r="G8578" s="1" t="s">
        <v>45482</v>
      </c>
      <c r="H8578" s="200"/>
      <c r="I8578" s="346"/>
      <c r="J8578" s="39">
        <v>110505</v>
      </c>
      <c r="K8578" s="36" t="str">
        <f>CONCATENATE(Cover!$D$6,"fdd/view?i=",J8578)</f>
        <v>https://www.dgiwg.org/FAD/fdd/view?i=110505</v>
      </c>
      <c r="L8578" s="36" t="s">
        <v>49425</v>
      </c>
      <c r="M8578" s="186"/>
      <c r="N8578" s="186"/>
      <c r="O8578" s="172"/>
    </row>
    <row r="8579" spans="1:15" ht="25.5" x14ac:dyDescent="0.2">
      <c r="A8579" s="197" t="str">
        <f t="shared" si="134"/>
        <v>SrtCode_mapOneToFiftyK</v>
      </c>
      <c r="B8579" s="409"/>
      <c r="C8579" s="416"/>
      <c r="D8579" s="198" t="s">
        <v>45472</v>
      </c>
      <c r="E8579" s="198">
        <v>119</v>
      </c>
      <c r="F8579" s="199" t="s">
        <v>45473</v>
      </c>
      <c r="G8579" s="1" t="s">
        <v>45474</v>
      </c>
      <c r="H8579" s="200"/>
      <c r="I8579" s="346"/>
      <c r="J8579" s="39">
        <v>118110</v>
      </c>
      <c r="K8579" s="36" t="str">
        <f>CONCATENATE(Cover!$D$6,"fdd/view?i=",J8579)</f>
        <v>https://www.dgiwg.org/FAD/fdd/view?i=118110</v>
      </c>
      <c r="L8579" s="36" t="s">
        <v>49423</v>
      </c>
      <c r="M8579" s="186"/>
      <c r="N8579" s="186"/>
      <c r="O8579" s="172"/>
    </row>
    <row r="8580" spans="1:15" ht="25.5" x14ac:dyDescent="0.2">
      <c r="A8580" s="197" t="str">
        <f t="shared" si="134"/>
        <v>SrtCode_mapOneToHundredK</v>
      </c>
      <c r="B8580" s="409"/>
      <c r="C8580" s="416"/>
      <c r="D8580" s="198" t="s">
        <v>45464</v>
      </c>
      <c r="E8580" s="198">
        <v>120</v>
      </c>
      <c r="F8580" s="199" t="s">
        <v>45465</v>
      </c>
      <c r="G8580" s="1" t="s">
        <v>45466</v>
      </c>
      <c r="H8580" s="200"/>
      <c r="I8580" s="346"/>
      <c r="J8580" s="39">
        <v>118111</v>
      </c>
      <c r="K8580" s="36" t="str">
        <f>CONCATENATE(Cover!$D$6,"fdd/view?i=",J8580)</f>
        <v>https://www.dgiwg.org/FAD/fdd/view?i=118111</v>
      </c>
      <c r="L8580" s="36" t="s">
        <v>49421</v>
      </c>
      <c r="M8580" s="186"/>
      <c r="N8580" s="186"/>
      <c r="O8580" s="172"/>
    </row>
    <row r="8581" spans="1:15" ht="25.5" x14ac:dyDescent="0.2">
      <c r="A8581" s="197" t="str">
        <f t="shared" si="134"/>
        <v>SrtCode_mapOneToTwentyFiveK</v>
      </c>
      <c r="B8581" s="409"/>
      <c r="C8581" s="416"/>
      <c r="D8581" s="198" t="s">
        <v>45468</v>
      </c>
      <c r="E8581" s="198">
        <v>118</v>
      </c>
      <c r="F8581" s="199" t="s">
        <v>45469</v>
      </c>
      <c r="G8581" s="1" t="s">
        <v>45470</v>
      </c>
      <c r="H8581" s="200"/>
      <c r="I8581" s="346"/>
      <c r="J8581" s="39">
        <v>118109</v>
      </c>
      <c r="K8581" s="36" t="str">
        <f>CONCATENATE(Cover!$D$6,"fdd/view?i=",J8581)</f>
        <v>https://www.dgiwg.org/FAD/fdd/view?i=118109</v>
      </c>
      <c r="L8581" s="36" t="s">
        <v>49422</v>
      </c>
      <c r="M8581" s="186"/>
      <c r="N8581" s="186"/>
      <c r="O8581" s="172"/>
    </row>
    <row r="8582" spans="1:15" x14ac:dyDescent="0.2">
      <c r="A8582" s="197" t="str">
        <f t="shared" si="134"/>
        <v>SrtCode_maritimeChart</v>
      </c>
      <c r="B8582" s="409"/>
      <c r="C8582" s="416"/>
      <c r="D8582" s="198" t="s">
        <v>45476</v>
      </c>
      <c r="E8582" s="198">
        <v>101</v>
      </c>
      <c r="F8582" s="199" t="s">
        <v>45477</v>
      </c>
      <c r="G8582" s="1" t="s">
        <v>45478</v>
      </c>
      <c r="H8582" s="200"/>
      <c r="I8582" s="346"/>
      <c r="J8582" s="39">
        <v>112916</v>
      </c>
      <c r="K8582" s="36" t="str">
        <f>CONCATENATE(Cover!$D$6,"fdd/view?i=",J8582)</f>
        <v>https://www.dgiwg.org/FAD/fdd/view?i=112916</v>
      </c>
      <c r="L8582" s="36" t="s">
        <v>49424</v>
      </c>
      <c r="M8582" s="186"/>
      <c r="N8582" s="186"/>
      <c r="O8582" s="172"/>
    </row>
    <row r="8583" spans="1:15" ht="38.25" x14ac:dyDescent="0.2">
      <c r="A8583" s="197" t="str">
        <f t="shared" si="134"/>
        <v>SrtCode_mediumResCommMonoImage</v>
      </c>
      <c r="B8583" s="409"/>
      <c r="C8583" s="416"/>
      <c r="D8583" s="198" t="s">
        <v>45488</v>
      </c>
      <c r="E8583" s="198">
        <v>114</v>
      </c>
      <c r="F8583" s="199" t="s">
        <v>45489</v>
      </c>
      <c r="G8583" s="1" t="s">
        <v>45490</v>
      </c>
      <c r="H8583" s="200"/>
      <c r="I8583" s="346"/>
      <c r="J8583" s="39">
        <v>118105</v>
      </c>
      <c r="K8583" s="36" t="str">
        <f>CONCATENATE(Cover!$D$6,"fdd/view?i=",J8583)</f>
        <v>https://www.dgiwg.org/FAD/fdd/view?i=118105</v>
      </c>
      <c r="L8583" s="36" t="s">
        <v>49427</v>
      </c>
      <c r="M8583" s="186"/>
      <c r="N8583" s="186"/>
      <c r="O8583" s="172"/>
    </row>
    <row r="8584" spans="1:15" ht="38.25" x14ac:dyDescent="0.2">
      <c r="A8584" s="197" t="str">
        <f t="shared" si="134"/>
        <v>SrtCode_mediumResCommStereoImage</v>
      </c>
      <c r="B8584" s="409"/>
      <c r="C8584" s="416"/>
      <c r="D8584" s="198" t="s">
        <v>45492</v>
      </c>
      <c r="E8584" s="198">
        <v>115</v>
      </c>
      <c r="F8584" s="199" t="s">
        <v>45493</v>
      </c>
      <c r="G8584" s="1" t="s">
        <v>45494</v>
      </c>
      <c r="H8584" s="200"/>
      <c r="I8584" s="346"/>
      <c r="J8584" s="39">
        <v>118106</v>
      </c>
      <c r="K8584" s="36" t="str">
        <f>CONCATENATE(Cover!$D$6,"fdd/view?i=",J8584)</f>
        <v>https://www.dgiwg.org/FAD/fdd/view?i=118106</v>
      </c>
      <c r="L8584" s="36" t="s">
        <v>49428</v>
      </c>
      <c r="M8584" s="186"/>
      <c r="N8584" s="186"/>
      <c r="O8584" s="172"/>
    </row>
    <row r="8585" spans="1:15" ht="25.5" x14ac:dyDescent="0.2">
      <c r="A8585" s="197" t="str">
        <f t="shared" si="134"/>
        <v>SrtCode_monoscopicImagery</v>
      </c>
      <c r="B8585" s="409"/>
      <c r="C8585" s="416"/>
      <c r="D8585" s="198" t="s">
        <v>49103</v>
      </c>
      <c r="E8585" s="198">
        <v>163</v>
      </c>
      <c r="F8585" s="199" t="s">
        <v>49104</v>
      </c>
      <c r="G8585" s="1" t="s">
        <v>49430</v>
      </c>
      <c r="H8585" s="200"/>
      <c r="I8585" s="346"/>
      <c r="J8585" s="39">
        <v>119726</v>
      </c>
      <c r="K8585" s="36" t="str">
        <f>CONCATENATE(Cover!$D$6,"fdd/view?i=",J8585)</f>
        <v>https://www.dgiwg.org/FAD/fdd/view?i=119726</v>
      </c>
      <c r="L8585" s="36" t="s">
        <v>49431</v>
      </c>
      <c r="M8585" s="186"/>
      <c r="N8585" s="186"/>
      <c r="O8585" s="172"/>
    </row>
    <row r="8586" spans="1:15" ht="25.5" x14ac:dyDescent="0.2">
      <c r="A8586" s="197" t="str">
        <f t="shared" si="134"/>
        <v>SrtCode_nativeAuthData</v>
      </c>
      <c r="B8586" s="409"/>
      <c r="C8586" s="416"/>
      <c r="D8586" s="198" t="s">
        <v>45524</v>
      </c>
      <c r="E8586" s="198">
        <v>99</v>
      </c>
      <c r="F8586" s="199" t="s">
        <v>45525</v>
      </c>
      <c r="G8586" s="1" t="s">
        <v>45526</v>
      </c>
      <c r="H8586" s="200"/>
      <c r="I8586" s="346"/>
      <c r="J8586" s="39">
        <v>112836</v>
      </c>
      <c r="K8586" s="36" t="str">
        <f>CONCATENATE(Cover!$D$6,"fdd/view?i=",J8586)</f>
        <v>https://www.dgiwg.org/FAD/fdd/view?i=112836</v>
      </c>
      <c r="L8586" s="36" t="s">
        <v>49438</v>
      </c>
      <c r="M8586" s="186"/>
      <c r="N8586" s="186"/>
      <c r="O8586" s="172"/>
    </row>
    <row r="8587" spans="1:15" ht="25.5" x14ac:dyDescent="0.2">
      <c r="A8587" s="197" t="str">
        <f t="shared" si="134"/>
        <v>SrtCode_nativeAuthGraphic</v>
      </c>
      <c r="B8587" s="409"/>
      <c r="C8587" s="416"/>
      <c r="D8587" s="198" t="s">
        <v>45528</v>
      </c>
      <c r="E8587" s="198">
        <v>98</v>
      </c>
      <c r="F8587" s="199" t="s">
        <v>45529</v>
      </c>
      <c r="G8587" s="1" t="s">
        <v>45530</v>
      </c>
      <c r="H8587" s="200"/>
      <c r="I8587" s="346"/>
      <c r="J8587" s="39">
        <v>112835</v>
      </c>
      <c r="K8587" s="36" t="str">
        <f>CONCATENATE(Cover!$D$6,"fdd/view?i=",J8587)</f>
        <v>https://www.dgiwg.org/FAD/fdd/view?i=112835</v>
      </c>
      <c r="L8587" s="36" t="s">
        <v>49439</v>
      </c>
      <c r="M8587" s="186"/>
      <c r="N8587" s="186"/>
      <c r="O8587" s="172"/>
    </row>
    <row r="8588" spans="1:15" x14ac:dyDescent="0.2">
      <c r="A8588" s="197" t="str">
        <f t="shared" si="134"/>
        <v>SrtCode_nativeCensus</v>
      </c>
      <c r="B8588" s="409"/>
      <c r="C8588" s="416"/>
      <c r="D8588" s="198" t="s">
        <v>45532</v>
      </c>
      <c r="E8588" s="198">
        <v>97</v>
      </c>
      <c r="F8588" s="199" t="s">
        <v>45533</v>
      </c>
      <c r="G8588" s="1" t="s">
        <v>45534</v>
      </c>
      <c r="H8588" s="200"/>
      <c r="I8588" s="346"/>
      <c r="J8588" s="39">
        <v>112834</v>
      </c>
      <c r="K8588" s="36" t="str">
        <f>CONCATENATE(Cover!$D$6,"fdd/view?i=",J8588)</f>
        <v>https://www.dgiwg.org/FAD/fdd/view?i=112834</v>
      </c>
      <c r="L8588" s="36" t="s">
        <v>49440</v>
      </c>
      <c r="M8588" s="186"/>
      <c r="N8588" s="186"/>
      <c r="O8588" s="172"/>
    </row>
    <row r="8589" spans="1:15" x14ac:dyDescent="0.2">
      <c r="A8589" s="197" t="str">
        <f t="shared" si="134"/>
        <v>SrtCode_nativeData</v>
      </c>
      <c r="B8589" s="409"/>
      <c r="C8589" s="416"/>
      <c r="D8589" s="198" t="s">
        <v>45536</v>
      </c>
      <c r="E8589" s="198">
        <v>44</v>
      </c>
      <c r="F8589" s="199" t="s">
        <v>45537</v>
      </c>
      <c r="G8589" s="1" t="s">
        <v>45538</v>
      </c>
      <c r="H8589" s="200"/>
      <c r="I8589" s="346"/>
      <c r="J8589" s="39">
        <v>110513</v>
      </c>
      <c r="K8589" s="36" t="str">
        <f>CONCATENATE(Cover!$D$6,"fdd/view?i=",J8589)</f>
        <v>https://www.dgiwg.org/FAD/fdd/view?i=110513</v>
      </c>
      <c r="L8589" s="36" t="s">
        <v>49441</v>
      </c>
      <c r="M8589" s="186"/>
      <c r="N8589" s="186"/>
      <c r="O8589" s="172"/>
    </row>
    <row r="8590" spans="1:15" ht="25.5" x14ac:dyDescent="0.2">
      <c r="A8590" s="197" t="str">
        <f t="shared" si="134"/>
        <v>SrtCode_nativeGazetteer</v>
      </c>
      <c r="B8590" s="409"/>
      <c r="C8590" s="416"/>
      <c r="D8590" s="198" t="s">
        <v>45540</v>
      </c>
      <c r="E8590" s="198">
        <v>96</v>
      </c>
      <c r="F8590" s="199" t="s">
        <v>45541</v>
      </c>
      <c r="G8590" s="1" t="s">
        <v>45542</v>
      </c>
      <c r="H8590" s="200"/>
      <c r="I8590" s="346"/>
      <c r="J8590" s="39">
        <v>112833</v>
      </c>
      <c r="K8590" s="36" t="str">
        <f>CONCATENATE(Cover!$D$6,"fdd/view?i=",J8590)</f>
        <v>https://www.dgiwg.org/FAD/fdd/view?i=112833</v>
      </c>
      <c r="L8590" s="36" t="s">
        <v>49442</v>
      </c>
      <c r="M8590" s="186"/>
      <c r="N8590" s="186"/>
      <c r="O8590" s="172"/>
    </row>
    <row r="8591" spans="1:15" x14ac:dyDescent="0.2">
      <c r="A8591" s="197" t="str">
        <f t="shared" si="134"/>
        <v>SrtCode_nativeMap</v>
      </c>
      <c r="B8591" s="409"/>
      <c r="C8591" s="416"/>
      <c r="D8591" s="198" t="s">
        <v>45544</v>
      </c>
      <c r="E8591" s="198">
        <v>45</v>
      </c>
      <c r="F8591" s="199" t="s">
        <v>45545</v>
      </c>
      <c r="G8591" s="1" t="s">
        <v>45546</v>
      </c>
      <c r="H8591" s="200"/>
      <c r="I8591" s="346"/>
      <c r="J8591" s="39">
        <v>110514</v>
      </c>
      <c r="K8591" s="36" t="str">
        <f>CONCATENATE(Cover!$D$6,"fdd/view?i=",J8591)</f>
        <v>https://www.dgiwg.org/FAD/fdd/view?i=110514</v>
      </c>
      <c r="L8591" s="36" t="s">
        <v>49443</v>
      </c>
      <c r="M8591" s="186"/>
      <c r="N8591" s="186"/>
      <c r="O8591" s="172"/>
    </row>
    <row r="8592" spans="1:15" ht="25.5" x14ac:dyDescent="0.2">
      <c r="A8592" s="197" t="str">
        <f t="shared" si="134"/>
        <v>SrtCode_nativeNonAuthData</v>
      </c>
      <c r="B8592" s="409"/>
      <c r="C8592" s="416"/>
      <c r="D8592" s="198" t="s">
        <v>45548</v>
      </c>
      <c r="E8592" s="198">
        <v>107</v>
      </c>
      <c r="F8592" s="199" t="s">
        <v>45549</v>
      </c>
      <c r="G8592" s="1" t="s">
        <v>45550</v>
      </c>
      <c r="H8592" s="200"/>
      <c r="I8592" s="346"/>
      <c r="J8592" s="39">
        <v>112747</v>
      </c>
      <c r="K8592" s="36" t="str">
        <f>CONCATENATE(Cover!$D$6,"fdd/view?i=",J8592)</f>
        <v>https://www.dgiwg.org/FAD/fdd/view?i=112747</v>
      </c>
      <c r="L8592" s="36" t="s">
        <v>49444</v>
      </c>
      <c r="M8592" s="186"/>
      <c r="N8592" s="186"/>
      <c r="O8592" s="172"/>
    </row>
    <row r="8593" spans="1:15" ht="25.5" x14ac:dyDescent="0.2">
      <c r="A8593" s="197" t="str">
        <f t="shared" si="134"/>
        <v>SrtCode_nativeNonAuthGraphic</v>
      </c>
      <c r="B8593" s="409"/>
      <c r="C8593" s="416"/>
      <c r="D8593" s="198" t="s">
        <v>45552</v>
      </c>
      <c r="E8593" s="198">
        <v>106</v>
      </c>
      <c r="F8593" s="199" t="s">
        <v>45553</v>
      </c>
      <c r="G8593" s="1" t="s">
        <v>45554</v>
      </c>
      <c r="H8593" s="200"/>
      <c r="I8593" s="346"/>
      <c r="J8593" s="39">
        <v>112749</v>
      </c>
      <c r="K8593" s="36" t="str">
        <f>CONCATENATE(Cover!$D$6,"fdd/view?i=",J8593)</f>
        <v>https://www.dgiwg.org/FAD/fdd/view?i=112749</v>
      </c>
      <c r="L8593" s="36" t="s">
        <v>49445</v>
      </c>
      <c r="M8593" s="186"/>
      <c r="N8593" s="186"/>
      <c r="O8593" s="172"/>
    </row>
    <row r="8594" spans="1:15" x14ac:dyDescent="0.2">
      <c r="A8594" s="197" t="str">
        <f t="shared" si="134"/>
        <v>SrtCode_navteqData</v>
      </c>
      <c r="B8594" s="409"/>
      <c r="C8594" s="416"/>
      <c r="D8594" s="198" t="s">
        <v>45556</v>
      </c>
      <c r="E8594" s="198">
        <v>108</v>
      </c>
      <c r="F8594" s="199" t="s">
        <v>45557</v>
      </c>
      <c r="G8594" s="1" t="s">
        <v>45558</v>
      </c>
      <c r="H8594" s="200"/>
      <c r="I8594" s="346"/>
      <c r="J8594" s="39">
        <v>112748</v>
      </c>
      <c r="K8594" s="36" t="str">
        <f>CONCATENATE(Cover!$D$6,"fdd/view?i=",J8594)</f>
        <v>https://www.dgiwg.org/FAD/fdd/view?i=112748</v>
      </c>
      <c r="L8594" s="36" t="s">
        <v>49446</v>
      </c>
      <c r="M8594" s="186"/>
      <c r="N8594" s="186"/>
      <c r="O8594" s="172"/>
    </row>
    <row r="8595" spans="1:15" ht="25.5" x14ac:dyDescent="0.2">
      <c r="A8595" s="197" t="str">
        <f t="shared" si="134"/>
        <v>SrtCode_ngaArcDigRasterGraphic</v>
      </c>
      <c r="B8595" s="409"/>
      <c r="C8595" s="416"/>
      <c r="D8595" s="198" t="s">
        <v>45194</v>
      </c>
      <c r="E8595" s="198">
        <v>1</v>
      </c>
      <c r="F8595" s="199" t="s">
        <v>45195</v>
      </c>
      <c r="G8595" s="1" t="s">
        <v>45196</v>
      </c>
      <c r="H8595" s="200"/>
      <c r="I8595" s="346"/>
      <c r="J8595" s="39">
        <v>110475</v>
      </c>
      <c r="K8595" s="36" t="str">
        <f>CONCATENATE(Cover!$D$6,"fdd/view?i=",J8595)</f>
        <v>https://www.dgiwg.org/FAD/fdd/view?i=110475</v>
      </c>
      <c r="L8595" s="36" t="s">
        <v>49347</v>
      </c>
      <c r="M8595" s="186"/>
      <c r="N8595" s="186"/>
      <c r="O8595" s="172"/>
    </row>
    <row r="8596" spans="1:15" ht="25.5" x14ac:dyDescent="0.2">
      <c r="A8596" s="197" t="str">
        <f t="shared" si="134"/>
        <v>SrtCode_ngaAutoAirFacInfoFile</v>
      </c>
      <c r="B8596" s="409"/>
      <c r="C8596" s="416"/>
      <c r="D8596" s="198" t="s">
        <v>45190</v>
      </c>
      <c r="E8596" s="198">
        <v>2</v>
      </c>
      <c r="F8596" s="199" t="s">
        <v>45191</v>
      </c>
      <c r="G8596" s="1" t="s">
        <v>45192</v>
      </c>
      <c r="H8596" s="200"/>
      <c r="I8596" s="346"/>
      <c r="J8596" s="39">
        <v>110486</v>
      </c>
      <c r="K8596" s="36" t="str">
        <f>CONCATENATE(Cover!$D$6,"fdd/view?i=",J8596)</f>
        <v>https://www.dgiwg.org/FAD/fdd/view?i=110486</v>
      </c>
      <c r="L8596" s="36" t="s">
        <v>49346</v>
      </c>
      <c r="M8596" s="186"/>
      <c r="N8596" s="186"/>
      <c r="O8596" s="172"/>
    </row>
    <row r="8597" spans="1:15" ht="25.5" x14ac:dyDescent="0.2">
      <c r="A8597" s="197" t="str">
        <f t="shared" si="134"/>
        <v>SrtCode_ngaChartUpdateManual</v>
      </c>
      <c r="B8597" s="409"/>
      <c r="C8597" s="416"/>
      <c r="D8597" s="198" t="s">
        <v>45222</v>
      </c>
      <c r="E8597" s="198">
        <v>3</v>
      </c>
      <c r="F8597" s="199" t="s">
        <v>45223</v>
      </c>
      <c r="G8597" s="1" t="s">
        <v>49354</v>
      </c>
      <c r="H8597" s="200"/>
      <c r="I8597" s="346"/>
      <c r="J8597" s="39">
        <v>110497</v>
      </c>
      <c r="K8597" s="36" t="str">
        <f>CONCATENATE(Cover!$D$6,"fdd/view?i=",J8597)</f>
        <v>https://www.dgiwg.org/FAD/fdd/view?i=110497</v>
      </c>
      <c r="L8597" s="36" t="s">
        <v>49355</v>
      </c>
      <c r="M8597" s="186"/>
      <c r="N8597" s="186"/>
      <c r="O8597" s="172"/>
    </row>
    <row r="8598" spans="1:15" ht="25.5" x14ac:dyDescent="0.2">
      <c r="A8598" s="197" t="str">
        <f t="shared" si="134"/>
        <v>SrtCode_ngaCityGraphic</v>
      </c>
      <c r="B8598" s="409"/>
      <c r="C8598" s="416"/>
      <c r="D8598" s="198" t="s">
        <v>45234</v>
      </c>
      <c r="E8598" s="198">
        <v>4</v>
      </c>
      <c r="F8598" s="199" t="s">
        <v>45235</v>
      </c>
      <c r="G8598" s="1" t="s">
        <v>49358</v>
      </c>
      <c r="H8598" s="200"/>
      <c r="I8598" s="346"/>
      <c r="J8598" s="39">
        <v>110508</v>
      </c>
      <c r="K8598" s="36" t="str">
        <f>CONCATENATE(Cover!$D$6,"fdd/view?i=",J8598)</f>
        <v>https://www.dgiwg.org/FAD/fdd/view?i=110508</v>
      </c>
      <c r="L8598" s="36" t="s">
        <v>49359</v>
      </c>
      <c r="M8598" s="186"/>
      <c r="N8598" s="186"/>
      <c r="O8598" s="172"/>
    </row>
    <row r="8599" spans="1:15" ht="25.5" x14ac:dyDescent="0.2">
      <c r="A8599" s="197" t="str">
        <f t="shared" si="134"/>
        <v>SrtCode_ngaCombatChart</v>
      </c>
      <c r="B8599" s="409"/>
      <c r="C8599" s="416"/>
      <c r="D8599" s="198" t="s">
        <v>45238</v>
      </c>
      <c r="E8599" s="198">
        <v>5</v>
      </c>
      <c r="F8599" s="199" t="s">
        <v>45239</v>
      </c>
      <c r="G8599" s="1" t="s">
        <v>45240</v>
      </c>
      <c r="H8599" s="200"/>
      <c r="I8599" s="346"/>
      <c r="J8599" s="39">
        <v>110519</v>
      </c>
      <c r="K8599" s="36" t="str">
        <f>CONCATENATE(Cover!$D$6,"fdd/view?i=",J8599)</f>
        <v>https://www.dgiwg.org/FAD/fdd/view?i=110519</v>
      </c>
      <c r="L8599" s="36" t="s">
        <v>49360</v>
      </c>
      <c r="M8599" s="186"/>
      <c r="N8599" s="186"/>
      <c r="O8599" s="172"/>
    </row>
    <row r="8600" spans="1:15" ht="25.5" x14ac:dyDescent="0.2">
      <c r="A8600" s="197" t="str">
        <f t="shared" si="134"/>
        <v>SrtCode_ngaCompressedAdrg</v>
      </c>
      <c r="B8600" s="409"/>
      <c r="C8600" s="416"/>
      <c r="D8600" s="198" t="s">
        <v>45210</v>
      </c>
      <c r="E8600" s="198">
        <v>6</v>
      </c>
      <c r="F8600" s="199" t="s">
        <v>45211</v>
      </c>
      <c r="G8600" s="1" t="s">
        <v>45212</v>
      </c>
      <c r="H8600" s="200"/>
      <c r="I8600" s="346"/>
      <c r="J8600" s="39">
        <v>110530</v>
      </c>
      <c r="K8600" s="36" t="str">
        <f>CONCATENATE(Cover!$D$6,"fdd/view?i=",J8600)</f>
        <v>https://www.dgiwg.org/FAD/fdd/view?i=110530</v>
      </c>
      <c r="L8600" s="36" t="s">
        <v>49351</v>
      </c>
      <c r="M8600" s="186"/>
      <c r="N8600" s="186"/>
      <c r="O8600" s="172"/>
    </row>
    <row r="8601" spans="1:15" ht="25.5" x14ac:dyDescent="0.2">
      <c r="A8601" s="197" t="str">
        <f t="shared" si="134"/>
        <v>SrtCode_ngaControlledImageBase1</v>
      </c>
      <c r="B8601" s="409"/>
      <c r="C8601" s="416"/>
      <c r="D8601" s="198" t="s">
        <v>45226</v>
      </c>
      <c r="E8601" s="198">
        <v>7</v>
      </c>
      <c r="F8601" s="199" t="s">
        <v>45227</v>
      </c>
      <c r="G8601" s="1" t="s">
        <v>45228</v>
      </c>
      <c r="H8601" s="200"/>
      <c r="I8601" s="346"/>
      <c r="J8601" s="39">
        <v>110537</v>
      </c>
      <c r="K8601" s="36" t="str">
        <f>CONCATENATE(Cover!$D$6,"fdd/view?i=",J8601)</f>
        <v>https://www.dgiwg.org/FAD/fdd/view?i=110537</v>
      </c>
      <c r="L8601" s="36" t="s">
        <v>49356</v>
      </c>
      <c r="M8601" s="186"/>
      <c r="N8601" s="186"/>
      <c r="O8601" s="172"/>
    </row>
    <row r="8602" spans="1:15" ht="25.5" x14ac:dyDescent="0.2">
      <c r="A8602" s="197" t="str">
        <f t="shared" si="134"/>
        <v>SrtCode_ngaControlledImageBase5</v>
      </c>
      <c r="B8602" s="409"/>
      <c r="C8602" s="416"/>
      <c r="D8602" s="198" t="s">
        <v>45230</v>
      </c>
      <c r="E8602" s="198">
        <v>8</v>
      </c>
      <c r="F8602" s="199" t="s">
        <v>45231</v>
      </c>
      <c r="G8602" s="1" t="s">
        <v>45232</v>
      </c>
      <c r="H8602" s="200"/>
      <c r="I8602" s="346"/>
      <c r="J8602" s="39">
        <v>110538</v>
      </c>
      <c r="K8602" s="36" t="str">
        <f>CONCATENATE(Cover!$D$6,"fdd/view?i=",J8602)</f>
        <v>https://www.dgiwg.org/FAD/fdd/view?i=110538</v>
      </c>
      <c r="L8602" s="36" t="s">
        <v>49357</v>
      </c>
      <c r="M8602" s="186"/>
      <c r="N8602" s="186"/>
      <c r="O8602" s="172"/>
    </row>
    <row r="8603" spans="1:15" ht="25.5" x14ac:dyDescent="0.2">
      <c r="A8603" s="197" t="str">
        <f t="shared" si="134"/>
        <v>SrtCode_ngaDigitalNauticalChart</v>
      </c>
      <c r="B8603" s="409"/>
      <c r="C8603" s="416"/>
      <c r="D8603" s="198" t="s">
        <v>45254</v>
      </c>
      <c r="E8603" s="198">
        <v>10</v>
      </c>
      <c r="F8603" s="199" t="s">
        <v>30030</v>
      </c>
      <c r="G8603" s="1" t="s">
        <v>45255</v>
      </c>
      <c r="H8603" s="200"/>
      <c r="I8603" s="346"/>
      <c r="J8603" s="39">
        <v>110476</v>
      </c>
      <c r="K8603" s="36" t="str">
        <f>CONCATENATE(Cover!$D$6,"fdd/view?i=",J8603)</f>
        <v>https://www.dgiwg.org/FAD/fdd/view?i=110476</v>
      </c>
      <c r="L8603" s="36" t="s">
        <v>49366</v>
      </c>
      <c r="M8603" s="186"/>
      <c r="N8603" s="186"/>
      <c r="O8603" s="172"/>
    </row>
    <row r="8604" spans="1:15" ht="25.5" x14ac:dyDescent="0.2">
      <c r="A8604" s="197" t="str">
        <f t="shared" si="134"/>
        <v>SrtCode_ngaDigitalPrintFile</v>
      </c>
      <c r="B8604" s="409"/>
      <c r="C8604" s="416"/>
      <c r="D8604" s="198" t="s">
        <v>45257</v>
      </c>
      <c r="E8604" s="198">
        <v>11</v>
      </c>
      <c r="F8604" s="199" t="s">
        <v>45258</v>
      </c>
      <c r="G8604" s="1" t="s">
        <v>45259</v>
      </c>
      <c r="H8604" s="200"/>
      <c r="I8604" s="346"/>
      <c r="J8604" s="39">
        <v>110477</v>
      </c>
      <c r="K8604" s="36" t="str">
        <f>CONCATENATE(Cover!$D$6,"fdd/view?i=",J8604)</f>
        <v>https://www.dgiwg.org/FAD/fdd/view?i=110477</v>
      </c>
      <c r="L8604" s="36" t="s">
        <v>49367</v>
      </c>
      <c r="M8604" s="186"/>
      <c r="N8604" s="186"/>
      <c r="O8604" s="172"/>
    </row>
    <row r="8605" spans="1:15" ht="25.5" x14ac:dyDescent="0.2">
      <c r="A8605" s="197" t="str">
        <f t="shared" si="134"/>
        <v>SrtCode_ngaDigitalTerrElevData1</v>
      </c>
      <c r="B8605" s="409"/>
      <c r="C8605" s="416"/>
      <c r="D8605" s="198" t="s">
        <v>45261</v>
      </c>
      <c r="E8605" s="198">
        <v>12</v>
      </c>
      <c r="F8605" s="199" t="s">
        <v>45262</v>
      </c>
      <c r="G8605" s="1" t="s">
        <v>45263</v>
      </c>
      <c r="H8605" s="200"/>
      <c r="I8605" s="346"/>
      <c r="J8605" s="39">
        <v>110478</v>
      </c>
      <c r="K8605" s="36" t="str">
        <f>CONCATENATE(Cover!$D$6,"fdd/view?i=",J8605)</f>
        <v>https://www.dgiwg.org/FAD/fdd/view?i=110478</v>
      </c>
      <c r="L8605" s="36" t="s">
        <v>49368</v>
      </c>
      <c r="M8605" s="186"/>
      <c r="N8605" s="186"/>
      <c r="O8605" s="172"/>
    </row>
    <row r="8606" spans="1:15" ht="25.5" x14ac:dyDescent="0.2">
      <c r="A8606" s="197" t="str">
        <f t="shared" si="134"/>
        <v>SrtCode_ngaDigitalTerrElevData2</v>
      </c>
      <c r="B8606" s="409"/>
      <c r="C8606" s="416"/>
      <c r="D8606" s="198" t="s">
        <v>45265</v>
      </c>
      <c r="E8606" s="198">
        <v>13</v>
      </c>
      <c r="F8606" s="199" t="s">
        <v>45266</v>
      </c>
      <c r="G8606" s="1" t="s">
        <v>45267</v>
      </c>
      <c r="H8606" s="200"/>
      <c r="I8606" s="346"/>
      <c r="J8606" s="39">
        <v>110479</v>
      </c>
      <c r="K8606" s="36" t="str">
        <f>CONCATENATE(Cover!$D$6,"fdd/view?i=",J8606)</f>
        <v>https://www.dgiwg.org/FAD/fdd/view?i=110479</v>
      </c>
      <c r="L8606" s="36" t="s">
        <v>49369</v>
      </c>
      <c r="M8606" s="186"/>
      <c r="N8606" s="186"/>
      <c r="O8606" s="172"/>
    </row>
    <row r="8607" spans="1:15" ht="25.5" x14ac:dyDescent="0.2">
      <c r="A8607" s="197" t="str">
        <f t="shared" si="134"/>
        <v>SrtCode_ngaDigitalTerrElevData3</v>
      </c>
      <c r="B8607" s="409"/>
      <c r="C8607" s="416"/>
      <c r="D8607" s="198" t="s">
        <v>45269</v>
      </c>
      <c r="E8607" s="198">
        <v>14</v>
      </c>
      <c r="F8607" s="199" t="s">
        <v>45270</v>
      </c>
      <c r="G8607" s="1" t="s">
        <v>45271</v>
      </c>
      <c r="H8607" s="200"/>
      <c r="I8607" s="346"/>
      <c r="J8607" s="39">
        <v>110480</v>
      </c>
      <c r="K8607" s="36" t="str">
        <f>CONCATENATE(Cover!$D$6,"fdd/view?i=",J8607)</f>
        <v>https://www.dgiwg.org/FAD/fdd/view?i=110480</v>
      </c>
      <c r="L8607" s="36" t="s">
        <v>49370</v>
      </c>
      <c r="M8607" s="186"/>
      <c r="N8607" s="186"/>
      <c r="O8607" s="172"/>
    </row>
    <row r="8608" spans="1:15" ht="25.5" x14ac:dyDescent="0.2">
      <c r="A8608" s="197" t="str">
        <f t="shared" si="134"/>
        <v>SrtCode_ngaDigitalTerrElevData4</v>
      </c>
      <c r="B8608" s="409"/>
      <c r="C8608" s="416"/>
      <c r="D8608" s="198" t="s">
        <v>45273</v>
      </c>
      <c r="E8608" s="198">
        <v>15</v>
      </c>
      <c r="F8608" s="199" t="s">
        <v>45274</v>
      </c>
      <c r="G8608" s="1" t="s">
        <v>45275</v>
      </c>
      <c r="H8608" s="200"/>
      <c r="I8608" s="346"/>
      <c r="J8608" s="39">
        <v>110481</v>
      </c>
      <c r="K8608" s="36" t="str">
        <f>CONCATENATE(Cover!$D$6,"fdd/view?i=",J8608)</f>
        <v>https://www.dgiwg.org/FAD/fdd/view?i=110481</v>
      </c>
      <c r="L8608" s="36" t="s">
        <v>49371</v>
      </c>
      <c r="M8608" s="186"/>
      <c r="N8608" s="186"/>
      <c r="O8608" s="172"/>
    </row>
    <row r="8609" spans="1:15" ht="25.5" x14ac:dyDescent="0.2">
      <c r="A8609" s="197" t="str">
        <f t="shared" si="134"/>
        <v>SrtCode_ngaDigitalTopoData1</v>
      </c>
      <c r="B8609" s="409"/>
      <c r="C8609" s="416"/>
      <c r="D8609" s="198" t="s">
        <v>45277</v>
      </c>
      <c r="E8609" s="198">
        <v>16</v>
      </c>
      <c r="F8609" s="199" t="s">
        <v>45278</v>
      </c>
      <c r="G8609" s="1" t="s">
        <v>45279</v>
      </c>
      <c r="H8609" s="200"/>
      <c r="I8609" s="346"/>
      <c r="J8609" s="39">
        <v>110482</v>
      </c>
      <c r="K8609" s="36" t="str">
        <f>CONCATENATE(Cover!$D$6,"fdd/view?i=",J8609)</f>
        <v>https://www.dgiwg.org/FAD/fdd/view?i=110482</v>
      </c>
      <c r="L8609" s="36" t="s">
        <v>49372</v>
      </c>
      <c r="M8609" s="186"/>
      <c r="N8609" s="186"/>
      <c r="O8609" s="172"/>
    </row>
    <row r="8610" spans="1:15" ht="25.5" x14ac:dyDescent="0.2">
      <c r="A8610" s="197" t="str">
        <f t="shared" si="134"/>
        <v>SrtCode_ngaDigitalTopoData2</v>
      </c>
      <c r="B8610" s="409"/>
      <c r="C8610" s="416"/>
      <c r="D8610" s="198" t="s">
        <v>45281</v>
      </c>
      <c r="E8610" s="198">
        <v>17</v>
      </c>
      <c r="F8610" s="199" t="s">
        <v>45282</v>
      </c>
      <c r="G8610" s="1" t="s">
        <v>45283</v>
      </c>
      <c r="H8610" s="200"/>
      <c r="I8610" s="346"/>
      <c r="J8610" s="39">
        <v>110483</v>
      </c>
      <c r="K8610" s="36" t="str">
        <f>CONCATENATE(Cover!$D$6,"fdd/view?i=",J8610)</f>
        <v>https://www.dgiwg.org/FAD/fdd/view?i=110483</v>
      </c>
      <c r="L8610" s="36" t="s">
        <v>49373</v>
      </c>
      <c r="M8610" s="186"/>
      <c r="N8610" s="186"/>
      <c r="O8610" s="172"/>
    </row>
    <row r="8611" spans="1:15" ht="25.5" x14ac:dyDescent="0.2">
      <c r="A8611" s="197" t="str">
        <f t="shared" si="134"/>
        <v>SrtCode_ngaDigitalTopoData3</v>
      </c>
      <c r="B8611" s="409"/>
      <c r="C8611" s="416"/>
      <c r="D8611" s="198" t="s">
        <v>45285</v>
      </c>
      <c r="E8611" s="198">
        <v>18</v>
      </c>
      <c r="F8611" s="199" t="s">
        <v>45286</v>
      </c>
      <c r="G8611" s="1" t="s">
        <v>45287</v>
      </c>
      <c r="H8611" s="200"/>
      <c r="I8611" s="346"/>
      <c r="J8611" s="39">
        <v>110484</v>
      </c>
      <c r="K8611" s="36" t="str">
        <f>CONCATENATE(Cover!$D$6,"fdd/view?i=",J8611)</f>
        <v>https://www.dgiwg.org/FAD/fdd/view?i=110484</v>
      </c>
      <c r="L8611" s="36" t="s">
        <v>49374</v>
      </c>
      <c r="M8611" s="186"/>
      <c r="N8611" s="186"/>
      <c r="O8611" s="172"/>
    </row>
    <row r="8612" spans="1:15" ht="25.5" x14ac:dyDescent="0.2">
      <c r="A8612" s="197" t="str">
        <f t="shared" si="134"/>
        <v>SrtCode_ngaDigitalTopoData4</v>
      </c>
      <c r="B8612" s="409"/>
      <c r="C8612" s="416"/>
      <c r="D8612" s="198" t="s">
        <v>45289</v>
      </c>
      <c r="E8612" s="198">
        <v>19</v>
      </c>
      <c r="F8612" s="199" t="s">
        <v>45290</v>
      </c>
      <c r="G8612" s="1" t="s">
        <v>45291</v>
      </c>
      <c r="H8612" s="200"/>
      <c r="I8612" s="346"/>
      <c r="J8612" s="39">
        <v>110485</v>
      </c>
      <c r="K8612" s="36" t="str">
        <f>CONCATENATE(Cover!$D$6,"fdd/view?i=",J8612)</f>
        <v>https://www.dgiwg.org/FAD/fdd/view?i=110485</v>
      </c>
      <c r="L8612" s="36" t="s">
        <v>49375</v>
      </c>
      <c r="M8612" s="186"/>
      <c r="N8612" s="186"/>
      <c r="O8612" s="172"/>
    </row>
    <row r="8613" spans="1:15" ht="25.5" x14ac:dyDescent="0.2">
      <c r="A8613" s="197" t="str">
        <f t="shared" si="134"/>
        <v>SrtCode_ngaDigitalTopoData5</v>
      </c>
      <c r="B8613" s="409"/>
      <c r="C8613" s="416"/>
      <c r="D8613" s="198" t="s">
        <v>45293</v>
      </c>
      <c r="E8613" s="198">
        <v>20</v>
      </c>
      <c r="F8613" s="199" t="s">
        <v>45294</v>
      </c>
      <c r="G8613" s="1" t="s">
        <v>45295</v>
      </c>
      <c r="H8613" s="200"/>
      <c r="I8613" s="346"/>
      <c r="J8613" s="39">
        <v>110487</v>
      </c>
      <c r="K8613" s="36" t="str">
        <f>CONCATENATE(Cover!$D$6,"fdd/view?i=",J8613)</f>
        <v>https://www.dgiwg.org/FAD/fdd/view?i=110487</v>
      </c>
      <c r="L8613" s="36" t="s">
        <v>49376</v>
      </c>
      <c r="M8613" s="186"/>
      <c r="N8613" s="186"/>
      <c r="O8613" s="172"/>
    </row>
    <row r="8614" spans="1:15" ht="25.5" x14ac:dyDescent="0.2">
      <c r="A8614" s="197" t="str">
        <f t="shared" si="134"/>
        <v>SrtCode_ngaDigitalVertObstruction</v>
      </c>
      <c r="B8614" s="409"/>
      <c r="C8614" s="416"/>
      <c r="D8614" s="198" t="s">
        <v>45297</v>
      </c>
      <c r="E8614" s="198">
        <v>21</v>
      </c>
      <c r="F8614" s="199" t="s">
        <v>45298</v>
      </c>
      <c r="G8614" s="1" t="s">
        <v>45299</v>
      </c>
      <c r="H8614" s="200"/>
      <c r="I8614" s="346"/>
      <c r="J8614" s="39">
        <v>110488</v>
      </c>
      <c r="K8614" s="36" t="str">
        <f>CONCATENATE(Cover!$D$6,"fdd/view?i=",J8614)</f>
        <v>https://www.dgiwg.org/FAD/fdd/view?i=110488</v>
      </c>
      <c r="L8614" s="36" t="s">
        <v>49377</v>
      </c>
      <c r="M8614" s="186"/>
      <c r="N8614" s="186"/>
      <c r="O8614" s="172"/>
    </row>
    <row r="8615" spans="1:15" ht="25.5" x14ac:dyDescent="0.2">
      <c r="A8615" s="197" t="str">
        <f t="shared" si="134"/>
        <v>SrtCode_ngaFfdWithRtad</v>
      </c>
      <c r="B8615" s="409"/>
      <c r="C8615" s="416"/>
      <c r="D8615" s="198" t="s">
        <v>45309</v>
      </c>
      <c r="E8615" s="198">
        <v>23</v>
      </c>
      <c r="F8615" s="199" t="s">
        <v>45310</v>
      </c>
      <c r="G8615" s="1" t="s">
        <v>45311</v>
      </c>
      <c r="H8615" s="200"/>
      <c r="I8615" s="346"/>
      <c r="J8615" s="39">
        <v>110490</v>
      </c>
      <c r="K8615" s="36" t="str">
        <f>CONCATENATE(Cover!$D$6,"fdd/view?i=",J8615)</f>
        <v>https://www.dgiwg.org/FAD/fdd/view?i=110490</v>
      </c>
      <c r="L8615" s="36" t="s">
        <v>49381</v>
      </c>
      <c r="M8615" s="186"/>
      <c r="N8615" s="186"/>
      <c r="O8615" s="172"/>
    </row>
    <row r="8616" spans="1:15" ht="25.5" x14ac:dyDescent="0.2">
      <c r="A8616" s="197" t="str">
        <f t="shared" si="134"/>
        <v>SrtCode_ngaFoundationFeatureData</v>
      </c>
      <c r="B8616" s="409"/>
      <c r="C8616" s="416"/>
      <c r="D8616" s="198" t="s">
        <v>45305</v>
      </c>
      <c r="E8616" s="198">
        <v>22</v>
      </c>
      <c r="F8616" s="199" t="s">
        <v>45306</v>
      </c>
      <c r="G8616" s="1" t="s">
        <v>45307</v>
      </c>
      <c r="H8616" s="200"/>
      <c r="I8616" s="346"/>
      <c r="J8616" s="39">
        <v>110489</v>
      </c>
      <c r="K8616" s="36" t="str">
        <f>CONCATENATE(Cover!$D$6,"fdd/view?i=",J8616)</f>
        <v>https://www.dgiwg.org/FAD/fdd/view?i=110489</v>
      </c>
      <c r="L8616" s="36" t="s">
        <v>49380</v>
      </c>
      <c r="M8616" s="186"/>
      <c r="N8616" s="186"/>
      <c r="O8616" s="172"/>
    </row>
    <row r="8617" spans="1:15" ht="25.5" x14ac:dyDescent="0.2">
      <c r="A8617" s="197" t="str">
        <f t="shared" si="134"/>
        <v>SrtCode_ngaGeoLandCover</v>
      </c>
      <c r="B8617" s="409"/>
      <c r="C8617" s="416"/>
      <c r="D8617" s="198" t="s">
        <v>45445</v>
      </c>
      <c r="E8617" s="198">
        <v>24</v>
      </c>
      <c r="F8617" s="199" t="s">
        <v>3796</v>
      </c>
      <c r="G8617" s="1" t="s">
        <v>45446</v>
      </c>
      <c r="H8617" s="200"/>
      <c r="I8617" s="346"/>
      <c r="J8617" s="39">
        <v>110491</v>
      </c>
      <c r="K8617" s="36" t="str">
        <f>CONCATENATE(Cover!$D$6,"fdd/view?i=",J8617)</f>
        <v>https://www.dgiwg.org/FAD/fdd/view?i=110491</v>
      </c>
      <c r="L8617" s="36" t="s">
        <v>49416</v>
      </c>
      <c r="M8617" s="186"/>
      <c r="N8617" s="186"/>
      <c r="O8617" s="172"/>
    </row>
    <row r="8618" spans="1:15" ht="25.5" x14ac:dyDescent="0.2">
      <c r="A8618" s="197" t="str">
        <f t="shared" si="134"/>
        <v>SrtCode_ngaGeoNames</v>
      </c>
      <c r="B8618" s="409"/>
      <c r="C8618" s="416"/>
      <c r="D8618" s="198" t="s">
        <v>45373</v>
      </c>
      <c r="E8618" s="198">
        <v>25</v>
      </c>
      <c r="F8618" s="199" t="s">
        <v>45374</v>
      </c>
      <c r="G8618" s="1" t="s">
        <v>45375</v>
      </c>
      <c r="H8618" s="200"/>
      <c r="I8618" s="346"/>
      <c r="J8618" s="39">
        <v>110492</v>
      </c>
      <c r="K8618" s="36" t="str">
        <f>CONCATENATE(Cover!$D$6,"fdd/view?i=",J8618)</f>
        <v>https://www.dgiwg.org/FAD/fdd/view?i=110492</v>
      </c>
      <c r="L8618" s="36" t="s">
        <v>49397</v>
      </c>
      <c r="M8618" s="186"/>
      <c r="N8618" s="186"/>
      <c r="O8618" s="172"/>
    </row>
    <row r="8619" spans="1:15" ht="25.5" x14ac:dyDescent="0.2">
      <c r="A8619" s="197" t="str">
        <f t="shared" si="134"/>
        <v>SrtCode_ngaImageCityMap</v>
      </c>
      <c r="B8619" s="409"/>
      <c r="C8619" s="416"/>
      <c r="D8619" s="198" t="s">
        <v>45397</v>
      </c>
      <c r="E8619" s="198">
        <v>27</v>
      </c>
      <c r="F8619" s="199" t="s">
        <v>45398</v>
      </c>
      <c r="G8619" s="1" t="s">
        <v>49403</v>
      </c>
      <c r="H8619" s="200"/>
      <c r="I8619" s="346"/>
      <c r="J8619" s="39">
        <v>110494</v>
      </c>
      <c r="K8619" s="36" t="str">
        <f>CONCATENATE(Cover!$D$6,"fdd/view?i=",J8619)</f>
        <v>https://www.dgiwg.org/FAD/fdd/view?i=110494</v>
      </c>
      <c r="L8619" s="36" t="s">
        <v>49404</v>
      </c>
      <c r="M8619" s="186"/>
      <c r="N8619" s="186"/>
      <c r="O8619" s="172"/>
    </row>
    <row r="8620" spans="1:15" ht="25.5" x14ac:dyDescent="0.2">
      <c r="A8620" s="197" t="str">
        <f t="shared" si="134"/>
        <v>SrtCode_ngaInterimTerrainData</v>
      </c>
      <c r="B8620" s="409"/>
      <c r="C8620" s="416"/>
      <c r="D8620" s="198" t="s">
        <v>45429</v>
      </c>
      <c r="E8620" s="198">
        <v>31</v>
      </c>
      <c r="F8620" s="199" t="s">
        <v>45430</v>
      </c>
      <c r="G8620" s="1" t="s">
        <v>45431</v>
      </c>
      <c r="H8620" s="200"/>
      <c r="I8620" s="346"/>
      <c r="J8620" s="39">
        <v>110499</v>
      </c>
      <c r="K8620" s="36" t="str">
        <f>CONCATENATE(Cover!$D$6,"fdd/view?i=",J8620)</f>
        <v>https://www.dgiwg.org/FAD/fdd/view?i=110499</v>
      </c>
      <c r="L8620" s="36" t="s">
        <v>49412</v>
      </c>
      <c r="M8620" s="186"/>
      <c r="N8620" s="186"/>
      <c r="O8620" s="172"/>
    </row>
    <row r="8621" spans="1:15" ht="25.5" x14ac:dyDescent="0.2">
      <c r="A8621" s="197" t="str">
        <f t="shared" si="134"/>
        <v>SrtCode_ngaInterimVectorData</v>
      </c>
      <c r="B8621" s="409"/>
      <c r="C8621" s="416"/>
      <c r="D8621" s="198" t="s">
        <v>45433</v>
      </c>
      <c r="E8621" s="198">
        <v>32</v>
      </c>
      <c r="F8621" s="199" t="s">
        <v>45434</v>
      </c>
      <c r="G8621" s="1" t="s">
        <v>45435</v>
      </c>
      <c r="H8621" s="200"/>
      <c r="I8621" s="346"/>
      <c r="J8621" s="39">
        <v>110500</v>
      </c>
      <c r="K8621" s="36" t="str">
        <f>CONCATENATE(Cover!$D$6,"fdd/view?i=",J8621)</f>
        <v>https://www.dgiwg.org/FAD/fdd/view?i=110500</v>
      </c>
      <c r="L8621" s="36" t="s">
        <v>49413</v>
      </c>
      <c r="M8621" s="186"/>
      <c r="N8621" s="186"/>
      <c r="O8621" s="172"/>
    </row>
    <row r="8622" spans="1:15" ht="25.5" x14ac:dyDescent="0.2">
      <c r="A8622" s="197" t="str">
        <f t="shared" si="134"/>
        <v>SrtCode_ngaInternationalBoundary</v>
      </c>
      <c r="B8622" s="409"/>
      <c r="C8622" s="416"/>
      <c r="D8622" s="198" t="s">
        <v>45425</v>
      </c>
      <c r="E8622" s="198">
        <v>33</v>
      </c>
      <c r="F8622" s="199" t="s">
        <v>45426</v>
      </c>
      <c r="G8622" s="1" t="s">
        <v>45427</v>
      </c>
      <c r="H8622" s="200"/>
      <c r="I8622" s="346"/>
      <c r="J8622" s="39">
        <v>110501</v>
      </c>
      <c r="K8622" s="36" t="str">
        <f>CONCATENATE(Cover!$D$6,"fdd/view?i=",J8622)</f>
        <v>https://www.dgiwg.org/FAD/fdd/view?i=110501</v>
      </c>
      <c r="L8622" s="36" t="s">
        <v>49411</v>
      </c>
      <c r="M8622" s="186"/>
      <c r="N8622" s="186"/>
      <c r="O8622" s="172"/>
    </row>
    <row r="8623" spans="1:15" ht="25.5" x14ac:dyDescent="0.2">
      <c r="A8623" s="197" t="str">
        <f t="shared" si="134"/>
        <v>SrtCode_ngaJointOperatGraphic</v>
      </c>
      <c r="B8623" s="409"/>
      <c r="C8623" s="416"/>
      <c r="D8623" s="198" t="s">
        <v>45437</v>
      </c>
      <c r="E8623" s="198">
        <v>34</v>
      </c>
      <c r="F8623" s="199" t="s">
        <v>45438</v>
      </c>
      <c r="G8623" s="1" t="s">
        <v>45439</v>
      </c>
      <c r="H8623" s="200"/>
      <c r="I8623" s="346"/>
      <c r="J8623" s="39">
        <v>110502</v>
      </c>
      <c r="K8623" s="36" t="str">
        <f>CONCATENATE(Cover!$D$6,"fdd/view?i=",J8623)</f>
        <v>https://www.dgiwg.org/FAD/fdd/view?i=110502</v>
      </c>
      <c r="L8623" s="36" t="s">
        <v>49414</v>
      </c>
      <c r="M8623" s="186"/>
      <c r="N8623" s="186"/>
      <c r="O8623" s="172"/>
    </row>
    <row r="8624" spans="1:15" ht="25.5" x14ac:dyDescent="0.2">
      <c r="A8624" s="197" t="str">
        <f t="shared" si="134"/>
        <v>SrtCode_ngaLittoralWarfareData</v>
      </c>
      <c r="B8624" s="409"/>
      <c r="C8624" s="416"/>
      <c r="D8624" s="198" t="s">
        <v>45460</v>
      </c>
      <c r="E8624" s="198">
        <v>36</v>
      </c>
      <c r="F8624" s="199" t="s">
        <v>45461</v>
      </c>
      <c r="G8624" s="1" t="s">
        <v>45462</v>
      </c>
      <c r="H8624" s="200"/>
      <c r="I8624" s="346"/>
      <c r="J8624" s="39">
        <v>110504</v>
      </c>
      <c r="K8624" s="36" t="str">
        <f>CONCATENATE(Cover!$D$6,"fdd/view?i=",J8624)</f>
        <v>https://www.dgiwg.org/FAD/fdd/view?i=110504</v>
      </c>
      <c r="L8624" s="36" t="s">
        <v>49420</v>
      </c>
      <c r="M8624" s="186"/>
      <c r="N8624" s="186"/>
      <c r="O8624" s="172"/>
    </row>
    <row r="8625" spans="1:15" ht="25.5" x14ac:dyDescent="0.2">
      <c r="A8625" s="197" t="str">
        <f t="shared" si="134"/>
        <v>SrtCode_ngaMedicalFacilities</v>
      </c>
      <c r="B8625" s="409"/>
      <c r="C8625" s="416"/>
      <c r="D8625" s="198" t="s">
        <v>45484</v>
      </c>
      <c r="E8625" s="198">
        <v>46</v>
      </c>
      <c r="F8625" s="199" t="s">
        <v>45485</v>
      </c>
      <c r="G8625" s="1" t="s">
        <v>45486</v>
      </c>
      <c r="H8625" s="200"/>
      <c r="I8625" s="346"/>
      <c r="J8625" s="39">
        <v>110515</v>
      </c>
      <c r="K8625" s="36" t="str">
        <f>CONCATENATE(Cover!$D$6,"fdd/view?i=",J8625)</f>
        <v>https://www.dgiwg.org/FAD/fdd/view?i=110515</v>
      </c>
      <c r="L8625" s="36" t="s">
        <v>49426</v>
      </c>
      <c r="M8625" s="186"/>
      <c r="N8625" s="186"/>
      <c r="O8625" s="172"/>
    </row>
    <row r="8626" spans="1:15" ht="25.5" x14ac:dyDescent="0.2">
      <c r="A8626" s="197" t="str">
        <f t="shared" si="134"/>
        <v>SrtCode_ngaMissionSpecificData1</v>
      </c>
      <c r="B8626" s="409"/>
      <c r="C8626" s="416"/>
      <c r="D8626" s="198" t="s">
        <v>45500</v>
      </c>
      <c r="E8626" s="198">
        <v>38</v>
      </c>
      <c r="F8626" s="199" t="s">
        <v>45501</v>
      </c>
      <c r="G8626" s="1" t="s">
        <v>45502</v>
      </c>
      <c r="H8626" s="200"/>
      <c r="I8626" s="346"/>
      <c r="J8626" s="39">
        <v>110506</v>
      </c>
      <c r="K8626" s="36" t="str">
        <f>CONCATENATE(Cover!$D$6,"fdd/view?i=",J8626)</f>
        <v>https://www.dgiwg.org/FAD/fdd/view?i=110506</v>
      </c>
      <c r="L8626" s="36" t="s">
        <v>49432</v>
      </c>
      <c r="M8626" s="186"/>
      <c r="N8626" s="186"/>
      <c r="O8626" s="172"/>
    </row>
    <row r="8627" spans="1:15" ht="25.5" x14ac:dyDescent="0.2">
      <c r="A8627" s="197" t="str">
        <f t="shared" si="134"/>
        <v>SrtCode_ngaMissionSpecificData2</v>
      </c>
      <c r="B8627" s="409"/>
      <c r="C8627" s="416"/>
      <c r="D8627" s="198" t="s">
        <v>45504</v>
      </c>
      <c r="E8627" s="198">
        <v>39</v>
      </c>
      <c r="F8627" s="199" t="s">
        <v>45505</v>
      </c>
      <c r="G8627" s="1" t="s">
        <v>45506</v>
      </c>
      <c r="H8627" s="200"/>
      <c r="I8627" s="346"/>
      <c r="J8627" s="39">
        <v>110507</v>
      </c>
      <c r="K8627" s="36" t="str">
        <f>CONCATENATE(Cover!$D$6,"fdd/view?i=",J8627)</f>
        <v>https://www.dgiwg.org/FAD/fdd/view?i=110507</v>
      </c>
      <c r="L8627" s="36" t="s">
        <v>49433</v>
      </c>
      <c r="M8627" s="186"/>
      <c r="N8627" s="186"/>
      <c r="O8627" s="172"/>
    </row>
    <row r="8628" spans="1:15" ht="25.5" x14ac:dyDescent="0.2">
      <c r="A8628" s="197" t="str">
        <f t="shared" si="134"/>
        <v>SrtCode_ngaMissionSpecificData3</v>
      </c>
      <c r="B8628" s="409"/>
      <c r="C8628" s="416"/>
      <c r="D8628" s="198" t="s">
        <v>45508</v>
      </c>
      <c r="E8628" s="198">
        <v>40</v>
      </c>
      <c r="F8628" s="199" t="s">
        <v>45509</v>
      </c>
      <c r="G8628" s="1" t="s">
        <v>45510</v>
      </c>
      <c r="H8628" s="200"/>
      <c r="I8628" s="346"/>
      <c r="J8628" s="39">
        <v>110509</v>
      </c>
      <c r="K8628" s="36" t="str">
        <f>CONCATENATE(Cover!$D$6,"fdd/view?i=",J8628)</f>
        <v>https://www.dgiwg.org/FAD/fdd/view?i=110509</v>
      </c>
      <c r="L8628" s="36" t="s">
        <v>49434</v>
      </c>
      <c r="M8628" s="186"/>
      <c r="N8628" s="186"/>
      <c r="O8628" s="172"/>
    </row>
    <row r="8629" spans="1:15" ht="25.5" x14ac:dyDescent="0.2">
      <c r="A8629" s="197" t="str">
        <f t="shared" si="134"/>
        <v>SrtCode_ngaMissionSpecificData4</v>
      </c>
      <c r="B8629" s="409"/>
      <c r="C8629" s="416"/>
      <c r="D8629" s="198" t="s">
        <v>45512</v>
      </c>
      <c r="E8629" s="198">
        <v>41</v>
      </c>
      <c r="F8629" s="199" t="s">
        <v>45513</v>
      </c>
      <c r="G8629" s="1" t="s">
        <v>45514</v>
      </c>
      <c r="H8629" s="200"/>
      <c r="I8629" s="346"/>
      <c r="J8629" s="39">
        <v>110510</v>
      </c>
      <c r="K8629" s="36" t="str">
        <f>CONCATENATE(Cover!$D$6,"fdd/view?i=",J8629)</f>
        <v>https://www.dgiwg.org/FAD/fdd/view?i=110510</v>
      </c>
      <c r="L8629" s="36" t="s">
        <v>49435</v>
      </c>
      <c r="M8629" s="186"/>
      <c r="N8629" s="186"/>
      <c r="O8629" s="172"/>
    </row>
    <row r="8630" spans="1:15" ht="25.5" x14ac:dyDescent="0.2">
      <c r="A8630" s="197" t="str">
        <f t="shared" si="134"/>
        <v>SrtCode_ngaMissionSpecificData5</v>
      </c>
      <c r="B8630" s="409"/>
      <c r="C8630" s="416"/>
      <c r="D8630" s="198" t="s">
        <v>45516</v>
      </c>
      <c r="E8630" s="198">
        <v>42</v>
      </c>
      <c r="F8630" s="199" t="s">
        <v>45517</v>
      </c>
      <c r="G8630" s="1" t="s">
        <v>45518</v>
      </c>
      <c r="H8630" s="200"/>
      <c r="I8630" s="346"/>
      <c r="J8630" s="39">
        <v>110511</v>
      </c>
      <c r="K8630" s="36" t="str">
        <f>CONCATENATE(Cover!$D$6,"fdd/view?i=",J8630)</f>
        <v>https://www.dgiwg.org/FAD/fdd/view?i=110511</v>
      </c>
      <c r="L8630" s="36" t="s">
        <v>49436</v>
      </c>
      <c r="M8630" s="186"/>
      <c r="N8630" s="186"/>
      <c r="O8630" s="172"/>
    </row>
    <row r="8631" spans="1:15" ht="25.5" x14ac:dyDescent="0.2">
      <c r="A8631" s="197" t="str">
        <f t="shared" si="134"/>
        <v>SrtCode_ngaNominalAttTopoEvalMap</v>
      </c>
      <c r="B8631" s="409"/>
      <c r="C8631" s="416"/>
      <c r="D8631" s="198" t="s">
        <v>45520</v>
      </c>
      <c r="E8631" s="198">
        <v>47</v>
      </c>
      <c r="F8631" s="199" t="s">
        <v>45521</v>
      </c>
      <c r="G8631" s="1" t="s">
        <v>45522</v>
      </c>
      <c r="H8631" s="200"/>
      <c r="I8631" s="346"/>
      <c r="J8631" s="39">
        <v>110516</v>
      </c>
      <c r="K8631" s="36" t="str">
        <f>CONCATENATE(Cover!$D$6,"fdd/view?i=",J8631)</f>
        <v>https://www.dgiwg.org/FAD/fdd/view?i=110516</v>
      </c>
      <c r="L8631" s="36" t="s">
        <v>49437</v>
      </c>
      <c r="M8631" s="186"/>
      <c r="N8631" s="186"/>
      <c r="O8631" s="172"/>
    </row>
    <row r="8632" spans="1:15" ht="25.5" x14ac:dyDescent="0.2">
      <c r="A8632" s="197" t="str">
        <f t="shared" si="134"/>
        <v>SrtCode_ngaPlanningGraphic</v>
      </c>
      <c r="B8632" s="409"/>
      <c r="C8632" s="416"/>
      <c r="D8632" s="198" t="s">
        <v>45572</v>
      </c>
      <c r="E8632" s="198">
        <v>48</v>
      </c>
      <c r="F8632" s="199" t="s">
        <v>45573</v>
      </c>
      <c r="G8632" s="1" t="s">
        <v>45574</v>
      </c>
      <c r="H8632" s="200"/>
      <c r="I8632" s="346"/>
      <c r="J8632" s="39">
        <v>110517</v>
      </c>
      <c r="K8632" s="36" t="str">
        <f>CONCATENATE(Cover!$D$6,"fdd/view?i=",J8632)</f>
        <v>https://www.dgiwg.org/FAD/fdd/view?i=110517</v>
      </c>
      <c r="L8632" s="36" t="s">
        <v>49454</v>
      </c>
      <c r="M8632" s="186"/>
      <c r="N8632" s="186"/>
      <c r="O8632" s="172"/>
    </row>
    <row r="8633" spans="1:15" ht="25.5" x14ac:dyDescent="0.2">
      <c r="A8633" s="197" t="str">
        <f t="shared" si="134"/>
        <v>SrtCode_ngaTacticalOceanData0</v>
      </c>
      <c r="B8633" s="409"/>
      <c r="C8633" s="416"/>
      <c r="D8633" s="198" t="s">
        <v>45688</v>
      </c>
      <c r="E8633" s="198">
        <v>52</v>
      </c>
      <c r="F8633" s="199" t="s">
        <v>45689</v>
      </c>
      <c r="G8633" s="1" t="s">
        <v>45690</v>
      </c>
      <c r="H8633" s="200"/>
      <c r="I8633" s="346"/>
      <c r="J8633" s="39">
        <v>110522</v>
      </c>
      <c r="K8633" s="36" t="str">
        <f>CONCATENATE(Cover!$D$6,"fdd/view?i=",J8633)</f>
        <v>https://www.dgiwg.org/FAD/fdd/view?i=110522</v>
      </c>
      <c r="L8633" s="36" t="s">
        <v>49498</v>
      </c>
      <c r="M8633" s="186"/>
      <c r="N8633" s="186"/>
      <c r="O8633" s="172"/>
    </row>
    <row r="8634" spans="1:15" ht="25.5" x14ac:dyDescent="0.2">
      <c r="A8634" s="197" t="str">
        <f t="shared" si="134"/>
        <v>SrtCode_ngaTacticalOceanData1</v>
      </c>
      <c r="B8634" s="409"/>
      <c r="C8634" s="416"/>
      <c r="D8634" s="198" t="s">
        <v>45692</v>
      </c>
      <c r="E8634" s="198">
        <v>53</v>
      </c>
      <c r="F8634" s="199" t="s">
        <v>45693</v>
      </c>
      <c r="G8634" s="1" t="s">
        <v>45694</v>
      </c>
      <c r="H8634" s="200"/>
      <c r="I8634" s="346"/>
      <c r="J8634" s="39">
        <v>110523</v>
      </c>
      <c r="K8634" s="36" t="str">
        <f>CONCATENATE(Cover!$D$6,"fdd/view?i=",J8634)</f>
        <v>https://www.dgiwg.org/FAD/fdd/view?i=110523</v>
      </c>
      <c r="L8634" s="36" t="s">
        <v>49499</v>
      </c>
      <c r="M8634" s="186"/>
      <c r="N8634" s="186"/>
      <c r="O8634" s="172"/>
    </row>
    <row r="8635" spans="1:15" ht="25.5" x14ac:dyDescent="0.2">
      <c r="A8635" s="197" t="str">
        <f t="shared" si="134"/>
        <v>SrtCode_ngaTacticalOceanData2</v>
      </c>
      <c r="B8635" s="409"/>
      <c r="C8635" s="416"/>
      <c r="D8635" s="198" t="s">
        <v>45696</v>
      </c>
      <c r="E8635" s="198">
        <v>54</v>
      </c>
      <c r="F8635" s="199" t="s">
        <v>45697</v>
      </c>
      <c r="G8635" s="1" t="s">
        <v>45698</v>
      </c>
      <c r="H8635" s="200"/>
      <c r="I8635" s="346"/>
      <c r="J8635" s="39">
        <v>110524</v>
      </c>
      <c r="K8635" s="36" t="str">
        <f>CONCATENATE(Cover!$D$6,"fdd/view?i=",J8635)</f>
        <v>https://www.dgiwg.org/FAD/fdd/view?i=110524</v>
      </c>
      <c r="L8635" s="36" t="s">
        <v>49500</v>
      </c>
      <c r="M8635" s="186"/>
      <c r="N8635" s="186"/>
      <c r="O8635" s="172"/>
    </row>
    <row r="8636" spans="1:15" ht="25.5" x14ac:dyDescent="0.2">
      <c r="A8636" s="197" t="str">
        <f t="shared" si="134"/>
        <v>SrtCode_ngaTacticalOceanData3</v>
      </c>
      <c r="B8636" s="409"/>
      <c r="C8636" s="416"/>
      <c r="D8636" s="198" t="s">
        <v>45700</v>
      </c>
      <c r="E8636" s="198">
        <v>55</v>
      </c>
      <c r="F8636" s="199" t="s">
        <v>45701</v>
      </c>
      <c r="G8636" s="1" t="s">
        <v>45702</v>
      </c>
      <c r="H8636" s="200"/>
      <c r="I8636" s="346"/>
      <c r="J8636" s="39">
        <v>110525</v>
      </c>
      <c r="K8636" s="36" t="str">
        <f>CONCATENATE(Cover!$D$6,"fdd/view?i=",J8636)</f>
        <v>https://www.dgiwg.org/FAD/fdd/view?i=110525</v>
      </c>
      <c r="L8636" s="36" t="s">
        <v>49501</v>
      </c>
      <c r="M8636" s="186"/>
      <c r="N8636" s="186"/>
      <c r="O8636" s="172"/>
    </row>
    <row r="8637" spans="1:15" ht="25.5" x14ac:dyDescent="0.2">
      <c r="A8637" s="197" t="str">
        <f t="shared" si="134"/>
        <v>SrtCode_ngaTacticalOceanData4</v>
      </c>
      <c r="B8637" s="409"/>
      <c r="C8637" s="416"/>
      <c r="D8637" s="198" t="s">
        <v>45704</v>
      </c>
      <c r="E8637" s="198">
        <v>56</v>
      </c>
      <c r="F8637" s="199" t="s">
        <v>45705</v>
      </c>
      <c r="G8637" s="1" t="s">
        <v>45706</v>
      </c>
      <c r="H8637" s="200"/>
      <c r="I8637" s="346"/>
      <c r="J8637" s="39">
        <v>110526</v>
      </c>
      <c r="K8637" s="36" t="str">
        <f>CONCATENATE(Cover!$D$6,"fdd/view?i=",J8637)</f>
        <v>https://www.dgiwg.org/FAD/fdd/view?i=110526</v>
      </c>
      <c r="L8637" s="36" t="s">
        <v>49502</v>
      </c>
      <c r="M8637" s="186"/>
      <c r="N8637" s="186"/>
      <c r="O8637" s="172"/>
    </row>
    <row r="8638" spans="1:15" ht="25.5" x14ac:dyDescent="0.2">
      <c r="A8638" s="197" t="str">
        <f t="shared" si="134"/>
        <v>SrtCode_ngaTacticalOceanData5</v>
      </c>
      <c r="B8638" s="409"/>
      <c r="C8638" s="416"/>
      <c r="D8638" s="198" t="s">
        <v>45708</v>
      </c>
      <c r="E8638" s="198">
        <v>57</v>
      </c>
      <c r="F8638" s="199" t="s">
        <v>45709</v>
      </c>
      <c r="G8638" s="1" t="s">
        <v>45710</v>
      </c>
      <c r="H8638" s="200"/>
      <c r="I8638" s="346"/>
      <c r="J8638" s="39">
        <v>110527</v>
      </c>
      <c r="K8638" s="36" t="str">
        <f>CONCATENATE(Cover!$D$6,"fdd/view?i=",J8638)</f>
        <v>https://www.dgiwg.org/FAD/fdd/view?i=110527</v>
      </c>
      <c r="L8638" s="36" t="s">
        <v>49503</v>
      </c>
      <c r="M8638" s="186"/>
      <c r="N8638" s="186"/>
      <c r="O8638" s="172"/>
    </row>
    <row r="8639" spans="1:15" ht="25.5" x14ac:dyDescent="0.2">
      <c r="A8639" s="197" t="str">
        <f t="shared" si="134"/>
        <v>SrtCode_ngaTopographicLineMap</v>
      </c>
      <c r="B8639" s="409"/>
      <c r="C8639" s="416"/>
      <c r="D8639" s="198" t="s">
        <v>45685</v>
      </c>
      <c r="E8639" s="198">
        <v>58</v>
      </c>
      <c r="F8639" s="199" t="s">
        <v>13706</v>
      </c>
      <c r="G8639" s="1" t="s">
        <v>45686</v>
      </c>
      <c r="H8639" s="200"/>
      <c r="I8639" s="346"/>
      <c r="J8639" s="39">
        <v>110528</v>
      </c>
      <c r="K8639" s="36" t="str">
        <f>CONCATENATE(Cover!$D$6,"fdd/view?i=",J8639)</f>
        <v>https://www.dgiwg.org/FAD/fdd/view?i=110528</v>
      </c>
      <c r="L8639" s="36" t="s">
        <v>49497</v>
      </c>
      <c r="M8639" s="186"/>
      <c r="N8639" s="186"/>
      <c r="O8639" s="172"/>
    </row>
    <row r="8640" spans="1:15" ht="25.5" x14ac:dyDescent="0.2">
      <c r="A8640" s="197" t="str">
        <f t="shared" si="134"/>
        <v>SrtCode_ngaUrbanVectorMap</v>
      </c>
      <c r="B8640" s="409"/>
      <c r="C8640" s="416"/>
      <c r="D8640" s="198" t="s">
        <v>45716</v>
      </c>
      <c r="E8640" s="198">
        <v>60</v>
      </c>
      <c r="F8640" s="199" t="s">
        <v>45717</v>
      </c>
      <c r="G8640" s="1" t="s">
        <v>45718</v>
      </c>
      <c r="H8640" s="200"/>
      <c r="I8640" s="346"/>
      <c r="J8640" s="39">
        <v>110531</v>
      </c>
      <c r="K8640" s="36" t="str">
        <f>CONCATENATE(Cover!$D$6,"fdd/view?i=",J8640)</f>
        <v>https://www.dgiwg.org/FAD/fdd/view?i=110531</v>
      </c>
      <c r="L8640" s="36" t="s">
        <v>49509</v>
      </c>
      <c r="M8640" s="186"/>
      <c r="N8640" s="186"/>
      <c r="O8640" s="172"/>
    </row>
    <row r="8641" spans="1:15" ht="25.5" x14ac:dyDescent="0.2">
      <c r="A8641" s="197" t="str">
        <f t="shared" si="134"/>
        <v>SrtCode_ngaVectorInterimTerrain</v>
      </c>
      <c r="B8641" s="409"/>
      <c r="C8641" s="416"/>
      <c r="D8641" s="198" t="s">
        <v>45740</v>
      </c>
      <c r="E8641" s="198">
        <v>61</v>
      </c>
      <c r="F8641" s="199" t="s">
        <v>45741</v>
      </c>
      <c r="G8641" s="1" t="s">
        <v>45742</v>
      </c>
      <c r="H8641" s="200"/>
      <c r="I8641" s="346"/>
      <c r="J8641" s="39">
        <v>110532</v>
      </c>
      <c r="K8641" s="36" t="str">
        <f>CONCATENATE(Cover!$D$6,"fdd/view?i=",J8641)</f>
        <v>https://www.dgiwg.org/FAD/fdd/view?i=110532</v>
      </c>
      <c r="L8641" s="36" t="s">
        <v>49515</v>
      </c>
      <c r="M8641" s="186"/>
      <c r="N8641" s="186"/>
      <c r="O8641" s="172"/>
    </row>
    <row r="8642" spans="1:15" ht="25.5" x14ac:dyDescent="0.2">
      <c r="A8642" s="197" t="str">
        <f t="shared" ref="A8642:A8705" si="135">HYPERLINK(K8642,L8642)</f>
        <v>SrtCode_ngaVectorMap0</v>
      </c>
      <c r="B8642" s="409"/>
      <c r="C8642" s="416"/>
      <c r="D8642" s="198" t="s">
        <v>45744</v>
      </c>
      <c r="E8642" s="198">
        <v>62</v>
      </c>
      <c r="F8642" s="199" t="s">
        <v>45745</v>
      </c>
      <c r="G8642" s="1" t="s">
        <v>45746</v>
      </c>
      <c r="H8642" s="200"/>
      <c r="I8642" s="346"/>
      <c r="J8642" s="39">
        <v>110533</v>
      </c>
      <c r="K8642" s="36" t="str">
        <f>CONCATENATE(Cover!$D$6,"fdd/view?i=",J8642)</f>
        <v>https://www.dgiwg.org/FAD/fdd/view?i=110533</v>
      </c>
      <c r="L8642" s="36" t="s">
        <v>49516</v>
      </c>
      <c r="M8642" s="186"/>
      <c r="N8642" s="186"/>
      <c r="O8642" s="172"/>
    </row>
    <row r="8643" spans="1:15" ht="25.5" x14ac:dyDescent="0.2">
      <c r="A8643" s="197" t="str">
        <f t="shared" si="135"/>
        <v>SrtCode_ngaVectorMap1</v>
      </c>
      <c r="B8643" s="409"/>
      <c r="C8643" s="416"/>
      <c r="D8643" s="198" t="s">
        <v>45748</v>
      </c>
      <c r="E8643" s="198">
        <v>63</v>
      </c>
      <c r="F8643" s="199" t="s">
        <v>45749</v>
      </c>
      <c r="G8643" s="1" t="s">
        <v>45750</v>
      </c>
      <c r="H8643" s="200"/>
      <c r="I8643" s="346"/>
      <c r="J8643" s="39">
        <v>110534</v>
      </c>
      <c r="K8643" s="36" t="str">
        <f>CONCATENATE(Cover!$D$6,"fdd/view?i=",J8643)</f>
        <v>https://www.dgiwg.org/FAD/fdd/view?i=110534</v>
      </c>
      <c r="L8643" s="36" t="s">
        <v>49517</v>
      </c>
      <c r="M8643" s="186"/>
      <c r="N8643" s="186"/>
      <c r="O8643" s="172"/>
    </row>
    <row r="8644" spans="1:15" ht="25.5" x14ac:dyDescent="0.2">
      <c r="A8644" s="197" t="str">
        <f t="shared" si="135"/>
        <v>SrtCode_ngaVectorMap2</v>
      </c>
      <c r="B8644" s="409"/>
      <c r="C8644" s="416"/>
      <c r="D8644" s="198" t="s">
        <v>45752</v>
      </c>
      <c r="E8644" s="198">
        <v>64</v>
      </c>
      <c r="F8644" s="199" t="s">
        <v>45753</v>
      </c>
      <c r="G8644" s="1" t="s">
        <v>45754</v>
      </c>
      <c r="H8644" s="200"/>
      <c r="I8644" s="346"/>
      <c r="J8644" s="39">
        <v>110535</v>
      </c>
      <c r="K8644" s="36" t="str">
        <f>CONCATENATE(Cover!$D$6,"fdd/view?i=",J8644)</f>
        <v>https://www.dgiwg.org/FAD/fdd/view?i=110535</v>
      </c>
      <c r="L8644" s="36" t="s">
        <v>49518</v>
      </c>
      <c r="M8644" s="186"/>
      <c r="N8644" s="186"/>
      <c r="O8644" s="172"/>
    </row>
    <row r="8645" spans="1:15" ht="25.5" x14ac:dyDescent="0.2">
      <c r="A8645" s="197" t="str">
        <f t="shared" si="135"/>
        <v>SrtCode_ngaWorldVectorShorePlus</v>
      </c>
      <c r="B8645" s="409"/>
      <c r="C8645" s="416"/>
      <c r="D8645" s="198" t="s">
        <v>45768</v>
      </c>
      <c r="E8645" s="198">
        <v>65</v>
      </c>
      <c r="F8645" s="199" t="s">
        <v>45769</v>
      </c>
      <c r="G8645" s="1" t="s">
        <v>45770</v>
      </c>
      <c r="H8645" s="200"/>
      <c r="I8645" s="346"/>
      <c r="J8645" s="39">
        <v>110536</v>
      </c>
      <c r="K8645" s="36" t="str">
        <f>CONCATENATE(Cover!$D$6,"fdd/view?i=",J8645)</f>
        <v>https://www.dgiwg.org/FAD/fdd/view?i=110536</v>
      </c>
      <c r="L8645" s="36" t="s">
        <v>49524</v>
      </c>
      <c r="M8645" s="186"/>
      <c r="N8645" s="186"/>
      <c r="O8645" s="172"/>
    </row>
    <row r="8646" spans="1:15" x14ac:dyDescent="0.2">
      <c r="A8646" s="197" t="str">
        <f t="shared" si="135"/>
        <v>SrtCode_openSource</v>
      </c>
      <c r="B8646" s="409"/>
      <c r="C8646" s="416"/>
      <c r="D8646" s="198" t="s">
        <v>49448</v>
      </c>
      <c r="E8646" s="198">
        <v>160</v>
      </c>
      <c r="F8646" s="199" t="s">
        <v>49449</v>
      </c>
      <c r="G8646" s="1" t="s">
        <v>49450</v>
      </c>
      <c r="H8646" s="200"/>
      <c r="I8646" s="346"/>
      <c r="J8646" s="39">
        <v>119723</v>
      </c>
      <c r="K8646" s="36" t="str">
        <f>CONCATENATE(Cover!$D$6,"fdd/view?i=",J8646)</f>
        <v>https://www.dgiwg.org/FAD/fdd/view?i=119723</v>
      </c>
      <c r="L8646" s="36" t="s">
        <v>49451</v>
      </c>
      <c r="M8646" s="186"/>
      <c r="N8646" s="186"/>
      <c r="O8646" s="172"/>
    </row>
    <row r="8647" spans="1:15" ht="25.5" x14ac:dyDescent="0.2">
      <c r="A8647" s="197" t="str">
        <f t="shared" si="135"/>
        <v>SrtCode_orbimageImagery</v>
      </c>
      <c r="B8647" s="409"/>
      <c r="C8647" s="416"/>
      <c r="D8647" s="198" t="s">
        <v>45564</v>
      </c>
      <c r="E8647" s="198">
        <v>103</v>
      </c>
      <c r="F8647" s="199" t="s">
        <v>45565</v>
      </c>
      <c r="G8647" s="1" t="s">
        <v>45566</v>
      </c>
      <c r="H8647" s="200"/>
      <c r="I8647" s="346"/>
      <c r="J8647" s="39">
        <v>112830</v>
      </c>
      <c r="K8647" s="36" t="str">
        <f>CONCATENATE(Cover!$D$6,"fdd/view?i=",J8647)</f>
        <v>https://www.dgiwg.org/FAD/fdd/view?i=112830</v>
      </c>
      <c r="L8647" s="36" t="s">
        <v>49452</v>
      </c>
      <c r="M8647" s="186"/>
      <c r="N8647" s="186"/>
      <c r="O8647" s="172"/>
    </row>
    <row r="8648" spans="1:15" ht="25.5" x14ac:dyDescent="0.2">
      <c r="A8648" s="197" t="str">
        <f t="shared" si="135"/>
        <v>SrtCode_orbView3</v>
      </c>
      <c r="B8648" s="409"/>
      <c r="C8648" s="416"/>
      <c r="D8648" s="198" t="s">
        <v>45568</v>
      </c>
      <c r="E8648" s="198">
        <v>127</v>
      </c>
      <c r="F8648" s="199" t="s">
        <v>45569</v>
      </c>
      <c r="G8648" s="1" t="s">
        <v>45570</v>
      </c>
      <c r="H8648" s="200"/>
      <c r="I8648" s="346"/>
      <c r="J8648" s="39">
        <v>118403</v>
      </c>
      <c r="K8648" s="36" t="str">
        <f>CONCATENATE(Cover!$D$6,"fdd/view?i=",J8648)</f>
        <v>https://www.dgiwg.org/FAD/fdd/view?i=118403</v>
      </c>
      <c r="L8648" s="36" t="s">
        <v>49453</v>
      </c>
      <c r="M8648" s="186"/>
      <c r="N8648" s="186"/>
      <c r="O8648" s="172"/>
    </row>
    <row r="8649" spans="1:15" ht="25.5" x14ac:dyDescent="0.2">
      <c r="A8649" s="197" t="str">
        <f t="shared" si="135"/>
        <v>SrtCode_pleiadesHR1</v>
      </c>
      <c r="B8649" s="409"/>
      <c r="C8649" s="416"/>
      <c r="D8649" s="198" t="s">
        <v>45576</v>
      </c>
      <c r="E8649" s="198">
        <v>140</v>
      </c>
      <c r="F8649" s="199" t="s">
        <v>49455</v>
      </c>
      <c r="G8649" s="1" t="s">
        <v>45578</v>
      </c>
      <c r="H8649" s="200"/>
      <c r="I8649" s="346"/>
      <c r="J8649" s="39">
        <v>118416</v>
      </c>
      <c r="K8649" s="36" t="str">
        <f>CONCATENATE(Cover!$D$6,"fdd/view?i=",J8649)</f>
        <v>https://www.dgiwg.org/FAD/fdd/view?i=118416</v>
      </c>
      <c r="L8649" s="36" t="s">
        <v>49456</v>
      </c>
      <c r="M8649" s="186"/>
      <c r="N8649" s="186"/>
      <c r="O8649" s="172"/>
    </row>
    <row r="8650" spans="1:15" ht="25.5" x14ac:dyDescent="0.2">
      <c r="A8650" s="197" t="str">
        <f t="shared" si="135"/>
        <v>SrtCode_pleiadesHR2</v>
      </c>
      <c r="B8650" s="409"/>
      <c r="C8650" s="416"/>
      <c r="D8650" s="198" t="s">
        <v>45580</v>
      </c>
      <c r="E8650" s="198">
        <v>141</v>
      </c>
      <c r="F8650" s="199" t="s">
        <v>49457</v>
      </c>
      <c r="G8650" s="1" t="s">
        <v>45582</v>
      </c>
      <c r="H8650" s="200"/>
      <c r="I8650" s="346"/>
      <c r="J8650" s="39">
        <v>118417</v>
      </c>
      <c r="K8650" s="36" t="str">
        <f>CONCATENATE(Cover!$D$6,"fdd/view?i=",J8650)</f>
        <v>https://www.dgiwg.org/FAD/fdd/view?i=118417</v>
      </c>
      <c r="L8650" s="36" t="s">
        <v>49458</v>
      </c>
      <c r="M8650" s="186"/>
      <c r="N8650" s="186"/>
      <c r="O8650" s="172"/>
    </row>
    <row r="8651" spans="1:15" ht="25.5" x14ac:dyDescent="0.2">
      <c r="A8651" s="197" t="str">
        <f t="shared" si="135"/>
        <v>SrtCode_quickBirdImagery</v>
      </c>
      <c r="B8651" s="409"/>
      <c r="C8651" s="416"/>
      <c r="D8651" s="198" t="s">
        <v>45584</v>
      </c>
      <c r="E8651" s="198">
        <v>9</v>
      </c>
      <c r="F8651" s="199" t="s">
        <v>45585</v>
      </c>
      <c r="G8651" s="1" t="s">
        <v>45586</v>
      </c>
      <c r="H8651" s="200"/>
      <c r="I8651" s="346"/>
      <c r="J8651" s="39">
        <v>110539</v>
      </c>
      <c r="K8651" s="36" t="str">
        <f>CONCATENATE(Cover!$D$6,"fdd/view?i=",J8651)</f>
        <v>https://www.dgiwg.org/FAD/fdd/view?i=110539</v>
      </c>
      <c r="L8651" s="36" t="s">
        <v>49459</v>
      </c>
      <c r="M8651" s="186"/>
      <c r="N8651" s="186"/>
      <c r="O8651" s="172"/>
    </row>
    <row r="8652" spans="1:15" ht="38.25" x14ac:dyDescent="0.2">
      <c r="A8652" s="197" t="str">
        <f t="shared" si="135"/>
        <v>SrtCode_quickBirdMultiMono</v>
      </c>
      <c r="B8652" s="409"/>
      <c r="C8652" s="416"/>
      <c r="D8652" s="198" t="s">
        <v>45588</v>
      </c>
      <c r="E8652" s="198">
        <v>66</v>
      </c>
      <c r="F8652" s="199" t="s">
        <v>45589</v>
      </c>
      <c r="G8652" s="1" t="s">
        <v>45590</v>
      </c>
      <c r="H8652" s="200"/>
      <c r="I8652" s="346"/>
      <c r="J8652" s="39">
        <v>111031</v>
      </c>
      <c r="K8652" s="36" t="str">
        <f>CONCATENATE(Cover!$D$6,"fdd/view?i=",J8652)</f>
        <v>https://www.dgiwg.org/FAD/fdd/view?i=111031</v>
      </c>
      <c r="L8652" s="36" t="s">
        <v>49460</v>
      </c>
      <c r="M8652" s="186"/>
      <c r="N8652" s="186"/>
      <c r="O8652" s="172"/>
    </row>
    <row r="8653" spans="1:15" ht="38.25" x14ac:dyDescent="0.2">
      <c r="A8653" s="197" t="str">
        <f t="shared" si="135"/>
        <v>SrtCode_quickBirdMultiStereo</v>
      </c>
      <c r="B8653" s="409"/>
      <c r="C8653" s="416"/>
      <c r="D8653" s="198" t="s">
        <v>45592</v>
      </c>
      <c r="E8653" s="198">
        <v>67</v>
      </c>
      <c r="F8653" s="199" t="s">
        <v>45593</v>
      </c>
      <c r="G8653" s="1" t="s">
        <v>45594</v>
      </c>
      <c r="H8653" s="200"/>
      <c r="I8653" s="346"/>
      <c r="J8653" s="39">
        <v>111032</v>
      </c>
      <c r="K8653" s="36" t="str">
        <f>CONCATENATE(Cover!$D$6,"fdd/view?i=",J8653)</f>
        <v>https://www.dgiwg.org/FAD/fdd/view?i=111032</v>
      </c>
      <c r="L8653" s="36" t="s">
        <v>49461</v>
      </c>
      <c r="M8653" s="186"/>
      <c r="N8653" s="186"/>
      <c r="O8653" s="172"/>
    </row>
    <row r="8654" spans="1:15" ht="38.25" x14ac:dyDescent="0.2">
      <c r="A8654" s="197" t="str">
        <f t="shared" si="135"/>
        <v>SrtCode_quickBirdPanMono</v>
      </c>
      <c r="B8654" s="409"/>
      <c r="C8654" s="416"/>
      <c r="D8654" s="198" t="s">
        <v>45596</v>
      </c>
      <c r="E8654" s="198">
        <v>68</v>
      </c>
      <c r="F8654" s="199" t="s">
        <v>45597</v>
      </c>
      <c r="G8654" s="1" t="s">
        <v>45598</v>
      </c>
      <c r="H8654" s="200"/>
      <c r="I8654" s="346"/>
      <c r="J8654" s="39">
        <v>111033</v>
      </c>
      <c r="K8654" s="36" t="str">
        <f>CONCATENATE(Cover!$D$6,"fdd/view?i=",J8654)</f>
        <v>https://www.dgiwg.org/FAD/fdd/view?i=111033</v>
      </c>
      <c r="L8654" s="36" t="s">
        <v>49462</v>
      </c>
      <c r="M8654" s="186"/>
      <c r="N8654" s="186"/>
      <c r="O8654" s="172"/>
    </row>
    <row r="8655" spans="1:15" ht="38.25" x14ac:dyDescent="0.2">
      <c r="A8655" s="197" t="str">
        <f t="shared" si="135"/>
        <v>SrtCode_quickBirdPanStereo</v>
      </c>
      <c r="B8655" s="409"/>
      <c r="C8655" s="416"/>
      <c r="D8655" s="198" t="s">
        <v>45600</v>
      </c>
      <c r="E8655" s="198">
        <v>69</v>
      </c>
      <c r="F8655" s="199" t="s">
        <v>45601</v>
      </c>
      <c r="G8655" s="1" t="s">
        <v>45602</v>
      </c>
      <c r="H8655" s="200"/>
      <c r="I8655" s="346"/>
      <c r="J8655" s="39">
        <v>111034</v>
      </c>
      <c r="K8655" s="36" t="str">
        <f>CONCATENATE(Cover!$D$6,"fdd/view?i=",J8655)</f>
        <v>https://www.dgiwg.org/FAD/fdd/view?i=111034</v>
      </c>
      <c r="L8655" s="36" t="s">
        <v>49463</v>
      </c>
      <c r="M8655" s="186"/>
      <c r="N8655" s="186"/>
      <c r="O8655" s="172"/>
    </row>
    <row r="8656" spans="1:15" x14ac:dyDescent="0.2">
      <c r="A8656" s="197" t="str">
        <f t="shared" si="135"/>
        <v>SrtCode_radarImagery</v>
      </c>
      <c r="B8656" s="409"/>
      <c r="C8656" s="416"/>
      <c r="D8656" s="198" t="s">
        <v>49464</v>
      </c>
      <c r="E8656" s="198">
        <v>164</v>
      </c>
      <c r="F8656" s="199" t="s">
        <v>49465</v>
      </c>
      <c r="G8656" s="1" t="s">
        <v>49466</v>
      </c>
      <c r="H8656" s="200"/>
      <c r="I8656" s="346"/>
      <c r="J8656" s="39">
        <v>119727</v>
      </c>
      <c r="K8656" s="36" t="str">
        <f>CONCATENATE(Cover!$D$6,"fdd/view?i=",J8656)</f>
        <v>https://www.dgiwg.org/FAD/fdd/view?i=119727</v>
      </c>
      <c r="L8656" s="36" t="s">
        <v>49467</v>
      </c>
      <c r="M8656" s="186"/>
      <c r="N8656" s="186"/>
      <c r="O8656" s="172"/>
    </row>
    <row r="8657" spans="1:15" ht="25.5" x14ac:dyDescent="0.2">
      <c r="A8657" s="197" t="str">
        <f t="shared" si="135"/>
        <v>SrtCode_rapidEye</v>
      </c>
      <c r="B8657" s="409"/>
      <c r="C8657" s="416"/>
      <c r="D8657" s="198" t="s">
        <v>45604</v>
      </c>
      <c r="E8657" s="198">
        <v>148</v>
      </c>
      <c r="F8657" s="199" t="s">
        <v>45605</v>
      </c>
      <c r="G8657" s="1" t="s">
        <v>45606</v>
      </c>
      <c r="H8657" s="200"/>
      <c r="I8657" s="346"/>
      <c r="J8657" s="39">
        <v>118424</v>
      </c>
      <c r="K8657" s="36" t="str">
        <f>CONCATENATE(Cover!$D$6,"fdd/view?i=",J8657)</f>
        <v>https://www.dgiwg.org/FAD/fdd/view?i=118424</v>
      </c>
      <c r="L8657" s="36" t="s">
        <v>49468</v>
      </c>
      <c r="M8657" s="186"/>
      <c r="N8657" s="186"/>
      <c r="O8657" s="172"/>
    </row>
    <row r="8658" spans="1:15" ht="25.5" x14ac:dyDescent="0.2">
      <c r="A8658" s="197" t="str">
        <f t="shared" si="135"/>
        <v>SrtCode_report</v>
      </c>
      <c r="B8658" s="409"/>
      <c r="C8658" s="416"/>
      <c r="D8658" s="198" t="s">
        <v>49469</v>
      </c>
      <c r="E8658" s="198">
        <v>157</v>
      </c>
      <c r="F8658" s="199" t="s">
        <v>49470</v>
      </c>
      <c r="G8658" s="1" t="s">
        <v>49471</v>
      </c>
      <c r="H8658" s="200"/>
      <c r="I8658" s="346"/>
      <c r="J8658" s="39">
        <v>119720</v>
      </c>
      <c r="K8658" s="36" t="str">
        <f>CONCATENATE(Cover!$D$6,"fdd/view?i=",J8658)</f>
        <v>https://www.dgiwg.org/FAD/fdd/view?i=119720</v>
      </c>
      <c r="L8658" s="36" t="s">
        <v>49472</v>
      </c>
      <c r="M8658" s="186"/>
      <c r="N8658" s="186"/>
      <c r="O8658" s="172"/>
    </row>
    <row r="8659" spans="1:15" x14ac:dyDescent="0.2">
      <c r="A8659" s="197" t="str">
        <f t="shared" si="135"/>
        <v>SrtCode_routingData</v>
      </c>
      <c r="B8659" s="409"/>
      <c r="C8659" s="416"/>
      <c r="D8659" s="198" t="s">
        <v>45608</v>
      </c>
      <c r="E8659" s="198">
        <v>121</v>
      </c>
      <c r="F8659" s="199" t="s">
        <v>45609</v>
      </c>
      <c r="G8659" s="1" t="s">
        <v>45610</v>
      </c>
      <c r="H8659" s="1" t="s">
        <v>45611</v>
      </c>
      <c r="I8659" s="346"/>
      <c r="J8659" s="39">
        <v>118112</v>
      </c>
      <c r="K8659" s="36" t="str">
        <f>CONCATENATE(Cover!$D$6,"fdd/view?i=",J8659)</f>
        <v>https://www.dgiwg.org/FAD/fdd/view?i=118112</v>
      </c>
      <c r="L8659" s="36" t="s">
        <v>49473</v>
      </c>
      <c r="M8659" s="186"/>
      <c r="N8659" s="186"/>
      <c r="O8659" s="172"/>
    </row>
    <row r="8660" spans="1:15" x14ac:dyDescent="0.2">
      <c r="A8660" s="197" t="str">
        <f t="shared" si="135"/>
        <v>SrtCode_siteMap</v>
      </c>
      <c r="B8660" s="409"/>
      <c r="C8660" s="416"/>
      <c r="D8660" s="198" t="s">
        <v>45613</v>
      </c>
      <c r="E8660" s="198">
        <v>51</v>
      </c>
      <c r="F8660" s="199" t="s">
        <v>45614</v>
      </c>
      <c r="G8660" s="1" t="s">
        <v>45615</v>
      </c>
      <c r="H8660" s="200"/>
      <c r="I8660" s="346"/>
      <c r="J8660" s="39">
        <v>110521</v>
      </c>
      <c r="K8660" s="36" t="str">
        <f>CONCATENATE(Cover!$D$6,"fdd/view?i=",J8660)</f>
        <v>https://www.dgiwg.org/FAD/fdd/view?i=110521</v>
      </c>
      <c r="L8660" s="36" t="s">
        <v>49474</v>
      </c>
      <c r="M8660" s="186"/>
      <c r="N8660" s="186"/>
      <c r="O8660" s="172"/>
    </row>
    <row r="8661" spans="1:15" ht="25.5" x14ac:dyDescent="0.2">
      <c r="A8661" s="197" t="str">
        <f t="shared" si="135"/>
        <v>SrtCode_spot10mImagery</v>
      </c>
      <c r="B8661" s="409"/>
      <c r="C8661" s="416"/>
      <c r="D8661" s="198" t="s">
        <v>45617</v>
      </c>
      <c r="E8661" s="198">
        <v>74</v>
      </c>
      <c r="F8661" s="199" t="s">
        <v>45618</v>
      </c>
      <c r="G8661" s="1" t="s">
        <v>45619</v>
      </c>
      <c r="H8661" s="200"/>
      <c r="I8661" s="346"/>
      <c r="J8661" s="39">
        <v>111039</v>
      </c>
      <c r="K8661" s="36" t="str">
        <f>CONCATENATE(Cover!$D$6,"fdd/view?i=",J8661)</f>
        <v>https://www.dgiwg.org/FAD/fdd/view?i=111039</v>
      </c>
      <c r="L8661" s="36" t="s">
        <v>49475</v>
      </c>
      <c r="M8661" s="186"/>
      <c r="N8661" s="186"/>
      <c r="O8661" s="172"/>
    </row>
    <row r="8662" spans="1:15" ht="38.25" x14ac:dyDescent="0.2">
      <c r="A8662" s="197" t="str">
        <f t="shared" si="135"/>
        <v>SrtCode_spot10mMultiMono</v>
      </c>
      <c r="B8662" s="409"/>
      <c r="C8662" s="416"/>
      <c r="D8662" s="198" t="s">
        <v>45621</v>
      </c>
      <c r="E8662" s="198">
        <v>84</v>
      </c>
      <c r="F8662" s="199" t="s">
        <v>45622</v>
      </c>
      <c r="G8662" s="1" t="s">
        <v>45623</v>
      </c>
      <c r="H8662" s="200"/>
      <c r="I8662" s="346"/>
      <c r="J8662" s="39">
        <v>111049</v>
      </c>
      <c r="K8662" s="36" t="str">
        <f>CONCATENATE(Cover!$D$6,"fdd/view?i=",J8662)</f>
        <v>https://www.dgiwg.org/FAD/fdd/view?i=111049</v>
      </c>
      <c r="L8662" s="36" t="s">
        <v>49476</v>
      </c>
      <c r="M8662" s="186"/>
      <c r="N8662" s="186"/>
      <c r="O8662" s="172"/>
    </row>
    <row r="8663" spans="1:15" ht="38.25" x14ac:dyDescent="0.2">
      <c r="A8663" s="197" t="str">
        <f t="shared" si="135"/>
        <v>SrtCode_spot2r5mMultiMono</v>
      </c>
      <c r="B8663" s="409"/>
      <c r="C8663" s="416"/>
      <c r="D8663" s="198" t="s">
        <v>45625</v>
      </c>
      <c r="E8663" s="198">
        <v>81</v>
      </c>
      <c r="F8663" s="199" t="s">
        <v>45626</v>
      </c>
      <c r="G8663" s="1" t="s">
        <v>45627</v>
      </c>
      <c r="H8663" s="200"/>
      <c r="I8663" s="346"/>
      <c r="J8663" s="39">
        <v>111046</v>
      </c>
      <c r="K8663" s="36" t="str">
        <f>CONCATENATE(Cover!$D$6,"fdd/view?i=",J8663)</f>
        <v>https://www.dgiwg.org/FAD/fdd/view?i=111046</v>
      </c>
      <c r="L8663" s="36" t="s">
        <v>49477</v>
      </c>
      <c r="M8663" s="186"/>
      <c r="N8663" s="186"/>
      <c r="O8663" s="172"/>
    </row>
    <row r="8664" spans="1:15" ht="38.25" x14ac:dyDescent="0.2">
      <c r="A8664" s="197" t="str">
        <f t="shared" si="135"/>
        <v>SrtCode_spot2r5mPanMono</v>
      </c>
      <c r="B8664" s="409"/>
      <c r="C8664" s="416"/>
      <c r="D8664" s="198" t="s">
        <v>45629</v>
      </c>
      <c r="E8664" s="198">
        <v>80</v>
      </c>
      <c r="F8664" s="199" t="s">
        <v>45630</v>
      </c>
      <c r="G8664" s="1" t="s">
        <v>45631</v>
      </c>
      <c r="H8664" s="200"/>
      <c r="I8664" s="346"/>
      <c r="J8664" s="39">
        <v>111045</v>
      </c>
      <c r="K8664" s="36" t="str">
        <f>CONCATENATE(Cover!$D$6,"fdd/view?i=",J8664)</f>
        <v>https://www.dgiwg.org/FAD/fdd/view?i=111045</v>
      </c>
      <c r="L8664" s="36" t="s">
        <v>49478</v>
      </c>
      <c r="M8664" s="186"/>
      <c r="N8664" s="186"/>
      <c r="O8664" s="172"/>
    </row>
    <row r="8665" spans="1:15" ht="25.5" x14ac:dyDescent="0.2">
      <c r="A8665" s="197" t="str">
        <f t="shared" si="135"/>
        <v>SrtCode_spot5mHrsDigTerModel</v>
      </c>
      <c r="B8665" s="409"/>
      <c r="C8665" s="416"/>
      <c r="D8665" s="198" t="s">
        <v>45633</v>
      </c>
      <c r="E8665" s="198">
        <v>102</v>
      </c>
      <c r="F8665" s="199" t="s">
        <v>45634</v>
      </c>
      <c r="G8665" s="1" t="s">
        <v>45635</v>
      </c>
      <c r="H8665" s="200"/>
      <c r="I8665" s="346"/>
      <c r="J8665" s="39">
        <v>112917</v>
      </c>
      <c r="K8665" s="36" t="str">
        <f>CONCATENATE(Cover!$D$6,"fdd/view?i=",J8665)</f>
        <v>https://www.dgiwg.org/FAD/fdd/view?i=112917</v>
      </c>
      <c r="L8665" s="36" t="s">
        <v>49479</v>
      </c>
      <c r="M8665" s="186"/>
      <c r="N8665" s="186"/>
      <c r="O8665" s="172"/>
    </row>
    <row r="8666" spans="1:15" ht="25.5" x14ac:dyDescent="0.2">
      <c r="A8666" s="197" t="str">
        <f t="shared" si="135"/>
        <v>SrtCode_spot5mImagery</v>
      </c>
      <c r="B8666" s="409"/>
      <c r="C8666" s="416"/>
      <c r="D8666" s="198" t="s">
        <v>45637</v>
      </c>
      <c r="E8666" s="198">
        <v>75</v>
      </c>
      <c r="F8666" s="199" t="s">
        <v>45638</v>
      </c>
      <c r="G8666" s="1" t="s">
        <v>45639</v>
      </c>
      <c r="H8666" s="200"/>
      <c r="I8666" s="346"/>
      <c r="J8666" s="39">
        <v>111040</v>
      </c>
      <c r="K8666" s="36" t="str">
        <f>CONCATENATE(Cover!$D$6,"fdd/view?i=",J8666)</f>
        <v>https://www.dgiwg.org/FAD/fdd/view?i=111040</v>
      </c>
      <c r="L8666" s="36" t="s">
        <v>49480</v>
      </c>
      <c r="M8666" s="186"/>
      <c r="N8666" s="186"/>
      <c r="O8666" s="172"/>
    </row>
    <row r="8667" spans="1:15" ht="25.5" x14ac:dyDescent="0.2">
      <c r="A8667" s="197" t="str">
        <f t="shared" si="135"/>
        <v>SrtCode_spot5mMonoImagery</v>
      </c>
      <c r="B8667" s="409"/>
      <c r="C8667" s="416"/>
      <c r="D8667" s="198" t="s">
        <v>45641</v>
      </c>
      <c r="E8667" s="198">
        <v>82</v>
      </c>
      <c r="F8667" s="199" t="s">
        <v>45642</v>
      </c>
      <c r="G8667" s="1" t="s">
        <v>45643</v>
      </c>
      <c r="H8667" s="200"/>
      <c r="I8667" s="346"/>
      <c r="J8667" s="39">
        <v>111047</v>
      </c>
      <c r="K8667" s="36" t="str">
        <f>CONCATENATE(Cover!$D$6,"fdd/view?i=",J8667)</f>
        <v>https://www.dgiwg.org/FAD/fdd/view?i=111047</v>
      </c>
      <c r="L8667" s="36" t="s">
        <v>49481</v>
      </c>
      <c r="M8667" s="186"/>
      <c r="N8667" s="186"/>
      <c r="O8667" s="172"/>
    </row>
    <row r="8668" spans="1:15" ht="38.25" x14ac:dyDescent="0.2">
      <c r="A8668" s="197" t="str">
        <f t="shared" si="135"/>
        <v>SrtCode_spot5mMultiMono</v>
      </c>
      <c r="B8668" s="409"/>
      <c r="C8668" s="416"/>
      <c r="D8668" s="198" t="s">
        <v>45645</v>
      </c>
      <c r="E8668" s="198">
        <v>76</v>
      </c>
      <c r="F8668" s="199" t="s">
        <v>45646</v>
      </c>
      <c r="G8668" s="1" t="s">
        <v>45647</v>
      </c>
      <c r="H8668" s="200"/>
      <c r="I8668" s="346"/>
      <c r="J8668" s="39">
        <v>111041</v>
      </c>
      <c r="K8668" s="36" t="str">
        <f>CONCATENATE(Cover!$D$6,"fdd/view?i=",J8668)</f>
        <v>https://www.dgiwg.org/FAD/fdd/view?i=111041</v>
      </c>
      <c r="L8668" s="36" t="s">
        <v>49482</v>
      </c>
      <c r="M8668" s="186"/>
      <c r="N8668" s="186"/>
      <c r="O8668" s="172"/>
    </row>
    <row r="8669" spans="1:15" ht="38.25" x14ac:dyDescent="0.2">
      <c r="A8669" s="197" t="str">
        <f t="shared" si="135"/>
        <v>SrtCode_spot5mMultiStereo</v>
      </c>
      <c r="B8669" s="409"/>
      <c r="C8669" s="416"/>
      <c r="D8669" s="198" t="s">
        <v>45649</v>
      </c>
      <c r="E8669" s="198">
        <v>77</v>
      </c>
      <c r="F8669" s="199" t="s">
        <v>45650</v>
      </c>
      <c r="G8669" s="1" t="s">
        <v>45651</v>
      </c>
      <c r="H8669" s="200"/>
      <c r="I8669" s="346"/>
      <c r="J8669" s="39">
        <v>111042</v>
      </c>
      <c r="K8669" s="36" t="str">
        <f>CONCATENATE(Cover!$D$6,"fdd/view?i=",J8669)</f>
        <v>https://www.dgiwg.org/FAD/fdd/view?i=111042</v>
      </c>
      <c r="L8669" s="36" t="s">
        <v>49483</v>
      </c>
      <c r="M8669" s="186"/>
      <c r="N8669" s="186"/>
      <c r="O8669" s="172"/>
    </row>
    <row r="8670" spans="1:15" ht="38.25" x14ac:dyDescent="0.2">
      <c r="A8670" s="197" t="str">
        <f t="shared" si="135"/>
        <v>SrtCode_spot5mPanMono</v>
      </c>
      <c r="B8670" s="409"/>
      <c r="C8670" s="416"/>
      <c r="D8670" s="198" t="s">
        <v>45653</v>
      </c>
      <c r="E8670" s="198">
        <v>78</v>
      </c>
      <c r="F8670" s="199" t="s">
        <v>45654</v>
      </c>
      <c r="G8670" s="1" t="s">
        <v>45655</v>
      </c>
      <c r="H8670" s="200"/>
      <c r="I8670" s="346"/>
      <c r="J8670" s="39">
        <v>111043</v>
      </c>
      <c r="K8670" s="36" t="str">
        <f>CONCATENATE(Cover!$D$6,"fdd/view?i=",J8670)</f>
        <v>https://www.dgiwg.org/FAD/fdd/view?i=111043</v>
      </c>
      <c r="L8670" s="36" t="s">
        <v>49484</v>
      </c>
      <c r="M8670" s="186"/>
      <c r="N8670" s="186"/>
      <c r="O8670" s="172"/>
    </row>
    <row r="8671" spans="1:15" ht="38.25" x14ac:dyDescent="0.2">
      <c r="A8671" s="197" t="str">
        <f t="shared" si="135"/>
        <v>SrtCode_spot5mPanStereo</v>
      </c>
      <c r="B8671" s="409"/>
      <c r="C8671" s="416"/>
      <c r="D8671" s="198" t="s">
        <v>45657</v>
      </c>
      <c r="E8671" s="198">
        <v>79</v>
      </c>
      <c r="F8671" s="199" t="s">
        <v>45658</v>
      </c>
      <c r="G8671" s="1" t="s">
        <v>45659</v>
      </c>
      <c r="H8671" s="200"/>
      <c r="I8671" s="346"/>
      <c r="J8671" s="39">
        <v>111044</v>
      </c>
      <c r="K8671" s="36" t="str">
        <f>CONCATENATE(Cover!$D$6,"fdd/view?i=",J8671)</f>
        <v>https://www.dgiwg.org/FAD/fdd/view?i=111044</v>
      </c>
      <c r="L8671" s="36" t="s">
        <v>49485</v>
      </c>
      <c r="M8671" s="186"/>
      <c r="N8671" s="186"/>
      <c r="O8671" s="172"/>
    </row>
    <row r="8672" spans="1:15" ht="25.5" x14ac:dyDescent="0.2">
      <c r="A8672" s="197" t="str">
        <f t="shared" si="135"/>
        <v>SrtCode_spot5mStereoImagery</v>
      </c>
      <c r="B8672" s="409"/>
      <c r="C8672" s="416"/>
      <c r="D8672" s="198" t="s">
        <v>45661</v>
      </c>
      <c r="E8672" s="198">
        <v>83</v>
      </c>
      <c r="F8672" s="199" t="s">
        <v>45662</v>
      </c>
      <c r="G8672" s="1" t="s">
        <v>45663</v>
      </c>
      <c r="H8672" s="200"/>
      <c r="I8672" s="346"/>
      <c r="J8672" s="39">
        <v>111048</v>
      </c>
      <c r="K8672" s="36" t="str">
        <f>CONCATENATE(Cover!$D$6,"fdd/view?i=",J8672)</f>
        <v>https://www.dgiwg.org/FAD/fdd/view?i=111048</v>
      </c>
      <c r="L8672" s="36" t="s">
        <v>49486</v>
      </c>
      <c r="M8672" s="186"/>
      <c r="N8672" s="186"/>
      <c r="O8672" s="172"/>
    </row>
    <row r="8673" spans="1:15" ht="25.5" x14ac:dyDescent="0.2">
      <c r="A8673" s="197" t="str">
        <f t="shared" si="135"/>
        <v>SrtCode_spotHrgDtm</v>
      </c>
      <c r="B8673" s="409"/>
      <c r="C8673" s="416"/>
      <c r="D8673" s="198" t="s">
        <v>45665</v>
      </c>
      <c r="E8673" s="198">
        <v>85</v>
      </c>
      <c r="F8673" s="199" t="s">
        <v>45666</v>
      </c>
      <c r="G8673" s="1" t="s">
        <v>45667</v>
      </c>
      <c r="H8673" s="200"/>
      <c r="I8673" s="346"/>
      <c r="J8673" s="39">
        <v>111050</v>
      </c>
      <c r="K8673" s="36" t="str">
        <f>CONCATENATE(Cover!$D$6,"fdd/view?i=",J8673)</f>
        <v>https://www.dgiwg.org/FAD/fdd/view?i=111050</v>
      </c>
      <c r="L8673" s="36" t="s">
        <v>49487</v>
      </c>
      <c r="M8673" s="186"/>
      <c r="N8673" s="186"/>
      <c r="O8673" s="172"/>
    </row>
    <row r="8674" spans="1:15" x14ac:dyDescent="0.2">
      <c r="A8674" s="197" t="str">
        <f t="shared" si="135"/>
        <v>SrtCode_stadtkarte</v>
      </c>
      <c r="B8674" s="409"/>
      <c r="C8674" s="416"/>
      <c r="D8674" s="198" t="s">
        <v>45673</v>
      </c>
      <c r="E8674" s="198">
        <v>100</v>
      </c>
      <c r="F8674" s="199" t="s">
        <v>45674</v>
      </c>
      <c r="G8674" s="1" t="s">
        <v>45675</v>
      </c>
      <c r="H8674" s="200"/>
      <c r="I8674" s="346"/>
      <c r="J8674" s="39">
        <v>112915</v>
      </c>
      <c r="K8674" s="36" t="str">
        <f>CONCATENATE(Cover!$D$6,"fdd/view?i=",J8674)</f>
        <v>https://www.dgiwg.org/FAD/fdd/view?i=112915</v>
      </c>
      <c r="L8674" s="36" t="s">
        <v>49489</v>
      </c>
      <c r="M8674" s="186"/>
      <c r="N8674" s="186"/>
      <c r="O8674" s="172"/>
    </row>
    <row r="8675" spans="1:15" ht="25.5" x14ac:dyDescent="0.2">
      <c r="A8675" s="197" t="str">
        <f t="shared" si="135"/>
        <v>SrtCode_stereoscopicImagery</v>
      </c>
      <c r="B8675" s="409"/>
      <c r="C8675" s="416"/>
      <c r="D8675" s="198" t="s">
        <v>49115</v>
      </c>
      <c r="E8675" s="198">
        <v>162</v>
      </c>
      <c r="F8675" s="199" t="s">
        <v>49116</v>
      </c>
      <c r="G8675" s="1" t="s">
        <v>49490</v>
      </c>
      <c r="H8675" s="200"/>
      <c r="I8675" s="346"/>
      <c r="J8675" s="39">
        <v>119725</v>
      </c>
      <c r="K8675" s="36" t="str">
        <f>CONCATENATE(Cover!$D$6,"fdd/view?i=",J8675)</f>
        <v>https://www.dgiwg.org/FAD/fdd/view?i=119725</v>
      </c>
      <c r="L8675" s="36" t="s">
        <v>49491</v>
      </c>
      <c r="M8675" s="186"/>
      <c r="N8675" s="186"/>
      <c r="O8675" s="172"/>
    </row>
    <row r="8676" spans="1:15" x14ac:dyDescent="0.2">
      <c r="A8676" s="197" t="str">
        <f t="shared" si="135"/>
        <v>SrtCode_survey</v>
      </c>
      <c r="B8676" s="409"/>
      <c r="C8676" s="416"/>
      <c r="D8676" s="198" t="s">
        <v>25491</v>
      </c>
      <c r="E8676" s="198">
        <v>161</v>
      </c>
      <c r="F8676" s="199" t="s">
        <v>25492</v>
      </c>
      <c r="G8676" s="1" t="s">
        <v>49492</v>
      </c>
      <c r="H8676" s="200"/>
      <c r="I8676" s="346"/>
      <c r="J8676" s="39">
        <v>119724</v>
      </c>
      <c r="K8676" s="36" t="str">
        <f>CONCATENATE(Cover!$D$6,"fdd/view?i=",J8676)</f>
        <v>https://www.dgiwg.org/FAD/fdd/view?i=119724</v>
      </c>
      <c r="L8676" s="36" t="s">
        <v>49493</v>
      </c>
      <c r="M8676" s="186"/>
      <c r="N8676" s="186"/>
      <c r="O8676" s="172"/>
    </row>
    <row r="8677" spans="1:15" ht="51" x14ac:dyDescent="0.2">
      <c r="A8677" s="197" t="str">
        <f t="shared" si="135"/>
        <v>SrtCode_terraSarXScanSar</v>
      </c>
      <c r="B8677" s="409"/>
      <c r="C8677" s="416"/>
      <c r="D8677" s="198" t="s">
        <v>45681</v>
      </c>
      <c r="E8677" s="198">
        <v>149</v>
      </c>
      <c r="F8677" s="199" t="s">
        <v>45682</v>
      </c>
      <c r="G8677" s="1" t="s">
        <v>45683</v>
      </c>
      <c r="H8677" s="200"/>
      <c r="I8677" s="346"/>
      <c r="J8677" s="39">
        <v>118425</v>
      </c>
      <c r="K8677" s="36" t="str">
        <f>CONCATENATE(Cover!$D$6,"fdd/view?i=",J8677)</f>
        <v>https://www.dgiwg.org/FAD/fdd/view?i=118425</v>
      </c>
      <c r="L8677" s="36" t="s">
        <v>49494</v>
      </c>
      <c r="M8677" s="186"/>
      <c r="N8677" s="186"/>
      <c r="O8677" s="172"/>
    </row>
    <row r="8678" spans="1:15" ht="51" x14ac:dyDescent="0.2">
      <c r="A8678" s="197" t="str">
        <f t="shared" si="135"/>
        <v>SrtCode_terraSarXStripMap</v>
      </c>
      <c r="B8678" s="409"/>
      <c r="C8678" s="416"/>
      <c r="D8678" s="198" t="s">
        <v>45677</v>
      </c>
      <c r="E8678" s="198">
        <v>150</v>
      </c>
      <c r="F8678" s="199" t="s">
        <v>49495</v>
      </c>
      <c r="G8678" s="1" t="s">
        <v>45679</v>
      </c>
      <c r="H8678" s="200"/>
      <c r="I8678" s="346"/>
      <c r="J8678" s="39">
        <v>118426</v>
      </c>
      <c r="K8678" s="36" t="str">
        <f>CONCATENATE(Cover!$D$6,"fdd/view?i=",J8678)</f>
        <v>https://www.dgiwg.org/FAD/fdd/view?i=118426</v>
      </c>
      <c r="L8678" s="36" t="s">
        <v>49496</v>
      </c>
      <c r="M8678" s="186"/>
      <c r="N8678" s="186"/>
      <c r="O8678" s="172"/>
    </row>
    <row r="8679" spans="1:15" ht="25.5" x14ac:dyDescent="0.2">
      <c r="A8679" s="197" t="str">
        <f t="shared" si="135"/>
        <v>SrtCode_unitedNationsData</v>
      </c>
      <c r="B8679" s="409"/>
      <c r="C8679" s="416"/>
      <c r="D8679" s="198" t="s">
        <v>45712</v>
      </c>
      <c r="E8679" s="198">
        <v>59</v>
      </c>
      <c r="F8679" s="199" t="s">
        <v>45713</v>
      </c>
      <c r="G8679" s="1" t="s">
        <v>45714</v>
      </c>
      <c r="H8679" s="200"/>
      <c r="I8679" s="346"/>
      <c r="J8679" s="39">
        <v>110529</v>
      </c>
      <c r="K8679" s="36" t="str">
        <f>CONCATENATE(Cover!$D$6,"fdd/view?i=",J8679)</f>
        <v>https://www.dgiwg.org/FAD/fdd/view?i=110529</v>
      </c>
      <c r="L8679" s="36" t="s">
        <v>49504</v>
      </c>
      <c r="M8679" s="186"/>
      <c r="N8679" s="186"/>
      <c r="O8679" s="172"/>
    </row>
    <row r="8680" spans="1:15" x14ac:dyDescent="0.2">
      <c r="A8680" s="197" t="str">
        <f t="shared" si="135"/>
        <v>SrtCode_userFeedback</v>
      </c>
      <c r="B8680" s="409"/>
      <c r="C8680" s="416"/>
      <c r="D8680" s="198" t="s">
        <v>49505</v>
      </c>
      <c r="E8680" s="198">
        <v>158</v>
      </c>
      <c r="F8680" s="199" t="s">
        <v>49506</v>
      </c>
      <c r="G8680" s="1" t="s">
        <v>49507</v>
      </c>
      <c r="H8680" s="200"/>
      <c r="I8680" s="346"/>
      <c r="J8680" s="39">
        <v>119721</v>
      </c>
      <c r="K8680" s="36" t="str">
        <f>CONCATENATE(Cover!$D$6,"fdd/view?i=",J8680)</f>
        <v>https://www.dgiwg.org/FAD/fdd/view?i=119721</v>
      </c>
      <c r="L8680" s="36" t="s">
        <v>49508</v>
      </c>
      <c r="M8680" s="186"/>
      <c r="N8680" s="186"/>
      <c r="O8680" s="172"/>
    </row>
    <row r="8681" spans="1:15" ht="25.5" x14ac:dyDescent="0.2">
      <c r="A8681" s="197" t="str">
        <f t="shared" si="135"/>
        <v>SrtCode_usModernizedIntegratedDB</v>
      </c>
      <c r="B8681" s="409"/>
      <c r="C8681" s="416"/>
      <c r="D8681" s="198" t="s">
        <v>45496</v>
      </c>
      <c r="E8681" s="198">
        <v>43</v>
      </c>
      <c r="F8681" s="199" t="s">
        <v>45497</v>
      </c>
      <c r="G8681" s="1" t="s">
        <v>45498</v>
      </c>
      <c r="H8681" s="200"/>
      <c r="I8681" s="346"/>
      <c r="J8681" s="39">
        <v>110512</v>
      </c>
      <c r="K8681" s="36" t="str">
        <f>CONCATENATE(Cover!$D$6,"fdd/view?i=",J8681)</f>
        <v>https://www.dgiwg.org/FAD/fdd/view?i=110512</v>
      </c>
      <c r="L8681" s="36" t="s">
        <v>49429</v>
      </c>
      <c r="M8681" s="186"/>
      <c r="N8681" s="186"/>
      <c r="O8681" s="172"/>
    </row>
    <row r="8682" spans="1:15" ht="25.5" x14ac:dyDescent="0.2">
      <c r="A8682" s="197" t="str">
        <f t="shared" si="135"/>
        <v>SrtCode_usNtmImagery</v>
      </c>
      <c r="B8682" s="409"/>
      <c r="C8682" s="416"/>
      <c r="D8682" s="198" t="s">
        <v>45560</v>
      </c>
      <c r="E8682" s="198">
        <v>29</v>
      </c>
      <c r="F8682" s="199" t="s">
        <v>45561</v>
      </c>
      <c r="G8682" s="1" t="s">
        <v>45562</v>
      </c>
      <c r="H8682" s="200"/>
      <c r="I8682" s="346"/>
      <c r="J8682" s="39">
        <v>110496</v>
      </c>
      <c r="K8682" s="36" t="str">
        <f>CONCATENATE(Cover!$D$6,"fdd/view?i=",J8682)</f>
        <v>https://www.dgiwg.org/FAD/fdd/view?i=110496</v>
      </c>
      <c r="L8682" s="36" t="s">
        <v>49447</v>
      </c>
      <c r="M8682" s="186"/>
      <c r="N8682" s="186"/>
      <c r="O8682" s="172"/>
    </row>
    <row r="8683" spans="1:15" ht="25.5" x14ac:dyDescent="0.2">
      <c r="A8683" s="197" t="str">
        <f t="shared" si="135"/>
        <v>SrtCode_usShuttleRadarTopoMission</v>
      </c>
      <c r="B8683" s="409"/>
      <c r="C8683" s="416"/>
      <c r="D8683" s="198" t="s">
        <v>45669</v>
      </c>
      <c r="E8683" s="198">
        <v>50</v>
      </c>
      <c r="F8683" s="199" t="s">
        <v>45670</v>
      </c>
      <c r="G8683" s="1" t="s">
        <v>45671</v>
      </c>
      <c r="H8683" s="200"/>
      <c r="I8683" s="346"/>
      <c r="J8683" s="39">
        <v>110520</v>
      </c>
      <c r="K8683" s="36" t="str">
        <f>CONCATENATE(Cover!$D$6,"fdd/view?i=",J8683)</f>
        <v>https://www.dgiwg.org/FAD/fdd/view?i=110520</v>
      </c>
      <c r="L8683" s="36" t="s">
        <v>49488</v>
      </c>
      <c r="M8683" s="186"/>
      <c r="N8683" s="186"/>
      <c r="O8683" s="172"/>
    </row>
    <row r="8684" spans="1:15" x14ac:dyDescent="0.2">
      <c r="A8684" s="197" t="str">
        <f t="shared" si="135"/>
        <v>SrtCode_vectorData</v>
      </c>
      <c r="B8684" s="409"/>
      <c r="C8684" s="416"/>
      <c r="D8684" s="198" t="s">
        <v>45720</v>
      </c>
      <c r="E8684" s="198">
        <v>92</v>
      </c>
      <c r="F8684" s="199" t="s">
        <v>45721</v>
      </c>
      <c r="G8684" s="1" t="s">
        <v>45722</v>
      </c>
      <c r="H8684" s="200"/>
      <c r="I8684" s="346"/>
      <c r="J8684" s="39">
        <v>111057</v>
      </c>
      <c r="K8684" s="36" t="str">
        <f>CONCATENATE(Cover!$D$6,"fdd/view?i=",J8684)</f>
        <v>https://www.dgiwg.org/FAD/fdd/view?i=111057</v>
      </c>
      <c r="L8684" s="36" t="s">
        <v>49510</v>
      </c>
      <c r="M8684" s="186"/>
      <c r="N8684" s="186"/>
      <c r="O8684" s="172"/>
    </row>
    <row r="8685" spans="1:15" ht="25.5" x14ac:dyDescent="0.2">
      <c r="A8685" s="197" t="str">
        <f t="shared" si="135"/>
        <v>SrtCode_vectorData100k</v>
      </c>
      <c r="B8685" s="409"/>
      <c r="C8685" s="416"/>
      <c r="D8685" s="198" t="s">
        <v>45178</v>
      </c>
      <c r="E8685" s="198">
        <v>95</v>
      </c>
      <c r="F8685" s="199" t="s">
        <v>45179</v>
      </c>
      <c r="G8685" s="1" t="s">
        <v>45180</v>
      </c>
      <c r="H8685" s="200"/>
      <c r="I8685" s="346"/>
      <c r="J8685" s="39">
        <v>111060</v>
      </c>
      <c r="K8685" s="36" t="str">
        <f>CONCATENATE(Cover!$D$6,"fdd/view?i=",J8685)</f>
        <v>https://www.dgiwg.org/FAD/fdd/view?i=111060</v>
      </c>
      <c r="L8685" s="36" t="s">
        <v>49343</v>
      </c>
      <c r="M8685" s="186"/>
      <c r="N8685" s="186"/>
      <c r="O8685" s="172"/>
    </row>
    <row r="8686" spans="1:15" x14ac:dyDescent="0.2">
      <c r="A8686" s="197" t="str">
        <f t="shared" si="135"/>
        <v>SrtCode_vectorData25k</v>
      </c>
      <c r="B8686" s="409"/>
      <c r="C8686" s="416"/>
      <c r="D8686" s="198" t="s">
        <v>45182</v>
      </c>
      <c r="E8686" s="198">
        <v>93</v>
      </c>
      <c r="F8686" s="199" t="s">
        <v>45183</v>
      </c>
      <c r="G8686" s="1" t="s">
        <v>45184</v>
      </c>
      <c r="H8686" s="200"/>
      <c r="I8686" s="346"/>
      <c r="J8686" s="39">
        <v>111058</v>
      </c>
      <c r="K8686" s="36" t="str">
        <f>CONCATENATE(Cover!$D$6,"fdd/view?i=",J8686)</f>
        <v>https://www.dgiwg.org/FAD/fdd/view?i=111058</v>
      </c>
      <c r="L8686" s="36" t="s">
        <v>49344</v>
      </c>
      <c r="M8686" s="186"/>
      <c r="N8686" s="186"/>
      <c r="O8686" s="172"/>
    </row>
    <row r="8687" spans="1:15" x14ac:dyDescent="0.2">
      <c r="A8687" s="197" t="str">
        <f t="shared" si="135"/>
        <v>SrtCode_vectorData50k</v>
      </c>
      <c r="B8687" s="409"/>
      <c r="C8687" s="416"/>
      <c r="D8687" s="198" t="s">
        <v>45186</v>
      </c>
      <c r="E8687" s="198">
        <v>94</v>
      </c>
      <c r="F8687" s="199" t="s">
        <v>45187</v>
      </c>
      <c r="G8687" s="1" t="s">
        <v>45188</v>
      </c>
      <c r="H8687" s="200"/>
      <c r="I8687" s="346"/>
      <c r="J8687" s="39">
        <v>111059</v>
      </c>
      <c r="K8687" s="36" t="str">
        <f>CONCATENATE(Cover!$D$6,"fdd/view?i=",J8687)</f>
        <v>https://www.dgiwg.org/FAD/fdd/view?i=111059</v>
      </c>
      <c r="L8687" s="36" t="s">
        <v>49345</v>
      </c>
      <c r="M8687" s="186"/>
      <c r="N8687" s="186"/>
      <c r="O8687" s="172"/>
    </row>
    <row r="8688" spans="1:15" ht="38.25" x14ac:dyDescent="0.2">
      <c r="A8688" s="197" t="str">
        <f t="shared" si="135"/>
        <v>SrtCode_veryHighResCommMonoImage</v>
      </c>
      <c r="B8688" s="409"/>
      <c r="C8688" s="416"/>
      <c r="D8688" s="198" t="s">
        <v>45724</v>
      </c>
      <c r="E8688" s="198">
        <v>110</v>
      </c>
      <c r="F8688" s="199" t="s">
        <v>45725</v>
      </c>
      <c r="G8688" s="1" t="s">
        <v>45726</v>
      </c>
      <c r="H8688" s="200"/>
      <c r="I8688" s="346"/>
      <c r="J8688" s="39">
        <v>118101</v>
      </c>
      <c r="K8688" s="36" t="str">
        <f>CONCATENATE(Cover!$D$6,"fdd/view?i=",J8688)</f>
        <v>https://www.dgiwg.org/FAD/fdd/view?i=118101</v>
      </c>
      <c r="L8688" s="36" t="s">
        <v>49511</v>
      </c>
      <c r="M8688" s="186"/>
      <c r="N8688" s="186"/>
      <c r="O8688" s="172"/>
    </row>
    <row r="8689" spans="1:15" ht="38.25" x14ac:dyDescent="0.2">
      <c r="A8689" s="197" t="str">
        <f t="shared" si="135"/>
        <v>SrtCode_veryHighResCommStereoImage</v>
      </c>
      <c r="B8689" s="409"/>
      <c r="C8689" s="416"/>
      <c r="D8689" s="198" t="s">
        <v>45728</v>
      </c>
      <c r="E8689" s="198">
        <v>111</v>
      </c>
      <c r="F8689" s="199" t="s">
        <v>45729</v>
      </c>
      <c r="G8689" s="1" t="s">
        <v>45730</v>
      </c>
      <c r="H8689" s="200"/>
      <c r="I8689" s="346"/>
      <c r="J8689" s="39">
        <v>118102</v>
      </c>
      <c r="K8689" s="36" t="str">
        <f>CONCATENATE(Cover!$D$6,"fdd/view?i=",J8689)</f>
        <v>https://www.dgiwg.org/FAD/fdd/view?i=118102</v>
      </c>
      <c r="L8689" s="36" t="s">
        <v>49512</v>
      </c>
      <c r="M8689" s="186"/>
      <c r="N8689" s="186"/>
      <c r="O8689" s="172"/>
    </row>
    <row r="8690" spans="1:15" ht="38.25" x14ac:dyDescent="0.2">
      <c r="A8690" s="197" t="str">
        <f t="shared" si="135"/>
        <v>SrtCode_veryHighResMonoSarImage</v>
      </c>
      <c r="B8690" s="409"/>
      <c r="C8690" s="416"/>
      <c r="D8690" s="198" t="s">
        <v>45732</v>
      </c>
      <c r="E8690" s="198">
        <v>153</v>
      </c>
      <c r="F8690" s="199" t="s">
        <v>45733</v>
      </c>
      <c r="G8690" s="1" t="s">
        <v>45734</v>
      </c>
      <c r="H8690" s="200"/>
      <c r="I8690" s="346"/>
      <c r="J8690" s="39">
        <v>118534</v>
      </c>
      <c r="K8690" s="36" t="str">
        <f>CONCATENATE(Cover!$D$6,"fdd/view?i=",J8690)</f>
        <v>https://www.dgiwg.org/FAD/fdd/view?i=118534</v>
      </c>
      <c r="L8690" s="36" t="s">
        <v>49513</v>
      </c>
      <c r="M8690" s="186"/>
      <c r="N8690" s="186"/>
      <c r="O8690" s="172"/>
    </row>
    <row r="8691" spans="1:15" ht="38.25" x14ac:dyDescent="0.2">
      <c r="A8691" s="197" t="str">
        <f t="shared" si="135"/>
        <v>SrtCode_veryHighResStereoSarImage</v>
      </c>
      <c r="B8691" s="409"/>
      <c r="C8691" s="416"/>
      <c r="D8691" s="198" t="s">
        <v>45736</v>
      </c>
      <c r="E8691" s="198">
        <v>154</v>
      </c>
      <c r="F8691" s="199" t="s">
        <v>45737</v>
      </c>
      <c r="G8691" s="1" t="s">
        <v>45738</v>
      </c>
      <c r="H8691" s="200"/>
      <c r="I8691" s="346"/>
      <c r="J8691" s="39">
        <v>118535</v>
      </c>
      <c r="K8691" s="36" t="str">
        <f>CONCATENATE(Cover!$D$6,"fdd/view?i=",J8691)</f>
        <v>https://www.dgiwg.org/FAD/fdd/view?i=118535</v>
      </c>
      <c r="L8691" s="36" t="s">
        <v>49514</v>
      </c>
      <c r="M8691" s="186"/>
      <c r="N8691" s="186"/>
      <c r="O8691" s="172"/>
    </row>
    <row r="8692" spans="1:15" ht="25.5" x14ac:dyDescent="0.2">
      <c r="A8692" s="197" t="str">
        <f t="shared" si="135"/>
        <v>SrtCode_worldView1</v>
      </c>
      <c r="B8692" s="409"/>
      <c r="C8692" s="416"/>
      <c r="D8692" s="198" t="s">
        <v>45760</v>
      </c>
      <c r="E8692" s="198">
        <v>137</v>
      </c>
      <c r="F8692" s="199" t="s">
        <v>49520</v>
      </c>
      <c r="G8692" s="1" t="s">
        <v>45762</v>
      </c>
      <c r="H8692" s="200"/>
      <c r="I8692" s="346"/>
      <c r="J8692" s="39">
        <v>118413</v>
      </c>
      <c r="K8692" s="36" t="str">
        <f>CONCATENATE(Cover!$D$6,"fdd/view?i=",J8692)</f>
        <v>https://www.dgiwg.org/FAD/fdd/view?i=118413</v>
      </c>
      <c r="L8692" s="36" t="s">
        <v>49521</v>
      </c>
      <c r="M8692" s="186"/>
      <c r="N8692" s="186"/>
      <c r="O8692" s="172"/>
    </row>
    <row r="8693" spans="1:15" ht="25.5" x14ac:dyDescent="0.2">
      <c r="A8693" s="197" t="str">
        <f t="shared" si="135"/>
        <v>SrtCode_worldView2</v>
      </c>
      <c r="B8693" s="409"/>
      <c r="C8693" s="416"/>
      <c r="D8693" s="198" t="s">
        <v>45764</v>
      </c>
      <c r="E8693" s="198">
        <v>138</v>
      </c>
      <c r="F8693" s="199" t="s">
        <v>49522</v>
      </c>
      <c r="G8693" s="1" t="s">
        <v>45766</v>
      </c>
      <c r="H8693" s="200"/>
      <c r="I8693" s="346"/>
      <c r="J8693" s="39">
        <v>118414</v>
      </c>
      <c r="K8693" s="36" t="str">
        <f>CONCATENATE(Cover!$D$6,"fdd/view?i=",J8693)</f>
        <v>https://www.dgiwg.org/FAD/fdd/view?i=118414</v>
      </c>
      <c r="L8693" s="36" t="s">
        <v>49523</v>
      </c>
      <c r="M8693" s="186"/>
      <c r="N8693" s="186"/>
      <c r="O8693" s="172"/>
    </row>
    <row r="8694" spans="1:15" ht="25.5" x14ac:dyDescent="0.2">
      <c r="A8694" s="203" t="str">
        <f t="shared" si="135"/>
        <v>SrtCode_worldWideWeb</v>
      </c>
      <c r="B8694" s="410"/>
      <c r="C8694" s="417"/>
      <c r="D8694" s="204" t="s">
        <v>45756</v>
      </c>
      <c r="E8694" s="204">
        <v>126</v>
      </c>
      <c r="F8694" s="205" t="s">
        <v>45757</v>
      </c>
      <c r="G8694" s="206" t="s">
        <v>45758</v>
      </c>
      <c r="H8694" s="207"/>
      <c r="I8694" s="347"/>
      <c r="J8694" s="39">
        <v>118402</v>
      </c>
      <c r="K8694" s="36" t="str">
        <f>CONCATENATE(Cover!$D$6,"fdd/view?i=",J8694)</f>
        <v>https://www.dgiwg.org/FAD/fdd/view?i=118402</v>
      </c>
      <c r="L8694" s="36" t="s">
        <v>49519</v>
      </c>
      <c r="M8694" s="186"/>
      <c r="N8694" s="186"/>
      <c r="O8694" s="172"/>
    </row>
    <row r="8695" spans="1:15" ht="25.5" x14ac:dyDescent="0.2">
      <c r="A8695" s="190" t="str">
        <f t="shared" si="135"/>
        <v>AmbCode_censusDistrict</v>
      </c>
      <c r="B8695" s="414" t="str">
        <f>HYPERLINK("[#]Datatypes!A1440:L1440","AmbCode")</f>
        <v>AmbCode</v>
      </c>
      <c r="C8695" s="415" t="s">
        <v>16065</v>
      </c>
      <c r="D8695" s="221" t="s">
        <v>49525</v>
      </c>
      <c r="E8695" s="221">
        <v>6</v>
      </c>
      <c r="F8695" s="222" t="s">
        <v>49526</v>
      </c>
      <c r="G8695" s="223" t="s">
        <v>49527</v>
      </c>
      <c r="H8695" s="224"/>
      <c r="I8695" s="345"/>
      <c r="J8695" s="39">
        <v>111882</v>
      </c>
      <c r="K8695" s="36" t="str">
        <f>CONCATENATE(Cover!$D$6,"fdd/view?i=",J8695)</f>
        <v>https://www.dgiwg.org/FAD/fdd/view?i=111882</v>
      </c>
      <c r="L8695" s="36" t="s">
        <v>49528</v>
      </c>
      <c r="M8695" s="186"/>
      <c r="N8695" s="186"/>
      <c r="O8695" s="172"/>
    </row>
    <row r="8696" spans="1:15" ht="38.25" x14ac:dyDescent="0.2">
      <c r="A8696" s="197" t="str">
        <f t="shared" si="135"/>
        <v>AmbCode_concessionArea</v>
      </c>
      <c r="B8696" s="409"/>
      <c r="C8696" s="416"/>
      <c r="D8696" s="198" t="s">
        <v>49529</v>
      </c>
      <c r="E8696" s="198">
        <v>2</v>
      </c>
      <c r="F8696" s="199" t="s">
        <v>49530</v>
      </c>
      <c r="G8696" s="1" t="s">
        <v>49531</v>
      </c>
      <c r="H8696" s="200"/>
      <c r="I8696" s="346"/>
      <c r="J8696" s="39">
        <v>111874</v>
      </c>
      <c r="K8696" s="36" t="str">
        <f>CONCATENATE(Cover!$D$6,"fdd/view?i=",J8696)</f>
        <v>https://www.dgiwg.org/FAD/fdd/view?i=111874</v>
      </c>
      <c r="L8696" s="36" t="s">
        <v>49532</v>
      </c>
      <c r="M8696" s="186"/>
      <c r="N8696" s="186"/>
      <c r="O8696" s="172"/>
    </row>
    <row r="8697" spans="1:15" ht="89.25" x14ac:dyDescent="0.2">
      <c r="A8697" s="197" t="str">
        <f t="shared" si="135"/>
        <v>AmbCode_congressionalDistrict</v>
      </c>
      <c r="B8697" s="409"/>
      <c r="C8697" s="416"/>
      <c r="D8697" s="198" t="s">
        <v>49533</v>
      </c>
      <c r="E8697" s="198">
        <v>8</v>
      </c>
      <c r="F8697" s="199" t="s">
        <v>49534</v>
      </c>
      <c r="G8697" s="1" t="s">
        <v>49535</v>
      </c>
      <c r="H8697" s="1" t="s">
        <v>49536</v>
      </c>
      <c r="I8697" s="346"/>
      <c r="J8697" s="39">
        <v>118544</v>
      </c>
      <c r="K8697" s="36" t="str">
        <f>CONCATENATE(Cover!$D$6,"fdd/view?i=",J8697)</f>
        <v>https://www.dgiwg.org/FAD/fdd/view?i=118544</v>
      </c>
      <c r="L8697" s="36" t="s">
        <v>49537</v>
      </c>
      <c r="M8697" s="186"/>
      <c r="N8697" s="186"/>
      <c r="O8697" s="172"/>
    </row>
    <row r="8698" spans="1:15" ht="38.25" x14ac:dyDescent="0.2">
      <c r="A8698" s="197" t="str">
        <f t="shared" si="135"/>
        <v>AmbCode_economicRegion</v>
      </c>
      <c r="B8698" s="409"/>
      <c r="C8698" s="416"/>
      <c r="D8698" s="198" t="s">
        <v>34222</v>
      </c>
      <c r="E8698" s="198">
        <v>4</v>
      </c>
      <c r="F8698" s="199" t="s">
        <v>34223</v>
      </c>
      <c r="G8698" s="1" t="s">
        <v>49538</v>
      </c>
      <c r="H8698" s="200"/>
      <c r="I8698" s="346"/>
      <c r="J8698" s="39">
        <v>111878</v>
      </c>
      <c r="K8698" s="36" t="str">
        <f>CONCATENATE(Cover!$D$6,"fdd/view?i=",J8698)</f>
        <v>https://www.dgiwg.org/FAD/fdd/view?i=111878</v>
      </c>
      <c r="L8698" s="36" t="s">
        <v>49539</v>
      </c>
      <c r="M8698" s="186"/>
      <c r="N8698" s="186"/>
      <c r="O8698" s="172"/>
    </row>
    <row r="8699" spans="1:15" ht="38.25" x14ac:dyDescent="0.2">
      <c r="A8699" s="197" t="str">
        <f t="shared" si="135"/>
        <v>AmbCode_freeTradeZone</v>
      </c>
      <c r="B8699" s="409"/>
      <c r="C8699" s="416"/>
      <c r="D8699" s="198" t="s">
        <v>49540</v>
      </c>
      <c r="E8699" s="198">
        <v>3</v>
      </c>
      <c r="F8699" s="199" t="s">
        <v>49541</v>
      </c>
      <c r="G8699" s="1" t="s">
        <v>49542</v>
      </c>
      <c r="H8699" s="1" t="s">
        <v>49543</v>
      </c>
      <c r="I8699" s="346"/>
      <c r="J8699" s="39">
        <v>111876</v>
      </c>
      <c r="K8699" s="36" t="str">
        <f>CONCATENATE(Cover!$D$6,"fdd/view?i=",J8699)</f>
        <v>https://www.dgiwg.org/FAD/fdd/view?i=111876</v>
      </c>
      <c r="L8699" s="36" t="s">
        <v>49544</v>
      </c>
      <c r="M8699" s="186"/>
      <c r="N8699" s="186"/>
      <c r="O8699" s="172"/>
    </row>
    <row r="8700" spans="1:15" ht="38.25" x14ac:dyDescent="0.2">
      <c r="A8700" s="197" t="str">
        <f t="shared" si="135"/>
        <v>AmbCode_leaseArea</v>
      </c>
      <c r="B8700" s="409"/>
      <c r="C8700" s="416"/>
      <c r="D8700" s="198" t="s">
        <v>49545</v>
      </c>
      <c r="E8700" s="198">
        <v>1</v>
      </c>
      <c r="F8700" s="199" t="s">
        <v>49546</v>
      </c>
      <c r="G8700" s="1" t="s">
        <v>49547</v>
      </c>
      <c r="H8700" s="1" t="s">
        <v>49548</v>
      </c>
      <c r="I8700" s="346"/>
      <c r="J8700" s="39">
        <v>111872</v>
      </c>
      <c r="K8700" s="36" t="str">
        <f>CONCATENATE(Cover!$D$6,"fdd/view?i=",J8700)</f>
        <v>https://www.dgiwg.org/FAD/fdd/view?i=111872</v>
      </c>
      <c r="L8700" s="36" t="s">
        <v>49549</v>
      </c>
      <c r="M8700" s="186"/>
      <c r="N8700" s="186"/>
      <c r="O8700" s="172"/>
    </row>
    <row r="8701" spans="1:15" ht="25.5" x14ac:dyDescent="0.2">
      <c r="A8701" s="197" t="str">
        <f t="shared" si="135"/>
        <v>AmbCode_postalDistrict</v>
      </c>
      <c r="B8701" s="409"/>
      <c r="C8701" s="416"/>
      <c r="D8701" s="198" t="s">
        <v>49550</v>
      </c>
      <c r="E8701" s="198">
        <v>5</v>
      </c>
      <c r="F8701" s="199" t="s">
        <v>49551</v>
      </c>
      <c r="G8701" s="1" t="s">
        <v>49552</v>
      </c>
      <c r="H8701" s="200"/>
      <c r="I8701" s="346"/>
      <c r="J8701" s="39">
        <v>111880</v>
      </c>
      <c r="K8701" s="36" t="str">
        <f>CONCATENATE(Cover!$D$6,"fdd/view?i=",J8701)</f>
        <v>https://www.dgiwg.org/FAD/fdd/view?i=111880</v>
      </c>
      <c r="L8701" s="36" t="s">
        <v>49553</v>
      </c>
      <c r="M8701" s="186"/>
      <c r="N8701" s="186"/>
      <c r="O8701" s="172"/>
    </row>
    <row r="8702" spans="1:15" ht="51" x14ac:dyDescent="0.2">
      <c r="A8702" s="203" t="str">
        <f t="shared" si="135"/>
        <v>AmbCode_waterManagementDistrict</v>
      </c>
      <c r="B8702" s="410"/>
      <c r="C8702" s="417"/>
      <c r="D8702" s="204" t="s">
        <v>49554</v>
      </c>
      <c r="E8702" s="204">
        <v>7</v>
      </c>
      <c r="F8702" s="205" t="s">
        <v>49555</v>
      </c>
      <c r="G8702" s="206" t="s">
        <v>49556</v>
      </c>
      <c r="H8702" s="206" t="s">
        <v>49557</v>
      </c>
      <c r="I8702" s="347"/>
      <c r="J8702" s="39">
        <v>111884</v>
      </c>
      <c r="K8702" s="36" t="str">
        <f>CONCATENATE(Cover!$D$6,"fdd/view?i=",J8702)</f>
        <v>https://www.dgiwg.org/FAD/fdd/view?i=111884</v>
      </c>
      <c r="L8702" s="36" t="s">
        <v>49558</v>
      </c>
      <c r="M8702" s="186"/>
      <c r="N8702" s="186"/>
      <c r="O8702" s="172"/>
    </row>
    <row r="8703" spans="1:15" ht="25.5" x14ac:dyDescent="0.2">
      <c r="A8703" s="190" t="str">
        <f t="shared" si="135"/>
        <v>Ss2Code_deccaGreenSlave</v>
      </c>
      <c r="B8703" s="414" t="str">
        <f>HYPERLINK("[#]Datatypes!A1442:L1442","Ss2Code")</f>
        <v>Ss2Code</v>
      </c>
      <c r="C8703" s="415" t="s">
        <v>16067</v>
      </c>
      <c r="D8703" s="221" t="s">
        <v>49560</v>
      </c>
      <c r="E8703" s="221">
        <v>1</v>
      </c>
      <c r="F8703" s="222" t="s">
        <v>49561</v>
      </c>
      <c r="G8703" s="223" t="s">
        <v>49562</v>
      </c>
      <c r="H8703" s="224"/>
      <c r="I8703" s="345"/>
      <c r="J8703" s="39">
        <v>115363</v>
      </c>
      <c r="K8703" s="36" t="str">
        <f>CONCATENATE(Cover!$D$6,"fdd/view?i=",J8703)</f>
        <v>https://www.dgiwg.org/FAD/fdd/view?i=115363</v>
      </c>
      <c r="L8703" s="36" t="s">
        <v>49563</v>
      </c>
      <c r="M8703" s="186"/>
      <c r="N8703" s="186"/>
      <c r="O8703" s="13" t="s">
        <v>49559</v>
      </c>
    </row>
    <row r="8704" spans="1:15" ht="25.5" x14ac:dyDescent="0.2">
      <c r="A8704" s="197" t="str">
        <f t="shared" si="135"/>
        <v>Ss2Code_deccaPurpleSlave</v>
      </c>
      <c r="B8704" s="409"/>
      <c r="C8704" s="416"/>
      <c r="D8704" s="198" t="s">
        <v>49565</v>
      </c>
      <c r="E8704" s="198">
        <v>2</v>
      </c>
      <c r="F8704" s="199" t="s">
        <v>49566</v>
      </c>
      <c r="G8704" s="1" t="s">
        <v>49567</v>
      </c>
      <c r="H8704" s="200"/>
      <c r="I8704" s="346"/>
      <c r="J8704" s="39">
        <v>115364</v>
      </c>
      <c r="K8704" s="36" t="str">
        <f>CONCATENATE(Cover!$D$6,"fdd/view?i=",J8704)</f>
        <v>https://www.dgiwg.org/FAD/fdd/view?i=115364</v>
      </c>
      <c r="L8704" s="36" t="s">
        <v>49568</v>
      </c>
      <c r="M8704" s="186"/>
      <c r="N8704" s="186"/>
      <c r="O8704" s="13" t="s">
        <v>49564</v>
      </c>
    </row>
    <row r="8705" spans="1:15" ht="25.5" x14ac:dyDescent="0.2">
      <c r="A8705" s="197" t="str">
        <f t="shared" si="135"/>
        <v>Ss2Code_deccaRedSlave</v>
      </c>
      <c r="B8705" s="409"/>
      <c r="C8705" s="416"/>
      <c r="D8705" s="198" t="s">
        <v>49570</v>
      </c>
      <c r="E8705" s="198">
        <v>3</v>
      </c>
      <c r="F8705" s="199" t="s">
        <v>49571</v>
      </c>
      <c r="G8705" s="1" t="s">
        <v>49572</v>
      </c>
      <c r="H8705" s="200"/>
      <c r="I8705" s="346"/>
      <c r="J8705" s="39">
        <v>115365</v>
      </c>
      <c r="K8705" s="36" t="str">
        <f>CONCATENATE(Cover!$D$6,"fdd/view?i=",J8705)</f>
        <v>https://www.dgiwg.org/FAD/fdd/view?i=115365</v>
      </c>
      <c r="L8705" s="36" t="s">
        <v>49573</v>
      </c>
      <c r="M8705" s="186"/>
      <c r="N8705" s="186"/>
      <c r="O8705" s="13" t="s">
        <v>49569</v>
      </c>
    </row>
    <row r="8706" spans="1:15" ht="25.5" x14ac:dyDescent="0.2">
      <c r="A8706" s="197" t="str">
        <f t="shared" ref="A8706:A8769" si="136">HYPERLINK(K8706,L8706)</f>
        <v>Ss2Code_loranSecondary</v>
      </c>
      <c r="B8706" s="409"/>
      <c r="C8706" s="416"/>
      <c r="D8706" s="198" t="s">
        <v>49575</v>
      </c>
      <c r="E8706" s="198">
        <v>4</v>
      </c>
      <c r="F8706" s="199" t="s">
        <v>49576</v>
      </c>
      <c r="G8706" s="1" t="s">
        <v>49577</v>
      </c>
      <c r="H8706" s="1" t="s">
        <v>49578</v>
      </c>
      <c r="I8706" s="346"/>
      <c r="J8706" s="39">
        <v>115366</v>
      </c>
      <c r="K8706" s="36" t="str">
        <f>CONCATENATE(Cover!$D$6,"fdd/view?i=",J8706)</f>
        <v>https://www.dgiwg.org/FAD/fdd/view?i=115366</v>
      </c>
      <c r="L8706" s="36" t="s">
        <v>49579</v>
      </c>
      <c r="M8706" s="186"/>
      <c r="N8706" s="186"/>
      <c r="O8706" s="13" t="s">
        <v>49574</v>
      </c>
    </row>
    <row r="8707" spans="1:15" ht="25.5" x14ac:dyDescent="0.2">
      <c r="A8707" s="203" t="str">
        <f t="shared" si="136"/>
        <v>Ss2Code_master</v>
      </c>
      <c r="B8707" s="410"/>
      <c r="C8707" s="417"/>
      <c r="D8707" s="204" t="s">
        <v>49580</v>
      </c>
      <c r="E8707" s="204">
        <v>5</v>
      </c>
      <c r="F8707" s="205" t="s">
        <v>49581</v>
      </c>
      <c r="G8707" s="206" t="s">
        <v>49582</v>
      </c>
      <c r="H8707" s="206" t="s">
        <v>49578</v>
      </c>
      <c r="I8707" s="347"/>
      <c r="J8707" s="39">
        <v>115367</v>
      </c>
      <c r="K8707" s="36" t="str">
        <f>CONCATENATE(Cover!$D$6,"fdd/view?i=",J8707)</f>
        <v>https://www.dgiwg.org/FAD/fdd/view?i=115367</v>
      </c>
      <c r="L8707" s="36" t="s">
        <v>49583</v>
      </c>
      <c r="M8707" s="186"/>
      <c r="N8707" s="186"/>
      <c r="O8707" s="13" t="s">
        <v>38772</v>
      </c>
    </row>
    <row r="8708" spans="1:15" ht="25.5" x14ac:dyDescent="0.2">
      <c r="A8708" s="190" t="str">
        <f t="shared" si="136"/>
        <v>Ss1Code_decca</v>
      </c>
      <c r="B8708" s="414" t="str">
        <f>HYPERLINK("[#]Datatypes!A1446:L1446","Ss1Code")</f>
        <v>Ss1Code</v>
      </c>
      <c r="C8708" s="415" t="s">
        <v>16071</v>
      </c>
      <c r="D8708" s="221" t="s">
        <v>41725</v>
      </c>
      <c r="E8708" s="221">
        <v>1</v>
      </c>
      <c r="F8708" s="222" t="s">
        <v>41726</v>
      </c>
      <c r="G8708" s="223" t="s">
        <v>49585</v>
      </c>
      <c r="H8708" s="224"/>
      <c r="I8708" s="345"/>
      <c r="J8708" s="39">
        <v>115368</v>
      </c>
      <c r="K8708" s="36" t="str">
        <f>CONCATENATE(Cover!$D$6,"fdd/view?i=",J8708)</f>
        <v>https://www.dgiwg.org/FAD/fdd/view?i=115368</v>
      </c>
      <c r="L8708" s="36" t="s">
        <v>49586</v>
      </c>
      <c r="M8708" s="186"/>
      <c r="N8708" s="186"/>
      <c r="O8708" s="13" t="s">
        <v>49584</v>
      </c>
    </row>
    <row r="8709" spans="1:15" ht="25.5" x14ac:dyDescent="0.2">
      <c r="A8709" s="197" t="str">
        <f t="shared" si="136"/>
        <v>Ss1Code_loranA</v>
      </c>
      <c r="B8709" s="409"/>
      <c r="C8709" s="416"/>
      <c r="D8709" s="198" t="s">
        <v>49588</v>
      </c>
      <c r="E8709" s="198">
        <v>2</v>
      </c>
      <c r="F8709" s="199" t="s">
        <v>49589</v>
      </c>
      <c r="G8709" s="1" t="s">
        <v>49590</v>
      </c>
      <c r="H8709" s="200"/>
      <c r="I8709" s="346"/>
      <c r="J8709" s="39">
        <v>115369</v>
      </c>
      <c r="K8709" s="36" t="str">
        <f>CONCATENATE(Cover!$D$6,"fdd/view?i=",J8709)</f>
        <v>https://www.dgiwg.org/FAD/fdd/view?i=115369</v>
      </c>
      <c r="L8709" s="36" t="s">
        <v>49591</v>
      </c>
      <c r="M8709" s="186"/>
      <c r="N8709" s="186"/>
      <c r="O8709" s="13" t="s">
        <v>49587</v>
      </c>
    </row>
    <row r="8710" spans="1:15" ht="51" x14ac:dyDescent="0.2">
      <c r="A8710" s="197" t="str">
        <f t="shared" si="136"/>
        <v>Ss1Code_loranC</v>
      </c>
      <c r="B8710" s="409"/>
      <c r="C8710" s="416"/>
      <c r="D8710" s="198" t="s">
        <v>38524</v>
      </c>
      <c r="E8710" s="198">
        <v>3</v>
      </c>
      <c r="F8710" s="199" t="s">
        <v>49593</v>
      </c>
      <c r="G8710" s="1" t="s">
        <v>49594</v>
      </c>
      <c r="H8710" s="1" t="s">
        <v>49595</v>
      </c>
      <c r="I8710" s="346"/>
      <c r="J8710" s="39">
        <v>115370</v>
      </c>
      <c r="K8710" s="36" t="str">
        <f>CONCATENATE(Cover!$D$6,"fdd/view?i=",J8710)</f>
        <v>https://www.dgiwg.org/FAD/fdd/view?i=115370</v>
      </c>
      <c r="L8710" s="36" t="s">
        <v>49596</v>
      </c>
      <c r="M8710" s="186"/>
      <c r="N8710" s="186"/>
      <c r="O8710" s="13" t="s">
        <v>49592</v>
      </c>
    </row>
    <row r="8711" spans="1:15" ht="25.5" x14ac:dyDescent="0.2">
      <c r="A8711" s="203" t="str">
        <f t="shared" si="136"/>
        <v>Ss1Code_loranD</v>
      </c>
      <c r="B8711" s="410"/>
      <c r="C8711" s="417"/>
      <c r="D8711" s="204" t="s">
        <v>49598</v>
      </c>
      <c r="E8711" s="204">
        <v>4</v>
      </c>
      <c r="F8711" s="205" t="s">
        <v>49599</v>
      </c>
      <c r="G8711" s="206" t="s">
        <v>49600</v>
      </c>
      <c r="H8711" s="207"/>
      <c r="I8711" s="347"/>
      <c r="J8711" s="39">
        <v>115371</v>
      </c>
      <c r="K8711" s="36" t="str">
        <f>CONCATENATE(Cover!$D$6,"fdd/view?i=",J8711)</f>
        <v>https://www.dgiwg.org/FAD/fdd/view?i=115371</v>
      </c>
      <c r="L8711" s="36" t="s">
        <v>49601</v>
      </c>
      <c r="M8711" s="186"/>
      <c r="N8711" s="186"/>
      <c r="O8711" s="13" t="s">
        <v>49597</v>
      </c>
    </row>
    <row r="8712" spans="1:15" ht="25.5" x14ac:dyDescent="0.2">
      <c r="A8712" s="190" t="str">
        <f t="shared" si="136"/>
        <v>SpvCode_crashRemovalAssociated</v>
      </c>
      <c r="B8712" s="414" t="str">
        <f>HYPERLINK("[#]Datatypes!A1448:L1448","SpvCode")</f>
        <v>SpvCode</v>
      </c>
      <c r="C8712" s="415" t="s">
        <v>16073</v>
      </c>
      <c r="D8712" s="221" t="s">
        <v>49602</v>
      </c>
      <c r="E8712" s="221">
        <v>2</v>
      </c>
      <c r="F8712" s="222" t="s">
        <v>49603</v>
      </c>
      <c r="G8712" s="224"/>
      <c r="H8712" s="224"/>
      <c r="I8712" s="345"/>
      <c r="J8712" s="39">
        <v>107987</v>
      </c>
      <c r="K8712" s="36" t="str">
        <f>CONCATENATE(Cover!$D$6,"fdd/view?i=",J8712)</f>
        <v>https://www.dgiwg.org/FAD/fdd/view?i=107987</v>
      </c>
      <c r="L8712" s="36" t="s">
        <v>49604</v>
      </c>
      <c r="M8712" s="186"/>
      <c r="N8712" s="186"/>
      <c r="O8712" s="172"/>
    </row>
    <row r="8713" spans="1:15" ht="25.5" x14ac:dyDescent="0.2">
      <c r="A8713" s="197" t="str">
        <f t="shared" si="136"/>
        <v>SpvCode_crashRemovalMainStorage</v>
      </c>
      <c r="B8713" s="409"/>
      <c r="C8713" s="416"/>
      <c r="D8713" s="198" t="s">
        <v>49605</v>
      </c>
      <c r="E8713" s="198">
        <v>5</v>
      </c>
      <c r="F8713" s="199" t="s">
        <v>49606</v>
      </c>
      <c r="G8713" s="200"/>
      <c r="H8713" s="200"/>
      <c r="I8713" s="346"/>
      <c r="J8713" s="39">
        <v>107990</v>
      </c>
      <c r="K8713" s="36" t="str">
        <f>CONCATENATE(Cover!$D$6,"fdd/view?i=",J8713)</f>
        <v>https://www.dgiwg.org/FAD/fdd/view?i=107990</v>
      </c>
      <c r="L8713" s="36" t="s">
        <v>49607</v>
      </c>
      <c r="M8713" s="186"/>
      <c r="N8713" s="186"/>
      <c r="O8713" s="172"/>
    </row>
    <row r="8714" spans="1:15" ht="25.5" x14ac:dyDescent="0.2">
      <c r="A8714" s="197" t="str">
        <f t="shared" si="136"/>
        <v>SpvCode_snowRemovalAssociated</v>
      </c>
      <c r="B8714" s="409"/>
      <c r="C8714" s="416"/>
      <c r="D8714" s="198" t="s">
        <v>49608</v>
      </c>
      <c r="E8714" s="198">
        <v>3</v>
      </c>
      <c r="F8714" s="199" t="s">
        <v>49609</v>
      </c>
      <c r="G8714" s="200"/>
      <c r="H8714" s="200"/>
      <c r="I8714" s="346"/>
      <c r="J8714" s="39">
        <v>107988</v>
      </c>
      <c r="K8714" s="36" t="str">
        <f>CONCATENATE(Cover!$D$6,"fdd/view?i=",J8714)</f>
        <v>https://www.dgiwg.org/FAD/fdd/view?i=107988</v>
      </c>
      <c r="L8714" s="36" t="s">
        <v>49610</v>
      </c>
      <c r="M8714" s="186"/>
      <c r="N8714" s="186"/>
      <c r="O8714" s="172"/>
    </row>
    <row r="8715" spans="1:15" ht="25.5" x14ac:dyDescent="0.2">
      <c r="A8715" s="197" t="str">
        <f t="shared" si="136"/>
        <v>SpvCode_snowRemovalMainStorage</v>
      </c>
      <c r="B8715" s="409"/>
      <c r="C8715" s="416"/>
      <c r="D8715" s="198" t="s">
        <v>49611</v>
      </c>
      <c r="E8715" s="198">
        <v>6</v>
      </c>
      <c r="F8715" s="199" t="s">
        <v>49612</v>
      </c>
      <c r="G8715" s="200"/>
      <c r="H8715" s="200"/>
      <c r="I8715" s="346"/>
      <c r="J8715" s="39">
        <v>107991</v>
      </c>
      <c r="K8715" s="36" t="str">
        <f>CONCATENATE(Cover!$D$6,"fdd/view?i=",J8715)</f>
        <v>https://www.dgiwg.org/FAD/fdd/view?i=107991</v>
      </c>
      <c r="L8715" s="36" t="s">
        <v>49613</v>
      </c>
      <c r="M8715" s="186"/>
      <c r="N8715" s="186"/>
      <c r="O8715" s="172"/>
    </row>
    <row r="8716" spans="1:15" ht="25.5" x14ac:dyDescent="0.2">
      <c r="A8716" s="197" t="str">
        <f t="shared" si="136"/>
        <v>SpvCode_wreckRemovalAssociated</v>
      </c>
      <c r="B8716" s="409"/>
      <c r="C8716" s="416"/>
      <c r="D8716" s="198" t="s">
        <v>49614</v>
      </c>
      <c r="E8716" s="198">
        <v>1</v>
      </c>
      <c r="F8716" s="199" t="s">
        <v>49615</v>
      </c>
      <c r="G8716" s="200"/>
      <c r="H8716" s="200"/>
      <c r="I8716" s="346"/>
      <c r="J8716" s="39">
        <v>107986</v>
      </c>
      <c r="K8716" s="36" t="str">
        <f>CONCATENATE(Cover!$D$6,"fdd/view?i=",J8716)</f>
        <v>https://www.dgiwg.org/FAD/fdd/view?i=107986</v>
      </c>
      <c r="L8716" s="36" t="s">
        <v>49616</v>
      </c>
      <c r="M8716" s="186"/>
      <c r="N8716" s="186"/>
      <c r="O8716" s="172"/>
    </row>
    <row r="8717" spans="1:15" ht="25.5" x14ac:dyDescent="0.2">
      <c r="A8717" s="203" t="str">
        <f t="shared" si="136"/>
        <v>SpvCode_wreckRemovalMainStorage</v>
      </c>
      <c r="B8717" s="410"/>
      <c r="C8717" s="417"/>
      <c r="D8717" s="204" t="s">
        <v>49617</v>
      </c>
      <c r="E8717" s="204">
        <v>4</v>
      </c>
      <c r="F8717" s="205" t="s">
        <v>49618</v>
      </c>
      <c r="G8717" s="207"/>
      <c r="H8717" s="207"/>
      <c r="I8717" s="347"/>
      <c r="J8717" s="39">
        <v>107989</v>
      </c>
      <c r="K8717" s="36" t="str">
        <f>CONCATENATE(Cover!$D$6,"fdd/view?i=",J8717)</f>
        <v>https://www.dgiwg.org/FAD/fdd/view?i=107989</v>
      </c>
      <c r="L8717" s="36" t="s">
        <v>49619</v>
      </c>
      <c r="M8717" s="186"/>
      <c r="N8717" s="186"/>
      <c r="O8717" s="172"/>
    </row>
    <row r="8718" spans="1:15" x14ac:dyDescent="0.2">
      <c r="A8718" s="190" t="str">
        <f t="shared" si="136"/>
        <v>CmpCode_mandatory</v>
      </c>
      <c r="B8718" s="414" t="str">
        <f>HYPERLINK("[#]Datatypes!A1450:L1450","CmpCode")</f>
        <v>CmpCode</v>
      </c>
      <c r="C8718" s="415" t="s">
        <v>16075</v>
      </c>
      <c r="D8718" s="221" t="s">
        <v>21762</v>
      </c>
      <c r="E8718" s="221">
        <v>1</v>
      </c>
      <c r="F8718" s="222" t="s">
        <v>21763</v>
      </c>
      <c r="G8718" s="223" t="s">
        <v>49620</v>
      </c>
      <c r="H8718" s="224"/>
      <c r="I8718" s="345"/>
      <c r="J8718" s="39">
        <v>119930</v>
      </c>
      <c r="K8718" s="36" t="str">
        <f>CONCATENATE(Cover!$D$6,"fdd/view?i=",J8718)</f>
        <v>https://www.dgiwg.org/FAD/fdd/view?i=119930</v>
      </c>
      <c r="L8718" s="36" t="s">
        <v>49621</v>
      </c>
      <c r="M8718" s="186"/>
      <c r="N8718" s="186"/>
      <c r="O8718" s="172"/>
    </row>
    <row r="8719" spans="1:15" ht="25.5" x14ac:dyDescent="0.2">
      <c r="A8719" s="197" t="str">
        <f t="shared" si="136"/>
        <v>CmpCode_notMandatory</v>
      </c>
      <c r="B8719" s="409"/>
      <c r="C8719" s="416"/>
      <c r="D8719" s="198" t="s">
        <v>49622</v>
      </c>
      <c r="E8719" s="198">
        <v>4</v>
      </c>
      <c r="F8719" s="199" t="s">
        <v>49623</v>
      </c>
      <c r="G8719" s="1" t="s">
        <v>49624</v>
      </c>
      <c r="H8719" s="200"/>
      <c r="I8719" s="346"/>
      <c r="J8719" s="39">
        <v>119933</v>
      </c>
      <c r="K8719" s="36" t="str">
        <f>CONCATENATE(Cover!$D$6,"fdd/view?i=",J8719)</f>
        <v>https://www.dgiwg.org/FAD/fdd/view?i=119933</v>
      </c>
      <c r="L8719" s="36" t="s">
        <v>49625</v>
      </c>
      <c r="M8719" s="186"/>
      <c r="N8719" s="186"/>
      <c r="O8719" s="172"/>
    </row>
    <row r="8720" spans="1:15" ht="51" x14ac:dyDescent="0.2">
      <c r="A8720" s="197" t="str">
        <f t="shared" si="136"/>
        <v>CmpCode_notRecommended</v>
      </c>
      <c r="B8720" s="409"/>
      <c r="C8720" s="416"/>
      <c r="D8720" s="198" t="s">
        <v>49626</v>
      </c>
      <c r="E8720" s="198">
        <v>5</v>
      </c>
      <c r="F8720" s="199" t="s">
        <v>49627</v>
      </c>
      <c r="G8720" s="1" t="s">
        <v>49628</v>
      </c>
      <c r="H8720" s="200"/>
      <c r="I8720" s="346"/>
      <c r="J8720" s="39">
        <v>119934</v>
      </c>
      <c r="K8720" s="36" t="str">
        <f>CONCATENATE(Cover!$D$6,"fdd/view?i=",J8720)</f>
        <v>https://www.dgiwg.org/FAD/fdd/view?i=119934</v>
      </c>
      <c r="L8720" s="36" t="s">
        <v>49629</v>
      </c>
      <c r="M8720" s="186"/>
      <c r="N8720" s="186"/>
      <c r="O8720" s="172"/>
    </row>
    <row r="8721" spans="1:15" ht="38.25" x14ac:dyDescent="0.2">
      <c r="A8721" s="197" t="str">
        <f t="shared" si="136"/>
        <v>CmpCode_recommended</v>
      </c>
      <c r="B8721" s="409"/>
      <c r="C8721" s="416"/>
      <c r="D8721" s="198" t="s">
        <v>21766</v>
      </c>
      <c r="E8721" s="198">
        <v>2</v>
      </c>
      <c r="F8721" s="199" t="s">
        <v>21767</v>
      </c>
      <c r="G8721" s="1" t="s">
        <v>49630</v>
      </c>
      <c r="H8721" s="200"/>
      <c r="I8721" s="346"/>
      <c r="J8721" s="39">
        <v>119931</v>
      </c>
      <c r="K8721" s="36" t="str">
        <f>CONCATENATE(Cover!$D$6,"fdd/view?i=",J8721)</f>
        <v>https://www.dgiwg.org/FAD/fdd/view?i=119931</v>
      </c>
      <c r="L8721" s="36" t="s">
        <v>49631</v>
      </c>
      <c r="M8721" s="186"/>
      <c r="N8721" s="186"/>
      <c r="O8721" s="172"/>
    </row>
    <row r="8722" spans="1:15" ht="25.5" x14ac:dyDescent="0.2">
      <c r="A8722" s="203" t="str">
        <f t="shared" si="136"/>
        <v>CmpCode_reserved</v>
      </c>
      <c r="B8722" s="410"/>
      <c r="C8722" s="417"/>
      <c r="D8722" s="204" t="s">
        <v>49632</v>
      </c>
      <c r="E8722" s="204">
        <v>3</v>
      </c>
      <c r="F8722" s="205" t="s">
        <v>49633</v>
      </c>
      <c r="G8722" s="206" t="s">
        <v>49634</v>
      </c>
      <c r="H8722" s="207"/>
      <c r="I8722" s="347"/>
      <c r="J8722" s="39">
        <v>119932</v>
      </c>
      <c r="K8722" s="36" t="str">
        <f>CONCATENATE(Cover!$D$6,"fdd/view?i=",J8722)</f>
        <v>https://www.dgiwg.org/FAD/fdd/view?i=119932</v>
      </c>
      <c r="L8722" s="36" t="s">
        <v>49635</v>
      </c>
      <c r="M8722" s="186"/>
      <c r="N8722" s="186"/>
      <c r="O8722" s="172"/>
    </row>
    <row r="8723" spans="1:15" ht="25.5" x14ac:dyDescent="0.2">
      <c r="A8723" s="190" t="str">
        <f t="shared" si="136"/>
        <v>KosCode_crossCountrySkiing</v>
      </c>
      <c r="B8723" s="414" t="str">
        <f>HYPERLINK("[#]Datatypes!A1454:L1454","KosCode")</f>
        <v>KosCode</v>
      </c>
      <c r="C8723" s="415" t="s">
        <v>16080</v>
      </c>
      <c r="D8723" s="221" t="s">
        <v>49636</v>
      </c>
      <c r="E8723" s="221">
        <v>11</v>
      </c>
      <c r="F8723" s="222" t="s">
        <v>49637</v>
      </c>
      <c r="G8723" s="223" t="s">
        <v>49638</v>
      </c>
      <c r="H8723" s="224"/>
      <c r="I8723" s="345"/>
      <c r="J8723" s="39">
        <v>118861</v>
      </c>
      <c r="K8723" s="36" t="str">
        <f>CONCATENATE(Cover!$D$6,"fdd/view?i=",J8723)</f>
        <v>https://www.dgiwg.org/FAD/fdd/view?i=118861</v>
      </c>
      <c r="L8723" s="36" t="s">
        <v>49639</v>
      </c>
      <c r="M8723" s="186"/>
      <c r="N8723" s="186"/>
      <c r="O8723" s="172"/>
    </row>
    <row r="8724" spans="1:15" ht="38.25" x14ac:dyDescent="0.2">
      <c r="A8724" s="197" t="str">
        <f t="shared" si="136"/>
        <v>KosCode_dogRacing</v>
      </c>
      <c r="B8724" s="409"/>
      <c r="C8724" s="416"/>
      <c r="D8724" s="198" t="s">
        <v>49640</v>
      </c>
      <c r="E8724" s="198">
        <v>10</v>
      </c>
      <c r="F8724" s="199" t="s">
        <v>49641</v>
      </c>
      <c r="G8724" s="1" t="s">
        <v>49642</v>
      </c>
      <c r="H8724" s="1" t="s">
        <v>49643</v>
      </c>
      <c r="I8724" s="346"/>
      <c r="J8724" s="39">
        <v>118860</v>
      </c>
      <c r="K8724" s="36" t="str">
        <f>CONCATENATE(Cover!$D$6,"fdd/view?i=",J8724)</f>
        <v>https://www.dgiwg.org/FAD/fdd/view?i=118860</v>
      </c>
      <c r="L8724" s="36" t="s">
        <v>49644</v>
      </c>
      <c r="M8724" s="186"/>
      <c r="N8724" s="186"/>
      <c r="O8724" s="172"/>
    </row>
    <row r="8725" spans="1:15" ht="25.5" x14ac:dyDescent="0.2">
      <c r="A8725" s="197" t="str">
        <f t="shared" si="136"/>
        <v>KosCode_fieldAthletics</v>
      </c>
      <c r="B8725" s="409"/>
      <c r="C8725" s="416"/>
      <c r="D8725" s="198" t="s">
        <v>49645</v>
      </c>
      <c r="E8725" s="198">
        <v>2</v>
      </c>
      <c r="F8725" s="199" t="s">
        <v>49646</v>
      </c>
      <c r="G8725" s="1" t="s">
        <v>49647</v>
      </c>
      <c r="H8725" s="200"/>
      <c r="I8725" s="346"/>
      <c r="J8725" s="39">
        <v>118853</v>
      </c>
      <c r="K8725" s="36" t="str">
        <f>CONCATENATE(Cover!$D$6,"fdd/view?i=",J8725)</f>
        <v>https://www.dgiwg.org/FAD/fdd/view?i=118853</v>
      </c>
      <c r="L8725" s="36" t="s">
        <v>49648</v>
      </c>
      <c r="M8725" s="186"/>
      <c r="N8725" s="186"/>
      <c r="O8725" s="172"/>
    </row>
    <row r="8726" spans="1:15" ht="25.5" x14ac:dyDescent="0.2">
      <c r="A8726" s="197" t="str">
        <f t="shared" si="136"/>
        <v>KosCode_football</v>
      </c>
      <c r="B8726" s="409"/>
      <c r="C8726" s="416"/>
      <c r="D8726" s="198" t="s">
        <v>49649</v>
      </c>
      <c r="E8726" s="198">
        <v>1</v>
      </c>
      <c r="F8726" s="199" t="s">
        <v>49650</v>
      </c>
      <c r="G8726" s="1" t="s">
        <v>49651</v>
      </c>
      <c r="H8726" s="200"/>
      <c r="I8726" s="351" t="s">
        <v>49652</v>
      </c>
      <c r="J8726" s="39">
        <v>118852</v>
      </c>
      <c r="K8726" s="36" t="str">
        <f>CONCATENATE(Cover!$D$6,"fdd/view?i=",J8726)</f>
        <v>https://www.dgiwg.org/FAD/fdd/view?i=118852</v>
      </c>
      <c r="L8726" s="36" t="s">
        <v>49653</v>
      </c>
      <c r="M8726" s="186"/>
      <c r="N8726" s="186"/>
      <c r="O8726" s="172"/>
    </row>
    <row r="8727" spans="1:15" ht="63.75" x14ac:dyDescent="0.2">
      <c r="A8727" s="197" t="str">
        <f t="shared" si="136"/>
        <v>KosCode_golf</v>
      </c>
      <c r="B8727" s="409"/>
      <c r="C8727" s="416"/>
      <c r="D8727" s="198" t="s">
        <v>49654</v>
      </c>
      <c r="E8727" s="198">
        <v>12</v>
      </c>
      <c r="F8727" s="199" t="s">
        <v>49655</v>
      </c>
      <c r="G8727" s="1" t="s">
        <v>49656</v>
      </c>
      <c r="H8727" s="200"/>
      <c r="I8727" s="346"/>
      <c r="J8727" s="39">
        <v>118862</v>
      </c>
      <c r="K8727" s="36" t="str">
        <f>CONCATENATE(Cover!$D$6,"fdd/view?i=",J8727)</f>
        <v>https://www.dgiwg.org/FAD/fdd/view?i=118862</v>
      </c>
      <c r="L8727" s="36" t="s">
        <v>49657</v>
      </c>
      <c r="M8727" s="186"/>
      <c r="N8727" s="186"/>
      <c r="O8727" s="172"/>
    </row>
    <row r="8728" spans="1:15" ht="25.5" x14ac:dyDescent="0.2">
      <c r="A8728" s="197" t="str">
        <f t="shared" si="136"/>
        <v>KosCode_golfDrivingRange</v>
      </c>
      <c r="B8728" s="409"/>
      <c r="C8728" s="416"/>
      <c r="D8728" s="198" t="s">
        <v>49658</v>
      </c>
      <c r="E8728" s="198">
        <v>15</v>
      </c>
      <c r="F8728" s="199" t="s">
        <v>3365</v>
      </c>
      <c r="G8728" s="1" t="s">
        <v>3366</v>
      </c>
      <c r="H8728" s="200"/>
      <c r="I8728" s="346"/>
      <c r="J8728" s="39">
        <v>118865</v>
      </c>
      <c r="K8728" s="36" t="str">
        <f>CONCATENATE(Cover!$D$6,"fdd/view?i=",J8728)</f>
        <v>https://www.dgiwg.org/FAD/fdd/view?i=118865</v>
      </c>
      <c r="L8728" s="36" t="s">
        <v>49659</v>
      </c>
      <c r="M8728" s="186"/>
      <c r="N8728" s="186"/>
      <c r="O8728" s="172"/>
    </row>
    <row r="8729" spans="1:15" ht="25.5" x14ac:dyDescent="0.2">
      <c r="A8729" s="197" t="str">
        <f t="shared" si="136"/>
        <v>KosCode_iceSkating</v>
      </c>
      <c r="B8729" s="409"/>
      <c r="C8729" s="416"/>
      <c r="D8729" s="198" t="s">
        <v>49660</v>
      </c>
      <c r="E8729" s="198">
        <v>7</v>
      </c>
      <c r="F8729" s="199" t="s">
        <v>49661</v>
      </c>
      <c r="G8729" s="1" t="s">
        <v>49662</v>
      </c>
      <c r="H8729" s="1" t="s">
        <v>49663</v>
      </c>
      <c r="I8729" s="346"/>
      <c r="J8729" s="39">
        <v>118858</v>
      </c>
      <c r="K8729" s="36" t="str">
        <f>CONCATENATE(Cover!$D$6,"fdd/view?i=",J8729)</f>
        <v>https://www.dgiwg.org/FAD/fdd/view?i=118858</v>
      </c>
      <c r="L8729" s="36" t="s">
        <v>49664</v>
      </c>
      <c r="M8729" s="186"/>
      <c r="N8729" s="186"/>
      <c r="O8729" s="172"/>
    </row>
    <row r="8730" spans="1:15" x14ac:dyDescent="0.2">
      <c r="A8730" s="197" t="str">
        <f t="shared" si="136"/>
        <v>KosCode_motorSport</v>
      </c>
      <c r="B8730" s="409"/>
      <c r="C8730" s="416"/>
      <c r="D8730" s="198" t="s">
        <v>49665</v>
      </c>
      <c r="E8730" s="198">
        <v>8</v>
      </c>
      <c r="F8730" s="199" t="s">
        <v>49666</v>
      </c>
      <c r="G8730" s="1" t="s">
        <v>49667</v>
      </c>
      <c r="H8730" s="200"/>
      <c r="I8730" s="346"/>
      <c r="J8730" s="39">
        <v>118859</v>
      </c>
      <c r="K8730" s="36" t="str">
        <f>CONCATENATE(Cover!$D$6,"fdd/view?i=",J8730)</f>
        <v>https://www.dgiwg.org/FAD/fdd/view?i=118859</v>
      </c>
      <c r="L8730" s="36" t="s">
        <v>49668</v>
      </c>
      <c r="M8730" s="186"/>
      <c r="N8730" s="186"/>
      <c r="O8730" s="172"/>
    </row>
    <row r="8731" spans="1:15" ht="51" x14ac:dyDescent="0.2">
      <c r="A8731" s="197" t="str">
        <f t="shared" si="136"/>
        <v>KosCode_obstacleCourse</v>
      </c>
      <c r="B8731" s="409"/>
      <c r="C8731" s="416"/>
      <c r="D8731" s="198" t="s">
        <v>40367</v>
      </c>
      <c r="E8731" s="198">
        <v>14</v>
      </c>
      <c r="F8731" s="199" t="s">
        <v>49669</v>
      </c>
      <c r="G8731" s="1" t="s">
        <v>49670</v>
      </c>
      <c r="H8731" s="1" t="s">
        <v>49671</v>
      </c>
      <c r="I8731" s="346"/>
      <c r="J8731" s="39">
        <v>118864</v>
      </c>
      <c r="K8731" s="36" t="str">
        <f>CONCATENATE(Cover!$D$6,"fdd/view?i=",J8731)</f>
        <v>https://www.dgiwg.org/FAD/fdd/view?i=118864</v>
      </c>
      <c r="L8731" s="36" t="s">
        <v>49672</v>
      </c>
      <c r="M8731" s="186"/>
      <c r="N8731" s="186"/>
      <c r="O8731" s="172"/>
    </row>
    <row r="8732" spans="1:15" ht="25.5" x14ac:dyDescent="0.2">
      <c r="A8732" s="197" t="str">
        <f t="shared" si="136"/>
        <v>KosCode_riding</v>
      </c>
      <c r="B8732" s="409"/>
      <c r="C8732" s="416"/>
      <c r="D8732" s="198" t="s">
        <v>49673</v>
      </c>
      <c r="E8732" s="198">
        <v>4</v>
      </c>
      <c r="F8732" s="199" t="s">
        <v>49674</v>
      </c>
      <c r="G8732" s="1" t="s">
        <v>49675</v>
      </c>
      <c r="H8732" s="1" t="s">
        <v>49676</v>
      </c>
      <c r="I8732" s="346"/>
      <c r="J8732" s="39">
        <v>118855</v>
      </c>
      <c r="K8732" s="36" t="str">
        <f>CONCATENATE(Cover!$D$6,"fdd/view?i=",J8732)</f>
        <v>https://www.dgiwg.org/FAD/fdd/view?i=118855</v>
      </c>
      <c r="L8732" s="36" t="s">
        <v>49677</v>
      </c>
      <c r="M8732" s="186"/>
      <c r="N8732" s="186"/>
      <c r="O8732" s="172"/>
    </row>
    <row r="8733" spans="1:15" x14ac:dyDescent="0.2">
      <c r="A8733" s="197" t="str">
        <f t="shared" si="136"/>
        <v>KosCode_sailing</v>
      </c>
      <c r="B8733" s="409"/>
      <c r="C8733" s="416"/>
      <c r="D8733" s="198" t="s">
        <v>49678</v>
      </c>
      <c r="E8733" s="198">
        <v>13</v>
      </c>
      <c r="F8733" s="199" t="s">
        <v>49679</v>
      </c>
      <c r="G8733" s="1" t="s">
        <v>49680</v>
      </c>
      <c r="H8733" s="1" t="s">
        <v>49681</v>
      </c>
      <c r="I8733" s="346"/>
      <c r="J8733" s="39">
        <v>118863</v>
      </c>
      <c r="K8733" s="36" t="str">
        <f>CONCATENATE(Cover!$D$6,"fdd/view?i=",J8733)</f>
        <v>https://www.dgiwg.org/FAD/fdd/view?i=118863</v>
      </c>
      <c r="L8733" s="36" t="s">
        <v>49682</v>
      </c>
      <c r="M8733" s="186"/>
      <c r="N8733" s="186"/>
      <c r="O8733" s="172"/>
    </row>
    <row r="8734" spans="1:15" ht="25.5" x14ac:dyDescent="0.2">
      <c r="A8734" s="197" t="str">
        <f t="shared" si="136"/>
        <v>KosCode_skiRun</v>
      </c>
      <c r="B8734" s="409"/>
      <c r="C8734" s="416"/>
      <c r="D8734" s="198" t="s">
        <v>49683</v>
      </c>
      <c r="E8734" s="198">
        <v>6</v>
      </c>
      <c r="F8734" s="199" t="s">
        <v>5083</v>
      </c>
      <c r="G8734" s="1" t="s">
        <v>49684</v>
      </c>
      <c r="H8734" s="200"/>
      <c r="I8734" s="346"/>
      <c r="J8734" s="39">
        <v>118857</v>
      </c>
      <c r="K8734" s="36" t="str">
        <f>CONCATENATE(Cover!$D$6,"fdd/view?i=",J8734)</f>
        <v>https://www.dgiwg.org/FAD/fdd/view?i=118857</v>
      </c>
      <c r="L8734" s="36" t="s">
        <v>49685</v>
      </c>
      <c r="M8734" s="186"/>
      <c r="N8734" s="186"/>
      <c r="O8734" s="172"/>
    </row>
    <row r="8735" spans="1:15" ht="25.5" x14ac:dyDescent="0.2">
      <c r="A8735" s="197" t="str">
        <f t="shared" si="136"/>
        <v>KosCode_swimming</v>
      </c>
      <c r="B8735" s="409"/>
      <c r="C8735" s="416"/>
      <c r="D8735" s="198" t="s">
        <v>35579</v>
      </c>
      <c r="E8735" s="198">
        <v>5</v>
      </c>
      <c r="F8735" s="199" t="s">
        <v>35580</v>
      </c>
      <c r="G8735" s="1" t="s">
        <v>49686</v>
      </c>
      <c r="H8735" s="200"/>
      <c r="I8735" s="346"/>
      <c r="J8735" s="39">
        <v>118856</v>
      </c>
      <c r="K8735" s="36" t="str">
        <f>CONCATENATE(Cover!$D$6,"fdd/view?i=",J8735)</f>
        <v>https://www.dgiwg.org/FAD/fdd/view?i=118856</v>
      </c>
      <c r="L8735" s="36" t="s">
        <v>49687</v>
      </c>
      <c r="M8735" s="186"/>
      <c r="N8735" s="186"/>
      <c r="O8735" s="172"/>
    </row>
    <row r="8736" spans="1:15" ht="38.25" x14ac:dyDescent="0.2">
      <c r="A8736" s="203" t="str">
        <f t="shared" si="136"/>
        <v>KosCode_tennis</v>
      </c>
      <c r="B8736" s="410"/>
      <c r="C8736" s="417"/>
      <c r="D8736" s="204" t="s">
        <v>49688</v>
      </c>
      <c r="E8736" s="204">
        <v>3</v>
      </c>
      <c r="F8736" s="205" t="s">
        <v>49689</v>
      </c>
      <c r="G8736" s="206" t="s">
        <v>49690</v>
      </c>
      <c r="H8736" s="207"/>
      <c r="I8736" s="347"/>
      <c r="J8736" s="39">
        <v>118854</v>
      </c>
      <c r="K8736" s="36" t="str">
        <f>CONCATENATE(Cover!$D$6,"fdd/view?i=",J8736)</f>
        <v>https://www.dgiwg.org/FAD/fdd/view?i=118854</v>
      </c>
      <c r="L8736" s="36" t="s">
        <v>49691</v>
      </c>
      <c r="M8736" s="186"/>
      <c r="N8736" s="186"/>
      <c r="O8736" s="172"/>
    </row>
    <row r="8737" spans="1:15" ht="25.5" x14ac:dyDescent="0.2">
      <c r="A8737" s="190" t="str">
        <f t="shared" si="136"/>
        <v>SopCode_byNoticeToAirmen</v>
      </c>
      <c r="B8737" s="414" t="str">
        <f>HYPERLINK("[#]Datatypes!A1456:L1456","SopCode")</f>
        <v>SopCode</v>
      </c>
      <c r="C8737" s="415" t="s">
        <v>16082</v>
      </c>
      <c r="D8737" s="221" t="s">
        <v>49692</v>
      </c>
      <c r="E8737" s="221">
        <v>9</v>
      </c>
      <c r="F8737" s="222" t="s">
        <v>49693</v>
      </c>
      <c r="G8737" s="223" t="s">
        <v>49694</v>
      </c>
      <c r="H8737" s="224"/>
      <c r="I8737" s="345"/>
      <c r="J8737" s="39">
        <v>119508</v>
      </c>
      <c r="K8737" s="36" t="str">
        <f>CONCATENATE(Cover!$D$6,"fdd/view?i=",J8737)</f>
        <v>https://www.dgiwg.org/FAD/fdd/view?i=119508</v>
      </c>
      <c r="L8737" s="36" t="s">
        <v>49695</v>
      </c>
      <c r="M8737" s="186"/>
      <c r="N8737" s="186"/>
      <c r="O8737" s="172"/>
    </row>
    <row r="8738" spans="1:15" ht="25.5" x14ac:dyDescent="0.2">
      <c r="A8738" s="197" t="str">
        <f t="shared" si="136"/>
        <v>SopCode_byNoticeToMariner</v>
      </c>
      <c r="B8738" s="409"/>
      <c r="C8738" s="416"/>
      <c r="D8738" s="198" t="s">
        <v>49696</v>
      </c>
      <c r="E8738" s="198">
        <v>10</v>
      </c>
      <c r="F8738" s="199" t="s">
        <v>49697</v>
      </c>
      <c r="G8738" s="1" t="s">
        <v>49698</v>
      </c>
      <c r="H8738" s="200"/>
      <c r="I8738" s="346"/>
      <c r="J8738" s="39">
        <v>119509</v>
      </c>
      <c r="K8738" s="36" t="str">
        <f>CONCATENATE(Cover!$D$6,"fdd/view?i=",J8738)</f>
        <v>https://www.dgiwg.org/FAD/fdd/view?i=119509</v>
      </c>
      <c r="L8738" s="36" t="s">
        <v>49699</v>
      </c>
      <c r="M8738" s="186"/>
      <c r="N8738" s="186"/>
      <c r="O8738" s="172"/>
    </row>
    <row r="8739" spans="1:15" ht="25.5" x14ac:dyDescent="0.2">
      <c r="A8739" s="197" t="str">
        <f t="shared" si="136"/>
        <v>SopCode_conditional</v>
      </c>
      <c r="B8739" s="409"/>
      <c r="C8739" s="416"/>
      <c r="D8739" s="198" t="s">
        <v>20207</v>
      </c>
      <c r="E8739" s="198">
        <v>8</v>
      </c>
      <c r="F8739" s="199" t="s">
        <v>20208</v>
      </c>
      <c r="G8739" s="1" t="s">
        <v>49700</v>
      </c>
      <c r="H8739" s="200"/>
      <c r="I8739" s="346"/>
      <c r="J8739" s="39">
        <v>119507</v>
      </c>
      <c r="K8739" s="36" t="str">
        <f>CONCATENATE(Cover!$D$6,"fdd/view?i=",J8739)</f>
        <v>https://www.dgiwg.org/FAD/fdd/view?i=119507</v>
      </c>
      <c r="L8739" s="36" t="s">
        <v>49701</v>
      </c>
      <c r="M8739" s="186"/>
      <c r="N8739" s="186"/>
      <c r="O8739" s="172"/>
    </row>
    <row r="8740" spans="1:15" ht="25.5" x14ac:dyDescent="0.2">
      <c r="A8740" s="197" t="str">
        <f t="shared" si="136"/>
        <v>SopCode_continuousH24</v>
      </c>
      <c r="B8740" s="409"/>
      <c r="C8740" s="416"/>
      <c r="D8740" s="198" t="s">
        <v>49702</v>
      </c>
      <c r="E8740" s="198">
        <v>1</v>
      </c>
      <c r="F8740" s="199" t="s">
        <v>49703</v>
      </c>
      <c r="G8740" s="1" t="s">
        <v>49704</v>
      </c>
      <c r="H8740" s="200"/>
      <c r="I8740" s="346"/>
      <c r="J8740" s="39">
        <v>119500</v>
      </c>
      <c r="K8740" s="36" t="str">
        <f>CONCATENATE(Cover!$D$6,"fdd/view?i=",J8740)</f>
        <v>https://www.dgiwg.org/FAD/fdd/view?i=119500</v>
      </c>
      <c r="L8740" s="36" t="s">
        <v>49705</v>
      </c>
      <c r="M8740" s="186"/>
      <c r="N8740" s="186"/>
      <c r="O8740" s="172"/>
    </row>
    <row r="8741" spans="1:15" x14ac:dyDescent="0.2">
      <c r="A8741" s="197" t="str">
        <f t="shared" si="136"/>
        <v>SopCode_holidays</v>
      </c>
      <c r="B8741" s="409"/>
      <c r="C8741" s="416"/>
      <c r="D8741" s="198" t="s">
        <v>49706</v>
      </c>
      <c r="E8741" s="198">
        <v>6</v>
      </c>
      <c r="F8741" s="199" t="s">
        <v>49707</v>
      </c>
      <c r="G8741" s="1" t="s">
        <v>49708</v>
      </c>
      <c r="H8741" s="200"/>
      <c r="I8741" s="346"/>
      <c r="J8741" s="39">
        <v>119505</v>
      </c>
      <c r="K8741" s="36" t="str">
        <f>CONCATENATE(Cover!$D$6,"fdd/view?i=",J8741)</f>
        <v>https://www.dgiwg.org/FAD/fdd/view?i=119505</v>
      </c>
      <c r="L8741" s="36" t="s">
        <v>49709</v>
      </c>
      <c r="M8741" s="186"/>
      <c r="N8741" s="186"/>
      <c r="O8741" s="172"/>
    </row>
    <row r="8742" spans="1:15" x14ac:dyDescent="0.2">
      <c r="A8742" s="197" t="str">
        <f t="shared" si="136"/>
        <v>SopCode_onCallHO</v>
      </c>
      <c r="B8742" s="409"/>
      <c r="C8742" s="416"/>
      <c r="D8742" s="198" t="s">
        <v>49710</v>
      </c>
      <c r="E8742" s="198">
        <v>2</v>
      </c>
      <c r="F8742" s="199" t="s">
        <v>49711</v>
      </c>
      <c r="G8742" s="1" t="s">
        <v>49712</v>
      </c>
      <c r="H8742" s="200"/>
      <c r="I8742" s="346"/>
      <c r="J8742" s="39">
        <v>119501</v>
      </c>
      <c r="K8742" s="36" t="str">
        <f>CONCATENATE(Cover!$D$6,"fdd/view?i=",J8742)</f>
        <v>https://www.dgiwg.org/FAD/fdd/view?i=119501</v>
      </c>
      <c r="L8742" s="36" t="s">
        <v>49713</v>
      </c>
      <c r="M8742" s="186"/>
      <c r="N8742" s="186"/>
      <c r="O8742" s="172"/>
    </row>
    <row r="8743" spans="1:15" ht="25.5" x14ac:dyDescent="0.2">
      <c r="A8743" s="197" t="str">
        <f t="shared" si="136"/>
        <v>SopCode_sunriseSunset</v>
      </c>
      <c r="B8743" s="409"/>
      <c r="C8743" s="416"/>
      <c r="D8743" s="198" t="s">
        <v>49714</v>
      </c>
      <c r="E8743" s="198">
        <v>3</v>
      </c>
      <c r="F8743" s="199" t="s">
        <v>49715</v>
      </c>
      <c r="G8743" s="1" t="s">
        <v>49716</v>
      </c>
      <c r="H8743" s="200"/>
      <c r="I8743" s="346"/>
      <c r="J8743" s="39">
        <v>119502</v>
      </c>
      <c r="K8743" s="36" t="str">
        <f>CONCATENATE(Cover!$D$6,"fdd/view?i=",J8743)</f>
        <v>https://www.dgiwg.org/FAD/fdd/view?i=119502</v>
      </c>
      <c r="L8743" s="36" t="s">
        <v>49717</v>
      </c>
      <c r="M8743" s="186"/>
      <c r="N8743" s="186"/>
      <c r="O8743" s="172"/>
    </row>
    <row r="8744" spans="1:15" ht="25.5" x14ac:dyDescent="0.2">
      <c r="A8744" s="197" t="str">
        <f t="shared" si="136"/>
        <v>SopCode_sunsetSunrise</v>
      </c>
      <c r="B8744" s="409"/>
      <c r="C8744" s="416"/>
      <c r="D8744" s="198" t="s">
        <v>49718</v>
      </c>
      <c r="E8744" s="198">
        <v>7</v>
      </c>
      <c r="F8744" s="199" t="s">
        <v>49719</v>
      </c>
      <c r="G8744" s="1" t="s">
        <v>49720</v>
      </c>
      <c r="H8744" s="200"/>
      <c r="I8744" s="346"/>
      <c r="J8744" s="39">
        <v>119506</v>
      </c>
      <c r="K8744" s="36" t="str">
        <f>CONCATENATE(Cover!$D$6,"fdd/view?i=",J8744)</f>
        <v>https://www.dgiwg.org/FAD/fdd/view?i=119506</v>
      </c>
      <c r="L8744" s="36" t="s">
        <v>49721</v>
      </c>
      <c r="M8744" s="186"/>
      <c r="N8744" s="186"/>
      <c r="O8744" s="172"/>
    </row>
    <row r="8745" spans="1:15" x14ac:dyDescent="0.2">
      <c r="A8745" s="197" t="str">
        <f t="shared" si="136"/>
        <v>SopCode_weekdays</v>
      </c>
      <c r="B8745" s="409"/>
      <c r="C8745" s="416"/>
      <c r="D8745" s="198" t="s">
        <v>49722</v>
      </c>
      <c r="E8745" s="198">
        <v>4</v>
      </c>
      <c r="F8745" s="199" t="s">
        <v>49723</v>
      </c>
      <c r="G8745" s="1" t="s">
        <v>49724</v>
      </c>
      <c r="H8745" s="200"/>
      <c r="I8745" s="346"/>
      <c r="J8745" s="39">
        <v>119503</v>
      </c>
      <c r="K8745" s="36" t="str">
        <f>CONCATENATE(Cover!$D$6,"fdd/view?i=",J8745)</f>
        <v>https://www.dgiwg.org/FAD/fdd/view?i=119503</v>
      </c>
      <c r="L8745" s="36" t="s">
        <v>49725</v>
      </c>
      <c r="M8745" s="186"/>
      <c r="N8745" s="186"/>
      <c r="O8745" s="172"/>
    </row>
    <row r="8746" spans="1:15" x14ac:dyDescent="0.2">
      <c r="A8746" s="203" t="str">
        <f t="shared" si="136"/>
        <v>SopCode_weekends</v>
      </c>
      <c r="B8746" s="410"/>
      <c r="C8746" s="417"/>
      <c r="D8746" s="204" t="s">
        <v>49726</v>
      </c>
      <c r="E8746" s="204">
        <v>5</v>
      </c>
      <c r="F8746" s="205" t="s">
        <v>49727</v>
      </c>
      <c r="G8746" s="206" t="s">
        <v>49728</v>
      </c>
      <c r="H8746" s="207"/>
      <c r="I8746" s="347"/>
      <c r="J8746" s="39">
        <v>119504</v>
      </c>
      <c r="K8746" s="36" t="str">
        <f>CONCATENATE(Cover!$D$6,"fdd/view?i=",J8746)</f>
        <v>https://www.dgiwg.org/FAD/fdd/view?i=119504</v>
      </c>
      <c r="L8746" s="36" t="s">
        <v>49729</v>
      </c>
      <c r="M8746" s="186"/>
      <c r="N8746" s="186"/>
      <c r="O8746" s="172"/>
    </row>
    <row r="8747" spans="1:15" x14ac:dyDescent="0.2">
      <c r="A8747" s="190" t="str">
        <f t="shared" si="136"/>
        <v>Ps2Code_coastalState</v>
      </c>
      <c r="B8747" s="414" t="str">
        <f>HYPERLINK("[#]Datatypes!A1458:L1458","Ps2Code")</f>
        <v>Ps2Code</v>
      </c>
      <c r="C8747" s="415" t="s">
        <v>16084</v>
      </c>
      <c r="D8747" s="221" t="s">
        <v>49730</v>
      </c>
      <c r="E8747" s="221">
        <v>4</v>
      </c>
      <c r="F8747" s="222" t="s">
        <v>49731</v>
      </c>
      <c r="G8747" s="223" t="s">
        <v>49732</v>
      </c>
      <c r="H8747" s="224"/>
      <c r="I8747" s="345"/>
      <c r="J8747" s="39">
        <v>113633</v>
      </c>
      <c r="K8747" s="36" t="str">
        <f>CONCATENATE(Cover!$D$6,"fdd/view?i=",J8747)</f>
        <v>https://www.dgiwg.org/FAD/fdd/view?i=113633</v>
      </c>
      <c r="L8747" s="36" t="s">
        <v>49733</v>
      </c>
      <c r="M8747" s="186"/>
      <c r="N8747" s="186"/>
      <c r="O8747" s="172"/>
    </row>
    <row r="8748" spans="1:15" x14ac:dyDescent="0.2">
      <c r="A8748" s="197" t="str">
        <f t="shared" si="136"/>
        <v>Ps2Code_islandState</v>
      </c>
      <c r="B8748" s="409"/>
      <c r="C8748" s="416"/>
      <c r="D8748" s="198" t="s">
        <v>49734</v>
      </c>
      <c r="E8748" s="198">
        <v>2</v>
      </c>
      <c r="F8748" s="199" t="s">
        <v>49735</v>
      </c>
      <c r="G8748" s="1" t="s">
        <v>49736</v>
      </c>
      <c r="H8748" s="1" t="s">
        <v>49737</v>
      </c>
      <c r="I8748" s="346"/>
      <c r="J8748" s="39">
        <v>113631</v>
      </c>
      <c r="K8748" s="36" t="str">
        <f>CONCATENATE(Cover!$D$6,"fdd/view?i=",J8748)</f>
        <v>https://www.dgiwg.org/FAD/fdd/view?i=113631</v>
      </c>
      <c r="L8748" s="36" t="s">
        <v>49738</v>
      </c>
      <c r="M8748" s="186"/>
      <c r="N8748" s="186"/>
      <c r="O8748" s="172"/>
    </row>
    <row r="8749" spans="1:15" ht="25.5" x14ac:dyDescent="0.2">
      <c r="A8749" s="197" t="str">
        <f t="shared" si="136"/>
        <v>Ps2Code_landlockedState</v>
      </c>
      <c r="B8749" s="409"/>
      <c r="C8749" s="416"/>
      <c r="D8749" s="198" t="s">
        <v>49739</v>
      </c>
      <c r="E8749" s="198">
        <v>1</v>
      </c>
      <c r="F8749" s="199" t="s">
        <v>49740</v>
      </c>
      <c r="G8749" s="1" t="s">
        <v>49741</v>
      </c>
      <c r="H8749" s="1" t="s">
        <v>49742</v>
      </c>
      <c r="I8749" s="346"/>
      <c r="J8749" s="39">
        <v>113630</v>
      </c>
      <c r="K8749" s="36" t="str">
        <f>CONCATENATE(Cover!$D$6,"fdd/view?i=",J8749)</f>
        <v>https://www.dgiwg.org/FAD/fdd/view?i=113630</v>
      </c>
      <c r="L8749" s="36" t="s">
        <v>49743</v>
      </c>
      <c r="M8749" s="186"/>
      <c r="N8749" s="186"/>
      <c r="O8749" s="172"/>
    </row>
    <row r="8750" spans="1:15" ht="25.5" x14ac:dyDescent="0.2">
      <c r="A8750" s="197" t="str">
        <f t="shared" si="136"/>
        <v>Ps2Code_peninsulaState</v>
      </c>
      <c r="B8750" s="409"/>
      <c r="C8750" s="416"/>
      <c r="D8750" s="198" t="s">
        <v>49744</v>
      </c>
      <c r="E8750" s="198">
        <v>3</v>
      </c>
      <c r="F8750" s="199" t="s">
        <v>49745</v>
      </c>
      <c r="G8750" s="1" t="s">
        <v>49746</v>
      </c>
      <c r="H8750" s="1" t="s">
        <v>49747</v>
      </c>
      <c r="I8750" s="346"/>
      <c r="J8750" s="39">
        <v>113632</v>
      </c>
      <c r="K8750" s="36" t="str">
        <f>CONCATENATE(Cover!$D$6,"fdd/view?i=",J8750)</f>
        <v>https://www.dgiwg.org/FAD/fdd/view?i=113632</v>
      </c>
      <c r="L8750" s="36" t="s">
        <v>49748</v>
      </c>
      <c r="M8750" s="186"/>
      <c r="N8750" s="186"/>
      <c r="O8750" s="172"/>
    </row>
    <row r="8751" spans="1:15" ht="25.5" x14ac:dyDescent="0.2">
      <c r="A8751" s="203" t="str">
        <f t="shared" si="136"/>
        <v>Ps2Code_straitState</v>
      </c>
      <c r="B8751" s="410"/>
      <c r="C8751" s="417"/>
      <c r="D8751" s="204" t="s">
        <v>49749</v>
      </c>
      <c r="E8751" s="204">
        <v>5</v>
      </c>
      <c r="F8751" s="205" t="s">
        <v>49750</v>
      </c>
      <c r="G8751" s="206" t="s">
        <v>49751</v>
      </c>
      <c r="H8751" s="206" t="s">
        <v>49752</v>
      </c>
      <c r="I8751" s="347"/>
      <c r="J8751" s="39">
        <v>113634</v>
      </c>
      <c r="K8751" s="36" t="str">
        <f>CONCATENATE(Cover!$D$6,"fdd/view?i=",J8751)</f>
        <v>https://www.dgiwg.org/FAD/fdd/view?i=113634</v>
      </c>
      <c r="L8751" s="36" t="s">
        <v>49753</v>
      </c>
      <c r="M8751" s="186"/>
      <c r="N8751" s="186"/>
      <c r="O8751" s="172"/>
    </row>
    <row r="8752" spans="1:15" ht="38.25" x14ac:dyDescent="0.2">
      <c r="A8752" s="190" t="str">
        <f t="shared" si="136"/>
        <v>SgaCode_landslideArea</v>
      </c>
      <c r="B8752" s="414" t="str">
        <f>HYPERLINK("[#]Datatypes!A1462:L1462","SgaCode")</f>
        <v>SgaCode</v>
      </c>
      <c r="C8752" s="415" t="s">
        <v>16088</v>
      </c>
      <c r="D8752" s="221" t="s">
        <v>49754</v>
      </c>
      <c r="E8752" s="221">
        <v>10</v>
      </c>
      <c r="F8752" s="222" t="s">
        <v>49755</v>
      </c>
      <c r="G8752" s="223" t="s">
        <v>49756</v>
      </c>
      <c r="H8752" s="223" t="s">
        <v>49757</v>
      </c>
      <c r="I8752" s="345"/>
      <c r="J8752" s="39">
        <v>119269</v>
      </c>
      <c r="K8752" s="36" t="str">
        <f>CONCATENATE(Cover!$D$6,"fdd/view?i=",J8752)</f>
        <v>https://www.dgiwg.org/FAD/fdd/view?i=119269</v>
      </c>
      <c r="L8752" s="36" t="s">
        <v>49758</v>
      </c>
      <c r="M8752" s="186"/>
      <c r="N8752" s="186"/>
      <c r="O8752" s="172"/>
    </row>
    <row r="8753" spans="1:15" ht="102" x14ac:dyDescent="0.2">
      <c r="A8753" s="203" t="str">
        <f t="shared" si="136"/>
        <v>SgaCode_seismicArea</v>
      </c>
      <c r="B8753" s="410"/>
      <c r="C8753" s="417"/>
      <c r="D8753" s="204" t="s">
        <v>49759</v>
      </c>
      <c r="E8753" s="204">
        <v>11</v>
      </c>
      <c r="F8753" s="205" t="s">
        <v>49760</v>
      </c>
      <c r="G8753" s="206" t="s">
        <v>49761</v>
      </c>
      <c r="H8753" s="206" t="s">
        <v>49762</v>
      </c>
      <c r="I8753" s="347"/>
      <c r="J8753" s="39">
        <v>119270</v>
      </c>
      <c r="K8753" s="36" t="str">
        <f>CONCATENATE(Cover!$D$6,"fdd/view?i=",J8753)</f>
        <v>https://www.dgiwg.org/FAD/fdd/view?i=119270</v>
      </c>
      <c r="L8753" s="36" t="s">
        <v>49763</v>
      </c>
      <c r="M8753" s="186"/>
      <c r="N8753" s="186"/>
      <c r="O8753" s="172"/>
    </row>
    <row r="8754" spans="1:15" ht="51" x14ac:dyDescent="0.2">
      <c r="A8754" s="190" t="str">
        <f t="shared" si="136"/>
        <v>SfaCode_bulkFuelStorage</v>
      </c>
      <c r="B8754" s="414" t="str">
        <f>HYPERLINK("[#]Datatypes!A1464:L1464","SfaCode")</f>
        <v>SfaCode</v>
      </c>
      <c r="C8754" s="415" t="s">
        <v>16090</v>
      </c>
      <c r="D8754" s="221" t="s">
        <v>49764</v>
      </c>
      <c r="E8754" s="221">
        <v>25</v>
      </c>
      <c r="F8754" s="222" t="s">
        <v>49765</v>
      </c>
      <c r="G8754" s="223" t="s">
        <v>49766</v>
      </c>
      <c r="H8754" s="223" t="s">
        <v>49767</v>
      </c>
      <c r="I8754" s="345"/>
      <c r="J8754" s="39">
        <v>112826</v>
      </c>
      <c r="K8754" s="36" t="str">
        <f>CONCATENATE(Cover!$D$6,"fdd/view?i=",J8754)</f>
        <v>https://www.dgiwg.org/FAD/fdd/view?i=112826</v>
      </c>
      <c r="L8754" s="36" t="s">
        <v>49768</v>
      </c>
      <c r="M8754" s="186"/>
      <c r="N8754" s="186"/>
      <c r="O8754" s="172"/>
    </row>
    <row r="8755" spans="1:15" ht="38.25" x14ac:dyDescent="0.2">
      <c r="A8755" s="197" t="str">
        <f t="shared" si="136"/>
        <v>SfaCode_bulkGasStorage</v>
      </c>
      <c r="B8755" s="409"/>
      <c r="C8755" s="416"/>
      <c r="D8755" s="198" t="s">
        <v>49769</v>
      </c>
      <c r="E8755" s="198">
        <v>11</v>
      </c>
      <c r="F8755" s="199" t="s">
        <v>49770</v>
      </c>
      <c r="G8755" s="1" t="s">
        <v>49771</v>
      </c>
      <c r="H8755" s="1" t="s">
        <v>49772</v>
      </c>
      <c r="I8755" s="346"/>
      <c r="J8755" s="39">
        <v>107598</v>
      </c>
      <c r="K8755" s="36" t="str">
        <f>CONCATENATE(Cover!$D$6,"fdd/view?i=",J8755)</f>
        <v>https://www.dgiwg.org/FAD/fdd/view?i=107598</v>
      </c>
      <c r="L8755" s="36" t="s">
        <v>49773</v>
      </c>
      <c r="M8755" s="186"/>
      <c r="N8755" s="186"/>
      <c r="O8755" s="172"/>
    </row>
    <row r="8756" spans="1:15" ht="51" x14ac:dyDescent="0.2">
      <c r="A8756" s="197" t="str">
        <f t="shared" si="136"/>
        <v>SfaCode_bulkGrainStorage</v>
      </c>
      <c r="B8756" s="409"/>
      <c r="C8756" s="416"/>
      <c r="D8756" s="198" t="s">
        <v>49774</v>
      </c>
      <c r="E8756" s="198">
        <v>6</v>
      </c>
      <c r="F8756" s="199" t="s">
        <v>49775</v>
      </c>
      <c r="G8756" s="1" t="s">
        <v>49776</v>
      </c>
      <c r="H8756" s="1" t="s">
        <v>49777</v>
      </c>
      <c r="I8756" s="346"/>
      <c r="J8756" s="39">
        <v>107593</v>
      </c>
      <c r="K8756" s="36" t="str">
        <f>CONCATENATE(Cover!$D$6,"fdd/view?i=",J8756)</f>
        <v>https://www.dgiwg.org/FAD/fdd/view?i=107593</v>
      </c>
      <c r="L8756" s="36" t="s">
        <v>49778</v>
      </c>
      <c r="M8756" s="186"/>
      <c r="N8756" s="186"/>
      <c r="O8756" s="172"/>
    </row>
    <row r="8757" spans="1:15" ht="51" x14ac:dyDescent="0.2">
      <c r="A8757" s="197" t="str">
        <f t="shared" si="136"/>
        <v>SfaCode_bulkGranularMatStorage</v>
      </c>
      <c r="B8757" s="409"/>
      <c r="C8757" s="416"/>
      <c r="D8757" s="198" t="s">
        <v>49779</v>
      </c>
      <c r="E8757" s="198">
        <v>23</v>
      </c>
      <c r="F8757" s="199" t="s">
        <v>49780</v>
      </c>
      <c r="G8757" s="1" t="s">
        <v>49781</v>
      </c>
      <c r="H8757" s="1" t="s">
        <v>49782</v>
      </c>
      <c r="I8757" s="346"/>
      <c r="J8757" s="39">
        <v>110467</v>
      </c>
      <c r="K8757" s="36" t="str">
        <f>CONCATENATE(Cover!$D$6,"fdd/view?i=",J8757)</f>
        <v>https://www.dgiwg.org/FAD/fdd/view?i=110467</v>
      </c>
      <c r="L8757" s="36" t="s">
        <v>49783</v>
      </c>
      <c r="M8757" s="186"/>
      <c r="N8757" s="186"/>
      <c r="O8757" s="172"/>
    </row>
    <row r="8758" spans="1:15" ht="38.25" x14ac:dyDescent="0.2">
      <c r="A8758" s="197" t="str">
        <f t="shared" si="136"/>
        <v>SfaCode_bulkLiquidStorage</v>
      </c>
      <c r="B8758" s="409"/>
      <c r="C8758" s="416"/>
      <c r="D8758" s="198" t="s">
        <v>49784</v>
      </c>
      <c r="E8758" s="198">
        <v>8</v>
      </c>
      <c r="F8758" s="199" t="s">
        <v>49785</v>
      </c>
      <c r="G8758" s="1" t="s">
        <v>49786</v>
      </c>
      <c r="H8758" s="1" t="s">
        <v>49787</v>
      </c>
      <c r="I8758" s="346"/>
      <c r="J8758" s="39">
        <v>107595</v>
      </c>
      <c r="K8758" s="36" t="str">
        <f>CONCATENATE(Cover!$D$6,"fdd/view?i=",J8758)</f>
        <v>https://www.dgiwg.org/FAD/fdd/view?i=107595</v>
      </c>
      <c r="L8758" s="36" t="s">
        <v>49788</v>
      </c>
      <c r="M8758" s="186"/>
      <c r="N8758" s="186"/>
      <c r="O8758" s="172"/>
    </row>
    <row r="8759" spans="1:15" ht="38.25" x14ac:dyDescent="0.2">
      <c r="A8759" s="197" t="str">
        <f t="shared" si="136"/>
        <v>SfaCode_bulkOreStorage</v>
      </c>
      <c r="B8759" s="409"/>
      <c r="C8759" s="416"/>
      <c r="D8759" s="198" t="s">
        <v>49789</v>
      </c>
      <c r="E8759" s="198">
        <v>7</v>
      </c>
      <c r="F8759" s="199" t="s">
        <v>49790</v>
      </c>
      <c r="G8759" s="1" t="s">
        <v>49791</v>
      </c>
      <c r="H8759" s="1" t="s">
        <v>49792</v>
      </c>
      <c r="I8759" s="346"/>
      <c r="J8759" s="39">
        <v>107594</v>
      </c>
      <c r="K8759" s="36" t="str">
        <f>CONCATENATE(Cover!$D$6,"fdd/view?i=",J8759)</f>
        <v>https://www.dgiwg.org/FAD/fdd/view?i=107594</v>
      </c>
      <c r="L8759" s="36" t="s">
        <v>49793</v>
      </c>
      <c r="M8759" s="186"/>
      <c r="N8759" s="186"/>
      <c r="O8759" s="172"/>
    </row>
    <row r="8760" spans="1:15" ht="25.5" x14ac:dyDescent="0.2">
      <c r="A8760" s="197" t="str">
        <f t="shared" si="136"/>
        <v>SfaCode_explosiveStorageBunker</v>
      </c>
      <c r="B8760" s="409"/>
      <c r="C8760" s="416"/>
      <c r="D8760" s="198" t="s">
        <v>49794</v>
      </c>
      <c r="E8760" s="198">
        <v>24</v>
      </c>
      <c r="F8760" s="199" t="s">
        <v>49795</v>
      </c>
      <c r="G8760" s="1" t="s">
        <v>49796</v>
      </c>
      <c r="H8760" s="1" t="s">
        <v>49797</v>
      </c>
      <c r="I8760" s="346"/>
      <c r="J8760" s="39">
        <v>110468</v>
      </c>
      <c r="K8760" s="36" t="str">
        <f>CONCATENATE(Cover!$D$6,"fdd/view?i=",J8760)</f>
        <v>https://www.dgiwg.org/FAD/fdd/view?i=110468</v>
      </c>
      <c r="L8760" s="36" t="s">
        <v>49798</v>
      </c>
      <c r="M8760" s="186"/>
      <c r="N8760" s="186"/>
      <c r="O8760" s="172"/>
    </row>
    <row r="8761" spans="1:15" ht="38.25" x14ac:dyDescent="0.2">
      <c r="A8761" s="197" t="str">
        <f t="shared" si="136"/>
        <v>SfaCode_hardStanding</v>
      </c>
      <c r="B8761" s="409"/>
      <c r="C8761" s="416"/>
      <c r="D8761" s="198" t="s">
        <v>49799</v>
      </c>
      <c r="E8761" s="198">
        <v>2</v>
      </c>
      <c r="F8761" s="199" t="s">
        <v>49800</v>
      </c>
      <c r="G8761" s="1" t="s">
        <v>49801</v>
      </c>
      <c r="H8761" s="200"/>
      <c r="I8761" s="346"/>
      <c r="J8761" s="39">
        <v>107589</v>
      </c>
      <c r="K8761" s="36" t="str">
        <f>CONCATENATE(Cover!$D$6,"fdd/view?i=",J8761)</f>
        <v>https://www.dgiwg.org/FAD/fdd/view?i=107589</v>
      </c>
      <c r="L8761" s="36" t="s">
        <v>49802</v>
      </c>
      <c r="M8761" s="186"/>
      <c r="N8761" s="186"/>
      <c r="O8761" s="172"/>
    </row>
    <row r="8762" spans="1:15" x14ac:dyDescent="0.2">
      <c r="A8762" s="197" t="str">
        <f t="shared" si="136"/>
        <v>SfaCode_noneAvailable</v>
      </c>
      <c r="B8762" s="409"/>
      <c r="C8762" s="416"/>
      <c r="D8762" s="198" t="s">
        <v>20027</v>
      </c>
      <c r="E8762" s="198">
        <v>21</v>
      </c>
      <c r="F8762" s="199" t="s">
        <v>23045</v>
      </c>
      <c r="G8762" s="1" t="s">
        <v>49803</v>
      </c>
      <c r="H8762" s="200"/>
      <c r="I8762" s="346"/>
      <c r="J8762" s="39">
        <v>107608</v>
      </c>
      <c r="K8762" s="36" t="str">
        <f>CONCATENATE(Cover!$D$6,"fdd/view?i=",J8762)</f>
        <v>https://www.dgiwg.org/FAD/fdd/view?i=107608</v>
      </c>
      <c r="L8762" s="36" t="s">
        <v>49804</v>
      </c>
      <c r="M8762" s="186"/>
      <c r="N8762" s="186"/>
      <c r="O8762" s="172"/>
    </row>
    <row r="8763" spans="1:15" ht="38.25" x14ac:dyDescent="0.2">
      <c r="A8763" s="197" t="str">
        <f t="shared" si="136"/>
        <v>SfaCode_potableWaterStorage</v>
      </c>
      <c r="B8763" s="409"/>
      <c r="C8763" s="416"/>
      <c r="D8763" s="198" t="s">
        <v>49805</v>
      </c>
      <c r="E8763" s="198">
        <v>20</v>
      </c>
      <c r="F8763" s="199" t="s">
        <v>49806</v>
      </c>
      <c r="G8763" s="1" t="s">
        <v>49807</v>
      </c>
      <c r="H8763" s="1" t="s">
        <v>49808</v>
      </c>
      <c r="I8763" s="346"/>
      <c r="J8763" s="39">
        <v>107607</v>
      </c>
      <c r="K8763" s="36" t="str">
        <f>CONCATENATE(Cover!$D$6,"fdd/view?i=",J8763)</f>
        <v>https://www.dgiwg.org/FAD/fdd/view?i=107607</v>
      </c>
      <c r="L8763" s="36" t="s">
        <v>49809</v>
      </c>
      <c r="M8763" s="186"/>
      <c r="N8763" s="186"/>
      <c r="O8763" s="172"/>
    </row>
    <row r="8764" spans="1:15" ht="25.5" x14ac:dyDescent="0.2">
      <c r="A8764" s="197" t="str">
        <f t="shared" si="136"/>
        <v>SfaCode_roof</v>
      </c>
      <c r="B8764" s="409"/>
      <c r="C8764" s="416"/>
      <c r="D8764" s="198" t="s">
        <v>42431</v>
      </c>
      <c r="E8764" s="198">
        <v>3</v>
      </c>
      <c r="F8764" s="199" t="s">
        <v>42432</v>
      </c>
      <c r="G8764" s="1" t="s">
        <v>42433</v>
      </c>
      <c r="H8764" s="1" t="s">
        <v>49810</v>
      </c>
      <c r="I8764" s="346"/>
      <c r="J8764" s="39">
        <v>107590</v>
      </c>
      <c r="K8764" s="36" t="str">
        <f>CONCATENATE(Cover!$D$6,"fdd/view?i=",J8764)</f>
        <v>https://www.dgiwg.org/FAD/fdd/view?i=107590</v>
      </c>
      <c r="L8764" s="36" t="s">
        <v>49811</v>
      </c>
      <c r="M8764" s="186"/>
      <c r="N8764" s="186"/>
      <c r="O8764" s="172"/>
    </row>
    <row r="8765" spans="1:15" ht="51" x14ac:dyDescent="0.2">
      <c r="A8765" s="197" t="str">
        <f t="shared" si="136"/>
        <v>SfaCode_shippingContainerStorage</v>
      </c>
      <c r="B8765" s="409"/>
      <c r="C8765" s="416"/>
      <c r="D8765" s="198" t="s">
        <v>49812</v>
      </c>
      <c r="E8765" s="198">
        <v>22</v>
      </c>
      <c r="F8765" s="199" t="s">
        <v>49813</v>
      </c>
      <c r="G8765" s="1" t="s">
        <v>49814</v>
      </c>
      <c r="H8765" s="1" t="s">
        <v>49815</v>
      </c>
      <c r="I8765" s="346"/>
      <c r="J8765" s="39">
        <v>110466</v>
      </c>
      <c r="K8765" s="36" t="str">
        <f>CONCATENATE(Cover!$D$6,"fdd/view?i=",J8765)</f>
        <v>https://www.dgiwg.org/FAD/fdd/view?i=110466</v>
      </c>
      <c r="L8765" s="36" t="s">
        <v>49816</v>
      </c>
      <c r="M8765" s="186"/>
      <c r="N8765" s="186"/>
      <c r="O8765" s="172"/>
    </row>
    <row r="8766" spans="1:15" ht="25.5" x14ac:dyDescent="0.2">
      <c r="A8766" s="197" t="str">
        <f t="shared" si="136"/>
        <v>SfaCode_softStanding</v>
      </c>
      <c r="B8766" s="409"/>
      <c r="C8766" s="416"/>
      <c r="D8766" s="198" t="s">
        <v>49817</v>
      </c>
      <c r="E8766" s="198">
        <v>1</v>
      </c>
      <c r="F8766" s="199" t="s">
        <v>49818</v>
      </c>
      <c r="G8766" s="1" t="s">
        <v>49819</v>
      </c>
      <c r="H8766" s="200"/>
      <c r="I8766" s="346"/>
      <c r="J8766" s="39">
        <v>107588</v>
      </c>
      <c r="K8766" s="36" t="str">
        <f>CONCATENATE(Cover!$D$6,"fdd/view?i=",J8766)</f>
        <v>https://www.dgiwg.org/FAD/fdd/view?i=107588</v>
      </c>
      <c r="L8766" s="36" t="s">
        <v>49820</v>
      </c>
      <c r="M8766" s="186"/>
      <c r="N8766" s="186"/>
      <c r="O8766" s="172"/>
    </row>
    <row r="8767" spans="1:15" ht="25.5" x14ac:dyDescent="0.2">
      <c r="A8767" s="197" t="str">
        <f t="shared" si="136"/>
        <v>SfaCode_specializedWarehouse</v>
      </c>
      <c r="B8767" s="409"/>
      <c r="C8767" s="416"/>
      <c r="D8767" s="198" t="s">
        <v>49821</v>
      </c>
      <c r="E8767" s="198">
        <v>5</v>
      </c>
      <c r="F8767" s="199" t="s">
        <v>49822</v>
      </c>
      <c r="G8767" s="1" t="s">
        <v>49823</v>
      </c>
      <c r="H8767" s="1" t="s">
        <v>49824</v>
      </c>
      <c r="I8767" s="346"/>
      <c r="J8767" s="39">
        <v>107592</v>
      </c>
      <c r="K8767" s="36" t="str">
        <f>CONCATENATE(Cover!$D$6,"fdd/view?i=",J8767)</f>
        <v>https://www.dgiwg.org/FAD/fdd/view?i=107592</v>
      </c>
      <c r="L8767" s="36" t="s">
        <v>49825</v>
      </c>
      <c r="M8767" s="186"/>
      <c r="N8767" s="186"/>
      <c r="O8767" s="172"/>
    </row>
    <row r="8768" spans="1:15" ht="25.5" x14ac:dyDescent="0.2">
      <c r="A8768" s="203" t="str">
        <f t="shared" si="136"/>
        <v>SfaCode_warehouse</v>
      </c>
      <c r="B8768" s="410"/>
      <c r="C8768" s="417"/>
      <c r="D8768" s="204" t="s">
        <v>26308</v>
      </c>
      <c r="E8768" s="204">
        <v>4</v>
      </c>
      <c r="F8768" s="205" t="s">
        <v>26309</v>
      </c>
      <c r="G8768" s="206" t="s">
        <v>49826</v>
      </c>
      <c r="H8768" s="207"/>
      <c r="I8768" s="347"/>
      <c r="J8768" s="39">
        <v>107591</v>
      </c>
      <c r="K8768" s="36" t="str">
        <f>CONCATENATE(Cover!$D$6,"fdd/view?i=",J8768)</f>
        <v>https://www.dgiwg.org/FAD/fdd/view?i=107591</v>
      </c>
      <c r="L8768" s="36" t="s">
        <v>49827</v>
      </c>
      <c r="M8768" s="186"/>
      <c r="N8768" s="186"/>
      <c r="O8768" s="172"/>
    </row>
    <row r="8769" spans="1:15" ht="25.5" x14ac:dyDescent="0.2">
      <c r="A8769" s="190" t="str">
        <f t="shared" si="136"/>
        <v>SsgCode_direction</v>
      </c>
      <c r="B8769" s="414" t="str">
        <f>HYPERLINK("[#]Datatypes!A1466:L1466","SsgCode")</f>
        <v>SsgCode</v>
      </c>
      <c r="C8769" s="415" t="s">
        <v>16092</v>
      </c>
      <c r="D8769" s="221" t="s">
        <v>49828</v>
      </c>
      <c r="E8769" s="221">
        <v>1</v>
      </c>
      <c r="F8769" s="222" t="s">
        <v>49829</v>
      </c>
      <c r="G8769" s="223" t="s">
        <v>49830</v>
      </c>
      <c r="H8769" s="223" t="s">
        <v>49831</v>
      </c>
      <c r="I8769" s="345"/>
      <c r="J8769" s="39">
        <v>118040</v>
      </c>
      <c r="K8769" s="36" t="str">
        <f>CONCATENATE(Cover!$D$6,"fdd/view?i=",J8769)</f>
        <v>https://www.dgiwg.org/FAD/fdd/view?i=118040</v>
      </c>
      <c r="L8769" s="36" t="s">
        <v>49832</v>
      </c>
      <c r="M8769" s="186"/>
      <c r="N8769" s="186"/>
      <c r="O8769" s="172"/>
    </row>
    <row r="8770" spans="1:15" ht="51" x14ac:dyDescent="0.2">
      <c r="A8770" s="197" t="str">
        <f t="shared" ref="A8770:A8833" si="137">HYPERLINK(K8770,L8770)</f>
        <v>SsgCode_electronicMessage</v>
      </c>
      <c r="B8770" s="409"/>
      <c r="C8770" s="416"/>
      <c r="D8770" s="198" t="s">
        <v>49833</v>
      </c>
      <c r="E8770" s="198">
        <v>2</v>
      </c>
      <c r="F8770" s="199" t="s">
        <v>49834</v>
      </c>
      <c r="G8770" s="1" t="s">
        <v>49835</v>
      </c>
      <c r="H8770" s="1" t="s">
        <v>49836</v>
      </c>
      <c r="I8770" s="346"/>
      <c r="J8770" s="39">
        <v>118041</v>
      </c>
      <c r="K8770" s="36" t="str">
        <f>CONCATENATE(Cover!$D$6,"fdd/view?i=",J8770)</f>
        <v>https://www.dgiwg.org/FAD/fdd/view?i=118041</v>
      </c>
      <c r="L8770" s="36" t="s">
        <v>49837</v>
      </c>
      <c r="M8770" s="186"/>
      <c r="N8770" s="186"/>
      <c r="O8770" s="172"/>
    </row>
    <row r="8771" spans="1:15" ht="38.25" x14ac:dyDescent="0.2">
      <c r="A8771" s="197" t="str">
        <f t="shared" si="137"/>
        <v>SsgCode_generalInformation</v>
      </c>
      <c r="B8771" s="409"/>
      <c r="C8771" s="416"/>
      <c r="D8771" s="198" t="s">
        <v>49838</v>
      </c>
      <c r="E8771" s="198">
        <v>3</v>
      </c>
      <c r="F8771" s="199" t="s">
        <v>49839</v>
      </c>
      <c r="G8771" s="1" t="s">
        <v>49840</v>
      </c>
      <c r="H8771" s="1" t="s">
        <v>49841</v>
      </c>
      <c r="I8771" s="346"/>
      <c r="J8771" s="39">
        <v>118042</v>
      </c>
      <c r="K8771" s="36" t="str">
        <f>CONCATENATE(Cover!$D$6,"fdd/view?i=",J8771)</f>
        <v>https://www.dgiwg.org/FAD/fdd/view?i=118042</v>
      </c>
      <c r="L8771" s="36" t="s">
        <v>49842</v>
      </c>
      <c r="M8771" s="186"/>
      <c r="N8771" s="186"/>
      <c r="O8771" s="172"/>
    </row>
    <row r="8772" spans="1:15" ht="76.5" x14ac:dyDescent="0.2">
      <c r="A8772" s="197" t="str">
        <f t="shared" si="137"/>
        <v>SsgCode_mandatoryRegulation</v>
      </c>
      <c r="B8772" s="409"/>
      <c r="C8772" s="416"/>
      <c r="D8772" s="198" t="s">
        <v>49843</v>
      </c>
      <c r="E8772" s="198">
        <v>4</v>
      </c>
      <c r="F8772" s="199" t="s">
        <v>49844</v>
      </c>
      <c r="G8772" s="1" t="s">
        <v>49845</v>
      </c>
      <c r="H8772" s="1" t="s">
        <v>49846</v>
      </c>
      <c r="I8772" s="346"/>
      <c r="J8772" s="39">
        <v>118043</v>
      </c>
      <c r="K8772" s="36" t="str">
        <f>CONCATENATE(Cover!$D$6,"fdd/view?i=",J8772)</f>
        <v>https://www.dgiwg.org/FAD/fdd/view?i=118043</v>
      </c>
      <c r="L8772" s="36" t="s">
        <v>49847</v>
      </c>
      <c r="M8772" s="186"/>
      <c r="N8772" s="186"/>
      <c r="O8772" s="172"/>
    </row>
    <row r="8773" spans="1:15" ht="25.5" x14ac:dyDescent="0.2">
      <c r="A8773" s="197" t="str">
        <f t="shared" si="137"/>
        <v>SsgCode_placeIdentification</v>
      </c>
      <c r="B8773" s="409"/>
      <c r="C8773" s="416"/>
      <c r="D8773" s="198" t="s">
        <v>49848</v>
      </c>
      <c r="E8773" s="198">
        <v>5</v>
      </c>
      <c r="F8773" s="199" t="s">
        <v>49849</v>
      </c>
      <c r="G8773" s="1" t="s">
        <v>49850</v>
      </c>
      <c r="H8773" s="1" t="s">
        <v>49851</v>
      </c>
      <c r="I8773" s="346"/>
      <c r="J8773" s="39">
        <v>118044</v>
      </c>
      <c r="K8773" s="36" t="str">
        <f>CONCATENATE(Cover!$D$6,"fdd/view?i=",J8773)</f>
        <v>https://www.dgiwg.org/FAD/fdd/view?i=118044</v>
      </c>
      <c r="L8773" s="36" t="s">
        <v>49852</v>
      </c>
      <c r="M8773" s="186"/>
      <c r="N8773" s="186"/>
      <c r="O8773" s="172"/>
    </row>
    <row r="8774" spans="1:15" ht="38.25" x14ac:dyDescent="0.2">
      <c r="A8774" s="197" t="str">
        <f t="shared" si="137"/>
        <v>SsgCode_prohibitedRestrictedActivity</v>
      </c>
      <c r="B8774" s="409"/>
      <c r="C8774" s="416"/>
      <c r="D8774" s="198" t="s">
        <v>49853</v>
      </c>
      <c r="E8774" s="198">
        <v>6</v>
      </c>
      <c r="F8774" s="199" t="s">
        <v>49854</v>
      </c>
      <c r="G8774" s="1" t="s">
        <v>49855</v>
      </c>
      <c r="H8774" s="1" t="s">
        <v>49856</v>
      </c>
      <c r="I8774" s="346"/>
      <c r="J8774" s="39">
        <v>118045</v>
      </c>
      <c r="K8774" s="36" t="str">
        <f>CONCATENATE(Cover!$D$6,"fdd/view?i=",J8774)</f>
        <v>https://www.dgiwg.org/FAD/fdd/view?i=118045</v>
      </c>
      <c r="L8774" s="36" t="s">
        <v>49857</v>
      </c>
      <c r="M8774" s="186"/>
      <c r="N8774" s="186"/>
      <c r="O8774" s="172"/>
    </row>
    <row r="8775" spans="1:15" ht="25.5" x14ac:dyDescent="0.2">
      <c r="A8775" s="197" t="str">
        <f t="shared" si="137"/>
        <v>SsgCode_roadIdentification</v>
      </c>
      <c r="B8775" s="409"/>
      <c r="C8775" s="416"/>
      <c r="D8775" s="198" t="s">
        <v>49858</v>
      </c>
      <c r="E8775" s="198">
        <v>7</v>
      </c>
      <c r="F8775" s="199" t="s">
        <v>49859</v>
      </c>
      <c r="G8775" s="1" t="s">
        <v>49860</v>
      </c>
      <c r="H8775" s="1" t="s">
        <v>49861</v>
      </c>
      <c r="I8775" s="346"/>
      <c r="J8775" s="39">
        <v>118046</v>
      </c>
      <c r="K8775" s="36" t="str">
        <f>CONCATENATE(Cover!$D$6,"fdd/view?i=",J8775)</f>
        <v>https://www.dgiwg.org/FAD/fdd/view?i=118046</v>
      </c>
      <c r="L8775" s="36" t="s">
        <v>49862</v>
      </c>
      <c r="M8775" s="186"/>
      <c r="N8775" s="186"/>
      <c r="O8775" s="172"/>
    </row>
    <row r="8776" spans="1:15" ht="38.25" x14ac:dyDescent="0.2">
      <c r="A8776" s="197" t="str">
        <f t="shared" si="137"/>
        <v>SsgCode_routeMarker</v>
      </c>
      <c r="B8776" s="409"/>
      <c r="C8776" s="416"/>
      <c r="D8776" s="198" t="s">
        <v>49863</v>
      </c>
      <c r="E8776" s="198">
        <v>8</v>
      </c>
      <c r="F8776" s="199" t="s">
        <v>4787</v>
      </c>
      <c r="G8776" s="1" t="s">
        <v>49864</v>
      </c>
      <c r="H8776" s="1" t="s">
        <v>4789</v>
      </c>
      <c r="I8776" s="346"/>
      <c r="J8776" s="39">
        <v>118047</v>
      </c>
      <c r="K8776" s="36" t="str">
        <f>CONCATENATE(Cover!$D$6,"fdd/view?i=",J8776)</f>
        <v>https://www.dgiwg.org/FAD/fdd/view?i=118047</v>
      </c>
      <c r="L8776" s="36" t="s">
        <v>49865</v>
      </c>
      <c r="M8776" s="186"/>
      <c r="N8776" s="186"/>
      <c r="O8776" s="172"/>
    </row>
    <row r="8777" spans="1:15" ht="25.5" x14ac:dyDescent="0.2">
      <c r="A8777" s="197" t="str">
        <f t="shared" si="137"/>
        <v>SsgCode_trafficControl</v>
      </c>
      <c r="B8777" s="409"/>
      <c r="C8777" s="416"/>
      <c r="D8777" s="198" t="s">
        <v>49866</v>
      </c>
      <c r="E8777" s="198">
        <v>9</v>
      </c>
      <c r="F8777" s="199" t="s">
        <v>49867</v>
      </c>
      <c r="G8777" s="1" t="s">
        <v>49868</v>
      </c>
      <c r="H8777" s="1" t="s">
        <v>49869</v>
      </c>
      <c r="I8777" s="346"/>
      <c r="J8777" s="39">
        <v>118048</v>
      </c>
      <c r="K8777" s="36" t="str">
        <f>CONCATENATE(Cover!$D$6,"fdd/view?i=",J8777)</f>
        <v>https://www.dgiwg.org/FAD/fdd/view?i=118048</v>
      </c>
      <c r="L8777" s="36" t="s">
        <v>49870</v>
      </c>
      <c r="M8777" s="186"/>
      <c r="N8777" s="186"/>
      <c r="O8777" s="172"/>
    </row>
    <row r="8778" spans="1:15" ht="102" x14ac:dyDescent="0.2">
      <c r="A8778" s="203" t="str">
        <f t="shared" si="137"/>
        <v>SsgCode_warning</v>
      </c>
      <c r="B8778" s="410"/>
      <c r="C8778" s="417"/>
      <c r="D8778" s="204" t="s">
        <v>49871</v>
      </c>
      <c r="E8778" s="204">
        <v>10</v>
      </c>
      <c r="F8778" s="205" t="s">
        <v>49872</v>
      </c>
      <c r="G8778" s="206" t="s">
        <v>49873</v>
      </c>
      <c r="H8778" s="206" t="s">
        <v>49874</v>
      </c>
      <c r="I8778" s="347"/>
      <c r="J8778" s="39">
        <v>118049</v>
      </c>
      <c r="K8778" s="36" t="str">
        <f>CONCATENATE(Cover!$D$6,"fdd/view?i=",J8778)</f>
        <v>https://www.dgiwg.org/FAD/fdd/view?i=118049</v>
      </c>
      <c r="L8778" s="36" t="s">
        <v>49875</v>
      </c>
      <c r="M8778" s="186"/>
      <c r="N8778" s="186"/>
      <c r="O8778" s="172"/>
    </row>
    <row r="8779" spans="1:15" ht="38.25" x14ac:dyDescent="0.2">
      <c r="A8779" s="190" t="str">
        <f t="shared" si="137"/>
        <v>MccCode_adobeBrick</v>
      </c>
      <c r="B8779" s="414" t="str">
        <f>HYPERLINK("[#]Datatypes!A1468:L1468","MccCode")</f>
        <v>MccCode</v>
      </c>
      <c r="C8779" s="415" t="s">
        <v>16094</v>
      </c>
      <c r="D8779" s="221" t="s">
        <v>49876</v>
      </c>
      <c r="E8779" s="221">
        <v>149</v>
      </c>
      <c r="F8779" s="222" t="s">
        <v>49877</v>
      </c>
      <c r="G8779" s="223" t="s">
        <v>49878</v>
      </c>
      <c r="H8779" s="223" t="s">
        <v>49879</v>
      </c>
      <c r="I8779" s="345"/>
      <c r="J8779" s="39">
        <v>112754</v>
      </c>
      <c r="K8779" s="36" t="str">
        <f>CONCATENATE(Cover!$D$6,"fdd/view?i=",J8779)</f>
        <v>https://www.dgiwg.org/FAD/fdd/view?i=112754</v>
      </c>
      <c r="L8779" s="36" t="s">
        <v>49880</v>
      </c>
      <c r="M8779" s="186"/>
      <c r="N8779" s="186"/>
      <c r="O8779" s="172"/>
    </row>
    <row r="8780" spans="1:15" ht="25.5" x14ac:dyDescent="0.2">
      <c r="A8780" s="197" t="str">
        <f t="shared" si="137"/>
        <v>MccCode_aluminum</v>
      </c>
      <c r="B8780" s="409"/>
      <c r="C8780" s="416"/>
      <c r="D8780" s="198" t="s">
        <v>25660</v>
      </c>
      <c r="E8780" s="198">
        <v>2</v>
      </c>
      <c r="F8780" s="199" t="s">
        <v>43276</v>
      </c>
      <c r="G8780" s="1" t="s">
        <v>43277</v>
      </c>
      <c r="H8780" s="200"/>
      <c r="I8780" s="346"/>
      <c r="J8780" s="39">
        <v>105322</v>
      </c>
      <c r="K8780" s="36" t="str">
        <f>CONCATENATE(Cover!$D$6,"fdd/view?i=",J8780)</f>
        <v>https://www.dgiwg.org/FAD/fdd/view?i=105322</v>
      </c>
      <c r="L8780" s="36" t="s">
        <v>49881</v>
      </c>
      <c r="M8780" s="186"/>
      <c r="N8780" s="186"/>
      <c r="O8780" s="172"/>
    </row>
    <row r="8781" spans="1:15" ht="25.5" x14ac:dyDescent="0.2">
      <c r="A8781" s="197" t="str">
        <f t="shared" si="137"/>
        <v>MccCode_ash</v>
      </c>
      <c r="B8781" s="409"/>
      <c r="C8781" s="416"/>
      <c r="D8781" s="198" t="s">
        <v>25254</v>
      </c>
      <c r="E8781" s="198">
        <v>4</v>
      </c>
      <c r="F8781" s="199" t="s">
        <v>25255</v>
      </c>
      <c r="G8781" s="1" t="s">
        <v>25256</v>
      </c>
      <c r="H8781" s="200"/>
      <c r="I8781" s="346"/>
      <c r="J8781" s="39">
        <v>105324</v>
      </c>
      <c r="K8781" s="36" t="str">
        <f>CONCATENATE(Cover!$D$6,"fdd/view?i=",J8781)</f>
        <v>https://www.dgiwg.org/FAD/fdd/view?i=105324</v>
      </c>
      <c r="L8781" s="36" t="s">
        <v>49882</v>
      </c>
      <c r="M8781" s="186"/>
      <c r="N8781" s="186"/>
      <c r="O8781" s="172"/>
    </row>
    <row r="8782" spans="1:15" ht="25.5" x14ac:dyDescent="0.2">
      <c r="A8782" s="197" t="str">
        <f t="shared" si="137"/>
        <v>MccCode_asphalt</v>
      </c>
      <c r="B8782" s="409"/>
      <c r="C8782" s="416"/>
      <c r="D8782" s="198" t="s">
        <v>19519</v>
      </c>
      <c r="E8782" s="198">
        <v>5</v>
      </c>
      <c r="F8782" s="199" t="s">
        <v>19520</v>
      </c>
      <c r="G8782" s="1" t="s">
        <v>43284</v>
      </c>
      <c r="H8782" s="200"/>
      <c r="I8782" s="346"/>
      <c r="J8782" s="39">
        <v>105325</v>
      </c>
      <c r="K8782" s="36" t="str">
        <f>CONCATENATE(Cover!$D$6,"fdd/view?i=",J8782)</f>
        <v>https://www.dgiwg.org/FAD/fdd/view?i=105325</v>
      </c>
      <c r="L8782" s="36" t="s">
        <v>49883</v>
      </c>
      <c r="M8782" s="186"/>
      <c r="N8782" s="186"/>
      <c r="O8782" s="172"/>
    </row>
    <row r="8783" spans="1:15" ht="38.25" x14ac:dyDescent="0.2">
      <c r="A8783" s="197" t="str">
        <f t="shared" si="137"/>
        <v>MccCode_basalt</v>
      </c>
      <c r="B8783" s="409"/>
      <c r="C8783" s="416"/>
      <c r="D8783" s="198" t="s">
        <v>22299</v>
      </c>
      <c r="E8783" s="198">
        <v>6</v>
      </c>
      <c r="F8783" s="199" t="s">
        <v>22300</v>
      </c>
      <c r="G8783" s="1" t="s">
        <v>44407</v>
      </c>
      <c r="H8783" s="200"/>
      <c r="I8783" s="346"/>
      <c r="J8783" s="39">
        <v>105326</v>
      </c>
      <c r="K8783" s="36" t="str">
        <f>CONCATENATE(Cover!$D$6,"fdd/view?i=",J8783)</f>
        <v>https://www.dgiwg.org/FAD/fdd/view?i=105326</v>
      </c>
      <c r="L8783" s="36" t="s">
        <v>49884</v>
      </c>
      <c r="M8783" s="186"/>
      <c r="N8783" s="186"/>
      <c r="O8783" s="172"/>
    </row>
    <row r="8784" spans="1:15" ht="38.25" x14ac:dyDescent="0.2">
      <c r="A8784" s="197" t="str">
        <f t="shared" si="137"/>
        <v>MccCode_bedrock</v>
      </c>
      <c r="B8784" s="409"/>
      <c r="C8784" s="416"/>
      <c r="D8784" s="198" t="s">
        <v>24141</v>
      </c>
      <c r="E8784" s="198">
        <v>7</v>
      </c>
      <c r="F8784" s="199" t="s">
        <v>24142</v>
      </c>
      <c r="G8784" s="1" t="s">
        <v>24143</v>
      </c>
      <c r="H8784" s="1" t="s">
        <v>24144</v>
      </c>
      <c r="I8784" s="346"/>
      <c r="J8784" s="39">
        <v>105327</v>
      </c>
      <c r="K8784" s="36" t="str">
        <f>CONCATENATE(Cover!$D$6,"fdd/view?i=",J8784)</f>
        <v>https://www.dgiwg.org/FAD/fdd/view?i=105327</v>
      </c>
      <c r="L8784" s="36" t="s">
        <v>49885</v>
      </c>
      <c r="M8784" s="186"/>
      <c r="N8784" s="186"/>
      <c r="O8784" s="172"/>
    </row>
    <row r="8785" spans="1:15" x14ac:dyDescent="0.2">
      <c r="A8785" s="197" t="str">
        <f t="shared" si="137"/>
        <v>MccCode_boulders</v>
      </c>
      <c r="B8785" s="409"/>
      <c r="C8785" s="416"/>
      <c r="D8785" s="198" t="s">
        <v>22303</v>
      </c>
      <c r="E8785" s="198">
        <v>8</v>
      </c>
      <c r="F8785" s="199" t="s">
        <v>22304</v>
      </c>
      <c r="G8785" s="1" t="s">
        <v>24180</v>
      </c>
      <c r="H8785" s="200"/>
      <c r="I8785" s="346"/>
      <c r="J8785" s="39">
        <v>105328</v>
      </c>
      <c r="K8785" s="36" t="str">
        <f>CONCATENATE(Cover!$D$6,"fdd/view?i=",J8785)</f>
        <v>https://www.dgiwg.org/FAD/fdd/view?i=105328</v>
      </c>
      <c r="L8785" s="36" t="s">
        <v>49886</v>
      </c>
      <c r="M8785" s="186"/>
      <c r="N8785" s="186"/>
      <c r="O8785" s="172"/>
    </row>
    <row r="8786" spans="1:15" ht="38.25" x14ac:dyDescent="0.2">
      <c r="A8786" s="197" t="str">
        <f t="shared" si="137"/>
        <v>MccCode_breccia</v>
      </c>
      <c r="B8786" s="409"/>
      <c r="C8786" s="416"/>
      <c r="D8786" s="198" t="s">
        <v>43309</v>
      </c>
      <c r="E8786" s="198">
        <v>127</v>
      </c>
      <c r="F8786" s="199" t="s">
        <v>43310</v>
      </c>
      <c r="G8786" s="1" t="s">
        <v>43312</v>
      </c>
      <c r="H8786" s="200"/>
      <c r="I8786" s="346"/>
      <c r="J8786" s="39">
        <v>105446</v>
      </c>
      <c r="K8786" s="36" t="str">
        <f>CONCATENATE(Cover!$D$6,"fdd/view?i=",J8786)</f>
        <v>https://www.dgiwg.org/FAD/fdd/view?i=105446</v>
      </c>
      <c r="L8786" s="36" t="s">
        <v>49887</v>
      </c>
      <c r="M8786" s="186"/>
      <c r="N8786" s="186"/>
      <c r="O8786" s="172"/>
    </row>
    <row r="8787" spans="1:15" ht="25.5" x14ac:dyDescent="0.2">
      <c r="A8787" s="197" t="str">
        <f t="shared" si="137"/>
        <v>MccCode_brick</v>
      </c>
      <c r="B8787" s="409"/>
      <c r="C8787" s="416"/>
      <c r="D8787" s="198" t="s">
        <v>19533</v>
      </c>
      <c r="E8787" s="198">
        <v>9</v>
      </c>
      <c r="F8787" s="199" t="s">
        <v>19534</v>
      </c>
      <c r="G8787" s="1" t="s">
        <v>43314</v>
      </c>
      <c r="H8787" s="200"/>
      <c r="I8787" s="346"/>
      <c r="J8787" s="39">
        <v>105329</v>
      </c>
      <c r="K8787" s="36" t="str">
        <f>CONCATENATE(Cover!$D$6,"fdd/view?i=",J8787)</f>
        <v>https://www.dgiwg.org/FAD/fdd/view?i=105329</v>
      </c>
      <c r="L8787" s="36" t="s">
        <v>49888</v>
      </c>
      <c r="M8787" s="186"/>
      <c r="N8787" s="186"/>
      <c r="O8787" s="172"/>
    </row>
    <row r="8788" spans="1:15" ht="25.5" x14ac:dyDescent="0.2">
      <c r="A8788" s="197" t="str">
        <f t="shared" si="137"/>
        <v>MccCode_calcareous</v>
      </c>
      <c r="B8788" s="409"/>
      <c r="C8788" s="416"/>
      <c r="D8788" s="198" t="s">
        <v>43153</v>
      </c>
      <c r="E8788" s="198">
        <v>10</v>
      </c>
      <c r="F8788" s="199" t="s">
        <v>43154</v>
      </c>
      <c r="G8788" s="1" t="s">
        <v>43321</v>
      </c>
      <c r="H8788" s="200"/>
      <c r="I8788" s="346"/>
      <c r="J8788" s="39">
        <v>105330</v>
      </c>
      <c r="K8788" s="36" t="str">
        <f>CONCATENATE(Cover!$D$6,"fdd/view?i=",J8788)</f>
        <v>https://www.dgiwg.org/FAD/fdd/view?i=105330</v>
      </c>
      <c r="L8788" s="36" t="s">
        <v>49889</v>
      </c>
      <c r="M8788" s="186"/>
      <c r="N8788" s="186"/>
      <c r="O8788" s="172"/>
    </row>
    <row r="8789" spans="1:15" ht="25.5" x14ac:dyDescent="0.2">
      <c r="A8789" s="197" t="str">
        <f t="shared" si="137"/>
        <v>MccCode_ceramic</v>
      </c>
      <c r="B8789" s="409"/>
      <c r="C8789" s="416"/>
      <c r="D8789" s="198" t="s">
        <v>46712</v>
      </c>
      <c r="E8789" s="198">
        <v>131</v>
      </c>
      <c r="F8789" s="199" t="s">
        <v>46713</v>
      </c>
      <c r="G8789" s="1" t="s">
        <v>46714</v>
      </c>
      <c r="H8789" s="1" t="s">
        <v>46715</v>
      </c>
      <c r="I8789" s="346"/>
      <c r="J8789" s="39">
        <v>105450</v>
      </c>
      <c r="K8789" s="36" t="str">
        <f>CONCATENATE(Cover!$D$6,"fdd/view?i=",J8789)</f>
        <v>https://www.dgiwg.org/FAD/fdd/view?i=105450</v>
      </c>
      <c r="L8789" s="36" t="s">
        <v>49890</v>
      </c>
      <c r="M8789" s="186"/>
      <c r="N8789" s="186"/>
      <c r="O8789" s="172"/>
    </row>
    <row r="8790" spans="1:15" ht="38.25" x14ac:dyDescent="0.2">
      <c r="A8790" s="197" t="str">
        <f t="shared" si="137"/>
        <v>MccCode_chalk</v>
      </c>
      <c r="B8790" s="409"/>
      <c r="C8790" s="416"/>
      <c r="D8790" s="198" t="s">
        <v>43328</v>
      </c>
      <c r="E8790" s="198">
        <v>12</v>
      </c>
      <c r="F8790" s="199" t="s">
        <v>43329</v>
      </c>
      <c r="G8790" s="1" t="s">
        <v>43330</v>
      </c>
      <c r="H8790" s="200"/>
      <c r="I8790" s="346"/>
      <c r="J8790" s="39">
        <v>105332</v>
      </c>
      <c r="K8790" s="36" t="str">
        <f>CONCATENATE(Cover!$D$6,"fdd/view?i=",J8790)</f>
        <v>https://www.dgiwg.org/FAD/fdd/view?i=105332</v>
      </c>
      <c r="L8790" s="36" t="s">
        <v>49891</v>
      </c>
      <c r="M8790" s="186"/>
      <c r="N8790" s="186"/>
      <c r="O8790" s="172"/>
    </row>
    <row r="8791" spans="1:15" ht="25.5" x14ac:dyDescent="0.2">
      <c r="A8791" s="197" t="str">
        <f t="shared" si="137"/>
        <v>MccCode_cinders</v>
      </c>
      <c r="B8791" s="409"/>
      <c r="C8791" s="416"/>
      <c r="D8791" s="198" t="s">
        <v>25258</v>
      </c>
      <c r="E8791" s="198">
        <v>14</v>
      </c>
      <c r="F8791" s="199" t="s">
        <v>25259</v>
      </c>
      <c r="G8791" s="1" t="s">
        <v>25260</v>
      </c>
      <c r="H8791" s="200"/>
      <c r="I8791" s="346"/>
      <c r="J8791" s="39">
        <v>105334</v>
      </c>
      <c r="K8791" s="36" t="str">
        <f>CONCATENATE(Cover!$D$6,"fdd/view?i=",J8791)</f>
        <v>https://www.dgiwg.org/FAD/fdd/view?i=105334</v>
      </c>
      <c r="L8791" s="36" t="s">
        <v>49892</v>
      </c>
      <c r="M8791" s="186"/>
      <c r="N8791" s="186"/>
      <c r="O8791" s="172"/>
    </row>
    <row r="8792" spans="1:15" ht="38.25" x14ac:dyDescent="0.2">
      <c r="A8792" s="197" t="str">
        <f t="shared" si="137"/>
        <v>MccCode_cirripedia</v>
      </c>
      <c r="B8792" s="409"/>
      <c r="C8792" s="416"/>
      <c r="D8792" s="198" t="s">
        <v>46719</v>
      </c>
      <c r="E8792" s="198">
        <v>15</v>
      </c>
      <c r="F8792" s="199" t="s">
        <v>46720</v>
      </c>
      <c r="G8792" s="1" t="s">
        <v>46721</v>
      </c>
      <c r="H8792" s="1" t="s">
        <v>46722</v>
      </c>
      <c r="I8792" s="346"/>
      <c r="J8792" s="39">
        <v>105335</v>
      </c>
      <c r="K8792" s="36" t="str">
        <f>CONCATENATE(Cover!$D$6,"fdd/view?i=",J8792)</f>
        <v>https://www.dgiwg.org/FAD/fdd/view?i=105335</v>
      </c>
      <c r="L8792" s="36" t="s">
        <v>49893</v>
      </c>
      <c r="M8792" s="186"/>
      <c r="N8792" s="186"/>
      <c r="O8792" s="172"/>
    </row>
    <row r="8793" spans="1:15" ht="38.25" x14ac:dyDescent="0.2">
      <c r="A8793" s="197" t="str">
        <f t="shared" si="137"/>
        <v>MccCode_clay</v>
      </c>
      <c r="B8793" s="409"/>
      <c r="C8793" s="416"/>
      <c r="D8793" s="198" t="s">
        <v>19537</v>
      </c>
      <c r="E8793" s="198">
        <v>16</v>
      </c>
      <c r="F8793" s="199" t="s">
        <v>19538</v>
      </c>
      <c r="G8793" s="1" t="s">
        <v>43343</v>
      </c>
      <c r="H8793" s="1" t="s">
        <v>43344</v>
      </c>
      <c r="I8793" s="346"/>
      <c r="J8793" s="39">
        <v>105336</v>
      </c>
      <c r="K8793" s="36" t="str">
        <f>CONCATENATE(Cover!$D$6,"fdd/view?i=",J8793)</f>
        <v>https://www.dgiwg.org/FAD/fdd/view?i=105336</v>
      </c>
      <c r="L8793" s="36" t="s">
        <v>49894</v>
      </c>
      <c r="M8793" s="186"/>
      <c r="N8793" s="186"/>
      <c r="O8793" s="172"/>
    </row>
    <row r="8794" spans="1:15" ht="38.25" x14ac:dyDescent="0.2">
      <c r="A8794" s="197" t="str">
        <f t="shared" si="137"/>
        <v>MccCode_clayAndSilt</v>
      </c>
      <c r="B8794" s="409"/>
      <c r="C8794" s="416"/>
      <c r="D8794" s="198" t="s">
        <v>49895</v>
      </c>
      <c r="E8794" s="198">
        <v>140</v>
      </c>
      <c r="F8794" s="199" t="s">
        <v>24147</v>
      </c>
      <c r="G8794" s="1" t="s">
        <v>24148</v>
      </c>
      <c r="H8794" s="200"/>
      <c r="I8794" s="346"/>
      <c r="J8794" s="39">
        <v>110251</v>
      </c>
      <c r="K8794" s="36" t="str">
        <f>CONCATENATE(Cover!$D$6,"fdd/view?i=",J8794)</f>
        <v>https://www.dgiwg.org/FAD/fdd/view?i=110251</v>
      </c>
      <c r="L8794" s="36" t="s">
        <v>49896</v>
      </c>
      <c r="M8794" s="186"/>
      <c r="N8794" s="186"/>
      <c r="O8794" s="172"/>
    </row>
    <row r="8795" spans="1:15" ht="25.5" x14ac:dyDescent="0.2">
      <c r="A8795" s="197" t="str">
        <f t="shared" si="137"/>
        <v>MccCode_coal</v>
      </c>
      <c r="B8795" s="409"/>
      <c r="C8795" s="416"/>
      <c r="D8795" s="198" t="s">
        <v>22914</v>
      </c>
      <c r="E8795" s="198">
        <v>17</v>
      </c>
      <c r="F8795" s="199" t="s">
        <v>22915</v>
      </c>
      <c r="G8795" s="1" t="s">
        <v>22916</v>
      </c>
      <c r="H8795" s="1" t="s">
        <v>22917</v>
      </c>
      <c r="I8795" s="346"/>
      <c r="J8795" s="39">
        <v>105337</v>
      </c>
      <c r="K8795" s="36" t="str">
        <f>CONCATENATE(Cover!$D$6,"fdd/view?i=",J8795)</f>
        <v>https://www.dgiwg.org/FAD/fdd/view?i=105337</v>
      </c>
      <c r="L8795" s="36" t="s">
        <v>49897</v>
      </c>
      <c r="M8795" s="186"/>
      <c r="N8795" s="186"/>
      <c r="O8795" s="172"/>
    </row>
    <row r="8796" spans="1:15" x14ac:dyDescent="0.2">
      <c r="A8796" s="197" t="str">
        <f t="shared" si="137"/>
        <v>MccCode_cobbles</v>
      </c>
      <c r="B8796" s="409"/>
      <c r="C8796" s="416"/>
      <c r="D8796" s="198" t="s">
        <v>43358</v>
      </c>
      <c r="E8796" s="198">
        <v>18</v>
      </c>
      <c r="F8796" s="199" t="s">
        <v>43359</v>
      </c>
      <c r="G8796" s="1" t="s">
        <v>43360</v>
      </c>
      <c r="H8796" s="200"/>
      <c r="I8796" s="351" t="s">
        <v>43361</v>
      </c>
      <c r="J8796" s="39">
        <v>105338</v>
      </c>
      <c r="K8796" s="36" t="str">
        <f>CONCATENATE(Cover!$D$6,"fdd/view?i=",J8796)</f>
        <v>https://www.dgiwg.org/FAD/fdd/view?i=105338</v>
      </c>
      <c r="L8796" s="36" t="s">
        <v>49898</v>
      </c>
      <c r="M8796" s="186"/>
      <c r="N8796" s="186"/>
      <c r="O8796" s="172"/>
    </row>
    <row r="8797" spans="1:15" x14ac:dyDescent="0.2">
      <c r="A8797" s="197" t="str">
        <f t="shared" si="137"/>
        <v>MccCode_coke</v>
      </c>
      <c r="B8797" s="409"/>
      <c r="C8797" s="416"/>
      <c r="D8797" s="198" t="s">
        <v>43366</v>
      </c>
      <c r="E8797" s="198">
        <v>19</v>
      </c>
      <c r="F8797" s="199" t="s">
        <v>43367</v>
      </c>
      <c r="G8797" s="1" t="s">
        <v>43368</v>
      </c>
      <c r="H8797" s="200"/>
      <c r="I8797" s="346"/>
      <c r="J8797" s="39">
        <v>105339</v>
      </c>
      <c r="K8797" s="36" t="str">
        <f>CONCATENATE(Cover!$D$6,"fdd/view?i=",J8797)</f>
        <v>https://www.dgiwg.org/FAD/fdd/view?i=105339</v>
      </c>
      <c r="L8797" s="36" t="s">
        <v>49899</v>
      </c>
      <c r="M8797" s="186"/>
      <c r="N8797" s="186"/>
      <c r="O8797" s="172"/>
    </row>
    <row r="8798" spans="1:15" ht="38.25" x14ac:dyDescent="0.2">
      <c r="A8798" s="197" t="str">
        <f t="shared" si="137"/>
        <v>MccCode_composition</v>
      </c>
      <c r="B8798" s="409"/>
      <c r="C8798" s="416"/>
      <c r="D8798" s="198" t="s">
        <v>43965</v>
      </c>
      <c r="E8798" s="198">
        <v>20</v>
      </c>
      <c r="F8798" s="199" t="s">
        <v>43966</v>
      </c>
      <c r="G8798" s="1" t="s">
        <v>43967</v>
      </c>
      <c r="H8798" s="200"/>
      <c r="I8798" s="346"/>
      <c r="J8798" s="39">
        <v>105340</v>
      </c>
      <c r="K8798" s="36" t="str">
        <f>CONCATENATE(Cover!$D$6,"fdd/view?i=",J8798)</f>
        <v>https://www.dgiwg.org/FAD/fdd/view?i=105340</v>
      </c>
      <c r="L8798" s="36" t="s">
        <v>49900</v>
      </c>
      <c r="M8798" s="186"/>
      <c r="N8798" s="186"/>
      <c r="O8798" s="172"/>
    </row>
    <row r="8799" spans="1:15" ht="38.25" x14ac:dyDescent="0.2">
      <c r="A8799" s="197" t="str">
        <f t="shared" si="137"/>
        <v>MccCode_concrete</v>
      </c>
      <c r="B8799" s="409"/>
      <c r="C8799" s="416"/>
      <c r="D8799" s="198" t="s">
        <v>19541</v>
      </c>
      <c r="E8799" s="198">
        <v>21</v>
      </c>
      <c r="F8799" s="199" t="s">
        <v>19542</v>
      </c>
      <c r="G8799" s="1" t="s">
        <v>24150</v>
      </c>
      <c r="H8799" s="200"/>
      <c r="I8799" s="346"/>
      <c r="J8799" s="39">
        <v>105341</v>
      </c>
      <c r="K8799" s="36" t="str">
        <f>CONCATENATE(Cover!$D$6,"fdd/view?i=",J8799)</f>
        <v>https://www.dgiwg.org/FAD/fdd/view?i=105341</v>
      </c>
      <c r="L8799" s="36" t="s">
        <v>49901</v>
      </c>
      <c r="M8799" s="186"/>
      <c r="N8799" s="186"/>
      <c r="O8799" s="172"/>
    </row>
    <row r="8800" spans="1:15" ht="38.25" x14ac:dyDescent="0.2">
      <c r="A8800" s="197" t="str">
        <f t="shared" si="137"/>
        <v>MccCode_conglomerate</v>
      </c>
      <c r="B8800" s="409"/>
      <c r="C8800" s="416"/>
      <c r="D8800" s="198" t="s">
        <v>22310</v>
      </c>
      <c r="E8800" s="198">
        <v>22</v>
      </c>
      <c r="F8800" s="199" t="s">
        <v>22311</v>
      </c>
      <c r="G8800" s="1" t="s">
        <v>43371</v>
      </c>
      <c r="H8800" s="200"/>
      <c r="I8800" s="346"/>
      <c r="J8800" s="39">
        <v>105342</v>
      </c>
      <c r="K8800" s="36" t="str">
        <f>CONCATENATE(Cover!$D$6,"fdd/view?i=",J8800)</f>
        <v>https://www.dgiwg.org/FAD/fdd/view?i=105342</v>
      </c>
      <c r="L8800" s="36" t="s">
        <v>49902</v>
      </c>
      <c r="M8800" s="186"/>
      <c r="N8800" s="186"/>
      <c r="O8800" s="172"/>
    </row>
    <row r="8801" spans="1:15" ht="25.5" x14ac:dyDescent="0.2">
      <c r="A8801" s="197" t="str">
        <f t="shared" si="137"/>
        <v>MccCode_copper</v>
      </c>
      <c r="B8801" s="409"/>
      <c r="C8801" s="416"/>
      <c r="D8801" s="198" t="s">
        <v>25734</v>
      </c>
      <c r="E8801" s="198">
        <v>23</v>
      </c>
      <c r="F8801" s="199" t="s">
        <v>43378</v>
      </c>
      <c r="G8801" s="1" t="s">
        <v>43379</v>
      </c>
      <c r="H8801" s="1" t="s">
        <v>43380</v>
      </c>
      <c r="I8801" s="346"/>
      <c r="J8801" s="39">
        <v>105343</v>
      </c>
      <c r="K8801" s="36" t="str">
        <f>CONCATENATE(Cover!$D$6,"fdd/view?i=",J8801)</f>
        <v>https://www.dgiwg.org/FAD/fdd/view?i=105343</v>
      </c>
      <c r="L8801" s="36" t="s">
        <v>49903</v>
      </c>
      <c r="M8801" s="186"/>
      <c r="N8801" s="186"/>
      <c r="O8801" s="172"/>
    </row>
    <row r="8802" spans="1:15" ht="38.25" x14ac:dyDescent="0.2">
      <c r="A8802" s="197" t="str">
        <f t="shared" si="137"/>
        <v>MccCode_coral</v>
      </c>
      <c r="B8802" s="409"/>
      <c r="C8802" s="416"/>
      <c r="D8802" s="198" t="s">
        <v>19546</v>
      </c>
      <c r="E8802" s="198">
        <v>24</v>
      </c>
      <c r="F8802" s="199" t="s">
        <v>19547</v>
      </c>
      <c r="G8802" s="1" t="s">
        <v>24152</v>
      </c>
      <c r="H8802" s="1" t="s">
        <v>24153</v>
      </c>
      <c r="I8802" s="346"/>
      <c r="J8802" s="39">
        <v>105344</v>
      </c>
      <c r="K8802" s="36" t="str">
        <f>CONCATENATE(Cover!$D$6,"fdd/view?i=",J8802)</f>
        <v>https://www.dgiwg.org/FAD/fdd/view?i=105344</v>
      </c>
      <c r="L8802" s="36" t="s">
        <v>49904</v>
      </c>
      <c r="M8802" s="186"/>
      <c r="N8802" s="186"/>
      <c r="O8802" s="172"/>
    </row>
    <row r="8803" spans="1:15" ht="25.5" x14ac:dyDescent="0.2">
      <c r="A8803" s="197" t="str">
        <f t="shared" si="137"/>
        <v>MccCode_coralHead</v>
      </c>
      <c r="B8803" s="409"/>
      <c r="C8803" s="416"/>
      <c r="D8803" s="198" t="s">
        <v>46730</v>
      </c>
      <c r="E8803" s="198">
        <v>25</v>
      </c>
      <c r="F8803" s="199" t="s">
        <v>46731</v>
      </c>
      <c r="G8803" s="1" t="s">
        <v>46732</v>
      </c>
      <c r="H8803" s="200"/>
      <c r="I8803" s="346"/>
      <c r="J8803" s="39">
        <v>105345</v>
      </c>
      <c r="K8803" s="36" t="str">
        <f>CONCATENATE(Cover!$D$6,"fdd/view?i=",J8803)</f>
        <v>https://www.dgiwg.org/FAD/fdd/view?i=105345</v>
      </c>
      <c r="L8803" s="36" t="s">
        <v>49905</v>
      </c>
      <c r="M8803" s="186"/>
      <c r="N8803" s="186"/>
      <c r="O8803" s="172"/>
    </row>
    <row r="8804" spans="1:15" ht="25.5" x14ac:dyDescent="0.2">
      <c r="A8804" s="197" t="str">
        <f t="shared" si="137"/>
        <v>MccCode_diatomaceousEarth</v>
      </c>
      <c r="B8804" s="409"/>
      <c r="C8804" s="416"/>
      <c r="D8804" s="198" t="s">
        <v>43406</v>
      </c>
      <c r="E8804" s="198">
        <v>28</v>
      </c>
      <c r="F8804" s="199" t="s">
        <v>43407</v>
      </c>
      <c r="G8804" s="1" t="s">
        <v>43408</v>
      </c>
      <c r="H8804" s="1" t="s">
        <v>43409</v>
      </c>
      <c r="I8804" s="346"/>
      <c r="J8804" s="39">
        <v>105348</v>
      </c>
      <c r="K8804" s="36" t="str">
        <f>CONCATENATE(Cover!$D$6,"fdd/view?i=",J8804)</f>
        <v>https://www.dgiwg.org/FAD/fdd/view?i=105348</v>
      </c>
      <c r="L8804" s="36" t="s">
        <v>49906</v>
      </c>
      <c r="M8804" s="186"/>
      <c r="N8804" s="186"/>
      <c r="O8804" s="172"/>
    </row>
    <row r="8805" spans="1:15" ht="25.5" x14ac:dyDescent="0.2">
      <c r="A8805" s="197" t="str">
        <f t="shared" si="137"/>
        <v>MccCode_dolerite</v>
      </c>
      <c r="B8805" s="409"/>
      <c r="C8805" s="416"/>
      <c r="D8805" s="198" t="s">
        <v>43413</v>
      </c>
      <c r="E8805" s="198">
        <v>123</v>
      </c>
      <c r="F8805" s="199" t="s">
        <v>43414</v>
      </c>
      <c r="G8805" s="1" t="s">
        <v>44429</v>
      </c>
      <c r="H8805" s="1" t="s">
        <v>44430</v>
      </c>
      <c r="I8805" s="346"/>
      <c r="J8805" s="39">
        <v>105442</v>
      </c>
      <c r="K8805" s="36" t="str">
        <f>CONCATENATE(Cover!$D$6,"fdd/view?i=",J8805)</f>
        <v>https://www.dgiwg.org/FAD/fdd/view?i=105442</v>
      </c>
      <c r="L8805" s="36" t="s">
        <v>49907</v>
      </c>
      <c r="M8805" s="186"/>
      <c r="N8805" s="186"/>
      <c r="O8805" s="172"/>
    </row>
    <row r="8806" spans="1:15" ht="38.25" x14ac:dyDescent="0.2">
      <c r="A8806" s="197" t="str">
        <f t="shared" si="137"/>
        <v>MccCode_dolomite</v>
      </c>
      <c r="B8806" s="409"/>
      <c r="C8806" s="416"/>
      <c r="D8806" s="198" t="s">
        <v>22315</v>
      </c>
      <c r="E8806" s="198">
        <v>29</v>
      </c>
      <c r="F8806" s="199" t="s">
        <v>22316</v>
      </c>
      <c r="G8806" s="1" t="s">
        <v>43419</v>
      </c>
      <c r="H8806" s="200"/>
      <c r="I8806" s="346"/>
      <c r="J8806" s="39">
        <v>105349</v>
      </c>
      <c r="K8806" s="36" t="str">
        <f>CONCATENATE(Cover!$D$6,"fdd/view?i=",J8806)</f>
        <v>https://www.dgiwg.org/FAD/fdd/view?i=105349</v>
      </c>
      <c r="L8806" s="36" t="s">
        <v>49908</v>
      </c>
      <c r="M8806" s="186"/>
      <c r="N8806" s="186"/>
      <c r="O8806" s="172"/>
    </row>
    <row r="8807" spans="1:15" ht="25.5" x14ac:dyDescent="0.2">
      <c r="A8807" s="197" t="str">
        <f t="shared" si="137"/>
        <v>MccCode_evaporite</v>
      </c>
      <c r="B8807" s="409"/>
      <c r="C8807" s="416"/>
      <c r="D8807" s="198" t="s">
        <v>45939</v>
      </c>
      <c r="E8807" s="198">
        <v>119</v>
      </c>
      <c r="F8807" s="199" t="s">
        <v>45940</v>
      </c>
      <c r="G8807" s="1" t="s">
        <v>46737</v>
      </c>
      <c r="H8807" s="200"/>
      <c r="I8807" s="346"/>
      <c r="J8807" s="39">
        <v>105438</v>
      </c>
      <c r="K8807" s="36" t="str">
        <f>CONCATENATE(Cover!$D$6,"fdd/view?i=",J8807)</f>
        <v>https://www.dgiwg.org/FAD/fdd/view?i=105438</v>
      </c>
      <c r="L8807" s="36" t="s">
        <v>49909</v>
      </c>
      <c r="M8807" s="186"/>
      <c r="N8807" s="186"/>
      <c r="O8807" s="172"/>
    </row>
    <row r="8808" spans="1:15" ht="38.25" x14ac:dyDescent="0.2">
      <c r="A8808" s="197" t="str">
        <f t="shared" si="137"/>
        <v>MccCode_ferrocement</v>
      </c>
      <c r="B8808" s="409"/>
      <c r="C8808" s="416"/>
      <c r="D8808" s="198" t="s">
        <v>49910</v>
      </c>
      <c r="E8808" s="198">
        <v>156</v>
      </c>
      <c r="F8808" s="199" t="s">
        <v>49911</v>
      </c>
      <c r="G8808" s="1" t="s">
        <v>49912</v>
      </c>
      <c r="H8808" s="1" t="s">
        <v>49913</v>
      </c>
      <c r="I8808" s="346"/>
      <c r="J8808" s="39">
        <v>112761</v>
      </c>
      <c r="K8808" s="36" t="str">
        <f>CONCATENATE(Cover!$D$6,"fdd/view?i=",J8808)</f>
        <v>https://www.dgiwg.org/FAD/fdd/view?i=112761</v>
      </c>
      <c r="L8808" s="36" t="s">
        <v>49914</v>
      </c>
      <c r="M8808" s="186"/>
      <c r="N8808" s="186"/>
      <c r="O8808" s="172"/>
    </row>
    <row r="8809" spans="1:15" ht="38.25" x14ac:dyDescent="0.2">
      <c r="A8809" s="197" t="str">
        <f t="shared" si="137"/>
        <v>MccCode_fibreglass</v>
      </c>
      <c r="B8809" s="409"/>
      <c r="C8809" s="416"/>
      <c r="D8809" s="198" t="s">
        <v>43970</v>
      </c>
      <c r="E8809" s="198">
        <v>152</v>
      </c>
      <c r="F8809" s="199" t="s">
        <v>43971</v>
      </c>
      <c r="G8809" s="1" t="s">
        <v>43972</v>
      </c>
      <c r="H8809" s="200"/>
      <c r="I8809" s="346"/>
      <c r="J8809" s="39">
        <v>112757</v>
      </c>
      <c r="K8809" s="36" t="str">
        <f>CONCATENATE(Cover!$D$6,"fdd/view?i=",J8809)</f>
        <v>https://www.dgiwg.org/FAD/fdd/view?i=112757</v>
      </c>
      <c r="L8809" s="36" t="s">
        <v>49915</v>
      </c>
      <c r="M8809" s="186"/>
      <c r="N8809" s="186"/>
      <c r="O8809" s="172"/>
    </row>
    <row r="8810" spans="1:15" ht="25.5" x14ac:dyDescent="0.2">
      <c r="A8810" s="197" t="str">
        <f t="shared" si="137"/>
        <v>MccCode_fibreOptic</v>
      </c>
      <c r="B8810" s="409"/>
      <c r="C8810" s="416"/>
      <c r="D8810" s="198" t="s">
        <v>25369</v>
      </c>
      <c r="E8810" s="198">
        <v>155</v>
      </c>
      <c r="F8810" s="199" t="s">
        <v>25370</v>
      </c>
      <c r="G8810" s="1" t="s">
        <v>49916</v>
      </c>
      <c r="H8810" s="200"/>
      <c r="I8810" s="346"/>
      <c r="J8810" s="39">
        <v>112760</v>
      </c>
      <c r="K8810" s="36" t="str">
        <f>CONCATENATE(Cover!$D$6,"fdd/view?i=",J8810)</f>
        <v>https://www.dgiwg.org/FAD/fdd/view?i=112760</v>
      </c>
      <c r="L8810" s="36" t="s">
        <v>49917</v>
      </c>
      <c r="M8810" s="186"/>
      <c r="N8810" s="186"/>
      <c r="O8810" s="172"/>
    </row>
    <row r="8811" spans="1:15" ht="38.25" x14ac:dyDescent="0.2">
      <c r="A8811" s="197" t="str">
        <f t="shared" si="137"/>
        <v>MccCode_flysch</v>
      </c>
      <c r="B8811" s="409"/>
      <c r="C8811" s="416"/>
      <c r="D8811" s="198" t="s">
        <v>46739</v>
      </c>
      <c r="E8811" s="198">
        <v>34</v>
      </c>
      <c r="F8811" s="199" t="s">
        <v>46740</v>
      </c>
      <c r="G8811" s="1" t="s">
        <v>46741</v>
      </c>
      <c r="H8811" s="200"/>
      <c r="I8811" s="346"/>
      <c r="J8811" s="39">
        <v>105354</v>
      </c>
      <c r="K8811" s="36" t="str">
        <f>CONCATENATE(Cover!$D$6,"fdd/view?i=",J8811)</f>
        <v>https://www.dgiwg.org/FAD/fdd/view?i=105354</v>
      </c>
      <c r="L8811" s="36" t="s">
        <v>49918</v>
      </c>
      <c r="M8811" s="186"/>
      <c r="N8811" s="186"/>
      <c r="O8811" s="172"/>
    </row>
    <row r="8812" spans="1:15" ht="51" x14ac:dyDescent="0.2">
      <c r="A8812" s="197" t="str">
        <f t="shared" si="137"/>
        <v>MccCode_foraminifera</v>
      </c>
      <c r="B8812" s="409"/>
      <c r="C8812" s="416"/>
      <c r="D8812" s="198" t="s">
        <v>44434</v>
      </c>
      <c r="E8812" s="198">
        <v>36</v>
      </c>
      <c r="F8812" s="199" t="s">
        <v>44435</v>
      </c>
      <c r="G8812" s="1" t="s">
        <v>44436</v>
      </c>
      <c r="H8812" s="200"/>
      <c r="I8812" s="346"/>
      <c r="J8812" s="39">
        <v>105356</v>
      </c>
      <c r="K8812" s="36" t="str">
        <f>CONCATENATE(Cover!$D$6,"fdd/view?i=",J8812)</f>
        <v>https://www.dgiwg.org/FAD/fdd/view?i=105356</v>
      </c>
      <c r="L8812" s="36" t="s">
        <v>49919</v>
      </c>
      <c r="M8812" s="186"/>
      <c r="N8812" s="186"/>
      <c r="O8812" s="172"/>
    </row>
    <row r="8813" spans="1:15" x14ac:dyDescent="0.2">
      <c r="A8813" s="197" t="str">
        <f t="shared" si="137"/>
        <v>MccCode_frozenWater</v>
      </c>
      <c r="B8813" s="409"/>
      <c r="C8813" s="416"/>
      <c r="D8813" s="198" t="s">
        <v>43448</v>
      </c>
      <c r="E8813" s="198">
        <v>103</v>
      </c>
      <c r="F8813" s="199" t="s">
        <v>43449</v>
      </c>
      <c r="G8813" s="1" t="s">
        <v>43450</v>
      </c>
      <c r="H8813" s="1" t="s">
        <v>43451</v>
      </c>
      <c r="I8813" s="346"/>
      <c r="J8813" s="39">
        <v>105422</v>
      </c>
      <c r="K8813" s="36" t="str">
        <f>CONCATENATE(Cover!$D$6,"fdd/view?i=",J8813)</f>
        <v>https://www.dgiwg.org/FAD/fdd/view?i=105422</v>
      </c>
      <c r="L8813" s="36" t="s">
        <v>49920</v>
      </c>
      <c r="M8813" s="186"/>
      <c r="N8813" s="186"/>
      <c r="O8813" s="172"/>
    </row>
    <row r="8814" spans="1:15" x14ac:dyDescent="0.2">
      <c r="A8814" s="197" t="str">
        <f t="shared" si="137"/>
        <v>MccCode_fucus</v>
      </c>
      <c r="B8814" s="409"/>
      <c r="C8814" s="416"/>
      <c r="D8814" s="198" t="s">
        <v>46744</v>
      </c>
      <c r="E8814" s="198">
        <v>37</v>
      </c>
      <c r="F8814" s="199" t="s">
        <v>46745</v>
      </c>
      <c r="G8814" s="1" t="s">
        <v>46746</v>
      </c>
      <c r="H8814" s="1" t="s">
        <v>46747</v>
      </c>
      <c r="I8814" s="346"/>
      <c r="J8814" s="39">
        <v>105357</v>
      </c>
      <c r="K8814" s="36" t="str">
        <f>CONCATENATE(Cover!$D$6,"fdd/view?i=",J8814)</f>
        <v>https://www.dgiwg.org/FAD/fdd/view?i=105357</v>
      </c>
      <c r="L8814" s="36" t="s">
        <v>49921</v>
      </c>
      <c r="M8814" s="186"/>
      <c r="N8814" s="186"/>
      <c r="O8814" s="172"/>
    </row>
    <row r="8815" spans="1:15" ht="25.5" x14ac:dyDescent="0.2">
      <c r="A8815" s="197" t="str">
        <f t="shared" si="137"/>
        <v>MccCode_glass</v>
      </c>
      <c r="B8815" s="409"/>
      <c r="C8815" s="416"/>
      <c r="D8815" s="198" t="s">
        <v>43458</v>
      </c>
      <c r="E8815" s="198">
        <v>40</v>
      </c>
      <c r="F8815" s="199" t="s">
        <v>43459</v>
      </c>
      <c r="G8815" s="1" t="s">
        <v>43460</v>
      </c>
      <c r="H8815" s="1" t="s">
        <v>43461</v>
      </c>
      <c r="I8815" s="346"/>
      <c r="J8815" s="39">
        <v>105360</v>
      </c>
      <c r="K8815" s="36" t="str">
        <f>CONCATENATE(Cover!$D$6,"fdd/view?i=",J8815)</f>
        <v>https://www.dgiwg.org/FAD/fdd/view?i=105360</v>
      </c>
      <c r="L8815" s="36" t="s">
        <v>49922</v>
      </c>
      <c r="M8815" s="186"/>
      <c r="N8815" s="186"/>
      <c r="O8815" s="172"/>
    </row>
    <row r="8816" spans="1:15" ht="25.5" x14ac:dyDescent="0.2">
      <c r="A8816" s="197" t="str">
        <f t="shared" si="137"/>
        <v>MccCode_glassReinforcedPlastic</v>
      </c>
      <c r="B8816" s="409"/>
      <c r="C8816" s="416"/>
      <c r="D8816" s="198" t="s">
        <v>46749</v>
      </c>
      <c r="E8816" s="198">
        <v>120</v>
      </c>
      <c r="F8816" s="199" t="s">
        <v>46750</v>
      </c>
      <c r="G8816" s="1" t="s">
        <v>46751</v>
      </c>
      <c r="H8816" s="1" t="s">
        <v>46752</v>
      </c>
      <c r="I8816" s="346"/>
      <c r="J8816" s="39">
        <v>105439</v>
      </c>
      <c r="K8816" s="36" t="str">
        <f>CONCATENATE(Cover!$D$6,"fdd/view?i=",J8816)</f>
        <v>https://www.dgiwg.org/FAD/fdd/view?i=105439</v>
      </c>
      <c r="L8816" s="36" t="s">
        <v>49923</v>
      </c>
      <c r="M8816" s="186"/>
      <c r="N8816" s="186"/>
      <c r="O8816" s="172"/>
    </row>
    <row r="8817" spans="1:15" ht="51" x14ac:dyDescent="0.2">
      <c r="A8817" s="197" t="str">
        <f t="shared" si="137"/>
        <v>MccCode_gneiss</v>
      </c>
      <c r="B8817" s="409"/>
      <c r="C8817" s="416"/>
      <c r="D8817" s="198" t="s">
        <v>43463</v>
      </c>
      <c r="E8817" s="198">
        <v>124</v>
      </c>
      <c r="F8817" s="199" t="s">
        <v>43464</v>
      </c>
      <c r="G8817" s="1" t="s">
        <v>44441</v>
      </c>
      <c r="H8817" s="1" t="s">
        <v>44442</v>
      </c>
      <c r="I8817" s="346"/>
      <c r="J8817" s="39">
        <v>105443</v>
      </c>
      <c r="K8817" s="36" t="str">
        <f>CONCATENATE(Cover!$D$6,"fdd/view?i=",J8817)</f>
        <v>https://www.dgiwg.org/FAD/fdd/view?i=105443</v>
      </c>
      <c r="L8817" s="36" t="s">
        <v>49924</v>
      </c>
      <c r="M8817" s="186"/>
      <c r="N8817" s="186"/>
      <c r="O8817" s="172"/>
    </row>
    <row r="8818" spans="1:15" ht="51" x14ac:dyDescent="0.2">
      <c r="A8818" s="197" t="str">
        <f t="shared" si="137"/>
        <v>MccCode_gold</v>
      </c>
      <c r="B8818" s="409"/>
      <c r="C8818" s="416"/>
      <c r="D8818" s="198" t="s">
        <v>25753</v>
      </c>
      <c r="E8818" s="198">
        <v>42</v>
      </c>
      <c r="F8818" s="199" t="s">
        <v>43020</v>
      </c>
      <c r="G8818" s="1" t="s">
        <v>43468</v>
      </c>
      <c r="H8818" s="200"/>
      <c r="I8818" s="346"/>
      <c r="J8818" s="39">
        <v>105362</v>
      </c>
      <c r="K8818" s="36" t="str">
        <f>CONCATENATE(Cover!$D$6,"fdd/view?i=",J8818)</f>
        <v>https://www.dgiwg.org/FAD/fdd/view?i=105362</v>
      </c>
      <c r="L8818" s="36" t="s">
        <v>49925</v>
      </c>
      <c r="M8818" s="186"/>
      <c r="N8818" s="186"/>
      <c r="O8818" s="172"/>
    </row>
    <row r="8819" spans="1:15" ht="38.25" x14ac:dyDescent="0.2">
      <c r="A8819" s="197" t="str">
        <f t="shared" si="137"/>
        <v>MccCode_granite</v>
      </c>
      <c r="B8819" s="409"/>
      <c r="C8819" s="416"/>
      <c r="D8819" s="198" t="s">
        <v>22319</v>
      </c>
      <c r="E8819" s="198">
        <v>43</v>
      </c>
      <c r="F8819" s="199" t="s">
        <v>22320</v>
      </c>
      <c r="G8819" s="1" t="s">
        <v>43475</v>
      </c>
      <c r="H8819" s="1" t="s">
        <v>44446</v>
      </c>
      <c r="I8819" s="346"/>
      <c r="J8819" s="39">
        <v>105363</v>
      </c>
      <c r="K8819" s="36" t="str">
        <f>CONCATENATE(Cover!$D$6,"fdd/view?i=",J8819)</f>
        <v>https://www.dgiwg.org/FAD/fdd/view?i=105363</v>
      </c>
      <c r="L8819" s="36" t="s">
        <v>49926</v>
      </c>
      <c r="M8819" s="186"/>
      <c r="N8819" s="186"/>
      <c r="O8819" s="172"/>
    </row>
    <row r="8820" spans="1:15" ht="25.5" x14ac:dyDescent="0.2">
      <c r="A8820" s="197" t="str">
        <f t="shared" si="137"/>
        <v>MccCode_gravel</v>
      </c>
      <c r="B8820" s="409"/>
      <c r="C8820" s="416"/>
      <c r="D8820" s="198" t="s">
        <v>19556</v>
      </c>
      <c r="E8820" s="198">
        <v>46</v>
      </c>
      <c r="F8820" s="199" t="s">
        <v>19557</v>
      </c>
      <c r="G8820" s="1" t="s">
        <v>43477</v>
      </c>
      <c r="H8820" s="1" t="s">
        <v>43478</v>
      </c>
      <c r="I8820" s="346"/>
      <c r="J8820" s="39">
        <v>105366</v>
      </c>
      <c r="K8820" s="36" t="str">
        <f>CONCATENATE(Cover!$D$6,"fdd/view?i=",J8820)</f>
        <v>https://www.dgiwg.org/FAD/fdd/view?i=105366</v>
      </c>
      <c r="L8820" s="36" t="s">
        <v>49927</v>
      </c>
      <c r="M8820" s="186"/>
      <c r="N8820" s="186"/>
      <c r="O8820" s="172"/>
    </row>
    <row r="8821" spans="1:15" ht="38.25" x14ac:dyDescent="0.2">
      <c r="A8821" s="197" t="str">
        <f t="shared" si="137"/>
        <v>MccCode_gravelAndCobble</v>
      </c>
      <c r="B8821" s="409"/>
      <c r="C8821" s="416"/>
      <c r="D8821" s="198" t="s">
        <v>49928</v>
      </c>
      <c r="E8821" s="198">
        <v>143</v>
      </c>
      <c r="F8821" s="199" t="s">
        <v>24156</v>
      </c>
      <c r="G8821" s="1" t="s">
        <v>24157</v>
      </c>
      <c r="H8821" s="1" t="s">
        <v>24158</v>
      </c>
      <c r="I8821" s="346"/>
      <c r="J8821" s="39">
        <v>110254</v>
      </c>
      <c r="K8821" s="36" t="str">
        <f>CONCATENATE(Cover!$D$6,"fdd/view?i=",J8821)</f>
        <v>https://www.dgiwg.org/FAD/fdd/view?i=110254</v>
      </c>
      <c r="L8821" s="36" t="s">
        <v>49929</v>
      </c>
      <c r="M8821" s="186"/>
      <c r="N8821" s="186"/>
      <c r="O8821" s="172"/>
    </row>
    <row r="8822" spans="1:15" ht="25.5" x14ac:dyDescent="0.2">
      <c r="A8822" s="197" t="str">
        <f t="shared" si="137"/>
        <v>MccCode_greenstone</v>
      </c>
      <c r="B8822" s="409"/>
      <c r="C8822" s="416"/>
      <c r="D8822" s="198" t="s">
        <v>43480</v>
      </c>
      <c r="E8822" s="198">
        <v>47</v>
      </c>
      <c r="F8822" s="199" t="s">
        <v>43481</v>
      </c>
      <c r="G8822" s="1" t="s">
        <v>44449</v>
      </c>
      <c r="H8822" s="1" t="s">
        <v>44450</v>
      </c>
      <c r="I8822" s="346"/>
      <c r="J8822" s="39">
        <v>105367</v>
      </c>
      <c r="K8822" s="36" t="str">
        <f>CONCATENATE(Cover!$D$6,"fdd/view?i=",J8822)</f>
        <v>https://www.dgiwg.org/FAD/fdd/view?i=105367</v>
      </c>
      <c r="L8822" s="36" t="s">
        <v>49930</v>
      </c>
      <c r="M8822" s="186"/>
      <c r="N8822" s="186"/>
      <c r="O8822" s="172"/>
    </row>
    <row r="8823" spans="1:15" x14ac:dyDescent="0.2">
      <c r="A8823" s="197" t="str">
        <f t="shared" si="137"/>
        <v>MccCode_groundShell</v>
      </c>
      <c r="B8823" s="409"/>
      <c r="C8823" s="416"/>
      <c r="D8823" s="198" t="s">
        <v>43485</v>
      </c>
      <c r="E8823" s="198">
        <v>49</v>
      </c>
      <c r="F8823" s="199" t="s">
        <v>43486</v>
      </c>
      <c r="G8823" s="1" t="s">
        <v>43487</v>
      </c>
      <c r="H8823" s="200"/>
      <c r="I8823" s="346"/>
      <c r="J8823" s="39">
        <v>105369</v>
      </c>
      <c r="K8823" s="36" t="str">
        <f>CONCATENATE(Cover!$D$6,"fdd/view?i=",J8823)</f>
        <v>https://www.dgiwg.org/FAD/fdd/view?i=105369</v>
      </c>
      <c r="L8823" s="36" t="s">
        <v>49931</v>
      </c>
      <c r="M8823" s="186"/>
      <c r="N8823" s="186"/>
      <c r="O8823" s="172"/>
    </row>
    <row r="8824" spans="1:15" ht="38.25" x14ac:dyDescent="0.2">
      <c r="A8824" s="197" t="str">
        <f t="shared" si="137"/>
        <v>MccCode_hideTextile</v>
      </c>
      <c r="B8824" s="409"/>
      <c r="C8824" s="416"/>
      <c r="D8824" s="198" t="s">
        <v>49932</v>
      </c>
      <c r="E8824" s="198">
        <v>153</v>
      </c>
      <c r="F8824" s="199" t="s">
        <v>49933</v>
      </c>
      <c r="G8824" s="1" t="s">
        <v>49934</v>
      </c>
      <c r="H8824" s="1" t="s">
        <v>49935</v>
      </c>
      <c r="I8824" s="346"/>
      <c r="J8824" s="39">
        <v>112758</v>
      </c>
      <c r="K8824" s="36" t="str">
        <f>CONCATENATE(Cover!$D$6,"fdd/view?i=",J8824)</f>
        <v>https://www.dgiwg.org/FAD/fdd/view?i=112758</v>
      </c>
      <c r="L8824" s="36" t="s">
        <v>49936</v>
      </c>
      <c r="M8824" s="186"/>
      <c r="N8824" s="186"/>
      <c r="O8824" s="172"/>
    </row>
    <row r="8825" spans="1:15" x14ac:dyDescent="0.2">
      <c r="A8825" s="197" t="str">
        <f t="shared" si="137"/>
        <v>MccCode_ice</v>
      </c>
      <c r="B8825" s="409"/>
      <c r="C8825" s="416"/>
      <c r="D8825" s="198" t="s">
        <v>19560</v>
      </c>
      <c r="E8825" s="198">
        <v>132</v>
      </c>
      <c r="F8825" s="199" t="s">
        <v>19561</v>
      </c>
      <c r="G8825" s="1" t="s">
        <v>37452</v>
      </c>
      <c r="H8825" s="200"/>
      <c r="I8825" s="346"/>
      <c r="J8825" s="39">
        <v>108196</v>
      </c>
      <c r="K8825" s="36" t="str">
        <f>CONCATENATE(Cover!$D$6,"fdd/view?i=",J8825)</f>
        <v>https://www.dgiwg.org/FAD/fdd/view?i=108196</v>
      </c>
      <c r="L8825" s="36" t="s">
        <v>49937</v>
      </c>
      <c r="M8825" s="186"/>
      <c r="N8825" s="186"/>
      <c r="O8825" s="172"/>
    </row>
    <row r="8826" spans="1:15" ht="25.5" x14ac:dyDescent="0.2">
      <c r="A8826" s="197" t="str">
        <f t="shared" si="137"/>
        <v>MccCode_igneousRock</v>
      </c>
      <c r="B8826" s="409"/>
      <c r="C8826" s="416"/>
      <c r="D8826" s="198" t="s">
        <v>22326</v>
      </c>
      <c r="E8826" s="198">
        <v>122</v>
      </c>
      <c r="F8826" s="199" t="s">
        <v>22327</v>
      </c>
      <c r="G8826" s="1" t="s">
        <v>49938</v>
      </c>
      <c r="H8826" s="1" t="s">
        <v>49939</v>
      </c>
      <c r="I8826" s="346"/>
      <c r="J8826" s="39">
        <v>105441</v>
      </c>
      <c r="K8826" s="36" t="str">
        <f>CONCATENATE(Cover!$D$6,"fdd/view?i=",J8826)</f>
        <v>https://www.dgiwg.org/FAD/fdd/view?i=105441</v>
      </c>
      <c r="L8826" s="36" t="s">
        <v>49940</v>
      </c>
      <c r="M8826" s="186"/>
      <c r="N8826" s="186"/>
      <c r="O8826" s="172"/>
    </row>
    <row r="8827" spans="1:15" ht="38.25" x14ac:dyDescent="0.2">
      <c r="A8827" s="197" t="str">
        <f t="shared" si="137"/>
        <v>MccCode_iron</v>
      </c>
      <c r="B8827" s="409"/>
      <c r="C8827" s="416"/>
      <c r="D8827" s="198" t="s">
        <v>25766</v>
      </c>
      <c r="E8827" s="198">
        <v>51</v>
      </c>
      <c r="F8827" s="199" t="s">
        <v>43508</v>
      </c>
      <c r="G8827" s="1" t="s">
        <v>43509</v>
      </c>
      <c r="H8827" s="1" t="s">
        <v>43510</v>
      </c>
      <c r="I8827" s="346"/>
      <c r="J8827" s="39">
        <v>105371</v>
      </c>
      <c r="K8827" s="36" t="str">
        <f>CONCATENATE(Cover!$D$6,"fdd/view?i=",J8827)</f>
        <v>https://www.dgiwg.org/FAD/fdd/view?i=105371</v>
      </c>
      <c r="L8827" s="36" t="s">
        <v>49941</v>
      </c>
      <c r="M8827" s="186"/>
      <c r="N8827" s="186"/>
      <c r="O8827" s="172"/>
    </row>
    <row r="8828" spans="1:15" ht="63.75" x14ac:dyDescent="0.2">
      <c r="A8828" s="197" t="str">
        <f t="shared" si="137"/>
        <v>MccCode_laterite</v>
      </c>
      <c r="B8828" s="409"/>
      <c r="C8828" s="416"/>
      <c r="D8828" s="198" t="s">
        <v>19570</v>
      </c>
      <c r="E8828" s="198">
        <v>133</v>
      </c>
      <c r="F8828" s="199" t="s">
        <v>19571</v>
      </c>
      <c r="G8828" s="1" t="s">
        <v>46760</v>
      </c>
      <c r="H8828" s="1" t="s">
        <v>46761</v>
      </c>
      <c r="I8828" s="346"/>
      <c r="J8828" s="39">
        <v>108197</v>
      </c>
      <c r="K8828" s="36" t="str">
        <f>CONCATENATE(Cover!$D$6,"fdd/view?i=",J8828)</f>
        <v>https://www.dgiwg.org/FAD/fdd/view?i=108197</v>
      </c>
      <c r="L8828" s="36" t="s">
        <v>49942</v>
      </c>
      <c r="M8828" s="186"/>
      <c r="N8828" s="186"/>
      <c r="O8828" s="172"/>
    </row>
    <row r="8829" spans="1:15" ht="25.5" x14ac:dyDescent="0.2">
      <c r="A8829" s="197" t="str">
        <f t="shared" si="137"/>
        <v>MccCode_lava</v>
      </c>
      <c r="B8829" s="409"/>
      <c r="C8829" s="416"/>
      <c r="D8829" s="198" t="s">
        <v>25563</v>
      </c>
      <c r="E8829" s="198">
        <v>52</v>
      </c>
      <c r="F8829" s="199" t="s">
        <v>25564</v>
      </c>
      <c r="G8829" s="1" t="s">
        <v>44455</v>
      </c>
      <c r="H8829" s="200"/>
      <c r="I8829" s="346"/>
      <c r="J8829" s="39">
        <v>105372</v>
      </c>
      <c r="K8829" s="36" t="str">
        <f>CONCATENATE(Cover!$D$6,"fdd/view?i=",J8829)</f>
        <v>https://www.dgiwg.org/FAD/fdd/view?i=105372</v>
      </c>
      <c r="L8829" s="36" t="s">
        <v>49943</v>
      </c>
      <c r="M8829" s="186"/>
      <c r="N8829" s="186"/>
      <c r="O8829" s="172"/>
    </row>
    <row r="8830" spans="1:15" ht="38.25" x14ac:dyDescent="0.2">
      <c r="A8830" s="197" t="str">
        <f t="shared" si="137"/>
        <v>MccCode_lead</v>
      </c>
      <c r="B8830" s="409"/>
      <c r="C8830" s="416"/>
      <c r="D8830" s="198" t="s">
        <v>25776</v>
      </c>
      <c r="E8830" s="198">
        <v>54</v>
      </c>
      <c r="F8830" s="199" t="s">
        <v>43512</v>
      </c>
      <c r="G8830" s="1" t="s">
        <v>43513</v>
      </c>
      <c r="H8830" s="200"/>
      <c r="I8830" s="346"/>
      <c r="J8830" s="39">
        <v>105374</v>
      </c>
      <c r="K8830" s="36" t="str">
        <f>CONCATENATE(Cover!$D$6,"fdd/view?i=",J8830)</f>
        <v>https://www.dgiwg.org/FAD/fdd/view?i=105374</v>
      </c>
      <c r="L8830" s="36" t="s">
        <v>49944</v>
      </c>
      <c r="M8830" s="186"/>
      <c r="N8830" s="186"/>
      <c r="O8830" s="172"/>
    </row>
    <row r="8831" spans="1:15" ht="25.5" x14ac:dyDescent="0.2">
      <c r="A8831" s="197" t="str">
        <f t="shared" si="137"/>
        <v>MccCode_limestone</v>
      </c>
      <c r="B8831" s="409"/>
      <c r="C8831" s="416"/>
      <c r="D8831" s="198" t="s">
        <v>22336</v>
      </c>
      <c r="E8831" s="198">
        <v>130</v>
      </c>
      <c r="F8831" s="199" t="s">
        <v>22337</v>
      </c>
      <c r="G8831" s="1" t="s">
        <v>44459</v>
      </c>
      <c r="H8831" s="1" t="s">
        <v>44460</v>
      </c>
      <c r="I8831" s="346"/>
      <c r="J8831" s="39">
        <v>105449</v>
      </c>
      <c r="K8831" s="36" t="str">
        <f>CONCATENATE(Cover!$D$6,"fdd/view?i=",J8831)</f>
        <v>https://www.dgiwg.org/FAD/fdd/view?i=105449</v>
      </c>
      <c r="L8831" s="36" t="s">
        <v>49945</v>
      </c>
      <c r="M8831" s="186"/>
      <c r="N8831" s="186"/>
      <c r="O8831" s="172"/>
    </row>
    <row r="8832" spans="1:15" ht="25.5" x14ac:dyDescent="0.2">
      <c r="A8832" s="197" t="str">
        <f t="shared" si="137"/>
        <v>MccCode_loess</v>
      </c>
      <c r="B8832" s="409"/>
      <c r="C8832" s="416"/>
      <c r="D8832" s="198" t="s">
        <v>44465</v>
      </c>
      <c r="E8832" s="198">
        <v>55</v>
      </c>
      <c r="F8832" s="199" t="s">
        <v>44466</v>
      </c>
      <c r="G8832" s="1" t="s">
        <v>44467</v>
      </c>
      <c r="H8832" s="200"/>
      <c r="I8832" s="346"/>
      <c r="J8832" s="39">
        <v>105375</v>
      </c>
      <c r="K8832" s="36" t="str">
        <f>CONCATENATE(Cover!$D$6,"fdd/view?i=",J8832)</f>
        <v>https://www.dgiwg.org/FAD/fdd/view?i=105375</v>
      </c>
      <c r="L8832" s="36" t="s">
        <v>49946</v>
      </c>
      <c r="M8832" s="186"/>
      <c r="N8832" s="186"/>
      <c r="O8832" s="172"/>
    </row>
    <row r="8833" spans="1:15" x14ac:dyDescent="0.2">
      <c r="A8833" s="197" t="str">
        <f t="shared" si="137"/>
        <v>MccCode_lumber</v>
      </c>
      <c r="B8833" s="409"/>
      <c r="C8833" s="416"/>
      <c r="D8833" s="198" t="s">
        <v>43526</v>
      </c>
      <c r="E8833" s="198">
        <v>56</v>
      </c>
      <c r="F8833" s="199" t="s">
        <v>43527</v>
      </c>
      <c r="G8833" s="1" t="s">
        <v>43528</v>
      </c>
      <c r="H8833" s="200"/>
      <c r="I8833" s="346"/>
      <c r="J8833" s="39">
        <v>105376</v>
      </c>
      <c r="K8833" s="36" t="str">
        <f>CONCATENATE(Cover!$D$6,"fdd/view?i=",J8833)</f>
        <v>https://www.dgiwg.org/FAD/fdd/view?i=105376</v>
      </c>
      <c r="L8833" s="36" t="s">
        <v>49947</v>
      </c>
      <c r="M8833" s="186"/>
      <c r="N8833" s="186"/>
      <c r="O8833" s="172"/>
    </row>
    <row r="8834" spans="1:15" ht="38.25" x14ac:dyDescent="0.2">
      <c r="A8834" s="197" t="str">
        <f t="shared" ref="A8834:A8897" si="138">HYPERLINK(K8834,L8834)</f>
        <v>MccCode_macadam</v>
      </c>
      <c r="B8834" s="409"/>
      <c r="C8834" s="416"/>
      <c r="D8834" s="198" t="s">
        <v>19575</v>
      </c>
      <c r="E8834" s="198">
        <v>57</v>
      </c>
      <c r="F8834" s="199" t="s">
        <v>19576</v>
      </c>
      <c r="G8834" s="1" t="s">
        <v>43530</v>
      </c>
      <c r="H8834" s="1" t="s">
        <v>43531</v>
      </c>
      <c r="I8834" s="351" t="s">
        <v>43532</v>
      </c>
      <c r="J8834" s="39">
        <v>105377</v>
      </c>
      <c r="K8834" s="36" t="str">
        <f>CONCATENATE(Cover!$D$6,"fdd/view?i=",J8834)</f>
        <v>https://www.dgiwg.org/FAD/fdd/view?i=105377</v>
      </c>
      <c r="L8834" s="36" t="s">
        <v>49948</v>
      </c>
      <c r="M8834" s="186"/>
      <c r="N8834" s="186"/>
      <c r="O8834" s="172"/>
    </row>
    <row r="8835" spans="1:15" x14ac:dyDescent="0.2">
      <c r="A8835" s="197" t="str">
        <f t="shared" si="138"/>
        <v>MccCode_madrepore</v>
      </c>
      <c r="B8835" s="409"/>
      <c r="C8835" s="416"/>
      <c r="D8835" s="198" t="s">
        <v>43534</v>
      </c>
      <c r="E8835" s="198">
        <v>58</v>
      </c>
      <c r="F8835" s="199" t="s">
        <v>43535</v>
      </c>
      <c r="G8835" s="1" t="s">
        <v>44470</v>
      </c>
      <c r="H8835" s="200"/>
      <c r="I8835" s="346"/>
      <c r="J8835" s="39">
        <v>105378</v>
      </c>
      <c r="K8835" s="36" t="str">
        <f>CONCATENATE(Cover!$D$6,"fdd/view?i=",J8835)</f>
        <v>https://www.dgiwg.org/FAD/fdd/view?i=105378</v>
      </c>
      <c r="L8835" s="36" t="s">
        <v>49949</v>
      </c>
      <c r="M8835" s="186"/>
      <c r="N8835" s="186"/>
      <c r="O8835" s="172"/>
    </row>
    <row r="8836" spans="1:15" ht="25.5" x14ac:dyDescent="0.2">
      <c r="A8836" s="197" t="str">
        <f t="shared" si="138"/>
        <v>MccCode_manganese</v>
      </c>
      <c r="B8836" s="409"/>
      <c r="C8836" s="416"/>
      <c r="D8836" s="198" t="s">
        <v>25791</v>
      </c>
      <c r="E8836" s="198">
        <v>59</v>
      </c>
      <c r="F8836" s="199" t="s">
        <v>43539</v>
      </c>
      <c r="G8836" s="1" t="s">
        <v>43540</v>
      </c>
      <c r="H8836" s="1" t="s">
        <v>43541</v>
      </c>
      <c r="I8836" s="346"/>
      <c r="J8836" s="39">
        <v>105379</v>
      </c>
      <c r="K8836" s="36" t="str">
        <f>CONCATENATE(Cover!$D$6,"fdd/view?i=",J8836)</f>
        <v>https://www.dgiwg.org/FAD/fdd/view?i=105379</v>
      </c>
      <c r="L8836" s="36" t="s">
        <v>49950</v>
      </c>
      <c r="M8836" s="186"/>
      <c r="N8836" s="186"/>
      <c r="O8836" s="172"/>
    </row>
    <row r="8837" spans="1:15" ht="38.25" x14ac:dyDescent="0.2">
      <c r="A8837" s="197" t="str">
        <f t="shared" si="138"/>
        <v>MccCode_marble</v>
      </c>
      <c r="B8837" s="409"/>
      <c r="C8837" s="416"/>
      <c r="D8837" s="198" t="s">
        <v>43544</v>
      </c>
      <c r="E8837" s="198">
        <v>60</v>
      </c>
      <c r="F8837" s="199" t="s">
        <v>43545</v>
      </c>
      <c r="G8837" s="1" t="s">
        <v>43547</v>
      </c>
      <c r="H8837" s="200"/>
      <c r="I8837" s="346"/>
      <c r="J8837" s="39">
        <v>105380</v>
      </c>
      <c r="K8837" s="36" t="str">
        <f>CONCATENATE(Cover!$D$6,"fdd/view?i=",J8837)</f>
        <v>https://www.dgiwg.org/FAD/fdd/view?i=105380</v>
      </c>
      <c r="L8837" s="36" t="s">
        <v>49951</v>
      </c>
      <c r="M8837" s="186"/>
      <c r="N8837" s="186"/>
      <c r="O8837" s="172"/>
    </row>
    <row r="8838" spans="1:15" ht="38.25" x14ac:dyDescent="0.2">
      <c r="A8838" s="197" t="str">
        <f t="shared" si="138"/>
        <v>MccCode_marl</v>
      </c>
      <c r="B8838" s="409"/>
      <c r="C8838" s="416"/>
      <c r="D8838" s="198" t="s">
        <v>22341</v>
      </c>
      <c r="E8838" s="198">
        <v>61</v>
      </c>
      <c r="F8838" s="199" t="s">
        <v>22342</v>
      </c>
      <c r="G8838" s="1" t="s">
        <v>43549</v>
      </c>
      <c r="H8838" s="200"/>
      <c r="I8838" s="346"/>
      <c r="J8838" s="39">
        <v>105381</v>
      </c>
      <c r="K8838" s="36" t="str">
        <f>CONCATENATE(Cover!$D$6,"fdd/view?i=",J8838)</f>
        <v>https://www.dgiwg.org/FAD/fdd/view?i=105381</v>
      </c>
      <c r="L8838" s="36" t="s">
        <v>49952</v>
      </c>
      <c r="M8838" s="186"/>
      <c r="N8838" s="186"/>
      <c r="O8838" s="172"/>
    </row>
    <row r="8839" spans="1:15" ht="63.75" x14ac:dyDescent="0.2">
      <c r="A8839" s="197" t="str">
        <f t="shared" si="138"/>
        <v>MccCode_masonry</v>
      </c>
      <c r="B8839" s="409"/>
      <c r="C8839" s="416"/>
      <c r="D8839" s="198" t="s">
        <v>24160</v>
      </c>
      <c r="E8839" s="198">
        <v>62</v>
      </c>
      <c r="F8839" s="199" t="s">
        <v>24161</v>
      </c>
      <c r="G8839" s="1" t="s">
        <v>24162</v>
      </c>
      <c r="H8839" s="200"/>
      <c r="I8839" s="351" t="s">
        <v>24163</v>
      </c>
      <c r="J8839" s="39">
        <v>105382</v>
      </c>
      <c r="K8839" s="36" t="str">
        <f>CONCATENATE(Cover!$D$6,"fdd/view?i=",J8839)</f>
        <v>https://www.dgiwg.org/FAD/fdd/view?i=105382</v>
      </c>
      <c r="L8839" s="36" t="s">
        <v>49953</v>
      </c>
      <c r="M8839" s="186"/>
      <c r="N8839" s="186"/>
      <c r="O8839" s="172"/>
    </row>
    <row r="8840" spans="1:15" ht="25.5" x14ac:dyDescent="0.2">
      <c r="A8840" s="197" t="str">
        <f t="shared" si="138"/>
        <v>MccCode_matte</v>
      </c>
      <c r="B8840" s="409"/>
      <c r="C8840" s="416"/>
      <c r="D8840" s="198" t="s">
        <v>25272</v>
      </c>
      <c r="E8840" s="198">
        <v>63</v>
      </c>
      <c r="F8840" s="199" t="s">
        <v>25273</v>
      </c>
      <c r="G8840" s="1" t="s">
        <v>25274</v>
      </c>
      <c r="H8840" s="200"/>
      <c r="I8840" s="346"/>
      <c r="J8840" s="39">
        <v>105383</v>
      </c>
      <c r="K8840" s="36" t="str">
        <f>CONCATENATE(Cover!$D$6,"fdd/view?i=",J8840)</f>
        <v>https://www.dgiwg.org/FAD/fdd/view?i=105383</v>
      </c>
      <c r="L8840" s="36" t="s">
        <v>49954</v>
      </c>
      <c r="M8840" s="186"/>
      <c r="N8840" s="186"/>
      <c r="O8840" s="172"/>
    </row>
    <row r="8841" spans="1:15" ht="38.25" x14ac:dyDescent="0.2">
      <c r="A8841" s="197" t="str">
        <f t="shared" si="138"/>
        <v>MccCode_metal</v>
      </c>
      <c r="B8841" s="409"/>
      <c r="C8841" s="416"/>
      <c r="D8841" s="198" t="s">
        <v>25276</v>
      </c>
      <c r="E8841" s="198">
        <v>64</v>
      </c>
      <c r="F8841" s="199" t="s">
        <v>25277</v>
      </c>
      <c r="G8841" s="1" t="s">
        <v>25278</v>
      </c>
      <c r="H8841" s="1" t="s">
        <v>25279</v>
      </c>
      <c r="I8841" s="346"/>
      <c r="J8841" s="39">
        <v>105384</v>
      </c>
      <c r="K8841" s="36" t="str">
        <f>CONCATENATE(Cover!$D$6,"fdd/view?i=",J8841)</f>
        <v>https://www.dgiwg.org/FAD/fdd/view?i=105384</v>
      </c>
      <c r="L8841" s="36" t="s">
        <v>49955</v>
      </c>
      <c r="M8841" s="186"/>
      <c r="N8841" s="186"/>
      <c r="O8841" s="172"/>
    </row>
    <row r="8842" spans="1:15" ht="89.25" x14ac:dyDescent="0.2">
      <c r="A8842" s="197" t="str">
        <f t="shared" si="138"/>
        <v>MccCode_metamorphicRock</v>
      </c>
      <c r="B8842" s="409"/>
      <c r="C8842" s="416"/>
      <c r="D8842" s="198" t="s">
        <v>22346</v>
      </c>
      <c r="E8842" s="198">
        <v>121</v>
      </c>
      <c r="F8842" s="199" t="s">
        <v>22347</v>
      </c>
      <c r="G8842" s="1" t="s">
        <v>49956</v>
      </c>
      <c r="H8842" s="1" t="s">
        <v>49957</v>
      </c>
      <c r="I8842" s="346"/>
      <c r="J8842" s="39">
        <v>105440</v>
      </c>
      <c r="K8842" s="36" t="str">
        <f>CONCATENATE(Cover!$D$6,"fdd/view?i=",J8842)</f>
        <v>https://www.dgiwg.org/FAD/fdd/view?i=105440</v>
      </c>
      <c r="L8842" s="36" t="s">
        <v>49958</v>
      </c>
      <c r="M8842" s="186"/>
      <c r="N8842" s="186"/>
      <c r="O8842" s="172"/>
    </row>
    <row r="8843" spans="1:15" ht="25.5" x14ac:dyDescent="0.2">
      <c r="A8843" s="197" t="str">
        <f t="shared" si="138"/>
        <v>MccCode_mud</v>
      </c>
      <c r="B8843" s="409"/>
      <c r="C8843" s="416"/>
      <c r="D8843" s="198" t="s">
        <v>22351</v>
      </c>
      <c r="E8843" s="198">
        <v>65</v>
      </c>
      <c r="F8843" s="199" t="s">
        <v>22352</v>
      </c>
      <c r="G8843" s="1" t="s">
        <v>25281</v>
      </c>
      <c r="H8843" s="1" t="s">
        <v>25282</v>
      </c>
      <c r="I8843" s="351" t="s">
        <v>25283</v>
      </c>
      <c r="J8843" s="39">
        <v>105385</v>
      </c>
      <c r="K8843" s="36" t="str">
        <f>CONCATENATE(Cover!$D$6,"fdd/view?i=",J8843)</f>
        <v>https://www.dgiwg.org/FAD/fdd/view?i=105385</v>
      </c>
      <c r="L8843" s="36" t="s">
        <v>49959</v>
      </c>
      <c r="M8843" s="186"/>
      <c r="N8843" s="186"/>
      <c r="O8843" s="172"/>
    </row>
    <row r="8844" spans="1:15" ht="51" x14ac:dyDescent="0.2">
      <c r="A8844" s="197" t="str">
        <f t="shared" si="138"/>
        <v>MccCode_mudBasedConstruction</v>
      </c>
      <c r="B8844" s="409"/>
      <c r="C8844" s="416"/>
      <c r="D8844" s="198" t="s">
        <v>49960</v>
      </c>
      <c r="E8844" s="198">
        <v>151</v>
      </c>
      <c r="F8844" s="199" t="s">
        <v>49961</v>
      </c>
      <c r="G8844" s="1" t="s">
        <v>49962</v>
      </c>
      <c r="H8844" s="1" t="s">
        <v>49963</v>
      </c>
      <c r="I8844" s="346"/>
      <c r="J8844" s="39">
        <v>112756</v>
      </c>
      <c r="K8844" s="36" t="str">
        <f>CONCATENATE(Cover!$D$6,"fdd/view?i=",J8844)</f>
        <v>https://www.dgiwg.org/FAD/fdd/view?i=112756</v>
      </c>
      <c r="L8844" s="36" t="s">
        <v>49964</v>
      </c>
      <c r="M8844" s="186"/>
      <c r="N8844" s="186"/>
      <c r="O8844" s="172"/>
    </row>
    <row r="8845" spans="1:15" ht="51" x14ac:dyDescent="0.2">
      <c r="A8845" s="197" t="str">
        <f t="shared" si="138"/>
        <v>MccCode_mussels</v>
      </c>
      <c r="B8845" s="409"/>
      <c r="C8845" s="416"/>
      <c r="D8845" s="198" t="s">
        <v>43583</v>
      </c>
      <c r="E8845" s="198">
        <v>66</v>
      </c>
      <c r="F8845" s="199" t="s">
        <v>43584</v>
      </c>
      <c r="G8845" s="1" t="s">
        <v>43585</v>
      </c>
      <c r="H8845" s="1" t="s">
        <v>43586</v>
      </c>
      <c r="I8845" s="346"/>
      <c r="J8845" s="39">
        <v>105386</v>
      </c>
      <c r="K8845" s="36" t="str">
        <f>CONCATENATE(Cover!$D$6,"fdd/view?i=",J8845)</f>
        <v>https://www.dgiwg.org/FAD/fdd/view?i=105386</v>
      </c>
      <c r="L8845" s="36" t="s">
        <v>49965</v>
      </c>
      <c r="M8845" s="186"/>
      <c r="N8845" s="186"/>
      <c r="O8845" s="172"/>
    </row>
    <row r="8846" spans="1:15" ht="63.75" x14ac:dyDescent="0.2">
      <c r="A8846" s="197" t="str">
        <f t="shared" si="138"/>
        <v>MccCode_naturalFibre</v>
      </c>
      <c r="B8846" s="409"/>
      <c r="C8846" s="416"/>
      <c r="D8846" s="198" t="s">
        <v>49966</v>
      </c>
      <c r="E8846" s="198">
        <v>154</v>
      </c>
      <c r="F8846" s="199" t="s">
        <v>49967</v>
      </c>
      <c r="G8846" s="1" t="s">
        <v>49968</v>
      </c>
      <c r="H8846" s="1" t="s">
        <v>49969</v>
      </c>
      <c r="I8846" s="346"/>
      <c r="J8846" s="39">
        <v>112759</v>
      </c>
      <c r="K8846" s="36" t="str">
        <f>CONCATENATE(Cover!$D$6,"fdd/view?i=",J8846)</f>
        <v>https://www.dgiwg.org/FAD/fdd/view?i=112759</v>
      </c>
      <c r="L8846" s="36" t="s">
        <v>49970</v>
      </c>
      <c r="M8846" s="186"/>
      <c r="N8846" s="186"/>
      <c r="O8846" s="172"/>
    </row>
    <row r="8847" spans="1:15" ht="38.25" x14ac:dyDescent="0.2">
      <c r="A8847" s="197" t="str">
        <f t="shared" si="138"/>
        <v>MccCode_oil</v>
      </c>
      <c r="B8847" s="409"/>
      <c r="C8847" s="416"/>
      <c r="D8847" s="198" t="s">
        <v>22981</v>
      </c>
      <c r="E8847" s="198">
        <v>67</v>
      </c>
      <c r="F8847" s="199" t="s">
        <v>22982</v>
      </c>
      <c r="G8847" s="1" t="s">
        <v>22983</v>
      </c>
      <c r="H8847" s="1" t="s">
        <v>43605</v>
      </c>
      <c r="I8847" s="346"/>
      <c r="J8847" s="39">
        <v>105387</v>
      </c>
      <c r="K8847" s="36" t="str">
        <f>CONCATENATE(Cover!$D$6,"fdd/view?i=",J8847)</f>
        <v>https://www.dgiwg.org/FAD/fdd/view?i=105387</v>
      </c>
      <c r="L8847" s="36" t="s">
        <v>49971</v>
      </c>
      <c r="M8847" s="186"/>
      <c r="N8847" s="186"/>
      <c r="O8847" s="172"/>
    </row>
    <row r="8848" spans="1:15" ht="38.25" x14ac:dyDescent="0.2">
      <c r="A8848" s="197" t="str">
        <f t="shared" si="138"/>
        <v>MccCode_ooze</v>
      </c>
      <c r="B8848" s="409"/>
      <c r="C8848" s="416"/>
      <c r="D8848" s="198" t="s">
        <v>46776</v>
      </c>
      <c r="E8848" s="198">
        <v>69</v>
      </c>
      <c r="F8848" s="199" t="s">
        <v>46777</v>
      </c>
      <c r="G8848" s="1" t="s">
        <v>46778</v>
      </c>
      <c r="H8848" s="200"/>
      <c r="I8848" s="346"/>
      <c r="J8848" s="39">
        <v>105389</v>
      </c>
      <c r="K8848" s="36" t="str">
        <f>CONCATENATE(Cover!$D$6,"fdd/view?i=",J8848)</f>
        <v>https://www.dgiwg.org/FAD/fdd/view?i=105389</v>
      </c>
      <c r="L8848" s="36" t="s">
        <v>49972</v>
      </c>
      <c r="M8848" s="186"/>
      <c r="N8848" s="186"/>
      <c r="O8848" s="172"/>
    </row>
    <row r="8849" spans="1:15" ht="38.25" x14ac:dyDescent="0.2">
      <c r="A8849" s="197" t="str">
        <f t="shared" si="138"/>
        <v>MccCode_oysters</v>
      </c>
      <c r="B8849" s="409"/>
      <c r="C8849" s="416"/>
      <c r="D8849" s="198" t="s">
        <v>43616</v>
      </c>
      <c r="E8849" s="198">
        <v>70</v>
      </c>
      <c r="F8849" s="199" t="s">
        <v>43617</v>
      </c>
      <c r="G8849" s="1" t="s">
        <v>43618</v>
      </c>
      <c r="H8849" s="1" t="s">
        <v>43619</v>
      </c>
      <c r="I8849" s="346"/>
      <c r="J8849" s="39">
        <v>105390</v>
      </c>
      <c r="K8849" s="36" t="str">
        <f>CONCATENATE(Cover!$D$6,"fdd/view?i=",J8849)</f>
        <v>https://www.dgiwg.org/FAD/fdd/view?i=105390</v>
      </c>
      <c r="L8849" s="36" t="s">
        <v>49973</v>
      </c>
      <c r="M8849" s="186"/>
      <c r="N8849" s="186"/>
      <c r="O8849" s="172"/>
    </row>
    <row r="8850" spans="1:15" ht="38.25" x14ac:dyDescent="0.2">
      <c r="A8850" s="197" t="str">
        <f t="shared" si="138"/>
        <v>MccCode_paper</v>
      </c>
      <c r="B8850" s="409"/>
      <c r="C8850" s="416"/>
      <c r="D8850" s="198" t="s">
        <v>43627</v>
      </c>
      <c r="E8850" s="198">
        <v>71</v>
      </c>
      <c r="F8850" s="199" t="s">
        <v>43628</v>
      </c>
      <c r="G8850" s="1" t="s">
        <v>43629</v>
      </c>
      <c r="H8850" s="1" t="s">
        <v>43630</v>
      </c>
      <c r="I8850" s="346"/>
      <c r="J8850" s="39">
        <v>105391</v>
      </c>
      <c r="K8850" s="36" t="str">
        <f>CONCATENATE(Cover!$D$6,"fdd/view?i=",J8850)</f>
        <v>https://www.dgiwg.org/FAD/fdd/view?i=105391</v>
      </c>
      <c r="L8850" s="36" t="s">
        <v>49974</v>
      </c>
      <c r="M8850" s="186"/>
      <c r="N8850" s="186"/>
      <c r="O8850" s="172"/>
    </row>
    <row r="8851" spans="1:15" x14ac:dyDescent="0.2">
      <c r="A8851" s="197" t="str">
        <f t="shared" si="138"/>
        <v>MccCode_partMetal</v>
      </c>
      <c r="B8851" s="409"/>
      <c r="C8851" s="416"/>
      <c r="D8851" s="198" t="s">
        <v>43978</v>
      </c>
      <c r="E8851" s="198">
        <v>72</v>
      </c>
      <c r="F8851" s="199" t="s">
        <v>43979</v>
      </c>
      <c r="G8851" s="1" t="s">
        <v>43980</v>
      </c>
      <c r="H8851" s="200"/>
      <c r="I8851" s="346"/>
      <c r="J8851" s="39">
        <v>105392</v>
      </c>
      <c r="K8851" s="36" t="str">
        <f>CONCATENATE(Cover!$D$6,"fdd/view?i=",J8851)</f>
        <v>https://www.dgiwg.org/FAD/fdd/view?i=105392</v>
      </c>
      <c r="L8851" s="36" t="s">
        <v>49975</v>
      </c>
      <c r="M8851" s="186"/>
      <c r="N8851" s="186"/>
      <c r="O8851" s="172"/>
    </row>
    <row r="8852" spans="1:15" ht="38.25" x14ac:dyDescent="0.2">
      <c r="A8852" s="197" t="str">
        <f t="shared" si="138"/>
        <v>MccCode_paved</v>
      </c>
      <c r="B8852" s="409"/>
      <c r="C8852" s="416"/>
      <c r="D8852" s="198" t="s">
        <v>24165</v>
      </c>
      <c r="E8852" s="198">
        <v>145</v>
      </c>
      <c r="F8852" s="199" t="s">
        <v>24166</v>
      </c>
      <c r="G8852" s="1" t="s">
        <v>24167</v>
      </c>
      <c r="H8852" s="200"/>
      <c r="I8852" s="346"/>
      <c r="J8852" s="39">
        <v>110256</v>
      </c>
      <c r="K8852" s="36" t="str">
        <f>CONCATENATE(Cover!$D$6,"fdd/view?i=",J8852)</f>
        <v>https://www.dgiwg.org/FAD/fdd/view?i=110256</v>
      </c>
      <c r="L8852" s="36" t="s">
        <v>49976</v>
      </c>
      <c r="M8852" s="186"/>
      <c r="N8852" s="186"/>
      <c r="O8852" s="172"/>
    </row>
    <row r="8853" spans="1:15" ht="25.5" x14ac:dyDescent="0.2">
      <c r="A8853" s="197" t="str">
        <f t="shared" si="138"/>
        <v>MccCode_peat</v>
      </c>
      <c r="B8853" s="409"/>
      <c r="C8853" s="416"/>
      <c r="D8853" s="198" t="s">
        <v>24169</v>
      </c>
      <c r="E8853" s="198">
        <v>146</v>
      </c>
      <c r="F8853" s="199" t="s">
        <v>24170</v>
      </c>
      <c r="G8853" s="1" t="s">
        <v>24171</v>
      </c>
      <c r="H8853" s="200"/>
      <c r="I8853" s="346"/>
      <c r="J8853" s="39">
        <v>110257</v>
      </c>
      <c r="K8853" s="36" t="str">
        <f>CONCATENATE(Cover!$D$6,"fdd/view?i=",J8853)</f>
        <v>https://www.dgiwg.org/FAD/fdd/view?i=110257</v>
      </c>
      <c r="L8853" s="36" t="s">
        <v>49977</v>
      </c>
      <c r="M8853" s="186"/>
      <c r="N8853" s="186"/>
      <c r="O8853" s="172"/>
    </row>
    <row r="8854" spans="1:15" ht="25.5" x14ac:dyDescent="0.2">
      <c r="A8854" s="197" t="str">
        <f t="shared" si="138"/>
        <v>MccCode_pebbles</v>
      </c>
      <c r="B8854" s="409"/>
      <c r="C8854" s="416"/>
      <c r="D8854" s="198" t="s">
        <v>43632</v>
      </c>
      <c r="E8854" s="198">
        <v>73</v>
      </c>
      <c r="F8854" s="199" t="s">
        <v>43633</v>
      </c>
      <c r="G8854" s="1" t="s">
        <v>43634</v>
      </c>
      <c r="H8854" s="200"/>
      <c r="I8854" s="351" t="s">
        <v>43635</v>
      </c>
      <c r="J8854" s="39">
        <v>105393</v>
      </c>
      <c r="K8854" s="36" t="str">
        <f>CONCATENATE(Cover!$D$6,"fdd/view?i=",J8854)</f>
        <v>https://www.dgiwg.org/FAD/fdd/view?i=105393</v>
      </c>
      <c r="L8854" s="36" t="s">
        <v>49978</v>
      </c>
      <c r="M8854" s="186"/>
      <c r="N8854" s="186"/>
      <c r="O8854" s="172"/>
    </row>
    <row r="8855" spans="1:15" ht="38.25" x14ac:dyDescent="0.2">
      <c r="A8855" s="197" t="str">
        <f t="shared" si="138"/>
        <v>MccCode_plantMaterial</v>
      </c>
      <c r="B8855" s="409"/>
      <c r="C8855" s="416"/>
      <c r="D8855" s="198" t="s">
        <v>43655</v>
      </c>
      <c r="E8855" s="198">
        <v>45</v>
      </c>
      <c r="F8855" s="199" t="s">
        <v>43656</v>
      </c>
      <c r="G8855" s="1" t="s">
        <v>43657</v>
      </c>
      <c r="H8855" s="1" t="s">
        <v>46783</v>
      </c>
      <c r="I8855" s="346"/>
      <c r="J8855" s="39">
        <v>105365</v>
      </c>
      <c r="K8855" s="36" t="str">
        <f>CONCATENATE(Cover!$D$6,"fdd/view?i=",J8855)</f>
        <v>https://www.dgiwg.org/FAD/fdd/view?i=105365</v>
      </c>
      <c r="L8855" s="36" t="s">
        <v>49979</v>
      </c>
      <c r="M8855" s="186"/>
      <c r="N8855" s="186"/>
      <c r="O8855" s="172"/>
    </row>
    <row r="8856" spans="1:15" ht="38.25" x14ac:dyDescent="0.2">
      <c r="A8856" s="197" t="str">
        <f t="shared" si="138"/>
        <v>MccCode_plastic</v>
      </c>
      <c r="B8856" s="409"/>
      <c r="C8856" s="416"/>
      <c r="D8856" s="198" t="s">
        <v>43659</v>
      </c>
      <c r="E8856" s="198">
        <v>74</v>
      </c>
      <c r="F8856" s="199" t="s">
        <v>43660</v>
      </c>
      <c r="G8856" s="1" t="s">
        <v>43661</v>
      </c>
      <c r="H8856" s="1" t="s">
        <v>43662</v>
      </c>
      <c r="I8856" s="346"/>
      <c r="J8856" s="39">
        <v>105394</v>
      </c>
      <c r="K8856" s="36" t="str">
        <f>CONCATENATE(Cover!$D$6,"fdd/view?i=",J8856)</f>
        <v>https://www.dgiwg.org/FAD/fdd/view?i=105394</v>
      </c>
      <c r="L8856" s="36" t="s">
        <v>49980</v>
      </c>
      <c r="M8856" s="186"/>
      <c r="N8856" s="186"/>
      <c r="O8856" s="172"/>
    </row>
    <row r="8857" spans="1:15" ht="63.75" x14ac:dyDescent="0.2">
      <c r="A8857" s="197" t="str">
        <f t="shared" si="138"/>
        <v>MccCode_porphyry</v>
      </c>
      <c r="B8857" s="409"/>
      <c r="C8857" s="416"/>
      <c r="D8857" s="198" t="s">
        <v>43664</v>
      </c>
      <c r="E8857" s="198">
        <v>76</v>
      </c>
      <c r="F8857" s="199" t="s">
        <v>43665</v>
      </c>
      <c r="G8857" s="1" t="s">
        <v>44495</v>
      </c>
      <c r="H8857" s="1" t="s">
        <v>44496</v>
      </c>
      <c r="I8857" s="346"/>
      <c r="J8857" s="39">
        <v>105396</v>
      </c>
      <c r="K8857" s="36" t="str">
        <f>CONCATENATE(Cover!$D$6,"fdd/view?i=",J8857)</f>
        <v>https://www.dgiwg.org/FAD/fdd/view?i=105396</v>
      </c>
      <c r="L8857" s="36" t="s">
        <v>49981</v>
      </c>
      <c r="M8857" s="186"/>
      <c r="N8857" s="186"/>
      <c r="O8857" s="172"/>
    </row>
    <row r="8858" spans="1:15" ht="38.25" x14ac:dyDescent="0.2">
      <c r="A8858" s="197" t="str">
        <f t="shared" si="138"/>
        <v>MccCode_prestressedConcrete</v>
      </c>
      <c r="B8858" s="409"/>
      <c r="C8858" s="416"/>
      <c r="D8858" s="198" t="s">
        <v>43678</v>
      </c>
      <c r="E8858" s="198">
        <v>77</v>
      </c>
      <c r="F8858" s="199" t="s">
        <v>43679</v>
      </c>
      <c r="G8858" s="1" t="s">
        <v>43680</v>
      </c>
      <c r="H8858" s="200"/>
      <c r="I8858" s="346"/>
      <c r="J8858" s="39">
        <v>105397</v>
      </c>
      <c r="K8858" s="36" t="str">
        <f>CONCATENATE(Cover!$D$6,"fdd/view?i=",J8858)</f>
        <v>https://www.dgiwg.org/FAD/fdd/view?i=105397</v>
      </c>
      <c r="L8858" s="36" t="s">
        <v>49982</v>
      </c>
      <c r="M8858" s="186"/>
      <c r="N8858" s="186"/>
      <c r="O8858" s="172"/>
    </row>
    <row r="8859" spans="1:15" ht="38.25" x14ac:dyDescent="0.2">
      <c r="A8859" s="197" t="str">
        <f t="shared" si="138"/>
        <v>MccCode_pumice</v>
      </c>
      <c r="B8859" s="409"/>
      <c r="C8859" s="416"/>
      <c r="D8859" s="198" t="s">
        <v>43682</v>
      </c>
      <c r="E8859" s="198">
        <v>79</v>
      </c>
      <c r="F8859" s="199" t="s">
        <v>43683</v>
      </c>
      <c r="G8859" s="1" t="s">
        <v>43684</v>
      </c>
      <c r="H8859" s="1" t="s">
        <v>43685</v>
      </c>
      <c r="I8859" s="346"/>
      <c r="J8859" s="39">
        <v>105399</v>
      </c>
      <c r="K8859" s="36" t="str">
        <f>CONCATENATE(Cover!$D$6,"fdd/view?i=",J8859)</f>
        <v>https://www.dgiwg.org/FAD/fdd/view?i=105399</v>
      </c>
      <c r="L8859" s="36" t="s">
        <v>49983</v>
      </c>
      <c r="M8859" s="186"/>
      <c r="N8859" s="186"/>
      <c r="O8859" s="172"/>
    </row>
    <row r="8860" spans="1:15" ht="38.25" x14ac:dyDescent="0.2">
      <c r="A8860" s="197" t="str">
        <f t="shared" si="138"/>
        <v>MccCode_quartz</v>
      </c>
      <c r="B8860" s="409"/>
      <c r="C8860" s="416"/>
      <c r="D8860" s="198" t="s">
        <v>35487</v>
      </c>
      <c r="E8860" s="198">
        <v>80</v>
      </c>
      <c r="F8860" s="199" t="s">
        <v>35488</v>
      </c>
      <c r="G8860" s="1" t="s">
        <v>44499</v>
      </c>
      <c r="H8860" s="1" t="s">
        <v>44500</v>
      </c>
      <c r="I8860" s="346"/>
      <c r="J8860" s="39">
        <v>105400</v>
      </c>
      <c r="K8860" s="36" t="str">
        <f>CONCATENATE(Cover!$D$6,"fdd/view?i=",J8860)</f>
        <v>https://www.dgiwg.org/FAD/fdd/view?i=105400</v>
      </c>
      <c r="L8860" s="36" t="s">
        <v>49984</v>
      </c>
      <c r="M8860" s="186"/>
      <c r="N8860" s="186"/>
      <c r="O8860" s="172"/>
    </row>
    <row r="8861" spans="1:15" ht="51" x14ac:dyDescent="0.2">
      <c r="A8861" s="197" t="str">
        <f t="shared" si="138"/>
        <v>MccCode_quartzite</v>
      </c>
      <c r="B8861" s="409"/>
      <c r="C8861" s="416"/>
      <c r="D8861" s="198" t="s">
        <v>43690</v>
      </c>
      <c r="E8861" s="198">
        <v>125</v>
      </c>
      <c r="F8861" s="199" t="s">
        <v>43691</v>
      </c>
      <c r="G8861" s="1" t="s">
        <v>44502</v>
      </c>
      <c r="H8861" s="1" t="s">
        <v>44503</v>
      </c>
      <c r="I8861" s="346"/>
      <c r="J8861" s="39">
        <v>105444</v>
      </c>
      <c r="K8861" s="36" t="str">
        <f>CONCATENATE(Cover!$D$6,"fdd/view?i=",J8861)</f>
        <v>https://www.dgiwg.org/FAD/fdd/view?i=105444</v>
      </c>
      <c r="L8861" s="36" t="s">
        <v>49985</v>
      </c>
      <c r="M8861" s="186"/>
      <c r="N8861" s="186"/>
      <c r="O8861" s="172"/>
    </row>
    <row r="8862" spans="1:15" ht="38.25" x14ac:dyDescent="0.2">
      <c r="A8862" s="197" t="str">
        <f t="shared" si="138"/>
        <v>MccCode_radioactiveMaterial</v>
      </c>
      <c r="B8862" s="409"/>
      <c r="C8862" s="416"/>
      <c r="D8862" s="198" t="s">
        <v>25289</v>
      </c>
      <c r="E8862" s="198">
        <v>82</v>
      </c>
      <c r="F8862" s="199" t="s">
        <v>25290</v>
      </c>
      <c r="G8862" s="1" t="s">
        <v>25291</v>
      </c>
      <c r="H8862" s="200"/>
      <c r="I8862" s="346"/>
      <c r="J8862" s="39">
        <v>105402</v>
      </c>
      <c r="K8862" s="36" t="str">
        <f>CONCATENATE(Cover!$D$6,"fdd/view?i=",J8862)</f>
        <v>https://www.dgiwg.org/FAD/fdd/view?i=105402</v>
      </c>
      <c r="L8862" s="36" t="s">
        <v>49986</v>
      </c>
      <c r="M8862" s="186"/>
      <c r="N8862" s="186"/>
      <c r="O8862" s="172"/>
    </row>
    <row r="8863" spans="1:15" ht="25.5" x14ac:dyDescent="0.2">
      <c r="A8863" s="197" t="str">
        <f t="shared" si="138"/>
        <v>MccCode_radiolaria</v>
      </c>
      <c r="B8863" s="409"/>
      <c r="C8863" s="416"/>
      <c r="D8863" s="198" t="s">
        <v>43696</v>
      </c>
      <c r="E8863" s="198">
        <v>81</v>
      </c>
      <c r="F8863" s="199" t="s">
        <v>43697</v>
      </c>
      <c r="G8863" s="1" t="s">
        <v>43698</v>
      </c>
      <c r="H8863" s="200"/>
      <c r="I8863" s="346"/>
      <c r="J8863" s="39">
        <v>105401</v>
      </c>
      <c r="K8863" s="36" t="str">
        <f>CONCATENATE(Cover!$D$6,"fdd/view?i=",J8863)</f>
        <v>https://www.dgiwg.org/FAD/fdd/view?i=105401</v>
      </c>
      <c r="L8863" s="36" t="s">
        <v>49987</v>
      </c>
      <c r="M8863" s="186"/>
      <c r="N8863" s="186"/>
      <c r="O8863" s="172"/>
    </row>
    <row r="8864" spans="1:15" ht="25.5" x14ac:dyDescent="0.2">
      <c r="A8864" s="197" t="str">
        <f t="shared" si="138"/>
        <v>MccCode_reinforcedConcrete</v>
      </c>
      <c r="B8864" s="409"/>
      <c r="C8864" s="416"/>
      <c r="D8864" s="198" t="s">
        <v>24173</v>
      </c>
      <c r="E8864" s="198">
        <v>83</v>
      </c>
      <c r="F8864" s="199" t="s">
        <v>24174</v>
      </c>
      <c r="G8864" s="1" t="s">
        <v>24175</v>
      </c>
      <c r="H8864" s="200"/>
      <c r="I8864" s="351" t="s">
        <v>24176</v>
      </c>
      <c r="J8864" s="39">
        <v>105403</v>
      </c>
      <c r="K8864" s="36" t="str">
        <f>CONCATENATE(Cover!$D$6,"fdd/view?i=",J8864)</f>
        <v>https://www.dgiwg.org/FAD/fdd/view?i=105403</v>
      </c>
      <c r="L8864" s="36" t="s">
        <v>49988</v>
      </c>
      <c r="M8864" s="186"/>
      <c r="N8864" s="186"/>
      <c r="O8864" s="172"/>
    </row>
    <row r="8865" spans="1:15" ht="25.5" x14ac:dyDescent="0.2">
      <c r="A8865" s="197" t="str">
        <f t="shared" si="138"/>
        <v>MccCode_riprap</v>
      </c>
      <c r="B8865" s="409"/>
      <c r="C8865" s="416"/>
      <c r="D8865" s="198" t="s">
        <v>49989</v>
      </c>
      <c r="E8865" s="198">
        <v>157</v>
      </c>
      <c r="F8865" s="199" t="s">
        <v>4747</v>
      </c>
      <c r="G8865" s="1" t="s">
        <v>49990</v>
      </c>
      <c r="H8865" s="1" t="s">
        <v>49991</v>
      </c>
      <c r="I8865" s="346"/>
      <c r="J8865" s="39">
        <v>112762</v>
      </c>
      <c r="K8865" s="36" t="str">
        <f>CONCATENATE(Cover!$D$6,"fdd/view?i=",J8865)</f>
        <v>https://www.dgiwg.org/FAD/fdd/view?i=112762</v>
      </c>
      <c r="L8865" s="36" t="s">
        <v>49992</v>
      </c>
      <c r="M8865" s="186"/>
      <c r="N8865" s="186"/>
      <c r="O8865" s="172"/>
    </row>
    <row r="8866" spans="1:15" x14ac:dyDescent="0.2">
      <c r="A8866" s="197" t="str">
        <f t="shared" si="138"/>
        <v>MccCode_rock</v>
      </c>
      <c r="B8866" s="409"/>
      <c r="C8866" s="416"/>
      <c r="D8866" s="198" t="s">
        <v>27993</v>
      </c>
      <c r="E8866" s="198">
        <v>84</v>
      </c>
      <c r="F8866" s="199" t="s">
        <v>27994</v>
      </c>
      <c r="G8866" s="1" t="s">
        <v>43702</v>
      </c>
      <c r="H8866" s="200"/>
      <c r="I8866" s="346"/>
      <c r="J8866" s="39">
        <v>105404</v>
      </c>
      <c r="K8866" s="36" t="str">
        <f>CONCATENATE(Cover!$D$6,"fdd/view?i=",J8866)</f>
        <v>https://www.dgiwg.org/FAD/fdd/view?i=105404</v>
      </c>
      <c r="L8866" s="36" t="s">
        <v>49993</v>
      </c>
      <c r="M8866" s="186"/>
      <c r="N8866" s="186"/>
      <c r="O8866" s="172"/>
    </row>
    <row r="8867" spans="1:15" ht="25.5" x14ac:dyDescent="0.2">
      <c r="A8867" s="197" t="str">
        <f t="shared" si="138"/>
        <v>MccCode_rocksAndBoulders</v>
      </c>
      <c r="B8867" s="409"/>
      <c r="C8867" s="416"/>
      <c r="D8867" s="198" t="s">
        <v>49994</v>
      </c>
      <c r="E8867" s="198">
        <v>144</v>
      </c>
      <c r="F8867" s="199" t="s">
        <v>24179</v>
      </c>
      <c r="G8867" s="1" t="s">
        <v>24180</v>
      </c>
      <c r="H8867" s="1" t="s">
        <v>24181</v>
      </c>
      <c r="I8867" s="346"/>
      <c r="J8867" s="39">
        <v>110255</v>
      </c>
      <c r="K8867" s="36" t="str">
        <f>CONCATENATE(Cover!$D$6,"fdd/view?i=",J8867)</f>
        <v>https://www.dgiwg.org/FAD/fdd/view?i=110255</v>
      </c>
      <c r="L8867" s="36" t="s">
        <v>49995</v>
      </c>
      <c r="M8867" s="186"/>
      <c r="N8867" s="186"/>
      <c r="O8867" s="172"/>
    </row>
    <row r="8868" spans="1:15" ht="25.5" x14ac:dyDescent="0.2">
      <c r="A8868" s="197" t="str">
        <f t="shared" si="138"/>
        <v>MccCode_roofShingle</v>
      </c>
      <c r="B8868" s="409"/>
      <c r="C8868" s="416"/>
      <c r="D8868" s="198" t="s">
        <v>43704</v>
      </c>
      <c r="E8868" s="198">
        <v>134</v>
      </c>
      <c r="F8868" s="199" t="s">
        <v>43705</v>
      </c>
      <c r="G8868" s="1" t="s">
        <v>43706</v>
      </c>
      <c r="H8868" s="1" t="s">
        <v>43707</v>
      </c>
      <c r="I8868" s="346"/>
      <c r="J8868" s="39">
        <v>108198</v>
      </c>
      <c r="K8868" s="36" t="str">
        <f>CONCATENATE(Cover!$D$6,"fdd/view?i=",J8868)</f>
        <v>https://www.dgiwg.org/FAD/fdd/view?i=108198</v>
      </c>
      <c r="L8868" s="36" t="s">
        <v>49996</v>
      </c>
      <c r="M8868" s="186"/>
      <c r="N8868" s="186"/>
      <c r="O8868" s="172"/>
    </row>
    <row r="8869" spans="1:15" ht="51" x14ac:dyDescent="0.2">
      <c r="A8869" s="197" t="str">
        <f t="shared" si="138"/>
        <v>MccCode_rubber</v>
      </c>
      <c r="B8869" s="409"/>
      <c r="C8869" s="416"/>
      <c r="D8869" s="198" t="s">
        <v>27502</v>
      </c>
      <c r="E8869" s="198">
        <v>85</v>
      </c>
      <c r="F8869" s="199" t="s">
        <v>27503</v>
      </c>
      <c r="G8869" s="1" t="s">
        <v>43709</v>
      </c>
      <c r="H8869" s="1" t="s">
        <v>43710</v>
      </c>
      <c r="I8869" s="346"/>
      <c r="J8869" s="39">
        <v>105405</v>
      </c>
      <c r="K8869" s="36" t="str">
        <f>CONCATENATE(Cover!$D$6,"fdd/view?i=",J8869)</f>
        <v>https://www.dgiwg.org/FAD/fdd/view?i=105405</v>
      </c>
      <c r="L8869" s="36" t="s">
        <v>49997</v>
      </c>
      <c r="M8869" s="186"/>
      <c r="N8869" s="186"/>
      <c r="O8869" s="172"/>
    </row>
    <row r="8870" spans="1:15" ht="25.5" x14ac:dyDescent="0.2">
      <c r="A8870" s="197" t="str">
        <f t="shared" si="138"/>
        <v>MccCode_rubble</v>
      </c>
      <c r="B8870" s="409"/>
      <c r="C8870" s="416"/>
      <c r="D8870" s="198" t="s">
        <v>25298</v>
      </c>
      <c r="E8870" s="198">
        <v>86</v>
      </c>
      <c r="F8870" s="199" t="s">
        <v>25299</v>
      </c>
      <c r="G8870" s="1" t="s">
        <v>25300</v>
      </c>
      <c r="H8870" s="200"/>
      <c r="I8870" s="346"/>
      <c r="J8870" s="39">
        <v>105406</v>
      </c>
      <c r="K8870" s="36" t="str">
        <f>CONCATENATE(Cover!$D$6,"fdd/view?i=",J8870)</f>
        <v>https://www.dgiwg.org/FAD/fdd/view?i=105406</v>
      </c>
      <c r="L8870" s="36" t="s">
        <v>49998</v>
      </c>
      <c r="M8870" s="186"/>
      <c r="N8870" s="186"/>
      <c r="O8870" s="172"/>
    </row>
    <row r="8871" spans="1:15" ht="38.25" x14ac:dyDescent="0.2">
      <c r="A8871" s="197" t="str">
        <f t="shared" si="138"/>
        <v>MccCode_salt</v>
      </c>
      <c r="B8871" s="409"/>
      <c r="C8871" s="416"/>
      <c r="D8871" s="198" t="s">
        <v>27998</v>
      </c>
      <c r="E8871" s="198">
        <v>87</v>
      </c>
      <c r="F8871" s="199" t="s">
        <v>27999</v>
      </c>
      <c r="G8871" s="1" t="s">
        <v>43712</v>
      </c>
      <c r="H8871" s="1" t="s">
        <v>43713</v>
      </c>
      <c r="I8871" s="346"/>
      <c r="J8871" s="39">
        <v>105407</v>
      </c>
      <c r="K8871" s="36" t="str">
        <f>CONCATENATE(Cover!$D$6,"fdd/view?i=",J8871)</f>
        <v>https://www.dgiwg.org/FAD/fdd/view?i=105407</v>
      </c>
      <c r="L8871" s="36" t="s">
        <v>49999</v>
      </c>
      <c r="M8871" s="186"/>
      <c r="N8871" s="186"/>
      <c r="O8871" s="172"/>
    </row>
    <row r="8872" spans="1:15" ht="76.5" x14ac:dyDescent="0.2">
      <c r="A8872" s="197" t="str">
        <f t="shared" si="138"/>
        <v>MccCode_sand</v>
      </c>
      <c r="B8872" s="409"/>
      <c r="C8872" s="416"/>
      <c r="D8872" s="198" t="s">
        <v>19594</v>
      </c>
      <c r="E8872" s="198">
        <v>88</v>
      </c>
      <c r="F8872" s="199" t="s">
        <v>19595</v>
      </c>
      <c r="G8872" s="1" t="s">
        <v>24183</v>
      </c>
      <c r="H8872" s="1" t="s">
        <v>24184</v>
      </c>
      <c r="I8872" s="346"/>
      <c r="J8872" s="39">
        <v>105408</v>
      </c>
      <c r="K8872" s="36" t="str">
        <f>CONCATENATE(Cover!$D$6,"fdd/view?i=",J8872)</f>
        <v>https://www.dgiwg.org/FAD/fdd/view?i=105408</v>
      </c>
      <c r="L8872" s="36" t="s">
        <v>50000</v>
      </c>
      <c r="M8872" s="186"/>
      <c r="N8872" s="186"/>
      <c r="O8872" s="172"/>
    </row>
    <row r="8873" spans="1:15" ht="38.25" x14ac:dyDescent="0.2">
      <c r="A8873" s="197" t="str">
        <f t="shared" si="138"/>
        <v>MccCode_sandAndGravel</v>
      </c>
      <c r="B8873" s="409"/>
      <c r="C8873" s="416"/>
      <c r="D8873" s="198" t="s">
        <v>50001</v>
      </c>
      <c r="E8873" s="198">
        <v>142</v>
      </c>
      <c r="F8873" s="199" t="s">
        <v>24187</v>
      </c>
      <c r="G8873" s="1" t="s">
        <v>24188</v>
      </c>
      <c r="H8873" s="1" t="s">
        <v>24189</v>
      </c>
      <c r="I8873" s="346"/>
      <c r="J8873" s="39">
        <v>110253</v>
      </c>
      <c r="K8873" s="36" t="str">
        <f>CONCATENATE(Cover!$D$6,"fdd/view?i=",J8873)</f>
        <v>https://www.dgiwg.org/FAD/fdd/view?i=110253</v>
      </c>
      <c r="L8873" s="36" t="s">
        <v>50002</v>
      </c>
      <c r="M8873" s="186"/>
      <c r="N8873" s="186"/>
      <c r="O8873" s="172"/>
    </row>
    <row r="8874" spans="1:15" ht="38.25" x14ac:dyDescent="0.2">
      <c r="A8874" s="197" t="str">
        <f t="shared" si="138"/>
        <v>MccCode_sandOverMud</v>
      </c>
      <c r="B8874" s="409"/>
      <c r="C8874" s="416"/>
      <c r="D8874" s="198" t="s">
        <v>24191</v>
      </c>
      <c r="E8874" s="198">
        <v>148</v>
      </c>
      <c r="F8874" s="199" t="s">
        <v>24192</v>
      </c>
      <c r="G8874" s="1" t="s">
        <v>24193</v>
      </c>
      <c r="H8874" s="200"/>
      <c r="I8874" s="346"/>
      <c r="J8874" s="39">
        <v>110259</v>
      </c>
      <c r="K8874" s="36" t="str">
        <f>CONCATENATE(Cover!$D$6,"fdd/view?i=",J8874)</f>
        <v>https://www.dgiwg.org/FAD/fdd/view?i=110259</v>
      </c>
      <c r="L8874" s="36" t="s">
        <v>50003</v>
      </c>
      <c r="M8874" s="186"/>
      <c r="N8874" s="186"/>
      <c r="O8874" s="172"/>
    </row>
    <row r="8875" spans="1:15" ht="25.5" x14ac:dyDescent="0.2">
      <c r="A8875" s="197" t="str">
        <f t="shared" si="138"/>
        <v>MccCode_sandstone</v>
      </c>
      <c r="B8875" s="409"/>
      <c r="C8875" s="416"/>
      <c r="D8875" s="198" t="s">
        <v>22358</v>
      </c>
      <c r="E8875" s="198">
        <v>89</v>
      </c>
      <c r="F8875" s="199" t="s">
        <v>22359</v>
      </c>
      <c r="G8875" s="1" t="s">
        <v>22360</v>
      </c>
      <c r="H8875" s="1" t="s">
        <v>22361</v>
      </c>
      <c r="I8875" s="346"/>
      <c r="J8875" s="39">
        <v>105409</v>
      </c>
      <c r="K8875" s="36" t="str">
        <f>CONCATENATE(Cover!$D$6,"fdd/view?i=",J8875)</f>
        <v>https://www.dgiwg.org/FAD/fdd/view?i=105409</v>
      </c>
      <c r="L8875" s="36" t="s">
        <v>50004</v>
      </c>
      <c r="M8875" s="186"/>
      <c r="N8875" s="186"/>
      <c r="O8875" s="172"/>
    </row>
    <row r="8876" spans="1:15" ht="38.25" x14ac:dyDescent="0.2">
      <c r="A8876" s="197" t="str">
        <f t="shared" si="138"/>
        <v>MccCode_schist</v>
      </c>
      <c r="B8876" s="409"/>
      <c r="C8876" s="416"/>
      <c r="D8876" s="198" t="s">
        <v>22363</v>
      </c>
      <c r="E8876" s="198">
        <v>90</v>
      </c>
      <c r="F8876" s="199" t="s">
        <v>22364</v>
      </c>
      <c r="G8876" s="1" t="s">
        <v>43720</v>
      </c>
      <c r="H8876" s="200"/>
      <c r="I8876" s="346"/>
      <c r="J8876" s="39">
        <v>105410</v>
      </c>
      <c r="K8876" s="36" t="str">
        <f>CONCATENATE(Cover!$D$6,"fdd/view?i=",J8876)</f>
        <v>https://www.dgiwg.org/FAD/fdd/view?i=105410</v>
      </c>
      <c r="L8876" s="36" t="s">
        <v>50005</v>
      </c>
      <c r="M8876" s="186"/>
      <c r="N8876" s="186"/>
      <c r="O8876" s="172"/>
    </row>
    <row r="8877" spans="1:15" ht="25.5" x14ac:dyDescent="0.2">
      <c r="A8877" s="197" t="str">
        <f t="shared" si="138"/>
        <v>MccCode_scoria</v>
      </c>
      <c r="B8877" s="409"/>
      <c r="C8877" s="416"/>
      <c r="D8877" s="198" t="s">
        <v>43722</v>
      </c>
      <c r="E8877" s="198">
        <v>92</v>
      </c>
      <c r="F8877" s="199" t="s">
        <v>43723</v>
      </c>
      <c r="G8877" s="1" t="s">
        <v>43725</v>
      </c>
      <c r="H8877" s="200"/>
      <c r="I8877" s="346"/>
      <c r="J8877" s="39">
        <v>105412</v>
      </c>
      <c r="K8877" s="36" t="str">
        <f>CONCATENATE(Cover!$D$6,"fdd/view?i=",J8877)</f>
        <v>https://www.dgiwg.org/FAD/fdd/view?i=105412</v>
      </c>
      <c r="L8877" s="36" t="s">
        <v>50006</v>
      </c>
      <c r="M8877" s="186"/>
      <c r="N8877" s="186"/>
      <c r="O8877" s="172"/>
    </row>
    <row r="8878" spans="1:15" ht="25.5" x14ac:dyDescent="0.2">
      <c r="A8878" s="197" t="str">
        <f t="shared" si="138"/>
        <v>MccCode_seaMoss</v>
      </c>
      <c r="B8878" s="409"/>
      <c r="C8878" s="416"/>
      <c r="D8878" s="198" t="s">
        <v>43727</v>
      </c>
      <c r="E8878" s="198">
        <v>75</v>
      </c>
      <c r="F8878" s="199" t="s">
        <v>43728</v>
      </c>
      <c r="G8878" s="1" t="s">
        <v>43729</v>
      </c>
      <c r="H8878" s="200"/>
      <c r="I8878" s="346"/>
      <c r="J8878" s="39">
        <v>105395</v>
      </c>
      <c r="K8878" s="36" t="str">
        <f>CONCATENATE(Cover!$D$6,"fdd/view?i=",J8878)</f>
        <v>https://www.dgiwg.org/FAD/fdd/view?i=105395</v>
      </c>
      <c r="L8878" s="36" t="s">
        <v>50007</v>
      </c>
      <c r="M8878" s="186"/>
      <c r="N8878" s="186"/>
      <c r="O8878" s="172"/>
    </row>
    <row r="8879" spans="1:15" ht="25.5" x14ac:dyDescent="0.2">
      <c r="A8879" s="197" t="str">
        <f t="shared" si="138"/>
        <v>MccCode_sedimentaryRock</v>
      </c>
      <c r="B8879" s="409"/>
      <c r="C8879" s="416"/>
      <c r="D8879" s="198" t="s">
        <v>50008</v>
      </c>
      <c r="E8879" s="198">
        <v>139</v>
      </c>
      <c r="F8879" s="199" t="s">
        <v>50009</v>
      </c>
      <c r="G8879" s="1" t="s">
        <v>50010</v>
      </c>
      <c r="H8879" s="1" t="s">
        <v>50011</v>
      </c>
      <c r="I8879" s="346"/>
      <c r="J8879" s="39">
        <v>108239</v>
      </c>
      <c r="K8879" s="36" t="str">
        <f>CONCATENATE(Cover!$D$6,"fdd/view?i=",J8879)</f>
        <v>https://www.dgiwg.org/FAD/fdd/view?i=108239</v>
      </c>
      <c r="L8879" s="36" t="s">
        <v>50012</v>
      </c>
      <c r="M8879" s="186"/>
      <c r="N8879" s="186"/>
      <c r="O8879" s="172"/>
    </row>
    <row r="8880" spans="1:15" x14ac:dyDescent="0.2">
      <c r="A8880" s="197" t="str">
        <f t="shared" si="138"/>
        <v>MccCode_sewage</v>
      </c>
      <c r="B8880" s="409"/>
      <c r="C8880" s="416"/>
      <c r="D8880" s="198" t="s">
        <v>16566</v>
      </c>
      <c r="E8880" s="198">
        <v>95</v>
      </c>
      <c r="F8880" s="199" t="s">
        <v>16567</v>
      </c>
      <c r="G8880" s="1" t="s">
        <v>25310</v>
      </c>
      <c r="H8880" s="200"/>
      <c r="I8880" s="346"/>
      <c r="J8880" s="39">
        <v>105415</v>
      </c>
      <c r="K8880" s="36" t="str">
        <f>CONCATENATE(Cover!$D$6,"fdd/view?i=",J8880)</f>
        <v>https://www.dgiwg.org/FAD/fdd/view?i=105415</v>
      </c>
      <c r="L8880" s="36" t="s">
        <v>50013</v>
      </c>
      <c r="M8880" s="186"/>
      <c r="N8880" s="186"/>
      <c r="O8880" s="172"/>
    </row>
    <row r="8881" spans="1:15" ht="25.5" x14ac:dyDescent="0.2">
      <c r="A8881" s="197" t="str">
        <f t="shared" si="138"/>
        <v>MccCode_shale</v>
      </c>
      <c r="B8881" s="409"/>
      <c r="C8881" s="416"/>
      <c r="D8881" s="198" t="s">
        <v>22372</v>
      </c>
      <c r="E8881" s="198">
        <v>128</v>
      </c>
      <c r="F8881" s="199" t="s">
        <v>22373</v>
      </c>
      <c r="G8881" s="1" t="s">
        <v>22374</v>
      </c>
      <c r="H8881" s="200"/>
      <c r="I8881" s="346"/>
      <c r="J8881" s="39">
        <v>105447</v>
      </c>
      <c r="K8881" s="36" t="str">
        <f>CONCATENATE(Cover!$D$6,"fdd/view?i=",J8881)</f>
        <v>https://www.dgiwg.org/FAD/fdd/view?i=105447</v>
      </c>
      <c r="L8881" s="36" t="s">
        <v>50014</v>
      </c>
      <c r="M8881" s="186"/>
      <c r="N8881" s="186"/>
      <c r="O8881" s="172"/>
    </row>
    <row r="8882" spans="1:15" ht="25.5" x14ac:dyDescent="0.2">
      <c r="A8882" s="197" t="str">
        <f t="shared" si="138"/>
        <v>MccCode_shell</v>
      </c>
      <c r="B8882" s="409"/>
      <c r="C8882" s="416"/>
      <c r="D8882" s="198" t="s">
        <v>37482</v>
      </c>
      <c r="E8882" s="198">
        <v>96</v>
      </c>
      <c r="F8882" s="199" t="s">
        <v>37483</v>
      </c>
      <c r="G8882" s="1" t="s">
        <v>43732</v>
      </c>
      <c r="H8882" s="200"/>
      <c r="I8882" s="346"/>
      <c r="J8882" s="39">
        <v>105416</v>
      </c>
      <c r="K8882" s="36" t="str">
        <f>CONCATENATE(Cover!$D$6,"fdd/view?i=",J8882)</f>
        <v>https://www.dgiwg.org/FAD/fdd/view?i=105416</v>
      </c>
      <c r="L8882" s="36" t="s">
        <v>50015</v>
      </c>
      <c r="M8882" s="186"/>
      <c r="N8882" s="186"/>
      <c r="O8882" s="172"/>
    </row>
    <row r="8883" spans="1:15" ht="25.5" x14ac:dyDescent="0.2">
      <c r="A8883" s="197" t="str">
        <f t="shared" si="138"/>
        <v>MccCode_shingle</v>
      </c>
      <c r="B8883" s="409"/>
      <c r="C8883" s="416"/>
      <c r="D8883" s="198" t="s">
        <v>46802</v>
      </c>
      <c r="E8883" s="198">
        <v>98</v>
      </c>
      <c r="F8883" s="199" t="s">
        <v>46803</v>
      </c>
      <c r="G8883" s="1" t="s">
        <v>46804</v>
      </c>
      <c r="H8883" s="200"/>
      <c r="I8883" s="346"/>
      <c r="J8883" s="39">
        <v>105417</v>
      </c>
      <c r="K8883" s="36" t="str">
        <f>CONCATENATE(Cover!$D$6,"fdd/view?i=",J8883)</f>
        <v>https://www.dgiwg.org/FAD/fdd/view?i=105417</v>
      </c>
      <c r="L8883" s="36" t="s">
        <v>50016</v>
      </c>
      <c r="M8883" s="186"/>
      <c r="N8883" s="186"/>
      <c r="O8883" s="172"/>
    </row>
    <row r="8884" spans="1:15" ht="38.25" x14ac:dyDescent="0.2">
      <c r="A8884" s="197" t="str">
        <f t="shared" si="138"/>
        <v>MccCode_silt</v>
      </c>
      <c r="B8884" s="409"/>
      <c r="C8884" s="416"/>
      <c r="D8884" s="198" t="s">
        <v>25312</v>
      </c>
      <c r="E8884" s="198">
        <v>99</v>
      </c>
      <c r="F8884" s="199" t="s">
        <v>25313</v>
      </c>
      <c r="G8884" s="1" t="s">
        <v>25314</v>
      </c>
      <c r="H8884" s="200"/>
      <c r="I8884" s="346"/>
      <c r="J8884" s="39">
        <v>105418</v>
      </c>
      <c r="K8884" s="36" t="str">
        <f>CONCATENATE(Cover!$D$6,"fdd/view?i=",J8884)</f>
        <v>https://www.dgiwg.org/FAD/fdd/view?i=105418</v>
      </c>
      <c r="L8884" s="36" t="s">
        <v>50017</v>
      </c>
      <c r="M8884" s="186"/>
      <c r="N8884" s="186"/>
      <c r="O8884" s="172"/>
    </row>
    <row r="8885" spans="1:15" ht="25.5" x14ac:dyDescent="0.2">
      <c r="A8885" s="197" t="str">
        <f t="shared" si="138"/>
        <v>MccCode_siltstoneMudstone</v>
      </c>
      <c r="B8885" s="409"/>
      <c r="C8885" s="416"/>
      <c r="D8885" s="198" t="s">
        <v>50018</v>
      </c>
      <c r="E8885" s="198">
        <v>129</v>
      </c>
      <c r="F8885" s="199" t="s">
        <v>50019</v>
      </c>
      <c r="G8885" s="1" t="s">
        <v>50020</v>
      </c>
      <c r="H8885" s="200"/>
      <c r="I8885" s="346"/>
      <c r="J8885" s="39">
        <v>105448</v>
      </c>
      <c r="K8885" s="36" t="str">
        <f>CONCATENATE(Cover!$D$6,"fdd/view?i=",J8885)</f>
        <v>https://www.dgiwg.org/FAD/fdd/view?i=105448</v>
      </c>
      <c r="L8885" s="36" t="s">
        <v>50021</v>
      </c>
      <c r="M8885" s="186"/>
      <c r="N8885" s="186"/>
      <c r="O8885" s="172"/>
    </row>
    <row r="8886" spans="1:15" ht="25.5" x14ac:dyDescent="0.2">
      <c r="A8886" s="197" t="str">
        <f t="shared" si="138"/>
        <v>MccCode_siltySands</v>
      </c>
      <c r="B8886" s="409"/>
      <c r="C8886" s="416"/>
      <c r="D8886" s="198" t="s">
        <v>24195</v>
      </c>
      <c r="E8886" s="198">
        <v>141</v>
      </c>
      <c r="F8886" s="199" t="s">
        <v>24196</v>
      </c>
      <c r="G8886" s="1" t="s">
        <v>24197</v>
      </c>
      <c r="H8886" s="1" t="s">
        <v>24198</v>
      </c>
      <c r="I8886" s="346"/>
      <c r="J8886" s="39">
        <v>110252</v>
      </c>
      <c r="K8886" s="36" t="str">
        <f>CONCATENATE(Cover!$D$6,"fdd/view?i=",J8886)</f>
        <v>https://www.dgiwg.org/FAD/fdd/view?i=110252</v>
      </c>
      <c r="L8886" s="36" t="s">
        <v>50022</v>
      </c>
      <c r="M8886" s="186"/>
      <c r="N8886" s="186"/>
      <c r="O8886" s="172"/>
    </row>
    <row r="8887" spans="1:15" ht="38.25" x14ac:dyDescent="0.2">
      <c r="A8887" s="197" t="str">
        <f t="shared" si="138"/>
        <v>MccCode_silver</v>
      </c>
      <c r="B8887" s="409"/>
      <c r="C8887" s="416"/>
      <c r="D8887" s="198" t="s">
        <v>25871</v>
      </c>
      <c r="E8887" s="198">
        <v>100</v>
      </c>
      <c r="F8887" s="199" t="s">
        <v>43029</v>
      </c>
      <c r="G8887" s="1" t="s">
        <v>43739</v>
      </c>
      <c r="H8887" s="200"/>
      <c r="I8887" s="346"/>
      <c r="J8887" s="39">
        <v>105419</v>
      </c>
      <c r="K8887" s="36" t="str">
        <f>CONCATENATE(Cover!$D$6,"fdd/view?i=",J8887)</f>
        <v>https://www.dgiwg.org/FAD/fdd/view?i=105419</v>
      </c>
      <c r="L8887" s="36" t="s">
        <v>50023</v>
      </c>
      <c r="M8887" s="186"/>
      <c r="N8887" s="186"/>
      <c r="O8887" s="172"/>
    </row>
    <row r="8888" spans="1:15" ht="25.5" x14ac:dyDescent="0.2">
      <c r="A8888" s="197" t="str">
        <f t="shared" si="138"/>
        <v>MccCode_slag</v>
      </c>
      <c r="B8888" s="409"/>
      <c r="C8888" s="416"/>
      <c r="D8888" s="198" t="s">
        <v>25316</v>
      </c>
      <c r="E8888" s="198">
        <v>101</v>
      </c>
      <c r="F8888" s="199" t="s">
        <v>25317</v>
      </c>
      <c r="G8888" s="1" t="s">
        <v>25318</v>
      </c>
      <c r="H8888" s="1" t="s">
        <v>25319</v>
      </c>
      <c r="I8888" s="346"/>
      <c r="J8888" s="39">
        <v>105420</v>
      </c>
      <c r="K8888" s="36" t="str">
        <f>CONCATENATE(Cover!$D$6,"fdd/view?i=",J8888)</f>
        <v>https://www.dgiwg.org/FAD/fdd/view?i=105420</v>
      </c>
      <c r="L8888" s="36" t="s">
        <v>50024</v>
      </c>
      <c r="M8888" s="186"/>
      <c r="N8888" s="186"/>
      <c r="O8888" s="172"/>
    </row>
    <row r="8889" spans="1:15" x14ac:dyDescent="0.2">
      <c r="A8889" s="197" t="str">
        <f t="shared" si="138"/>
        <v>MccCode_slash</v>
      </c>
      <c r="B8889" s="409"/>
      <c r="C8889" s="416"/>
      <c r="D8889" s="198" t="s">
        <v>24200</v>
      </c>
      <c r="E8889" s="198">
        <v>147</v>
      </c>
      <c r="F8889" s="199" t="s">
        <v>24201</v>
      </c>
      <c r="G8889" s="1" t="s">
        <v>24202</v>
      </c>
      <c r="H8889" s="1" t="s">
        <v>24203</v>
      </c>
      <c r="I8889" s="346"/>
      <c r="J8889" s="39">
        <v>110258</v>
      </c>
      <c r="K8889" s="36" t="str">
        <f>CONCATENATE(Cover!$D$6,"fdd/view?i=",J8889)</f>
        <v>https://www.dgiwg.org/FAD/fdd/view?i=110258</v>
      </c>
      <c r="L8889" s="36" t="s">
        <v>50025</v>
      </c>
      <c r="M8889" s="186"/>
      <c r="N8889" s="186"/>
      <c r="O8889" s="172"/>
    </row>
    <row r="8890" spans="1:15" ht="38.25" x14ac:dyDescent="0.2">
      <c r="A8890" s="197" t="str">
        <f t="shared" si="138"/>
        <v>MccCode_slate</v>
      </c>
      <c r="B8890" s="409"/>
      <c r="C8890" s="416"/>
      <c r="D8890" s="198" t="s">
        <v>43741</v>
      </c>
      <c r="E8890" s="198">
        <v>126</v>
      </c>
      <c r="F8890" s="199" t="s">
        <v>43742</v>
      </c>
      <c r="G8890" s="1" t="s">
        <v>50026</v>
      </c>
      <c r="H8890" s="1" t="s">
        <v>44521</v>
      </c>
      <c r="I8890" s="346"/>
      <c r="J8890" s="39">
        <v>105445</v>
      </c>
      <c r="K8890" s="36" t="str">
        <f>CONCATENATE(Cover!$D$6,"fdd/view?i=",J8890)</f>
        <v>https://www.dgiwg.org/FAD/fdd/view?i=105445</v>
      </c>
      <c r="L8890" s="36" t="s">
        <v>50027</v>
      </c>
      <c r="M8890" s="186"/>
      <c r="N8890" s="186"/>
      <c r="O8890" s="172"/>
    </row>
    <row r="8891" spans="1:15" ht="38.25" x14ac:dyDescent="0.2">
      <c r="A8891" s="197" t="str">
        <f t="shared" si="138"/>
        <v>MccCode_sludge</v>
      </c>
      <c r="B8891" s="409"/>
      <c r="C8891" s="416"/>
      <c r="D8891" s="198" t="s">
        <v>25321</v>
      </c>
      <c r="E8891" s="198">
        <v>102</v>
      </c>
      <c r="F8891" s="199" t="s">
        <v>25322</v>
      </c>
      <c r="G8891" s="1" t="s">
        <v>25323</v>
      </c>
      <c r="H8891" s="200"/>
      <c r="I8891" s="346"/>
      <c r="J8891" s="39">
        <v>105421</v>
      </c>
      <c r="K8891" s="36" t="str">
        <f>CONCATENATE(Cover!$D$6,"fdd/view?i=",J8891)</f>
        <v>https://www.dgiwg.org/FAD/fdd/view?i=105421</v>
      </c>
      <c r="L8891" s="36" t="s">
        <v>50028</v>
      </c>
      <c r="M8891" s="186"/>
      <c r="N8891" s="186"/>
      <c r="O8891" s="172"/>
    </row>
    <row r="8892" spans="1:15" x14ac:dyDescent="0.2">
      <c r="A8892" s="197" t="str">
        <f t="shared" si="138"/>
        <v>MccCode_snow</v>
      </c>
      <c r="B8892" s="409"/>
      <c r="C8892" s="416"/>
      <c r="D8892" s="198" t="s">
        <v>19598</v>
      </c>
      <c r="E8892" s="198">
        <v>135</v>
      </c>
      <c r="F8892" s="199" t="s">
        <v>19599</v>
      </c>
      <c r="G8892" s="1" t="s">
        <v>43746</v>
      </c>
      <c r="H8892" s="1" t="s">
        <v>43747</v>
      </c>
      <c r="I8892" s="346"/>
      <c r="J8892" s="39">
        <v>108234</v>
      </c>
      <c r="K8892" s="36" t="str">
        <f>CONCATENATE(Cover!$D$6,"fdd/view?i=",J8892)</f>
        <v>https://www.dgiwg.org/FAD/fdd/view?i=108234</v>
      </c>
      <c r="L8892" s="36" t="s">
        <v>50029</v>
      </c>
      <c r="M8892" s="186"/>
      <c r="N8892" s="186"/>
      <c r="O8892" s="172"/>
    </row>
    <row r="8893" spans="1:15" ht="25.5" x14ac:dyDescent="0.2">
      <c r="A8893" s="197" t="str">
        <f t="shared" si="138"/>
        <v>MccCode_sod</v>
      </c>
      <c r="B8893" s="409"/>
      <c r="C8893" s="416"/>
      <c r="D8893" s="198" t="s">
        <v>50030</v>
      </c>
      <c r="E8893" s="198">
        <v>136</v>
      </c>
      <c r="F8893" s="199" t="s">
        <v>50031</v>
      </c>
      <c r="G8893" s="1" t="s">
        <v>50032</v>
      </c>
      <c r="H8893" s="200"/>
      <c r="I8893" s="351" t="s">
        <v>50033</v>
      </c>
      <c r="J8893" s="39">
        <v>108235</v>
      </c>
      <c r="K8893" s="36" t="str">
        <f>CONCATENATE(Cover!$D$6,"fdd/view?i=",J8893)</f>
        <v>https://www.dgiwg.org/FAD/fdd/view?i=108235</v>
      </c>
      <c r="L8893" s="36" t="s">
        <v>50034</v>
      </c>
      <c r="M8893" s="186"/>
      <c r="N8893" s="186"/>
      <c r="O8893" s="172"/>
    </row>
    <row r="8894" spans="1:15" ht="38.25" x14ac:dyDescent="0.2">
      <c r="A8894" s="197" t="str">
        <f t="shared" si="138"/>
        <v>MccCode_soil</v>
      </c>
      <c r="B8894" s="409"/>
      <c r="C8894" s="416"/>
      <c r="D8894" s="198" t="s">
        <v>24205</v>
      </c>
      <c r="E8894" s="198">
        <v>104</v>
      </c>
      <c r="F8894" s="199" t="s">
        <v>24206</v>
      </c>
      <c r="G8894" s="1" t="s">
        <v>24207</v>
      </c>
      <c r="H8894" s="200"/>
      <c r="I8894" s="346"/>
      <c r="J8894" s="39">
        <v>105423</v>
      </c>
      <c r="K8894" s="36" t="str">
        <f>CONCATENATE(Cover!$D$6,"fdd/view?i=",J8894)</f>
        <v>https://www.dgiwg.org/FAD/fdd/view?i=105423</v>
      </c>
      <c r="L8894" s="36" t="s">
        <v>50035</v>
      </c>
      <c r="M8894" s="186"/>
      <c r="N8894" s="186"/>
      <c r="O8894" s="172"/>
    </row>
    <row r="8895" spans="1:15" ht="25.5" x14ac:dyDescent="0.2">
      <c r="A8895" s="197" t="str">
        <f t="shared" si="138"/>
        <v>MccCode_spicules</v>
      </c>
      <c r="B8895" s="409"/>
      <c r="C8895" s="416"/>
      <c r="D8895" s="198" t="s">
        <v>44525</v>
      </c>
      <c r="E8895" s="198">
        <v>105</v>
      </c>
      <c r="F8895" s="199" t="s">
        <v>44526</v>
      </c>
      <c r="G8895" s="1" t="s">
        <v>44527</v>
      </c>
      <c r="H8895" s="200"/>
      <c r="I8895" s="346"/>
      <c r="J8895" s="39">
        <v>105424</v>
      </c>
      <c r="K8895" s="36" t="str">
        <f>CONCATENATE(Cover!$D$6,"fdd/view?i=",J8895)</f>
        <v>https://www.dgiwg.org/FAD/fdd/view?i=105424</v>
      </c>
      <c r="L8895" s="36" t="s">
        <v>50036</v>
      </c>
      <c r="M8895" s="186"/>
      <c r="N8895" s="186"/>
      <c r="O8895" s="172"/>
    </row>
    <row r="8896" spans="1:15" ht="25.5" x14ac:dyDescent="0.2">
      <c r="A8896" s="197" t="str">
        <f t="shared" si="138"/>
        <v>MccCode_spoil</v>
      </c>
      <c r="B8896" s="409"/>
      <c r="C8896" s="416"/>
      <c r="D8896" s="198" t="s">
        <v>25325</v>
      </c>
      <c r="E8896" s="198">
        <v>91</v>
      </c>
      <c r="F8896" s="199" t="s">
        <v>25326</v>
      </c>
      <c r="G8896" s="1" t="s">
        <v>25327</v>
      </c>
      <c r="H8896" s="200"/>
      <c r="I8896" s="351" t="s">
        <v>25329</v>
      </c>
      <c r="J8896" s="39">
        <v>105411</v>
      </c>
      <c r="K8896" s="36" t="str">
        <f>CONCATENATE(Cover!$D$6,"fdd/view?i=",J8896)</f>
        <v>https://www.dgiwg.org/FAD/fdd/view?i=105411</v>
      </c>
      <c r="L8896" s="36" t="s">
        <v>50037</v>
      </c>
      <c r="M8896" s="186"/>
      <c r="N8896" s="186"/>
      <c r="O8896" s="172"/>
    </row>
    <row r="8897" spans="1:15" ht="38.25" x14ac:dyDescent="0.2">
      <c r="A8897" s="197" t="str">
        <f t="shared" si="138"/>
        <v>MccCode_sponge</v>
      </c>
      <c r="B8897" s="409"/>
      <c r="C8897" s="416"/>
      <c r="D8897" s="198" t="s">
        <v>43750</v>
      </c>
      <c r="E8897" s="198">
        <v>106</v>
      </c>
      <c r="F8897" s="199" t="s">
        <v>43751</v>
      </c>
      <c r="G8897" s="1" t="s">
        <v>43752</v>
      </c>
      <c r="H8897" s="200"/>
      <c r="I8897" s="346"/>
      <c r="J8897" s="39">
        <v>105425</v>
      </c>
      <c r="K8897" s="36" t="str">
        <f>CONCATENATE(Cover!$D$6,"fdd/view?i=",J8897)</f>
        <v>https://www.dgiwg.org/FAD/fdd/view?i=105425</v>
      </c>
      <c r="L8897" s="36" t="s">
        <v>50038</v>
      </c>
      <c r="M8897" s="186"/>
      <c r="N8897" s="186"/>
      <c r="O8897" s="172"/>
    </row>
    <row r="8898" spans="1:15" ht="38.25" x14ac:dyDescent="0.2">
      <c r="A8898" s="197" t="str">
        <f t="shared" ref="A8898:A8961" si="139">HYPERLINK(K8898,L8898)</f>
        <v>MccCode_steel</v>
      </c>
      <c r="B8898" s="409"/>
      <c r="C8898" s="416"/>
      <c r="D8898" s="198" t="s">
        <v>43754</v>
      </c>
      <c r="E8898" s="198">
        <v>107</v>
      </c>
      <c r="F8898" s="199" t="s">
        <v>43755</v>
      </c>
      <c r="G8898" s="1" t="s">
        <v>43756</v>
      </c>
      <c r="H8898" s="1" t="s">
        <v>43757</v>
      </c>
      <c r="I8898" s="346"/>
      <c r="J8898" s="39">
        <v>105426</v>
      </c>
      <c r="K8898" s="36" t="str">
        <f>CONCATENATE(Cover!$D$6,"fdd/view?i=",J8898)</f>
        <v>https://www.dgiwg.org/FAD/fdd/view?i=105426</v>
      </c>
      <c r="L8898" s="36" t="s">
        <v>50039</v>
      </c>
      <c r="M8898" s="186"/>
      <c r="N8898" s="186"/>
      <c r="O8898" s="172"/>
    </row>
    <row r="8899" spans="1:15" ht="38.25" x14ac:dyDescent="0.2">
      <c r="A8899" s="197" t="str">
        <f t="shared" si="139"/>
        <v>MccCode_stone</v>
      </c>
      <c r="B8899" s="409"/>
      <c r="C8899" s="416"/>
      <c r="D8899" s="198" t="s">
        <v>19602</v>
      </c>
      <c r="E8899" s="198">
        <v>108</v>
      </c>
      <c r="F8899" s="199" t="s">
        <v>19603</v>
      </c>
      <c r="G8899" s="1" t="s">
        <v>43759</v>
      </c>
      <c r="H8899" s="1" t="s">
        <v>43760</v>
      </c>
      <c r="I8899" s="346"/>
      <c r="J8899" s="39">
        <v>105427</v>
      </c>
      <c r="K8899" s="36" t="str">
        <f>CONCATENATE(Cover!$D$6,"fdd/view?i=",J8899)</f>
        <v>https://www.dgiwg.org/FAD/fdd/view?i=105427</v>
      </c>
      <c r="L8899" s="36" t="s">
        <v>50040</v>
      </c>
      <c r="M8899" s="186"/>
      <c r="N8899" s="186"/>
      <c r="O8899" s="172"/>
    </row>
    <row r="8900" spans="1:15" ht="25.5" x14ac:dyDescent="0.2">
      <c r="A8900" s="197" t="str">
        <f t="shared" si="139"/>
        <v>MccCode_thatch</v>
      </c>
      <c r="B8900" s="409"/>
      <c r="C8900" s="416"/>
      <c r="D8900" s="198" t="s">
        <v>43778</v>
      </c>
      <c r="E8900" s="198">
        <v>137</v>
      </c>
      <c r="F8900" s="199" t="s">
        <v>43779</v>
      </c>
      <c r="G8900" s="1" t="s">
        <v>43780</v>
      </c>
      <c r="H8900" s="200"/>
      <c r="I8900" s="346"/>
      <c r="J8900" s="39">
        <v>108236</v>
      </c>
      <c r="K8900" s="36" t="str">
        <f>CONCATENATE(Cover!$D$6,"fdd/view?i=",J8900)</f>
        <v>https://www.dgiwg.org/FAD/fdd/view?i=108236</v>
      </c>
      <c r="L8900" s="36" t="s">
        <v>50041</v>
      </c>
      <c r="M8900" s="186"/>
      <c r="N8900" s="186"/>
      <c r="O8900" s="172"/>
    </row>
    <row r="8901" spans="1:15" ht="25.5" x14ac:dyDescent="0.2">
      <c r="A8901" s="197" t="str">
        <f t="shared" si="139"/>
        <v>MccCode_timber</v>
      </c>
      <c r="B8901" s="409"/>
      <c r="C8901" s="416"/>
      <c r="D8901" s="198" t="s">
        <v>27602</v>
      </c>
      <c r="E8901" s="198">
        <v>138</v>
      </c>
      <c r="F8901" s="199" t="s">
        <v>27603</v>
      </c>
      <c r="G8901" s="1" t="s">
        <v>43782</v>
      </c>
      <c r="H8901" s="200"/>
      <c r="I8901" s="346"/>
      <c r="J8901" s="39">
        <v>108237</v>
      </c>
      <c r="K8901" s="36" t="str">
        <f>CONCATENATE(Cover!$D$6,"fdd/view?i=",J8901)</f>
        <v>https://www.dgiwg.org/FAD/fdd/view?i=108237</v>
      </c>
      <c r="L8901" s="36" t="s">
        <v>50042</v>
      </c>
      <c r="M8901" s="186"/>
      <c r="N8901" s="186"/>
      <c r="O8901" s="172"/>
    </row>
    <row r="8902" spans="1:15" ht="38.25" x14ac:dyDescent="0.2">
      <c r="A8902" s="197" t="str">
        <f t="shared" si="139"/>
        <v>MccCode_travertine</v>
      </c>
      <c r="B8902" s="409"/>
      <c r="C8902" s="416"/>
      <c r="D8902" s="198" t="s">
        <v>43791</v>
      </c>
      <c r="E8902" s="198">
        <v>110</v>
      </c>
      <c r="F8902" s="199" t="s">
        <v>43792</v>
      </c>
      <c r="G8902" s="1" t="s">
        <v>43794</v>
      </c>
      <c r="H8902" s="1" t="s">
        <v>44539</v>
      </c>
      <c r="I8902" s="346"/>
      <c r="J8902" s="39">
        <v>105429</v>
      </c>
      <c r="K8902" s="36" t="str">
        <f>CONCATENATE(Cover!$D$6,"fdd/view?i=",J8902)</f>
        <v>https://www.dgiwg.org/FAD/fdd/view?i=105429</v>
      </c>
      <c r="L8902" s="36" t="s">
        <v>50043</v>
      </c>
      <c r="M8902" s="186"/>
      <c r="N8902" s="186"/>
      <c r="O8902" s="172"/>
    </row>
    <row r="8903" spans="1:15" ht="25.5" x14ac:dyDescent="0.2">
      <c r="A8903" s="197" t="str">
        <f t="shared" si="139"/>
        <v>MccCode_treatedTimber</v>
      </c>
      <c r="B8903" s="409"/>
      <c r="C8903" s="416"/>
      <c r="D8903" s="198" t="s">
        <v>46816</v>
      </c>
      <c r="E8903" s="198">
        <v>150</v>
      </c>
      <c r="F8903" s="199" t="s">
        <v>46817</v>
      </c>
      <c r="G8903" s="1" t="s">
        <v>46818</v>
      </c>
      <c r="H8903" s="1" t="s">
        <v>46819</v>
      </c>
      <c r="I8903" s="346"/>
      <c r="J8903" s="39">
        <v>112755</v>
      </c>
      <c r="K8903" s="36" t="str">
        <f>CONCATENATE(Cover!$D$6,"fdd/view?i=",J8903)</f>
        <v>https://www.dgiwg.org/FAD/fdd/view?i=112755</v>
      </c>
      <c r="L8903" s="36" t="s">
        <v>50044</v>
      </c>
      <c r="M8903" s="186"/>
      <c r="N8903" s="186"/>
      <c r="O8903" s="172"/>
    </row>
    <row r="8904" spans="1:15" ht="25.5" x14ac:dyDescent="0.2">
      <c r="A8904" s="197" t="str">
        <f t="shared" si="139"/>
        <v>MccCode_tufa</v>
      </c>
      <c r="B8904" s="409"/>
      <c r="C8904" s="416"/>
      <c r="D8904" s="198" t="s">
        <v>43796</v>
      </c>
      <c r="E8904" s="198">
        <v>111</v>
      </c>
      <c r="F8904" s="199" t="s">
        <v>43797</v>
      </c>
      <c r="G8904" s="1" t="s">
        <v>44541</v>
      </c>
      <c r="H8904" s="1" t="s">
        <v>44542</v>
      </c>
      <c r="I8904" s="346"/>
      <c r="J8904" s="39">
        <v>105430</v>
      </c>
      <c r="K8904" s="36" t="str">
        <f>CONCATENATE(Cover!$D$6,"fdd/view?i=",J8904)</f>
        <v>https://www.dgiwg.org/FAD/fdd/view?i=105430</v>
      </c>
      <c r="L8904" s="36" t="s">
        <v>50045</v>
      </c>
      <c r="M8904" s="186"/>
      <c r="N8904" s="186"/>
      <c r="O8904" s="172"/>
    </row>
    <row r="8905" spans="1:15" ht="25.5" x14ac:dyDescent="0.2">
      <c r="A8905" s="197" t="str">
        <f t="shared" si="139"/>
        <v>MccCode_turf</v>
      </c>
      <c r="B8905" s="409"/>
      <c r="C8905" s="416"/>
      <c r="D8905" s="198" t="s">
        <v>50046</v>
      </c>
      <c r="E8905" s="198">
        <v>158</v>
      </c>
      <c r="F8905" s="199" t="s">
        <v>50033</v>
      </c>
      <c r="G8905" s="1" t="s">
        <v>50047</v>
      </c>
      <c r="H8905" s="200"/>
      <c r="I8905" s="351" t="s">
        <v>50048</v>
      </c>
      <c r="J8905" s="39">
        <v>112763</v>
      </c>
      <c r="K8905" s="36" t="str">
        <f>CONCATENATE(Cover!$D$6,"fdd/view?i=",J8905)</f>
        <v>https://www.dgiwg.org/FAD/fdd/view?i=112763</v>
      </c>
      <c r="L8905" s="36" t="s">
        <v>50049</v>
      </c>
      <c r="M8905" s="186"/>
      <c r="N8905" s="186"/>
      <c r="O8905" s="172"/>
    </row>
    <row r="8906" spans="1:15" ht="38.25" x14ac:dyDescent="0.2">
      <c r="A8906" s="197" t="str">
        <f t="shared" si="139"/>
        <v>MccCode_uraniumOre</v>
      </c>
      <c r="B8906" s="409"/>
      <c r="C8906" s="416"/>
      <c r="D8906" s="198" t="s">
        <v>39125</v>
      </c>
      <c r="E8906" s="198">
        <v>112</v>
      </c>
      <c r="F8906" s="199" t="s">
        <v>39126</v>
      </c>
      <c r="G8906" s="1" t="s">
        <v>46822</v>
      </c>
      <c r="H8906" s="1" t="s">
        <v>46823</v>
      </c>
      <c r="I8906" s="346"/>
      <c r="J8906" s="39">
        <v>105431</v>
      </c>
      <c r="K8906" s="36" t="str">
        <f>CONCATENATE(Cover!$D$6,"fdd/view?i=",J8906)</f>
        <v>https://www.dgiwg.org/FAD/fdd/view?i=105431</v>
      </c>
      <c r="L8906" s="36" t="s">
        <v>50050</v>
      </c>
      <c r="M8906" s="186"/>
      <c r="N8906" s="186"/>
      <c r="O8906" s="172"/>
    </row>
    <row r="8907" spans="1:15" ht="25.5" x14ac:dyDescent="0.2">
      <c r="A8907" s="197" t="str">
        <f t="shared" si="139"/>
        <v>MccCode_vegetation</v>
      </c>
      <c r="B8907" s="409"/>
      <c r="C8907" s="416"/>
      <c r="D8907" s="198" t="s">
        <v>29248</v>
      </c>
      <c r="E8907" s="198">
        <v>113</v>
      </c>
      <c r="F8907" s="199" t="s">
        <v>29249</v>
      </c>
      <c r="G8907" s="1" t="s">
        <v>46825</v>
      </c>
      <c r="H8907" s="200"/>
      <c r="I8907" s="351" t="s">
        <v>46826</v>
      </c>
      <c r="J8907" s="39">
        <v>105432</v>
      </c>
      <c r="K8907" s="36" t="str">
        <f>CONCATENATE(Cover!$D$6,"fdd/view?i=",J8907)</f>
        <v>https://www.dgiwg.org/FAD/fdd/view?i=105432</v>
      </c>
      <c r="L8907" s="36" t="s">
        <v>50051</v>
      </c>
      <c r="M8907" s="186"/>
      <c r="N8907" s="186"/>
      <c r="O8907" s="172"/>
    </row>
    <row r="8908" spans="1:15" x14ac:dyDescent="0.2">
      <c r="A8908" s="197" t="str">
        <f t="shared" si="139"/>
        <v>MccCode_volcanicAsh</v>
      </c>
      <c r="B8908" s="409"/>
      <c r="C8908" s="416"/>
      <c r="D8908" s="198" t="s">
        <v>41130</v>
      </c>
      <c r="E8908" s="198">
        <v>115</v>
      </c>
      <c r="F8908" s="199" t="s">
        <v>41131</v>
      </c>
      <c r="G8908" s="1" t="s">
        <v>44548</v>
      </c>
      <c r="H8908" s="200"/>
      <c r="I8908" s="346"/>
      <c r="J8908" s="39">
        <v>105434</v>
      </c>
      <c r="K8908" s="36" t="str">
        <f>CONCATENATE(Cover!$D$6,"fdd/view?i=",J8908)</f>
        <v>https://www.dgiwg.org/FAD/fdd/view?i=105434</v>
      </c>
      <c r="L8908" s="36" t="s">
        <v>50052</v>
      </c>
      <c r="M8908" s="186"/>
      <c r="N8908" s="186"/>
      <c r="O8908" s="172"/>
    </row>
    <row r="8909" spans="1:15" ht="38.25" x14ac:dyDescent="0.2">
      <c r="A8909" s="197" t="str">
        <f t="shared" si="139"/>
        <v>MccCode_water</v>
      </c>
      <c r="B8909" s="409"/>
      <c r="C8909" s="416"/>
      <c r="D8909" s="198" t="s">
        <v>19606</v>
      </c>
      <c r="E8909" s="198">
        <v>116</v>
      </c>
      <c r="F8909" s="199" t="s">
        <v>19607</v>
      </c>
      <c r="G8909" s="1" t="s">
        <v>23000</v>
      </c>
      <c r="H8909" s="1" t="s">
        <v>43810</v>
      </c>
      <c r="I8909" s="346"/>
      <c r="J8909" s="39">
        <v>105435</v>
      </c>
      <c r="K8909" s="36" t="str">
        <f>CONCATENATE(Cover!$D$6,"fdd/view?i=",J8909)</f>
        <v>https://www.dgiwg.org/FAD/fdd/view?i=105435</v>
      </c>
      <c r="L8909" s="36" t="s">
        <v>50053</v>
      </c>
      <c r="M8909" s="186"/>
      <c r="N8909" s="186"/>
      <c r="O8909" s="172"/>
    </row>
    <row r="8910" spans="1:15" ht="38.25" x14ac:dyDescent="0.2">
      <c r="A8910" s="197" t="str">
        <f t="shared" si="139"/>
        <v>MccCode_wood</v>
      </c>
      <c r="B8910" s="409"/>
      <c r="C8910" s="416"/>
      <c r="D8910" s="198" t="s">
        <v>19610</v>
      </c>
      <c r="E8910" s="198">
        <v>117</v>
      </c>
      <c r="F8910" s="199" t="s">
        <v>5911</v>
      </c>
      <c r="G8910" s="1" t="s">
        <v>43822</v>
      </c>
      <c r="H8910" s="1" t="s">
        <v>43823</v>
      </c>
      <c r="I8910" s="346"/>
      <c r="J8910" s="39">
        <v>105436</v>
      </c>
      <c r="K8910" s="36" t="str">
        <f>CONCATENATE(Cover!$D$6,"fdd/view?i=",J8910)</f>
        <v>https://www.dgiwg.org/FAD/fdd/view?i=105436</v>
      </c>
      <c r="L8910" s="36" t="s">
        <v>50054</v>
      </c>
      <c r="M8910" s="186"/>
      <c r="N8910" s="186"/>
      <c r="O8910" s="172"/>
    </row>
    <row r="8911" spans="1:15" ht="38.25" x14ac:dyDescent="0.2">
      <c r="A8911" s="203" t="str">
        <f t="shared" si="139"/>
        <v>MccCode_zinc</v>
      </c>
      <c r="B8911" s="410"/>
      <c r="C8911" s="417"/>
      <c r="D8911" s="204" t="s">
        <v>25937</v>
      </c>
      <c r="E8911" s="204">
        <v>118</v>
      </c>
      <c r="F8911" s="205" t="s">
        <v>43826</v>
      </c>
      <c r="G8911" s="206" t="s">
        <v>43827</v>
      </c>
      <c r="H8911" s="206" t="s">
        <v>43828</v>
      </c>
      <c r="I8911" s="347"/>
      <c r="J8911" s="39">
        <v>105437</v>
      </c>
      <c r="K8911" s="36" t="str">
        <f>CONCATENATE(Cover!$D$6,"fdd/view?i=",J8911)</f>
        <v>https://www.dgiwg.org/FAD/fdd/view?i=105437</v>
      </c>
      <c r="L8911" s="36" t="s">
        <v>50055</v>
      </c>
      <c r="M8911" s="186"/>
      <c r="N8911" s="186"/>
      <c r="O8911" s="172"/>
    </row>
    <row r="8912" spans="1:15" ht="38.25" x14ac:dyDescent="0.2">
      <c r="A8912" s="190" t="str">
        <f t="shared" si="139"/>
        <v>SscCode_arched</v>
      </c>
      <c r="B8912" s="414" t="str">
        <f>HYPERLINK("[#]Datatypes!A1470:L1470","SscCode")</f>
        <v>SscCode</v>
      </c>
      <c r="C8912" s="415" t="s">
        <v>16096</v>
      </c>
      <c r="D8912" s="221" t="s">
        <v>50056</v>
      </c>
      <c r="E8912" s="221">
        <v>77</v>
      </c>
      <c r="F8912" s="222" t="s">
        <v>50057</v>
      </c>
      <c r="G8912" s="223" t="s">
        <v>50058</v>
      </c>
      <c r="H8912" s="223" t="s">
        <v>50059</v>
      </c>
      <c r="I8912" s="345"/>
      <c r="J8912" s="39">
        <v>108140</v>
      </c>
      <c r="K8912" s="36" t="str">
        <f>CONCATENATE(Cover!$D$6,"fdd/view?i=",J8912)</f>
        <v>https://www.dgiwg.org/FAD/fdd/view?i=108140</v>
      </c>
      <c r="L8912" s="36" t="s">
        <v>50060</v>
      </c>
      <c r="M8912" s="186"/>
      <c r="N8912" s="186"/>
      <c r="O8912" s="172"/>
    </row>
    <row r="8913" spans="1:15" ht="25.5" x14ac:dyDescent="0.2">
      <c r="A8913" s="197" t="str">
        <f t="shared" si="139"/>
        <v>SscCode_boardLikePrism</v>
      </c>
      <c r="B8913" s="409"/>
      <c r="C8913" s="416"/>
      <c r="D8913" s="198" t="s">
        <v>50061</v>
      </c>
      <c r="E8913" s="198">
        <v>94</v>
      </c>
      <c r="F8913" s="199" t="s">
        <v>50062</v>
      </c>
      <c r="G8913" s="1" t="s">
        <v>50063</v>
      </c>
      <c r="H8913" s="200"/>
      <c r="I8913" s="346"/>
      <c r="J8913" s="39">
        <v>108157</v>
      </c>
      <c r="K8913" s="36" t="str">
        <f>CONCATENATE(Cover!$D$6,"fdd/view?i=",J8913)</f>
        <v>https://www.dgiwg.org/FAD/fdd/view?i=108157</v>
      </c>
      <c r="L8913" s="36" t="s">
        <v>50064</v>
      </c>
      <c r="M8913" s="186"/>
      <c r="N8913" s="186"/>
      <c r="O8913" s="172"/>
    </row>
    <row r="8914" spans="1:15" ht="38.25" x14ac:dyDescent="0.2">
      <c r="A8914" s="197" t="str">
        <f t="shared" si="139"/>
        <v>SscCode_columnar</v>
      </c>
      <c r="B8914" s="409"/>
      <c r="C8914" s="416"/>
      <c r="D8914" s="198" t="s">
        <v>45847</v>
      </c>
      <c r="E8914" s="198">
        <v>95</v>
      </c>
      <c r="F8914" s="199" t="s">
        <v>45848</v>
      </c>
      <c r="G8914" s="1" t="s">
        <v>50065</v>
      </c>
      <c r="H8914" s="1" t="s">
        <v>50066</v>
      </c>
      <c r="I8914" s="346"/>
      <c r="J8914" s="39">
        <v>108158</v>
      </c>
      <c r="K8914" s="36" t="str">
        <f>CONCATENATE(Cover!$D$6,"fdd/view?i=",J8914)</f>
        <v>https://www.dgiwg.org/FAD/fdd/view?i=108158</v>
      </c>
      <c r="L8914" s="36" t="s">
        <v>50067</v>
      </c>
      <c r="M8914" s="186"/>
      <c r="N8914" s="186"/>
      <c r="O8914" s="172"/>
    </row>
    <row r="8915" spans="1:15" ht="25.5" x14ac:dyDescent="0.2">
      <c r="A8915" s="197" t="str">
        <f t="shared" si="139"/>
        <v>SscCode_cross</v>
      </c>
      <c r="B8915" s="409"/>
      <c r="C8915" s="416"/>
      <c r="D8915" s="198" t="s">
        <v>19196</v>
      </c>
      <c r="E8915" s="198">
        <v>98</v>
      </c>
      <c r="F8915" s="199" t="s">
        <v>19197</v>
      </c>
      <c r="G8915" s="1" t="s">
        <v>50068</v>
      </c>
      <c r="H8915" s="1" t="s">
        <v>50069</v>
      </c>
      <c r="I8915" s="346"/>
      <c r="J8915" s="39">
        <v>108161</v>
      </c>
      <c r="K8915" s="36" t="str">
        <f>CONCATENATE(Cover!$D$6,"fdd/view?i=",J8915)</f>
        <v>https://www.dgiwg.org/FAD/fdd/view?i=108161</v>
      </c>
      <c r="L8915" s="36" t="s">
        <v>50070</v>
      </c>
      <c r="M8915" s="186"/>
      <c r="N8915" s="186"/>
      <c r="O8915" s="172"/>
    </row>
    <row r="8916" spans="1:15" x14ac:dyDescent="0.2">
      <c r="A8916" s="197" t="str">
        <f t="shared" si="139"/>
        <v>SscCode_cubic</v>
      </c>
      <c r="B8916" s="409"/>
      <c r="C8916" s="416"/>
      <c r="D8916" s="198" t="s">
        <v>50071</v>
      </c>
      <c r="E8916" s="198">
        <v>92</v>
      </c>
      <c r="F8916" s="199" t="s">
        <v>50072</v>
      </c>
      <c r="G8916" s="1" t="s">
        <v>50073</v>
      </c>
      <c r="H8916" s="200"/>
      <c r="I8916" s="346"/>
      <c r="J8916" s="39">
        <v>108155</v>
      </c>
      <c r="K8916" s="36" t="str">
        <f>CONCATENATE(Cover!$D$6,"fdd/view?i=",J8916)</f>
        <v>https://www.dgiwg.org/FAD/fdd/view?i=108155</v>
      </c>
      <c r="L8916" s="36" t="s">
        <v>50074</v>
      </c>
      <c r="M8916" s="186"/>
      <c r="N8916" s="186"/>
      <c r="O8916" s="172"/>
    </row>
    <row r="8917" spans="1:15" ht="25.5" x14ac:dyDescent="0.2">
      <c r="A8917" s="197" t="str">
        <f t="shared" si="139"/>
        <v>SscCode_cylindricalConicalTop</v>
      </c>
      <c r="B8917" s="409"/>
      <c r="C8917" s="416"/>
      <c r="D8917" s="198" t="s">
        <v>50080</v>
      </c>
      <c r="E8917" s="198">
        <v>71</v>
      </c>
      <c r="F8917" s="199" t="s">
        <v>50081</v>
      </c>
      <c r="G8917" s="1" t="s">
        <v>50082</v>
      </c>
      <c r="H8917" s="200"/>
      <c r="I8917" s="346"/>
      <c r="J8917" s="39">
        <v>108135</v>
      </c>
      <c r="K8917" s="36" t="str">
        <f>CONCATENATE(Cover!$D$6,"fdd/view?i=",J8917)</f>
        <v>https://www.dgiwg.org/FAD/fdd/view?i=108135</v>
      </c>
      <c r="L8917" s="36" t="s">
        <v>50083</v>
      </c>
      <c r="M8917" s="186"/>
      <c r="N8917" s="186"/>
      <c r="O8917" s="172"/>
    </row>
    <row r="8918" spans="1:15" ht="25.5" x14ac:dyDescent="0.2">
      <c r="A8918" s="197" t="str">
        <f t="shared" si="139"/>
        <v>SscCode_cylindricalDomedTop</v>
      </c>
      <c r="B8918" s="409"/>
      <c r="C8918" s="416"/>
      <c r="D8918" s="198" t="s">
        <v>50084</v>
      </c>
      <c r="E8918" s="198">
        <v>66</v>
      </c>
      <c r="F8918" s="199" t="s">
        <v>50085</v>
      </c>
      <c r="G8918" s="1" t="s">
        <v>50086</v>
      </c>
      <c r="H8918" s="200"/>
      <c r="I8918" s="346"/>
      <c r="J8918" s="39">
        <v>108134</v>
      </c>
      <c r="K8918" s="36" t="str">
        <f>CONCATENATE(Cover!$D$6,"fdd/view?i=",J8918)</f>
        <v>https://www.dgiwg.org/FAD/fdd/view?i=108134</v>
      </c>
      <c r="L8918" s="36" t="s">
        <v>50087</v>
      </c>
      <c r="M8918" s="186"/>
      <c r="N8918" s="186"/>
      <c r="O8918" s="172"/>
    </row>
    <row r="8919" spans="1:15" ht="25.5" x14ac:dyDescent="0.2">
      <c r="A8919" s="197" t="str">
        <f t="shared" si="139"/>
        <v>SscCode_cylindricalFlatTop</v>
      </c>
      <c r="B8919" s="409"/>
      <c r="C8919" s="416"/>
      <c r="D8919" s="198" t="s">
        <v>50088</v>
      </c>
      <c r="E8919" s="198">
        <v>65</v>
      </c>
      <c r="F8919" s="199" t="s">
        <v>50089</v>
      </c>
      <c r="G8919" s="1" t="s">
        <v>50090</v>
      </c>
      <c r="H8919" s="200"/>
      <c r="I8919" s="346"/>
      <c r="J8919" s="39">
        <v>108133</v>
      </c>
      <c r="K8919" s="36" t="str">
        <f>CONCATENATE(Cover!$D$6,"fdd/view?i=",J8919)</f>
        <v>https://www.dgiwg.org/FAD/fdd/view?i=108133</v>
      </c>
      <c r="L8919" s="36" t="s">
        <v>50091</v>
      </c>
      <c r="M8919" s="186"/>
      <c r="N8919" s="186"/>
      <c r="O8919" s="172"/>
    </row>
    <row r="8920" spans="1:15" ht="38.25" x14ac:dyDescent="0.2">
      <c r="A8920" s="197" t="str">
        <f t="shared" si="139"/>
        <v>SscCode_cylindricalOnTower</v>
      </c>
      <c r="B8920" s="409"/>
      <c r="C8920" s="416"/>
      <c r="D8920" s="198" t="s">
        <v>50075</v>
      </c>
      <c r="E8920" s="198">
        <v>89</v>
      </c>
      <c r="F8920" s="199" t="s">
        <v>50076</v>
      </c>
      <c r="G8920" s="1" t="s">
        <v>50077</v>
      </c>
      <c r="H8920" s="1" t="s">
        <v>50078</v>
      </c>
      <c r="I8920" s="346"/>
      <c r="J8920" s="39">
        <v>108152</v>
      </c>
      <c r="K8920" s="36" t="str">
        <f>CONCATENATE(Cover!$D$6,"fdd/view?i=",J8920)</f>
        <v>https://www.dgiwg.org/FAD/fdd/view?i=108152</v>
      </c>
      <c r="L8920" s="36" t="s">
        <v>50079</v>
      </c>
      <c r="M8920" s="186"/>
      <c r="N8920" s="186"/>
      <c r="O8920" s="172"/>
    </row>
    <row r="8921" spans="1:15" ht="51" x14ac:dyDescent="0.2">
      <c r="A8921" s="197" t="str">
        <f t="shared" si="139"/>
        <v>SscCode_cylindricalWithFramework</v>
      </c>
      <c r="B8921" s="409"/>
      <c r="C8921" s="416"/>
      <c r="D8921" s="198" t="s">
        <v>50092</v>
      </c>
      <c r="E8921" s="198">
        <v>59</v>
      </c>
      <c r="F8921" s="199" t="s">
        <v>50093</v>
      </c>
      <c r="G8921" s="1" t="s">
        <v>50094</v>
      </c>
      <c r="H8921" s="1" t="s">
        <v>50095</v>
      </c>
      <c r="I8921" s="346"/>
      <c r="J8921" s="39">
        <v>108128</v>
      </c>
      <c r="K8921" s="36" t="str">
        <f>CONCATENATE(Cover!$D$6,"fdd/view?i=",J8921)</f>
        <v>https://www.dgiwg.org/FAD/fdd/view?i=108128</v>
      </c>
      <c r="L8921" s="36" t="s">
        <v>50096</v>
      </c>
      <c r="M8921" s="186"/>
      <c r="N8921" s="186"/>
      <c r="O8921" s="172"/>
    </row>
    <row r="8922" spans="1:15" ht="25.5" x14ac:dyDescent="0.2">
      <c r="A8922" s="197" t="str">
        <f t="shared" si="139"/>
        <v>SscCode_domed</v>
      </c>
      <c r="B8922" s="409"/>
      <c r="C8922" s="416"/>
      <c r="D8922" s="198" t="s">
        <v>46131</v>
      </c>
      <c r="E8922" s="198">
        <v>87</v>
      </c>
      <c r="F8922" s="199" t="s">
        <v>46132</v>
      </c>
      <c r="G8922" s="1" t="s">
        <v>50097</v>
      </c>
      <c r="H8922" s="1" t="s">
        <v>46134</v>
      </c>
      <c r="I8922" s="346"/>
      <c r="J8922" s="39">
        <v>109907</v>
      </c>
      <c r="K8922" s="36" t="str">
        <f>CONCATENATE(Cover!$D$6,"fdd/view?i=",J8922)</f>
        <v>https://www.dgiwg.org/FAD/fdd/view?i=109907</v>
      </c>
      <c r="L8922" s="36" t="s">
        <v>50098</v>
      </c>
      <c r="M8922" s="186"/>
      <c r="N8922" s="186"/>
      <c r="O8922" s="172"/>
    </row>
    <row r="8923" spans="1:15" ht="38.25" x14ac:dyDescent="0.2">
      <c r="A8923" s="197" t="str">
        <f t="shared" si="139"/>
        <v>SscCode_ellipsoidal</v>
      </c>
      <c r="B8923" s="409"/>
      <c r="C8923" s="416"/>
      <c r="D8923" s="198" t="s">
        <v>50099</v>
      </c>
      <c r="E8923" s="198">
        <v>111</v>
      </c>
      <c r="F8923" s="199" t="s">
        <v>50100</v>
      </c>
      <c r="G8923" s="1" t="s">
        <v>50101</v>
      </c>
      <c r="H8923" s="1" t="s">
        <v>50102</v>
      </c>
      <c r="I8923" s="346"/>
      <c r="J8923" s="39">
        <v>109913</v>
      </c>
      <c r="K8923" s="36" t="str">
        <f>CONCATENATE(Cover!$D$6,"fdd/view?i=",J8923)</f>
        <v>https://www.dgiwg.org/FAD/fdd/view?i=109913</v>
      </c>
      <c r="L8923" s="36" t="s">
        <v>50103</v>
      </c>
      <c r="M8923" s="186"/>
      <c r="N8923" s="186"/>
      <c r="O8923" s="172"/>
    </row>
    <row r="8924" spans="1:15" ht="38.25" x14ac:dyDescent="0.2">
      <c r="A8924" s="197" t="str">
        <f t="shared" si="139"/>
        <v>SscCode_hemiEllipsoidal</v>
      </c>
      <c r="B8924" s="409"/>
      <c r="C8924" s="416"/>
      <c r="D8924" s="198" t="s">
        <v>50113</v>
      </c>
      <c r="E8924" s="198">
        <v>3</v>
      </c>
      <c r="F8924" s="199" t="s">
        <v>50114</v>
      </c>
      <c r="G8924" s="1" t="s">
        <v>50115</v>
      </c>
      <c r="H8924" s="1" t="s">
        <v>50116</v>
      </c>
      <c r="I8924" s="351" t="s">
        <v>50117</v>
      </c>
      <c r="J8924" s="39">
        <v>108087</v>
      </c>
      <c r="K8924" s="36" t="str">
        <f>CONCATENATE(Cover!$D$6,"fdd/view?i=",J8924)</f>
        <v>https://www.dgiwg.org/FAD/fdd/view?i=108087</v>
      </c>
      <c r="L8924" s="36" t="s">
        <v>50118</v>
      </c>
      <c r="M8924" s="186"/>
      <c r="N8924" s="186"/>
      <c r="O8924" s="172"/>
    </row>
    <row r="8925" spans="1:15" ht="25.5" x14ac:dyDescent="0.2">
      <c r="A8925" s="197" t="str">
        <f t="shared" si="139"/>
        <v>SscCode_horizontalCappedCylinder</v>
      </c>
      <c r="B8925" s="409"/>
      <c r="C8925" s="416"/>
      <c r="D8925" s="198" t="s">
        <v>50119</v>
      </c>
      <c r="E8925" s="198">
        <v>2</v>
      </c>
      <c r="F8925" s="199" t="s">
        <v>50120</v>
      </c>
      <c r="G8925" s="1" t="s">
        <v>50121</v>
      </c>
      <c r="H8925" s="1" t="s">
        <v>50122</v>
      </c>
      <c r="I8925" s="346"/>
      <c r="J8925" s="39">
        <v>108086</v>
      </c>
      <c r="K8925" s="36" t="str">
        <f>CONCATENATE(Cover!$D$6,"fdd/view?i=",J8925)</f>
        <v>https://www.dgiwg.org/FAD/fdd/view?i=108086</v>
      </c>
      <c r="L8925" s="36" t="s">
        <v>50123</v>
      </c>
      <c r="M8925" s="186"/>
      <c r="N8925" s="186"/>
      <c r="O8925" s="172"/>
    </row>
    <row r="8926" spans="1:15" ht="25.5" x14ac:dyDescent="0.2">
      <c r="A8926" s="197" t="str">
        <f t="shared" si="139"/>
        <v>SscCode_horizontalCylindrical</v>
      </c>
      <c r="B8926" s="409"/>
      <c r="C8926" s="416"/>
      <c r="D8926" s="198" t="s">
        <v>50124</v>
      </c>
      <c r="E8926" s="198">
        <v>99</v>
      </c>
      <c r="F8926" s="199" t="s">
        <v>50125</v>
      </c>
      <c r="G8926" s="1" t="s">
        <v>50126</v>
      </c>
      <c r="H8926" s="1" t="s">
        <v>50127</v>
      </c>
      <c r="I8926" s="346"/>
      <c r="J8926" s="39">
        <v>109852</v>
      </c>
      <c r="K8926" s="36" t="str">
        <f>CONCATENATE(Cover!$D$6,"fdd/view?i=",J8926)</f>
        <v>https://www.dgiwg.org/FAD/fdd/view?i=109852</v>
      </c>
      <c r="L8926" s="36" t="s">
        <v>50128</v>
      </c>
      <c r="M8926" s="186"/>
      <c r="N8926" s="186"/>
      <c r="O8926" s="172"/>
    </row>
    <row r="8927" spans="1:15" ht="25.5" x14ac:dyDescent="0.2">
      <c r="A8927" s="197" t="str">
        <f t="shared" si="139"/>
        <v>SscCode_hShaped</v>
      </c>
      <c r="B8927" s="409"/>
      <c r="C8927" s="416"/>
      <c r="D8927" s="198" t="s">
        <v>50109</v>
      </c>
      <c r="E8927" s="198">
        <v>102</v>
      </c>
      <c r="F8927" s="356" t="s">
        <v>50110</v>
      </c>
      <c r="G8927" s="1" t="s">
        <v>50111</v>
      </c>
      <c r="H8927" s="200"/>
      <c r="I8927" s="346"/>
      <c r="J8927" s="39">
        <v>109851</v>
      </c>
      <c r="K8927" s="36" t="str">
        <f>CONCATENATE(Cover!$D$6,"fdd/view?i=",J8927)</f>
        <v>https://www.dgiwg.org/FAD/fdd/view?i=109851</v>
      </c>
      <c r="L8927" s="36" t="s">
        <v>50112</v>
      </c>
      <c r="M8927" s="186"/>
      <c r="N8927" s="186"/>
      <c r="O8927" s="172"/>
    </row>
    <row r="8928" spans="1:15" ht="25.5" x14ac:dyDescent="0.2">
      <c r="A8928" s="197" t="str">
        <f t="shared" si="139"/>
        <v>SscCode_iShaped</v>
      </c>
      <c r="B8928" s="409"/>
      <c r="C8928" s="416"/>
      <c r="D8928" s="198" t="s">
        <v>50129</v>
      </c>
      <c r="E8928" s="198">
        <v>82</v>
      </c>
      <c r="F8928" s="356" t="s">
        <v>50130</v>
      </c>
      <c r="G8928" s="1" t="s">
        <v>50131</v>
      </c>
      <c r="H8928" s="200"/>
      <c r="I8928" s="346"/>
      <c r="J8928" s="39">
        <v>108145</v>
      </c>
      <c r="K8928" s="36" t="str">
        <f>CONCATENATE(Cover!$D$6,"fdd/view?i=",J8928)</f>
        <v>https://www.dgiwg.org/FAD/fdd/view?i=108145</v>
      </c>
      <c r="L8928" s="36" t="s">
        <v>50132</v>
      </c>
      <c r="M8928" s="186"/>
      <c r="N8928" s="186"/>
      <c r="O8928" s="172"/>
    </row>
    <row r="8929" spans="1:15" ht="25.5" x14ac:dyDescent="0.2">
      <c r="A8929" s="197" t="str">
        <f t="shared" si="139"/>
        <v>SscCode_multipleArched</v>
      </c>
      <c r="B8929" s="409"/>
      <c r="C8929" s="416"/>
      <c r="D8929" s="198" t="s">
        <v>50133</v>
      </c>
      <c r="E8929" s="198">
        <v>78</v>
      </c>
      <c r="F8929" s="199" t="s">
        <v>50134</v>
      </c>
      <c r="G8929" s="1" t="s">
        <v>50135</v>
      </c>
      <c r="H8929" s="1" t="s">
        <v>50136</v>
      </c>
      <c r="I8929" s="346"/>
      <c r="J8929" s="39">
        <v>108141</v>
      </c>
      <c r="K8929" s="36" t="str">
        <f>CONCATENATE(Cover!$D$6,"fdd/view?i=",J8929)</f>
        <v>https://www.dgiwg.org/FAD/fdd/view?i=108141</v>
      </c>
      <c r="L8929" s="36" t="s">
        <v>50137</v>
      </c>
      <c r="M8929" s="186"/>
      <c r="N8929" s="186"/>
      <c r="O8929" s="172"/>
    </row>
    <row r="8930" spans="1:15" x14ac:dyDescent="0.2">
      <c r="A8930" s="197" t="str">
        <f t="shared" si="139"/>
        <v>SscCode_obelisk</v>
      </c>
      <c r="B8930" s="409"/>
      <c r="C8930" s="416"/>
      <c r="D8930" s="198" t="s">
        <v>50138</v>
      </c>
      <c r="E8930" s="198">
        <v>109</v>
      </c>
      <c r="F8930" s="199" t="s">
        <v>50139</v>
      </c>
      <c r="G8930" s="1" t="s">
        <v>50140</v>
      </c>
      <c r="H8930" s="200"/>
      <c r="I8930" s="346"/>
      <c r="J8930" s="39">
        <v>109905</v>
      </c>
      <c r="K8930" s="36" t="str">
        <f>CONCATENATE(Cover!$D$6,"fdd/view?i=",J8930)</f>
        <v>https://www.dgiwg.org/FAD/fdd/view?i=109905</v>
      </c>
      <c r="L8930" s="36" t="s">
        <v>50141</v>
      </c>
      <c r="M8930" s="186"/>
      <c r="N8930" s="186"/>
      <c r="O8930" s="172"/>
    </row>
    <row r="8931" spans="1:15" ht="25.5" x14ac:dyDescent="0.2">
      <c r="A8931" s="197" t="str">
        <f t="shared" si="139"/>
        <v>SscCode_plaque</v>
      </c>
      <c r="B8931" s="409"/>
      <c r="C8931" s="416"/>
      <c r="D8931" s="198" t="s">
        <v>50142</v>
      </c>
      <c r="E8931" s="198">
        <v>96</v>
      </c>
      <c r="F8931" s="199" t="s">
        <v>50143</v>
      </c>
      <c r="G8931" s="1" t="s">
        <v>50144</v>
      </c>
      <c r="H8931" s="1" t="s">
        <v>50145</v>
      </c>
      <c r="I8931" s="346"/>
      <c r="J8931" s="39">
        <v>108159</v>
      </c>
      <c r="K8931" s="36" t="str">
        <f>CONCATENATE(Cover!$D$6,"fdd/view?i=",J8931)</f>
        <v>https://www.dgiwg.org/FAD/fdd/view?i=108159</v>
      </c>
      <c r="L8931" s="36" t="s">
        <v>50146</v>
      </c>
      <c r="M8931" s="186"/>
      <c r="N8931" s="186"/>
      <c r="O8931" s="172"/>
    </row>
    <row r="8932" spans="1:15" ht="38.25" x14ac:dyDescent="0.2">
      <c r="A8932" s="197" t="str">
        <f t="shared" si="139"/>
        <v>SscCode_pyramidal</v>
      </c>
      <c r="B8932" s="409"/>
      <c r="C8932" s="416"/>
      <c r="D8932" s="198" t="s">
        <v>46156</v>
      </c>
      <c r="E8932" s="198">
        <v>12</v>
      </c>
      <c r="F8932" s="199" t="s">
        <v>46157</v>
      </c>
      <c r="G8932" s="1" t="s">
        <v>46158</v>
      </c>
      <c r="H8932" s="1" t="s">
        <v>46159</v>
      </c>
      <c r="I8932" s="346"/>
      <c r="J8932" s="39">
        <v>108095</v>
      </c>
      <c r="K8932" s="36" t="str">
        <f>CONCATENATE(Cover!$D$6,"fdd/view?i=",J8932)</f>
        <v>https://www.dgiwg.org/FAD/fdd/view?i=108095</v>
      </c>
      <c r="L8932" s="36" t="s">
        <v>50147</v>
      </c>
      <c r="M8932" s="186"/>
      <c r="N8932" s="186"/>
      <c r="O8932" s="172"/>
    </row>
    <row r="8933" spans="1:15" ht="25.5" x14ac:dyDescent="0.2">
      <c r="A8933" s="197" t="str">
        <f t="shared" si="139"/>
        <v>SscCode_rectangularPrism</v>
      </c>
      <c r="B8933" s="409"/>
      <c r="C8933" s="416"/>
      <c r="D8933" s="198" t="s">
        <v>50148</v>
      </c>
      <c r="E8933" s="198">
        <v>100</v>
      </c>
      <c r="F8933" s="199" t="s">
        <v>50149</v>
      </c>
      <c r="G8933" s="1" t="s">
        <v>50150</v>
      </c>
      <c r="H8933" s="200"/>
      <c r="I8933" s="346"/>
      <c r="J8933" s="39">
        <v>109849</v>
      </c>
      <c r="K8933" s="36" t="str">
        <f>CONCATENATE(Cover!$D$6,"fdd/view?i=",J8933)</f>
        <v>https://www.dgiwg.org/FAD/fdd/view?i=109849</v>
      </c>
      <c r="L8933" s="36" t="s">
        <v>50151</v>
      </c>
      <c r="M8933" s="186"/>
      <c r="N8933" s="186"/>
      <c r="O8933" s="172"/>
    </row>
    <row r="8934" spans="1:15" ht="25.5" x14ac:dyDescent="0.2">
      <c r="A8934" s="197" t="str">
        <f t="shared" si="139"/>
        <v>SscCode_shapedLikeFunnel</v>
      </c>
      <c r="B8934" s="409"/>
      <c r="C8934" s="416"/>
      <c r="D8934" s="198" t="s">
        <v>50104</v>
      </c>
      <c r="E8934" s="198">
        <v>76</v>
      </c>
      <c r="F8934" s="199" t="s">
        <v>50105</v>
      </c>
      <c r="G8934" s="1" t="s">
        <v>50106</v>
      </c>
      <c r="H8934" s="1" t="s">
        <v>50107</v>
      </c>
      <c r="I8934" s="346"/>
      <c r="J8934" s="39">
        <v>108139</v>
      </c>
      <c r="K8934" s="36" t="str">
        <f>CONCATENATE(Cover!$D$6,"fdd/view?i=",J8934)</f>
        <v>https://www.dgiwg.org/FAD/fdd/view?i=108139</v>
      </c>
      <c r="L8934" s="36" t="s">
        <v>50108</v>
      </c>
      <c r="M8934" s="186"/>
      <c r="N8934" s="186"/>
      <c r="O8934" s="172"/>
    </row>
    <row r="8935" spans="1:15" ht="25.5" x14ac:dyDescent="0.2">
      <c r="A8935" s="197" t="str">
        <f t="shared" si="139"/>
        <v>SscCode_spherical</v>
      </c>
      <c r="B8935" s="409"/>
      <c r="C8935" s="416"/>
      <c r="D8935" s="198" t="s">
        <v>21782</v>
      </c>
      <c r="E8935" s="198">
        <v>17</v>
      </c>
      <c r="F8935" s="199" t="s">
        <v>21783</v>
      </c>
      <c r="G8935" s="1" t="s">
        <v>50152</v>
      </c>
      <c r="H8935" s="1" t="s">
        <v>50153</v>
      </c>
      <c r="I8935" s="346"/>
      <c r="J8935" s="39">
        <v>109906</v>
      </c>
      <c r="K8935" s="36" t="str">
        <f>CONCATENATE(Cover!$D$6,"fdd/view?i=",J8935)</f>
        <v>https://www.dgiwg.org/FAD/fdd/view?i=109906</v>
      </c>
      <c r="L8935" s="36" t="s">
        <v>50154</v>
      </c>
      <c r="M8935" s="186"/>
      <c r="N8935" s="186"/>
      <c r="O8935" s="172"/>
    </row>
    <row r="8936" spans="1:15" ht="51" x14ac:dyDescent="0.2">
      <c r="A8936" s="197" t="str">
        <f t="shared" si="139"/>
        <v>SscCode_sphericalOnColumn</v>
      </c>
      <c r="B8936" s="409"/>
      <c r="C8936" s="416"/>
      <c r="D8936" s="198" t="s">
        <v>50155</v>
      </c>
      <c r="E8936" s="198">
        <v>88</v>
      </c>
      <c r="F8936" s="199" t="s">
        <v>50156</v>
      </c>
      <c r="G8936" s="1" t="s">
        <v>50157</v>
      </c>
      <c r="H8936" s="1" t="s">
        <v>50158</v>
      </c>
      <c r="I8936" s="346"/>
      <c r="J8936" s="39">
        <v>108151</v>
      </c>
      <c r="K8936" s="36" t="str">
        <f>CONCATENATE(Cover!$D$6,"fdd/view?i=",J8936)</f>
        <v>https://www.dgiwg.org/FAD/fdd/view?i=108151</v>
      </c>
      <c r="L8936" s="36" t="s">
        <v>50159</v>
      </c>
      <c r="M8936" s="186"/>
      <c r="N8936" s="186"/>
      <c r="O8936" s="172"/>
    </row>
    <row r="8937" spans="1:15" ht="25.5" x14ac:dyDescent="0.2">
      <c r="A8937" s="197" t="str">
        <f t="shared" si="139"/>
        <v>SscCode_squarePrism</v>
      </c>
      <c r="B8937" s="409"/>
      <c r="C8937" s="416"/>
      <c r="D8937" s="198" t="s">
        <v>50160</v>
      </c>
      <c r="E8937" s="198">
        <v>101</v>
      </c>
      <c r="F8937" s="199" t="s">
        <v>50161</v>
      </c>
      <c r="G8937" s="1" t="s">
        <v>50162</v>
      </c>
      <c r="H8937" s="200"/>
      <c r="I8937" s="346"/>
      <c r="J8937" s="39">
        <v>109850</v>
      </c>
      <c r="K8937" s="36" t="str">
        <f>CONCATENATE(Cover!$D$6,"fdd/view?i=",J8937)</f>
        <v>https://www.dgiwg.org/FAD/fdd/view?i=109850</v>
      </c>
      <c r="L8937" s="36" t="s">
        <v>50163</v>
      </c>
      <c r="M8937" s="186"/>
      <c r="N8937" s="186"/>
      <c r="O8937" s="172"/>
    </row>
    <row r="8938" spans="1:15" ht="25.5" x14ac:dyDescent="0.2">
      <c r="A8938" s="197" t="str">
        <f t="shared" si="139"/>
        <v>SscCode_statue</v>
      </c>
      <c r="B8938" s="409"/>
      <c r="C8938" s="416"/>
      <c r="D8938" s="198" t="s">
        <v>50164</v>
      </c>
      <c r="E8938" s="198">
        <v>97</v>
      </c>
      <c r="F8938" s="199" t="s">
        <v>50165</v>
      </c>
      <c r="G8938" s="1" t="s">
        <v>50166</v>
      </c>
      <c r="H8938" s="1" t="s">
        <v>50167</v>
      </c>
      <c r="I8938" s="346"/>
      <c r="J8938" s="39">
        <v>108160</v>
      </c>
      <c r="K8938" s="36" t="str">
        <f>CONCATENATE(Cover!$D$6,"fdd/view?i=",J8938)</f>
        <v>https://www.dgiwg.org/FAD/fdd/view?i=108160</v>
      </c>
      <c r="L8938" s="36" t="s">
        <v>50168</v>
      </c>
      <c r="M8938" s="186"/>
      <c r="N8938" s="186"/>
      <c r="O8938" s="172"/>
    </row>
    <row r="8939" spans="1:15" ht="76.5" x14ac:dyDescent="0.2">
      <c r="A8939" s="197" t="str">
        <f t="shared" si="139"/>
        <v>SscCode_statueOnPedestal</v>
      </c>
      <c r="B8939" s="409"/>
      <c r="C8939" s="416"/>
      <c r="D8939" s="198" t="s">
        <v>50169</v>
      </c>
      <c r="E8939" s="198">
        <v>112</v>
      </c>
      <c r="F8939" s="199" t="s">
        <v>50170</v>
      </c>
      <c r="G8939" s="1" t="s">
        <v>50171</v>
      </c>
      <c r="H8939" s="1" t="s">
        <v>50172</v>
      </c>
      <c r="I8939" s="346"/>
      <c r="J8939" s="39">
        <v>110890</v>
      </c>
      <c r="K8939" s="36" t="str">
        <f>CONCATENATE(Cover!$D$6,"fdd/view?i=",J8939)</f>
        <v>https://www.dgiwg.org/FAD/fdd/view?i=110890</v>
      </c>
      <c r="L8939" s="36" t="s">
        <v>50173</v>
      </c>
      <c r="M8939" s="186"/>
      <c r="N8939" s="186"/>
      <c r="O8939" s="172"/>
    </row>
    <row r="8940" spans="1:15" ht="25.5" x14ac:dyDescent="0.2">
      <c r="A8940" s="197" t="str">
        <f t="shared" si="139"/>
        <v>SscCode_tetrahedral</v>
      </c>
      <c r="B8940" s="409"/>
      <c r="C8940" s="416"/>
      <c r="D8940" s="198" t="s">
        <v>50174</v>
      </c>
      <c r="E8940" s="198">
        <v>75</v>
      </c>
      <c r="F8940" s="199" t="s">
        <v>50175</v>
      </c>
      <c r="G8940" s="1" t="s">
        <v>50176</v>
      </c>
      <c r="H8940" s="200"/>
      <c r="I8940" s="346"/>
      <c r="J8940" s="39">
        <v>108138</v>
      </c>
      <c r="K8940" s="36" t="str">
        <f>CONCATENATE(Cover!$D$6,"fdd/view?i=",J8940)</f>
        <v>https://www.dgiwg.org/FAD/fdd/view?i=108138</v>
      </c>
      <c r="L8940" s="36" t="s">
        <v>50177</v>
      </c>
      <c r="M8940" s="186"/>
      <c r="N8940" s="186"/>
      <c r="O8940" s="172"/>
    </row>
    <row r="8941" spans="1:15" ht="25.5" x14ac:dyDescent="0.2">
      <c r="A8941" s="197" t="str">
        <f t="shared" si="139"/>
        <v>SscCode_tower</v>
      </c>
      <c r="B8941" s="409"/>
      <c r="C8941" s="416"/>
      <c r="D8941" s="198" t="s">
        <v>24586</v>
      </c>
      <c r="E8941" s="198">
        <v>107</v>
      </c>
      <c r="F8941" s="199" t="s">
        <v>5505</v>
      </c>
      <c r="G8941" s="1" t="s">
        <v>50178</v>
      </c>
      <c r="H8941" s="1" t="s">
        <v>50179</v>
      </c>
      <c r="I8941" s="346"/>
      <c r="J8941" s="39">
        <v>108162</v>
      </c>
      <c r="K8941" s="36" t="str">
        <f>CONCATENATE(Cover!$D$6,"fdd/view?i=",J8941)</f>
        <v>https://www.dgiwg.org/FAD/fdd/view?i=108162</v>
      </c>
      <c r="L8941" s="36" t="s">
        <v>50180</v>
      </c>
      <c r="M8941" s="186"/>
      <c r="N8941" s="186"/>
      <c r="O8941" s="172"/>
    </row>
    <row r="8942" spans="1:15" ht="25.5" x14ac:dyDescent="0.2">
      <c r="A8942" s="197" t="str">
        <f t="shared" si="139"/>
        <v>SscCode_verticalCappedCylindrical</v>
      </c>
      <c r="B8942" s="409"/>
      <c r="C8942" s="416"/>
      <c r="D8942" s="198" t="s">
        <v>50181</v>
      </c>
      <c r="E8942" s="198">
        <v>4</v>
      </c>
      <c r="F8942" s="199" t="s">
        <v>50182</v>
      </c>
      <c r="G8942" s="1" t="s">
        <v>50183</v>
      </c>
      <c r="H8942" s="1" t="s">
        <v>50184</v>
      </c>
      <c r="I8942" s="346"/>
      <c r="J8942" s="39">
        <v>108088</v>
      </c>
      <c r="K8942" s="36" t="str">
        <f>CONCATENATE(Cover!$D$6,"fdd/view?i=",J8942)</f>
        <v>https://www.dgiwg.org/FAD/fdd/view?i=108088</v>
      </c>
      <c r="L8942" s="36" t="s">
        <v>50185</v>
      </c>
      <c r="M8942" s="186"/>
      <c r="N8942" s="186"/>
      <c r="O8942" s="172"/>
    </row>
    <row r="8943" spans="1:15" ht="25.5" x14ac:dyDescent="0.2">
      <c r="A8943" s="203" t="str">
        <f t="shared" si="139"/>
        <v>SscCode_verticalCylindrical</v>
      </c>
      <c r="B8943" s="410"/>
      <c r="C8943" s="417"/>
      <c r="D8943" s="204" t="s">
        <v>50186</v>
      </c>
      <c r="E8943" s="204">
        <v>91</v>
      </c>
      <c r="F8943" s="205" t="s">
        <v>50187</v>
      </c>
      <c r="G8943" s="206" t="s">
        <v>50188</v>
      </c>
      <c r="H8943" s="206" t="s">
        <v>50189</v>
      </c>
      <c r="I8943" s="347"/>
      <c r="J8943" s="39">
        <v>108154</v>
      </c>
      <c r="K8943" s="36" t="str">
        <f>CONCATENATE(Cover!$D$6,"fdd/view?i=",J8943)</f>
        <v>https://www.dgiwg.org/FAD/fdd/view?i=108154</v>
      </c>
      <c r="L8943" s="36" t="s">
        <v>50190</v>
      </c>
      <c r="M8943" s="186"/>
      <c r="N8943" s="186"/>
      <c r="O8943" s="172"/>
    </row>
    <row r="8944" spans="1:15" ht="25.5" x14ac:dyDescent="0.2">
      <c r="A8944" s="190" t="str">
        <f t="shared" si="139"/>
        <v>SasCode_nonShoreSoundSignal</v>
      </c>
      <c r="B8944" s="414" t="str">
        <f>HYPERLINK("[#]Datatypes!A1472:L1472","SasCode")</f>
        <v>SasCode</v>
      </c>
      <c r="C8944" s="415" t="s">
        <v>16098</v>
      </c>
      <c r="D8944" s="221" t="s">
        <v>50191</v>
      </c>
      <c r="E8944" s="221">
        <v>3</v>
      </c>
      <c r="F8944" s="222" t="s">
        <v>50192</v>
      </c>
      <c r="G8944" s="223" t="s">
        <v>50193</v>
      </c>
      <c r="H8944" s="224"/>
      <c r="I8944" s="345"/>
      <c r="J8944" s="39">
        <v>110402</v>
      </c>
      <c r="K8944" s="36" t="str">
        <f>CONCATENATE(Cover!$D$6,"fdd/view?i=",J8944)</f>
        <v>https://www.dgiwg.org/FAD/fdd/view?i=110402</v>
      </c>
      <c r="L8944" s="36" t="s">
        <v>50194</v>
      </c>
      <c r="M8944" s="186"/>
      <c r="N8944" s="186"/>
      <c r="O8944" s="172"/>
    </row>
    <row r="8945" spans="1:15" ht="25.5" x14ac:dyDescent="0.2">
      <c r="A8945" s="197" t="str">
        <f t="shared" si="139"/>
        <v>SasCode_oscillator</v>
      </c>
      <c r="B8945" s="409"/>
      <c r="C8945" s="416"/>
      <c r="D8945" s="198" t="s">
        <v>50195</v>
      </c>
      <c r="E8945" s="198">
        <v>1</v>
      </c>
      <c r="F8945" s="199" t="s">
        <v>50196</v>
      </c>
      <c r="G8945" s="1" t="s">
        <v>50197</v>
      </c>
      <c r="H8945" s="200"/>
      <c r="I8945" s="346"/>
      <c r="J8945" s="39">
        <v>110400</v>
      </c>
      <c r="K8945" s="36" t="str">
        <f>CONCATENATE(Cover!$D$6,"fdd/view?i=",J8945)</f>
        <v>https://www.dgiwg.org/FAD/fdd/view?i=110400</v>
      </c>
      <c r="L8945" s="36" t="s">
        <v>50198</v>
      </c>
      <c r="M8945" s="186"/>
      <c r="N8945" s="186"/>
      <c r="O8945" s="172"/>
    </row>
    <row r="8946" spans="1:15" ht="25.5" x14ac:dyDescent="0.2">
      <c r="A8946" s="203" t="str">
        <f t="shared" si="139"/>
        <v>SasCode_shoreSoundSignal</v>
      </c>
      <c r="B8946" s="410"/>
      <c r="C8946" s="417"/>
      <c r="D8946" s="204" t="s">
        <v>50199</v>
      </c>
      <c r="E8946" s="204">
        <v>2</v>
      </c>
      <c r="F8946" s="205" t="s">
        <v>50200</v>
      </c>
      <c r="G8946" s="206" t="s">
        <v>50201</v>
      </c>
      <c r="H8946" s="207"/>
      <c r="I8946" s="347"/>
      <c r="J8946" s="39">
        <v>110401</v>
      </c>
      <c r="K8946" s="36" t="str">
        <f>CONCATENATE(Cover!$D$6,"fdd/view?i=",J8946)</f>
        <v>https://www.dgiwg.org/FAD/fdd/view?i=110401</v>
      </c>
      <c r="L8946" s="36" t="s">
        <v>50202</v>
      </c>
      <c r="M8946" s="186"/>
      <c r="N8946" s="186"/>
      <c r="O8946" s="172"/>
    </row>
    <row r="8947" spans="1:15" ht="25.5" x14ac:dyDescent="0.2">
      <c r="A8947" s="190" t="str">
        <f t="shared" si="139"/>
        <v>SbtCode_converterSubstation</v>
      </c>
      <c r="B8947" s="414" t="str">
        <f>HYPERLINK("[#]Datatypes!A1474:L1474","SbtCode")</f>
        <v>SbtCode</v>
      </c>
      <c r="C8947" s="415" t="s">
        <v>16100</v>
      </c>
      <c r="D8947" s="221" t="s">
        <v>50203</v>
      </c>
      <c r="E8947" s="221">
        <v>3</v>
      </c>
      <c r="F8947" s="222" t="s">
        <v>50204</v>
      </c>
      <c r="G8947" s="223" t="s">
        <v>50205</v>
      </c>
      <c r="H8947" s="223" t="s">
        <v>50206</v>
      </c>
      <c r="I8947" s="345"/>
      <c r="J8947" s="39">
        <v>110403</v>
      </c>
      <c r="K8947" s="36" t="str">
        <f>CONCATENATE(Cover!$D$6,"fdd/view?i=",J8947)</f>
        <v>https://www.dgiwg.org/FAD/fdd/view?i=110403</v>
      </c>
      <c r="L8947" s="36" t="s">
        <v>50207</v>
      </c>
      <c r="M8947" s="186"/>
      <c r="N8947" s="186"/>
      <c r="O8947" s="172"/>
    </row>
    <row r="8948" spans="1:15" ht="38.25" x14ac:dyDescent="0.2">
      <c r="A8948" s="197" t="str">
        <f t="shared" si="139"/>
        <v>SbtCode_switchedSubstation</v>
      </c>
      <c r="B8948" s="409"/>
      <c r="C8948" s="416"/>
      <c r="D8948" s="198" t="s">
        <v>50208</v>
      </c>
      <c r="E8948" s="198">
        <v>1</v>
      </c>
      <c r="F8948" s="199" t="s">
        <v>50209</v>
      </c>
      <c r="G8948" s="1" t="s">
        <v>50210</v>
      </c>
      <c r="H8948" s="1" t="s">
        <v>50211</v>
      </c>
      <c r="I8948" s="346"/>
      <c r="J8948" s="39">
        <v>107432</v>
      </c>
      <c r="K8948" s="36" t="str">
        <f>CONCATENATE(Cover!$D$6,"fdd/view?i=",J8948)</f>
        <v>https://www.dgiwg.org/FAD/fdd/view?i=107432</v>
      </c>
      <c r="L8948" s="36" t="s">
        <v>50212</v>
      </c>
      <c r="M8948" s="186"/>
      <c r="N8948" s="186"/>
      <c r="O8948" s="172"/>
    </row>
    <row r="8949" spans="1:15" ht="38.25" x14ac:dyDescent="0.2">
      <c r="A8949" s="203" t="str">
        <f t="shared" si="139"/>
        <v>SbtCode_transformerSubstation</v>
      </c>
      <c r="B8949" s="410"/>
      <c r="C8949" s="417"/>
      <c r="D8949" s="204" t="s">
        <v>50213</v>
      </c>
      <c r="E8949" s="204">
        <v>2</v>
      </c>
      <c r="F8949" s="205" t="s">
        <v>50214</v>
      </c>
      <c r="G8949" s="206" t="s">
        <v>50215</v>
      </c>
      <c r="H8949" s="206" t="s">
        <v>50216</v>
      </c>
      <c r="I8949" s="347"/>
      <c r="J8949" s="39">
        <v>107433</v>
      </c>
      <c r="K8949" s="36" t="str">
        <f>CONCATENATE(Cover!$D$6,"fdd/view?i=",J8949)</f>
        <v>https://www.dgiwg.org/FAD/fdd/view?i=107433</v>
      </c>
      <c r="L8949" s="36" t="s">
        <v>50217</v>
      </c>
      <c r="M8949" s="186"/>
      <c r="N8949" s="186"/>
      <c r="O8949" s="172"/>
    </row>
    <row r="8950" spans="1:15" ht="25.5" x14ac:dyDescent="0.2">
      <c r="A8950" s="190" t="str">
        <f t="shared" si="139"/>
        <v>SubCode_impact</v>
      </c>
      <c r="B8950" s="414" t="str">
        <f>HYPERLINK("[#]Datatypes!A1476:L1476","SubCode")</f>
        <v>SubCode</v>
      </c>
      <c r="C8950" s="415" t="s">
        <v>16102</v>
      </c>
      <c r="D8950" s="221" t="s">
        <v>26920</v>
      </c>
      <c r="E8950" s="221">
        <v>1</v>
      </c>
      <c r="F8950" s="222" t="s">
        <v>26921</v>
      </c>
      <c r="G8950" s="223" t="s">
        <v>50218</v>
      </c>
      <c r="H8950" s="224"/>
      <c r="I8950" s="345"/>
      <c r="J8950" s="39">
        <v>114571</v>
      </c>
      <c r="K8950" s="36" t="str">
        <f>CONCATENATE(Cover!$D$6,"fdd/view?i=",J8950)</f>
        <v>https://www.dgiwg.org/FAD/fdd/view?i=114571</v>
      </c>
      <c r="L8950" s="36" t="s">
        <v>50219</v>
      </c>
      <c r="M8950" s="186"/>
      <c r="N8950" s="186"/>
      <c r="O8950" s="172"/>
    </row>
    <row r="8951" spans="1:15" ht="25.5" x14ac:dyDescent="0.2">
      <c r="A8951" s="197" t="str">
        <f t="shared" si="139"/>
        <v>SubCode_liquefaction</v>
      </c>
      <c r="B8951" s="409"/>
      <c r="C8951" s="416"/>
      <c r="D8951" s="198" t="s">
        <v>34034</v>
      </c>
      <c r="E8951" s="198">
        <v>3</v>
      </c>
      <c r="F8951" s="199" t="s">
        <v>34035</v>
      </c>
      <c r="G8951" s="1" t="s">
        <v>50220</v>
      </c>
      <c r="H8951" s="200"/>
      <c r="I8951" s="346"/>
      <c r="J8951" s="39">
        <v>114573</v>
      </c>
      <c r="K8951" s="36" t="str">
        <f>CONCATENATE(Cover!$D$6,"fdd/view?i=",J8951)</f>
        <v>https://www.dgiwg.org/FAD/fdd/view?i=114573</v>
      </c>
      <c r="L8951" s="36" t="s">
        <v>50221</v>
      </c>
      <c r="M8951" s="186"/>
      <c r="N8951" s="186"/>
      <c r="O8951" s="172"/>
    </row>
    <row r="8952" spans="1:15" ht="25.5" x14ac:dyDescent="0.2">
      <c r="A8952" s="197" t="str">
        <f t="shared" si="139"/>
        <v>SubCode_sandwaveMigration</v>
      </c>
      <c r="B8952" s="409"/>
      <c r="C8952" s="416"/>
      <c r="D8952" s="198" t="s">
        <v>50222</v>
      </c>
      <c r="E8952" s="198">
        <v>4</v>
      </c>
      <c r="F8952" s="199" t="s">
        <v>50223</v>
      </c>
      <c r="G8952" s="1" t="s">
        <v>50224</v>
      </c>
      <c r="H8952" s="200"/>
      <c r="I8952" s="346"/>
      <c r="J8952" s="39">
        <v>114574</v>
      </c>
      <c r="K8952" s="36" t="str">
        <f>CONCATENATE(Cover!$D$6,"fdd/view?i=",J8952)</f>
        <v>https://www.dgiwg.org/FAD/fdd/view?i=114574</v>
      </c>
      <c r="L8952" s="36" t="s">
        <v>50225</v>
      </c>
      <c r="M8952" s="186"/>
      <c r="N8952" s="186"/>
      <c r="O8952" s="172"/>
    </row>
    <row r="8953" spans="1:15" ht="25.5" x14ac:dyDescent="0.2">
      <c r="A8953" s="197" t="str">
        <f t="shared" si="139"/>
        <v>SubCode_scour</v>
      </c>
      <c r="B8953" s="409"/>
      <c r="C8953" s="416"/>
      <c r="D8953" s="198" t="s">
        <v>50226</v>
      </c>
      <c r="E8953" s="198">
        <v>2</v>
      </c>
      <c r="F8953" s="199" t="s">
        <v>50227</v>
      </c>
      <c r="G8953" s="1" t="s">
        <v>50228</v>
      </c>
      <c r="H8953" s="200"/>
      <c r="I8953" s="346"/>
      <c r="J8953" s="39">
        <v>114572</v>
      </c>
      <c r="K8953" s="36" t="str">
        <f>CONCATENATE(Cover!$D$6,"fdd/view?i=",J8953)</f>
        <v>https://www.dgiwg.org/FAD/fdd/view?i=114572</v>
      </c>
      <c r="L8953" s="36" t="s">
        <v>50229</v>
      </c>
      <c r="M8953" s="186"/>
      <c r="N8953" s="186"/>
      <c r="O8953" s="172"/>
    </row>
    <row r="8954" spans="1:15" ht="25.5" x14ac:dyDescent="0.2">
      <c r="A8954" s="203" t="str">
        <f t="shared" si="139"/>
        <v>SubCode_sedimentMigration</v>
      </c>
      <c r="B8954" s="410"/>
      <c r="C8954" s="417"/>
      <c r="D8954" s="204" t="s">
        <v>50230</v>
      </c>
      <c r="E8954" s="204">
        <v>5</v>
      </c>
      <c r="F8954" s="205" t="s">
        <v>50231</v>
      </c>
      <c r="G8954" s="206" t="s">
        <v>50232</v>
      </c>
      <c r="H8954" s="207"/>
      <c r="I8954" s="347"/>
      <c r="J8954" s="39">
        <v>114575</v>
      </c>
      <c r="K8954" s="36" t="str">
        <f>CONCATENATE(Cover!$D$6,"fdd/view?i=",J8954)</f>
        <v>https://www.dgiwg.org/FAD/fdd/view?i=114575</v>
      </c>
      <c r="L8954" s="36" t="s">
        <v>50233</v>
      </c>
      <c r="M8954" s="186"/>
      <c r="N8954" s="186"/>
      <c r="O8954" s="172"/>
    </row>
    <row r="8955" spans="1:15" ht="38.25" x14ac:dyDescent="0.2">
      <c r="A8955" s="190" t="str">
        <f t="shared" si="139"/>
        <v>SdyCode_autoDependentSurvBroadcast</v>
      </c>
      <c r="B8955" s="414" t="str">
        <f>HYPERLINK("[#]Datatypes!A1478:L1478","SdyCode")</f>
        <v>SdyCode</v>
      </c>
      <c r="C8955" s="415" t="s">
        <v>16104</v>
      </c>
      <c r="D8955" s="221" t="s">
        <v>50234</v>
      </c>
      <c r="E8955" s="221">
        <v>1</v>
      </c>
      <c r="F8955" s="222" t="s">
        <v>50235</v>
      </c>
      <c r="G8955" s="223" t="s">
        <v>50236</v>
      </c>
      <c r="H8955" s="224"/>
      <c r="I8955" s="345"/>
      <c r="J8955" s="39">
        <v>119822</v>
      </c>
      <c r="K8955" s="36" t="str">
        <f>CONCATENATE(Cover!$D$6,"fdd/view?i=",J8955)</f>
        <v>https://www.dgiwg.org/FAD/fdd/view?i=119822</v>
      </c>
      <c r="L8955" s="36" t="s">
        <v>50237</v>
      </c>
      <c r="M8955" s="186"/>
      <c r="N8955" s="186"/>
      <c r="O8955" s="172"/>
    </row>
    <row r="8956" spans="1:15" ht="102" x14ac:dyDescent="0.2">
      <c r="A8956" s="203" t="str">
        <f t="shared" si="139"/>
        <v>SdyCode_multilaterationSensor</v>
      </c>
      <c r="B8956" s="410"/>
      <c r="C8956" s="417"/>
      <c r="D8956" s="204" t="s">
        <v>50238</v>
      </c>
      <c r="E8956" s="204">
        <v>2</v>
      </c>
      <c r="F8956" s="205" t="s">
        <v>50239</v>
      </c>
      <c r="G8956" s="206" t="s">
        <v>50240</v>
      </c>
      <c r="H8956" s="206" t="s">
        <v>50241</v>
      </c>
      <c r="I8956" s="347"/>
      <c r="J8956" s="39">
        <v>119823</v>
      </c>
      <c r="K8956" s="36" t="str">
        <f>CONCATENATE(Cover!$D$6,"fdd/view?i=",J8956)</f>
        <v>https://www.dgiwg.org/FAD/fdd/view?i=119823</v>
      </c>
      <c r="L8956" s="36" t="s">
        <v>50242</v>
      </c>
      <c r="M8956" s="186"/>
      <c r="N8956" s="186"/>
      <c r="O8956" s="172"/>
    </row>
    <row r="8957" spans="1:15" ht="38.25" x14ac:dyDescent="0.2">
      <c r="A8957" s="190" t="str">
        <f t="shared" si="139"/>
        <v>SmcCode_adobeBrick</v>
      </c>
      <c r="B8957" s="414" t="str">
        <f>HYPERLINK("[#]Datatypes!A1480:L1480","SmcCode")</f>
        <v>SmcCode</v>
      </c>
      <c r="C8957" s="415" t="s">
        <v>16106</v>
      </c>
      <c r="D8957" s="221" t="s">
        <v>49876</v>
      </c>
      <c r="E8957" s="221">
        <v>278</v>
      </c>
      <c r="F8957" s="222" t="s">
        <v>49877</v>
      </c>
      <c r="G8957" s="223" t="s">
        <v>49878</v>
      </c>
      <c r="H8957" s="223" t="s">
        <v>49879</v>
      </c>
      <c r="I8957" s="345"/>
      <c r="J8957" s="39">
        <v>112828</v>
      </c>
      <c r="K8957" s="36" t="str">
        <f>CONCATENATE(Cover!$D$6,"fdd/view?i=",J8957)</f>
        <v>https://www.dgiwg.org/FAD/fdd/view?i=112828</v>
      </c>
      <c r="L8957" s="36" t="s">
        <v>50243</v>
      </c>
      <c r="M8957" s="186"/>
      <c r="N8957" s="186"/>
      <c r="O8957" s="172"/>
    </row>
    <row r="8958" spans="1:15" ht="25.5" x14ac:dyDescent="0.2">
      <c r="A8958" s="197" t="str">
        <f t="shared" si="139"/>
        <v>SmcCode_aluminum</v>
      </c>
      <c r="B8958" s="409"/>
      <c r="C8958" s="416"/>
      <c r="D8958" s="198" t="s">
        <v>25660</v>
      </c>
      <c r="E8958" s="198">
        <v>2</v>
      </c>
      <c r="F8958" s="199" t="s">
        <v>43276</v>
      </c>
      <c r="G8958" s="1" t="s">
        <v>43277</v>
      </c>
      <c r="H8958" s="200"/>
      <c r="I8958" s="346"/>
      <c r="J8958" s="39">
        <v>107760</v>
      </c>
      <c r="K8958" s="36" t="str">
        <f>CONCATENATE(Cover!$D$6,"fdd/view?i=",J8958)</f>
        <v>https://www.dgiwg.org/FAD/fdd/view?i=107760</v>
      </c>
      <c r="L8958" s="36" t="s">
        <v>50244</v>
      </c>
      <c r="M8958" s="186"/>
      <c r="N8958" s="186"/>
      <c r="O8958" s="172"/>
    </row>
    <row r="8959" spans="1:15" ht="25.5" x14ac:dyDescent="0.2">
      <c r="A8959" s="197" t="str">
        <f t="shared" si="139"/>
        <v>SmcCode_ash</v>
      </c>
      <c r="B8959" s="409"/>
      <c r="C8959" s="416"/>
      <c r="D8959" s="198" t="s">
        <v>25254</v>
      </c>
      <c r="E8959" s="198">
        <v>4</v>
      </c>
      <c r="F8959" s="199" t="s">
        <v>25255</v>
      </c>
      <c r="G8959" s="1" t="s">
        <v>25256</v>
      </c>
      <c r="H8959" s="200"/>
      <c r="I8959" s="346"/>
      <c r="J8959" s="39">
        <v>107762</v>
      </c>
      <c r="K8959" s="36" t="str">
        <f>CONCATENATE(Cover!$D$6,"fdd/view?i=",J8959)</f>
        <v>https://www.dgiwg.org/FAD/fdd/view?i=107762</v>
      </c>
      <c r="L8959" s="36" t="s">
        <v>50245</v>
      </c>
      <c r="M8959" s="186"/>
      <c r="N8959" s="186"/>
      <c r="O8959" s="172"/>
    </row>
    <row r="8960" spans="1:15" ht="25.5" x14ac:dyDescent="0.2">
      <c r="A8960" s="197" t="str">
        <f t="shared" si="139"/>
        <v>SmcCode_asphalt</v>
      </c>
      <c r="B8960" s="409"/>
      <c r="C8960" s="416"/>
      <c r="D8960" s="198" t="s">
        <v>19519</v>
      </c>
      <c r="E8960" s="198">
        <v>5</v>
      </c>
      <c r="F8960" s="199" t="s">
        <v>19520</v>
      </c>
      <c r="G8960" s="1" t="s">
        <v>43284</v>
      </c>
      <c r="H8960" s="200"/>
      <c r="I8960" s="346"/>
      <c r="J8960" s="39">
        <v>107763</v>
      </c>
      <c r="K8960" s="36" t="str">
        <f>CONCATENATE(Cover!$D$6,"fdd/view?i=",J8960)</f>
        <v>https://www.dgiwg.org/FAD/fdd/view?i=107763</v>
      </c>
      <c r="L8960" s="36" t="s">
        <v>50246</v>
      </c>
      <c r="M8960" s="186"/>
      <c r="N8960" s="186"/>
      <c r="O8960" s="172"/>
    </row>
    <row r="8961" spans="1:15" ht="38.25" x14ac:dyDescent="0.2">
      <c r="A8961" s="197" t="str">
        <f t="shared" si="139"/>
        <v>SmcCode_basalt</v>
      </c>
      <c r="B8961" s="409"/>
      <c r="C8961" s="416"/>
      <c r="D8961" s="198" t="s">
        <v>22299</v>
      </c>
      <c r="E8961" s="198">
        <v>6</v>
      </c>
      <c r="F8961" s="199" t="s">
        <v>22300</v>
      </c>
      <c r="G8961" s="1" t="s">
        <v>44407</v>
      </c>
      <c r="H8961" s="200"/>
      <c r="I8961" s="346"/>
      <c r="J8961" s="39">
        <v>107764</v>
      </c>
      <c r="K8961" s="36" t="str">
        <f>CONCATENATE(Cover!$D$6,"fdd/view?i=",J8961)</f>
        <v>https://www.dgiwg.org/FAD/fdd/view?i=107764</v>
      </c>
      <c r="L8961" s="36" t="s">
        <v>50247</v>
      </c>
      <c r="M8961" s="186"/>
      <c r="N8961" s="186"/>
      <c r="O8961" s="172"/>
    </row>
    <row r="8962" spans="1:15" ht="38.25" x14ac:dyDescent="0.2">
      <c r="A8962" s="197" t="str">
        <f t="shared" ref="A8962:A9025" si="140">HYPERLINK(K8962,L8962)</f>
        <v>SmcCode_bedrock</v>
      </c>
      <c r="B8962" s="409"/>
      <c r="C8962" s="416"/>
      <c r="D8962" s="198" t="s">
        <v>24141</v>
      </c>
      <c r="E8962" s="198">
        <v>7</v>
      </c>
      <c r="F8962" s="199" t="s">
        <v>24142</v>
      </c>
      <c r="G8962" s="1" t="s">
        <v>24143</v>
      </c>
      <c r="H8962" s="1" t="s">
        <v>24144</v>
      </c>
      <c r="I8962" s="346"/>
      <c r="J8962" s="39">
        <v>107765</v>
      </c>
      <c r="K8962" s="36" t="str">
        <f>CONCATENATE(Cover!$D$6,"fdd/view?i=",J8962)</f>
        <v>https://www.dgiwg.org/FAD/fdd/view?i=107765</v>
      </c>
      <c r="L8962" s="36" t="s">
        <v>50248</v>
      </c>
      <c r="M8962" s="186"/>
      <c r="N8962" s="186"/>
      <c r="O8962" s="172"/>
    </row>
    <row r="8963" spans="1:15" x14ac:dyDescent="0.2">
      <c r="A8963" s="197" t="str">
        <f t="shared" si="140"/>
        <v>SmcCode_boulders</v>
      </c>
      <c r="B8963" s="409"/>
      <c r="C8963" s="416"/>
      <c r="D8963" s="198" t="s">
        <v>22303</v>
      </c>
      <c r="E8963" s="198">
        <v>8</v>
      </c>
      <c r="F8963" s="199" t="s">
        <v>22304</v>
      </c>
      <c r="G8963" s="1" t="s">
        <v>24180</v>
      </c>
      <c r="H8963" s="200"/>
      <c r="I8963" s="346"/>
      <c r="J8963" s="39">
        <v>107766</v>
      </c>
      <c r="K8963" s="36" t="str">
        <f>CONCATENATE(Cover!$D$6,"fdd/view?i=",J8963)</f>
        <v>https://www.dgiwg.org/FAD/fdd/view?i=107766</v>
      </c>
      <c r="L8963" s="36" t="s">
        <v>50249</v>
      </c>
      <c r="M8963" s="186"/>
      <c r="N8963" s="186"/>
      <c r="O8963" s="172"/>
    </row>
    <row r="8964" spans="1:15" ht="38.25" x14ac:dyDescent="0.2">
      <c r="A8964" s="197" t="str">
        <f t="shared" si="140"/>
        <v>SmcCode_breccia</v>
      </c>
      <c r="B8964" s="409"/>
      <c r="C8964" s="416"/>
      <c r="D8964" s="198" t="s">
        <v>43309</v>
      </c>
      <c r="E8964" s="198">
        <v>266</v>
      </c>
      <c r="F8964" s="199" t="s">
        <v>43310</v>
      </c>
      <c r="G8964" s="1" t="s">
        <v>43312</v>
      </c>
      <c r="H8964" s="200"/>
      <c r="I8964" s="346"/>
      <c r="J8964" s="39">
        <v>109837</v>
      </c>
      <c r="K8964" s="36" t="str">
        <f>CONCATENATE(Cover!$D$6,"fdd/view?i=",J8964)</f>
        <v>https://www.dgiwg.org/FAD/fdd/view?i=109837</v>
      </c>
      <c r="L8964" s="36" t="s">
        <v>50250</v>
      </c>
      <c r="M8964" s="186"/>
      <c r="N8964" s="186"/>
      <c r="O8964" s="172"/>
    </row>
    <row r="8965" spans="1:15" ht="25.5" x14ac:dyDescent="0.2">
      <c r="A8965" s="197" t="str">
        <f t="shared" si="140"/>
        <v>SmcCode_brick</v>
      </c>
      <c r="B8965" s="409"/>
      <c r="C8965" s="416"/>
      <c r="D8965" s="198" t="s">
        <v>19533</v>
      </c>
      <c r="E8965" s="198">
        <v>9</v>
      </c>
      <c r="F8965" s="199" t="s">
        <v>19534</v>
      </c>
      <c r="G8965" s="1" t="s">
        <v>43314</v>
      </c>
      <c r="H8965" s="200"/>
      <c r="I8965" s="346"/>
      <c r="J8965" s="39">
        <v>107767</v>
      </c>
      <c r="K8965" s="36" t="str">
        <f>CONCATENATE(Cover!$D$6,"fdd/view?i=",J8965)</f>
        <v>https://www.dgiwg.org/FAD/fdd/view?i=107767</v>
      </c>
      <c r="L8965" s="36" t="s">
        <v>50251</v>
      </c>
      <c r="M8965" s="186"/>
      <c r="N8965" s="186"/>
      <c r="O8965" s="172"/>
    </row>
    <row r="8966" spans="1:15" ht="25.5" x14ac:dyDescent="0.2">
      <c r="A8966" s="197" t="str">
        <f t="shared" si="140"/>
        <v>SmcCode_calcareous</v>
      </c>
      <c r="B8966" s="409"/>
      <c r="C8966" s="416"/>
      <c r="D8966" s="198" t="s">
        <v>43153</v>
      </c>
      <c r="E8966" s="198">
        <v>10</v>
      </c>
      <c r="F8966" s="199" t="s">
        <v>43154</v>
      </c>
      <c r="G8966" s="1" t="s">
        <v>43321</v>
      </c>
      <c r="H8966" s="200"/>
      <c r="I8966" s="346"/>
      <c r="J8966" s="39">
        <v>107768</v>
      </c>
      <c r="K8966" s="36" t="str">
        <f>CONCATENATE(Cover!$D$6,"fdd/view?i=",J8966)</f>
        <v>https://www.dgiwg.org/FAD/fdd/view?i=107768</v>
      </c>
      <c r="L8966" s="36" t="s">
        <v>50252</v>
      </c>
      <c r="M8966" s="186"/>
      <c r="N8966" s="186"/>
      <c r="O8966" s="172"/>
    </row>
    <row r="8967" spans="1:15" ht="25.5" x14ac:dyDescent="0.2">
      <c r="A8967" s="197" t="str">
        <f t="shared" si="140"/>
        <v>SmcCode_ceramic</v>
      </c>
      <c r="B8967" s="409"/>
      <c r="C8967" s="416"/>
      <c r="D8967" s="198" t="s">
        <v>46712</v>
      </c>
      <c r="E8967" s="198">
        <v>267</v>
      </c>
      <c r="F8967" s="199" t="s">
        <v>46713</v>
      </c>
      <c r="G8967" s="1" t="s">
        <v>46714</v>
      </c>
      <c r="H8967" s="1" t="s">
        <v>46715</v>
      </c>
      <c r="I8967" s="346"/>
      <c r="J8967" s="39">
        <v>109838</v>
      </c>
      <c r="K8967" s="36" t="str">
        <f>CONCATENATE(Cover!$D$6,"fdd/view?i=",J8967)</f>
        <v>https://www.dgiwg.org/FAD/fdd/view?i=109838</v>
      </c>
      <c r="L8967" s="36" t="s">
        <v>50253</v>
      </c>
      <c r="M8967" s="186"/>
      <c r="N8967" s="186"/>
      <c r="O8967" s="172"/>
    </row>
    <row r="8968" spans="1:15" ht="38.25" x14ac:dyDescent="0.2">
      <c r="A8968" s="197" t="str">
        <f t="shared" si="140"/>
        <v>SmcCode_chalk</v>
      </c>
      <c r="B8968" s="409"/>
      <c r="C8968" s="416"/>
      <c r="D8968" s="198" t="s">
        <v>43328</v>
      </c>
      <c r="E8968" s="198">
        <v>12</v>
      </c>
      <c r="F8968" s="199" t="s">
        <v>43329</v>
      </c>
      <c r="G8968" s="1" t="s">
        <v>43330</v>
      </c>
      <c r="H8968" s="200"/>
      <c r="I8968" s="346"/>
      <c r="J8968" s="39">
        <v>107770</v>
      </c>
      <c r="K8968" s="36" t="str">
        <f>CONCATENATE(Cover!$D$6,"fdd/view?i=",J8968)</f>
        <v>https://www.dgiwg.org/FAD/fdd/view?i=107770</v>
      </c>
      <c r="L8968" s="36" t="s">
        <v>50254</v>
      </c>
      <c r="M8968" s="186"/>
      <c r="N8968" s="186"/>
      <c r="O8968" s="172"/>
    </row>
    <row r="8969" spans="1:15" ht="25.5" x14ac:dyDescent="0.2">
      <c r="A8969" s="197" t="str">
        <f t="shared" si="140"/>
        <v>SmcCode_cinders</v>
      </c>
      <c r="B8969" s="409"/>
      <c r="C8969" s="416"/>
      <c r="D8969" s="198" t="s">
        <v>25258</v>
      </c>
      <c r="E8969" s="198">
        <v>14</v>
      </c>
      <c r="F8969" s="199" t="s">
        <v>25259</v>
      </c>
      <c r="G8969" s="1" t="s">
        <v>25260</v>
      </c>
      <c r="H8969" s="200"/>
      <c r="I8969" s="346"/>
      <c r="J8969" s="39">
        <v>107772</v>
      </c>
      <c r="K8969" s="36" t="str">
        <f>CONCATENATE(Cover!$D$6,"fdd/view?i=",J8969)</f>
        <v>https://www.dgiwg.org/FAD/fdd/view?i=107772</v>
      </c>
      <c r="L8969" s="36" t="s">
        <v>50255</v>
      </c>
      <c r="M8969" s="186"/>
      <c r="N8969" s="186"/>
      <c r="O8969" s="172"/>
    </row>
    <row r="8970" spans="1:15" ht="38.25" x14ac:dyDescent="0.2">
      <c r="A8970" s="197" t="str">
        <f t="shared" si="140"/>
        <v>SmcCode_cirripedia</v>
      </c>
      <c r="B8970" s="409"/>
      <c r="C8970" s="416"/>
      <c r="D8970" s="198" t="s">
        <v>46719</v>
      </c>
      <c r="E8970" s="198">
        <v>15</v>
      </c>
      <c r="F8970" s="199" t="s">
        <v>46720</v>
      </c>
      <c r="G8970" s="1" t="s">
        <v>46721</v>
      </c>
      <c r="H8970" s="1" t="s">
        <v>46722</v>
      </c>
      <c r="I8970" s="346"/>
      <c r="J8970" s="39">
        <v>107773</v>
      </c>
      <c r="K8970" s="36" t="str">
        <f>CONCATENATE(Cover!$D$6,"fdd/view?i=",J8970)</f>
        <v>https://www.dgiwg.org/FAD/fdd/view?i=107773</v>
      </c>
      <c r="L8970" s="36" t="s">
        <v>50256</v>
      </c>
      <c r="M8970" s="186"/>
      <c r="N8970" s="186"/>
      <c r="O8970" s="172"/>
    </row>
    <row r="8971" spans="1:15" ht="38.25" x14ac:dyDescent="0.2">
      <c r="A8971" s="197" t="str">
        <f t="shared" si="140"/>
        <v>SmcCode_clay</v>
      </c>
      <c r="B8971" s="409"/>
      <c r="C8971" s="416"/>
      <c r="D8971" s="198" t="s">
        <v>19537</v>
      </c>
      <c r="E8971" s="198">
        <v>16</v>
      </c>
      <c r="F8971" s="199" t="s">
        <v>19538</v>
      </c>
      <c r="G8971" s="1" t="s">
        <v>43343</v>
      </c>
      <c r="H8971" s="1" t="s">
        <v>43344</v>
      </c>
      <c r="I8971" s="346"/>
      <c r="J8971" s="39">
        <v>107774</v>
      </c>
      <c r="K8971" s="36" t="str">
        <f>CONCATENATE(Cover!$D$6,"fdd/view?i=",J8971)</f>
        <v>https://www.dgiwg.org/FAD/fdd/view?i=107774</v>
      </c>
      <c r="L8971" s="36" t="s">
        <v>50257</v>
      </c>
      <c r="M8971" s="186"/>
      <c r="N8971" s="186"/>
      <c r="O8971" s="172"/>
    </row>
    <row r="8972" spans="1:15" ht="25.5" x14ac:dyDescent="0.2">
      <c r="A8972" s="197" t="str">
        <f t="shared" si="140"/>
        <v>SmcCode_coal</v>
      </c>
      <c r="B8972" s="409"/>
      <c r="C8972" s="416"/>
      <c r="D8972" s="198" t="s">
        <v>22914</v>
      </c>
      <c r="E8972" s="198">
        <v>17</v>
      </c>
      <c r="F8972" s="199" t="s">
        <v>22915</v>
      </c>
      <c r="G8972" s="1" t="s">
        <v>22916</v>
      </c>
      <c r="H8972" s="1" t="s">
        <v>22917</v>
      </c>
      <c r="I8972" s="346"/>
      <c r="J8972" s="39">
        <v>107775</v>
      </c>
      <c r="K8972" s="36" t="str">
        <f>CONCATENATE(Cover!$D$6,"fdd/view?i=",J8972)</f>
        <v>https://www.dgiwg.org/FAD/fdd/view?i=107775</v>
      </c>
      <c r="L8972" s="36" t="s">
        <v>50258</v>
      </c>
      <c r="M8972" s="186"/>
      <c r="N8972" s="186"/>
      <c r="O8972" s="172"/>
    </row>
    <row r="8973" spans="1:15" x14ac:dyDescent="0.2">
      <c r="A8973" s="197" t="str">
        <f t="shared" si="140"/>
        <v>SmcCode_cobbles</v>
      </c>
      <c r="B8973" s="409"/>
      <c r="C8973" s="416"/>
      <c r="D8973" s="198" t="s">
        <v>43358</v>
      </c>
      <c r="E8973" s="198">
        <v>18</v>
      </c>
      <c r="F8973" s="199" t="s">
        <v>43359</v>
      </c>
      <c r="G8973" s="1" t="s">
        <v>43360</v>
      </c>
      <c r="H8973" s="200"/>
      <c r="I8973" s="351" t="s">
        <v>43361</v>
      </c>
      <c r="J8973" s="39">
        <v>107776</v>
      </c>
      <c r="K8973" s="36" t="str">
        <f>CONCATENATE(Cover!$D$6,"fdd/view?i=",J8973)</f>
        <v>https://www.dgiwg.org/FAD/fdd/view?i=107776</v>
      </c>
      <c r="L8973" s="36" t="s">
        <v>50259</v>
      </c>
      <c r="M8973" s="186"/>
      <c r="N8973" s="186"/>
      <c r="O8973" s="172"/>
    </row>
    <row r="8974" spans="1:15" x14ac:dyDescent="0.2">
      <c r="A8974" s="197" t="str">
        <f t="shared" si="140"/>
        <v>SmcCode_coke</v>
      </c>
      <c r="B8974" s="409"/>
      <c r="C8974" s="416"/>
      <c r="D8974" s="198" t="s">
        <v>43366</v>
      </c>
      <c r="E8974" s="198">
        <v>19</v>
      </c>
      <c r="F8974" s="199" t="s">
        <v>43367</v>
      </c>
      <c r="G8974" s="1" t="s">
        <v>43368</v>
      </c>
      <c r="H8974" s="200"/>
      <c r="I8974" s="346"/>
      <c r="J8974" s="39">
        <v>107777</v>
      </c>
      <c r="K8974" s="36" t="str">
        <f>CONCATENATE(Cover!$D$6,"fdd/view?i=",J8974)</f>
        <v>https://www.dgiwg.org/FAD/fdd/view?i=107777</v>
      </c>
      <c r="L8974" s="36" t="s">
        <v>50260</v>
      </c>
      <c r="M8974" s="186"/>
      <c r="N8974" s="186"/>
      <c r="O8974" s="172"/>
    </row>
    <row r="8975" spans="1:15" ht="38.25" x14ac:dyDescent="0.2">
      <c r="A8975" s="197" t="str">
        <f t="shared" si="140"/>
        <v>SmcCode_composition</v>
      </c>
      <c r="B8975" s="409"/>
      <c r="C8975" s="416"/>
      <c r="D8975" s="198" t="s">
        <v>43965</v>
      </c>
      <c r="E8975" s="198">
        <v>20</v>
      </c>
      <c r="F8975" s="199" t="s">
        <v>43966</v>
      </c>
      <c r="G8975" s="1" t="s">
        <v>43967</v>
      </c>
      <c r="H8975" s="200"/>
      <c r="I8975" s="346"/>
      <c r="J8975" s="39">
        <v>107778</v>
      </c>
      <c r="K8975" s="36" t="str">
        <f>CONCATENATE(Cover!$D$6,"fdd/view?i=",J8975)</f>
        <v>https://www.dgiwg.org/FAD/fdd/view?i=107778</v>
      </c>
      <c r="L8975" s="36" t="s">
        <v>50261</v>
      </c>
      <c r="M8975" s="186"/>
      <c r="N8975" s="186"/>
      <c r="O8975" s="172"/>
    </row>
    <row r="8976" spans="1:15" ht="38.25" x14ac:dyDescent="0.2">
      <c r="A8976" s="197" t="str">
        <f t="shared" si="140"/>
        <v>SmcCode_concrete</v>
      </c>
      <c r="B8976" s="409"/>
      <c r="C8976" s="416"/>
      <c r="D8976" s="198" t="s">
        <v>19541</v>
      </c>
      <c r="E8976" s="198">
        <v>21</v>
      </c>
      <c r="F8976" s="199" t="s">
        <v>19542</v>
      </c>
      <c r="G8976" s="1" t="s">
        <v>24150</v>
      </c>
      <c r="H8976" s="200"/>
      <c r="I8976" s="346"/>
      <c r="J8976" s="39">
        <v>107779</v>
      </c>
      <c r="K8976" s="36" t="str">
        <f>CONCATENATE(Cover!$D$6,"fdd/view?i=",J8976)</f>
        <v>https://www.dgiwg.org/FAD/fdd/view?i=107779</v>
      </c>
      <c r="L8976" s="36" t="s">
        <v>50262</v>
      </c>
      <c r="M8976" s="186"/>
      <c r="N8976" s="186"/>
      <c r="O8976" s="172"/>
    </row>
    <row r="8977" spans="1:15" ht="38.25" x14ac:dyDescent="0.2">
      <c r="A8977" s="197" t="str">
        <f t="shared" si="140"/>
        <v>SmcCode_conglomerate</v>
      </c>
      <c r="B8977" s="409"/>
      <c r="C8977" s="416"/>
      <c r="D8977" s="198" t="s">
        <v>22310</v>
      </c>
      <c r="E8977" s="198">
        <v>22</v>
      </c>
      <c r="F8977" s="199" t="s">
        <v>22311</v>
      </c>
      <c r="G8977" s="1" t="s">
        <v>43371</v>
      </c>
      <c r="H8977" s="200"/>
      <c r="I8977" s="346"/>
      <c r="J8977" s="39">
        <v>107780</v>
      </c>
      <c r="K8977" s="36" t="str">
        <f>CONCATENATE(Cover!$D$6,"fdd/view?i=",J8977)</f>
        <v>https://www.dgiwg.org/FAD/fdd/view?i=107780</v>
      </c>
      <c r="L8977" s="36" t="s">
        <v>50263</v>
      </c>
      <c r="M8977" s="186"/>
      <c r="N8977" s="186"/>
      <c r="O8977" s="172"/>
    </row>
    <row r="8978" spans="1:15" ht="25.5" x14ac:dyDescent="0.2">
      <c r="A8978" s="197" t="str">
        <f t="shared" si="140"/>
        <v>SmcCode_copper</v>
      </c>
      <c r="B8978" s="409"/>
      <c r="C8978" s="416"/>
      <c r="D8978" s="198" t="s">
        <v>25734</v>
      </c>
      <c r="E8978" s="198">
        <v>23</v>
      </c>
      <c r="F8978" s="199" t="s">
        <v>43378</v>
      </c>
      <c r="G8978" s="1" t="s">
        <v>43379</v>
      </c>
      <c r="H8978" s="1" t="s">
        <v>43380</v>
      </c>
      <c r="I8978" s="346"/>
      <c r="J8978" s="39">
        <v>107781</v>
      </c>
      <c r="K8978" s="36" t="str">
        <f>CONCATENATE(Cover!$D$6,"fdd/view?i=",J8978)</f>
        <v>https://www.dgiwg.org/FAD/fdd/view?i=107781</v>
      </c>
      <c r="L8978" s="36" t="s">
        <v>50264</v>
      </c>
      <c r="M8978" s="186"/>
      <c r="N8978" s="186"/>
      <c r="O8978" s="172"/>
    </row>
    <row r="8979" spans="1:15" ht="38.25" x14ac:dyDescent="0.2">
      <c r="A8979" s="197" t="str">
        <f t="shared" si="140"/>
        <v>SmcCode_coral</v>
      </c>
      <c r="B8979" s="409"/>
      <c r="C8979" s="416"/>
      <c r="D8979" s="198" t="s">
        <v>19546</v>
      </c>
      <c r="E8979" s="198">
        <v>24</v>
      </c>
      <c r="F8979" s="199" t="s">
        <v>19547</v>
      </c>
      <c r="G8979" s="1" t="s">
        <v>24152</v>
      </c>
      <c r="H8979" s="1" t="s">
        <v>24153</v>
      </c>
      <c r="I8979" s="346"/>
      <c r="J8979" s="39">
        <v>107782</v>
      </c>
      <c r="K8979" s="36" t="str">
        <f>CONCATENATE(Cover!$D$6,"fdd/view?i=",J8979)</f>
        <v>https://www.dgiwg.org/FAD/fdd/view?i=107782</v>
      </c>
      <c r="L8979" s="36" t="s">
        <v>50265</v>
      </c>
      <c r="M8979" s="186"/>
      <c r="N8979" s="186"/>
      <c r="O8979" s="172"/>
    </row>
    <row r="8980" spans="1:15" ht="25.5" x14ac:dyDescent="0.2">
      <c r="A8980" s="197" t="str">
        <f t="shared" si="140"/>
        <v>SmcCode_coralHead</v>
      </c>
      <c r="B8980" s="409"/>
      <c r="C8980" s="416"/>
      <c r="D8980" s="198" t="s">
        <v>46730</v>
      </c>
      <c r="E8980" s="198">
        <v>25</v>
      </c>
      <c r="F8980" s="199" t="s">
        <v>46731</v>
      </c>
      <c r="G8980" s="1" t="s">
        <v>46732</v>
      </c>
      <c r="H8980" s="200"/>
      <c r="I8980" s="346"/>
      <c r="J8980" s="39">
        <v>107783</v>
      </c>
      <c r="K8980" s="36" t="str">
        <f>CONCATENATE(Cover!$D$6,"fdd/view?i=",J8980)</f>
        <v>https://www.dgiwg.org/FAD/fdd/view?i=107783</v>
      </c>
      <c r="L8980" s="36" t="s">
        <v>50266</v>
      </c>
      <c r="M8980" s="186"/>
      <c r="N8980" s="186"/>
      <c r="O8980" s="172"/>
    </row>
    <row r="8981" spans="1:15" ht="25.5" x14ac:dyDescent="0.2">
      <c r="A8981" s="197" t="str">
        <f t="shared" si="140"/>
        <v>SmcCode_diatomaceousEarth</v>
      </c>
      <c r="B8981" s="409"/>
      <c r="C8981" s="416"/>
      <c r="D8981" s="198" t="s">
        <v>43406</v>
      </c>
      <c r="E8981" s="198">
        <v>28</v>
      </c>
      <c r="F8981" s="199" t="s">
        <v>43407</v>
      </c>
      <c r="G8981" s="1" t="s">
        <v>43408</v>
      </c>
      <c r="H8981" s="1" t="s">
        <v>43409</v>
      </c>
      <c r="I8981" s="346"/>
      <c r="J8981" s="39">
        <v>107786</v>
      </c>
      <c r="K8981" s="36" t="str">
        <f>CONCATENATE(Cover!$D$6,"fdd/view?i=",J8981)</f>
        <v>https://www.dgiwg.org/FAD/fdd/view?i=107786</v>
      </c>
      <c r="L8981" s="36" t="s">
        <v>50267</v>
      </c>
      <c r="M8981" s="186"/>
      <c r="N8981" s="186"/>
      <c r="O8981" s="172"/>
    </row>
    <row r="8982" spans="1:15" ht="25.5" x14ac:dyDescent="0.2">
      <c r="A8982" s="197" t="str">
        <f t="shared" si="140"/>
        <v>SmcCode_dolerite</v>
      </c>
      <c r="B8982" s="409"/>
      <c r="C8982" s="416"/>
      <c r="D8982" s="198" t="s">
        <v>43413</v>
      </c>
      <c r="E8982" s="198">
        <v>131</v>
      </c>
      <c r="F8982" s="199" t="s">
        <v>43414</v>
      </c>
      <c r="G8982" s="1" t="s">
        <v>44429</v>
      </c>
      <c r="H8982" s="1" t="s">
        <v>44430</v>
      </c>
      <c r="I8982" s="346"/>
      <c r="J8982" s="39">
        <v>107887</v>
      </c>
      <c r="K8982" s="36" t="str">
        <f>CONCATENATE(Cover!$D$6,"fdd/view?i=",J8982)</f>
        <v>https://www.dgiwg.org/FAD/fdd/view?i=107887</v>
      </c>
      <c r="L8982" s="36" t="s">
        <v>50268</v>
      </c>
      <c r="M8982" s="186"/>
      <c r="N8982" s="186"/>
      <c r="O8982" s="172"/>
    </row>
    <row r="8983" spans="1:15" ht="38.25" x14ac:dyDescent="0.2">
      <c r="A8983" s="197" t="str">
        <f t="shared" si="140"/>
        <v>SmcCode_dolomite</v>
      </c>
      <c r="B8983" s="409"/>
      <c r="C8983" s="416"/>
      <c r="D8983" s="198" t="s">
        <v>22315</v>
      </c>
      <c r="E8983" s="198">
        <v>29</v>
      </c>
      <c r="F8983" s="199" t="s">
        <v>22316</v>
      </c>
      <c r="G8983" s="1" t="s">
        <v>43419</v>
      </c>
      <c r="H8983" s="200"/>
      <c r="I8983" s="346"/>
      <c r="J8983" s="39">
        <v>107787</v>
      </c>
      <c r="K8983" s="36" t="str">
        <f>CONCATENATE(Cover!$D$6,"fdd/view?i=",J8983)</f>
        <v>https://www.dgiwg.org/FAD/fdd/view?i=107787</v>
      </c>
      <c r="L8983" s="36" t="s">
        <v>50269</v>
      </c>
      <c r="M8983" s="186"/>
      <c r="N8983" s="186"/>
      <c r="O8983" s="172"/>
    </row>
    <row r="8984" spans="1:15" ht="25.5" x14ac:dyDescent="0.2">
      <c r="A8984" s="197" t="str">
        <f t="shared" si="140"/>
        <v>SmcCode_evaporite</v>
      </c>
      <c r="B8984" s="409"/>
      <c r="C8984" s="416"/>
      <c r="D8984" s="198" t="s">
        <v>45939</v>
      </c>
      <c r="E8984" s="198">
        <v>122</v>
      </c>
      <c r="F8984" s="199" t="s">
        <v>45940</v>
      </c>
      <c r="G8984" s="1" t="s">
        <v>46737</v>
      </c>
      <c r="H8984" s="200"/>
      <c r="I8984" s="346"/>
      <c r="J8984" s="39">
        <v>107880</v>
      </c>
      <c r="K8984" s="36" t="str">
        <f>CONCATENATE(Cover!$D$6,"fdd/view?i=",J8984)</f>
        <v>https://www.dgiwg.org/FAD/fdd/view?i=107880</v>
      </c>
      <c r="L8984" s="36" t="s">
        <v>50270</v>
      </c>
      <c r="M8984" s="186"/>
      <c r="N8984" s="186"/>
      <c r="O8984" s="172"/>
    </row>
    <row r="8985" spans="1:15" ht="38.25" x14ac:dyDescent="0.2">
      <c r="A8985" s="197" t="str">
        <f t="shared" si="140"/>
        <v>SmcCode_flysch</v>
      </c>
      <c r="B8985" s="409"/>
      <c r="C8985" s="416"/>
      <c r="D8985" s="198" t="s">
        <v>46739</v>
      </c>
      <c r="E8985" s="198">
        <v>34</v>
      </c>
      <c r="F8985" s="199" t="s">
        <v>46740</v>
      </c>
      <c r="G8985" s="1" t="s">
        <v>46741</v>
      </c>
      <c r="H8985" s="200"/>
      <c r="I8985" s="346"/>
      <c r="J8985" s="39">
        <v>107792</v>
      </c>
      <c r="K8985" s="36" t="str">
        <f>CONCATENATE(Cover!$D$6,"fdd/view?i=",J8985)</f>
        <v>https://www.dgiwg.org/FAD/fdd/view?i=107792</v>
      </c>
      <c r="L8985" s="36" t="s">
        <v>50271</v>
      </c>
      <c r="M8985" s="186"/>
      <c r="N8985" s="186"/>
      <c r="O8985" s="172"/>
    </row>
    <row r="8986" spans="1:15" ht="51" x14ac:dyDescent="0.2">
      <c r="A8986" s="197" t="str">
        <f t="shared" si="140"/>
        <v>SmcCode_foraminifera</v>
      </c>
      <c r="B8986" s="409"/>
      <c r="C8986" s="416"/>
      <c r="D8986" s="198" t="s">
        <v>44434</v>
      </c>
      <c r="E8986" s="198">
        <v>36</v>
      </c>
      <c r="F8986" s="199" t="s">
        <v>44435</v>
      </c>
      <c r="G8986" s="1" t="s">
        <v>44436</v>
      </c>
      <c r="H8986" s="200"/>
      <c r="I8986" s="346"/>
      <c r="J8986" s="39">
        <v>107794</v>
      </c>
      <c r="K8986" s="36" t="str">
        <f>CONCATENATE(Cover!$D$6,"fdd/view?i=",J8986)</f>
        <v>https://www.dgiwg.org/FAD/fdd/view?i=107794</v>
      </c>
      <c r="L8986" s="36" t="s">
        <v>50272</v>
      </c>
      <c r="M8986" s="186"/>
      <c r="N8986" s="186"/>
      <c r="O8986" s="172"/>
    </row>
    <row r="8987" spans="1:15" x14ac:dyDescent="0.2">
      <c r="A8987" s="197" t="str">
        <f t="shared" si="140"/>
        <v>SmcCode_frozenWater</v>
      </c>
      <c r="B8987" s="409"/>
      <c r="C8987" s="416"/>
      <c r="D8987" s="198" t="s">
        <v>43448</v>
      </c>
      <c r="E8987" s="198">
        <v>103</v>
      </c>
      <c r="F8987" s="199" t="s">
        <v>43449</v>
      </c>
      <c r="G8987" s="1" t="s">
        <v>43450</v>
      </c>
      <c r="H8987" s="1" t="s">
        <v>43451</v>
      </c>
      <c r="I8987" s="346"/>
      <c r="J8987" s="39">
        <v>107861</v>
      </c>
      <c r="K8987" s="36" t="str">
        <f>CONCATENATE(Cover!$D$6,"fdd/view?i=",J8987)</f>
        <v>https://www.dgiwg.org/FAD/fdd/view?i=107861</v>
      </c>
      <c r="L8987" s="36" t="s">
        <v>50273</v>
      </c>
      <c r="M8987" s="186"/>
      <c r="N8987" s="186"/>
      <c r="O8987" s="172"/>
    </row>
    <row r="8988" spans="1:15" x14ac:dyDescent="0.2">
      <c r="A8988" s="197" t="str">
        <f t="shared" si="140"/>
        <v>SmcCode_fucus</v>
      </c>
      <c r="B8988" s="409"/>
      <c r="C8988" s="416"/>
      <c r="D8988" s="198" t="s">
        <v>46744</v>
      </c>
      <c r="E8988" s="198">
        <v>37</v>
      </c>
      <c r="F8988" s="199" t="s">
        <v>46745</v>
      </c>
      <c r="G8988" s="1" t="s">
        <v>46746</v>
      </c>
      <c r="H8988" s="1" t="s">
        <v>46747</v>
      </c>
      <c r="I8988" s="346"/>
      <c r="J8988" s="39">
        <v>107795</v>
      </c>
      <c r="K8988" s="36" t="str">
        <f>CONCATENATE(Cover!$D$6,"fdd/view?i=",J8988)</f>
        <v>https://www.dgiwg.org/FAD/fdd/view?i=107795</v>
      </c>
      <c r="L8988" s="36" t="s">
        <v>50274</v>
      </c>
      <c r="M8988" s="186"/>
      <c r="N8988" s="186"/>
      <c r="O8988" s="172"/>
    </row>
    <row r="8989" spans="1:15" ht="25.5" x14ac:dyDescent="0.2">
      <c r="A8989" s="197" t="str">
        <f t="shared" si="140"/>
        <v>SmcCode_glass</v>
      </c>
      <c r="B8989" s="409"/>
      <c r="C8989" s="416"/>
      <c r="D8989" s="198" t="s">
        <v>43458</v>
      </c>
      <c r="E8989" s="198">
        <v>40</v>
      </c>
      <c r="F8989" s="199" t="s">
        <v>43459</v>
      </c>
      <c r="G8989" s="1" t="s">
        <v>43460</v>
      </c>
      <c r="H8989" s="1" t="s">
        <v>43461</v>
      </c>
      <c r="I8989" s="346"/>
      <c r="J8989" s="39">
        <v>107798</v>
      </c>
      <c r="K8989" s="36" t="str">
        <f>CONCATENATE(Cover!$D$6,"fdd/view?i=",J8989)</f>
        <v>https://www.dgiwg.org/FAD/fdd/view?i=107798</v>
      </c>
      <c r="L8989" s="36" t="s">
        <v>50275</v>
      </c>
      <c r="M8989" s="186"/>
      <c r="N8989" s="186"/>
      <c r="O8989" s="172"/>
    </row>
    <row r="8990" spans="1:15" ht="25.5" x14ac:dyDescent="0.2">
      <c r="A8990" s="197" t="str">
        <f t="shared" si="140"/>
        <v>SmcCode_glassReinforcedPlastic</v>
      </c>
      <c r="B8990" s="409"/>
      <c r="C8990" s="416"/>
      <c r="D8990" s="198" t="s">
        <v>46749</v>
      </c>
      <c r="E8990" s="198">
        <v>128</v>
      </c>
      <c r="F8990" s="199" t="s">
        <v>46750</v>
      </c>
      <c r="G8990" s="1" t="s">
        <v>46751</v>
      </c>
      <c r="H8990" s="1" t="s">
        <v>46752</v>
      </c>
      <c r="I8990" s="346"/>
      <c r="J8990" s="39">
        <v>107884</v>
      </c>
      <c r="K8990" s="36" t="str">
        <f>CONCATENATE(Cover!$D$6,"fdd/view?i=",J8990)</f>
        <v>https://www.dgiwg.org/FAD/fdd/view?i=107884</v>
      </c>
      <c r="L8990" s="36" t="s">
        <v>50276</v>
      </c>
      <c r="M8990" s="186"/>
      <c r="N8990" s="186"/>
      <c r="O8990" s="172"/>
    </row>
    <row r="8991" spans="1:15" ht="51" x14ac:dyDescent="0.2">
      <c r="A8991" s="197" t="str">
        <f t="shared" si="140"/>
        <v>SmcCode_gneiss</v>
      </c>
      <c r="B8991" s="409"/>
      <c r="C8991" s="416"/>
      <c r="D8991" s="198" t="s">
        <v>43463</v>
      </c>
      <c r="E8991" s="198">
        <v>268</v>
      </c>
      <c r="F8991" s="199" t="s">
        <v>43464</v>
      </c>
      <c r="G8991" s="1" t="s">
        <v>44441</v>
      </c>
      <c r="H8991" s="1" t="s">
        <v>44442</v>
      </c>
      <c r="I8991" s="346"/>
      <c r="J8991" s="39">
        <v>109839</v>
      </c>
      <c r="K8991" s="36" t="str">
        <f>CONCATENATE(Cover!$D$6,"fdd/view?i=",J8991)</f>
        <v>https://www.dgiwg.org/FAD/fdd/view?i=109839</v>
      </c>
      <c r="L8991" s="36" t="s">
        <v>50277</v>
      </c>
      <c r="M8991" s="186"/>
      <c r="N8991" s="186"/>
      <c r="O8991" s="172"/>
    </row>
    <row r="8992" spans="1:15" ht="51" x14ac:dyDescent="0.2">
      <c r="A8992" s="197" t="str">
        <f t="shared" si="140"/>
        <v>SmcCode_gold</v>
      </c>
      <c r="B8992" s="409"/>
      <c r="C8992" s="416"/>
      <c r="D8992" s="198" t="s">
        <v>25753</v>
      </c>
      <c r="E8992" s="198">
        <v>42</v>
      </c>
      <c r="F8992" s="199" t="s">
        <v>43020</v>
      </c>
      <c r="G8992" s="1" t="s">
        <v>43468</v>
      </c>
      <c r="H8992" s="200"/>
      <c r="I8992" s="346"/>
      <c r="J8992" s="39">
        <v>107800</v>
      </c>
      <c r="K8992" s="36" t="str">
        <f>CONCATENATE(Cover!$D$6,"fdd/view?i=",J8992)</f>
        <v>https://www.dgiwg.org/FAD/fdd/view?i=107800</v>
      </c>
      <c r="L8992" s="36" t="s">
        <v>50278</v>
      </c>
      <c r="M8992" s="186"/>
      <c r="N8992" s="186"/>
      <c r="O8992" s="172"/>
    </row>
    <row r="8993" spans="1:15" ht="38.25" x14ac:dyDescent="0.2">
      <c r="A8993" s="197" t="str">
        <f t="shared" si="140"/>
        <v>SmcCode_granite</v>
      </c>
      <c r="B8993" s="409"/>
      <c r="C8993" s="416"/>
      <c r="D8993" s="198" t="s">
        <v>22319</v>
      </c>
      <c r="E8993" s="198">
        <v>43</v>
      </c>
      <c r="F8993" s="199" t="s">
        <v>22320</v>
      </c>
      <c r="G8993" s="1" t="s">
        <v>43475</v>
      </c>
      <c r="H8993" s="1" t="s">
        <v>44446</v>
      </c>
      <c r="I8993" s="346"/>
      <c r="J8993" s="39">
        <v>107801</v>
      </c>
      <c r="K8993" s="36" t="str">
        <f>CONCATENATE(Cover!$D$6,"fdd/view?i=",J8993)</f>
        <v>https://www.dgiwg.org/FAD/fdd/view?i=107801</v>
      </c>
      <c r="L8993" s="36" t="s">
        <v>50279</v>
      </c>
      <c r="M8993" s="186"/>
      <c r="N8993" s="186"/>
      <c r="O8993" s="172"/>
    </row>
    <row r="8994" spans="1:15" x14ac:dyDescent="0.2">
      <c r="A8994" s="197" t="str">
        <f t="shared" si="140"/>
        <v>SmcCode_grass</v>
      </c>
      <c r="B8994" s="409"/>
      <c r="C8994" s="416"/>
      <c r="D8994" s="198" t="s">
        <v>19622</v>
      </c>
      <c r="E8994" s="198">
        <v>280</v>
      </c>
      <c r="F8994" s="199" t="s">
        <v>19623</v>
      </c>
      <c r="G8994" s="1" t="s">
        <v>50280</v>
      </c>
      <c r="H8994" s="200"/>
      <c r="I8994" s="346"/>
      <c r="J8994" s="39">
        <v>118533</v>
      </c>
      <c r="K8994" s="36" t="str">
        <f>CONCATENATE(Cover!$D$6,"fdd/view?i=",J8994)</f>
        <v>https://www.dgiwg.org/FAD/fdd/view?i=118533</v>
      </c>
      <c r="L8994" s="36" t="s">
        <v>50281</v>
      </c>
      <c r="M8994" s="186"/>
      <c r="N8994" s="186"/>
      <c r="O8994" s="172"/>
    </row>
    <row r="8995" spans="1:15" ht="25.5" x14ac:dyDescent="0.2">
      <c r="A8995" s="197" t="str">
        <f t="shared" si="140"/>
        <v>SmcCode_gravel</v>
      </c>
      <c r="B8995" s="409"/>
      <c r="C8995" s="416"/>
      <c r="D8995" s="198" t="s">
        <v>19556</v>
      </c>
      <c r="E8995" s="198">
        <v>46</v>
      </c>
      <c r="F8995" s="199" t="s">
        <v>19557</v>
      </c>
      <c r="G8995" s="1" t="s">
        <v>43477</v>
      </c>
      <c r="H8995" s="1" t="s">
        <v>43478</v>
      </c>
      <c r="I8995" s="346"/>
      <c r="J8995" s="39">
        <v>107804</v>
      </c>
      <c r="K8995" s="36" t="str">
        <f>CONCATENATE(Cover!$D$6,"fdd/view?i=",J8995)</f>
        <v>https://www.dgiwg.org/FAD/fdd/view?i=107804</v>
      </c>
      <c r="L8995" s="36" t="s">
        <v>50282</v>
      </c>
      <c r="M8995" s="186"/>
      <c r="N8995" s="186"/>
      <c r="O8995" s="172"/>
    </row>
    <row r="8996" spans="1:15" ht="25.5" x14ac:dyDescent="0.2">
      <c r="A8996" s="197" t="str">
        <f t="shared" si="140"/>
        <v>SmcCode_greenstone</v>
      </c>
      <c r="B8996" s="409"/>
      <c r="C8996" s="416"/>
      <c r="D8996" s="198" t="s">
        <v>43480</v>
      </c>
      <c r="E8996" s="198">
        <v>47</v>
      </c>
      <c r="F8996" s="199" t="s">
        <v>43481</v>
      </c>
      <c r="G8996" s="1" t="s">
        <v>44449</v>
      </c>
      <c r="H8996" s="1" t="s">
        <v>44450</v>
      </c>
      <c r="I8996" s="346"/>
      <c r="J8996" s="39">
        <v>107805</v>
      </c>
      <c r="K8996" s="36" t="str">
        <f>CONCATENATE(Cover!$D$6,"fdd/view?i=",J8996)</f>
        <v>https://www.dgiwg.org/FAD/fdd/view?i=107805</v>
      </c>
      <c r="L8996" s="36" t="s">
        <v>50283</v>
      </c>
      <c r="M8996" s="186"/>
      <c r="N8996" s="186"/>
      <c r="O8996" s="172"/>
    </row>
    <row r="8997" spans="1:15" x14ac:dyDescent="0.2">
      <c r="A8997" s="197" t="str">
        <f t="shared" si="140"/>
        <v>SmcCode_groundShell</v>
      </c>
      <c r="B8997" s="409"/>
      <c r="C8997" s="416"/>
      <c r="D8997" s="198" t="s">
        <v>43485</v>
      </c>
      <c r="E8997" s="198">
        <v>49</v>
      </c>
      <c r="F8997" s="199" t="s">
        <v>43486</v>
      </c>
      <c r="G8997" s="1" t="s">
        <v>43487</v>
      </c>
      <c r="H8997" s="200"/>
      <c r="I8997" s="346"/>
      <c r="J8997" s="39">
        <v>107807</v>
      </c>
      <c r="K8997" s="36" t="str">
        <f>CONCATENATE(Cover!$D$6,"fdd/view?i=",J8997)</f>
        <v>https://www.dgiwg.org/FAD/fdd/view?i=107807</v>
      </c>
      <c r="L8997" s="36" t="s">
        <v>50284</v>
      </c>
      <c r="M8997" s="186"/>
      <c r="N8997" s="186"/>
      <c r="O8997" s="172"/>
    </row>
    <row r="8998" spans="1:15" x14ac:dyDescent="0.2">
      <c r="A8998" s="197" t="str">
        <f t="shared" si="140"/>
        <v>SmcCode_ice</v>
      </c>
      <c r="B8998" s="409"/>
      <c r="C8998" s="416"/>
      <c r="D8998" s="198" t="s">
        <v>19560</v>
      </c>
      <c r="E8998" s="198">
        <v>257</v>
      </c>
      <c r="F8998" s="199" t="s">
        <v>19561</v>
      </c>
      <c r="G8998" s="1" t="s">
        <v>37452</v>
      </c>
      <c r="H8998" s="200"/>
      <c r="I8998" s="346"/>
      <c r="J8998" s="39">
        <v>107903</v>
      </c>
      <c r="K8998" s="36" t="str">
        <f>CONCATENATE(Cover!$D$6,"fdd/view?i=",J8998)</f>
        <v>https://www.dgiwg.org/FAD/fdd/view?i=107903</v>
      </c>
      <c r="L8998" s="36" t="s">
        <v>50285</v>
      </c>
      <c r="M8998" s="186"/>
      <c r="N8998" s="186"/>
      <c r="O8998" s="172"/>
    </row>
    <row r="8999" spans="1:15" ht="25.5" x14ac:dyDescent="0.2">
      <c r="A8999" s="197" t="str">
        <f t="shared" si="140"/>
        <v>SmcCode_igneousRock</v>
      </c>
      <c r="B8999" s="409"/>
      <c r="C8999" s="416"/>
      <c r="D8999" s="198" t="s">
        <v>22326</v>
      </c>
      <c r="E8999" s="198">
        <v>130</v>
      </c>
      <c r="F8999" s="199" t="s">
        <v>22327</v>
      </c>
      <c r="G8999" s="1" t="s">
        <v>49938</v>
      </c>
      <c r="H8999" s="1" t="s">
        <v>49939</v>
      </c>
      <c r="I8999" s="346"/>
      <c r="J8999" s="39">
        <v>107886</v>
      </c>
      <c r="K8999" s="36" t="str">
        <f>CONCATENATE(Cover!$D$6,"fdd/view?i=",J8999)</f>
        <v>https://www.dgiwg.org/FAD/fdd/view?i=107886</v>
      </c>
      <c r="L8999" s="36" t="s">
        <v>50286</v>
      </c>
      <c r="M8999" s="186"/>
      <c r="N8999" s="186"/>
      <c r="O8999" s="172"/>
    </row>
    <row r="9000" spans="1:15" ht="38.25" x14ac:dyDescent="0.2">
      <c r="A9000" s="197" t="str">
        <f t="shared" si="140"/>
        <v>SmcCode_iron</v>
      </c>
      <c r="B9000" s="409"/>
      <c r="C9000" s="416"/>
      <c r="D9000" s="198" t="s">
        <v>25766</v>
      </c>
      <c r="E9000" s="198">
        <v>51</v>
      </c>
      <c r="F9000" s="199" t="s">
        <v>43508</v>
      </c>
      <c r="G9000" s="1" t="s">
        <v>43509</v>
      </c>
      <c r="H9000" s="1" t="s">
        <v>43510</v>
      </c>
      <c r="I9000" s="346"/>
      <c r="J9000" s="39">
        <v>107809</v>
      </c>
      <c r="K9000" s="36" t="str">
        <f>CONCATENATE(Cover!$D$6,"fdd/view?i=",J9000)</f>
        <v>https://www.dgiwg.org/FAD/fdd/view?i=107809</v>
      </c>
      <c r="L9000" s="36" t="s">
        <v>50287</v>
      </c>
      <c r="M9000" s="186"/>
      <c r="N9000" s="186"/>
      <c r="O9000" s="172"/>
    </row>
    <row r="9001" spans="1:15" ht="63.75" x14ac:dyDescent="0.2">
      <c r="A9001" s="197" t="str">
        <f t="shared" si="140"/>
        <v>SmcCode_laterite</v>
      </c>
      <c r="B9001" s="409"/>
      <c r="C9001" s="416"/>
      <c r="D9001" s="198" t="s">
        <v>19570</v>
      </c>
      <c r="E9001" s="198">
        <v>262</v>
      </c>
      <c r="F9001" s="199" t="s">
        <v>19571</v>
      </c>
      <c r="G9001" s="1" t="s">
        <v>46760</v>
      </c>
      <c r="H9001" s="1" t="s">
        <v>46761</v>
      </c>
      <c r="I9001" s="346"/>
      <c r="J9001" s="39">
        <v>107908</v>
      </c>
      <c r="K9001" s="36" t="str">
        <f>CONCATENATE(Cover!$D$6,"fdd/view?i=",J9001)</f>
        <v>https://www.dgiwg.org/FAD/fdd/view?i=107908</v>
      </c>
      <c r="L9001" s="36" t="s">
        <v>50288</v>
      </c>
      <c r="M9001" s="186"/>
      <c r="N9001" s="186"/>
      <c r="O9001" s="172"/>
    </row>
    <row r="9002" spans="1:15" ht="25.5" x14ac:dyDescent="0.2">
      <c r="A9002" s="197" t="str">
        <f t="shared" si="140"/>
        <v>SmcCode_lava</v>
      </c>
      <c r="B9002" s="409"/>
      <c r="C9002" s="416"/>
      <c r="D9002" s="198" t="s">
        <v>25563</v>
      </c>
      <c r="E9002" s="198">
        <v>52</v>
      </c>
      <c r="F9002" s="199" t="s">
        <v>25564</v>
      </c>
      <c r="G9002" s="1" t="s">
        <v>44455</v>
      </c>
      <c r="H9002" s="200"/>
      <c r="I9002" s="346"/>
      <c r="J9002" s="39">
        <v>107810</v>
      </c>
      <c r="K9002" s="36" t="str">
        <f>CONCATENATE(Cover!$D$6,"fdd/view?i=",J9002)</f>
        <v>https://www.dgiwg.org/FAD/fdd/view?i=107810</v>
      </c>
      <c r="L9002" s="36" t="s">
        <v>50289</v>
      </c>
      <c r="M9002" s="186"/>
      <c r="N9002" s="186"/>
      <c r="O9002" s="172"/>
    </row>
    <row r="9003" spans="1:15" ht="38.25" x14ac:dyDescent="0.2">
      <c r="A9003" s="197" t="str">
        <f t="shared" si="140"/>
        <v>SmcCode_lead</v>
      </c>
      <c r="B9003" s="409"/>
      <c r="C9003" s="416"/>
      <c r="D9003" s="198" t="s">
        <v>25776</v>
      </c>
      <c r="E9003" s="198">
        <v>54</v>
      </c>
      <c r="F9003" s="199" t="s">
        <v>43512</v>
      </c>
      <c r="G9003" s="1" t="s">
        <v>43513</v>
      </c>
      <c r="H9003" s="200"/>
      <c r="I9003" s="346"/>
      <c r="J9003" s="39">
        <v>107812</v>
      </c>
      <c r="K9003" s="36" t="str">
        <f>CONCATENATE(Cover!$D$6,"fdd/view?i=",J9003)</f>
        <v>https://www.dgiwg.org/FAD/fdd/view?i=107812</v>
      </c>
      <c r="L9003" s="36" t="s">
        <v>50290</v>
      </c>
      <c r="M9003" s="186"/>
      <c r="N9003" s="186"/>
      <c r="O9003" s="172"/>
    </row>
    <row r="9004" spans="1:15" ht="25.5" x14ac:dyDescent="0.2">
      <c r="A9004" s="197" t="str">
        <f t="shared" si="140"/>
        <v>SmcCode_limestone</v>
      </c>
      <c r="B9004" s="409"/>
      <c r="C9004" s="416"/>
      <c r="D9004" s="198" t="s">
        <v>22336</v>
      </c>
      <c r="E9004" s="198">
        <v>269</v>
      </c>
      <c r="F9004" s="199" t="s">
        <v>22337</v>
      </c>
      <c r="G9004" s="1" t="s">
        <v>44459</v>
      </c>
      <c r="H9004" s="1" t="s">
        <v>44460</v>
      </c>
      <c r="I9004" s="346"/>
      <c r="J9004" s="39">
        <v>109840</v>
      </c>
      <c r="K9004" s="36" t="str">
        <f>CONCATENATE(Cover!$D$6,"fdd/view?i=",J9004)</f>
        <v>https://www.dgiwg.org/FAD/fdd/view?i=109840</v>
      </c>
      <c r="L9004" s="36" t="s">
        <v>50291</v>
      </c>
      <c r="M9004" s="186"/>
      <c r="N9004" s="186"/>
      <c r="O9004" s="172"/>
    </row>
    <row r="9005" spans="1:15" ht="25.5" x14ac:dyDescent="0.2">
      <c r="A9005" s="197" t="str">
        <f t="shared" si="140"/>
        <v>SmcCode_loess</v>
      </c>
      <c r="B9005" s="409"/>
      <c r="C9005" s="416"/>
      <c r="D9005" s="198" t="s">
        <v>44465</v>
      </c>
      <c r="E9005" s="198">
        <v>55</v>
      </c>
      <c r="F9005" s="199" t="s">
        <v>44466</v>
      </c>
      <c r="G9005" s="1" t="s">
        <v>44467</v>
      </c>
      <c r="H9005" s="200"/>
      <c r="I9005" s="346"/>
      <c r="J9005" s="39">
        <v>107813</v>
      </c>
      <c r="K9005" s="36" t="str">
        <f>CONCATENATE(Cover!$D$6,"fdd/view?i=",J9005)</f>
        <v>https://www.dgiwg.org/FAD/fdd/view?i=107813</v>
      </c>
      <c r="L9005" s="36" t="s">
        <v>50292</v>
      </c>
      <c r="M9005" s="186"/>
      <c r="N9005" s="186"/>
      <c r="O9005" s="172"/>
    </row>
    <row r="9006" spans="1:15" x14ac:dyDescent="0.2">
      <c r="A9006" s="197" t="str">
        <f t="shared" si="140"/>
        <v>SmcCode_lumber</v>
      </c>
      <c r="B9006" s="409"/>
      <c r="C9006" s="416"/>
      <c r="D9006" s="198" t="s">
        <v>43526</v>
      </c>
      <c r="E9006" s="198">
        <v>56</v>
      </c>
      <c r="F9006" s="199" t="s">
        <v>43527</v>
      </c>
      <c r="G9006" s="1" t="s">
        <v>43528</v>
      </c>
      <c r="H9006" s="200"/>
      <c r="I9006" s="346"/>
      <c r="J9006" s="39">
        <v>107814</v>
      </c>
      <c r="K9006" s="36" t="str">
        <f>CONCATENATE(Cover!$D$6,"fdd/view?i=",J9006)</f>
        <v>https://www.dgiwg.org/FAD/fdd/view?i=107814</v>
      </c>
      <c r="L9006" s="36" t="s">
        <v>50293</v>
      </c>
      <c r="M9006" s="186"/>
      <c r="N9006" s="186"/>
      <c r="O9006" s="172"/>
    </row>
    <row r="9007" spans="1:15" ht="38.25" x14ac:dyDescent="0.2">
      <c r="A9007" s="197" t="str">
        <f t="shared" si="140"/>
        <v>SmcCode_macadam</v>
      </c>
      <c r="B9007" s="409"/>
      <c r="C9007" s="416"/>
      <c r="D9007" s="198" t="s">
        <v>19575</v>
      </c>
      <c r="E9007" s="198">
        <v>57</v>
      </c>
      <c r="F9007" s="199" t="s">
        <v>19576</v>
      </c>
      <c r="G9007" s="1" t="s">
        <v>43530</v>
      </c>
      <c r="H9007" s="1" t="s">
        <v>43531</v>
      </c>
      <c r="I9007" s="351" t="s">
        <v>43532</v>
      </c>
      <c r="J9007" s="39">
        <v>107815</v>
      </c>
      <c r="K9007" s="36" t="str">
        <f>CONCATENATE(Cover!$D$6,"fdd/view?i=",J9007)</f>
        <v>https://www.dgiwg.org/FAD/fdd/view?i=107815</v>
      </c>
      <c r="L9007" s="36" t="s">
        <v>50294</v>
      </c>
      <c r="M9007" s="186"/>
      <c r="N9007" s="186"/>
      <c r="O9007" s="172"/>
    </row>
    <row r="9008" spans="1:15" x14ac:dyDescent="0.2">
      <c r="A9008" s="197" t="str">
        <f t="shared" si="140"/>
        <v>SmcCode_madrepore</v>
      </c>
      <c r="B9008" s="409"/>
      <c r="C9008" s="416"/>
      <c r="D9008" s="198" t="s">
        <v>43534</v>
      </c>
      <c r="E9008" s="198">
        <v>58</v>
      </c>
      <c r="F9008" s="199" t="s">
        <v>43535</v>
      </c>
      <c r="G9008" s="1" t="s">
        <v>44470</v>
      </c>
      <c r="H9008" s="200"/>
      <c r="I9008" s="346"/>
      <c r="J9008" s="39">
        <v>107816</v>
      </c>
      <c r="K9008" s="36" t="str">
        <f>CONCATENATE(Cover!$D$6,"fdd/view?i=",J9008)</f>
        <v>https://www.dgiwg.org/FAD/fdd/view?i=107816</v>
      </c>
      <c r="L9008" s="36" t="s">
        <v>50295</v>
      </c>
      <c r="M9008" s="186"/>
      <c r="N9008" s="186"/>
      <c r="O9008" s="172"/>
    </row>
    <row r="9009" spans="1:15" ht="25.5" x14ac:dyDescent="0.2">
      <c r="A9009" s="197" t="str">
        <f t="shared" si="140"/>
        <v>SmcCode_manganese</v>
      </c>
      <c r="B9009" s="409"/>
      <c r="C9009" s="416"/>
      <c r="D9009" s="198" t="s">
        <v>25791</v>
      </c>
      <c r="E9009" s="198">
        <v>59</v>
      </c>
      <c r="F9009" s="199" t="s">
        <v>43539</v>
      </c>
      <c r="G9009" s="1" t="s">
        <v>43540</v>
      </c>
      <c r="H9009" s="1" t="s">
        <v>43541</v>
      </c>
      <c r="I9009" s="346"/>
      <c r="J9009" s="39">
        <v>107817</v>
      </c>
      <c r="K9009" s="36" t="str">
        <f>CONCATENATE(Cover!$D$6,"fdd/view?i=",J9009)</f>
        <v>https://www.dgiwg.org/FAD/fdd/view?i=107817</v>
      </c>
      <c r="L9009" s="36" t="s">
        <v>50296</v>
      </c>
      <c r="M9009" s="186"/>
      <c r="N9009" s="186"/>
      <c r="O9009" s="172"/>
    </row>
    <row r="9010" spans="1:15" ht="38.25" x14ac:dyDescent="0.2">
      <c r="A9010" s="197" t="str">
        <f t="shared" si="140"/>
        <v>SmcCode_marble</v>
      </c>
      <c r="B9010" s="409"/>
      <c r="C9010" s="416"/>
      <c r="D9010" s="198" t="s">
        <v>43544</v>
      </c>
      <c r="E9010" s="198">
        <v>60</v>
      </c>
      <c r="F9010" s="199" t="s">
        <v>43545</v>
      </c>
      <c r="G9010" s="1" t="s">
        <v>43547</v>
      </c>
      <c r="H9010" s="200"/>
      <c r="I9010" s="346"/>
      <c r="J9010" s="39">
        <v>107818</v>
      </c>
      <c r="K9010" s="36" t="str">
        <f>CONCATENATE(Cover!$D$6,"fdd/view?i=",J9010)</f>
        <v>https://www.dgiwg.org/FAD/fdd/view?i=107818</v>
      </c>
      <c r="L9010" s="36" t="s">
        <v>50297</v>
      </c>
      <c r="M9010" s="186"/>
      <c r="N9010" s="186"/>
      <c r="O9010" s="172"/>
    </row>
    <row r="9011" spans="1:15" ht="38.25" x14ac:dyDescent="0.2">
      <c r="A9011" s="197" t="str">
        <f t="shared" si="140"/>
        <v>SmcCode_marl</v>
      </c>
      <c r="B9011" s="409"/>
      <c r="C9011" s="416"/>
      <c r="D9011" s="198" t="s">
        <v>22341</v>
      </c>
      <c r="E9011" s="198">
        <v>61</v>
      </c>
      <c r="F9011" s="199" t="s">
        <v>22342</v>
      </c>
      <c r="G9011" s="1" t="s">
        <v>43549</v>
      </c>
      <c r="H9011" s="200"/>
      <c r="I9011" s="346"/>
      <c r="J9011" s="39">
        <v>107819</v>
      </c>
      <c r="K9011" s="36" t="str">
        <f>CONCATENATE(Cover!$D$6,"fdd/view?i=",J9011)</f>
        <v>https://www.dgiwg.org/FAD/fdd/view?i=107819</v>
      </c>
      <c r="L9011" s="36" t="s">
        <v>50298</v>
      </c>
      <c r="M9011" s="186"/>
      <c r="N9011" s="186"/>
      <c r="O9011" s="172"/>
    </row>
    <row r="9012" spans="1:15" ht="63.75" x14ac:dyDescent="0.2">
      <c r="A9012" s="197" t="str">
        <f t="shared" si="140"/>
        <v>SmcCode_masonry</v>
      </c>
      <c r="B9012" s="409"/>
      <c r="C9012" s="416"/>
      <c r="D9012" s="198" t="s">
        <v>24160</v>
      </c>
      <c r="E9012" s="198">
        <v>62</v>
      </c>
      <c r="F9012" s="199" t="s">
        <v>24161</v>
      </c>
      <c r="G9012" s="1" t="s">
        <v>24162</v>
      </c>
      <c r="H9012" s="200"/>
      <c r="I9012" s="351" t="s">
        <v>24163</v>
      </c>
      <c r="J9012" s="39">
        <v>107820</v>
      </c>
      <c r="K9012" s="36" t="str">
        <f>CONCATENATE(Cover!$D$6,"fdd/view?i=",J9012)</f>
        <v>https://www.dgiwg.org/FAD/fdd/view?i=107820</v>
      </c>
      <c r="L9012" s="36" t="s">
        <v>50299</v>
      </c>
      <c r="M9012" s="186"/>
      <c r="N9012" s="186"/>
      <c r="O9012" s="172"/>
    </row>
    <row r="9013" spans="1:15" ht="25.5" x14ac:dyDescent="0.2">
      <c r="A9013" s="197" t="str">
        <f t="shared" si="140"/>
        <v>SmcCode_matte</v>
      </c>
      <c r="B9013" s="409"/>
      <c r="C9013" s="416"/>
      <c r="D9013" s="198" t="s">
        <v>25272</v>
      </c>
      <c r="E9013" s="198">
        <v>63</v>
      </c>
      <c r="F9013" s="199" t="s">
        <v>25273</v>
      </c>
      <c r="G9013" s="1" t="s">
        <v>25274</v>
      </c>
      <c r="H9013" s="200"/>
      <c r="I9013" s="346"/>
      <c r="J9013" s="39">
        <v>107821</v>
      </c>
      <c r="K9013" s="36" t="str">
        <f>CONCATENATE(Cover!$D$6,"fdd/view?i=",J9013)</f>
        <v>https://www.dgiwg.org/FAD/fdd/view?i=107821</v>
      </c>
      <c r="L9013" s="36" t="s">
        <v>50300</v>
      </c>
      <c r="M9013" s="186"/>
      <c r="N9013" s="186"/>
      <c r="O9013" s="172"/>
    </row>
    <row r="9014" spans="1:15" ht="38.25" x14ac:dyDescent="0.2">
      <c r="A9014" s="197" t="str">
        <f t="shared" si="140"/>
        <v>SmcCode_metal</v>
      </c>
      <c r="B9014" s="409"/>
      <c r="C9014" s="416"/>
      <c r="D9014" s="198" t="s">
        <v>25276</v>
      </c>
      <c r="E9014" s="198">
        <v>64</v>
      </c>
      <c r="F9014" s="199" t="s">
        <v>25277</v>
      </c>
      <c r="G9014" s="1" t="s">
        <v>25278</v>
      </c>
      <c r="H9014" s="1" t="s">
        <v>25279</v>
      </c>
      <c r="I9014" s="346"/>
      <c r="J9014" s="39">
        <v>107822</v>
      </c>
      <c r="K9014" s="36" t="str">
        <f>CONCATENATE(Cover!$D$6,"fdd/view?i=",J9014)</f>
        <v>https://www.dgiwg.org/FAD/fdd/view?i=107822</v>
      </c>
      <c r="L9014" s="36" t="s">
        <v>50301</v>
      </c>
      <c r="M9014" s="186"/>
      <c r="N9014" s="186"/>
      <c r="O9014" s="172"/>
    </row>
    <row r="9015" spans="1:15" ht="89.25" x14ac:dyDescent="0.2">
      <c r="A9015" s="197" t="str">
        <f t="shared" si="140"/>
        <v>SmcCode_metamorphicRock</v>
      </c>
      <c r="B9015" s="409"/>
      <c r="C9015" s="416"/>
      <c r="D9015" s="198" t="s">
        <v>22346</v>
      </c>
      <c r="E9015" s="198">
        <v>129</v>
      </c>
      <c r="F9015" s="199" t="s">
        <v>22347</v>
      </c>
      <c r="G9015" s="1" t="s">
        <v>49956</v>
      </c>
      <c r="H9015" s="1" t="s">
        <v>49957</v>
      </c>
      <c r="I9015" s="346"/>
      <c r="J9015" s="39">
        <v>107885</v>
      </c>
      <c r="K9015" s="36" t="str">
        <f>CONCATENATE(Cover!$D$6,"fdd/view?i=",J9015)</f>
        <v>https://www.dgiwg.org/FAD/fdd/view?i=107885</v>
      </c>
      <c r="L9015" s="36" t="s">
        <v>50302</v>
      </c>
      <c r="M9015" s="186"/>
      <c r="N9015" s="186"/>
      <c r="O9015" s="172"/>
    </row>
    <row r="9016" spans="1:15" ht="25.5" x14ac:dyDescent="0.2">
      <c r="A9016" s="197" t="str">
        <f t="shared" si="140"/>
        <v>SmcCode_mud</v>
      </c>
      <c r="B9016" s="409"/>
      <c r="C9016" s="416"/>
      <c r="D9016" s="198" t="s">
        <v>22351</v>
      </c>
      <c r="E9016" s="198">
        <v>65</v>
      </c>
      <c r="F9016" s="199" t="s">
        <v>22352</v>
      </c>
      <c r="G9016" s="1" t="s">
        <v>25281</v>
      </c>
      <c r="H9016" s="1" t="s">
        <v>25282</v>
      </c>
      <c r="I9016" s="351" t="s">
        <v>25283</v>
      </c>
      <c r="J9016" s="39">
        <v>107823</v>
      </c>
      <c r="K9016" s="36" t="str">
        <f>CONCATENATE(Cover!$D$6,"fdd/view?i=",J9016)</f>
        <v>https://www.dgiwg.org/FAD/fdd/view?i=107823</v>
      </c>
      <c r="L9016" s="36" t="s">
        <v>50303</v>
      </c>
      <c r="M9016" s="186"/>
      <c r="N9016" s="186"/>
      <c r="O9016" s="172"/>
    </row>
    <row r="9017" spans="1:15" ht="51" x14ac:dyDescent="0.2">
      <c r="A9017" s="197" t="str">
        <f t="shared" si="140"/>
        <v>SmcCode_mussels</v>
      </c>
      <c r="B9017" s="409"/>
      <c r="C9017" s="416"/>
      <c r="D9017" s="198" t="s">
        <v>43583</v>
      </c>
      <c r="E9017" s="198">
        <v>66</v>
      </c>
      <c r="F9017" s="199" t="s">
        <v>43584</v>
      </c>
      <c r="G9017" s="1" t="s">
        <v>43585</v>
      </c>
      <c r="H9017" s="1" t="s">
        <v>43586</v>
      </c>
      <c r="I9017" s="346"/>
      <c r="J9017" s="39">
        <v>107824</v>
      </c>
      <c r="K9017" s="36" t="str">
        <f>CONCATENATE(Cover!$D$6,"fdd/view?i=",J9017)</f>
        <v>https://www.dgiwg.org/FAD/fdd/view?i=107824</v>
      </c>
      <c r="L9017" s="36" t="s">
        <v>50304</v>
      </c>
      <c r="M9017" s="186"/>
      <c r="N9017" s="186"/>
      <c r="O9017" s="172"/>
    </row>
    <row r="9018" spans="1:15" ht="38.25" x14ac:dyDescent="0.2">
      <c r="A9018" s="197" t="str">
        <f t="shared" si="140"/>
        <v>SmcCode_oil</v>
      </c>
      <c r="B9018" s="409"/>
      <c r="C9018" s="416"/>
      <c r="D9018" s="198" t="s">
        <v>22981</v>
      </c>
      <c r="E9018" s="198">
        <v>67</v>
      </c>
      <c r="F9018" s="199" t="s">
        <v>22982</v>
      </c>
      <c r="G9018" s="1" t="s">
        <v>22983</v>
      </c>
      <c r="H9018" s="1" t="s">
        <v>43605</v>
      </c>
      <c r="I9018" s="346"/>
      <c r="J9018" s="39">
        <v>107825</v>
      </c>
      <c r="K9018" s="36" t="str">
        <f>CONCATENATE(Cover!$D$6,"fdd/view?i=",J9018)</f>
        <v>https://www.dgiwg.org/FAD/fdd/view?i=107825</v>
      </c>
      <c r="L9018" s="36" t="s">
        <v>50305</v>
      </c>
      <c r="M9018" s="186"/>
      <c r="N9018" s="186"/>
      <c r="O9018" s="172"/>
    </row>
    <row r="9019" spans="1:15" ht="38.25" x14ac:dyDescent="0.2">
      <c r="A9019" s="197" t="str">
        <f t="shared" si="140"/>
        <v>SmcCode_ooze</v>
      </c>
      <c r="B9019" s="409"/>
      <c r="C9019" s="416"/>
      <c r="D9019" s="198" t="s">
        <v>46776</v>
      </c>
      <c r="E9019" s="198">
        <v>69</v>
      </c>
      <c r="F9019" s="199" t="s">
        <v>46777</v>
      </c>
      <c r="G9019" s="1" t="s">
        <v>46778</v>
      </c>
      <c r="H9019" s="200"/>
      <c r="I9019" s="346"/>
      <c r="J9019" s="39">
        <v>107827</v>
      </c>
      <c r="K9019" s="36" t="str">
        <f>CONCATENATE(Cover!$D$6,"fdd/view?i=",J9019)</f>
        <v>https://www.dgiwg.org/FAD/fdd/view?i=107827</v>
      </c>
      <c r="L9019" s="36" t="s">
        <v>50306</v>
      </c>
      <c r="M9019" s="186"/>
      <c r="N9019" s="186"/>
      <c r="O9019" s="172"/>
    </row>
    <row r="9020" spans="1:15" ht="38.25" x14ac:dyDescent="0.2">
      <c r="A9020" s="197" t="str">
        <f t="shared" si="140"/>
        <v>SmcCode_oysters</v>
      </c>
      <c r="B9020" s="409"/>
      <c r="C9020" s="416"/>
      <c r="D9020" s="198" t="s">
        <v>43616</v>
      </c>
      <c r="E9020" s="198">
        <v>70</v>
      </c>
      <c r="F9020" s="199" t="s">
        <v>43617</v>
      </c>
      <c r="G9020" s="1" t="s">
        <v>43618</v>
      </c>
      <c r="H9020" s="1" t="s">
        <v>43619</v>
      </c>
      <c r="I9020" s="346"/>
      <c r="J9020" s="39">
        <v>107828</v>
      </c>
      <c r="K9020" s="36" t="str">
        <f>CONCATENATE(Cover!$D$6,"fdd/view?i=",J9020)</f>
        <v>https://www.dgiwg.org/FAD/fdd/view?i=107828</v>
      </c>
      <c r="L9020" s="36" t="s">
        <v>50307</v>
      </c>
      <c r="M9020" s="186"/>
      <c r="N9020" s="186"/>
      <c r="O9020" s="172"/>
    </row>
    <row r="9021" spans="1:15" ht="38.25" x14ac:dyDescent="0.2">
      <c r="A9021" s="197" t="str">
        <f t="shared" si="140"/>
        <v>SmcCode_paint</v>
      </c>
      <c r="B9021" s="409"/>
      <c r="C9021" s="416"/>
      <c r="D9021" s="198" t="s">
        <v>50308</v>
      </c>
      <c r="E9021" s="198">
        <v>205</v>
      </c>
      <c r="F9021" s="199" t="s">
        <v>50309</v>
      </c>
      <c r="G9021" s="1" t="s">
        <v>50310</v>
      </c>
      <c r="H9021" s="200"/>
      <c r="I9021" s="346"/>
      <c r="J9021" s="39">
        <v>107895</v>
      </c>
      <c r="K9021" s="36" t="str">
        <f>CONCATENATE(Cover!$D$6,"fdd/view?i=",J9021)</f>
        <v>https://www.dgiwg.org/FAD/fdd/view?i=107895</v>
      </c>
      <c r="L9021" s="36" t="s">
        <v>50311</v>
      </c>
      <c r="M9021" s="186"/>
      <c r="N9021" s="186"/>
      <c r="O9021" s="172"/>
    </row>
    <row r="9022" spans="1:15" ht="38.25" x14ac:dyDescent="0.2">
      <c r="A9022" s="197" t="str">
        <f t="shared" si="140"/>
        <v>SmcCode_paper</v>
      </c>
      <c r="B9022" s="409"/>
      <c r="C9022" s="416"/>
      <c r="D9022" s="198" t="s">
        <v>43627</v>
      </c>
      <c r="E9022" s="198">
        <v>71</v>
      </c>
      <c r="F9022" s="199" t="s">
        <v>43628</v>
      </c>
      <c r="G9022" s="1" t="s">
        <v>43629</v>
      </c>
      <c r="H9022" s="1" t="s">
        <v>43630</v>
      </c>
      <c r="I9022" s="346"/>
      <c r="J9022" s="39">
        <v>107829</v>
      </c>
      <c r="K9022" s="36" t="str">
        <f>CONCATENATE(Cover!$D$6,"fdd/view?i=",J9022)</f>
        <v>https://www.dgiwg.org/FAD/fdd/view?i=107829</v>
      </c>
      <c r="L9022" s="36" t="s">
        <v>50312</v>
      </c>
      <c r="M9022" s="186"/>
      <c r="N9022" s="186"/>
      <c r="O9022" s="172"/>
    </row>
    <row r="9023" spans="1:15" x14ac:dyDescent="0.2">
      <c r="A9023" s="197" t="str">
        <f t="shared" si="140"/>
        <v>SmcCode_partMetal</v>
      </c>
      <c r="B9023" s="409"/>
      <c r="C9023" s="416"/>
      <c r="D9023" s="198" t="s">
        <v>43978</v>
      </c>
      <c r="E9023" s="198">
        <v>72</v>
      </c>
      <c r="F9023" s="199" t="s">
        <v>43979</v>
      </c>
      <c r="G9023" s="1" t="s">
        <v>43980</v>
      </c>
      <c r="H9023" s="200"/>
      <c r="I9023" s="346"/>
      <c r="J9023" s="39">
        <v>107830</v>
      </c>
      <c r="K9023" s="36" t="str">
        <f>CONCATENATE(Cover!$D$6,"fdd/view?i=",J9023)</f>
        <v>https://www.dgiwg.org/FAD/fdd/view?i=107830</v>
      </c>
      <c r="L9023" s="36" t="s">
        <v>50313</v>
      </c>
      <c r="M9023" s="186"/>
      <c r="N9023" s="186"/>
      <c r="O9023" s="172"/>
    </row>
    <row r="9024" spans="1:15" ht="25.5" x14ac:dyDescent="0.2">
      <c r="A9024" s="197" t="str">
        <f t="shared" si="140"/>
        <v>SmcCode_pebbles</v>
      </c>
      <c r="B9024" s="409"/>
      <c r="C9024" s="416"/>
      <c r="D9024" s="198" t="s">
        <v>43632</v>
      </c>
      <c r="E9024" s="198">
        <v>73</v>
      </c>
      <c r="F9024" s="199" t="s">
        <v>43633</v>
      </c>
      <c r="G9024" s="1" t="s">
        <v>43634</v>
      </c>
      <c r="H9024" s="200"/>
      <c r="I9024" s="351" t="s">
        <v>43635</v>
      </c>
      <c r="J9024" s="39">
        <v>107831</v>
      </c>
      <c r="K9024" s="36" t="str">
        <f>CONCATENATE(Cover!$D$6,"fdd/view?i=",J9024)</f>
        <v>https://www.dgiwg.org/FAD/fdd/view?i=107831</v>
      </c>
      <c r="L9024" s="36" t="s">
        <v>50314</v>
      </c>
      <c r="M9024" s="186"/>
      <c r="N9024" s="186"/>
      <c r="O9024" s="172"/>
    </row>
    <row r="9025" spans="1:15" ht="38.25" x14ac:dyDescent="0.2">
      <c r="A9025" s="197" t="str">
        <f t="shared" si="140"/>
        <v>SmcCode_plantMaterial</v>
      </c>
      <c r="B9025" s="409"/>
      <c r="C9025" s="416"/>
      <c r="D9025" s="198" t="s">
        <v>43655</v>
      </c>
      <c r="E9025" s="198">
        <v>45</v>
      </c>
      <c r="F9025" s="199" t="s">
        <v>43656</v>
      </c>
      <c r="G9025" s="1" t="s">
        <v>43657</v>
      </c>
      <c r="H9025" s="1" t="s">
        <v>46783</v>
      </c>
      <c r="I9025" s="346"/>
      <c r="J9025" s="39">
        <v>107803</v>
      </c>
      <c r="K9025" s="36" t="str">
        <f>CONCATENATE(Cover!$D$6,"fdd/view?i=",J9025)</f>
        <v>https://www.dgiwg.org/FAD/fdd/view?i=107803</v>
      </c>
      <c r="L9025" s="36" t="s">
        <v>50315</v>
      </c>
      <c r="M9025" s="186"/>
      <c r="N9025" s="186"/>
      <c r="O9025" s="172"/>
    </row>
    <row r="9026" spans="1:15" ht="38.25" x14ac:dyDescent="0.2">
      <c r="A9026" s="197" t="str">
        <f t="shared" ref="A9026:A9089" si="141">HYPERLINK(K9026,L9026)</f>
        <v>SmcCode_plastic</v>
      </c>
      <c r="B9026" s="409"/>
      <c r="C9026" s="416"/>
      <c r="D9026" s="198" t="s">
        <v>43659</v>
      </c>
      <c r="E9026" s="198">
        <v>74</v>
      </c>
      <c r="F9026" s="199" t="s">
        <v>43660</v>
      </c>
      <c r="G9026" s="1" t="s">
        <v>43661</v>
      </c>
      <c r="H9026" s="1" t="s">
        <v>43662</v>
      </c>
      <c r="I9026" s="346"/>
      <c r="J9026" s="39">
        <v>107832</v>
      </c>
      <c r="K9026" s="36" t="str">
        <f>CONCATENATE(Cover!$D$6,"fdd/view?i=",J9026)</f>
        <v>https://www.dgiwg.org/FAD/fdd/view?i=107832</v>
      </c>
      <c r="L9026" s="36" t="s">
        <v>50316</v>
      </c>
      <c r="M9026" s="186"/>
      <c r="N9026" s="186"/>
      <c r="O9026" s="172"/>
    </row>
    <row r="9027" spans="1:15" ht="63.75" x14ac:dyDescent="0.2">
      <c r="A9027" s="197" t="str">
        <f t="shared" si="141"/>
        <v>SmcCode_porphyry</v>
      </c>
      <c r="B9027" s="409"/>
      <c r="C9027" s="416"/>
      <c r="D9027" s="198" t="s">
        <v>43664</v>
      </c>
      <c r="E9027" s="198">
        <v>76</v>
      </c>
      <c r="F9027" s="199" t="s">
        <v>43665</v>
      </c>
      <c r="G9027" s="1" t="s">
        <v>44495</v>
      </c>
      <c r="H9027" s="1" t="s">
        <v>44496</v>
      </c>
      <c r="I9027" s="346"/>
      <c r="J9027" s="39">
        <v>107834</v>
      </c>
      <c r="K9027" s="36" t="str">
        <f>CONCATENATE(Cover!$D$6,"fdd/view?i=",J9027)</f>
        <v>https://www.dgiwg.org/FAD/fdd/view?i=107834</v>
      </c>
      <c r="L9027" s="36" t="s">
        <v>50317</v>
      </c>
      <c r="M9027" s="186"/>
      <c r="N9027" s="186"/>
      <c r="O9027" s="172"/>
    </row>
    <row r="9028" spans="1:15" ht="38.25" x14ac:dyDescent="0.2">
      <c r="A9028" s="197" t="str">
        <f t="shared" si="141"/>
        <v>SmcCode_prestressedConcrete</v>
      </c>
      <c r="B9028" s="409"/>
      <c r="C9028" s="416"/>
      <c r="D9028" s="198" t="s">
        <v>43678</v>
      </c>
      <c r="E9028" s="198">
        <v>77</v>
      </c>
      <c r="F9028" s="199" t="s">
        <v>43679</v>
      </c>
      <c r="G9028" s="1" t="s">
        <v>43680</v>
      </c>
      <c r="H9028" s="200"/>
      <c r="I9028" s="346"/>
      <c r="J9028" s="39">
        <v>107835</v>
      </c>
      <c r="K9028" s="36" t="str">
        <f>CONCATENATE(Cover!$D$6,"fdd/view?i=",J9028)</f>
        <v>https://www.dgiwg.org/FAD/fdd/view?i=107835</v>
      </c>
      <c r="L9028" s="36" t="s">
        <v>50318</v>
      </c>
      <c r="M9028" s="186"/>
      <c r="N9028" s="186"/>
      <c r="O9028" s="172"/>
    </row>
    <row r="9029" spans="1:15" ht="38.25" x14ac:dyDescent="0.2">
      <c r="A9029" s="197" t="str">
        <f t="shared" si="141"/>
        <v>SmcCode_pumice</v>
      </c>
      <c r="B9029" s="409"/>
      <c r="C9029" s="416"/>
      <c r="D9029" s="198" t="s">
        <v>43682</v>
      </c>
      <c r="E9029" s="198">
        <v>79</v>
      </c>
      <c r="F9029" s="199" t="s">
        <v>43683</v>
      </c>
      <c r="G9029" s="1" t="s">
        <v>43684</v>
      </c>
      <c r="H9029" s="1" t="s">
        <v>43685</v>
      </c>
      <c r="I9029" s="346"/>
      <c r="J9029" s="39">
        <v>107837</v>
      </c>
      <c r="K9029" s="36" t="str">
        <f>CONCATENATE(Cover!$D$6,"fdd/view?i=",J9029)</f>
        <v>https://www.dgiwg.org/FAD/fdd/view?i=107837</v>
      </c>
      <c r="L9029" s="36" t="s">
        <v>50319</v>
      </c>
      <c r="M9029" s="186"/>
      <c r="N9029" s="186"/>
      <c r="O9029" s="172"/>
    </row>
    <row r="9030" spans="1:15" ht="38.25" x14ac:dyDescent="0.2">
      <c r="A9030" s="197" t="str">
        <f t="shared" si="141"/>
        <v>SmcCode_quartz</v>
      </c>
      <c r="B9030" s="409"/>
      <c r="C9030" s="416"/>
      <c r="D9030" s="198" t="s">
        <v>35487</v>
      </c>
      <c r="E9030" s="198">
        <v>80</v>
      </c>
      <c r="F9030" s="199" t="s">
        <v>35488</v>
      </c>
      <c r="G9030" s="1" t="s">
        <v>44499</v>
      </c>
      <c r="H9030" s="1" t="s">
        <v>44500</v>
      </c>
      <c r="I9030" s="346"/>
      <c r="J9030" s="39">
        <v>107838</v>
      </c>
      <c r="K9030" s="36" t="str">
        <f>CONCATENATE(Cover!$D$6,"fdd/view?i=",J9030)</f>
        <v>https://www.dgiwg.org/FAD/fdd/view?i=107838</v>
      </c>
      <c r="L9030" s="36" t="s">
        <v>50320</v>
      </c>
      <c r="M9030" s="186"/>
      <c r="N9030" s="186"/>
      <c r="O9030" s="172"/>
    </row>
    <row r="9031" spans="1:15" ht="51" x14ac:dyDescent="0.2">
      <c r="A9031" s="197" t="str">
        <f t="shared" si="141"/>
        <v>SmcCode_quartzite</v>
      </c>
      <c r="B9031" s="409"/>
      <c r="C9031" s="416"/>
      <c r="D9031" s="198" t="s">
        <v>43690</v>
      </c>
      <c r="E9031" s="198">
        <v>270</v>
      </c>
      <c r="F9031" s="199" t="s">
        <v>43691</v>
      </c>
      <c r="G9031" s="1" t="s">
        <v>44502</v>
      </c>
      <c r="H9031" s="1" t="s">
        <v>44503</v>
      </c>
      <c r="I9031" s="346"/>
      <c r="J9031" s="39">
        <v>109841</v>
      </c>
      <c r="K9031" s="36" t="str">
        <f>CONCATENATE(Cover!$D$6,"fdd/view?i=",J9031)</f>
        <v>https://www.dgiwg.org/FAD/fdd/view?i=109841</v>
      </c>
      <c r="L9031" s="36" t="s">
        <v>50321</v>
      </c>
      <c r="M9031" s="186"/>
      <c r="N9031" s="186"/>
      <c r="O9031" s="172"/>
    </row>
    <row r="9032" spans="1:15" ht="38.25" x14ac:dyDescent="0.2">
      <c r="A9032" s="197" t="str">
        <f t="shared" si="141"/>
        <v>SmcCode_radioactiveMaterial</v>
      </c>
      <c r="B9032" s="409"/>
      <c r="C9032" s="416"/>
      <c r="D9032" s="198" t="s">
        <v>25289</v>
      </c>
      <c r="E9032" s="198">
        <v>82</v>
      </c>
      <c r="F9032" s="199" t="s">
        <v>25290</v>
      </c>
      <c r="G9032" s="1" t="s">
        <v>25291</v>
      </c>
      <c r="H9032" s="200"/>
      <c r="I9032" s="346"/>
      <c r="J9032" s="39">
        <v>107840</v>
      </c>
      <c r="K9032" s="36" t="str">
        <f>CONCATENATE(Cover!$D$6,"fdd/view?i=",J9032)</f>
        <v>https://www.dgiwg.org/FAD/fdd/view?i=107840</v>
      </c>
      <c r="L9032" s="36" t="s">
        <v>50322</v>
      </c>
      <c r="M9032" s="186"/>
      <c r="N9032" s="186"/>
      <c r="O9032" s="172"/>
    </row>
    <row r="9033" spans="1:15" ht="25.5" x14ac:dyDescent="0.2">
      <c r="A9033" s="197" t="str">
        <f t="shared" si="141"/>
        <v>SmcCode_radiolaria</v>
      </c>
      <c r="B9033" s="409"/>
      <c r="C9033" s="416"/>
      <c r="D9033" s="198" t="s">
        <v>43696</v>
      </c>
      <c r="E9033" s="198">
        <v>81</v>
      </c>
      <c r="F9033" s="199" t="s">
        <v>43697</v>
      </c>
      <c r="G9033" s="1" t="s">
        <v>43698</v>
      </c>
      <c r="H9033" s="200"/>
      <c r="I9033" s="346"/>
      <c r="J9033" s="39">
        <v>107839</v>
      </c>
      <c r="K9033" s="36" t="str">
        <f>CONCATENATE(Cover!$D$6,"fdd/view?i=",J9033)</f>
        <v>https://www.dgiwg.org/FAD/fdd/view?i=107839</v>
      </c>
      <c r="L9033" s="36" t="s">
        <v>50323</v>
      </c>
      <c r="M9033" s="186"/>
      <c r="N9033" s="186"/>
      <c r="O9033" s="172"/>
    </row>
    <row r="9034" spans="1:15" ht="25.5" x14ac:dyDescent="0.2">
      <c r="A9034" s="197" t="str">
        <f t="shared" si="141"/>
        <v>SmcCode_reinforcedConcrete</v>
      </c>
      <c r="B9034" s="409"/>
      <c r="C9034" s="416"/>
      <c r="D9034" s="198" t="s">
        <v>24173</v>
      </c>
      <c r="E9034" s="198">
        <v>83</v>
      </c>
      <c r="F9034" s="199" t="s">
        <v>24174</v>
      </c>
      <c r="G9034" s="1" t="s">
        <v>24175</v>
      </c>
      <c r="H9034" s="200"/>
      <c r="I9034" s="351" t="s">
        <v>24176</v>
      </c>
      <c r="J9034" s="39">
        <v>107841</v>
      </c>
      <c r="K9034" s="36" t="str">
        <f>CONCATENATE(Cover!$D$6,"fdd/view?i=",J9034)</f>
        <v>https://www.dgiwg.org/FAD/fdd/view?i=107841</v>
      </c>
      <c r="L9034" s="36" t="s">
        <v>50324</v>
      </c>
      <c r="M9034" s="186"/>
      <c r="N9034" s="186"/>
      <c r="O9034" s="172"/>
    </row>
    <row r="9035" spans="1:15" ht="25.5" x14ac:dyDescent="0.2">
      <c r="A9035" s="197" t="str">
        <f t="shared" si="141"/>
        <v>SmcCode_riprap</v>
      </c>
      <c r="B9035" s="409"/>
      <c r="C9035" s="416"/>
      <c r="D9035" s="198" t="s">
        <v>49989</v>
      </c>
      <c r="E9035" s="198">
        <v>121</v>
      </c>
      <c r="F9035" s="199" t="s">
        <v>4747</v>
      </c>
      <c r="G9035" s="1" t="s">
        <v>49990</v>
      </c>
      <c r="H9035" s="1" t="s">
        <v>49991</v>
      </c>
      <c r="I9035" s="351" t="s">
        <v>50325</v>
      </c>
      <c r="J9035" s="39">
        <v>107879</v>
      </c>
      <c r="K9035" s="36" t="str">
        <f>CONCATENATE(Cover!$D$6,"fdd/view?i=",J9035)</f>
        <v>https://www.dgiwg.org/FAD/fdd/view?i=107879</v>
      </c>
      <c r="L9035" s="36" t="s">
        <v>50326</v>
      </c>
      <c r="M9035" s="186"/>
      <c r="N9035" s="186"/>
      <c r="O9035" s="172"/>
    </row>
    <row r="9036" spans="1:15" x14ac:dyDescent="0.2">
      <c r="A9036" s="197" t="str">
        <f t="shared" si="141"/>
        <v>SmcCode_rock</v>
      </c>
      <c r="B9036" s="409"/>
      <c r="C9036" s="416"/>
      <c r="D9036" s="198" t="s">
        <v>27993</v>
      </c>
      <c r="E9036" s="198">
        <v>84</v>
      </c>
      <c r="F9036" s="199" t="s">
        <v>27994</v>
      </c>
      <c r="G9036" s="1" t="s">
        <v>43702</v>
      </c>
      <c r="H9036" s="200"/>
      <c r="I9036" s="346"/>
      <c r="J9036" s="39">
        <v>107842</v>
      </c>
      <c r="K9036" s="36" t="str">
        <f>CONCATENATE(Cover!$D$6,"fdd/view?i=",J9036)</f>
        <v>https://www.dgiwg.org/FAD/fdd/view?i=107842</v>
      </c>
      <c r="L9036" s="36" t="s">
        <v>50327</v>
      </c>
      <c r="M9036" s="186"/>
      <c r="N9036" s="186"/>
      <c r="O9036" s="172"/>
    </row>
    <row r="9037" spans="1:15" ht="25.5" x14ac:dyDescent="0.2">
      <c r="A9037" s="197" t="str">
        <f t="shared" si="141"/>
        <v>SmcCode_roofShingle</v>
      </c>
      <c r="B9037" s="409"/>
      <c r="C9037" s="416"/>
      <c r="D9037" s="198" t="s">
        <v>43704</v>
      </c>
      <c r="E9037" s="198">
        <v>271</v>
      </c>
      <c r="F9037" s="199" t="s">
        <v>43705</v>
      </c>
      <c r="G9037" s="1" t="s">
        <v>43706</v>
      </c>
      <c r="H9037" s="1" t="s">
        <v>43707</v>
      </c>
      <c r="I9037" s="346"/>
      <c r="J9037" s="39">
        <v>109842</v>
      </c>
      <c r="K9037" s="36" t="str">
        <f>CONCATENATE(Cover!$D$6,"fdd/view?i=",J9037)</f>
        <v>https://www.dgiwg.org/FAD/fdd/view?i=109842</v>
      </c>
      <c r="L9037" s="36" t="s">
        <v>50328</v>
      </c>
      <c r="M9037" s="186"/>
      <c r="N9037" s="186"/>
      <c r="O9037" s="172"/>
    </row>
    <row r="9038" spans="1:15" ht="51" x14ac:dyDescent="0.2">
      <c r="A9038" s="197" t="str">
        <f t="shared" si="141"/>
        <v>SmcCode_rubber</v>
      </c>
      <c r="B9038" s="409"/>
      <c r="C9038" s="416"/>
      <c r="D9038" s="198" t="s">
        <v>27502</v>
      </c>
      <c r="E9038" s="198">
        <v>85</v>
      </c>
      <c r="F9038" s="199" t="s">
        <v>27503</v>
      </c>
      <c r="G9038" s="1" t="s">
        <v>43709</v>
      </c>
      <c r="H9038" s="1" t="s">
        <v>43710</v>
      </c>
      <c r="I9038" s="346"/>
      <c r="J9038" s="39">
        <v>107843</v>
      </c>
      <c r="K9038" s="36" t="str">
        <f>CONCATENATE(Cover!$D$6,"fdd/view?i=",J9038)</f>
        <v>https://www.dgiwg.org/FAD/fdd/view?i=107843</v>
      </c>
      <c r="L9038" s="36" t="s">
        <v>50329</v>
      </c>
      <c r="M9038" s="186"/>
      <c r="N9038" s="186"/>
      <c r="O9038" s="172"/>
    </row>
    <row r="9039" spans="1:15" ht="25.5" x14ac:dyDescent="0.2">
      <c r="A9039" s="197" t="str">
        <f t="shared" si="141"/>
        <v>SmcCode_rubble</v>
      </c>
      <c r="B9039" s="409"/>
      <c r="C9039" s="416"/>
      <c r="D9039" s="198" t="s">
        <v>25298</v>
      </c>
      <c r="E9039" s="198">
        <v>86</v>
      </c>
      <c r="F9039" s="199" t="s">
        <v>25299</v>
      </c>
      <c r="G9039" s="1" t="s">
        <v>25300</v>
      </c>
      <c r="H9039" s="200"/>
      <c r="I9039" s="346"/>
      <c r="J9039" s="39">
        <v>107844</v>
      </c>
      <c r="K9039" s="36" t="str">
        <f>CONCATENATE(Cover!$D$6,"fdd/view?i=",J9039)</f>
        <v>https://www.dgiwg.org/FAD/fdd/view?i=107844</v>
      </c>
      <c r="L9039" s="36" t="s">
        <v>50330</v>
      </c>
      <c r="M9039" s="186"/>
      <c r="N9039" s="186"/>
      <c r="O9039" s="172"/>
    </row>
    <row r="9040" spans="1:15" ht="38.25" x14ac:dyDescent="0.2">
      <c r="A9040" s="197" t="str">
        <f t="shared" si="141"/>
        <v>SmcCode_salt</v>
      </c>
      <c r="B9040" s="409"/>
      <c r="C9040" s="416"/>
      <c r="D9040" s="198" t="s">
        <v>27998</v>
      </c>
      <c r="E9040" s="198">
        <v>87</v>
      </c>
      <c r="F9040" s="199" t="s">
        <v>27999</v>
      </c>
      <c r="G9040" s="1" t="s">
        <v>43712</v>
      </c>
      <c r="H9040" s="1" t="s">
        <v>43713</v>
      </c>
      <c r="I9040" s="346"/>
      <c r="J9040" s="39">
        <v>107845</v>
      </c>
      <c r="K9040" s="36" t="str">
        <f>CONCATENATE(Cover!$D$6,"fdd/view?i=",J9040)</f>
        <v>https://www.dgiwg.org/FAD/fdd/view?i=107845</v>
      </c>
      <c r="L9040" s="36" t="s">
        <v>50331</v>
      </c>
      <c r="M9040" s="186"/>
      <c r="N9040" s="186"/>
      <c r="O9040" s="172"/>
    </row>
    <row r="9041" spans="1:15" ht="76.5" x14ac:dyDescent="0.2">
      <c r="A9041" s="197" t="str">
        <f t="shared" si="141"/>
        <v>SmcCode_sand</v>
      </c>
      <c r="B9041" s="409"/>
      <c r="C9041" s="416"/>
      <c r="D9041" s="198" t="s">
        <v>19594</v>
      </c>
      <c r="E9041" s="198">
        <v>88</v>
      </c>
      <c r="F9041" s="199" t="s">
        <v>19595</v>
      </c>
      <c r="G9041" s="1" t="s">
        <v>24183</v>
      </c>
      <c r="H9041" s="1" t="s">
        <v>24184</v>
      </c>
      <c r="I9041" s="346"/>
      <c r="J9041" s="39">
        <v>107846</v>
      </c>
      <c r="K9041" s="36" t="str">
        <f>CONCATENATE(Cover!$D$6,"fdd/view?i=",J9041)</f>
        <v>https://www.dgiwg.org/FAD/fdd/view?i=107846</v>
      </c>
      <c r="L9041" s="36" t="s">
        <v>50332</v>
      </c>
      <c r="M9041" s="186"/>
      <c r="N9041" s="186"/>
      <c r="O9041" s="172"/>
    </row>
    <row r="9042" spans="1:15" ht="38.25" x14ac:dyDescent="0.2">
      <c r="A9042" s="197" t="str">
        <f t="shared" si="141"/>
        <v>SmcCode_sandAndBoulders</v>
      </c>
      <c r="B9042" s="409"/>
      <c r="C9042" s="416"/>
      <c r="D9042" s="198" t="s">
        <v>50333</v>
      </c>
      <c r="E9042" s="198">
        <v>124</v>
      </c>
      <c r="F9042" s="199" t="s">
        <v>50334</v>
      </c>
      <c r="G9042" s="1" t="s">
        <v>50335</v>
      </c>
      <c r="H9042" s="200"/>
      <c r="I9042" s="346"/>
      <c r="J9042" s="39">
        <v>107881</v>
      </c>
      <c r="K9042" s="36" t="str">
        <f>CONCATENATE(Cover!$D$6,"fdd/view?i=",J9042)</f>
        <v>https://www.dgiwg.org/FAD/fdd/view?i=107881</v>
      </c>
      <c r="L9042" s="36" t="s">
        <v>50336</v>
      </c>
      <c r="M9042" s="186"/>
      <c r="N9042" s="186"/>
      <c r="O9042" s="172"/>
    </row>
    <row r="9043" spans="1:15" ht="38.25" x14ac:dyDescent="0.2">
      <c r="A9043" s="197" t="str">
        <f t="shared" si="141"/>
        <v>SmcCode_sandAndGravel</v>
      </c>
      <c r="B9043" s="409"/>
      <c r="C9043" s="416"/>
      <c r="D9043" s="198" t="s">
        <v>50001</v>
      </c>
      <c r="E9043" s="198">
        <v>120</v>
      </c>
      <c r="F9043" s="199" t="s">
        <v>24187</v>
      </c>
      <c r="G9043" s="1" t="s">
        <v>24188</v>
      </c>
      <c r="H9043" s="1" t="s">
        <v>24189</v>
      </c>
      <c r="I9043" s="346"/>
      <c r="J9043" s="39">
        <v>107878</v>
      </c>
      <c r="K9043" s="36" t="str">
        <f>CONCATENATE(Cover!$D$6,"fdd/view?i=",J9043)</f>
        <v>https://www.dgiwg.org/FAD/fdd/view?i=107878</v>
      </c>
      <c r="L9043" s="36" t="s">
        <v>50337</v>
      </c>
      <c r="M9043" s="186"/>
      <c r="N9043" s="186"/>
      <c r="O9043" s="172"/>
    </row>
    <row r="9044" spans="1:15" ht="38.25" x14ac:dyDescent="0.2">
      <c r="A9044" s="197" t="str">
        <f t="shared" si="141"/>
        <v>SmcCode_sandAndMud</v>
      </c>
      <c r="B9044" s="409"/>
      <c r="C9044" s="416"/>
      <c r="D9044" s="198" t="s">
        <v>50338</v>
      </c>
      <c r="E9044" s="198">
        <v>126</v>
      </c>
      <c r="F9044" s="199" t="s">
        <v>50339</v>
      </c>
      <c r="G9044" s="1" t="s">
        <v>50340</v>
      </c>
      <c r="H9044" s="200"/>
      <c r="I9044" s="346"/>
      <c r="J9044" s="39">
        <v>107882</v>
      </c>
      <c r="K9044" s="36" t="str">
        <f>CONCATENATE(Cover!$D$6,"fdd/view?i=",J9044)</f>
        <v>https://www.dgiwg.org/FAD/fdd/view?i=107882</v>
      </c>
      <c r="L9044" s="36" t="s">
        <v>50341</v>
      </c>
      <c r="M9044" s="186"/>
      <c r="N9044" s="186"/>
      <c r="O9044" s="172"/>
    </row>
    <row r="9045" spans="1:15" ht="25.5" x14ac:dyDescent="0.2">
      <c r="A9045" s="197" t="str">
        <f t="shared" si="141"/>
        <v>SmcCode_sandstone</v>
      </c>
      <c r="B9045" s="409"/>
      <c r="C9045" s="416"/>
      <c r="D9045" s="198" t="s">
        <v>22358</v>
      </c>
      <c r="E9045" s="198">
        <v>89</v>
      </c>
      <c r="F9045" s="199" t="s">
        <v>22359</v>
      </c>
      <c r="G9045" s="1" t="s">
        <v>22360</v>
      </c>
      <c r="H9045" s="1" t="s">
        <v>22361</v>
      </c>
      <c r="I9045" s="346"/>
      <c r="J9045" s="39">
        <v>107847</v>
      </c>
      <c r="K9045" s="36" t="str">
        <f>CONCATENATE(Cover!$D$6,"fdd/view?i=",J9045)</f>
        <v>https://www.dgiwg.org/FAD/fdd/view?i=107847</v>
      </c>
      <c r="L9045" s="36" t="s">
        <v>50342</v>
      </c>
      <c r="M9045" s="186"/>
      <c r="N9045" s="186"/>
      <c r="O9045" s="172"/>
    </row>
    <row r="9046" spans="1:15" ht="38.25" x14ac:dyDescent="0.2">
      <c r="A9046" s="197" t="str">
        <f t="shared" si="141"/>
        <v>SmcCode_schist</v>
      </c>
      <c r="B9046" s="409"/>
      <c r="C9046" s="416"/>
      <c r="D9046" s="198" t="s">
        <v>22363</v>
      </c>
      <c r="E9046" s="198">
        <v>90</v>
      </c>
      <c r="F9046" s="199" t="s">
        <v>22364</v>
      </c>
      <c r="G9046" s="1" t="s">
        <v>43720</v>
      </c>
      <c r="H9046" s="200"/>
      <c r="I9046" s="346"/>
      <c r="J9046" s="39">
        <v>107848</v>
      </c>
      <c r="K9046" s="36" t="str">
        <f>CONCATENATE(Cover!$D$6,"fdd/view?i=",J9046)</f>
        <v>https://www.dgiwg.org/FAD/fdd/view?i=107848</v>
      </c>
      <c r="L9046" s="36" t="s">
        <v>50343</v>
      </c>
      <c r="M9046" s="186"/>
      <c r="N9046" s="186"/>
      <c r="O9046" s="172"/>
    </row>
    <row r="9047" spans="1:15" ht="25.5" x14ac:dyDescent="0.2">
      <c r="A9047" s="197" t="str">
        <f t="shared" si="141"/>
        <v>SmcCode_scoria</v>
      </c>
      <c r="B9047" s="409"/>
      <c r="C9047" s="416"/>
      <c r="D9047" s="198" t="s">
        <v>43722</v>
      </c>
      <c r="E9047" s="198">
        <v>92</v>
      </c>
      <c r="F9047" s="199" t="s">
        <v>43723</v>
      </c>
      <c r="G9047" s="1" t="s">
        <v>43725</v>
      </c>
      <c r="H9047" s="200"/>
      <c r="I9047" s="346"/>
      <c r="J9047" s="39">
        <v>107850</v>
      </c>
      <c r="K9047" s="36" t="str">
        <f>CONCATENATE(Cover!$D$6,"fdd/view?i=",J9047)</f>
        <v>https://www.dgiwg.org/FAD/fdd/view?i=107850</v>
      </c>
      <c r="L9047" s="36" t="s">
        <v>50344</v>
      </c>
      <c r="M9047" s="186"/>
      <c r="N9047" s="186"/>
      <c r="O9047" s="172"/>
    </row>
    <row r="9048" spans="1:15" ht="25.5" x14ac:dyDescent="0.2">
      <c r="A9048" s="197" t="str">
        <f t="shared" si="141"/>
        <v>SmcCode_seaMoss</v>
      </c>
      <c r="B9048" s="409"/>
      <c r="C9048" s="416"/>
      <c r="D9048" s="198" t="s">
        <v>43727</v>
      </c>
      <c r="E9048" s="198">
        <v>75</v>
      </c>
      <c r="F9048" s="199" t="s">
        <v>43728</v>
      </c>
      <c r="G9048" s="1" t="s">
        <v>43729</v>
      </c>
      <c r="H9048" s="200"/>
      <c r="I9048" s="346"/>
      <c r="J9048" s="39">
        <v>107833</v>
      </c>
      <c r="K9048" s="36" t="str">
        <f>CONCATENATE(Cover!$D$6,"fdd/view?i=",J9048)</f>
        <v>https://www.dgiwg.org/FAD/fdd/view?i=107833</v>
      </c>
      <c r="L9048" s="36" t="s">
        <v>50345</v>
      </c>
      <c r="M9048" s="186"/>
      <c r="N9048" s="186"/>
      <c r="O9048" s="172"/>
    </row>
    <row r="9049" spans="1:15" ht="25.5" x14ac:dyDescent="0.2">
      <c r="A9049" s="197" t="str">
        <f t="shared" si="141"/>
        <v>SmcCode_sedimentaryRock</v>
      </c>
      <c r="B9049" s="409"/>
      <c r="C9049" s="416"/>
      <c r="D9049" s="198" t="s">
        <v>50008</v>
      </c>
      <c r="E9049" s="198">
        <v>277</v>
      </c>
      <c r="F9049" s="199" t="s">
        <v>50009</v>
      </c>
      <c r="G9049" s="1" t="s">
        <v>50010</v>
      </c>
      <c r="H9049" s="1" t="s">
        <v>50011</v>
      </c>
      <c r="I9049" s="346"/>
      <c r="J9049" s="39">
        <v>109848</v>
      </c>
      <c r="K9049" s="36" t="str">
        <f>CONCATENATE(Cover!$D$6,"fdd/view?i=",J9049)</f>
        <v>https://www.dgiwg.org/FAD/fdd/view?i=109848</v>
      </c>
      <c r="L9049" s="36" t="s">
        <v>50346</v>
      </c>
      <c r="M9049" s="186"/>
      <c r="N9049" s="186"/>
      <c r="O9049" s="172"/>
    </row>
    <row r="9050" spans="1:15" x14ac:dyDescent="0.2">
      <c r="A9050" s="197" t="str">
        <f t="shared" si="141"/>
        <v>SmcCode_sewage</v>
      </c>
      <c r="B9050" s="409"/>
      <c r="C9050" s="416"/>
      <c r="D9050" s="198" t="s">
        <v>16566</v>
      </c>
      <c r="E9050" s="198">
        <v>95</v>
      </c>
      <c r="F9050" s="199" t="s">
        <v>16567</v>
      </c>
      <c r="G9050" s="1" t="s">
        <v>25310</v>
      </c>
      <c r="H9050" s="200"/>
      <c r="I9050" s="346"/>
      <c r="J9050" s="39">
        <v>107853</v>
      </c>
      <c r="K9050" s="36" t="str">
        <f>CONCATENATE(Cover!$D$6,"fdd/view?i=",J9050)</f>
        <v>https://www.dgiwg.org/FAD/fdd/view?i=107853</v>
      </c>
      <c r="L9050" s="36" t="s">
        <v>50347</v>
      </c>
      <c r="M9050" s="186"/>
      <c r="N9050" s="186"/>
      <c r="O9050" s="172"/>
    </row>
    <row r="9051" spans="1:15" ht="25.5" x14ac:dyDescent="0.2">
      <c r="A9051" s="197" t="str">
        <f t="shared" si="141"/>
        <v>SmcCode_shale</v>
      </c>
      <c r="B9051" s="409"/>
      <c r="C9051" s="416"/>
      <c r="D9051" s="198" t="s">
        <v>22372</v>
      </c>
      <c r="E9051" s="198">
        <v>272</v>
      </c>
      <c r="F9051" s="199" t="s">
        <v>22373</v>
      </c>
      <c r="G9051" s="1" t="s">
        <v>22374</v>
      </c>
      <c r="H9051" s="200"/>
      <c r="I9051" s="346"/>
      <c r="J9051" s="39">
        <v>109843</v>
      </c>
      <c r="K9051" s="36" t="str">
        <f>CONCATENATE(Cover!$D$6,"fdd/view?i=",J9051)</f>
        <v>https://www.dgiwg.org/FAD/fdd/view?i=109843</v>
      </c>
      <c r="L9051" s="36" t="s">
        <v>50348</v>
      </c>
      <c r="M9051" s="186"/>
      <c r="N9051" s="186"/>
      <c r="O9051" s="172"/>
    </row>
    <row r="9052" spans="1:15" ht="25.5" x14ac:dyDescent="0.2">
      <c r="A9052" s="197" t="str">
        <f t="shared" si="141"/>
        <v>SmcCode_shell</v>
      </c>
      <c r="B9052" s="409"/>
      <c r="C9052" s="416"/>
      <c r="D9052" s="198" t="s">
        <v>37482</v>
      </c>
      <c r="E9052" s="198">
        <v>96</v>
      </c>
      <c r="F9052" s="199" t="s">
        <v>37483</v>
      </c>
      <c r="G9052" s="1" t="s">
        <v>43732</v>
      </c>
      <c r="H9052" s="200"/>
      <c r="I9052" s="346"/>
      <c r="J9052" s="39">
        <v>107854</v>
      </c>
      <c r="K9052" s="36" t="str">
        <f>CONCATENATE(Cover!$D$6,"fdd/view?i=",J9052)</f>
        <v>https://www.dgiwg.org/FAD/fdd/view?i=107854</v>
      </c>
      <c r="L9052" s="36" t="s">
        <v>50349</v>
      </c>
      <c r="M9052" s="186"/>
      <c r="N9052" s="186"/>
      <c r="O9052" s="172"/>
    </row>
    <row r="9053" spans="1:15" ht="25.5" x14ac:dyDescent="0.2">
      <c r="A9053" s="197" t="str">
        <f t="shared" si="141"/>
        <v>SmcCode_shingle</v>
      </c>
      <c r="B9053" s="409"/>
      <c r="C9053" s="416"/>
      <c r="D9053" s="198" t="s">
        <v>46802</v>
      </c>
      <c r="E9053" s="198">
        <v>98</v>
      </c>
      <c r="F9053" s="199" t="s">
        <v>46803</v>
      </c>
      <c r="G9053" s="1" t="s">
        <v>46804</v>
      </c>
      <c r="H9053" s="200"/>
      <c r="I9053" s="346"/>
      <c r="J9053" s="39">
        <v>107856</v>
      </c>
      <c r="K9053" s="36" t="str">
        <f>CONCATENATE(Cover!$D$6,"fdd/view?i=",J9053)</f>
        <v>https://www.dgiwg.org/FAD/fdd/view?i=107856</v>
      </c>
      <c r="L9053" s="36" t="s">
        <v>50350</v>
      </c>
      <c r="M9053" s="186"/>
      <c r="N9053" s="186"/>
      <c r="O9053" s="172"/>
    </row>
    <row r="9054" spans="1:15" ht="38.25" x14ac:dyDescent="0.2">
      <c r="A9054" s="197" t="str">
        <f t="shared" si="141"/>
        <v>SmcCode_silt</v>
      </c>
      <c r="B9054" s="409"/>
      <c r="C9054" s="416"/>
      <c r="D9054" s="198" t="s">
        <v>25312</v>
      </c>
      <c r="E9054" s="198">
        <v>99</v>
      </c>
      <c r="F9054" s="199" t="s">
        <v>25313</v>
      </c>
      <c r="G9054" s="1" t="s">
        <v>25314</v>
      </c>
      <c r="H9054" s="200"/>
      <c r="I9054" s="346"/>
      <c r="J9054" s="39">
        <v>107857</v>
      </c>
      <c r="K9054" s="36" t="str">
        <f>CONCATENATE(Cover!$D$6,"fdd/view?i=",J9054)</f>
        <v>https://www.dgiwg.org/FAD/fdd/view?i=107857</v>
      </c>
      <c r="L9054" s="36" t="s">
        <v>50351</v>
      </c>
      <c r="M9054" s="186"/>
      <c r="N9054" s="186"/>
      <c r="O9054" s="172"/>
    </row>
    <row r="9055" spans="1:15" ht="38.25" x14ac:dyDescent="0.2">
      <c r="A9055" s="197" t="str">
        <f t="shared" si="141"/>
        <v>SmcCode_silver</v>
      </c>
      <c r="B9055" s="409"/>
      <c r="C9055" s="416"/>
      <c r="D9055" s="198" t="s">
        <v>25871</v>
      </c>
      <c r="E9055" s="198">
        <v>100</v>
      </c>
      <c r="F9055" s="199" t="s">
        <v>43029</v>
      </c>
      <c r="G9055" s="1" t="s">
        <v>43739</v>
      </c>
      <c r="H9055" s="200"/>
      <c r="I9055" s="346"/>
      <c r="J9055" s="39">
        <v>107858</v>
      </c>
      <c r="K9055" s="36" t="str">
        <f>CONCATENATE(Cover!$D$6,"fdd/view?i=",J9055)</f>
        <v>https://www.dgiwg.org/FAD/fdd/view?i=107858</v>
      </c>
      <c r="L9055" s="36" t="s">
        <v>50352</v>
      </c>
      <c r="M9055" s="186"/>
      <c r="N9055" s="186"/>
      <c r="O9055" s="172"/>
    </row>
    <row r="9056" spans="1:15" ht="25.5" x14ac:dyDescent="0.2">
      <c r="A9056" s="197" t="str">
        <f t="shared" si="141"/>
        <v>SmcCode_slag</v>
      </c>
      <c r="B9056" s="409"/>
      <c r="C9056" s="416"/>
      <c r="D9056" s="198" t="s">
        <v>25316</v>
      </c>
      <c r="E9056" s="198">
        <v>101</v>
      </c>
      <c r="F9056" s="199" t="s">
        <v>25317</v>
      </c>
      <c r="G9056" s="1" t="s">
        <v>25318</v>
      </c>
      <c r="H9056" s="1" t="s">
        <v>25319</v>
      </c>
      <c r="I9056" s="346"/>
      <c r="J9056" s="39">
        <v>107859</v>
      </c>
      <c r="K9056" s="36" t="str">
        <f>CONCATENATE(Cover!$D$6,"fdd/view?i=",J9056)</f>
        <v>https://www.dgiwg.org/FAD/fdd/view?i=107859</v>
      </c>
      <c r="L9056" s="36" t="s">
        <v>50353</v>
      </c>
      <c r="M9056" s="186"/>
      <c r="N9056" s="186"/>
      <c r="O9056" s="172"/>
    </row>
    <row r="9057" spans="1:15" ht="38.25" x14ac:dyDescent="0.2">
      <c r="A9057" s="197" t="str">
        <f t="shared" si="141"/>
        <v>SmcCode_slate</v>
      </c>
      <c r="B9057" s="409"/>
      <c r="C9057" s="416"/>
      <c r="D9057" s="198" t="s">
        <v>43741</v>
      </c>
      <c r="E9057" s="198">
        <v>273</v>
      </c>
      <c r="F9057" s="199" t="s">
        <v>43742</v>
      </c>
      <c r="G9057" s="1" t="s">
        <v>44520</v>
      </c>
      <c r="H9057" s="1" t="s">
        <v>44521</v>
      </c>
      <c r="I9057" s="346"/>
      <c r="J9057" s="39">
        <v>109844</v>
      </c>
      <c r="K9057" s="36" t="str">
        <f>CONCATENATE(Cover!$D$6,"fdd/view?i=",J9057)</f>
        <v>https://www.dgiwg.org/FAD/fdd/view?i=109844</v>
      </c>
      <c r="L9057" s="36" t="s">
        <v>50354</v>
      </c>
      <c r="M9057" s="186"/>
      <c r="N9057" s="186"/>
      <c r="O9057" s="172"/>
    </row>
    <row r="9058" spans="1:15" ht="38.25" x14ac:dyDescent="0.2">
      <c r="A9058" s="197" t="str">
        <f t="shared" si="141"/>
        <v>SmcCode_sludge</v>
      </c>
      <c r="B9058" s="409"/>
      <c r="C9058" s="416"/>
      <c r="D9058" s="198" t="s">
        <v>25321</v>
      </c>
      <c r="E9058" s="198">
        <v>102</v>
      </c>
      <c r="F9058" s="199" t="s">
        <v>25322</v>
      </c>
      <c r="G9058" s="1" t="s">
        <v>25323</v>
      </c>
      <c r="H9058" s="200"/>
      <c r="I9058" s="346"/>
      <c r="J9058" s="39">
        <v>107860</v>
      </c>
      <c r="K9058" s="36" t="str">
        <f>CONCATENATE(Cover!$D$6,"fdd/view?i=",J9058)</f>
        <v>https://www.dgiwg.org/FAD/fdd/view?i=107860</v>
      </c>
      <c r="L9058" s="36" t="s">
        <v>50355</v>
      </c>
      <c r="M9058" s="186"/>
      <c r="N9058" s="186"/>
      <c r="O9058" s="172"/>
    </row>
    <row r="9059" spans="1:15" x14ac:dyDescent="0.2">
      <c r="A9059" s="197" t="str">
        <f t="shared" si="141"/>
        <v>SmcCode_snow</v>
      </c>
      <c r="B9059" s="409"/>
      <c r="C9059" s="416"/>
      <c r="D9059" s="198" t="s">
        <v>19598</v>
      </c>
      <c r="E9059" s="198">
        <v>258</v>
      </c>
      <c r="F9059" s="199" t="s">
        <v>19599</v>
      </c>
      <c r="G9059" s="1" t="s">
        <v>43746</v>
      </c>
      <c r="H9059" s="1" t="s">
        <v>43747</v>
      </c>
      <c r="I9059" s="346"/>
      <c r="J9059" s="39">
        <v>107904</v>
      </c>
      <c r="K9059" s="36" t="str">
        <f>CONCATENATE(Cover!$D$6,"fdd/view?i=",J9059)</f>
        <v>https://www.dgiwg.org/FAD/fdd/view?i=107904</v>
      </c>
      <c r="L9059" s="36" t="s">
        <v>50356</v>
      </c>
      <c r="M9059" s="186"/>
      <c r="N9059" s="186"/>
      <c r="O9059" s="172"/>
    </row>
    <row r="9060" spans="1:15" ht="25.5" x14ac:dyDescent="0.2">
      <c r="A9060" s="197" t="str">
        <f t="shared" si="141"/>
        <v>SmcCode_sod</v>
      </c>
      <c r="B9060" s="409"/>
      <c r="C9060" s="416"/>
      <c r="D9060" s="198" t="s">
        <v>50030</v>
      </c>
      <c r="E9060" s="198">
        <v>274</v>
      </c>
      <c r="F9060" s="199" t="s">
        <v>50031</v>
      </c>
      <c r="G9060" s="1" t="s">
        <v>50032</v>
      </c>
      <c r="H9060" s="200"/>
      <c r="I9060" s="351" t="s">
        <v>50033</v>
      </c>
      <c r="J9060" s="39">
        <v>109845</v>
      </c>
      <c r="K9060" s="36" t="str">
        <f>CONCATENATE(Cover!$D$6,"fdd/view?i=",J9060)</f>
        <v>https://www.dgiwg.org/FAD/fdd/view?i=109845</v>
      </c>
      <c r="L9060" s="36" t="s">
        <v>50357</v>
      </c>
      <c r="M9060" s="186"/>
      <c r="N9060" s="186"/>
      <c r="O9060" s="172"/>
    </row>
    <row r="9061" spans="1:15" ht="38.25" x14ac:dyDescent="0.2">
      <c r="A9061" s="197" t="str">
        <f t="shared" si="141"/>
        <v>SmcCode_soil</v>
      </c>
      <c r="B9061" s="409"/>
      <c r="C9061" s="416"/>
      <c r="D9061" s="198" t="s">
        <v>24205</v>
      </c>
      <c r="E9061" s="198">
        <v>104</v>
      </c>
      <c r="F9061" s="199" t="s">
        <v>24206</v>
      </c>
      <c r="G9061" s="1" t="s">
        <v>24207</v>
      </c>
      <c r="H9061" s="200"/>
      <c r="I9061" s="346"/>
      <c r="J9061" s="39">
        <v>107862</v>
      </c>
      <c r="K9061" s="36" t="str">
        <f>CONCATENATE(Cover!$D$6,"fdd/view?i=",J9061)</f>
        <v>https://www.dgiwg.org/FAD/fdd/view?i=107862</v>
      </c>
      <c r="L9061" s="36" t="s">
        <v>50358</v>
      </c>
      <c r="M9061" s="186"/>
      <c r="N9061" s="186"/>
      <c r="O9061" s="172"/>
    </row>
    <row r="9062" spans="1:15" ht="25.5" x14ac:dyDescent="0.2">
      <c r="A9062" s="197" t="str">
        <f t="shared" si="141"/>
        <v>SmcCode_spicules</v>
      </c>
      <c r="B9062" s="409"/>
      <c r="C9062" s="416"/>
      <c r="D9062" s="198" t="s">
        <v>44525</v>
      </c>
      <c r="E9062" s="198">
        <v>105</v>
      </c>
      <c r="F9062" s="199" t="s">
        <v>44526</v>
      </c>
      <c r="G9062" s="1" t="s">
        <v>44527</v>
      </c>
      <c r="H9062" s="200"/>
      <c r="I9062" s="346"/>
      <c r="J9062" s="39">
        <v>107863</v>
      </c>
      <c r="K9062" s="36" t="str">
        <f>CONCATENATE(Cover!$D$6,"fdd/view?i=",J9062)</f>
        <v>https://www.dgiwg.org/FAD/fdd/view?i=107863</v>
      </c>
      <c r="L9062" s="36" t="s">
        <v>50359</v>
      </c>
      <c r="M9062" s="186"/>
      <c r="N9062" s="186"/>
      <c r="O9062" s="172"/>
    </row>
    <row r="9063" spans="1:15" ht="25.5" x14ac:dyDescent="0.2">
      <c r="A9063" s="197" t="str">
        <f t="shared" si="141"/>
        <v>SmcCode_spoil</v>
      </c>
      <c r="B9063" s="409"/>
      <c r="C9063" s="416"/>
      <c r="D9063" s="198" t="s">
        <v>25325</v>
      </c>
      <c r="E9063" s="198">
        <v>91</v>
      </c>
      <c r="F9063" s="199" t="s">
        <v>25326</v>
      </c>
      <c r="G9063" s="1" t="s">
        <v>25327</v>
      </c>
      <c r="H9063" s="200"/>
      <c r="I9063" s="351" t="s">
        <v>25329</v>
      </c>
      <c r="J9063" s="39">
        <v>107849</v>
      </c>
      <c r="K9063" s="36" t="str">
        <f>CONCATENATE(Cover!$D$6,"fdd/view?i=",J9063)</f>
        <v>https://www.dgiwg.org/FAD/fdd/view?i=107849</v>
      </c>
      <c r="L9063" s="36" t="s">
        <v>50360</v>
      </c>
      <c r="M9063" s="186"/>
      <c r="N9063" s="186"/>
      <c r="O9063" s="172"/>
    </row>
    <row r="9064" spans="1:15" ht="38.25" x14ac:dyDescent="0.2">
      <c r="A9064" s="197" t="str">
        <f t="shared" si="141"/>
        <v>SmcCode_sponge</v>
      </c>
      <c r="B9064" s="409"/>
      <c r="C9064" s="416"/>
      <c r="D9064" s="198" t="s">
        <v>43750</v>
      </c>
      <c r="E9064" s="198">
        <v>106</v>
      </c>
      <c r="F9064" s="199" t="s">
        <v>43751</v>
      </c>
      <c r="G9064" s="1" t="s">
        <v>43752</v>
      </c>
      <c r="H9064" s="200"/>
      <c r="I9064" s="346"/>
      <c r="J9064" s="39">
        <v>107864</v>
      </c>
      <c r="K9064" s="36" t="str">
        <f>CONCATENATE(Cover!$D$6,"fdd/view?i=",J9064)</f>
        <v>https://www.dgiwg.org/FAD/fdd/view?i=107864</v>
      </c>
      <c r="L9064" s="36" t="s">
        <v>50361</v>
      </c>
      <c r="M9064" s="186"/>
      <c r="N9064" s="186"/>
      <c r="O9064" s="172"/>
    </row>
    <row r="9065" spans="1:15" ht="38.25" x14ac:dyDescent="0.2">
      <c r="A9065" s="197" t="str">
        <f t="shared" si="141"/>
        <v>SmcCode_steel</v>
      </c>
      <c r="B9065" s="409"/>
      <c r="C9065" s="416"/>
      <c r="D9065" s="198" t="s">
        <v>43754</v>
      </c>
      <c r="E9065" s="198">
        <v>107</v>
      </c>
      <c r="F9065" s="199" t="s">
        <v>43755</v>
      </c>
      <c r="G9065" s="1" t="s">
        <v>43756</v>
      </c>
      <c r="H9065" s="1" t="s">
        <v>43757</v>
      </c>
      <c r="I9065" s="346"/>
      <c r="J9065" s="39">
        <v>107865</v>
      </c>
      <c r="K9065" s="36" t="str">
        <f>CONCATENATE(Cover!$D$6,"fdd/view?i=",J9065)</f>
        <v>https://www.dgiwg.org/FAD/fdd/view?i=107865</v>
      </c>
      <c r="L9065" s="36" t="s">
        <v>50362</v>
      </c>
      <c r="M9065" s="186"/>
      <c r="N9065" s="186"/>
      <c r="O9065" s="172"/>
    </row>
    <row r="9066" spans="1:15" ht="38.25" x14ac:dyDescent="0.2">
      <c r="A9066" s="197" t="str">
        <f t="shared" si="141"/>
        <v>SmcCode_stone</v>
      </c>
      <c r="B9066" s="409"/>
      <c r="C9066" s="416"/>
      <c r="D9066" s="198" t="s">
        <v>19602</v>
      </c>
      <c r="E9066" s="198">
        <v>108</v>
      </c>
      <c r="F9066" s="199" t="s">
        <v>19603</v>
      </c>
      <c r="G9066" s="1" t="s">
        <v>43759</v>
      </c>
      <c r="H9066" s="1" t="s">
        <v>43760</v>
      </c>
      <c r="I9066" s="346"/>
      <c r="J9066" s="39">
        <v>107866</v>
      </c>
      <c r="K9066" s="36" t="str">
        <f>CONCATENATE(Cover!$D$6,"fdd/view?i=",J9066)</f>
        <v>https://www.dgiwg.org/FAD/fdd/view?i=107866</v>
      </c>
      <c r="L9066" s="36" t="s">
        <v>50363</v>
      </c>
      <c r="M9066" s="186"/>
      <c r="N9066" s="186"/>
      <c r="O9066" s="172"/>
    </row>
    <row r="9067" spans="1:15" ht="25.5" x14ac:dyDescent="0.2">
      <c r="A9067" s="197" t="str">
        <f t="shared" si="141"/>
        <v>SmcCode_thatch</v>
      </c>
      <c r="B9067" s="409"/>
      <c r="C9067" s="416"/>
      <c r="D9067" s="198" t="s">
        <v>43778</v>
      </c>
      <c r="E9067" s="198">
        <v>275</v>
      </c>
      <c r="F9067" s="199" t="s">
        <v>43779</v>
      </c>
      <c r="G9067" s="1" t="s">
        <v>43780</v>
      </c>
      <c r="H9067" s="200"/>
      <c r="I9067" s="346"/>
      <c r="J9067" s="39">
        <v>109846</v>
      </c>
      <c r="K9067" s="36" t="str">
        <f>CONCATENATE(Cover!$D$6,"fdd/view?i=",J9067)</f>
        <v>https://www.dgiwg.org/FAD/fdd/view?i=109846</v>
      </c>
      <c r="L9067" s="36" t="s">
        <v>50364</v>
      </c>
      <c r="M9067" s="186"/>
      <c r="N9067" s="186"/>
      <c r="O9067" s="172"/>
    </row>
    <row r="9068" spans="1:15" ht="25.5" x14ac:dyDescent="0.2">
      <c r="A9068" s="197" t="str">
        <f t="shared" si="141"/>
        <v>SmcCode_timber</v>
      </c>
      <c r="B9068" s="409"/>
      <c r="C9068" s="416"/>
      <c r="D9068" s="198" t="s">
        <v>27602</v>
      </c>
      <c r="E9068" s="198">
        <v>276</v>
      </c>
      <c r="F9068" s="199" t="s">
        <v>27603</v>
      </c>
      <c r="G9068" s="1" t="s">
        <v>43782</v>
      </c>
      <c r="H9068" s="200"/>
      <c r="I9068" s="346"/>
      <c r="J9068" s="39">
        <v>109847</v>
      </c>
      <c r="K9068" s="36" t="str">
        <f>CONCATENATE(Cover!$D$6,"fdd/view?i=",J9068)</f>
        <v>https://www.dgiwg.org/FAD/fdd/view?i=109847</v>
      </c>
      <c r="L9068" s="36" t="s">
        <v>50365</v>
      </c>
      <c r="M9068" s="186"/>
      <c r="N9068" s="186"/>
      <c r="O9068" s="172"/>
    </row>
    <row r="9069" spans="1:15" ht="38.25" x14ac:dyDescent="0.2">
      <c r="A9069" s="197" t="str">
        <f t="shared" si="141"/>
        <v>SmcCode_travertine</v>
      </c>
      <c r="B9069" s="409"/>
      <c r="C9069" s="416"/>
      <c r="D9069" s="198" t="s">
        <v>43791</v>
      </c>
      <c r="E9069" s="198">
        <v>110</v>
      </c>
      <c r="F9069" s="199" t="s">
        <v>43792</v>
      </c>
      <c r="G9069" s="1" t="s">
        <v>43794</v>
      </c>
      <c r="H9069" s="1" t="s">
        <v>44539</v>
      </c>
      <c r="I9069" s="346"/>
      <c r="J9069" s="39">
        <v>107868</v>
      </c>
      <c r="K9069" s="36" t="str">
        <f>CONCATENATE(Cover!$D$6,"fdd/view?i=",J9069)</f>
        <v>https://www.dgiwg.org/FAD/fdd/view?i=107868</v>
      </c>
      <c r="L9069" s="36" t="s">
        <v>50366</v>
      </c>
      <c r="M9069" s="186"/>
      <c r="N9069" s="186"/>
      <c r="O9069" s="172"/>
    </row>
    <row r="9070" spans="1:15" ht="25.5" x14ac:dyDescent="0.2">
      <c r="A9070" s="197" t="str">
        <f t="shared" si="141"/>
        <v>SmcCode_treatedTimber</v>
      </c>
      <c r="B9070" s="409"/>
      <c r="C9070" s="416"/>
      <c r="D9070" s="198" t="s">
        <v>46816</v>
      </c>
      <c r="E9070" s="198">
        <v>279</v>
      </c>
      <c r="F9070" s="199" t="s">
        <v>46817</v>
      </c>
      <c r="G9070" s="1" t="s">
        <v>46818</v>
      </c>
      <c r="H9070" s="1" t="s">
        <v>46819</v>
      </c>
      <c r="I9070" s="346"/>
      <c r="J9070" s="39">
        <v>112829</v>
      </c>
      <c r="K9070" s="36" t="str">
        <f>CONCATENATE(Cover!$D$6,"fdd/view?i=",J9070)</f>
        <v>https://www.dgiwg.org/FAD/fdd/view?i=112829</v>
      </c>
      <c r="L9070" s="36" t="s">
        <v>50367</v>
      </c>
      <c r="M9070" s="186"/>
      <c r="N9070" s="186"/>
      <c r="O9070" s="172"/>
    </row>
    <row r="9071" spans="1:15" ht="25.5" x14ac:dyDescent="0.2">
      <c r="A9071" s="197" t="str">
        <f t="shared" si="141"/>
        <v>SmcCode_tufa</v>
      </c>
      <c r="B9071" s="409"/>
      <c r="C9071" s="416"/>
      <c r="D9071" s="198" t="s">
        <v>43796</v>
      </c>
      <c r="E9071" s="198">
        <v>111</v>
      </c>
      <c r="F9071" s="199" t="s">
        <v>43797</v>
      </c>
      <c r="G9071" s="1" t="s">
        <v>44541</v>
      </c>
      <c r="H9071" s="1" t="s">
        <v>44542</v>
      </c>
      <c r="I9071" s="346"/>
      <c r="J9071" s="39">
        <v>107869</v>
      </c>
      <c r="K9071" s="36" t="str">
        <f>CONCATENATE(Cover!$D$6,"fdd/view?i=",J9071)</f>
        <v>https://www.dgiwg.org/FAD/fdd/view?i=107869</v>
      </c>
      <c r="L9071" s="36" t="s">
        <v>50368</v>
      </c>
      <c r="M9071" s="186"/>
      <c r="N9071" s="186"/>
      <c r="O9071" s="172"/>
    </row>
    <row r="9072" spans="1:15" ht="38.25" x14ac:dyDescent="0.2">
      <c r="A9072" s="197" t="str">
        <f t="shared" si="141"/>
        <v>SmcCode_uraniumOre</v>
      </c>
      <c r="B9072" s="409"/>
      <c r="C9072" s="416"/>
      <c r="D9072" s="198" t="s">
        <v>39125</v>
      </c>
      <c r="E9072" s="198">
        <v>112</v>
      </c>
      <c r="F9072" s="199" t="s">
        <v>39126</v>
      </c>
      <c r="G9072" s="1" t="s">
        <v>46822</v>
      </c>
      <c r="H9072" s="1" t="s">
        <v>46823</v>
      </c>
      <c r="I9072" s="346"/>
      <c r="J9072" s="39">
        <v>107870</v>
      </c>
      <c r="K9072" s="36" t="str">
        <f>CONCATENATE(Cover!$D$6,"fdd/view?i=",J9072)</f>
        <v>https://www.dgiwg.org/FAD/fdd/view?i=107870</v>
      </c>
      <c r="L9072" s="36" t="s">
        <v>50369</v>
      </c>
      <c r="M9072" s="186"/>
      <c r="N9072" s="186"/>
      <c r="O9072" s="172"/>
    </row>
    <row r="9073" spans="1:15" ht="25.5" x14ac:dyDescent="0.2">
      <c r="A9073" s="197" t="str">
        <f t="shared" si="141"/>
        <v>SmcCode_vegetation</v>
      </c>
      <c r="B9073" s="409"/>
      <c r="C9073" s="416"/>
      <c r="D9073" s="198" t="s">
        <v>29248</v>
      </c>
      <c r="E9073" s="198">
        <v>113</v>
      </c>
      <c r="F9073" s="199" t="s">
        <v>29249</v>
      </c>
      <c r="G9073" s="1" t="s">
        <v>46825</v>
      </c>
      <c r="H9073" s="200"/>
      <c r="I9073" s="351" t="s">
        <v>46826</v>
      </c>
      <c r="J9073" s="39">
        <v>107871</v>
      </c>
      <c r="K9073" s="36" t="str">
        <f>CONCATENATE(Cover!$D$6,"fdd/view?i=",J9073)</f>
        <v>https://www.dgiwg.org/FAD/fdd/view?i=107871</v>
      </c>
      <c r="L9073" s="36" t="s">
        <v>50370</v>
      </c>
      <c r="M9073" s="186"/>
      <c r="N9073" s="186"/>
      <c r="O9073" s="172"/>
    </row>
    <row r="9074" spans="1:15" x14ac:dyDescent="0.2">
      <c r="A9074" s="197" t="str">
        <f t="shared" si="141"/>
        <v>SmcCode_volcanicAsh</v>
      </c>
      <c r="B9074" s="409"/>
      <c r="C9074" s="416"/>
      <c r="D9074" s="198" t="s">
        <v>41130</v>
      </c>
      <c r="E9074" s="198">
        <v>115</v>
      </c>
      <c r="F9074" s="199" t="s">
        <v>41131</v>
      </c>
      <c r="G9074" s="1" t="s">
        <v>44548</v>
      </c>
      <c r="H9074" s="200"/>
      <c r="I9074" s="346"/>
      <c r="J9074" s="39">
        <v>107873</v>
      </c>
      <c r="K9074" s="36" t="str">
        <f>CONCATENATE(Cover!$D$6,"fdd/view?i=",J9074)</f>
        <v>https://www.dgiwg.org/FAD/fdd/view?i=107873</v>
      </c>
      <c r="L9074" s="36" t="s">
        <v>50371</v>
      </c>
      <c r="M9074" s="186"/>
      <c r="N9074" s="186"/>
      <c r="O9074" s="172"/>
    </row>
    <row r="9075" spans="1:15" ht="38.25" x14ac:dyDescent="0.2">
      <c r="A9075" s="197" t="str">
        <f t="shared" si="141"/>
        <v>SmcCode_water</v>
      </c>
      <c r="B9075" s="409"/>
      <c r="C9075" s="416"/>
      <c r="D9075" s="198" t="s">
        <v>19606</v>
      </c>
      <c r="E9075" s="198">
        <v>116</v>
      </c>
      <c r="F9075" s="199" t="s">
        <v>19607</v>
      </c>
      <c r="G9075" s="1" t="s">
        <v>23000</v>
      </c>
      <c r="H9075" s="1" t="s">
        <v>43810</v>
      </c>
      <c r="I9075" s="346"/>
      <c r="J9075" s="39">
        <v>107874</v>
      </c>
      <c r="K9075" s="36" t="str">
        <f>CONCATENATE(Cover!$D$6,"fdd/view?i=",J9075)</f>
        <v>https://www.dgiwg.org/FAD/fdd/view?i=107874</v>
      </c>
      <c r="L9075" s="36" t="s">
        <v>50372</v>
      </c>
      <c r="M9075" s="186"/>
      <c r="N9075" s="186"/>
      <c r="O9075" s="172"/>
    </row>
    <row r="9076" spans="1:15" ht="38.25" x14ac:dyDescent="0.2">
      <c r="A9076" s="197" t="str">
        <f t="shared" si="141"/>
        <v>SmcCode_wood</v>
      </c>
      <c r="B9076" s="409"/>
      <c r="C9076" s="416"/>
      <c r="D9076" s="198" t="s">
        <v>19610</v>
      </c>
      <c r="E9076" s="198">
        <v>117</v>
      </c>
      <c r="F9076" s="199" t="s">
        <v>5911</v>
      </c>
      <c r="G9076" s="1" t="s">
        <v>43822</v>
      </c>
      <c r="H9076" s="1" t="s">
        <v>43823</v>
      </c>
      <c r="I9076" s="346"/>
      <c r="J9076" s="39">
        <v>107875</v>
      </c>
      <c r="K9076" s="36" t="str">
        <f>CONCATENATE(Cover!$D$6,"fdd/view?i=",J9076)</f>
        <v>https://www.dgiwg.org/FAD/fdd/view?i=107875</v>
      </c>
      <c r="L9076" s="36" t="s">
        <v>50373</v>
      </c>
      <c r="M9076" s="186"/>
      <c r="N9076" s="186"/>
      <c r="O9076" s="172"/>
    </row>
    <row r="9077" spans="1:15" ht="38.25" x14ac:dyDescent="0.2">
      <c r="A9077" s="203" t="str">
        <f t="shared" si="141"/>
        <v>SmcCode_zinc</v>
      </c>
      <c r="B9077" s="410"/>
      <c r="C9077" s="417"/>
      <c r="D9077" s="204" t="s">
        <v>25937</v>
      </c>
      <c r="E9077" s="204">
        <v>118</v>
      </c>
      <c r="F9077" s="205" t="s">
        <v>43826</v>
      </c>
      <c r="G9077" s="206" t="s">
        <v>43827</v>
      </c>
      <c r="H9077" s="206" t="s">
        <v>43828</v>
      </c>
      <c r="I9077" s="347"/>
      <c r="J9077" s="39">
        <v>107876</v>
      </c>
      <c r="K9077" s="36" t="str">
        <f>CONCATENATE(Cover!$D$6,"fdd/view?i=",J9077)</f>
        <v>https://www.dgiwg.org/FAD/fdd/view?i=107876</v>
      </c>
      <c r="L9077" s="36" t="s">
        <v>50374</v>
      </c>
      <c r="M9077" s="186"/>
      <c r="N9077" s="186"/>
      <c r="O9077" s="172"/>
    </row>
    <row r="9078" spans="1:15" ht="25.5" x14ac:dyDescent="0.2">
      <c r="A9078" s="190" t="str">
        <f t="shared" si="141"/>
        <v>CpaCode_astronomicPosition</v>
      </c>
      <c r="B9078" s="414" t="str">
        <f>HYPERLINK("[#]Datatypes!A1482:L1482","CpaCode")</f>
        <v>CpaCode</v>
      </c>
      <c r="C9078" s="415" t="s">
        <v>16108</v>
      </c>
      <c r="D9078" s="221" t="s">
        <v>50375</v>
      </c>
      <c r="E9078" s="221">
        <v>4</v>
      </c>
      <c r="F9078" s="222" t="s">
        <v>50376</v>
      </c>
      <c r="G9078" s="223" t="s">
        <v>50377</v>
      </c>
      <c r="H9078" s="224"/>
      <c r="I9078" s="345"/>
      <c r="J9078" s="39">
        <v>103208</v>
      </c>
      <c r="K9078" s="36" t="str">
        <f>CONCATENATE(Cover!$D$6,"fdd/view?i=",J9078)</f>
        <v>https://www.dgiwg.org/FAD/fdd/view?i=103208</v>
      </c>
      <c r="L9078" s="36" t="s">
        <v>50378</v>
      </c>
      <c r="M9078" s="186"/>
      <c r="N9078" s="186"/>
      <c r="O9078" s="172"/>
    </row>
    <row r="9079" spans="1:15" ht="38.25" x14ac:dyDescent="0.2">
      <c r="A9079" s="197" t="str">
        <f t="shared" si="141"/>
        <v>CpaCode_benchmark</v>
      </c>
      <c r="B9079" s="409"/>
      <c r="C9079" s="416"/>
      <c r="D9079" s="198" t="s">
        <v>50379</v>
      </c>
      <c r="E9079" s="198">
        <v>1</v>
      </c>
      <c r="F9079" s="199" t="s">
        <v>2247</v>
      </c>
      <c r="G9079" s="1" t="s">
        <v>50380</v>
      </c>
      <c r="H9079" s="200"/>
      <c r="I9079" s="346"/>
      <c r="J9079" s="39">
        <v>103205</v>
      </c>
      <c r="K9079" s="36" t="str">
        <f>CONCATENATE(Cover!$D$6,"fdd/view?i=",J9079)</f>
        <v>https://www.dgiwg.org/FAD/fdd/view?i=103205</v>
      </c>
      <c r="L9079" s="36" t="s">
        <v>50381</v>
      </c>
      <c r="M9079" s="186"/>
      <c r="N9079" s="186"/>
      <c r="O9079" s="172"/>
    </row>
    <row r="9080" spans="1:15" ht="25.5" x14ac:dyDescent="0.2">
      <c r="A9080" s="197" t="str">
        <f t="shared" si="141"/>
        <v>CpaCode_boundaryMark</v>
      </c>
      <c r="B9080" s="409"/>
      <c r="C9080" s="416"/>
      <c r="D9080" s="198" t="s">
        <v>50382</v>
      </c>
      <c r="E9080" s="198">
        <v>14</v>
      </c>
      <c r="F9080" s="199" t="s">
        <v>2321</v>
      </c>
      <c r="G9080" s="1" t="s">
        <v>50383</v>
      </c>
      <c r="H9080" s="200"/>
      <c r="I9080" s="346"/>
      <c r="J9080" s="39">
        <v>103218</v>
      </c>
      <c r="K9080" s="36" t="str">
        <f>CONCATENATE(Cover!$D$6,"fdd/view?i=",J9080)</f>
        <v>https://www.dgiwg.org/FAD/fdd/view?i=103218</v>
      </c>
      <c r="L9080" s="36" t="s">
        <v>50384</v>
      </c>
      <c r="M9080" s="186"/>
      <c r="N9080" s="186"/>
      <c r="O9080" s="172"/>
    </row>
    <row r="9081" spans="1:15" ht="25.5" x14ac:dyDescent="0.2">
      <c r="A9081" s="197" t="str">
        <f t="shared" si="141"/>
        <v>CpaCode_fixedPoint</v>
      </c>
      <c r="B9081" s="409"/>
      <c r="C9081" s="416"/>
      <c r="D9081" s="198" t="s">
        <v>50385</v>
      </c>
      <c r="E9081" s="198">
        <v>13</v>
      </c>
      <c r="F9081" s="199" t="s">
        <v>50386</v>
      </c>
      <c r="G9081" s="1" t="s">
        <v>50387</v>
      </c>
      <c r="H9081" s="200"/>
      <c r="I9081" s="346"/>
      <c r="J9081" s="39">
        <v>103217</v>
      </c>
      <c r="K9081" s="36" t="str">
        <f>CONCATENATE(Cover!$D$6,"fdd/view?i=",J9081)</f>
        <v>https://www.dgiwg.org/FAD/fdd/view?i=103217</v>
      </c>
      <c r="L9081" s="36" t="s">
        <v>50388</v>
      </c>
      <c r="M9081" s="186"/>
      <c r="N9081" s="186"/>
      <c r="O9081" s="172"/>
    </row>
    <row r="9082" spans="1:15" ht="38.25" x14ac:dyDescent="0.2">
      <c r="A9082" s="197" t="str">
        <f t="shared" si="141"/>
        <v>CpaCode_horizontalMainStation</v>
      </c>
      <c r="B9082" s="409"/>
      <c r="C9082" s="416"/>
      <c r="D9082" s="198" t="s">
        <v>50389</v>
      </c>
      <c r="E9082" s="198">
        <v>8</v>
      </c>
      <c r="F9082" s="199" t="s">
        <v>50390</v>
      </c>
      <c r="G9082" s="1" t="s">
        <v>50391</v>
      </c>
      <c r="H9082" s="200"/>
      <c r="I9082" s="346"/>
      <c r="J9082" s="39">
        <v>103212</v>
      </c>
      <c r="K9082" s="36" t="str">
        <f>CONCATENATE(Cover!$D$6,"fdd/view?i=",J9082)</f>
        <v>https://www.dgiwg.org/FAD/fdd/view?i=103212</v>
      </c>
      <c r="L9082" s="36" t="s">
        <v>50392</v>
      </c>
      <c r="M9082" s="186"/>
      <c r="N9082" s="186"/>
      <c r="O9082" s="172"/>
    </row>
    <row r="9083" spans="1:15" ht="38.25" x14ac:dyDescent="0.2">
      <c r="A9083" s="197" t="str">
        <f t="shared" si="141"/>
        <v>CpaCode_horizontalPosAndBenchmark</v>
      </c>
      <c r="B9083" s="409"/>
      <c r="C9083" s="416"/>
      <c r="D9083" s="198" t="s">
        <v>50397</v>
      </c>
      <c r="E9083" s="198">
        <v>3</v>
      </c>
      <c r="F9083" s="199" t="s">
        <v>50398</v>
      </c>
      <c r="G9083" s="1" t="s">
        <v>50399</v>
      </c>
      <c r="H9083" s="200"/>
      <c r="I9083" s="346"/>
      <c r="J9083" s="39">
        <v>103207</v>
      </c>
      <c r="K9083" s="36" t="str">
        <f>CONCATENATE(Cover!$D$6,"fdd/view?i=",J9083)</f>
        <v>https://www.dgiwg.org/FAD/fdd/view?i=103207</v>
      </c>
      <c r="L9083" s="36" t="s">
        <v>50400</v>
      </c>
      <c r="M9083" s="186"/>
      <c r="N9083" s="186"/>
      <c r="O9083" s="172"/>
    </row>
    <row r="9084" spans="1:15" ht="25.5" x14ac:dyDescent="0.2">
      <c r="A9084" s="197" t="str">
        <f t="shared" si="141"/>
        <v>CpaCode_horizontalPosition</v>
      </c>
      <c r="B9084" s="409"/>
      <c r="C9084" s="416"/>
      <c r="D9084" s="198" t="s">
        <v>50393</v>
      </c>
      <c r="E9084" s="198">
        <v>2</v>
      </c>
      <c r="F9084" s="199" t="s">
        <v>50394</v>
      </c>
      <c r="G9084" s="1" t="s">
        <v>50395</v>
      </c>
      <c r="H9084" s="200"/>
      <c r="I9084" s="346"/>
      <c r="J9084" s="39">
        <v>103206</v>
      </c>
      <c r="K9084" s="36" t="str">
        <f>CONCATENATE(Cover!$D$6,"fdd/view?i=",J9084)</f>
        <v>https://www.dgiwg.org/FAD/fdd/view?i=103206</v>
      </c>
      <c r="L9084" s="36" t="s">
        <v>50396</v>
      </c>
      <c r="M9084" s="186"/>
      <c r="N9084" s="186"/>
      <c r="O9084" s="172"/>
    </row>
    <row r="9085" spans="1:15" ht="51" x14ac:dyDescent="0.2">
      <c r="A9085" s="197" t="str">
        <f t="shared" si="141"/>
        <v>CpaCode_horizontalSecStation</v>
      </c>
      <c r="B9085" s="409"/>
      <c r="C9085" s="416"/>
      <c r="D9085" s="198" t="s">
        <v>50401</v>
      </c>
      <c r="E9085" s="198">
        <v>9</v>
      </c>
      <c r="F9085" s="199" t="s">
        <v>50402</v>
      </c>
      <c r="G9085" s="1" t="s">
        <v>50403</v>
      </c>
      <c r="H9085" s="200"/>
      <c r="I9085" s="346"/>
      <c r="J9085" s="39">
        <v>103213</v>
      </c>
      <c r="K9085" s="36" t="str">
        <f>CONCATENATE(Cover!$D$6,"fdd/view?i=",J9085)</f>
        <v>https://www.dgiwg.org/FAD/fdd/view?i=103213</v>
      </c>
      <c r="L9085" s="36" t="s">
        <v>50404</v>
      </c>
      <c r="M9085" s="186"/>
      <c r="N9085" s="186"/>
      <c r="O9085" s="172"/>
    </row>
    <row r="9086" spans="1:15" ht="38.25" x14ac:dyDescent="0.2">
      <c r="A9086" s="197" t="str">
        <f t="shared" si="141"/>
        <v>CpaCode_tidalBenchmark</v>
      </c>
      <c r="B9086" s="409"/>
      <c r="C9086" s="416"/>
      <c r="D9086" s="198" t="s">
        <v>50405</v>
      </c>
      <c r="E9086" s="198">
        <v>17</v>
      </c>
      <c r="F9086" s="199" t="s">
        <v>50406</v>
      </c>
      <c r="G9086" s="1" t="s">
        <v>50407</v>
      </c>
      <c r="H9086" s="200"/>
      <c r="I9086" s="346"/>
      <c r="J9086" s="39">
        <v>112741</v>
      </c>
      <c r="K9086" s="36" t="str">
        <f>CONCATENATE(Cover!$D$6,"fdd/view?i=",J9086)</f>
        <v>https://www.dgiwg.org/FAD/fdd/view?i=112741</v>
      </c>
      <c r="L9086" s="36" t="s">
        <v>50408</v>
      </c>
      <c r="M9086" s="186"/>
      <c r="N9086" s="186"/>
      <c r="O9086" s="172"/>
    </row>
    <row r="9087" spans="1:15" ht="51" x14ac:dyDescent="0.2">
      <c r="A9087" s="197" t="str">
        <f t="shared" si="141"/>
        <v>CpaCode_triangulationPoint</v>
      </c>
      <c r="B9087" s="409"/>
      <c r="C9087" s="416"/>
      <c r="D9087" s="198" t="s">
        <v>50409</v>
      </c>
      <c r="E9087" s="198">
        <v>12</v>
      </c>
      <c r="F9087" s="199" t="s">
        <v>50410</v>
      </c>
      <c r="G9087" s="1" t="s">
        <v>50411</v>
      </c>
      <c r="H9087" s="1" t="s">
        <v>50412</v>
      </c>
      <c r="I9087" s="351" t="s">
        <v>50413</v>
      </c>
      <c r="J9087" s="39">
        <v>103216</v>
      </c>
      <c r="K9087" s="36" t="str">
        <f>CONCATENATE(Cover!$D$6,"fdd/view?i=",J9087)</f>
        <v>https://www.dgiwg.org/FAD/fdd/view?i=103216</v>
      </c>
      <c r="L9087" s="36" t="s">
        <v>50414</v>
      </c>
      <c r="M9087" s="186"/>
      <c r="N9087" s="186"/>
      <c r="O9087" s="172"/>
    </row>
    <row r="9088" spans="1:15" ht="38.25" x14ac:dyDescent="0.2">
      <c r="A9088" s="197" t="str">
        <f t="shared" si="141"/>
        <v>CpaCode_verticalMainStation</v>
      </c>
      <c r="B9088" s="409"/>
      <c r="C9088" s="416"/>
      <c r="D9088" s="198" t="s">
        <v>50415</v>
      </c>
      <c r="E9088" s="198">
        <v>10</v>
      </c>
      <c r="F9088" s="199" t="s">
        <v>50416</v>
      </c>
      <c r="G9088" s="1" t="s">
        <v>50417</v>
      </c>
      <c r="H9088" s="200"/>
      <c r="I9088" s="346"/>
      <c r="J9088" s="39">
        <v>103214</v>
      </c>
      <c r="K9088" s="36" t="str">
        <f>CONCATENATE(Cover!$D$6,"fdd/view?i=",J9088)</f>
        <v>https://www.dgiwg.org/FAD/fdd/view?i=103214</v>
      </c>
      <c r="L9088" s="36" t="s">
        <v>50418</v>
      </c>
      <c r="M9088" s="186"/>
      <c r="N9088" s="186"/>
      <c r="O9088" s="172"/>
    </row>
    <row r="9089" spans="1:15" ht="25.5" x14ac:dyDescent="0.2">
      <c r="A9089" s="197" t="str">
        <f t="shared" si="141"/>
        <v>CpaCode_verticalPosition</v>
      </c>
      <c r="B9089" s="409"/>
      <c r="C9089" s="416"/>
      <c r="D9089" s="198" t="s">
        <v>50419</v>
      </c>
      <c r="E9089" s="198">
        <v>5</v>
      </c>
      <c r="F9089" s="199" t="s">
        <v>50420</v>
      </c>
      <c r="G9089" s="1" t="s">
        <v>50421</v>
      </c>
      <c r="H9089" s="200"/>
      <c r="I9089" s="346"/>
      <c r="J9089" s="39">
        <v>103209</v>
      </c>
      <c r="K9089" s="36" t="str">
        <f>CONCATENATE(Cover!$D$6,"fdd/view?i=",J9089)</f>
        <v>https://www.dgiwg.org/FAD/fdd/view?i=103209</v>
      </c>
      <c r="L9089" s="36" t="s">
        <v>50422</v>
      </c>
      <c r="M9089" s="186"/>
      <c r="N9089" s="186"/>
      <c r="O9089" s="172"/>
    </row>
    <row r="9090" spans="1:15" ht="51" x14ac:dyDescent="0.2">
      <c r="A9090" s="203" t="str">
        <f t="shared" ref="A9090:A9153" si="142">HYPERLINK(K9090,L9090)</f>
        <v>CpaCode_verticalSecStation</v>
      </c>
      <c r="B9090" s="410"/>
      <c r="C9090" s="417"/>
      <c r="D9090" s="204" t="s">
        <v>50423</v>
      </c>
      <c r="E9090" s="204">
        <v>11</v>
      </c>
      <c r="F9090" s="205" t="s">
        <v>50424</v>
      </c>
      <c r="G9090" s="206" t="s">
        <v>50425</v>
      </c>
      <c r="H9090" s="207"/>
      <c r="I9090" s="347"/>
      <c r="J9090" s="39">
        <v>103215</v>
      </c>
      <c r="K9090" s="36" t="str">
        <f>CONCATENATE(Cover!$D$6,"fdd/view?i=",J9090)</f>
        <v>https://www.dgiwg.org/FAD/fdd/view?i=103215</v>
      </c>
      <c r="L9090" s="36" t="s">
        <v>50426</v>
      </c>
      <c r="M9090" s="186"/>
      <c r="N9090" s="186"/>
      <c r="O9090" s="172"/>
    </row>
    <row r="9091" spans="1:15" ht="25.5" x14ac:dyDescent="0.2">
      <c r="A9091" s="190" t="str">
        <f t="shared" si="142"/>
        <v>SurCode_inadequatelySurveyed</v>
      </c>
      <c r="B9091" s="414" t="str">
        <f>HYPERLINK("[#]Datatypes!A1484:L1484","SurCode")</f>
        <v>SurCode</v>
      </c>
      <c r="C9091" s="415" t="s">
        <v>16110</v>
      </c>
      <c r="D9091" s="221" t="s">
        <v>50427</v>
      </c>
      <c r="E9091" s="221">
        <v>2</v>
      </c>
      <c r="F9091" s="222" t="s">
        <v>50428</v>
      </c>
      <c r="G9091" s="223" t="s">
        <v>50429</v>
      </c>
      <c r="H9091" s="224"/>
      <c r="I9091" s="345"/>
      <c r="J9091" s="39">
        <v>108360</v>
      </c>
      <c r="K9091" s="36" t="str">
        <f>CONCATENATE(Cover!$D$6,"fdd/view?i=",J9091)</f>
        <v>https://www.dgiwg.org/FAD/fdd/view?i=108360</v>
      </c>
      <c r="L9091" s="36" t="s">
        <v>50430</v>
      </c>
      <c r="M9091" s="186"/>
      <c r="N9091" s="186"/>
      <c r="O9091" s="172"/>
    </row>
    <row r="9092" spans="1:15" ht="25.5" x14ac:dyDescent="0.2">
      <c r="A9092" s="197" t="str">
        <f t="shared" si="142"/>
        <v>SurCode_surveyed</v>
      </c>
      <c r="B9092" s="409"/>
      <c r="C9092" s="416"/>
      <c r="D9092" s="198" t="s">
        <v>50431</v>
      </c>
      <c r="E9092" s="198">
        <v>1</v>
      </c>
      <c r="F9092" s="199" t="s">
        <v>50432</v>
      </c>
      <c r="G9092" s="1" t="s">
        <v>50433</v>
      </c>
      <c r="H9092" s="1" t="s">
        <v>50434</v>
      </c>
      <c r="I9092" s="346"/>
      <c r="J9092" s="39">
        <v>108359</v>
      </c>
      <c r="K9092" s="36" t="str">
        <f>CONCATENATE(Cover!$D$6,"fdd/view?i=",J9092)</f>
        <v>https://www.dgiwg.org/FAD/fdd/view?i=108359</v>
      </c>
      <c r="L9092" s="36" t="s">
        <v>50435</v>
      </c>
      <c r="M9092" s="186"/>
      <c r="N9092" s="186"/>
      <c r="O9092" s="172"/>
    </row>
    <row r="9093" spans="1:15" ht="25.5" x14ac:dyDescent="0.2">
      <c r="A9093" s="203" t="str">
        <f t="shared" si="142"/>
        <v>SurCode_unsurveyed</v>
      </c>
      <c r="B9093" s="410"/>
      <c r="C9093" s="417"/>
      <c r="D9093" s="204" t="s">
        <v>50436</v>
      </c>
      <c r="E9093" s="204">
        <v>3</v>
      </c>
      <c r="F9093" s="205" t="s">
        <v>50437</v>
      </c>
      <c r="G9093" s="206" t="s">
        <v>50438</v>
      </c>
      <c r="H9093" s="207"/>
      <c r="I9093" s="347"/>
      <c r="J9093" s="39">
        <v>108361</v>
      </c>
      <c r="K9093" s="36" t="str">
        <f>CONCATENATE(Cover!$D$6,"fdd/view?i=",J9093)</f>
        <v>https://www.dgiwg.org/FAD/fdd/view?i=108361</v>
      </c>
      <c r="L9093" s="36" t="s">
        <v>50439</v>
      </c>
      <c r="M9093" s="186"/>
      <c r="N9093" s="186"/>
      <c r="O9093" s="172"/>
    </row>
    <row r="9094" spans="1:15" ht="38.25" x14ac:dyDescent="0.2">
      <c r="A9094" s="190" t="str">
        <f t="shared" si="142"/>
        <v>SumCode_marked</v>
      </c>
      <c r="B9094" s="414" t="str">
        <f>HYPERLINK("[#]Datatypes!A1488:L1488","SumCode")</f>
        <v>SumCode</v>
      </c>
      <c r="C9094" s="415" t="s">
        <v>16114</v>
      </c>
      <c r="D9094" s="221" t="s">
        <v>50440</v>
      </c>
      <c r="E9094" s="221">
        <v>1</v>
      </c>
      <c r="F9094" s="222" t="s">
        <v>50441</v>
      </c>
      <c r="G9094" s="223" t="s">
        <v>50442</v>
      </c>
      <c r="H9094" s="223" t="s">
        <v>50443</v>
      </c>
      <c r="I9094" s="345"/>
      <c r="J9094" s="39">
        <v>119824</v>
      </c>
      <c r="K9094" s="36" t="str">
        <f>CONCATENATE(Cover!$D$6,"fdd/view?i=",J9094)</f>
        <v>https://www.dgiwg.org/FAD/fdd/view?i=119824</v>
      </c>
      <c r="L9094" s="36" t="s">
        <v>50444</v>
      </c>
      <c r="M9094" s="186"/>
      <c r="N9094" s="186"/>
      <c r="O9094" s="172"/>
    </row>
    <row r="9095" spans="1:15" ht="25.5" x14ac:dyDescent="0.2">
      <c r="A9095" s="197" t="str">
        <f t="shared" si="142"/>
        <v>SumCode_unmarkedAndUnrecoverable</v>
      </c>
      <c r="B9095" s="409"/>
      <c r="C9095" s="416"/>
      <c r="D9095" s="198" t="s">
        <v>50445</v>
      </c>
      <c r="E9095" s="198">
        <v>3</v>
      </c>
      <c r="F9095" s="199" t="s">
        <v>50446</v>
      </c>
      <c r="G9095" s="1" t="s">
        <v>50447</v>
      </c>
      <c r="H9095" s="1" t="s">
        <v>50448</v>
      </c>
      <c r="I9095" s="346"/>
      <c r="J9095" s="39">
        <v>119826</v>
      </c>
      <c r="K9095" s="36" t="str">
        <f>CONCATENATE(Cover!$D$6,"fdd/view?i=",J9095)</f>
        <v>https://www.dgiwg.org/FAD/fdd/view?i=119826</v>
      </c>
      <c r="L9095" s="36" t="s">
        <v>50449</v>
      </c>
      <c r="M9095" s="186"/>
      <c r="N9095" s="186"/>
      <c r="O9095" s="172"/>
    </row>
    <row r="9096" spans="1:15" ht="25.5" x14ac:dyDescent="0.2">
      <c r="A9096" s="203" t="str">
        <f t="shared" si="142"/>
        <v>SumCode_unmarkedButRecoverable</v>
      </c>
      <c r="B9096" s="410"/>
      <c r="C9096" s="417"/>
      <c r="D9096" s="204" t="s">
        <v>50450</v>
      </c>
      <c r="E9096" s="204">
        <v>2</v>
      </c>
      <c r="F9096" s="205" t="s">
        <v>50451</v>
      </c>
      <c r="G9096" s="206" t="s">
        <v>50452</v>
      </c>
      <c r="H9096" s="206" t="s">
        <v>50453</v>
      </c>
      <c r="I9096" s="347"/>
      <c r="J9096" s="39">
        <v>119825</v>
      </c>
      <c r="K9096" s="36" t="str">
        <f>CONCATENATE(Cover!$D$6,"fdd/view?i=",J9096)</f>
        <v>https://www.dgiwg.org/FAD/fdd/view?i=119825</v>
      </c>
      <c r="L9096" s="36" t="s">
        <v>50454</v>
      </c>
      <c r="M9096" s="186"/>
      <c r="N9096" s="186"/>
      <c r="O9096" s="172"/>
    </row>
    <row r="9097" spans="1:15" ht="25.5" x14ac:dyDescent="0.2">
      <c r="A9097" s="190" t="str">
        <f t="shared" si="142"/>
        <v>SuyCode_astronomicPosition</v>
      </c>
      <c r="B9097" s="414" t="str">
        <f>HYPERLINK("[#]Datatypes!A1490:L1490","SuyCode")</f>
        <v>SuyCode</v>
      </c>
      <c r="C9097" s="415" t="s">
        <v>16116</v>
      </c>
      <c r="D9097" s="221" t="s">
        <v>50375</v>
      </c>
      <c r="E9097" s="221">
        <v>1</v>
      </c>
      <c r="F9097" s="222" t="s">
        <v>50376</v>
      </c>
      <c r="G9097" s="223" t="s">
        <v>50377</v>
      </c>
      <c r="H9097" s="224"/>
      <c r="I9097" s="345"/>
      <c r="J9097" s="39">
        <v>119827</v>
      </c>
      <c r="K9097" s="36" t="str">
        <f>CONCATENATE(Cover!$D$6,"fdd/view?i=",J9097)</f>
        <v>https://www.dgiwg.org/FAD/fdd/view?i=119827</v>
      </c>
      <c r="L9097" s="36" t="s">
        <v>50455</v>
      </c>
      <c r="M9097" s="186"/>
      <c r="N9097" s="186"/>
      <c r="O9097" s="172"/>
    </row>
    <row r="9098" spans="1:15" ht="25.5" x14ac:dyDescent="0.2">
      <c r="A9098" s="197" t="str">
        <f t="shared" si="142"/>
        <v>SuyCode_benchmark</v>
      </c>
      <c r="B9098" s="409"/>
      <c r="C9098" s="416"/>
      <c r="D9098" s="198" t="s">
        <v>50379</v>
      </c>
      <c r="E9098" s="198">
        <v>2</v>
      </c>
      <c r="F9098" s="199" t="s">
        <v>2247</v>
      </c>
      <c r="G9098" s="1" t="s">
        <v>50456</v>
      </c>
      <c r="H9098" s="200"/>
      <c r="I9098" s="346"/>
      <c r="J9098" s="39">
        <v>119828</v>
      </c>
      <c r="K9098" s="36" t="str">
        <f>CONCATENATE(Cover!$D$6,"fdd/view?i=",J9098)</f>
        <v>https://www.dgiwg.org/FAD/fdd/view?i=119828</v>
      </c>
      <c r="L9098" s="36" t="s">
        <v>50457</v>
      </c>
      <c r="M9098" s="186"/>
      <c r="N9098" s="186"/>
      <c r="O9098" s="172"/>
    </row>
    <row r="9099" spans="1:15" ht="38.25" x14ac:dyDescent="0.2">
      <c r="A9099" s="197" t="str">
        <f t="shared" si="142"/>
        <v>SuyCode_cadastralControlPoint</v>
      </c>
      <c r="B9099" s="409"/>
      <c r="C9099" s="416"/>
      <c r="D9099" s="198" t="s">
        <v>50458</v>
      </c>
      <c r="E9099" s="198">
        <v>3</v>
      </c>
      <c r="F9099" s="199" t="s">
        <v>2392</v>
      </c>
      <c r="G9099" s="1" t="s">
        <v>50459</v>
      </c>
      <c r="H9099" s="1" t="s">
        <v>50460</v>
      </c>
      <c r="I9099" s="346"/>
      <c r="J9099" s="39">
        <v>119829</v>
      </c>
      <c r="K9099" s="36" t="str">
        <f>CONCATENATE(Cover!$D$6,"fdd/view?i=",J9099)</f>
        <v>https://www.dgiwg.org/FAD/fdd/view?i=119829</v>
      </c>
      <c r="L9099" s="36" t="s">
        <v>50461</v>
      </c>
      <c r="M9099" s="186"/>
      <c r="N9099" s="186"/>
      <c r="O9099" s="172"/>
    </row>
    <row r="9100" spans="1:15" ht="38.25" x14ac:dyDescent="0.2">
      <c r="A9100" s="197" t="str">
        <f t="shared" si="142"/>
        <v>SuyCode_cameraStation</v>
      </c>
      <c r="B9100" s="409"/>
      <c r="C9100" s="416"/>
      <c r="D9100" s="198" t="s">
        <v>50462</v>
      </c>
      <c r="E9100" s="198">
        <v>4</v>
      </c>
      <c r="F9100" s="199" t="s">
        <v>50463</v>
      </c>
      <c r="G9100" s="1" t="s">
        <v>50464</v>
      </c>
      <c r="H9100" s="1" t="s">
        <v>50465</v>
      </c>
      <c r="I9100" s="346"/>
      <c r="J9100" s="39">
        <v>119830</v>
      </c>
      <c r="K9100" s="36" t="str">
        <f>CONCATENATE(Cover!$D$6,"fdd/view?i=",J9100)</f>
        <v>https://www.dgiwg.org/FAD/fdd/view?i=119830</v>
      </c>
      <c r="L9100" s="36" t="s">
        <v>50466</v>
      </c>
      <c r="M9100" s="186"/>
      <c r="N9100" s="186"/>
      <c r="O9100" s="172"/>
    </row>
    <row r="9101" spans="1:15" ht="63.75" x14ac:dyDescent="0.2">
      <c r="A9101" s="197" t="str">
        <f t="shared" si="142"/>
        <v>SuyCode_geodeticPoint</v>
      </c>
      <c r="B9101" s="409"/>
      <c r="C9101" s="416"/>
      <c r="D9101" s="198" t="s">
        <v>50467</v>
      </c>
      <c r="E9101" s="198">
        <v>5</v>
      </c>
      <c r="F9101" s="199" t="s">
        <v>3266</v>
      </c>
      <c r="G9101" s="1" t="s">
        <v>50468</v>
      </c>
      <c r="H9101" s="1" t="s">
        <v>50469</v>
      </c>
      <c r="I9101" s="346"/>
      <c r="J9101" s="39">
        <v>119831</v>
      </c>
      <c r="K9101" s="36" t="str">
        <f>CONCATENATE(Cover!$D$6,"fdd/view?i=",J9101)</f>
        <v>https://www.dgiwg.org/FAD/fdd/view?i=119831</v>
      </c>
      <c r="L9101" s="36" t="s">
        <v>50470</v>
      </c>
      <c r="M9101" s="186"/>
      <c r="N9101" s="186"/>
      <c r="O9101" s="172"/>
    </row>
    <row r="9102" spans="1:15" ht="25.5" x14ac:dyDescent="0.2">
      <c r="A9102" s="197" t="str">
        <f t="shared" si="142"/>
        <v>SuyCode_gravityPoint</v>
      </c>
      <c r="B9102" s="409"/>
      <c r="C9102" s="416"/>
      <c r="D9102" s="198" t="s">
        <v>50471</v>
      </c>
      <c r="E9102" s="198">
        <v>6</v>
      </c>
      <c r="F9102" s="199" t="s">
        <v>50472</v>
      </c>
      <c r="G9102" s="1" t="s">
        <v>50473</v>
      </c>
      <c r="H9102" s="200"/>
      <c r="I9102" s="346"/>
      <c r="J9102" s="39">
        <v>119832</v>
      </c>
      <c r="K9102" s="36" t="str">
        <f>CONCATENATE(Cover!$D$6,"fdd/view?i=",J9102)</f>
        <v>https://www.dgiwg.org/FAD/fdd/view?i=119832</v>
      </c>
      <c r="L9102" s="36" t="s">
        <v>50474</v>
      </c>
      <c r="M9102" s="186"/>
      <c r="N9102" s="186"/>
      <c r="O9102" s="172"/>
    </row>
    <row r="9103" spans="1:15" ht="38.25" x14ac:dyDescent="0.2">
      <c r="A9103" s="197" t="str">
        <f t="shared" si="142"/>
        <v>SuyCode_magneticStation</v>
      </c>
      <c r="B9103" s="409"/>
      <c r="C9103" s="416"/>
      <c r="D9103" s="198" t="s">
        <v>50475</v>
      </c>
      <c r="E9103" s="198">
        <v>7</v>
      </c>
      <c r="F9103" s="199" t="s">
        <v>3952</v>
      </c>
      <c r="G9103" s="1" t="s">
        <v>50476</v>
      </c>
      <c r="H9103" s="200"/>
      <c r="I9103" s="346"/>
      <c r="J9103" s="39">
        <v>119833</v>
      </c>
      <c r="K9103" s="36" t="str">
        <f>CONCATENATE(Cover!$D$6,"fdd/view?i=",J9103)</f>
        <v>https://www.dgiwg.org/FAD/fdd/view?i=119833</v>
      </c>
      <c r="L9103" s="36" t="s">
        <v>50477</v>
      </c>
      <c r="M9103" s="186"/>
      <c r="N9103" s="186"/>
      <c r="O9103" s="172"/>
    </row>
    <row r="9104" spans="1:15" ht="25.5" x14ac:dyDescent="0.2">
      <c r="A9104" s="197" t="str">
        <f t="shared" si="142"/>
        <v>SuyCode_theodoliteStation</v>
      </c>
      <c r="B9104" s="409"/>
      <c r="C9104" s="416"/>
      <c r="D9104" s="198" t="s">
        <v>50478</v>
      </c>
      <c r="E9104" s="198">
        <v>8</v>
      </c>
      <c r="F9104" s="199" t="s">
        <v>50479</v>
      </c>
      <c r="G9104" s="1" t="s">
        <v>50480</v>
      </c>
      <c r="H9104" s="200"/>
      <c r="I9104" s="346"/>
      <c r="J9104" s="39">
        <v>119834</v>
      </c>
      <c r="K9104" s="36" t="str">
        <f>CONCATENATE(Cover!$D$6,"fdd/view?i=",J9104)</f>
        <v>https://www.dgiwg.org/FAD/fdd/view?i=119834</v>
      </c>
      <c r="L9104" s="36" t="s">
        <v>50481</v>
      </c>
      <c r="M9104" s="186"/>
      <c r="N9104" s="186"/>
      <c r="O9104" s="172"/>
    </row>
    <row r="9105" spans="1:15" ht="38.25" x14ac:dyDescent="0.2">
      <c r="A9105" s="197" t="str">
        <f t="shared" si="142"/>
        <v>SuyCode_tidalBenchmark</v>
      </c>
      <c r="B9105" s="409"/>
      <c r="C9105" s="416"/>
      <c r="D9105" s="198" t="s">
        <v>50405</v>
      </c>
      <c r="E9105" s="198">
        <v>9</v>
      </c>
      <c r="F9105" s="199" t="s">
        <v>50406</v>
      </c>
      <c r="G9105" s="1" t="s">
        <v>50407</v>
      </c>
      <c r="H9105" s="200"/>
      <c r="I9105" s="346"/>
      <c r="J9105" s="39">
        <v>119835</v>
      </c>
      <c r="K9105" s="36" t="str">
        <f>CONCATENATE(Cover!$D$6,"fdd/view?i=",J9105)</f>
        <v>https://www.dgiwg.org/FAD/fdd/view?i=119835</v>
      </c>
      <c r="L9105" s="36" t="s">
        <v>50482</v>
      </c>
      <c r="M9105" s="186"/>
      <c r="N9105" s="186"/>
      <c r="O9105" s="172"/>
    </row>
    <row r="9106" spans="1:15" ht="25.5" x14ac:dyDescent="0.2">
      <c r="A9106" s="203" t="str">
        <f t="shared" si="142"/>
        <v>SuyCode_transitStation</v>
      </c>
      <c r="B9106" s="410"/>
      <c r="C9106" s="417"/>
      <c r="D9106" s="204" t="s">
        <v>50483</v>
      </c>
      <c r="E9106" s="204">
        <v>10</v>
      </c>
      <c r="F9106" s="205" t="s">
        <v>50484</v>
      </c>
      <c r="G9106" s="206" t="s">
        <v>50485</v>
      </c>
      <c r="H9106" s="207"/>
      <c r="I9106" s="347"/>
      <c r="J9106" s="39">
        <v>119836</v>
      </c>
      <c r="K9106" s="36" t="str">
        <f>CONCATENATE(Cover!$D$6,"fdd/view?i=",J9106)</f>
        <v>https://www.dgiwg.org/FAD/fdd/view?i=119836</v>
      </c>
      <c r="L9106" s="36" t="s">
        <v>50486</v>
      </c>
      <c r="M9106" s="186"/>
      <c r="N9106" s="186"/>
      <c r="O9106" s="172"/>
    </row>
    <row r="9107" spans="1:15" ht="38.25" x14ac:dyDescent="0.2">
      <c r="A9107" s="190" t="str">
        <f t="shared" si="142"/>
        <v>SuhCode_astronomicAzimuth</v>
      </c>
      <c r="B9107" s="414" t="str">
        <f>HYPERLINK("[#]Datatypes!A1492:L1492","SuhCode")</f>
        <v>SuhCode</v>
      </c>
      <c r="C9107" s="415" t="s">
        <v>16118</v>
      </c>
      <c r="D9107" s="221" t="s">
        <v>50487</v>
      </c>
      <c r="E9107" s="221">
        <v>1</v>
      </c>
      <c r="F9107" s="222" t="s">
        <v>50488</v>
      </c>
      <c r="G9107" s="223" t="s">
        <v>50489</v>
      </c>
      <c r="H9107" s="223" t="s">
        <v>50490</v>
      </c>
      <c r="I9107" s="345"/>
      <c r="J9107" s="39">
        <v>119901</v>
      </c>
      <c r="K9107" s="36" t="str">
        <f>CONCATENATE(Cover!$D$6,"fdd/view?i=",J9107)</f>
        <v>https://www.dgiwg.org/FAD/fdd/view?i=119901</v>
      </c>
      <c r="L9107" s="36" t="s">
        <v>50491</v>
      </c>
      <c r="M9107" s="186"/>
      <c r="N9107" s="186"/>
      <c r="O9107" s="172"/>
    </row>
    <row r="9108" spans="1:15" ht="38.25" x14ac:dyDescent="0.2">
      <c r="A9108" s="197" t="str">
        <f t="shared" si="142"/>
        <v>SuhCode_astronomicPosition</v>
      </c>
      <c r="B9108" s="409"/>
      <c r="C9108" s="416"/>
      <c r="D9108" s="198" t="s">
        <v>50375</v>
      </c>
      <c r="E9108" s="198">
        <v>2</v>
      </c>
      <c r="F9108" s="199" t="s">
        <v>50376</v>
      </c>
      <c r="G9108" s="1" t="s">
        <v>50492</v>
      </c>
      <c r="H9108" s="1" t="s">
        <v>50493</v>
      </c>
      <c r="I9108" s="346"/>
      <c r="J9108" s="39">
        <v>119902</v>
      </c>
      <c r="K9108" s="36" t="str">
        <f>CONCATENATE(Cover!$D$6,"fdd/view?i=",J9108)</f>
        <v>https://www.dgiwg.org/FAD/fdd/view?i=119902</v>
      </c>
      <c r="L9108" s="36" t="s">
        <v>50494</v>
      </c>
      <c r="M9108" s="186"/>
      <c r="N9108" s="186"/>
      <c r="O9108" s="172"/>
    </row>
    <row r="9109" spans="1:15" ht="25.5" x14ac:dyDescent="0.2">
      <c r="A9109" s="197" t="str">
        <f t="shared" si="142"/>
        <v>SuhCode_calculated</v>
      </c>
      <c r="B9109" s="409"/>
      <c r="C9109" s="416"/>
      <c r="D9109" s="198" t="s">
        <v>42968</v>
      </c>
      <c r="E9109" s="198">
        <v>3</v>
      </c>
      <c r="F9109" s="199" t="s">
        <v>42969</v>
      </c>
      <c r="G9109" s="1" t="s">
        <v>50495</v>
      </c>
      <c r="H9109" s="200"/>
      <c r="I9109" s="346"/>
      <c r="J9109" s="39">
        <v>119903</v>
      </c>
      <c r="K9109" s="36" t="str">
        <f>CONCATENATE(Cover!$D$6,"fdd/view?i=",J9109)</f>
        <v>https://www.dgiwg.org/FAD/fdd/view?i=119903</v>
      </c>
      <c r="L9109" s="36" t="s">
        <v>50496</v>
      </c>
      <c r="M9109" s="186"/>
      <c r="N9109" s="186"/>
      <c r="O9109" s="172"/>
    </row>
    <row r="9110" spans="1:15" ht="51" x14ac:dyDescent="0.2">
      <c r="A9110" s="197" t="str">
        <f t="shared" si="142"/>
        <v>SuhCode_doppler</v>
      </c>
      <c r="B9110" s="409"/>
      <c r="C9110" s="416"/>
      <c r="D9110" s="198" t="s">
        <v>50497</v>
      </c>
      <c r="E9110" s="198">
        <v>4</v>
      </c>
      <c r="F9110" s="199" t="s">
        <v>50498</v>
      </c>
      <c r="G9110" s="1" t="s">
        <v>50499</v>
      </c>
      <c r="H9110" s="200"/>
      <c r="I9110" s="346"/>
      <c r="J9110" s="39">
        <v>119904</v>
      </c>
      <c r="K9110" s="36" t="str">
        <f>CONCATENATE(Cover!$D$6,"fdd/view?i=",J9110)</f>
        <v>https://www.dgiwg.org/FAD/fdd/view?i=119904</v>
      </c>
      <c r="L9110" s="36" t="s">
        <v>50500</v>
      </c>
      <c r="M9110" s="186"/>
      <c r="N9110" s="186"/>
      <c r="O9110" s="172"/>
    </row>
    <row r="9111" spans="1:15" ht="63.75" x14ac:dyDescent="0.2">
      <c r="A9111" s="197" t="str">
        <f t="shared" si="142"/>
        <v>SuhCode_gnssAbsolute</v>
      </c>
      <c r="B9111" s="409"/>
      <c r="C9111" s="416"/>
      <c r="D9111" s="198" t="s">
        <v>50501</v>
      </c>
      <c r="E9111" s="198">
        <v>5</v>
      </c>
      <c r="F9111" s="199" t="s">
        <v>50502</v>
      </c>
      <c r="G9111" s="1" t="s">
        <v>50503</v>
      </c>
      <c r="H9111" s="1" t="s">
        <v>50504</v>
      </c>
      <c r="I9111" s="346"/>
      <c r="J9111" s="39">
        <v>119905</v>
      </c>
      <c r="K9111" s="36" t="str">
        <f>CONCATENATE(Cover!$D$6,"fdd/view?i=",J9111)</f>
        <v>https://www.dgiwg.org/FAD/fdd/view?i=119905</v>
      </c>
      <c r="L9111" s="36" t="s">
        <v>50505</v>
      </c>
      <c r="M9111" s="186"/>
      <c r="N9111" s="186"/>
      <c r="O9111" s="172"/>
    </row>
    <row r="9112" spans="1:15" ht="38.25" x14ac:dyDescent="0.2">
      <c r="A9112" s="197" t="str">
        <f t="shared" si="142"/>
        <v>SuhCode_gnssClassical</v>
      </c>
      <c r="B9112" s="409"/>
      <c r="C9112" s="416"/>
      <c r="D9112" s="198" t="s">
        <v>50506</v>
      </c>
      <c r="E9112" s="198">
        <v>11</v>
      </c>
      <c r="F9112" s="199" t="s">
        <v>50507</v>
      </c>
      <c r="G9112" s="1" t="s">
        <v>50508</v>
      </c>
      <c r="H9112" s="200"/>
      <c r="I9112" s="346"/>
      <c r="J9112" s="39">
        <v>119911</v>
      </c>
      <c r="K9112" s="36" t="str">
        <f>CONCATENATE(Cover!$D$6,"fdd/view?i=",J9112)</f>
        <v>https://www.dgiwg.org/FAD/fdd/view?i=119911</v>
      </c>
      <c r="L9112" s="36" t="s">
        <v>50509</v>
      </c>
      <c r="M9112" s="186"/>
      <c r="N9112" s="186"/>
      <c r="O9112" s="172"/>
    </row>
    <row r="9113" spans="1:15" ht="114.75" x14ac:dyDescent="0.2">
      <c r="A9113" s="197" t="str">
        <f t="shared" si="142"/>
        <v>SuhCode_gnssKinematic</v>
      </c>
      <c r="B9113" s="409"/>
      <c r="C9113" s="416"/>
      <c r="D9113" s="198" t="s">
        <v>50510</v>
      </c>
      <c r="E9113" s="198">
        <v>8</v>
      </c>
      <c r="F9113" s="199" t="s">
        <v>50511</v>
      </c>
      <c r="G9113" s="1" t="s">
        <v>50512</v>
      </c>
      <c r="H9113" s="1" t="s">
        <v>50513</v>
      </c>
      <c r="I9113" s="346"/>
      <c r="J9113" s="39">
        <v>119908</v>
      </c>
      <c r="K9113" s="36" t="str">
        <f>CONCATENATE(Cover!$D$6,"fdd/view?i=",J9113)</f>
        <v>https://www.dgiwg.org/FAD/fdd/view?i=119908</v>
      </c>
      <c r="L9113" s="36" t="s">
        <v>50514</v>
      </c>
      <c r="M9113" s="186"/>
      <c r="N9113" s="186"/>
      <c r="O9113" s="172"/>
    </row>
    <row r="9114" spans="1:15" ht="63.75" x14ac:dyDescent="0.2">
      <c r="A9114" s="197" t="str">
        <f t="shared" si="142"/>
        <v>SuhCode_gnssRapidStatic</v>
      </c>
      <c r="B9114" s="409"/>
      <c r="C9114" s="416"/>
      <c r="D9114" s="198" t="s">
        <v>50515</v>
      </c>
      <c r="E9114" s="198">
        <v>7</v>
      </c>
      <c r="F9114" s="199" t="s">
        <v>50516</v>
      </c>
      <c r="G9114" s="1" t="s">
        <v>50517</v>
      </c>
      <c r="H9114" s="1" t="s">
        <v>50518</v>
      </c>
      <c r="I9114" s="346"/>
      <c r="J9114" s="39">
        <v>119907</v>
      </c>
      <c r="K9114" s="36" t="str">
        <f>CONCATENATE(Cover!$D$6,"fdd/view?i=",J9114)</f>
        <v>https://www.dgiwg.org/FAD/fdd/view?i=119907</v>
      </c>
      <c r="L9114" s="36" t="s">
        <v>50519</v>
      </c>
      <c r="M9114" s="186"/>
      <c r="N9114" s="186"/>
      <c r="O9114" s="172"/>
    </row>
    <row r="9115" spans="1:15" ht="102" x14ac:dyDescent="0.2">
      <c r="A9115" s="197" t="str">
        <f t="shared" si="142"/>
        <v>SuhCode_gnssRealTimeKinematic</v>
      </c>
      <c r="B9115" s="409"/>
      <c r="C9115" s="416"/>
      <c r="D9115" s="198" t="s">
        <v>50520</v>
      </c>
      <c r="E9115" s="198">
        <v>9</v>
      </c>
      <c r="F9115" s="199" t="s">
        <v>50521</v>
      </c>
      <c r="G9115" s="1" t="s">
        <v>50522</v>
      </c>
      <c r="H9115" s="1" t="s">
        <v>50523</v>
      </c>
      <c r="I9115" s="346"/>
      <c r="J9115" s="39">
        <v>119909</v>
      </c>
      <c r="K9115" s="36" t="str">
        <f>CONCATENATE(Cover!$D$6,"fdd/view?i=",J9115)</f>
        <v>https://www.dgiwg.org/FAD/fdd/view?i=119909</v>
      </c>
      <c r="L9115" s="36" t="s">
        <v>50524</v>
      </c>
      <c r="M9115" s="186"/>
      <c r="N9115" s="186"/>
      <c r="O9115" s="172"/>
    </row>
    <row r="9116" spans="1:15" ht="76.5" x14ac:dyDescent="0.2">
      <c r="A9116" s="197" t="str">
        <f t="shared" si="142"/>
        <v>SuhCode_gnssRelative</v>
      </c>
      <c r="B9116" s="409"/>
      <c r="C9116" s="416"/>
      <c r="D9116" s="198" t="s">
        <v>50525</v>
      </c>
      <c r="E9116" s="198">
        <v>10</v>
      </c>
      <c r="F9116" s="199" t="s">
        <v>50526</v>
      </c>
      <c r="G9116" s="1" t="s">
        <v>50527</v>
      </c>
      <c r="H9116" s="1" t="s">
        <v>50528</v>
      </c>
      <c r="I9116" s="346"/>
      <c r="J9116" s="39">
        <v>119910</v>
      </c>
      <c r="K9116" s="36" t="str">
        <f>CONCATENATE(Cover!$D$6,"fdd/view?i=",J9116)</f>
        <v>https://www.dgiwg.org/FAD/fdd/view?i=119910</v>
      </c>
      <c r="L9116" s="36" t="s">
        <v>50529</v>
      </c>
      <c r="M9116" s="186"/>
      <c r="N9116" s="186"/>
      <c r="O9116" s="172"/>
    </row>
    <row r="9117" spans="1:15" ht="63.75" x14ac:dyDescent="0.2">
      <c r="A9117" s="197" t="str">
        <f t="shared" si="142"/>
        <v>SuhCode_gnssStatic</v>
      </c>
      <c r="B9117" s="409"/>
      <c r="C9117" s="416"/>
      <c r="D9117" s="198" t="s">
        <v>50530</v>
      </c>
      <c r="E9117" s="198">
        <v>6</v>
      </c>
      <c r="F9117" s="199" t="s">
        <v>50531</v>
      </c>
      <c r="G9117" s="1" t="s">
        <v>50532</v>
      </c>
      <c r="H9117" s="1" t="s">
        <v>50533</v>
      </c>
      <c r="I9117" s="346"/>
      <c r="J9117" s="39">
        <v>119906</v>
      </c>
      <c r="K9117" s="36" t="str">
        <f>CONCATENATE(Cover!$D$6,"fdd/view?i=",J9117)</f>
        <v>https://www.dgiwg.org/FAD/fdd/view?i=119906</v>
      </c>
      <c r="L9117" s="36" t="s">
        <v>50534</v>
      </c>
      <c r="M9117" s="186"/>
      <c r="N9117" s="186"/>
      <c r="O9117" s="172"/>
    </row>
    <row r="9118" spans="1:15" ht="25.5" x14ac:dyDescent="0.2">
      <c r="A9118" s="197" t="str">
        <f t="shared" si="142"/>
        <v>SuhCode_gravityAbsolute</v>
      </c>
      <c r="B9118" s="409"/>
      <c r="C9118" s="416"/>
      <c r="D9118" s="198" t="s">
        <v>50535</v>
      </c>
      <c r="E9118" s="198">
        <v>12</v>
      </c>
      <c r="F9118" s="199" t="s">
        <v>50536</v>
      </c>
      <c r="G9118" s="1" t="s">
        <v>50537</v>
      </c>
      <c r="H9118" s="200"/>
      <c r="I9118" s="346"/>
      <c r="J9118" s="39">
        <v>119912</v>
      </c>
      <c r="K9118" s="36" t="str">
        <f>CONCATENATE(Cover!$D$6,"fdd/view?i=",J9118)</f>
        <v>https://www.dgiwg.org/FAD/fdd/view?i=119912</v>
      </c>
      <c r="L9118" s="36" t="s">
        <v>50538</v>
      </c>
      <c r="M9118" s="186"/>
      <c r="N9118" s="186"/>
      <c r="O9118" s="172"/>
    </row>
    <row r="9119" spans="1:15" ht="38.25" x14ac:dyDescent="0.2">
      <c r="A9119" s="197" t="str">
        <f t="shared" si="142"/>
        <v>SuhCode_gravityExcentric</v>
      </c>
      <c r="B9119" s="409"/>
      <c r="C9119" s="416"/>
      <c r="D9119" s="198" t="s">
        <v>50539</v>
      </c>
      <c r="E9119" s="198">
        <v>13</v>
      </c>
      <c r="F9119" s="199" t="s">
        <v>50540</v>
      </c>
      <c r="G9119" s="1" t="s">
        <v>50541</v>
      </c>
      <c r="H9119" s="200"/>
      <c r="I9119" s="346"/>
      <c r="J9119" s="39">
        <v>119913</v>
      </c>
      <c r="K9119" s="36" t="str">
        <f>CONCATENATE(Cover!$D$6,"fdd/view?i=",J9119)</f>
        <v>https://www.dgiwg.org/FAD/fdd/view?i=119913</v>
      </c>
      <c r="L9119" s="36" t="s">
        <v>50542</v>
      </c>
      <c r="M9119" s="186"/>
      <c r="N9119" s="186"/>
      <c r="O9119" s="172"/>
    </row>
    <row r="9120" spans="1:15" ht="38.25" x14ac:dyDescent="0.2">
      <c r="A9120" s="197" t="str">
        <f t="shared" si="142"/>
        <v>SuhCode_gravityRelative</v>
      </c>
      <c r="B9120" s="409"/>
      <c r="C9120" s="416"/>
      <c r="D9120" s="198" t="s">
        <v>50543</v>
      </c>
      <c r="E9120" s="198">
        <v>14</v>
      </c>
      <c r="F9120" s="199" t="s">
        <v>50544</v>
      </c>
      <c r="G9120" s="1" t="s">
        <v>50545</v>
      </c>
      <c r="H9120" s="200"/>
      <c r="I9120" s="346"/>
      <c r="J9120" s="39">
        <v>119914</v>
      </c>
      <c r="K9120" s="36" t="str">
        <f>CONCATENATE(Cover!$D$6,"fdd/view?i=",J9120)</f>
        <v>https://www.dgiwg.org/FAD/fdd/view?i=119914</v>
      </c>
      <c r="L9120" s="36" t="s">
        <v>50546</v>
      </c>
      <c r="M9120" s="186"/>
      <c r="N9120" s="186"/>
      <c r="O9120" s="172"/>
    </row>
    <row r="9121" spans="1:15" ht="51" x14ac:dyDescent="0.2">
      <c r="A9121" s="197" t="str">
        <f t="shared" si="142"/>
        <v>SuhCode_intersection</v>
      </c>
      <c r="B9121" s="409"/>
      <c r="C9121" s="416"/>
      <c r="D9121" s="198" t="s">
        <v>46408</v>
      </c>
      <c r="E9121" s="198">
        <v>15</v>
      </c>
      <c r="F9121" s="199" t="s">
        <v>46409</v>
      </c>
      <c r="G9121" s="1" t="s">
        <v>50547</v>
      </c>
      <c r="H9121" s="200"/>
      <c r="I9121" s="346"/>
      <c r="J9121" s="39">
        <v>119915</v>
      </c>
      <c r="K9121" s="36" t="str">
        <f>CONCATENATE(Cover!$D$6,"fdd/view?i=",J9121)</f>
        <v>https://www.dgiwg.org/FAD/fdd/view?i=119915</v>
      </c>
      <c r="L9121" s="36" t="s">
        <v>50548</v>
      </c>
      <c r="M9121" s="186"/>
      <c r="N9121" s="186"/>
      <c r="O9121" s="172"/>
    </row>
    <row r="9122" spans="1:15" ht="63.75" x14ac:dyDescent="0.2">
      <c r="A9122" s="197" t="str">
        <f t="shared" si="142"/>
        <v>SuhCode_levelling</v>
      </c>
      <c r="B9122" s="409"/>
      <c r="C9122" s="416"/>
      <c r="D9122" s="198" t="s">
        <v>23729</v>
      </c>
      <c r="E9122" s="198">
        <v>16</v>
      </c>
      <c r="F9122" s="199" t="s">
        <v>23730</v>
      </c>
      <c r="G9122" s="1" t="s">
        <v>50549</v>
      </c>
      <c r="H9122" s="200"/>
      <c r="I9122" s="346"/>
      <c r="J9122" s="39">
        <v>119916</v>
      </c>
      <c r="K9122" s="36" t="str">
        <f>CONCATENATE(Cover!$D$6,"fdd/view?i=",J9122)</f>
        <v>https://www.dgiwg.org/FAD/fdd/view?i=119916</v>
      </c>
      <c r="L9122" s="36" t="s">
        <v>50550</v>
      </c>
      <c r="M9122" s="186"/>
      <c r="N9122" s="186"/>
      <c r="O9122" s="172"/>
    </row>
    <row r="9123" spans="1:15" ht="63.75" x14ac:dyDescent="0.2">
      <c r="A9123" s="197" t="str">
        <f t="shared" si="142"/>
        <v>SuhCode_lightDetectionRanging</v>
      </c>
      <c r="B9123" s="409"/>
      <c r="C9123" s="416"/>
      <c r="D9123" s="198" t="s">
        <v>50551</v>
      </c>
      <c r="E9123" s="198">
        <v>17</v>
      </c>
      <c r="F9123" s="199" t="s">
        <v>50552</v>
      </c>
      <c r="G9123" s="1" t="s">
        <v>50553</v>
      </c>
      <c r="H9123" s="1" t="s">
        <v>50554</v>
      </c>
      <c r="I9123" s="346"/>
      <c r="J9123" s="39">
        <v>119917</v>
      </c>
      <c r="K9123" s="36" t="str">
        <f>CONCATENATE(Cover!$D$6,"fdd/view?i=",J9123)</f>
        <v>https://www.dgiwg.org/FAD/fdd/view?i=119917</v>
      </c>
      <c r="L9123" s="36" t="s">
        <v>50555</v>
      </c>
      <c r="M9123" s="186"/>
      <c r="N9123" s="186"/>
      <c r="O9123" s="172"/>
    </row>
    <row r="9124" spans="1:15" ht="38.25" x14ac:dyDescent="0.2">
      <c r="A9124" s="197" t="str">
        <f t="shared" si="142"/>
        <v>SuhCode_mobileScanning</v>
      </c>
      <c r="B9124" s="409"/>
      <c r="C9124" s="416"/>
      <c r="D9124" s="198" t="s">
        <v>50556</v>
      </c>
      <c r="E9124" s="198">
        <v>18</v>
      </c>
      <c r="F9124" s="199" t="s">
        <v>50557</v>
      </c>
      <c r="G9124" s="1" t="s">
        <v>50558</v>
      </c>
      <c r="H9124" s="1" t="s">
        <v>50559</v>
      </c>
      <c r="I9124" s="346"/>
      <c r="J9124" s="39">
        <v>119918</v>
      </c>
      <c r="K9124" s="36" t="str">
        <f>CONCATENATE(Cover!$D$6,"fdd/view?i=",J9124)</f>
        <v>https://www.dgiwg.org/FAD/fdd/view?i=119918</v>
      </c>
      <c r="L9124" s="36" t="s">
        <v>50560</v>
      </c>
      <c r="M9124" s="186"/>
      <c r="N9124" s="186"/>
      <c r="O9124" s="172"/>
    </row>
    <row r="9125" spans="1:15" ht="38.25" x14ac:dyDescent="0.2">
      <c r="A9125" s="197" t="str">
        <f t="shared" si="142"/>
        <v>SuhCode_resection</v>
      </c>
      <c r="B9125" s="409"/>
      <c r="C9125" s="416"/>
      <c r="D9125" s="198" t="s">
        <v>50561</v>
      </c>
      <c r="E9125" s="198">
        <v>19</v>
      </c>
      <c r="F9125" s="199" t="s">
        <v>50562</v>
      </c>
      <c r="G9125" s="1" t="s">
        <v>50563</v>
      </c>
      <c r="H9125" s="200"/>
      <c r="I9125" s="346"/>
      <c r="J9125" s="39">
        <v>119919</v>
      </c>
      <c r="K9125" s="36" t="str">
        <f>CONCATENATE(Cover!$D$6,"fdd/view?i=",J9125)</f>
        <v>https://www.dgiwg.org/FAD/fdd/view?i=119919</v>
      </c>
      <c r="L9125" s="36" t="s">
        <v>50564</v>
      </c>
      <c r="M9125" s="186"/>
      <c r="N9125" s="186"/>
      <c r="O9125" s="172"/>
    </row>
    <row r="9126" spans="1:15" ht="25.5" x14ac:dyDescent="0.2">
      <c r="A9126" s="197" t="str">
        <f t="shared" si="142"/>
        <v>SuhCode_threeDimenLaserScanning</v>
      </c>
      <c r="B9126" s="409"/>
      <c r="C9126" s="416"/>
      <c r="D9126" s="198" t="s">
        <v>50565</v>
      </c>
      <c r="E9126" s="198">
        <v>20</v>
      </c>
      <c r="F9126" s="199" t="s">
        <v>50566</v>
      </c>
      <c r="G9126" s="1" t="s">
        <v>50567</v>
      </c>
      <c r="H9126" s="1" t="s">
        <v>50568</v>
      </c>
      <c r="I9126" s="346"/>
      <c r="J9126" s="39">
        <v>119920</v>
      </c>
      <c r="K9126" s="36" t="str">
        <f>CONCATENATE(Cover!$D$6,"fdd/view?i=",J9126)</f>
        <v>https://www.dgiwg.org/FAD/fdd/view?i=119920</v>
      </c>
      <c r="L9126" s="36" t="s">
        <v>50569</v>
      </c>
      <c r="M9126" s="186"/>
      <c r="N9126" s="186"/>
      <c r="O9126" s="172"/>
    </row>
    <row r="9127" spans="1:15" ht="63.75" x14ac:dyDescent="0.2">
      <c r="A9127" s="197" t="str">
        <f t="shared" si="142"/>
        <v>SuhCode_triangulation</v>
      </c>
      <c r="B9127" s="409"/>
      <c r="C9127" s="416"/>
      <c r="D9127" s="198" t="s">
        <v>50570</v>
      </c>
      <c r="E9127" s="198">
        <v>21</v>
      </c>
      <c r="F9127" s="199" t="s">
        <v>50571</v>
      </c>
      <c r="G9127" s="1" t="s">
        <v>50572</v>
      </c>
      <c r="H9127" s="1" t="s">
        <v>50573</v>
      </c>
      <c r="I9127" s="346"/>
      <c r="J9127" s="39">
        <v>119921</v>
      </c>
      <c r="K9127" s="36" t="str">
        <f>CONCATENATE(Cover!$D$6,"fdd/view?i=",J9127)</f>
        <v>https://www.dgiwg.org/FAD/fdd/view?i=119921</v>
      </c>
      <c r="L9127" s="36" t="s">
        <v>50574</v>
      </c>
      <c r="M9127" s="186"/>
      <c r="N9127" s="186"/>
      <c r="O9127" s="172"/>
    </row>
    <row r="9128" spans="1:15" ht="63.75" x14ac:dyDescent="0.2">
      <c r="A9128" s="203" t="str">
        <f t="shared" si="142"/>
        <v>SuhCode_trilateration</v>
      </c>
      <c r="B9128" s="410"/>
      <c r="C9128" s="417"/>
      <c r="D9128" s="204" t="s">
        <v>50575</v>
      </c>
      <c r="E9128" s="204">
        <v>22</v>
      </c>
      <c r="F9128" s="205" t="s">
        <v>50576</v>
      </c>
      <c r="G9128" s="206" t="s">
        <v>50577</v>
      </c>
      <c r="H9128" s="206" t="s">
        <v>50578</v>
      </c>
      <c r="I9128" s="347"/>
      <c r="J9128" s="39">
        <v>119922</v>
      </c>
      <c r="K9128" s="36" t="str">
        <f>CONCATENATE(Cover!$D$6,"fdd/view?i=",J9128)</f>
        <v>https://www.dgiwg.org/FAD/fdd/view?i=119922</v>
      </c>
      <c r="L9128" s="36" t="s">
        <v>50579</v>
      </c>
      <c r="M9128" s="186"/>
      <c r="N9128" s="186"/>
      <c r="O9128" s="172"/>
    </row>
    <row r="9129" spans="1:15" ht="38.25" x14ac:dyDescent="0.2">
      <c r="A9129" s="190" t="str">
        <f t="shared" si="142"/>
        <v>SwaCode_basinSwamp</v>
      </c>
      <c r="B9129" s="414" t="str">
        <f>HYPERLINK("[#]Datatypes!A1494:L1494","SwaCode")</f>
        <v>SwaCode</v>
      </c>
      <c r="C9129" s="415" t="s">
        <v>16120</v>
      </c>
      <c r="D9129" s="221" t="s">
        <v>50580</v>
      </c>
      <c r="E9129" s="221">
        <v>2</v>
      </c>
      <c r="F9129" s="222" t="s">
        <v>50581</v>
      </c>
      <c r="G9129" s="223" t="s">
        <v>50582</v>
      </c>
      <c r="H9129" s="223" t="s">
        <v>50583</v>
      </c>
      <c r="I9129" s="345"/>
      <c r="J9129" s="39">
        <v>110550</v>
      </c>
      <c r="K9129" s="36" t="str">
        <f>CONCATENATE(Cover!$D$6,"fdd/view?i=",J9129)</f>
        <v>https://www.dgiwg.org/FAD/fdd/view?i=110550</v>
      </c>
      <c r="L9129" s="36" t="s">
        <v>50584</v>
      </c>
      <c r="M9129" s="186"/>
      <c r="N9129" s="186"/>
      <c r="O9129" s="172"/>
    </row>
    <row r="9130" spans="1:15" ht="25.5" x14ac:dyDescent="0.2">
      <c r="A9130" s="197" t="str">
        <f t="shared" si="142"/>
        <v>SwaCode_mangroveSwamp</v>
      </c>
      <c r="B9130" s="409"/>
      <c r="C9130" s="416"/>
      <c r="D9130" s="198" t="s">
        <v>50585</v>
      </c>
      <c r="E9130" s="198">
        <v>3</v>
      </c>
      <c r="F9130" s="199" t="s">
        <v>3961</v>
      </c>
      <c r="G9130" s="1" t="s">
        <v>3962</v>
      </c>
      <c r="H9130" s="200"/>
      <c r="I9130" s="346"/>
      <c r="J9130" s="39">
        <v>110551</v>
      </c>
      <c r="K9130" s="36" t="str">
        <f>CONCATENATE(Cover!$D$6,"fdd/view?i=",J9130)</f>
        <v>https://www.dgiwg.org/FAD/fdd/view?i=110551</v>
      </c>
      <c r="L9130" s="36" t="s">
        <v>50586</v>
      </c>
      <c r="M9130" s="186"/>
      <c r="N9130" s="186"/>
      <c r="O9130" s="172"/>
    </row>
    <row r="9131" spans="1:15" ht="38.25" x14ac:dyDescent="0.2">
      <c r="A9131" s="203" t="str">
        <f t="shared" si="142"/>
        <v>SwaCode_streamSwamp</v>
      </c>
      <c r="B9131" s="410"/>
      <c r="C9131" s="417"/>
      <c r="D9131" s="204" t="s">
        <v>50587</v>
      </c>
      <c r="E9131" s="204">
        <v>1</v>
      </c>
      <c r="F9131" s="205" t="s">
        <v>50588</v>
      </c>
      <c r="G9131" s="206" t="s">
        <v>50589</v>
      </c>
      <c r="H9131" s="206" t="s">
        <v>50590</v>
      </c>
      <c r="I9131" s="347"/>
      <c r="J9131" s="39">
        <v>110549</v>
      </c>
      <c r="K9131" s="36" t="str">
        <f>CONCATENATE(Cover!$D$6,"fdd/view?i=",J9131)</f>
        <v>https://www.dgiwg.org/FAD/fdd/view?i=110549</v>
      </c>
      <c r="L9131" s="36" t="s">
        <v>50591</v>
      </c>
      <c r="M9131" s="186"/>
      <c r="N9131" s="186"/>
      <c r="O9131" s="172"/>
    </row>
    <row r="9132" spans="1:15" ht="38.25" x14ac:dyDescent="0.2">
      <c r="A9132" s="190" t="str">
        <f t="shared" si="142"/>
        <v>MscCode_afloat</v>
      </c>
      <c r="B9132" s="414" t="str">
        <f>HYPERLINK("[#]Datatypes!A1496:L1496","MscCode")</f>
        <v>MscCode</v>
      </c>
      <c r="C9132" s="415" t="s">
        <v>16122</v>
      </c>
      <c r="D9132" s="221" t="s">
        <v>50592</v>
      </c>
      <c r="E9132" s="221">
        <v>1</v>
      </c>
      <c r="F9132" s="222" t="s">
        <v>50593</v>
      </c>
      <c r="G9132" s="223" t="s">
        <v>50594</v>
      </c>
      <c r="H9132" s="223" t="s">
        <v>50595</v>
      </c>
      <c r="I9132" s="345"/>
      <c r="J9132" s="39">
        <v>105830</v>
      </c>
      <c r="K9132" s="36" t="str">
        <f>CONCATENATE(Cover!$D$6,"fdd/view?i=",J9132)</f>
        <v>https://www.dgiwg.org/FAD/fdd/view?i=105830</v>
      </c>
      <c r="L9132" s="36" t="s">
        <v>50596</v>
      </c>
      <c r="M9132" s="186"/>
      <c r="N9132" s="186"/>
      <c r="O9132" s="172"/>
    </row>
    <row r="9133" spans="1:15" ht="191.25" x14ac:dyDescent="0.2">
      <c r="A9133" s="197" t="str">
        <f t="shared" si="142"/>
        <v>MscCode_countermined</v>
      </c>
      <c r="B9133" s="409"/>
      <c r="C9133" s="416"/>
      <c r="D9133" s="198" t="s">
        <v>50597</v>
      </c>
      <c r="E9133" s="198">
        <v>6</v>
      </c>
      <c r="F9133" s="199" t="s">
        <v>50598</v>
      </c>
      <c r="G9133" s="1" t="s">
        <v>50599</v>
      </c>
      <c r="H9133" s="1" t="s">
        <v>50600</v>
      </c>
      <c r="I9133" s="346"/>
      <c r="J9133" s="39">
        <v>105835</v>
      </c>
      <c r="K9133" s="36" t="str">
        <f>CONCATENATE(Cover!$D$6,"fdd/view?i=",J9133)</f>
        <v>https://www.dgiwg.org/FAD/fdd/view?i=105835</v>
      </c>
      <c r="L9133" s="36" t="s">
        <v>50601</v>
      </c>
      <c r="M9133" s="186"/>
      <c r="N9133" s="186"/>
      <c r="O9133" s="172"/>
    </row>
    <row r="9134" spans="1:15" ht="127.5" x14ac:dyDescent="0.2">
      <c r="A9134" s="197" t="str">
        <f t="shared" si="142"/>
        <v>MscCode_disposed</v>
      </c>
      <c r="B9134" s="409"/>
      <c r="C9134" s="416"/>
      <c r="D9134" s="198" t="s">
        <v>50602</v>
      </c>
      <c r="E9134" s="198">
        <v>3</v>
      </c>
      <c r="F9134" s="199" t="s">
        <v>50603</v>
      </c>
      <c r="G9134" s="1" t="s">
        <v>50604</v>
      </c>
      <c r="H9134" s="1" t="s">
        <v>50605</v>
      </c>
      <c r="I9134" s="346"/>
      <c r="J9134" s="39">
        <v>105832</v>
      </c>
      <c r="K9134" s="36" t="str">
        <f>CONCATENATE(Cover!$D$6,"fdd/view?i=",J9134)</f>
        <v>https://www.dgiwg.org/FAD/fdd/view?i=105832</v>
      </c>
      <c r="L9134" s="36" t="s">
        <v>50606</v>
      </c>
      <c r="M9134" s="186"/>
      <c r="N9134" s="186"/>
      <c r="O9134" s="172"/>
    </row>
    <row r="9135" spans="1:15" ht="51" x14ac:dyDescent="0.2">
      <c r="A9135" s="197" t="str">
        <f t="shared" si="142"/>
        <v>MscCode_exploded</v>
      </c>
      <c r="B9135" s="409"/>
      <c r="C9135" s="416"/>
      <c r="D9135" s="198" t="s">
        <v>50607</v>
      </c>
      <c r="E9135" s="198">
        <v>5</v>
      </c>
      <c r="F9135" s="199" t="s">
        <v>50608</v>
      </c>
      <c r="G9135" s="1" t="s">
        <v>50609</v>
      </c>
      <c r="H9135" s="1" t="s">
        <v>50610</v>
      </c>
      <c r="I9135" s="346"/>
      <c r="J9135" s="39">
        <v>105834</v>
      </c>
      <c r="K9135" s="36" t="str">
        <f>CONCATENATE(Cover!$D$6,"fdd/view?i=",J9135)</f>
        <v>https://www.dgiwg.org/FAD/fdd/view?i=105834</v>
      </c>
      <c r="L9135" s="36" t="s">
        <v>50611</v>
      </c>
      <c r="M9135" s="186"/>
      <c r="N9135" s="186"/>
      <c r="O9135" s="172"/>
    </row>
    <row r="9136" spans="1:15" ht="25.5" x14ac:dyDescent="0.2">
      <c r="A9136" s="197" t="str">
        <f t="shared" si="142"/>
        <v>MscCode_fouled</v>
      </c>
      <c r="B9136" s="409"/>
      <c r="C9136" s="416"/>
      <c r="D9136" s="198" t="s">
        <v>50612</v>
      </c>
      <c r="E9136" s="198">
        <v>4</v>
      </c>
      <c r="F9136" s="199" t="s">
        <v>50613</v>
      </c>
      <c r="G9136" s="1" t="s">
        <v>50614</v>
      </c>
      <c r="H9136" s="1" t="s">
        <v>50615</v>
      </c>
      <c r="I9136" s="346"/>
      <c r="J9136" s="39">
        <v>105833</v>
      </c>
      <c r="K9136" s="36" t="str">
        <f>CONCATENATE(Cover!$D$6,"fdd/view?i=",J9136)</f>
        <v>https://www.dgiwg.org/FAD/fdd/view?i=105833</v>
      </c>
      <c r="L9136" s="36" t="s">
        <v>50616</v>
      </c>
      <c r="M9136" s="186"/>
      <c r="N9136" s="186"/>
      <c r="O9136" s="172"/>
    </row>
    <row r="9137" spans="1:15" ht="153" x14ac:dyDescent="0.2">
      <c r="A9137" s="197" t="str">
        <f t="shared" si="142"/>
        <v>MscCode_neutralized</v>
      </c>
      <c r="B9137" s="409"/>
      <c r="C9137" s="416"/>
      <c r="D9137" s="198" t="s">
        <v>50617</v>
      </c>
      <c r="E9137" s="198">
        <v>7</v>
      </c>
      <c r="F9137" s="199" t="s">
        <v>50618</v>
      </c>
      <c r="G9137" s="1" t="s">
        <v>50619</v>
      </c>
      <c r="H9137" s="1" t="s">
        <v>50620</v>
      </c>
      <c r="I9137" s="346"/>
      <c r="J9137" s="39">
        <v>105836</v>
      </c>
      <c r="K9137" s="36" t="str">
        <f>CONCATENATE(Cover!$D$6,"fdd/view?i=",J9137)</f>
        <v>https://www.dgiwg.org/FAD/fdd/view?i=105836</v>
      </c>
      <c r="L9137" s="36" t="s">
        <v>50621</v>
      </c>
      <c r="M9137" s="186"/>
      <c r="N9137" s="186"/>
      <c r="O9137" s="172"/>
    </row>
    <row r="9138" spans="1:15" x14ac:dyDescent="0.2">
      <c r="A9138" s="197" t="str">
        <f t="shared" si="142"/>
        <v>MscCode_notSwept</v>
      </c>
      <c r="B9138" s="409"/>
      <c r="C9138" s="416"/>
      <c r="D9138" s="198" t="s">
        <v>50622</v>
      </c>
      <c r="E9138" s="198">
        <v>11</v>
      </c>
      <c r="F9138" s="199" t="s">
        <v>50623</v>
      </c>
      <c r="G9138" s="1" t="s">
        <v>50624</v>
      </c>
      <c r="H9138" s="1" t="s">
        <v>50625</v>
      </c>
      <c r="I9138" s="351" t="s">
        <v>50626</v>
      </c>
      <c r="J9138" s="39">
        <v>111260</v>
      </c>
      <c r="K9138" s="36" t="str">
        <f>CONCATENATE(Cover!$D$6,"fdd/view?i=",J9138)</f>
        <v>https://www.dgiwg.org/FAD/fdd/view?i=111260</v>
      </c>
      <c r="L9138" s="36" t="s">
        <v>50627</v>
      </c>
      <c r="M9138" s="186"/>
      <c r="N9138" s="186"/>
      <c r="O9138" s="172"/>
    </row>
    <row r="9139" spans="1:15" ht="63.75" x14ac:dyDescent="0.2">
      <c r="A9139" s="197" t="str">
        <f t="shared" si="142"/>
        <v>MscCode_recovered</v>
      </c>
      <c r="B9139" s="409"/>
      <c r="C9139" s="416"/>
      <c r="D9139" s="198" t="s">
        <v>50628</v>
      </c>
      <c r="E9139" s="198">
        <v>9</v>
      </c>
      <c r="F9139" s="199" t="s">
        <v>50629</v>
      </c>
      <c r="G9139" s="1" t="s">
        <v>50630</v>
      </c>
      <c r="H9139" s="1" t="s">
        <v>50631</v>
      </c>
      <c r="I9139" s="346"/>
      <c r="J9139" s="39">
        <v>105838</v>
      </c>
      <c r="K9139" s="36" t="str">
        <f>CONCATENATE(Cover!$D$6,"fdd/view?i=",J9139)</f>
        <v>https://www.dgiwg.org/FAD/fdd/view?i=105838</v>
      </c>
      <c r="L9139" s="36" t="s">
        <v>50632</v>
      </c>
      <c r="M9139" s="186"/>
      <c r="N9139" s="186"/>
      <c r="O9139" s="172"/>
    </row>
    <row r="9140" spans="1:15" ht="51" x14ac:dyDescent="0.2">
      <c r="A9140" s="197" t="str">
        <f t="shared" si="142"/>
        <v>MscCode_removed</v>
      </c>
      <c r="B9140" s="409"/>
      <c r="C9140" s="416"/>
      <c r="D9140" s="198" t="s">
        <v>50633</v>
      </c>
      <c r="E9140" s="198">
        <v>10</v>
      </c>
      <c r="F9140" s="199" t="s">
        <v>50634</v>
      </c>
      <c r="G9140" s="1" t="s">
        <v>50635</v>
      </c>
      <c r="H9140" s="1" t="s">
        <v>50636</v>
      </c>
      <c r="I9140" s="346"/>
      <c r="J9140" s="39">
        <v>105839</v>
      </c>
      <c r="K9140" s="36" t="str">
        <f>CONCATENATE(Cover!$D$6,"fdd/view?i=",J9140)</f>
        <v>https://www.dgiwg.org/FAD/fdd/view?i=105839</v>
      </c>
      <c r="L9140" s="36" t="s">
        <v>50637</v>
      </c>
      <c r="M9140" s="186"/>
      <c r="N9140" s="186"/>
      <c r="O9140" s="172"/>
    </row>
    <row r="9141" spans="1:15" ht="51" x14ac:dyDescent="0.2">
      <c r="A9141" s="197" t="str">
        <f t="shared" si="142"/>
        <v>MscCode_renderedSafe</v>
      </c>
      <c r="B9141" s="409"/>
      <c r="C9141" s="416"/>
      <c r="D9141" s="198" t="s">
        <v>50638</v>
      </c>
      <c r="E9141" s="198">
        <v>8</v>
      </c>
      <c r="F9141" s="199" t="s">
        <v>50639</v>
      </c>
      <c r="G9141" s="1" t="s">
        <v>50640</v>
      </c>
      <c r="H9141" s="1" t="s">
        <v>50641</v>
      </c>
      <c r="I9141" s="346"/>
      <c r="J9141" s="39">
        <v>105837</v>
      </c>
      <c r="K9141" s="36" t="str">
        <f>CONCATENATE(Cover!$D$6,"fdd/view?i=",J9141)</f>
        <v>https://www.dgiwg.org/FAD/fdd/view?i=105837</v>
      </c>
      <c r="L9141" s="36" t="s">
        <v>50642</v>
      </c>
      <c r="M9141" s="186"/>
      <c r="N9141" s="186"/>
      <c r="O9141" s="172"/>
    </row>
    <row r="9142" spans="1:15" ht="38.25" x14ac:dyDescent="0.2">
      <c r="A9142" s="203" t="str">
        <f t="shared" si="142"/>
        <v>MscCode_sunk</v>
      </c>
      <c r="B9142" s="410"/>
      <c r="C9142" s="417"/>
      <c r="D9142" s="204" t="s">
        <v>50643</v>
      </c>
      <c r="E9142" s="204">
        <v>2</v>
      </c>
      <c r="F9142" s="205" t="s">
        <v>50644</v>
      </c>
      <c r="G9142" s="206" t="s">
        <v>50645</v>
      </c>
      <c r="H9142" s="206" t="s">
        <v>50646</v>
      </c>
      <c r="I9142" s="347"/>
      <c r="J9142" s="39">
        <v>105831</v>
      </c>
      <c r="K9142" s="36" t="str">
        <f>CONCATENATE(Cover!$D$6,"fdd/view?i=",J9142)</f>
        <v>https://www.dgiwg.org/FAD/fdd/view?i=105831</v>
      </c>
      <c r="L9142" s="36" t="s">
        <v>50647</v>
      </c>
      <c r="M9142" s="186"/>
      <c r="N9142" s="186"/>
      <c r="O9142" s="172"/>
    </row>
    <row r="9143" spans="1:15" ht="25.5" x14ac:dyDescent="0.2">
      <c r="A9143" s="190" t="str">
        <f t="shared" si="142"/>
        <v>TacCode_chan001X</v>
      </c>
      <c r="B9143" s="414" t="str">
        <f>HYPERLINK("[#]Datatypes!A1498:L1498","TacCode")</f>
        <v>TacCode</v>
      </c>
      <c r="C9143" s="415" t="s">
        <v>16124</v>
      </c>
      <c r="D9143" s="221" t="s">
        <v>17204</v>
      </c>
      <c r="E9143" s="221">
        <v>1</v>
      </c>
      <c r="F9143" s="222" t="s">
        <v>17205</v>
      </c>
      <c r="G9143" s="223" t="s">
        <v>50844</v>
      </c>
      <c r="H9143" s="223" t="s">
        <v>16716</v>
      </c>
      <c r="I9143" s="345"/>
      <c r="J9143" s="39">
        <v>115762</v>
      </c>
      <c r="K9143" s="36" t="str">
        <f>CONCATENATE(Cover!$D$6,"fdd/view?i=",J9143)</f>
        <v>https://www.dgiwg.org/FAD/fdd/view?i=115762</v>
      </c>
      <c r="L9143" s="36" t="s">
        <v>50845</v>
      </c>
      <c r="M9143" s="186"/>
      <c r="N9143" s="186"/>
      <c r="O9143" s="13" t="s">
        <v>17203</v>
      </c>
    </row>
    <row r="9144" spans="1:15" ht="25.5" x14ac:dyDescent="0.2">
      <c r="A9144" s="197" t="str">
        <f t="shared" si="142"/>
        <v>TacCode_chan001Y</v>
      </c>
      <c r="B9144" s="409"/>
      <c r="C9144" s="416"/>
      <c r="D9144" s="198" t="s">
        <v>17209</v>
      </c>
      <c r="E9144" s="198">
        <v>2</v>
      </c>
      <c r="F9144" s="199" t="s">
        <v>17210</v>
      </c>
      <c r="G9144" s="1" t="s">
        <v>50846</v>
      </c>
      <c r="H9144" s="1" t="s">
        <v>16716</v>
      </c>
      <c r="I9144" s="346"/>
      <c r="J9144" s="39">
        <v>115763</v>
      </c>
      <c r="K9144" s="36" t="str">
        <f>CONCATENATE(Cover!$D$6,"fdd/view?i=",J9144)</f>
        <v>https://www.dgiwg.org/FAD/fdd/view?i=115763</v>
      </c>
      <c r="L9144" s="36" t="s">
        <v>50847</v>
      </c>
      <c r="M9144" s="186"/>
      <c r="N9144" s="186"/>
      <c r="O9144" s="13" t="s">
        <v>17208</v>
      </c>
    </row>
    <row r="9145" spans="1:15" ht="25.5" x14ac:dyDescent="0.2">
      <c r="A9145" s="197" t="str">
        <f t="shared" si="142"/>
        <v>TacCode_chan002X</v>
      </c>
      <c r="B9145" s="409"/>
      <c r="C9145" s="416"/>
      <c r="D9145" s="198" t="s">
        <v>17389</v>
      </c>
      <c r="E9145" s="198">
        <v>3</v>
      </c>
      <c r="F9145" s="199" t="s">
        <v>17390</v>
      </c>
      <c r="G9145" s="1" t="s">
        <v>50918</v>
      </c>
      <c r="H9145" s="1" t="s">
        <v>16716</v>
      </c>
      <c r="I9145" s="346"/>
      <c r="J9145" s="39">
        <v>115764</v>
      </c>
      <c r="K9145" s="36" t="str">
        <f>CONCATENATE(Cover!$D$6,"fdd/view?i=",J9145)</f>
        <v>https://www.dgiwg.org/FAD/fdd/view?i=115764</v>
      </c>
      <c r="L9145" s="36" t="s">
        <v>50919</v>
      </c>
      <c r="M9145" s="186"/>
      <c r="N9145" s="186"/>
      <c r="O9145" s="13" t="s">
        <v>17388</v>
      </c>
    </row>
    <row r="9146" spans="1:15" ht="25.5" x14ac:dyDescent="0.2">
      <c r="A9146" s="197" t="str">
        <f t="shared" si="142"/>
        <v>TacCode_chan002Y</v>
      </c>
      <c r="B9146" s="409"/>
      <c r="C9146" s="416"/>
      <c r="D9146" s="198" t="s">
        <v>17394</v>
      </c>
      <c r="E9146" s="198">
        <v>4</v>
      </c>
      <c r="F9146" s="199" t="s">
        <v>17395</v>
      </c>
      <c r="G9146" s="1" t="s">
        <v>50920</v>
      </c>
      <c r="H9146" s="1" t="s">
        <v>16716</v>
      </c>
      <c r="I9146" s="346"/>
      <c r="J9146" s="39">
        <v>115765</v>
      </c>
      <c r="K9146" s="36" t="str">
        <f>CONCATENATE(Cover!$D$6,"fdd/view?i=",J9146)</f>
        <v>https://www.dgiwg.org/FAD/fdd/view?i=115765</v>
      </c>
      <c r="L9146" s="36" t="s">
        <v>50921</v>
      </c>
      <c r="M9146" s="186"/>
      <c r="N9146" s="186"/>
      <c r="O9146" s="13" t="s">
        <v>17393</v>
      </c>
    </row>
    <row r="9147" spans="1:15" ht="25.5" x14ac:dyDescent="0.2">
      <c r="A9147" s="197" t="str">
        <f t="shared" si="142"/>
        <v>TacCode_chan003X</v>
      </c>
      <c r="B9147" s="409"/>
      <c r="C9147" s="416"/>
      <c r="D9147" s="198" t="s">
        <v>17574</v>
      </c>
      <c r="E9147" s="198">
        <v>5</v>
      </c>
      <c r="F9147" s="199" t="s">
        <v>17575</v>
      </c>
      <c r="G9147" s="1" t="s">
        <v>50992</v>
      </c>
      <c r="H9147" s="1" t="s">
        <v>16716</v>
      </c>
      <c r="I9147" s="346"/>
      <c r="J9147" s="39">
        <v>115766</v>
      </c>
      <c r="K9147" s="36" t="str">
        <f>CONCATENATE(Cover!$D$6,"fdd/view?i=",J9147)</f>
        <v>https://www.dgiwg.org/FAD/fdd/view?i=115766</v>
      </c>
      <c r="L9147" s="36" t="s">
        <v>50993</v>
      </c>
      <c r="M9147" s="186"/>
      <c r="N9147" s="186"/>
      <c r="O9147" s="13" t="s">
        <v>17573</v>
      </c>
    </row>
    <row r="9148" spans="1:15" ht="25.5" x14ac:dyDescent="0.2">
      <c r="A9148" s="197" t="str">
        <f t="shared" si="142"/>
        <v>TacCode_chan003Y</v>
      </c>
      <c r="B9148" s="409"/>
      <c r="C9148" s="416"/>
      <c r="D9148" s="198" t="s">
        <v>17579</v>
      </c>
      <c r="E9148" s="198">
        <v>6</v>
      </c>
      <c r="F9148" s="199" t="s">
        <v>17580</v>
      </c>
      <c r="G9148" s="1" t="s">
        <v>50994</v>
      </c>
      <c r="H9148" s="1" t="s">
        <v>16716</v>
      </c>
      <c r="I9148" s="346"/>
      <c r="J9148" s="39">
        <v>115767</v>
      </c>
      <c r="K9148" s="36" t="str">
        <f>CONCATENATE(Cover!$D$6,"fdd/view?i=",J9148)</f>
        <v>https://www.dgiwg.org/FAD/fdd/view?i=115767</v>
      </c>
      <c r="L9148" s="36" t="s">
        <v>50995</v>
      </c>
      <c r="M9148" s="186"/>
      <c r="N9148" s="186"/>
      <c r="O9148" s="13" t="s">
        <v>17578</v>
      </c>
    </row>
    <row r="9149" spans="1:15" ht="25.5" x14ac:dyDescent="0.2">
      <c r="A9149" s="197" t="str">
        <f t="shared" si="142"/>
        <v>TacCode_chan004X</v>
      </c>
      <c r="B9149" s="409"/>
      <c r="C9149" s="416"/>
      <c r="D9149" s="198" t="s">
        <v>17759</v>
      </c>
      <c r="E9149" s="198">
        <v>7</v>
      </c>
      <c r="F9149" s="199" t="s">
        <v>17760</v>
      </c>
      <c r="G9149" s="1" t="s">
        <v>51066</v>
      </c>
      <c r="H9149" s="1" t="s">
        <v>16716</v>
      </c>
      <c r="I9149" s="346"/>
      <c r="J9149" s="39">
        <v>115768</v>
      </c>
      <c r="K9149" s="36" t="str">
        <f>CONCATENATE(Cover!$D$6,"fdd/view?i=",J9149)</f>
        <v>https://www.dgiwg.org/FAD/fdd/view?i=115768</v>
      </c>
      <c r="L9149" s="36" t="s">
        <v>51067</v>
      </c>
      <c r="M9149" s="186"/>
      <c r="N9149" s="186"/>
      <c r="O9149" s="13" t="s">
        <v>17758</v>
      </c>
    </row>
    <row r="9150" spans="1:15" ht="25.5" x14ac:dyDescent="0.2">
      <c r="A9150" s="197" t="str">
        <f t="shared" si="142"/>
        <v>TacCode_chan004Y</v>
      </c>
      <c r="B9150" s="409"/>
      <c r="C9150" s="416"/>
      <c r="D9150" s="198" t="s">
        <v>17764</v>
      </c>
      <c r="E9150" s="198">
        <v>8</v>
      </c>
      <c r="F9150" s="199" t="s">
        <v>17765</v>
      </c>
      <c r="G9150" s="1" t="s">
        <v>51068</v>
      </c>
      <c r="H9150" s="1" t="s">
        <v>16716</v>
      </c>
      <c r="I9150" s="346"/>
      <c r="J9150" s="39">
        <v>115769</v>
      </c>
      <c r="K9150" s="36" t="str">
        <f>CONCATENATE(Cover!$D$6,"fdd/view?i=",J9150)</f>
        <v>https://www.dgiwg.org/FAD/fdd/view?i=115769</v>
      </c>
      <c r="L9150" s="36" t="s">
        <v>51069</v>
      </c>
      <c r="M9150" s="186"/>
      <c r="N9150" s="186"/>
      <c r="O9150" s="13" t="s">
        <v>17763</v>
      </c>
    </row>
    <row r="9151" spans="1:15" ht="25.5" x14ac:dyDescent="0.2">
      <c r="A9151" s="197" t="str">
        <f t="shared" si="142"/>
        <v>TacCode_chan005X</v>
      </c>
      <c r="B9151" s="409"/>
      <c r="C9151" s="416"/>
      <c r="D9151" s="198" t="s">
        <v>17924</v>
      </c>
      <c r="E9151" s="198">
        <v>9</v>
      </c>
      <c r="F9151" s="199" t="s">
        <v>17925</v>
      </c>
      <c r="G9151" s="1" t="s">
        <v>51132</v>
      </c>
      <c r="H9151" s="1" t="s">
        <v>16716</v>
      </c>
      <c r="I9151" s="346"/>
      <c r="J9151" s="39">
        <v>115770</v>
      </c>
      <c r="K9151" s="36" t="str">
        <f>CONCATENATE(Cover!$D$6,"fdd/view?i=",J9151)</f>
        <v>https://www.dgiwg.org/FAD/fdd/view?i=115770</v>
      </c>
      <c r="L9151" s="36" t="s">
        <v>51133</v>
      </c>
      <c r="M9151" s="186"/>
      <c r="N9151" s="186"/>
      <c r="O9151" s="13" t="s">
        <v>17923</v>
      </c>
    </row>
    <row r="9152" spans="1:15" ht="25.5" x14ac:dyDescent="0.2">
      <c r="A9152" s="197" t="str">
        <f t="shared" si="142"/>
        <v>TacCode_chan005Y</v>
      </c>
      <c r="B9152" s="409"/>
      <c r="C9152" s="416"/>
      <c r="D9152" s="198" t="s">
        <v>17929</v>
      </c>
      <c r="E9152" s="198">
        <v>10</v>
      </c>
      <c r="F9152" s="199" t="s">
        <v>17930</v>
      </c>
      <c r="G9152" s="1" t="s">
        <v>51134</v>
      </c>
      <c r="H9152" s="1" t="s">
        <v>16716</v>
      </c>
      <c r="I9152" s="346"/>
      <c r="J9152" s="39">
        <v>115771</v>
      </c>
      <c r="K9152" s="36" t="str">
        <f>CONCATENATE(Cover!$D$6,"fdd/view?i=",J9152)</f>
        <v>https://www.dgiwg.org/FAD/fdd/view?i=115771</v>
      </c>
      <c r="L9152" s="36" t="s">
        <v>51135</v>
      </c>
      <c r="M9152" s="186"/>
      <c r="N9152" s="186"/>
      <c r="O9152" s="13" t="s">
        <v>17928</v>
      </c>
    </row>
    <row r="9153" spans="1:15" ht="25.5" x14ac:dyDescent="0.2">
      <c r="A9153" s="197" t="str">
        <f t="shared" si="142"/>
        <v>TacCode_chan006X</v>
      </c>
      <c r="B9153" s="409"/>
      <c r="C9153" s="416"/>
      <c r="D9153" s="198" t="s">
        <v>18034</v>
      </c>
      <c r="E9153" s="198">
        <v>11</v>
      </c>
      <c r="F9153" s="199" t="s">
        <v>18035</v>
      </c>
      <c r="G9153" s="1" t="s">
        <v>51176</v>
      </c>
      <c r="H9153" s="1" t="s">
        <v>16716</v>
      </c>
      <c r="I9153" s="346"/>
      <c r="J9153" s="39">
        <v>115772</v>
      </c>
      <c r="K9153" s="36" t="str">
        <f>CONCATENATE(Cover!$D$6,"fdd/view?i=",J9153)</f>
        <v>https://www.dgiwg.org/FAD/fdd/view?i=115772</v>
      </c>
      <c r="L9153" s="36" t="s">
        <v>51177</v>
      </c>
      <c r="M9153" s="186"/>
      <c r="N9153" s="186"/>
      <c r="O9153" s="13" t="s">
        <v>18033</v>
      </c>
    </row>
    <row r="9154" spans="1:15" ht="25.5" x14ac:dyDescent="0.2">
      <c r="A9154" s="197" t="str">
        <f t="shared" ref="A9154:A9217" si="143">HYPERLINK(K9154,L9154)</f>
        <v>TacCode_chan006Y</v>
      </c>
      <c r="B9154" s="409"/>
      <c r="C9154" s="416"/>
      <c r="D9154" s="198" t="s">
        <v>18039</v>
      </c>
      <c r="E9154" s="198">
        <v>12</v>
      </c>
      <c r="F9154" s="199" t="s">
        <v>18040</v>
      </c>
      <c r="G9154" s="1" t="s">
        <v>51178</v>
      </c>
      <c r="H9154" s="1" t="s">
        <v>16716</v>
      </c>
      <c r="I9154" s="346"/>
      <c r="J9154" s="39">
        <v>115773</v>
      </c>
      <c r="K9154" s="36" t="str">
        <f>CONCATENATE(Cover!$D$6,"fdd/view?i=",J9154)</f>
        <v>https://www.dgiwg.org/FAD/fdd/view?i=115773</v>
      </c>
      <c r="L9154" s="36" t="s">
        <v>51179</v>
      </c>
      <c r="M9154" s="186"/>
      <c r="N9154" s="186"/>
      <c r="O9154" s="13" t="s">
        <v>18038</v>
      </c>
    </row>
    <row r="9155" spans="1:15" ht="25.5" x14ac:dyDescent="0.2">
      <c r="A9155" s="197" t="str">
        <f t="shared" si="143"/>
        <v>TacCode_chan007X</v>
      </c>
      <c r="B9155" s="409"/>
      <c r="C9155" s="416"/>
      <c r="D9155" s="198" t="s">
        <v>18144</v>
      </c>
      <c r="E9155" s="198">
        <v>13</v>
      </c>
      <c r="F9155" s="199" t="s">
        <v>18145</v>
      </c>
      <c r="G9155" s="1" t="s">
        <v>51220</v>
      </c>
      <c r="H9155" s="1" t="s">
        <v>16716</v>
      </c>
      <c r="I9155" s="346"/>
      <c r="J9155" s="39">
        <v>115774</v>
      </c>
      <c r="K9155" s="36" t="str">
        <f>CONCATENATE(Cover!$D$6,"fdd/view?i=",J9155)</f>
        <v>https://www.dgiwg.org/FAD/fdd/view?i=115774</v>
      </c>
      <c r="L9155" s="36" t="s">
        <v>51221</v>
      </c>
      <c r="M9155" s="186"/>
      <c r="N9155" s="186"/>
      <c r="O9155" s="13" t="s">
        <v>18143</v>
      </c>
    </row>
    <row r="9156" spans="1:15" ht="25.5" x14ac:dyDescent="0.2">
      <c r="A9156" s="197" t="str">
        <f t="shared" si="143"/>
        <v>TacCode_chan007Y</v>
      </c>
      <c r="B9156" s="409"/>
      <c r="C9156" s="416"/>
      <c r="D9156" s="198" t="s">
        <v>18149</v>
      </c>
      <c r="E9156" s="198">
        <v>14</v>
      </c>
      <c r="F9156" s="199" t="s">
        <v>18150</v>
      </c>
      <c r="G9156" s="1" t="s">
        <v>51222</v>
      </c>
      <c r="H9156" s="1" t="s">
        <v>16716</v>
      </c>
      <c r="I9156" s="346"/>
      <c r="J9156" s="39">
        <v>115775</v>
      </c>
      <c r="K9156" s="36" t="str">
        <f>CONCATENATE(Cover!$D$6,"fdd/view?i=",J9156)</f>
        <v>https://www.dgiwg.org/FAD/fdd/view?i=115775</v>
      </c>
      <c r="L9156" s="36" t="s">
        <v>51223</v>
      </c>
      <c r="M9156" s="186"/>
      <c r="N9156" s="186"/>
      <c r="O9156" s="13" t="s">
        <v>18148</v>
      </c>
    </row>
    <row r="9157" spans="1:15" ht="25.5" x14ac:dyDescent="0.2">
      <c r="A9157" s="197" t="str">
        <f t="shared" si="143"/>
        <v>TacCode_chan008X</v>
      </c>
      <c r="B9157" s="409"/>
      <c r="C9157" s="416"/>
      <c r="D9157" s="198" t="s">
        <v>18304</v>
      </c>
      <c r="E9157" s="198">
        <v>15</v>
      </c>
      <c r="F9157" s="199" t="s">
        <v>18305</v>
      </c>
      <c r="G9157" s="1" t="s">
        <v>51284</v>
      </c>
      <c r="H9157" s="1" t="s">
        <v>16716</v>
      </c>
      <c r="I9157" s="346"/>
      <c r="J9157" s="39">
        <v>115776</v>
      </c>
      <c r="K9157" s="36" t="str">
        <f>CONCATENATE(Cover!$D$6,"fdd/view?i=",J9157)</f>
        <v>https://www.dgiwg.org/FAD/fdd/view?i=115776</v>
      </c>
      <c r="L9157" s="36" t="s">
        <v>51285</v>
      </c>
      <c r="M9157" s="186"/>
      <c r="N9157" s="186"/>
      <c r="O9157" s="13" t="s">
        <v>18303</v>
      </c>
    </row>
    <row r="9158" spans="1:15" ht="25.5" x14ac:dyDescent="0.2">
      <c r="A9158" s="197" t="str">
        <f t="shared" si="143"/>
        <v>TacCode_chan008Y</v>
      </c>
      <c r="B9158" s="409"/>
      <c r="C9158" s="416"/>
      <c r="D9158" s="198" t="s">
        <v>18309</v>
      </c>
      <c r="E9158" s="198">
        <v>16</v>
      </c>
      <c r="F9158" s="199" t="s">
        <v>18310</v>
      </c>
      <c r="G9158" s="1" t="s">
        <v>51286</v>
      </c>
      <c r="H9158" s="1" t="s">
        <v>16716</v>
      </c>
      <c r="I9158" s="346"/>
      <c r="J9158" s="39">
        <v>115777</v>
      </c>
      <c r="K9158" s="36" t="str">
        <f>CONCATENATE(Cover!$D$6,"fdd/view?i=",J9158)</f>
        <v>https://www.dgiwg.org/FAD/fdd/view?i=115777</v>
      </c>
      <c r="L9158" s="36" t="s">
        <v>51287</v>
      </c>
      <c r="M9158" s="186"/>
      <c r="N9158" s="186"/>
      <c r="O9158" s="13" t="s">
        <v>18308</v>
      </c>
    </row>
    <row r="9159" spans="1:15" ht="25.5" x14ac:dyDescent="0.2">
      <c r="A9159" s="197" t="str">
        <f t="shared" si="143"/>
        <v>TacCode_chan009X</v>
      </c>
      <c r="B9159" s="409"/>
      <c r="C9159" s="416"/>
      <c r="D9159" s="198" t="s">
        <v>18464</v>
      </c>
      <c r="E9159" s="198">
        <v>17</v>
      </c>
      <c r="F9159" s="199" t="s">
        <v>18465</v>
      </c>
      <c r="G9159" s="1" t="s">
        <v>51348</v>
      </c>
      <c r="H9159" s="1" t="s">
        <v>16716</v>
      </c>
      <c r="I9159" s="346"/>
      <c r="J9159" s="39">
        <v>115778</v>
      </c>
      <c r="K9159" s="36" t="str">
        <f>CONCATENATE(Cover!$D$6,"fdd/view?i=",J9159)</f>
        <v>https://www.dgiwg.org/FAD/fdd/view?i=115778</v>
      </c>
      <c r="L9159" s="36" t="s">
        <v>51349</v>
      </c>
      <c r="M9159" s="186"/>
      <c r="N9159" s="186"/>
      <c r="O9159" s="13" t="s">
        <v>18463</v>
      </c>
    </row>
    <row r="9160" spans="1:15" ht="25.5" x14ac:dyDescent="0.2">
      <c r="A9160" s="197" t="str">
        <f t="shared" si="143"/>
        <v>TacCode_chan009Y</v>
      </c>
      <c r="B9160" s="409"/>
      <c r="C9160" s="416"/>
      <c r="D9160" s="198" t="s">
        <v>18469</v>
      </c>
      <c r="E9160" s="198">
        <v>18</v>
      </c>
      <c r="F9160" s="199" t="s">
        <v>18470</v>
      </c>
      <c r="G9160" s="1" t="s">
        <v>51350</v>
      </c>
      <c r="H9160" s="1" t="s">
        <v>16716</v>
      </c>
      <c r="I9160" s="346"/>
      <c r="J9160" s="39">
        <v>115779</v>
      </c>
      <c r="K9160" s="36" t="str">
        <f>CONCATENATE(Cover!$D$6,"fdd/view?i=",J9160)</f>
        <v>https://www.dgiwg.org/FAD/fdd/view?i=115779</v>
      </c>
      <c r="L9160" s="36" t="s">
        <v>51351</v>
      </c>
      <c r="M9160" s="186"/>
      <c r="N9160" s="186"/>
      <c r="O9160" s="13" t="s">
        <v>18468</v>
      </c>
    </row>
    <row r="9161" spans="1:15" ht="25.5" x14ac:dyDescent="0.2">
      <c r="A9161" s="197" t="str">
        <f t="shared" si="143"/>
        <v>TacCode_chan010X</v>
      </c>
      <c r="B9161" s="409"/>
      <c r="C9161" s="416"/>
      <c r="D9161" s="198" t="s">
        <v>16864</v>
      </c>
      <c r="E9161" s="198">
        <v>19</v>
      </c>
      <c r="F9161" s="199" t="s">
        <v>16865</v>
      </c>
      <c r="G9161" s="1" t="s">
        <v>50708</v>
      </c>
      <c r="H9161" s="1" t="s">
        <v>16716</v>
      </c>
      <c r="I9161" s="346"/>
      <c r="J9161" s="39">
        <v>115780</v>
      </c>
      <c r="K9161" s="36" t="str">
        <f>CONCATENATE(Cover!$D$6,"fdd/view?i=",J9161)</f>
        <v>https://www.dgiwg.org/FAD/fdd/view?i=115780</v>
      </c>
      <c r="L9161" s="36" t="s">
        <v>50709</v>
      </c>
      <c r="M9161" s="186"/>
      <c r="N9161" s="186"/>
      <c r="O9161" s="13" t="s">
        <v>16863</v>
      </c>
    </row>
    <row r="9162" spans="1:15" ht="25.5" x14ac:dyDescent="0.2">
      <c r="A9162" s="197" t="str">
        <f t="shared" si="143"/>
        <v>TacCode_chan010Y</v>
      </c>
      <c r="B9162" s="409"/>
      <c r="C9162" s="416"/>
      <c r="D9162" s="198" t="s">
        <v>16869</v>
      </c>
      <c r="E9162" s="198">
        <v>20</v>
      </c>
      <c r="F9162" s="199" t="s">
        <v>16870</v>
      </c>
      <c r="G9162" s="1" t="s">
        <v>50710</v>
      </c>
      <c r="H9162" s="1" t="s">
        <v>16716</v>
      </c>
      <c r="I9162" s="346"/>
      <c r="J9162" s="39">
        <v>115781</v>
      </c>
      <c r="K9162" s="36" t="str">
        <f>CONCATENATE(Cover!$D$6,"fdd/view?i=",J9162)</f>
        <v>https://www.dgiwg.org/FAD/fdd/view?i=115781</v>
      </c>
      <c r="L9162" s="36" t="s">
        <v>50711</v>
      </c>
      <c r="M9162" s="186"/>
      <c r="N9162" s="186"/>
      <c r="O9162" s="13" t="s">
        <v>16868</v>
      </c>
    </row>
    <row r="9163" spans="1:15" ht="25.5" x14ac:dyDescent="0.2">
      <c r="A9163" s="197" t="str">
        <f t="shared" si="143"/>
        <v>TacCode_chan011X</v>
      </c>
      <c r="B9163" s="409"/>
      <c r="C9163" s="416"/>
      <c r="D9163" s="198" t="s">
        <v>17024</v>
      </c>
      <c r="E9163" s="198">
        <v>21</v>
      </c>
      <c r="F9163" s="199" t="s">
        <v>17025</v>
      </c>
      <c r="G9163" s="1" t="s">
        <v>50772</v>
      </c>
      <c r="H9163" s="1" t="s">
        <v>16716</v>
      </c>
      <c r="I9163" s="346"/>
      <c r="J9163" s="39">
        <v>115782</v>
      </c>
      <c r="K9163" s="36" t="str">
        <f>CONCATENATE(Cover!$D$6,"fdd/view?i=",J9163)</f>
        <v>https://www.dgiwg.org/FAD/fdd/view?i=115782</v>
      </c>
      <c r="L9163" s="36" t="s">
        <v>50773</v>
      </c>
      <c r="M9163" s="186"/>
      <c r="N9163" s="186"/>
      <c r="O9163" s="13" t="s">
        <v>17023</v>
      </c>
    </row>
    <row r="9164" spans="1:15" ht="25.5" x14ac:dyDescent="0.2">
      <c r="A9164" s="197" t="str">
        <f t="shared" si="143"/>
        <v>TacCode_chan011Y</v>
      </c>
      <c r="B9164" s="409"/>
      <c r="C9164" s="416"/>
      <c r="D9164" s="198" t="s">
        <v>17029</v>
      </c>
      <c r="E9164" s="198">
        <v>22</v>
      </c>
      <c r="F9164" s="199" t="s">
        <v>17030</v>
      </c>
      <c r="G9164" s="1" t="s">
        <v>50774</v>
      </c>
      <c r="H9164" s="1" t="s">
        <v>16716</v>
      </c>
      <c r="I9164" s="346"/>
      <c r="J9164" s="39">
        <v>115783</v>
      </c>
      <c r="K9164" s="36" t="str">
        <f>CONCATENATE(Cover!$D$6,"fdd/view?i=",J9164)</f>
        <v>https://www.dgiwg.org/FAD/fdd/view?i=115783</v>
      </c>
      <c r="L9164" s="36" t="s">
        <v>50775</v>
      </c>
      <c r="M9164" s="186"/>
      <c r="N9164" s="186"/>
      <c r="O9164" s="13" t="s">
        <v>17028</v>
      </c>
    </row>
    <row r="9165" spans="1:15" ht="25.5" x14ac:dyDescent="0.2">
      <c r="A9165" s="197" t="str">
        <f t="shared" si="143"/>
        <v>TacCode_chan012X</v>
      </c>
      <c r="B9165" s="409"/>
      <c r="C9165" s="416"/>
      <c r="D9165" s="198" t="s">
        <v>17104</v>
      </c>
      <c r="E9165" s="198">
        <v>23</v>
      </c>
      <c r="F9165" s="199" t="s">
        <v>17105</v>
      </c>
      <c r="G9165" s="1" t="s">
        <v>50804</v>
      </c>
      <c r="H9165" s="1" t="s">
        <v>16716</v>
      </c>
      <c r="I9165" s="346"/>
      <c r="J9165" s="39">
        <v>115784</v>
      </c>
      <c r="K9165" s="36" t="str">
        <f>CONCATENATE(Cover!$D$6,"fdd/view?i=",J9165)</f>
        <v>https://www.dgiwg.org/FAD/fdd/view?i=115784</v>
      </c>
      <c r="L9165" s="36" t="s">
        <v>50805</v>
      </c>
      <c r="M9165" s="186"/>
      <c r="N9165" s="186"/>
      <c r="O9165" s="13" t="s">
        <v>17103</v>
      </c>
    </row>
    <row r="9166" spans="1:15" ht="25.5" x14ac:dyDescent="0.2">
      <c r="A9166" s="197" t="str">
        <f t="shared" si="143"/>
        <v>TacCode_chan012Y</v>
      </c>
      <c r="B9166" s="409"/>
      <c r="C9166" s="416"/>
      <c r="D9166" s="198" t="s">
        <v>17109</v>
      </c>
      <c r="E9166" s="198">
        <v>24</v>
      </c>
      <c r="F9166" s="199" t="s">
        <v>17110</v>
      </c>
      <c r="G9166" s="1" t="s">
        <v>50806</v>
      </c>
      <c r="H9166" s="1" t="s">
        <v>16716</v>
      </c>
      <c r="I9166" s="346"/>
      <c r="J9166" s="39">
        <v>115785</v>
      </c>
      <c r="K9166" s="36" t="str">
        <f>CONCATENATE(Cover!$D$6,"fdd/view?i=",J9166)</f>
        <v>https://www.dgiwg.org/FAD/fdd/view?i=115785</v>
      </c>
      <c r="L9166" s="36" t="s">
        <v>50807</v>
      </c>
      <c r="M9166" s="186"/>
      <c r="N9166" s="186"/>
      <c r="O9166" s="13" t="s">
        <v>17108</v>
      </c>
    </row>
    <row r="9167" spans="1:15" ht="25.5" x14ac:dyDescent="0.2">
      <c r="A9167" s="197" t="str">
        <f t="shared" si="143"/>
        <v>TacCode_chan013X</v>
      </c>
      <c r="B9167" s="409"/>
      <c r="C9167" s="416"/>
      <c r="D9167" s="198" t="s">
        <v>17114</v>
      </c>
      <c r="E9167" s="198">
        <v>25</v>
      </c>
      <c r="F9167" s="199" t="s">
        <v>17115</v>
      </c>
      <c r="G9167" s="1" t="s">
        <v>50808</v>
      </c>
      <c r="H9167" s="1" t="s">
        <v>16716</v>
      </c>
      <c r="I9167" s="346"/>
      <c r="J9167" s="39">
        <v>115786</v>
      </c>
      <c r="K9167" s="36" t="str">
        <f>CONCATENATE(Cover!$D$6,"fdd/view?i=",J9167)</f>
        <v>https://www.dgiwg.org/FAD/fdd/view?i=115786</v>
      </c>
      <c r="L9167" s="36" t="s">
        <v>50809</v>
      </c>
      <c r="M9167" s="186"/>
      <c r="N9167" s="186"/>
      <c r="O9167" s="13" t="s">
        <v>17113</v>
      </c>
    </row>
    <row r="9168" spans="1:15" ht="25.5" x14ac:dyDescent="0.2">
      <c r="A9168" s="197" t="str">
        <f t="shared" si="143"/>
        <v>TacCode_chan013Y</v>
      </c>
      <c r="B9168" s="409"/>
      <c r="C9168" s="416"/>
      <c r="D9168" s="198" t="s">
        <v>17119</v>
      </c>
      <c r="E9168" s="198">
        <v>26</v>
      </c>
      <c r="F9168" s="199" t="s">
        <v>17120</v>
      </c>
      <c r="G9168" s="1" t="s">
        <v>50810</v>
      </c>
      <c r="H9168" s="1" t="s">
        <v>16716</v>
      </c>
      <c r="I9168" s="346"/>
      <c r="J9168" s="39">
        <v>115787</v>
      </c>
      <c r="K9168" s="36" t="str">
        <f>CONCATENATE(Cover!$D$6,"fdd/view?i=",J9168)</f>
        <v>https://www.dgiwg.org/FAD/fdd/view?i=115787</v>
      </c>
      <c r="L9168" s="36" t="s">
        <v>50811</v>
      </c>
      <c r="M9168" s="186"/>
      <c r="N9168" s="186"/>
      <c r="O9168" s="13" t="s">
        <v>17118</v>
      </c>
    </row>
    <row r="9169" spans="1:15" ht="25.5" x14ac:dyDescent="0.2">
      <c r="A9169" s="197" t="str">
        <f t="shared" si="143"/>
        <v>TacCode_chan014X</v>
      </c>
      <c r="B9169" s="409"/>
      <c r="C9169" s="416"/>
      <c r="D9169" s="198" t="s">
        <v>17124</v>
      </c>
      <c r="E9169" s="198">
        <v>27</v>
      </c>
      <c r="F9169" s="199" t="s">
        <v>17125</v>
      </c>
      <c r="G9169" s="1" t="s">
        <v>50812</v>
      </c>
      <c r="H9169" s="1" t="s">
        <v>16716</v>
      </c>
      <c r="I9169" s="346"/>
      <c r="J9169" s="39">
        <v>115788</v>
      </c>
      <c r="K9169" s="36" t="str">
        <f>CONCATENATE(Cover!$D$6,"fdd/view?i=",J9169)</f>
        <v>https://www.dgiwg.org/FAD/fdd/view?i=115788</v>
      </c>
      <c r="L9169" s="36" t="s">
        <v>50813</v>
      </c>
      <c r="M9169" s="186"/>
      <c r="N9169" s="186"/>
      <c r="O9169" s="13" t="s">
        <v>17123</v>
      </c>
    </row>
    <row r="9170" spans="1:15" ht="25.5" x14ac:dyDescent="0.2">
      <c r="A9170" s="197" t="str">
        <f t="shared" si="143"/>
        <v>TacCode_chan014Y</v>
      </c>
      <c r="B9170" s="409"/>
      <c r="C9170" s="416"/>
      <c r="D9170" s="198" t="s">
        <v>17129</v>
      </c>
      <c r="E9170" s="198">
        <v>28</v>
      </c>
      <c r="F9170" s="199" t="s">
        <v>17130</v>
      </c>
      <c r="G9170" s="1" t="s">
        <v>50814</v>
      </c>
      <c r="H9170" s="1" t="s">
        <v>16716</v>
      </c>
      <c r="I9170" s="346"/>
      <c r="J9170" s="39">
        <v>115789</v>
      </c>
      <c r="K9170" s="36" t="str">
        <f>CONCATENATE(Cover!$D$6,"fdd/view?i=",J9170)</f>
        <v>https://www.dgiwg.org/FAD/fdd/view?i=115789</v>
      </c>
      <c r="L9170" s="36" t="s">
        <v>50815</v>
      </c>
      <c r="M9170" s="186"/>
      <c r="N9170" s="186"/>
      <c r="O9170" s="13" t="s">
        <v>17128</v>
      </c>
    </row>
    <row r="9171" spans="1:15" ht="25.5" x14ac:dyDescent="0.2">
      <c r="A9171" s="197" t="str">
        <f t="shared" si="143"/>
        <v>TacCode_chan015X</v>
      </c>
      <c r="B9171" s="409"/>
      <c r="C9171" s="416"/>
      <c r="D9171" s="198" t="s">
        <v>17134</v>
      </c>
      <c r="E9171" s="198">
        <v>29</v>
      </c>
      <c r="F9171" s="199" t="s">
        <v>17135</v>
      </c>
      <c r="G9171" s="1" t="s">
        <v>50816</v>
      </c>
      <c r="H9171" s="1" t="s">
        <v>16716</v>
      </c>
      <c r="I9171" s="346"/>
      <c r="J9171" s="39">
        <v>115790</v>
      </c>
      <c r="K9171" s="36" t="str">
        <f>CONCATENATE(Cover!$D$6,"fdd/view?i=",J9171)</f>
        <v>https://www.dgiwg.org/FAD/fdd/view?i=115790</v>
      </c>
      <c r="L9171" s="36" t="s">
        <v>50817</v>
      </c>
      <c r="M9171" s="186"/>
      <c r="N9171" s="186"/>
      <c r="O9171" s="13" t="s">
        <v>17133</v>
      </c>
    </row>
    <row r="9172" spans="1:15" ht="25.5" x14ac:dyDescent="0.2">
      <c r="A9172" s="197" t="str">
        <f t="shared" si="143"/>
        <v>TacCode_chan015Y</v>
      </c>
      <c r="B9172" s="409"/>
      <c r="C9172" s="416"/>
      <c r="D9172" s="198" t="s">
        <v>17139</v>
      </c>
      <c r="E9172" s="198">
        <v>30</v>
      </c>
      <c r="F9172" s="199" t="s">
        <v>17140</v>
      </c>
      <c r="G9172" s="1" t="s">
        <v>50818</v>
      </c>
      <c r="H9172" s="1" t="s">
        <v>16716</v>
      </c>
      <c r="I9172" s="346"/>
      <c r="J9172" s="39">
        <v>115791</v>
      </c>
      <c r="K9172" s="36" t="str">
        <f>CONCATENATE(Cover!$D$6,"fdd/view?i=",J9172)</f>
        <v>https://www.dgiwg.org/FAD/fdd/view?i=115791</v>
      </c>
      <c r="L9172" s="36" t="s">
        <v>50819</v>
      </c>
      <c r="M9172" s="186"/>
      <c r="N9172" s="186"/>
      <c r="O9172" s="13" t="s">
        <v>17138</v>
      </c>
    </row>
    <row r="9173" spans="1:15" ht="25.5" x14ac:dyDescent="0.2">
      <c r="A9173" s="197" t="str">
        <f t="shared" si="143"/>
        <v>TacCode_chan016X</v>
      </c>
      <c r="B9173" s="409"/>
      <c r="C9173" s="416"/>
      <c r="D9173" s="198" t="s">
        <v>17144</v>
      </c>
      <c r="E9173" s="198">
        <v>31</v>
      </c>
      <c r="F9173" s="199" t="s">
        <v>17145</v>
      </c>
      <c r="G9173" s="1" t="s">
        <v>50820</v>
      </c>
      <c r="H9173" s="1" t="s">
        <v>16716</v>
      </c>
      <c r="I9173" s="346"/>
      <c r="J9173" s="39">
        <v>115792</v>
      </c>
      <c r="K9173" s="36" t="str">
        <f>CONCATENATE(Cover!$D$6,"fdd/view?i=",J9173)</f>
        <v>https://www.dgiwg.org/FAD/fdd/view?i=115792</v>
      </c>
      <c r="L9173" s="36" t="s">
        <v>50821</v>
      </c>
      <c r="M9173" s="186"/>
      <c r="N9173" s="186"/>
      <c r="O9173" s="13" t="s">
        <v>17143</v>
      </c>
    </row>
    <row r="9174" spans="1:15" ht="25.5" x14ac:dyDescent="0.2">
      <c r="A9174" s="197" t="str">
        <f t="shared" si="143"/>
        <v>TacCode_chan016Y</v>
      </c>
      <c r="B9174" s="409"/>
      <c r="C9174" s="416"/>
      <c r="D9174" s="198" t="s">
        <v>17149</v>
      </c>
      <c r="E9174" s="198">
        <v>32</v>
      </c>
      <c r="F9174" s="199" t="s">
        <v>17150</v>
      </c>
      <c r="G9174" s="1" t="s">
        <v>50822</v>
      </c>
      <c r="H9174" s="1" t="s">
        <v>16716</v>
      </c>
      <c r="I9174" s="346"/>
      <c r="J9174" s="39">
        <v>115793</v>
      </c>
      <c r="K9174" s="36" t="str">
        <f>CONCATENATE(Cover!$D$6,"fdd/view?i=",J9174)</f>
        <v>https://www.dgiwg.org/FAD/fdd/view?i=115793</v>
      </c>
      <c r="L9174" s="36" t="s">
        <v>50823</v>
      </c>
      <c r="M9174" s="186"/>
      <c r="N9174" s="186"/>
      <c r="O9174" s="13" t="s">
        <v>17148</v>
      </c>
    </row>
    <row r="9175" spans="1:15" ht="25.5" x14ac:dyDescent="0.2">
      <c r="A9175" s="197" t="str">
        <f t="shared" si="143"/>
        <v>TacCode_chan017X</v>
      </c>
      <c r="B9175" s="409"/>
      <c r="C9175" s="416"/>
      <c r="D9175" s="198" t="s">
        <v>17154</v>
      </c>
      <c r="E9175" s="198">
        <v>33</v>
      </c>
      <c r="F9175" s="199" t="s">
        <v>17155</v>
      </c>
      <c r="G9175" s="1" t="s">
        <v>50824</v>
      </c>
      <c r="H9175" s="1" t="s">
        <v>16716</v>
      </c>
      <c r="I9175" s="346"/>
      <c r="J9175" s="39">
        <v>115794</v>
      </c>
      <c r="K9175" s="36" t="str">
        <f>CONCATENATE(Cover!$D$6,"fdd/view?i=",J9175)</f>
        <v>https://www.dgiwg.org/FAD/fdd/view?i=115794</v>
      </c>
      <c r="L9175" s="36" t="s">
        <v>50825</v>
      </c>
      <c r="M9175" s="186"/>
      <c r="N9175" s="186"/>
      <c r="O9175" s="13" t="s">
        <v>17153</v>
      </c>
    </row>
    <row r="9176" spans="1:15" ht="25.5" x14ac:dyDescent="0.2">
      <c r="A9176" s="197" t="str">
        <f t="shared" si="143"/>
        <v>TacCode_chan017Y</v>
      </c>
      <c r="B9176" s="409"/>
      <c r="C9176" s="416"/>
      <c r="D9176" s="198" t="s">
        <v>17159</v>
      </c>
      <c r="E9176" s="198">
        <v>34</v>
      </c>
      <c r="F9176" s="199" t="s">
        <v>17160</v>
      </c>
      <c r="G9176" s="1" t="s">
        <v>50826</v>
      </c>
      <c r="H9176" s="1" t="s">
        <v>16716</v>
      </c>
      <c r="I9176" s="346"/>
      <c r="J9176" s="39">
        <v>115795</v>
      </c>
      <c r="K9176" s="36" t="str">
        <f>CONCATENATE(Cover!$D$6,"fdd/view?i=",J9176)</f>
        <v>https://www.dgiwg.org/FAD/fdd/view?i=115795</v>
      </c>
      <c r="L9176" s="36" t="s">
        <v>50827</v>
      </c>
      <c r="M9176" s="186"/>
      <c r="N9176" s="186"/>
      <c r="O9176" s="13" t="s">
        <v>17158</v>
      </c>
    </row>
    <row r="9177" spans="1:15" ht="25.5" x14ac:dyDescent="0.2">
      <c r="A9177" s="197" t="str">
        <f t="shared" si="143"/>
        <v>TacCode_chan017Z</v>
      </c>
      <c r="B9177" s="409"/>
      <c r="C9177" s="416"/>
      <c r="D9177" s="198" t="s">
        <v>17164</v>
      </c>
      <c r="E9177" s="198">
        <v>35</v>
      </c>
      <c r="F9177" s="199" t="s">
        <v>17165</v>
      </c>
      <c r="G9177" s="1" t="s">
        <v>50828</v>
      </c>
      <c r="H9177" s="1" t="s">
        <v>16716</v>
      </c>
      <c r="I9177" s="346"/>
      <c r="J9177" s="39">
        <v>115796</v>
      </c>
      <c r="K9177" s="36" t="str">
        <f>CONCATENATE(Cover!$D$6,"fdd/view?i=",J9177)</f>
        <v>https://www.dgiwg.org/FAD/fdd/view?i=115796</v>
      </c>
      <c r="L9177" s="36" t="s">
        <v>50829</v>
      </c>
      <c r="M9177" s="186"/>
      <c r="N9177" s="186"/>
      <c r="O9177" s="13" t="s">
        <v>17163</v>
      </c>
    </row>
    <row r="9178" spans="1:15" ht="25.5" x14ac:dyDescent="0.2">
      <c r="A9178" s="197" t="str">
        <f t="shared" si="143"/>
        <v>TacCode_chan018W</v>
      </c>
      <c r="B9178" s="409"/>
      <c r="C9178" s="416"/>
      <c r="D9178" s="198" t="s">
        <v>17169</v>
      </c>
      <c r="E9178" s="198">
        <v>36</v>
      </c>
      <c r="F9178" s="199" t="s">
        <v>17170</v>
      </c>
      <c r="G9178" s="1" t="s">
        <v>50830</v>
      </c>
      <c r="H9178" s="1" t="s">
        <v>16716</v>
      </c>
      <c r="I9178" s="346"/>
      <c r="J9178" s="39">
        <v>115797</v>
      </c>
      <c r="K9178" s="36" t="str">
        <f>CONCATENATE(Cover!$D$6,"fdd/view?i=",J9178)</f>
        <v>https://www.dgiwg.org/FAD/fdd/view?i=115797</v>
      </c>
      <c r="L9178" s="36" t="s">
        <v>50831</v>
      </c>
      <c r="M9178" s="186"/>
      <c r="N9178" s="186"/>
      <c r="O9178" s="13" t="s">
        <v>17168</v>
      </c>
    </row>
    <row r="9179" spans="1:15" ht="25.5" x14ac:dyDescent="0.2">
      <c r="A9179" s="197" t="str">
        <f t="shared" si="143"/>
        <v>TacCode_chan018X</v>
      </c>
      <c r="B9179" s="409"/>
      <c r="C9179" s="416"/>
      <c r="D9179" s="198" t="s">
        <v>17174</v>
      </c>
      <c r="E9179" s="198">
        <v>37</v>
      </c>
      <c r="F9179" s="199" t="s">
        <v>17175</v>
      </c>
      <c r="G9179" s="1" t="s">
        <v>50832</v>
      </c>
      <c r="H9179" s="1" t="s">
        <v>16716</v>
      </c>
      <c r="I9179" s="346"/>
      <c r="J9179" s="39">
        <v>115798</v>
      </c>
      <c r="K9179" s="36" t="str">
        <f>CONCATENATE(Cover!$D$6,"fdd/view?i=",J9179)</f>
        <v>https://www.dgiwg.org/FAD/fdd/view?i=115798</v>
      </c>
      <c r="L9179" s="36" t="s">
        <v>50833</v>
      </c>
      <c r="M9179" s="186"/>
      <c r="N9179" s="186"/>
      <c r="O9179" s="13" t="s">
        <v>17173</v>
      </c>
    </row>
    <row r="9180" spans="1:15" ht="25.5" x14ac:dyDescent="0.2">
      <c r="A9180" s="197" t="str">
        <f t="shared" si="143"/>
        <v>TacCode_chan018Y</v>
      </c>
      <c r="B9180" s="409"/>
      <c r="C9180" s="416"/>
      <c r="D9180" s="198" t="s">
        <v>17179</v>
      </c>
      <c r="E9180" s="198">
        <v>38</v>
      </c>
      <c r="F9180" s="199" t="s">
        <v>17180</v>
      </c>
      <c r="G9180" s="1" t="s">
        <v>50834</v>
      </c>
      <c r="H9180" s="1" t="s">
        <v>16716</v>
      </c>
      <c r="I9180" s="346"/>
      <c r="J9180" s="39">
        <v>115799</v>
      </c>
      <c r="K9180" s="36" t="str">
        <f>CONCATENATE(Cover!$D$6,"fdd/view?i=",J9180)</f>
        <v>https://www.dgiwg.org/FAD/fdd/view?i=115799</v>
      </c>
      <c r="L9180" s="36" t="s">
        <v>50835</v>
      </c>
      <c r="M9180" s="186"/>
      <c r="N9180" s="186"/>
      <c r="O9180" s="13" t="s">
        <v>17178</v>
      </c>
    </row>
    <row r="9181" spans="1:15" ht="25.5" x14ac:dyDescent="0.2">
      <c r="A9181" s="197" t="str">
        <f t="shared" si="143"/>
        <v>TacCode_chan018Z</v>
      </c>
      <c r="B9181" s="409"/>
      <c r="C9181" s="416"/>
      <c r="D9181" s="198" t="s">
        <v>17184</v>
      </c>
      <c r="E9181" s="198">
        <v>39</v>
      </c>
      <c r="F9181" s="199" t="s">
        <v>17185</v>
      </c>
      <c r="G9181" s="1" t="s">
        <v>50836</v>
      </c>
      <c r="H9181" s="1" t="s">
        <v>16716</v>
      </c>
      <c r="I9181" s="346"/>
      <c r="J9181" s="39">
        <v>115800</v>
      </c>
      <c r="K9181" s="36" t="str">
        <f>CONCATENATE(Cover!$D$6,"fdd/view?i=",J9181)</f>
        <v>https://www.dgiwg.org/FAD/fdd/view?i=115800</v>
      </c>
      <c r="L9181" s="36" t="s">
        <v>50837</v>
      </c>
      <c r="M9181" s="186"/>
      <c r="N9181" s="186"/>
      <c r="O9181" s="13" t="s">
        <v>17183</v>
      </c>
    </row>
    <row r="9182" spans="1:15" ht="25.5" x14ac:dyDescent="0.2">
      <c r="A9182" s="197" t="str">
        <f t="shared" si="143"/>
        <v>TacCode_chan019X</v>
      </c>
      <c r="B9182" s="409"/>
      <c r="C9182" s="416"/>
      <c r="D9182" s="198" t="s">
        <v>17189</v>
      </c>
      <c r="E9182" s="198">
        <v>40</v>
      </c>
      <c r="F9182" s="199" t="s">
        <v>17190</v>
      </c>
      <c r="G9182" s="1" t="s">
        <v>50838</v>
      </c>
      <c r="H9182" s="1" t="s">
        <v>16716</v>
      </c>
      <c r="I9182" s="346"/>
      <c r="J9182" s="39">
        <v>115801</v>
      </c>
      <c r="K9182" s="36" t="str">
        <f>CONCATENATE(Cover!$D$6,"fdd/view?i=",J9182)</f>
        <v>https://www.dgiwg.org/FAD/fdd/view?i=115801</v>
      </c>
      <c r="L9182" s="36" t="s">
        <v>50839</v>
      </c>
      <c r="M9182" s="186"/>
      <c r="N9182" s="186"/>
      <c r="O9182" s="13" t="s">
        <v>17188</v>
      </c>
    </row>
    <row r="9183" spans="1:15" ht="25.5" x14ac:dyDescent="0.2">
      <c r="A9183" s="197" t="str">
        <f t="shared" si="143"/>
        <v>TacCode_chan019Y</v>
      </c>
      <c r="B9183" s="409"/>
      <c r="C9183" s="416"/>
      <c r="D9183" s="198" t="s">
        <v>17194</v>
      </c>
      <c r="E9183" s="198">
        <v>41</v>
      </c>
      <c r="F9183" s="199" t="s">
        <v>17195</v>
      </c>
      <c r="G9183" s="1" t="s">
        <v>50840</v>
      </c>
      <c r="H9183" s="1" t="s">
        <v>16716</v>
      </c>
      <c r="I9183" s="346"/>
      <c r="J9183" s="39">
        <v>115802</v>
      </c>
      <c r="K9183" s="36" t="str">
        <f>CONCATENATE(Cover!$D$6,"fdd/view?i=",J9183)</f>
        <v>https://www.dgiwg.org/FAD/fdd/view?i=115802</v>
      </c>
      <c r="L9183" s="36" t="s">
        <v>50841</v>
      </c>
      <c r="M9183" s="186"/>
      <c r="N9183" s="186"/>
      <c r="O9183" s="13" t="s">
        <v>17193</v>
      </c>
    </row>
    <row r="9184" spans="1:15" ht="25.5" x14ac:dyDescent="0.2">
      <c r="A9184" s="197" t="str">
        <f t="shared" si="143"/>
        <v>TacCode_chan019Z</v>
      </c>
      <c r="B9184" s="409"/>
      <c r="C9184" s="416"/>
      <c r="D9184" s="198" t="s">
        <v>17199</v>
      </c>
      <c r="E9184" s="198">
        <v>42</v>
      </c>
      <c r="F9184" s="199" t="s">
        <v>17200</v>
      </c>
      <c r="G9184" s="1" t="s">
        <v>50842</v>
      </c>
      <c r="H9184" s="1" t="s">
        <v>16716</v>
      </c>
      <c r="I9184" s="346"/>
      <c r="J9184" s="39">
        <v>115803</v>
      </c>
      <c r="K9184" s="36" t="str">
        <f>CONCATENATE(Cover!$D$6,"fdd/view?i=",J9184)</f>
        <v>https://www.dgiwg.org/FAD/fdd/view?i=115803</v>
      </c>
      <c r="L9184" s="36" t="s">
        <v>50843</v>
      </c>
      <c r="M9184" s="186"/>
      <c r="N9184" s="186"/>
      <c r="O9184" s="13" t="s">
        <v>17198</v>
      </c>
    </row>
    <row r="9185" spans="1:15" ht="25.5" x14ac:dyDescent="0.2">
      <c r="A9185" s="197" t="str">
        <f t="shared" si="143"/>
        <v>TacCode_chan020W</v>
      </c>
      <c r="B9185" s="409"/>
      <c r="C9185" s="416"/>
      <c r="D9185" s="198" t="s">
        <v>17214</v>
      </c>
      <c r="E9185" s="198">
        <v>43</v>
      </c>
      <c r="F9185" s="199" t="s">
        <v>17215</v>
      </c>
      <c r="G9185" s="1" t="s">
        <v>50848</v>
      </c>
      <c r="H9185" s="1" t="s">
        <v>16716</v>
      </c>
      <c r="I9185" s="346"/>
      <c r="J9185" s="39">
        <v>115804</v>
      </c>
      <c r="K9185" s="36" t="str">
        <f>CONCATENATE(Cover!$D$6,"fdd/view?i=",J9185)</f>
        <v>https://www.dgiwg.org/FAD/fdd/view?i=115804</v>
      </c>
      <c r="L9185" s="36" t="s">
        <v>50849</v>
      </c>
      <c r="M9185" s="186"/>
      <c r="N9185" s="186"/>
      <c r="O9185" s="13" t="s">
        <v>17213</v>
      </c>
    </row>
    <row r="9186" spans="1:15" ht="25.5" x14ac:dyDescent="0.2">
      <c r="A9186" s="197" t="str">
        <f t="shared" si="143"/>
        <v>TacCode_chan020X</v>
      </c>
      <c r="B9186" s="409"/>
      <c r="C9186" s="416"/>
      <c r="D9186" s="198" t="s">
        <v>17219</v>
      </c>
      <c r="E9186" s="198">
        <v>44</v>
      </c>
      <c r="F9186" s="199" t="s">
        <v>17220</v>
      </c>
      <c r="G9186" s="1" t="s">
        <v>50850</v>
      </c>
      <c r="H9186" s="1" t="s">
        <v>16716</v>
      </c>
      <c r="I9186" s="346"/>
      <c r="J9186" s="39">
        <v>115805</v>
      </c>
      <c r="K9186" s="36" t="str">
        <f>CONCATENATE(Cover!$D$6,"fdd/view?i=",J9186)</f>
        <v>https://www.dgiwg.org/FAD/fdd/view?i=115805</v>
      </c>
      <c r="L9186" s="36" t="s">
        <v>50851</v>
      </c>
      <c r="M9186" s="186"/>
      <c r="N9186" s="186"/>
      <c r="O9186" s="13" t="s">
        <v>17218</v>
      </c>
    </row>
    <row r="9187" spans="1:15" ht="25.5" x14ac:dyDescent="0.2">
      <c r="A9187" s="197" t="str">
        <f t="shared" si="143"/>
        <v>TacCode_chan020Y</v>
      </c>
      <c r="B9187" s="409"/>
      <c r="C9187" s="416"/>
      <c r="D9187" s="198" t="s">
        <v>17224</v>
      </c>
      <c r="E9187" s="198">
        <v>45</v>
      </c>
      <c r="F9187" s="199" t="s">
        <v>17225</v>
      </c>
      <c r="G9187" s="1" t="s">
        <v>50852</v>
      </c>
      <c r="H9187" s="1" t="s">
        <v>16716</v>
      </c>
      <c r="I9187" s="346"/>
      <c r="J9187" s="39">
        <v>115806</v>
      </c>
      <c r="K9187" s="36" t="str">
        <f>CONCATENATE(Cover!$D$6,"fdd/view?i=",J9187)</f>
        <v>https://www.dgiwg.org/FAD/fdd/view?i=115806</v>
      </c>
      <c r="L9187" s="36" t="s">
        <v>50853</v>
      </c>
      <c r="M9187" s="186"/>
      <c r="N9187" s="186"/>
      <c r="O9187" s="13" t="s">
        <v>17223</v>
      </c>
    </row>
    <row r="9188" spans="1:15" ht="25.5" x14ac:dyDescent="0.2">
      <c r="A9188" s="197" t="str">
        <f t="shared" si="143"/>
        <v>TacCode_chan020Z</v>
      </c>
      <c r="B9188" s="409"/>
      <c r="C9188" s="416"/>
      <c r="D9188" s="198" t="s">
        <v>17229</v>
      </c>
      <c r="E9188" s="198">
        <v>46</v>
      </c>
      <c r="F9188" s="199" t="s">
        <v>17230</v>
      </c>
      <c r="G9188" s="1" t="s">
        <v>50854</v>
      </c>
      <c r="H9188" s="1" t="s">
        <v>16716</v>
      </c>
      <c r="I9188" s="346"/>
      <c r="J9188" s="39">
        <v>115807</v>
      </c>
      <c r="K9188" s="36" t="str">
        <f>CONCATENATE(Cover!$D$6,"fdd/view?i=",J9188)</f>
        <v>https://www.dgiwg.org/FAD/fdd/view?i=115807</v>
      </c>
      <c r="L9188" s="36" t="s">
        <v>50855</v>
      </c>
      <c r="M9188" s="186"/>
      <c r="N9188" s="186"/>
      <c r="O9188" s="13" t="s">
        <v>17228</v>
      </c>
    </row>
    <row r="9189" spans="1:15" ht="25.5" x14ac:dyDescent="0.2">
      <c r="A9189" s="197" t="str">
        <f t="shared" si="143"/>
        <v>TacCode_chan021X</v>
      </c>
      <c r="B9189" s="409"/>
      <c r="C9189" s="416"/>
      <c r="D9189" s="198" t="s">
        <v>17234</v>
      </c>
      <c r="E9189" s="198">
        <v>47</v>
      </c>
      <c r="F9189" s="199" t="s">
        <v>17235</v>
      </c>
      <c r="G9189" s="1" t="s">
        <v>50856</v>
      </c>
      <c r="H9189" s="1" t="s">
        <v>16716</v>
      </c>
      <c r="I9189" s="346"/>
      <c r="J9189" s="39">
        <v>115808</v>
      </c>
      <c r="K9189" s="36" t="str">
        <f>CONCATENATE(Cover!$D$6,"fdd/view?i=",J9189)</f>
        <v>https://www.dgiwg.org/FAD/fdd/view?i=115808</v>
      </c>
      <c r="L9189" s="36" t="s">
        <v>50857</v>
      </c>
      <c r="M9189" s="186"/>
      <c r="N9189" s="186"/>
      <c r="O9189" s="13" t="s">
        <v>17233</v>
      </c>
    </row>
    <row r="9190" spans="1:15" ht="25.5" x14ac:dyDescent="0.2">
      <c r="A9190" s="197" t="str">
        <f t="shared" si="143"/>
        <v>TacCode_chan021Y</v>
      </c>
      <c r="B9190" s="409"/>
      <c r="C9190" s="416"/>
      <c r="D9190" s="198" t="s">
        <v>17239</v>
      </c>
      <c r="E9190" s="198">
        <v>48</v>
      </c>
      <c r="F9190" s="199" t="s">
        <v>17240</v>
      </c>
      <c r="G9190" s="1" t="s">
        <v>50858</v>
      </c>
      <c r="H9190" s="1" t="s">
        <v>16716</v>
      </c>
      <c r="I9190" s="346"/>
      <c r="J9190" s="39">
        <v>115809</v>
      </c>
      <c r="K9190" s="36" t="str">
        <f>CONCATENATE(Cover!$D$6,"fdd/view?i=",J9190)</f>
        <v>https://www.dgiwg.org/FAD/fdd/view?i=115809</v>
      </c>
      <c r="L9190" s="36" t="s">
        <v>50859</v>
      </c>
      <c r="M9190" s="186"/>
      <c r="N9190" s="186"/>
      <c r="O9190" s="13" t="s">
        <v>17238</v>
      </c>
    </row>
    <row r="9191" spans="1:15" ht="25.5" x14ac:dyDescent="0.2">
      <c r="A9191" s="197" t="str">
        <f t="shared" si="143"/>
        <v>TacCode_chan021Z</v>
      </c>
      <c r="B9191" s="409"/>
      <c r="C9191" s="416"/>
      <c r="D9191" s="198" t="s">
        <v>17244</v>
      </c>
      <c r="E9191" s="198">
        <v>49</v>
      </c>
      <c r="F9191" s="199" t="s">
        <v>17245</v>
      </c>
      <c r="G9191" s="1" t="s">
        <v>50860</v>
      </c>
      <c r="H9191" s="1" t="s">
        <v>16716</v>
      </c>
      <c r="I9191" s="346"/>
      <c r="J9191" s="39">
        <v>115810</v>
      </c>
      <c r="K9191" s="36" t="str">
        <f>CONCATENATE(Cover!$D$6,"fdd/view?i=",J9191)</f>
        <v>https://www.dgiwg.org/FAD/fdd/view?i=115810</v>
      </c>
      <c r="L9191" s="36" t="s">
        <v>50861</v>
      </c>
      <c r="M9191" s="186"/>
      <c r="N9191" s="186"/>
      <c r="O9191" s="13" t="s">
        <v>17243</v>
      </c>
    </row>
    <row r="9192" spans="1:15" ht="25.5" x14ac:dyDescent="0.2">
      <c r="A9192" s="197" t="str">
        <f t="shared" si="143"/>
        <v>TacCode_chan022W</v>
      </c>
      <c r="B9192" s="409"/>
      <c r="C9192" s="416"/>
      <c r="D9192" s="198" t="s">
        <v>17249</v>
      </c>
      <c r="E9192" s="198">
        <v>50</v>
      </c>
      <c r="F9192" s="199" t="s">
        <v>17250</v>
      </c>
      <c r="G9192" s="1" t="s">
        <v>50862</v>
      </c>
      <c r="H9192" s="1" t="s">
        <v>16716</v>
      </c>
      <c r="I9192" s="346"/>
      <c r="J9192" s="39">
        <v>115811</v>
      </c>
      <c r="K9192" s="36" t="str">
        <f>CONCATENATE(Cover!$D$6,"fdd/view?i=",J9192)</f>
        <v>https://www.dgiwg.org/FAD/fdd/view?i=115811</v>
      </c>
      <c r="L9192" s="36" t="s">
        <v>50863</v>
      </c>
      <c r="M9192" s="186"/>
      <c r="N9192" s="186"/>
      <c r="O9192" s="13" t="s">
        <v>17248</v>
      </c>
    </row>
    <row r="9193" spans="1:15" ht="25.5" x14ac:dyDescent="0.2">
      <c r="A9193" s="197" t="str">
        <f t="shared" si="143"/>
        <v>TacCode_chan022X</v>
      </c>
      <c r="B9193" s="409"/>
      <c r="C9193" s="416"/>
      <c r="D9193" s="198" t="s">
        <v>17254</v>
      </c>
      <c r="E9193" s="198">
        <v>51</v>
      </c>
      <c r="F9193" s="199" t="s">
        <v>17255</v>
      </c>
      <c r="G9193" s="1" t="s">
        <v>50864</v>
      </c>
      <c r="H9193" s="1" t="s">
        <v>16716</v>
      </c>
      <c r="I9193" s="346"/>
      <c r="J9193" s="39">
        <v>115812</v>
      </c>
      <c r="K9193" s="36" t="str">
        <f>CONCATENATE(Cover!$D$6,"fdd/view?i=",J9193)</f>
        <v>https://www.dgiwg.org/FAD/fdd/view?i=115812</v>
      </c>
      <c r="L9193" s="36" t="s">
        <v>50865</v>
      </c>
      <c r="M9193" s="186"/>
      <c r="N9193" s="186"/>
      <c r="O9193" s="13" t="s">
        <v>17253</v>
      </c>
    </row>
    <row r="9194" spans="1:15" ht="25.5" x14ac:dyDescent="0.2">
      <c r="A9194" s="197" t="str">
        <f t="shared" si="143"/>
        <v>TacCode_chan022Y</v>
      </c>
      <c r="B9194" s="409"/>
      <c r="C9194" s="416"/>
      <c r="D9194" s="198" t="s">
        <v>17259</v>
      </c>
      <c r="E9194" s="198">
        <v>52</v>
      </c>
      <c r="F9194" s="199" t="s">
        <v>17260</v>
      </c>
      <c r="G9194" s="1" t="s">
        <v>50866</v>
      </c>
      <c r="H9194" s="1" t="s">
        <v>16716</v>
      </c>
      <c r="I9194" s="346"/>
      <c r="J9194" s="39">
        <v>115813</v>
      </c>
      <c r="K9194" s="36" t="str">
        <f>CONCATENATE(Cover!$D$6,"fdd/view?i=",J9194)</f>
        <v>https://www.dgiwg.org/FAD/fdd/view?i=115813</v>
      </c>
      <c r="L9194" s="36" t="s">
        <v>50867</v>
      </c>
      <c r="M9194" s="186"/>
      <c r="N9194" s="186"/>
      <c r="O9194" s="13" t="s">
        <v>17258</v>
      </c>
    </row>
    <row r="9195" spans="1:15" ht="25.5" x14ac:dyDescent="0.2">
      <c r="A9195" s="197" t="str">
        <f t="shared" si="143"/>
        <v>TacCode_chan022Z</v>
      </c>
      <c r="B9195" s="409"/>
      <c r="C9195" s="416"/>
      <c r="D9195" s="198" t="s">
        <v>17264</v>
      </c>
      <c r="E9195" s="198">
        <v>53</v>
      </c>
      <c r="F9195" s="199" t="s">
        <v>17265</v>
      </c>
      <c r="G9195" s="1" t="s">
        <v>50868</v>
      </c>
      <c r="H9195" s="1" t="s">
        <v>16716</v>
      </c>
      <c r="I9195" s="346"/>
      <c r="J9195" s="39">
        <v>115814</v>
      </c>
      <c r="K9195" s="36" t="str">
        <f>CONCATENATE(Cover!$D$6,"fdd/view?i=",J9195)</f>
        <v>https://www.dgiwg.org/FAD/fdd/view?i=115814</v>
      </c>
      <c r="L9195" s="36" t="s">
        <v>50869</v>
      </c>
      <c r="M9195" s="186"/>
      <c r="N9195" s="186"/>
      <c r="O9195" s="13" t="s">
        <v>17263</v>
      </c>
    </row>
    <row r="9196" spans="1:15" ht="25.5" x14ac:dyDescent="0.2">
      <c r="A9196" s="197" t="str">
        <f t="shared" si="143"/>
        <v>TacCode_chan023X</v>
      </c>
      <c r="B9196" s="409"/>
      <c r="C9196" s="416"/>
      <c r="D9196" s="198" t="s">
        <v>17269</v>
      </c>
      <c r="E9196" s="198">
        <v>54</v>
      </c>
      <c r="F9196" s="199" t="s">
        <v>17270</v>
      </c>
      <c r="G9196" s="1" t="s">
        <v>50870</v>
      </c>
      <c r="H9196" s="1" t="s">
        <v>16716</v>
      </c>
      <c r="I9196" s="346"/>
      <c r="J9196" s="39">
        <v>115815</v>
      </c>
      <c r="K9196" s="36" t="str">
        <f>CONCATENATE(Cover!$D$6,"fdd/view?i=",J9196)</f>
        <v>https://www.dgiwg.org/FAD/fdd/view?i=115815</v>
      </c>
      <c r="L9196" s="36" t="s">
        <v>50871</v>
      </c>
      <c r="M9196" s="186"/>
      <c r="N9196" s="186"/>
      <c r="O9196" s="13" t="s">
        <v>17268</v>
      </c>
    </row>
    <row r="9197" spans="1:15" ht="25.5" x14ac:dyDescent="0.2">
      <c r="A9197" s="197" t="str">
        <f t="shared" si="143"/>
        <v>TacCode_chan023Y</v>
      </c>
      <c r="B9197" s="409"/>
      <c r="C9197" s="416"/>
      <c r="D9197" s="198" t="s">
        <v>17274</v>
      </c>
      <c r="E9197" s="198">
        <v>55</v>
      </c>
      <c r="F9197" s="199" t="s">
        <v>17275</v>
      </c>
      <c r="G9197" s="1" t="s">
        <v>50872</v>
      </c>
      <c r="H9197" s="1" t="s">
        <v>16716</v>
      </c>
      <c r="I9197" s="346"/>
      <c r="J9197" s="39">
        <v>115816</v>
      </c>
      <c r="K9197" s="36" t="str">
        <f>CONCATENATE(Cover!$D$6,"fdd/view?i=",J9197)</f>
        <v>https://www.dgiwg.org/FAD/fdd/view?i=115816</v>
      </c>
      <c r="L9197" s="36" t="s">
        <v>50873</v>
      </c>
      <c r="M9197" s="186"/>
      <c r="N9197" s="186"/>
      <c r="O9197" s="13" t="s">
        <v>17273</v>
      </c>
    </row>
    <row r="9198" spans="1:15" ht="25.5" x14ac:dyDescent="0.2">
      <c r="A9198" s="197" t="str">
        <f t="shared" si="143"/>
        <v>TacCode_chan023Z</v>
      </c>
      <c r="B9198" s="409"/>
      <c r="C9198" s="416"/>
      <c r="D9198" s="198" t="s">
        <v>17279</v>
      </c>
      <c r="E9198" s="198">
        <v>56</v>
      </c>
      <c r="F9198" s="199" t="s">
        <v>17280</v>
      </c>
      <c r="G9198" s="1" t="s">
        <v>50874</v>
      </c>
      <c r="H9198" s="1" t="s">
        <v>16716</v>
      </c>
      <c r="I9198" s="346"/>
      <c r="J9198" s="39">
        <v>115817</v>
      </c>
      <c r="K9198" s="36" t="str">
        <f>CONCATENATE(Cover!$D$6,"fdd/view?i=",J9198)</f>
        <v>https://www.dgiwg.org/FAD/fdd/view?i=115817</v>
      </c>
      <c r="L9198" s="36" t="s">
        <v>50875</v>
      </c>
      <c r="M9198" s="186"/>
      <c r="N9198" s="186"/>
      <c r="O9198" s="13" t="s">
        <v>17278</v>
      </c>
    </row>
    <row r="9199" spans="1:15" ht="25.5" x14ac:dyDescent="0.2">
      <c r="A9199" s="197" t="str">
        <f t="shared" si="143"/>
        <v>TacCode_chan024W</v>
      </c>
      <c r="B9199" s="409"/>
      <c r="C9199" s="416"/>
      <c r="D9199" s="198" t="s">
        <v>17284</v>
      </c>
      <c r="E9199" s="198">
        <v>57</v>
      </c>
      <c r="F9199" s="199" t="s">
        <v>17285</v>
      </c>
      <c r="G9199" s="1" t="s">
        <v>50876</v>
      </c>
      <c r="H9199" s="1" t="s">
        <v>16716</v>
      </c>
      <c r="I9199" s="346"/>
      <c r="J9199" s="39">
        <v>115818</v>
      </c>
      <c r="K9199" s="36" t="str">
        <f>CONCATENATE(Cover!$D$6,"fdd/view?i=",J9199)</f>
        <v>https://www.dgiwg.org/FAD/fdd/view?i=115818</v>
      </c>
      <c r="L9199" s="36" t="s">
        <v>50877</v>
      </c>
      <c r="M9199" s="186"/>
      <c r="N9199" s="186"/>
      <c r="O9199" s="13" t="s">
        <v>17283</v>
      </c>
    </row>
    <row r="9200" spans="1:15" ht="25.5" x14ac:dyDescent="0.2">
      <c r="A9200" s="197" t="str">
        <f t="shared" si="143"/>
        <v>TacCode_chan024X</v>
      </c>
      <c r="B9200" s="409"/>
      <c r="C9200" s="416"/>
      <c r="D9200" s="198" t="s">
        <v>17289</v>
      </c>
      <c r="E9200" s="198">
        <v>58</v>
      </c>
      <c r="F9200" s="199" t="s">
        <v>17290</v>
      </c>
      <c r="G9200" s="1" t="s">
        <v>50878</v>
      </c>
      <c r="H9200" s="1" t="s">
        <v>16716</v>
      </c>
      <c r="I9200" s="346"/>
      <c r="J9200" s="39">
        <v>115819</v>
      </c>
      <c r="K9200" s="36" t="str">
        <f>CONCATENATE(Cover!$D$6,"fdd/view?i=",J9200)</f>
        <v>https://www.dgiwg.org/FAD/fdd/view?i=115819</v>
      </c>
      <c r="L9200" s="36" t="s">
        <v>50879</v>
      </c>
      <c r="M9200" s="186"/>
      <c r="N9200" s="186"/>
      <c r="O9200" s="13" t="s">
        <v>17288</v>
      </c>
    </row>
    <row r="9201" spans="1:15" ht="25.5" x14ac:dyDescent="0.2">
      <c r="A9201" s="197" t="str">
        <f t="shared" si="143"/>
        <v>TacCode_chan024Y</v>
      </c>
      <c r="B9201" s="409"/>
      <c r="C9201" s="416"/>
      <c r="D9201" s="198" t="s">
        <v>17294</v>
      </c>
      <c r="E9201" s="198">
        <v>59</v>
      </c>
      <c r="F9201" s="199" t="s">
        <v>17295</v>
      </c>
      <c r="G9201" s="1" t="s">
        <v>50880</v>
      </c>
      <c r="H9201" s="1" t="s">
        <v>16716</v>
      </c>
      <c r="I9201" s="346"/>
      <c r="J9201" s="39">
        <v>115820</v>
      </c>
      <c r="K9201" s="36" t="str">
        <f>CONCATENATE(Cover!$D$6,"fdd/view?i=",J9201)</f>
        <v>https://www.dgiwg.org/FAD/fdd/view?i=115820</v>
      </c>
      <c r="L9201" s="36" t="s">
        <v>50881</v>
      </c>
      <c r="M9201" s="186"/>
      <c r="N9201" s="186"/>
      <c r="O9201" s="13" t="s">
        <v>17293</v>
      </c>
    </row>
    <row r="9202" spans="1:15" ht="25.5" x14ac:dyDescent="0.2">
      <c r="A9202" s="197" t="str">
        <f t="shared" si="143"/>
        <v>TacCode_chan024Z</v>
      </c>
      <c r="B9202" s="409"/>
      <c r="C9202" s="416"/>
      <c r="D9202" s="198" t="s">
        <v>17299</v>
      </c>
      <c r="E9202" s="198">
        <v>60</v>
      </c>
      <c r="F9202" s="199" t="s">
        <v>17300</v>
      </c>
      <c r="G9202" s="1" t="s">
        <v>50882</v>
      </c>
      <c r="H9202" s="1" t="s">
        <v>16716</v>
      </c>
      <c r="I9202" s="346"/>
      <c r="J9202" s="39">
        <v>115821</v>
      </c>
      <c r="K9202" s="36" t="str">
        <f>CONCATENATE(Cover!$D$6,"fdd/view?i=",J9202)</f>
        <v>https://www.dgiwg.org/FAD/fdd/view?i=115821</v>
      </c>
      <c r="L9202" s="36" t="s">
        <v>50883</v>
      </c>
      <c r="M9202" s="186"/>
      <c r="N9202" s="186"/>
      <c r="O9202" s="13" t="s">
        <v>17298</v>
      </c>
    </row>
    <row r="9203" spans="1:15" ht="25.5" x14ac:dyDescent="0.2">
      <c r="A9203" s="197" t="str">
        <f t="shared" si="143"/>
        <v>TacCode_chan025X</v>
      </c>
      <c r="B9203" s="409"/>
      <c r="C9203" s="416"/>
      <c r="D9203" s="198" t="s">
        <v>17304</v>
      </c>
      <c r="E9203" s="198">
        <v>61</v>
      </c>
      <c r="F9203" s="199" t="s">
        <v>17305</v>
      </c>
      <c r="G9203" s="1" t="s">
        <v>50884</v>
      </c>
      <c r="H9203" s="1" t="s">
        <v>16716</v>
      </c>
      <c r="I9203" s="346"/>
      <c r="J9203" s="39">
        <v>115822</v>
      </c>
      <c r="K9203" s="36" t="str">
        <f>CONCATENATE(Cover!$D$6,"fdd/view?i=",J9203)</f>
        <v>https://www.dgiwg.org/FAD/fdd/view?i=115822</v>
      </c>
      <c r="L9203" s="36" t="s">
        <v>50885</v>
      </c>
      <c r="M9203" s="186"/>
      <c r="N9203" s="186"/>
      <c r="O9203" s="13" t="s">
        <v>17303</v>
      </c>
    </row>
    <row r="9204" spans="1:15" ht="25.5" x14ac:dyDescent="0.2">
      <c r="A9204" s="197" t="str">
        <f t="shared" si="143"/>
        <v>TacCode_chan025Y</v>
      </c>
      <c r="B9204" s="409"/>
      <c r="C9204" s="416"/>
      <c r="D9204" s="198" t="s">
        <v>17309</v>
      </c>
      <c r="E9204" s="198">
        <v>62</v>
      </c>
      <c r="F9204" s="199" t="s">
        <v>17310</v>
      </c>
      <c r="G9204" s="1" t="s">
        <v>50886</v>
      </c>
      <c r="H9204" s="1" t="s">
        <v>16716</v>
      </c>
      <c r="I9204" s="346"/>
      <c r="J9204" s="39">
        <v>115823</v>
      </c>
      <c r="K9204" s="36" t="str">
        <f>CONCATENATE(Cover!$D$6,"fdd/view?i=",J9204)</f>
        <v>https://www.dgiwg.org/FAD/fdd/view?i=115823</v>
      </c>
      <c r="L9204" s="36" t="s">
        <v>50887</v>
      </c>
      <c r="M9204" s="186"/>
      <c r="N9204" s="186"/>
      <c r="O9204" s="13" t="s">
        <v>17308</v>
      </c>
    </row>
    <row r="9205" spans="1:15" ht="25.5" x14ac:dyDescent="0.2">
      <c r="A9205" s="197" t="str">
        <f t="shared" si="143"/>
        <v>TacCode_chan025Z</v>
      </c>
      <c r="B9205" s="409"/>
      <c r="C9205" s="416"/>
      <c r="D9205" s="198" t="s">
        <v>17314</v>
      </c>
      <c r="E9205" s="198">
        <v>63</v>
      </c>
      <c r="F9205" s="199" t="s">
        <v>17315</v>
      </c>
      <c r="G9205" s="1" t="s">
        <v>50888</v>
      </c>
      <c r="H9205" s="1" t="s">
        <v>16716</v>
      </c>
      <c r="I9205" s="346"/>
      <c r="J9205" s="39">
        <v>115824</v>
      </c>
      <c r="K9205" s="36" t="str">
        <f>CONCATENATE(Cover!$D$6,"fdd/view?i=",J9205)</f>
        <v>https://www.dgiwg.org/FAD/fdd/view?i=115824</v>
      </c>
      <c r="L9205" s="36" t="s">
        <v>50889</v>
      </c>
      <c r="M9205" s="186"/>
      <c r="N9205" s="186"/>
      <c r="O9205" s="13" t="s">
        <v>17313</v>
      </c>
    </row>
    <row r="9206" spans="1:15" ht="25.5" x14ac:dyDescent="0.2">
      <c r="A9206" s="197" t="str">
        <f t="shared" si="143"/>
        <v>TacCode_chan026W</v>
      </c>
      <c r="B9206" s="409"/>
      <c r="C9206" s="416"/>
      <c r="D9206" s="198" t="s">
        <v>17319</v>
      </c>
      <c r="E9206" s="198">
        <v>64</v>
      </c>
      <c r="F9206" s="199" t="s">
        <v>17320</v>
      </c>
      <c r="G9206" s="1" t="s">
        <v>50890</v>
      </c>
      <c r="H9206" s="1" t="s">
        <v>16716</v>
      </c>
      <c r="I9206" s="346"/>
      <c r="J9206" s="39">
        <v>115825</v>
      </c>
      <c r="K9206" s="36" t="str">
        <f>CONCATENATE(Cover!$D$6,"fdd/view?i=",J9206)</f>
        <v>https://www.dgiwg.org/FAD/fdd/view?i=115825</v>
      </c>
      <c r="L9206" s="36" t="s">
        <v>50891</v>
      </c>
      <c r="M9206" s="186"/>
      <c r="N9206" s="186"/>
      <c r="O9206" s="13" t="s">
        <v>17318</v>
      </c>
    </row>
    <row r="9207" spans="1:15" ht="25.5" x14ac:dyDescent="0.2">
      <c r="A9207" s="197" t="str">
        <f t="shared" si="143"/>
        <v>TacCode_chan026X</v>
      </c>
      <c r="B9207" s="409"/>
      <c r="C9207" s="416"/>
      <c r="D9207" s="198" t="s">
        <v>17324</v>
      </c>
      <c r="E9207" s="198">
        <v>65</v>
      </c>
      <c r="F9207" s="199" t="s">
        <v>17325</v>
      </c>
      <c r="G9207" s="1" t="s">
        <v>50892</v>
      </c>
      <c r="H9207" s="1" t="s">
        <v>16716</v>
      </c>
      <c r="I9207" s="346"/>
      <c r="J9207" s="39">
        <v>115826</v>
      </c>
      <c r="K9207" s="36" t="str">
        <f>CONCATENATE(Cover!$D$6,"fdd/view?i=",J9207)</f>
        <v>https://www.dgiwg.org/FAD/fdd/view?i=115826</v>
      </c>
      <c r="L9207" s="36" t="s">
        <v>50893</v>
      </c>
      <c r="M9207" s="186"/>
      <c r="N9207" s="186"/>
      <c r="O9207" s="13" t="s">
        <v>17323</v>
      </c>
    </row>
    <row r="9208" spans="1:15" ht="25.5" x14ac:dyDescent="0.2">
      <c r="A9208" s="197" t="str">
        <f t="shared" si="143"/>
        <v>TacCode_chan026Y</v>
      </c>
      <c r="B9208" s="409"/>
      <c r="C9208" s="416"/>
      <c r="D9208" s="198" t="s">
        <v>17329</v>
      </c>
      <c r="E9208" s="198">
        <v>66</v>
      </c>
      <c r="F9208" s="199" t="s">
        <v>17330</v>
      </c>
      <c r="G9208" s="1" t="s">
        <v>50894</v>
      </c>
      <c r="H9208" s="1" t="s">
        <v>16716</v>
      </c>
      <c r="I9208" s="346"/>
      <c r="J9208" s="39">
        <v>115827</v>
      </c>
      <c r="K9208" s="36" t="str">
        <f>CONCATENATE(Cover!$D$6,"fdd/view?i=",J9208)</f>
        <v>https://www.dgiwg.org/FAD/fdd/view?i=115827</v>
      </c>
      <c r="L9208" s="36" t="s">
        <v>50895</v>
      </c>
      <c r="M9208" s="186"/>
      <c r="N9208" s="186"/>
      <c r="O9208" s="13" t="s">
        <v>17328</v>
      </c>
    </row>
    <row r="9209" spans="1:15" ht="25.5" x14ac:dyDescent="0.2">
      <c r="A9209" s="197" t="str">
        <f t="shared" si="143"/>
        <v>TacCode_chan026Z</v>
      </c>
      <c r="B9209" s="409"/>
      <c r="C9209" s="416"/>
      <c r="D9209" s="198" t="s">
        <v>17334</v>
      </c>
      <c r="E9209" s="198">
        <v>67</v>
      </c>
      <c r="F9209" s="199" t="s">
        <v>17335</v>
      </c>
      <c r="G9209" s="1" t="s">
        <v>50896</v>
      </c>
      <c r="H9209" s="1" t="s">
        <v>16716</v>
      </c>
      <c r="I9209" s="346"/>
      <c r="J9209" s="39">
        <v>115828</v>
      </c>
      <c r="K9209" s="36" t="str">
        <f>CONCATENATE(Cover!$D$6,"fdd/view?i=",J9209)</f>
        <v>https://www.dgiwg.org/FAD/fdd/view?i=115828</v>
      </c>
      <c r="L9209" s="36" t="s">
        <v>50897</v>
      </c>
      <c r="M9209" s="186"/>
      <c r="N9209" s="186"/>
      <c r="O9209" s="13" t="s">
        <v>17333</v>
      </c>
    </row>
    <row r="9210" spans="1:15" ht="25.5" x14ac:dyDescent="0.2">
      <c r="A9210" s="197" t="str">
        <f t="shared" si="143"/>
        <v>TacCode_chan027X</v>
      </c>
      <c r="B9210" s="409"/>
      <c r="C9210" s="416"/>
      <c r="D9210" s="198" t="s">
        <v>17339</v>
      </c>
      <c r="E9210" s="198">
        <v>68</v>
      </c>
      <c r="F9210" s="199" t="s">
        <v>17340</v>
      </c>
      <c r="G9210" s="1" t="s">
        <v>50898</v>
      </c>
      <c r="H9210" s="1" t="s">
        <v>16716</v>
      </c>
      <c r="I9210" s="346"/>
      <c r="J9210" s="39">
        <v>115829</v>
      </c>
      <c r="K9210" s="36" t="str">
        <f>CONCATENATE(Cover!$D$6,"fdd/view?i=",J9210)</f>
        <v>https://www.dgiwg.org/FAD/fdd/view?i=115829</v>
      </c>
      <c r="L9210" s="36" t="s">
        <v>50899</v>
      </c>
      <c r="M9210" s="186"/>
      <c r="N9210" s="186"/>
      <c r="O9210" s="13" t="s">
        <v>17338</v>
      </c>
    </row>
    <row r="9211" spans="1:15" ht="25.5" x14ac:dyDescent="0.2">
      <c r="A9211" s="197" t="str">
        <f t="shared" si="143"/>
        <v>TacCode_chan027Y</v>
      </c>
      <c r="B9211" s="409"/>
      <c r="C9211" s="416"/>
      <c r="D9211" s="198" t="s">
        <v>17344</v>
      </c>
      <c r="E9211" s="198">
        <v>69</v>
      </c>
      <c r="F9211" s="199" t="s">
        <v>17345</v>
      </c>
      <c r="G9211" s="1" t="s">
        <v>50900</v>
      </c>
      <c r="H9211" s="1" t="s">
        <v>16716</v>
      </c>
      <c r="I9211" s="346"/>
      <c r="J9211" s="39">
        <v>115830</v>
      </c>
      <c r="K9211" s="36" t="str">
        <f>CONCATENATE(Cover!$D$6,"fdd/view?i=",J9211)</f>
        <v>https://www.dgiwg.org/FAD/fdd/view?i=115830</v>
      </c>
      <c r="L9211" s="36" t="s">
        <v>50901</v>
      </c>
      <c r="M9211" s="186"/>
      <c r="N9211" s="186"/>
      <c r="O9211" s="13" t="s">
        <v>17343</v>
      </c>
    </row>
    <row r="9212" spans="1:15" ht="25.5" x14ac:dyDescent="0.2">
      <c r="A9212" s="197" t="str">
        <f t="shared" si="143"/>
        <v>TacCode_chan027Z</v>
      </c>
      <c r="B9212" s="409"/>
      <c r="C9212" s="416"/>
      <c r="D9212" s="198" t="s">
        <v>17349</v>
      </c>
      <c r="E9212" s="198">
        <v>70</v>
      </c>
      <c r="F9212" s="199" t="s">
        <v>17350</v>
      </c>
      <c r="G9212" s="1" t="s">
        <v>50902</v>
      </c>
      <c r="H9212" s="1" t="s">
        <v>16716</v>
      </c>
      <c r="I9212" s="346"/>
      <c r="J9212" s="39">
        <v>115831</v>
      </c>
      <c r="K9212" s="36" t="str">
        <f>CONCATENATE(Cover!$D$6,"fdd/view?i=",J9212)</f>
        <v>https://www.dgiwg.org/FAD/fdd/view?i=115831</v>
      </c>
      <c r="L9212" s="36" t="s">
        <v>50903</v>
      </c>
      <c r="M9212" s="186"/>
      <c r="N9212" s="186"/>
      <c r="O9212" s="13" t="s">
        <v>17348</v>
      </c>
    </row>
    <row r="9213" spans="1:15" ht="25.5" x14ac:dyDescent="0.2">
      <c r="A9213" s="197" t="str">
        <f t="shared" si="143"/>
        <v>TacCode_chan028W</v>
      </c>
      <c r="B9213" s="409"/>
      <c r="C9213" s="416"/>
      <c r="D9213" s="198" t="s">
        <v>17354</v>
      </c>
      <c r="E9213" s="198">
        <v>71</v>
      </c>
      <c r="F9213" s="199" t="s">
        <v>17355</v>
      </c>
      <c r="G9213" s="1" t="s">
        <v>50904</v>
      </c>
      <c r="H9213" s="1" t="s">
        <v>16716</v>
      </c>
      <c r="I9213" s="346"/>
      <c r="J9213" s="39">
        <v>115832</v>
      </c>
      <c r="K9213" s="36" t="str">
        <f>CONCATENATE(Cover!$D$6,"fdd/view?i=",J9213)</f>
        <v>https://www.dgiwg.org/FAD/fdd/view?i=115832</v>
      </c>
      <c r="L9213" s="36" t="s">
        <v>50905</v>
      </c>
      <c r="M9213" s="186"/>
      <c r="N9213" s="186"/>
      <c r="O9213" s="13" t="s">
        <v>17353</v>
      </c>
    </row>
    <row r="9214" spans="1:15" ht="25.5" x14ac:dyDescent="0.2">
      <c r="A9214" s="197" t="str">
        <f t="shared" si="143"/>
        <v>TacCode_chan028X</v>
      </c>
      <c r="B9214" s="409"/>
      <c r="C9214" s="416"/>
      <c r="D9214" s="198" t="s">
        <v>17359</v>
      </c>
      <c r="E9214" s="198">
        <v>72</v>
      </c>
      <c r="F9214" s="199" t="s">
        <v>17360</v>
      </c>
      <c r="G9214" s="1" t="s">
        <v>50906</v>
      </c>
      <c r="H9214" s="1" t="s">
        <v>16716</v>
      </c>
      <c r="I9214" s="346"/>
      <c r="J9214" s="39">
        <v>115833</v>
      </c>
      <c r="K9214" s="36" t="str">
        <f>CONCATENATE(Cover!$D$6,"fdd/view?i=",J9214)</f>
        <v>https://www.dgiwg.org/FAD/fdd/view?i=115833</v>
      </c>
      <c r="L9214" s="36" t="s">
        <v>50907</v>
      </c>
      <c r="M9214" s="186"/>
      <c r="N9214" s="186"/>
      <c r="O9214" s="13" t="s">
        <v>17358</v>
      </c>
    </row>
    <row r="9215" spans="1:15" ht="25.5" x14ac:dyDescent="0.2">
      <c r="A9215" s="197" t="str">
        <f t="shared" si="143"/>
        <v>TacCode_chan028Y</v>
      </c>
      <c r="B9215" s="409"/>
      <c r="C9215" s="416"/>
      <c r="D9215" s="198" t="s">
        <v>17364</v>
      </c>
      <c r="E9215" s="198">
        <v>73</v>
      </c>
      <c r="F9215" s="199" t="s">
        <v>17365</v>
      </c>
      <c r="G9215" s="1" t="s">
        <v>50908</v>
      </c>
      <c r="H9215" s="1" t="s">
        <v>16716</v>
      </c>
      <c r="I9215" s="346"/>
      <c r="J9215" s="39">
        <v>115834</v>
      </c>
      <c r="K9215" s="36" t="str">
        <f>CONCATENATE(Cover!$D$6,"fdd/view?i=",J9215)</f>
        <v>https://www.dgiwg.org/FAD/fdd/view?i=115834</v>
      </c>
      <c r="L9215" s="36" t="s">
        <v>50909</v>
      </c>
      <c r="M9215" s="186"/>
      <c r="N9215" s="186"/>
      <c r="O9215" s="13" t="s">
        <v>17363</v>
      </c>
    </row>
    <row r="9216" spans="1:15" ht="25.5" x14ac:dyDescent="0.2">
      <c r="A9216" s="197" t="str">
        <f t="shared" si="143"/>
        <v>TacCode_chan028Z</v>
      </c>
      <c r="B9216" s="409"/>
      <c r="C9216" s="416"/>
      <c r="D9216" s="198" t="s">
        <v>17369</v>
      </c>
      <c r="E9216" s="198">
        <v>74</v>
      </c>
      <c r="F9216" s="199" t="s">
        <v>17370</v>
      </c>
      <c r="G9216" s="1" t="s">
        <v>50910</v>
      </c>
      <c r="H9216" s="1" t="s">
        <v>16716</v>
      </c>
      <c r="I9216" s="346"/>
      <c r="J9216" s="39">
        <v>115835</v>
      </c>
      <c r="K9216" s="36" t="str">
        <f>CONCATENATE(Cover!$D$6,"fdd/view?i=",J9216)</f>
        <v>https://www.dgiwg.org/FAD/fdd/view?i=115835</v>
      </c>
      <c r="L9216" s="36" t="s">
        <v>50911</v>
      </c>
      <c r="M9216" s="186"/>
      <c r="N9216" s="186"/>
      <c r="O9216" s="13" t="s">
        <v>17368</v>
      </c>
    </row>
    <row r="9217" spans="1:15" ht="25.5" x14ac:dyDescent="0.2">
      <c r="A9217" s="197" t="str">
        <f t="shared" si="143"/>
        <v>TacCode_chan029X</v>
      </c>
      <c r="B9217" s="409"/>
      <c r="C9217" s="416"/>
      <c r="D9217" s="198" t="s">
        <v>17374</v>
      </c>
      <c r="E9217" s="198">
        <v>75</v>
      </c>
      <c r="F9217" s="199" t="s">
        <v>17375</v>
      </c>
      <c r="G9217" s="1" t="s">
        <v>50912</v>
      </c>
      <c r="H9217" s="1" t="s">
        <v>16716</v>
      </c>
      <c r="I9217" s="346"/>
      <c r="J9217" s="39">
        <v>115836</v>
      </c>
      <c r="K9217" s="36" t="str">
        <f>CONCATENATE(Cover!$D$6,"fdd/view?i=",J9217)</f>
        <v>https://www.dgiwg.org/FAD/fdd/view?i=115836</v>
      </c>
      <c r="L9217" s="36" t="s">
        <v>50913</v>
      </c>
      <c r="M9217" s="186"/>
      <c r="N9217" s="186"/>
      <c r="O9217" s="13" t="s">
        <v>17373</v>
      </c>
    </row>
    <row r="9218" spans="1:15" ht="25.5" x14ac:dyDescent="0.2">
      <c r="A9218" s="197" t="str">
        <f t="shared" ref="A9218:A9281" si="144">HYPERLINK(K9218,L9218)</f>
        <v>TacCode_chan029Y</v>
      </c>
      <c r="B9218" s="409"/>
      <c r="C9218" s="416"/>
      <c r="D9218" s="198" t="s">
        <v>17379</v>
      </c>
      <c r="E9218" s="198">
        <v>76</v>
      </c>
      <c r="F9218" s="199" t="s">
        <v>17380</v>
      </c>
      <c r="G9218" s="1" t="s">
        <v>50914</v>
      </c>
      <c r="H9218" s="1" t="s">
        <v>16716</v>
      </c>
      <c r="I9218" s="346"/>
      <c r="J9218" s="39">
        <v>115837</v>
      </c>
      <c r="K9218" s="36" t="str">
        <f>CONCATENATE(Cover!$D$6,"fdd/view?i=",J9218)</f>
        <v>https://www.dgiwg.org/FAD/fdd/view?i=115837</v>
      </c>
      <c r="L9218" s="36" t="s">
        <v>50915</v>
      </c>
      <c r="M9218" s="186"/>
      <c r="N9218" s="186"/>
      <c r="O9218" s="13" t="s">
        <v>17378</v>
      </c>
    </row>
    <row r="9219" spans="1:15" ht="25.5" x14ac:dyDescent="0.2">
      <c r="A9219" s="197" t="str">
        <f t="shared" si="144"/>
        <v>TacCode_chan029Z</v>
      </c>
      <c r="B9219" s="409"/>
      <c r="C9219" s="416"/>
      <c r="D9219" s="198" t="s">
        <v>17384</v>
      </c>
      <c r="E9219" s="198">
        <v>77</v>
      </c>
      <c r="F9219" s="199" t="s">
        <v>17385</v>
      </c>
      <c r="G9219" s="1" t="s">
        <v>50916</v>
      </c>
      <c r="H9219" s="1" t="s">
        <v>16716</v>
      </c>
      <c r="I9219" s="346"/>
      <c r="J9219" s="39">
        <v>115838</v>
      </c>
      <c r="K9219" s="36" t="str">
        <f>CONCATENATE(Cover!$D$6,"fdd/view?i=",J9219)</f>
        <v>https://www.dgiwg.org/FAD/fdd/view?i=115838</v>
      </c>
      <c r="L9219" s="36" t="s">
        <v>50917</v>
      </c>
      <c r="M9219" s="186"/>
      <c r="N9219" s="186"/>
      <c r="O9219" s="13" t="s">
        <v>17383</v>
      </c>
    </row>
    <row r="9220" spans="1:15" ht="25.5" x14ac:dyDescent="0.2">
      <c r="A9220" s="197" t="str">
        <f t="shared" si="144"/>
        <v>TacCode_chan030W</v>
      </c>
      <c r="B9220" s="409"/>
      <c r="C9220" s="416"/>
      <c r="D9220" s="198" t="s">
        <v>17399</v>
      </c>
      <c r="E9220" s="198">
        <v>78</v>
      </c>
      <c r="F9220" s="199" t="s">
        <v>17400</v>
      </c>
      <c r="G9220" s="1" t="s">
        <v>50922</v>
      </c>
      <c r="H9220" s="1" t="s">
        <v>16716</v>
      </c>
      <c r="I9220" s="346"/>
      <c r="J9220" s="39">
        <v>115839</v>
      </c>
      <c r="K9220" s="36" t="str">
        <f>CONCATENATE(Cover!$D$6,"fdd/view?i=",J9220)</f>
        <v>https://www.dgiwg.org/FAD/fdd/view?i=115839</v>
      </c>
      <c r="L9220" s="36" t="s">
        <v>50923</v>
      </c>
      <c r="M9220" s="186"/>
      <c r="N9220" s="186"/>
      <c r="O9220" s="13" t="s">
        <v>17398</v>
      </c>
    </row>
    <row r="9221" spans="1:15" ht="25.5" x14ac:dyDescent="0.2">
      <c r="A9221" s="197" t="str">
        <f t="shared" si="144"/>
        <v>TacCode_chan030X</v>
      </c>
      <c r="B9221" s="409"/>
      <c r="C9221" s="416"/>
      <c r="D9221" s="198" t="s">
        <v>17404</v>
      </c>
      <c r="E9221" s="198">
        <v>79</v>
      </c>
      <c r="F9221" s="199" t="s">
        <v>17405</v>
      </c>
      <c r="G9221" s="1" t="s">
        <v>50924</v>
      </c>
      <c r="H9221" s="1" t="s">
        <v>16716</v>
      </c>
      <c r="I9221" s="346"/>
      <c r="J9221" s="39">
        <v>115840</v>
      </c>
      <c r="K9221" s="36" t="str">
        <f>CONCATENATE(Cover!$D$6,"fdd/view?i=",J9221)</f>
        <v>https://www.dgiwg.org/FAD/fdd/view?i=115840</v>
      </c>
      <c r="L9221" s="36" t="s">
        <v>50925</v>
      </c>
      <c r="M9221" s="186"/>
      <c r="N9221" s="186"/>
      <c r="O9221" s="13" t="s">
        <v>17403</v>
      </c>
    </row>
    <row r="9222" spans="1:15" ht="25.5" x14ac:dyDescent="0.2">
      <c r="A9222" s="197" t="str">
        <f t="shared" si="144"/>
        <v>TacCode_chan030Y</v>
      </c>
      <c r="B9222" s="409"/>
      <c r="C9222" s="416"/>
      <c r="D9222" s="198" t="s">
        <v>17409</v>
      </c>
      <c r="E9222" s="198">
        <v>80</v>
      </c>
      <c r="F9222" s="199" t="s">
        <v>17410</v>
      </c>
      <c r="G9222" s="1" t="s">
        <v>50926</v>
      </c>
      <c r="H9222" s="1" t="s">
        <v>16716</v>
      </c>
      <c r="I9222" s="346"/>
      <c r="J9222" s="39">
        <v>115841</v>
      </c>
      <c r="K9222" s="36" t="str">
        <f>CONCATENATE(Cover!$D$6,"fdd/view?i=",J9222)</f>
        <v>https://www.dgiwg.org/FAD/fdd/view?i=115841</v>
      </c>
      <c r="L9222" s="36" t="s">
        <v>50927</v>
      </c>
      <c r="M9222" s="186"/>
      <c r="N9222" s="186"/>
      <c r="O9222" s="13" t="s">
        <v>17408</v>
      </c>
    </row>
    <row r="9223" spans="1:15" ht="25.5" x14ac:dyDescent="0.2">
      <c r="A9223" s="197" t="str">
        <f t="shared" si="144"/>
        <v>TacCode_chan030Z</v>
      </c>
      <c r="B9223" s="409"/>
      <c r="C9223" s="416"/>
      <c r="D9223" s="198" t="s">
        <v>17414</v>
      </c>
      <c r="E9223" s="198">
        <v>81</v>
      </c>
      <c r="F9223" s="199" t="s">
        <v>17415</v>
      </c>
      <c r="G9223" s="1" t="s">
        <v>50928</v>
      </c>
      <c r="H9223" s="1" t="s">
        <v>16716</v>
      </c>
      <c r="I9223" s="346"/>
      <c r="J9223" s="39">
        <v>115842</v>
      </c>
      <c r="K9223" s="36" t="str">
        <f>CONCATENATE(Cover!$D$6,"fdd/view?i=",J9223)</f>
        <v>https://www.dgiwg.org/FAD/fdd/view?i=115842</v>
      </c>
      <c r="L9223" s="36" t="s">
        <v>50929</v>
      </c>
      <c r="M9223" s="186"/>
      <c r="N9223" s="186"/>
      <c r="O9223" s="13" t="s">
        <v>17413</v>
      </c>
    </row>
    <row r="9224" spans="1:15" ht="25.5" x14ac:dyDescent="0.2">
      <c r="A9224" s="197" t="str">
        <f t="shared" si="144"/>
        <v>TacCode_chan031X</v>
      </c>
      <c r="B9224" s="409"/>
      <c r="C9224" s="416"/>
      <c r="D9224" s="198" t="s">
        <v>17419</v>
      </c>
      <c r="E9224" s="198">
        <v>82</v>
      </c>
      <c r="F9224" s="199" t="s">
        <v>17420</v>
      </c>
      <c r="G9224" s="1" t="s">
        <v>50930</v>
      </c>
      <c r="H9224" s="1" t="s">
        <v>16716</v>
      </c>
      <c r="I9224" s="346"/>
      <c r="J9224" s="39">
        <v>115843</v>
      </c>
      <c r="K9224" s="36" t="str">
        <f>CONCATENATE(Cover!$D$6,"fdd/view?i=",J9224)</f>
        <v>https://www.dgiwg.org/FAD/fdd/view?i=115843</v>
      </c>
      <c r="L9224" s="36" t="s">
        <v>50931</v>
      </c>
      <c r="M9224" s="186"/>
      <c r="N9224" s="186"/>
      <c r="O9224" s="13" t="s">
        <v>17418</v>
      </c>
    </row>
    <row r="9225" spans="1:15" ht="25.5" x14ac:dyDescent="0.2">
      <c r="A9225" s="197" t="str">
        <f t="shared" si="144"/>
        <v>TacCode_chan031Y</v>
      </c>
      <c r="B9225" s="409"/>
      <c r="C9225" s="416"/>
      <c r="D9225" s="198" t="s">
        <v>17424</v>
      </c>
      <c r="E9225" s="198">
        <v>83</v>
      </c>
      <c r="F9225" s="199" t="s">
        <v>17425</v>
      </c>
      <c r="G9225" s="1" t="s">
        <v>50932</v>
      </c>
      <c r="H9225" s="1" t="s">
        <v>16716</v>
      </c>
      <c r="I9225" s="346"/>
      <c r="J9225" s="39">
        <v>115844</v>
      </c>
      <c r="K9225" s="36" t="str">
        <f>CONCATENATE(Cover!$D$6,"fdd/view?i=",J9225)</f>
        <v>https://www.dgiwg.org/FAD/fdd/view?i=115844</v>
      </c>
      <c r="L9225" s="36" t="s">
        <v>50933</v>
      </c>
      <c r="M9225" s="186"/>
      <c r="N9225" s="186"/>
      <c r="O9225" s="13" t="s">
        <v>17423</v>
      </c>
    </row>
    <row r="9226" spans="1:15" ht="25.5" x14ac:dyDescent="0.2">
      <c r="A9226" s="197" t="str">
        <f t="shared" si="144"/>
        <v>TacCode_chan031Z</v>
      </c>
      <c r="B9226" s="409"/>
      <c r="C9226" s="416"/>
      <c r="D9226" s="198" t="s">
        <v>17429</v>
      </c>
      <c r="E9226" s="198">
        <v>84</v>
      </c>
      <c r="F9226" s="199" t="s">
        <v>17430</v>
      </c>
      <c r="G9226" s="1" t="s">
        <v>50934</v>
      </c>
      <c r="H9226" s="1" t="s">
        <v>16716</v>
      </c>
      <c r="I9226" s="346"/>
      <c r="J9226" s="39">
        <v>115845</v>
      </c>
      <c r="K9226" s="36" t="str">
        <f>CONCATENATE(Cover!$D$6,"fdd/view?i=",J9226)</f>
        <v>https://www.dgiwg.org/FAD/fdd/view?i=115845</v>
      </c>
      <c r="L9226" s="36" t="s">
        <v>50935</v>
      </c>
      <c r="M9226" s="186"/>
      <c r="N9226" s="186"/>
      <c r="O9226" s="13" t="s">
        <v>17428</v>
      </c>
    </row>
    <row r="9227" spans="1:15" ht="25.5" x14ac:dyDescent="0.2">
      <c r="A9227" s="197" t="str">
        <f t="shared" si="144"/>
        <v>TacCode_chan032W</v>
      </c>
      <c r="B9227" s="409"/>
      <c r="C9227" s="416"/>
      <c r="D9227" s="198" t="s">
        <v>17434</v>
      </c>
      <c r="E9227" s="198">
        <v>85</v>
      </c>
      <c r="F9227" s="199" t="s">
        <v>17435</v>
      </c>
      <c r="G9227" s="1" t="s">
        <v>50936</v>
      </c>
      <c r="H9227" s="1" t="s">
        <v>16716</v>
      </c>
      <c r="I9227" s="346"/>
      <c r="J9227" s="39">
        <v>115846</v>
      </c>
      <c r="K9227" s="36" t="str">
        <f>CONCATENATE(Cover!$D$6,"fdd/view?i=",J9227)</f>
        <v>https://www.dgiwg.org/FAD/fdd/view?i=115846</v>
      </c>
      <c r="L9227" s="36" t="s">
        <v>50937</v>
      </c>
      <c r="M9227" s="186"/>
      <c r="N9227" s="186"/>
      <c r="O9227" s="13" t="s">
        <v>17433</v>
      </c>
    </row>
    <row r="9228" spans="1:15" ht="25.5" x14ac:dyDescent="0.2">
      <c r="A9228" s="197" t="str">
        <f t="shared" si="144"/>
        <v>TacCode_chan032X</v>
      </c>
      <c r="B9228" s="409"/>
      <c r="C9228" s="416"/>
      <c r="D9228" s="198" t="s">
        <v>17439</v>
      </c>
      <c r="E9228" s="198">
        <v>86</v>
      </c>
      <c r="F9228" s="199" t="s">
        <v>17440</v>
      </c>
      <c r="G9228" s="1" t="s">
        <v>50938</v>
      </c>
      <c r="H9228" s="1" t="s">
        <v>16716</v>
      </c>
      <c r="I9228" s="346"/>
      <c r="J9228" s="39">
        <v>115847</v>
      </c>
      <c r="K9228" s="36" t="str">
        <f>CONCATENATE(Cover!$D$6,"fdd/view?i=",J9228)</f>
        <v>https://www.dgiwg.org/FAD/fdd/view?i=115847</v>
      </c>
      <c r="L9228" s="36" t="s">
        <v>50939</v>
      </c>
      <c r="M9228" s="186"/>
      <c r="N9228" s="186"/>
      <c r="O9228" s="13" t="s">
        <v>17438</v>
      </c>
    </row>
    <row r="9229" spans="1:15" ht="25.5" x14ac:dyDescent="0.2">
      <c r="A9229" s="197" t="str">
        <f t="shared" si="144"/>
        <v>TacCode_chan032Y</v>
      </c>
      <c r="B9229" s="409"/>
      <c r="C9229" s="416"/>
      <c r="D9229" s="198" t="s">
        <v>17444</v>
      </c>
      <c r="E9229" s="198">
        <v>87</v>
      </c>
      <c r="F9229" s="199" t="s">
        <v>17445</v>
      </c>
      <c r="G9229" s="1" t="s">
        <v>50940</v>
      </c>
      <c r="H9229" s="1" t="s">
        <v>16716</v>
      </c>
      <c r="I9229" s="346"/>
      <c r="J9229" s="39">
        <v>115848</v>
      </c>
      <c r="K9229" s="36" t="str">
        <f>CONCATENATE(Cover!$D$6,"fdd/view?i=",J9229)</f>
        <v>https://www.dgiwg.org/FAD/fdd/view?i=115848</v>
      </c>
      <c r="L9229" s="36" t="s">
        <v>50941</v>
      </c>
      <c r="M9229" s="186"/>
      <c r="N9229" s="186"/>
      <c r="O9229" s="13" t="s">
        <v>17443</v>
      </c>
    </row>
    <row r="9230" spans="1:15" ht="25.5" x14ac:dyDescent="0.2">
      <c r="A9230" s="197" t="str">
        <f t="shared" si="144"/>
        <v>TacCode_chan032Z</v>
      </c>
      <c r="B9230" s="409"/>
      <c r="C9230" s="416"/>
      <c r="D9230" s="198" t="s">
        <v>17449</v>
      </c>
      <c r="E9230" s="198">
        <v>88</v>
      </c>
      <c r="F9230" s="199" t="s">
        <v>17450</v>
      </c>
      <c r="G9230" s="1" t="s">
        <v>50942</v>
      </c>
      <c r="H9230" s="1" t="s">
        <v>16716</v>
      </c>
      <c r="I9230" s="346"/>
      <c r="J9230" s="39">
        <v>115849</v>
      </c>
      <c r="K9230" s="36" t="str">
        <f>CONCATENATE(Cover!$D$6,"fdd/view?i=",J9230)</f>
        <v>https://www.dgiwg.org/FAD/fdd/view?i=115849</v>
      </c>
      <c r="L9230" s="36" t="s">
        <v>50943</v>
      </c>
      <c r="M9230" s="186"/>
      <c r="N9230" s="186"/>
      <c r="O9230" s="13" t="s">
        <v>17448</v>
      </c>
    </row>
    <row r="9231" spans="1:15" ht="25.5" x14ac:dyDescent="0.2">
      <c r="A9231" s="197" t="str">
        <f t="shared" si="144"/>
        <v>TacCode_chan033X</v>
      </c>
      <c r="B9231" s="409"/>
      <c r="C9231" s="416"/>
      <c r="D9231" s="198" t="s">
        <v>17454</v>
      </c>
      <c r="E9231" s="198">
        <v>89</v>
      </c>
      <c r="F9231" s="199" t="s">
        <v>17455</v>
      </c>
      <c r="G9231" s="1" t="s">
        <v>50944</v>
      </c>
      <c r="H9231" s="1" t="s">
        <v>16716</v>
      </c>
      <c r="I9231" s="346"/>
      <c r="J9231" s="39">
        <v>115850</v>
      </c>
      <c r="K9231" s="36" t="str">
        <f>CONCATENATE(Cover!$D$6,"fdd/view?i=",J9231)</f>
        <v>https://www.dgiwg.org/FAD/fdd/view?i=115850</v>
      </c>
      <c r="L9231" s="36" t="s">
        <v>50945</v>
      </c>
      <c r="M9231" s="186"/>
      <c r="N9231" s="186"/>
      <c r="O9231" s="13" t="s">
        <v>17453</v>
      </c>
    </row>
    <row r="9232" spans="1:15" ht="25.5" x14ac:dyDescent="0.2">
      <c r="A9232" s="197" t="str">
        <f t="shared" si="144"/>
        <v>TacCode_chan033Y</v>
      </c>
      <c r="B9232" s="409"/>
      <c r="C9232" s="416"/>
      <c r="D9232" s="198" t="s">
        <v>17459</v>
      </c>
      <c r="E9232" s="198">
        <v>90</v>
      </c>
      <c r="F9232" s="199" t="s">
        <v>17460</v>
      </c>
      <c r="G9232" s="1" t="s">
        <v>50946</v>
      </c>
      <c r="H9232" s="1" t="s">
        <v>16716</v>
      </c>
      <c r="I9232" s="346"/>
      <c r="J9232" s="39">
        <v>115851</v>
      </c>
      <c r="K9232" s="36" t="str">
        <f>CONCATENATE(Cover!$D$6,"fdd/view?i=",J9232)</f>
        <v>https://www.dgiwg.org/FAD/fdd/view?i=115851</v>
      </c>
      <c r="L9232" s="36" t="s">
        <v>50947</v>
      </c>
      <c r="M9232" s="186"/>
      <c r="N9232" s="186"/>
      <c r="O9232" s="13" t="s">
        <v>17458</v>
      </c>
    </row>
    <row r="9233" spans="1:15" ht="25.5" x14ac:dyDescent="0.2">
      <c r="A9233" s="197" t="str">
        <f t="shared" si="144"/>
        <v>TacCode_chan033Z</v>
      </c>
      <c r="B9233" s="409"/>
      <c r="C9233" s="416"/>
      <c r="D9233" s="198" t="s">
        <v>17464</v>
      </c>
      <c r="E9233" s="198">
        <v>91</v>
      </c>
      <c r="F9233" s="199" t="s">
        <v>17465</v>
      </c>
      <c r="G9233" s="1" t="s">
        <v>50948</v>
      </c>
      <c r="H9233" s="1" t="s">
        <v>16716</v>
      </c>
      <c r="I9233" s="346"/>
      <c r="J9233" s="39">
        <v>115852</v>
      </c>
      <c r="K9233" s="36" t="str">
        <f>CONCATENATE(Cover!$D$6,"fdd/view?i=",J9233)</f>
        <v>https://www.dgiwg.org/FAD/fdd/view?i=115852</v>
      </c>
      <c r="L9233" s="36" t="s">
        <v>50949</v>
      </c>
      <c r="M9233" s="186"/>
      <c r="N9233" s="186"/>
      <c r="O9233" s="13" t="s">
        <v>17463</v>
      </c>
    </row>
    <row r="9234" spans="1:15" ht="25.5" x14ac:dyDescent="0.2">
      <c r="A9234" s="197" t="str">
        <f t="shared" si="144"/>
        <v>TacCode_chan034W</v>
      </c>
      <c r="B9234" s="409"/>
      <c r="C9234" s="416"/>
      <c r="D9234" s="198" t="s">
        <v>17469</v>
      </c>
      <c r="E9234" s="198">
        <v>92</v>
      </c>
      <c r="F9234" s="199" t="s">
        <v>17470</v>
      </c>
      <c r="G9234" s="1" t="s">
        <v>50950</v>
      </c>
      <c r="H9234" s="1" t="s">
        <v>16716</v>
      </c>
      <c r="I9234" s="346"/>
      <c r="J9234" s="39">
        <v>115853</v>
      </c>
      <c r="K9234" s="36" t="str">
        <f>CONCATENATE(Cover!$D$6,"fdd/view?i=",J9234)</f>
        <v>https://www.dgiwg.org/FAD/fdd/view?i=115853</v>
      </c>
      <c r="L9234" s="36" t="s">
        <v>50951</v>
      </c>
      <c r="M9234" s="186"/>
      <c r="N9234" s="186"/>
      <c r="O9234" s="13" t="s">
        <v>17468</v>
      </c>
    </row>
    <row r="9235" spans="1:15" ht="25.5" x14ac:dyDescent="0.2">
      <c r="A9235" s="197" t="str">
        <f t="shared" si="144"/>
        <v>TacCode_chan034X</v>
      </c>
      <c r="B9235" s="409"/>
      <c r="C9235" s="416"/>
      <c r="D9235" s="198" t="s">
        <v>17474</v>
      </c>
      <c r="E9235" s="198">
        <v>93</v>
      </c>
      <c r="F9235" s="199" t="s">
        <v>17475</v>
      </c>
      <c r="G9235" s="1" t="s">
        <v>50952</v>
      </c>
      <c r="H9235" s="1" t="s">
        <v>16716</v>
      </c>
      <c r="I9235" s="346"/>
      <c r="J9235" s="39">
        <v>115854</v>
      </c>
      <c r="K9235" s="36" t="str">
        <f>CONCATENATE(Cover!$D$6,"fdd/view?i=",J9235)</f>
        <v>https://www.dgiwg.org/FAD/fdd/view?i=115854</v>
      </c>
      <c r="L9235" s="36" t="s">
        <v>50953</v>
      </c>
      <c r="M9235" s="186"/>
      <c r="N9235" s="186"/>
      <c r="O9235" s="13" t="s">
        <v>17473</v>
      </c>
    </row>
    <row r="9236" spans="1:15" ht="25.5" x14ac:dyDescent="0.2">
      <c r="A9236" s="197" t="str">
        <f t="shared" si="144"/>
        <v>TacCode_chan034Y</v>
      </c>
      <c r="B9236" s="409"/>
      <c r="C9236" s="416"/>
      <c r="D9236" s="198" t="s">
        <v>17479</v>
      </c>
      <c r="E9236" s="198">
        <v>94</v>
      </c>
      <c r="F9236" s="199" t="s">
        <v>17480</v>
      </c>
      <c r="G9236" s="1" t="s">
        <v>50954</v>
      </c>
      <c r="H9236" s="1" t="s">
        <v>16716</v>
      </c>
      <c r="I9236" s="346"/>
      <c r="J9236" s="39">
        <v>115855</v>
      </c>
      <c r="K9236" s="36" t="str">
        <f>CONCATENATE(Cover!$D$6,"fdd/view?i=",J9236)</f>
        <v>https://www.dgiwg.org/FAD/fdd/view?i=115855</v>
      </c>
      <c r="L9236" s="36" t="s">
        <v>50955</v>
      </c>
      <c r="M9236" s="186"/>
      <c r="N9236" s="186"/>
      <c r="O9236" s="13" t="s">
        <v>17478</v>
      </c>
    </row>
    <row r="9237" spans="1:15" ht="25.5" x14ac:dyDescent="0.2">
      <c r="A9237" s="197" t="str">
        <f t="shared" si="144"/>
        <v>TacCode_chan034Z</v>
      </c>
      <c r="B9237" s="409"/>
      <c r="C9237" s="416"/>
      <c r="D9237" s="198" t="s">
        <v>17484</v>
      </c>
      <c r="E9237" s="198">
        <v>95</v>
      </c>
      <c r="F9237" s="199" t="s">
        <v>17485</v>
      </c>
      <c r="G9237" s="1" t="s">
        <v>50956</v>
      </c>
      <c r="H9237" s="1" t="s">
        <v>16716</v>
      </c>
      <c r="I9237" s="346"/>
      <c r="J9237" s="39">
        <v>115856</v>
      </c>
      <c r="K9237" s="36" t="str">
        <f>CONCATENATE(Cover!$D$6,"fdd/view?i=",J9237)</f>
        <v>https://www.dgiwg.org/FAD/fdd/view?i=115856</v>
      </c>
      <c r="L9237" s="36" t="s">
        <v>50957</v>
      </c>
      <c r="M9237" s="186"/>
      <c r="N9237" s="186"/>
      <c r="O9237" s="13" t="s">
        <v>17483</v>
      </c>
    </row>
    <row r="9238" spans="1:15" ht="25.5" x14ac:dyDescent="0.2">
      <c r="A9238" s="197" t="str">
        <f t="shared" si="144"/>
        <v>TacCode_chan035X</v>
      </c>
      <c r="B9238" s="409"/>
      <c r="C9238" s="416"/>
      <c r="D9238" s="198" t="s">
        <v>17489</v>
      </c>
      <c r="E9238" s="198">
        <v>96</v>
      </c>
      <c r="F9238" s="199" t="s">
        <v>17490</v>
      </c>
      <c r="G9238" s="1" t="s">
        <v>50958</v>
      </c>
      <c r="H9238" s="1" t="s">
        <v>16716</v>
      </c>
      <c r="I9238" s="346"/>
      <c r="J9238" s="39">
        <v>115857</v>
      </c>
      <c r="K9238" s="36" t="str">
        <f>CONCATENATE(Cover!$D$6,"fdd/view?i=",J9238)</f>
        <v>https://www.dgiwg.org/FAD/fdd/view?i=115857</v>
      </c>
      <c r="L9238" s="36" t="s">
        <v>50959</v>
      </c>
      <c r="M9238" s="186"/>
      <c r="N9238" s="186"/>
      <c r="O9238" s="13" t="s">
        <v>17488</v>
      </c>
    </row>
    <row r="9239" spans="1:15" ht="25.5" x14ac:dyDescent="0.2">
      <c r="A9239" s="197" t="str">
        <f t="shared" si="144"/>
        <v>TacCode_chan035Y</v>
      </c>
      <c r="B9239" s="409"/>
      <c r="C9239" s="416"/>
      <c r="D9239" s="198" t="s">
        <v>17494</v>
      </c>
      <c r="E9239" s="198">
        <v>97</v>
      </c>
      <c r="F9239" s="199" t="s">
        <v>17495</v>
      </c>
      <c r="G9239" s="1" t="s">
        <v>50960</v>
      </c>
      <c r="H9239" s="1" t="s">
        <v>16716</v>
      </c>
      <c r="I9239" s="346"/>
      <c r="J9239" s="39">
        <v>115858</v>
      </c>
      <c r="K9239" s="36" t="str">
        <f>CONCATENATE(Cover!$D$6,"fdd/view?i=",J9239)</f>
        <v>https://www.dgiwg.org/FAD/fdd/view?i=115858</v>
      </c>
      <c r="L9239" s="36" t="s">
        <v>50961</v>
      </c>
      <c r="M9239" s="186"/>
      <c r="N9239" s="186"/>
      <c r="O9239" s="13" t="s">
        <v>17493</v>
      </c>
    </row>
    <row r="9240" spans="1:15" ht="25.5" x14ac:dyDescent="0.2">
      <c r="A9240" s="197" t="str">
        <f t="shared" si="144"/>
        <v>TacCode_chan035Z</v>
      </c>
      <c r="B9240" s="409"/>
      <c r="C9240" s="416"/>
      <c r="D9240" s="198" t="s">
        <v>17499</v>
      </c>
      <c r="E9240" s="198">
        <v>98</v>
      </c>
      <c r="F9240" s="199" t="s">
        <v>17500</v>
      </c>
      <c r="G9240" s="1" t="s">
        <v>50962</v>
      </c>
      <c r="H9240" s="1" t="s">
        <v>16716</v>
      </c>
      <c r="I9240" s="346"/>
      <c r="J9240" s="39">
        <v>115859</v>
      </c>
      <c r="K9240" s="36" t="str">
        <f>CONCATENATE(Cover!$D$6,"fdd/view?i=",J9240)</f>
        <v>https://www.dgiwg.org/FAD/fdd/view?i=115859</v>
      </c>
      <c r="L9240" s="36" t="s">
        <v>50963</v>
      </c>
      <c r="M9240" s="186"/>
      <c r="N9240" s="186"/>
      <c r="O9240" s="13" t="s">
        <v>17498</v>
      </c>
    </row>
    <row r="9241" spans="1:15" ht="25.5" x14ac:dyDescent="0.2">
      <c r="A9241" s="197" t="str">
        <f t="shared" si="144"/>
        <v>TacCode_chan036W</v>
      </c>
      <c r="B9241" s="409"/>
      <c r="C9241" s="416"/>
      <c r="D9241" s="198" t="s">
        <v>17504</v>
      </c>
      <c r="E9241" s="198">
        <v>99</v>
      </c>
      <c r="F9241" s="199" t="s">
        <v>17505</v>
      </c>
      <c r="G9241" s="1" t="s">
        <v>50964</v>
      </c>
      <c r="H9241" s="1" t="s">
        <v>16716</v>
      </c>
      <c r="I9241" s="346"/>
      <c r="J9241" s="39">
        <v>115860</v>
      </c>
      <c r="K9241" s="36" t="str">
        <f>CONCATENATE(Cover!$D$6,"fdd/view?i=",J9241)</f>
        <v>https://www.dgiwg.org/FAD/fdd/view?i=115860</v>
      </c>
      <c r="L9241" s="36" t="s">
        <v>50965</v>
      </c>
      <c r="M9241" s="186"/>
      <c r="N9241" s="186"/>
      <c r="O9241" s="13" t="s">
        <v>17503</v>
      </c>
    </row>
    <row r="9242" spans="1:15" ht="25.5" x14ac:dyDescent="0.2">
      <c r="A9242" s="197" t="str">
        <f t="shared" si="144"/>
        <v>TacCode_chan036X</v>
      </c>
      <c r="B9242" s="409"/>
      <c r="C9242" s="416"/>
      <c r="D9242" s="198" t="s">
        <v>17509</v>
      </c>
      <c r="E9242" s="198">
        <v>100</v>
      </c>
      <c r="F9242" s="199" t="s">
        <v>17510</v>
      </c>
      <c r="G9242" s="1" t="s">
        <v>50966</v>
      </c>
      <c r="H9242" s="1" t="s">
        <v>16716</v>
      </c>
      <c r="I9242" s="346"/>
      <c r="J9242" s="39">
        <v>115861</v>
      </c>
      <c r="K9242" s="36" t="str">
        <f>CONCATENATE(Cover!$D$6,"fdd/view?i=",J9242)</f>
        <v>https://www.dgiwg.org/FAD/fdd/view?i=115861</v>
      </c>
      <c r="L9242" s="36" t="s">
        <v>50967</v>
      </c>
      <c r="M9242" s="186"/>
      <c r="N9242" s="186"/>
      <c r="O9242" s="13" t="s">
        <v>17508</v>
      </c>
    </row>
    <row r="9243" spans="1:15" ht="25.5" x14ac:dyDescent="0.2">
      <c r="A9243" s="197" t="str">
        <f t="shared" si="144"/>
        <v>TacCode_chan036Y</v>
      </c>
      <c r="B9243" s="409"/>
      <c r="C9243" s="416"/>
      <c r="D9243" s="198" t="s">
        <v>17514</v>
      </c>
      <c r="E9243" s="198">
        <v>101</v>
      </c>
      <c r="F9243" s="199" t="s">
        <v>17515</v>
      </c>
      <c r="G9243" s="1" t="s">
        <v>50968</v>
      </c>
      <c r="H9243" s="1" t="s">
        <v>16716</v>
      </c>
      <c r="I9243" s="346"/>
      <c r="J9243" s="39">
        <v>115862</v>
      </c>
      <c r="K9243" s="36" t="str">
        <f>CONCATENATE(Cover!$D$6,"fdd/view?i=",J9243)</f>
        <v>https://www.dgiwg.org/FAD/fdd/view?i=115862</v>
      </c>
      <c r="L9243" s="36" t="s">
        <v>50969</v>
      </c>
      <c r="M9243" s="186"/>
      <c r="N9243" s="186"/>
      <c r="O9243" s="13" t="s">
        <v>17513</v>
      </c>
    </row>
    <row r="9244" spans="1:15" ht="25.5" x14ac:dyDescent="0.2">
      <c r="A9244" s="197" t="str">
        <f t="shared" si="144"/>
        <v>TacCode_chan036Z</v>
      </c>
      <c r="B9244" s="409"/>
      <c r="C9244" s="416"/>
      <c r="D9244" s="198" t="s">
        <v>17519</v>
      </c>
      <c r="E9244" s="198">
        <v>102</v>
      </c>
      <c r="F9244" s="199" t="s">
        <v>17520</v>
      </c>
      <c r="G9244" s="1" t="s">
        <v>50970</v>
      </c>
      <c r="H9244" s="1" t="s">
        <v>16716</v>
      </c>
      <c r="I9244" s="346"/>
      <c r="J9244" s="39">
        <v>115863</v>
      </c>
      <c r="K9244" s="36" t="str">
        <f>CONCATENATE(Cover!$D$6,"fdd/view?i=",J9244)</f>
        <v>https://www.dgiwg.org/FAD/fdd/view?i=115863</v>
      </c>
      <c r="L9244" s="36" t="s">
        <v>50971</v>
      </c>
      <c r="M9244" s="186"/>
      <c r="N9244" s="186"/>
      <c r="O9244" s="13" t="s">
        <v>17518</v>
      </c>
    </row>
    <row r="9245" spans="1:15" ht="25.5" x14ac:dyDescent="0.2">
      <c r="A9245" s="197" t="str">
        <f t="shared" si="144"/>
        <v>TacCode_chan037X</v>
      </c>
      <c r="B9245" s="409"/>
      <c r="C9245" s="416"/>
      <c r="D9245" s="198" t="s">
        <v>17524</v>
      </c>
      <c r="E9245" s="198">
        <v>103</v>
      </c>
      <c r="F9245" s="199" t="s">
        <v>17525</v>
      </c>
      <c r="G9245" s="1" t="s">
        <v>50972</v>
      </c>
      <c r="H9245" s="1" t="s">
        <v>16716</v>
      </c>
      <c r="I9245" s="346"/>
      <c r="J9245" s="39">
        <v>115864</v>
      </c>
      <c r="K9245" s="36" t="str">
        <f>CONCATENATE(Cover!$D$6,"fdd/view?i=",J9245)</f>
        <v>https://www.dgiwg.org/FAD/fdd/view?i=115864</v>
      </c>
      <c r="L9245" s="36" t="s">
        <v>50973</v>
      </c>
      <c r="M9245" s="186"/>
      <c r="N9245" s="186"/>
      <c r="O9245" s="13" t="s">
        <v>17523</v>
      </c>
    </row>
    <row r="9246" spans="1:15" ht="25.5" x14ac:dyDescent="0.2">
      <c r="A9246" s="197" t="str">
        <f t="shared" si="144"/>
        <v>TacCode_chan037Y</v>
      </c>
      <c r="B9246" s="409"/>
      <c r="C9246" s="416"/>
      <c r="D9246" s="198" t="s">
        <v>17529</v>
      </c>
      <c r="E9246" s="198">
        <v>104</v>
      </c>
      <c r="F9246" s="199" t="s">
        <v>17530</v>
      </c>
      <c r="G9246" s="1" t="s">
        <v>50974</v>
      </c>
      <c r="H9246" s="1" t="s">
        <v>16716</v>
      </c>
      <c r="I9246" s="346"/>
      <c r="J9246" s="39">
        <v>115865</v>
      </c>
      <c r="K9246" s="36" t="str">
        <f>CONCATENATE(Cover!$D$6,"fdd/view?i=",J9246)</f>
        <v>https://www.dgiwg.org/FAD/fdd/view?i=115865</v>
      </c>
      <c r="L9246" s="36" t="s">
        <v>50975</v>
      </c>
      <c r="M9246" s="186"/>
      <c r="N9246" s="186"/>
      <c r="O9246" s="13" t="s">
        <v>17528</v>
      </c>
    </row>
    <row r="9247" spans="1:15" ht="25.5" x14ac:dyDescent="0.2">
      <c r="A9247" s="197" t="str">
        <f t="shared" si="144"/>
        <v>TacCode_chan037Z</v>
      </c>
      <c r="B9247" s="409"/>
      <c r="C9247" s="416"/>
      <c r="D9247" s="198" t="s">
        <v>17534</v>
      </c>
      <c r="E9247" s="198">
        <v>105</v>
      </c>
      <c r="F9247" s="199" t="s">
        <v>17535</v>
      </c>
      <c r="G9247" s="1" t="s">
        <v>50976</v>
      </c>
      <c r="H9247" s="1" t="s">
        <v>16716</v>
      </c>
      <c r="I9247" s="346"/>
      <c r="J9247" s="39">
        <v>115866</v>
      </c>
      <c r="K9247" s="36" t="str">
        <f>CONCATENATE(Cover!$D$6,"fdd/view?i=",J9247)</f>
        <v>https://www.dgiwg.org/FAD/fdd/view?i=115866</v>
      </c>
      <c r="L9247" s="36" t="s">
        <v>50977</v>
      </c>
      <c r="M9247" s="186"/>
      <c r="N9247" s="186"/>
      <c r="O9247" s="13" t="s">
        <v>17533</v>
      </c>
    </row>
    <row r="9248" spans="1:15" ht="25.5" x14ac:dyDescent="0.2">
      <c r="A9248" s="197" t="str">
        <f t="shared" si="144"/>
        <v>TacCode_chan038W</v>
      </c>
      <c r="B9248" s="409"/>
      <c r="C9248" s="416"/>
      <c r="D9248" s="198" t="s">
        <v>17539</v>
      </c>
      <c r="E9248" s="198">
        <v>106</v>
      </c>
      <c r="F9248" s="199" t="s">
        <v>17540</v>
      </c>
      <c r="G9248" s="1" t="s">
        <v>50978</v>
      </c>
      <c r="H9248" s="1" t="s">
        <v>16716</v>
      </c>
      <c r="I9248" s="346"/>
      <c r="J9248" s="39">
        <v>115867</v>
      </c>
      <c r="K9248" s="36" t="str">
        <f>CONCATENATE(Cover!$D$6,"fdd/view?i=",J9248)</f>
        <v>https://www.dgiwg.org/FAD/fdd/view?i=115867</v>
      </c>
      <c r="L9248" s="36" t="s">
        <v>50979</v>
      </c>
      <c r="M9248" s="186"/>
      <c r="N9248" s="186"/>
      <c r="O9248" s="13" t="s">
        <v>17538</v>
      </c>
    </row>
    <row r="9249" spans="1:15" ht="25.5" x14ac:dyDescent="0.2">
      <c r="A9249" s="197" t="str">
        <f t="shared" si="144"/>
        <v>TacCode_chan038X</v>
      </c>
      <c r="B9249" s="409"/>
      <c r="C9249" s="416"/>
      <c r="D9249" s="198" t="s">
        <v>17544</v>
      </c>
      <c r="E9249" s="198">
        <v>107</v>
      </c>
      <c r="F9249" s="199" t="s">
        <v>17545</v>
      </c>
      <c r="G9249" s="1" t="s">
        <v>50980</v>
      </c>
      <c r="H9249" s="1" t="s">
        <v>16716</v>
      </c>
      <c r="I9249" s="346"/>
      <c r="J9249" s="39">
        <v>115868</v>
      </c>
      <c r="K9249" s="36" t="str">
        <f>CONCATENATE(Cover!$D$6,"fdd/view?i=",J9249)</f>
        <v>https://www.dgiwg.org/FAD/fdd/view?i=115868</v>
      </c>
      <c r="L9249" s="36" t="s">
        <v>50981</v>
      </c>
      <c r="M9249" s="186"/>
      <c r="N9249" s="186"/>
      <c r="O9249" s="13" t="s">
        <v>17543</v>
      </c>
    </row>
    <row r="9250" spans="1:15" ht="25.5" x14ac:dyDescent="0.2">
      <c r="A9250" s="197" t="str">
        <f t="shared" si="144"/>
        <v>TacCode_chan038Y</v>
      </c>
      <c r="B9250" s="409"/>
      <c r="C9250" s="416"/>
      <c r="D9250" s="198" t="s">
        <v>17549</v>
      </c>
      <c r="E9250" s="198">
        <v>108</v>
      </c>
      <c r="F9250" s="199" t="s">
        <v>17550</v>
      </c>
      <c r="G9250" s="1" t="s">
        <v>50982</v>
      </c>
      <c r="H9250" s="1" t="s">
        <v>16716</v>
      </c>
      <c r="I9250" s="346"/>
      <c r="J9250" s="39">
        <v>115869</v>
      </c>
      <c r="K9250" s="36" t="str">
        <f>CONCATENATE(Cover!$D$6,"fdd/view?i=",J9250)</f>
        <v>https://www.dgiwg.org/FAD/fdd/view?i=115869</v>
      </c>
      <c r="L9250" s="36" t="s">
        <v>50983</v>
      </c>
      <c r="M9250" s="186"/>
      <c r="N9250" s="186"/>
      <c r="O9250" s="13" t="s">
        <v>17548</v>
      </c>
    </row>
    <row r="9251" spans="1:15" ht="25.5" x14ac:dyDescent="0.2">
      <c r="A9251" s="197" t="str">
        <f t="shared" si="144"/>
        <v>TacCode_chan038Z</v>
      </c>
      <c r="B9251" s="409"/>
      <c r="C9251" s="416"/>
      <c r="D9251" s="198" t="s">
        <v>17554</v>
      </c>
      <c r="E9251" s="198">
        <v>109</v>
      </c>
      <c r="F9251" s="199" t="s">
        <v>17555</v>
      </c>
      <c r="G9251" s="1" t="s">
        <v>50984</v>
      </c>
      <c r="H9251" s="1" t="s">
        <v>16716</v>
      </c>
      <c r="I9251" s="346"/>
      <c r="J9251" s="39">
        <v>115870</v>
      </c>
      <c r="K9251" s="36" t="str">
        <f>CONCATENATE(Cover!$D$6,"fdd/view?i=",J9251)</f>
        <v>https://www.dgiwg.org/FAD/fdd/view?i=115870</v>
      </c>
      <c r="L9251" s="36" t="s">
        <v>50985</v>
      </c>
      <c r="M9251" s="186"/>
      <c r="N9251" s="186"/>
      <c r="O9251" s="13" t="s">
        <v>17553</v>
      </c>
    </row>
    <row r="9252" spans="1:15" ht="25.5" x14ac:dyDescent="0.2">
      <c r="A9252" s="197" t="str">
        <f t="shared" si="144"/>
        <v>TacCode_chan039X</v>
      </c>
      <c r="B9252" s="409"/>
      <c r="C9252" s="416"/>
      <c r="D9252" s="198" t="s">
        <v>17559</v>
      </c>
      <c r="E9252" s="198">
        <v>110</v>
      </c>
      <c r="F9252" s="199" t="s">
        <v>17560</v>
      </c>
      <c r="G9252" s="1" t="s">
        <v>50986</v>
      </c>
      <c r="H9252" s="1" t="s">
        <v>16716</v>
      </c>
      <c r="I9252" s="346"/>
      <c r="J9252" s="39">
        <v>115871</v>
      </c>
      <c r="K9252" s="36" t="str">
        <f>CONCATENATE(Cover!$D$6,"fdd/view?i=",J9252)</f>
        <v>https://www.dgiwg.org/FAD/fdd/view?i=115871</v>
      </c>
      <c r="L9252" s="36" t="s">
        <v>50987</v>
      </c>
      <c r="M9252" s="186"/>
      <c r="N9252" s="186"/>
      <c r="O9252" s="13" t="s">
        <v>17558</v>
      </c>
    </row>
    <row r="9253" spans="1:15" ht="25.5" x14ac:dyDescent="0.2">
      <c r="A9253" s="197" t="str">
        <f t="shared" si="144"/>
        <v>TacCode_chan039Y</v>
      </c>
      <c r="B9253" s="409"/>
      <c r="C9253" s="416"/>
      <c r="D9253" s="198" t="s">
        <v>17564</v>
      </c>
      <c r="E9253" s="198">
        <v>111</v>
      </c>
      <c r="F9253" s="199" t="s">
        <v>17565</v>
      </c>
      <c r="G9253" s="1" t="s">
        <v>50988</v>
      </c>
      <c r="H9253" s="1" t="s">
        <v>16716</v>
      </c>
      <c r="I9253" s="346"/>
      <c r="J9253" s="39">
        <v>115872</v>
      </c>
      <c r="K9253" s="36" t="str">
        <f>CONCATENATE(Cover!$D$6,"fdd/view?i=",J9253)</f>
        <v>https://www.dgiwg.org/FAD/fdd/view?i=115872</v>
      </c>
      <c r="L9253" s="36" t="s">
        <v>50989</v>
      </c>
      <c r="M9253" s="186"/>
      <c r="N9253" s="186"/>
      <c r="O9253" s="13" t="s">
        <v>17563</v>
      </c>
    </row>
    <row r="9254" spans="1:15" ht="25.5" x14ac:dyDescent="0.2">
      <c r="A9254" s="197" t="str">
        <f t="shared" si="144"/>
        <v>TacCode_chan039Z</v>
      </c>
      <c r="B9254" s="409"/>
      <c r="C9254" s="416"/>
      <c r="D9254" s="198" t="s">
        <v>17569</v>
      </c>
      <c r="E9254" s="198">
        <v>112</v>
      </c>
      <c r="F9254" s="199" t="s">
        <v>17570</v>
      </c>
      <c r="G9254" s="1" t="s">
        <v>50990</v>
      </c>
      <c r="H9254" s="1" t="s">
        <v>16716</v>
      </c>
      <c r="I9254" s="346"/>
      <c r="J9254" s="39">
        <v>115873</v>
      </c>
      <c r="K9254" s="36" t="str">
        <f>CONCATENATE(Cover!$D$6,"fdd/view?i=",J9254)</f>
        <v>https://www.dgiwg.org/FAD/fdd/view?i=115873</v>
      </c>
      <c r="L9254" s="36" t="s">
        <v>50991</v>
      </c>
      <c r="M9254" s="186"/>
      <c r="N9254" s="186"/>
      <c r="O9254" s="13" t="s">
        <v>17568</v>
      </c>
    </row>
    <row r="9255" spans="1:15" ht="25.5" x14ac:dyDescent="0.2">
      <c r="A9255" s="197" t="str">
        <f t="shared" si="144"/>
        <v>TacCode_chan040W</v>
      </c>
      <c r="B9255" s="409"/>
      <c r="C9255" s="416"/>
      <c r="D9255" s="198" t="s">
        <v>17584</v>
      </c>
      <c r="E9255" s="198">
        <v>113</v>
      </c>
      <c r="F9255" s="199" t="s">
        <v>17585</v>
      </c>
      <c r="G9255" s="1" t="s">
        <v>50996</v>
      </c>
      <c r="H9255" s="1" t="s">
        <v>16716</v>
      </c>
      <c r="I9255" s="346"/>
      <c r="J9255" s="39">
        <v>115874</v>
      </c>
      <c r="K9255" s="36" t="str">
        <f>CONCATENATE(Cover!$D$6,"fdd/view?i=",J9255)</f>
        <v>https://www.dgiwg.org/FAD/fdd/view?i=115874</v>
      </c>
      <c r="L9255" s="36" t="s">
        <v>50997</v>
      </c>
      <c r="M9255" s="186"/>
      <c r="N9255" s="186"/>
      <c r="O9255" s="13" t="s">
        <v>17583</v>
      </c>
    </row>
    <row r="9256" spans="1:15" ht="25.5" x14ac:dyDescent="0.2">
      <c r="A9256" s="197" t="str">
        <f t="shared" si="144"/>
        <v>TacCode_chan040X</v>
      </c>
      <c r="B9256" s="409"/>
      <c r="C9256" s="416"/>
      <c r="D9256" s="198" t="s">
        <v>17589</v>
      </c>
      <c r="E9256" s="198">
        <v>114</v>
      </c>
      <c r="F9256" s="199" t="s">
        <v>17590</v>
      </c>
      <c r="G9256" s="1" t="s">
        <v>50998</v>
      </c>
      <c r="H9256" s="1" t="s">
        <v>16716</v>
      </c>
      <c r="I9256" s="346"/>
      <c r="J9256" s="39">
        <v>115875</v>
      </c>
      <c r="K9256" s="36" t="str">
        <f>CONCATENATE(Cover!$D$6,"fdd/view?i=",J9256)</f>
        <v>https://www.dgiwg.org/FAD/fdd/view?i=115875</v>
      </c>
      <c r="L9256" s="36" t="s">
        <v>50999</v>
      </c>
      <c r="M9256" s="186"/>
      <c r="N9256" s="186"/>
      <c r="O9256" s="13" t="s">
        <v>17588</v>
      </c>
    </row>
    <row r="9257" spans="1:15" ht="25.5" x14ac:dyDescent="0.2">
      <c r="A9257" s="197" t="str">
        <f t="shared" si="144"/>
        <v>TacCode_chan040Y</v>
      </c>
      <c r="B9257" s="409"/>
      <c r="C9257" s="416"/>
      <c r="D9257" s="198" t="s">
        <v>17594</v>
      </c>
      <c r="E9257" s="198">
        <v>115</v>
      </c>
      <c r="F9257" s="199" t="s">
        <v>17595</v>
      </c>
      <c r="G9257" s="1" t="s">
        <v>51000</v>
      </c>
      <c r="H9257" s="1" t="s">
        <v>16716</v>
      </c>
      <c r="I9257" s="346"/>
      <c r="J9257" s="39">
        <v>115876</v>
      </c>
      <c r="K9257" s="36" t="str">
        <f>CONCATENATE(Cover!$D$6,"fdd/view?i=",J9257)</f>
        <v>https://www.dgiwg.org/FAD/fdd/view?i=115876</v>
      </c>
      <c r="L9257" s="36" t="s">
        <v>51001</v>
      </c>
      <c r="M9257" s="186"/>
      <c r="N9257" s="186"/>
      <c r="O9257" s="13" t="s">
        <v>17593</v>
      </c>
    </row>
    <row r="9258" spans="1:15" ht="25.5" x14ac:dyDescent="0.2">
      <c r="A9258" s="197" t="str">
        <f t="shared" si="144"/>
        <v>TacCode_chan040Z</v>
      </c>
      <c r="B9258" s="409"/>
      <c r="C9258" s="416"/>
      <c r="D9258" s="198" t="s">
        <v>17599</v>
      </c>
      <c r="E9258" s="198">
        <v>116</v>
      </c>
      <c r="F9258" s="199" t="s">
        <v>17600</v>
      </c>
      <c r="G9258" s="1" t="s">
        <v>51002</v>
      </c>
      <c r="H9258" s="1" t="s">
        <v>16716</v>
      </c>
      <c r="I9258" s="346"/>
      <c r="J9258" s="39">
        <v>115877</v>
      </c>
      <c r="K9258" s="36" t="str">
        <f>CONCATENATE(Cover!$D$6,"fdd/view?i=",J9258)</f>
        <v>https://www.dgiwg.org/FAD/fdd/view?i=115877</v>
      </c>
      <c r="L9258" s="36" t="s">
        <v>51003</v>
      </c>
      <c r="M9258" s="186"/>
      <c r="N9258" s="186"/>
      <c r="O9258" s="13" t="s">
        <v>17598</v>
      </c>
    </row>
    <row r="9259" spans="1:15" ht="25.5" x14ac:dyDescent="0.2">
      <c r="A9259" s="197" t="str">
        <f t="shared" si="144"/>
        <v>TacCode_chan041X</v>
      </c>
      <c r="B9259" s="409"/>
      <c r="C9259" s="416"/>
      <c r="D9259" s="198" t="s">
        <v>17604</v>
      </c>
      <c r="E9259" s="198">
        <v>117</v>
      </c>
      <c r="F9259" s="199" t="s">
        <v>17605</v>
      </c>
      <c r="G9259" s="1" t="s">
        <v>51004</v>
      </c>
      <c r="H9259" s="1" t="s">
        <v>16716</v>
      </c>
      <c r="I9259" s="346"/>
      <c r="J9259" s="39">
        <v>115878</v>
      </c>
      <c r="K9259" s="36" t="str">
        <f>CONCATENATE(Cover!$D$6,"fdd/view?i=",J9259)</f>
        <v>https://www.dgiwg.org/FAD/fdd/view?i=115878</v>
      </c>
      <c r="L9259" s="36" t="s">
        <v>51005</v>
      </c>
      <c r="M9259" s="186"/>
      <c r="N9259" s="186"/>
      <c r="O9259" s="13" t="s">
        <v>17603</v>
      </c>
    </row>
    <row r="9260" spans="1:15" ht="25.5" x14ac:dyDescent="0.2">
      <c r="A9260" s="197" t="str">
        <f t="shared" si="144"/>
        <v>TacCode_chan041Y</v>
      </c>
      <c r="B9260" s="409"/>
      <c r="C9260" s="416"/>
      <c r="D9260" s="198" t="s">
        <v>17609</v>
      </c>
      <c r="E9260" s="198">
        <v>118</v>
      </c>
      <c r="F9260" s="199" t="s">
        <v>17610</v>
      </c>
      <c r="G9260" s="1" t="s">
        <v>51006</v>
      </c>
      <c r="H9260" s="1" t="s">
        <v>16716</v>
      </c>
      <c r="I9260" s="346"/>
      <c r="J9260" s="39">
        <v>115879</v>
      </c>
      <c r="K9260" s="36" t="str">
        <f>CONCATENATE(Cover!$D$6,"fdd/view?i=",J9260)</f>
        <v>https://www.dgiwg.org/FAD/fdd/view?i=115879</v>
      </c>
      <c r="L9260" s="36" t="s">
        <v>51007</v>
      </c>
      <c r="M9260" s="186"/>
      <c r="N9260" s="186"/>
      <c r="O9260" s="13" t="s">
        <v>17608</v>
      </c>
    </row>
    <row r="9261" spans="1:15" ht="25.5" x14ac:dyDescent="0.2">
      <c r="A9261" s="197" t="str">
        <f t="shared" si="144"/>
        <v>TacCode_chan041Z</v>
      </c>
      <c r="B9261" s="409"/>
      <c r="C9261" s="416"/>
      <c r="D9261" s="198" t="s">
        <v>17614</v>
      </c>
      <c r="E9261" s="198">
        <v>119</v>
      </c>
      <c r="F9261" s="199" t="s">
        <v>17615</v>
      </c>
      <c r="G9261" s="1" t="s">
        <v>51008</v>
      </c>
      <c r="H9261" s="1" t="s">
        <v>16716</v>
      </c>
      <c r="I9261" s="346"/>
      <c r="J9261" s="39">
        <v>115880</v>
      </c>
      <c r="K9261" s="36" t="str">
        <f>CONCATENATE(Cover!$D$6,"fdd/view?i=",J9261)</f>
        <v>https://www.dgiwg.org/FAD/fdd/view?i=115880</v>
      </c>
      <c r="L9261" s="36" t="s">
        <v>51009</v>
      </c>
      <c r="M9261" s="186"/>
      <c r="N9261" s="186"/>
      <c r="O9261" s="13" t="s">
        <v>17613</v>
      </c>
    </row>
    <row r="9262" spans="1:15" ht="25.5" x14ac:dyDescent="0.2">
      <c r="A9262" s="197" t="str">
        <f t="shared" si="144"/>
        <v>TacCode_chan042W</v>
      </c>
      <c r="B9262" s="409"/>
      <c r="C9262" s="416"/>
      <c r="D9262" s="198" t="s">
        <v>17619</v>
      </c>
      <c r="E9262" s="198">
        <v>120</v>
      </c>
      <c r="F9262" s="199" t="s">
        <v>17620</v>
      </c>
      <c r="G9262" s="1" t="s">
        <v>51010</v>
      </c>
      <c r="H9262" s="1" t="s">
        <v>16716</v>
      </c>
      <c r="I9262" s="346"/>
      <c r="J9262" s="39">
        <v>115881</v>
      </c>
      <c r="K9262" s="36" t="str">
        <f>CONCATENATE(Cover!$D$6,"fdd/view?i=",J9262)</f>
        <v>https://www.dgiwg.org/FAD/fdd/view?i=115881</v>
      </c>
      <c r="L9262" s="36" t="s">
        <v>51011</v>
      </c>
      <c r="M9262" s="186"/>
      <c r="N9262" s="186"/>
      <c r="O9262" s="13" t="s">
        <v>17618</v>
      </c>
    </row>
    <row r="9263" spans="1:15" ht="25.5" x14ac:dyDescent="0.2">
      <c r="A9263" s="197" t="str">
        <f t="shared" si="144"/>
        <v>TacCode_chan042X</v>
      </c>
      <c r="B9263" s="409"/>
      <c r="C9263" s="416"/>
      <c r="D9263" s="198" t="s">
        <v>17624</v>
      </c>
      <c r="E9263" s="198">
        <v>121</v>
      </c>
      <c r="F9263" s="199" t="s">
        <v>17625</v>
      </c>
      <c r="G9263" s="1" t="s">
        <v>51012</v>
      </c>
      <c r="H9263" s="1" t="s">
        <v>16716</v>
      </c>
      <c r="I9263" s="346"/>
      <c r="J9263" s="39">
        <v>115882</v>
      </c>
      <c r="K9263" s="36" t="str">
        <f>CONCATENATE(Cover!$D$6,"fdd/view?i=",J9263)</f>
        <v>https://www.dgiwg.org/FAD/fdd/view?i=115882</v>
      </c>
      <c r="L9263" s="36" t="s">
        <v>51013</v>
      </c>
      <c r="M9263" s="186"/>
      <c r="N9263" s="186"/>
      <c r="O9263" s="13" t="s">
        <v>17623</v>
      </c>
    </row>
    <row r="9264" spans="1:15" ht="25.5" x14ac:dyDescent="0.2">
      <c r="A9264" s="197" t="str">
        <f t="shared" si="144"/>
        <v>TacCode_chan042Y</v>
      </c>
      <c r="B9264" s="409"/>
      <c r="C9264" s="416"/>
      <c r="D9264" s="198" t="s">
        <v>17629</v>
      </c>
      <c r="E9264" s="198">
        <v>122</v>
      </c>
      <c r="F9264" s="199" t="s">
        <v>17630</v>
      </c>
      <c r="G9264" s="1" t="s">
        <v>51014</v>
      </c>
      <c r="H9264" s="1" t="s">
        <v>16716</v>
      </c>
      <c r="I9264" s="346"/>
      <c r="J9264" s="39">
        <v>115883</v>
      </c>
      <c r="K9264" s="36" t="str">
        <f>CONCATENATE(Cover!$D$6,"fdd/view?i=",J9264)</f>
        <v>https://www.dgiwg.org/FAD/fdd/view?i=115883</v>
      </c>
      <c r="L9264" s="36" t="s">
        <v>51015</v>
      </c>
      <c r="M9264" s="186"/>
      <c r="N9264" s="186"/>
      <c r="O9264" s="13" t="s">
        <v>17628</v>
      </c>
    </row>
    <row r="9265" spans="1:15" ht="25.5" x14ac:dyDescent="0.2">
      <c r="A9265" s="197" t="str">
        <f t="shared" si="144"/>
        <v>TacCode_chan042Z</v>
      </c>
      <c r="B9265" s="409"/>
      <c r="C9265" s="416"/>
      <c r="D9265" s="198" t="s">
        <v>17634</v>
      </c>
      <c r="E9265" s="198">
        <v>123</v>
      </c>
      <c r="F9265" s="199" t="s">
        <v>17635</v>
      </c>
      <c r="G9265" s="1" t="s">
        <v>51016</v>
      </c>
      <c r="H9265" s="1" t="s">
        <v>16716</v>
      </c>
      <c r="I9265" s="346"/>
      <c r="J9265" s="39">
        <v>115884</v>
      </c>
      <c r="K9265" s="36" t="str">
        <f>CONCATENATE(Cover!$D$6,"fdd/view?i=",J9265)</f>
        <v>https://www.dgiwg.org/FAD/fdd/view?i=115884</v>
      </c>
      <c r="L9265" s="36" t="s">
        <v>51017</v>
      </c>
      <c r="M9265" s="186"/>
      <c r="N9265" s="186"/>
      <c r="O9265" s="13" t="s">
        <v>17633</v>
      </c>
    </row>
    <row r="9266" spans="1:15" ht="25.5" x14ac:dyDescent="0.2">
      <c r="A9266" s="197" t="str">
        <f t="shared" si="144"/>
        <v>TacCode_chan043X</v>
      </c>
      <c r="B9266" s="409"/>
      <c r="C9266" s="416"/>
      <c r="D9266" s="198" t="s">
        <v>17639</v>
      </c>
      <c r="E9266" s="198">
        <v>124</v>
      </c>
      <c r="F9266" s="199" t="s">
        <v>17640</v>
      </c>
      <c r="G9266" s="1" t="s">
        <v>51018</v>
      </c>
      <c r="H9266" s="1" t="s">
        <v>16716</v>
      </c>
      <c r="I9266" s="346"/>
      <c r="J9266" s="39">
        <v>115885</v>
      </c>
      <c r="K9266" s="36" t="str">
        <f>CONCATENATE(Cover!$D$6,"fdd/view?i=",J9266)</f>
        <v>https://www.dgiwg.org/FAD/fdd/view?i=115885</v>
      </c>
      <c r="L9266" s="36" t="s">
        <v>51019</v>
      </c>
      <c r="M9266" s="186"/>
      <c r="N9266" s="186"/>
      <c r="O9266" s="13" t="s">
        <v>17638</v>
      </c>
    </row>
    <row r="9267" spans="1:15" ht="25.5" x14ac:dyDescent="0.2">
      <c r="A9267" s="197" t="str">
        <f t="shared" si="144"/>
        <v>TacCode_chan043Y</v>
      </c>
      <c r="B9267" s="409"/>
      <c r="C9267" s="416"/>
      <c r="D9267" s="198" t="s">
        <v>17644</v>
      </c>
      <c r="E9267" s="198">
        <v>125</v>
      </c>
      <c r="F9267" s="199" t="s">
        <v>17645</v>
      </c>
      <c r="G9267" s="1" t="s">
        <v>51020</v>
      </c>
      <c r="H9267" s="1" t="s">
        <v>16716</v>
      </c>
      <c r="I9267" s="346"/>
      <c r="J9267" s="39">
        <v>115886</v>
      </c>
      <c r="K9267" s="36" t="str">
        <f>CONCATENATE(Cover!$D$6,"fdd/view?i=",J9267)</f>
        <v>https://www.dgiwg.org/FAD/fdd/view?i=115886</v>
      </c>
      <c r="L9267" s="36" t="s">
        <v>51021</v>
      </c>
      <c r="M9267" s="186"/>
      <c r="N9267" s="186"/>
      <c r="O9267" s="13" t="s">
        <v>17643</v>
      </c>
    </row>
    <row r="9268" spans="1:15" ht="25.5" x14ac:dyDescent="0.2">
      <c r="A9268" s="197" t="str">
        <f t="shared" si="144"/>
        <v>TacCode_chan043Z</v>
      </c>
      <c r="B9268" s="409"/>
      <c r="C9268" s="416"/>
      <c r="D9268" s="198" t="s">
        <v>17649</v>
      </c>
      <c r="E9268" s="198">
        <v>126</v>
      </c>
      <c r="F9268" s="199" t="s">
        <v>17650</v>
      </c>
      <c r="G9268" s="1" t="s">
        <v>51022</v>
      </c>
      <c r="H9268" s="1" t="s">
        <v>16716</v>
      </c>
      <c r="I9268" s="346"/>
      <c r="J9268" s="39">
        <v>115887</v>
      </c>
      <c r="K9268" s="36" t="str">
        <f>CONCATENATE(Cover!$D$6,"fdd/view?i=",J9268)</f>
        <v>https://www.dgiwg.org/FAD/fdd/view?i=115887</v>
      </c>
      <c r="L9268" s="36" t="s">
        <v>51023</v>
      </c>
      <c r="M9268" s="186"/>
      <c r="N9268" s="186"/>
      <c r="O9268" s="13" t="s">
        <v>17648</v>
      </c>
    </row>
    <row r="9269" spans="1:15" ht="25.5" x14ac:dyDescent="0.2">
      <c r="A9269" s="197" t="str">
        <f t="shared" si="144"/>
        <v>TacCode_chan044W</v>
      </c>
      <c r="B9269" s="409"/>
      <c r="C9269" s="416"/>
      <c r="D9269" s="198" t="s">
        <v>17654</v>
      </c>
      <c r="E9269" s="198">
        <v>127</v>
      </c>
      <c r="F9269" s="199" t="s">
        <v>17655</v>
      </c>
      <c r="G9269" s="1" t="s">
        <v>51024</v>
      </c>
      <c r="H9269" s="1" t="s">
        <v>16716</v>
      </c>
      <c r="I9269" s="346"/>
      <c r="J9269" s="39">
        <v>115888</v>
      </c>
      <c r="K9269" s="36" t="str">
        <f>CONCATENATE(Cover!$D$6,"fdd/view?i=",J9269)</f>
        <v>https://www.dgiwg.org/FAD/fdd/view?i=115888</v>
      </c>
      <c r="L9269" s="36" t="s">
        <v>51025</v>
      </c>
      <c r="M9269" s="186"/>
      <c r="N9269" s="186"/>
      <c r="O9269" s="13" t="s">
        <v>17653</v>
      </c>
    </row>
    <row r="9270" spans="1:15" ht="25.5" x14ac:dyDescent="0.2">
      <c r="A9270" s="197" t="str">
        <f t="shared" si="144"/>
        <v>TacCode_chan044X</v>
      </c>
      <c r="B9270" s="409"/>
      <c r="C9270" s="416"/>
      <c r="D9270" s="198" t="s">
        <v>17659</v>
      </c>
      <c r="E9270" s="198">
        <v>128</v>
      </c>
      <c r="F9270" s="199" t="s">
        <v>17660</v>
      </c>
      <c r="G9270" s="1" t="s">
        <v>51026</v>
      </c>
      <c r="H9270" s="1" t="s">
        <v>16716</v>
      </c>
      <c r="I9270" s="346"/>
      <c r="J9270" s="39">
        <v>115889</v>
      </c>
      <c r="K9270" s="36" t="str">
        <f>CONCATENATE(Cover!$D$6,"fdd/view?i=",J9270)</f>
        <v>https://www.dgiwg.org/FAD/fdd/view?i=115889</v>
      </c>
      <c r="L9270" s="36" t="s">
        <v>51027</v>
      </c>
      <c r="M9270" s="186"/>
      <c r="N9270" s="186"/>
      <c r="O9270" s="13" t="s">
        <v>17658</v>
      </c>
    </row>
    <row r="9271" spans="1:15" ht="25.5" x14ac:dyDescent="0.2">
      <c r="A9271" s="197" t="str">
        <f t="shared" si="144"/>
        <v>TacCode_chan044Y</v>
      </c>
      <c r="B9271" s="409"/>
      <c r="C9271" s="416"/>
      <c r="D9271" s="198" t="s">
        <v>17664</v>
      </c>
      <c r="E9271" s="198">
        <v>129</v>
      </c>
      <c r="F9271" s="199" t="s">
        <v>17665</v>
      </c>
      <c r="G9271" s="1" t="s">
        <v>51028</v>
      </c>
      <c r="H9271" s="1" t="s">
        <v>16716</v>
      </c>
      <c r="I9271" s="346"/>
      <c r="J9271" s="39">
        <v>115890</v>
      </c>
      <c r="K9271" s="36" t="str">
        <f>CONCATENATE(Cover!$D$6,"fdd/view?i=",J9271)</f>
        <v>https://www.dgiwg.org/FAD/fdd/view?i=115890</v>
      </c>
      <c r="L9271" s="36" t="s">
        <v>51029</v>
      </c>
      <c r="M9271" s="186"/>
      <c r="N9271" s="186"/>
      <c r="O9271" s="13" t="s">
        <v>17663</v>
      </c>
    </row>
    <row r="9272" spans="1:15" ht="25.5" x14ac:dyDescent="0.2">
      <c r="A9272" s="197" t="str">
        <f t="shared" si="144"/>
        <v>TacCode_chan044Z</v>
      </c>
      <c r="B9272" s="409"/>
      <c r="C9272" s="416"/>
      <c r="D9272" s="198" t="s">
        <v>17669</v>
      </c>
      <c r="E9272" s="198">
        <v>130</v>
      </c>
      <c r="F9272" s="199" t="s">
        <v>17670</v>
      </c>
      <c r="G9272" s="1" t="s">
        <v>51030</v>
      </c>
      <c r="H9272" s="1" t="s">
        <v>16716</v>
      </c>
      <c r="I9272" s="346"/>
      <c r="J9272" s="39">
        <v>115891</v>
      </c>
      <c r="K9272" s="36" t="str">
        <f>CONCATENATE(Cover!$D$6,"fdd/view?i=",J9272)</f>
        <v>https://www.dgiwg.org/FAD/fdd/view?i=115891</v>
      </c>
      <c r="L9272" s="36" t="s">
        <v>51031</v>
      </c>
      <c r="M9272" s="186"/>
      <c r="N9272" s="186"/>
      <c r="O9272" s="13" t="s">
        <v>17668</v>
      </c>
    </row>
    <row r="9273" spans="1:15" ht="25.5" x14ac:dyDescent="0.2">
      <c r="A9273" s="197" t="str">
        <f t="shared" si="144"/>
        <v>TacCode_chan045X</v>
      </c>
      <c r="B9273" s="409"/>
      <c r="C9273" s="416"/>
      <c r="D9273" s="198" t="s">
        <v>17674</v>
      </c>
      <c r="E9273" s="198">
        <v>131</v>
      </c>
      <c r="F9273" s="199" t="s">
        <v>17675</v>
      </c>
      <c r="G9273" s="1" t="s">
        <v>51032</v>
      </c>
      <c r="H9273" s="1" t="s">
        <v>16716</v>
      </c>
      <c r="I9273" s="346"/>
      <c r="J9273" s="39">
        <v>115892</v>
      </c>
      <c r="K9273" s="36" t="str">
        <f>CONCATENATE(Cover!$D$6,"fdd/view?i=",J9273)</f>
        <v>https://www.dgiwg.org/FAD/fdd/view?i=115892</v>
      </c>
      <c r="L9273" s="36" t="s">
        <v>51033</v>
      </c>
      <c r="M9273" s="186"/>
      <c r="N9273" s="186"/>
      <c r="O9273" s="13" t="s">
        <v>17673</v>
      </c>
    </row>
    <row r="9274" spans="1:15" ht="25.5" x14ac:dyDescent="0.2">
      <c r="A9274" s="197" t="str">
        <f t="shared" si="144"/>
        <v>TacCode_chan045Y</v>
      </c>
      <c r="B9274" s="409"/>
      <c r="C9274" s="416"/>
      <c r="D9274" s="198" t="s">
        <v>17679</v>
      </c>
      <c r="E9274" s="198">
        <v>132</v>
      </c>
      <c r="F9274" s="199" t="s">
        <v>17680</v>
      </c>
      <c r="G9274" s="1" t="s">
        <v>51034</v>
      </c>
      <c r="H9274" s="1" t="s">
        <v>16716</v>
      </c>
      <c r="I9274" s="346"/>
      <c r="J9274" s="39">
        <v>115893</v>
      </c>
      <c r="K9274" s="36" t="str">
        <f>CONCATENATE(Cover!$D$6,"fdd/view?i=",J9274)</f>
        <v>https://www.dgiwg.org/FAD/fdd/view?i=115893</v>
      </c>
      <c r="L9274" s="36" t="s">
        <v>51035</v>
      </c>
      <c r="M9274" s="186"/>
      <c r="N9274" s="186"/>
      <c r="O9274" s="13" t="s">
        <v>17678</v>
      </c>
    </row>
    <row r="9275" spans="1:15" ht="25.5" x14ac:dyDescent="0.2">
      <c r="A9275" s="197" t="str">
        <f t="shared" si="144"/>
        <v>TacCode_chan045Z</v>
      </c>
      <c r="B9275" s="409"/>
      <c r="C9275" s="416"/>
      <c r="D9275" s="198" t="s">
        <v>17684</v>
      </c>
      <c r="E9275" s="198">
        <v>133</v>
      </c>
      <c r="F9275" s="199" t="s">
        <v>17685</v>
      </c>
      <c r="G9275" s="1" t="s">
        <v>51036</v>
      </c>
      <c r="H9275" s="1" t="s">
        <v>16716</v>
      </c>
      <c r="I9275" s="346"/>
      <c r="J9275" s="39">
        <v>115894</v>
      </c>
      <c r="K9275" s="36" t="str">
        <f>CONCATENATE(Cover!$D$6,"fdd/view?i=",J9275)</f>
        <v>https://www.dgiwg.org/FAD/fdd/view?i=115894</v>
      </c>
      <c r="L9275" s="36" t="s">
        <v>51037</v>
      </c>
      <c r="M9275" s="186"/>
      <c r="N9275" s="186"/>
      <c r="O9275" s="13" t="s">
        <v>17683</v>
      </c>
    </row>
    <row r="9276" spans="1:15" ht="25.5" x14ac:dyDescent="0.2">
      <c r="A9276" s="197" t="str">
        <f t="shared" si="144"/>
        <v>TacCode_chan046W</v>
      </c>
      <c r="B9276" s="409"/>
      <c r="C9276" s="416"/>
      <c r="D9276" s="198" t="s">
        <v>17689</v>
      </c>
      <c r="E9276" s="198">
        <v>134</v>
      </c>
      <c r="F9276" s="199" t="s">
        <v>17690</v>
      </c>
      <c r="G9276" s="1" t="s">
        <v>51038</v>
      </c>
      <c r="H9276" s="1" t="s">
        <v>16716</v>
      </c>
      <c r="I9276" s="346"/>
      <c r="J9276" s="39">
        <v>115895</v>
      </c>
      <c r="K9276" s="36" t="str">
        <f>CONCATENATE(Cover!$D$6,"fdd/view?i=",J9276)</f>
        <v>https://www.dgiwg.org/FAD/fdd/view?i=115895</v>
      </c>
      <c r="L9276" s="36" t="s">
        <v>51039</v>
      </c>
      <c r="M9276" s="186"/>
      <c r="N9276" s="186"/>
      <c r="O9276" s="13" t="s">
        <v>17688</v>
      </c>
    </row>
    <row r="9277" spans="1:15" ht="25.5" x14ac:dyDescent="0.2">
      <c r="A9277" s="197" t="str">
        <f t="shared" si="144"/>
        <v>TacCode_chan046X</v>
      </c>
      <c r="B9277" s="409"/>
      <c r="C9277" s="416"/>
      <c r="D9277" s="198" t="s">
        <v>17694</v>
      </c>
      <c r="E9277" s="198">
        <v>135</v>
      </c>
      <c r="F9277" s="199" t="s">
        <v>17695</v>
      </c>
      <c r="G9277" s="1" t="s">
        <v>51040</v>
      </c>
      <c r="H9277" s="1" t="s">
        <v>16716</v>
      </c>
      <c r="I9277" s="346"/>
      <c r="J9277" s="39">
        <v>115896</v>
      </c>
      <c r="K9277" s="36" t="str">
        <f>CONCATENATE(Cover!$D$6,"fdd/view?i=",J9277)</f>
        <v>https://www.dgiwg.org/FAD/fdd/view?i=115896</v>
      </c>
      <c r="L9277" s="36" t="s">
        <v>51041</v>
      </c>
      <c r="M9277" s="186"/>
      <c r="N9277" s="186"/>
      <c r="O9277" s="13" t="s">
        <v>17693</v>
      </c>
    </row>
    <row r="9278" spans="1:15" ht="25.5" x14ac:dyDescent="0.2">
      <c r="A9278" s="197" t="str">
        <f t="shared" si="144"/>
        <v>TacCode_chan046Y</v>
      </c>
      <c r="B9278" s="409"/>
      <c r="C9278" s="416"/>
      <c r="D9278" s="198" t="s">
        <v>17699</v>
      </c>
      <c r="E9278" s="198">
        <v>136</v>
      </c>
      <c r="F9278" s="199" t="s">
        <v>17700</v>
      </c>
      <c r="G9278" s="1" t="s">
        <v>51042</v>
      </c>
      <c r="H9278" s="1" t="s">
        <v>16716</v>
      </c>
      <c r="I9278" s="346"/>
      <c r="J9278" s="39">
        <v>115897</v>
      </c>
      <c r="K9278" s="36" t="str">
        <f>CONCATENATE(Cover!$D$6,"fdd/view?i=",J9278)</f>
        <v>https://www.dgiwg.org/FAD/fdd/view?i=115897</v>
      </c>
      <c r="L9278" s="36" t="s">
        <v>51043</v>
      </c>
      <c r="M9278" s="186"/>
      <c r="N9278" s="186"/>
      <c r="O9278" s="13" t="s">
        <v>17698</v>
      </c>
    </row>
    <row r="9279" spans="1:15" ht="25.5" x14ac:dyDescent="0.2">
      <c r="A9279" s="197" t="str">
        <f t="shared" si="144"/>
        <v>TacCode_chan046Z</v>
      </c>
      <c r="B9279" s="409"/>
      <c r="C9279" s="416"/>
      <c r="D9279" s="198" t="s">
        <v>17704</v>
      </c>
      <c r="E9279" s="198">
        <v>137</v>
      </c>
      <c r="F9279" s="199" t="s">
        <v>17705</v>
      </c>
      <c r="G9279" s="1" t="s">
        <v>51044</v>
      </c>
      <c r="H9279" s="1" t="s">
        <v>16716</v>
      </c>
      <c r="I9279" s="346"/>
      <c r="J9279" s="39">
        <v>115898</v>
      </c>
      <c r="K9279" s="36" t="str">
        <f>CONCATENATE(Cover!$D$6,"fdd/view?i=",J9279)</f>
        <v>https://www.dgiwg.org/FAD/fdd/view?i=115898</v>
      </c>
      <c r="L9279" s="36" t="s">
        <v>51045</v>
      </c>
      <c r="M9279" s="186"/>
      <c r="N9279" s="186"/>
      <c r="O9279" s="13" t="s">
        <v>17703</v>
      </c>
    </row>
    <row r="9280" spans="1:15" ht="25.5" x14ac:dyDescent="0.2">
      <c r="A9280" s="197" t="str">
        <f t="shared" si="144"/>
        <v>TacCode_chan047X</v>
      </c>
      <c r="B9280" s="409"/>
      <c r="C9280" s="416"/>
      <c r="D9280" s="198" t="s">
        <v>17709</v>
      </c>
      <c r="E9280" s="198">
        <v>138</v>
      </c>
      <c r="F9280" s="199" t="s">
        <v>17710</v>
      </c>
      <c r="G9280" s="1" t="s">
        <v>51046</v>
      </c>
      <c r="H9280" s="1" t="s">
        <v>16716</v>
      </c>
      <c r="I9280" s="346"/>
      <c r="J9280" s="39">
        <v>115899</v>
      </c>
      <c r="K9280" s="36" t="str">
        <f>CONCATENATE(Cover!$D$6,"fdd/view?i=",J9280)</f>
        <v>https://www.dgiwg.org/FAD/fdd/view?i=115899</v>
      </c>
      <c r="L9280" s="36" t="s">
        <v>51047</v>
      </c>
      <c r="M9280" s="186"/>
      <c r="N9280" s="186"/>
      <c r="O9280" s="13" t="s">
        <v>17708</v>
      </c>
    </row>
    <row r="9281" spans="1:15" ht="25.5" x14ac:dyDescent="0.2">
      <c r="A9281" s="197" t="str">
        <f t="shared" si="144"/>
        <v>TacCode_chan047Y</v>
      </c>
      <c r="B9281" s="409"/>
      <c r="C9281" s="416"/>
      <c r="D9281" s="198" t="s">
        <v>17714</v>
      </c>
      <c r="E9281" s="198">
        <v>139</v>
      </c>
      <c r="F9281" s="199" t="s">
        <v>17715</v>
      </c>
      <c r="G9281" s="1" t="s">
        <v>51048</v>
      </c>
      <c r="H9281" s="1" t="s">
        <v>16716</v>
      </c>
      <c r="I9281" s="346"/>
      <c r="J9281" s="39">
        <v>115900</v>
      </c>
      <c r="K9281" s="36" t="str">
        <f>CONCATENATE(Cover!$D$6,"fdd/view?i=",J9281)</f>
        <v>https://www.dgiwg.org/FAD/fdd/view?i=115900</v>
      </c>
      <c r="L9281" s="36" t="s">
        <v>51049</v>
      </c>
      <c r="M9281" s="186"/>
      <c r="N9281" s="186"/>
      <c r="O9281" s="13" t="s">
        <v>17713</v>
      </c>
    </row>
    <row r="9282" spans="1:15" ht="25.5" x14ac:dyDescent="0.2">
      <c r="A9282" s="197" t="str">
        <f t="shared" ref="A9282:A9345" si="145">HYPERLINK(K9282,L9282)</f>
        <v>TacCode_chan047Z</v>
      </c>
      <c r="B9282" s="409"/>
      <c r="C9282" s="416"/>
      <c r="D9282" s="198" t="s">
        <v>17719</v>
      </c>
      <c r="E9282" s="198">
        <v>140</v>
      </c>
      <c r="F9282" s="199" t="s">
        <v>17720</v>
      </c>
      <c r="G9282" s="1" t="s">
        <v>51050</v>
      </c>
      <c r="H9282" s="1" t="s">
        <v>16716</v>
      </c>
      <c r="I9282" s="346"/>
      <c r="J9282" s="39">
        <v>115901</v>
      </c>
      <c r="K9282" s="36" t="str">
        <f>CONCATENATE(Cover!$D$6,"fdd/view?i=",J9282)</f>
        <v>https://www.dgiwg.org/FAD/fdd/view?i=115901</v>
      </c>
      <c r="L9282" s="36" t="s">
        <v>51051</v>
      </c>
      <c r="M9282" s="186"/>
      <c r="N9282" s="186"/>
      <c r="O9282" s="13" t="s">
        <v>17718</v>
      </c>
    </row>
    <row r="9283" spans="1:15" ht="25.5" x14ac:dyDescent="0.2">
      <c r="A9283" s="197" t="str">
        <f t="shared" si="145"/>
        <v>TacCode_chan048W</v>
      </c>
      <c r="B9283" s="409"/>
      <c r="C9283" s="416"/>
      <c r="D9283" s="198" t="s">
        <v>17724</v>
      </c>
      <c r="E9283" s="198">
        <v>141</v>
      </c>
      <c r="F9283" s="199" t="s">
        <v>17725</v>
      </c>
      <c r="G9283" s="1" t="s">
        <v>51052</v>
      </c>
      <c r="H9283" s="1" t="s">
        <v>16716</v>
      </c>
      <c r="I9283" s="346"/>
      <c r="J9283" s="39">
        <v>115902</v>
      </c>
      <c r="K9283" s="36" t="str">
        <f>CONCATENATE(Cover!$D$6,"fdd/view?i=",J9283)</f>
        <v>https://www.dgiwg.org/FAD/fdd/view?i=115902</v>
      </c>
      <c r="L9283" s="36" t="s">
        <v>51053</v>
      </c>
      <c r="M9283" s="186"/>
      <c r="N9283" s="186"/>
      <c r="O9283" s="13" t="s">
        <v>17723</v>
      </c>
    </row>
    <row r="9284" spans="1:15" ht="25.5" x14ac:dyDescent="0.2">
      <c r="A9284" s="197" t="str">
        <f t="shared" si="145"/>
        <v>TacCode_chan048X</v>
      </c>
      <c r="B9284" s="409"/>
      <c r="C9284" s="416"/>
      <c r="D9284" s="198" t="s">
        <v>17729</v>
      </c>
      <c r="E9284" s="198">
        <v>142</v>
      </c>
      <c r="F9284" s="199" t="s">
        <v>17730</v>
      </c>
      <c r="G9284" s="1" t="s">
        <v>51054</v>
      </c>
      <c r="H9284" s="1" t="s">
        <v>16716</v>
      </c>
      <c r="I9284" s="346"/>
      <c r="J9284" s="39">
        <v>115903</v>
      </c>
      <c r="K9284" s="36" t="str">
        <f>CONCATENATE(Cover!$D$6,"fdd/view?i=",J9284)</f>
        <v>https://www.dgiwg.org/FAD/fdd/view?i=115903</v>
      </c>
      <c r="L9284" s="36" t="s">
        <v>51055</v>
      </c>
      <c r="M9284" s="186"/>
      <c r="N9284" s="186"/>
      <c r="O9284" s="13" t="s">
        <v>17728</v>
      </c>
    </row>
    <row r="9285" spans="1:15" ht="25.5" x14ac:dyDescent="0.2">
      <c r="A9285" s="197" t="str">
        <f t="shared" si="145"/>
        <v>TacCode_chan048Y</v>
      </c>
      <c r="B9285" s="409"/>
      <c r="C9285" s="416"/>
      <c r="D9285" s="198" t="s">
        <v>17734</v>
      </c>
      <c r="E9285" s="198">
        <v>143</v>
      </c>
      <c r="F9285" s="199" t="s">
        <v>17735</v>
      </c>
      <c r="G9285" s="1" t="s">
        <v>51056</v>
      </c>
      <c r="H9285" s="1" t="s">
        <v>16716</v>
      </c>
      <c r="I9285" s="346"/>
      <c r="J9285" s="39">
        <v>115904</v>
      </c>
      <c r="K9285" s="36" t="str">
        <f>CONCATENATE(Cover!$D$6,"fdd/view?i=",J9285)</f>
        <v>https://www.dgiwg.org/FAD/fdd/view?i=115904</v>
      </c>
      <c r="L9285" s="36" t="s">
        <v>51057</v>
      </c>
      <c r="M9285" s="186"/>
      <c r="N9285" s="186"/>
      <c r="O9285" s="13" t="s">
        <v>17733</v>
      </c>
    </row>
    <row r="9286" spans="1:15" ht="25.5" x14ac:dyDescent="0.2">
      <c r="A9286" s="197" t="str">
        <f t="shared" si="145"/>
        <v>TacCode_chan048Z</v>
      </c>
      <c r="B9286" s="409"/>
      <c r="C9286" s="416"/>
      <c r="D9286" s="198" t="s">
        <v>17739</v>
      </c>
      <c r="E9286" s="198">
        <v>144</v>
      </c>
      <c r="F9286" s="199" t="s">
        <v>17740</v>
      </c>
      <c r="G9286" s="1" t="s">
        <v>51058</v>
      </c>
      <c r="H9286" s="1" t="s">
        <v>16716</v>
      </c>
      <c r="I9286" s="346"/>
      <c r="J9286" s="39">
        <v>115905</v>
      </c>
      <c r="K9286" s="36" t="str">
        <f>CONCATENATE(Cover!$D$6,"fdd/view?i=",J9286)</f>
        <v>https://www.dgiwg.org/FAD/fdd/view?i=115905</v>
      </c>
      <c r="L9286" s="36" t="s">
        <v>51059</v>
      </c>
      <c r="M9286" s="186"/>
      <c r="N9286" s="186"/>
      <c r="O9286" s="13" t="s">
        <v>17738</v>
      </c>
    </row>
    <row r="9287" spans="1:15" ht="25.5" x14ac:dyDescent="0.2">
      <c r="A9287" s="197" t="str">
        <f t="shared" si="145"/>
        <v>TacCode_chan049X</v>
      </c>
      <c r="B9287" s="409"/>
      <c r="C9287" s="416"/>
      <c r="D9287" s="198" t="s">
        <v>17744</v>
      </c>
      <c r="E9287" s="198">
        <v>145</v>
      </c>
      <c r="F9287" s="199" t="s">
        <v>17745</v>
      </c>
      <c r="G9287" s="1" t="s">
        <v>51060</v>
      </c>
      <c r="H9287" s="1" t="s">
        <v>16716</v>
      </c>
      <c r="I9287" s="346"/>
      <c r="J9287" s="39">
        <v>115906</v>
      </c>
      <c r="K9287" s="36" t="str">
        <f>CONCATENATE(Cover!$D$6,"fdd/view?i=",J9287)</f>
        <v>https://www.dgiwg.org/FAD/fdd/view?i=115906</v>
      </c>
      <c r="L9287" s="36" t="s">
        <v>51061</v>
      </c>
      <c r="M9287" s="186"/>
      <c r="N9287" s="186"/>
      <c r="O9287" s="13" t="s">
        <v>17743</v>
      </c>
    </row>
    <row r="9288" spans="1:15" ht="25.5" x14ac:dyDescent="0.2">
      <c r="A9288" s="197" t="str">
        <f t="shared" si="145"/>
        <v>TacCode_chan049Y</v>
      </c>
      <c r="B9288" s="409"/>
      <c r="C9288" s="416"/>
      <c r="D9288" s="198" t="s">
        <v>17749</v>
      </c>
      <c r="E9288" s="198">
        <v>146</v>
      </c>
      <c r="F9288" s="199" t="s">
        <v>17750</v>
      </c>
      <c r="G9288" s="1" t="s">
        <v>51062</v>
      </c>
      <c r="H9288" s="1" t="s">
        <v>16716</v>
      </c>
      <c r="I9288" s="346"/>
      <c r="J9288" s="39">
        <v>115907</v>
      </c>
      <c r="K9288" s="36" t="str">
        <f>CONCATENATE(Cover!$D$6,"fdd/view?i=",J9288)</f>
        <v>https://www.dgiwg.org/FAD/fdd/view?i=115907</v>
      </c>
      <c r="L9288" s="36" t="s">
        <v>51063</v>
      </c>
      <c r="M9288" s="186"/>
      <c r="N9288" s="186"/>
      <c r="O9288" s="13" t="s">
        <v>17748</v>
      </c>
    </row>
    <row r="9289" spans="1:15" ht="25.5" x14ac:dyDescent="0.2">
      <c r="A9289" s="197" t="str">
        <f t="shared" si="145"/>
        <v>TacCode_chan049Z</v>
      </c>
      <c r="B9289" s="409"/>
      <c r="C9289" s="416"/>
      <c r="D9289" s="198" t="s">
        <v>17754</v>
      </c>
      <c r="E9289" s="198">
        <v>147</v>
      </c>
      <c r="F9289" s="199" t="s">
        <v>17755</v>
      </c>
      <c r="G9289" s="1" t="s">
        <v>51064</v>
      </c>
      <c r="H9289" s="1" t="s">
        <v>16716</v>
      </c>
      <c r="I9289" s="346"/>
      <c r="J9289" s="39">
        <v>115908</v>
      </c>
      <c r="K9289" s="36" t="str">
        <f>CONCATENATE(Cover!$D$6,"fdd/view?i=",J9289)</f>
        <v>https://www.dgiwg.org/FAD/fdd/view?i=115908</v>
      </c>
      <c r="L9289" s="36" t="s">
        <v>51065</v>
      </c>
      <c r="M9289" s="186"/>
      <c r="N9289" s="186"/>
      <c r="O9289" s="13" t="s">
        <v>17753</v>
      </c>
    </row>
    <row r="9290" spans="1:15" ht="25.5" x14ac:dyDescent="0.2">
      <c r="A9290" s="197" t="str">
        <f t="shared" si="145"/>
        <v>TacCode_chan050W</v>
      </c>
      <c r="B9290" s="409"/>
      <c r="C9290" s="416"/>
      <c r="D9290" s="198" t="s">
        <v>17769</v>
      </c>
      <c r="E9290" s="198">
        <v>148</v>
      </c>
      <c r="F9290" s="199" t="s">
        <v>17770</v>
      </c>
      <c r="G9290" s="1" t="s">
        <v>51070</v>
      </c>
      <c r="H9290" s="1" t="s">
        <v>16716</v>
      </c>
      <c r="I9290" s="346"/>
      <c r="J9290" s="39">
        <v>115909</v>
      </c>
      <c r="K9290" s="36" t="str">
        <f>CONCATENATE(Cover!$D$6,"fdd/view?i=",J9290)</f>
        <v>https://www.dgiwg.org/FAD/fdd/view?i=115909</v>
      </c>
      <c r="L9290" s="36" t="s">
        <v>51071</v>
      </c>
      <c r="M9290" s="186"/>
      <c r="N9290" s="186"/>
      <c r="O9290" s="13" t="s">
        <v>17768</v>
      </c>
    </row>
    <row r="9291" spans="1:15" ht="25.5" x14ac:dyDescent="0.2">
      <c r="A9291" s="197" t="str">
        <f t="shared" si="145"/>
        <v>TacCode_chan050X</v>
      </c>
      <c r="B9291" s="409"/>
      <c r="C9291" s="416"/>
      <c r="D9291" s="198" t="s">
        <v>17774</v>
      </c>
      <c r="E9291" s="198">
        <v>149</v>
      </c>
      <c r="F9291" s="199" t="s">
        <v>17775</v>
      </c>
      <c r="G9291" s="1" t="s">
        <v>51072</v>
      </c>
      <c r="H9291" s="1" t="s">
        <v>16716</v>
      </c>
      <c r="I9291" s="346"/>
      <c r="J9291" s="39">
        <v>115910</v>
      </c>
      <c r="K9291" s="36" t="str">
        <f>CONCATENATE(Cover!$D$6,"fdd/view?i=",J9291)</f>
        <v>https://www.dgiwg.org/FAD/fdd/view?i=115910</v>
      </c>
      <c r="L9291" s="36" t="s">
        <v>51073</v>
      </c>
      <c r="M9291" s="186"/>
      <c r="N9291" s="186"/>
      <c r="O9291" s="13" t="s">
        <v>17773</v>
      </c>
    </row>
    <row r="9292" spans="1:15" ht="25.5" x14ac:dyDescent="0.2">
      <c r="A9292" s="197" t="str">
        <f t="shared" si="145"/>
        <v>TacCode_chan050Y</v>
      </c>
      <c r="B9292" s="409"/>
      <c r="C9292" s="416"/>
      <c r="D9292" s="198" t="s">
        <v>17779</v>
      </c>
      <c r="E9292" s="198">
        <v>150</v>
      </c>
      <c r="F9292" s="199" t="s">
        <v>17780</v>
      </c>
      <c r="G9292" s="1" t="s">
        <v>51074</v>
      </c>
      <c r="H9292" s="1" t="s">
        <v>16716</v>
      </c>
      <c r="I9292" s="346"/>
      <c r="J9292" s="39">
        <v>115911</v>
      </c>
      <c r="K9292" s="36" t="str">
        <f>CONCATENATE(Cover!$D$6,"fdd/view?i=",J9292)</f>
        <v>https://www.dgiwg.org/FAD/fdd/view?i=115911</v>
      </c>
      <c r="L9292" s="36" t="s">
        <v>51075</v>
      </c>
      <c r="M9292" s="186"/>
      <c r="N9292" s="186"/>
      <c r="O9292" s="13" t="s">
        <v>17778</v>
      </c>
    </row>
    <row r="9293" spans="1:15" ht="25.5" x14ac:dyDescent="0.2">
      <c r="A9293" s="197" t="str">
        <f t="shared" si="145"/>
        <v>TacCode_chan050Z</v>
      </c>
      <c r="B9293" s="409"/>
      <c r="C9293" s="416"/>
      <c r="D9293" s="198" t="s">
        <v>17784</v>
      </c>
      <c r="E9293" s="198">
        <v>151</v>
      </c>
      <c r="F9293" s="199" t="s">
        <v>17785</v>
      </c>
      <c r="G9293" s="1" t="s">
        <v>51076</v>
      </c>
      <c r="H9293" s="1" t="s">
        <v>16716</v>
      </c>
      <c r="I9293" s="346"/>
      <c r="J9293" s="39">
        <v>115912</v>
      </c>
      <c r="K9293" s="36" t="str">
        <f>CONCATENATE(Cover!$D$6,"fdd/view?i=",J9293)</f>
        <v>https://www.dgiwg.org/FAD/fdd/view?i=115912</v>
      </c>
      <c r="L9293" s="36" t="s">
        <v>51077</v>
      </c>
      <c r="M9293" s="186"/>
      <c r="N9293" s="186"/>
      <c r="O9293" s="13" t="s">
        <v>17783</v>
      </c>
    </row>
    <row r="9294" spans="1:15" ht="25.5" x14ac:dyDescent="0.2">
      <c r="A9294" s="197" t="str">
        <f t="shared" si="145"/>
        <v>TacCode_chan051X</v>
      </c>
      <c r="B9294" s="409"/>
      <c r="C9294" s="416"/>
      <c r="D9294" s="198" t="s">
        <v>17789</v>
      </c>
      <c r="E9294" s="198">
        <v>152</v>
      </c>
      <c r="F9294" s="199" t="s">
        <v>17790</v>
      </c>
      <c r="G9294" s="1" t="s">
        <v>51078</v>
      </c>
      <c r="H9294" s="1" t="s">
        <v>16716</v>
      </c>
      <c r="I9294" s="346"/>
      <c r="J9294" s="39">
        <v>115913</v>
      </c>
      <c r="K9294" s="36" t="str">
        <f>CONCATENATE(Cover!$D$6,"fdd/view?i=",J9294)</f>
        <v>https://www.dgiwg.org/FAD/fdd/view?i=115913</v>
      </c>
      <c r="L9294" s="36" t="s">
        <v>51079</v>
      </c>
      <c r="M9294" s="186"/>
      <c r="N9294" s="186"/>
      <c r="O9294" s="13" t="s">
        <v>17788</v>
      </c>
    </row>
    <row r="9295" spans="1:15" ht="25.5" x14ac:dyDescent="0.2">
      <c r="A9295" s="197" t="str">
        <f t="shared" si="145"/>
        <v>TacCode_chan051Y</v>
      </c>
      <c r="B9295" s="409"/>
      <c r="C9295" s="416"/>
      <c r="D9295" s="198" t="s">
        <v>17794</v>
      </c>
      <c r="E9295" s="198">
        <v>153</v>
      </c>
      <c r="F9295" s="199" t="s">
        <v>17795</v>
      </c>
      <c r="G9295" s="1" t="s">
        <v>51080</v>
      </c>
      <c r="H9295" s="1" t="s">
        <v>16716</v>
      </c>
      <c r="I9295" s="346"/>
      <c r="J9295" s="39">
        <v>115914</v>
      </c>
      <c r="K9295" s="36" t="str">
        <f>CONCATENATE(Cover!$D$6,"fdd/view?i=",J9295)</f>
        <v>https://www.dgiwg.org/FAD/fdd/view?i=115914</v>
      </c>
      <c r="L9295" s="36" t="s">
        <v>51081</v>
      </c>
      <c r="M9295" s="186"/>
      <c r="N9295" s="186"/>
      <c r="O9295" s="13" t="s">
        <v>17793</v>
      </c>
    </row>
    <row r="9296" spans="1:15" ht="25.5" x14ac:dyDescent="0.2">
      <c r="A9296" s="197" t="str">
        <f t="shared" si="145"/>
        <v>TacCode_chan051Z</v>
      </c>
      <c r="B9296" s="409"/>
      <c r="C9296" s="416"/>
      <c r="D9296" s="198" t="s">
        <v>17799</v>
      </c>
      <c r="E9296" s="198">
        <v>154</v>
      </c>
      <c r="F9296" s="199" t="s">
        <v>17800</v>
      </c>
      <c r="G9296" s="1" t="s">
        <v>51082</v>
      </c>
      <c r="H9296" s="1" t="s">
        <v>16716</v>
      </c>
      <c r="I9296" s="346"/>
      <c r="J9296" s="39">
        <v>115915</v>
      </c>
      <c r="K9296" s="36" t="str">
        <f>CONCATENATE(Cover!$D$6,"fdd/view?i=",J9296)</f>
        <v>https://www.dgiwg.org/FAD/fdd/view?i=115915</v>
      </c>
      <c r="L9296" s="36" t="s">
        <v>51083</v>
      </c>
      <c r="M9296" s="186"/>
      <c r="N9296" s="186"/>
      <c r="O9296" s="13" t="s">
        <v>17798</v>
      </c>
    </row>
    <row r="9297" spans="1:15" ht="25.5" x14ac:dyDescent="0.2">
      <c r="A9297" s="197" t="str">
        <f t="shared" si="145"/>
        <v>TacCode_chan052W</v>
      </c>
      <c r="B9297" s="409"/>
      <c r="C9297" s="416"/>
      <c r="D9297" s="198" t="s">
        <v>17804</v>
      </c>
      <c r="E9297" s="198">
        <v>155</v>
      </c>
      <c r="F9297" s="199" t="s">
        <v>17805</v>
      </c>
      <c r="G9297" s="1" t="s">
        <v>51084</v>
      </c>
      <c r="H9297" s="1" t="s">
        <v>16716</v>
      </c>
      <c r="I9297" s="346"/>
      <c r="J9297" s="39">
        <v>115916</v>
      </c>
      <c r="K9297" s="36" t="str">
        <f>CONCATENATE(Cover!$D$6,"fdd/view?i=",J9297)</f>
        <v>https://www.dgiwg.org/FAD/fdd/view?i=115916</v>
      </c>
      <c r="L9297" s="36" t="s">
        <v>51085</v>
      </c>
      <c r="M9297" s="186"/>
      <c r="N9297" s="186"/>
      <c r="O9297" s="13" t="s">
        <v>17803</v>
      </c>
    </row>
    <row r="9298" spans="1:15" ht="25.5" x14ac:dyDescent="0.2">
      <c r="A9298" s="197" t="str">
        <f t="shared" si="145"/>
        <v>TacCode_chan052X</v>
      </c>
      <c r="B9298" s="409"/>
      <c r="C9298" s="416"/>
      <c r="D9298" s="198" t="s">
        <v>17809</v>
      </c>
      <c r="E9298" s="198">
        <v>156</v>
      </c>
      <c r="F9298" s="199" t="s">
        <v>17810</v>
      </c>
      <c r="G9298" s="1" t="s">
        <v>51086</v>
      </c>
      <c r="H9298" s="1" t="s">
        <v>16716</v>
      </c>
      <c r="I9298" s="346"/>
      <c r="J9298" s="39">
        <v>115917</v>
      </c>
      <c r="K9298" s="36" t="str">
        <f>CONCATENATE(Cover!$D$6,"fdd/view?i=",J9298)</f>
        <v>https://www.dgiwg.org/FAD/fdd/view?i=115917</v>
      </c>
      <c r="L9298" s="36" t="s">
        <v>51087</v>
      </c>
      <c r="M9298" s="186"/>
      <c r="N9298" s="186"/>
      <c r="O9298" s="13" t="s">
        <v>17808</v>
      </c>
    </row>
    <row r="9299" spans="1:15" ht="25.5" x14ac:dyDescent="0.2">
      <c r="A9299" s="197" t="str">
        <f t="shared" si="145"/>
        <v>TacCode_chan052Y</v>
      </c>
      <c r="B9299" s="409"/>
      <c r="C9299" s="416"/>
      <c r="D9299" s="198" t="s">
        <v>17814</v>
      </c>
      <c r="E9299" s="198">
        <v>157</v>
      </c>
      <c r="F9299" s="199" t="s">
        <v>17815</v>
      </c>
      <c r="G9299" s="1" t="s">
        <v>51088</v>
      </c>
      <c r="H9299" s="1" t="s">
        <v>16716</v>
      </c>
      <c r="I9299" s="346"/>
      <c r="J9299" s="39">
        <v>115918</v>
      </c>
      <c r="K9299" s="36" t="str">
        <f>CONCATENATE(Cover!$D$6,"fdd/view?i=",J9299)</f>
        <v>https://www.dgiwg.org/FAD/fdd/view?i=115918</v>
      </c>
      <c r="L9299" s="36" t="s">
        <v>51089</v>
      </c>
      <c r="M9299" s="186"/>
      <c r="N9299" s="186"/>
      <c r="O9299" s="13" t="s">
        <v>17813</v>
      </c>
    </row>
    <row r="9300" spans="1:15" ht="25.5" x14ac:dyDescent="0.2">
      <c r="A9300" s="197" t="str">
        <f t="shared" si="145"/>
        <v>TacCode_chan052Z</v>
      </c>
      <c r="B9300" s="409"/>
      <c r="C9300" s="416"/>
      <c r="D9300" s="198" t="s">
        <v>17819</v>
      </c>
      <c r="E9300" s="198">
        <v>158</v>
      </c>
      <c r="F9300" s="199" t="s">
        <v>17820</v>
      </c>
      <c r="G9300" s="1" t="s">
        <v>51090</v>
      </c>
      <c r="H9300" s="1" t="s">
        <v>16716</v>
      </c>
      <c r="I9300" s="346"/>
      <c r="J9300" s="39">
        <v>115919</v>
      </c>
      <c r="K9300" s="36" t="str">
        <f>CONCATENATE(Cover!$D$6,"fdd/view?i=",J9300)</f>
        <v>https://www.dgiwg.org/FAD/fdd/view?i=115919</v>
      </c>
      <c r="L9300" s="36" t="s">
        <v>51091</v>
      </c>
      <c r="M9300" s="186"/>
      <c r="N9300" s="186"/>
      <c r="O9300" s="13" t="s">
        <v>17818</v>
      </c>
    </row>
    <row r="9301" spans="1:15" ht="25.5" x14ac:dyDescent="0.2">
      <c r="A9301" s="197" t="str">
        <f t="shared" si="145"/>
        <v>TacCode_chan053X</v>
      </c>
      <c r="B9301" s="409"/>
      <c r="C9301" s="416"/>
      <c r="D9301" s="198" t="s">
        <v>17824</v>
      </c>
      <c r="E9301" s="198">
        <v>159</v>
      </c>
      <c r="F9301" s="199" t="s">
        <v>17825</v>
      </c>
      <c r="G9301" s="1" t="s">
        <v>51092</v>
      </c>
      <c r="H9301" s="1" t="s">
        <v>16716</v>
      </c>
      <c r="I9301" s="346"/>
      <c r="J9301" s="39">
        <v>115920</v>
      </c>
      <c r="K9301" s="36" t="str">
        <f>CONCATENATE(Cover!$D$6,"fdd/view?i=",J9301)</f>
        <v>https://www.dgiwg.org/FAD/fdd/view?i=115920</v>
      </c>
      <c r="L9301" s="36" t="s">
        <v>51093</v>
      </c>
      <c r="M9301" s="186"/>
      <c r="N9301" s="186"/>
      <c r="O9301" s="13" t="s">
        <v>17823</v>
      </c>
    </row>
    <row r="9302" spans="1:15" ht="25.5" x14ac:dyDescent="0.2">
      <c r="A9302" s="197" t="str">
        <f t="shared" si="145"/>
        <v>TacCode_chan053Y</v>
      </c>
      <c r="B9302" s="409"/>
      <c r="C9302" s="416"/>
      <c r="D9302" s="198" t="s">
        <v>17829</v>
      </c>
      <c r="E9302" s="198">
        <v>160</v>
      </c>
      <c r="F9302" s="199" t="s">
        <v>17830</v>
      </c>
      <c r="G9302" s="1" t="s">
        <v>51094</v>
      </c>
      <c r="H9302" s="1" t="s">
        <v>16716</v>
      </c>
      <c r="I9302" s="346"/>
      <c r="J9302" s="39">
        <v>115921</v>
      </c>
      <c r="K9302" s="36" t="str">
        <f>CONCATENATE(Cover!$D$6,"fdd/view?i=",J9302)</f>
        <v>https://www.dgiwg.org/FAD/fdd/view?i=115921</v>
      </c>
      <c r="L9302" s="36" t="s">
        <v>51095</v>
      </c>
      <c r="M9302" s="186"/>
      <c r="N9302" s="186"/>
      <c r="O9302" s="13" t="s">
        <v>17828</v>
      </c>
    </row>
    <row r="9303" spans="1:15" ht="25.5" x14ac:dyDescent="0.2">
      <c r="A9303" s="197" t="str">
        <f t="shared" si="145"/>
        <v>TacCode_chan053Z</v>
      </c>
      <c r="B9303" s="409"/>
      <c r="C9303" s="416"/>
      <c r="D9303" s="198" t="s">
        <v>17834</v>
      </c>
      <c r="E9303" s="198">
        <v>161</v>
      </c>
      <c r="F9303" s="199" t="s">
        <v>17835</v>
      </c>
      <c r="G9303" s="1" t="s">
        <v>51096</v>
      </c>
      <c r="H9303" s="1" t="s">
        <v>16716</v>
      </c>
      <c r="I9303" s="346"/>
      <c r="J9303" s="39">
        <v>115922</v>
      </c>
      <c r="K9303" s="36" t="str">
        <f>CONCATENATE(Cover!$D$6,"fdd/view?i=",J9303)</f>
        <v>https://www.dgiwg.org/FAD/fdd/view?i=115922</v>
      </c>
      <c r="L9303" s="36" t="s">
        <v>51097</v>
      </c>
      <c r="M9303" s="186"/>
      <c r="N9303" s="186"/>
      <c r="O9303" s="13" t="s">
        <v>17833</v>
      </c>
    </row>
    <row r="9304" spans="1:15" ht="25.5" x14ac:dyDescent="0.2">
      <c r="A9304" s="197" t="str">
        <f t="shared" si="145"/>
        <v>TacCode_chan054W</v>
      </c>
      <c r="B9304" s="409"/>
      <c r="C9304" s="416"/>
      <c r="D9304" s="198" t="s">
        <v>17839</v>
      </c>
      <c r="E9304" s="198">
        <v>162</v>
      </c>
      <c r="F9304" s="199" t="s">
        <v>17840</v>
      </c>
      <c r="G9304" s="1" t="s">
        <v>51098</v>
      </c>
      <c r="H9304" s="1" t="s">
        <v>16716</v>
      </c>
      <c r="I9304" s="346"/>
      <c r="J9304" s="39">
        <v>115923</v>
      </c>
      <c r="K9304" s="36" t="str">
        <f>CONCATENATE(Cover!$D$6,"fdd/view?i=",J9304)</f>
        <v>https://www.dgiwg.org/FAD/fdd/view?i=115923</v>
      </c>
      <c r="L9304" s="36" t="s">
        <v>51099</v>
      </c>
      <c r="M9304" s="186"/>
      <c r="N9304" s="186"/>
      <c r="O9304" s="13" t="s">
        <v>17838</v>
      </c>
    </row>
    <row r="9305" spans="1:15" ht="25.5" x14ac:dyDescent="0.2">
      <c r="A9305" s="197" t="str">
        <f t="shared" si="145"/>
        <v>TacCode_chan054X</v>
      </c>
      <c r="B9305" s="409"/>
      <c r="C9305" s="416"/>
      <c r="D9305" s="198" t="s">
        <v>17844</v>
      </c>
      <c r="E9305" s="198">
        <v>163</v>
      </c>
      <c r="F9305" s="199" t="s">
        <v>17845</v>
      </c>
      <c r="G9305" s="1" t="s">
        <v>51100</v>
      </c>
      <c r="H9305" s="1" t="s">
        <v>16716</v>
      </c>
      <c r="I9305" s="346"/>
      <c r="J9305" s="39">
        <v>115924</v>
      </c>
      <c r="K9305" s="36" t="str">
        <f>CONCATENATE(Cover!$D$6,"fdd/view?i=",J9305)</f>
        <v>https://www.dgiwg.org/FAD/fdd/view?i=115924</v>
      </c>
      <c r="L9305" s="36" t="s">
        <v>51101</v>
      </c>
      <c r="M9305" s="186"/>
      <c r="N9305" s="186"/>
      <c r="O9305" s="13" t="s">
        <v>17843</v>
      </c>
    </row>
    <row r="9306" spans="1:15" ht="25.5" x14ac:dyDescent="0.2">
      <c r="A9306" s="197" t="str">
        <f t="shared" si="145"/>
        <v>TacCode_chan054Y</v>
      </c>
      <c r="B9306" s="409"/>
      <c r="C9306" s="416"/>
      <c r="D9306" s="198" t="s">
        <v>17849</v>
      </c>
      <c r="E9306" s="198">
        <v>164</v>
      </c>
      <c r="F9306" s="199" t="s">
        <v>17850</v>
      </c>
      <c r="G9306" s="1" t="s">
        <v>51102</v>
      </c>
      <c r="H9306" s="1" t="s">
        <v>16716</v>
      </c>
      <c r="I9306" s="346"/>
      <c r="J9306" s="39">
        <v>115925</v>
      </c>
      <c r="K9306" s="36" t="str">
        <f>CONCATENATE(Cover!$D$6,"fdd/view?i=",J9306)</f>
        <v>https://www.dgiwg.org/FAD/fdd/view?i=115925</v>
      </c>
      <c r="L9306" s="36" t="s">
        <v>51103</v>
      </c>
      <c r="M9306" s="186"/>
      <c r="N9306" s="186"/>
      <c r="O9306" s="13" t="s">
        <v>17848</v>
      </c>
    </row>
    <row r="9307" spans="1:15" ht="25.5" x14ac:dyDescent="0.2">
      <c r="A9307" s="197" t="str">
        <f t="shared" si="145"/>
        <v>TacCode_chan054Z</v>
      </c>
      <c r="B9307" s="409"/>
      <c r="C9307" s="416"/>
      <c r="D9307" s="198" t="s">
        <v>17854</v>
      </c>
      <c r="E9307" s="198">
        <v>165</v>
      </c>
      <c r="F9307" s="199" t="s">
        <v>17855</v>
      </c>
      <c r="G9307" s="1" t="s">
        <v>51104</v>
      </c>
      <c r="H9307" s="1" t="s">
        <v>16716</v>
      </c>
      <c r="I9307" s="346"/>
      <c r="J9307" s="39">
        <v>115926</v>
      </c>
      <c r="K9307" s="36" t="str">
        <f>CONCATENATE(Cover!$D$6,"fdd/view?i=",J9307)</f>
        <v>https://www.dgiwg.org/FAD/fdd/view?i=115926</v>
      </c>
      <c r="L9307" s="36" t="s">
        <v>51105</v>
      </c>
      <c r="M9307" s="186"/>
      <c r="N9307" s="186"/>
      <c r="O9307" s="13" t="s">
        <v>17853</v>
      </c>
    </row>
    <row r="9308" spans="1:15" ht="25.5" x14ac:dyDescent="0.2">
      <c r="A9308" s="197" t="str">
        <f t="shared" si="145"/>
        <v>TacCode_chan055X</v>
      </c>
      <c r="B9308" s="409"/>
      <c r="C9308" s="416"/>
      <c r="D9308" s="198" t="s">
        <v>17859</v>
      </c>
      <c r="E9308" s="198">
        <v>166</v>
      </c>
      <c r="F9308" s="199" t="s">
        <v>17860</v>
      </c>
      <c r="G9308" s="1" t="s">
        <v>51106</v>
      </c>
      <c r="H9308" s="1" t="s">
        <v>16716</v>
      </c>
      <c r="I9308" s="346"/>
      <c r="J9308" s="39">
        <v>115927</v>
      </c>
      <c r="K9308" s="36" t="str">
        <f>CONCATENATE(Cover!$D$6,"fdd/view?i=",J9308)</f>
        <v>https://www.dgiwg.org/FAD/fdd/view?i=115927</v>
      </c>
      <c r="L9308" s="36" t="s">
        <v>51107</v>
      </c>
      <c r="M9308" s="186"/>
      <c r="N9308" s="186"/>
      <c r="O9308" s="13" t="s">
        <v>17858</v>
      </c>
    </row>
    <row r="9309" spans="1:15" ht="25.5" x14ac:dyDescent="0.2">
      <c r="A9309" s="197" t="str">
        <f t="shared" si="145"/>
        <v>TacCode_chan055Y</v>
      </c>
      <c r="B9309" s="409"/>
      <c r="C9309" s="416"/>
      <c r="D9309" s="198" t="s">
        <v>17864</v>
      </c>
      <c r="E9309" s="198">
        <v>167</v>
      </c>
      <c r="F9309" s="199" t="s">
        <v>17865</v>
      </c>
      <c r="G9309" s="1" t="s">
        <v>51108</v>
      </c>
      <c r="H9309" s="1" t="s">
        <v>16716</v>
      </c>
      <c r="I9309" s="346"/>
      <c r="J9309" s="39">
        <v>115928</v>
      </c>
      <c r="K9309" s="36" t="str">
        <f>CONCATENATE(Cover!$D$6,"fdd/view?i=",J9309)</f>
        <v>https://www.dgiwg.org/FAD/fdd/view?i=115928</v>
      </c>
      <c r="L9309" s="36" t="s">
        <v>51109</v>
      </c>
      <c r="M9309" s="186"/>
      <c r="N9309" s="186"/>
      <c r="O9309" s="13" t="s">
        <v>17863</v>
      </c>
    </row>
    <row r="9310" spans="1:15" ht="25.5" x14ac:dyDescent="0.2">
      <c r="A9310" s="197" t="str">
        <f t="shared" si="145"/>
        <v>TacCode_chan055Z</v>
      </c>
      <c r="B9310" s="409"/>
      <c r="C9310" s="416"/>
      <c r="D9310" s="198" t="s">
        <v>17869</v>
      </c>
      <c r="E9310" s="198">
        <v>168</v>
      </c>
      <c r="F9310" s="199" t="s">
        <v>17870</v>
      </c>
      <c r="G9310" s="1" t="s">
        <v>51110</v>
      </c>
      <c r="H9310" s="1" t="s">
        <v>16716</v>
      </c>
      <c r="I9310" s="346"/>
      <c r="J9310" s="39">
        <v>115929</v>
      </c>
      <c r="K9310" s="36" t="str">
        <f>CONCATENATE(Cover!$D$6,"fdd/view?i=",J9310)</f>
        <v>https://www.dgiwg.org/FAD/fdd/view?i=115929</v>
      </c>
      <c r="L9310" s="36" t="s">
        <v>51111</v>
      </c>
      <c r="M9310" s="186"/>
      <c r="N9310" s="186"/>
      <c r="O9310" s="13" t="s">
        <v>17868</v>
      </c>
    </row>
    <row r="9311" spans="1:15" ht="25.5" x14ac:dyDescent="0.2">
      <c r="A9311" s="197" t="str">
        <f t="shared" si="145"/>
        <v>TacCode_chan056W</v>
      </c>
      <c r="B9311" s="409"/>
      <c r="C9311" s="416"/>
      <c r="D9311" s="198" t="s">
        <v>17874</v>
      </c>
      <c r="E9311" s="198">
        <v>169</v>
      </c>
      <c r="F9311" s="199" t="s">
        <v>17875</v>
      </c>
      <c r="G9311" s="1" t="s">
        <v>51112</v>
      </c>
      <c r="H9311" s="1" t="s">
        <v>16716</v>
      </c>
      <c r="I9311" s="346"/>
      <c r="J9311" s="39">
        <v>115930</v>
      </c>
      <c r="K9311" s="36" t="str">
        <f>CONCATENATE(Cover!$D$6,"fdd/view?i=",J9311)</f>
        <v>https://www.dgiwg.org/FAD/fdd/view?i=115930</v>
      </c>
      <c r="L9311" s="36" t="s">
        <v>51113</v>
      </c>
      <c r="M9311" s="186"/>
      <c r="N9311" s="186"/>
      <c r="O9311" s="13" t="s">
        <v>17873</v>
      </c>
    </row>
    <row r="9312" spans="1:15" ht="25.5" x14ac:dyDescent="0.2">
      <c r="A9312" s="197" t="str">
        <f t="shared" si="145"/>
        <v>TacCode_chan056X</v>
      </c>
      <c r="B9312" s="409"/>
      <c r="C9312" s="416"/>
      <c r="D9312" s="198" t="s">
        <v>17879</v>
      </c>
      <c r="E9312" s="198">
        <v>170</v>
      </c>
      <c r="F9312" s="199" t="s">
        <v>17880</v>
      </c>
      <c r="G9312" s="1" t="s">
        <v>51114</v>
      </c>
      <c r="H9312" s="1" t="s">
        <v>16716</v>
      </c>
      <c r="I9312" s="346"/>
      <c r="J9312" s="39">
        <v>115931</v>
      </c>
      <c r="K9312" s="36" t="str">
        <f>CONCATENATE(Cover!$D$6,"fdd/view?i=",J9312)</f>
        <v>https://www.dgiwg.org/FAD/fdd/view?i=115931</v>
      </c>
      <c r="L9312" s="36" t="s">
        <v>51115</v>
      </c>
      <c r="M9312" s="186"/>
      <c r="N9312" s="186"/>
      <c r="O9312" s="13" t="s">
        <v>17878</v>
      </c>
    </row>
    <row r="9313" spans="1:15" ht="25.5" x14ac:dyDescent="0.2">
      <c r="A9313" s="197" t="str">
        <f t="shared" si="145"/>
        <v>TacCode_chan056Y</v>
      </c>
      <c r="B9313" s="409"/>
      <c r="C9313" s="416"/>
      <c r="D9313" s="198" t="s">
        <v>17884</v>
      </c>
      <c r="E9313" s="198">
        <v>171</v>
      </c>
      <c r="F9313" s="199" t="s">
        <v>17885</v>
      </c>
      <c r="G9313" s="1" t="s">
        <v>51116</v>
      </c>
      <c r="H9313" s="1" t="s">
        <v>16716</v>
      </c>
      <c r="I9313" s="346"/>
      <c r="J9313" s="39">
        <v>115932</v>
      </c>
      <c r="K9313" s="36" t="str">
        <f>CONCATENATE(Cover!$D$6,"fdd/view?i=",J9313)</f>
        <v>https://www.dgiwg.org/FAD/fdd/view?i=115932</v>
      </c>
      <c r="L9313" s="36" t="s">
        <v>51117</v>
      </c>
      <c r="M9313" s="186"/>
      <c r="N9313" s="186"/>
      <c r="O9313" s="13" t="s">
        <v>17883</v>
      </c>
    </row>
    <row r="9314" spans="1:15" ht="25.5" x14ac:dyDescent="0.2">
      <c r="A9314" s="197" t="str">
        <f t="shared" si="145"/>
        <v>TacCode_chan056Z</v>
      </c>
      <c r="B9314" s="409"/>
      <c r="C9314" s="416"/>
      <c r="D9314" s="198" t="s">
        <v>17889</v>
      </c>
      <c r="E9314" s="198">
        <v>172</v>
      </c>
      <c r="F9314" s="199" t="s">
        <v>17890</v>
      </c>
      <c r="G9314" s="1" t="s">
        <v>51118</v>
      </c>
      <c r="H9314" s="1" t="s">
        <v>16716</v>
      </c>
      <c r="I9314" s="346"/>
      <c r="J9314" s="39">
        <v>115933</v>
      </c>
      <c r="K9314" s="36" t="str">
        <f>CONCATENATE(Cover!$D$6,"fdd/view?i=",J9314)</f>
        <v>https://www.dgiwg.org/FAD/fdd/view?i=115933</v>
      </c>
      <c r="L9314" s="36" t="s">
        <v>51119</v>
      </c>
      <c r="M9314" s="186"/>
      <c r="N9314" s="186"/>
      <c r="O9314" s="13" t="s">
        <v>17888</v>
      </c>
    </row>
    <row r="9315" spans="1:15" ht="25.5" x14ac:dyDescent="0.2">
      <c r="A9315" s="197" t="str">
        <f t="shared" si="145"/>
        <v>TacCode_chan057X</v>
      </c>
      <c r="B9315" s="409"/>
      <c r="C9315" s="416"/>
      <c r="D9315" s="198" t="s">
        <v>17894</v>
      </c>
      <c r="E9315" s="198">
        <v>173</v>
      </c>
      <c r="F9315" s="199" t="s">
        <v>17895</v>
      </c>
      <c r="G9315" s="1" t="s">
        <v>51120</v>
      </c>
      <c r="H9315" s="1" t="s">
        <v>16716</v>
      </c>
      <c r="I9315" s="346"/>
      <c r="J9315" s="39">
        <v>115934</v>
      </c>
      <c r="K9315" s="36" t="str">
        <f>CONCATENATE(Cover!$D$6,"fdd/view?i=",J9315)</f>
        <v>https://www.dgiwg.org/FAD/fdd/view?i=115934</v>
      </c>
      <c r="L9315" s="36" t="s">
        <v>51121</v>
      </c>
      <c r="M9315" s="186"/>
      <c r="N9315" s="186"/>
      <c r="O9315" s="13" t="s">
        <v>17893</v>
      </c>
    </row>
    <row r="9316" spans="1:15" ht="25.5" x14ac:dyDescent="0.2">
      <c r="A9316" s="197" t="str">
        <f t="shared" si="145"/>
        <v>TacCode_chan057Y</v>
      </c>
      <c r="B9316" s="409"/>
      <c r="C9316" s="416"/>
      <c r="D9316" s="198" t="s">
        <v>17899</v>
      </c>
      <c r="E9316" s="198">
        <v>174</v>
      </c>
      <c r="F9316" s="199" t="s">
        <v>17900</v>
      </c>
      <c r="G9316" s="1" t="s">
        <v>51122</v>
      </c>
      <c r="H9316" s="1" t="s">
        <v>16716</v>
      </c>
      <c r="I9316" s="346"/>
      <c r="J9316" s="39">
        <v>115935</v>
      </c>
      <c r="K9316" s="36" t="str">
        <f>CONCATENATE(Cover!$D$6,"fdd/view?i=",J9316)</f>
        <v>https://www.dgiwg.org/FAD/fdd/view?i=115935</v>
      </c>
      <c r="L9316" s="36" t="s">
        <v>51123</v>
      </c>
      <c r="M9316" s="186"/>
      <c r="N9316" s="186"/>
      <c r="O9316" s="13" t="s">
        <v>17898</v>
      </c>
    </row>
    <row r="9317" spans="1:15" ht="25.5" x14ac:dyDescent="0.2">
      <c r="A9317" s="197" t="str">
        <f t="shared" si="145"/>
        <v>TacCode_chan058X</v>
      </c>
      <c r="B9317" s="409"/>
      <c r="C9317" s="416"/>
      <c r="D9317" s="198" t="s">
        <v>17904</v>
      </c>
      <c r="E9317" s="198">
        <v>175</v>
      </c>
      <c r="F9317" s="199" t="s">
        <v>17905</v>
      </c>
      <c r="G9317" s="1" t="s">
        <v>51124</v>
      </c>
      <c r="H9317" s="1" t="s">
        <v>16716</v>
      </c>
      <c r="I9317" s="346"/>
      <c r="J9317" s="39">
        <v>115936</v>
      </c>
      <c r="K9317" s="36" t="str">
        <f>CONCATENATE(Cover!$D$6,"fdd/view?i=",J9317)</f>
        <v>https://www.dgiwg.org/FAD/fdd/view?i=115936</v>
      </c>
      <c r="L9317" s="36" t="s">
        <v>51125</v>
      </c>
      <c r="M9317" s="186"/>
      <c r="N9317" s="186"/>
      <c r="O9317" s="13" t="s">
        <v>17903</v>
      </c>
    </row>
    <row r="9318" spans="1:15" ht="25.5" x14ac:dyDescent="0.2">
      <c r="A9318" s="197" t="str">
        <f t="shared" si="145"/>
        <v>TacCode_chan058Y</v>
      </c>
      <c r="B9318" s="409"/>
      <c r="C9318" s="416"/>
      <c r="D9318" s="198" t="s">
        <v>17909</v>
      </c>
      <c r="E9318" s="198">
        <v>176</v>
      </c>
      <c r="F9318" s="199" t="s">
        <v>17910</v>
      </c>
      <c r="G9318" s="1" t="s">
        <v>51126</v>
      </c>
      <c r="H9318" s="1" t="s">
        <v>16716</v>
      </c>
      <c r="I9318" s="346"/>
      <c r="J9318" s="39">
        <v>115937</v>
      </c>
      <c r="K9318" s="36" t="str">
        <f>CONCATENATE(Cover!$D$6,"fdd/view?i=",J9318)</f>
        <v>https://www.dgiwg.org/FAD/fdd/view?i=115937</v>
      </c>
      <c r="L9318" s="36" t="s">
        <v>51127</v>
      </c>
      <c r="M9318" s="186"/>
      <c r="N9318" s="186"/>
      <c r="O9318" s="13" t="s">
        <v>17908</v>
      </c>
    </row>
    <row r="9319" spans="1:15" ht="25.5" x14ac:dyDescent="0.2">
      <c r="A9319" s="197" t="str">
        <f t="shared" si="145"/>
        <v>TacCode_chan059X</v>
      </c>
      <c r="B9319" s="409"/>
      <c r="C9319" s="416"/>
      <c r="D9319" s="198" t="s">
        <v>17914</v>
      </c>
      <c r="E9319" s="198">
        <v>177</v>
      </c>
      <c r="F9319" s="199" t="s">
        <v>17915</v>
      </c>
      <c r="G9319" s="1" t="s">
        <v>51128</v>
      </c>
      <c r="H9319" s="1" t="s">
        <v>16716</v>
      </c>
      <c r="I9319" s="346"/>
      <c r="J9319" s="39">
        <v>115938</v>
      </c>
      <c r="K9319" s="36" t="str">
        <f>CONCATENATE(Cover!$D$6,"fdd/view?i=",J9319)</f>
        <v>https://www.dgiwg.org/FAD/fdd/view?i=115938</v>
      </c>
      <c r="L9319" s="36" t="s">
        <v>51129</v>
      </c>
      <c r="M9319" s="186"/>
      <c r="N9319" s="186"/>
      <c r="O9319" s="13" t="s">
        <v>17913</v>
      </c>
    </row>
    <row r="9320" spans="1:15" ht="25.5" x14ac:dyDescent="0.2">
      <c r="A9320" s="197" t="str">
        <f t="shared" si="145"/>
        <v>TacCode_chan059Y</v>
      </c>
      <c r="B9320" s="409"/>
      <c r="C9320" s="416"/>
      <c r="D9320" s="198" t="s">
        <v>17919</v>
      </c>
      <c r="E9320" s="198">
        <v>178</v>
      </c>
      <c r="F9320" s="199" t="s">
        <v>17920</v>
      </c>
      <c r="G9320" s="1" t="s">
        <v>51130</v>
      </c>
      <c r="H9320" s="1" t="s">
        <v>16716</v>
      </c>
      <c r="I9320" s="346"/>
      <c r="J9320" s="39">
        <v>115939</v>
      </c>
      <c r="K9320" s="36" t="str">
        <f>CONCATENATE(Cover!$D$6,"fdd/view?i=",J9320)</f>
        <v>https://www.dgiwg.org/FAD/fdd/view?i=115939</v>
      </c>
      <c r="L9320" s="36" t="s">
        <v>51131</v>
      </c>
      <c r="M9320" s="186"/>
      <c r="N9320" s="186"/>
      <c r="O9320" s="13" t="s">
        <v>17918</v>
      </c>
    </row>
    <row r="9321" spans="1:15" ht="25.5" x14ac:dyDescent="0.2">
      <c r="A9321" s="197" t="str">
        <f t="shared" si="145"/>
        <v>TacCode_chan060X</v>
      </c>
      <c r="B9321" s="409"/>
      <c r="C9321" s="416"/>
      <c r="D9321" s="198" t="s">
        <v>17934</v>
      </c>
      <c r="E9321" s="198">
        <v>179</v>
      </c>
      <c r="F9321" s="199" t="s">
        <v>17935</v>
      </c>
      <c r="G9321" s="1" t="s">
        <v>51136</v>
      </c>
      <c r="H9321" s="1" t="s">
        <v>16716</v>
      </c>
      <c r="I9321" s="346"/>
      <c r="J9321" s="39">
        <v>115940</v>
      </c>
      <c r="K9321" s="36" t="str">
        <f>CONCATENATE(Cover!$D$6,"fdd/view?i=",J9321)</f>
        <v>https://www.dgiwg.org/FAD/fdd/view?i=115940</v>
      </c>
      <c r="L9321" s="36" t="s">
        <v>51137</v>
      </c>
      <c r="M9321" s="186"/>
      <c r="N9321" s="186"/>
      <c r="O9321" s="13" t="s">
        <v>17933</v>
      </c>
    </row>
    <row r="9322" spans="1:15" ht="25.5" x14ac:dyDescent="0.2">
      <c r="A9322" s="197" t="str">
        <f t="shared" si="145"/>
        <v>TacCode_chan060Y</v>
      </c>
      <c r="B9322" s="409"/>
      <c r="C9322" s="416"/>
      <c r="D9322" s="198" t="s">
        <v>17939</v>
      </c>
      <c r="E9322" s="198">
        <v>180</v>
      </c>
      <c r="F9322" s="199" t="s">
        <v>17940</v>
      </c>
      <c r="G9322" s="1" t="s">
        <v>51138</v>
      </c>
      <c r="H9322" s="1" t="s">
        <v>16716</v>
      </c>
      <c r="I9322" s="346"/>
      <c r="J9322" s="39">
        <v>115941</v>
      </c>
      <c r="K9322" s="36" t="str">
        <f>CONCATENATE(Cover!$D$6,"fdd/view?i=",J9322)</f>
        <v>https://www.dgiwg.org/FAD/fdd/view?i=115941</v>
      </c>
      <c r="L9322" s="36" t="s">
        <v>51139</v>
      </c>
      <c r="M9322" s="186"/>
      <c r="N9322" s="186"/>
      <c r="O9322" s="13" t="s">
        <v>17938</v>
      </c>
    </row>
    <row r="9323" spans="1:15" ht="25.5" x14ac:dyDescent="0.2">
      <c r="A9323" s="197" t="str">
        <f t="shared" si="145"/>
        <v>TacCode_chan061X</v>
      </c>
      <c r="B9323" s="409"/>
      <c r="C9323" s="416"/>
      <c r="D9323" s="198" t="s">
        <v>17944</v>
      </c>
      <c r="E9323" s="198">
        <v>181</v>
      </c>
      <c r="F9323" s="199" t="s">
        <v>17945</v>
      </c>
      <c r="G9323" s="1" t="s">
        <v>51140</v>
      </c>
      <c r="H9323" s="1" t="s">
        <v>16716</v>
      </c>
      <c r="I9323" s="346"/>
      <c r="J9323" s="39">
        <v>115942</v>
      </c>
      <c r="K9323" s="36" t="str">
        <f>CONCATENATE(Cover!$D$6,"fdd/view?i=",J9323)</f>
        <v>https://www.dgiwg.org/FAD/fdd/view?i=115942</v>
      </c>
      <c r="L9323" s="36" t="s">
        <v>51141</v>
      </c>
      <c r="M9323" s="186"/>
      <c r="N9323" s="186"/>
      <c r="O9323" s="13" t="s">
        <v>17943</v>
      </c>
    </row>
    <row r="9324" spans="1:15" ht="25.5" x14ac:dyDescent="0.2">
      <c r="A9324" s="197" t="str">
        <f t="shared" si="145"/>
        <v>TacCode_chan061Y</v>
      </c>
      <c r="B9324" s="409"/>
      <c r="C9324" s="416"/>
      <c r="D9324" s="198" t="s">
        <v>17949</v>
      </c>
      <c r="E9324" s="198">
        <v>182</v>
      </c>
      <c r="F9324" s="199" t="s">
        <v>17950</v>
      </c>
      <c r="G9324" s="1" t="s">
        <v>51142</v>
      </c>
      <c r="H9324" s="1" t="s">
        <v>16716</v>
      </c>
      <c r="I9324" s="346"/>
      <c r="J9324" s="39">
        <v>115943</v>
      </c>
      <c r="K9324" s="36" t="str">
        <f>CONCATENATE(Cover!$D$6,"fdd/view?i=",J9324)</f>
        <v>https://www.dgiwg.org/FAD/fdd/view?i=115943</v>
      </c>
      <c r="L9324" s="36" t="s">
        <v>51143</v>
      </c>
      <c r="M9324" s="186"/>
      <c r="N9324" s="186"/>
      <c r="O9324" s="13" t="s">
        <v>17948</v>
      </c>
    </row>
    <row r="9325" spans="1:15" ht="25.5" x14ac:dyDescent="0.2">
      <c r="A9325" s="197" t="str">
        <f t="shared" si="145"/>
        <v>TacCode_chan062X</v>
      </c>
      <c r="B9325" s="409"/>
      <c r="C9325" s="416"/>
      <c r="D9325" s="198" t="s">
        <v>17954</v>
      </c>
      <c r="E9325" s="198">
        <v>183</v>
      </c>
      <c r="F9325" s="199" t="s">
        <v>17955</v>
      </c>
      <c r="G9325" s="1" t="s">
        <v>51144</v>
      </c>
      <c r="H9325" s="1" t="s">
        <v>16716</v>
      </c>
      <c r="I9325" s="346"/>
      <c r="J9325" s="39">
        <v>115944</v>
      </c>
      <c r="K9325" s="36" t="str">
        <f>CONCATENATE(Cover!$D$6,"fdd/view?i=",J9325)</f>
        <v>https://www.dgiwg.org/FAD/fdd/view?i=115944</v>
      </c>
      <c r="L9325" s="36" t="s">
        <v>51145</v>
      </c>
      <c r="M9325" s="186"/>
      <c r="N9325" s="186"/>
      <c r="O9325" s="13" t="s">
        <v>17953</v>
      </c>
    </row>
    <row r="9326" spans="1:15" ht="25.5" x14ac:dyDescent="0.2">
      <c r="A9326" s="197" t="str">
        <f t="shared" si="145"/>
        <v>TacCode_chan062Y</v>
      </c>
      <c r="B9326" s="409"/>
      <c r="C9326" s="416"/>
      <c r="D9326" s="198" t="s">
        <v>17959</v>
      </c>
      <c r="E9326" s="198">
        <v>184</v>
      </c>
      <c r="F9326" s="199" t="s">
        <v>17960</v>
      </c>
      <c r="G9326" s="1" t="s">
        <v>51146</v>
      </c>
      <c r="H9326" s="1" t="s">
        <v>16716</v>
      </c>
      <c r="I9326" s="346"/>
      <c r="J9326" s="39">
        <v>115945</v>
      </c>
      <c r="K9326" s="36" t="str">
        <f>CONCATENATE(Cover!$D$6,"fdd/view?i=",J9326)</f>
        <v>https://www.dgiwg.org/FAD/fdd/view?i=115945</v>
      </c>
      <c r="L9326" s="36" t="s">
        <v>51147</v>
      </c>
      <c r="M9326" s="186"/>
      <c r="N9326" s="186"/>
      <c r="O9326" s="13" t="s">
        <v>17958</v>
      </c>
    </row>
    <row r="9327" spans="1:15" ht="25.5" x14ac:dyDescent="0.2">
      <c r="A9327" s="197" t="str">
        <f t="shared" si="145"/>
        <v>TacCode_chan063X</v>
      </c>
      <c r="B9327" s="409"/>
      <c r="C9327" s="416"/>
      <c r="D9327" s="198" t="s">
        <v>17964</v>
      </c>
      <c r="E9327" s="198">
        <v>185</v>
      </c>
      <c r="F9327" s="199" t="s">
        <v>17965</v>
      </c>
      <c r="G9327" s="1" t="s">
        <v>51148</v>
      </c>
      <c r="H9327" s="1" t="s">
        <v>16716</v>
      </c>
      <c r="I9327" s="346"/>
      <c r="J9327" s="39">
        <v>115946</v>
      </c>
      <c r="K9327" s="36" t="str">
        <f>CONCATENATE(Cover!$D$6,"fdd/view?i=",J9327)</f>
        <v>https://www.dgiwg.org/FAD/fdd/view?i=115946</v>
      </c>
      <c r="L9327" s="36" t="s">
        <v>51149</v>
      </c>
      <c r="M9327" s="186"/>
      <c r="N9327" s="186"/>
      <c r="O9327" s="13" t="s">
        <v>17963</v>
      </c>
    </row>
    <row r="9328" spans="1:15" ht="25.5" x14ac:dyDescent="0.2">
      <c r="A9328" s="197" t="str">
        <f t="shared" si="145"/>
        <v>TacCode_chan063Y</v>
      </c>
      <c r="B9328" s="409"/>
      <c r="C9328" s="416"/>
      <c r="D9328" s="198" t="s">
        <v>17969</v>
      </c>
      <c r="E9328" s="198">
        <v>186</v>
      </c>
      <c r="F9328" s="199" t="s">
        <v>17970</v>
      </c>
      <c r="G9328" s="1" t="s">
        <v>51150</v>
      </c>
      <c r="H9328" s="1" t="s">
        <v>16716</v>
      </c>
      <c r="I9328" s="346"/>
      <c r="J9328" s="39">
        <v>115947</v>
      </c>
      <c r="K9328" s="36" t="str">
        <f>CONCATENATE(Cover!$D$6,"fdd/view?i=",J9328)</f>
        <v>https://www.dgiwg.org/FAD/fdd/view?i=115947</v>
      </c>
      <c r="L9328" s="36" t="s">
        <v>51151</v>
      </c>
      <c r="M9328" s="186"/>
      <c r="N9328" s="186"/>
      <c r="O9328" s="13" t="s">
        <v>17968</v>
      </c>
    </row>
    <row r="9329" spans="1:15" ht="25.5" x14ac:dyDescent="0.2">
      <c r="A9329" s="197" t="str">
        <f t="shared" si="145"/>
        <v>TacCode_chan064X</v>
      </c>
      <c r="B9329" s="409"/>
      <c r="C9329" s="416"/>
      <c r="D9329" s="198" t="s">
        <v>17974</v>
      </c>
      <c r="E9329" s="198">
        <v>187</v>
      </c>
      <c r="F9329" s="199" t="s">
        <v>17975</v>
      </c>
      <c r="G9329" s="1" t="s">
        <v>51152</v>
      </c>
      <c r="H9329" s="1" t="s">
        <v>16716</v>
      </c>
      <c r="I9329" s="346"/>
      <c r="J9329" s="39">
        <v>115948</v>
      </c>
      <c r="K9329" s="36" t="str">
        <f>CONCATENATE(Cover!$D$6,"fdd/view?i=",J9329)</f>
        <v>https://www.dgiwg.org/FAD/fdd/view?i=115948</v>
      </c>
      <c r="L9329" s="36" t="s">
        <v>51153</v>
      </c>
      <c r="M9329" s="186"/>
      <c r="N9329" s="186"/>
      <c r="O9329" s="13" t="s">
        <v>17973</v>
      </c>
    </row>
    <row r="9330" spans="1:15" ht="25.5" x14ac:dyDescent="0.2">
      <c r="A9330" s="197" t="str">
        <f t="shared" si="145"/>
        <v>TacCode_chan064Y</v>
      </c>
      <c r="B9330" s="409"/>
      <c r="C9330" s="416"/>
      <c r="D9330" s="198" t="s">
        <v>17979</v>
      </c>
      <c r="E9330" s="198">
        <v>188</v>
      </c>
      <c r="F9330" s="199" t="s">
        <v>17980</v>
      </c>
      <c r="G9330" s="1" t="s">
        <v>51154</v>
      </c>
      <c r="H9330" s="1" t="s">
        <v>16716</v>
      </c>
      <c r="I9330" s="346"/>
      <c r="J9330" s="39">
        <v>115949</v>
      </c>
      <c r="K9330" s="36" t="str">
        <f>CONCATENATE(Cover!$D$6,"fdd/view?i=",J9330)</f>
        <v>https://www.dgiwg.org/FAD/fdd/view?i=115949</v>
      </c>
      <c r="L9330" s="36" t="s">
        <v>51155</v>
      </c>
      <c r="M9330" s="186"/>
      <c r="N9330" s="186"/>
      <c r="O9330" s="13" t="s">
        <v>17978</v>
      </c>
    </row>
    <row r="9331" spans="1:15" ht="25.5" x14ac:dyDescent="0.2">
      <c r="A9331" s="197" t="str">
        <f t="shared" si="145"/>
        <v>TacCode_chan065X</v>
      </c>
      <c r="B9331" s="409"/>
      <c r="C9331" s="416"/>
      <c r="D9331" s="198" t="s">
        <v>17984</v>
      </c>
      <c r="E9331" s="198">
        <v>189</v>
      </c>
      <c r="F9331" s="199" t="s">
        <v>17985</v>
      </c>
      <c r="G9331" s="1" t="s">
        <v>51156</v>
      </c>
      <c r="H9331" s="1" t="s">
        <v>16716</v>
      </c>
      <c r="I9331" s="346"/>
      <c r="J9331" s="39">
        <v>115950</v>
      </c>
      <c r="K9331" s="36" t="str">
        <f>CONCATENATE(Cover!$D$6,"fdd/view?i=",J9331)</f>
        <v>https://www.dgiwg.org/FAD/fdd/view?i=115950</v>
      </c>
      <c r="L9331" s="36" t="s">
        <v>51157</v>
      </c>
      <c r="M9331" s="186"/>
      <c r="N9331" s="186"/>
      <c r="O9331" s="13" t="s">
        <v>17983</v>
      </c>
    </row>
    <row r="9332" spans="1:15" ht="25.5" x14ac:dyDescent="0.2">
      <c r="A9332" s="197" t="str">
        <f t="shared" si="145"/>
        <v>TacCode_chan065Y</v>
      </c>
      <c r="B9332" s="409"/>
      <c r="C9332" s="416"/>
      <c r="D9332" s="198" t="s">
        <v>17989</v>
      </c>
      <c r="E9332" s="198">
        <v>190</v>
      </c>
      <c r="F9332" s="199" t="s">
        <v>17990</v>
      </c>
      <c r="G9332" s="1" t="s">
        <v>51158</v>
      </c>
      <c r="H9332" s="1" t="s">
        <v>16716</v>
      </c>
      <c r="I9332" s="346"/>
      <c r="J9332" s="39">
        <v>115951</v>
      </c>
      <c r="K9332" s="36" t="str">
        <f>CONCATENATE(Cover!$D$6,"fdd/view?i=",J9332)</f>
        <v>https://www.dgiwg.org/FAD/fdd/view?i=115951</v>
      </c>
      <c r="L9332" s="36" t="s">
        <v>51159</v>
      </c>
      <c r="M9332" s="186"/>
      <c r="N9332" s="186"/>
      <c r="O9332" s="13" t="s">
        <v>17988</v>
      </c>
    </row>
    <row r="9333" spans="1:15" ht="25.5" x14ac:dyDescent="0.2">
      <c r="A9333" s="197" t="str">
        <f t="shared" si="145"/>
        <v>TacCode_chan066X</v>
      </c>
      <c r="B9333" s="409"/>
      <c r="C9333" s="416"/>
      <c r="D9333" s="198" t="s">
        <v>17994</v>
      </c>
      <c r="E9333" s="198">
        <v>191</v>
      </c>
      <c r="F9333" s="199" t="s">
        <v>17995</v>
      </c>
      <c r="G9333" s="1" t="s">
        <v>51160</v>
      </c>
      <c r="H9333" s="1" t="s">
        <v>16716</v>
      </c>
      <c r="I9333" s="346"/>
      <c r="J9333" s="39">
        <v>115952</v>
      </c>
      <c r="K9333" s="36" t="str">
        <f>CONCATENATE(Cover!$D$6,"fdd/view?i=",J9333)</f>
        <v>https://www.dgiwg.org/FAD/fdd/view?i=115952</v>
      </c>
      <c r="L9333" s="36" t="s">
        <v>51161</v>
      </c>
      <c r="M9333" s="186"/>
      <c r="N9333" s="186"/>
      <c r="O9333" s="13" t="s">
        <v>17993</v>
      </c>
    </row>
    <row r="9334" spans="1:15" ht="25.5" x14ac:dyDescent="0.2">
      <c r="A9334" s="197" t="str">
        <f t="shared" si="145"/>
        <v>TacCode_chan066Y</v>
      </c>
      <c r="B9334" s="409"/>
      <c r="C9334" s="416"/>
      <c r="D9334" s="198" t="s">
        <v>17999</v>
      </c>
      <c r="E9334" s="198">
        <v>192</v>
      </c>
      <c r="F9334" s="199" t="s">
        <v>18000</v>
      </c>
      <c r="G9334" s="1" t="s">
        <v>51162</v>
      </c>
      <c r="H9334" s="1" t="s">
        <v>16716</v>
      </c>
      <c r="I9334" s="346"/>
      <c r="J9334" s="39">
        <v>115953</v>
      </c>
      <c r="K9334" s="36" t="str">
        <f>CONCATENATE(Cover!$D$6,"fdd/view?i=",J9334)</f>
        <v>https://www.dgiwg.org/FAD/fdd/view?i=115953</v>
      </c>
      <c r="L9334" s="36" t="s">
        <v>51163</v>
      </c>
      <c r="M9334" s="186"/>
      <c r="N9334" s="186"/>
      <c r="O9334" s="13" t="s">
        <v>17998</v>
      </c>
    </row>
    <row r="9335" spans="1:15" ht="25.5" x14ac:dyDescent="0.2">
      <c r="A9335" s="197" t="str">
        <f t="shared" si="145"/>
        <v>TacCode_chan067X</v>
      </c>
      <c r="B9335" s="409"/>
      <c r="C9335" s="416"/>
      <c r="D9335" s="198" t="s">
        <v>18004</v>
      </c>
      <c r="E9335" s="198">
        <v>193</v>
      </c>
      <c r="F9335" s="199" t="s">
        <v>18005</v>
      </c>
      <c r="G9335" s="1" t="s">
        <v>51164</v>
      </c>
      <c r="H9335" s="1" t="s">
        <v>16716</v>
      </c>
      <c r="I9335" s="346"/>
      <c r="J9335" s="39">
        <v>115954</v>
      </c>
      <c r="K9335" s="36" t="str">
        <f>CONCATENATE(Cover!$D$6,"fdd/view?i=",J9335)</f>
        <v>https://www.dgiwg.org/FAD/fdd/view?i=115954</v>
      </c>
      <c r="L9335" s="36" t="s">
        <v>51165</v>
      </c>
      <c r="M9335" s="186"/>
      <c r="N9335" s="186"/>
      <c r="O9335" s="13" t="s">
        <v>18003</v>
      </c>
    </row>
    <row r="9336" spans="1:15" ht="25.5" x14ac:dyDescent="0.2">
      <c r="A9336" s="197" t="str">
        <f t="shared" si="145"/>
        <v>TacCode_chan067Y</v>
      </c>
      <c r="B9336" s="409"/>
      <c r="C9336" s="416"/>
      <c r="D9336" s="198" t="s">
        <v>18009</v>
      </c>
      <c r="E9336" s="198">
        <v>194</v>
      </c>
      <c r="F9336" s="199" t="s">
        <v>18010</v>
      </c>
      <c r="G9336" s="1" t="s">
        <v>51166</v>
      </c>
      <c r="H9336" s="1" t="s">
        <v>16716</v>
      </c>
      <c r="I9336" s="346"/>
      <c r="J9336" s="39">
        <v>115955</v>
      </c>
      <c r="K9336" s="36" t="str">
        <f>CONCATENATE(Cover!$D$6,"fdd/view?i=",J9336)</f>
        <v>https://www.dgiwg.org/FAD/fdd/view?i=115955</v>
      </c>
      <c r="L9336" s="36" t="s">
        <v>51167</v>
      </c>
      <c r="M9336" s="186"/>
      <c r="N9336" s="186"/>
      <c r="O9336" s="13" t="s">
        <v>18008</v>
      </c>
    </row>
    <row r="9337" spans="1:15" ht="25.5" x14ac:dyDescent="0.2">
      <c r="A9337" s="197" t="str">
        <f t="shared" si="145"/>
        <v>TacCode_chan068X</v>
      </c>
      <c r="B9337" s="409"/>
      <c r="C9337" s="416"/>
      <c r="D9337" s="198" t="s">
        <v>18014</v>
      </c>
      <c r="E9337" s="198">
        <v>195</v>
      </c>
      <c r="F9337" s="199" t="s">
        <v>18015</v>
      </c>
      <c r="G9337" s="1" t="s">
        <v>51168</v>
      </c>
      <c r="H9337" s="1" t="s">
        <v>16716</v>
      </c>
      <c r="I9337" s="346"/>
      <c r="J9337" s="39">
        <v>115956</v>
      </c>
      <c r="K9337" s="36" t="str">
        <f>CONCATENATE(Cover!$D$6,"fdd/view?i=",J9337)</f>
        <v>https://www.dgiwg.org/FAD/fdd/view?i=115956</v>
      </c>
      <c r="L9337" s="36" t="s">
        <v>51169</v>
      </c>
      <c r="M9337" s="186"/>
      <c r="N9337" s="186"/>
      <c r="O9337" s="13" t="s">
        <v>18013</v>
      </c>
    </row>
    <row r="9338" spans="1:15" ht="25.5" x14ac:dyDescent="0.2">
      <c r="A9338" s="197" t="str">
        <f t="shared" si="145"/>
        <v>TacCode_chan068Y</v>
      </c>
      <c r="B9338" s="409"/>
      <c r="C9338" s="416"/>
      <c r="D9338" s="198" t="s">
        <v>18019</v>
      </c>
      <c r="E9338" s="198">
        <v>196</v>
      </c>
      <c r="F9338" s="199" t="s">
        <v>18020</v>
      </c>
      <c r="G9338" s="1" t="s">
        <v>51170</v>
      </c>
      <c r="H9338" s="1" t="s">
        <v>16716</v>
      </c>
      <c r="I9338" s="346"/>
      <c r="J9338" s="39">
        <v>115957</v>
      </c>
      <c r="K9338" s="36" t="str">
        <f>CONCATENATE(Cover!$D$6,"fdd/view?i=",J9338)</f>
        <v>https://www.dgiwg.org/FAD/fdd/view?i=115957</v>
      </c>
      <c r="L9338" s="36" t="s">
        <v>51171</v>
      </c>
      <c r="M9338" s="186"/>
      <c r="N9338" s="186"/>
      <c r="O9338" s="13" t="s">
        <v>18018</v>
      </c>
    </row>
    <row r="9339" spans="1:15" ht="25.5" x14ac:dyDescent="0.2">
      <c r="A9339" s="197" t="str">
        <f t="shared" si="145"/>
        <v>TacCode_chan069X</v>
      </c>
      <c r="B9339" s="409"/>
      <c r="C9339" s="416"/>
      <c r="D9339" s="198" t="s">
        <v>18024</v>
      </c>
      <c r="E9339" s="198">
        <v>197</v>
      </c>
      <c r="F9339" s="199" t="s">
        <v>18025</v>
      </c>
      <c r="G9339" s="1" t="s">
        <v>51172</v>
      </c>
      <c r="H9339" s="1" t="s">
        <v>16716</v>
      </c>
      <c r="I9339" s="346"/>
      <c r="J9339" s="39">
        <v>115958</v>
      </c>
      <c r="K9339" s="36" t="str">
        <f>CONCATENATE(Cover!$D$6,"fdd/view?i=",J9339)</f>
        <v>https://www.dgiwg.org/FAD/fdd/view?i=115958</v>
      </c>
      <c r="L9339" s="36" t="s">
        <v>51173</v>
      </c>
      <c r="M9339" s="186"/>
      <c r="N9339" s="186"/>
      <c r="O9339" s="13" t="s">
        <v>18023</v>
      </c>
    </row>
    <row r="9340" spans="1:15" ht="25.5" x14ac:dyDescent="0.2">
      <c r="A9340" s="197" t="str">
        <f t="shared" si="145"/>
        <v>TacCode_chan069Y</v>
      </c>
      <c r="B9340" s="409"/>
      <c r="C9340" s="416"/>
      <c r="D9340" s="198" t="s">
        <v>18029</v>
      </c>
      <c r="E9340" s="198">
        <v>198</v>
      </c>
      <c r="F9340" s="199" t="s">
        <v>18030</v>
      </c>
      <c r="G9340" s="1" t="s">
        <v>51174</v>
      </c>
      <c r="H9340" s="1" t="s">
        <v>16716</v>
      </c>
      <c r="I9340" s="346"/>
      <c r="J9340" s="39">
        <v>115959</v>
      </c>
      <c r="K9340" s="36" t="str">
        <f>CONCATENATE(Cover!$D$6,"fdd/view?i=",J9340)</f>
        <v>https://www.dgiwg.org/FAD/fdd/view?i=115959</v>
      </c>
      <c r="L9340" s="36" t="s">
        <v>51175</v>
      </c>
      <c r="M9340" s="186"/>
      <c r="N9340" s="186"/>
      <c r="O9340" s="13" t="s">
        <v>18028</v>
      </c>
    </row>
    <row r="9341" spans="1:15" ht="25.5" x14ac:dyDescent="0.2">
      <c r="A9341" s="197" t="str">
        <f t="shared" si="145"/>
        <v>TacCode_chan070X</v>
      </c>
      <c r="B9341" s="409"/>
      <c r="C9341" s="416"/>
      <c r="D9341" s="198" t="s">
        <v>18044</v>
      </c>
      <c r="E9341" s="198">
        <v>199</v>
      </c>
      <c r="F9341" s="199" t="s">
        <v>18045</v>
      </c>
      <c r="G9341" s="1" t="s">
        <v>51180</v>
      </c>
      <c r="H9341" s="1" t="s">
        <v>16716</v>
      </c>
      <c r="I9341" s="346"/>
      <c r="J9341" s="39">
        <v>115960</v>
      </c>
      <c r="K9341" s="36" t="str">
        <f>CONCATENATE(Cover!$D$6,"fdd/view?i=",J9341)</f>
        <v>https://www.dgiwg.org/FAD/fdd/view?i=115960</v>
      </c>
      <c r="L9341" s="36" t="s">
        <v>51181</v>
      </c>
      <c r="M9341" s="186"/>
      <c r="N9341" s="186"/>
      <c r="O9341" s="13" t="s">
        <v>18043</v>
      </c>
    </row>
    <row r="9342" spans="1:15" ht="25.5" x14ac:dyDescent="0.2">
      <c r="A9342" s="197" t="str">
        <f t="shared" si="145"/>
        <v>TacCode_chan070Y</v>
      </c>
      <c r="B9342" s="409"/>
      <c r="C9342" s="416"/>
      <c r="D9342" s="198" t="s">
        <v>18049</v>
      </c>
      <c r="E9342" s="198">
        <v>200</v>
      </c>
      <c r="F9342" s="199" t="s">
        <v>18050</v>
      </c>
      <c r="G9342" s="1" t="s">
        <v>51182</v>
      </c>
      <c r="H9342" s="1" t="s">
        <v>16716</v>
      </c>
      <c r="I9342" s="346"/>
      <c r="J9342" s="39">
        <v>115961</v>
      </c>
      <c r="K9342" s="36" t="str">
        <f>CONCATENATE(Cover!$D$6,"fdd/view?i=",J9342)</f>
        <v>https://www.dgiwg.org/FAD/fdd/view?i=115961</v>
      </c>
      <c r="L9342" s="36" t="s">
        <v>51183</v>
      </c>
      <c r="M9342" s="186"/>
      <c r="N9342" s="186"/>
      <c r="O9342" s="13" t="s">
        <v>18048</v>
      </c>
    </row>
    <row r="9343" spans="1:15" ht="25.5" x14ac:dyDescent="0.2">
      <c r="A9343" s="197" t="str">
        <f t="shared" si="145"/>
        <v>TacCode_chan071X</v>
      </c>
      <c r="B9343" s="409"/>
      <c r="C9343" s="416"/>
      <c r="D9343" s="198" t="s">
        <v>18054</v>
      </c>
      <c r="E9343" s="198">
        <v>201</v>
      </c>
      <c r="F9343" s="199" t="s">
        <v>18055</v>
      </c>
      <c r="G9343" s="1" t="s">
        <v>51184</v>
      </c>
      <c r="H9343" s="1" t="s">
        <v>16716</v>
      </c>
      <c r="I9343" s="346"/>
      <c r="J9343" s="39">
        <v>115962</v>
      </c>
      <c r="K9343" s="36" t="str">
        <f>CONCATENATE(Cover!$D$6,"fdd/view?i=",J9343)</f>
        <v>https://www.dgiwg.org/FAD/fdd/view?i=115962</v>
      </c>
      <c r="L9343" s="36" t="s">
        <v>51185</v>
      </c>
      <c r="M9343" s="186"/>
      <c r="N9343" s="186"/>
      <c r="O9343" s="13" t="s">
        <v>18053</v>
      </c>
    </row>
    <row r="9344" spans="1:15" ht="25.5" x14ac:dyDescent="0.2">
      <c r="A9344" s="197" t="str">
        <f t="shared" si="145"/>
        <v>TacCode_chan071Y</v>
      </c>
      <c r="B9344" s="409"/>
      <c r="C9344" s="416"/>
      <c r="D9344" s="198" t="s">
        <v>18059</v>
      </c>
      <c r="E9344" s="198">
        <v>202</v>
      </c>
      <c r="F9344" s="199" t="s">
        <v>18060</v>
      </c>
      <c r="G9344" s="1" t="s">
        <v>51186</v>
      </c>
      <c r="H9344" s="1" t="s">
        <v>16716</v>
      </c>
      <c r="I9344" s="346"/>
      <c r="J9344" s="39">
        <v>115963</v>
      </c>
      <c r="K9344" s="36" t="str">
        <f>CONCATENATE(Cover!$D$6,"fdd/view?i=",J9344)</f>
        <v>https://www.dgiwg.org/FAD/fdd/view?i=115963</v>
      </c>
      <c r="L9344" s="36" t="s">
        <v>51187</v>
      </c>
      <c r="M9344" s="186"/>
      <c r="N9344" s="186"/>
      <c r="O9344" s="13" t="s">
        <v>18058</v>
      </c>
    </row>
    <row r="9345" spans="1:15" ht="25.5" x14ac:dyDescent="0.2">
      <c r="A9345" s="197" t="str">
        <f t="shared" si="145"/>
        <v>TacCode_chan072X</v>
      </c>
      <c r="B9345" s="409"/>
      <c r="C9345" s="416"/>
      <c r="D9345" s="198" t="s">
        <v>18064</v>
      </c>
      <c r="E9345" s="198">
        <v>203</v>
      </c>
      <c r="F9345" s="199" t="s">
        <v>18065</v>
      </c>
      <c r="G9345" s="1" t="s">
        <v>51188</v>
      </c>
      <c r="H9345" s="1" t="s">
        <v>16716</v>
      </c>
      <c r="I9345" s="346"/>
      <c r="J9345" s="39">
        <v>115964</v>
      </c>
      <c r="K9345" s="36" t="str">
        <f>CONCATENATE(Cover!$D$6,"fdd/view?i=",J9345)</f>
        <v>https://www.dgiwg.org/FAD/fdd/view?i=115964</v>
      </c>
      <c r="L9345" s="36" t="s">
        <v>51189</v>
      </c>
      <c r="M9345" s="186"/>
      <c r="N9345" s="186"/>
      <c r="O9345" s="13" t="s">
        <v>18063</v>
      </c>
    </row>
    <row r="9346" spans="1:15" ht="25.5" x14ac:dyDescent="0.2">
      <c r="A9346" s="197" t="str">
        <f t="shared" ref="A9346:A9409" si="146">HYPERLINK(K9346,L9346)</f>
        <v>TacCode_chan072Y</v>
      </c>
      <c r="B9346" s="409"/>
      <c r="C9346" s="416"/>
      <c r="D9346" s="198" t="s">
        <v>18069</v>
      </c>
      <c r="E9346" s="198">
        <v>204</v>
      </c>
      <c r="F9346" s="199" t="s">
        <v>18070</v>
      </c>
      <c r="G9346" s="1" t="s">
        <v>51190</v>
      </c>
      <c r="H9346" s="1" t="s">
        <v>16716</v>
      </c>
      <c r="I9346" s="346"/>
      <c r="J9346" s="39">
        <v>115965</v>
      </c>
      <c r="K9346" s="36" t="str">
        <f>CONCATENATE(Cover!$D$6,"fdd/view?i=",J9346)</f>
        <v>https://www.dgiwg.org/FAD/fdd/view?i=115965</v>
      </c>
      <c r="L9346" s="36" t="s">
        <v>51191</v>
      </c>
      <c r="M9346" s="186"/>
      <c r="N9346" s="186"/>
      <c r="O9346" s="13" t="s">
        <v>18068</v>
      </c>
    </row>
    <row r="9347" spans="1:15" ht="25.5" x14ac:dyDescent="0.2">
      <c r="A9347" s="197" t="str">
        <f t="shared" si="146"/>
        <v>TacCode_chan073X</v>
      </c>
      <c r="B9347" s="409"/>
      <c r="C9347" s="416"/>
      <c r="D9347" s="198" t="s">
        <v>18074</v>
      </c>
      <c r="E9347" s="198">
        <v>205</v>
      </c>
      <c r="F9347" s="199" t="s">
        <v>18075</v>
      </c>
      <c r="G9347" s="1" t="s">
        <v>51192</v>
      </c>
      <c r="H9347" s="1" t="s">
        <v>16716</v>
      </c>
      <c r="I9347" s="346"/>
      <c r="J9347" s="39">
        <v>115966</v>
      </c>
      <c r="K9347" s="36" t="str">
        <f>CONCATENATE(Cover!$D$6,"fdd/view?i=",J9347)</f>
        <v>https://www.dgiwg.org/FAD/fdd/view?i=115966</v>
      </c>
      <c r="L9347" s="36" t="s">
        <v>51193</v>
      </c>
      <c r="M9347" s="186"/>
      <c r="N9347" s="186"/>
      <c r="O9347" s="13" t="s">
        <v>18073</v>
      </c>
    </row>
    <row r="9348" spans="1:15" ht="25.5" x14ac:dyDescent="0.2">
      <c r="A9348" s="197" t="str">
        <f t="shared" si="146"/>
        <v>TacCode_chan073Y</v>
      </c>
      <c r="B9348" s="409"/>
      <c r="C9348" s="416"/>
      <c r="D9348" s="198" t="s">
        <v>18079</v>
      </c>
      <c r="E9348" s="198">
        <v>206</v>
      </c>
      <c r="F9348" s="199" t="s">
        <v>18080</v>
      </c>
      <c r="G9348" s="1" t="s">
        <v>51194</v>
      </c>
      <c r="H9348" s="1" t="s">
        <v>16716</v>
      </c>
      <c r="I9348" s="346"/>
      <c r="J9348" s="39">
        <v>115967</v>
      </c>
      <c r="K9348" s="36" t="str">
        <f>CONCATENATE(Cover!$D$6,"fdd/view?i=",J9348)</f>
        <v>https://www.dgiwg.org/FAD/fdd/view?i=115967</v>
      </c>
      <c r="L9348" s="36" t="s">
        <v>51195</v>
      </c>
      <c r="M9348" s="186"/>
      <c r="N9348" s="186"/>
      <c r="O9348" s="13" t="s">
        <v>18078</v>
      </c>
    </row>
    <row r="9349" spans="1:15" ht="25.5" x14ac:dyDescent="0.2">
      <c r="A9349" s="197" t="str">
        <f t="shared" si="146"/>
        <v>TacCode_chan074X</v>
      </c>
      <c r="B9349" s="409"/>
      <c r="C9349" s="416"/>
      <c r="D9349" s="198" t="s">
        <v>18084</v>
      </c>
      <c r="E9349" s="198">
        <v>207</v>
      </c>
      <c r="F9349" s="199" t="s">
        <v>18085</v>
      </c>
      <c r="G9349" s="1" t="s">
        <v>51196</v>
      </c>
      <c r="H9349" s="1" t="s">
        <v>16716</v>
      </c>
      <c r="I9349" s="346"/>
      <c r="J9349" s="39">
        <v>115968</v>
      </c>
      <c r="K9349" s="36" t="str">
        <f>CONCATENATE(Cover!$D$6,"fdd/view?i=",J9349)</f>
        <v>https://www.dgiwg.org/FAD/fdd/view?i=115968</v>
      </c>
      <c r="L9349" s="36" t="s">
        <v>51197</v>
      </c>
      <c r="M9349" s="186"/>
      <c r="N9349" s="186"/>
      <c r="O9349" s="13" t="s">
        <v>18083</v>
      </c>
    </row>
    <row r="9350" spans="1:15" ht="25.5" x14ac:dyDescent="0.2">
      <c r="A9350" s="197" t="str">
        <f t="shared" si="146"/>
        <v>TacCode_chan074Y</v>
      </c>
      <c r="B9350" s="409"/>
      <c r="C9350" s="416"/>
      <c r="D9350" s="198" t="s">
        <v>18089</v>
      </c>
      <c r="E9350" s="198">
        <v>208</v>
      </c>
      <c r="F9350" s="199" t="s">
        <v>18090</v>
      </c>
      <c r="G9350" s="1" t="s">
        <v>51198</v>
      </c>
      <c r="H9350" s="1" t="s">
        <v>16716</v>
      </c>
      <c r="I9350" s="346"/>
      <c r="J9350" s="39">
        <v>115969</v>
      </c>
      <c r="K9350" s="36" t="str">
        <f>CONCATENATE(Cover!$D$6,"fdd/view?i=",J9350)</f>
        <v>https://www.dgiwg.org/FAD/fdd/view?i=115969</v>
      </c>
      <c r="L9350" s="36" t="s">
        <v>51199</v>
      </c>
      <c r="M9350" s="186"/>
      <c r="N9350" s="186"/>
      <c r="O9350" s="13" t="s">
        <v>18088</v>
      </c>
    </row>
    <row r="9351" spans="1:15" ht="25.5" x14ac:dyDescent="0.2">
      <c r="A9351" s="197" t="str">
        <f t="shared" si="146"/>
        <v>TacCode_chan075X</v>
      </c>
      <c r="B9351" s="409"/>
      <c r="C9351" s="416"/>
      <c r="D9351" s="198" t="s">
        <v>18094</v>
      </c>
      <c r="E9351" s="198">
        <v>209</v>
      </c>
      <c r="F9351" s="199" t="s">
        <v>18095</v>
      </c>
      <c r="G9351" s="1" t="s">
        <v>51200</v>
      </c>
      <c r="H9351" s="1" t="s">
        <v>16716</v>
      </c>
      <c r="I9351" s="346"/>
      <c r="J9351" s="39">
        <v>115970</v>
      </c>
      <c r="K9351" s="36" t="str">
        <f>CONCATENATE(Cover!$D$6,"fdd/view?i=",J9351)</f>
        <v>https://www.dgiwg.org/FAD/fdd/view?i=115970</v>
      </c>
      <c r="L9351" s="36" t="s">
        <v>51201</v>
      </c>
      <c r="M9351" s="186"/>
      <c r="N9351" s="186"/>
      <c r="O9351" s="13" t="s">
        <v>18093</v>
      </c>
    </row>
    <row r="9352" spans="1:15" ht="25.5" x14ac:dyDescent="0.2">
      <c r="A9352" s="197" t="str">
        <f t="shared" si="146"/>
        <v>TacCode_chan075Y</v>
      </c>
      <c r="B9352" s="409"/>
      <c r="C9352" s="416"/>
      <c r="D9352" s="198" t="s">
        <v>18099</v>
      </c>
      <c r="E9352" s="198">
        <v>210</v>
      </c>
      <c r="F9352" s="199" t="s">
        <v>18100</v>
      </c>
      <c r="G9352" s="1" t="s">
        <v>51202</v>
      </c>
      <c r="H9352" s="1" t="s">
        <v>16716</v>
      </c>
      <c r="I9352" s="346"/>
      <c r="J9352" s="39">
        <v>115971</v>
      </c>
      <c r="K9352" s="36" t="str">
        <f>CONCATENATE(Cover!$D$6,"fdd/view?i=",J9352)</f>
        <v>https://www.dgiwg.org/FAD/fdd/view?i=115971</v>
      </c>
      <c r="L9352" s="36" t="s">
        <v>51203</v>
      </c>
      <c r="M9352" s="186"/>
      <c r="N9352" s="186"/>
      <c r="O9352" s="13" t="s">
        <v>18098</v>
      </c>
    </row>
    <row r="9353" spans="1:15" ht="25.5" x14ac:dyDescent="0.2">
      <c r="A9353" s="197" t="str">
        <f t="shared" si="146"/>
        <v>TacCode_chan076X</v>
      </c>
      <c r="B9353" s="409"/>
      <c r="C9353" s="416"/>
      <c r="D9353" s="198" t="s">
        <v>18104</v>
      </c>
      <c r="E9353" s="198">
        <v>211</v>
      </c>
      <c r="F9353" s="199" t="s">
        <v>18105</v>
      </c>
      <c r="G9353" s="1" t="s">
        <v>51204</v>
      </c>
      <c r="H9353" s="1" t="s">
        <v>16716</v>
      </c>
      <c r="I9353" s="346"/>
      <c r="J9353" s="39">
        <v>115972</v>
      </c>
      <c r="K9353" s="36" t="str">
        <f>CONCATENATE(Cover!$D$6,"fdd/view?i=",J9353)</f>
        <v>https://www.dgiwg.org/FAD/fdd/view?i=115972</v>
      </c>
      <c r="L9353" s="36" t="s">
        <v>51205</v>
      </c>
      <c r="M9353" s="186"/>
      <c r="N9353" s="186"/>
      <c r="O9353" s="13" t="s">
        <v>18103</v>
      </c>
    </row>
    <row r="9354" spans="1:15" ht="25.5" x14ac:dyDescent="0.2">
      <c r="A9354" s="197" t="str">
        <f t="shared" si="146"/>
        <v>TacCode_chan076Y</v>
      </c>
      <c r="B9354" s="409"/>
      <c r="C9354" s="416"/>
      <c r="D9354" s="198" t="s">
        <v>18109</v>
      </c>
      <c r="E9354" s="198">
        <v>212</v>
      </c>
      <c r="F9354" s="199" t="s">
        <v>18110</v>
      </c>
      <c r="G9354" s="1" t="s">
        <v>51206</v>
      </c>
      <c r="H9354" s="1" t="s">
        <v>16716</v>
      </c>
      <c r="I9354" s="346"/>
      <c r="J9354" s="39">
        <v>115973</v>
      </c>
      <c r="K9354" s="36" t="str">
        <f>CONCATENATE(Cover!$D$6,"fdd/view?i=",J9354)</f>
        <v>https://www.dgiwg.org/FAD/fdd/view?i=115973</v>
      </c>
      <c r="L9354" s="36" t="s">
        <v>51207</v>
      </c>
      <c r="M9354" s="186"/>
      <c r="N9354" s="186"/>
      <c r="O9354" s="13" t="s">
        <v>18108</v>
      </c>
    </row>
    <row r="9355" spans="1:15" ht="25.5" x14ac:dyDescent="0.2">
      <c r="A9355" s="197" t="str">
        <f t="shared" si="146"/>
        <v>TacCode_chan077X</v>
      </c>
      <c r="B9355" s="409"/>
      <c r="C9355" s="416"/>
      <c r="D9355" s="198" t="s">
        <v>18114</v>
      </c>
      <c r="E9355" s="198">
        <v>213</v>
      </c>
      <c r="F9355" s="199" t="s">
        <v>18115</v>
      </c>
      <c r="G9355" s="1" t="s">
        <v>51208</v>
      </c>
      <c r="H9355" s="1" t="s">
        <v>16716</v>
      </c>
      <c r="I9355" s="346"/>
      <c r="J9355" s="39">
        <v>115974</v>
      </c>
      <c r="K9355" s="36" t="str">
        <f>CONCATENATE(Cover!$D$6,"fdd/view?i=",J9355)</f>
        <v>https://www.dgiwg.org/FAD/fdd/view?i=115974</v>
      </c>
      <c r="L9355" s="36" t="s">
        <v>51209</v>
      </c>
      <c r="M9355" s="186"/>
      <c r="N9355" s="186"/>
      <c r="O9355" s="13" t="s">
        <v>18113</v>
      </c>
    </row>
    <row r="9356" spans="1:15" ht="25.5" x14ac:dyDescent="0.2">
      <c r="A9356" s="197" t="str">
        <f t="shared" si="146"/>
        <v>TacCode_chan077Y</v>
      </c>
      <c r="B9356" s="409"/>
      <c r="C9356" s="416"/>
      <c r="D9356" s="198" t="s">
        <v>18119</v>
      </c>
      <c r="E9356" s="198">
        <v>214</v>
      </c>
      <c r="F9356" s="199" t="s">
        <v>18120</v>
      </c>
      <c r="G9356" s="1" t="s">
        <v>51210</v>
      </c>
      <c r="H9356" s="1" t="s">
        <v>16716</v>
      </c>
      <c r="I9356" s="346"/>
      <c r="J9356" s="39">
        <v>115975</v>
      </c>
      <c r="K9356" s="36" t="str">
        <f>CONCATENATE(Cover!$D$6,"fdd/view?i=",J9356)</f>
        <v>https://www.dgiwg.org/FAD/fdd/view?i=115975</v>
      </c>
      <c r="L9356" s="36" t="s">
        <v>51211</v>
      </c>
      <c r="M9356" s="186"/>
      <c r="N9356" s="186"/>
      <c r="O9356" s="13" t="s">
        <v>18118</v>
      </c>
    </row>
    <row r="9357" spans="1:15" ht="25.5" x14ac:dyDescent="0.2">
      <c r="A9357" s="197" t="str">
        <f t="shared" si="146"/>
        <v>TacCode_chan078X</v>
      </c>
      <c r="B9357" s="409"/>
      <c r="C9357" s="416"/>
      <c r="D9357" s="198" t="s">
        <v>18124</v>
      </c>
      <c r="E9357" s="198">
        <v>215</v>
      </c>
      <c r="F9357" s="199" t="s">
        <v>18125</v>
      </c>
      <c r="G9357" s="1" t="s">
        <v>51212</v>
      </c>
      <c r="H9357" s="1" t="s">
        <v>16716</v>
      </c>
      <c r="I9357" s="346"/>
      <c r="J9357" s="39">
        <v>115976</v>
      </c>
      <c r="K9357" s="36" t="str">
        <f>CONCATENATE(Cover!$D$6,"fdd/view?i=",J9357)</f>
        <v>https://www.dgiwg.org/FAD/fdd/view?i=115976</v>
      </c>
      <c r="L9357" s="36" t="s">
        <v>51213</v>
      </c>
      <c r="M9357" s="186"/>
      <c r="N9357" s="186"/>
      <c r="O9357" s="13" t="s">
        <v>18123</v>
      </c>
    </row>
    <row r="9358" spans="1:15" ht="25.5" x14ac:dyDescent="0.2">
      <c r="A9358" s="197" t="str">
        <f t="shared" si="146"/>
        <v>TacCode_chan078Y</v>
      </c>
      <c r="B9358" s="409"/>
      <c r="C9358" s="416"/>
      <c r="D9358" s="198" t="s">
        <v>18129</v>
      </c>
      <c r="E9358" s="198">
        <v>216</v>
      </c>
      <c r="F9358" s="199" t="s">
        <v>18130</v>
      </c>
      <c r="G9358" s="1" t="s">
        <v>51214</v>
      </c>
      <c r="H9358" s="1" t="s">
        <v>16716</v>
      </c>
      <c r="I9358" s="346"/>
      <c r="J9358" s="39">
        <v>115977</v>
      </c>
      <c r="K9358" s="36" t="str">
        <f>CONCATENATE(Cover!$D$6,"fdd/view?i=",J9358)</f>
        <v>https://www.dgiwg.org/FAD/fdd/view?i=115977</v>
      </c>
      <c r="L9358" s="36" t="s">
        <v>51215</v>
      </c>
      <c r="M9358" s="186"/>
      <c r="N9358" s="186"/>
      <c r="O9358" s="13" t="s">
        <v>18128</v>
      </c>
    </row>
    <row r="9359" spans="1:15" ht="25.5" x14ac:dyDescent="0.2">
      <c r="A9359" s="197" t="str">
        <f t="shared" si="146"/>
        <v>TacCode_chan079X</v>
      </c>
      <c r="B9359" s="409"/>
      <c r="C9359" s="416"/>
      <c r="D9359" s="198" t="s">
        <v>18134</v>
      </c>
      <c r="E9359" s="198">
        <v>217</v>
      </c>
      <c r="F9359" s="199" t="s">
        <v>18135</v>
      </c>
      <c r="G9359" s="1" t="s">
        <v>51216</v>
      </c>
      <c r="H9359" s="1" t="s">
        <v>16716</v>
      </c>
      <c r="I9359" s="346"/>
      <c r="J9359" s="39">
        <v>115978</v>
      </c>
      <c r="K9359" s="36" t="str">
        <f>CONCATENATE(Cover!$D$6,"fdd/view?i=",J9359)</f>
        <v>https://www.dgiwg.org/FAD/fdd/view?i=115978</v>
      </c>
      <c r="L9359" s="36" t="s">
        <v>51217</v>
      </c>
      <c r="M9359" s="186"/>
      <c r="N9359" s="186"/>
      <c r="O9359" s="13" t="s">
        <v>18133</v>
      </c>
    </row>
    <row r="9360" spans="1:15" ht="25.5" x14ac:dyDescent="0.2">
      <c r="A9360" s="197" t="str">
        <f t="shared" si="146"/>
        <v>TacCode_chan079Y</v>
      </c>
      <c r="B9360" s="409"/>
      <c r="C9360" s="416"/>
      <c r="D9360" s="198" t="s">
        <v>18139</v>
      </c>
      <c r="E9360" s="198">
        <v>218</v>
      </c>
      <c r="F9360" s="199" t="s">
        <v>18140</v>
      </c>
      <c r="G9360" s="1" t="s">
        <v>51218</v>
      </c>
      <c r="H9360" s="1" t="s">
        <v>16716</v>
      </c>
      <c r="I9360" s="346"/>
      <c r="J9360" s="39">
        <v>115979</v>
      </c>
      <c r="K9360" s="36" t="str">
        <f>CONCATENATE(Cover!$D$6,"fdd/view?i=",J9360)</f>
        <v>https://www.dgiwg.org/FAD/fdd/view?i=115979</v>
      </c>
      <c r="L9360" s="36" t="s">
        <v>51219</v>
      </c>
      <c r="M9360" s="186"/>
      <c r="N9360" s="186"/>
      <c r="O9360" s="13" t="s">
        <v>18138</v>
      </c>
    </row>
    <row r="9361" spans="1:15" ht="25.5" x14ac:dyDescent="0.2">
      <c r="A9361" s="197" t="str">
        <f t="shared" si="146"/>
        <v>TacCode_chan080X</v>
      </c>
      <c r="B9361" s="409"/>
      <c r="C9361" s="416"/>
      <c r="D9361" s="198" t="s">
        <v>18154</v>
      </c>
      <c r="E9361" s="198">
        <v>219</v>
      </c>
      <c r="F9361" s="199" t="s">
        <v>18155</v>
      </c>
      <c r="G9361" s="1" t="s">
        <v>51224</v>
      </c>
      <c r="H9361" s="1" t="s">
        <v>16716</v>
      </c>
      <c r="I9361" s="346"/>
      <c r="J9361" s="39">
        <v>115980</v>
      </c>
      <c r="K9361" s="36" t="str">
        <f>CONCATENATE(Cover!$D$6,"fdd/view?i=",J9361)</f>
        <v>https://www.dgiwg.org/FAD/fdd/view?i=115980</v>
      </c>
      <c r="L9361" s="36" t="s">
        <v>51225</v>
      </c>
      <c r="M9361" s="186"/>
      <c r="N9361" s="186"/>
      <c r="O9361" s="13" t="s">
        <v>18153</v>
      </c>
    </row>
    <row r="9362" spans="1:15" ht="25.5" x14ac:dyDescent="0.2">
      <c r="A9362" s="197" t="str">
        <f t="shared" si="146"/>
        <v>TacCode_chan080Y</v>
      </c>
      <c r="B9362" s="409"/>
      <c r="C9362" s="416"/>
      <c r="D9362" s="198" t="s">
        <v>18159</v>
      </c>
      <c r="E9362" s="198">
        <v>220</v>
      </c>
      <c r="F9362" s="199" t="s">
        <v>18160</v>
      </c>
      <c r="G9362" s="1" t="s">
        <v>51226</v>
      </c>
      <c r="H9362" s="1" t="s">
        <v>16716</v>
      </c>
      <c r="I9362" s="346"/>
      <c r="J9362" s="39">
        <v>115981</v>
      </c>
      <c r="K9362" s="36" t="str">
        <f>CONCATENATE(Cover!$D$6,"fdd/view?i=",J9362)</f>
        <v>https://www.dgiwg.org/FAD/fdd/view?i=115981</v>
      </c>
      <c r="L9362" s="36" t="s">
        <v>51227</v>
      </c>
      <c r="M9362" s="186"/>
      <c r="N9362" s="186"/>
      <c r="O9362" s="13" t="s">
        <v>18158</v>
      </c>
    </row>
    <row r="9363" spans="1:15" ht="25.5" x14ac:dyDescent="0.2">
      <c r="A9363" s="197" t="str">
        <f t="shared" si="146"/>
        <v>TacCode_chan080Z</v>
      </c>
      <c r="B9363" s="409"/>
      <c r="C9363" s="416"/>
      <c r="D9363" s="198" t="s">
        <v>18164</v>
      </c>
      <c r="E9363" s="198">
        <v>221</v>
      </c>
      <c r="F9363" s="199" t="s">
        <v>18165</v>
      </c>
      <c r="G9363" s="1" t="s">
        <v>51228</v>
      </c>
      <c r="H9363" s="1" t="s">
        <v>16716</v>
      </c>
      <c r="I9363" s="346"/>
      <c r="J9363" s="39">
        <v>115982</v>
      </c>
      <c r="K9363" s="36" t="str">
        <f>CONCATENATE(Cover!$D$6,"fdd/view?i=",J9363)</f>
        <v>https://www.dgiwg.org/FAD/fdd/view?i=115982</v>
      </c>
      <c r="L9363" s="36" t="s">
        <v>51229</v>
      </c>
      <c r="M9363" s="186"/>
      <c r="N9363" s="186"/>
      <c r="O9363" s="13" t="s">
        <v>18163</v>
      </c>
    </row>
    <row r="9364" spans="1:15" ht="25.5" x14ac:dyDescent="0.2">
      <c r="A9364" s="197" t="str">
        <f t="shared" si="146"/>
        <v>TacCode_chan081X</v>
      </c>
      <c r="B9364" s="409"/>
      <c r="C9364" s="416"/>
      <c r="D9364" s="198" t="s">
        <v>18169</v>
      </c>
      <c r="E9364" s="198">
        <v>222</v>
      </c>
      <c r="F9364" s="199" t="s">
        <v>18170</v>
      </c>
      <c r="G9364" s="1" t="s">
        <v>51230</v>
      </c>
      <c r="H9364" s="1" t="s">
        <v>16716</v>
      </c>
      <c r="I9364" s="346"/>
      <c r="J9364" s="39">
        <v>115983</v>
      </c>
      <c r="K9364" s="36" t="str">
        <f>CONCATENATE(Cover!$D$6,"fdd/view?i=",J9364)</f>
        <v>https://www.dgiwg.org/FAD/fdd/view?i=115983</v>
      </c>
      <c r="L9364" s="36" t="s">
        <v>51231</v>
      </c>
      <c r="M9364" s="186"/>
      <c r="N9364" s="186"/>
      <c r="O9364" s="13" t="s">
        <v>18168</v>
      </c>
    </row>
    <row r="9365" spans="1:15" ht="25.5" x14ac:dyDescent="0.2">
      <c r="A9365" s="197" t="str">
        <f t="shared" si="146"/>
        <v>TacCode_chan081Y</v>
      </c>
      <c r="B9365" s="409"/>
      <c r="C9365" s="416"/>
      <c r="D9365" s="198" t="s">
        <v>18174</v>
      </c>
      <c r="E9365" s="198">
        <v>223</v>
      </c>
      <c r="F9365" s="199" t="s">
        <v>18175</v>
      </c>
      <c r="G9365" s="1" t="s">
        <v>51232</v>
      </c>
      <c r="H9365" s="1" t="s">
        <v>16716</v>
      </c>
      <c r="I9365" s="346"/>
      <c r="J9365" s="39">
        <v>115984</v>
      </c>
      <c r="K9365" s="36" t="str">
        <f>CONCATENATE(Cover!$D$6,"fdd/view?i=",J9365)</f>
        <v>https://www.dgiwg.org/FAD/fdd/view?i=115984</v>
      </c>
      <c r="L9365" s="36" t="s">
        <v>51233</v>
      </c>
      <c r="M9365" s="186"/>
      <c r="N9365" s="186"/>
      <c r="O9365" s="13" t="s">
        <v>18173</v>
      </c>
    </row>
    <row r="9366" spans="1:15" ht="25.5" x14ac:dyDescent="0.2">
      <c r="A9366" s="197" t="str">
        <f t="shared" si="146"/>
        <v>TacCode_chan081Z</v>
      </c>
      <c r="B9366" s="409"/>
      <c r="C9366" s="416"/>
      <c r="D9366" s="198" t="s">
        <v>18179</v>
      </c>
      <c r="E9366" s="198">
        <v>224</v>
      </c>
      <c r="F9366" s="199" t="s">
        <v>18180</v>
      </c>
      <c r="G9366" s="1" t="s">
        <v>51234</v>
      </c>
      <c r="H9366" s="1" t="s">
        <v>16716</v>
      </c>
      <c r="I9366" s="346"/>
      <c r="J9366" s="39">
        <v>115985</v>
      </c>
      <c r="K9366" s="36" t="str">
        <f>CONCATENATE(Cover!$D$6,"fdd/view?i=",J9366)</f>
        <v>https://www.dgiwg.org/FAD/fdd/view?i=115985</v>
      </c>
      <c r="L9366" s="36" t="s">
        <v>51235</v>
      </c>
      <c r="M9366" s="186"/>
      <c r="N9366" s="186"/>
      <c r="O9366" s="13" t="s">
        <v>18178</v>
      </c>
    </row>
    <row r="9367" spans="1:15" ht="25.5" x14ac:dyDescent="0.2">
      <c r="A9367" s="197" t="str">
        <f t="shared" si="146"/>
        <v>TacCode_chan082X</v>
      </c>
      <c r="B9367" s="409"/>
      <c r="C9367" s="416"/>
      <c r="D9367" s="198" t="s">
        <v>18184</v>
      </c>
      <c r="E9367" s="198">
        <v>225</v>
      </c>
      <c r="F9367" s="199" t="s">
        <v>18185</v>
      </c>
      <c r="G9367" s="1" t="s">
        <v>51236</v>
      </c>
      <c r="H9367" s="1" t="s">
        <v>16716</v>
      </c>
      <c r="I9367" s="346"/>
      <c r="J9367" s="39">
        <v>115986</v>
      </c>
      <c r="K9367" s="36" t="str">
        <f>CONCATENATE(Cover!$D$6,"fdd/view?i=",J9367)</f>
        <v>https://www.dgiwg.org/FAD/fdd/view?i=115986</v>
      </c>
      <c r="L9367" s="36" t="s">
        <v>51237</v>
      </c>
      <c r="M9367" s="186"/>
      <c r="N9367" s="186"/>
      <c r="O9367" s="13" t="s">
        <v>18183</v>
      </c>
    </row>
    <row r="9368" spans="1:15" ht="25.5" x14ac:dyDescent="0.2">
      <c r="A9368" s="197" t="str">
        <f t="shared" si="146"/>
        <v>TacCode_chan082Y</v>
      </c>
      <c r="B9368" s="409"/>
      <c r="C9368" s="416"/>
      <c r="D9368" s="198" t="s">
        <v>18189</v>
      </c>
      <c r="E9368" s="198">
        <v>226</v>
      </c>
      <c r="F9368" s="199" t="s">
        <v>18190</v>
      </c>
      <c r="G9368" s="1" t="s">
        <v>51238</v>
      </c>
      <c r="H9368" s="1" t="s">
        <v>16716</v>
      </c>
      <c r="I9368" s="346"/>
      <c r="J9368" s="39">
        <v>115987</v>
      </c>
      <c r="K9368" s="36" t="str">
        <f>CONCATENATE(Cover!$D$6,"fdd/view?i=",J9368)</f>
        <v>https://www.dgiwg.org/FAD/fdd/view?i=115987</v>
      </c>
      <c r="L9368" s="36" t="s">
        <v>51239</v>
      </c>
      <c r="M9368" s="186"/>
      <c r="N9368" s="186"/>
      <c r="O9368" s="13" t="s">
        <v>18188</v>
      </c>
    </row>
    <row r="9369" spans="1:15" ht="25.5" x14ac:dyDescent="0.2">
      <c r="A9369" s="197" t="str">
        <f t="shared" si="146"/>
        <v>TacCode_chan082Z</v>
      </c>
      <c r="B9369" s="409"/>
      <c r="C9369" s="416"/>
      <c r="D9369" s="198" t="s">
        <v>18194</v>
      </c>
      <c r="E9369" s="198">
        <v>227</v>
      </c>
      <c r="F9369" s="199" t="s">
        <v>18195</v>
      </c>
      <c r="G9369" s="1" t="s">
        <v>51240</v>
      </c>
      <c r="H9369" s="1" t="s">
        <v>16716</v>
      </c>
      <c r="I9369" s="346"/>
      <c r="J9369" s="39">
        <v>115988</v>
      </c>
      <c r="K9369" s="36" t="str">
        <f>CONCATENATE(Cover!$D$6,"fdd/view?i=",J9369)</f>
        <v>https://www.dgiwg.org/FAD/fdd/view?i=115988</v>
      </c>
      <c r="L9369" s="36" t="s">
        <v>51241</v>
      </c>
      <c r="M9369" s="186"/>
      <c r="N9369" s="186"/>
      <c r="O9369" s="13" t="s">
        <v>18193</v>
      </c>
    </row>
    <row r="9370" spans="1:15" ht="25.5" x14ac:dyDescent="0.2">
      <c r="A9370" s="197" t="str">
        <f t="shared" si="146"/>
        <v>TacCode_chan083X</v>
      </c>
      <c r="B9370" s="409"/>
      <c r="C9370" s="416"/>
      <c r="D9370" s="198" t="s">
        <v>18199</v>
      </c>
      <c r="E9370" s="198">
        <v>228</v>
      </c>
      <c r="F9370" s="199" t="s">
        <v>18200</v>
      </c>
      <c r="G9370" s="1" t="s">
        <v>51242</v>
      </c>
      <c r="H9370" s="1" t="s">
        <v>16716</v>
      </c>
      <c r="I9370" s="346"/>
      <c r="J9370" s="39">
        <v>115989</v>
      </c>
      <c r="K9370" s="36" t="str">
        <f>CONCATENATE(Cover!$D$6,"fdd/view?i=",J9370)</f>
        <v>https://www.dgiwg.org/FAD/fdd/view?i=115989</v>
      </c>
      <c r="L9370" s="36" t="s">
        <v>51243</v>
      </c>
      <c r="M9370" s="186"/>
      <c r="N9370" s="186"/>
      <c r="O9370" s="13" t="s">
        <v>18198</v>
      </c>
    </row>
    <row r="9371" spans="1:15" ht="25.5" x14ac:dyDescent="0.2">
      <c r="A9371" s="197" t="str">
        <f t="shared" si="146"/>
        <v>TacCode_chan083Y</v>
      </c>
      <c r="B9371" s="409"/>
      <c r="C9371" s="416"/>
      <c r="D9371" s="198" t="s">
        <v>18204</v>
      </c>
      <c r="E9371" s="198">
        <v>229</v>
      </c>
      <c r="F9371" s="199" t="s">
        <v>18205</v>
      </c>
      <c r="G9371" s="1" t="s">
        <v>51244</v>
      </c>
      <c r="H9371" s="1" t="s">
        <v>16716</v>
      </c>
      <c r="I9371" s="346"/>
      <c r="J9371" s="39">
        <v>115990</v>
      </c>
      <c r="K9371" s="36" t="str">
        <f>CONCATENATE(Cover!$D$6,"fdd/view?i=",J9371)</f>
        <v>https://www.dgiwg.org/FAD/fdd/view?i=115990</v>
      </c>
      <c r="L9371" s="36" t="s">
        <v>51245</v>
      </c>
      <c r="M9371" s="186"/>
      <c r="N9371" s="186"/>
      <c r="O9371" s="13" t="s">
        <v>18203</v>
      </c>
    </row>
    <row r="9372" spans="1:15" ht="25.5" x14ac:dyDescent="0.2">
      <c r="A9372" s="197" t="str">
        <f t="shared" si="146"/>
        <v>TacCode_chan083Z</v>
      </c>
      <c r="B9372" s="409"/>
      <c r="C9372" s="416"/>
      <c r="D9372" s="198" t="s">
        <v>18209</v>
      </c>
      <c r="E9372" s="198">
        <v>230</v>
      </c>
      <c r="F9372" s="199" t="s">
        <v>18210</v>
      </c>
      <c r="G9372" s="1" t="s">
        <v>51246</v>
      </c>
      <c r="H9372" s="1" t="s">
        <v>16716</v>
      </c>
      <c r="I9372" s="346"/>
      <c r="J9372" s="39">
        <v>115991</v>
      </c>
      <c r="K9372" s="36" t="str">
        <f>CONCATENATE(Cover!$D$6,"fdd/view?i=",J9372)</f>
        <v>https://www.dgiwg.org/FAD/fdd/view?i=115991</v>
      </c>
      <c r="L9372" s="36" t="s">
        <v>51247</v>
      </c>
      <c r="M9372" s="186"/>
      <c r="N9372" s="186"/>
      <c r="O9372" s="13" t="s">
        <v>18208</v>
      </c>
    </row>
    <row r="9373" spans="1:15" ht="25.5" x14ac:dyDescent="0.2">
      <c r="A9373" s="197" t="str">
        <f t="shared" si="146"/>
        <v>TacCode_chan084X</v>
      </c>
      <c r="B9373" s="409"/>
      <c r="C9373" s="416"/>
      <c r="D9373" s="198" t="s">
        <v>18214</v>
      </c>
      <c r="E9373" s="198">
        <v>231</v>
      </c>
      <c r="F9373" s="199" t="s">
        <v>18215</v>
      </c>
      <c r="G9373" s="1" t="s">
        <v>51248</v>
      </c>
      <c r="H9373" s="1" t="s">
        <v>16716</v>
      </c>
      <c r="I9373" s="346"/>
      <c r="J9373" s="39">
        <v>115992</v>
      </c>
      <c r="K9373" s="36" t="str">
        <f>CONCATENATE(Cover!$D$6,"fdd/view?i=",J9373)</f>
        <v>https://www.dgiwg.org/FAD/fdd/view?i=115992</v>
      </c>
      <c r="L9373" s="36" t="s">
        <v>51249</v>
      </c>
      <c r="M9373" s="186"/>
      <c r="N9373" s="186"/>
      <c r="O9373" s="13" t="s">
        <v>18213</v>
      </c>
    </row>
    <row r="9374" spans="1:15" ht="25.5" x14ac:dyDescent="0.2">
      <c r="A9374" s="197" t="str">
        <f t="shared" si="146"/>
        <v>TacCode_chan084Y</v>
      </c>
      <c r="B9374" s="409"/>
      <c r="C9374" s="416"/>
      <c r="D9374" s="198" t="s">
        <v>18219</v>
      </c>
      <c r="E9374" s="198">
        <v>232</v>
      </c>
      <c r="F9374" s="199" t="s">
        <v>18220</v>
      </c>
      <c r="G9374" s="1" t="s">
        <v>51250</v>
      </c>
      <c r="H9374" s="1" t="s">
        <v>16716</v>
      </c>
      <c r="I9374" s="346"/>
      <c r="J9374" s="39">
        <v>115993</v>
      </c>
      <c r="K9374" s="36" t="str">
        <f>CONCATENATE(Cover!$D$6,"fdd/view?i=",J9374)</f>
        <v>https://www.dgiwg.org/FAD/fdd/view?i=115993</v>
      </c>
      <c r="L9374" s="36" t="s">
        <v>51251</v>
      </c>
      <c r="M9374" s="186"/>
      <c r="N9374" s="186"/>
      <c r="O9374" s="13" t="s">
        <v>18218</v>
      </c>
    </row>
    <row r="9375" spans="1:15" ht="25.5" x14ac:dyDescent="0.2">
      <c r="A9375" s="197" t="str">
        <f t="shared" si="146"/>
        <v>TacCode_chan084Z</v>
      </c>
      <c r="B9375" s="409"/>
      <c r="C9375" s="416"/>
      <c r="D9375" s="198" t="s">
        <v>18224</v>
      </c>
      <c r="E9375" s="198">
        <v>233</v>
      </c>
      <c r="F9375" s="199" t="s">
        <v>18225</v>
      </c>
      <c r="G9375" s="1" t="s">
        <v>51252</v>
      </c>
      <c r="H9375" s="1" t="s">
        <v>16716</v>
      </c>
      <c r="I9375" s="346"/>
      <c r="J9375" s="39">
        <v>115994</v>
      </c>
      <c r="K9375" s="36" t="str">
        <f>CONCATENATE(Cover!$D$6,"fdd/view?i=",J9375)</f>
        <v>https://www.dgiwg.org/FAD/fdd/view?i=115994</v>
      </c>
      <c r="L9375" s="36" t="s">
        <v>51253</v>
      </c>
      <c r="M9375" s="186"/>
      <c r="N9375" s="186"/>
      <c r="O9375" s="13" t="s">
        <v>18223</v>
      </c>
    </row>
    <row r="9376" spans="1:15" ht="25.5" x14ac:dyDescent="0.2">
      <c r="A9376" s="197" t="str">
        <f t="shared" si="146"/>
        <v>TacCode_chan085X</v>
      </c>
      <c r="B9376" s="409"/>
      <c r="C9376" s="416"/>
      <c r="D9376" s="198" t="s">
        <v>18229</v>
      </c>
      <c r="E9376" s="198">
        <v>234</v>
      </c>
      <c r="F9376" s="199" t="s">
        <v>18230</v>
      </c>
      <c r="G9376" s="1" t="s">
        <v>51254</v>
      </c>
      <c r="H9376" s="1" t="s">
        <v>16716</v>
      </c>
      <c r="I9376" s="346"/>
      <c r="J9376" s="39">
        <v>115995</v>
      </c>
      <c r="K9376" s="36" t="str">
        <f>CONCATENATE(Cover!$D$6,"fdd/view?i=",J9376)</f>
        <v>https://www.dgiwg.org/FAD/fdd/view?i=115995</v>
      </c>
      <c r="L9376" s="36" t="s">
        <v>51255</v>
      </c>
      <c r="M9376" s="186"/>
      <c r="N9376" s="186"/>
      <c r="O9376" s="13" t="s">
        <v>18228</v>
      </c>
    </row>
    <row r="9377" spans="1:15" ht="25.5" x14ac:dyDescent="0.2">
      <c r="A9377" s="197" t="str">
        <f t="shared" si="146"/>
        <v>TacCode_chan085Y</v>
      </c>
      <c r="B9377" s="409"/>
      <c r="C9377" s="416"/>
      <c r="D9377" s="198" t="s">
        <v>18234</v>
      </c>
      <c r="E9377" s="198">
        <v>235</v>
      </c>
      <c r="F9377" s="199" t="s">
        <v>18235</v>
      </c>
      <c r="G9377" s="1" t="s">
        <v>51256</v>
      </c>
      <c r="H9377" s="1" t="s">
        <v>16716</v>
      </c>
      <c r="I9377" s="346"/>
      <c r="J9377" s="39">
        <v>115996</v>
      </c>
      <c r="K9377" s="36" t="str">
        <f>CONCATENATE(Cover!$D$6,"fdd/view?i=",J9377)</f>
        <v>https://www.dgiwg.org/FAD/fdd/view?i=115996</v>
      </c>
      <c r="L9377" s="36" t="s">
        <v>51257</v>
      </c>
      <c r="M9377" s="186"/>
      <c r="N9377" s="186"/>
      <c r="O9377" s="13" t="s">
        <v>18233</v>
      </c>
    </row>
    <row r="9378" spans="1:15" ht="25.5" x14ac:dyDescent="0.2">
      <c r="A9378" s="197" t="str">
        <f t="shared" si="146"/>
        <v>TacCode_chan085Z</v>
      </c>
      <c r="B9378" s="409"/>
      <c r="C9378" s="416"/>
      <c r="D9378" s="198" t="s">
        <v>18239</v>
      </c>
      <c r="E9378" s="198">
        <v>236</v>
      </c>
      <c r="F9378" s="199" t="s">
        <v>18240</v>
      </c>
      <c r="G9378" s="1" t="s">
        <v>51258</v>
      </c>
      <c r="H9378" s="1" t="s">
        <v>16716</v>
      </c>
      <c r="I9378" s="346"/>
      <c r="J9378" s="39">
        <v>115997</v>
      </c>
      <c r="K9378" s="36" t="str">
        <f>CONCATENATE(Cover!$D$6,"fdd/view?i=",J9378)</f>
        <v>https://www.dgiwg.org/FAD/fdd/view?i=115997</v>
      </c>
      <c r="L9378" s="36" t="s">
        <v>51259</v>
      </c>
      <c r="M9378" s="186"/>
      <c r="N9378" s="186"/>
      <c r="O9378" s="13" t="s">
        <v>18238</v>
      </c>
    </row>
    <row r="9379" spans="1:15" ht="25.5" x14ac:dyDescent="0.2">
      <c r="A9379" s="197" t="str">
        <f t="shared" si="146"/>
        <v>TacCode_chan086X</v>
      </c>
      <c r="B9379" s="409"/>
      <c r="C9379" s="416"/>
      <c r="D9379" s="198" t="s">
        <v>18244</v>
      </c>
      <c r="E9379" s="198">
        <v>237</v>
      </c>
      <c r="F9379" s="199" t="s">
        <v>18245</v>
      </c>
      <c r="G9379" s="1" t="s">
        <v>51260</v>
      </c>
      <c r="H9379" s="1" t="s">
        <v>16716</v>
      </c>
      <c r="I9379" s="346"/>
      <c r="J9379" s="39">
        <v>115998</v>
      </c>
      <c r="K9379" s="36" t="str">
        <f>CONCATENATE(Cover!$D$6,"fdd/view?i=",J9379)</f>
        <v>https://www.dgiwg.org/FAD/fdd/view?i=115998</v>
      </c>
      <c r="L9379" s="36" t="s">
        <v>51261</v>
      </c>
      <c r="M9379" s="186"/>
      <c r="N9379" s="186"/>
      <c r="O9379" s="13" t="s">
        <v>18243</v>
      </c>
    </row>
    <row r="9380" spans="1:15" ht="25.5" x14ac:dyDescent="0.2">
      <c r="A9380" s="197" t="str">
        <f t="shared" si="146"/>
        <v>TacCode_chan086Y</v>
      </c>
      <c r="B9380" s="409"/>
      <c r="C9380" s="416"/>
      <c r="D9380" s="198" t="s">
        <v>18249</v>
      </c>
      <c r="E9380" s="198">
        <v>238</v>
      </c>
      <c r="F9380" s="199" t="s">
        <v>18250</v>
      </c>
      <c r="G9380" s="1" t="s">
        <v>51262</v>
      </c>
      <c r="H9380" s="1" t="s">
        <v>16716</v>
      </c>
      <c r="I9380" s="346"/>
      <c r="J9380" s="39">
        <v>115999</v>
      </c>
      <c r="K9380" s="36" t="str">
        <f>CONCATENATE(Cover!$D$6,"fdd/view?i=",J9380)</f>
        <v>https://www.dgiwg.org/FAD/fdd/view?i=115999</v>
      </c>
      <c r="L9380" s="36" t="s">
        <v>51263</v>
      </c>
      <c r="M9380" s="186"/>
      <c r="N9380" s="186"/>
      <c r="O9380" s="13" t="s">
        <v>18248</v>
      </c>
    </row>
    <row r="9381" spans="1:15" ht="25.5" x14ac:dyDescent="0.2">
      <c r="A9381" s="197" t="str">
        <f t="shared" si="146"/>
        <v>TacCode_chan086Z</v>
      </c>
      <c r="B9381" s="409"/>
      <c r="C9381" s="416"/>
      <c r="D9381" s="198" t="s">
        <v>18254</v>
      </c>
      <c r="E9381" s="198">
        <v>239</v>
      </c>
      <c r="F9381" s="199" t="s">
        <v>18255</v>
      </c>
      <c r="G9381" s="1" t="s">
        <v>51264</v>
      </c>
      <c r="H9381" s="1" t="s">
        <v>16716</v>
      </c>
      <c r="I9381" s="346"/>
      <c r="J9381" s="39">
        <v>116000</v>
      </c>
      <c r="K9381" s="36" t="str">
        <f>CONCATENATE(Cover!$D$6,"fdd/view?i=",J9381)</f>
        <v>https://www.dgiwg.org/FAD/fdd/view?i=116000</v>
      </c>
      <c r="L9381" s="36" t="s">
        <v>51265</v>
      </c>
      <c r="M9381" s="186"/>
      <c r="N9381" s="186"/>
      <c r="O9381" s="13" t="s">
        <v>18253</v>
      </c>
    </row>
    <row r="9382" spans="1:15" ht="25.5" x14ac:dyDescent="0.2">
      <c r="A9382" s="197" t="str">
        <f t="shared" si="146"/>
        <v>TacCode_chan087X</v>
      </c>
      <c r="B9382" s="409"/>
      <c r="C9382" s="416"/>
      <c r="D9382" s="198" t="s">
        <v>18259</v>
      </c>
      <c r="E9382" s="198">
        <v>240</v>
      </c>
      <c r="F9382" s="199" t="s">
        <v>18260</v>
      </c>
      <c r="G9382" s="1" t="s">
        <v>51266</v>
      </c>
      <c r="H9382" s="1" t="s">
        <v>16716</v>
      </c>
      <c r="I9382" s="346"/>
      <c r="J9382" s="39">
        <v>116001</v>
      </c>
      <c r="K9382" s="36" t="str">
        <f>CONCATENATE(Cover!$D$6,"fdd/view?i=",J9382)</f>
        <v>https://www.dgiwg.org/FAD/fdd/view?i=116001</v>
      </c>
      <c r="L9382" s="36" t="s">
        <v>51267</v>
      </c>
      <c r="M9382" s="186"/>
      <c r="N9382" s="186"/>
      <c r="O9382" s="13" t="s">
        <v>18258</v>
      </c>
    </row>
    <row r="9383" spans="1:15" ht="25.5" x14ac:dyDescent="0.2">
      <c r="A9383" s="197" t="str">
        <f t="shared" si="146"/>
        <v>TacCode_chan087Y</v>
      </c>
      <c r="B9383" s="409"/>
      <c r="C9383" s="416"/>
      <c r="D9383" s="198" t="s">
        <v>18264</v>
      </c>
      <c r="E9383" s="198">
        <v>241</v>
      </c>
      <c r="F9383" s="199" t="s">
        <v>18265</v>
      </c>
      <c r="G9383" s="1" t="s">
        <v>51268</v>
      </c>
      <c r="H9383" s="1" t="s">
        <v>16716</v>
      </c>
      <c r="I9383" s="346"/>
      <c r="J9383" s="39">
        <v>116002</v>
      </c>
      <c r="K9383" s="36" t="str">
        <f>CONCATENATE(Cover!$D$6,"fdd/view?i=",J9383)</f>
        <v>https://www.dgiwg.org/FAD/fdd/view?i=116002</v>
      </c>
      <c r="L9383" s="36" t="s">
        <v>51269</v>
      </c>
      <c r="M9383" s="186"/>
      <c r="N9383" s="186"/>
      <c r="O9383" s="13" t="s">
        <v>18263</v>
      </c>
    </row>
    <row r="9384" spans="1:15" ht="25.5" x14ac:dyDescent="0.2">
      <c r="A9384" s="197" t="str">
        <f t="shared" si="146"/>
        <v>TacCode_chan087Z</v>
      </c>
      <c r="B9384" s="409"/>
      <c r="C9384" s="416"/>
      <c r="D9384" s="198" t="s">
        <v>18269</v>
      </c>
      <c r="E9384" s="198">
        <v>242</v>
      </c>
      <c r="F9384" s="199" t="s">
        <v>18270</v>
      </c>
      <c r="G9384" s="1" t="s">
        <v>51270</v>
      </c>
      <c r="H9384" s="1" t="s">
        <v>16716</v>
      </c>
      <c r="I9384" s="346"/>
      <c r="J9384" s="39">
        <v>116003</v>
      </c>
      <c r="K9384" s="36" t="str">
        <f>CONCATENATE(Cover!$D$6,"fdd/view?i=",J9384)</f>
        <v>https://www.dgiwg.org/FAD/fdd/view?i=116003</v>
      </c>
      <c r="L9384" s="36" t="s">
        <v>51271</v>
      </c>
      <c r="M9384" s="186"/>
      <c r="N9384" s="186"/>
      <c r="O9384" s="13" t="s">
        <v>18268</v>
      </c>
    </row>
    <row r="9385" spans="1:15" ht="25.5" x14ac:dyDescent="0.2">
      <c r="A9385" s="197" t="str">
        <f t="shared" si="146"/>
        <v>TacCode_chan088X</v>
      </c>
      <c r="B9385" s="409"/>
      <c r="C9385" s="416"/>
      <c r="D9385" s="198" t="s">
        <v>18274</v>
      </c>
      <c r="E9385" s="198">
        <v>243</v>
      </c>
      <c r="F9385" s="199" t="s">
        <v>18275</v>
      </c>
      <c r="G9385" s="1" t="s">
        <v>51272</v>
      </c>
      <c r="H9385" s="1" t="s">
        <v>16716</v>
      </c>
      <c r="I9385" s="346"/>
      <c r="J9385" s="39">
        <v>116004</v>
      </c>
      <c r="K9385" s="36" t="str">
        <f>CONCATENATE(Cover!$D$6,"fdd/view?i=",J9385)</f>
        <v>https://www.dgiwg.org/FAD/fdd/view?i=116004</v>
      </c>
      <c r="L9385" s="36" t="s">
        <v>51273</v>
      </c>
      <c r="M9385" s="186"/>
      <c r="N9385" s="186"/>
      <c r="O9385" s="13" t="s">
        <v>18273</v>
      </c>
    </row>
    <row r="9386" spans="1:15" ht="25.5" x14ac:dyDescent="0.2">
      <c r="A9386" s="197" t="str">
        <f t="shared" si="146"/>
        <v>TacCode_chan088Y</v>
      </c>
      <c r="B9386" s="409"/>
      <c r="C9386" s="416"/>
      <c r="D9386" s="198" t="s">
        <v>18279</v>
      </c>
      <c r="E9386" s="198">
        <v>244</v>
      </c>
      <c r="F9386" s="199" t="s">
        <v>18280</v>
      </c>
      <c r="G9386" s="1" t="s">
        <v>51274</v>
      </c>
      <c r="H9386" s="1" t="s">
        <v>16716</v>
      </c>
      <c r="I9386" s="346"/>
      <c r="J9386" s="39">
        <v>116005</v>
      </c>
      <c r="K9386" s="36" t="str">
        <f>CONCATENATE(Cover!$D$6,"fdd/view?i=",J9386)</f>
        <v>https://www.dgiwg.org/FAD/fdd/view?i=116005</v>
      </c>
      <c r="L9386" s="36" t="s">
        <v>51275</v>
      </c>
      <c r="M9386" s="186"/>
      <c r="N9386" s="186"/>
      <c r="O9386" s="13" t="s">
        <v>18278</v>
      </c>
    </row>
    <row r="9387" spans="1:15" ht="25.5" x14ac:dyDescent="0.2">
      <c r="A9387" s="197" t="str">
        <f t="shared" si="146"/>
        <v>TacCode_chan088Z</v>
      </c>
      <c r="B9387" s="409"/>
      <c r="C9387" s="416"/>
      <c r="D9387" s="198" t="s">
        <v>18284</v>
      </c>
      <c r="E9387" s="198">
        <v>245</v>
      </c>
      <c r="F9387" s="199" t="s">
        <v>18285</v>
      </c>
      <c r="G9387" s="1" t="s">
        <v>51276</v>
      </c>
      <c r="H9387" s="1" t="s">
        <v>16716</v>
      </c>
      <c r="I9387" s="346"/>
      <c r="J9387" s="39">
        <v>116006</v>
      </c>
      <c r="K9387" s="36" t="str">
        <f>CONCATENATE(Cover!$D$6,"fdd/view?i=",J9387)</f>
        <v>https://www.dgiwg.org/FAD/fdd/view?i=116006</v>
      </c>
      <c r="L9387" s="36" t="s">
        <v>51277</v>
      </c>
      <c r="M9387" s="186"/>
      <c r="N9387" s="186"/>
      <c r="O9387" s="13" t="s">
        <v>18283</v>
      </c>
    </row>
    <row r="9388" spans="1:15" ht="25.5" x14ac:dyDescent="0.2">
      <c r="A9388" s="197" t="str">
        <f t="shared" si="146"/>
        <v>TacCode_chan089X</v>
      </c>
      <c r="B9388" s="409"/>
      <c r="C9388" s="416"/>
      <c r="D9388" s="198" t="s">
        <v>18289</v>
      </c>
      <c r="E9388" s="198">
        <v>246</v>
      </c>
      <c r="F9388" s="199" t="s">
        <v>18290</v>
      </c>
      <c r="G9388" s="1" t="s">
        <v>51278</v>
      </c>
      <c r="H9388" s="1" t="s">
        <v>16716</v>
      </c>
      <c r="I9388" s="346"/>
      <c r="J9388" s="39">
        <v>116007</v>
      </c>
      <c r="K9388" s="36" t="str">
        <f>CONCATENATE(Cover!$D$6,"fdd/view?i=",J9388)</f>
        <v>https://www.dgiwg.org/FAD/fdd/view?i=116007</v>
      </c>
      <c r="L9388" s="36" t="s">
        <v>51279</v>
      </c>
      <c r="M9388" s="186"/>
      <c r="N9388" s="186"/>
      <c r="O9388" s="13" t="s">
        <v>18288</v>
      </c>
    </row>
    <row r="9389" spans="1:15" ht="25.5" x14ac:dyDescent="0.2">
      <c r="A9389" s="197" t="str">
        <f t="shared" si="146"/>
        <v>TacCode_chan089Y</v>
      </c>
      <c r="B9389" s="409"/>
      <c r="C9389" s="416"/>
      <c r="D9389" s="198" t="s">
        <v>18294</v>
      </c>
      <c r="E9389" s="198">
        <v>247</v>
      </c>
      <c r="F9389" s="199" t="s">
        <v>18295</v>
      </c>
      <c r="G9389" s="1" t="s">
        <v>51280</v>
      </c>
      <c r="H9389" s="1" t="s">
        <v>16716</v>
      </c>
      <c r="I9389" s="346"/>
      <c r="J9389" s="39">
        <v>116008</v>
      </c>
      <c r="K9389" s="36" t="str">
        <f>CONCATENATE(Cover!$D$6,"fdd/view?i=",J9389)</f>
        <v>https://www.dgiwg.org/FAD/fdd/view?i=116008</v>
      </c>
      <c r="L9389" s="36" t="s">
        <v>51281</v>
      </c>
      <c r="M9389" s="186"/>
      <c r="N9389" s="186"/>
      <c r="O9389" s="13" t="s">
        <v>18293</v>
      </c>
    </row>
    <row r="9390" spans="1:15" ht="25.5" x14ac:dyDescent="0.2">
      <c r="A9390" s="197" t="str">
        <f t="shared" si="146"/>
        <v>TacCode_chan089Z</v>
      </c>
      <c r="B9390" s="409"/>
      <c r="C9390" s="416"/>
      <c r="D9390" s="198" t="s">
        <v>18299</v>
      </c>
      <c r="E9390" s="198">
        <v>248</v>
      </c>
      <c r="F9390" s="199" t="s">
        <v>18300</v>
      </c>
      <c r="G9390" s="1" t="s">
        <v>51282</v>
      </c>
      <c r="H9390" s="1" t="s">
        <v>16716</v>
      </c>
      <c r="I9390" s="346"/>
      <c r="J9390" s="39">
        <v>116009</v>
      </c>
      <c r="K9390" s="36" t="str">
        <f>CONCATENATE(Cover!$D$6,"fdd/view?i=",J9390)</f>
        <v>https://www.dgiwg.org/FAD/fdd/view?i=116009</v>
      </c>
      <c r="L9390" s="36" t="s">
        <v>51283</v>
      </c>
      <c r="M9390" s="186"/>
      <c r="N9390" s="186"/>
      <c r="O9390" s="13" t="s">
        <v>18298</v>
      </c>
    </row>
    <row r="9391" spans="1:15" ht="25.5" x14ac:dyDescent="0.2">
      <c r="A9391" s="197" t="str">
        <f t="shared" si="146"/>
        <v>TacCode_chan090X</v>
      </c>
      <c r="B9391" s="409"/>
      <c r="C9391" s="416"/>
      <c r="D9391" s="198" t="s">
        <v>18314</v>
      </c>
      <c r="E9391" s="198">
        <v>249</v>
      </c>
      <c r="F9391" s="199" t="s">
        <v>18315</v>
      </c>
      <c r="G9391" s="1" t="s">
        <v>51288</v>
      </c>
      <c r="H9391" s="1" t="s">
        <v>16716</v>
      </c>
      <c r="I9391" s="346"/>
      <c r="J9391" s="39">
        <v>116010</v>
      </c>
      <c r="K9391" s="36" t="str">
        <f>CONCATENATE(Cover!$D$6,"fdd/view?i=",J9391)</f>
        <v>https://www.dgiwg.org/FAD/fdd/view?i=116010</v>
      </c>
      <c r="L9391" s="36" t="s">
        <v>51289</v>
      </c>
      <c r="M9391" s="186"/>
      <c r="N9391" s="186"/>
      <c r="O9391" s="13" t="s">
        <v>18313</v>
      </c>
    </row>
    <row r="9392" spans="1:15" ht="25.5" x14ac:dyDescent="0.2">
      <c r="A9392" s="197" t="str">
        <f t="shared" si="146"/>
        <v>TacCode_chan090Y</v>
      </c>
      <c r="B9392" s="409"/>
      <c r="C9392" s="416"/>
      <c r="D9392" s="198" t="s">
        <v>18319</v>
      </c>
      <c r="E9392" s="198">
        <v>250</v>
      </c>
      <c r="F9392" s="199" t="s">
        <v>18320</v>
      </c>
      <c r="G9392" s="1" t="s">
        <v>51290</v>
      </c>
      <c r="H9392" s="1" t="s">
        <v>16716</v>
      </c>
      <c r="I9392" s="346"/>
      <c r="J9392" s="39">
        <v>116011</v>
      </c>
      <c r="K9392" s="36" t="str">
        <f>CONCATENATE(Cover!$D$6,"fdd/view?i=",J9392)</f>
        <v>https://www.dgiwg.org/FAD/fdd/view?i=116011</v>
      </c>
      <c r="L9392" s="36" t="s">
        <v>51291</v>
      </c>
      <c r="M9392" s="186"/>
      <c r="N9392" s="186"/>
      <c r="O9392" s="13" t="s">
        <v>18318</v>
      </c>
    </row>
    <row r="9393" spans="1:15" ht="25.5" x14ac:dyDescent="0.2">
      <c r="A9393" s="197" t="str">
        <f t="shared" si="146"/>
        <v>TacCode_chan090Z</v>
      </c>
      <c r="B9393" s="409"/>
      <c r="C9393" s="416"/>
      <c r="D9393" s="198" t="s">
        <v>18324</v>
      </c>
      <c r="E9393" s="198">
        <v>251</v>
      </c>
      <c r="F9393" s="199" t="s">
        <v>18325</v>
      </c>
      <c r="G9393" s="1" t="s">
        <v>51292</v>
      </c>
      <c r="H9393" s="1" t="s">
        <v>16716</v>
      </c>
      <c r="I9393" s="346"/>
      <c r="J9393" s="39">
        <v>116012</v>
      </c>
      <c r="K9393" s="36" t="str">
        <f>CONCATENATE(Cover!$D$6,"fdd/view?i=",J9393)</f>
        <v>https://www.dgiwg.org/FAD/fdd/view?i=116012</v>
      </c>
      <c r="L9393" s="36" t="s">
        <v>51293</v>
      </c>
      <c r="M9393" s="186"/>
      <c r="N9393" s="186"/>
      <c r="O9393" s="13" t="s">
        <v>18323</v>
      </c>
    </row>
    <row r="9394" spans="1:15" ht="25.5" x14ac:dyDescent="0.2">
      <c r="A9394" s="197" t="str">
        <f t="shared" si="146"/>
        <v>TacCode_chan091X</v>
      </c>
      <c r="B9394" s="409"/>
      <c r="C9394" s="416"/>
      <c r="D9394" s="198" t="s">
        <v>18329</v>
      </c>
      <c r="E9394" s="198">
        <v>252</v>
      </c>
      <c r="F9394" s="199" t="s">
        <v>18330</v>
      </c>
      <c r="G9394" s="1" t="s">
        <v>51294</v>
      </c>
      <c r="H9394" s="1" t="s">
        <v>16716</v>
      </c>
      <c r="I9394" s="346"/>
      <c r="J9394" s="39">
        <v>116013</v>
      </c>
      <c r="K9394" s="36" t="str">
        <f>CONCATENATE(Cover!$D$6,"fdd/view?i=",J9394)</f>
        <v>https://www.dgiwg.org/FAD/fdd/view?i=116013</v>
      </c>
      <c r="L9394" s="36" t="s">
        <v>51295</v>
      </c>
      <c r="M9394" s="186"/>
      <c r="N9394" s="186"/>
      <c r="O9394" s="13" t="s">
        <v>18328</v>
      </c>
    </row>
    <row r="9395" spans="1:15" ht="25.5" x14ac:dyDescent="0.2">
      <c r="A9395" s="197" t="str">
        <f t="shared" si="146"/>
        <v>TacCode_chan091Y</v>
      </c>
      <c r="B9395" s="409"/>
      <c r="C9395" s="416"/>
      <c r="D9395" s="198" t="s">
        <v>18334</v>
      </c>
      <c r="E9395" s="198">
        <v>253</v>
      </c>
      <c r="F9395" s="199" t="s">
        <v>18335</v>
      </c>
      <c r="G9395" s="1" t="s">
        <v>51296</v>
      </c>
      <c r="H9395" s="1" t="s">
        <v>16716</v>
      </c>
      <c r="I9395" s="346"/>
      <c r="J9395" s="39">
        <v>116014</v>
      </c>
      <c r="K9395" s="36" t="str">
        <f>CONCATENATE(Cover!$D$6,"fdd/view?i=",J9395)</f>
        <v>https://www.dgiwg.org/FAD/fdd/view?i=116014</v>
      </c>
      <c r="L9395" s="36" t="s">
        <v>51297</v>
      </c>
      <c r="M9395" s="186"/>
      <c r="N9395" s="186"/>
      <c r="O9395" s="13" t="s">
        <v>18333</v>
      </c>
    </row>
    <row r="9396" spans="1:15" ht="25.5" x14ac:dyDescent="0.2">
      <c r="A9396" s="197" t="str">
        <f t="shared" si="146"/>
        <v>TacCode_chan091Z</v>
      </c>
      <c r="B9396" s="409"/>
      <c r="C9396" s="416"/>
      <c r="D9396" s="198" t="s">
        <v>18339</v>
      </c>
      <c r="E9396" s="198">
        <v>254</v>
      </c>
      <c r="F9396" s="199" t="s">
        <v>18340</v>
      </c>
      <c r="G9396" s="1" t="s">
        <v>51298</v>
      </c>
      <c r="H9396" s="1" t="s">
        <v>16716</v>
      </c>
      <c r="I9396" s="346"/>
      <c r="J9396" s="39">
        <v>116015</v>
      </c>
      <c r="K9396" s="36" t="str">
        <f>CONCATENATE(Cover!$D$6,"fdd/view?i=",J9396)</f>
        <v>https://www.dgiwg.org/FAD/fdd/view?i=116015</v>
      </c>
      <c r="L9396" s="36" t="s">
        <v>51299</v>
      </c>
      <c r="M9396" s="186"/>
      <c r="N9396" s="186"/>
      <c r="O9396" s="13" t="s">
        <v>18338</v>
      </c>
    </row>
    <row r="9397" spans="1:15" ht="25.5" x14ac:dyDescent="0.2">
      <c r="A9397" s="197" t="str">
        <f t="shared" si="146"/>
        <v>TacCode_chan092X</v>
      </c>
      <c r="B9397" s="409"/>
      <c r="C9397" s="416"/>
      <c r="D9397" s="198" t="s">
        <v>18344</v>
      </c>
      <c r="E9397" s="198">
        <v>255</v>
      </c>
      <c r="F9397" s="199" t="s">
        <v>18345</v>
      </c>
      <c r="G9397" s="1" t="s">
        <v>51300</v>
      </c>
      <c r="H9397" s="1" t="s">
        <v>16716</v>
      </c>
      <c r="I9397" s="346"/>
      <c r="J9397" s="39">
        <v>116016</v>
      </c>
      <c r="K9397" s="36" t="str">
        <f>CONCATENATE(Cover!$D$6,"fdd/view?i=",J9397)</f>
        <v>https://www.dgiwg.org/FAD/fdd/view?i=116016</v>
      </c>
      <c r="L9397" s="36" t="s">
        <v>51301</v>
      </c>
      <c r="M9397" s="186"/>
      <c r="N9397" s="186"/>
      <c r="O9397" s="13" t="s">
        <v>18343</v>
      </c>
    </row>
    <row r="9398" spans="1:15" ht="25.5" x14ac:dyDescent="0.2">
      <c r="A9398" s="197" t="str">
        <f t="shared" si="146"/>
        <v>TacCode_chan092Y</v>
      </c>
      <c r="B9398" s="409"/>
      <c r="C9398" s="416"/>
      <c r="D9398" s="198" t="s">
        <v>18349</v>
      </c>
      <c r="E9398" s="198">
        <v>256</v>
      </c>
      <c r="F9398" s="199" t="s">
        <v>18350</v>
      </c>
      <c r="G9398" s="1" t="s">
        <v>51302</v>
      </c>
      <c r="H9398" s="1" t="s">
        <v>16716</v>
      </c>
      <c r="I9398" s="346"/>
      <c r="J9398" s="39">
        <v>116017</v>
      </c>
      <c r="K9398" s="36" t="str">
        <f>CONCATENATE(Cover!$D$6,"fdd/view?i=",J9398)</f>
        <v>https://www.dgiwg.org/FAD/fdd/view?i=116017</v>
      </c>
      <c r="L9398" s="36" t="s">
        <v>51303</v>
      </c>
      <c r="M9398" s="186"/>
      <c r="N9398" s="186"/>
      <c r="O9398" s="13" t="s">
        <v>18348</v>
      </c>
    </row>
    <row r="9399" spans="1:15" ht="25.5" x14ac:dyDescent="0.2">
      <c r="A9399" s="197" t="str">
        <f t="shared" si="146"/>
        <v>TacCode_chan092Z</v>
      </c>
      <c r="B9399" s="409"/>
      <c r="C9399" s="416"/>
      <c r="D9399" s="198" t="s">
        <v>18354</v>
      </c>
      <c r="E9399" s="198">
        <v>257</v>
      </c>
      <c r="F9399" s="199" t="s">
        <v>18355</v>
      </c>
      <c r="G9399" s="1" t="s">
        <v>51304</v>
      </c>
      <c r="H9399" s="1" t="s">
        <v>16716</v>
      </c>
      <c r="I9399" s="346"/>
      <c r="J9399" s="39">
        <v>116018</v>
      </c>
      <c r="K9399" s="36" t="str">
        <f>CONCATENATE(Cover!$D$6,"fdd/view?i=",J9399)</f>
        <v>https://www.dgiwg.org/FAD/fdd/view?i=116018</v>
      </c>
      <c r="L9399" s="36" t="s">
        <v>51305</v>
      </c>
      <c r="M9399" s="186"/>
      <c r="N9399" s="186"/>
      <c r="O9399" s="13" t="s">
        <v>18353</v>
      </c>
    </row>
    <row r="9400" spans="1:15" ht="25.5" x14ac:dyDescent="0.2">
      <c r="A9400" s="197" t="str">
        <f t="shared" si="146"/>
        <v>TacCode_chan093X</v>
      </c>
      <c r="B9400" s="409"/>
      <c r="C9400" s="416"/>
      <c r="D9400" s="198" t="s">
        <v>18359</v>
      </c>
      <c r="E9400" s="198">
        <v>258</v>
      </c>
      <c r="F9400" s="199" t="s">
        <v>18360</v>
      </c>
      <c r="G9400" s="1" t="s">
        <v>51306</v>
      </c>
      <c r="H9400" s="1" t="s">
        <v>16716</v>
      </c>
      <c r="I9400" s="346"/>
      <c r="J9400" s="39">
        <v>116019</v>
      </c>
      <c r="K9400" s="36" t="str">
        <f>CONCATENATE(Cover!$D$6,"fdd/view?i=",J9400)</f>
        <v>https://www.dgiwg.org/FAD/fdd/view?i=116019</v>
      </c>
      <c r="L9400" s="36" t="s">
        <v>51307</v>
      </c>
      <c r="M9400" s="186"/>
      <c r="N9400" s="186"/>
      <c r="O9400" s="13" t="s">
        <v>18358</v>
      </c>
    </row>
    <row r="9401" spans="1:15" ht="25.5" x14ac:dyDescent="0.2">
      <c r="A9401" s="197" t="str">
        <f t="shared" si="146"/>
        <v>TacCode_chan093Y</v>
      </c>
      <c r="B9401" s="409"/>
      <c r="C9401" s="416"/>
      <c r="D9401" s="198" t="s">
        <v>18364</v>
      </c>
      <c r="E9401" s="198">
        <v>259</v>
      </c>
      <c r="F9401" s="199" t="s">
        <v>18365</v>
      </c>
      <c r="G9401" s="1" t="s">
        <v>51308</v>
      </c>
      <c r="H9401" s="1" t="s">
        <v>16716</v>
      </c>
      <c r="I9401" s="346"/>
      <c r="J9401" s="39">
        <v>116020</v>
      </c>
      <c r="K9401" s="36" t="str">
        <f>CONCATENATE(Cover!$D$6,"fdd/view?i=",J9401)</f>
        <v>https://www.dgiwg.org/FAD/fdd/view?i=116020</v>
      </c>
      <c r="L9401" s="36" t="s">
        <v>51309</v>
      </c>
      <c r="M9401" s="186"/>
      <c r="N9401" s="186"/>
      <c r="O9401" s="13" t="s">
        <v>18363</v>
      </c>
    </row>
    <row r="9402" spans="1:15" ht="25.5" x14ac:dyDescent="0.2">
      <c r="A9402" s="197" t="str">
        <f t="shared" si="146"/>
        <v>TacCode_chan093Z</v>
      </c>
      <c r="B9402" s="409"/>
      <c r="C9402" s="416"/>
      <c r="D9402" s="198" t="s">
        <v>18369</v>
      </c>
      <c r="E9402" s="198">
        <v>260</v>
      </c>
      <c r="F9402" s="199" t="s">
        <v>18370</v>
      </c>
      <c r="G9402" s="1" t="s">
        <v>51310</v>
      </c>
      <c r="H9402" s="1" t="s">
        <v>16716</v>
      </c>
      <c r="I9402" s="346"/>
      <c r="J9402" s="39">
        <v>116021</v>
      </c>
      <c r="K9402" s="36" t="str">
        <f>CONCATENATE(Cover!$D$6,"fdd/view?i=",J9402)</f>
        <v>https://www.dgiwg.org/FAD/fdd/view?i=116021</v>
      </c>
      <c r="L9402" s="36" t="s">
        <v>51311</v>
      </c>
      <c r="M9402" s="186"/>
      <c r="N9402" s="186"/>
      <c r="O9402" s="13" t="s">
        <v>18368</v>
      </c>
    </row>
    <row r="9403" spans="1:15" ht="25.5" x14ac:dyDescent="0.2">
      <c r="A9403" s="197" t="str">
        <f t="shared" si="146"/>
        <v>TacCode_chan094X</v>
      </c>
      <c r="B9403" s="409"/>
      <c r="C9403" s="416"/>
      <c r="D9403" s="198" t="s">
        <v>18374</v>
      </c>
      <c r="E9403" s="198">
        <v>261</v>
      </c>
      <c r="F9403" s="199" t="s">
        <v>18375</v>
      </c>
      <c r="G9403" s="1" t="s">
        <v>51312</v>
      </c>
      <c r="H9403" s="1" t="s">
        <v>16716</v>
      </c>
      <c r="I9403" s="346"/>
      <c r="J9403" s="39">
        <v>116022</v>
      </c>
      <c r="K9403" s="36" t="str">
        <f>CONCATENATE(Cover!$D$6,"fdd/view?i=",J9403)</f>
        <v>https://www.dgiwg.org/FAD/fdd/view?i=116022</v>
      </c>
      <c r="L9403" s="36" t="s">
        <v>51313</v>
      </c>
      <c r="M9403" s="186"/>
      <c r="N9403" s="186"/>
      <c r="O9403" s="13" t="s">
        <v>18373</v>
      </c>
    </row>
    <row r="9404" spans="1:15" ht="25.5" x14ac:dyDescent="0.2">
      <c r="A9404" s="197" t="str">
        <f t="shared" si="146"/>
        <v>TacCode_chan094Y</v>
      </c>
      <c r="B9404" s="409"/>
      <c r="C9404" s="416"/>
      <c r="D9404" s="198" t="s">
        <v>18379</v>
      </c>
      <c r="E9404" s="198">
        <v>262</v>
      </c>
      <c r="F9404" s="199" t="s">
        <v>18380</v>
      </c>
      <c r="G9404" s="1" t="s">
        <v>51314</v>
      </c>
      <c r="H9404" s="1" t="s">
        <v>16716</v>
      </c>
      <c r="I9404" s="346"/>
      <c r="J9404" s="39">
        <v>116023</v>
      </c>
      <c r="K9404" s="36" t="str">
        <f>CONCATENATE(Cover!$D$6,"fdd/view?i=",J9404)</f>
        <v>https://www.dgiwg.org/FAD/fdd/view?i=116023</v>
      </c>
      <c r="L9404" s="36" t="s">
        <v>51315</v>
      </c>
      <c r="M9404" s="186"/>
      <c r="N9404" s="186"/>
      <c r="O9404" s="13" t="s">
        <v>18378</v>
      </c>
    </row>
    <row r="9405" spans="1:15" ht="25.5" x14ac:dyDescent="0.2">
      <c r="A9405" s="197" t="str">
        <f t="shared" si="146"/>
        <v>TacCode_chan094Z</v>
      </c>
      <c r="B9405" s="409"/>
      <c r="C9405" s="416"/>
      <c r="D9405" s="198" t="s">
        <v>18384</v>
      </c>
      <c r="E9405" s="198">
        <v>263</v>
      </c>
      <c r="F9405" s="199" t="s">
        <v>18385</v>
      </c>
      <c r="G9405" s="1" t="s">
        <v>51316</v>
      </c>
      <c r="H9405" s="1" t="s">
        <v>16716</v>
      </c>
      <c r="I9405" s="346"/>
      <c r="J9405" s="39">
        <v>116024</v>
      </c>
      <c r="K9405" s="36" t="str">
        <f>CONCATENATE(Cover!$D$6,"fdd/view?i=",J9405)</f>
        <v>https://www.dgiwg.org/FAD/fdd/view?i=116024</v>
      </c>
      <c r="L9405" s="36" t="s">
        <v>51317</v>
      </c>
      <c r="M9405" s="186"/>
      <c r="N9405" s="186"/>
      <c r="O9405" s="13" t="s">
        <v>18383</v>
      </c>
    </row>
    <row r="9406" spans="1:15" ht="25.5" x14ac:dyDescent="0.2">
      <c r="A9406" s="197" t="str">
        <f t="shared" si="146"/>
        <v>TacCode_chan095X</v>
      </c>
      <c r="B9406" s="409"/>
      <c r="C9406" s="416"/>
      <c r="D9406" s="198" t="s">
        <v>18389</v>
      </c>
      <c r="E9406" s="198">
        <v>264</v>
      </c>
      <c r="F9406" s="199" t="s">
        <v>18390</v>
      </c>
      <c r="G9406" s="1" t="s">
        <v>51318</v>
      </c>
      <c r="H9406" s="1" t="s">
        <v>16716</v>
      </c>
      <c r="I9406" s="346"/>
      <c r="J9406" s="39">
        <v>116025</v>
      </c>
      <c r="K9406" s="36" t="str">
        <f>CONCATENATE(Cover!$D$6,"fdd/view?i=",J9406)</f>
        <v>https://www.dgiwg.org/FAD/fdd/view?i=116025</v>
      </c>
      <c r="L9406" s="36" t="s">
        <v>51319</v>
      </c>
      <c r="M9406" s="186"/>
      <c r="N9406" s="186"/>
      <c r="O9406" s="13" t="s">
        <v>18388</v>
      </c>
    </row>
    <row r="9407" spans="1:15" ht="25.5" x14ac:dyDescent="0.2">
      <c r="A9407" s="197" t="str">
        <f t="shared" si="146"/>
        <v>TacCode_chan095Y</v>
      </c>
      <c r="B9407" s="409"/>
      <c r="C9407" s="416"/>
      <c r="D9407" s="198" t="s">
        <v>18394</v>
      </c>
      <c r="E9407" s="198">
        <v>265</v>
      </c>
      <c r="F9407" s="199" t="s">
        <v>18395</v>
      </c>
      <c r="G9407" s="1" t="s">
        <v>51320</v>
      </c>
      <c r="H9407" s="1" t="s">
        <v>16716</v>
      </c>
      <c r="I9407" s="346"/>
      <c r="J9407" s="39">
        <v>116026</v>
      </c>
      <c r="K9407" s="36" t="str">
        <f>CONCATENATE(Cover!$D$6,"fdd/view?i=",J9407)</f>
        <v>https://www.dgiwg.org/FAD/fdd/view?i=116026</v>
      </c>
      <c r="L9407" s="36" t="s">
        <v>51321</v>
      </c>
      <c r="M9407" s="186"/>
      <c r="N9407" s="186"/>
      <c r="O9407" s="13" t="s">
        <v>18393</v>
      </c>
    </row>
    <row r="9408" spans="1:15" ht="25.5" x14ac:dyDescent="0.2">
      <c r="A9408" s="197" t="str">
        <f t="shared" si="146"/>
        <v>TacCode_chan095Z</v>
      </c>
      <c r="B9408" s="409"/>
      <c r="C9408" s="416"/>
      <c r="D9408" s="198" t="s">
        <v>18399</v>
      </c>
      <c r="E9408" s="198">
        <v>266</v>
      </c>
      <c r="F9408" s="199" t="s">
        <v>18400</v>
      </c>
      <c r="G9408" s="1" t="s">
        <v>51322</v>
      </c>
      <c r="H9408" s="1" t="s">
        <v>16716</v>
      </c>
      <c r="I9408" s="346"/>
      <c r="J9408" s="39">
        <v>116027</v>
      </c>
      <c r="K9408" s="36" t="str">
        <f>CONCATENATE(Cover!$D$6,"fdd/view?i=",J9408)</f>
        <v>https://www.dgiwg.org/FAD/fdd/view?i=116027</v>
      </c>
      <c r="L9408" s="36" t="s">
        <v>51323</v>
      </c>
      <c r="M9408" s="186"/>
      <c r="N9408" s="186"/>
      <c r="O9408" s="13" t="s">
        <v>18398</v>
      </c>
    </row>
    <row r="9409" spans="1:15" ht="25.5" x14ac:dyDescent="0.2">
      <c r="A9409" s="197" t="str">
        <f t="shared" si="146"/>
        <v>TacCode_chan096X</v>
      </c>
      <c r="B9409" s="409"/>
      <c r="C9409" s="416"/>
      <c r="D9409" s="198" t="s">
        <v>18404</v>
      </c>
      <c r="E9409" s="198">
        <v>267</v>
      </c>
      <c r="F9409" s="199" t="s">
        <v>18405</v>
      </c>
      <c r="G9409" s="1" t="s">
        <v>51324</v>
      </c>
      <c r="H9409" s="1" t="s">
        <v>16716</v>
      </c>
      <c r="I9409" s="346"/>
      <c r="J9409" s="39">
        <v>116028</v>
      </c>
      <c r="K9409" s="36" t="str">
        <f>CONCATENATE(Cover!$D$6,"fdd/view?i=",J9409)</f>
        <v>https://www.dgiwg.org/FAD/fdd/view?i=116028</v>
      </c>
      <c r="L9409" s="36" t="s">
        <v>51325</v>
      </c>
      <c r="M9409" s="186"/>
      <c r="N9409" s="186"/>
      <c r="O9409" s="13" t="s">
        <v>18403</v>
      </c>
    </row>
    <row r="9410" spans="1:15" ht="25.5" x14ac:dyDescent="0.2">
      <c r="A9410" s="197" t="str">
        <f t="shared" ref="A9410:A9473" si="147">HYPERLINK(K9410,L9410)</f>
        <v>TacCode_chan096Y</v>
      </c>
      <c r="B9410" s="409"/>
      <c r="C9410" s="416"/>
      <c r="D9410" s="198" t="s">
        <v>18409</v>
      </c>
      <c r="E9410" s="198">
        <v>268</v>
      </c>
      <c r="F9410" s="199" t="s">
        <v>18410</v>
      </c>
      <c r="G9410" s="1" t="s">
        <v>51326</v>
      </c>
      <c r="H9410" s="1" t="s">
        <v>16716</v>
      </c>
      <c r="I9410" s="346"/>
      <c r="J9410" s="39">
        <v>116029</v>
      </c>
      <c r="K9410" s="36" t="str">
        <f>CONCATENATE(Cover!$D$6,"fdd/view?i=",J9410)</f>
        <v>https://www.dgiwg.org/FAD/fdd/view?i=116029</v>
      </c>
      <c r="L9410" s="36" t="s">
        <v>51327</v>
      </c>
      <c r="M9410" s="186"/>
      <c r="N9410" s="186"/>
      <c r="O9410" s="13" t="s">
        <v>18408</v>
      </c>
    </row>
    <row r="9411" spans="1:15" ht="25.5" x14ac:dyDescent="0.2">
      <c r="A9411" s="197" t="str">
        <f t="shared" si="147"/>
        <v>TacCode_chan096Z</v>
      </c>
      <c r="B9411" s="409"/>
      <c r="C9411" s="416"/>
      <c r="D9411" s="198" t="s">
        <v>18414</v>
      </c>
      <c r="E9411" s="198">
        <v>269</v>
      </c>
      <c r="F9411" s="199" t="s">
        <v>18415</v>
      </c>
      <c r="G9411" s="1" t="s">
        <v>51328</v>
      </c>
      <c r="H9411" s="1" t="s">
        <v>16716</v>
      </c>
      <c r="I9411" s="346"/>
      <c r="J9411" s="39">
        <v>116030</v>
      </c>
      <c r="K9411" s="36" t="str">
        <f>CONCATENATE(Cover!$D$6,"fdd/view?i=",J9411)</f>
        <v>https://www.dgiwg.org/FAD/fdd/view?i=116030</v>
      </c>
      <c r="L9411" s="36" t="s">
        <v>51329</v>
      </c>
      <c r="M9411" s="186"/>
      <c r="N9411" s="186"/>
      <c r="O9411" s="13" t="s">
        <v>18413</v>
      </c>
    </row>
    <row r="9412" spans="1:15" ht="25.5" x14ac:dyDescent="0.2">
      <c r="A9412" s="197" t="str">
        <f t="shared" si="147"/>
        <v>TacCode_chan097X</v>
      </c>
      <c r="B9412" s="409"/>
      <c r="C9412" s="416"/>
      <c r="D9412" s="198" t="s">
        <v>18419</v>
      </c>
      <c r="E9412" s="198">
        <v>270</v>
      </c>
      <c r="F9412" s="199" t="s">
        <v>18420</v>
      </c>
      <c r="G9412" s="1" t="s">
        <v>51330</v>
      </c>
      <c r="H9412" s="1" t="s">
        <v>16716</v>
      </c>
      <c r="I9412" s="346"/>
      <c r="J9412" s="39">
        <v>116031</v>
      </c>
      <c r="K9412" s="36" t="str">
        <f>CONCATENATE(Cover!$D$6,"fdd/view?i=",J9412)</f>
        <v>https://www.dgiwg.org/FAD/fdd/view?i=116031</v>
      </c>
      <c r="L9412" s="36" t="s">
        <v>51331</v>
      </c>
      <c r="M9412" s="186"/>
      <c r="N9412" s="186"/>
      <c r="O9412" s="13" t="s">
        <v>18418</v>
      </c>
    </row>
    <row r="9413" spans="1:15" ht="25.5" x14ac:dyDescent="0.2">
      <c r="A9413" s="197" t="str">
        <f t="shared" si="147"/>
        <v>TacCode_chan097Y</v>
      </c>
      <c r="B9413" s="409"/>
      <c r="C9413" s="416"/>
      <c r="D9413" s="198" t="s">
        <v>18424</v>
      </c>
      <c r="E9413" s="198">
        <v>271</v>
      </c>
      <c r="F9413" s="199" t="s">
        <v>18425</v>
      </c>
      <c r="G9413" s="1" t="s">
        <v>51332</v>
      </c>
      <c r="H9413" s="1" t="s">
        <v>16716</v>
      </c>
      <c r="I9413" s="346"/>
      <c r="J9413" s="39">
        <v>116032</v>
      </c>
      <c r="K9413" s="36" t="str">
        <f>CONCATENATE(Cover!$D$6,"fdd/view?i=",J9413)</f>
        <v>https://www.dgiwg.org/FAD/fdd/view?i=116032</v>
      </c>
      <c r="L9413" s="36" t="s">
        <v>51333</v>
      </c>
      <c r="M9413" s="186"/>
      <c r="N9413" s="186"/>
      <c r="O9413" s="13" t="s">
        <v>18423</v>
      </c>
    </row>
    <row r="9414" spans="1:15" ht="25.5" x14ac:dyDescent="0.2">
      <c r="A9414" s="197" t="str">
        <f t="shared" si="147"/>
        <v>TacCode_chan097Z</v>
      </c>
      <c r="B9414" s="409"/>
      <c r="C9414" s="416"/>
      <c r="D9414" s="198" t="s">
        <v>18429</v>
      </c>
      <c r="E9414" s="198">
        <v>272</v>
      </c>
      <c r="F9414" s="199" t="s">
        <v>18430</v>
      </c>
      <c r="G9414" s="1" t="s">
        <v>51334</v>
      </c>
      <c r="H9414" s="1" t="s">
        <v>16716</v>
      </c>
      <c r="I9414" s="346"/>
      <c r="J9414" s="39">
        <v>116033</v>
      </c>
      <c r="K9414" s="36" t="str">
        <f>CONCATENATE(Cover!$D$6,"fdd/view?i=",J9414)</f>
        <v>https://www.dgiwg.org/FAD/fdd/view?i=116033</v>
      </c>
      <c r="L9414" s="36" t="s">
        <v>51335</v>
      </c>
      <c r="M9414" s="186"/>
      <c r="N9414" s="186"/>
      <c r="O9414" s="13" t="s">
        <v>18428</v>
      </c>
    </row>
    <row r="9415" spans="1:15" ht="25.5" x14ac:dyDescent="0.2">
      <c r="A9415" s="197" t="str">
        <f t="shared" si="147"/>
        <v>TacCode_chan098X</v>
      </c>
      <c r="B9415" s="409"/>
      <c r="C9415" s="416"/>
      <c r="D9415" s="198" t="s">
        <v>18434</v>
      </c>
      <c r="E9415" s="198">
        <v>273</v>
      </c>
      <c r="F9415" s="199" t="s">
        <v>18435</v>
      </c>
      <c r="G9415" s="1" t="s">
        <v>51336</v>
      </c>
      <c r="H9415" s="1" t="s">
        <v>16716</v>
      </c>
      <c r="I9415" s="346"/>
      <c r="J9415" s="39">
        <v>116034</v>
      </c>
      <c r="K9415" s="36" t="str">
        <f>CONCATENATE(Cover!$D$6,"fdd/view?i=",J9415)</f>
        <v>https://www.dgiwg.org/FAD/fdd/view?i=116034</v>
      </c>
      <c r="L9415" s="36" t="s">
        <v>51337</v>
      </c>
      <c r="M9415" s="186"/>
      <c r="N9415" s="186"/>
      <c r="O9415" s="13" t="s">
        <v>18433</v>
      </c>
    </row>
    <row r="9416" spans="1:15" ht="25.5" x14ac:dyDescent="0.2">
      <c r="A9416" s="197" t="str">
        <f t="shared" si="147"/>
        <v>TacCode_chan098Y</v>
      </c>
      <c r="B9416" s="409"/>
      <c r="C9416" s="416"/>
      <c r="D9416" s="198" t="s">
        <v>18439</v>
      </c>
      <c r="E9416" s="198">
        <v>274</v>
      </c>
      <c r="F9416" s="199" t="s">
        <v>18440</v>
      </c>
      <c r="G9416" s="1" t="s">
        <v>51338</v>
      </c>
      <c r="H9416" s="1" t="s">
        <v>16716</v>
      </c>
      <c r="I9416" s="346"/>
      <c r="J9416" s="39">
        <v>116035</v>
      </c>
      <c r="K9416" s="36" t="str">
        <f>CONCATENATE(Cover!$D$6,"fdd/view?i=",J9416)</f>
        <v>https://www.dgiwg.org/FAD/fdd/view?i=116035</v>
      </c>
      <c r="L9416" s="36" t="s">
        <v>51339</v>
      </c>
      <c r="M9416" s="186"/>
      <c r="N9416" s="186"/>
      <c r="O9416" s="13" t="s">
        <v>18438</v>
      </c>
    </row>
    <row r="9417" spans="1:15" ht="25.5" x14ac:dyDescent="0.2">
      <c r="A9417" s="197" t="str">
        <f t="shared" si="147"/>
        <v>TacCode_chan098Z</v>
      </c>
      <c r="B9417" s="409"/>
      <c r="C9417" s="416"/>
      <c r="D9417" s="198" t="s">
        <v>18444</v>
      </c>
      <c r="E9417" s="198">
        <v>275</v>
      </c>
      <c r="F9417" s="199" t="s">
        <v>18445</v>
      </c>
      <c r="G9417" s="1" t="s">
        <v>51340</v>
      </c>
      <c r="H9417" s="1" t="s">
        <v>16716</v>
      </c>
      <c r="I9417" s="346"/>
      <c r="J9417" s="39">
        <v>116036</v>
      </c>
      <c r="K9417" s="36" t="str">
        <f>CONCATENATE(Cover!$D$6,"fdd/view?i=",J9417)</f>
        <v>https://www.dgiwg.org/FAD/fdd/view?i=116036</v>
      </c>
      <c r="L9417" s="36" t="s">
        <v>51341</v>
      </c>
      <c r="M9417" s="186"/>
      <c r="N9417" s="186"/>
      <c r="O9417" s="13" t="s">
        <v>18443</v>
      </c>
    </row>
    <row r="9418" spans="1:15" ht="25.5" x14ac:dyDescent="0.2">
      <c r="A9418" s="197" t="str">
        <f t="shared" si="147"/>
        <v>TacCode_chan099X</v>
      </c>
      <c r="B9418" s="409"/>
      <c r="C9418" s="416"/>
      <c r="D9418" s="198" t="s">
        <v>18449</v>
      </c>
      <c r="E9418" s="198">
        <v>276</v>
      </c>
      <c r="F9418" s="199" t="s">
        <v>18450</v>
      </c>
      <c r="G9418" s="1" t="s">
        <v>51342</v>
      </c>
      <c r="H9418" s="1" t="s">
        <v>16716</v>
      </c>
      <c r="I9418" s="346"/>
      <c r="J9418" s="39">
        <v>116037</v>
      </c>
      <c r="K9418" s="36" t="str">
        <f>CONCATENATE(Cover!$D$6,"fdd/view?i=",J9418)</f>
        <v>https://www.dgiwg.org/FAD/fdd/view?i=116037</v>
      </c>
      <c r="L9418" s="36" t="s">
        <v>51343</v>
      </c>
      <c r="M9418" s="186"/>
      <c r="N9418" s="186"/>
      <c r="O9418" s="13" t="s">
        <v>18448</v>
      </c>
    </row>
    <row r="9419" spans="1:15" ht="25.5" x14ac:dyDescent="0.2">
      <c r="A9419" s="197" t="str">
        <f t="shared" si="147"/>
        <v>TacCode_chan099Y</v>
      </c>
      <c r="B9419" s="409"/>
      <c r="C9419" s="416"/>
      <c r="D9419" s="198" t="s">
        <v>18454</v>
      </c>
      <c r="E9419" s="198">
        <v>277</v>
      </c>
      <c r="F9419" s="199" t="s">
        <v>18455</v>
      </c>
      <c r="G9419" s="1" t="s">
        <v>51344</v>
      </c>
      <c r="H9419" s="1" t="s">
        <v>16716</v>
      </c>
      <c r="I9419" s="346"/>
      <c r="J9419" s="39">
        <v>116038</v>
      </c>
      <c r="K9419" s="36" t="str">
        <f>CONCATENATE(Cover!$D$6,"fdd/view?i=",J9419)</f>
        <v>https://www.dgiwg.org/FAD/fdd/view?i=116038</v>
      </c>
      <c r="L9419" s="36" t="s">
        <v>51345</v>
      </c>
      <c r="M9419" s="186"/>
      <c r="N9419" s="186"/>
      <c r="O9419" s="13" t="s">
        <v>18453</v>
      </c>
    </row>
    <row r="9420" spans="1:15" ht="25.5" x14ac:dyDescent="0.2">
      <c r="A9420" s="197" t="str">
        <f t="shared" si="147"/>
        <v>TacCode_chan099Z</v>
      </c>
      <c r="B9420" s="409"/>
      <c r="C9420" s="416"/>
      <c r="D9420" s="198" t="s">
        <v>18459</v>
      </c>
      <c r="E9420" s="198">
        <v>278</v>
      </c>
      <c r="F9420" s="199" t="s">
        <v>18460</v>
      </c>
      <c r="G9420" s="1" t="s">
        <v>51346</v>
      </c>
      <c r="H9420" s="1" t="s">
        <v>16716</v>
      </c>
      <c r="I9420" s="346"/>
      <c r="J9420" s="39">
        <v>116039</v>
      </c>
      <c r="K9420" s="36" t="str">
        <f>CONCATENATE(Cover!$D$6,"fdd/view?i=",J9420)</f>
        <v>https://www.dgiwg.org/FAD/fdd/view?i=116039</v>
      </c>
      <c r="L9420" s="36" t="s">
        <v>51347</v>
      </c>
      <c r="M9420" s="186"/>
      <c r="N9420" s="186"/>
      <c r="O9420" s="13" t="s">
        <v>18458</v>
      </c>
    </row>
    <row r="9421" spans="1:15" ht="25.5" x14ac:dyDescent="0.2">
      <c r="A9421" s="197" t="str">
        <f t="shared" si="147"/>
        <v>TacCode_chan100X</v>
      </c>
      <c r="B9421" s="409"/>
      <c r="C9421" s="416"/>
      <c r="D9421" s="198" t="s">
        <v>16713</v>
      </c>
      <c r="E9421" s="198">
        <v>279</v>
      </c>
      <c r="F9421" s="199" t="s">
        <v>16714</v>
      </c>
      <c r="G9421" s="1" t="s">
        <v>50648</v>
      </c>
      <c r="H9421" s="1" t="s">
        <v>16716</v>
      </c>
      <c r="I9421" s="346"/>
      <c r="J9421" s="39">
        <v>116040</v>
      </c>
      <c r="K9421" s="36" t="str">
        <f>CONCATENATE(Cover!$D$6,"fdd/view?i=",J9421)</f>
        <v>https://www.dgiwg.org/FAD/fdd/view?i=116040</v>
      </c>
      <c r="L9421" s="36" t="s">
        <v>50649</v>
      </c>
      <c r="M9421" s="186"/>
      <c r="N9421" s="186"/>
      <c r="O9421" s="13" t="s">
        <v>16712</v>
      </c>
    </row>
    <row r="9422" spans="1:15" ht="25.5" x14ac:dyDescent="0.2">
      <c r="A9422" s="197" t="str">
        <f t="shared" si="147"/>
        <v>TacCode_chan100Y</v>
      </c>
      <c r="B9422" s="409"/>
      <c r="C9422" s="416"/>
      <c r="D9422" s="198" t="s">
        <v>16719</v>
      </c>
      <c r="E9422" s="198">
        <v>280</v>
      </c>
      <c r="F9422" s="199" t="s">
        <v>16720</v>
      </c>
      <c r="G9422" s="1" t="s">
        <v>50650</v>
      </c>
      <c r="H9422" s="1" t="s">
        <v>16716</v>
      </c>
      <c r="I9422" s="346"/>
      <c r="J9422" s="39">
        <v>116041</v>
      </c>
      <c r="K9422" s="36" t="str">
        <f>CONCATENATE(Cover!$D$6,"fdd/view?i=",J9422)</f>
        <v>https://www.dgiwg.org/FAD/fdd/view?i=116041</v>
      </c>
      <c r="L9422" s="36" t="s">
        <v>50651</v>
      </c>
      <c r="M9422" s="186"/>
      <c r="N9422" s="186"/>
      <c r="O9422" s="13" t="s">
        <v>16718</v>
      </c>
    </row>
    <row r="9423" spans="1:15" ht="25.5" x14ac:dyDescent="0.2">
      <c r="A9423" s="197" t="str">
        <f t="shared" si="147"/>
        <v>TacCode_chan100Z</v>
      </c>
      <c r="B9423" s="409"/>
      <c r="C9423" s="416"/>
      <c r="D9423" s="198" t="s">
        <v>16724</v>
      </c>
      <c r="E9423" s="198">
        <v>281</v>
      </c>
      <c r="F9423" s="199" t="s">
        <v>16725</v>
      </c>
      <c r="G9423" s="1" t="s">
        <v>50652</v>
      </c>
      <c r="H9423" s="1" t="s">
        <v>16716</v>
      </c>
      <c r="I9423" s="346"/>
      <c r="J9423" s="39">
        <v>116042</v>
      </c>
      <c r="K9423" s="36" t="str">
        <f>CONCATENATE(Cover!$D$6,"fdd/view?i=",J9423)</f>
        <v>https://www.dgiwg.org/FAD/fdd/view?i=116042</v>
      </c>
      <c r="L9423" s="36" t="s">
        <v>50653</v>
      </c>
      <c r="M9423" s="186"/>
      <c r="N9423" s="186"/>
      <c r="O9423" s="13" t="s">
        <v>16723</v>
      </c>
    </row>
    <row r="9424" spans="1:15" ht="25.5" x14ac:dyDescent="0.2">
      <c r="A9424" s="197" t="str">
        <f t="shared" si="147"/>
        <v>TacCode_chan101X</v>
      </c>
      <c r="B9424" s="409"/>
      <c r="C9424" s="416"/>
      <c r="D9424" s="198" t="s">
        <v>16729</v>
      </c>
      <c r="E9424" s="198">
        <v>282</v>
      </c>
      <c r="F9424" s="199" t="s">
        <v>16730</v>
      </c>
      <c r="G9424" s="1" t="s">
        <v>50654</v>
      </c>
      <c r="H9424" s="1" t="s">
        <v>16716</v>
      </c>
      <c r="I9424" s="346"/>
      <c r="J9424" s="39">
        <v>116043</v>
      </c>
      <c r="K9424" s="36" t="str">
        <f>CONCATENATE(Cover!$D$6,"fdd/view?i=",J9424)</f>
        <v>https://www.dgiwg.org/FAD/fdd/view?i=116043</v>
      </c>
      <c r="L9424" s="36" t="s">
        <v>50655</v>
      </c>
      <c r="M9424" s="186"/>
      <c r="N9424" s="186"/>
      <c r="O9424" s="13" t="s">
        <v>16728</v>
      </c>
    </row>
    <row r="9425" spans="1:15" ht="25.5" x14ac:dyDescent="0.2">
      <c r="A9425" s="197" t="str">
        <f t="shared" si="147"/>
        <v>TacCode_chan101Y</v>
      </c>
      <c r="B9425" s="409"/>
      <c r="C9425" s="416"/>
      <c r="D9425" s="198" t="s">
        <v>16734</v>
      </c>
      <c r="E9425" s="198">
        <v>283</v>
      </c>
      <c r="F9425" s="199" t="s">
        <v>16735</v>
      </c>
      <c r="G9425" s="1" t="s">
        <v>50656</v>
      </c>
      <c r="H9425" s="1" t="s">
        <v>16716</v>
      </c>
      <c r="I9425" s="346"/>
      <c r="J9425" s="39">
        <v>116044</v>
      </c>
      <c r="K9425" s="36" t="str">
        <f>CONCATENATE(Cover!$D$6,"fdd/view?i=",J9425)</f>
        <v>https://www.dgiwg.org/FAD/fdd/view?i=116044</v>
      </c>
      <c r="L9425" s="36" t="s">
        <v>50657</v>
      </c>
      <c r="M9425" s="186"/>
      <c r="N9425" s="186"/>
      <c r="O9425" s="13" t="s">
        <v>16733</v>
      </c>
    </row>
    <row r="9426" spans="1:15" ht="25.5" x14ac:dyDescent="0.2">
      <c r="A9426" s="197" t="str">
        <f t="shared" si="147"/>
        <v>TacCode_chan101Z</v>
      </c>
      <c r="B9426" s="409"/>
      <c r="C9426" s="416"/>
      <c r="D9426" s="198" t="s">
        <v>16739</v>
      </c>
      <c r="E9426" s="198">
        <v>284</v>
      </c>
      <c r="F9426" s="199" t="s">
        <v>16740</v>
      </c>
      <c r="G9426" s="1" t="s">
        <v>50658</v>
      </c>
      <c r="H9426" s="1" t="s">
        <v>16716</v>
      </c>
      <c r="I9426" s="346"/>
      <c r="J9426" s="39">
        <v>116045</v>
      </c>
      <c r="K9426" s="36" t="str">
        <f>CONCATENATE(Cover!$D$6,"fdd/view?i=",J9426)</f>
        <v>https://www.dgiwg.org/FAD/fdd/view?i=116045</v>
      </c>
      <c r="L9426" s="36" t="s">
        <v>50659</v>
      </c>
      <c r="M9426" s="186"/>
      <c r="N9426" s="186"/>
      <c r="O9426" s="13" t="s">
        <v>16738</v>
      </c>
    </row>
    <row r="9427" spans="1:15" ht="25.5" x14ac:dyDescent="0.2">
      <c r="A9427" s="197" t="str">
        <f t="shared" si="147"/>
        <v>TacCode_chan102X</v>
      </c>
      <c r="B9427" s="409"/>
      <c r="C9427" s="416"/>
      <c r="D9427" s="198" t="s">
        <v>16744</v>
      </c>
      <c r="E9427" s="198">
        <v>285</v>
      </c>
      <c r="F9427" s="199" t="s">
        <v>16745</v>
      </c>
      <c r="G9427" s="1" t="s">
        <v>50660</v>
      </c>
      <c r="H9427" s="1" t="s">
        <v>16716</v>
      </c>
      <c r="I9427" s="346"/>
      <c r="J9427" s="39">
        <v>116046</v>
      </c>
      <c r="K9427" s="36" t="str">
        <f>CONCATENATE(Cover!$D$6,"fdd/view?i=",J9427)</f>
        <v>https://www.dgiwg.org/FAD/fdd/view?i=116046</v>
      </c>
      <c r="L9427" s="36" t="s">
        <v>50661</v>
      </c>
      <c r="M9427" s="186"/>
      <c r="N9427" s="186"/>
      <c r="O9427" s="13" t="s">
        <v>16743</v>
      </c>
    </row>
    <row r="9428" spans="1:15" ht="25.5" x14ac:dyDescent="0.2">
      <c r="A9428" s="197" t="str">
        <f t="shared" si="147"/>
        <v>TacCode_chan102Y</v>
      </c>
      <c r="B9428" s="409"/>
      <c r="C9428" s="416"/>
      <c r="D9428" s="198" t="s">
        <v>16749</v>
      </c>
      <c r="E9428" s="198">
        <v>286</v>
      </c>
      <c r="F9428" s="199" t="s">
        <v>16750</v>
      </c>
      <c r="G9428" s="1" t="s">
        <v>50662</v>
      </c>
      <c r="H9428" s="1" t="s">
        <v>16716</v>
      </c>
      <c r="I9428" s="346"/>
      <c r="J9428" s="39">
        <v>116047</v>
      </c>
      <c r="K9428" s="36" t="str">
        <f>CONCATENATE(Cover!$D$6,"fdd/view?i=",J9428)</f>
        <v>https://www.dgiwg.org/FAD/fdd/view?i=116047</v>
      </c>
      <c r="L9428" s="36" t="s">
        <v>50663</v>
      </c>
      <c r="M9428" s="186"/>
      <c r="N9428" s="186"/>
      <c r="O9428" s="13" t="s">
        <v>16748</v>
      </c>
    </row>
    <row r="9429" spans="1:15" ht="25.5" x14ac:dyDescent="0.2">
      <c r="A9429" s="197" t="str">
        <f t="shared" si="147"/>
        <v>TacCode_chan102Z</v>
      </c>
      <c r="B9429" s="409"/>
      <c r="C9429" s="416"/>
      <c r="D9429" s="198" t="s">
        <v>16754</v>
      </c>
      <c r="E9429" s="198">
        <v>287</v>
      </c>
      <c r="F9429" s="199" t="s">
        <v>16755</v>
      </c>
      <c r="G9429" s="1" t="s">
        <v>50664</v>
      </c>
      <c r="H9429" s="1" t="s">
        <v>16716</v>
      </c>
      <c r="I9429" s="346"/>
      <c r="J9429" s="39">
        <v>116048</v>
      </c>
      <c r="K9429" s="36" t="str">
        <f>CONCATENATE(Cover!$D$6,"fdd/view?i=",J9429)</f>
        <v>https://www.dgiwg.org/FAD/fdd/view?i=116048</v>
      </c>
      <c r="L9429" s="36" t="s">
        <v>50665</v>
      </c>
      <c r="M9429" s="186"/>
      <c r="N9429" s="186"/>
      <c r="O9429" s="13" t="s">
        <v>16753</v>
      </c>
    </row>
    <row r="9430" spans="1:15" ht="25.5" x14ac:dyDescent="0.2">
      <c r="A9430" s="197" t="str">
        <f t="shared" si="147"/>
        <v>TacCode_chan103X</v>
      </c>
      <c r="B9430" s="409"/>
      <c r="C9430" s="416"/>
      <c r="D9430" s="198" t="s">
        <v>16759</v>
      </c>
      <c r="E9430" s="198">
        <v>288</v>
      </c>
      <c r="F9430" s="199" t="s">
        <v>16760</v>
      </c>
      <c r="G9430" s="1" t="s">
        <v>50666</v>
      </c>
      <c r="H9430" s="1" t="s">
        <v>16716</v>
      </c>
      <c r="I9430" s="346"/>
      <c r="J9430" s="39">
        <v>116049</v>
      </c>
      <c r="K9430" s="36" t="str">
        <f>CONCATENATE(Cover!$D$6,"fdd/view?i=",J9430)</f>
        <v>https://www.dgiwg.org/FAD/fdd/view?i=116049</v>
      </c>
      <c r="L9430" s="36" t="s">
        <v>50667</v>
      </c>
      <c r="M9430" s="186"/>
      <c r="N9430" s="186"/>
      <c r="O9430" s="13" t="s">
        <v>16758</v>
      </c>
    </row>
    <row r="9431" spans="1:15" ht="25.5" x14ac:dyDescent="0.2">
      <c r="A9431" s="197" t="str">
        <f t="shared" si="147"/>
        <v>TacCode_chan103Y</v>
      </c>
      <c r="B9431" s="409"/>
      <c r="C9431" s="416"/>
      <c r="D9431" s="198" t="s">
        <v>16764</v>
      </c>
      <c r="E9431" s="198">
        <v>289</v>
      </c>
      <c r="F9431" s="199" t="s">
        <v>16765</v>
      </c>
      <c r="G9431" s="1" t="s">
        <v>50668</v>
      </c>
      <c r="H9431" s="1" t="s">
        <v>16716</v>
      </c>
      <c r="I9431" s="346"/>
      <c r="J9431" s="39">
        <v>116050</v>
      </c>
      <c r="K9431" s="36" t="str">
        <f>CONCATENATE(Cover!$D$6,"fdd/view?i=",J9431)</f>
        <v>https://www.dgiwg.org/FAD/fdd/view?i=116050</v>
      </c>
      <c r="L9431" s="36" t="s">
        <v>50669</v>
      </c>
      <c r="M9431" s="186"/>
      <c r="N9431" s="186"/>
      <c r="O9431" s="13" t="s">
        <v>16763</v>
      </c>
    </row>
    <row r="9432" spans="1:15" ht="25.5" x14ac:dyDescent="0.2">
      <c r="A9432" s="197" t="str">
        <f t="shared" si="147"/>
        <v>TacCode_chan103Z</v>
      </c>
      <c r="B9432" s="409"/>
      <c r="C9432" s="416"/>
      <c r="D9432" s="198" t="s">
        <v>16769</v>
      </c>
      <c r="E9432" s="198">
        <v>290</v>
      </c>
      <c r="F9432" s="199" t="s">
        <v>16770</v>
      </c>
      <c r="G9432" s="1" t="s">
        <v>50670</v>
      </c>
      <c r="H9432" s="1" t="s">
        <v>16716</v>
      </c>
      <c r="I9432" s="346"/>
      <c r="J9432" s="39">
        <v>116051</v>
      </c>
      <c r="K9432" s="36" t="str">
        <f>CONCATENATE(Cover!$D$6,"fdd/view?i=",J9432)</f>
        <v>https://www.dgiwg.org/FAD/fdd/view?i=116051</v>
      </c>
      <c r="L9432" s="36" t="s">
        <v>50671</v>
      </c>
      <c r="M9432" s="186"/>
      <c r="N9432" s="186"/>
      <c r="O9432" s="13" t="s">
        <v>16768</v>
      </c>
    </row>
    <row r="9433" spans="1:15" ht="25.5" x14ac:dyDescent="0.2">
      <c r="A9433" s="197" t="str">
        <f t="shared" si="147"/>
        <v>TacCode_chan104X</v>
      </c>
      <c r="B9433" s="409"/>
      <c r="C9433" s="416"/>
      <c r="D9433" s="198" t="s">
        <v>16774</v>
      </c>
      <c r="E9433" s="198">
        <v>291</v>
      </c>
      <c r="F9433" s="199" t="s">
        <v>16775</v>
      </c>
      <c r="G9433" s="1" t="s">
        <v>50672</v>
      </c>
      <c r="H9433" s="1" t="s">
        <v>16716</v>
      </c>
      <c r="I9433" s="346"/>
      <c r="J9433" s="39">
        <v>116052</v>
      </c>
      <c r="K9433" s="36" t="str">
        <f>CONCATENATE(Cover!$D$6,"fdd/view?i=",J9433)</f>
        <v>https://www.dgiwg.org/FAD/fdd/view?i=116052</v>
      </c>
      <c r="L9433" s="36" t="s">
        <v>50673</v>
      </c>
      <c r="M9433" s="186"/>
      <c r="N9433" s="186"/>
      <c r="O9433" s="13" t="s">
        <v>16773</v>
      </c>
    </row>
    <row r="9434" spans="1:15" ht="25.5" x14ac:dyDescent="0.2">
      <c r="A9434" s="197" t="str">
        <f t="shared" si="147"/>
        <v>TacCode_chan104Y</v>
      </c>
      <c r="B9434" s="409"/>
      <c r="C9434" s="416"/>
      <c r="D9434" s="198" t="s">
        <v>16779</v>
      </c>
      <c r="E9434" s="198">
        <v>292</v>
      </c>
      <c r="F9434" s="199" t="s">
        <v>16780</v>
      </c>
      <c r="G9434" s="1" t="s">
        <v>50674</v>
      </c>
      <c r="H9434" s="1" t="s">
        <v>16716</v>
      </c>
      <c r="I9434" s="346"/>
      <c r="J9434" s="39">
        <v>116053</v>
      </c>
      <c r="K9434" s="36" t="str">
        <f>CONCATENATE(Cover!$D$6,"fdd/view?i=",J9434)</f>
        <v>https://www.dgiwg.org/FAD/fdd/view?i=116053</v>
      </c>
      <c r="L9434" s="36" t="s">
        <v>50675</v>
      </c>
      <c r="M9434" s="186"/>
      <c r="N9434" s="186"/>
      <c r="O9434" s="13" t="s">
        <v>16778</v>
      </c>
    </row>
    <row r="9435" spans="1:15" ht="25.5" x14ac:dyDescent="0.2">
      <c r="A9435" s="197" t="str">
        <f t="shared" si="147"/>
        <v>TacCode_chan104Z</v>
      </c>
      <c r="B9435" s="409"/>
      <c r="C9435" s="416"/>
      <c r="D9435" s="198" t="s">
        <v>16784</v>
      </c>
      <c r="E9435" s="198">
        <v>293</v>
      </c>
      <c r="F9435" s="199" t="s">
        <v>16785</v>
      </c>
      <c r="G9435" s="1" t="s">
        <v>50676</v>
      </c>
      <c r="H9435" s="1" t="s">
        <v>16716</v>
      </c>
      <c r="I9435" s="346"/>
      <c r="J9435" s="39">
        <v>116054</v>
      </c>
      <c r="K9435" s="36" t="str">
        <f>CONCATENATE(Cover!$D$6,"fdd/view?i=",J9435)</f>
        <v>https://www.dgiwg.org/FAD/fdd/view?i=116054</v>
      </c>
      <c r="L9435" s="36" t="s">
        <v>50677</v>
      </c>
      <c r="M9435" s="186"/>
      <c r="N9435" s="186"/>
      <c r="O9435" s="13" t="s">
        <v>16783</v>
      </c>
    </row>
    <row r="9436" spans="1:15" ht="25.5" x14ac:dyDescent="0.2">
      <c r="A9436" s="197" t="str">
        <f t="shared" si="147"/>
        <v>TacCode_chan105X</v>
      </c>
      <c r="B9436" s="409"/>
      <c r="C9436" s="416"/>
      <c r="D9436" s="198" t="s">
        <v>16789</v>
      </c>
      <c r="E9436" s="198">
        <v>294</v>
      </c>
      <c r="F9436" s="199" t="s">
        <v>16790</v>
      </c>
      <c r="G9436" s="1" t="s">
        <v>50678</v>
      </c>
      <c r="H9436" s="1" t="s">
        <v>16716</v>
      </c>
      <c r="I9436" s="346"/>
      <c r="J9436" s="39">
        <v>116055</v>
      </c>
      <c r="K9436" s="36" t="str">
        <f>CONCATENATE(Cover!$D$6,"fdd/view?i=",J9436)</f>
        <v>https://www.dgiwg.org/FAD/fdd/view?i=116055</v>
      </c>
      <c r="L9436" s="36" t="s">
        <v>50679</v>
      </c>
      <c r="M9436" s="186"/>
      <c r="N9436" s="186"/>
      <c r="O9436" s="13" t="s">
        <v>16788</v>
      </c>
    </row>
    <row r="9437" spans="1:15" ht="25.5" x14ac:dyDescent="0.2">
      <c r="A9437" s="197" t="str">
        <f t="shared" si="147"/>
        <v>TacCode_chan105Y</v>
      </c>
      <c r="B9437" s="409"/>
      <c r="C9437" s="416"/>
      <c r="D9437" s="198" t="s">
        <v>16794</v>
      </c>
      <c r="E9437" s="198">
        <v>295</v>
      </c>
      <c r="F9437" s="199" t="s">
        <v>16795</v>
      </c>
      <c r="G9437" s="1" t="s">
        <v>50680</v>
      </c>
      <c r="H9437" s="1" t="s">
        <v>16716</v>
      </c>
      <c r="I9437" s="346"/>
      <c r="J9437" s="39">
        <v>116056</v>
      </c>
      <c r="K9437" s="36" t="str">
        <f>CONCATENATE(Cover!$D$6,"fdd/view?i=",J9437)</f>
        <v>https://www.dgiwg.org/FAD/fdd/view?i=116056</v>
      </c>
      <c r="L9437" s="36" t="s">
        <v>50681</v>
      </c>
      <c r="M9437" s="186"/>
      <c r="N9437" s="186"/>
      <c r="O9437" s="13" t="s">
        <v>16793</v>
      </c>
    </row>
    <row r="9438" spans="1:15" ht="25.5" x14ac:dyDescent="0.2">
      <c r="A9438" s="197" t="str">
        <f t="shared" si="147"/>
        <v>TacCode_chan105Z</v>
      </c>
      <c r="B9438" s="409"/>
      <c r="C9438" s="416"/>
      <c r="D9438" s="198" t="s">
        <v>16799</v>
      </c>
      <c r="E9438" s="198">
        <v>296</v>
      </c>
      <c r="F9438" s="199" t="s">
        <v>16800</v>
      </c>
      <c r="G9438" s="1" t="s">
        <v>50682</v>
      </c>
      <c r="H9438" s="1" t="s">
        <v>16716</v>
      </c>
      <c r="I9438" s="346"/>
      <c r="J9438" s="39">
        <v>116057</v>
      </c>
      <c r="K9438" s="36" t="str">
        <f>CONCATENATE(Cover!$D$6,"fdd/view?i=",J9438)</f>
        <v>https://www.dgiwg.org/FAD/fdd/view?i=116057</v>
      </c>
      <c r="L9438" s="36" t="s">
        <v>50683</v>
      </c>
      <c r="M9438" s="186"/>
      <c r="N9438" s="186"/>
      <c r="O9438" s="13" t="s">
        <v>16798</v>
      </c>
    </row>
    <row r="9439" spans="1:15" ht="25.5" x14ac:dyDescent="0.2">
      <c r="A9439" s="197" t="str">
        <f t="shared" si="147"/>
        <v>TacCode_chan106X</v>
      </c>
      <c r="B9439" s="409"/>
      <c r="C9439" s="416"/>
      <c r="D9439" s="198" t="s">
        <v>16804</v>
      </c>
      <c r="E9439" s="198">
        <v>297</v>
      </c>
      <c r="F9439" s="199" t="s">
        <v>16805</v>
      </c>
      <c r="G9439" s="1" t="s">
        <v>50684</v>
      </c>
      <c r="H9439" s="1" t="s">
        <v>16716</v>
      </c>
      <c r="I9439" s="346"/>
      <c r="J9439" s="39">
        <v>116058</v>
      </c>
      <c r="K9439" s="36" t="str">
        <f>CONCATENATE(Cover!$D$6,"fdd/view?i=",J9439)</f>
        <v>https://www.dgiwg.org/FAD/fdd/view?i=116058</v>
      </c>
      <c r="L9439" s="36" t="s">
        <v>50685</v>
      </c>
      <c r="M9439" s="186"/>
      <c r="N9439" s="186"/>
      <c r="O9439" s="13" t="s">
        <v>16803</v>
      </c>
    </row>
    <row r="9440" spans="1:15" ht="25.5" x14ac:dyDescent="0.2">
      <c r="A9440" s="197" t="str">
        <f t="shared" si="147"/>
        <v>TacCode_chan106Y</v>
      </c>
      <c r="B9440" s="409"/>
      <c r="C9440" s="416"/>
      <c r="D9440" s="198" t="s">
        <v>16809</v>
      </c>
      <c r="E9440" s="198">
        <v>298</v>
      </c>
      <c r="F9440" s="199" t="s">
        <v>16810</v>
      </c>
      <c r="G9440" s="1" t="s">
        <v>50686</v>
      </c>
      <c r="H9440" s="1" t="s">
        <v>16716</v>
      </c>
      <c r="I9440" s="346"/>
      <c r="J9440" s="39">
        <v>116059</v>
      </c>
      <c r="K9440" s="36" t="str">
        <f>CONCATENATE(Cover!$D$6,"fdd/view?i=",J9440)</f>
        <v>https://www.dgiwg.org/FAD/fdd/view?i=116059</v>
      </c>
      <c r="L9440" s="36" t="s">
        <v>50687</v>
      </c>
      <c r="M9440" s="186"/>
      <c r="N9440" s="186"/>
      <c r="O9440" s="13" t="s">
        <v>16808</v>
      </c>
    </row>
    <row r="9441" spans="1:15" ht="25.5" x14ac:dyDescent="0.2">
      <c r="A9441" s="197" t="str">
        <f t="shared" si="147"/>
        <v>TacCode_chan106Z</v>
      </c>
      <c r="B9441" s="409"/>
      <c r="C9441" s="416"/>
      <c r="D9441" s="198" t="s">
        <v>16814</v>
      </c>
      <c r="E9441" s="198">
        <v>299</v>
      </c>
      <c r="F9441" s="199" t="s">
        <v>16815</v>
      </c>
      <c r="G9441" s="1" t="s">
        <v>50688</v>
      </c>
      <c r="H9441" s="1" t="s">
        <v>16716</v>
      </c>
      <c r="I9441" s="346"/>
      <c r="J9441" s="39">
        <v>116060</v>
      </c>
      <c r="K9441" s="36" t="str">
        <f>CONCATENATE(Cover!$D$6,"fdd/view?i=",J9441)</f>
        <v>https://www.dgiwg.org/FAD/fdd/view?i=116060</v>
      </c>
      <c r="L9441" s="36" t="s">
        <v>50689</v>
      </c>
      <c r="M9441" s="186"/>
      <c r="N9441" s="186"/>
      <c r="O9441" s="13" t="s">
        <v>16813</v>
      </c>
    </row>
    <row r="9442" spans="1:15" ht="25.5" x14ac:dyDescent="0.2">
      <c r="A9442" s="197" t="str">
        <f t="shared" si="147"/>
        <v>TacCode_chan107X</v>
      </c>
      <c r="B9442" s="409"/>
      <c r="C9442" s="416"/>
      <c r="D9442" s="198" t="s">
        <v>16819</v>
      </c>
      <c r="E9442" s="198">
        <v>300</v>
      </c>
      <c r="F9442" s="199" t="s">
        <v>16820</v>
      </c>
      <c r="G9442" s="1" t="s">
        <v>50690</v>
      </c>
      <c r="H9442" s="1" t="s">
        <v>16716</v>
      </c>
      <c r="I9442" s="346"/>
      <c r="J9442" s="39">
        <v>116061</v>
      </c>
      <c r="K9442" s="36" t="str">
        <f>CONCATENATE(Cover!$D$6,"fdd/view?i=",J9442)</f>
        <v>https://www.dgiwg.org/FAD/fdd/view?i=116061</v>
      </c>
      <c r="L9442" s="36" t="s">
        <v>50691</v>
      </c>
      <c r="M9442" s="186"/>
      <c r="N9442" s="186"/>
      <c r="O9442" s="13" t="s">
        <v>16818</v>
      </c>
    </row>
    <row r="9443" spans="1:15" ht="25.5" x14ac:dyDescent="0.2">
      <c r="A9443" s="197" t="str">
        <f t="shared" si="147"/>
        <v>TacCode_chan107Y</v>
      </c>
      <c r="B9443" s="409"/>
      <c r="C9443" s="416"/>
      <c r="D9443" s="198" t="s">
        <v>16824</v>
      </c>
      <c r="E9443" s="198">
        <v>301</v>
      </c>
      <c r="F9443" s="199" t="s">
        <v>16825</v>
      </c>
      <c r="G9443" s="1" t="s">
        <v>50692</v>
      </c>
      <c r="H9443" s="1" t="s">
        <v>16716</v>
      </c>
      <c r="I9443" s="346"/>
      <c r="J9443" s="39">
        <v>116062</v>
      </c>
      <c r="K9443" s="36" t="str">
        <f>CONCATENATE(Cover!$D$6,"fdd/view?i=",J9443)</f>
        <v>https://www.dgiwg.org/FAD/fdd/view?i=116062</v>
      </c>
      <c r="L9443" s="36" t="s">
        <v>50693</v>
      </c>
      <c r="M9443" s="186"/>
      <c r="N9443" s="186"/>
      <c r="O9443" s="13" t="s">
        <v>16823</v>
      </c>
    </row>
    <row r="9444" spans="1:15" ht="25.5" x14ac:dyDescent="0.2">
      <c r="A9444" s="197" t="str">
        <f t="shared" si="147"/>
        <v>TacCode_chan107Z</v>
      </c>
      <c r="B9444" s="409"/>
      <c r="C9444" s="416"/>
      <c r="D9444" s="198" t="s">
        <v>16829</v>
      </c>
      <c r="E9444" s="198">
        <v>302</v>
      </c>
      <c r="F9444" s="199" t="s">
        <v>16830</v>
      </c>
      <c r="G9444" s="1" t="s">
        <v>50694</v>
      </c>
      <c r="H9444" s="1" t="s">
        <v>16716</v>
      </c>
      <c r="I9444" s="346"/>
      <c r="J9444" s="39">
        <v>116063</v>
      </c>
      <c r="K9444" s="36" t="str">
        <f>CONCATENATE(Cover!$D$6,"fdd/view?i=",J9444)</f>
        <v>https://www.dgiwg.org/FAD/fdd/view?i=116063</v>
      </c>
      <c r="L9444" s="36" t="s">
        <v>50695</v>
      </c>
      <c r="M9444" s="186"/>
      <c r="N9444" s="186"/>
      <c r="O9444" s="13" t="s">
        <v>16828</v>
      </c>
    </row>
    <row r="9445" spans="1:15" ht="25.5" x14ac:dyDescent="0.2">
      <c r="A9445" s="197" t="str">
        <f t="shared" si="147"/>
        <v>TacCode_chan108X</v>
      </c>
      <c r="B9445" s="409"/>
      <c r="C9445" s="416"/>
      <c r="D9445" s="198" t="s">
        <v>16834</v>
      </c>
      <c r="E9445" s="198">
        <v>303</v>
      </c>
      <c r="F9445" s="199" t="s">
        <v>16835</v>
      </c>
      <c r="G9445" s="1" t="s">
        <v>50696</v>
      </c>
      <c r="H9445" s="1" t="s">
        <v>16716</v>
      </c>
      <c r="I9445" s="346"/>
      <c r="J9445" s="39">
        <v>116064</v>
      </c>
      <c r="K9445" s="36" t="str">
        <f>CONCATENATE(Cover!$D$6,"fdd/view?i=",J9445)</f>
        <v>https://www.dgiwg.org/FAD/fdd/view?i=116064</v>
      </c>
      <c r="L9445" s="36" t="s">
        <v>50697</v>
      </c>
      <c r="M9445" s="186"/>
      <c r="N9445" s="186"/>
      <c r="O9445" s="13" t="s">
        <v>16833</v>
      </c>
    </row>
    <row r="9446" spans="1:15" ht="25.5" x14ac:dyDescent="0.2">
      <c r="A9446" s="197" t="str">
        <f t="shared" si="147"/>
        <v>TacCode_chan108Y</v>
      </c>
      <c r="B9446" s="409"/>
      <c r="C9446" s="416"/>
      <c r="D9446" s="198" t="s">
        <v>16839</v>
      </c>
      <c r="E9446" s="198">
        <v>304</v>
      </c>
      <c r="F9446" s="199" t="s">
        <v>16840</v>
      </c>
      <c r="G9446" s="1" t="s">
        <v>50698</v>
      </c>
      <c r="H9446" s="1" t="s">
        <v>16716</v>
      </c>
      <c r="I9446" s="346"/>
      <c r="J9446" s="39">
        <v>116065</v>
      </c>
      <c r="K9446" s="36" t="str">
        <f>CONCATENATE(Cover!$D$6,"fdd/view?i=",J9446)</f>
        <v>https://www.dgiwg.org/FAD/fdd/view?i=116065</v>
      </c>
      <c r="L9446" s="36" t="s">
        <v>50699</v>
      </c>
      <c r="M9446" s="186"/>
      <c r="N9446" s="186"/>
      <c r="O9446" s="13" t="s">
        <v>16838</v>
      </c>
    </row>
    <row r="9447" spans="1:15" ht="25.5" x14ac:dyDescent="0.2">
      <c r="A9447" s="197" t="str">
        <f t="shared" si="147"/>
        <v>TacCode_chan108Z</v>
      </c>
      <c r="B9447" s="409"/>
      <c r="C9447" s="416"/>
      <c r="D9447" s="198" t="s">
        <v>16844</v>
      </c>
      <c r="E9447" s="198">
        <v>305</v>
      </c>
      <c r="F9447" s="199" t="s">
        <v>16845</v>
      </c>
      <c r="G9447" s="1" t="s">
        <v>50700</v>
      </c>
      <c r="H9447" s="1" t="s">
        <v>16716</v>
      </c>
      <c r="I9447" s="346"/>
      <c r="J9447" s="39">
        <v>116066</v>
      </c>
      <c r="K9447" s="36" t="str">
        <f>CONCATENATE(Cover!$D$6,"fdd/view?i=",J9447)</f>
        <v>https://www.dgiwg.org/FAD/fdd/view?i=116066</v>
      </c>
      <c r="L9447" s="36" t="s">
        <v>50701</v>
      </c>
      <c r="M9447" s="186"/>
      <c r="N9447" s="186"/>
      <c r="O9447" s="13" t="s">
        <v>16843</v>
      </c>
    </row>
    <row r="9448" spans="1:15" ht="25.5" x14ac:dyDescent="0.2">
      <c r="A9448" s="197" t="str">
        <f t="shared" si="147"/>
        <v>TacCode_chan109X</v>
      </c>
      <c r="B9448" s="409"/>
      <c r="C9448" s="416"/>
      <c r="D9448" s="198" t="s">
        <v>16849</v>
      </c>
      <c r="E9448" s="198">
        <v>306</v>
      </c>
      <c r="F9448" s="199" t="s">
        <v>16850</v>
      </c>
      <c r="G9448" s="1" t="s">
        <v>50702</v>
      </c>
      <c r="H9448" s="1" t="s">
        <v>16716</v>
      </c>
      <c r="I9448" s="346"/>
      <c r="J9448" s="39">
        <v>116067</v>
      </c>
      <c r="K9448" s="36" t="str">
        <f>CONCATENATE(Cover!$D$6,"fdd/view?i=",J9448)</f>
        <v>https://www.dgiwg.org/FAD/fdd/view?i=116067</v>
      </c>
      <c r="L9448" s="36" t="s">
        <v>50703</v>
      </c>
      <c r="M9448" s="186"/>
      <c r="N9448" s="186"/>
      <c r="O9448" s="13" t="s">
        <v>16848</v>
      </c>
    </row>
    <row r="9449" spans="1:15" ht="25.5" x14ac:dyDescent="0.2">
      <c r="A9449" s="197" t="str">
        <f t="shared" si="147"/>
        <v>TacCode_chan109Y</v>
      </c>
      <c r="B9449" s="409"/>
      <c r="C9449" s="416"/>
      <c r="D9449" s="198" t="s">
        <v>16854</v>
      </c>
      <c r="E9449" s="198">
        <v>307</v>
      </c>
      <c r="F9449" s="199" t="s">
        <v>16855</v>
      </c>
      <c r="G9449" s="1" t="s">
        <v>50704</v>
      </c>
      <c r="H9449" s="1" t="s">
        <v>16716</v>
      </c>
      <c r="I9449" s="346"/>
      <c r="J9449" s="39">
        <v>116068</v>
      </c>
      <c r="K9449" s="36" t="str">
        <f>CONCATENATE(Cover!$D$6,"fdd/view?i=",J9449)</f>
        <v>https://www.dgiwg.org/FAD/fdd/view?i=116068</v>
      </c>
      <c r="L9449" s="36" t="s">
        <v>50705</v>
      </c>
      <c r="M9449" s="186"/>
      <c r="N9449" s="186"/>
      <c r="O9449" s="13" t="s">
        <v>16853</v>
      </c>
    </row>
    <row r="9450" spans="1:15" ht="25.5" x14ac:dyDescent="0.2">
      <c r="A9450" s="197" t="str">
        <f t="shared" si="147"/>
        <v>TacCode_chan109Z</v>
      </c>
      <c r="B9450" s="409"/>
      <c r="C9450" s="416"/>
      <c r="D9450" s="198" t="s">
        <v>16859</v>
      </c>
      <c r="E9450" s="198">
        <v>308</v>
      </c>
      <c r="F9450" s="199" t="s">
        <v>16860</v>
      </c>
      <c r="G9450" s="1" t="s">
        <v>50706</v>
      </c>
      <c r="H9450" s="1" t="s">
        <v>16716</v>
      </c>
      <c r="I9450" s="346"/>
      <c r="J9450" s="39">
        <v>116069</v>
      </c>
      <c r="K9450" s="36" t="str">
        <f>CONCATENATE(Cover!$D$6,"fdd/view?i=",J9450)</f>
        <v>https://www.dgiwg.org/FAD/fdd/view?i=116069</v>
      </c>
      <c r="L9450" s="36" t="s">
        <v>50707</v>
      </c>
      <c r="M9450" s="186"/>
      <c r="N9450" s="186"/>
      <c r="O9450" s="13" t="s">
        <v>16858</v>
      </c>
    </row>
    <row r="9451" spans="1:15" ht="25.5" x14ac:dyDescent="0.2">
      <c r="A9451" s="197" t="str">
        <f t="shared" si="147"/>
        <v>TacCode_chan110X</v>
      </c>
      <c r="B9451" s="409"/>
      <c r="C9451" s="416"/>
      <c r="D9451" s="198" t="s">
        <v>16874</v>
      </c>
      <c r="E9451" s="198">
        <v>309</v>
      </c>
      <c r="F9451" s="199" t="s">
        <v>16875</v>
      </c>
      <c r="G9451" s="1" t="s">
        <v>50712</v>
      </c>
      <c r="H9451" s="1" t="s">
        <v>16716</v>
      </c>
      <c r="I9451" s="346"/>
      <c r="J9451" s="39">
        <v>116070</v>
      </c>
      <c r="K9451" s="36" t="str">
        <f>CONCATENATE(Cover!$D$6,"fdd/view?i=",J9451)</f>
        <v>https://www.dgiwg.org/FAD/fdd/view?i=116070</v>
      </c>
      <c r="L9451" s="36" t="s">
        <v>50713</v>
      </c>
      <c r="M9451" s="186"/>
      <c r="N9451" s="186"/>
      <c r="O9451" s="13" t="s">
        <v>16873</v>
      </c>
    </row>
    <row r="9452" spans="1:15" ht="25.5" x14ac:dyDescent="0.2">
      <c r="A9452" s="197" t="str">
        <f t="shared" si="147"/>
        <v>TacCode_chan110Y</v>
      </c>
      <c r="B9452" s="409"/>
      <c r="C9452" s="416"/>
      <c r="D9452" s="198" t="s">
        <v>16879</v>
      </c>
      <c r="E9452" s="198">
        <v>310</v>
      </c>
      <c r="F9452" s="199" t="s">
        <v>16880</v>
      </c>
      <c r="G9452" s="1" t="s">
        <v>50714</v>
      </c>
      <c r="H9452" s="1" t="s">
        <v>16716</v>
      </c>
      <c r="I9452" s="346"/>
      <c r="J9452" s="39">
        <v>116071</v>
      </c>
      <c r="K9452" s="36" t="str">
        <f>CONCATENATE(Cover!$D$6,"fdd/view?i=",J9452)</f>
        <v>https://www.dgiwg.org/FAD/fdd/view?i=116071</v>
      </c>
      <c r="L9452" s="36" t="s">
        <v>50715</v>
      </c>
      <c r="M9452" s="186"/>
      <c r="N9452" s="186"/>
      <c r="O9452" s="13" t="s">
        <v>16878</v>
      </c>
    </row>
    <row r="9453" spans="1:15" ht="25.5" x14ac:dyDescent="0.2">
      <c r="A9453" s="197" t="str">
        <f t="shared" si="147"/>
        <v>TacCode_chan110Z</v>
      </c>
      <c r="B9453" s="409"/>
      <c r="C9453" s="416"/>
      <c r="D9453" s="198" t="s">
        <v>16884</v>
      </c>
      <c r="E9453" s="198">
        <v>311</v>
      </c>
      <c r="F9453" s="199" t="s">
        <v>16885</v>
      </c>
      <c r="G9453" s="1" t="s">
        <v>50716</v>
      </c>
      <c r="H9453" s="1" t="s">
        <v>16716</v>
      </c>
      <c r="I9453" s="346"/>
      <c r="J9453" s="39">
        <v>116072</v>
      </c>
      <c r="K9453" s="36" t="str">
        <f>CONCATENATE(Cover!$D$6,"fdd/view?i=",J9453)</f>
        <v>https://www.dgiwg.org/FAD/fdd/view?i=116072</v>
      </c>
      <c r="L9453" s="36" t="s">
        <v>50717</v>
      </c>
      <c r="M9453" s="186"/>
      <c r="N9453" s="186"/>
      <c r="O9453" s="13" t="s">
        <v>16883</v>
      </c>
    </row>
    <row r="9454" spans="1:15" ht="25.5" x14ac:dyDescent="0.2">
      <c r="A9454" s="197" t="str">
        <f t="shared" si="147"/>
        <v>TacCode_chan111X</v>
      </c>
      <c r="B9454" s="409"/>
      <c r="C9454" s="416"/>
      <c r="D9454" s="198" t="s">
        <v>16889</v>
      </c>
      <c r="E9454" s="198">
        <v>312</v>
      </c>
      <c r="F9454" s="199" t="s">
        <v>16890</v>
      </c>
      <c r="G9454" s="1" t="s">
        <v>50718</v>
      </c>
      <c r="H9454" s="1" t="s">
        <v>16716</v>
      </c>
      <c r="I9454" s="346"/>
      <c r="J9454" s="39">
        <v>116073</v>
      </c>
      <c r="K9454" s="36" t="str">
        <f>CONCATENATE(Cover!$D$6,"fdd/view?i=",J9454)</f>
        <v>https://www.dgiwg.org/FAD/fdd/view?i=116073</v>
      </c>
      <c r="L9454" s="36" t="s">
        <v>50719</v>
      </c>
      <c r="M9454" s="186"/>
      <c r="N9454" s="186"/>
      <c r="O9454" s="13" t="s">
        <v>16888</v>
      </c>
    </row>
    <row r="9455" spans="1:15" ht="25.5" x14ac:dyDescent="0.2">
      <c r="A9455" s="197" t="str">
        <f t="shared" si="147"/>
        <v>TacCode_chan111Y</v>
      </c>
      <c r="B9455" s="409"/>
      <c r="C9455" s="416"/>
      <c r="D9455" s="198" t="s">
        <v>16894</v>
      </c>
      <c r="E9455" s="198">
        <v>313</v>
      </c>
      <c r="F9455" s="199" t="s">
        <v>16895</v>
      </c>
      <c r="G9455" s="1" t="s">
        <v>50720</v>
      </c>
      <c r="H9455" s="1" t="s">
        <v>16716</v>
      </c>
      <c r="I9455" s="346"/>
      <c r="J9455" s="39">
        <v>116074</v>
      </c>
      <c r="K9455" s="36" t="str">
        <f>CONCATENATE(Cover!$D$6,"fdd/view?i=",J9455)</f>
        <v>https://www.dgiwg.org/FAD/fdd/view?i=116074</v>
      </c>
      <c r="L9455" s="36" t="s">
        <v>50721</v>
      </c>
      <c r="M9455" s="186"/>
      <c r="N9455" s="186"/>
      <c r="O9455" s="13" t="s">
        <v>16893</v>
      </c>
    </row>
    <row r="9456" spans="1:15" ht="25.5" x14ac:dyDescent="0.2">
      <c r="A9456" s="197" t="str">
        <f t="shared" si="147"/>
        <v>TacCode_chan111Z</v>
      </c>
      <c r="B9456" s="409"/>
      <c r="C9456" s="416"/>
      <c r="D9456" s="198" t="s">
        <v>16899</v>
      </c>
      <c r="E9456" s="198">
        <v>314</v>
      </c>
      <c r="F9456" s="199" t="s">
        <v>16900</v>
      </c>
      <c r="G9456" s="1" t="s">
        <v>50722</v>
      </c>
      <c r="H9456" s="1" t="s">
        <v>16716</v>
      </c>
      <c r="I9456" s="346"/>
      <c r="J9456" s="39">
        <v>116075</v>
      </c>
      <c r="K9456" s="36" t="str">
        <f>CONCATENATE(Cover!$D$6,"fdd/view?i=",J9456)</f>
        <v>https://www.dgiwg.org/FAD/fdd/view?i=116075</v>
      </c>
      <c r="L9456" s="36" t="s">
        <v>50723</v>
      </c>
      <c r="M9456" s="186"/>
      <c r="N9456" s="186"/>
      <c r="O9456" s="13" t="s">
        <v>16898</v>
      </c>
    </row>
    <row r="9457" spans="1:15" ht="25.5" x14ac:dyDescent="0.2">
      <c r="A9457" s="197" t="str">
        <f t="shared" si="147"/>
        <v>TacCode_chan112X</v>
      </c>
      <c r="B9457" s="409"/>
      <c r="C9457" s="416"/>
      <c r="D9457" s="198" t="s">
        <v>16904</v>
      </c>
      <c r="E9457" s="198">
        <v>315</v>
      </c>
      <c r="F9457" s="199" t="s">
        <v>16905</v>
      </c>
      <c r="G9457" s="1" t="s">
        <v>50724</v>
      </c>
      <c r="H9457" s="1" t="s">
        <v>16716</v>
      </c>
      <c r="I9457" s="346"/>
      <c r="J9457" s="39">
        <v>116076</v>
      </c>
      <c r="K9457" s="36" t="str">
        <f>CONCATENATE(Cover!$D$6,"fdd/view?i=",J9457)</f>
        <v>https://www.dgiwg.org/FAD/fdd/view?i=116076</v>
      </c>
      <c r="L9457" s="36" t="s">
        <v>50725</v>
      </c>
      <c r="M9457" s="186"/>
      <c r="N9457" s="186"/>
      <c r="O9457" s="13" t="s">
        <v>16903</v>
      </c>
    </row>
    <row r="9458" spans="1:15" ht="25.5" x14ac:dyDescent="0.2">
      <c r="A9458" s="197" t="str">
        <f t="shared" si="147"/>
        <v>TacCode_chan112Y</v>
      </c>
      <c r="B9458" s="409"/>
      <c r="C9458" s="416"/>
      <c r="D9458" s="198" t="s">
        <v>16909</v>
      </c>
      <c r="E9458" s="198">
        <v>316</v>
      </c>
      <c r="F9458" s="199" t="s">
        <v>16910</v>
      </c>
      <c r="G9458" s="1" t="s">
        <v>50726</v>
      </c>
      <c r="H9458" s="1" t="s">
        <v>16716</v>
      </c>
      <c r="I9458" s="346"/>
      <c r="J9458" s="39">
        <v>116077</v>
      </c>
      <c r="K9458" s="36" t="str">
        <f>CONCATENATE(Cover!$D$6,"fdd/view?i=",J9458)</f>
        <v>https://www.dgiwg.org/FAD/fdd/view?i=116077</v>
      </c>
      <c r="L9458" s="36" t="s">
        <v>50727</v>
      </c>
      <c r="M9458" s="186"/>
      <c r="N9458" s="186"/>
      <c r="O9458" s="13" t="s">
        <v>16908</v>
      </c>
    </row>
    <row r="9459" spans="1:15" ht="25.5" x14ac:dyDescent="0.2">
      <c r="A9459" s="197" t="str">
        <f t="shared" si="147"/>
        <v>TacCode_chan112Z</v>
      </c>
      <c r="B9459" s="409"/>
      <c r="C9459" s="416"/>
      <c r="D9459" s="198" t="s">
        <v>16914</v>
      </c>
      <c r="E9459" s="198">
        <v>317</v>
      </c>
      <c r="F9459" s="199" t="s">
        <v>16915</v>
      </c>
      <c r="G9459" s="1" t="s">
        <v>50728</v>
      </c>
      <c r="H9459" s="1" t="s">
        <v>16716</v>
      </c>
      <c r="I9459" s="346"/>
      <c r="J9459" s="39">
        <v>116078</v>
      </c>
      <c r="K9459" s="36" t="str">
        <f>CONCATENATE(Cover!$D$6,"fdd/view?i=",J9459)</f>
        <v>https://www.dgiwg.org/FAD/fdd/view?i=116078</v>
      </c>
      <c r="L9459" s="36" t="s">
        <v>50729</v>
      </c>
      <c r="M9459" s="186"/>
      <c r="N9459" s="186"/>
      <c r="O9459" s="13" t="s">
        <v>16913</v>
      </c>
    </row>
    <row r="9460" spans="1:15" ht="25.5" x14ac:dyDescent="0.2">
      <c r="A9460" s="197" t="str">
        <f t="shared" si="147"/>
        <v>TacCode_chan113X</v>
      </c>
      <c r="B9460" s="409"/>
      <c r="C9460" s="416"/>
      <c r="D9460" s="198" t="s">
        <v>16919</v>
      </c>
      <c r="E9460" s="198">
        <v>318</v>
      </c>
      <c r="F9460" s="199" t="s">
        <v>16920</v>
      </c>
      <c r="G9460" s="1" t="s">
        <v>50730</v>
      </c>
      <c r="H9460" s="1" t="s">
        <v>16716</v>
      </c>
      <c r="I9460" s="346"/>
      <c r="J9460" s="39">
        <v>116079</v>
      </c>
      <c r="K9460" s="36" t="str">
        <f>CONCATENATE(Cover!$D$6,"fdd/view?i=",J9460)</f>
        <v>https://www.dgiwg.org/FAD/fdd/view?i=116079</v>
      </c>
      <c r="L9460" s="36" t="s">
        <v>50731</v>
      </c>
      <c r="M9460" s="186"/>
      <c r="N9460" s="186"/>
      <c r="O9460" s="13" t="s">
        <v>16918</v>
      </c>
    </row>
    <row r="9461" spans="1:15" ht="25.5" x14ac:dyDescent="0.2">
      <c r="A9461" s="197" t="str">
        <f t="shared" si="147"/>
        <v>TacCode_chan113Y</v>
      </c>
      <c r="B9461" s="409"/>
      <c r="C9461" s="416"/>
      <c r="D9461" s="198" t="s">
        <v>16924</v>
      </c>
      <c r="E9461" s="198">
        <v>319</v>
      </c>
      <c r="F9461" s="199" t="s">
        <v>16925</v>
      </c>
      <c r="G9461" s="1" t="s">
        <v>50732</v>
      </c>
      <c r="H9461" s="1" t="s">
        <v>16716</v>
      </c>
      <c r="I9461" s="346"/>
      <c r="J9461" s="39">
        <v>116080</v>
      </c>
      <c r="K9461" s="36" t="str">
        <f>CONCATENATE(Cover!$D$6,"fdd/view?i=",J9461)</f>
        <v>https://www.dgiwg.org/FAD/fdd/view?i=116080</v>
      </c>
      <c r="L9461" s="36" t="s">
        <v>50733</v>
      </c>
      <c r="M9461" s="186"/>
      <c r="N9461" s="186"/>
      <c r="O9461" s="13" t="s">
        <v>16923</v>
      </c>
    </row>
    <row r="9462" spans="1:15" ht="25.5" x14ac:dyDescent="0.2">
      <c r="A9462" s="197" t="str">
        <f t="shared" si="147"/>
        <v>TacCode_chan113Z</v>
      </c>
      <c r="B9462" s="409"/>
      <c r="C9462" s="416"/>
      <c r="D9462" s="198" t="s">
        <v>16929</v>
      </c>
      <c r="E9462" s="198">
        <v>320</v>
      </c>
      <c r="F9462" s="199" t="s">
        <v>16930</v>
      </c>
      <c r="G9462" s="1" t="s">
        <v>50734</v>
      </c>
      <c r="H9462" s="1" t="s">
        <v>16716</v>
      </c>
      <c r="I9462" s="346"/>
      <c r="J9462" s="39">
        <v>116081</v>
      </c>
      <c r="K9462" s="36" t="str">
        <f>CONCATENATE(Cover!$D$6,"fdd/view?i=",J9462)</f>
        <v>https://www.dgiwg.org/FAD/fdd/view?i=116081</v>
      </c>
      <c r="L9462" s="36" t="s">
        <v>50735</v>
      </c>
      <c r="M9462" s="186"/>
      <c r="N9462" s="186"/>
      <c r="O9462" s="13" t="s">
        <v>16928</v>
      </c>
    </row>
    <row r="9463" spans="1:15" ht="25.5" x14ac:dyDescent="0.2">
      <c r="A9463" s="197" t="str">
        <f t="shared" si="147"/>
        <v>TacCode_chan114X</v>
      </c>
      <c r="B9463" s="409"/>
      <c r="C9463" s="416"/>
      <c r="D9463" s="198" t="s">
        <v>16934</v>
      </c>
      <c r="E9463" s="198">
        <v>321</v>
      </c>
      <c r="F9463" s="199" t="s">
        <v>16935</v>
      </c>
      <c r="G9463" s="1" t="s">
        <v>50736</v>
      </c>
      <c r="H9463" s="1" t="s">
        <v>16716</v>
      </c>
      <c r="I9463" s="346"/>
      <c r="J9463" s="39">
        <v>116082</v>
      </c>
      <c r="K9463" s="36" t="str">
        <f>CONCATENATE(Cover!$D$6,"fdd/view?i=",J9463)</f>
        <v>https://www.dgiwg.org/FAD/fdd/view?i=116082</v>
      </c>
      <c r="L9463" s="36" t="s">
        <v>50737</v>
      </c>
      <c r="M9463" s="186"/>
      <c r="N9463" s="186"/>
      <c r="O9463" s="13" t="s">
        <v>16933</v>
      </c>
    </row>
    <row r="9464" spans="1:15" ht="25.5" x14ac:dyDescent="0.2">
      <c r="A9464" s="197" t="str">
        <f t="shared" si="147"/>
        <v>TacCode_chan114Y</v>
      </c>
      <c r="B9464" s="409"/>
      <c r="C9464" s="416"/>
      <c r="D9464" s="198" t="s">
        <v>16939</v>
      </c>
      <c r="E9464" s="198">
        <v>322</v>
      </c>
      <c r="F9464" s="199" t="s">
        <v>16940</v>
      </c>
      <c r="G9464" s="1" t="s">
        <v>50738</v>
      </c>
      <c r="H9464" s="1" t="s">
        <v>16716</v>
      </c>
      <c r="I9464" s="346"/>
      <c r="J9464" s="39">
        <v>116083</v>
      </c>
      <c r="K9464" s="36" t="str">
        <f>CONCATENATE(Cover!$D$6,"fdd/view?i=",J9464)</f>
        <v>https://www.dgiwg.org/FAD/fdd/view?i=116083</v>
      </c>
      <c r="L9464" s="36" t="s">
        <v>50739</v>
      </c>
      <c r="M9464" s="186"/>
      <c r="N9464" s="186"/>
      <c r="O9464" s="13" t="s">
        <v>16938</v>
      </c>
    </row>
    <row r="9465" spans="1:15" ht="25.5" x14ac:dyDescent="0.2">
      <c r="A9465" s="197" t="str">
        <f t="shared" si="147"/>
        <v>TacCode_chan114Z</v>
      </c>
      <c r="B9465" s="409"/>
      <c r="C9465" s="416"/>
      <c r="D9465" s="198" t="s">
        <v>16944</v>
      </c>
      <c r="E9465" s="198">
        <v>323</v>
      </c>
      <c r="F9465" s="199" t="s">
        <v>16945</v>
      </c>
      <c r="G9465" s="1" t="s">
        <v>50740</v>
      </c>
      <c r="H9465" s="1" t="s">
        <v>16716</v>
      </c>
      <c r="I9465" s="346"/>
      <c r="J9465" s="39">
        <v>116084</v>
      </c>
      <c r="K9465" s="36" t="str">
        <f>CONCATENATE(Cover!$D$6,"fdd/view?i=",J9465)</f>
        <v>https://www.dgiwg.org/FAD/fdd/view?i=116084</v>
      </c>
      <c r="L9465" s="36" t="s">
        <v>50741</v>
      </c>
      <c r="M9465" s="186"/>
      <c r="N9465" s="186"/>
      <c r="O9465" s="13" t="s">
        <v>16943</v>
      </c>
    </row>
    <row r="9466" spans="1:15" ht="25.5" x14ac:dyDescent="0.2">
      <c r="A9466" s="197" t="str">
        <f t="shared" si="147"/>
        <v>TacCode_chan115X</v>
      </c>
      <c r="B9466" s="409"/>
      <c r="C9466" s="416"/>
      <c r="D9466" s="198" t="s">
        <v>16949</v>
      </c>
      <c r="E9466" s="198">
        <v>324</v>
      </c>
      <c r="F9466" s="199" t="s">
        <v>16950</v>
      </c>
      <c r="G9466" s="1" t="s">
        <v>50742</v>
      </c>
      <c r="H9466" s="1" t="s">
        <v>16716</v>
      </c>
      <c r="I9466" s="346"/>
      <c r="J9466" s="39">
        <v>116085</v>
      </c>
      <c r="K9466" s="36" t="str">
        <f>CONCATENATE(Cover!$D$6,"fdd/view?i=",J9466)</f>
        <v>https://www.dgiwg.org/FAD/fdd/view?i=116085</v>
      </c>
      <c r="L9466" s="36" t="s">
        <v>50743</v>
      </c>
      <c r="M9466" s="186"/>
      <c r="N9466" s="186"/>
      <c r="O9466" s="13" t="s">
        <v>16948</v>
      </c>
    </row>
    <row r="9467" spans="1:15" ht="25.5" x14ac:dyDescent="0.2">
      <c r="A9467" s="197" t="str">
        <f t="shared" si="147"/>
        <v>TacCode_chan115Y</v>
      </c>
      <c r="B9467" s="409"/>
      <c r="C9467" s="416"/>
      <c r="D9467" s="198" t="s">
        <v>16954</v>
      </c>
      <c r="E9467" s="198">
        <v>325</v>
      </c>
      <c r="F9467" s="199" t="s">
        <v>16955</v>
      </c>
      <c r="G9467" s="1" t="s">
        <v>50744</v>
      </c>
      <c r="H9467" s="1" t="s">
        <v>16716</v>
      </c>
      <c r="I9467" s="346"/>
      <c r="J9467" s="39">
        <v>116086</v>
      </c>
      <c r="K9467" s="36" t="str">
        <f>CONCATENATE(Cover!$D$6,"fdd/view?i=",J9467)</f>
        <v>https://www.dgiwg.org/FAD/fdd/view?i=116086</v>
      </c>
      <c r="L9467" s="36" t="s">
        <v>50745</v>
      </c>
      <c r="M9467" s="186"/>
      <c r="N9467" s="186"/>
      <c r="O9467" s="13" t="s">
        <v>16953</v>
      </c>
    </row>
    <row r="9468" spans="1:15" ht="25.5" x14ac:dyDescent="0.2">
      <c r="A9468" s="197" t="str">
        <f t="shared" si="147"/>
        <v>TacCode_chan115Z</v>
      </c>
      <c r="B9468" s="409"/>
      <c r="C9468" s="416"/>
      <c r="D9468" s="198" t="s">
        <v>16959</v>
      </c>
      <c r="E9468" s="198">
        <v>326</v>
      </c>
      <c r="F9468" s="199" t="s">
        <v>16960</v>
      </c>
      <c r="G9468" s="1" t="s">
        <v>50746</v>
      </c>
      <c r="H9468" s="1" t="s">
        <v>16716</v>
      </c>
      <c r="I9468" s="346"/>
      <c r="J9468" s="39">
        <v>116087</v>
      </c>
      <c r="K9468" s="36" t="str">
        <f>CONCATENATE(Cover!$D$6,"fdd/view?i=",J9468)</f>
        <v>https://www.dgiwg.org/FAD/fdd/view?i=116087</v>
      </c>
      <c r="L9468" s="36" t="s">
        <v>50747</v>
      </c>
      <c r="M9468" s="186"/>
      <c r="N9468" s="186"/>
      <c r="O9468" s="13" t="s">
        <v>16958</v>
      </c>
    </row>
    <row r="9469" spans="1:15" ht="25.5" x14ac:dyDescent="0.2">
      <c r="A9469" s="197" t="str">
        <f t="shared" si="147"/>
        <v>TacCode_chan116X</v>
      </c>
      <c r="B9469" s="409"/>
      <c r="C9469" s="416"/>
      <c r="D9469" s="198" t="s">
        <v>16964</v>
      </c>
      <c r="E9469" s="198">
        <v>327</v>
      </c>
      <c r="F9469" s="199" t="s">
        <v>16965</v>
      </c>
      <c r="G9469" s="1" t="s">
        <v>50748</v>
      </c>
      <c r="H9469" s="1" t="s">
        <v>16716</v>
      </c>
      <c r="I9469" s="346"/>
      <c r="J9469" s="39">
        <v>116088</v>
      </c>
      <c r="K9469" s="36" t="str">
        <f>CONCATENATE(Cover!$D$6,"fdd/view?i=",J9469)</f>
        <v>https://www.dgiwg.org/FAD/fdd/view?i=116088</v>
      </c>
      <c r="L9469" s="36" t="s">
        <v>50749</v>
      </c>
      <c r="M9469" s="186"/>
      <c r="N9469" s="186"/>
      <c r="O9469" s="13" t="s">
        <v>16963</v>
      </c>
    </row>
    <row r="9470" spans="1:15" ht="25.5" x14ac:dyDescent="0.2">
      <c r="A9470" s="197" t="str">
        <f t="shared" si="147"/>
        <v>TacCode_chan116Y</v>
      </c>
      <c r="B9470" s="409"/>
      <c r="C9470" s="416"/>
      <c r="D9470" s="198" t="s">
        <v>16969</v>
      </c>
      <c r="E9470" s="198">
        <v>328</v>
      </c>
      <c r="F9470" s="199" t="s">
        <v>16970</v>
      </c>
      <c r="G9470" s="1" t="s">
        <v>50750</v>
      </c>
      <c r="H9470" s="1" t="s">
        <v>16716</v>
      </c>
      <c r="I9470" s="346"/>
      <c r="J9470" s="39">
        <v>116089</v>
      </c>
      <c r="K9470" s="36" t="str">
        <f>CONCATENATE(Cover!$D$6,"fdd/view?i=",J9470)</f>
        <v>https://www.dgiwg.org/FAD/fdd/view?i=116089</v>
      </c>
      <c r="L9470" s="36" t="s">
        <v>50751</v>
      </c>
      <c r="M9470" s="186"/>
      <c r="N9470" s="186"/>
      <c r="O9470" s="13" t="s">
        <v>16968</v>
      </c>
    </row>
    <row r="9471" spans="1:15" ht="25.5" x14ac:dyDescent="0.2">
      <c r="A9471" s="197" t="str">
        <f t="shared" si="147"/>
        <v>TacCode_chan116Z</v>
      </c>
      <c r="B9471" s="409"/>
      <c r="C9471" s="416"/>
      <c r="D9471" s="198" t="s">
        <v>16974</v>
      </c>
      <c r="E9471" s="198">
        <v>329</v>
      </c>
      <c r="F9471" s="199" t="s">
        <v>16975</v>
      </c>
      <c r="G9471" s="1" t="s">
        <v>50752</v>
      </c>
      <c r="H9471" s="1" t="s">
        <v>16716</v>
      </c>
      <c r="I9471" s="346"/>
      <c r="J9471" s="39">
        <v>116090</v>
      </c>
      <c r="K9471" s="36" t="str">
        <f>CONCATENATE(Cover!$D$6,"fdd/view?i=",J9471)</f>
        <v>https://www.dgiwg.org/FAD/fdd/view?i=116090</v>
      </c>
      <c r="L9471" s="36" t="s">
        <v>50753</v>
      </c>
      <c r="M9471" s="186"/>
      <c r="N9471" s="186"/>
      <c r="O9471" s="13" t="s">
        <v>16973</v>
      </c>
    </row>
    <row r="9472" spans="1:15" ht="25.5" x14ac:dyDescent="0.2">
      <c r="A9472" s="197" t="str">
        <f t="shared" si="147"/>
        <v>TacCode_chan117X</v>
      </c>
      <c r="B9472" s="409"/>
      <c r="C9472" s="416"/>
      <c r="D9472" s="198" t="s">
        <v>16979</v>
      </c>
      <c r="E9472" s="198">
        <v>330</v>
      </c>
      <c r="F9472" s="199" t="s">
        <v>16980</v>
      </c>
      <c r="G9472" s="1" t="s">
        <v>50754</v>
      </c>
      <c r="H9472" s="1" t="s">
        <v>16716</v>
      </c>
      <c r="I9472" s="346"/>
      <c r="J9472" s="39">
        <v>116091</v>
      </c>
      <c r="K9472" s="36" t="str">
        <f>CONCATENATE(Cover!$D$6,"fdd/view?i=",J9472)</f>
        <v>https://www.dgiwg.org/FAD/fdd/view?i=116091</v>
      </c>
      <c r="L9472" s="36" t="s">
        <v>50755</v>
      </c>
      <c r="M9472" s="186"/>
      <c r="N9472" s="186"/>
      <c r="O9472" s="13" t="s">
        <v>16978</v>
      </c>
    </row>
    <row r="9473" spans="1:15" ht="25.5" x14ac:dyDescent="0.2">
      <c r="A9473" s="197" t="str">
        <f t="shared" si="147"/>
        <v>TacCode_chan117Y</v>
      </c>
      <c r="B9473" s="409"/>
      <c r="C9473" s="416"/>
      <c r="D9473" s="198" t="s">
        <v>16984</v>
      </c>
      <c r="E9473" s="198">
        <v>331</v>
      </c>
      <c r="F9473" s="199" t="s">
        <v>16985</v>
      </c>
      <c r="G9473" s="1" t="s">
        <v>50756</v>
      </c>
      <c r="H9473" s="1" t="s">
        <v>16716</v>
      </c>
      <c r="I9473" s="346"/>
      <c r="J9473" s="39">
        <v>116092</v>
      </c>
      <c r="K9473" s="36" t="str">
        <f>CONCATENATE(Cover!$D$6,"fdd/view?i=",J9473)</f>
        <v>https://www.dgiwg.org/FAD/fdd/view?i=116092</v>
      </c>
      <c r="L9473" s="36" t="s">
        <v>50757</v>
      </c>
      <c r="M9473" s="186"/>
      <c r="N9473" s="186"/>
      <c r="O9473" s="13" t="s">
        <v>16983</v>
      </c>
    </row>
    <row r="9474" spans="1:15" ht="25.5" x14ac:dyDescent="0.2">
      <c r="A9474" s="197" t="str">
        <f t="shared" ref="A9474:A9537" si="148">HYPERLINK(K9474,L9474)</f>
        <v>TacCode_chan117Z</v>
      </c>
      <c r="B9474" s="409"/>
      <c r="C9474" s="416"/>
      <c r="D9474" s="198" t="s">
        <v>16989</v>
      </c>
      <c r="E9474" s="198">
        <v>332</v>
      </c>
      <c r="F9474" s="199" t="s">
        <v>16990</v>
      </c>
      <c r="G9474" s="1" t="s">
        <v>50758</v>
      </c>
      <c r="H9474" s="1" t="s">
        <v>16716</v>
      </c>
      <c r="I9474" s="346"/>
      <c r="J9474" s="39">
        <v>116093</v>
      </c>
      <c r="K9474" s="36" t="str">
        <f>CONCATENATE(Cover!$D$6,"fdd/view?i=",J9474)</f>
        <v>https://www.dgiwg.org/FAD/fdd/view?i=116093</v>
      </c>
      <c r="L9474" s="36" t="s">
        <v>50759</v>
      </c>
      <c r="M9474" s="186"/>
      <c r="N9474" s="186"/>
      <c r="O9474" s="13" t="s">
        <v>16988</v>
      </c>
    </row>
    <row r="9475" spans="1:15" ht="25.5" x14ac:dyDescent="0.2">
      <c r="A9475" s="197" t="str">
        <f t="shared" si="148"/>
        <v>TacCode_chan118X</v>
      </c>
      <c r="B9475" s="409"/>
      <c r="C9475" s="416"/>
      <c r="D9475" s="198" t="s">
        <v>16994</v>
      </c>
      <c r="E9475" s="198">
        <v>333</v>
      </c>
      <c r="F9475" s="199" t="s">
        <v>16995</v>
      </c>
      <c r="G9475" s="1" t="s">
        <v>50760</v>
      </c>
      <c r="H9475" s="1" t="s">
        <v>16716</v>
      </c>
      <c r="I9475" s="346"/>
      <c r="J9475" s="39">
        <v>116094</v>
      </c>
      <c r="K9475" s="36" t="str">
        <f>CONCATENATE(Cover!$D$6,"fdd/view?i=",J9475)</f>
        <v>https://www.dgiwg.org/FAD/fdd/view?i=116094</v>
      </c>
      <c r="L9475" s="36" t="s">
        <v>50761</v>
      </c>
      <c r="M9475" s="186"/>
      <c r="N9475" s="186"/>
      <c r="O9475" s="13" t="s">
        <v>16993</v>
      </c>
    </row>
    <row r="9476" spans="1:15" ht="25.5" x14ac:dyDescent="0.2">
      <c r="A9476" s="197" t="str">
        <f t="shared" si="148"/>
        <v>TacCode_chan118Y</v>
      </c>
      <c r="B9476" s="409"/>
      <c r="C9476" s="416"/>
      <c r="D9476" s="198" t="s">
        <v>16999</v>
      </c>
      <c r="E9476" s="198">
        <v>334</v>
      </c>
      <c r="F9476" s="199" t="s">
        <v>17000</v>
      </c>
      <c r="G9476" s="1" t="s">
        <v>50762</v>
      </c>
      <c r="H9476" s="1" t="s">
        <v>16716</v>
      </c>
      <c r="I9476" s="346"/>
      <c r="J9476" s="39">
        <v>116095</v>
      </c>
      <c r="K9476" s="36" t="str">
        <f>CONCATENATE(Cover!$D$6,"fdd/view?i=",J9476)</f>
        <v>https://www.dgiwg.org/FAD/fdd/view?i=116095</v>
      </c>
      <c r="L9476" s="36" t="s">
        <v>50763</v>
      </c>
      <c r="M9476" s="186"/>
      <c r="N9476" s="186"/>
      <c r="O9476" s="13" t="s">
        <v>16998</v>
      </c>
    </row>
    <row r="9477" spans="1:15" ht="25.5" x14ac:dyDescent="0.2">
      <c r="A9477" s="197" t="str">
        <f t="shared" si="148"/>
        <v>TacCode_chan118Z</v>
      </c>
      <c r="B9477" s="409"/>
      <c r="C9477" s="416"/>
      <c r="D9477" s="198" t="s">
        <v>17004</v>
      </c>
      <c r="E9477" s="198">
        <v>335</v>
      </c>
      <c r="F9477" s="199" t="s">
        <v>17005</v>
      </c>
      <c r="G9477" s="1" t="s">
        <v>50764</v>
      </c>
      <c r="H9477" s="1" t="s">
        <v>16716</v>
      </c>
      <c r="I9477" s="346"/>
      <c r="J9477" s="39">
        <v>116096</v>
      </c>
      <c r="K9477" s="36" t="str">
        <f>CONCATENATE(Cover!$D$6,"fdd/view?i=",J9477)</f>
        <v>https://www.dgiwg.org/FAD/fdd/view?i=116096</v>
      </c>
      <c r="L9477" s="36" t="s">
        <v>50765</v>
      </c>
      <c r="M9477" s="186"/>
      <c r="N9477" s="186"/>
      <c r="O9477" s="13" t="s">
        <v>17003</v>
      </c>
    </row>
    <row r="9478" spans="1:15" ht="25.5" x14ac:dyDescent="0.2">
      <c r="A9478" s="197" t="str">
        <f t="shared" si="148"/>
        <v>TacCode_chan119X</v>
      </c>
      <c r="B9478" s="409"/>
      <c r="C9478" s="416"/>
      <c r="D9478" s="198" t="s">
        <v>17009</v>
      </c>
      <c r="E9478" s="198">
        <v>336</v>
      </c>
      <c r="F9478" s="199" t="s">
        <v>17010</v>
      </c>
      <c r="G9478" s="1" t="s">
        <v>50766</v>
      </c>
      <c r="H9478" s="1" t="s">
        <v>16716</v>
      </c>
      <c r="I9478" s="346"/>
      <c r="J9478" s="39">
        <v>116097</v>
      </c>
      <c r="K9478" s="36" t="str">
        <f>CONCATENATE(Cover!$D$6,"fdd/view?i=",J9478)</f>
        <v>https://www.dgiwg.org/FAD/fdd/view?i=116097</v>
      </c>
      <c r="L9478" s="36" t="s">
        <v>50767</v>
      </c>
      <c r="M9478" s="186"/>
      <c r="N9478" s="186"/>
      <c r="O9478" s="13" t="s">
        <v>17008</v>
      </c>
    </row>
    <row r="9479" spans="1:15" ht="25.5" x14ac:dyDescent="0.2">
      <c r="A9479" s="197" t="str">
        <f t="shared" si="148"/>
        <v>TacCode_chan119Y</v>
      </c>
      <c r="B9479" s="409"/>
      <c r="C9479" s="416"/>
      <c r="D9479" s="198" t="s">
        <v>17014</v>
      </c>
      <c r="E9479" s="198">
        <v>337</v>
      </c>
      <c r="F9479" s="199" t="s">
        <v>17015</v>
      </c>
      <c r="G9479" s="1" t="s">
        <v>50768</v>
      </c>
      <c r="H9479" s="1" t="s">
        <v>16716</v>
      </c>
      <c r="I9479" s="346"/>
      <c r="J9479" s="39">
        <v>116098</v>
      </c>
      <c r="K9479" s="36" t="str">
        <f>CONCATENATE(Cover!$D$6,"fdd/view?i=",J9479)</f>
        <v>https://www.dgiwg.org/FAD/fdd/view?i=116098</v>
      </c>
      <c r="L9479" s="36" t="s">
        <v>50769</v>
      </c>
      <c r="M9479" s="186"/>
      <c r="N9479" s="186"/>
      <c r="O9479" s="13" t="s">
        <v>17013</v>
      </c>
    </row>
    <row r="9480" spans="1:15" ht="25.5" x14ac:dyDescent="0.2">
      <c r="A9480" s="197" t="str">
        <f t="shared" si="148"/>
        <v>TacCode_chan119Z</v>
      </c>
      <c r="B9480" s="409"/>
      <c r="C9480" s="416"/>
      <c r="D9480" s="198" t="s">
        <v>17019</v>
      </c>
      <c r="E9480" s="198">
        <v>338</v>
      </c>
      <c r="F9480" s="199" t="s">
        <v>17020</v>
      </c>
      <c r="G9480" s="1" t="s">
        <v>50770</v>
      </c>
      <c r="H9480" s="1" t="s">
        <v>16716</v>
      </c>
      <c r="I9480" s="346"/>
      <c r="J9480" s="39">
        <v>116099</v>
      </c>
      <c r="K9480" s="36" t="str">
        <f>CONCATENATE(Cover!$D$6,"fdd/view?i=",J9480)</f>
        <v>https://www.dgiwg.org/FAD/fdd/view?i=116099</v>
      </c>
      <c r="L9480" s="36" t="s">
        <v>50771</v>
      </c>
      <c r="M9480" s="186"/>
      <c r="N9480" s="186"/>
      <c r="O9480" s="13" t="s">
        <v>17018</v>
      </c>
    </row>
    <row r="9481" spans="1:15" ht="25.5" x14ac:dyDescent="0.2">
      <c r="A9481" s="197" t="str">
        <f t="shared" si="148"/>
        <v>TacCode_chan120X</v>
      </c>
      <c r="B9481" s="409"/>
      <c r="C9481" s="416"/>
      <c r="D9481" s="198" t="s">
        <v>17034</v>
      </c>
      <c r="E9481" s="198">
        <v>339</v>
      </c>
      <c r="F9481" s="199" t="s">
        <v>17035</v>
      </c>
      <c r="G9481" s="1" t="s">
        <v>50776</v>
      </c>
      <c r="H9481" s="1" t="s">
        <v>16716</v>
      </c>
      <c r="I9481" s="346"/>
      <c r="J9481" s="39">
        <v>116100</v>
      </c>
      <c r="K9481" s="36" t="str">
        <f>CONCATENATE(Cover!$D$6,"fdd/view?i=",J9481)</f>
        <v>https://www.dgiwg.org/FAD/fdd/view?i=116100</v>
      </c>
      <c r="L9481" s="36" t="s">
        <v>50777</v>
      </c>
      <c r="M9481" s="186"/>
      <c r="N9481" s="186"/>
      <c r="O9481" s="13" t="s">
        <v>17033</v>
      </c>
    </row>
    <row r="9482" spans="1:15" ht="25.5" x14ac:dyDescent="0.2">
      <c r="A9482" s="197" t="str">
        <f t="shared" si="148"/>
        <v>TacCode_chan120Y</v>
      </c>
      <c r="B9482" s="409"/>
      <c r="C9482" s="416"/>
      <c r="D9482" s="198" t="s">
        <v>17039</v>
      </c>
      <c r="E9482" s="198">
        <v>340</v>
      </c>
      <c r="F9482" s="199" t="s">
        <v>17040</v>
      </c>
      <c r="G9482" s="1" t="s">
        <v>50778</v>
      </c>
      <c r="H9482" s="1" t="s">
        <v>16716</v>
      </c>
      <c r="I9482" s="346"/>
      <c r="J9482" s="39">
        <v>116101</v>
      </c>
      <c r="K9482" s="36" t="str">
        <f>CONCATENATE(Cover!$D$6,"fdd/view?i=",J9482)</f>
        <v>https://www.dgiwg.org/FAD/fdd/view?i=116101</v>
      </c>
      <c r="L9482" s="36" t="s">
        <v>50779</v>
      </c>
      <c r="M9482" s="186"/>
      <c r="N9482" s="186"/>
      <c r="O9482" s="13" t="s">
        <v>17038</v>
      </c>
    </row>
    <row r="9483" spans="1:15" ht="25.5" x14ac:dyDescent="0.2">
      <c r="A9483" s="197" t="str">
        <f t="shared" si="148"/>
        <v>TacCode_chan121X</v>
      </c>
      <c r="B9483" s="409"/>
      <c r="C9483" s="416"/>
      <c r="D9483" s="198" t="s">
        <v>17044</v>
      </c>
      <c r="E9483" s="198">
        <v>341</v>
      </c>
      <c r="F9483" s="199" t="s">
        <v>17045</v>
      </c>
      <c r="G9483" s="1" t="s">
        <v>50780</v>
      </c>
      <c r="H9483" s="1" t="s">
        <v>16716</v>
      </c>
      <c r="I9483" s="346"/>
      <c r="J9483" s="39">
        <v>116102</v>
      </c>
      <c r="K9483" s="36" t="str">
        <f>CONCATENATE(Cover!$D$6,"fdd/view?i=",J9483)</f>
        <v>https://www.dgiwg.org/FAD/fdd/view?i=116102</v>
      </c>
      <c r="L9483" s="36" t="s">
        <v>50781</v>
      </c>
      <c r="M9483" s="186"/>
      <c r="N9483" s="186"/>
      <c r="O9483" s="13" t="s">
        <v>17043</v>
      </c>
    </row>
    <row r="9484" spans="1:15" ht="25.5" x14ac:dyDescent="0.2">
      <c r="A9484" s="197" t="str">
        <f t="shared" si="148"/>
        <v>TacCode_chan121Y</v>
      </c>
      <c r="B9484" s="409"/>
      <c r="C9484" s="416"/>
      <c r="D9484" s="198" t="s">
        <v>17049</v>
      </c>
      <c r="E9484" s="198">
        <v>342</v>
      </c>
      <c r="F9484" s="199" t="s">
        <v>17050</v>
      </c>
      <c r="G9484" s="1" t="s">
        <v>50782</v>
      </c>
      <c r="H9484" s="1" t="s">
        <v>16716</v>
      </c>
      <c r="I9484" s="346"/>
      <c r="J9484" s="39">
        <v>116103</v>
      </c>
      <c r="K9484" s="36" t="str">
        <f>CONCATENATE(Cover!$D$6,"fdd/view?i=",J9484)</f>
        <v>https://www.dgiwg.org/FAD/fdd/view?i=116103</v>
      </c>
      <c r="L9484" s="36" t="s">
        <v>50783</v>
      </c>
      <c r="M9484" s="186"/>
      <c r="N9484" s="186"/>
      <c r="O9484" s="13" t="s">
        <v>17048</v>
      </c>
    </row>
    <row r="9485" spans="1:15" ht="25.5" x14ac:dyDescent="0.2">
      <c r="A9485" s="197" t="str">
        <f t="shared" si="148"/>
        <v>TacCode_chan122X</v>
      </c>
      <c r="B9485" s="409"/>
      <c r="C9485" s="416"/>
      <c r="D9485" s="198" t="s">
        <v>17054</v>
      </c>
      <c r="E9485" s="198">
        <v>343</v>
      </c>
      <c r="F9485" s="199" t="s">
        <v>17055</v>
      </c>
      <c r="G9485" s="1" t="s">
        <v>50784</v>
      </c>
      <c r="H9485" s="1" t="s">
        <v>16716</v>
      </c>
      <c r="I9485" s="346"/>
      <c r="J9485" s="39">
        <v>116104</v>
      </c>
      <c r="K9485" s="36" t="str">
        <f>CONCATENATE(Cover!$D$6,"fdd/view?i=",J9485)</f>
        <v>https://www.dgiwg.org/FAD/fdd/view?i=116104</v>
      </c>
      <c r="L9485" s="36" t="s">
        <v>50785</v>
      </c>
      <c r="M9485" s="186"/>
      <c r="N9485" s="186"/>
      <c r="O9485" s="13" t="s">
        <v>17053</v>
      </c>
    </row>
    <row r="9486" spans="1:15" ht="25.5" x14ac:dyDescent="0.2">
      <c r="A9486" s="197" t="str">
        <f t="shared" si="148"/>
        <v>TacCode_chan122Y</v>
      </c>
      <c r="B9486" s="409"/>
      <c r="C9486" s="416"/>
      <c r="D9486" s="198" t="s">
        <v>17059</v>
      </c>
      <c r="E9486" s="198">
        <v>344</v>
      </c>
      <c r="F9486" s="199" t="s">
        <v>17060</v>
      </c>
      <c r="G9486" s="1" t="s">
        <v>50786</v>
      </c>
      <c r="H9486" s="1" t="s">
        <v>16716</v>
      </c>
      <c r="I9486" s="346"/>
      <c r="J9486" s="39">
        <v>116105</v>
      </c>
      <c r="K9486" s="36" t="str">
        <f>CONCATENATE(Cover!$D$6,"fdd/view?i=",J9486)</f>
        <v>https://www.dgiwg.org/FAD/fdd/view?i=116105</v>
      </c>
      <c r="L9486" s="36" t="s">
        <v>50787</v>
      </c>
      <c r="M9486" s="186"/>
      <c r="N9486" s="186"/>
      <c r="O9486" s="13" t="s">
        <v>17058</v>
      </c>
    </row>
    <row r="9487" spans="1:15" ht="25.5" x14ac:dyDescent="0.2">
      <c r="A9487" s="197" t="str">
        <f t="shared" si="148"/>
        <v>TacCode_chan123X</v>
      </c>
      <c r="B9487" s="409"/>
      <c r="C9487" s="416"/>
      <c r="D9487" s="198" t="s">
        <v>17064</v>
      </c>
      <c r="E9487" s="198">
        <v>345</v>
      </c>
      <c r="F9487" s="199" t="s">
        <v>17065</v>
      </c>
      <c r="G9487" s="1" t="s">
        <v>50788</v>
      </c>
      <c r="H9487" s="1" t="s">
        <v>16716</v>
      </c>
      <c r="I9487" s="346"/>
      <c r="J9487" s="39">
        <v>116106</v>
      </c>
      <c r="K9487" s="36" t="str">
        <f>CONCATENATE(Cover!$D$6,"fdd/view?i=",J9487)</f>
        <v>https://www.dgiwg.org/FAD/fdd/view?i=116106</v>
      </c>
      <c r="L9487" s="36" t="s">
        <v>50789</v>
      </c>
      <c r="M9487" s="186"/>
      <c r="N9487" s="186"/>
      <c r="O9487" s="13" t="s">
        <v>17063</v>
      </c>
    </row>
    <row r="9488" spans="1:15" ht="25.5" x14ac:dyDescent="0.2">
      <c r="A9488" s="197" t="str">
        <f t="shared" si="148"/>
        <v>TacCode_chan123Y</v>
      </c>
      <c r="B9488" s="409"/>
      <c r="C9488" s="416"/>
      <c r="D9488" s="198" t="s">
        <v>17069</v>
      </c>
      <c r="E9488" s="198">
        <v>346</v>
      </c>
      <c r="F9488" s="199" t="s">
        <v>17070</v>
      </c>
      <c r="G9488" s="1" t="s">
        <v>50790</v>
      </c>
      <c r="H9488" s="1" t="s">
        <v>16716</v>
      </c>
      <c r="I9488" s="346"/>
      <c r="J9488" s="39">
        <v>116107</v>
      </c>
      <c r="K9488" s="36" t="str">
        <f>CONCATENATE(Cover!$D$6,"fdd/view?i=",J9488)</f>
        <v>https://www.dgiwg.org/FAD/fdd/view?i=116107</v>
      </c>
      <c r="L9488" s="36" t="s">
        <v>50791</v>
      </c>
      <c r="M9488" s="186"/>
      <c r="N9488" s="186"/>
      <c r="O9488" s="13" t="s">
        <v>17068</v>
      </c>
    </row>
    <row r="9489" spans="1:15" ht="25.5" x14ac:dyDescent="0.2">
      <c r="A9489" s="197" t="str">
        <f t="shared" si="148"/>
        <v>TacCode_chan124X</v>
      </c>
      <c r="B9489" s="409"/>
      <c r="C9489" s="416"/>
      <c r="D9489" s="198" t="s">
        <v>17074</v>
      </c>
      <c r="E9489" s="198">
        <v>347</v>
      </c>
      <c r="F9489" s="199" t="s">
        <v>17075</v>
      </c>
      <c r="G9489" s="1" t="s">
        <v>50792</v>
      </c>
      <c r="H9489" s="1" t="s">
        <v>16716</v>
      </c>
      <c r="I9489" s="346"/>
      <c r="J9489" s="39">
        <v>116108</v>
      </c>
      <c r="K9489" s="36" t="str">
        <f>CONCATENATE(Cover!$D$6,"fdd/view?i=",J9489)</f>
        <v>https://www.dgiwg.org/FAD/fdd/view?i=116108</v>
      </c>
      <c r="L9489" s="36" t="s">
        <v>50793</v>
      </c>
      <c r="M9489" s="186"/>
      <c r="N9489" s="186"/>
      <c r="O9489" s="13" t="s">
        <v>17073</v>
      </c>
    </row>
    <row r="9490" spans="1:15" ht="25.5" x14ac:dyDescent="0.2">
      <c r="A9490" s="197" t="str">
        <f t="shared" si="148"/>
        <v>TacCode_chan124Y</v>
      </c>
      <c r="B9490" s="409"/>
      <c r="C9490" s="416"/>
      <c r="D9490" s="198" t="s">
        <v>17079</v>
      </c>
      <c r="E9490" s="198">
        <v>348</v>
      </c>
      <c r="F9490" s="199" t="s">
        <v>17080</v>
      </c>
      <c r="G9490" s="1" t="s">
        <v>50794</v>
      </c>
      <c r="H9490" s="1" t="s">
        <v>16716</v>
      </c>
      <c r="I9490" s="346"/>
      <c r="J9490" s="39">
        <v>116109</v>
      </c>
      <c r="K9490" s="36" t="str">
        <f>CONCATENATE(Cover!$D$6,"fdd/view?i=",J9490)</f>
        <v>https://www.dgiwg.org/FAD/fdd/view?i=116109</v>
      </c>
      <c r="L9490" s="36" t="s">
        <v>50795</v>
      </c>
      <c r="M9490" s="186"/>
      <c r="N9490" s="186"/>
      <c r="O9490" s="13" t="s">
        <v>17078</v>
      </c>
    </row>
    <row r="9491" spans="1:15" ht="25.5" x14ac:dyDescent="0.2">
      <c r="A9491" s="197" t="str">
        <f t="shared" si="148"/>
        <v>TacCode_chan125X</v>
      </c>
      <c r="B9491" s="409"/>
      <c r="C9491" s="416"/>
      <c r="D9491" s="198" t="s">
        <v>17084</v>
      </c>
      <c r="E9491" s="198">
        <v>349</v>
      </c>
      <c r="F9491" s="199" t="s">
        <v>17085</v>
      </c>
      <c r="G9491" s="1" t="s">
        <v>50796</v>
      </c>
      <c r="H9491" s="1" t="s">
        <v>16716</v>
      </c>
      <c r="I9491" s="346"/>
      <c r="J9491" s="39">
        <v>116110</v>
      </c>
      <c r="K9491" s="36" t="str">
        <f>CONCATENATE(Cover!$D$6,"fdd/view?i=",J9491)</f>
        <v>https://www.dgiwg.org/FAD/fdd/view?i=116110</v>
      </c>
      <c r="L9491" s="36" t="s">
        <v>50797</v>
      </c>
      <c r="M9491" s="186"/>
      <c r="N9491" s="186"/>
      <c r="O9491" s="13" t="s">
        <v>17083</v>
      </c>
    </row>
    <row r="9492" spans="1:15" ht="25.5" x14ac:dyDescent="0.2">
      <c r="A9492" s="197" t="str">
        <f t="shared" si="148"/>
        <v>TacCode_chan125Y</v>
      </c>
      <c r="B9492" s="409"/>
      <c r="C9492" s="416"/>
      <c r="D9492" s="198" t="s">
        <v>17089</v>
      </c>
      <c r="E9492" s="198">
        <v>350</v>
      </c>
      <c r="F9492" s="199" t="s">
        <v>17090</v>
      </c>
      <c r="G9492" s="1" t="s">
        <v>50798</v>
      </c>
      <c r="H9492" s="1" t="s">
        <v>16716</v>
      </c>
      <c r="I9492" s="346"/>
      <c r="J9492" s="39">
        <v>116111</v>
      </c>
      <c r="K9492" s="36" t="str">
        <f>CONCATENATE(Cover!$D$6,"fdd/view?i=",J9492)</f>
        <v>https://www.dgiwg.org/FAD/fdd/view?i=116111</v>
      </c>
      <c r="L9492" s="36" t="s">
        <v>50799</v>
      </c>
      <c r="M9492" s="186"/>
      <c r="N9492" s="186"/>
      <c r="O9492" s="13" t="s">
        <v>17088</v>
      </c>
    </row>
    <row r="9493" spans="1:15" ht="25.5" x14ac:dyDescent="0.2">
      <c r="A9493" s="197" t="str">
        <f t="shared" si="148"/>
        <v>TacCode_chan126X</v>
      </c>
      <c r="B9493" s="409"/>
      <c r="C9493" s="416"/>
      <c r="D9493" s="198" t="s">
        <v>17094</v>
      </c>
      <c r="E9493" s="198">
        <v>351</v>
      </c>
      <c r="F9493" s="199" t="s">
        <v>17095</v>
      </c>
      <c r="G9493" s="1" t="s">
        <v>50800</v>
      </c>
      <c r="H9493" s="1" t="s">
        <v>16716</v>
      </c>
      <c r="I9493" s="346"/>
      <c r="J9493" s="39">
        <v>116112</v>
      </c>
      <c r="K9493" s="36" t="str">
        <f>CONCATENATE(Cover!$D$6,"fdd/view?i=",J9493)</f>
        <v>https://www.dgiwg.org/FAD/fdd/view?i=116112</v>
      </c>
      <c r="L9493" s="36" t="s">
        <v>50801</v>
      </c>
      <c r="M9493" s="186"/>
      <c r="N9493" s="186"/>
      <c r="O9493" s="13" t="s">
        <v>17093</v>
      </c>
    </row>
    <row r="9494" spans="1:15" ht="25.5" x14ac:dyDescent="0.2">
      <c r="A9494" s="203" t="str">
        <f t="shared" si="148"/>
        <v>TacCode_chan126Y</v>
      </c>
      <c r="B9494" s="410"/>
      <c r="C9494" s="417"/>
      <c r="D9494" s="204" t="s">
        <v>17099</v>
      </c>
      <c r="E9494" s="204">
        <v>352</v>
      </c>
      <c r="F9494" s="205" t="s">
        <v>17100</v>
      </c>
      <c r="G9494" s="206" t="s">
        <v>50802</v>
      </c>
      <c r="H9494" s="206" t="s">
        <v>16716</v>
      </c>
      <c r="I9494" s="347"/>
      <c r="J9494" s="39">
        <v>116113</v>
      </c>
      <c r="K9494" s="36" t="str">
        <f>CONCATENATE(Cover!$D$6,"fdd/view?i=",J9494)</f>
        <v>https://www.dgiwg.org/FAD/fdd/view?i=116113</v>
      </c>
      <c r="L9494" s="36" t="s">
        <v>50803</v>
      </c>
      <c r="M9494" s="186"/>
      <c r="N9494" s="186"/>
      <c r="O9494" s="13" t="s">
        <v>17098</v>
      </c>
    </row>
    <row r="9495" spans="1:15" ht="38.25" x14ac:dyDescent="0.2">
      <c r="A9495" s="190" t="str">
        <f t="shared" si="148"/>
        <v>TcaCode_azimuthIndicator</v>
      </c>
      <c r="B9495" s="414" t="str">
        <f>HYPERLINK("[#]Datatypes!A1500:L1500","TcaCode")</f>
        <v>TcaCode</v>
      </c>
      <c r="C9495" s="415" t="s">
        <v>16126</v>
      </c>
      <c r="D9495" s="221" t="s">
        <v>51353</v>
      </c>
      <c r="E9495" s="221">
        <v>1</v>
      </c>
      <c r="F9495" s="222" t="s">
        <v>51354</v>
      </c>
      <c r="G9495" s="223" t="s">
        <v>51355</v>
      </c>
      <c r="H9495" s="224"/>
      <c r="I9495" s="345"/>
      <c r="J9495" s="39">
        <v>116608</v>
      </c>
      <c r="K9495" s="36" t="str">
        <f>CONCATENATE(Cover!$D$6,"fdd/view?i=",J9495)</f>
        <v>https://www.dgiwg.org/FAD/fdd/view?i=116608</v>
      </c>
      <c r="L9495" s="36" t="s">
        <v>51356</v>
      </c>
      <c r="M9495" s="186"/>
      <c r="N9495" s="186"/>
      <c r="O9495" s="13" t="s">
        <v>51352</v>
      </c>
    </row>
    <row r="9496" spans="1:15" ht="38.25" x14ac:dyDescent="0.2">
      <c r="A9496" s="203" t="str">
        <f t="shared" si="148"/>
        <v>TcaCode_distanceIndicator</v>
      </c>
      <c r="B9496" s="410"/>
      <c r="C9496" s="417"/>
      <c r="D9496" s="204" t="s">
        <v>51358</v>
      </c>
      <c r="E9496" s="204">
        <v>2</v>
      </c>
      <c r="F9496" s="205" t="s">
        <v>51359</v>
      </c>
      <c r="G9496" s="206" t="s">
        <v>51360</v>
      </c>
      <c r="H9496" s="207"/>
      <c r="I9496" s="347"/>
      <c r="J9496" s="39">
        <v>116609</v>
      </c>
      <c r="K9496" s="36" t="str">
        <f>CONCATENATE(Cover!$D$6,"fdd/view?i=",J9496)</f>
        <v>https://www.dgiwg.org/FAD/fdd/view?i=116609</v>
      </c>
      <c r="L9496" s="36" t="s">
        <v>51361</v>
      </c>
      <c r="M9496" s="186"/>
      <c r="N9496" s="186"/>
      <c r="O9496" s="13" t="s">
        <v>51357</v>
      </c>
    </row>
    <row r="9497" spans="1:15" ht="38.25" x14ac:dyDescent="0.2">
      <c r="A9497" s="190" t="str">
        <f t="shared" si="148"/>
        <v>TlcCode_azimuthIndicator</v>
      </c>
      <c r="B9497" s="414" t="str">
        <f>HYPERLINK("[#]Datatypes!A1502:L1502","TlcCode")</f>
        <v>TlcCode</v>
      </c>
      <c r="C9497" s="415" t="s">
        <v>16128</v>
      </c>
      <c r="D9497" s="221" t="s">
        <v>51353</v>
      </c>
      <c r="E9497" s="221">
        <v>1</v>
      </c>
      <c r="F9497" s="222" t="s">
        <v>51354</v>
      </c>
      <c r="G9497" s="223" t="s">
        <v>51355</v>
      </c>
      <c r="H9497" s="224"/>
      <c r="I9497" s="345"/>
      <c r="J9497" s="39">
        <v>115372</v>
      </c>
      <c r="K9497" s="36" t="str">
        <f>CONCATENATE(Cover!$D$6,"fdd/view?i=",J9497)</f>
        <v>https://www.dgiwg.org/FAD/fdd/view?i=115372</v>
      </c>
      <c r="L9497" s="36" t="s">
        <v>51362</v>
      </c>
      <c r="M9497" s="186"/>
      <c r="N9497" s="186"/>
      <c r="O9497" s="13" t="s">
        <v>51352</v>
      </c>
    </row>
    <row r="9498" spans="1:15" ht="38.25" x14ac:dyDescent="0.2">
      <c r="A9498" s="203" t="str">
        <f t="shared" si="148"/>
        <v>TlcCode_distanceIndicator</v>
      </c>
      <c r="B9498" s="410"/>
      <c r="C9498" s="417"/>
      <c r="D9498" s="204" t="s">
        <v>51358</v>
      </c>
      <c r="E9498" s="204">
        <v>2</v>
      </c>
      <c r="F9498" s="205" t="s">
        <v>51359</v>
      </c>
      <c r="G9498" s="206" t="s">
        <v>51360</v>
      </c>
      <c r="H9498" s="207"/>
      <c r="I9498" s="347"/>
      <c r="J9498" s="39">
        <v>115373</v>
      </c>
      <c r="K9498" s="36" t="str">
        <f>CONCATENATE(Cover!$D$6,"fdd/view?i=",J9498)</f>
        <v>https://www.dgiwg.org/FAD/fdd/view?i=115373</v>
      </c>
      <c r="L9498" s="36" t="s">
        <v>51363</v>
      </c>
      <c r="M9498" s="186"/>
      <c r="N9498" s="186"/>
      <c r="O9498" s="13" t="s">
        <v>51357</v>
      </c>
    </row>
    <row r="9499" spans="1:15" ht="25.5" x14ac:dyDescent="0.2">
      <c r="A9499" s="190" t="str">
        <f t="shared" si="148"/>
        <v>XmuCode_inTacticalFormation</v>
      </c>
      <c r="B9499" s="414" t="str">
        <f>HYPERLINK("[#]Datatypes!A1504:L1504","XmuCode")</f>
        <v>XmuCode</v>
      </c>
      <c r="C9499" s="415" t="s">
        <v>16130</v>
      </c>
      <c r="D9499" s="221" t="s">
        <v>51364</v>
      </c>
      <c r="E9499" s="221">
        <v>1</v>
      </c>
      <c r="F9499" s="222" t="s">
        <v>51365</v>
      </c>
      <c r="G9499" s="223" t="s">
        <v>51366</v>
      </c>
      <c r="H9499" s="224"/>
      <c r="I9499" s="345"/>
      <c r="J9499" s="39">
        <v>119769</v>
      </c>
      <c r="K9499" s="36" t="str">
        <f>CONCATENATE(Cover!$D$6,"fdd/view?i=",J9499)</f>
        <v>https://www.dgiwg.org/FAD/fdd/view?i=119769</v>
      </c>
      <c r="L9499" s="36" t="s">
        <v>51367</v>
      </c>
      <c r="M9499" s="186"/>
      <c r="N9499" s="186"/>
      <c r="O9499" s="172"/>
    </row>
    <row r="9500" spans="1:15" ht="25.5" x14ac:dyDescent="0.2">
      <c r="A9500" s="203" t="str">
        <f t="shared" si="148"/>
        <v>XmuCode_tacticallyDispersed</v>
      </c>
      <c r="B9500" s="410"/>
      <c r="C9500" s="417"/>
      <c r="D9500" s="204" t="s">
        <v>51368</v>
      </c>
      <c r="E9500" s="204">
        <v>2</v>
      </c>
      <c r="F9500" s="205" t="s">
        <v>51369</v>
      </c>
      <c r="G9500" s="206" t="s">
        <v>51370</v>
      </c>
      <c r="H9500" s="207"/>
      <c r="I9500" s="347"/>
      <c r="J9500" s="39">
        <v>119770</v>
      </c>
      <c r="K9500" s="36" t="str">
        <f>CONCATENATE(Cover!$D$6,"fdd/view?i=",J9500)</f>
        <v>https://www.dgiwg.org/FAD/fdd/view?i=119770</v>
      </c>
      <c r="L9500" s="36" t="s">
        <v>51371</v>
      </c>
      <c r="M9500" s="186"/>
      <c r="N9500" s="186"/>
      <c r="O9500" s="172"/>
    </row>
    <row r="9501" spans="1:15" ht="25.5" x14ac:dyDescent="0.2">
      <c r="A9501" s="190" t="str">
        <f t="shared" si="148"/>
        <v>TxpCode_aircraftStandTaxilane</v>
      </c>
      <c r="B9501" s="414" t="str">
        <f>HYPERLINK("[#]Datatypes!A1506:L1506","TxpCode")</f>
        <v>TxpCode</v>
      </c>
      <c r="C9501" s="415" t="s">
        <v>16132</v>
      </c>
      <c r="D9501" s="221" t="s">
        <v>51378</v>
      </c>
      <c r="E9501" s="221">
        <v>9</v>
      </c>
      <c r="F9501" s="222" t="s">
        <v>51379</v>
      </c>
      <c r="G9501" s="223" t="s">
        <v>51380</v>
      </c>
      <c r="H9501" s="224"/>
      <c r="I9501" s="352" t="s">
        <v>51381</v>
      </c>
      <c r="J9501" s="39">
        <v>115475</v>
      </c>
      <c r="K9501" s="36" t="str">
        <f>CONCATENATE(Cover!$D$6,"fdd/view?i=",J9501)</f>
        <v>https://www.dgiwg.org/FAD/fdd/view?i=115475</v>
      </c>
      <c r="L9501" s="36" t="s">
        <v>51382</v>
      </c>
      <c r="M9501" s="186"/>
      <c r="N9501" s="186"/>
      <c r="O9501" s="13" t="s">
        <v>51377</v>
      </c>
    </row>
    <row r="9502" spans="1:15" ht="25.5" x14ac:dyDescent="0.2">
      <c r="A9502" s="197" t="str">
        <f t="shared" si="148"/>
        <v>TxpCode_airTaxiway</v>
      </c>
      <c r="B9502" s="409"/>
      <c r="C9502" s="416"/>
      <c r="D9502" s="198" t="s">
        <v>51373</v>
      </c>
      <c r="E9502" s="198">
        <v>12</v>
      </c>
      <c r="F9502" s="199" t="s">
        <v>51374</v>
      </c>
      <c r="G9502" s="1" t="s">
        <v>51375</v>
      </c>
      <c r="H9502" s="200"/>
      <c r="I9502" s="346"/>
      <c r="J9502" s="39">
        <v>115473</v>
      </c>
      <c r="K9502" s="36" t="str">
        <f>CONCATENATE(Cover!$D$6,"fdd/view?i=",J9502)</f>
        <v>https://www.dgiwg.org/FAD/fdd/view?i=115473</v>
      </c>
      <c r="L9502" s="36" t="s">
        <v>51376</v>
      </c>
      <c r="M9502" s="186"/>
      <c r="N9502" s="186"/>
      <c r="O9502" s="13" t="s">
        <v>51372</v>
      </c>
    </row>
    <row r="9503" spans="1:15" ht="25.5" x14ac:dyDescent="0.2">
      <c r="A9503" s="197" t="str">
        <f t="shared" si="148"/>
        <v>TxpCode_apronTaxiway</v>
      </c>
      <c r="B9503" s="409"/>
      <c r="C9503" s="416"/>
      <c r="D9503" s="198" t="s">
        <v>51384</v>
      </c>
      <c r="E9503" s="198">
        <v>8</v>
      </c>
      <c r="F9503" s="199" t="s">
        <v>51385</v>
      </c>
      <c r="G9503" s="1" t="s">
        <v>51386</v>
      </c>
      <c r="H9503" s="200"/>
      <c r="I9503" s="346"/>
      <c r="J9503" s="39">
        <v>115474</v>
      </c>
      <c r="K9503" s="36" t="str">
        <f>CONCATENATE(Cover!$D$6,"fdd/view?i=",J9503)</f>
        <v>https://www.dgiwg.org/FAD/fdd/view?i=115474</v>
      </c>
      <c r="L9503" s="36" t="s">
        <v>51387</v>
      </c>
      <c r="M9503" s="186"/>
      <c r="N9503" s="186"/>
      <c r="O9503" s="13" t="s">
        <v>51383</v>
      </c>
    </row>
    <row r="9504" spans="1:15" ht="25.5" x14ac:dyDescent="0.2">
      <c r="A9504" s="197" t="str">
        <f t="shared" si="148"/>
        <v>TxpCode_dispersal</v>
      </c>
      <c r="B9504" s="409"/>
      <c r="C9504" s="416"/>
      <c r="D9504" s="198" t="s">
        <v>22140</v>
      </c>
      <c r="E9504" s="198">
        <v>5</v>
      </c>
      <c r="F9504" s="199" t="s">
        <v>22141</v>
      </c>
      <c r="G9504" s="1" t="s">
        <v>51388</v>
      </c>
      <c r="H9504" s="200"/>
      <c r="I9504" s="346"/>
      <c r="J9504" s="39">
        <v>115483</v>
      </c>
      <c r="K9504" s="36" t="str">
        <f>CONCATENATE(Cover!$D$6,"fdd/view?i=",J9504)</f>
        <v>https://www.dgiwg.org/FAD/fdd/view?i=115483</v>
      </c>
      <c r="L9504" s="36" t="s">
        <v>51389</v>
      </c>
      <c r="M9504" s="186"/>
      <c r="N9504" s="186"/>
      <c r="O9504" s="172"/>
    </row>
    <row r="9505" spans="1:15" ht="25.5" x14ac:dyDescent="0.2">
      <c r="A9505" s="197" t="str">
        <f t="shared" si="148"/>
        <v>TxpCode_helicopterGroundTaxiway</v>
      </c>
      <c r="B9505" s="409"/>
      <c r="C9505" s="416"/>
      <c r="D9505" s="198" t="s">
        <v>51391</v>
      </c>
      <c r="E9505" s="198">
        <v>13</v>
      </c>
      <c r="F9505" s="199" t="s">
        <v>51392</v>
      </c>
      <c r="G9505" s="1" t="s">
        <v>51393</v>
      </c>
      <c r="H9505" s="200"/>
      <c r="I9505" s="346"/>
      <c r="J9505" s="39">
        <v>115476</v>
      </c>
      <c r="K9505" s="36" t="str">
        <f>CONCATENATE(Cover!$D$6,"fdd/view?i=",J9505)</f>
        <v>https://www.dgiwg.org/FAD/fdd/view?i=115476</v>
      </c>
      <c r="L9505" s="36" t="s">
        <v>51394</v>
      </c>
      <c r="M9505" s="186"/>
      <c r="N9505" s="186"/>
      <c r="O9505" s="13" t="s">
        <v>51390</v>
      </c>
    </row>
    <row r="9506" spans="1:15" ht="25.5" x14ac:dyDescent="0.2">
      <c r="A9506" s="197" t="str">
        <f t="shared" si="148"/>
        <v>TxpCode_leadInTaxilane</v>
      </c>
      <c r="B9506" s="409"/>
      <c r="C9506" s="416"/>
      <c r="D9506" s="198" t="s">
        <v>51396</v>
      </c>
      <c r="E9506" s="198">
        <v>10</v>
      </c>
      <c r="F9506" s="199" t="s">
        <v>51397</v>
      </c>
      <c r="G9506" s="1" t="s">
        <v>51398</v>
      </c>
      <c r="H9506" s="200"/>
      <c r="I9506" s="346"/>
      <c r="J9506" s="39">
        <v>115477</v>
      </c>
      <c r="K9506" s="36" t="str">
        <f>CONCATENATE(Cover!$D$6,"fdd/view?i=",J9506)</f>
        <v>https://www.dgiwg.org/FAD/fdd/view?i=115477</v>
      </c>
      <c r="L9506" s="36" t="s">
        <v>51399</v>
      </c>
      <c r="M9506" s="186"/>
      <c r="N9506" s="186"/>
      <c r="O9506" s="13" t="s">
        <v>51395</v>
      </c>
    </row>
    <row r="9507" spans="1:15" ht="25.5" x14ac:dyDescent="0.2">
      <c r="A9507" s="197" t="str">
        <f t="shared" si="148"/>
        <v>TxpCode_leadOutTaxilane</v>
      </c>
      <c r="B9507" s="409"/>
      <c r="C9507" s="416"/>
      <c r="D9507" s="198" t="s">
        <v>51401</v>
      </c>
      <c r="E9507" s="198">
        <v>11</v>
      </c>
      <c r="F9507" s="199" t="s">
        <v>51402</v>
      </c>
      <c r="G9507" s="1" t="s">
        <v>51403</v>
      </c>
      <c r="H9507" s="200"/>
      <c r="I9507" s="346"/>
      <c r="J9507" s="39">
        <v>115478</v>
      </c>
      <c r="K9507" s="36" t="str">
        <f>CONCATENATE(Cover!$D$6,"fdd/view?i=",J9507)</f>
        <v>https://www.dgiwg.org/FAD/fdd/view?i=115478</v>
      </c>
      <c r="L9507" s="36" t="s">
        <v>51404</v>
      </c>
      <c r="M9507" s="186"/>
      <c r="N9507" s="186"/>
      <c r="O9507" s="13" t="s">
        <v>51400</v>
      </c>
    </row>
    <row r="9508" spans="1:15" ht="25.5" x14ac:dyDescent="0.2">
      <c r="A9508" s="197" t="str">
        <f t="shared" si="148"/>
        <v>TxpCode_loop</v>
      </c>
      <c r="B9508" s="409"/>
      <c r="C9508" s="416"/>
      <c r="D9508" s="198" t="s">
        <v>51405</v>
      </c>
      <c r="E9508" s="198">
        <v>6</v>
      </c>
      <c r="F9508" s="199" t="s">
        <v>51406</v>
      </c>
      <c r="G9508" s="1" t="s">
        <v>51407</v>
      </c>
      <c r="H9508" s="200"/>
      <c r="I9508" s="346"/>
      <c r="J9508" s="39">
        <v>115484</v>
      </c>
      <c r="K9508" s="36" t="str">
        <f>CONCATENATE(Cover!$D$6,"fdd/view?i=",J9508)</f>
        <v>https://www.dgiwg.org/FAD/fdd/view?i=115484</v>
      </c>
      <c r="L9508" s="36" t="s">
        <v>51408</v>
      </c>
      <c r="M9508" s="186"/>
      <c r="N9508" s="186"/>
      <c r="O9508" s="172"/>
    </row>
    <row r="9509" spans="1:15" ht="25.5" x14ac:dyDescent="0.2">
      <c r="A9509" s="197" t="str">
        <f t="shared" si="148"/>
        <v>TxpCode_parallelTaxiway</v>
      </c>
      <c r="B9509" s="409"/>
      <c r="C9509" s="416"/>
      <c r="D9509" s="198" t="s">
        <v>51409</v>
      </c>
      <c r="E9509" s="198">
        <v>1</v>
      </c>
      <c r="F9509" s="199" t="s">
        <v>51410</v>
      </c>
      <c r="G9509" s="1" t="s">
        <v>51411</v>
      </c>
      <c r="H9509" s="200"/>
      <c r="I9509" s="346"/>
      <c r="J9509" s="39">
        <v>115479</v>
      </c>
      <c r="K9509" s="36" t="str">
        <f>CONCATENATE(Cover!$D$6,"fdd/view?i=",J9509)</f>
        <v>https://www.dgiwg.org/FAD/fdd/view?i=115479</v>
      </c>
      <c r="L9509" s="36" t="s">
        <v>51412</v>
      </c>
      <c r="M9509" s="186"/>
      <c r="N9509" s="186"/>
      <c r="O9509" s="13" t="s">
        <v>21075</v>
      </c>
    </row>
    <row r="9510" spans="1:15" x14ac:dyDescent="0.2">
      <c r="A9510" s="197" t="str">
        <f t="shared" si="148"/>
        <v>TxpCode_perimeter</v>
      </c>
      <c r="B9510" s="409"/>
      <c r="C9510" s="416"/>
      <c r="D9510" s="198" t="s">
        <v>51413</v>
      </c>
      <c r="E9510" s="198">
        <v>7</v>
      </c>
      <c r="F9510" s="199" t="s">
        <v>51414</v>
      </c>
      <c r="G9510" s="1" t="s">
        <v>51415</v>
      </c>
      <c r="H9510" s="200"/>
      <c r="I9510" s="346"/>
      <c r="J9510" s="39">
        <v>115485</v>
      </c>
      <c r="K9510" s="36" t="str">
        <f>CONCATENATE(Cover!$D$6,"fdd/view?i=",J9510)</f>
        <v>https://www.dgiwg.org/FAD/fdd/view?i=115485</v>
      </c>
      <c r="L9510" s="36" t="s">
        <v>51416</v>
      </c>
      <c r="M9510" s="186"/>
      <c r="N9510" s="186"/>
      <c r="O9510" s="172"/>
    </row>
    <row r="9511" spans="1:15" ht="51" x14ac:dyDescent="0.2">
      <c r="A9511" s="197" t="str">
        <f t="shared" si="148"/>
        <v>TxpCode_rapidExitTurnoffTaxiway</v>
      </c>
      <c r="B9511" s="409"/>
      <c r="C9511" s="416"/>
      <c r="D9511" s="198" t="s">
        <v>51418</v>
      </c>
      <c r="E9511" s="198">
        <v>3</v>
      </c>
      <c r="F9511" s="199" t="s">
        <v>51419</v>
      </c>
      <c r="G9511" s="1" t="s">
        <v>51420</v>
      </c>
      <c r="H9511" s="200"/>
      <c r="I9511" s="351" t="s">
        <v>51421</v>
      </c>
      <c r="J9511" s="39">
        <v>115480</v>
      </c>
      <c r="K9511" s="36" t="str">
        <f>CONCATENATE(Cover!$D$6,"fdd/view?i=",J9511)</f>
        <v>https://www.dgiwg.org/FAD/fdd/view?i=115480</v>
      </c>
      <c r="L9511" s="36" t="s">
        <v>51422</v>
      </c>
      <c r="M9511" s="186"/>
      <c r="N9511" s="186"/>
      <c r="O9511" s="13" t="s">
        <v>51417</v>
      </c>
    </row>
    <row r="9512" spans="1:15" ht="25.5" x14ac:dyDescent="0.2">
      <c r="A9512" s="197" t="str">
        <f t="shared" si="148"/>
        <v>TxpCode_stubTaxiway</v>
      </c>
      <c r="B9512" s="409"/>
      <c r="C9512" s="416"/>
      <c r="D9512" s="198" t="s">
        <v>51424</v>
      </c>
      <c r="E9512" s="198">
        <v>2</v>
      </c>
      <c r="F9512" s="199" t="s">
        <v>51425</v>
      </c>
      <c r="G9512" s="1" t="s">
        <v>51426</v>
      </c>
      <c r="H9512" s="200"/>
      <c r="I9512" s="351" t="s">
        <v>51427</v>
      </c>
      <c r="J9512" s="39">
        <v>115481</v>
      </c>
      <c r="K9512" s="36" t="str">
        <f>CONCATENATE(Cover!$D$6,"fdd/view?i=",J9512)</f>
        <v>https://www.dgiwg.org/FAD/fdd/view?i=115481</v>
      </c>
      <c r="L9512" s="36" t="s">
        <v>51428</v>
      </c>
      <c r="M9512" s="186"/>
      <c r="N9512" s="186"/>
      <c r="O9512" s="13" t="s">
        <v>51423</v>
      </c>
    </row>
    <row r="9513" spans="1:15" ht="25.5" x14ac:dyDescent="0.2">
      <c r="A9513" s="203" t="str">
        <f t="shared" si="148"/>
        <v>TxpCode_turnaroundTaxiway</v>
      </c>
      <c r="B9513" s="410"/>
      <c r="C9513" s="417"/>
      <c r="D9513" s="204" t="s">
        <v>51430</v>
      </c>
      <c r="E9513" s="204">
        <v>4</v>
      </c>
      <c r="F9513" s="205" t="s">
        <v>51431</v>
      </c>
      <c r="G9513" s="206" t="s">
        <v>51432</v>
      </c>
      <c r="H9513" s="207"/>
      <c r="I9513" s="347"/>
      <c r="J9513" s="39">
        <v>115482</v>
      </c>
      <c r="K9513" s="36" t="str">
        <f>CONCATENATE(Cover!$D$6,"fdd/view?i=",J9513)</f>
        <v>https://www.dgiwg.org/FAD/fdd/view?i=115482</v>
      </c>
      <c r="L9513" s="36" t="s">
        <v>51433</v>
      </c>
      <c r="M9513" s="186"/>
      <c r="N9513" s="186"/>
      <c r="O9513" s="13" t="s">
        <v>51429</v>
      </c>
    </row>
    <row r="9514" spans="1:15" ht="25.5" x14ac:dyDescent="0.2">
      <c r="A9514" s="190" t="str">
        <f t="shared" si="148"/>
        <v>SteCode_crossFold</v>
      </c>
      <c r="B9514" s="414" t="str">
        <f>HYPERLINK("[#]Datatypes!A1508:L1508","SteCode")</f>
        <v>SteCode</v>
      </c>
      <c r="C9514" s="415" t="s">
        <v>16134</v>
      </c>
      <c r="D9514" s="221" t="s">
        <v>51434</v>
      </c>
      <c r="E9514" s="221">
        <v>1</v>
      </c>
      <c r="F9514" s="222" t="s">
        <v>51435</v>
      </c>
      <c r="G9514" s="223" t="s">
        <v>51436</v>
      </c>
      <c r="H9514" s="224"/>
      <c r="I9514" s="345"/>
      <c r="J9514" s="39">
        <v>118797</v>
      </c>
      <c r="K9514" s="36" t="str">
        <f>CONCATENATE(Cover!$D$6,"fdd/view?i=",J9514)</f>
        <v>https://www.dgiwg.org/FAD/fdd/view?i=118797</v>
      </c>
      <c r="L9514" s="36" t="s">
        <v>51437</v>
      </c>
      <c r="M9514" s="186"/>
      <c r="N9514" s="186"/>
      <c r="O9514" s="172"/>
    </row>
    <row r="9515" spans="1:15" ht="25.5" x14ac:dyDescent="0.2">
      <c r="A9515" s="197" t="str">
        <f t="shared" si="148"/>
        <v>SteCode_fold</v>
      </c>
      <c r="B9515" s="409"/>
      <c r="C9515" s="416"/>
      <c r="D9515" s="198" t="s">
        <v>51438</v>
      </c>
      <c r="E9515" s="198">
        <v>2</v>
      </c>
      <c r="F9515" s="199" t="s">
        <v>51439</v>
      </c>
      <c r="G9515" s="1" t="s">
        <v>51440</v>
      </c>
      <c r="H9515" s="200"/>
      <c r="I9515" s="346"/>
      <c r="J9515" s="39">
        <v>118798</v>
      </c>
      <c r="K9515" s="36" t="str">
        <f>CONCATENATE(Cover!$D$6,"fdd/view?i=",J9515)</f>
        <v>https://www.dgiwg.org/FAD/fdd/view?i=118798</v>
      </c>
      <c r="L9515" s="36" t="s">
        <v>51441</v>
      </c>
      <c r="M9515" s="186"/>
      <c r="N9515" s="186"/>
      <c r="O9515" s="172"/>
    </row>
    <row r="9516" spans="1:15" ht="25.5" x14ac:dyDescent="0.2">
      <c r="A9516" s="197" t="str">
        <f t="shared" si="148"/>
        <v>SteCode_geologicalBoundary</v>
      </c>
      <c r="B9516" s="409"/>
      <c r="C9516" s="416"/>
      <c r="D9516" s="198" t="s">
        <v>51442</v>
      </c>
      <c r="E9516" s="198">
        <v>3</v>
      </c>
      <c r="F9516" s="199" t="s">
        <v>51443</v>
      </c>
      <c r="G9516" s="1" t="s">
        <v>51444</v>
      </c>
      <c r="H9516" s="200"/>
      <c r="I9516" s="346"/>
      <c r="J9516" s="39">
        <v>118799</v>
      </c>
      <c r="K9516" s="36" t="str">
        <f>CONCATENATE(Cover!$D$6,"fdd/view?i=",J9516)</f>
        <v>https://www.dgiwg.org/FAD/fdd/view?i=118799</v>
      </c>
      <c r="L9516" s="36" t="s">
        <v>51445</v>
      </c>
      <c r="M9516" s="186"/>
      <c r="N9516" s="186"/>
      <c r="O9516" s="172"/>
    </row>
    <row r="9517" spans="1:15" ht="25.5" x14ac:dyDescent="0.2">
      <c r="A9517" s="197" t="str">
        <f t="shared" si="148"/>
        <v>SteCode_graben</v>
      </c>
      <c r="B9517" s="409"/>
      <c r="C9517" s="416"/>
      <c r="D9517" s="198" t="s">
        <v>51446</v>
      </c>
      <c r="E9517" s="198">
        <v>4</v>
      </c>
      <c r="F9517" s="199" t="s">
        <v>51447</v>
      </c>
      <c r="G9517" s="1" t="s">
        <v>51448</v>
      </c>
      <c r="H9517" s="200"/>
      <c r="I9517" s="346"/>
      <c r="J9517" s="39">
        <v>118800</v>
      </c>
      <c r="K9517" s="36" t="str">
        <f>CONCATENATE(Cover!$D$6,"fdd/view?i=",J9517)</f>
        <v>https://www.dgiwg.org/FAD/fdd/view?i=118800</v>
      </c>
      <c r="L9517" s="36" t="s">
        <v>51449</v>
      </c>
      <c r="M9517" s="186"/>
      <c r="N9517" s="186"/>
      <c r="O9517" s="172"/>
    </row>
    <row r="9518" spans="1:15" ht="25.5" x14ac:dyDescent="0.2">
      <c r="A9518" s="197" t="str">
        <f t="shared" si="148"/>
        <v>SteCode_horst</v>
      </c>
      <c r="B9518" s="409"/>
      <c r="C9518" s="416"/>
      <c r="D9518" s="198" t="s">
        <v>51450</v>
      </c>
      <c r="E9518" s="198">
        <v>5</v>
      </c>
      <c r="F9518" s="199" t="s">
        <v>51451</v>
      </c>
      <c r="G9518" s="1" t="s">
        <v>51452</v>
      </c>
      <c r="H9518" s="200"/>
      <c r="I9518" s="346"/>
      <c r="J9518" s="39">
        <v>118801</v>
      </c>
      <c r="K9518" s="36" t="str">
        <f>CONCATENATE(Cover!$D$6,"fdd/view?i=",J9518)</f>
        <v>https://www.dgiwg.org/FAD/fdd/view?i=118801</v>
      </c>
      <c r="L9518" s="36" t="s">
        <v>51453</v>
      </c>
      <c r="M9518" s="186"/>
      <c r="N9518" s="186"/>
      <c r="O9518" s="172"/>
    </row>
    <row r="9519" spans="1:15" ht="25.5" x14ac:dyDescent="0.2">
      <c r="A9519" s="197" t="str">
        <f t="shared" si="148"/>
        <v>SteCode_normalFault</v>
      </c>
      <c r="B9519" s="409"/>
      <c r="C9519" s="416"/>
      <c r="D9519" s="198" t="s">
        <v>51454</v>
      </c>
      <c r="E9519" s="198">
        <v>9</v>
      </c>
      <c r="F9519" s="199" t="s">
        <v>51455</v>
      </c>
      <c r="G9519" s="1" t="s">
        <v>51456</v>
      </c>
      <c r="H9519" s="200"/>
      <c r="I9519" s="346"/>
      <c r="J9519" s="39">
        <v>118803</v>
      </c>
      <c r="K9519" s="36" t="str">
        <f>CONCATENATE(Cover!$D$6,"fdd/view?i=",J9519)</f>
        <v>https://www.dgiwg.org/FAD/fdd/view?i=118803</v>
      </c>
      <c r="L9519" s="36" t="s">
        <v>51457</v>
      </c>
      <c r="M9519" s="186"/>
      <c r="N9519" s="186"/>
      <c r="O9519" s="172"/>
    </row>
    <row r="9520" spans="1:15" ht="25.5" x14ac:dyDescent="0.2">
      <c r="A9520" s="197" t="str">
        <f t="shared" si="148"/>
        <v>SteCode_rift</v>
      </c>
      <c r="B9520" s="409"/>
      <c r="C9520" s="416"/>
      <c r="D9520" s="198" t="s">
        <v>51458</v>
      </c>
      <c r="E9520" s="198">
        <v>10</v>
      </c>
      <c r="F9520" s="199" t="s">
        <v>51459</v>
      </c>
      <c r="G9520" s="1" t="s">
        <v>51460</v>
      </c>
      <c r="H9520" s="200"/>
      <c r="I9520" s="346"/>
      <c r="J9520" s="39">
        <v>118804</v>
      </c>
      <c r="K9520" s="36" t="str">
        <f>CONCATENATE(Cover!$D$6,"fdd/view?i=",J9520)</f>
        <v>https://www.dgiwg.org/FAD/fdd/view?i=118804</v>
      </c>
      <c r="L9520" s="36" t="s">
        <v>51461</v>
      </c>
      <c r="M9520" s="186"/>
      <c r="N9520" s="186"/>
      <c r="O9520" s="172"/>
    </row>
    <row r="9521" spans="1:15" ht="25.5" x14ac:dyDescent="0.2">
      <c r="A9521" s="197" t="str">
        <f t="shared" si="148"/>
        <v>SteCode_shearZone</v>
      </c>
      <c r="B9521" s="409"/>
      <c r="C9521" s="416"/>
      <c r="D9521" s="198" t="s">
        <v>51462</v>
      </c>
      <c r="E9521" s="198">
        <v>6</v>
      </c>
      <c r="F9521" s="199" t="s">
        <v>51463</v>
      </c>
      <c r="G9521" s="1" t="s">
        <v>51464</v>
      </c>
      <c r="H9521" s="200"/>
      <c r="I9521" s="346"/>
      <c r="J9521" s="39">
        <v>118802</v>
      </c>
      <c r="K9521" s="36" t="str">
        <f>CONCATENATE(Cover!$D$6,"fdd/view?i=",J9521)</f>
        <v>https://www.dgiwg.org/FAD/fdd/view?i=118802</v>
      </c>
      <c r="L9521" s="36" t="s">
        <v>51465</v>
      </c>
      <c r="M9521" s="186"/>
      <c r="N9521" s="186"/>
      <c r="O9521" s="172"/>
    </row>
    <row r="9522" spans="1:15" ht="25.5" x14ac:dyDescent="0.2">
      <c r="A9522" s="197" t="str">
        <f t="shared" si="148"/>
        <v>SteCode_spreadingZone</v>
      </c>
      <c r="B9522" s="409"/>
      <c r="C9522" s="416"/>
      <c r="D9522" s="198" t="s">
        <v>51466</v>
      </c>
      <c r="E9522" s="198">
        <v>11</v>
      </c>
      <c r="F9522" s="199" t="s">
        <v>51467</v>
      </c>
      <c r="G9522" s="1" t="s">
        <v>51468</v>
      </c>
      <c r="H9522" s="200"/>
      <c r="I9522" s="346"/>
      <c r="J9522" s="39">
        <v>118805</v>
      </c>
      <c r="K9522" s="36" t="str">
        <f>CONCATENATE(Cover!$D$6,"fdd/view?i=",J9522)</f>
        <v>https://www.dgiwg.org/FAD/fdd/view?i=118805</v>
      </c>
      <c r="L9522" s="36" t="s">
        <v>51469</v>
      </c>
      <c r="M9522" s="186"/>
      <c r="N9522" s="186"/>
      <c r="O9522" s="172"/>
    </row>
    <row r="9523" spans="1:15" ht="25.5" x14ac:dyDescent="0.2">
      <c r="A9523" s="197" t="str">
        <f t="shared" si="148"/>
        <v>SteCode_strikeSlipFault</v>
      </c>
      <c r="B9523" s="409"/>
      <c r="C9523" s="416"/>
      <c r="D9523" s="198" t="s">
        <v>51470</v>
      </c>
      <c r="E9523" s="198">
        <v>12</v>
      </c>
      <c r="F9523" s="199" t="s">
        <v>51471</v>
      </c>
      <c r="G9523" s="1" t="s">
        <v>51472</v>
      </c>
      <c r="H9523" s="200"/>
      <c r="I9523" s="346"/>
      <c r="J9523" s="39">
        <v>118806</v>
      </c>
      <c r="K9523" s="36" t="str">
        <f>CONCATENATE(Cover!$D$6,"fdd/view?i=",J9523)</f>
        <v>https://www.dgiwg.org/FAD/fdd/view?i=118806</v>
      </c>
      <c r="L9523" s="36" t="s">
        <v>51473</v>
      </c>
      <c r="M9523" s="186"/>
      <c r="N9523" s="186"/>
      <c r="O9523" s="172"/>
    </row>
    <row r="9524" spans="1:15" ht="38.25" x14ac:dyDescent="0.2">
      <c r="A9524" s="197" t="str">
        <f t="shared" si="148"/>
        <v>SteCode_subductionZone</v>
      </c>
      <c r="B9524" s="409"/>
      <c r="C9524" s="416"/>
      <c r="D9524" s="198" t="s">
        <v>51474</v>
      </c>
      <c r="E9524" s="198">
        <v>13</v>
      </c>
      <c r="F9524" s="199" t="s">
        <v>51475</v>
      </c>
      <c r="G9524" s="1" t="s">
        <v>51476</v>
      </c>
      <c r="H9524" s="200"/>
      <c r="I9524" s="346"/>
      <c r="J9524" s="39">
        <v>118807</v>
      </c>
      <c r="K9524" s="36" t="str">
        <f>CONCATENATE(Cover!$D$6,"fdd/view?i=",J9524)</f>
        <v>https://www.dgiwg.org/FAD/fdd/view?i=118807</v>
      </c>
      <c r="L9524" s="36" t="s">
        <v>51477</v>
      </c>
      <c r="M9524" s="186"/>
      <c r="N9524" s="186"/>
      <c r="O9524" s="172"/>
    </row>
    <row r="9525" spans="1:15" ht="25.5" x14ac:dyDescent="0.2">
      <c r="A9525" s="203" t="str">
        <f t="shared" si="148"/>
        <v>SteCode_thrustFault</v>
      </c>
      <c r="B9525" s="410"/>
      <c r="C9525" s="417"/>
      <c r="D9525" s="204" t="s">
        <v>51478</v>
      </c>
      <c r="E9525" s="204">
        <v>14</v>
      </c>
      <c r="F9525" s="205" t="s">
        <v>51479</v>
      </c>
      <c r="G9525" s="206" t="s">
        <v>51480</v>
      </c>
      <c r="H9525" s="207"/>
      <c r="I9525" s="347"/>
      <c r="J9525" s="39">
        <v>118808</v>
      </c>
      <c r="K9525" s="36" t="str">
        <f>CONCATENATE(Cover!$D$6,"fdd/view?i=",J9525)</f>
        <v>https://www.dgiwg.org/FAD/fdd/view?i=118808</v>
      </c>
      <c r="L9525" s="36" t="s">
        <v>51481</v>
      </c>
      <c r="M9525" s="186"/>
      <c r="N9525" s="186"/>
      <c r="O9525" s="172"/>
    </row>
    <row r="9526" spans="1:15" ht="51" x14ac:dyDescent="0.2">
      <c r="A9526" s="190" t="str">
        <f t="shared" si="148"/>
        <v>TelCode_optical</v>
      </c>
      <c r="B9526" s="414" t="str">
        <f>HYPERLINK("[#]Datatypes!A1510:L1510","TelCode")</f>
        <v>TelCode</v>
      </c>
      <c r="C9526" s="415" t="s">
        <v>16136</v>
      </c>
      <c r="D9526" s="221" t="s">
        <v>51482</v>
      </c>
      <c r="E9526" s="221">
        <v>1</v>
      </c>
      <c r="F9526" s="222" t="s">
        <v>51483</v>
      </c>
      <c r="G9526" s="223" t="s">
        <v>51484</v>
      </c>
      <c r="H9526" s="224"/>
      <c r="I9526" s="345"/>
      <c r="J9526" s="39">
        <v>108443</v>
      </c>
      <c r="K9526" s="36" t="str">
        <f>CONCATENATE(Cover!$D$6,"fdd/view?i=",J9526)</f>
        <v>https://www.dgiwg.org/FAD/fdd/view?i=108443</v>
      </c>
      <c r="L9526" s="36" t="s">
        <v>51485</v>
      </c>
      <c r="M9526" s="186"/>
      <c r="N9526" s="186"/>
      <c r="O9526" s="172"/>
    </row>
    <row r="9527" spans="1:15" ht="38.25" x14ac:dyDescent="0.2">
      <c r="A9527" s="197" t="str">
        <f t="shared" si="148"/>
        <v>TelCode_parabolicRadioAerial</v>
      </c>
      <c r="B9527" s="409"/>
      <c r="C9527" s="416"/>
      <c r="D9527" s="198" t="s">
        <v>51486</v>
      </c>
      <c r="E9527" s="198">
        <v>2</v>
      </c>
      <c r="F9527" s="199" t="s">
        <v>51487</v>
      </c>
      <c r="G9527" s="1" t="s">
        <v>51488</v>
      </c>
      <c r="H9527" s="200"/>
      <c r="I9527" s="346"/>
      <c r="J9527" s="39">
        <v>108444</v>
      </c>
      <c r="K9527" s="36" t="str">
        <f>CONCATENATE(Cover!$D$6,"fdd/view?i=",J9527)</f>
        <v>https://www.dgiwg.org/FAD/fdd/view?i=108444</v>
      </c>
      <c r="L9527" s="36" t="s">
        <v>51489</v>
      </c>
      <c r="M9527" s="186"/>
      <c r="N9527" s="186"/>
      <c r="O9527" s="172"/>
    </row>
    <row r="9528" spans="1:15" ht="38.25" x14ac:dyDescent="0.2">
      <c r="A9528" s="203" t="str">
        <f t="shared" si="148"/>
        <v>TelCode_radioAerialArray</v>
      </c>
      <c r="B9528" s="410"/>
      <c r="C9528" s="417"/>
      <c r="D9528" s="204" t="s">
        <v>51490</v>
      </c>
      <c r="E9528" s="204">
        <v>3</v>
      </c>
      <c r="F9528" s="205" t="s">
        <v>51491</v>
      </c>
      <c r="G9528" s="206" t="s">
        <v>51492</v>
      </c>
      <c r="H9528" s="207"/>
      <c r="I9528" s="347"/>
      <c r="J9528" s="39">
        <v>108445</v>
      </c>
      <c r="K9528" s="36" t="str">
        <f>CONCATENATE(Cover!$D$6,"fdd/view?i=",J9528)</f>
        <v>https://www.dgiwg.org/FAD/fdd/view?i=108445</v>
      </c>
      <c r="L9528" s="36" t="s">
        <v>51493</v>
      </c>
      <c r="M9528" s="186"/>
      <c r="N9528" s="186"/>
      <c r="O9528" s="172"/>
    </row>
    <row r="9529" spans="1:15" ht="38.25" x14ac:dyDescent="0.2">
      <c r="A9529" s="190" t="str">
        <f t="shared" si="148"/>
        <v>TaaCode_leftBase</v>
      </c>
      <c r="B9529" s="414" t="str">
        <f>HYPERLINK("[#]Datatypes!A1512:L1512","TaaCode")</f>
        <v>TaaCode</v>
      </c>
      <c r="C9529" s="415" t="s">
        <v>16138</v>
      </c>
      <c r="D9529" s="221" t="s">
        <v>51494</v>
      </c>
      <c r="E9529" s="221">
        <v>2</v>
      </c>
      <c r="F9529" s="222" t="s">
        <v>51495</v>
      </c>
      <c r="G9529" s="223" t="s">
        <v>51496</v>
      </c>
      <c r="H9529" s="224"/>
      <c r="I9529" s="345"/>
      <c r="J9529" s="39">
        <v>116605</v>
      </c>
      <c r="K9529" s="36" t="str">
        <f>CONCATENATE(Cover!$D$6,"fdd/view?i=",J9529)</f>
        <v>https://www.dgiwg.org/FAD/fdd/view?i=116605</v>
      </c>
      <c r="L9529" s="36" t="s">
        <v>51497</v>
      </c>
      <c r="M9529" s="186"/>
      <c r="N9529" s="186"/>
      <c r="O9529" s="172"/>
    </row>
    <row r="9530" spans="1:15" ht="38.25" x14ac:dyDescent="0.2">
      <c r="A9530" s="197" t="str">
        <f t="shared" si="148"/>
        <v>TaaCode_rightBase</v>
      </c>
      <c r="B9530" s="409"/>
      <c r="C9530" s="416"/>
      <c r="D9530" s="198" t="s">
        <v>51498</v>
      </c>
      <c r="E9530" s="198">
        <v>3</v>
      </c>
      <c r="F9530" s="199" t="s">
        <v>51499</v>
      </c>
      <c r="G9530" s="1" t="s">
        <v>51500</v>
      </c>
      <c r="H9530" s="200"/>
      <c r="I9530" s="346"/>
      <c r="J9530" s="39">
        <v>116606</v>
      </c>
      <c r="K9530" s="36" t="str">
        <f>CONCATENATE(Cover!$D$6,"fdd/view?i=",J9530)</f>
        <v>https://www.dgiwg.org/FAD/fdd/view?i=116606</v>
      </c>
      <c r="L9530" s="36" t="s">
        <v>51501</v>
      </c>
      <c r="M9530" s="186"/>
      <c r="N9530" s="186"/>
      <c r="O9530" s="172"/>
    </row>
    <row r="9531" spans="1:15" ht="38.25" x14ac:dyDescent="0.2">
      <c r="A9531" s="203" t="str">
        <f t="shared" si="148"/>
        <v>TaaCode_straightIn</v>
      </c>
      <c r="B9531" s="410"/>
      <c r="C9531" s="417"/>
      <c r="D9531" s="204" t="s">
        <v>31893</v>
      </c>
      <c r="E9531" s="204">
        <v>1</v>
      </c>
      <c r="F9531" s="205" t="s">
        <v>31894</v>
      </c>
      <c r="G9531" s="206" t="s">
        <v>51502</v>
      </c>
      <c r="H9531" s="207"/>
      <c r="I9531" s="347"/>
      <c r="J9531" s="39">
        <v>116607</v>
      </c>
      <c r="K9531" s="36" t="str">
        <f>CONCATENATE(Cover!$D$6,"fdd/view?i=",J9531)</f>
        <v>https://www.dgiwg.org/FAD/fdd/view?i=116607</v>
      </c>
      <c r="L9531" s="36" t="s">
        <v>51503</v>
      </c>
      <c r="M9531" s="186"/>
      <c r="N9531" s="186"/>
      <c r="O9531" s="172"/>
    </row>
    <row r="9532" spans="1:15" ht="25.5" x14ac:dyDescent="0.2">
      <c r="A9532" s="190" t="str">
        <f t="shared" si="148"/>
        <v>TftCode_cliff</v>
      </c>
      <c r="B9532" s="414" t="str">
        <f>HYPERLINK("[#]Datatypes!A1520:L1520","TftCode")</f>
        <v>TftCode</v>
      </c>
      <c r="C9532" s="415" t="s">
        <v>16149</v>
      </c>
      <c r="D9532" s="221" t="s">
        <v>51504</v>
      </c>
      <c r="E9532" s="221">
        <v>1</v>
      </c>
      <c r="F9532" s="222" t="s">
        <v>51505</v>
      </c>
      <c r="G9532" s="223" t="s">
        <v>51506</v>
      </c>
      <c r="H9532" s="224"/>
      <c r="I9532" s="345"/>
      <c r="J9532" s="39">
        <v>114341</v>
      </c>
      <c r="K9532" s="36" t="str">
        <f>CONCATENATE(Cover!$D$6,"fdd/view?i=",J9532)</f>
        <v>https://www.dgiwg.org/FAD/fdd/view?i=114341</v>
      </c>
      <c r="L9532" s="36" t="s">
        <v>51507</v>
      </c>
      <c r="M9532" s="186"/>
      <c r="N9532" s="186"/>
      <c r="O9532" s="172"/>
    </row>
    <row r="9533" spans="1:15" ht="25.5" x14ac:dyDescent="0.2">
      <c r="A9533" s="203" t="str">
        <f t="shared" si="148"/>
        <v>TftCode_escarpment</v>
      </c>
      <c r="B9533" s="410"/>
      <c r="C9533" s="417"/>
      <c r="D9533" s="204" t="s">
        <v>51508</v>
      </c>
      <c r="E9533" s="204">
        <v>2</v>
      </c>
      <c r="F9533" s="205" t="s">
        <v>51509</v>
      </c>
      <c r="G9533" s="206" t="s">
        <v>51510</v>
      </c>
      <c r="H9533" s="207"/>
      <c r="I9533" s="347"/>
      <c r="J9533" s="39">
        <v>114342</v>
      </c>
      <c r="K9533" s="36" t="str">
        <f>CONCATENATE(Cover!$D$6,"fdd/view?i=",J9533)</f>
        <v>https://www.dgiwg.org/FAD/fdd/view?i=114342</v>
      </c>
      <c r="L9533" s="36" t="s">
        <v>51511</v>
      </c>
      <c r="M9533" s="186"/>
      <c r="N9533" s="186"/>
      <c r="O9533" s="172"/>
    </row>
    <row r="9534" spans="1:15" ht="25.5" x14ac:dyDescent="0.2">
      <c r="A9534" s="190" t="str">
        <f t="shared" si="148"/>
        <v>SrdCode_activeSandDunes</v>
      </c>
      <c r="B9534" s="414" t="str">
        <f>HYPERLINK("[#]Datatypes!A1522:L1522","SrdCode")</f>
        <v>SrdCode</v>
      </c>
      <c r="C9534" s="415" t="s">
        <v>16151</v>
      </c>
      <c r="D9534" s="221" t="s">
        <v>51512</v>
      </c>
      <c r="E9534" s="221">
        <v>41</v>
      </c>
      <c r="F9534" s="222" t="s">
        <v>51513</v>
      </c>
      <c r="G9534" s="223" t="s">
        <v>51514</v>
      </c>
      <c r="H9534" s="224"/>
      <c r="I9534" s="345"/>
      <c r="J9534" s="39">
        <v>108036</v>
      </c>
      <c r="K9534" s="36" t="str">
        <f>CONCATENATE(Cover!$D$6,"fdd/view?i=",J9534)</f>
        <v>https://www.dgiwg.org/FAD/fdd/view?i=108036</v>
      </c>
      <c r="L9534" s="36" t="s">
        <v>51515</v>
      </c>
      <c r="M9534" s="186"/>
      <c r="N9534" s="186"/>
      <c r="O9534" s="172"/>
    </row>
    <row r="9535" spans="1:15" ht="25.5" x14ac:dyDescent="0.2">
      <c r="A9535" s="197" t="str">
        <f t="shared" si="148"/>
        <v>SrdCode_alluvial</v>
      </c>
      <c r="B9535" s="409"/>
      <c r="C9535" s="416"/>
      <c r="D9535" s="198" t="s">
        <v>51516</v>
      </c>
      <c r="E9535" s="198">
        <v>96</v>
      </c>
      <c r="F9535" s="199" t="s">
        <v>51517</v>
      </c>
      <c r="G9535" s="1" t="s">
        <v>51518</v>
      </c>
      <c r="H9535" s="1" t="s">
        <v>51519</v>
      </c>
      <c r="I9535" s="346"/>
      <c r="J9535" s="39">
        <v>112911</v>
      </c>
      <c r="K9535" s="36" t="str">
        <f>CONCATENATE(Cover!$D$6,"fdd/view?i=",J9535)</f>
        <v>https://www.dgiwg.org/FAD/fdd/view?i=112911</v>
      </c>
      <c r="L9535" s="36" t="s">
        <v>51520</v>
      </c>
      <c r="M9535" s="186"/>
      <c r="N9535" s="186"/>
      <c r="O9535" s="172"/>
    </row>
    <row r="9536" spans="1:15" x14ac:dyDescent="0.2">
      <c r="A9536" s="197" t="str">
        <f t="shared" si="148"/>
        <v>SrdCode_angular</v>
      </c>
      <c r="B9536" s="409"/>
      <c r="C9536" s="416"/>
      <c r="D9536" s="198" t="s">
        <v>51521</v>
      </c>
      <c r="E9536" s="198">
        <v>5</v>
      </c>
      <c r="F9536" s="199" t="s">
        <v>51522</v>
      </c>
      <c r="G9536" s="1" t="s">
        <v>51523</v>
      </c>
      <c r="H9536" s="200"/>
      <c r="I9536" s="346"/>
      <c r="J9536" s="39">
        <v>108014</v>
      </c>
      <c r="K9536" s="36" t="str">
        <f>CONCATENATE(Cover!$D$6,"fdd/view?i=",J9536)</f>
        <v>https://www.dgiwg.org/FAD/fdd/view?i=108014</v>
      </c>
      <c r="L9536" s="36" t="s">
        <v>51524</v>
      </c>
      <c r="M9536" s="186"/>
      <c r="N9536" s="186"/>
      <c r="O9536" s="172"/>
    </row>
    <row r="9537" spans="1:15" ht="25.5" x14ac:dyDescent="0.2">
      <c r="A9537" s="197" t="str">
        <f t="shared" si="148"/>
        <v>SrdCode_boulderField</v>
      </c>
      <c r="B9537" s="409"/>
      <c r="C9537" s="416"/>
      <c r="D9537" s="198" t="s">
        <v>51525</v>
      </c>
      <c r="E9537" s="198">
        <v>20</v>
      </c>
      <c r="F9537" s="199" t="s">
        <v>51526</v>
      </c>
      <c r="G9537" s="1" t="s">
        <v>51527</v>
      </c>
      <c r="H9537" s="1" t="s">
        <v>51528</v>
      </c>
      <c r="I9537" s="346"/>
      <c r="J9537" s="39">
        <v>108025</v>
      </c>
      <c r="K9537" s="36" t="str">
        <f>CONCATENATE(Cover!$D$6,"fdd/view?i=",J9537)</f>
        <v>https://www.dgiwg.org/FAD/fdd/view?i=108025</v>
      </c>
      <c r="L9537" s="36" t="s">
        <v>51529</v>
      </c>
      <c r="M9537" s="186"/>
      <c r="N9537" s="186"/>
      <c r="O9537" s="172"/>
    </row>
    <row r="9538" spans="1:15" ht="25.5" x14ac:dyDescent="0.2">
      <c r="A9538" s="197" t="str">
        <f t="shared" ref="A9538:A9601" si="149">HYPERLINK(K9538,L9538)</f>
        <v>SrdCode_deepErosionalGullies</v>
      </c>
      <c r="B9538" s="409"/>
      <c r="C9538" s="416"/>
      <c r="D9538" s="198" t="s">
        <v>51530</v>
      </c>
      <c r="E9538" s="198">
        <v>56</v>
      </c>
      <c r="F9538" s="199" t="s">
        <v>51531</v>
      </c>
      <c r="G9538" s="1" t="s">
        <v>51532</v>
      </c>
      <c r="H9538" s="200"/>
      <c r="I9538" s="346"/>
      <c r="J9538" s="39">
        <v>108044</v>
      </c>
      <c r="K9538" s="36" t="str">
        <f>CONCATENATE(Cover!$D$6,"fdd/view?i=",J9538)</f>
        <v>https://www.dgiwg.org/FAD/fdd/view?i=108044</v>
      </c>
      <c r="L9538" s="36" t="s">
        <v>51533</v>
      </c>
      <c r="M9538" s="186"/>
      <c r="N9538" s="186"/>
      <c r="O9538" s="172"/>
    </row>
    <row r="9539" spans="1:15" ht="25.5" x14ac:dyDescent="0.2">
      <c r="A9539" s="197" t="str">
        <f t="shared" si="149"/>
        <v>SrdCode_dissectedFloodplain</v>
      </c>
      <c r="B9539" s="409"/>
      <c r="C9539" s="416"/>
      <c r="D9539" s="198" t="s">
        <v>51534</v>
      </c>
      <c r="E9539" s="198">
        <v>54</v>
      </c>
      <c r="F9539" s="199" t="s">
        <v>51535</v>
      </c>
      <c r="G9539" s="1" t="s">
        <v>51536</v>
      </c>
      <c r="H9539" s="200"/>
      <c r="I9539" s="346"/>
      <c r="J9539" s="39">
        <v>108042</v>
      </c>
      <c r="K9539" s="36" t="str">
        <f>CONCATENATE(Cover!$D$6,"fdd/view?i=",J9539)</f>
        <v>https://www.dgiwg.org/FAD/fdd/view?i=108042</v>
      </c>
      <c r="L9539" s="36" t="s">
        <v>51537</v>
      </c>
      <c r="M9539" s="186"/>
      <c r="N9539" s="186"/>
      <c r="O9539" s="172"/>
    </row>
    <row r="9540" spans="1:15" ht="51" x14ac:dyDescent="0.2">
      <c r="A9540" s="197" t="str">
        <f t="shared" si="149"/>
        <v>SrdCode_eroded</v>
      </c>
      <c r="B9540" s="409"/>
      <c r="C9540" s="416"/>
      <c r="D9540" s="198" t="s">
        <v>51538</v>
      </c>
      <c r="E9540" s="198">
        <v>109</v>
      </c>
      <c r="F9540" s="199" t="s">
        <v>51539</v>
      </c>
      <c r="G9540" s="1" t="s">
        <v>51540</v>
      </c>
      <c r="H9540" s="200"/>
      <c r="I9540" s="346"/>
      <c r="J9540" s="39">
        <v>112910</v>
      </c>
      <c r="K9540" s="36" t="str">
        <f>CONCATENATE(Cover!$D$6,"fdd/view?i=",J9540)</f>
        <v>https://www.dgiwg.org/FAD/fdd/view?i=112910</v>
      </c>
      <c r="L9540" s="36" t="s">
        <v>51541</v>
      </c>
      <c r="M9540" s="186"/>
      <c r="N9540" s="186"/>
      <c r="O9540" s="172"/>
    </row>
    <row r="9541" spans="1:15" x14ac:dyDescent="0.2">
      <c r="A9541" s="197" t="str">
        <f t="shared" si="149"/>
        <v>SrdCode_fanShaped</v>
      </c>
      <c r="B9541" s="409"/>
      <c r="C9541" s="416"/>
      <c r="D9541" s="198" t="s">
        <v>51542</v>
      </c>
      <c r="E9541" s="198">
        <v>98</v>
      </c>
      <c r="F9541" s="199" t="s">
        <v>51543</v>
      </c>
      <c r="G9541" s="1" t="s">
        <v>51544</v>
      </c>
      <c r="H9541" s="1" t="s">
        <v>51545</v>
      </c>
      <c r="I9541" s="346"/>
      <c r="J9541" s="39">
        <v>112913</v>
      </c>
      <c r="K9541" s="36" t="str">
        <f>CONCATENATE(Cover!$D$6,"fdd/view?i=",J9541)</f>
        <v>https://www.dgiwg.org/FAD/fdd/view?i=112913</v>
      </c>
      <c r="L9541" s="36" t="s">
        <v>51546</v>
      </c>
      <c r="M9541" s="186"/>
      <c r="N9541" s="186"/>
      <c r="O9541" s="172"/>
    </row>
    <row r="9542" spans="1:15" x14ac:dyDescent="0.2">
      <c r="A9542" s="197" t="str">
        <f t="shared" si="149"/>
        <v>SrdCode_flat</v>
      </c>
      <c r="B9542" s="409"/>
      <c r="C9542" s="416"/>
      <c r="D9542" s="198" t="s">
        <v>46136</v>
      </c>
      <c r="E9542" s="198">
        <v>99</v>
      </c>
      <c r="F9542" s="199" t="s">
        <v>46137</v>
      </c>
      <c r="G9542" s="1" t="s">
        <v>51547</v>
      </c>
      <c r="H9542" s="200"/>
      <c r="I9542" s="346"/>
      <c r="J9542" s="39">
        <v>112914</v>
      </c>
      <c r="K9542" s="36" t="str">
        <f>CONCATENATE(Cover!$D$6,"fdd/view?i=",J9542)</f>
        <v>https://www.dgiwg.org/FAD/fdd/view?i=112914</v>
      </c>
      <c r="L9542" s="36" t="s">
        <v>51548</v>
      </c>
      <c r="M9542" s="186"/>
      <c r="N9542" s="186"/>
      <c r="O9542" s="172"/>
    </row>
    <row r="9543" spans="1:15" ht="25.5" x14ac:dyDescent="0.2">
      <c r="A9543" s="197" t="str">
        <f t="shared" si="149"/>
        <v>SrdCode_frostPolygons</v>
      </c>
      <c r="B9543" s="409"/>
      <c r="C9543" s="416"/>
      <c r="D9543" s="198" t="s">
        <v>51549</v>
      </c>
      <c r="E9543" s="198">
        <v>67</v>
      </c>
      <c r="F9543" s="199" t="s">
        <v>51550</v>
      </c>
      <c r="G9543" s="1" t="s">
        <v>51551</v>
      </c>
      <c r="H9543" s="200"/>
      <c r="I9543" s="346"/>
      <c r="J9543" s="39">
        <v>108055</v>
      </c>
      <c r="K9543" s="36" t="str">
        <f>CONCATENATE(Cover!$D$6,"fdd/view?i=",J9543)</f>
        <v>https://www.dgiwg.org/FAD/fdd/view?i=108055</v>
      </c>
      <c r="L9543" s="36" t="s">
        <v>51552</v>
      </c>
      <c r="M9543" s="186"/>
      <c r="N9543" s="186"/>
      <c r="O9543" s="172"/>
    </row>
    <row r="9544" spans="1:15" x14ac:dyDescent="0.2">
      <c r="A9544" s="197" t="str">
        <f t="shared" si="149"/>
        <v>SrdCode_gravelPits</v>
      </c>
      <c r="B9544" s="409"/>
      <c r="C9544" s="416"/>
      <c r="D9544" s="198" t="s">
        <v>51553</v>
      </c>
      <c r="E9544" s="198">
        <v>84</v>
      </c>
      <c r="F9544" s="199" t="s">
        <v>51554</v>
      </c>
      <c r="G9544" s="1" t="s">
        <v>51555</v>
      </c>
      <c r="H9544" s="200"/>
      <c r="I9544" s="346"/>
      <c r="J9544" s="39">
        <v>108062</v>
      </c>
      <c r="K9544" s="36" t="str">
        <f>CONCATENATE(Cover!$D$6,"fdd/view?i=",J9544)</f>
        <v>https://www.dgiwg.org/FAD/fdd/view?i=108062</v>
      </c>
      <c r="L9544" s="36" t="s">
        <v>51556</v>
      </c>
      <c r="M9544" s="186"/>
      <c r="N9544" s="186"/>
      <c r="O9544" s="172"/>
    </row>
    <row r="9545" spans="1:15" ht="38.25" x14ac:dyDescent="0.2">
      <c r="A9545" s="197" t="str">
        <f t="shared" si="149"/>
        <v>SrdCode_groundMovementArea</v>
      </c>
      <c r="B9545" s="409"/>
      <c r="C9545" s="416"/>
      <c r="D9545" s="198" t="s">
        <v>51557</v>
      </c>
      <c r="E9545" s="198">
        <v>108</v>
      </c>
      <c r="F9545" s="199" t="s">
        <v>3418</v>
      </c>
      <c r="G9545" s="1" t="s">
        <v>51558</v>
      </c>
      <c r="H9545" s="200"/>
      <c r="I9545" s="346"/>
      <c r="J9545" s="39">
        <v>112909</v>
      </c>
      <c r="K9545" s="36" t="str">
        <f>CONCATENATE(Cover!$D$6,"fdd/view?i=",J9545)</f>
        <v>https://www.dgiwg.org/FAD/fdd/view?i=112909</v>
      </c>
      <c r="L9545" s="36" t="s">
        <v>51559</v>
      </c>
      <c r="M9545" s="186"/>
      <c r="N9545" s="186"/>
      <c r="O9545" s="172"/>
    </row>
    <row r="9546" spans="1:15" ht="25.5" x14ac:dyDescent="0.2">
      <c r="A9546" s="197" t="str">
        <f t="shared" si="149"/>
        <v>SrdCode_highlyDissected</v>
      </c>
      <c r="B9546" s="409"/>
      <c r="C9546" s="416"/>
      <c r="D9546" s="198" t="s">
        <v>51564</v>
      </c>
      <c r="E9546" s="198">
        <v>55</v>
      </c>
      <c r="F9546" s="199" t="s">
        <v>51565</v>
      </c>
      <c r="G9546" s="1" t="s">
        <v>51566</v>
      </c>
      <c r="H9546" s="200"/>
      <c r="I9546" s="346"/>
      <c r="J9546" s="39">
        <v>108043</v>
      </c>
      <c r="K9546" s="36" t="str">
        <f>CONCATENATE(Cover!$D$6,"fdd/view?i=",J9546)</f>
        <v>https://www.dgiwg.org/FAD/fdd/view?i=108043</v>
      </c>
      <c r="L9546" s="36" t="s">
        <v>51567</v>
      </c>
      <c r="M9546" s="186"/>
      <c r="N9546" s="186"/>
      <c r="O9546" s="172"/>
    </row>
    <row r="9547" spans="1:15" ht="25.5" x14ac:dyDescent="0.2">
      <c r="A9547" s="197" t="str">
        <f t="shared" si="149"/>
        <v>SrdCode_highlyDistortedSharpRocky</v>
      </c>
      <c r="B9547" s="409"/>
      <c r="C9547" s="416"/>
      <c r="D9547" s="198" t="s">
        <v>51568</v>
      </c>
      <c r="E9547" s="198">
        <v>43</v>
      </c>
      <c r="F9547" s="199" t="s">
        <v>51569</v>
      </c>
      <c r="G9547" s="1" t="s">
        <v>51570</v>
      </c>
      <c r="H9547" s="200"/>
      <c r="I9547" s="346"/>
      <c r="J9547" s="39">
        <v>108038</v>
      </c>
      <c r="K9547" s="36" t="str">
        <f>CONCATENATE(Cover!$D$6,"fdd/view?i=",J9547)</f>
        <v>https://www.dgiwg.org/FAD/fdd/view?i=108038</v>
      </c>
      <c r="L9547" s="36" t="s">
        <v>51571</v>
      </c>
      <c r="M9547" s="186"/>
      <c r="N9547" s="186"/>
      <c r="O9547" s="172"/>
    </row>
    <row r="9548" spans="1:15" ht="25.5" x14ac:dyDescent="0.2">
      <c r="A9548" s="197" t="str">
        <f t="shared" si="149"/>
        <v>SrdCode_highlyFracturedRock</v>
      </c>
      <c r="B9548" s="409"/>
      <c r="C9548" s="416"/>
      <c r="D9548" s="198" t="s">
        <v>51572</v>
      </c>
      <c r="E9548" s="198">
        <v>31</v>
      </c>
      <c r="F9548" s="199" t="s">
        <v>51573</v>
      </c>
      <c r="G9548" s="1" t="s">
        <v>51574</v>
      </c>
      <c r="H9548" s="200"/>
      <c r="I9548" s="346"/>
      <c r="J9548" s="39">
        <v>108026</v>
      </c>
      <c r="K9548" s="36" t="str">
        <f>CONCATENATE(Cover!$D$6,"fdd/view?i=",J9548)</f>
        <v>https://www.dgiwg.org/FAD/fdd/view?i=108026</v>
      </c>
      <c r="L9548" s="36" t="s">
        <v>51575</v>
      </c>
      <c r="M9548" s="186"/>
      <c r="N9548" s="186"/>
      <c r="O9548" s="172"/>
    </row>
    <row r="9549" spans="1:15" ht="25.5" x14ac:dyDescent="0.2">
      <c r="A9549" s="197" t="str">
        <f t="shared" si="149"/>
        <v>SrdCode_highSandDunes</v>
      </c>
      <c r="B9549" s="409"/>
      <c r="C9549" s="416"/>
      <c r="D9549" s="198" t="s">
        <v>51560</v>
      </c>
      <c r="E9549" s="198">
        <v>40</v>
      </c>
      <c r="F9549" s="199" t="s">
        <v>51561</v>
      </c>
      <c r="G9549" s="1" t="s">
        <v>51562</v>
      </c>
      <c r="H9549" s="200"/>
      <c r="I9549" s="346"/>
      <c r="J9549" s="39">
        <v>108035</v>
      </c>
      <c r="K9549" s="36" t="str">
        <f>CONCATENATE(Cover!$D$6,"fdd/view?i=",J9549)</f>
        <v>https://www.dgiwg.org/FAD/fdd/view?i=108035</v>
      </c>
      <c r="L9549" s="36" t="s">
        <v>51563</v>
      </c>
      <c r="M9549" s="186"/>
      <c r="N9549" s="186"/>
      <c r="O9549" s="172"/>
    </row>
    <row r="9550" spans="1:15" ht="38.25" x14ac:dyDescent="0.2">
      <c r="A9550" s="197" t="str">
        <f t="shared" si="149"/>
        <v>SrdCode_hummocky</v>
      </c>
      <c r="B9550" s="409"/>
      <c r="C9550" s="416"/>
      <c r="D9550" s="198" t="s">
        <v>51576</v>
      </c>
      <c r="E9550" s="198">
        <v>100</v>
      </c>
      <c r="F9550" s="199" t="s">
        <v>51577</v>
      </c>
      <c r="G9550" s="1" t="s">
        <v>51578</v>
      </c>
      <c r="H9550" s="1" t="s">
        <v>51579</v>
      </c>
      <c r="I9550" s="351" t="s">
        <v>51580</v>
      </c>
      <c r="J9550" s="39">
        <v>112901</v>
      </c>
      <c r="K9550" s="36" t="str">
        <f>CONCATENATE(Cover!$D$6,"fdd/view?i=",J9550)</f>
        <v>https://www.dgiwg.org/FAD/fdd/view?i=112901</v>
      </c>
      <c r="L9550" s="36" t="s">
        <v>51581</v>
      </c>
      <c r="M9550" s="186"/>
      <c r="N9550" s="186"/>
      <c r="O9550" s="172"/>
    </row>
    <row r="9551" spans="1:15" ht="25.5" x14ac:dyDescent="0.2">
      <c r="A9551" s="197" t="str">
        <f t="shared" si="149"/>
        <v>SrdCode_hummockyFrostHeaves</v>
      </c>
      <c r="B9551" s="409"/>
      <c r="C9551" s="416"/>
      <c r="D9551" s="198" t="s">
        <v>51590</v>
      </c>
      <c r="E9551" s="198">
        <v>66</v>
      </c>
      <c r="F9551" s="199" t="s">
        <v>51591</v>
      </c>
      <c r="G9551" s="1" t="s">
        <v>51592</v>
      </c>
      <c r="H9551" s="200"/>
      <c r="I9551" s="346"/>
      <c r="J9551" s="39">
        <v>108054</v>
      </c>
      <c r="K9551" s="36" t="str">
        <f>CONCATENATE(Cover!$D$6,"fdd/view?i=",J9551)</f>
        <v>https://www.dgiwg.org/FAD/fdd/view?i=108054</v>
      </c>
      <c r="L9551" s="36" t="s">
        <v>51593</v>
      </c>
      <c r="M9551" s="186"/>
      <c r="N9551" s="186"/>
      <c r="O9551" s="172"/>
    </row>
    <row r="9552" spans="1:15" ht="25.5" x14ac:dyDescent="0.2">
      <c r="A9552" s="197" t="str">
        <f t="shared" si="149"/>
        <v>SrdCode_hummockyKarstLargeHills</v>
      </c>
      <c r="B9552" s="409"/>
      <c r="C9552" s="416"/>
      <c r="D9552" s="198" t="s">
        <v>51582</v>
      </c>
      <c r="E9552" s="198">
        <v>60</v>
      </c>
      <c r="F9552" s="199" t="s">
        <v>51583</v>
      </c>
      <c r="G9552" s="1" t="s">
        <v>51584</v>
      </c>
      <c r="H9552" s="200"/>
      <c r="I9552" s="346"/>
      <c r="J9552" s="39">
        <v>108048</v>
      </c>
      <c r="K9552" s="36" t="str">
        <f>CONCATENATE(Cover!$D$6,"fdd/view?i=",J9552)</f>
        <v>https://www.dgiwg.org/FAD/fdd/view?i=108048</v>
      </c>
      <c r="L9552" s="36" t="s">
        <v>51585</v>
      </c>
      <c r="M9552" s="186"/>
      <c r="N9552" s="186"/>
      <c r="O9552" s="172"/>
    </row>
    <row r="9553" spans="1:15" ht="25.5" x14ac:dyDescent="0.2">
      <c r="A9553" s="197" t="str">
        <f t="shared" si="149"/>
        <v>SrdCode_hummockyKarstLowMounds</v>
      </c>
      <c r="B9553" s="409"/>
      <c r="C9553" s="416"/>
      <c r="D9553" s="198" t="s">
        <v>51586</v>
      </c>
      <c r="E9553" s="198">
        <v>61</v>
      </c>
      <c r="F9553" s="199" t="s">
        <v>51587</v>
      </c>
      <c r="G9553" s="1" t="s">
        <v>51588</v>
      </c>
      <c r="H9553" s="200"/>
      <c r="I9553" s="346"/>
      <c r="J9553" s="39">
        <v>108049</v>
      </c>
      <c r="K9553" s="36" t="str">
        <f>CONCATENATE(Cover!$D$6,"fdd/view?i=",J9553)</f>
        <v>https://www.dgiwg.org/FAD/fdd/view?i=108049</v>
      </c>
      <c r="L9553" s="36" t="s">
        <v>51589</v>
      </c>
      <c r="M9553" s="186"/>
      <c r="N9553" s="186"/>
      <c r="O9553" s="172"/>
    </row>
    <row r="9554" spans="1:15" ht="38.25" x14ac:dyDescent="0.2">
      <c r="A9554" s="197" t="str">
        <f t="shared" si="149"/>
        <v>SrdCode_irregularDeepFoliateFract</v>
      </c>
      <c r="B9554" s="409"/>
      <c r="C9554" s="416"/>
      <c r="D9554" s="198" t="s">
        <v>51594</v>
      </c>
      <c r="E9554" s="198">
        <v>35</v>
      </c>
      <c r="F9554" s="199" t="s">
        <v>51595</v>
      </c>
      <c r="G9554" s="1" t="s">
        <v>51596</v>
      </c>
      <c r="H9554" s="200"/>
      <c r="I9554" s="346"/>
      <c r="J9554" s="39">
        <v>108030</v>
      </c>
      <c r="K9554" s="36" t="str">
        <f>CONCATENATE(Cover!$D$6,"fdd/view?i=",J9554)</f>
        <v>https://www.dgiwg.org/FAD/fdd/view?i=108030</v>
      </c>
      <c r="L9554" s="36" t="s">
        <v>51597</v>
      </c>
      <c r="M9554" s="186"/>
      <c r="N9554" s="186"/>
      <c r="O9554" s="172"/>
    </row>
    <row r="9555" spans="1:15" ht="25.5" x14ac:dyDescent="0.2">
      <c r="A9555" s="197" t="str">
        <f t="shared" si="149"/>
        <v>SrdCode_karstNumerousSinkholes</v>
      </c>
      <c r="B9555" s="409"/>
      <c r="C9555" s="416"/>
      <c r="D9555" s="198" t="s">
        <v>51598</v>
      </c>
      <c r="E9555" s="198">
        <v>59</v>
      </c>
      <c r="F9555" s="199" t="s">
        <v>51599</v>
      </c>
      <c r="G9555" s="1" t="s">
        <v>51600</v>
      </c>
      <c r="H9555" s="200"/>
      <c r="I9555" s="346"/>
      <c r="J9555" s="39">
        <v>108047</v>
      </c>
      <c r="K9555" s="36" t="str">
        <f>CONCATENATE(Cover!$D$6,"fdd/view?i=",J9555)</f>
        <v>https://www.dgiwg.org/FAD/fdd/view?i=108047</v>
      </c>
      <c r="L9555" s="36" t="s">
        <v>51601</v>
      </c>
      <c r="M9555" s="186"/>
      <c r="N9555" s="186"/>
      <c r="O9555" s="172"/>
    </row>
    <row r="9556" spans="1:15" ht="38.25" x14ac:dyDescent="0.2">
      <c r="A9556" s="197" t="str">
        <f t="shared" si="149"/>
        <v>SrdCode_karstNumerousSinkSolValley</v>
      </c>
      <c r="B9556" s="409"/>
      <c r="C9556" s="416"/>
      <c r="D9556" s="198" t="s">
        <v>51602</v>
      </c>
      <c r="E9556" s="198">
        <v>58</v>
      </c>
      <c r="F9556" s="199" t="s">
        <v>51603</v>
      </c>
      <c r="G9556" s="1" t="s">
        <v>51604</v>
      </c>
      <c r="H9556" s="200"/>
      <c r="I9556" s="346"/>
      <c r="J9556" s="39">
        <v>108046</v>
      </c>
      <c r="K9556" s="36" t="str">
        <f>CONCATENATE(Cover!$D$6,"fdd/view?i=",J9556)</f>
        <v>https://www.dgiwg.org/FAD/fdd/view?i=108046</v>
      </c>
      <c r="L9556" s="36" t="s">
        <v>51605</v>
      </c>
      <c r="M9556" s="186"/>
      <c r="N9556" s="186"/>
      <c r="O9556" s="172"/>
    </row>
    <row r="9557" spans="1:15" ht="25.5" x14ac:dyDescent="0.2">
      <c r="A9557" s="197" t="str">
        <f t="shared" si="149"/>
        <v>SrdCode_landslidePotential</v>
      </c>
      <c r="B9557" s="409"/>
      <c r="C9557" s="416"/>
      <c r="D9557" s="198" t="s">
        <v>51606</v>
      </c>
      <c r="E9557" s="198">
        <v>2</v>
      </c>
      <c r="F9557" s="199" t="s">
        <v>51607</v>
      </c>
      <c r="G9557" s="1" t="s">
        <v>51608</v>
      </c>
      <c r="H9557" s="200"/>
      <c r="I9557" s="346"/>
      <c r="J9557" s="39">
        <v>108011</v>
      </c>
      <c r="K9557" s="36" t="str">
        <f>CONCATENATE(Cover!$D$6,"fdd/view?i=",J9557)</f>
        <v>https://www.dgiwg.org/FAD/fdd/view?i=108011</v>
      </c>
      <c r="L9557" s="36" t="s">
        <v>51609</v>
      </c>
      <c r="M9557" s="186"/>
      <c r="N9557" s="186"/>
      <c r="O9557" s="172"/>
    </row>
    <row r="9558" spans="1:15" ht="25.5" x14ac:dyDescent="0.2">
      <c r="A9558" s="197" t="str">
        <f t="shared" si="149"/>
        <v>SrdCode_levelButUncohesive</v>
      </c>
      <c r="B9558" s="409"/>
      <c r="C9558" s="416"/>
      <c r="D9558" s="198" t="s">
        <v>51610</v>
      </c>
      <c r="E9558" s="198">
        <v>3</v>
      </c>
      <c r="F9558" s="199" t="s">
        <v>51611</v>
      </c>
      <c r="G9558" s="1" t="s">
        <v>51612</v>
      </c>
      <c r="H9558" s="200"/>
      <c r="I9558" s="346"/>
      <c r="J9558" s="39">
        <v>108012</v>
      </c>
      <c r="K9558" s="36" t="str">
        <f>CONCATENATE(Cover!$D$6,"fdd/view?i=",J9558)</f>
        <v>https://www.dgiwg.org/FAD/fdd/view?i=108012</v>
      </c>
      <c r="L9558" s="36" t="s">
        <v>51613</v>
      </c>
      <c r="M9558" s="186"/>
      <c r="N9558" s="186"/>
      <c r="O9558" s="172"/>
    </row>
    <row r="9559" spans="1:15" ht="25.5" x14ac:dyDescent="0.2">
      <c r="A9559" s="197" t="str">
        <f t="shared" si="149"/>
        <v>SrdCode_lowSandDunes</v>
      </c>
      <c r="B9559" s="409"/>
      <c r="C9559" s="416"/>
      <c r="D9559" s="198" t="s">
        <v>51614</v>
      </c>
      <c r="E9559" s="198">
        <v>39</v>
      </c>
      <c r="F9559" s="199" t="s">
        <v>51615</v>
      </c>
      <c r="G9559" s="1" t="s">
        <v>51616</v>
      </c>
      <c r="H9559" s="200"/>
      <c r="I9559" s="346"/>
      <c r="J9559" s="39">
        <v>108034</v>
      </c>
      <c r="K9559" s="36" t="str">
        <f>CONCATENATE(Cover!$D$6,"fdd/view?i=",J9559)</f>
        <v>https://www.dgiwg.org/FAD/fdd/view?i=108034</v>
      </c>
      <c r="L9559" s="36" t="s">
        <v>51617</v>
      </c>
      <c r="M9559" s="186"/>
      <c r="N9559" s="186"/>
      <c r="O9559" s="172"/>
    </row>
    <row r="9560" spans="1:15" ht="25.5" x14ac:dyDescent="0.2">
      <c r="A9560" s="197" t="str">
        <f t="shared" si="149"/>
        <v>SrdCode_meanderScarsLakes</v>
      </c>
      <c r="B9560" s="409"/>
      <c r="C9560" s="416"/>
      <c r="D9560" s="198" t="s">
        <v>51618</v>
      </c>
      <c r="E9560" s="198">
        <v>64</v>
      </c>
      <c r="F9560" s="199" t="s">
        <v>51619</v>
      </c>
      <c r="G9560" s="1" t="s">
        <v>51620</v>
      </c>
      <c r="H9560" s="200"/>
      <c r="I9560" s="346"/>
      <c r="J9560" s="39">
        <v>108052</v>
      </c>
      <c r="K9560" s="36" t="str">
        <f>CONCATENATE(Cover!$D$6,"fdd/view?i=",J9560)</f>
        <v>https://www.dgiwg.org/FAD/fdd/view?i=108052</v>
      </c>
      <c r="L9560" s="36" t="s">
        <v>51621</v>
      </c>
      <c r="M9560" s="186"/>
      <c r="N9560" s="186"/>
      <c r="O9560" s="172"/>
    </row>
    <row r="9561" spans="1:15" x14ac:dyDescent="0.2">
      <c r="A9561" s="197" t="str">
        <f t="shared" si="149"/>
        <v>SrdCode_mineTailings</v>
      </c>
      <c r="B9561" s="409"/>
      <c r="C9561" s="416"/>
      <c r="D9561" s="198" t="s">
        <v>51622</v>
      </c>
      <c r="E9561" s="198">
        <v>86</v>
      </c>
      <c r="F9561" s="199" t="s">
        <v>51623</v>
      </c>
      <c r="G9561" s="1" t="s">
        <v>51624</v>
      </c>
      <c r="H9561" s="200"/>
      <c r="I9561" s="351" t="s">
        <v>51625</v>
      </c>
      <c r="J9561" s="39">
        <v>108064</v>
      </c>
      <c r="K9561" s="36" t="str">
        <f>CONCATENATE(Cover!$D$6,"fdd/view?i=",J9561)</f>
        <v>https://www.dgiwg.org/FAD/fdd/view?i=108064</v>
      </c>
      <c r="L9561" s="36" t="s">
        <v>51626</v>
      </c>
      <c r="M9561" s="186"/>
      <c r="N9561" s="186"/>
      <c r="O9561" s="172"/>
    </row>
    <row r="9562" spans="1:15" ht="25.5" x14ac:dyDescent="0.2">
      <c r="A9562" s="197" t="str">
        <f t="shared" si="149"/>
        <v>SrdCode_moderatelyDissected</v>
      </c>
      <c r="B9562" s="409"/>
      <c r="C9562" s="416"/>
      <c r="D9562" s="198" t="s">
        <v>51627</v>
      </c>
      <c r="E9562" s="198">
        <v>52</v>
      </c>
      <c r="F9562" s="199" t="s">
        <v>51628</v>
      </c>
      <c r="G9562" s="1" t="s">
        <v>51629</v>
      </c>
      <c r="H9562" s="200"/>
      <c r="I9562" s="346"/>
      <c r="J9562" s="39">
        <v>108040</v>
      </c>
      <c r="K9562" s="36" t="str">
        <f>CONCATENATE(Cover!$D$6,"fdd/view?i=",J9562)</f>
        <v>https://www.dgiwg.org/FAD/fdd/view?i=108040</v>
      </c>
      <c r="L9562" s="36" t="s">
        <v>51630</v>
      </c>
      <c r="M9562" s="186"/>
      <c r="N9562" s="186"/>
      <c r="O9562" s="172"/>
    </row>
    <row r="9563" spans="1:15" ht="38.25" x14ac:dyDescent="0.2">
      <c r="A9563" s="197" t="str">
        <f t="shared" si="149"/>
        <v>SrdCode_moderatelyDissectScatRock</v>
      </c>
      <c r="B9563" s="409"/>
      <c r="C9563" s="416"/>
      <c r="D9563" s="198" t="s">
        <v>51631</v>
      </c>
      <c r="E9563" s="198">
        <v>53</v>
      </c>
      <c r="F9563" s="199" t="s">
        <v>51632</v>
      </c>
      <c r="G9563" s="1" t="s">
        <v>51633</v>
      </c>
      <c r="H9563" s="200"/>
      <c r="I9563" s="346"/>
      <c r="J9563" s="39">
        <v>108041</v>
      </c>
      <c r="K9563" s="36" t="str">
        <f>CONCATENATE(Cover!$D$6,"fdd/view?i=",J9563)</f>
        <v>https://www.dgiwg.org/FAD/fdd/view?i=108041</v>
      </c>
      <c r="L9563" s="36" t="s">
        <v>51634</v>
      </c>
      <c r="M9563" s="186"/>
      <c r="N9563" s="186"/>
      <c r="O9563" s="172"/>
    </row>
    <row r="9564" spans="1:15" x14ac:dyDescent="0.2">
      <c r="A9564" s="197" t="str">
        <f t="shared" si="149"/>
        <v>SrdCode_narrowPass</v>
      </c>
      <c r="B9564" s="409"/>
      <c r="C9564" s="416"/>
      <c r="D9564" s="198" t="s">
        <v>51635</v>
      </c>
      <c r="E9564" s="198">
        <v>101</v>
      </c>
      <c r="F9564" s="199" t="s">
        <v>51636</v>
      </c>
      <c r="G9564" s="1" t="s">
        <v>51637</v>
      </c>
      <c r="H9564" s="200"/>
      <c r="I9564" s="346"/>
      <c r="J9564" s="39">
        <v>112902</v>
      </c>
      <c r="K9564" s="36" t="str">
        <f>CONCATENATE(Cover!$D$6,"fdd/view?i=",J9564)</f>
        <v>https://www.dgiwg.org/FAD/fdd/view?i=112902</v>
      </c>
      <c r="L9564" s="36" t="s">
        <v>51638</v>
      </c>
      <c r="M9564" s="186"/>
      <c r="N9564" s="186"/>
      <c r="O9564" s="172"/>
    </row>
    <row r="9565" spans="1:15" ht="25.5" x14ac:dyDescent="0.2">
      <c r="A9565" s="197" t="str">
        <f t="shared" si="149"/>
        <v>SrdCode_noEffect</v>
      </c>
      <c r="B9565" s="409"/>
      <c r="C9565" s="416"/>
      <c r="D9565" s="198" t="s">
        <v>51639</v>
      </c>
      <c r="E9565" s="198">
        <v>1</v>
      </c>
      <c r="F9565" s="199" t="s">
        <v>51640</v>
      </c>
      <c r="G9565" s="1" t="s">
        <v>51641</v>
      </c>
      <c r="H9565" s="200"/>
      <c r="I9565" s="346"/>
      <c r="J9565" s="39">
        <v>108010</v>
      </c>
      <c r="K9565" s="36" t="str">
        <f>CONCATENATE(Cover!$D$6,"fdd/view?i=",J9565)</f>
        <v>https://www.dgiwg.org/FAD/fdd/view?i=108010</v>
      </c>
      <c r="L9565" s="36" t="s">
        <v>51642</v>
      </c>
      <c r="M9565" s="186"/>
      <c r="N9565" s="186"/>
      <c r="O9565" s="172"/>
    </row>
    <row r="9566" spans="1:15" ht="25.5" x14ac:dyDescent="0.2">
      <c r="A9566" s="197" t="str">
        <f t="shared" si="149"/>
        <v>SrdCode_numerousBoulders</v>
      </c>
      <c r="B9566" s="409"/>
      <c r="C9566" s="416"/>
      <c r="D9566" s="198" t="s">
        <v>51643</v>
      </c>
      <c r="E9566" s="198">
        <v>16</v>
      </c>
      <c r="F9566" s="199" t="s">
        <v>51644</v>
      </c>
      <c r="G9566" s="1" t="s">
        <v>51645</v>
      </c>
      <c r="H9566" s="1" t="s">
        <v>51528</v>
      </c>
      <c r="I9566" s="346"/>
      <c r="J9566" s="39">
        <v>108021</v>
      </c>
      <c r="K9566" s="36" t="str">
        <f>CONCATENATE(Cover!$D$6,"fdd/view?i=",J9566)</f>
        <v>https://www.dgiwg.org/FAD/fdd/view?i=108021</v>
      </c>
      <c r="L9566" s="36" t="s">
        <v>51646</v>
      </c>
      <c r="M9566" s="186"/>
      <c r="N9566" s="186"/>
      <c r="O9566" s="172"/>
    </row>
    <row r="9567" spans="1:15" ht="25.5" x14ac:dyDescent="0.2">
      <c r="A9567" s="197" t="str">
        <f t="shared" si="149"/>
        <v>SrdCode_numerousCobblesBoulders</v>
      </c>
      <c r="B9567" s="409"/>
      <c r="C9567" s="416"/>
      <c r="D9567" s="198" t="s">
        <v>51647</v>
      </c>
      <c r="E9567" s="198">
        <v>11</v>
      </c>
      <c r="F9567" s="199" t="s">
        <v>51648</v>
      </c>
      <c r="G9567" s="1" t="s">
        <v>51649</v>
      </c>
      <c r="H9567" s="1" t="s">
        <v>51650</v>
      </c>
      <c r="I9567" s="346"/>
      <c r="J9567" s="39">
        <v>108016</v>
      </c>
      <c r="K9567" s="36" t="str">
        <f>CONCATENATE(Cover!$D$6,"fdd/view?i=",J9567)</f>
        <v>https://www.dgiwg.org/FAD/fdd/view?i=108016</v>
      </c>
      <c r="L9567" s="36" t="s">
        <v>51651</v>
      </c>
      <c r="M9567" s="186"/>
      <c r="N9567" s="186"/>
      <c r="O9567" s="172"/>
    </row>
    <row r="9568" spans="1:15" ht="25.5" x14ac:dyDescent="0.2">
      <c r="A9568" s="197" t="str">
        <f t="shared" si="149"/>
        <v>SrdCode_numerousCrevasses</v>
      </c>
      <c r="B9568" s="409"/>
      <c r="C9568" s="416"/>
      <c r="D9568" s="198" t="s">
        <v>51652</v>
      </c>
      <c r="E9568" s="198">
        <v>70</v>
      </c>
      <c r="F9568" s="199" t="s">
        <v>51653</v>
      </c>
      <c r="G9568" s="1" t="s">
        <v>51654</v>
      </c>
      <c r="H9568" s="200"/>
      <c r="I9568" s="346"/>
      <c r="J9568" s="39">
        <v>108058</v>
      </c>
      <c r="K9568" s="36" t="str">
        <f>CONCATENATE(Cover!$D$6,"fdd/view?i=",J9568)</f>
        <v>https://www.dgiwg.org/FAD/fdd/view?i=108058</v>
      </c>
      <c r="L9568" s="36" t="s">
        <v>51655</v>
      </c>
      <c r="M9568" s="186"/>
      <c r="N9568" s="186"/>
      <c r="O9568" s="172"/>
    </row>
    <row r="9569" spans="1:15" ht="25.5" x14ac:dyDescent="0.2">
      <c r="A9569" s="197" t="str">
        <f t="shared" si="149"/>
        <v>SrdCode_numerousDykedFields</v>
      </c>
      <c r="B9569" s="409"/>
      <c r="C9569" s="416"/>
      <c r="D9569" s="198" t="s">
        <v>51656</v>
      </c>
      <c r="E9569" s="198">
        <v>89</v>
      </c>
      <c r="F9569" s="199" t="s">
        <v>51657</v>
      </c>
      <c r="G9569" s="1" t="s">
        <v>51658</v>
      </c>
      <c r="H9569" s="200"/>
      <c r="I9569" s="351" t="s">
        <v>51659</v>
      </c>
      <c r="J9569" s="39">
        <v>108067</v>
      </c>
      <c r="K9569" s="36" t="str">
        <f>CONCATENATE(Cover!$D$6,"fdd/view?i=",J9569)</f>
        <v>https://www.dgiwg.org/FAD/fdd/view?i=108067</v>
      </c>
      <c r="L9569" s="36" t="s">
        <v>51660</v>
      </c>
      <c r="M9569" s="186"/>
      <c r="N9569" s="186"/>
      <c r="O9569" s="172"/>
    </row>
    <row r="9570" spans="1:15" ht="25.5" x14ac:dyDescent="0.2">
      <c r="A9570" s="197" t="str">
        <f t="shared" si="149"/>
        <v>SrdCode_numerousDykes</v>
      </c>
      <c r="B9570" s="409"/>
      <c r="C9570" s="416"/>
      <c r="D9570" s="198" t="s">
        <v>51661</v>
      </c>
      <c r="E9570" s="198">
        <v>88</v>
      </c>
      <c r="F9570" s="199" t="s">
        <v>51662</v>
      </c>
      <c r="G9570" s="1" t="s">
        <v>51663</v>
      </c>
      <c r="H9570" s="200"/>
      <c r="I9570" s="351" t="s">
        <v>51664</v>
      </c>
      <c r="J9570" s="39">
        <v>108066</v>
      </c>
      <c r="K9570" s="36" t="str">
        <f>CONCATENATE(Cover!$D$6,"fdd/view?i=",J9570)</f>
        <v>https://www.dgiwg.org/FAD/fdd/view?i=108066</v>
      </c>
      <c r="L9570" s="36" t="s">
        <v>51665</v>
      </c>
      <c r="M9570" s="186"/>
      <c r="N9570" s="186"/>
      <c r="O9570" s="172"/>
    </row>
    <row r="9571" spans="1:15" ht="25.5" x14ac:dyDescent="0.2">
      <c r="A9571" s="197" t="str">
        <f t="shared" si="149"/>
        <v>SrdCode_numerousFences</v>
      </c>
      <c r="B9571" s="409"/>
      <c r="C9571" s="416"/>
      <c r="D9571" s="198" t="s">
        <v>51666</v>
      </c>
      <c r="E9571" s="198">
        <v>90</v>
      </c>
      <c r="F9571" s="199" t="s">
        <v>51667</v>
      </c>
      <c r="G9571" s="1" t="s">
        <v>51668</v>
      </c>
      <c r="H9571" s="1" t="s">
        <v>51669</v>
      </c>
      <c r="I9571" s="346"/>
      <c r="J9571" s="39">
        <v>108068</v>
      </c>
      <c r="K9571" s="36" t="str">
        <f>CONCATENATE(Cover!$D$6,"fdd/view?i=",J9571)</f>
        <v>https://www.dgiwg.org/FAD/fdd/view?i=108068</v>
      </c>
      <c r="L9571" s="36" t="s">
        <v>51670</v>
      </c>
      <c r="M9571" s="186"/>
      <c r="N9571" s="186"/>
      <c r="O9571" s="172"/>
    </row>
    <row r="9572" spans="1:15" ht="25.5" x14ac:dyDescent="0.2">
      <c r="A9572" s="197" t="str">
        <f t="shared" si="149"/>
        <v>SrdCode_numerousHedgerows</v>
      </c>
      <c r="B9572" s="409"/>
      <c r="C9572" s="416"/>
      <c r="D9572" s="198" t="s">
        <v>51671</v>
      </c>
      <c r="E9572" s="198">
        <v>95</v>
      </c>
      <c r="F9572" s="199" t="s">
        <v>51672</v>
      </c>
      <c r="G9572" s="1" t="s">
        <v>51673</v>
      </c>
      <c r="H9572" s="1" t="s">
        <v>51674</v>
      </c>
      <c r="I9572" s="346"/>
      <c r="J9572" s="39">
        <v>108073</v>
      </c>
      <c r="K9572" s="36" t="str">
        <f>CONCATENATE(Cover!$D$6,"fdd/view?i=",J9572)</f>
        <v>https://www.dgiwg.org/FAD/fdd/view?i=108073</v>
      </c>
      <c r="L9572" s="36" t="s">
        <v>51675</v>
      </c>
      <c r="M9572" s="186"/>
      <c r="N9572" s="186"/>
      <c r="O9572" s="172"/>
    </row>
    <row r="9573" spans="1:15" ht="25.5" x14ac:dyDescent="0.2">
      <c r="A9573" s="197" t="str">
        <f t="shared" si="149"/>
        <v>SrdCode_numerousManMadeDrainage</v>
      </c>
      <c r="B9573" s="409"/>
      <c r="C9573" s="416"/>
      <c r="D9573" s="198" t="s">
        <v>51676</v>
      </c>
      <c r="E9573" s="198">
        <v>92</v>
      </c>
      <c r="F9573" s="199" t="s">
        <v>51677</v>
      </c>
      <c r="G9573" s="1" t="s">
        <v>51678</v>
      </c>
      <c r="H9573" s="200"/>
      <c r="I9573" s="346"/>
      <c r="J9573" s="39">
        <v>108070</v>
      </c>
      <c r="K9573" s="36" t="str">
        <f>CONCATENATE(Cover!$D$6,"fdd/view?i=",J9573)</f>
        <v>https://www.dgiwg.org/FAD/fdd/view?i=108070</v>
      </c>
      <c r="L9573" s="36" t="s">
        <v>51679</v>
      </c>
      <c r="M9573" s="186"/>
      <c r="N9573" s="186"/>
      <c r="O9573" s="172"/>
    </row>
    <row r="9574" spans="1:15" ht="25.5" x14ac:dyDescent="0.2">
      <c r="A9574" s="197" t="str">
        <f t="shared" si="149"/>
        <v>SrdCode_numerousRockOutcrops</v>
      </c>
      <c r="B9574" s="409"/>
      <c r="C9574" s="416"/>
      <c r="D9574" s="198" t="s">
        <v>51680</v>
      </c>
      <c r="E9574" s="198">
        <v>17</v>
      </c>
      <c r="F9574" s="199" t="s">
        <v>51681</v>
      </c>
      <c r="G9574" s="1" t="s">
        <v>51682</v>
      </c>
      <c r="H9574" s="200"/>
      <c r="I9574" s="346"/>
      <c r="J9574" s="39">
        <v>108022</v>
      </c>
      <c r="K9574" s="36" t="str">
        <f>CONCATENATE(Cover!$D$6,"fdd/view?i=",J9574)</f>
        <v>https://www.dgiwg.org/FAD/fdd/view?i=108022</v>
      </c>
      <c r="L9574" s="36" t="s">
        <v>51683</v>
      </c>
      <c r="M9574" s="186"/>
      <c r="N9574" s="186"/>
      <c r="O9574" s="172"/>
    </row>
    <row r="9575" spans="1:15" ht="25.5" x14ac:dyDescent="0.2">
      <c r="A9575" s="197" t="str">
        <f t="shared" si="149"/>
        <v>SrdCode_numerousSmallLakesPonds</v>
      </c>
      <c r="B9575" s="409"/>
      <c r="C9575" s="416"/>
      <c r="D9575" s="198" t="s">
        <v>51684</v>
      </c>
      <c r="E9575" s="198">
        <v>69</v>
      </c>
      <c r="F9575" s="199" t="s">
        <v>51685</v>
      </c>
      <c r="G9575" s="1" t="s">
        <v>51686</v>
      </c>
      <c r="H9575" s="200"/>
      <c r="I9575" s="346"/>
      <c r="J9575" s="39">
        <v>108057</v>
      </c>
      <c r="K9575" s="36" t="str">
        <f>CONCATENATE(Cover!$D$6,"fdd/view?i=",J9575)</f>
        <v>https://www.dgiwg.org/FAD/fdd/view?i=108057</v>
      </c>
      <c r="L9575" s="36" t="s">
        <v>51687</v>
      </c>
      <c r="M9575" s="186"/>
      <c r="N9575" s="186"/>
      <c r="O9575" s="172"/>
    </row>
    <row r="9576" spans="1:15" ht="25.5" x14ac:dyDescent="0.2">
      <c r="A9576" s="197" t="str">
        <f t="shared" si="149"/>
        <v>SrdCode_numerousStoneWalls</v>
      </c>
      <c r="B9576" s="409"/>
      <c r="C9576" s="416"/>
      <c r="D9576" s="198" t="s">
        <v>51688</v>
      </c>
      <c r="E9576" s="198">
        <v>91</v>
      </c>
      <c r="F9576" s="199" t="s">
        <v>51689</v>
      </c>
      <c r="G9576" s="1" t="s">
        <v>51690</v>
      </c>
      <c r="H9576" s="200"/>
      <c r="I9576" s="346"/>
      <c r="J9576" s="39">
        <v>108069</v>
      </c>
      <c r="K9576" s="36" t="str">
        <f>CONCATENATE(Cover!$D$6,"fdd/view?i=",J9576)</f>
        <v>https://www.dgiwg.org/FAD/fdd/view?i=108069</v>
      </c>
      <c r="L9576" s="36" t="s">
        <v>51691</v>
      </c>
      <c r="M9576" s="186"/>
      <c r="N9576" s="186"/>
      <c r="O9576" s="172"/>
    </row>
    <row r="9577" spans="1:15" ht="25.5" x14ac:dyDescent="0.2">
      <c r="A9577" s="197" t="str">
        <f t="shared" si="149"/>
        <v>SrdCode_numerousTerracedFields</v>
      </c>
      <c r="B9577" s="409"/>
      <c r="C9577" s="416"/>
      <c r="D9577" s="198" t="s">
        <v>51692</v>
      </c>
      <c r="E9577" s="198">
        <v>93</v>
      </c>
      <c r="F9577" s="199" t="s">
        <v>51693</v>
      </c>
      <c r="G9577" s="1" t="s">
        <v>51694</v>
      </c>
      <c r="H9577" s="1" t="s">
        <v>51695</v>
      </c>
      <c r="I9577" s="346"/>
      <c r="J9577" s="39">
        <v>108071</v>
      </c>
      <c r="K9577" s="36" t="str">
        <f>CONCATENATE(Cover!$D$6,"fdd/view?i=",J9577)</f>
        <v>https://www.dgiwg.org/FAD/fdd/view?i=108071</v>
      </c>
      <c r="L9577" s="36" t="s">
        <v>51696</v>
      </c>
      <c r="M9577" s="186"/>
      <c r="N9577" s="186"/>
      <c r="O9577" s="172"/>
    </row>
    <row r="9578" spans="1:15" ht="25.5" x14ac:dyDescent="0.2">
      <c r="A9578" s="197" t="str">
        <f t="shared" si="149"/>
        <v>SrdCode_numerousTerraces</v>
      </c>
      <c r="B9578" s="409"/>
      <c r="C9578" s="416"/>
      <c r="D9578" s="198" t="s">
        <v>51697</v>
      </c>
      <c r="E9578" s="198">
        <v>81</v>
      </c>
      <c r="F9578" s="199" t="s">
        <v>51698</v>
      </c>
      <c r="G9578" s="1" t="s">
        <v>51699</v>
      </c>
      <c r="H9578" s="1" t="s">
        <v>51700</v>
      </c>
      <c r="I9578" s="346"/>
      <c r="J9578" s="39">
        <v>108059</v>
      </c>
      <c r="K9578" s="36" t="str">
        <f>CONCATENATE(Cover!$D$6,"fdd/view?i=",J9578)</f>
        <v>https://www.dgiwg.org/FAD/fdd/view?i=108059</v>
      </c>
      <c r="L9578" s="36" t="s">
        <v>51701</v>
      </c>
      <c r="M9578" s="186"/>
      <c r="N9578" s="186"/>
      <c r="O9578" s="172"/>
    </row>
    <row r="9579" spans="1:15" ht="25.5" x14ac:dyDescent="0.2">
      <c r="A9579" s="197" t="str">
        <f t="shared" si="149"/>
        <v>SrdCode_parallelEarthenRows</v>
      </c>
      <c r="B9579" s="409"/>
      <c r="C9579" s="416"/>
      <c r="D9579" s="198" t="s">
        <v>51702</v>
      </c>
      <c r="E9579" s="198">
        <v>94</v>
      </c>
      <c r="F9579" s="199" t="s">
        <v>51703</v>
      </c>
      <c r="G9579" s="1" t="s">
        <v>51704</v>
      </c>
      <c r="H9579" s="200"/>
      <c r="I9579" s="346"/>
      <c r="J9579" s="39">
        <v>108072</v>
      </c>
      <c r="K9579" s="36" t="str">
        <f>CONCATENATE(Cover!$D$6,"fdd/view?i=",J9579)</f>
        <v>https://www.dgiwg.org/FAD/fdd/view?i=108072</v>
      </c>
      <c r="L9579" s="36" t="s">
        <v>51705</v>
      </c>
      <c r="M9579" s="186"/>
      <c r="N9579" s="186"/>
      <c r="O9579" s="172"/>
    </row>
    <row r="9580" spans="1:15" ht="38.25" x14ac:dyDescent="0.2">
      <c r="A9580" s="197" t="str">
        <f t="shared" si="149"/>
        <v>SrdCode_plateau</v>
      </c>
      <c r="B9580" s="409"/>
      <c r="C9580" s="416"/>
      <c r="D9580" s="198" t="s">
        <v>36816</v>
      </c>
      <c r="E9580" s="198">
        <v>103</v>
      </c>
      <c r="F9580" s="199" t="s">
        <v>36765</v>
      </c>
      <c r="G9580" s="1" t="s">
        <v>51706</v>
      </c>
      <c r="H9580" s="1" t="s">
        <v>51707</v>
      </c>
      <c r="I9580" s="346"/>
      <c r="J9580" s="39">
        <v>112904</v>
      </c>
      <c r="K9580" s="36" t="str">
        <f>CONCATENATE(Cover!$D$6,"fdd/view?i=",J9580)</f>
        <v>https://www.dgiwg.org/FAD/fdd/view?i=112904</v>
      </c>
      <c r="L9580" s="36" t="s">
        <v>51708</v>
      </c>
      <c r="M9580" s="186"/>
      <c r="N9580" s="186"/>
      <c r="O9580" s="172"/>
    </row>
    <row r="9581" spans="1:15" ht="25.5" x14ac:dyDescent="0.2">
      <c r="A9581" s="197" t="str">
        <f t="shared" si="149"/>
        <v>SrdCode_playa</v>
      </c>
      <c r="B9581" s="409"/>
      <c r="C9581" s="416"/>
      <c r="D9581" s="198" t="s">
        <v>51709</v>
      </c>
      <c r="E9581" s="198">
        <v>63</v>
      </c>
      <c r="F9581" s="199" t="s">
        <v>51710</v>
      </c>
      <c r="G9581" s="1" t="s">
        <v>51711</v>
      </c>
      <c r="H9581" s="200"/>
      <c r="I9581" s="351" t="s">
        <v>51712</v>
      </c>
      <c r="J9581" s="39">
        <v>108051</v>
      </c>
      <c r="K9581" s="36" t="str">
        <f>CONCATENATE(Cover!$D$6,"fdd/view?i=",J9581)</f>
        <v>https://www.dgiwg.org/FAD/fdd/view?i=108051</v>
      </c>
      <c r="L9581" s="36" t="s">
        <v>51713</v>
      </c>
      <c r="M9581" s="186"/>
      <c r="N9581" s="186"/>
      <c r="O9581" s="172"/>
    </row>
    <row r="9582" spans="1:15" ht="25.5" x14ac:dyDescent="0.2">
      <c r="A9582" s="197" t="str">
        <f t="shared" si="149"/>
        <v>SrdCode_quarries</v>
      </c>
      <c r="B9582" s="409"/>
      <c r="C9582" s="416"/>
      <c r="D9582" s="198" t="s">
        <v>51714</v>
      </c>
      <c r="E9582" s="198">
        <v>82</v>
      </c>
      <c r="F9582" s="199" t="s">
        <v>51715</v>
      </c>
      <c r="G9582" s="1" t="s">
        <v>51716</v>
      </c>
      <c r="H9582" s="200"/>
      <c r="I9582" s="346"/>
      <c r="J9582" s="39">
        <v>108060</v>
      </c>
      <c r="K9582" s="36" t="str">
        <f>CONCATENATE(Cover!$D$6,"fdd/view?i=",J9582)</f>
        <v>https://www.dgiwg.org/FAD/fdd/view?i=108060</v>
      </c>
      <c r="L9582" s="36" t="s">
        <v>51717</v>
      </c>
      <c r="M9582" s="186"/>
      <c r="N9582" s="186"/>
      <c r="O9582" s="172"/>
    </row>
    <row r="9583" spans="1:15" ht="38.25" x14ac:dyDescent="0.2">
      <c r="A9583" s="197" t="str">
        <f t="shared" si="149"/>
        <v>SrdCode_quicksand</v>
      </c>
      <c r="B9583" s="409"/>
      <c r="C9583" s="416"/>
      <c r="D9583" s="198" t="s">
        <v>51718</v>
      </c>
      <c r="E9583" s="198">
        <v>110</v>
      </c>
      <c r="F9583" s="199" t="s">
        <v>51719</v>
      </c>
      <c r="G9583" s="1" t="s">
        <v>51720</v>
      </c>
      <c r="H9583" s="1" t="s">
        <v>51721</v>
      </c>
      <c r="I9583" s="346"/>
      <c r="J9583" s="39">
        <v>118502</v>
      </c>
      <c r="K9583" s="36" t="str">
        <f>CONCATENATE(Cover!$D$6,"fdd/view?i=",J9583)</f>
        <v>https://www.dgiwg.org/FAD/fdd/view?i=118502</v>
      </c>
      <c r="L9583" s="36" t="s">
        <v>51722</v>
      </c>
      <c r="M9583" s="186"/>
      <c r="N9583" s="186"/>
      <c r="O9583" s="172"/>
    </row>
    <row r="9584" spans="1:15" x14ac:dyDescent="0.2">
      <c r="A9584" s="197" t="str">
        <f t="shared" si="149"/>
        <v>SrdCode_rill</v>
      </c>
      <c r="B9584" s="409"/>
      <c r="C9584" s="416"/>
      <c r="D9584" s="198" t="s">
        <v>51723</v>
      </c>
      <c r="E9584" s="198">
        <v>102</v>
      </c>
      <c r="F9584" s="199" t="s">
        <v>51724</v>
      </c>
      <c r="G9584" s="1" t="s">
        <v>51725</v>
      </c>
      <c r="H9584" s="200"/>
      <c r="I9584" s="346"/>
      <c r="J9584" s="39">
        <v>112903</v>
      </c>
      <c r="K9584" s="36" t="str">
        <f>CONCATENATE(Cover!$D$6,"fdd/view?i=",J9584)</f>
        <v>https://www.dgiwg.org/FAD/fdd/view?i=112903</v>
      </c>
      <c r="L9584" s="36" t="s">
        <v>51726</v>
      </c>
      <c r="M9584" s="186"/>
      <c r="N9584" s="186"/>
      <c r="O9584" s="172"/>
    </row>
    <row r="9585" spans="1:15" x14ac:dyDescent="0.2">
      <c r="A9585" s="197" t="str">
        <f t="shared" si="149"/>
        <v>SrdCode_rough</v>
      </c>
      <c r="B9585" s="409"/>
      <c r="C9585" s="416"/>
      <c r="D9585" s="198" t="s">
        <v>40656</v>
      </c>
      <c r="E9585" s="198">
        <v>4</v>
      </c>
      <c r="F9585" s="199" t="s">
        <v>51727</v>
      </c>
      <c r="G9585" s="1" t="s">
        <v>51728</v>
      </c>
      <c r="H9585" s="200"/>
      <c r="I9585" s="346"/>
      <c r="J9585" s="39">
        <v>108013</v>
      </c>
      <c r="K9585" s="36" t="str">
        <f>CONCATENATE(Cover!$D$6,"fdd/view?i=",J9585)</f>
        <v>https://www.dgiwg.org/FAD/fdd/view?i=108013</v>
      </c>
      <c r="L9585" s="36" t="s">
        <v>51729</v>
      </c>
      <c r="M9585" s="186"/>
      <c r="N9585" s="186"/>
      <c r="O9585" s="172"/>
    </row>
    <row r="9586" spans="1:15" ht="25.5" x14ac:dyDescent="0.2">
      <c r="A9586" s="197" t="str">
        <f t="shared" si="149"/>
        <v>SrdCode_rounded</v>
      </c>
      <c r="B9586" s="409"/>
      <c r="C9586" s="416"/>
      <c r="D9586" s="198" t="s">
        <v>51730</v>
      </c>
      <c r="E9586" s="198">
        <v>6</v>
      </c>
      <c r="F9586" s="199" t="s">
        <v>51731</v>
      </c>
      <c r="G9586" s="1" t="s">
        <v>51732</v>
      </c>
      <c r="H9586" s="200"/>
      <c r="I9586" s="346"/>
      <c r="J9586" s="39">
        <v>108015</v>
      </c>
      <c r="K9586" s="36" t="str">
        <f>CONCATENATE(Cover!$D$6,"fdd/view?i=",J9586)</f>
        <v>https://www.dgiwg.org/FAD/fdd/view?i=108015</v>
      </c>
      <c r="L9586" s="36" t="s">
        <v>51733</v>
      </c>
      <c r="M9586" s="186"/>
      <c r="N9586" s="186"/>
      <c r="O9586" s="172"/>
    </row>
    <row r="9587" spans="1:15" ht="25.5" x14ac:dyDescent="0.2">
      <c r="A9587" s="197" t="str">
        <f t="shared" si="149"/>
        <v>SrdCode_roundedDepression</v>
      </c>
      <c r="B9587" s="409"/>
      <c r="C9587" s="416"/>
      <c r="D9587" s="198" t="s">
        <v>51734</v>
      </c>
      <c r="E9587" s="198">
        <v>97</v>
      </c>
      <c r="F9587" s="199" t="s">
        <v>51735</v>
      </c>
      <c r="G9587" s="1" t="s">
        <v>51736</v>
      </c>
      <c r="H9587" s="200"/>
      <c r="I9587" s="346"/>
      <c r="J9587" s="39">
        <v>112912</v>
      </c>
      <c r="K9587" s="36" t="str">
        <f>CONCATENATE(Cover!$D$6,"fdd/view?i=",J9587)</f>
        <v>https://www.dgiwg.org/FAD/fdd/view?i=112912</v>
      </c>
      <c r="L9587" s="36" t="s">
        <v>51737</v>
      </c>
      <c r="M9587" s="186"/>
      <c r="N9587" s="186"/>
      <c r="O9587" s="172"/>
    </row>
    <row r="9588" spans="1:15" ht="25.5" x14ac:dyDescent="0.2">
      <c r="A9588" s="197" t="str">
        <f t="shared" si="149"/>
        <v>SrdCode_ruggedBedrock</v>
      </c>
      <c r="B9588" s="409"/>
      <c r="C9588" s="416"/>
      <c r="D9588" s="198" t="s">
        <v>51738</v>
      </c>
      <c r="E9588" s="198">
        <v>37</v>
      </c>
      <c r="F9588" s="199" t="s">
        <v>51739</v>
      </c>
      <c r="G9588" s="1" t="s">
        <v>51740</v>
      </c>
      <c r="H9588" s="200"/>
      <c r="I9588" s="346"/>
      <c r="J9588" s="39">
        <v>108032</v>
      </c>
      <c r="K9588" s="36" t="str">
        <f>CONCATENATE(Cover!$D$6,"fdd/view?i=",J9588)</f>
        <v>https://www.dgiwg.org/FAD/fdd/view?i=108032</v>
      </c>
      <c r="L9588" s="36" t="s">
        <v>51741</v>
      </c>
      <c r="M9588" s="186"/>
      <c r="N9588" s="186"/>
      <c r="O9588" s="172"/>
    </row>
    <row r="9589" spans="1:15" ht="38.25" x14ac:dyDescent="0.2">
      <c r="A9589" s="197" t="str">
        <f t="shared" si="149"/>
        <v>SrdCode_ruggedNumerousRockOutcrops</v>
      </c>
      <c r="B9589" s="409"/>
      <c r="C9589" s="416"/>
      <c r="D9589" s="198" t="s">
        <v>51742</v>
      </c>
      <c r="E9589" s="198">
        <v>36</v>
      </c>
      <c r="F9589" s="199" t="s">
        <v>51743</v>
      </c>
      <c r="G9589" s="1" t="s">
        <v>51744</v>
      </c>
      <c r="H9589" s="200"/>
      <c r="I9589" s="346"/>
      <c r="J9589" s="39">
        <v>108031</v>
      </c>
      <c r="K9589" s="36" t="str">
        <f>CONCATENATE(Cover!$D$6,"fdd/view?i=",J9589)</f>
        <v>https://www.dgiwg.org/FAD/fdd/view?i=108031</v>
      </c>
      <c r="L9589" s="36" t="s">
        <v>51745</v>
      </c>
      <c r="M9589" s="186"/>
      <c r="N9589" s="186"/>
      <c r="O9589" s="172"/>
    </row>
    <row r="9590" spans="1:15" ht="38.25" x14ac:dyDescent="0.2">
      <c r="A9590" s="197" t="str">
        <f t="shared" si="149"/>
        <v>SrdCode_sabkhas</v>
      </c>
      <c r="B9590" s="409"/>
      <c r="C9590" s="416"/>
      <c r="D9590" s="198" t="s">
        <v>51746</v>
      </c>
      <c r="E9590" s="198">
        <v>68</v>
      </c>
      <c r="F9590" s="199" t="s">
        <v>51747</v>
      </c>
      <c r="G9590" s="1" t="s">
        <v>51748</v>
      </c>
      <c r="H9590" s="1" t="s">
        <v>4866</v>
      </c>
      <c r="I9590" s="351" t="s">
        <v>4867</v>
      </c>
      <c r="J9590" s="39">
        <v>108056</v>
      </c>
      <c r="K9590" s="36" t="str">
        <f>CONCATENATE(Cover!$D$6,"fdd/view?i=",J9590)</f>
        <v>https://www.dgiwg.org/FAD/fdd/view?i=108056</v>
      </c>
      <c r="L9590" s="36" t="s">
        <v>51749</v>
      </c>
      <c r="M9590" s="186"/>
      <c r="N9590" s="186"/>
      <c r="O9590" s="172"/>
    </row>
    <row r="9591" spans="1:15" ht="25.5" x14ac:dyDescent="0.2">
      <c r="A9591" s="197" t="str">
        <f t="shared" si="149"/>
        <v>SrdCode_saltEvaporator</v>
      </c>
      <c r="B9591" s="409"/>
      <c r="C9591" s="416"/>
      <c r="D9591" s="198" t="s">
        <v>51750</v>
      </c>
      <c r="E9591" s="198">
        <v>87</v>
      </c>
      <c r="F9591" s="199" t="s">
        <v>51751</v>
      </c>
      <c r="G9591" s="1" t="s">
        <v>51752</v>
      </c>
      <c r="H9591" s="200"/>
      <c r="I9591" s="346"/>
      <c r="J9591" s="39">
        <v>108065</v>
      </c>
      <c r="K9591" s="36" t="str">
        <f>CONCATENATE(Cover!$D$6,"fdd/view?i=",J9591)</f>
        <v>https://www.dgiwg.org/FAD/fdd/view?i=108065</v>
      </c>
      <c r="L9591" s="36" t="s">
        <v>51753</v>
      </c>
      <c r="M9591" s="186"/>
      <c r="N9591" s="186"/>
      <c r="O9591" s="172"/>
    </row>
    <row r="9592" spans="1:15" x14ac:dyDescent="0.2">
      <c r="A9592" s="197" t="str">
        <f t="shared" si="149"/>
        <v>SrdCode_sandDunes</v>
      </c>
      <c r="B9592" s="409"/>
      <c r="C9592" s="416"/>
      <c r="D9592" s="198" t="s">
        <v>51754</v>
      </c>
      <c r="E9592" s="198">
        <v>38</v>
      </c>
      <c r="F9592" s="199" t="s">
        <v>4892</v>
      </c>
      <c r="G9592" s="1" t="s">
        <v>51755</v>
      </c>
      <c r="H9592" s="200"/>
      <c r="I9592" s="346"/>
      <c r="J9592" s="39">
        <v>108033</v>
      </c>
      <c r="K9592" s="36" t="str">
        <f>CONCATENATE(Cover!$D$6,"fdd/view?i=",J9592)</f>
        <v>https://www.dgiwg.org/FAD/fdd/view?i=108033</v>
      </c>
      <c r="L9592" s="36" t="s">
        <v>51756</v>
      </c>
      <c r="M9592" s="186"/>
      <c r="N9592" s="186"/>
      <c r="O9592" s="172"/>
    </row>
    <row r="9593" spans="1:15" x14ac:dyDescent="0.2">
      <c r="A9593" s="197" t="str">
        <f t="shared" si="149"/>
        <v>SrdCode_sandPits</v>
      </c>
      <c r="B9593" s="409"/>
      <c r="C9593" s="416"/>
      <c r="D9593" s="198" t="s">
        <v>51757</v>
      </c>
      <c r="E9593" s="198">
        <v>85</v>
      </c>
      <c r="F9593" s="199" t="s">
        <v>51758</v>
      </c>
      <c r="G9593" s="1" t="s">
        <v>51759</v>
      </c>
      <c r="H9593" s="200"/>
      <c r="I9593" s="346"/>
      <c r="J9593" s="39">
        <v>108063</v>
      </c>
      <c r="K9593" s="36" t="str">
        <f>CONCATENATE(Cover!$D$6,"fdd/view?i=",J9593)</f>
        <v>https://www.dgiwg.org/FAD/fdd/view?i=108063</v>
      </c>
      <c r="L9593" s="36" t="s">
        <v>51760</v>
      </c>
      <c r="M9593" s="186"/>
      <c r="N9593" s="186"/>
      <c r="O9593" s="172"/>
    </row>
    <row r="9594" spans="1:15" ht="25.5" x14ac:dyDescent="0.2">
      <c r="A9594" s="197" t="str">
        <f t="shared" si="149"/>
        <v>SrdCode_scatteredBoulders</v>
      </c>
      <c r="B9594" s="409"/>
      <c r="C9594" s="416"/>
      <c r="D9594" s="198" t="s">
        <v>51761</v>
      </c>
      <c r="E9594" s="198">
        <v>18</v>
      </c>
      <c r="F9594" s="199" t="s">
        <v>51762</v>
      </c>
      <c r="G9594" s="1" t="s">
        <v>51763</v>
      </c>
      <c r="H9594" s="1" t="s">
        <v>51528</v>
      </c>
      <c r="I9594" s="346"/>
      <c r="J9594" s="39">
        <v>108023</v>
      </c>
      <c r="K9594" s="36" t="str">
        <f>CONCATENATE(Cover!$D$6,"fdd/view?i=",J9594)</f>
        <v>https://www.dgiwg.org/FAD/fdd/view?i=108023</v>
      </c>
      <c r="L9594" s="36" t="s">
        <v>51764</v>
      </c>
      <c r="M9594" s="186"/>
      <c r="N9594" s="186"/>
      <c r="O9594" s="172"/>
    </row>
    <row r="9595" spans="1:15" ht="38.25" x14ac:dyDescent="0.2">
      <c r="A9595" s="197" t="str">
        <f t="shared" si="149"/>
        <v>SrdCode_solifluctionLobesFrostScar</v>
      </c>
      <c r="B9595" s="409"/>
      <c r="C9595" s="416"/>
      <c r="D9595" s="198" t="s">
        <v>51765</v>
      </c>
      <c r="E9595" s="198">
        <v>65</v>
      </c>
      <c r="F9595" s="199" t="s">
        <v>51766</v>
      </c>
      <c r="G9595" s="1" t="s">
        <v>51767</v>
      </c>
      <c r="H9595" s="200"/>
      <c r="I9595" s="346"/>
      <c r="J9595" s="39">
        <v>108053</v>
      </c>
      <c r="K9595" s="36" t="str">
        <f>CONCATENATE(Cover!$D$6,"fdd/view?i=",J9595)</f>
        <v>https://www.dgiwg.org/FAD/fdd/view?i=108053</v>
      </c>
      <c r="L9595" s="36" t="s">
        <v>51768</v>
      </c>
      <c r="M9595" s="186"/>
      <c r="N9595" s="186"/>
      <c r="O9595" s="172"/>
    </row>
    <row r="9596" spans="1:15" ht="25.5" x14ac:dyDescent="0.2">
      <c r="A9596" s="197" t="str">
        <f t="shared" si="149"/>
        <v>SrdCode_stabilizedSandDunes</v>
      </c>
      <c r="B9596" s="409"/>
      <c r="C9596" s="416"/>
      <c r="D9596" s="198" t="s">
        <v>51769</v>
      </c>
      <c r="E9596" s="198">
        <v>42</v>
      </c>
      <c r="F9596" s="199" t="s">
        <v>51770</v>
      </c>
      <c r="G9596" s="1" t="s">
        <v>51771</v>
      </c>
      <c r="H9596" s="1" t="s">
        <v>51772</v>
      </c>
      <c r="I9596" s="346"/>
      <c r="J9596" s="39">
        <v>108037</v>
      </c>
      <c r="K9596" s="36" t="str">
        <f>CONCATENATE(Cover!$D$6,"fdd/view?i=",J9596)</f>
        <v>https://www.dgiwg.org/FAD/fdd/view?i=108037</v>
      </c>
      <c r="L9596" s="36" t="s">
        <v>51773</v>
      </c>
      <c r="M9596" s="186"/>
      <c r="N9596" s="186"/>
      <c r="O9596" s="172"/>
    </row>
    <row r="9597" spans="1:15" ht="38.25" x14ac:dyDescent="0.2">
      <c r="A9597" s="197" t="str">
        <f t="shared" si="149"/>
        <v>SrdCode_steepRuggedDissectGullies</v>
      </c>
      <c r="B9597" s="409"/>
      <c r="C9597" s="416"/>
      <c r="D9597" s="198" t="s">
        <v>51774</v>
      </c>
      <c r="E9597" s="198">
        <v>57</v>
      </c>
      <c r="F9597" s="199" t="s">
        <v>51775</v>
      </c>
      <c r="G9597" s="1" t="s">
        <v>51776</v>
      </c>
      <c r="H9597" s="200"/>
      <c r="I9597" s="346"/>
      <c r="J9597" s="39">
        <v>108045</v>
      </c>
      <c r="K9597" s="36" t="str">
        <f>CONCATENATE(Cover!$D$6,"fdd/view?i=",J9597)</f>
        <v>https://www.dgiwg.org/FAD/fdd/view?i=108045</v>
      </c>
      <c r="L9597" s="36" t="s">
        <v>51777</v>
      </c>
      <c r="M9597" s="186"/>
      <c r="N9597" s="186"/>
      <c r="O9597" s="172"/>
    </row>
    <row r="9598" spans="1:15" x14ac:dyDescent="0.2">
      <c r="A9598" s="197" t="str">
        <f t="shared" si="149"/>
        <v>SrdCode_steepSlope</v>
      </c>
      <c r="B9598" s="409"/>
      <c r="C9598" s="416"/>
      <c r="D9598" s="198" t="s">
        <v>51778</v>
      </c>
      <c r="E9598" s="198">
        <v>104</v>
      </c>
      <c r="F9598" s="199" t="s">
        <v>51779</v>
      </c>
      <c r="G9598" s="1" t="s">
        <v>51780</v>
      </c>
      <c r="H9598" s="200"/>
      <c r="I9598" s="346"/>
      <c r="J9598" s="39">
        <v>112905</v>
      </c>
      <c r="K9598" s="36" t="str">
        <f>CONCATENATE(Cover!$D$6,"fdd/view?i=",J9598)</f>
        <v>https://www.dgiwg.org/FAD/fdd/view?i=112905</v>
      </c>
      <c r="L9598" s="36" t="s">
        <v>51781</v>
      </c>
      <c r="M9598" s="186"/>
      <c r="N9598" s="186"/>
      <c r="O9598" s="172"/>
    </row>
    <row r="9599" spans="1:15" x14ac:dyDescent="0.2">
      <c r="A9599" s="197" t="str">
        <f t="shared" si="149"/>
        <v>SrdCode_stepped</v>
      </c>
      <c r="B9599" s="409"/>
      <c r="C9599" s="416"/>
      <c r="D9599" s="198" t="s">
        <v>51782</v>
      </c>
      <c r="E9599" s="198">
        <v>105</v>
      </c>
      <c r="F9599" s="199" t="s">
        <v>51783</v>
      </c>
      <c r="G9599" s="1" t="s">
        <v>51784</v>
      </c>
      <c r="H9599" s="200"/>
      <c r="I9599" s="351" t="s">
        <v>30362</v>
      </c>
      <c r="J9599" s="39">
        <v>112906</v>
      </c>
      <c r="K9599" s="36" t="str">
        <f>CONCATENATE(Cover!$D$6,"fdd/view?i=",J9599)</f>
        <v>https://www.dgiwg.org/FAD/fdd/view?i=112906</v>
      </c>
      <c r="L9599" s="36" t="s">
        <v>51785</v>
      </c>
      <c r="M9599" s="186"/>
      <c r="N9599" s="186"/>
      <c r="O9599" s="172"/>
    </row>
    <row r="9600" spans="1:15" ht="25.5" x14ac:dyDescent="0.2">
      <c r="A9600" s="197" t="str">
        <f t="shared" si="149"/>
        <v>SrdCode_stockpiles</v>
      </c>
      <c r="B9600" s="409"/>
      <c r="C9600" s="416"/>
      <c r="D9600" s="198" t="s">
        <v>51786</v>
      </c>
      <c r="E9600" s="198">
        <v>106</v>
      </c>
      <c r="F9600" s="199" t="s">
        <v>51787</v>
      </c>
      <c r="G9600" s="1" t="s">
        <v>51788</v>
      </c>
      <c r="H9600" s="200"/>
      <c r="I9600" s="346"/>
      <c r="J9600" s="39">
        <v>112907</v>
      </c>
      <c r="K9600" s="36" t="str">
        <f>CONCATENATE(Cover!$D$6,"fdd/view?i=",J9600)</f>
        <v>https://www.dgiwg.org/FAD/fdd/view?i=112907</v>
      </c>
      <c r="L9600" s="36" t="s">
        <v>51789</v>
      </c>
      <c r="M9600" s="186"/>
      <c r="N9600" s="186"/>
      <c r="O9600" s="172"/>
    </row>
    <row r="9601" spans="1:15" x14ac:dyDescent="0.2">
      <c r="A9601" s="197" t="str">
        <f t="shared" si="149"/>
        <v>SrdCode_stonyAreas</v>
      </c>
      <c r="B9601" s="409"/>
      <c r="C9601" s="416"/>
      <c r="D9601" s="198" t="s">
        <v>51790</v>
      </c>
      <c r="E9601" s="198">
        <v>12</v>
      </c>
      <c r="F9601" s="199" t="s">
        <v>51791</v>
      </c>
      <c r="G9601" s="1" t="s">
        <v>51792</v>
      </c>
      <c r="H9601" s="200"/>
      <c r="I9601" s="346"/>
      <c r="J9601" s="39">
        <v>108017</v>
      </c>
      <c r="K9601" s="36" t="str">
        <f>CONCATENATE(Cover!$D$6,"fdd/view?i=",J9601)</f>
        <v>https://www.dgiwg.org/FAD/fdd/view?i=108017</v>
      </c>
      <c r="L9601" s="36" t="s">
        <v>51793</v>
      </c>
      <c r="M9601" s="186"/>
      <c r="N9601" s="186"/>
      <c r="O9601" s="172"/>
    </row>
    <row r="9602" spans="1:15" ht="25.5" x14ac:dyDescent="0.2">
      <c r="A9602" s="197" t="str">
        <f t="shared" ref="A9602:A9665" si="150">HYPERLINK(K9602,L9602)</f>
        <v>SrdCode_stonySoilNumerousBoulders</v>
      </c>
      <c r="B9602" s="409"/>
      <c r="C9602" s="416"/>
      <c r="D9602" s="198" t="s">
        <v>51794</v>
      </c>
      <c r="E9602" s="198">
        <v>15</v>
      </c>
      <c r="F9602" s="199" t="s">
        <v>51795</v>
      </c>
      <c r="G9602" s="1" t="s">
        <v>51796</v>
      </c>
      <c r="H9602" s="1" t="s">
        <v>51528</v>
      </c>
      <c r="I9602" s="346"/>
      <c r="J9602" s="39">
        <v>108020</v>
      </c>
      <c r="K9602" s="36" t="str">
        <f>CONCATENATE(Cover!$D$6,"fdd/view?i=",J9602)</f>
        <v>https://www.dgiwg.org/FAD/fdd/view?i=108020</v>
      </c>
      <c r="L9602" s="36" t="s">
        <v>51797</v>
      </c>
      <c r="M9602" s="186"/>
      <c r="N9602" s="186"/>
      <c r="O9602" s="172"/>
    </row>
    <row r="9603" spans="1:15" ht="25.5" x14ac:dyDescent="0.2">
      <c r="A9603" s="197" t="str">
        <f t="shared" si="150"/>
        <v>SrdCode_stonySoilNumerousGullies</v>
      </c>
      <c r="B9603" s="409"/>
      <c r="C9603" s="416"/>
      <c r="D9603" s="198" t="s">
        <v>51798</v>
      </c>
      <c r="E9603" s="198">
        <v>51</v>
      </c>
      <c r="F9603" s="199" t="s">
        <v>51799</v>
      </c>
      <c r="G9603" s="1" t="s">
        <v>51800</v>
      </c>
      <c r="H9603" s="200"/>
      <c r="I9603" s="346"/>
      <c r="J9603" s="39">
        <v>108039</v>
      </c>
      <c r="K9603" s="36" t="str">
        <f>CONCATENATE(Cover!$D$6,"fdd/view?i=",J9603)</f>
        <v>https://www.dgiwg.org/FAD/fdd/view?i=108039</v>
      </c>
      <c r="L9603" s="36" t="s">
        <v>51801</v>
      </c>
      <c r="M9603" s="186"/>
      <c r="N9603" s="186"/>
      <c r="O9603" s="172"/>
    </row>
    <row r="9604" spans="1:15" ht="38.25" x14ac:dyDescent="0.2">
      <c r="A9604" s="197" t="str">
        <f t="shared" si="150"/>
        <v>SrdCode_stonySoilNumerousRockCrops</v>
      </c>
      <c r="B9604" s="409"/>
      <c r="C9604" s="416"/>
      <c r="D9604" s="198" t="s">
        <v>51802</v>
      </c>
      <c r="E9604" s="198">
        <v>34</v>
      </c>
      <c r="F9604" s="199" t="s">
        <v>51803</v>
      </c>
      <c r="G9604" s="1" t="s">
        <v>51804</v>
      </c>
      <c r="H9604" s="1" t="s">
        <v>51528</v>
      </c>
      <c r="I9604" s="346"/>
      <c r="J9604" s="39">
        <v>108029</v>
      </c>
      <c r="K9604" s="36" t="str">
        <f>CONCATENATE(Cover!$D$6,"fdd/view?i=",J9604)</f>
        <v>https://www.dgiwg.org/FAD/fdd/view?i=108029</v>
      </c>
      <c r="L9604" s="36" t="s">
        <v>51805</v>
      </c>
      <c r="M9604" s="186"/>
      <c r="N9604" s="186"/>
      <c r="O9604" s="172"/>
    </row>
    <row r="9605" spans="1:15" ht="25.5" x14ac:dyDescent="0.2">
      <c r="A9605" s="197" t="str">
        <f t="shared" si="150"/>
        <v>SrdCode_stonySoilScatteredBoulders</v>
      </c>
      <c r="B9605" s="409"/>
      <c r="C9605" s="416"/>
      <c r="D9605" s="198" t="s">
        <v>51806</v>
      </c>
      <c r="E9605" s="198">
        <v>14</v>
      </c>
      <c r="F9605" s="199" t="s">
        <v>51807</v>
      </c>
      <c r="G9605" s="1" t="s">
        <v>51808</v>
      </c>
      <c r="H9605" s="1" t="s">
        <v>51528</v>
      </c>
      <c r="I9605" s="346"/>
      <c r="J9605" s="39">
        <v>108019</v>
      </c>
      <c r="K9605" s="36" t="str">
        <f>CONCATENATE(Cover!$D$6,"fdd/view?i=",J9605)</f>
        <v>https://www.dgiwg.org/FAD/fdd/view?i=108019</v>
      </c>
      <c r="L9605" s="36" t="s">
        <v>51809</v>
      </c>
      <c r="M9605" s="186"/>
      <c r="N9605" s="186"/>
      <c r="O9605" s="172"/>
    </row>
    <row r="9606" spans="1:15" ht="25.5" x14ac:dyDescent="0.2">
      <c r="A9606" s="197" t="str">
        <f t="shared" si="150"/>
        <v>SrdCode_stonySoilWithSurfaceRock</v>
      </c>
      <c r="B9606" s="409"/>
      <c r="C9606" s="416"/>
      <c r="D9606" s="198" t="s">
        <v>51810</v>
      </c>
      <c r="E9606" s="198">
        <v>13</v>
      </c>
      <c r="F9606" s="199" t="s">
        <v>51811</v>
      </c>
      <c r="G9606" s="1" t="s">
        <v>51812</v>
      </c>
      <c r="H9606" s="200"/>
      <c r="I9606" s="346"/>
      <c r="J9606" s="39">
        <v>108018</v>
      </c>
      <c r="K9606" s="36" t="str">
        <f>CONCATENATE(Cover!$D$6,"fdd/view?i=",J9606)</f>
        <v>https://www.dgiwg.org/FAD/fdd/view?i=108018</v>
      </c>
      <c r="L9606" s="36" t="s">
        <v>51813</v>
      </c>
      <c r="M9606" s="186"/>
      <c r="N9606" s="186"/>
      <c r="O9606" s="172"/>
    </row>
    <row r="9607" spans="1:15" ht="38.25" x14ac:dyDescent="0.2">
      <c r="A9607" s="197" t="str">
        <f t="shared" si="150"/>
        <v>SrdCode_stripMines</v>
      </c>
      <c r="B9607" s="409"/>
      <c r="C9607" s="416"/>
      <c r="D9607" s="198" t="s">
        <v>51814</v>
      </c>
      <c r="E9607" s="198">
        <v>83</v>
      </c>
      <c r="F9607" s="199" t="s">
        <v>51815</v>
      </c>
      <c r="G9607" s="1" t="s">
        <v>51816</v>
      </c>
      <c r="H9607" s="200"/>
      <c r="I9607" s="346"/>
      <c r="J9607" s="39">
        <v>108061</v>
      </c>
      <c r="K9607" s="36" t="str">
        <f>CONCATENATE(Cover!$D$6,"fdd/view?i=",J9607)</f>
        <v>https://www.dgiwg.org/FAD/fdd/view?i=108061</v>
      </c>
      <c r="L9607" s="36" t="s">
        <v>51817</v>
      </c>
      <c r="M9607" s="186"/>
      <c r="N9607" s="186"/>
      <c r="O9607" s="172"/>
    </row>
    <row r="9608" spans="1:15" ht="25.5" x14ac:dyDescent="0.2">
      <c r="A9608" s="197" t="str">
        <f t="shared" si="150"/>
        <v>SrdCode_talus</v>
      </c>
      <c r="B9608" s="409"/>
      <c r="C9608" s="416"/>
      <c r="D9608" s="198" t="s">
        <v>25573</v>
      </c>
      <c r="E9608" s="198">
        <v>19</v>
      </c>
      <c r="F9608" s="199" t="s">
        <v>25574</v>
      </c>
      <c r="G9608" s="1" t="s">
        <v>51818</v>
      </c>
      <c r="H9608" s="200"/>
      <c r="I9608" s="351" t="s">
        <v>47618</v>
      </c>
      <c r="J9608" s="39">
        <v>108024</v>
      </c>
      <c r="K9608" s="36" t="str">
        <f>CONCATENATE(Cover!$D$6,"fdd/view?i=",J9608)</f>
        <v>https://www.dgiwg.org/FAD/fdd/view?i=108024</v>
      </c>
      <c r="L9608" s="36" t="s">
        <v>51819</v>
      </c>
      <c r="M9608" s="186"/>
      <c r="N9608" s="186"/>
      <c r="O9608" s="172"/>
    </row>
    <row r="9609" spans="1:15" ht="25.5" x14ac:dyDescent="0.2">
      <c r="A9609" s="197" t="str">
        <f t="shared" si="150"/>
        <v>SrdCode_undulating</v>
      </c>
      <c r="B9609" s="409"/>
      <c r="C9609" s="416"/>
      <c r="D9609" s="198" t="s">
        <v>51820</v>
      </c>
      <c r="E9609" s="198">
        <v>107</v>
      </c>
      <c r="F9609" s="199" t="s">
        <v>51821</v>
      </c>
      <c r="G9609" s="1" t="s">
        <v>51822</v>
      </c>
      <c r="H9609" s="200"/>
      <c r="I9609" s="351" t="s">
        <v>51823</v>
      </c>
      <c r="J9609" s="39">
        <v>112908</v>
      </c>
      <c r="K9609" s="36" t="str">
        <f>CONCATENATE(Cover!$D$6,"fdd/view?i=",J9609)</f>
        <v>https://www.dgiwg.org/FAD/fdd/view?i=112908</v>
      </c>
      <c r="L9609" s="36" t="s">
        <v>51824</v>
      </c>
      <c r="M9609" s="186"/>
      <c r="N9609" s="186"/>
      <c r="O9609" s="172"/>
    </row>
    <row r="9610" spans="1:15" ht="25.5" x14ac:dyDescent="0.2">
      <c r="A9610" s="197" t="str">
        <f t="shared" si="150"/>
        <v>SrdCode_unweatheredLava</v>
      </c>
      <c r="B9610" s="409"/>
      <c r="C9610" s="416"/>
      <c r="D9610" s="198" t="s">
        <v>51825</v>
      </c>
      <c r="E9610" s="198">
        <v>33</v>
      </c>
      <c r="F9610" s="199" t="s">
        <v>51826</v>
      </c>
      <c r="G9610" s="1" t="s">
        <v>51827</v>
      </c>
      <c r="H9610" s="200"/>
      <c r="I9610" s="346"/>
      <c r="J9610" s="39">
        <v>108028</v>
      </c>
      <c r="K9610" s="36" t="str">
        <f>CONCATENATE(Cover!$D$6,"fdd/view?i=",J9610)</f>
        <v>https://www.dgiwg.org/FAD/fdd/view?i=108028</v>
      </c>
      <c r="L9610" s="36" t="s">
        <v>51828</v>
      </c>
      <c r="M9610" s="186"/>
      <c r="N9610" s="186"/>
      <c r="O9610" s="172"/>
    </row>
    <row r="9611" spans="1:15" ht="25.5" x14ac:dyDescent="0.2">
      <c r="A9611" s="197" t="str">
        <f t="shared" si="150"/>
        <v>SrdCode_wadi</v>
      </c>
      <c r="B9611" s="409"/>
      <c r="C9611" s="416"/>
      <c r="D9611" s="198" t="s">
        <v>51829</v>
      </c>
      <c r="E9611" s="198">
        <v>62</v>
      </c>
      <c r="F9611" s="199" t="s">
        <v>51830</v>
      </c>
      <c r="G9611" s="1" t="s">
        <v>51831</v>
      </c>
      <c r="H9611" s="200"/>
      <c r="I9611" s="351" t="s">
        <v>51832</v>
      </c>
      <c r="J9611" s="39">
        <v>108050</v>
      </c>
      <c r="K9611" s="36" t="str">
        <f>CONCATENATE(Cover!$D$6,"fdd/view?i=",J9611)</f>
        <v>https://www.dgiwg.org/FAD/fdd/view?i=108050</v>
      </c>
      <c r="L9611" s="36" t="s">
        <v>51833</v>
      </c>
      <c r="M9611" s="186"/>
      <c r="N9611" s="186"/>
      <c r="O9611" s="172"/>
    </row>
    <row r="9612" spans="1:15" ht="25.5" x14ac:dyDescent="0.2">
      <c r="A9612" s="203" t="str">
        <f t="shared" si="150"/>
        <v>SrdCode_weatheredLava</v>
      </c>
      <c r="B9612" s="410"/>
      <c r="C9612" s="417"/>
      <c r="D9612" s="204" t="s">
        <v>51834</v>
      </c>
      <c r="E9612" s="204">
        <v>32</v>
      </c>
      <c r="F9612" s="205" t="s">
        <v>51835</v>
      </c>
      <c r="G9612" s="206" t="s">
        <v>51836</v>
      </c>
      <c r="H9612" s="207"/>
      <c r="I9612" s="347"/>
      <c r="J9612" s="39">
        <v>108027</v>
      </c>
      <c r="K9612" s="36" t="str">
        <f>CONCATENATE(Cover!$D$6,"fdd/view?i=",J9612)</f>
        <v>https://www.dgiwg.org/FAD/fdd/view?i=108027</v>
      </c>
      <c r="L9612" s="36" t="s">
        <v>51837</v>
      </c>
      <c r="M9612" s="186"/>
      <c r="N9612" s="186"/>
      <c r="O9612" s="172"/>
    </row>
    <row r="9613" spans="1:15" ht="25.5" x14ac:dyDescent="0.2">
      <c r="A9613" s="190" t="str">
        <f t="shared" si="150"/>
        <v>AdsCode_areaNoSovereignty</v>
      </c>
      <c r="B9613" s="414" t="str">
        <f>HYPERLINK("[#]Datatypes!A1524:L1524","AdsCode")</f>
        <v>AdsCode</v>
      </c>
      <c r="C9613" s="415" t="s">
        <v>16153</v>
      </c>
      <c r="D9613" s="221" t="s">
        <v>51838</v>
      </c>
      <c r="E9613" s="221">
        <v>2</v>
      </c>
      <c r="F9613" s="222" t="s">
        <v>34203</v>
      </c>
      <c r="G9613" s="223" t="s">
        <v>51839</v>
      </c>
      <c r="H9613" s="223" t="s">
        <v>34205</v>
      </c>
      <c r="I9613" s="345"/>
      <c r="J9613" s="39">
        <v>114525</v>
      </c>
      <c r="K9613" s="36" t="str">
        <f>CONCATENATE(Cover!$D$6,"fdd/view?i=",J9613)</f>
        <v>https://www.dgiwg.org/FAD/fdd/view?i=114525</v>
      </c>
      <c r="L9613" s="36" t="s">
        <v>51840</v>
      </c>
      <c r="M9613" s="186"/>
      <c r="N9613" s="186"/>
      <c r="O9613" s="172"/>
    </row>
    <row r="9614" spans="1:15" ht="25.5" x14ac:dyDescent="0.2">
      <c r="A9614" s="197" t="str">
        <f t="shared" si="150"/>
        <v>AdsCode_autonomousRegion</v>
      </c>
      <c r="B9614" s="409"/>
      <c r="C9614" s="416"/>
      <c r="D9614" s="198" t="s">
        <v>51841</v>
      </c>
      <c r="E9614" s="198">
        <v>10</v>
      </c>
      <c r="F9614" s="199" t="s">
        <v>51842</v>
      </c>
      <c r="G9614" s="1" t="s">
        <v>51843</v>
      </c>
      <c r="H9614" s="200"/>
      <c r="I9614" s="346"/>
      <c r="J9614" s="39">
        <v>114533</v>
      </c>
      <c r="K9614" s="36" t="str">
        <f>CONCATENATE(Cover!$D$6,"fdd/view?i=",J9614)</f>
        <v>https://www.dgiwg.org/FAD/fdd/view?i=114533</v>
      </c>
      <c r="L9614" s="36" t="s">
        <v>51844</v>
      </c>
      <c r="M9614" s="186"/>
      <c r="N9614" s="186"/>
      <c r="O9614" s="172"/>
    </row>
    <row r="9615" spans="1:15" ht="25.5" x14ac:dyDescent="0.2">
      <c r="A9615" s="197" t="str">
        <f t="shared" si="150"/>
        <v>AdsCode_condominium</v>
      </c>
      <c r="B9615" s="409"/>
      <c r="C9615" s="416"/>
      <c r="D9615" s="198" t="s">
        <v>51845</v>
      </c>
      <c r="E9615" s="198">
        <v>1</v>
      </c>
      <c r="F9615" s="199" t="s">
        <v>51846</v>
      </c>
      <c r="G9615" s="1" t="s">
        <v>51847</v>
      </c>
      <c r="H9615" s="200"/>
      <c r="I9615" s="346"/>
      <c r="J9615" s="39">
        <v>114524</v>
      </c>
      <c r="K9615" s="36" t="str">
        <f>CONCATENATE(Cover!$D$6,"fdd/view?i=",J9615)</f>
        <v>https://www.dgiwg.org/FAD/fdd/view?i=114524</v>
      </c>
      <c r="L9615" s="36" t="s">
        <v>51848</v>
      </c>
      <c r="M9615" s="186"/>
      <c r="N9615" s="186"/>
      <c r="O9615" s="172"/>
    </row>
    <row r="9616" spans="1:15" ht="38.25" x14ac:dyDescent="0.2">
      <c r="A9616" s="197" t="str">
        <f t="shared" si="150"/>
        <v>AdsCode_controversialTerritory</v>
      </c>
      <c r="B9616" s="409"/>
      <c r="C9616" s="416"/>
      <c r="D9616" s="198" t="s">
        <v>51849</v>
      </c>
      <c r="E9616" s="198">
        <v>3</v>
      </c>
      <c r="F9616" s="199" t="s">
        <v>51850</v>
      </c>
      <c r="G9616" s="1" t="s">
        <v>51851</v>
      </c>
      <c r="H9616" s="200"/>
      <c r="I9616" s="346"/>
      <c r="J9616" s="39">
        <v>114526</v>
      </c>
      <c r="K9616" s="36" t="str">
        <f>CONCATENATE(Cover!$D$6,"fdd/view?i=",J9616)</f>
        <v>https://www.dgiwg.org/FAD/fdd/view?i=114526</v>
      </c>
      <c r="L9616" s="36" t="s">
        <v>51852</v>
      </c>
      <c r="M9616" s="186"/>
      <c r="N9616" s="186"/>
      <c r="O9616" s="172"/>
    </row>
    <row r="9617" spans="1:15" ht="76.5" x14ac:dyDescent="0.2">
      <c r="A9617" s="197" t="str">
        <f t="shared" si="150"/>
        <v>AdsCode_demilitarizedZone</v>
      </c>
      <c r="B9617" s="409"/>
      <c r="C9617" s="416"/>
      <c r="D9617" s="198" t="s">
        <v>34212</v>
      </c>
      <c r="E9617" s="198">
        <v>9</v>
      </c>
      <c r="F9617" s="199" t="s">
        <v>34213</v>
      </c>
      <c r="G9617" s="1" t="s">
        <v>34214</v>
      </c>
      <c r="H9617" s="1" t="s">
        <v>51853</v>
      </c>
      <c r="I9617" s="346"/>
      <c r="J9617" s="39">
        <v>114532</v>
      </c>
      <c r="K9617" s="36" t="str">
        <f>CONCATENATE(Cover!$D$6,"fdd/view?i=",J9617)</f>
        <v>https://www.dgiwg.org/FAD/fdd/view?i=114532</v>
      </c>
      <c r="L9617" s="36" t="s">
        <v>51854</v>
      </c>
      <c r="M9617" s="186"/>
      <c r="N9617" s="186"/>
      <c r="O9617" s="172"/>
    </row>
    <row r="9618" spans="1:15" ht="127.5" x14ac:dyDescent="0.2">
      <c r="A9618" s="197" t="str">
        <f t="shared" si="150"/>
        <v>AdsCode_dependentTerritory</v>
      </c>
      <c r="B9618" s="409"/>
      <c r="C9618" s="416"/>
      <c r="D9618" s="198" t="s">
        <v>51855</v>
      </c>
      <c r="E9618" s="198">
        <v>5</v>
      </c>
      <c r="F9618" s="199" t="s">
        <v>51856</v>
      </c>
      <c r="G9618" s="1" t="s">
        <v>51857</v>
      </c>
      <c r="H9618" s="1" t="s">
        <v>51858</v>
      </c>
      <c r="I9618" s="346"/>
      <c r="J9618" s="39">
        <v>114528</v>
      </c>
      <c r="K9618" s="36" t="str">
        <f>CONCATENATE(Cover!$D$6,"fdd/view?i=",J9618)</f>
        <v>https://www.dgiwg.org/FAD/fdd/view?i=114528</v>
      </c>
      <c r="L9618" s="36" t="s">
        <v>51859</v>
      </c>
      <c r="M9618" s="186"/>
      <c r="N9618" s="186"/>
      <c r="O9618" s="172"/>
    </row>
    <row r="9619" spans="1:15" ht="25.5" x14ac:dyDescent="0.2">
      <c r="A9619" s="197" t="str">
        <f t="shared" si="150"/>
        <v>AdsCode_outlyingTerritory</v>
      </c>
      <c r="B9619" s="409"/>
      <c r="C9619" s="416"/>
      <c r="D9619" s="198" t="s">
        <v>51860</v>
      </c>
      <c r="E9619" s="198">
        <v>4</v>
      </c>
      <c r="F9619" s="199" t="s">
        <v>51861</v>
      </c>
      <c r="G9619" s="1" t="s">
        <v>51862</v>
      </c>
      <c r="H9619" s="200"/>
      <c r="I9619" s="346"/>
      <c r="J9619" s="39">
        <v>114527</v>
      </c>
      <c r="K9619" s="36" t="str">
        <f>CONCATENATE(Cover!$D$6,"fdd/view?i=",J9619)</f>
        <v>https://www.dgiwg.org/FAD/fdd/view?i=114527</v>
      </c>
      <c r="L9619" s="36" t="s">
        <v>51863</v>
      </c>
      <c r="M9619" s="186"/>
      <c r="N9619" s="186"/>
      <c r="O9619" s="172"/>
    </row>
    <row r="9620" spans="1:15" ht="25.5" x14ac:dyDescent="0.2">
      <c r="A9620" s="197" t="str">
        <f t="shared" si="150"/>
        <v>AdsCode_partialAutonomousRegion</v>
      </c>
      <c r="B9620" s="409"/>
      <c r="C9620" s="416"/>
      <c r="D9620" s="198" t="s">
        <v>51864</v>
      </c>
      <c r="E9620" s="198">
        <v>11</v>
      </c>
      <c r="F9620" s="199" t="s">
        <v>51865</v>
      </c>
      <c r="G9620" s="1" t="s">
        <v>51866</v>
      </c>
      <c r="H9620" s="200"/>
      <c r="I9620" s="346"/>
      <c r="J9620" s="39">
        <v>114534</v>
      </c>
      <c r="K9620" s="36" t="str">
        <f>CONCATENATE(Cover!$D$6,"fdd/view?i=",J9620)</f>
        <v>https://www.dgiwg.org/FAD/fdd/view?i=114534</v>
      </c>
      <c r="L9620" s="36" t="s">
        <v>51867</v>
      </c>
      <c r="M9620" s="186"/>
      <c r="N9620" s="186"/>
      <c r="O9620" s="172"/>
    </row>
    <row r="9621" spans="1:15" ht="25.5" x14ac:dyDescent="0.2">
      <c r="A9621" s="197" t="str">
        <f t="shared" si="150"/>
        <v>AdsCode_protectorate</v>
      </c>
      <c r="B9621" s="409"/>
      <c r="C9621" s="416"/>
      <c r="D9621" s="198" t="s">
        <v>51868</v>
      </c>
      <c r="E9621" s="198">
        <v>6</v>
      </c>
      <c r="F9621" s="199" t="s">
        <v>51869</v>
      </c>
      <c r="G9621" s="1" t="s">
        <v>51870</v>
      </c>
      <c r="H9621" s="1" t="s">
        <v>51871</v>
      </c>
      <c r="I9621" s="346"/>
      <c r="J9621" s="39">
        <v>114529</v>
      </c>
      <c r="K9621" s="36" t="str">
        <f>CONCATENATE(Cover!$D$6,"fdd/view?i=",J9621)</f>
        <v>https://www.dgiwg.org/FAD/fdd/view?i=114529</v>
      </c>
      <c r="L9621" s="36" t="s">
        <v>51872</v>
      </c>
      <c r="M9621" s="186"/>
      <c r="N9621" s="186"/>
      <c r="O9621" s="172"/>
    </row>
    <row r="9622" spans="1:15" ht="25.5" x14ac:dyDescent="0.2">
      <c r="A9622" s="197" t="str">
        <f t="shared" si="150"/>
        <v>AdsCode_reservation</v>
      </c>
      <c r="B9622" s="409"/>
      <c r="C9622" s="416"/>
      <c r="D9622" s="198" t="s">
        <v>51873</v>
      </c>
      <c r="E9622" s="198">
        <v>12</v>
      </c>
      <c r="F9622" s="199" t="s">
        <v>32512</v>
      </c>
      <c r="G9622" s="1" t="s">
        <v>51874</v>
      </c>
      <c r="H9622" s="1" t="s">
        <v>51875</v>
      </c>
      <c r="I9622" s="346"/>
      <c r="J9622" s="39">
        <v>114535</v>
      </c>
      <c r="K9622" s="36" t="str">
        <f>CONCATENATE(Cover!$D$6,"fdd/view?i=",J9622)</f>
        <v>https://www.dgiwg.org/FAD/fdd/view?i=114535</v>
      </c>
      <c r="L9622" s="36" t="s">
        <v>51876</v>
      </c>
      <c r="M9622" s="186"/>
      <c r="N9622" s="186"/>
      <c r="O9622" s="172"/>
    </row>
    <row r="9623" spans="1:15" ht="25.5" x14ac:dyDescent="0.2">
      <c r="A9623" s="197" t="str">
        <f t="shared" si="150"/>
        <v>AdsCode_unProtectionZone</v>
      </c>
      <c r="B9623" s="409"/>
      <c r="C9623" s="416"/>
      <c r="D9623" s="198" t="s">
        <v>51877</v>
      </c>
      <c r="E9623" s="198">
        <v>7</v>
      </c>
      <c r="F9623" s="199" t="s">
        <v>51878</v>
      </c>
      <c r="G9623" s="1" t="s">
        <v>51879</v>
      </c>
      <c r="H9623" s="200"/>
      <c r="I9623" s="346"/>
      <c r="J9623" s="39">
        <v>114530</v>
      </c>
      <c r="K9623" s="36" t="str">
        <f>CONCATENATE(Cover!$D$6,"fdd/view?i=",J9623)</f>
        <v>https://www.dgiwg.org/FAD/fdd/view?i=114530</v>
      </c>
      <c r="L9623" s="36" t="s">
        <v>51880</v>
      </c>
      <c r="M9623" s="186"/>
      <c r="N9623" s="186"/>
      <c r="O9623" s="172"/>
    </row>
    <row r="9624" spans="1:15" ht="25.5" x14ac:dyDescent="0.2">
      <c r="A9624" s="203" t="str">
        <f t="shared" si="150"/>
        <v>AdsCode_zoneOccupation</v>
      </c>
      <c r="B9624" s="410"/>
      <c r="C9624" s="417"/>
      <c r="D9624" s="204" t="s">
        <v>51881</v>
      </c>
      <c r="E9624" s="204">
        <v>8</v>
      </c>
      <c r="F9624" s="205" t="s">
        <v>34255</v>
      </c>
      <c r="G9624" s="206" t="s">
        <v>34256</v>
      </c>
      <c r="H9624" s="207"/>
      <c r="I9624" s="347"/>
      <c r="J9624" s="39">
        <v>114531</v>
      </c>
      <c r="K9624" s="36" t="str">
        <f>CONCATENATE(Cover!$D$6,"fdd/view?i=",J9624)</f>
        <v>https://www.dgiwg.org/FAD/fdd/view?i=114531</v>
      </c>
      <c r="L9624" s="36" t="s">
        <v>51882</v>
      </c>
      <c r="M9624" s="186"/>
      <c r="N9624" s="186"/>
      <c r="O9624" s="172"/>
    </row>
    <row r="9625" spans="1:15" ht="25.5" x14ac:dyDescent="0.2">
      <c r="A9625" s="190" t="str">
        <f t="shared" si="150"/>
        <v>McuCode_aluminum</v>
      </c>
      <c r="B9625" s="414" t="str">
        <f>HYPERLINK("[#]Datatypes!A1526:L1526","McuCode")</f>
        <v>McuCode</v>
      </c>
      <c r="C9625" s="415" t="s">
        <v>16155</v>
      </c>
      <c r="D9625" s="221" t="s">
        <v>25660</v>
      </c>
      <c r="E9625" s="221">
        <v>121</v>
      </c>
      <c r="F9625" s="222" t="s">
        <v>43276</v>
      </c>
      <c r="G9625" s="223" t="s">
        <v>43277</v>
      </c>
      <c r="H9625" s="224"/>
      <c r="I9625" s="345"/>
      <c r="J9625" s="39">
        <v>108601</v>
      </c>
      <c r="K9625" s="36" t="str">
        <f>CONCATENATE(Cover!$D$6,"fdd/view?i=",J9625)</f>
        <v>https://www.dgiwg.org/FAD/fdd/view?i=108601</v>
      </c>
      <c r="L9625" s="36" t="s">
        <v>51883</v>
      </c>
      <c r="M9625" s="186"/>
      <c r="N9625" s="186"/>
      <c r="O9625" s="172"/>
    </row>
    <row r="9626" spans="1:15" ht="25.5" x14ac:dyDescent="0.2">
      <c r="A9626" s="197" t="str">
        <f t="shared" si="150"/>
        <v>McuCode_ash</v>
      </c>
      <c r="B9626" s="409"/>
      <c r="C9626" s="416"/>
      <c r="D9626" s="198" t="s">
        <v>25254</v>
      </c>
      <c r="E9626" s="198">
        <v>4</v>
      </c>
      <c r="F9626" s="199" t="s">
        <v>25255</v>
      </c>
      <c r="G9626" s="1" t="s">
        <v>25256</v>
      </c>
      <c r="H9626" s="200"/>
      <c r="I9626" s="346"/>
      <c r="J9626" s="39">
        <v>105519</v>
      </c>
      <c r="K9626" s="36" t="str">
        <f>CONCATENATE(Cover!$D$6,"fdd/view?i=",J9626)</f>
        <v>https://www.dgiwg.org/FAD/fdd/view?i=105519</v>
      </c>
      <c r="L9626" s="36" t="s">
        <v>51884</v>
      </c>
      <c r="M9626" s="186"/>
      <c r="N9626" s="186"/>
      <c r="O9626" s="172"/>
    </row>
    <row r="9627" spans="1:15" ht="38.25" x14ac:dyDescent="0.2">
      <c r="A9627" s="197" t="str">
        <f t="shared" si="150"/>
        <v>McuCode_basalt</v>
      </c>
      <c r="B9627" s="409"/>
      <c r="C9627" s="416"/>
      <c r="D9627" s="198" t="s">
        <v>22299</v>
      </c>
      <c r="E9627" s="198">
        <v>122</v>
      </c>
      <c r="F9627" s="199" t="s">
        <v>22300</v>
      </c>
      <c r="G9627" s="1" t="s">
        <v>44407</v>
      </c>
      <c r="H9627" s="200"/>
      <c r="I9627" s="346"/>
      <c r="J9627" s="39">
        <v>108602</v>
      </c>
      <c r="K9627" s="36" t="str">
        <f>CONCATENATE(Cover!$D$6,"fdd/view?i=",J9627)</f>
        <v>https://www.dgiwg.org/FAD/fdd/view?i=108602</v>
      </c>
      <c r="L9627" s="36" t="s">
        <v>51885</v>
      </c>
      <c r="M9627" s="186"/>
      <c r="N9627" s="186"/>
      <c r="O9627" s="172"/>
    </row>
    <row r="9628" spans="1:15" ht="38.25" x14ac:dyDescent="0.2">
      <c r="A9628" s="197" t="str">
        <f t="shared" si="150"/>
        <v>McuCode_bedrock</v>
      </c>
      <c r="B9628" s="409"/>
      <c r="C9628" s="416"/>
      <c r="D9628" s="198" t="s">
        <v>24141</v>
      </c>
      <c r="E9628" s="198">
        <v>123</v>
      </c>
      <c r="F9628" s="199" t="s">
        <v>24142</v>
      </c>
      <c r="G9628" s="1" t="s">
        <v>24143</v>
      </c>
      <c r="H9628" s="1" t="s">
        <v>24144</v>
      </c>
      <c r="I9628" s="346"/>
      <c r="J9628" s="39">
        <v>108603</v>
      </c>
      <c r="K9628" s="36" t="str">
        <f>CONCATENATE(Cover!$D$6,"fdd/view?i=",J9628)</f>
        <v>https://www.dgiwg.org/FAD/fdd/view?i=108603</v>
      </c>
      <c r="L9628" s="36" t="s">
        <v>51886</v>
      </c>
      <c r="M9628" s="186"/>
      <c r="N9628" s="186"/>
      <c r="O9628" s="172"/>
    </row>
    <row r="9629" spans="1:15" x14ac:dyDescent="0.2">
      <c r="A9629" s="197" t="str">
        <f t="shared" si="150"/>
        <v>McuCode_boulders</v>
      </c>
      <c r="B9629" s="409"/>
      <c r="C9629" s="416"/>
      <c r="D9629" s="198" t="s">
        <v>22303</v>
      </c>
      <c r="E9629" s="198">
        <v>8</v>
      </c>
      <c r="F9629" s="199" t="s">
        <v>22304</v>
      </c>
      <c r="G9629" s="1" t="s">
        <v>24180</v>
      </c>
      <c r="H9629" s="200"/>
      <c r="I9629" s="346"/>
      <c r="J9629" s="39">
        <v>105520</v>
      </c>
      <c r="K9629" s="36" t="str">
        <f>CONCATENATE(Cover!$D$6,"fdd/view?i=",J9629)</f>
        <v>https://www.dgiwg.org/FAD/fdd/view?i=105520</v>
      </c>
      <c r="L9629" s="36" t="s">
        <v>51887</v>
      </c>
      <c r="M9629" s="186"/>
      <c r="N9629" s="186"/>
      <c r="O9629" s="172"/>
    </row>
    <row r="9630" spans="1:15" ht="38.25" x14ac:dyDescent="0.2">
      <c r="A9630" s="197" t="str">
        <f t="shared" si="150"/>
        <v>McuCode_breccia</v>
      </c>
      <c r="B9630" s="409"/>
      <c r="C9630" s="416"/>
      <c r="D9630" s="198" t="s">
        <v>43309</v>
      </c>
      <c r="E9630" s="198">
        <v>124</v>
      </c>
      <c r="F9630" s="199" t="s">
        <v>43310</v>
      </c>
      <c r="G9630" s="1" t="s">
        <v>43312</v>
      </c>
      <c r="H9630" s="200"/>
      <c r="I9630" s="346"/>
      <c r="J9630" s="39">
        <v>108604</v>
      </c>
      <c r="K9630" s="36" t="str">
        <f>CONCATENATE(Cover!$D$6,"fdd/view?i=",J9630)</f>
        <v>https://www.dgiwg.org/FAD/fdd/view?i=108604</v>
      </c>
      <c r="L9630" s="36" t="s">
        <v>51888</v>
      </c>
      <c r="M9630" s="186"/>
      <c r="N9630" s="186"/>
      <c r="O9630" s="172"/>
    </row>
    <row r="9631" spans="1:15" ht="25.5" x14ac:dyDescent="0.2">
      <c r="A9631" s="197" t="str">
        <f t="shared" si="150"/>
        <v>McuCode_brick</v>
      </c>
      <c r="B9631" s="409"/>
      <c r="C9631" s="416"/>
      <c r="D9631" s="198" t="s">
        <v>19533</v>
      </c>
      <c r="E9631" s="198">
        <v>9</v>
      </c>
      <c r="F9631" s="199" t="s">
        <v>19534</v>
      </c>
      <c r="G9631" s="1" t="s">
        <v>43314</v>
      </c>
      <c r="H9631" s="200"/>
      <c r="I9631" s="346"/>
      <c r="J9631" s="39">
        <v>105521</v>
      </c>
      <c r="K9631" s="36" t="str">
        <f>CONCATENATE(Cover!$D$6,"fdd/view?i=",J9631)</f>
        <v>https://www.dgiwg.org/FAD/fdd/view?i=105521</v>
      </c>
      <c r="L9631" s="36" t="s">
        <v>51889</v>
      </c>
      <c r="M9631" s="186"/>
      <c r="N9631" s="186"/>
      <c r="O9631" s="172"/>
    </row>
    <row r="9632" spans="1:15" ht="25.5" x14ac:dyDescent="0.2">
      <c r="A9632" s="197" t="str">
        <f t="shared" si="150"/>
        <v>McuCode_ceramic</v>
      </c>
      <c r="B9632" s="409"/>
      <c r="C9632" s="416"/>
      <c r="D9632" s="198" t="s">
        <v>46712</v>
      </c>
      <c r="E9632" s="198">
        <v>125</v>
      </c>
      <c r="F9632" s="199" t="s">
        <v>46713</v>
      </c>
      <c r="G9632" s="1" t="s">
        <v>46714</v>
      </c>
      <c r="H9632" s="1" t="s">
        <v>46715</v>
      </c>
      <c r="I9632" s="346"/>
      <c r="J9632" s="39">
        <v>108605</v>
      </c>
      <c r="K9632" s="36" t="str">
        <f>CONCATENATE(Cover!$D$6,"fdd/view?i=",J9632)</f>
        <v>https://www.dgiwg.org/FAD/fdd/view?i=108605</v>
      </c>
      <c r="L9632" s="36" t="s">
        <v>51890</v>
      </c>
      <c r="M9632" s="186"/>
      <c r="N9632" s="186"/>
      <c r="O9632" s="172"/>
    </row>
    <row r="9633" spans="1:15" ht="38.25" x14ac:dyDescent="0.2">
      <c r="A9633" s="197" t="str">
        <f t="shared" si="150"/>
        <v>McuCode_chalk</v>
      </c>
      <c r="B9633" s="409"/>
      <c r="C9633" s="416"/>
      <c r="D9633" s="198" t="s">
        <v>43328</v>
      </c>
      <c r="E9633" s="198">
        <v>12</v>
      </c>
      <c r="F9633" s="199" t="s">
        <v>43329</v>
      </c>
      <c r="G9633" s="1" t="s">
        <v>43330</v>
      </c>
      <c r="H9633" s="200"/>
      <c r="I9633" s="346"/>
      <c r="J9633" s="39">
        <v>105522</v>
      </c>
      <c r="K9633" s="36" t="str">
        <f>CONCATENATE(Cover!$D$6,"fdd/view?i=",J9633)</f>
        <v>https://www.dgiwg.org/FAD/fdd/view?i=105522</v>
      </c>
      <c r="L9633" s="36" t="s">
        <v>51891</v>
      </c>
      <c r="M9633" s="186"/>
      <c r="N9633" s="186"/>
      <c r="O9633" s="172"/>
    </row>
    <row r="9634" spans="1:15" ht="25.5" x14ac:dyDescent="0.2">
      <c r="A9634" s="197" t="str">
        <f t="shared" si="150"/>
        <v>McuCode_cinders</v>
      </c>
      <c r="B9634" s="409"/>
      <c r="C9634" s="416"/>
      <c r="D9634" s="198" t="s">
        <v>25258</v>
      </c>
      <c r="E9634" s="198">
        <v>14</v>
      </c>
      <c r="F9634" s="199" t="s">
        <v>25259</v>
      </c>
      <c r="G9634" s="1" t="s">
        <v>25260</v>
      </c>
      <c r="H9634" s="200"/>
      <c r="I9634" s="346"/>
      <c r="J9634" s="39">
        <v>105523</v>
      </c>
      <c r="K9634" s="36" t="str">
        <f>CONCATENATE(Cover!$D$6,"fdd/view?i=",J9634)</f>
        <v>https://www.dgiwg.org/FAD/fdd/view?i=105523</v>
      </c>
      <c r="L9634" s="36" t="s">
        <v>51892</v>
      </c>
      <c r="M9634" s="186"/>
      <c r="N9634" s="186"/>
      <c r="O9634" s="172"/>
    </row>
    <row r="9635" spans="1:15" ht="38.25" x14ac:dyDescent="0.2">
      <c r="A9635" s="197" t="str">
        <f t="shared" si="150"/>
        <v>McuCode_cirripedia</v>
      </c>
      <c r="B9635" s="409"/>
      <c r="C9635" s="416"/>
      <c r="D9635" s="198" t="s">
        <v>46719</v>
      </c>
      <c r="E9635" s="198">
        <v>15</v>
      </c>
      <c r="F9635" s="199" t="s">
        <v>46720</v>
      </c>
      <c r="G9635" s="1" t="s">
        <v>46721</v>
      </c>
      <c r="H9635" s="1" t="s">
        <v>46722</v>
      </c>
      <c r="I9635" s="346"/>
      <c r="J9635" s="39">
        <v>105524</v>
      </c>
      <c r="K9635" s="36" t="str">
        <f>CONCATENATE(Cover!$D$6,"fdd/view?i=",J9635)</f>
        <v>https://www.dgiwg.org/FAD/fdd/view?i=105524</v>
      </c>
      <c r="L9635" s="36" t="s">
        <v>51893</v>
      </c>
      <c r="M9635" s="186"/>
      <c r="N9635" s="186"/>
      <c r="O9635" s="172"/>
    </row>
    <row r="9636" spans="1:15" ht="38.25" x14ac:dyDescent="0.2">
      <c r="A9636" s="197" t="str">
        <f t="shared" si="150"/>
        <v>McuCode_clay</v>
      </c>
      <c r="B9636" s="409"/>
      <c r="C9636" s="416"/>
      <c r="D9636" s="198" t="s">
        <v>19537</v>
      </c>
      <c r="E9636" s="198">
        <v>16</v>
      </c>
      <c r="F9636" s="199" t="s">
        <v>19538</v>
      </c>
      <c r="G9636" s="1" t="s">
        <v>43343</v>
      </c>
      <c r="H9636" s="1" t="s">
        <v>43344</v>
      </c>
      <c r="I9636" s="346"/>
      <c r="J9636" s="39">
        <v>105525</v>
      </c>
      <c r="K9636" s="36" t="str">
        <f>CONCATENATE(Cover!$D$6,"fdd/view?i=",J9636)</f>
        <v>https://www.dgiwg.org/FAD/fdd/view?i=105525</v>
      </c>
      <c r="L9636" s="36" t="s">
        <v>51894</v>
      </c>
      <c r="M9636" s="186"/>
      <c r="N9636" s="186"/>
      <c r="O9636" s="172"/>
    </row>
    <row r="9637" spans="1:15" x14ac:dyDescent="0.2">
      <c r="A9637" s="197" t="str">
        <f t="shared" si="150"/>
        <v>McuCode_cobbles</v>
      </c>
      <c r="B9637" s="409"/>
      <c r="C9637" s="416"/>
      <c r="D9637" s="198" t="s">
        <v>43358</v>
      </c>
      <c r="E9637" s="198">
        <v>18</v>
      </c>
      <c r="F9637" s="199" t="s">
        <v>43359</v>
      </c>
      <c r="G9637" s="1" t="s">
        <v>43360</v>
      </c>
      <c r="H9637" s="200"/>
      <c r="I9637" s="351" t="s">
        <v>43361</v>
      </c>
      <c r="J9637" s="39">
        <v>105526</v>
      </c>
      <c r="K9637" s="36" t="str">
        <f>CONCATENATE(Cover!$D$6,"fdd/view?i=",J9637)</f>
        <v>https://www.dgiwg.org/FAD/fdd/view?i=105526</v>
      </c>
      <c r="L9637" s="36" t="s">
        <v>51895</v>
      </c>
      <c r="M9637" s="186"/>
      <c r="N9637" s="186"/>
      <c r="O9637" s="172"/>
    </row>
    <row r="9638" spans="1:15" ht="38.25" x14ac:dyDescent="0.2">
      <c r="A9638" s="197" t="str">
        <f t="shared" si="150"/>
        <v>McuCode_composition</v>
      </c>
      <c r="B9638" s="409"/>
      <c r="C9638" s="416"/>
      <c r="D9638" s="198" t="s">
        <v>43965</v>
      </c>
      <c r="E9638" s="198">
        <v>20</v>
      </c>
      <c r="F9638" s="199" t="s">
        <v>43966</v>
      </c>
      <c r="G9638" s="1" t="s">
        <v>43967</v>
      </c>
      <c r="H9638" s="200"/>
      <c r="I9638" s="346"/>
      <c r="J9638" s="39">
        <v>105527</v>
      </c>
      <c r="K9638" s="36" t="str">
        <f>CONCATENATE(Cover!$D$6,"fdd/view?i=",J9638)</f>
        <v>https://www.dgiwg.org/FAD/fdd/view?i=105527</v>
      </c>
      <c r="L9638" s="36" t="s">
        <v>51896</v>
      </c>
      <c r="M9638" s="186"/>
      <c r="N9638" s="186"/>
      <c r="O9638" s="172"/>
    </row>
    <row r="9639" spans="1:15" ht="38.25" x14ac:dyDescent="0.2">
      <c r="A9639" s="197" t="str">
        <f t="shared" si="150"/>
        <v>McuCode_concrete</v>
      </c>
      <c r="B9639" s="409"/>
      <c r="C9639" s="416"/>
      <c r="D9639" s="198" t="s">
        <v>19541</v>
      </c>
      <c r="E9639" s="198">
        <v>21</v>
      </c>
      <c r="F9639" s="199" t="s">
        <v>19542</v>
      </c>
      <c r="G9639" s="1" t="s">
        <v>24150</v>
      </c>
      <c r="H9639" s="200"/>
      <c r="I9639" s="346"/>
      <c r="J9639" s="39">
        <v>105528</v>
      </c>
      <c r="K9639" s="36" t="str">
        <f>CONCATENATE(Cover!$D$6,"fdd/view?i=",J9639)</f>
        <v>https://www.dgiwg.org/FAD/fdd/view?i=105528</v>
      </c>
      <c r="L9639" s="36" t="s">
        <v>51897</v>
      </c>
      <c r="M9639" s="186"/>
      <c r="N9639" s="186"/>
      <c r="O9639" s="172"/>
    </row>
    <row r="9640" spans="1:15" ht="25.5" x14ac:dyDescent="0.2">
      <c r="A9640" s="197" t="str">
        <f t="shared" si="150"/>
        <v>McuCode_copper</v>
      </c>
      <c r="B9640" s="409"/>
      <c r="C9640" s="416"/>
      <c r="D9640" s="198" t="s">
        <v>25734</v>
      </c>
      <c r="E9640" s="198">
        <v>126</v>
      </c>
      <c r="F9640" s="199" t="s">
        <v>43378</v>
      </c>
      <c r="G9640" s="1" t="s">
        <v>43379</v>
      </c>
      <c r="H9640" s="1" t="s">
        <v>43380</v>
      </c>
      <c r="I9640" s="346"/>
      <c r="J9640" s="39">
        <v>108606</v>
      </c>
      <c r="K9640" s="36" t="str">
        <f>CONCATENATE(Cover!$D$6,"fdd/view?i=",J9640)</f>
        <v>https://www.dgiwg.org/FAD/fdd/view?i=108606</v>
      </c>
      <c r="L9640" s="36" t="s">
        <v>51898</v>
      </c>
      <c r="M9640" s="186"/>
      <c r="N9640" s="186"/>
      <c r="O9640" s="172"/>
    </row>
    <row r="9641" spans="1:15" ht="38.25" x14ac:dyDescent="0.2">
      <c r="A9641" s="197" t="str">
        <f t="shared" si="150"/>
        <v>McuCode_coral</v>
      </c>
      <c r="B9641" s="409"/>
      <c r="C9641" s="416"/>
      <c r="D9641" s="198" t="s">
        <v>19546</v>
      </c>
      <c r="E9641" s="198">
        <v>24</v>
      </c>
      <c r="F9641" s="199" t="s">
        <v>19547</v>
      </c>
      <c r="G9641" s="1" t="s">
        <v>24152</v>
      </c>
      <c r="H9641" s="1" t="s">
        <v>24153</v>
      </c>
      <c r="I9641" s="346"/>
      <c r="J9641" s="39">
        <v>105529</v>
      </c>
      <c r="K9641" s="36" t="str">
        <f>CONCATENATE(Cover!$D$6,"fdd/view?i=",J9641)</f>
        <v>https://www.dgiwg.org/FAD/fdd/view?i=105529</v>
      </c>
      <c r="L9641" s="36" t="s">
        <v>51899</v>
      </c>
      <c r="M9641" s="186"/>
      <c r="N9641" s="186"/>
      <c r="O9641" s="172"/>
    </row>
    <row r="9642" spans="1:15" ht="25.5" x14ac:dyDescent="0.2">
      <c r="A9642" s="197" t="str">
        <f t="shared" si="150"/>
        <v>McuCode_coralHead</v>
      </c>
      <c r="B9642" s="409"/>
      <c r="C9642" s="416"/>
      <c r="D9642" s="198" t="s">
        <v>46730</v>
      </c>
      <c r="E9642" s="198">
        <v>25</v>
      </c>
      <c r="F9642" s="199" t="s">
        <v>46731</v>
      </c>
      <c r="G9642" s="1" t="s">
        <v>46732</v>
      </c>
      <c r="H9642" s="200"/>
      <c r="I9642" s="346"/>
      <c r="J9642" s="39">
        <v>105530</v>
      </c>
      <c r="K9642" s="36" t="str">
        <f>CONCATENATE(Cover!$D$6,"fdd/view?i=",J9642)</f>
        <v>https://www.dgiwg.org/FAD/fdd/view?i=105530</v>
      </c>
      <c r="L9642" s="36" t="s">
        <v>51900</v>
      </c>
      <c r="M9642" s="186"/>
      <c r="N9642" s="186"/>
      <c r="O9642" s="172"/>
    </row>
    <row r="9643" spans="1:15" ht="25.5" x14ac:dyDescent="0.2">
      <c r="A9643" s="197" t="str">
        <f t="shared" si="150"/>
        <v>McuCode_diatomaceousEarth</v>
      </c>
      <c r="B9643" s="409"/>
      <c r="C9643" s="416"/>
      <c r="D9643" s="198" t="s">
        <v>43406</v>
      </c>
      <c r="E9643" s="198">
        <v>28</v>
      </c>
      <c r="F9643" s="199" t="s">
        <v>43407</v>
      </c>
      <c r="G9643" s="1" t="s">
        <v>43408</v>
      </c>
      <c r="H9643" s="1" t="s">
        <v>43409</v>
      </c>
      <c r="I9643" s="346"/>
      <c r="J9643" s="39">
        <v>105531</v>
      </c>
      <c r="K9643" s="36" t="str">
        <f>CONCATENATE(Cover!$D$6,"fdd/view?i=",J9643)</f>
        <v>https://www.dgiwg.org/FAD/fdd/view?i=105531</v>
      </c>
      <c r="L9643" s="36" t="s">
        <v>51901</v>
      </c>
      <c r="M9643" s="186"/>
      <c r="N9643" s="186"/>
      <c r="O9643" s="172"/>
    </row>
    <row r="9644" spans="1:15" ht="25.5" x14ac:dyDescent="0.2">
      <c r="A9644" s="197" t="str">
        <f t="shared" si="150"/>
        <v>McuCode_dolerite</v>
      </c>
      <c r="B9644" s="409"/>
      <c r="C9644" s="416"/>
      <c r="D9644" s="198" t="s">
        <v>43413</v>
      </c>
      <c r="E9644" s="198">
        <v>127</v>
      </c>
      <c r="F9644" s="199" t="s">
        <v>43414</v>
      </c>
      <c r="G9644" s="1" t="s">
        <v>44429</v>
      </c>
      <c r="H9644" s="1" t="s">
        <v>44430</v>
      </c>
      <c r="I9644" s="346"/>
      <c r="J9644" s="39">
        <v>108607</v>
      </c>
      <c r="K9644" s="36" t="str">
        <f>CONCATENATE(Cover!$D$6,"fdd/view?i=",J9644)</f>
        <v>https://www.dgiwg.org/FAD/fdd/view?i=108607</v>
      </c>
      <c r="L9644" s="36" t="s">
        <v>51902</v>
      </c>
      <c r="M9644" s="186"/>
      <c r="N9644" s="186"/>
      <c r="O9644" s="172"/>
    </row>
    <row r="9645" spans="1:15" ht="38.25" x14ac:dyDescent="0.2">
      <c r="A9645" s="197" t="str">
        <f t="shared" si="150"/>
        <v>McuCode_dolomite</v>
      </c>
      <c r="B9645" s="409"/>
      <c r="C9645" s="416"/>
      <c r="D9645" s="198" t="s">
        <v>22315</v>
      </c>
      <c r="E9645" s="198">
        <v>128</v>
      </c>
      <c r="F9645" s="199" t="s">
        <v>22316</v>
      </c>
      <c r="G9645" s="1" t="s">
        <v>43419</v>
      </c>
      <c r="H9645" s="200"/>
      <c r="I9645" s="346"/>
      <c r="J9645" s="39">
        <v>108608</v>
      </c>
      <c r="K9645" s="36" t="str">
        <f>CONCATENATE(Cover!$D$6,"fdd/view?i=",J9645)</f>
        <v>https://www.dgiwg.org/FAD/fdd/view?i=108608</v>
      </c>
      <c r="L9645" s="36" t="s">
        <v>51903</v>
      </c>
      <c r="M9645" s="186"/>
      <c r="N9645" s="186"/>
      <c r="O9645" s="172"/>
    </row>
    <row r="9646" spans="1:15" ht="25.5" x14ac:dyDescent="0.2">
      <c r="A9646" s="197" t="str">
        <f t="shared" si="150"/>
        <v>McuCode_evaporite</v>
      </c>
      <c r="B9646" s="409"/>
      <c r="C9646" s="416"/>
      <c r="D9646" s="198" t="s">
        <v>45939</v>
      </c>
      <c r="E9646" s="198">
        <v>119</v>
      </c>
      <c r="F9646" s="199" t="s">
        <v>45940</v>
      </c>
      <c r="G9646" s="1" t="s">
        <v>46737</v>
      </c>
      <c r="H9646" s="200"/>
      <c r="I9646" s="346"/>
      <c r="J9646" s="39">
        <v>105578</v>
      </c>
      <c r="K9646" s="36" t="str">
        <f>CONCATENATE(Cover!$D$6,"fdd/view?i=",J9646)</f>
        <v>https://www.dgiwg.org/FAD/fdd/view?i=105578</v>
      </c>
      <c r="L9646" s="36" t="s">
        <v>51904</v>
      </c>
      <c r="M9646" s="186"/>
      <c r="N9646" s="186"/>
      <c r="O9646" s="172"/>
    </row>
    <row r="9647" spans="1:15" ht="38.25" x14ac:dyDescent="0.2">
      <c r="A9647" s="197" t="str">
        <f t="shared" si="150"/>
        <v>McuCode_flysch</v>
      </c>
      <c r="B9647" s="409"/>
      <c r="C9647" s="416"/>
      <c r="D9647" s="198" t="s">
        <v>46739</v>
      </c>
      <c r="E9647" s="198">
        <v>129</v>
      </c>
      <c r="F9647" s="199" t="s">
        <v>46740</v>
      </c>
      <c r="G9647" s="1" t="s">
        <v>46741</v>
      </c>
      <c r="H9647" s="200"/>
      <c r="I9647" s="346"/>
      <c r="J9647" s="39">
        <v>108609</v>
      </c>
      <c r="K9647" s="36" t="str">
        <f>CONCATENATE(Cover!$D$6,"fdd/view?i=",J9647)</f>
        <v>https://www.dgiwg.org/FAD/fdd/view?i=108609</v>
      </c>
      <c r="L9647" s="36" t="s">
        <v>51905</v>
      </c>
      <c r="M9647" s="186"/>
      <c r="N9647" s="186"/>
      <c r="O9647" s="172"/>
    </row>
    <row r="9648" spans="1:15" ht="51" x14ac:dyDescent="0.2">
      <c r="A9648" s="197" t="str">
        <f t="shared" si="150"/>
        <v>McuCode_foraminifera</v>
      </c>
      <c r="B9648" s="409"/>
      <c r="C9648" s="416"/>
      <c r="D9648" s="198" t="s">
        <v>44434</v>
      </c>
      <c r="E9648" s="198">
        <v>36</v>
      </c>
      <c r="F9648" s="199" t="s">
        <v>44435</v>
      </c>
      <c r="G9648" s="1" t="s">
        <v>44436</v>
      </c>
      <c r="H9648" s="200"/>
      <c r="I9648" s="346"/>
      <c r="J9648" s="39">
        <v>105532</v>
      </c>
      <c r="K9648" s="36" t="str">
        <f>CONCATENATE(Cover!$D$6,"fdd/view?i=",J9648)</f>
        <v>https://www.dgiwg.org/FAD/fdd/view?i=105532</v>
      </c>
      <c r="L9648" s="36" t="s">
        <v>51906</v>
      </c>
      <c r="M9648" s="186"/>
      <c r="N9648" s="186"/>
      <c r="O9648" s="172"/>
    </row>
    <row r="9649" spans="1:15" x14ac:dyDescent="0.2">
      <c r="A9649" s="197" t="str">
        <f t="shared" si="150"/>
        <v>McuCode_fucus</v>
      </c>
      <c r="B9649" s="409"/>
      <c r="C9649" s="416"/>
      <c r="D9649" s="198" t="s">
        <v>46744</v>
      </c>
      <c r="E9649" s="198">
        <v>37</v>
      </c>
      <c r="F9649" s="199" t="s">
        <v>46745</v>
      </c>
      <c r="G9649" s="1" t="s">
        <v>46746</v>
      </c>
      <c r="H9649" s="1" t="s">
        <v>46747</v>
      </c>
      <c r="I9649" s="346"/>
      <c r="J9649" s="39">
        <v>105533</v>
      </c>
      <c r="K9649" s="36" t="str">
        <f>CONCATENATE(Cover!$D$6,"fdd/view?i=",J9649)</f>
        <v>https://www.dgiwg.org/FAD/fdd/view?i=105533</v>
      </c>
      <c r="L9649" s="36" t="s">
        <v>51907</v>
      </c>
      <c r="M9649" s="186"/>
      <c r="N9649" s="186"/>
      <c r="O9649" s="172"/>
    </row>
    <row r="9650" spans="1:15" ht="25.5" x14ac:dyDescent="0.2">
      <c r="A9650" s="197" t="str">
        <f t="shared" si="150"/>
        <v>McuCode_glassReinforcedPlastic</v>
      </c>
      <c r="B9650" s="409"/>
      <c r="C9650" s="416"/>
      <c r="D9650" s="198" t="s">
        <v>46749</v>
      </c>
      <c r="E9650" s="198">
        <v>120</v>
      </c>
      <c r="F9650" s="199" t="s">
        <v>46750</v>
      </c>
      <c r="G9650" s="1" t="s">
        <v>46751</v>
      </c>
      <c r="H9650" s="1" t="s">
        <v>46752</v>
      </c>
      <c r="I9650" s="346"/>
      <c r="J9650" s="39">
        <v>105579</v>
      </c>
      <c r="K9650" s="36" t="str">
        <f>CONCATENATE(Cover!$D$6,"fdd/view?i=",J9650)</f>
        <v>https://www.dgiwg.org/FAD/fdd/view?i=105579</v>
      </c>
      <c r="L9650" s="36" t="s">
        <v>51908</v>
      </c>
      <c r="M9650" s="186"/>
      <c r="N9650" s="186"/>
      <c r="O9650" s="172"/>
    </row>
    <row r="9651" spans="1:15" ht="51" x14ac:dyDescent="0.2">
      <c r="A9651" s="197" t="str">
        <f t="shared" si="150"/>
        <v>McuCode_gneiss</v>
      </c>
      <c r="B9651" s="409"/>
      <c r="C9651" s="416"/>
      <c r="D9651" s="198" t="s">
        <v>43463</v>
      </c>
      <c r="E9651" s="198">
        <v>130</v>
      </c>
      <c r="F9651" s="199" t="s">
        <v>43464</v>
      </c>
      <c r="G9651" s="1" t="s">
        <v>44441</v>
      </c>
      <c r="H9651" s="1" t="s">
        <v>44442</v>
      </c>
      <c r="I9651" s="346"/>
      <c r="J9651" s="39">
        <v>108610</v>
      </c>
      <c r="K9651" s="36" t="str">
        <f>CONCATENATE(Cover!$D$6,"fdd/view?i=",J9651)</f>
        <v>https://www.dgiwg.org/FAD/fdd/view?i=108610</v>
      </c>
      <c r="L9651" s="36" t="s">
        <v>51909</v>
      </c>
      <c r="M9651" s="186"/>
      <c r="N9651" s="186"/>
      <c r="O9651" s="172"/>
    </row>
    <row r="9652" spans="1:15" ht="51" x14ac:dyDescent="0.2">
      <c r="A9652" s="197" t="str">
        <f t="shared" si="150"/>
        <v>McuCode_gold</v>
      </c>
      <c r="B9652" s="409"/>
      <c r="C9652" s="416"/>
      <c r="D9652" s="198" t="s">
        <v>25753</v>
      </c>
      <c r="E9652" s="198">
        <v>131</v>
      </c>
      <c r="F9652" s="199" t="s">
        <v>43020</v>
      </c>
      <c r="G9652" s="1" t="s">
        <v>43468</v>
      </c>
      <c r="H9652" s="200"/>
      <c r="I9652" s="346"/>
      <c r="J9652" s="39">
        <v>108611</v>
      </c>
      <c r="K9652" s="36" t="str">
        <f>CONCATENATE(Cover!$D$6,"fdd/view?i=",J9652)</f>
        <v>https://www.dgiwg.org/FAD/fdd/view?i=108611</v>
      </c>
      <c r="L9652" s="36" t="s">
        <v>51910</v>
      </c>
      <c r="M9652" s="186"/>
      <c r="N9652" s="186"/>
      <c r="O9652" s="172"/>
    </row>
    <row r="9653" spans="1:15" ht="38.25" x14ac:dyDescent="0.2">
      <c r="A9653" s="197" t="str">
        <f t="shared" si="150"/>
        <v>McuCode_granite</v>
      </c>
      <c r="B9653" s="409"/>
      <c r="C9653" s="416"/>
      <c r="D9653" s="198" t="s">
        <v>22319</v>
      </c>
      <c r="E9653" s="198">
        <v>132</v>
      </c>
      <c r="F9653" s="199" t="s">
        <v>22320</v>
      </c>
      <c r="G9653" s="1" t="s">
        <v>43475</v>
      </c>
      <c r="H9653" s="1" t="s">
        <v>44446</v>
      </c>
      <c r="I9653" s="346"/>
      <c r="J9653" s="39">
        <v>108612</v>
      </c>
      <c r="K9653" s="36" t="str">
        <f>CONCATENATE(Cover!$D$6,"fdd/view?i=",J9653)</f>
        <v>https://www.dgiwg.org/FAD/fdd/view?i=108612</v>
      </c>
      <c r="L9653" s="36" t="s">
        <v>51911</v>
      </c>
      <c r="M9653" s="186"/>
      <c r="N9653" s="186"/>
      <c r="O9653" s="172"/>
    </row>
    <row r="9654" spans="1:15" ht="25.5" x14ac:dyDescent="0.2">
      <c r="A9654" s="197" t="str">
        <f t="shared" si="150"/>
        <v>McuCode_gravel</v>
      </c>
      <c r="B9654" s="409"/>
      <c r="C9654" s="416"/>
      <c r="D9654" s="198" t="s">
        <v>19556</v>
      </c>
      <c r="E9654" s="198">
        <v>46</v>
      </c>
      <c r="F9654" s="199" t="s">
        <v>19557</v>
      </c>
      <c r="G9654" s="1" t="s">
        <v>43477</v>
      </c>
      <c r="H9654" s="1" t="s">
        <v>43478</v>
      </c>
      <c r="I9654" s="346"/>
      <c r="J9654" s="39">
        <v>105536</v>
      </c>
      <c r="K9654" s="36" t="str">
        <f>CONCATENATE(Cover!$D$6,"fdd/view?i=",J9654)</f>
        <v>https://www.dgiwg.org/FAD/fdd/view?i=105536</v>
      </c>
      <c r="L9654" s="36" t="s">
        <v>51912</v>
      </c>
      <c r="M9654" s="186"/>
      <c r="N9654" s="186"/>
      <c r="O9654" s="172"/>
    </row>
    <row r="9655" spans="1:15" ht="25.5" x14ac:dyDescent="0.2">
      <c r="A9655" s="197" t="str">
        <f t="shared" si="150"/>
        <v>McuCode_greenstone</v>
      </c>
      <c r="B9655" s="409"/>
      <c r="C9655" s="416"/>
      <c r="D9655" s="198" t="s">
        <v>43480</v>
      </c>
      <c r="E9655" s="198">
        <v>133</v>
      </c>
      <c r="F9655" s="199" t="s">
        <v>43481</v>
      </c>
      <c r="G9655" s="1" t="s">
        <v>44449</v>
      </c>
      <c r="H9655" s="1" t="s">
        <v>44450</v>
      </c>
      <c r="I9655" s="346"/>
      <c r="J9655" s="39">
        <v>108613</v>
      </c>
      <c r="K9655" s="36" t="str">
        <f>CONCATENATE(Cover!$D$6,"fdd/view?i=",J9655)</f>
        <v>https://www.dgiwg.org/FAD/fdd/view?i=108613</v>
      </c>
      <c r="L9655" s="36" t="s">
        <v>51913</v>
      </c>
      <c r="M9655" s="186"/>
      <c r="N9655" s="186"/>
      <c r="O9655" s="172"/>
    </row>
    <row r="9656" spans="1:15" ht="38.25" x14ac:dyDescent="0.2">
      <c r="A9656" s="197" t="str">
        <f t="shared" si="150"/>
        <v>McuCode_iron</v>
      </c>
      <c r="B9656" s="409"/>
      <c r="C9656" s="416"/>
      <c r="D9656" s="198" t="s">
        <v>25766</v>
      </c>
      <c r="E9656" s="198">
        <v>134</v>
      </c>
      <c r="F9656" s="199" t="s">
        <v>43508</v>
      </c>
      <c r="G9656" s="1" t="s">
        <v>43509</v>
      </c>
      <c r="H9656" s="1" t="s">
        <v>43510</v>
      </c>
      <c r="I9656" s="346"/>
      <c r="J9656" s="39">
        <v>108614</v>
      </c>
      <c r="K9656" s="36" t="str">
        <f>CONCATENATE(Cover!$D$6,"fdd/view?i=",J9656)</f>
        <v>https://www.dgiwg.org/FAD/fdd/view?i=108614</v>
      </c>
      <c r="L9656" s="36" t="s">
        <v>51914</v>
      </c>
      <c r="M9656" s="186"/>
      <c r="N9656" s="186"/>
      <c r="O9656" s="172"/>
    </row>
    <row r="9657" spans="1:15" ht="63.75" x14ac:dyDescent="0.2">
      <c r="A9657" s="197" t="str">
        <f t="shared" si="150"/>
        <v>McuCode_laterite</v>
      </c>
      <c r="B9657" s="409"/>
      <c r="C9657" s="416"/>
      <c r="D9657" s="198" t="s">
        <v>19570</v>
      </c>
      <c r="E9657" s="198">
        <v>135</v>
      </c>
      <c r="F9657" s="199" t="s">
        <v>19571</v>
      </c>
      <c r="G9657" s="1" t="s">
        <v>46760</v>
      </c>
      <c r="H9657" s="1" t="s">
        <v>46761</v>
      </c>
      <c r="I9657" s="346"/>
      <c r="J9657" s="39">
        <v>108615</v>
      </c>
      <c r="K9657" s="36" t="str">
        <f>CONCATENATE(Cover!$D$6,"fdd/view?i=",J9657)</f>
        <v>https://www.dgiwg.org/FAD/fdd/view?i=108615</v>
      </c>
      <c r="L9657" s="36" t="s">
        <v>51915</v>
      </c>
      <c r="M9657" s="186"/>
      <c r="N9657" s="186"/>
      <c r="O9657" s="172"/>
    </row>
    <row r="9658" spans="1:15" ht="25.5" x14ac:dyDescent="0.2">
      <c r="A9658" s="197" t="str">
        <f t="shared" si="150"/>
        <v>McuCode_lava</v>
      </c>
      <c r="B9658" s="409"/>
      <c r="C9658" s="416"/>
      <c r="D9658" s="198" t="s">
        <v>25563</v>
      </c>
      <c r="E9658" s="198">
        <v>52</v>
      </c>
      <c r="F9658" s="199" t="s">
        <v>25564</v>
      </c>
      <c r="G9658" s="1" t="s">
        <v>44455</v>
      </c>
      <c r="H9658" s="200"/>
      <c r="I9658" s="346"/>
      <c r="J9658" s="39">
        <v>105538</v>
      </c>
      <c r="K9658" s="36" t="str">
        <f>CONCATENATE(Cover!$D$6,"fdd/view?i=",J9658)</f>
        <v>https://www.dgiwg.org/FAD/fdd/view?i=105538</v>
      </c>
      <c r="L9658" s="36" t="s">
        <v>51916</v>
      </c>
      <c r="M9658" s="186"/>
      <c r="N9658" s="186"/>
      <c r="O9658" s="172"/>
    </row>
    <row r="9659" spans="1:15" ht="38.25" x14ac:dyDescent="0.2">
      <c r="A9659" s="197" t="str">
        <f t="shared" si="150"/>
        <v>McuCode_lead</v>
      </c>
      <c r="B9659" s="409"/>
      <c r="C9659" s="416"/>
      <c r="D9659" s="198" t="s">
        <v>25776</v>
      </c>
      <c r="E9659" s="198">
        <v>136</v>
      </c>
      <c r="F9659" s="199" t="s">
        <v>43512</v>
      </c>
      <c r="G9659" s="1" t="s">
        <v>43513</v>
      </c>
      <c r="H9659" s="200"/>
      <c r="I9659" s="346"/>
      <c r="J9659" s="39">
        <v>108616</v>
      </c>
      <c r="K9659" s="36" t="str">
        <f>CONCATENATE(Cover!$D$6,"fdd/view?i=",J9659)</f>
        <v>https://www.dgiwg.org/FAD/fdd/view?i=108616</v>
      </c>
      <c r="L9659" s="36" t="s">
        <v>51917</v>
      </c>
      <c r="M9659" s="186"/>
      <c r="N9659" s="186"/>
      <c r="O9659" s="172"/>
    </row>
    <row r="9660" spans="1:15" ht="25.5" x14ac:dyDescent="0.2">
      <c r="A9660" s="197" t="str">
        <f t="shared" si="150"/>
        <v>McuCode_limestone</v>
      </c>
      <c r="B9660" s="409"/>
      <c r="C9660" s="416"/>
      <c r="D9660" s="198" t="s">
        <v>22336</v>
      </c>
      <c r="E9660" s="198">
        <v>137</v>
      </c>
      <c r="F9660" s="199" t="s">
        <v>22337</v>
      </c>
      <c r="G9660" s="1" t="s">
        <v>44459</v>
      </c>
      <c r="H9660" s="1" t="s">
        <v>44460</v>
      </c>
      <c r="I9660" s="346"/>
      <c r="J9660" s="39">
        <v>108617</v>
      </c>
      <c r="K9660" s="36" t="str">
        <f>CONCATENATE(Cover!$D$6,"fdd/view?i=",J9660)</f>
        <v>https://www.dgiwg.org/FAD/fdd/view?i=108617</v>
      </c>
      <c r="L9660" s="36" t="s">
        <v>51918</v>
      </c>
      <c r="M9660" s="186"/>
      <c r="N9660" s="186"/>
      <c r="O9660" s="172"/>
    </row>
    <row r="9661" spans="1:15" ht="25.5" x14ac:dyDescent="0.2">
      <c r="A9661" s="197" t="str">
        <f t="shared" si="150"/>
        <v>McuCode_loess</v>
      </c>
      <c r="B9661" s="409"/>
      <c r="C9661" s="416"/>
      <c r="D9661" s="198" t="s">
        <v>44465</v>
      </c>
      <c r="E9661" s="198">
        <v>138</v>
      </c>
      <c r="F9661" s="199" t="s">
        <v>44466</v>
      </c>
      <c r="G9661" s="1" t="s">
        <v>44467</v>
      </c>
      <c r="H9661" s="200"/>
      <c r="I9661" s="346"/>
      <c r="J9661" s="39">
        <v>108618</v>
      </c>
      <c r="K9661" s="36" t="str">
        <f>CONCATENATE(Cover!$D$6,"fdd/view?i=",J9661)</f>
        <v>https://www.dgiwg.org/FAD/fdd/view?i=108618</v>
      </c>
      <c r="L9661" s="36" t="s">
        <v>51919</v>
      </c>
      <c r="M9661" s="186"/>
      <c r="N9661" s="186"/>
      <c r="O9661" s="172"/>
    </row>
    <row r="9662" spans="1:15" x14ac:dyDescent="0.2">
      <c r="A9662" s="197" t="str">
        <f t="shared" si="150"/>
        <v>McuCode_lumber</v>
      </c>
      <c r="B9662" s="409"/>
      <c r="C9662" s="416"/>
      <c r="D9662" s="198" t="s">
        <v>43526</v>
      </c>
      <c r="E9662" s="198">
        <v>139</v>
      </c>
      <c r="F9662" s="199" t="s">
        <v>43527</v>
      </c>
      <c r="G9662" s="1" t="s">
        <v>43528</v>
      </c>
      <c r="H9662" s="200"/>
      <c r="I9662" s="346"/>
      <c r="J9662" s="39">
        <v>108619</v>
      </c>
      <c r="K9662" s="36" t="str">
        <f>CONCATENATE(Cover!$D$6,"fdd/view?i=",J9662)</f>
        <v>https://www.dgiwg.org/FAD/fdd/view?i=108619</v>
      </c>
      <c r="L9662" s="36" t="s">
        <v>51920</v>
      </c>
      <c r="M9662" s="186"/>
      <c r="N9662" s="186"/>
      <c r="O9662" s="172"/>
    </row>
    <row r="9663" spans="1:15" x14ac:dyDescent="0.2">
      <c r="A9663" s="197" t="str">
        <f t="shared" si="150"/>
        <v>McuCode_madrepore</v>
      </c>
      <c r="B9663" s="409"/>
      <c r="C9663" s="416"/>
      <c r="D9663" s="198" t="s">
        <v>43534</v>
      </c>
      <c r="E9663" s="198">
        <v>58</v>
      </c>
      <c r="F9663" s="199" t="s">
        <v>43535</v>
      </c>
      <c r="G9663" s="1" t="s">
        <v>44470</v>
      </c>
      <c r="H9663" s="200"/>
      <c r="I9663" s="346"/>
      <c r="J9663" s="39">
        <v>105539</v>
      </c>
      <c r="K9663" s="36" t="str">
        <f>CONCATENATE(Cover!$D$6,"fdd/view?i=",J9663)</f>
        <v>https://www.dgiwg.org/FAD/fdd/view?i=105539</v>
      </c>
      <c r="L9663" s="36" t="s">
        <v>51921</v>
      </c>
      <c r="M9663" s="186"/>
      <c r="N9663" s="186"/>
      <c r="O9663" s="172"/>
    </row>
    <row r="9664" spans="1:15" ht="25.5" x14ac:dyDescent="0.2">
      <c r="A9664" s="197" t="str">
        <f t="shared" si="150"/>
        <v>McuCode_manganese</v>
      </c>
      <c r="B9664" s="409"/>
      <c r="C9664" s="416"/>
      <c r="D9664" s="198" t="s">
        <v>25791</v>
      </c>
      <c r="E9664" s="198">
        <v>59</v>
      </c>
      <c r="F9664" s="199" t="s">
        <v>43539</v>
      </c>
      <c r="G9664" s="1" t="s">
        <v>43540</v>
      </c>
      <c r="H9664" s="1" t="s">
        <v>43541</v>
      </c>
      <c r="I9664" s="346"/>
      <c r="J9664" s="39">
        <v>105540</v>
      </c>
      <c r="K9664" s="36" t="str">
        <f>CONCATENATE(Cover!$D$6,"fdd/view?i=",J9664)</f>
        <v>https://www.dgiwg.org/FAD/fdd/view?i=105540</v>
      </c>
      <c r="L9664" s="36" t="s">
        <v>51922</v>
      </c>
      <c r="M9664" s="186"/>
      <c r="N9664" s="186"/>
      <c r="O9664" s="172"/>
    </row>
    <row r="9665" spans="1:15" ht="38.25" x14ac:dyDescent="0.2">
      <c r="A9665" s="197" t="str">
        <f t="shared" si="150"/>
        <v>McuCode_marble</v>
      </c>
      <c r="B9665" s="409"/>
      <c r="C9665" s="416"/>
      <c r="D9665" s="198" t="s">
        <v>43544</v>
      </c>
      <c r="E9665" s="198">
        <v>140</v>
      </c>
      <c r="F9665" s="199" t="s">
        <v>43545</v>
      </c>
      <c r="G9665" s="1" t="s">
        <v>43547</v>
      </c>
      <c r="H9665" s="200"/>
      <c r="I9665" s="346"/>
      <c r="J9665" s="39">
        <v>108620</v>
      </c>
      <c r="K9665" s="36" t="str">
        <f>CONCATENATE(Cover!$D$6,"fdd/view?i=",J9665)</f>
        <v>https://www.dgiwg.org/FAD/fdd/view?i=108620</v>
      </c>
      <c r="L9665" s="36" t="s">
        <v>51923</v>
      </c>
      <c r="M9665" s="186"/>
      <c r="N9665" s="186"/>
      <c r="O9665" s="172"/>
    </row>
    <row r="9666" spans="1:15" ht="38.25" x14ac:dyDescent="0.2">
      <c r="A9666" s="197" t="str">
        <f t="shared" ref="A9666:A9729" si="151">HYPERLINK(K9666,L9666)</f>
        <v>McuCode_marl</v>
      </c>
      <c r="B9666" s="409"/>
      <c r="C9666" s="416"/>
      <c r="D9666" s="198" t="s">
        <v>22341</v>
      </c>
      <c r="E9666" s="198">
        <v>61</v>
      </c>
      <c r="F9666" s="199" t="s">
        <v>22342</v>
      </c>
      <c r="G9666" s="1" t="s">
        <v>43549</v>
      </c>
      <c r="H9666" s="200"/>
      <c r="I9666" s="346"/>
      <c r="J9666" s="39">
        <v>105541</v>
      </c>
      <c r="K9666" s="36" t="str">
        <f>CONCATENATE(Cover!$D$6,"fdd/view?i=",J9666)</f>
        <v>https://www.dgiwg.org/FAD/fdd/view?i=105541</v>
      </c>
      <c r="L9666" s="36" t="s">
        <v>51924</v>
      </c>
      <c r="M9666" s="186"/>
      <c r="N9666" s="186"/>
      <c r="O9666" s="172"/>
    </row>
    <row r="9667" spans="1:15" ht="63.75" x14ac:dyDescent="0.2">
      <c r="A9667" s="197" t="str">
        <f t="shared" si="151"/>
        <v>McuCode_masonry</v>
      </c>
      <c r="B9667" s="409"/>
      <c r="C9667" s="416"/>
      <c r="D9667" s="198" t="s">
        <v>24160</v>
      </c>
      <c r="E9667" s="198">
        <v>62</v>
      </c>
      <c r="F9667" s="199" t="s">
        <v>24161</v>
      </c>
      <c r="G9667" s="1" t="s">
        <v>24162</v>
      </c>
      <c r="H9667" s="200"/>
      <c r="I9667" s="351" t="s">
        <v>24163</v>
      </c>
      <c r="J9667" s="39">
        <v>105542</v>
      </c>
      <c r="K9667" s="36" t="str">
        <f>CONCATENATE(Cover!$D$6,"fdd/view?i=",J9667)</f>
        <v>https://www.dgiwg.org/FAD/fdd/view?i=105542</v>
      </c>
      <c r="L9667" s="36" t="s">
        <v>51925</v>
      </c>
      <c r="M9667" s="186"/>
      <c r="N9667" s="186"/>
      <c r="O9667" s="172"/>
    </row>
    <row r="9668" spans="1:15" ht="38.25" x14ac:dyDescent="0.2">
      <c r="A9668" s="197" t="str">
        <f t="shared" si="151"/>
        <v>McuCode_metal</v>
      </c>
      <c r="B9668" s="409"/>
      <c r="C9668" s="416"/>
      <c r="D9668" s="198" t="s">
        <v>25276</v>
      </c>
      <c r="E9668" s="198">
        <v>64</v>
      </c>
      <c r="F9668" s="199" t="s">
        <v>25277</v>
      </c>
      <c r="G9668" s="1" t="s">
        <v>25278</v>
      </c>
      <c r="H9668" s="1" t="s">
        <v>25279</v>
      </c>
      <c r="I9668" s="346"/>
      <c r="J9668" s="39">
        <v>105544</v>
      </c>
      <c r="K9668" s="36" t="str">
        <f>CONCATENATE(Cover!$D$6,"fdd/view?i=",J9668)</f>
        <v>https://www.dgiwg.org/FAD/fdd/view?i=105544</v>
      </c>
      <c r="L9668" s="36" t="s">
        <v>51926</v>
      </c>
      <c r="M9668" s="186"/>
      <c r="N9668" s="186"/>
      <c r="O9668" s="172"/>
    </row>
    <row r="9669" spans="1:15" ht="25.5" x14ac:dyDescent="0.2">
      <c r="A9669" s="197" t="str">
        <f t="shared" si="151"/>
        <v>McuCode_mud</v>
      </c>
      <c r="B9669" s="409"/>
      <c r="C9669" s="416"/>
      <c r="D9669" s="198" t="s">
        <v>22351</v>
      </c>
      <c r="E9669" s="198">
        <v>65</v>
      </c>
      <c r="F9669" s="199" t="s">
        <v>22352</v>
      </c>
      <c r="G9669" s="1" t="s">
        <v>25281</v>
      </c>
      <c r="H9669" s="1" t="s">
        <v>25282</v>
      </c>
      <c r="I9669" s="351" t="s">
        <v>25283</v>
      </c>
      <c r="J9669" s="39">
        <v>105545</v>
      </c>
      <c r="K9669" s="36" t="str">
        <f>CONCATENATE(Cover!$D$6,"fdd/view?i=",J9669)</f>
        <v>https://www.dgiwg.org/FAD/fdd/view?i=105545</v>
      </c>
      <c r="L9669" s="36" t="s">
        <v>51927</v>
      </c>
      <c r="M9669" s="186"/>
      <c r="N9669" s="186"/>
      <c r="O9669" s="172"/>
    </row>
    <row r="9670" spans="1:15" ht="51" x14ac:dyDescent="0.2">
      <c r="A9670" s="197" t="str">
        <f t="shared" si="151"/>
        <v>McuCode_mussels</v>
      </c>
      <c r="B9670" s="409"/>
      <c r="C9670" s="416"/>
      <c r="D9670" s="198" t="s">
        <v>43583</v>
      </c>
      <c r="E9670" s="198">
        <v>66</v>
      </c>
      <c r="F9670" s="199" t="s">
        <v>43584</v>
      </c>
      <c r="G9670" s="1" t="s">
        <v>43585</v>
      </c>
      <c r="H9670" s="1" t="s">
        <v>43586</v>
      </c>
      <c r="I9670" s="346"/>
      <c r="J9670" s="39">
        <v>105546</v>
      </c>
      <c r="K9670" s="36" t="str">
        <f>CONCATENATE(Cover!$D$6,"fdd/view?i=",J9670)</f>
        <v>https://www.dgiwg.org/FAD/fdd/view?i=105546</v>
      </c>
      <c r="L9670" s="36" t="s">
        <v>51928</v>
      </c>
      <c r="M9670" s="186"/>
      <c r="N9670" s="186"/>
      <c r="O9670" s="172"/>
    </row>
    <row r="9671" spans="1:15" ht="38.25" x14ac:dyDescent="0.2">
      <c r="A9671" s="197" t="str">
        <f t="shared" si="151"/>
        <v>McuCode_ooze</v>
      </c>
      <c r="B9671" s="409"/>
      <c r="C9671" s="416"/>
      <c r="D9671" s="198" t="s">
        <v>46776</v>
      </c>
      <c r="E9671" s="198">
        <v>69</v>
      </c>
      <c r="F9671" s="199" t="s">
        <v>46777</v>
      </c>
      <c r="G9671" s="1" t="s">
        <v>46778</v>
      </c>
      <c r="H9671" s="200"/>
      <c r="I9671" s="346"/>
      <c r="J9671" s="39">
        <v>105547</v>
      </c>
      <c r="K9671" s="36" t="str">
        <f>CONCATENATE(Cover!$D$6,"fdd/view?i=",J9671)</f>
        <v>https://www.dgiwg.org/FAD/fdd/view?i=105547</v>
      </c>
      <c r="L9671" s="36" t="s">
        <v>51929</v>
      </c>
      <c r="M9671" s="186"/>
      <c r="N9671" s="186"/>
      <c r="O9671" s="172"/>
    </row>
    <row r="9672" spans="1:15" ht="38.25" x14ac:dyDescent="0.2">
      <c r="A9672" s="197" t="str">
        <f t="shared" si="151"/>
        <v>McuCode_oysters</v>
      </c>
      <c r="B9672" s="409"/>
      <c r="C9672" s="416"/>
      <c r="D9672" s="198" t="s">
        <v>43616</v>
      </c>
      <c r="E9672" s="198">
        <v>70</v>
      </c>
      <c r="F9672" s="199" t="s">
        <v>43617</v>
      </c>
      <c r="G9672" s="1" t="s">
        <v>43618</v>
      </c>
      <c r="H9672" s="1" t="s">
        <v>43619</v>
      </c>
      <c r="I9672" s="346"/>
      <c r="J9672" s="39">
        <v>105548</v>
      </c>
      <c r="K9672" s="36" t="str">
        <f>CONCATENATE(Cover!$D$6,"fdd/view?i=",J9672)</f>
        <v>https://www.dgiwg.org/FAD/fdd/view?i=105548</v>
      </c>
      <c r="L9672" s="36" t="s">
        <v>51930</v>
      </c>
      <c r="M9672" s="186"/>
      <c r="N9672" s="186"/>
      <c r="O9672" s="172"/>
    </row>
    <row r="9673" spans="1:15" x14ac:dyDescent="0.2">
      <c r="A9673" s="197" t="str">
        <f t="shared" si="151"/>
        <v>McuCode_partMetal</v>
      </c>
      <c r="B9673" s="409"/>
      <c r="C9673" s="416"/>
      <c r="D9673" s="198" t="s">
        <v>43978</v>
      </c>
      <c r="E9673" s="198">
        <v>72</v>
      </c>
      <c r="F9673" s="199" t="s">
        <v>43979</v>
      </c>
      <c r="G9673" s="1" t="s">
        <v>43980</v>
      </c>
      <c r="H9673" s="200"/>
      <c r="I9673" s="346"/>
      <c r="J9673" s="39">
        <v>105549</v>
      </c>
      <c r="K9673" s="36" t="str">
        <f>CONCATENATE(Cover!$D$6,"fdd/view?i=",J9673)</f>
        <v>https://www.dgiwg.org/FAD/fdd/view?i=105549</v>
      </c>
      <c r="L9673" s="36" t="s">
        <v>51931</v>
      </c>
      <c r="M9673" s="186"/>
      <c r="N9673" s="186"/>
      <c r="O9673" s="172"/>
    </row>
    <row r="9674" spans="1:15" ht="25.5" x14ac:dyDescent="0.2">
      <c r="A9674" s="197" t="str">
        <f t="shared" si="151"/>
        <v>McuCode_pebbles</v>
      </c>
      <c r="B9674" s="409"/>
      <c r="C9674" s="416"/>
      <c r="D9674" s="198" t="s">
        <v>43632</v>
      </c>
      <c r="E9674" s="198">
        <v>73</v>
      </c>
      <c r="F9674" s="199" t="s">
        <v>43633</v>
      </c>
      <c r="G9674" s="1" t="s">
        <v>43634</v>
      </c>
      <c r="H9674" s="200"/>
      <c r="I9674" s="351" t="s">
        <v>43635</v>
      </c>
      <c r="J9674" s="39">
        <v>105550</v>
      </c>
      <c r="K9674" s="36" t="str">
        <f>CONCATENATE(Cover!$D$6,"fdd/view?i=",J9674)</f>
        <v>https://www.dgiwg.org/FAD/fdd/view?i=105550</v>
      </c>
      <c r="L9674" s="36" t="s">
        <v>51932</v>
      </c>
      <c r="M9674" s="186"/>
      <c r="N9674" s="186"/>
      <c r="O9674" s="172"/>
    </row>
    <row r="9675" spans="1:15" ht="38.25" x14ac:dyDescent="0.2">
      <c r="A9675" s="197" t="str">
        <f t="shared" si="151"/>
        <v>McuCode_plantMaterial</v>
      </c>
      <c r="B9675" s="409"/>
      <c r="C9675" s="416"/>
      <c r="D9675" s="198" t="s">
        <v>43655</v>
      </c>
      <c r="E9675" s="198">
        <v>45</v>
      </c>
      <c r="F9675" s="199" t="s">
        <v>43656</v>
      </c>
      <c r="G9675" s="1" t="s">
        <v>43657</v>
      </c>
      <c r="H9675" s="1" t="s">
        <v>46783</v>
      </c>
      <c r="I9675" s="346"/>
      <c r="J9675" s="39">
        <v>105535</v>
      </c>
      <c r="K9675" s="36" t="str">
        <f>CONCATENATE(Cover!$D$6,"fdd/view?i=",J9675)</f>
        <v>https://www.dgiwg.org/FAD/fdd/view?i=105535</v>
      </c>
      <c r="L9675" s="36" t="s">
        <v>51933</v>
      </c>
      <c r="M9675" s="186"/>
      <c r="N9675" s="186"/>
      <c r="O9675" s="172"/>
    </row>
    <row r="9676" spans="1:15" ht="38.25" x14ac:dyDescent="0.2">
      <c r="A9676" s="197" t="str">
        <f t="shared" si="151"/>
        <v>McuCode_plastic</v>
      </c>
      <c r="B9676" s="409"/>
      <c r="C9676" s="416"/>
      <c r="D9676" s="198" t="s">
        <v>43659</v>
      </c>
      <c r="E9676" s="198">
        <v>141</v>
      </c>
      <c r="F9676" s="199" t="s">
        <v>43660</v>
      </c>
      <c r="G9676" s="1" t="s">
        <v>43661</v>
      </c>
      <c r="H9676" s="1" t="s">
        <v>43662</v>
      </c>
      <c r="I9676" s="346"/>
      <c r="J9676" s="39">
        <v>108621</v>
      </c>
      <c r="K9676" s="36" t="str">
        <f>CONCATENATE(Cover!$D$6,"fdd/view?i=",J9676)</f>
        <v>https://www.dgiwg.org/FAD/fdd/view?i=108621</v>
      </c>
      <c r="L9676" s="36" t="s">
        <v>51934</v>
      </c>
      <c r="M9676" s="186"/>
      <c r="N9676" s="186"/>
      <c r="O9676" s="172"/>
    </row>
    <row r="9677" spans="1:15" ht="63.75" x14ac:dyDescent="0.2">
      <c r="A9677" s="197" t="str">
        <f t="shared" si="151"/>
        <v>McuCode_porphyry</v>
      </c>
      <c r="B9677" s="409"/>
      <c r="C9677" s="416"/>
      <c r="D9677" s="198" t="s">
        <v>43664</v>
      </c>
      <c r="E9677" s="198">
        <v>142</v>
      </c>
      <c r="F9677" s="199" t="s">
        <v>43665</v>
      </c>
      <c r="G9677" s="1" t="s">
        <v>44495</v>
      </c>
      <c r="H9677" s="1" t="s">
        <v>44496</v>
      </c>
      <c r="I9677" s="346"/>
      <c r="J9677" s="39">
        <v>108622</v>
      </c>
      <c r="K9677" s="36" t="str">
        <f>CONCATENATE(Cover!$D$6,"fdd/view?i=",J9677)</f>
        <v>https://www.dgiwg.org/FAD/fdd/view?i=108622</v>
      </c>
      <c r="L9677" s="36" t="s">
        <v>51935</v>
      </c>
      <c r="M9677" s="186"/>
      <c r="N9677" s="186"/>
      <c r="O9677" s="172"/>
    </row>
    <row r="9678" spans="1:15" ht="38.25" x14ac:dyDescent="0.2">
      <c r="A9678" s="197" t="str">
        <f t="shared" si="151"/>
        <v>McuCode_prestressedConcrete</v>
      </c>
      <c r="B9678" s="409"/>
      <c r="C9678" s="416"/>
      <c r="D9678" s="198" t="s">
        <v>43678</v>
      </c>
      <c r="E9678" s="198">
        <v>77</v>
      </c>
      <c r="F9678" s="199" t="s">
        <v>43679</v>
      </c>
      <c r="G9678" s="1" t="s">
        <v>43680</v>
      </c>
      <c r="H9678" s="200"/>
      <c r="I9678" s="346"/>
      <c r="J9678" s="39">
        <v>105552</v>
      </c>
      <c r="K9678" s="36" t="str">
        <f>CONCATENATE(Cover!$D$6,"fdd/view?i=",J9678)</f>
        <v>https://www.dgiwg.org/FAD/fdd/view?i=105552</v>
      </c>
      <c r="L9678" s="36" t="s">
        <v>51936</v>
      </c>
      <c r="M9678" s="186"/>
      <c r="N9678" s="186"/>
      <c r="O9678" s="172"/>
    </row>
    <row r="9679" spans="1:15" ht="38.25" x14ac:dyDescent="0.2">
      <c r="A9679" s="197" t="str">
        <f t="shared" si="151"/>
        <v>McuCode_pumice</v>
      </c>
      <c r="B9679" s="409"/>
      <c r="C9679" s="416"/>
      <c r="D9679" s="198" t="s">
        <v>43682</v>
      </c>
      <c r="E9679" s="198">
        <v>79</v>
      </c>
      <c r="F9679" s="199" t="s">
        <v>43683</v>
      </c>
      <c r="G9679" s="1" t="s">
        <v>43684</v>
      </c>
      <c r="H9679" s="1" t="s">
        <v>43685</v>
      </c>
      <c r="I9679" s="346"/>
      <c r="J9679" s="39">
        <v>105554</v>
      </c>
      <c r="K9679" s="36" t="str">
        <f>CONCATENATE(Cover!$D$6,"fdd/view?i=",J9679)</f>
        <v>https://www.dgiwg.org/FAD/fdd/view?i=105554</v>
      </c>
      <c r="L9679" s="36" t="s">
        <v>51937</v>
      </c>
      <c r="M9679" s="186"/>
      <c r="N9679" s="186"/>
      <c r="O9679" s="172"/>
    </row>
    <row r="9680" spans="1:15" ht="38.25" x14ac:dyDescent="0.2">
      <c r="A9680" s="197" t="str">
        <f t="shared" si="151"/>
        <v>McuCode_quartz</v>
      </c>
      <c r="B9680" s="409"/>
      <c r="C9680" s="416"/>
      <c r="D9680" s="198" t="s">
        <v>35487</v>
      </c>
      <c r="E9680" s="198">
        <v>80</v>
      </c>
      <c r="F9680" s="199" t="s">
        <v>35488</v>
      </c>
      <c r="G9680" s="1" t="s">
        <v>44499</v>
      </c>
      <c r="H9680" s="1" t="s">
        <v>44500</v>
      </c>
      <c r="I9680" s="346"/>
      <c r="J9680" s="39">
        <v>105555</v>
      </c>
      <c r="K9680" s="36" t="str">
        <f>CONCATENATE(Cover!$D$6,"fdd/view?i=",J9680)</f>
        <v>https://www.dgiwg.org/FAD/fdd/view?i=105555</v>
      </c>
      <c r="L9680" s="36" t="s">
        <v>51938</v>
      </c>
      <c r="M9680" s="186"/>
      <c r="N9680" s="186"/>
      <c r="O9680" s="172"/>
    </row>
    <row r="9681" spans="1:15" ht="51" x14ac:dyDescent="0.2">
      <c r="A9681" s="197" t="str">
        <f t="shared" si="151"/>
        <v>McuCode_quartzite</v>
      </c>
      <c r="B9681" s="409"/>
      <c r="C9681" s="416"/>
      <c r="D9681" s="198" t="s">
        <v>43690</v>
      </c>
      <c r="E9681" s="198">
        <v>143</v>
      </c>
      <c r="F9681" s="199" t="s">
        <v>43691</v>
      </c>
      <c r="G9681" s="1" t="s">
        <v>44502</v>
      </c>
      <c r="H9681" s="1" t="s">
        <v>44503</v>
      </c>
      <c r="I9681" s="346"/>
      <c r="J9681" s="39">
        <v>108623</v>
      </c>
      <c r="K9681" s="36" t="str">
        <f>CONCATENATE(Cover!$D$6,"fdd/view?i=",J9681)</f>
        <v>https://www.dgiwg.org/FAD/fdd/view?i=108623</v>
      </c>
      <c r="L9681" s="36" t="s">
        <v>51939</v>
      </c>
      <c r="M9681" s="186"/>
      <c r="N9681" s="186"/>
      <c r="O9681" s="172"/>
    </row>
    <row r="9682" spans="1:15" ht="38.25" x14ac:dyDescent="0.2">
      <c r="A9682" s="197" t="str">
        <f t="shared" si="151"/>
        <v>McuCode_radioactiveMaterial</v>
      </c>
      <c r="B9682" s="409"/>
      <c r="C9682" s="416"/>
      <c r="D9682" s="198" t="s">
        <v>25289</v>
      </c>
      <c r="E9682" s="198">
        <v>144</v>
      </c>
      <c r="F9682" s="199" t="s">
        <v>25290</v>
      </c>
      <c r="G9682" s="1" t="s">
        <v>25291</v>
      </c>
      <c r="H9682" s="200"/>
      <c r="I9682" s="346"/>
      <c r="J9682" s="39">
        <v>108624</v>
      </c>
      <c r="K9682" s="36" t="str">
        <f>CONCATENATE(Cover!$D$6,"fdd/view?i=",J9682)</f>
        <v>https://www.dgiwg.org/FAD/fdd/view?i=108624</v>
      </c>
      <c r="L9682" s="36" t="s">
        <v>51940</v>
      </c>
      <c r="M9682" s="186"/>
      <c r="N9682" s="186"/>
      <c r="O9682" s="172"/>
    </row>
    <row r="9683" spans="1:15" ht="25.5" x14ac:dyDescent="0.2">
      <c r="A9683" s="197" t="str">
        <f t="shared" si="151"/>
        <v>McuCode_radiolaria</v>
      </c>
      <c r="B9683" s="409"/>
      <c r="C9683" s="416"/>
      <c r="D9683" s="198" t="s">
        <v>43696</v>
      </c>
      <c r="E9683" s="198">
        <v>81</v>
      </c>
      <c r="F9683" s="199" t="s">
        <v>43697</v>
      </c>
      <c r="G9683" s="1" t="s">
        <v>43698</v>
      </c>
      <c r="H9683" s="200"/>
      <c r="I9683" s="346"/>
      <c r="J9683" s="39">
        <v>105556</v>
      </c>
      <c r="K9683" s="36" t="str">
        <f>CONCATENATE(Cover!$D$6,"fdd/view?i=",J9683)</f>
        <v>https://www.dgiwg.org/FAD/fdd/view?i=105556</v>
      </c>
      <c r="L9683" s="36" t="s">
        <v>51941</v>
      </c>
      <c r="M9683" s="186"/>
      <c r="N9683" s="186"/>
      <c r="O9683" s="172"/>
    </row>
    <row r="9684" spans="1:15" ht="25.5" x14ac:dyDescent="0.2">
      <c r="A9684" s="197" t="str">
        <f t="shared" si="151"/>
        <v>McuCode_reinforcedConcrete</v>
      </c>
      <c r="B9684" s="409"/>
      <c r="C9684" s="416"/>
      <c r="D9684" s="198" t="s">
        <v>24173</v>
      </c>
      <c r="E9684" s="198">
        <v>83</v>
      </c>
      <c r="F9684" s="199" t="s">
        <v>24174</v>
      </c>
      <c r="G9684" s="1" t="s">
        <v>24175</v>
      </c>
      <c r="H9684" s="200"/>
      <c r="I9684" s="351" t="s">
        <v>24176</v>
      </c>
      <c r="J9684" s="39">
        <v>105557</v>
      </c>
      <c r="K9684" s="36" t="str">
        <f>CONCATENATE(Cover!$D$6,"fdd/view?i=",J9684)</f>
        <v>https://www.dgiwg.org/FAD/fdd/view?i=105557</v>
      </c>
      <c r="L9684" s="36" t="s">
        <v>51942</v>
      </c>
      <c r="M9684" s="186"/>
      <c r="N9684" s="186"/>
      <c r="O9684" s="172"/>
    </row>
    <row r="9685" spans="1:15" x14ac:dyDescent="0.2">
      <c r="A9685" s="197" t="str">
        <f t="shared" si="151"/>
        <v>McuCode_rock</v>
      </c>
      <c r="B9685" s="409"/>
      <c r="C9685" s="416"/>
      <c r="D9685" s="198" t="s">
        <v>27993</v>
      </c>
      <c r="E9685" s="198">
        <v>84</v>
      </c>
      <c r="F9685" s="199" t="s">
        <v>27994</v>
      </c>
      <c r="G9685" s="1" t="s">
        <v>43702</v>
      </c>
      <c r="H9685" s="200"/>
      <c r="I9685" s="346"/>
      <c r="J9685" s="39">
        <v>105558</v>
      </c>
      <c r="K9685" s="36" t="str">
        <f>CONCATENATE(Cover!$D$6,"fdd/view?i=",J9685)</f>
        <v>https://www.dgiwg.org/FAD/fdd/view?i=105558</v>
      </c>
      <c r="L9685" s="36" t="s">
        <v>51943</v>
      </c>
      <c r="M9685" s="186"/>
      <c r="N9685" s="186"/>
      <c r="O9685" s="172"/>
    </row>
    <row r="9686" spans="1:15" ht="76.5" x14ac:dyDescent="0.2">
      <c r="A9686" s="197" t="str">
        <f t="shared" si="151"/>
        <v>McuCode_sand</v>
      </c>
      <c r="B9686" s="409"/>
      <c r="C9686" s="416"/>
      <c r="D9686" s="198" t="s">
        <v>19594</v>
      </c>
      <c r="E9686" s="198">
        <v>88</v>
      </c>
      <c r="F9686" s="199" t="s">
        <v>19595</v>
      </c>
      <c r="G9686" s="1" t="s">
        <v>24183</v>
      </c>
      <c r="H9686" s="1" t="s">
        <v>24184</v>
      </c>
      <c r="I9686" s="346"/>
      <c r="J9686" s="39">
        <v>105559</v>
      </c>
      <c r="K9686" s="36" t="str">
        <f>CONCATENATE(Cover!$D$6,"fdd/view?i=",J9686)</f>
        <v>https://www.dgiwg.org/FAD/fdd/view?i=105559</v>
      </c>
      <c r="L9686" s="36" t="s">
        <v>51944</v>
      </c>
      <c r="M9686" s="186"/>
      <c r="N9686" s="186"/>
      <c r="O9686" s="172"/>
    </row>
    <row r="9687" spans="1:15" ht="25.5" x14ac:dyDescent="0.2">
      <c r="A9687" s="197" t="str">
        <f t="shared" si="151"/>
        <v>McuCode_sandstone</v>
      </c>
      <c r="B9687" s="409"/>
      <c r="C9687" s="416"/>
      <c r="D9687" s="198" t="s">
        <v>22358</v>
      </c>
      <c r="E9687" s="198">
        <v>145</v>
      </c>
      <c r="F9687" s="199" t="s">
        <v>22359</v>
      </c>
      <c r="G9687" s="1" t="s">
        <v>22360</v>
      </c>
      <c r="H9687" s="1" t="s">
        <v>22361</v>
      </c>
      <c r="I9687" s="346"/>
      <c r="J9687" s="39">
        <v>108625</v>
      </c>
      <c r="K9687" s="36" t="str">
        <f>CONCATENATE(Cover!$D$6,"fdd/view?i=",J9687)</f>
        <v>https://www.dgiwg.org/FAD/fdd/view?i=108625</v>
      </c>
      <c r="L9687" s="36" t="s">
        <v>51945</v>
      </c>
      <c r="M9687" s="186"/>
      <c r="N9687" s="186"/>
      <c r="O9687" s="172"/>
    </row>
    <row r="9688" spans="1:15" ht="38.25" x14ac:dyDescent="0.2">
      <c r="A9688" s="197" t="str">
        <f t="shared" si="151"/>
        <v>McuCode_schist</v>
      </c>
      <c r="B9688" s="409"/>
      <c r="C9688" s="416"/>
      <c r="D9688" s="198" t="s">
        <v>22363</v>
      </c>
      <c r="E9688" s="198">
        <v>90</v>
      </c>
      <c r="F9688" s="199" t="s">
        <v>22364</v>
      </c>
      <c r="G9688" s="1" t="s">
        <v>43720</v>
      </c>
      <c r="H9688" s="200"/>
      <c r="I9688" s="346"/>
      <c r="J9688" s="39">
        <v>105560</v>
      </c>
      <c r="K9688" s="36" t="str">
        <f>CONCATENATE(Cover!$D$6,"fdd/view?i=",J9688)</f>
        <v>https://www.dgiwg.org/FAD/fdd/view?i=105560</v>
      </c>
      <c r="L9688" s="36" t="s">
        <v>51946</v>
      </c>
      <c r="M9688" s="186"/>
      <c r="N9688" s="186"/>
      <c r="O9688" s="172"/>
    </row>
    <row r="9689" spans="1:15" ht="25.5" x14ac:dyDescent="0.2">
      <c r="A9689" s="197" t="str">
        <f t="shared" si="151"/>
        <v>McuCode_scoria</v>
      </c>
      <c r="B9689" s="409"/>
      <c r="C9689" s="416"/>
      <c r="D9689" s="198" t="s">
        <v>43722</v>
      </c>
      <c r="E9689" s="198">
        <v>92</v>
      </c>
      <c r="F9689" s="199" t="s">
        <v>43723</v>
      </c>
      <c r="G9689" s="1" t="s">
        <v>43725</v>
      </c>
      <c r="H9689" s="200"/>
      <c r="I9689" s="346"/>
      <c r="J9689" s="39">
        <v>105561</v>
      </c>
      <c r="K9689" s="36" t="str">
        <f>CONCATENATE(Cover!$D$6,"fdd/view?i=",J9689)</f>
        <v>https://www.dgiwg.org/FAD/fdd/view?i=105561</v>
      </c>
      <c r="L9689" s="36" t="s">
        <v>51947</v>
      </c>
      <c r="M9689" s="186"/>
      <c r="N9689" s="186"/>
      <c r="O9689" s="172"/>
    </row>
    <row r="9690" spans="1:15" ht="25.5" x14ac:dyDescent="0.2">
      <c r="A9690" s="197" t="str">
        <f t="shared" si="151"/>
        <v>McuCode_seaMoss</v>
      </c>
      <c r="B9690" s="409"/>
      <c r="C9690" s="416"/>
      <c r="D9690" s="198" t="s">
        <v>43727</v>
      </c>
      <c r="E9690" s="198">
        <v>75</v>
      </c>
      <c r="F9690" s="199" t="s">
        <v>43728</v>
      </c>
      <c r="G9690" s="1" t="s">
        <v>43729</v>
      </c>
      <c r="H9690" s="200"/>
      <c r="I9690" s="346"/>
      <c r="J9690" s="39">
        <v>105551</v>
      </c>
      <c r="K9690" s="36" t="str">
        <f>CONCATENATE(Cover!$D$6,"fdd/view?i=",J9690)</f>
        <v>https://www.dgiwg.org/FAD/fdd/view?i=105551</v>
      </c>
      <c r="L9690" s="36" t="s">
        <v>51948</v>
      </c>
      <c r="M9690" s="186"/>
      <c r="N9690" s="186"/>
      <c r="O9690" s="172"/>
    </row>
    <row r="9691" spans="1:15" ht="25.5" x14ac:dyDescent="0.2">
      <c r="A9691" s="197" t="str">
        <f t="shared" si="151"/>
        <v>McuCode_shale</v>
      </c>
      <c r="B9691" s="409"/>
      <c r="C9691" s="416"/>
      <c r="D9691" s="198" t="s">
        <v>22372</v>
      </c>
      <c r="E9691" s="198">
        <v>146</v>
      </c>
      <c r="F9691" s="199" t="s">
        <v>22373</v>
      </c>
      <c r="G9691" s="1" t="s">
        <v>22374</v>
      </c>
      <c r="H9691" s="200"/>
      <c r="I9691" s="346"/>
      <c r="J9691" s="39">
        <v>108626</v>
      </c>
      <c r="K9691" s="36" t="str">
        <f>CONCATENATE(Cover!$D$6,"fdd/view?i=",J9691)</f>
        <v>https://www.dgiwg.org/FAD/fdd/view?i=108626</v>
      </c>
      <c r="L9691" s="36" t="s">
        <v>51949</v>
      </c>
      <c r="M9691" s="186"/>
      <c r="N9691" s="186"/>
      <c r="O9691" s="172"/>
    </row>
    <row r="9692" spans="1:15" ht="25.5" x14ac:dyDescent="0.2">
      <c r="A9692" s="197" t="str">
        <f t="shared" si="151"/>
        <v>McuCode_shell</v>
      </c>
      <c r="B9692" s="409"/>
      <c r="C9692" s="416"/>
      <c r="D9692" s="198" t="s">
        <v>37482</v>
      </c>
      <c r="E9692" s="198">
        <v>96</v>
      </c>
      <c r="F9692" s="199" t="s">
        <v>37483</v>
      </c>
      <c r="G9692" s="1" t="s">
        <v>43732</v>
      </c>
      <c r="H9692" s="200"/>
      <c r="I9692" s="346"/>
      <c r="J9692" s="39">
        <v>105564</v>
      </c>
      <c r="K9692" s="36" t="str">
        <f>CONCATENATE(Cover!$D$6,"fdd/view?i=",J9692)</f>
        <v>https://www.dgiwg.org/FAD/fdd/view?i=105564</v>
      </c>
      <c r="L9692" s="36" t="s">
        <v>51950</v>
      </c>
      <c r="M9692" s="186"/>
      <c r="N9692" s="186"/>
      <c r="O9692" s="172"/>
    </row>
    <row r="9693" spans="1:15" ht="25.5" x14ac:dyDescent="0.2">
      <c r="A9693" s="197" t="str">
        <f t="shared" si="151"/>
        <v>McuCode_shingle</v>
      </c>
      <c r="B9693" s="409"/>
      <c r="C9693" s="416"/>
      <c r="D9693" s="198" t="s">
        <v>46802</v>
      </c>
      <c r="E9693" s="198">
        <v>98</v>
      </c>
      <c r="F9693" s="199" t="s">
        <v>46803</v>
      </c>
      <c r="G9693" s="1" t="s">
        <v>46804</v>
      </c>
      <c r="H9693" s="200"/>
      <c r="I9693" s="346"/>
      <c r="J9693" s="39">
        <v>105565</v>
      </c>
      <c r="K9693" s="36" t="str">
        <f>CONCATENATE(Cover!$D$6,"fdd/view?i=",J9693)</f>
        <v>https://www.dgiwg.org/FAD/fdd/view?i=105565</v>
      </c>
      <c r="L9693" s="36" t="s">
        <v>51951</v>
      </c>
      <c r="M9693" s="186"/>
      <c r="N9693" s="186"/>
      <c r="O9693" s="172"/>
    </row>
    <row r="9694" spans="1:15" ht="38.25" x14ac:dyDescent="0.2">
      <c r="A9694" s="197" t="str">
        <f t="shared" si="151"/>
        <v>McuCode_silt</v>
      </c>
      <c r="B9694" s="409"/>
      <c r="C9694" s="416"/>
      <c r="D9694" s="198" t="s">
        <v>25312</v>
      </c>
      <c r="E9694" s="198">
        <v>99</v>
      </c>
      <c r="F9694" s="199" t="s">
        <v>25313</v>
      </c>
      <c r="G9694" s="1" t="s">
        <v>25314</v>
      </c>
      <c r="H9694" s="200"/>
      <c r="I9694" s="346"/>
      <c r="J9694" s="39">
        <v>105566</v>
      </c>
      <c r="K9694" s="36" t="str">
        <f>CONCATENATE(Cover!$D$6,"fdd/view?i=",J9694)</f>
        <v>https://www.dgiwg.org/FAD/fdd/view?i=105566</v>
      </c>
      <c r="L9694" s="36" t="s">
        <v>51952</v>
      </c>
      <c r="M9694" s="186"/>
      <c r="N9694" s="186"/>
      <c r="O9694" s="172"/>
    </row>
    <row r="9695" spans="1:15" ht="38.25" x14ac:dyDescent="0.2">
      <c r="A9695" s="197" t="str">
        <f t="shared" si="151"/>
        <v>McuCode_silver</v>
      </c>
      <c r="B9695" s="409"/>
      <c r="C9695" s="416"/>
      <c r="D9695" s="198" t="s">
        <v>25871</v>
      </c>
      <c r="E9695" s="198">
        <v>147</v>
      </c>
      <c r="F9695" s="199" t="s">
        <v>43029</v>
      </c>
      <c r="G9695" s="1" t="s">
        <v>43739</v>
      </c>
      <c r="H9695" s="200"/>
      <c r="I9695" s="346"/>
      <c r="J9695" s="39">
        <v>108627</v>
      </c>
      <c r="K9695" s="36" t="str">
        <f>CONCATENATE(Cover!$D$6,"fdd/view?i=",J9695)</f>
        <v>https://www.dgiwg.org/FAD/fdd/view?i=108627</v>
      </c>
      <c r="L9695" s="36" t="s">
        <v>51953</v>
      </c>
      <c r="M9695" s="186"/>
      <c r="N9695" s="186"/>
      <c r="O9695" s="172"/>
    </row>
    <row r="9696" spans="1:15" ht="38.25" x14ac:dyDescent="0.2">
      <c r="A9696" s="197" t="str">
        <f t="shared" si="151"/>
        <v>McuCode_slate</v>
      </c>
      <c r="B9696" s="409"/>
      <c r="C9696" s="416"/>
      <c r="D9696" s="198" t="s">
        <v>43741</v>
      </c>
      <c r="E9696" s="198">
        <v>148</v>
      </c>
      <c r="F9696" s="199" t="s">
        <v>43742</v>
      </c>
      <c r="G9696" s="1" t="s">
        <v>44520</v>
      </c>
      <c r="H9696" s="1" t="s">
        <v>44521</v>
      </c>
      <c r="I9696" s="346"/>
      <c r="J9696" s="39">
        <v>108628</v>
      </c>
      <c r="K9696" s="36" t="str">
        <f>CONCATENATE(Cover!$D$6,"fdd/view?i=",J9696)</f>
        <v>https://www.dgiwg.org/FAD/fdd/view?i=108628</v>
      </c>
      <c r="L9696" s="36" t="s">
        <v>51954</v>
      </c>
      <c r="M9696" s="186"/>
      <c r="N9696" s="186"/>
      <c r="O9696" s="172"/>
    </row>
    <row r="9697" spans="1:15" ht="38.25" x14ac:dyDescent="0.2">
      <c r="A9697" s="197" t="str">
        <f t="shared" si="151"/>
        <v>McuCode_soil</v>
      </c>
      <c r="B9697" s="409"/>
      <c r="C9697" s="416"/>
      <c r="D9697" s="198" t="s">
        <v>24205</v>
      </c>
      <c r="E9697" s="198">
        <v>48</v>
      </c>
      <c r="F9697" s="199" t="s">
        <v>24206</v>
      </c>
      <c r="G9697" s="1" t="s">
        <v>24207</v>
      </c>
      <c r="H9697" s="200"/>
      <c r="I9697" s="346"/>
      <c r="J9697" s="39">
        <v>105537</v>
      </c>
      <c r="K9697" s="36" t="str">
        <f>CONCATENATE(Cover!$D$6,"fdd/view?i=",J9697)</f>
        <v>https://www.dgiwg.org/FAD/fdd/view?i=105537</v>
      </c>
      <c r="L9697" s="36" t="s">
        <v>51955</v>
      </c>
      <c r="M9697" s="186"/>
      <c r="N9697" s="186"/>
      <c r="O9697" s="172"/>
    </row>
    <row r="9698" spans="1:15" ht="25.5" x14ac:dyDescent="0.2">
      <c r="A9698" s="197" t="str">
        <f t="shared" si="151"/>
        <v>McuCode_spicules</v>
      </c>
      <c r="B9698" s="409"/>
      <c r="C9698" s="416"/>
      <c r="D9698" s="198" t="s">
        <v>44525</v>
      </c>
      <c r="E9698" s="198">
        <v>105</v>
      </c>
      <c r="F9698" s="199" t="s">
        <v>44526</v>
      </c>
      <c r="G9698" s="1" t="s">
        <v>44527</v>
      </c>
      <c r="H9698" s="200"/>
      <c r="I9698" s="346"/>
      <c r="J9698" s="39">
        <v>105567</v>
      </c>
      <c r="K9698" s="36" t="str">
        <f>CONCATENATE(Cover!$D$6,"fdd/view?i=",J9698)</f>
        <v>https://www.dgiwg.org/FAD/fdd/view?i=105567</v>
      </c>
      <c r="L9698" s="36" t="s">
        <v>51956</v>
      </c>
      <c r="M9698" s="186"/>
      <c r="N9698" s="186"/>
      <c r="O9698" s="172"/>
    </row>
    <row r="9699" spans="1:15" ht="38.25" x14ac:dyDescent="0.2">
      <c r="A9699" s="197" t="str">
        <f t="shared" si="151"/>
        <v>McuCode_sponge</v>
      </c>
      <c r="B9699" s="409"/>
      <c r="C9699" s="416"/>
      <c r="D9699" s="198" t="s">
        <v>43750</v>
      </c>
      <c r="E9699" s="198">
        <v>106</v>
      </c>
      <c r="F9699" s="199" t="s">
        <v>43751</v>
      </c>
      <c r="G9699" s="1" t="s">
        <v>43752</v>
      </c>
      <c r="H9699" s="200"/>
      <c r="I9699" s="346"/>
      <c r="J9699" s="39">
        <v>105568</v>
      </c>
      <c r="K9699" s="36" t="str">
        <f>CONCATENATE(Cover!$D$6,"fdd/view?i=",J9699)</f>
        <v>https://www.dgiwg.org/FAD/fdd/view?i=105568</v>
      </c>
      <c r="L9699" s="36" t="s">
        <v>51957</v>
      </c>
      <c r="M9699" s="186"/>
      <c r="N9699" s="186"/>
      <c r="O9699" s="172"/>
    </row>
    <row r="9700" spans="1:15" ht="38.25" x14ac:dyDescent="0.2">
      <c r="A9700" s="197" t="str">
        <f t="shared" si="151"/>
        <v>McuCode_steel</v>
      </c>
      <c r="B9700" s="409"/>
      <c r="C9700" s="416"/>
      <c r="D9700" s="198" t="s">
        <v>43754</v>
      </c>
      <c r="E9700" s="198">
        <v>149</v>
      </c>
      <c r="F9700" s="199" t="s">
        <v>43755</v>
      </c>
      <c r="G9700" s="1" t="s">
        <v>43756</v>
      </c>
      <c r="H9700" s="1" t="s">
        <v>43757</v>
      </c>
      <c r="I9700" s="346"/>
      <c r="J9700" s="39">
        <v>108629</v>
      </c>
      <c r="K9700" s="36" t="str">
        <f>CONCATENATE(Cover!$D$6,"fdd/view?i=",J9700)</f>
        <v>https://www.dgiwg.org/FAD/fdd/view?i=108629</v>
      </c>
      <c r="L9700" s="36" t="s">
        <v>51958</v>
      </c>
      <c r="M9700" s="186"/>
      <c r="N9700" s="186"/>
      <c r="O9700" s="172"/>
    </row>
    <row r="9701" spans="1:15" ht="38.25" x14ac:dyDescent="0.2">
      <c r="A9701" s="197" t="str">
        <f t="shared" si="151"/>
        <v>McuCode_stone</v>
      </c>
      <c r="B9701" s="409"/>
      <c r="C9701" s="416"/>
      <c r="D9701" s="198" t="s">
        <v>19602</v>
      </c>
      <c r="E9701" s="198">
        <v>108</v>
      </c>
      <c r="F9701" s="199" t="s">
        <v>19603</v>
      </c>
      <c r="G9701" s="1" t="s">
        <v>43759</v>
      </c>
      <c r="H9701" s="1" t="s">
        <v>43760</v>
      </c>
      <c r="I9701" s="346"/>
      <c r="J9701" s="39">
        <v>105569</v>
      </c>
      <c r="K9701" s="36" t="str">
        <f>CONCATENATE(Cover!$D$6,"fdd/view?i=",J9701)</f>
        <v>https://www.dgiwg.org/FAD/fdd/view?i=105569</v>
      </c>
      <c r="L9701" s="36" t="s">
        <v>51959</v>
      </c>
      <c r="M9701" s="186"/>
      <c r="N9701" s="186"/>
      <c r="O9701" s="172"/>
    </row>
    <row r="9702" spans="1:15" ht="25.5" x14ac:dyDescent="0.2">
      <c r="A9702" s="197" t="str">
        <f t="shared" si="151"/>
        <v>McuCode_timber</v>
      </c>
      <c r="B9702" s="409"/>
      <c r="C9702" s="416"/>
      <c r="D9702" s="198" t="s">
        <v>27602</v>
      </c>
      <c r="E9702" s="198">
        <v>150</v>
      </c>
      <c r="F9702" s="199" t="s">
        <v>27603</v>
      </c>
      <c r="G9702" s="1" t="s">
        <v>43782</v>
      </c>
      <c r="H9702" s="200"/>
      <c r="I9702" s="346"/>
      <c r="J9702" s="39">
        <v>108630</v>
      </c>
      <c r="K9702" s="36" t="str">
        <f>CONCATENATE(Cover!$D$6,"fdd/view?i=",J9702)</f>
        <v>https://www.dgiwg.org/FAD/fdd/view?i=108630</v>
      </c>
      <c r="L9702" s="36" t="s">
        <v>51960</v>
      </c>
      <c r="M9702" s="186"/>
      <c r="N9702" s="186"/>
      <c r="O9702" s="172"/>
    </row>
    <row r="9703" spans="1:15" ht="38.25" x14ac:dyDescent="0.2">
      <c r="A9703" s="197" t="str">
        <f t="shared" si="151"/>
        <v>McuCode_travertine</v>
      </c>
      <c r="B9703" s="409"/>
      <c r="C9703" s="416"/>
      <c r="D9703" s="198" t="s">
        <v>43791</v>
      </c>
      <c r="E9703" s="198">
        <v>151</v>
      </c>
      <c r="F9703" s="199" t="s">
        <v>43792</v>
      </c>
      <c r="G9703" s="1" t="s">
        <v>43794</v>
      </c>
      <c r="H9703" s="1" t="s">
        <v>44539</v>
      </c>
      <c r="I9703" s="346"/>
      <c r="J9703" s="39">
        <v>108631</v>
      </c>
      <c r="K9703" s="36" t="str">
        <f>CONCATENATE(Cover!$D$6,"fdd/view?i=",J9703)</f>
        <v>https://www.dgiwg.org/FAD/fdd/view?i=108631</v>
      </c>
      <c r="L9703" s="36" t="s">
        <v>51961</v>
      </c>
      <c r="M9703" s="186"/>
      <c r="N9703" s="186"/>
      <c r="O9703" s="172"/>
    </row>
    <row r="9704" spans="1:15" ht="25.5" x14ac:dyDescent="0.2">
      <c r="A9704" s="197" t="str">
        <f t="shared" si="151"/>
        <v>McuCode_tufa</v>
      </c>
      <c r="B9704" s="409"/>
      <c r="C9704" s="416"/>
      <c r="D9704" s="198" t="s">
        <v>43796</v>
      </c>
      <c r="E9704" s="198">
        <v>111</v>
      </c>
      <c r="F9704" s="199" t="s">
        <v>43797</v>
      </c>
      <c r="G9704" s="1" t="s">
        <v>44541</v>
      </c>
      <c r="H9704" s="1" t="s">
        <v>44542</v>
      </c>
      <c r="I9704" s="346"/>
      <c r="J9704" s="39">
        <v>105570</v>
      </c>
      <c r="K9704" s="36" t="str">
        <f>CONCATENATE(Cover!$D$6,"fdd/view?i=",J9704)</f>
        <v>https://www.dgiwg.org/FAD/fdd/view?i=105570</v>
      </c>
      <c r="L9704" s="36" t="s">
        <v>51962</v>
      </c>
      <c r="M9704" s="186"/>
      <c r="N9704" s="186"/>
      <c r="O9704" s="172"/>
    </row>
    <row r="9705" spans="1:15" ht="38.25" x14ac:dyDescent="0.2">
      <c r="A9705" s="197" t="str">
        <f t="shared" si="151"/>
        <v>McuCode_uraniumOre</v>
      </c>
      <c r="B9705" s="409"/>
      <c r="C9705" s="416"/>
      <c r="D9705" s="198" t="s">
        <v>39125</v>
      </c>
      <c r="E9705" s="198">
        <v>112</v>
      </c>
      <c r="F9705" s="199" t="s">
        <v>39126</v>
      </c>
      <c r="G9705" s="1" t="s">
        <v>46822</v>
      </c>
      <c r="H9705" s="1" t="s">
        <v>46823</v>
      </c>
      <c r="I9705" s="346"/>
      <c r="J9705" s="39">
        <v>105571</v>
      </c>
      <c r="K9705" s="36" t="str">
        <f>CONCATENATE(Cover!$D$6,"fdd/view?i=",J9705)</f>
        <v>https://www.dgiwg.org/FAD/fdd/view?i=105571</v>
      </c>
      <c r="L9705" s="36" t="s">
        <v>51963</v>
      </c>
      <c r="M9705" s="186"/>
      <c r="N9705" s="186"/>
      <c r="O9705" s="172"/>
    </row>
    <row r="9706" spans="1:15" ht="25.5" x14ac:dyDescent="0.2">
      <c r="A9706" s="197" t="str">
        <f t="shared" si="151"/>
        <v>McuCode_vegetation</v>
      </c>
      <c r="B9706" s="409"/>
      <c r="C9706" s="416"/>
      <c r="D9706" s="198" t="s">
        <v>29248</v>
      </c>
      <c r="E9706" s="198">
        <v>113</v>
      </c>
      <c r="F9706" s="199" t="s">
        <v>29249</v>
      </c>
      <c r="G9706" s="1" t="s">
        <v>46825</v>
      </c>
      <c r="H9706" s="200"/>
      <c r="I9706" s="351" t="s">
        <v>46826</v>
      </c>
      <c r="J9706" s="39">
        <v>105572</v>
      </c>
      <c r="K9706" s="36" t="str">
        <f>CONCATENATE(Cover!$D$6,"fdd/view?i=",J9706)</f>
        <v>https://www.dgiwg.org/FAD/fdd/view?i=105572</v>
      </c>
      <c r="L9706" s="36" t="s">
        <v>51964</v>
      </c>
      <c r="M9706" s="186"/>
      <c r="N9706" s="186"/>
      <c r="O9706" s="172"/>
    </row>
    <row r="9707" spans="1:15" x14ac:dyDescent="0.2">
      <c r="A9707" s="197" t="str">
        <f t="shared" si="151"/>
        <v>McuCode_volcanicAsh</v>
      </c>
      <c r="B9707" s="409"/>
      <c r="C9707" s="416"/>
      <c r="D9707" s="198" t="s">
        <v>41130</v>
      </c>
      <c r="E9707" s="198">
        <v>115</v>
      </c>
      <c r="F9707" s="199" t="s">
        <v>41131</v>
      </c>
      <c r="G9707" s="1" t="s">
        <v>44548</v>
      </c>
      <c r="H9707" s="200"/>
      <c r="I9707" s="346"/>
      <c r="J9707" s="39">
        <v>105574</v>
      </c>
      <c r="K9707" s="36" t="str">
        <f>CONCATENATE(Cover!$D$6,"fdd/view?i=",J9707)</f>
        <v>https://www.dgiwg.org/FAD/fdd/view?i=105574</v>
      </c>
      <c r="L9707" s="36" t="s">
        <v>51965</v>
      </c>
      <c r="M9707" s="186"/>
      <c r="N9707" s="186"/>
      <c r="O9707" s="172"/>
    </row>
    <row r="9708" spans="1:15" ht="38.25" x14ac:dyDescent="0.2">
      <c r="A9708" s="197" t="str">
        <f t="shared" si="151"/>
        <v>McuCode_water</v>
      </c>
      <c r="B9708" s="409"/>
      <c r="C9708" s="416"/>
      <c r="D9708" s="198" t="s">
        <v>19606</v>
      </c>
      <c r="E9708" s="198">
        <v>116</v>
      </c>
      <c r="F9708" s="199" t="s">
        <v>19607</v>
      </c>
      <c r="G9708" s="1" t="s">
        <v>23000</v>
      </c>
      <c r="H9708" s="1" t="s">
        <v>43810</v>
      </c>
      <c r="I9708" s="346"/>
      <c r="J9708" s="39">
        <v>105575</v>
      </c>
      <c r="K9708" s="36" t="str">
        <f>CONCATENATE(Cover!$D$6,"fdd/view?i=",J9708)</f>
        <v>https://www.dgiwg.org/FAD/fdd/view?i=105575</v>
      </c>
      <c r="L9708" s="36" t="s">
        <v>51966</v>
      </c>
      <c r="M9708" s="186"/>
      <c r="N9708" s="186"/>
      <c r="O9708" s="172"/>
    </row>
    <row r="9709" spans="1:15" ht="38.25" x14ac:dyDescent="0.2">
      <c r="A9709" s="197" t="str">
        <f t="shared" si="151"/>
        <v>McuCode_wood</v>
      </c>
      <c r="B9709" s="409"/>
      <c r="C9709" s="416"/>
      <c r="D9709" s="198" t="s">
        <v>19610</v>
      </c>
      <c r="E9709" s="198">
        <v>117</v>
      </c>
      <c r="F9709" s="199" t="s">
        <v>5911</v>
      </c>
      <c r="G9709" s="1" t="s">
        <v>43822</v>
      </c>
      <c r="H9709" s="1" t="s">
        <v>43823</v>
      </c>
      <c r="I9709" s="346"/>
      <c r="J9709" s="39">
        <v>105576</v>
      </c>
      <c r="K9709" s="36" t="str">
        <f>CONCATENATE(Cover!$D$6,"fdd/view?i=",J9709)</f>
        <v>https://www.dgiwg.org/FAD/fdd/view?i=105576</v>
      </c>
      <c r="L9709" s="36" t="s">
        <v>51967</v>
      </c>
      <c r="M9709" s="186"/>
      <c r="N9709" s="186"/>
      <c r="O9709" s="172"/>
    </row>
    <row r="9710" spans="1:15" ht="38.25" x14ac:dyDescent="0.2">
      <c r="A9710" s="203" t="str">
        <f t="shared" si="151"/>
        <v>McuCode_zinc</v>
      </c>
      <c r="B9710" s="410"/>
      <c r="C9710" s="417"/>
      <c r="D9710" s="204" t="s">
        <v>25937</v>
      </c>
      <c r="E9710" s="204">
        <v>118</v>
      </c>
      <c r="F9710" s="205" t="s">
        <v>43826</v>
      </c>
      <c r="G9710" s="206" t="s">
        <v>43827</v>
      </c>
      <c r="H9710" s="206" t="s">
        <v>43828</v>
      </c>
      <c r="I9710" s="347"/>
      <c r="J9710" s="39">
        <v>105577</v>
      </c>
      <c r="K9710" s="36" t="str">
        <f>CONCATENATE(Cover!$D$6,"fdd/view?i=",J9710)</f>
        <v>https://www.dgiwg.org/FAD/fdd/view?i=105577</v>
      </c>
      <c r="L9710" s="36" t="s">
        <v>51968</v>
      </c>
      <c r="M9710" s="186"/>
      <c r="N9710" s="186"/>
      <c r="O9710" s="172"/>
    </row>
    <row r="9711" spans="1:15" x14ac:dyDescent="0.2">
      <c r="A9711" s="190" t="str">
        <f t="shared" si="151"/>
        <v>ThlCode_aeronautical</v>
      </c>
      <c r="B9711" s="414" t="str">
        <f>HYPERLINK("[#]Datatypes!A1564:L1564","ThlCode")</f>
        <v>ThlCode</v>
      </c>
      <c r="C9711" s="415" t="s">
        <v>16195</v>
      </c>
      <c r="D9711" s="221" t="s">
        <v>19896</v>
      </c>
      <c r="E9711" s="221">
        <v>1</v>
      </c>
      <c r="F9711" s="222" t="s">
        <v>19897</v>
      </c>
      <c r="G9711" s="223" t="s">
        <v>51969</v>
      </c>
      <c r="H9711" s="224"/>
      <c r="I9711" s="345"/>
      <c r="J9711" s="39">
        <v>119781</v>
      </c>
      <c r="K9711" s="36" t="str">
        <f>CONCATENATE(Cover!$D$6,"fdd/view?i=",J9711)</f>
        <v>https://www.dgiwg.org/FAD/fdd/view?i=119781</v>
      </c>
      <c r="L9711" s="36" t="s">
        <v>51970</v>
      </c>
      <c r="M9711" s="186"/>
      <c r="N9711" s="186"/>
      <c r="O9711" s="172"/>
    </row>
    <row r="9712" spans="1:15" x14ac:dyDescent="0.2">
      <c r="A9712" s="197" t="str">
        <f t="shared" si="151"/>
        <v>ThlCode_boundaries</v>
      </c>
      <c r="B9712" s="409"/>
      <c r="C9712" s="416"/>
      <c r="D9712" s="198" t="s">
        <v>51971</v>
      </c>
      <c r="E9712" s="198">
        <v>9</v>
      </c>
      <c r="F9712" s="199" t="s">
        <v>51972</v>
      </c>
      <c r="G9712" s="1" t="s">
        <v>51973</v>
      </c>
      <c r="H9712" s="200"/>
      <c r="I9712" s="346"/>
      <c r="J9712" s="39">
        <v>119789</v>
      </c>
      <c r="K9712" s="36" t="str">
        <f>CONCATENATE(Cover!$D$6,"fdd/view?i=",J9712)</f>
        <v>https://www.dgiwg.org/FAD/fdd/view?i=119789</v>
      </c>
      <c r="L9712" s="36" t="s">
        <v>51974</v>
      </c>
      <c r="M9712" s="186"/>
      <c r="N9712" s="186"/>
      <c r="O9712" s="172"/>
    </row>
    <row r="9713" spans="1:15" x14ac:dyDescent="0.2">
      <c r="A9713" s="197" t="str">
        <f t="shared" si="151"/>
        <v>ThlCode_elevation</v>
      </c>
      <c r="B9713" s="409"/>
      <c r="C9713" s="416"/>
      <c r="D9713" s="198" t="s">
        <v>51975</v>
      </c>
      <c r="E9713" s="198">
        <v>8</v>
      </c>
      <c r="F9713" s="199" t="s">
        <v>8353</v>
      </c>
      <c r="G9713" s="1" t="s">
        <v>51976</v>
      </c>
      <c r="H9713" s="200"/>
      <c r="I9713" s="346"/>
      <c r="J9713" s="39">
        <v>119788</v>
      </c>
      <c r="K9713" s="36" t="str">
        <f>CONCATENATE(Cover!$D$6,"fdd/view?i=",J9713)</f>
        <v>https://www.dgiwg.org/FAD/fdd/view?i=119788</v>
      </c>
      <c r="L9713" s="36" t="s">
        <v>51977</v>
      </c>
      <c r="M9713" s="186"/>
      <c r="N9713" s="186"/>
      <c r="O9713" s="172"/>
    </row>
    <row r="9714" spans="1:15" ht="25.5" x14ac:dyDescent="0.2">
      <c r="A9714" s="197" t="str">
        <f t="shared" si="151"/>
        <v>ThlCode_groundTransportation</v>
      </c>
      <c r="B9714" s="409"/>
      <c r="C9714" s="416"/>
      <c r="D9714" s="198" t="s">
        <v>51978</v>
      </c>
      <c r="E9714" s="198">
        <v>7</v>
      </c>
      <c r="F9714" s="199" t="s">
        <v>51979</v>
      </c>
      <c r="G9714" s="1" t="s">
        <v>51980</v>
      </c>
      <c r="H9714" s="200"/>
      <c r="I9714" s="346"/>
      <c r="J9714" s="39">
        <v>119787</v>
      </c>
      <c r="K9714" s="36" t="str">
        <f>CONCATENATE(Cover!$D$6,"fdd/view?i=",J9714)</f>
        <v>https://www.dgiwg.org/FAD/fdd/view?i=119787</v>
      </c>
      <c r="L9714" s="36" t="s">
        <v>51981</v>
      </c>
      <c r="M9714" s="186"/>
      <c r="N9714" s="186"/>
      <c r="O9714" s="172"/>
    </row>
    <row r="9715" spans="1:15" x14ac:dyDescent="0.2">
      <c r="A9715" s="197" t="str">
        <f t="shared" si="151"/>
        <v>ThlCode_industry</v>
      </c>
      <c r="B9715" s="409"/>
      <c r="C9715" s="416"/>
      <c r="D9715" s="198" t="s">
        <v>51982</v>
      </c>
      <c r="E9715" s="198">
        <v>6</v>
      </c>
      <c r="F9715" s="199" t="s">
        <v>51983</v>
      </c>
      <c r="G9715" s="1" t="s">
        <v>51984</v>
      </c>
      <c r="H9715" s="200"/>
      <c r="I9715" s="346"/>
      <c r="J9715" s="39">
        <v>119786</v>
      </c>
      <c r="K9715" s="36" t="str">
        <f>CONCATENATE(Cover!$D$6,"fdd/view?i=",J9715)</f>
        <v>https://www.dgiwg.org/FAD/fdd/view?i=119786</v>
      </c>
      <c r="L9715" s="36" t="s">
        <v>51985</v>
      </c>
      <c r="M9715" s="186"/>
      <c r="N9715" s="186"/>
      <c r="O9715" s="172"/>
    </row>
    <row r="9716" spans="1:15" x14ac:dyDescent="0.2">
      <c r="A9716" s="197" t="str">
        <f t="shared" si="151"/>
        <v>ThlCode_maritime</v>
      </c>
      <c r="B9716" s="409"/>
      <c r="C9716" s="416"/>
      <c r="D9716" s="198" t="s">
        <v>26034</v>
      </c>
      <c r="E9716" s="198">
        <v>11</v>
      </c>
      <c r="F9716" s="199" t="s">
        <v>32474</v>
      </c>
      <c r="G9716" s="1" t="s">
        <v>51986</v>
      </c>
      <c r="H9716" s="200"/>
      <c r="I9716" s="346"/>
      <c r="J9716" s="39">
        <v>119791</v>
      </c>
      <c r="K9716" s="36" t="str">
        <f>CONCATENATE(Cover!$D$6,"fdd/view?i=",J9716)</f>
        <v>https://www.dgiwg.org/FAD/fdd/view?i=119791</v>
      </c>
      <c r="L9716" s="36" t="s">
        <v>51987</v>
      </c>
      <c r="M9716" s="186"/>
      <c r="N9716" s="186"/>
      <c r="O9716" s="172"/>
    </row>
    <row r="9717" spans="1:15" x14ac:dyDescent="0.2">
      <c r="A9717" s="197" t="str">
        <f t="shared" si="151"/>
        <v>ThlCode_physiography</v>
      </c>
      <c r="B9717" s="409"/>
      <c r="C9717" s="416"/>
      <c r="D9717" s="198" t="s">
        <v>51988</v>
      </c>
      <c r="E9717" s="198">
        <v>5</v>
      </c>
      <c r="F9717" s="199" t="s">
        <v>51989</v>
      </c>
      <c r="G9717" s="1" t="s">
        <v>51990</v>
      </c>
      <c r="H9717" s="200"/>
      <c r="I9717" s="346"/>
      <c r="J9717" s="39">
        <v>119785</v>
      </c>
      <c r="K9717" s="36" t="str">
        <f>CONCATENATE(Cover!$D$6,"fdd/view?i=",J9717)</f>
        <v>https://www.dgiwg.org/FAD/fdd/view?i=119785</v>
      </c>
      <c r="L9717" s="36" t="s">
        <v>51991</v>
      </c>
      <c r="M9717" s="186"/>
      <c r="N9717" s="186"/>
      <c r="O9717" s="172"/>
    </row>
    <row r="9718" spans="1:15" x14ac:dyDescent="0.2">
      <c r="A9718" s="197" t="str">
        <f t="shared" si="151"/>
        <v>ThlCode_population</v>
      </c>
      <c r="B9718" s="409"/>
      <c r="C9718" s="416"/>
      <c r="D9718" s="198" t="s">
        <v>11549</v>
      </c>
      <c r="E9718" s="198">
        <v>4</v>
      </c>
      <c r="F9718" s="199" t="s">
        <v>11551</v>
      </c>
      <c r="G9718" s="1" t="s">
        <v>51992</v>
      </c>
      <c r="H9718" s="200"/>
      <c r="I9718" s="346"/>
      <c r="J9718" s="39">
        <v>119784</v>
      </c>
      <c r="K9718" s="36" t="str">
        <f>CONCATENATE(Cover!$D$6,"fdd/view?i=",J9718)</f>
        <v>https://www.dgiwg.org/FAD/fdd/view?i=119784</v>
      </c>
      <c r="L9718" s="36" t="s">
        <v>51993</v>
      </c>
      <c r="M9718" s="186"/>
      <c r="N9718" s="186"/>
      <c r="O9718" s="172"/>
    </row>
    <row r="9719" spans="1:15" x14ac:dyDescent="0.2">
      <c r="A9719" s="197" t="str">
        <f t="shared" si="151"/>
        <v>ThlCode_utilities</v>
      </c>
      <c r="B9719" s="409"/>
      <c r="C9719" s="416"/>
      <c r="D9719" s="198" t="s">
        <v>31713</v>
      </c>
      <c r="E9719" s="198">
        <v>3</v>
      </c>
      <c r="F9719" s="199" t="s">
        <v>31714</v>
      </c>
      <c r="G9719" s="1" t="s">
        <v>51994</v>
      </c>
      <c r="H9719" s="200"/>
      <c r="I9719" s="346"/>
      <c r="J9719" s="39">
        <v>119783</v>
      </c>
      <c r="K9719" s="36" t="str">
        <f>CONCATENATE(Cover!$D$6,"fdd/view?i=",J9719)</f>
        <v>https://www.dgiwg.org/FAD/fdd/view?i=119783</v>
      </c>
      <c r="L9719" s="36" t="s">
        <v>51995</v>
      </c>
      <c r="M9719" s="186"/>
      <c r="N9719" s="186"/>
      <c r="O9719" s="172"/>
    </row>
    <row r="9720" spans="1:15" x14ac:dyDescent="0.2">
      <c r="A9720" s="197" t="str">
        <f t="shared" si="151"/>
        <v>ThlCode_vegetation</v>
      </c>
      <c r="B9720" s="409"/>
      <c r="C9720" s="416"/>
      <c r="D9720" s="198" t="s">
        <v>29248</v>
      </c>
      <c r="E9720" s="198">
        <v>2</v>
      </c>
      <c r="F9720" s="199" t="s">
        <v>29249</v>
      </c>
      <c r="G9720" s="1" t="s">
        <v>51996</v>
      </c>
      <c r="H9720" s="200"/>
      <c r="I9720" s="346"/>
      <c r="J9720" s="39">
        <v>119782</v>
      </c>
      <c r="K9720" s="36" t="str">
        <f>CONCATENATE(Cover!$D$6,"fdd/view?i=",J9720)</f>
        <v>https://www.dgiwg.org/FAD/fdd/view?i=119782</v>
      </c>
      <c r="L9720" s="36" t="s">
        <v>51997</v>
      </c>
      <c r="M9720" s="186"/>
      <c r="N9720" s="186"/>
      <c r="O9720" s="172"/>
    </row>
    <row r="9721" spans="1:15" x14ac:dyDescent="0.2">
      <c r="A9721" s="203" t="str">
        <f t="shared" si="151"/>
        <v>ThlCode_waterbodies</v>
      </c>
      <c r="B9721" s="410"/>
      <c r="C9721" s="417"/>
      <c r="D9721" s="204" t="s">
        <v>51998</v>
      </c>
      <c r="E9721" s="204">
        <v>10</v>
      </c>
      <c r="F9721" s="205" t="s">
        <v>51999</v>
      </c>
      <c r="G9721" s="206" t="s">
        <v>52000</v>
      </c>
      <c r="H9721" s="207"/>
      <c r="I9721" s="347"/>
      <c r="J9721" s="39">
        <v>119790</v>
      </c>
      <c r="K9721" s="36" t="str">
        <f>CONCATENATE(Cover!$D$6,"fdd/view?i=",J9721)</f>
        <v>https://www.dgiwg.org/FAD/fdd/view?i=119790</v>
      </c>
      <c r="L9721" s="36" t="s">
        <v>52001</v>
      </c>
      <c r="M9721" s="186"/>
      <c r="N9721" s="186"/>
      <c r="O9721" s="172"/>
    </row>
    <row r="9722" spans="1:15" ht="25.5" x14ac:dyDescent="0.2">
      <c r="A9722" s="190" t="str">
        <f t="shared" si="151"/>
        <v>HctCode_localRoute</v>
      </c>
      <c r="B9722" s="414" t="str">
        <f>HYPERLINK("[#]Datatypes!A1566:L1566","HctCode")</f>
        <v>HctCode</v>
      </c>
      <c r="C9722" s="415" t="s">
        <v>16197</v>
      </c>
      <c r="D9722" s="221" t="s">
        <v>46418</v>
      </c>
      <c r="E9722" s="221">
        <v>4</v>
      </c>
      <c r="F9722" s="222" t="s">
        <v>46419</v>
      </c>
      <c r="G9722" s="223" t="s">
        <v>52002</v>
      </c>
      <c r="H9722" s="223" t="s">
        <v>52003</v>
      </c>
      <c r="I9722" s="345"/>
      <c r="J9722" s="39">
        <v>108195</v>
      </c>
      <c r="K9722" s="36" t="str">
        <f>CONCATENATE(Cover!$D$6,"fdd/view?i=",J9722)</f>
        <v>https://www.dgiwg.org/FAD/fdd/view?i=108195</v>
      </c>
      <c r="L9722" s="36" t="s">
        <v>52004</v>
      </c>
      <c r="M9722" s="186"/>
      <c r="N9722" s="186"/>
      <c r="O9722" s="172"/>
    </row>
    <row r="9723" spans="1:15" ht="38.25" x14ac:dyDescent="0.2">
      <c r="A9723" s="197" t="str">
        <f t="shared" si="151"/>
        <v>HctCode_nationalMotorway</v>
      </c>
      <c r="B9723" s="409"/>
      <c r="C9723" s="416"/>
      <c r="D9723" s="198" t="s">
        <v>46316</v>
      </c>
      <c r="E9723" s="198">
        <v>3</v>
      </c>
      <c r="F9723" s="199" t="s">
        <v>46317</v>
      </c>
      <c r="G9723" s="1" t="s">
        <v>52005</v>
      </c>
      <c r="H9723" s="1" t="s">
        <v>52006</v>
      </c>
      <c r="I9723" s="351" t="s">
        <v>26715</v>
      </c>
      <c r="J9723" s="39">
        <v>108193</v>
      </c>
      <c r="K9723" s="36" t="str">
        <f>CONCATENATE(Cover!$D$6,"fdd/view?i=",J9723)</f>
        <v>https://www.dgiwg.org/FAD/fdd/view?i=108193</v>
      </c>
      <c r="L9723" s="36" t="s">
        <v>52007</v>
      </c>
      <c r="M9723" s="186"/>
      <c r="N9723" s="186"/>
      <c r="O9723" s="172"/>
    </row>
    <row r="9724" spans="1:15" ht="89.25" x14ac:dyDescent="0.2">
      <c r="A9724" s="197" t="str">
        <f t="shared" si="151"/>
        <v>HctCode_primaryRoute</v>
      </c>
      <c r="B9724" s="409"/>
      <c r="C9724" s="416"/>
      <c r="D9724" s="198" t="s">
        <v>46427</v>
      </c>
      <c r="E9724" s="198">
        <v>1</v>
      </c>
      <c r="F9724" s="199" t="s">
        <v>46428</v>
      </c>
      <c r="G9724" s="1" t="s">
        <v>52008</v>
      </c>
      <c r="H9724" s="1" t="s">
        <v>52009</v>
      </c>
      <c r="I9724" s="346"/>
      <c r="J9724" s="39">
        <v>108188</v>
      </c>
      <c r="K9724" s="36" t="str">
        <f>CONCATENATE(Cover!$D$6,"fdd/view?i=",J9724)</f>
        <v>https://www.dgiwg.org/FAD/fdd/view?i=108188</v>
      </c>
      <c r="L9724" s="36" t="s">
        <v>52010</v>
      </c>
      <c r="M9724" s="186"/>
      <c r="N9724" s="186"/>
      <c r="O9724" s="172"/>
    </row>
    <row r="9725" spans="1:15" ht="25.5" x14ac:dyDescent="0.2">
      <c r="A9725" s="203" t="str">
        <f t="shared" si="151"/>
        <v>HctCode_secondaryRoute</v>
      </c>
      <c r="B9725" s="410"/>
      <c r="C9725" s="417"/>
      <c r="D9725" s="204" t="s">
        <v>46431</v>
      </c>
      <c r="E9725" s="204">
        <v>2</v>
      </c>
      <c r="F9725" s="205" t="s">
        <v>46432</v>
      </c>
      <c r="G9725" s="206" t="s">
        <v>52011</v>
      </c>
      <c r="H9725" s="206" t="s">
        <v>52012</v>
      </c>
      <c r="I9725" s="347"/>
      <c r="J9725" s="39">
        <v>108189</v>
      </c>
      <c r="K9725" s="36" t="str">
        <f>CONCATENATE(Cover!$D$6,"fdd/view?i=",J9725)</f>
        <v>https://www.dgiwg.org/FAD/fdd/view?i=108189</v>
      </c>
      <c r="L9725" s="36" t="s">
        <v>52013</v>
      </c>
      <c r="M9725" s="186"/>
      <c r="N9725" s="186"/>
      <c r="O9725" s="172"/>
    </row>
    <row r="9726" spans="1:15" x14ac:dyDescent="0.2">
      <c r="A9726" s="190" t="str">
        <f t="shared" si="151"/>
        <v>TypCode_avenue</v>
      </c>
      <c r="B9726" s="414" t="str">
        <f>HYPERLINK("[#]Datatypes!A1568:L1568","TypCode")</f>
        <v>TypCode</v>
      </c>
      <c r="C9726" s="415" t="s">
        <v>16199</v>
      </c>
      <c r="D9726" s="221" t="s">
        <v>52014</v>
      </c>
      <c r="E9726" s="221">
        <v>9</v>
      </c>
      <c r="F9726" s="222" t="s">
        <v>52015</v>
      </c>
      <c r="G9726" s="223" t="s">
        <v>52016</v>
      </c>
      <c r="H9726" s="224"/>
      <c r="I9726" s="345"/>
      <c r="J9726" s="39">
        <v>108856</v>
      </c>
      <c r="K9726" s="36" t="str">
        <f>CONCATENATE(Cover!$D$6,"fdd/view?i=",J9726)</f>
        <v>https://www.dgiwg.org/FAD/fdd/view?i=108856</v>
      </c>
      <c r="L9726" s="36" t="s">
        <v>52017</v>
      </c>
      <c r="M9726" s="186"/>
      <c r="N9726" s="186"/>
      <c r="O9726" s="172"/>
    </row>
    <row r="9727" spans="1:15" ht="25.5" x14ac:dyDescent="0.2">
      <c r="A9727" s="197" t="str">
        <f t="shared" si="151"/>
        <v>TypCode_boulevard</v>
      </c>
      <c r="B9727" s="409"/>
      <c r="C9727" s="416"/>
      <c r="D9727" s="198" t="s">
        <v>52018</v>
      </c>
      <c r="E9727" s="198">
        <v>5</v>
      </c>
      <c r="F9727" s="199" t="s">
        <v>52019</v>
      </c>
      <c r="G9727" s="1" t="s">
        <v>52020</v>
      </c>
      <c r="H9727" s="1" t="s">
        <v>52021</v>
      </c>
      <c r="I9727" s="346"/>
      <c r="J9727" s="39">
        <v>108855</v>
      </c>
      <c r="K9727" s="36" t="str">
        <f>CONCATENATE(Cover!$D$6,"fdd/view?i=",J9727)</f>
        <v>https://www.dgiwg.org/FAD/fdd/view?i=108855</v>
      </c>
      <c r="L9727" s="36" t="s">
        <v>52022</v>
      </c>
      <c r="M9727" s="186"/>
      <c r="N9727" s="186"/>
      <c r="O9727" s="172"/>
    </row>
    <row r="9728" spans="1:15" ht="38.25" x14ac:dyDescent="0.2">
      <c r="A9728" s="197" t="str">
        <f t="shared" si="151"/>
        <v>TypCode_cartTrack</v>
      </c>
      <c r="B9728" s="409"/>
      <c r="C9728" s="416"/>
      <c r="D9728" s="198" t="s">
        <v>52023</v>
      </c>
      <c r="E9728" s="198">
        <v>46</v>
      </c>
      <c r="F9728" s="199" t="s">
        <v>2434</v>
      </c>
      <c r="G9728" s="1" t="s">
        <v>2435</v>
      </c>
      <c r="H9728" s="1" t="s">
        <v>2436</v>
      </c>
      <c r="I9728" s="346"/>
      <c r="J9728" s="39">
        <v>110578</v>
      </c>
      <c r="K9728" s="36" t="str">
        <f>CONCATENATE(Cover!$D$6,"fdd/view?i=",J9728)</f>
        <v>https://www.dgiwg.org/FAD/fdd/view?i=110578</v>
      </c>
      <c r="L9728" s="36" t="s">
        <v>52024</v>
      </c>
      <c r="M9728" s="186"/>
      <c r="N9728" s="186"/>
      <c r="O9728" s="172"/>
    </row>
    <row r="9729" spans="1:15" x14ac:dyDescent="0.2">
      <c r="A9729" s="197" t="str">
        <f t="shared" si="151"/>
        <v>TypCode_circle</v>
      </c>
      <c r="B9729" s="409"/>
      <c r="C9729" s="416"/>
      <c r="D9729" s="198" t="s">
        <v>40635</v>
      </c>
      <c r="E9729" s="198">
        <v>17</v>
      </c>
      <c r="F9729" s="199" t="s">
        <v>40636</v>
      </c>
      <c r="G9729" s="1" t="s">
        <v>52025</v>
      </c>
      <c r="H9729" s="1" t="s">
        <v>52026</v>
      </c>
      <c r="I9729" s="346"/>
      <c r="J9729" s="39">
        <v>108858</v>
      </c>
      <c r="K9729" s="36" t="str">
        <f>CONCATENATE(Cover!$D$6,"fdd/view?i=",J9729)</f>
        <v>https://www.dgiwg.org/FAD/fdd/view?i=108858</v>
      </c>
      <c r="L9729" s="36" t="s">
        <v>52027</v>
      </c>
      <c r="M9729" s="186"/>
      <c r="N9729" s="186"/>
      <c r="O9729" s="172"/>
    </row>
    <row r="9730" spans="1:15" x14ac:dyDescent="0.2">
      <c r="A9730" s="197" t="str">
        <f t="shared" ref="A9730:A9793" si="152">HYPERLINK(K9730,L9730)</f>
        <v>TypCode_close</v>
      </c>
      <c r="B9730" s="409"/>
      <c r="C9730" s="416"/>
      <c r="D9730" s="198" t="s">
        <v>52028</v>
      </c>
      <c r="E9730" s="198">
        <v>21</v>
      </c>
      <c r="F9730" s="199" t="s">
        <v>52029</v>
      </c>
      <c r="G9730" s="1" t="s">
        <v>52030</v>
      </c>
      <c r="H9730" s="200"/>
      <c r="I9730" s="351" t="s">
        <v>52031</v>
      </c>
      <c r="J9730" s="39">
        <v>108859</v>
      </c>
      <c r="K9730" s="36" t="str">
        <f>CONCATENATE(Cover!$D$6,"fdd/view?i=",J9730)</f>
        <v>https://www.dgiwg.org/FAD/fdd/view?i=108859</v>
      </c>
      <c r="L9730" s="36" t="s">
        <v>52032</v>
      </c>
      <c r="M9730" s="186"/>
      <c r="N9730" s="186"/>
      <c r="O9730" s="172"/>
    </row>
    <row r="9731" spans="1:15" ht="25.5" x14ac:dyDescent="0.2">
      <c r="A9731" s="197" t="str">
        <f t="shared" si="152"/>
        <v>TypCode_drive</v>
      </c>
      <c r="B9731" s="409"/>
      <c r="C9731" s="416"/>
      <c r="D9731" s="198" t="s">
        <v>52033</v>
      </c>
      <c r="E9731" s="198">
        <v>13</v>
      </c>
      <c r="F9731" s="199" t="s">
        <v>52034</v>
      </c>
      <c r="G9731" s="1" t="s">
        <v>52035</v>
      </c>
      <c r="H9731" s="1" t="s">
        <v>52036</v>
      </c>
      <c r="I9731" s="346"/>
      <c r="J9731" s="39">
        <v>108857</v>
      </c>
      <c r="K9731" s="36" t="str">
        <f>CONCATENATE(Cover!$D$6,"fdd/view?i=",J9731)</f>
        <v>https://www.dgiwg.org/FAD/fdd/view?i=108857</v>
      </c>
      <c r="L9731" s="36" t="s">
        <v>52037</v>
      </c>
      <c r="M9731" s="186"/>
      <c r="N9731" s="186"/>
      <c r="O9731" s="172"/>
    </row>
    <row r="9732" spans="1:15" ht="25.5" x14ac:dyDescent="0.2">
      <c r="A9732" s="197" t="str">
        <f t="shared" si="152"/>
        <v>TypCode_lane</v>
      </c>
      <c r="B9732" s="409"/>
      <c r="C9732" s="416"/>
      <c r="D9732" s="198" t="s">
        <v>52038</v>
      </c>
      <c r="E9732" s="198">
        <v>29</v>
      </c>
      <c r="F9732" s="199" t="s">
        <v>52039</v>
      </c>
      <c r="G9732" s="1" t="s">
        <v>52040</v>
      </c>
      <c r="H9732" s="1" t="s">
        <v>52041</v>
      </c>
      <c r="I9732" s="351" t="s">
        <v>52042</v>
      </c>
      <c r="J9732" s="39">
        <v>108861</v>
      </c>
      <c r="K9732" s="36" t="str">
        <f>CONCATENATE(Cover!$D$6,"fdd/view?i=",J9732)</f>
        <v>https://www.dgiwg.org/FAD/fdd/view?i=108861</v>
      </c>
      <c r="L9732" s="36" t="s">
        <v>52043</v>
      </c>
      <c r="M9732" s="186"/>
      <c r="N9732" s="186"/>
      <c r="O9732" s="172"/>
    </row>
    <row r="9733" spans="1:15" ht="38.25" x14ac:dyDescent="0.2">
      <c r="A9733" s="197" t="str">
        <f t="shared" si="152"/>
        <v>TypCode_limitedAccessMotorway</v>
      </c>
      <c r="B9733" s="409"/>
      <c r="C9733" s="416"/>
      <c r="D9733" s="198" t="s">
        <v>52044</v>
      </c>
      <c r="E9733" s="198">
        <v>47</v>
      </c>
      <c r="F9733" s="199" t="s">
        <v>52045</v>
      </c>
      <c r="G9733" s="1" t="s">
        <v>52046</v>
      </c>
      <c r="H9733" s="1" t="s">
        <v>52047</v>
      </c>
      <c r="I9733" s="346"/>
      <c r="J9733" s="39">
        <v>110579</v>
      </c>
      <c r="K9733" s="36" t="str">
        <f>CONCATENATE(Cover!$D$6,"fdd/view?i=",J9733)</f>
        <v>https://www.dgiwg.org/FAD/fdd/view?i=110579</v>
      </c>
      <c r="L9733" s="36" t="s">
        <v>52048</v>
      </c>
      <c r="M9733" s="186"/>
      <c r="N9733" s="186"/>
      <c r="O9733" s="172"/>
    </row>
    <row r="9734" spans="1:15" ht="51" x14ac:dyDescent="0.2">
      <c r="A9734" s="197" t="str">
        <f t="shared" si="152"/>
        <v>TypCode_motorway</v>
      </c>
      <c r="B9734" s="409"/>
      <c r="C9734" s="416"/>
      <c r="D9734" s="198" t="s">
        <v>52049</v>
      </c>
      <c r="E9734" s="198">
        <v>41</v>
      </c>
      <c r="F9734" s="199" t="s">
        <v>52050</v>
      </c>
      <c r="G9734" s="1" t="s">
        <v>52051</v>
      </c>
      <c r="H9734" s="1" t="s">
        <v>52052</v>
      </c>
      <c r="I9734" s="351" t="s">
        <v>26715</v>
      </c>
      <c r="J9734" s="39">
        <v>108864</v>
      </c>
      <c r="K9734" s="36" t="str">
        <f>CONCATENATE(Cover!$D$6,"fdd/view?i=",J9734)</f>
        <v>https://www.dgiwg.org/FAD/fdd/view?i=108864</v>
      </c>
      <c r="L9734" s="36" t="s">
        <v>52053</v>
      </c>
      <c r="M9734" s="186"/>
      <c r="N9734" s="186"/>
      <c r="O9734" s="172"/>
    </row>
    <row r="9735" spans="1:15" ht="25.5" x14ac:dyDescent="0.2">
      <c r="A9735" s="197" t="str">
        <f t="shared" si="152"/>
        <v>TypCode_parkway</v>
      </c>
      <c r="B9735" s="409"/>
      <c r="C9735" s="416"/>
      <c r="D9735" s="198" t="s">
        <v>52054</v>
      </c>
      <c r="E9735" s="198">
        <v>25</v>
      </c>
      <c r="F9735" s="199" t="s">
        <v>52055</v>
      </c>
      <c r="G9735" s="1" t="s">
        <v>52056</v>
      </c>
      <c r="H9735" s="200"/>
      <c r="I9735" s="346"/>
      <c r="J9735" s="39">
        <v>108860</v>
      </c>
      <c r="K9735" s="36" t="str">
        <f>CONCATENATE(Cover!$D$6,"fdd/view?i=",J9735)</f>
        <v>https://www.dgiwg.org/FAD/fdd/view?i=108860</v>
      </c>
      <c r="L9735" s="36" t="s">
        <v>52057</v>
      </c>
      <c r="M9735" s="186"/>
      <c r="N9735" s="186"/>
      <c r="O9735" s="172"/>
    </row>
    <row r="9736" spans="1:15" ht="25.5" x14ac:dyDescent="0.2">
      <c r="A9736" s="197" t="str">
        <f t="shared" si="152"/>
        <v>TypCode_place</v>
      </c>
      <c r="B9736" s="409"/>
      <c r="C9736" s="416"/>
      <c r="D9736" s="198" t="s">
        <v>52058</v>
      </c>
      <c r="E9736" s="198">
        <v>45</v>
      </c>
      <c r="F9736" s="199" t="s">
        <v>52059</v>
      </c>
      <c r="G9736" s="1" t="s">
        <v>52060</v>
      </c>
      <c r="H9736" s="1" t="s">
        <v>52036</v>
      </c>
      <c r="I9736" s="346"/>
      <c r="J9736" s="39">
        <v>108865</v>
      </c>
      <c r="K9736" s="36" t="str">
        <f>CONCATENATE(Cover!$D$6,"fdd/view?i=",J9736)</f>
        <v>https://www.dgiwg.org/FAD/fdd/view?i=108865</v>
      </c>
      <c r="L9736" s="36" t="s">
        <v>52061</v>
      </c>
      <c r="M9736" s="186"/>
      <c r="N9736" s="186"/>
      <c r="O9736" s="172"/>
    </row>
    <row r="9737" spans="1:15" x14ac:dyDescent="0.2">
      <c r="A9737" s="197" t="str">
        <f t="shared" si="152"/>
        <v>TypCode_ramp</v>
      </c>
      <c r="B9737" s="409"/>
      <c r="C9737" s="416"/>
      <c r="D9737" s="198" t="s">
        <v>46278</v>
      </c>
      <c r="E9737" s="198">
        <v>50</v>
      </c>
      <c r="F9737" s="199" t="s">
        <v>4668</v>
      </c>
      <c r="G9737" s="1" t="s">
        <v>52062</v>
      </c>
      <c r="H9737" s="200"/>
      <c r="I9737" s="346"/>
      <c r="J9737" s="39">
        <v>110582</v>
      </c>
      <c r="K9737" s="36" t="str">
        <f>CONCATENATE(Cover!$D$6,"fdd/view?i=",J9737)</f>
        <v>https://www.dgiwg.org/FAD/fdd/view?i=110582</v>
      </c>
      <c r="L9737" s="36" t="s">
        <v>52063</v>
      </c>
      <c r="M9737" s="186"/>
      <c r="N9737" s="186"/>
      <c r="O9737" s="172"/>
    </row>
    <row r="9738" spans="1:15" ht="51" x14ac:dyDescent="0.2">
      <c r="A9738" s="197" t="str">
        <f t="shared" si="152"/>
        <v>TypCode_road</v>
      </c>
      <c r="B9738" s="409"/>
      <c r="C9738" s="416"/>
      <c r="D9738" s="198" t="s">
        <v>38859</v>
      </c>
      <c r="E9738" s="198">
        <v>1</v>
      </c>
      <c r="F9738" s="199" t="s">
        <v>4754</v>
      </c>
      <c r="G9738" s="1" t="s">
        <v>52064</v>
      </c>
      <c r="H9738" s="1" t="s">
        <v>52065</v>
      </c>
      <c r="I9738" s="346"/>
      <c r="J9738" s="39">
        <v>108854</v>
      </c>
      <c r="K9738" s="36" t="str">
        <f>CONCATENATE(Cover!$D$6,"fdd/view?i=",J9738)</f>
        <v>https://www.dgiwg.org/FAD/fdd/view?i=108854</v>
      </c>
      <c r="L9738" s="36" t="s">
        <v>52066</v>
      </c>
      <c r="M9738" s="186"/>
      <c r="N9738" s="186"/>
      <c r="O9738" s="172"/>
    </row>
    <row r="9739" spans="1:15" ht="25.5" x14ac:dyDescent="0.2">
      <c r="A9739" s="197" t="str">
        <f t="shared" si="152"/>
        <v>TypCode_roundabout</v>
      </c>
      <c r="B9739" s="409"/>
      <c r="C9739" s="416"/>
      <c r="D9739" s="198" t="s">
        <v>38735</v>
      </c>
      <c r="E9739" s="198">
        <v>48</v>
      </c>
      <c r="F9739" s="199" t="s">
        <v>38736</v>
      </c>
      <c r="G9739" s="1" t="s">
        <v>45796</v>
      </c>
      <c r="H9739" s="200"/>
      <c r="I9739" s="346"/>
      <c r="J9739" s="39">
        <v>110580</v>
      </c>
      <c r="K9739" s="36" t="str">
        <f>CONCATENATE(Cover!$D$6,"fdd/view?i=",J9739)</f>
        <v>https://www.dgiwg.org/FAD/fdd/view?i=110580</v>
      </c>
      <c r="L9739" s="36" t="s">
        <v>52067</v>
      </c>
      <c r="M9739" s="186"/>
      <c r="N9739" s="186"/>
      <c r="O9739" s="172"/>
    </row>
    <row r="9740" spans="1:15" ht="51" x14ac:dyDescent="0.2">
      <c r="A9740" s="197" t="str">
        <f t="shared" si="152"/>
        <v>TypCode_street</v>
      </c>
      <c r="B9740" s="409"/>
      <c r="C9740" s="416"/>
      <c r="D9740" s="198" t="s">
        <v>42712</v>
      </c>
      <c r="E9740" s="198">
        <v>33</v>
      </c>
      <c r="F9740" s="199" t="s">
        <v>42713</v>
      </c>
      <c r="G9740" s="1" t="s">
        <v>52068</v>
      </c>
      <c r="H9740" s="1" t="s">
        <v>52069</v>
      </c>
      <c r="I9740" s="346"/>
      <c r="J9740" s="39">
        <v>108862</v>
      </c>
      <c r="K9740" s="36" t="str">
        <f>CONCATENATE(Cover!$D$6,"fdd/view?i=",J9740)</f>
        <v>https://www.dgiwg.org/FAD/fdd/view?i=108862</v>
      </c>
      <c r="L9740" s="36" t="s">
        <v>52070</v>
      </c>
      <c r="M9740" s="186"/>
      <c r="N9740" s="186"/>
      <c r="O9740" s="172"/>
    </row>
    <row r="9741" spans="1:15" ht="25.5" x14ac:dyDescent="0.2">
      <c r="A9741" s="197" t="str">
        <f t="shared" si="152"/>
        <v>TypCode_terrace</v>
      </c>
      <c r="B9741" s="409"/>
      <c r="C9741" s="416"/>
      <c r="D9741" s="198" t="s">
        <v>35988</v>
      </c>
      <c r="E9741" s="198">
        <v>37</v>
      </c>
      <c r="F9741" s="199" t="s">
        <v>35989</v>
      </c>
      <c r="G9741" s="1" t="s">
        <v>52071</v>
      </c>
      <c r="H9741" s="1" t="s">
        <v>52036</v>
      </c>
      <c r="I9741" s="346"/>
      <c r="J9741" s="39">
        <v>108863</v>
      </c>
      <c r="K9741" s="36" t="str">
        <f>CONCATENATE(Cover!$D$6,"fdd/view?i=",J9741)</f>
        <v>https://www.dgiwg.org/FAD/fdd/view?i=108863</v>
      </c>
      <c r="L9741" s="36" t="s">
        <v>52072</v>
      </c>
      <c r="M9741" s="186"/>
      <c r="N9741" s="186"/>
      <c r="O9741" s="172"/>
    </row>
    <row r="9742" spans="1:15" x14ac:dyDescent="0.2">
      <c r="A9742" s="203" t="str">
        <f t="shared" si="152"/>
        <v>TypCode_trail</v>
      </c>
      <c r="B9742" s="410"/>
      <c r="C9742" s="417"/>
      <c r="D9742" s="204" t="s">
        <v>46213</v>
      </c>
      <c r="E9742" s="204">
        <v>49</v>
      </c>
      <c r="F9742" s="205" t="s">
        <v>5545</v>
      </c>
      <c r="G9742" s="206" t="s">
        <v>5547</v>
      </c>
      <c r="H9742" s="207"/>
      <c r="I9742" s="347"/>
      <c r="J9742" s="39">
        <v>110581</v>
      </c>
      <c r="K9742" s="36" t="str">
        <f>CONCATENATE(Cover!$D$6,"fdd/view?i=",J9742)</f>
        <v>https://www.dgiwg.org/FAD/fdd/view?i=110581</v>
      </c>
      <c r="L9742" s="36" t="s">
        <v>52073</v>
      </c>
      <c r="M9742" s="186"/>
      <c r="N9742" s="186"/>
      <c r="O9742" s="172"/>
    </row>
    <row r="9743" spans="1:15" ht="25.5" x14ac:dyDescent="0.2">
      <c r="A9743" s="190" t="str">
        <f t="shared" si="152"/>
        <v>RdtCode_bypass</v>
      </c>
      <c r="B9743" s="414" t="str">
        <f>HYPERLINK("[#]Datatypes!A1570:L1570","RdtCode")</f>
        <v>RdtCode</v>
      </c>
      <c r="C9743" s="415" t="s">
        <v>16201</v>
      </c>
      <c r="D9743" s="221" t="s">
        <v>52074</v>
      </c>
      <c r="E9743" s="221">
        <v>7</v>
      </c>
      <c r="F9743" s="222" t="s">
        <v>52075</v>
      </c>
      <c r="G9743" s="223" t="s">
        <v>52076</v>
      </c>
      <c r="H9743" s="224"/>
      <c r="I9743" s="345"/>
      <c r="J9743" s="39">
        <v>108935</v>
      </c>
      <c r="K9743" s="36" t="str">
        <f>CONCATENATE(Cover!$D$6,"fdd/view?i=",J9743)</f>
        <v>https://www.dgiwg.org/FAD/fdd/view?i=108935</v>
      </c>
      <c r="L9743" s="36" t="s">
        <v>52077</v>
      </c>
      <c r="M9743" s="186"/>
      <c r="N9743" s="186"/>
      <c r="O9743" s="172"/>
    </row>
    <row r="9744" spans="1:15" ht="25.5" x14ac:dyDescent="0.2">
      <c r="A9744" s="197" t="str">
        <f t="shared" si="152"/>
        <v>RdtCode_crossingIntersectRoads</v>
      </c>
      <c r="B9744" s="409"/>
      <c r="C9744" s="416"/>
      <c r="D9744" s="198" t="s">
        <v>52078</v>
      </c>
      <c r="E9744" s="198">
        <v>46</v>
      </c>
      <c r="F9744" s="199" t="s">
        <v>52079</v>
      </c>
      <c r="G9744" s="1" t="s">
        <v>52080</v>
      </c>
      <c r="H9744" s="200"/>
      <c r="I9744" s="346"/>
      <c r="J9744" s="39">
        <v>107118</v>
      </c>
      <c r="K9744" s="36" t="str">
        <f>CONCATENATE(Cover!$D$6,"fdd/view?i=",J9744)</f>
        <v>https://www.dgiwg.org/FAD/fdd/view?i=107118</v>
      </c>
      <c r="L9744" s="36" t="s">
        <v>52081</v>
      </c>
      <c r="M9744" s="186"/>
      <c r="N9744" s="186"/>
      <c r="O9744" s="172"/>
    </row>
    <row r="9745" spans="1:15" ht="25.5" x14ac:dyDescent="0.2">
      <c r="A9745" s="197" t="str">
        <f t="shared" si="152"/>
        <v>RdtCode_highSpeed</v>
      </c>
      <c r="B9745" s="409"/>
      <c r="C9745" s="416"/>
      <c r="D9745" s="198" t="s">
        <v>52082</v>
      </c>
      <c r="E9745" s="198">
        <v>5</v>
      </c>
      <c r="F9745" s="199" t="s">
        <v>52083</v>
      </c>
      <c r="G9745" s="1" t="s">
        <v>52084</v>
      </c>
      <c r="H9745" s="1" t="s">
        <v>52085</v>
      </c>
      <c r="I9745" s="351" t="s">
        <v>52086</v>
      </c>
      <c r="J9745" s="39">
        <v>108929</v>
      </c>
      <c r="K9745" s="36" t="str">
        <f>CONCATENATE(Cover!$D$6,"fdd/view?i=",J9745)</f>
        <v>https://www.dgiwg.org/FAD/fdd/view?i=108929</v>
      </c>
      <c r="L9745" s="36" t="s">
        <v>52087</v>
      </c>
      <c r="M9745" s="186"/>
      <c r="N9745" s="186"/>
      <c r="O9745" s="172"/>
    </row>
    <row r="9746" spans="1:15" ht="25.5" x14ac:dyDescent="0.2">
      <c r="A9746" s="197" t="str">
        <f t="shared" si="152"/>
        <v>RdtCode_private</v>
      </c>
      <c r="B9746" s="409"/>
      <c r="C9746" s="416"/>
      <c r="D9746" s="198" t="s">
        <v>20069</v>
      </c>
      <c r="E9746" s="198">
        <v>3</v>
      </c>
      <c r="F9746" s="199" t="s">
        <v>20070</v>
      </c>
      <c r="G9746" s="1" t="s">
        <v>52088</v>
      </c>
      <c r="H9746" s="200"/>
      <c r="I9746" s="351" t="s">
        <v>52089</v>
      </c>
      <c r="J9746" s="39">
        <v>107115</v>
      </c>
      <c r="K9746" s="36" t="str">
        <f>CONCATENATE(Cover!$D$6,"fdd/view?i=",J9746)</f>
        <v>https://www.dgiwg.org/FAD/fdd/view?i=107115</v>
      </c>
      <c r="L9746" s="36" t="s">
        <v>52090</v>
      </c>
      <c r="M9746" s="186"/>
      <c r="N9746" s="186"/>
      <c r="O9746" s="172"/>
    </row>
    <row r="9747" spans="1:15" ht="25.5" x14ac:dyDescent="0.2">
      <c r="A9747" s="197" t="str">
        <f t="shared" si="152"/>
        <v>RdtCode_rapidTransit</v>
      </c>
      <c r="B9747" s="409"/>
      <c r="C9747" s="416"/>
      <c r="D9747" s="198" t="s">
        <v>52091</v>
      </c>
      <c r="E9747" s="198">
        <v>2</v>
      </c>
      <c r="F9747" s="199" t="s">
        <v>52092</v>
      </c>
      <c r="G9747" s="1" t="s">
        <v>52093</v>
      </c>
      <c r="H9747" s="200"/>
      <c r="I9747" s="346"/>
      <c r="J9747" s="39">
        <v>107114</v>
      </c>
      <c r="K9747" s="36" t="str">
        <f>CONCATENATE(Cover!$D$6,"fdd/view?i=",J9747)</f>
        <v>https://www.dgiwg.org/FAD/fdd/view?i=107114</v>
      </c>
      <c r="L9747" s="36" t="s">
        <v>52094</v>
      </c>
      <c r="M9747" s="186"/>
      <c r="N9747" s="186"/>
      <c r="O9747" s="172"/>
    </row>
    <row r="9748" spans="1:15" ht="51" x14ac:dyDescent="0.2">
      <c r="A9748" s="197" t="str">
        <f t="shared" si="152"/>
        <v>RdtCode_service</v>
      </c>
      <c r="B9748" s="409"/>
      <c r="C9748" s="416"/>
      <c r="D9748" s="198" t="s">
        <v>52095</v>
      </c>
      <c r="E9748" s="198">
        <v>4</v>
      </c>
      <c r="F9748" s="199" t="s">
        <v>52096</v>
      </c>
      <c r="G9748" s="1" t="s">
        <v>52097</v>
      </c>
      <c r="H9748" s="1" t="s">
        <v>52098</v>
      </c>
      <c r="I9748" s="346"/>
      <c r="J9748" s="39">
        <v>107116</v>
      </c>
      <c r="K9748" s="36" t="str">
        <f>CONCATENATE(Cover!$D$6,"fdd/view?i=",J9748)</f>
        <v>https://www.dgiwg.org/FAD/fdd/view?i=107116</v>
      </c>
      <c r="L9748" s="36" t="s">
        <v>52099</v>
      </c>
      <c r="M9748" s="186"/>
      <c r="N9748" s="186"/>
      <c r="O9748" s="172"/>
    </row>
    <row r="9749" spans="1:15" ht="25.5" x14ac:dyDescent="0.2">
      <c r="A9749" s="197" t="str">
        <f t="shared" si="152"/>
        <v>RdtCode_slipRoad</v>
      </c>
      <c r="B9749" s="409"/>
      <c r="C9749" s="416"/>
      <c r="D9749" s="198" t="s">
        <v>52100</v>
      </c>
      <c r="E9749" s="198">
        <v>11</v>
      </c>
      <c r="F9749" s="199" t="s">
        <v>52101</v>
      </c>
      <c r="G9749" s="1" t="s">
        <v>52102</v>
      </c>
      <c r="H9749" s="200"/>
      <c r="I9749" s="346"/>
      <c r="J9749" s="39">
        <v>110656</v>
      </c>
      <c r="K9749" s="36" t="str">
        <f>CONCATENATE(Cover!$D$6,"fdd/view?i=",J9749)</f>
        <v>https://www.dgiwg.org/FAD/fdd/view?i=110656</v>
      </c>
      <c r="L9749" s="36" t="s">
        <v>52103</v>
      </c>
      <c r="M9749" s="186"/>
      <c r="N9749" s="186"/>
      <c r="O9749" s="172"/>
    </row>
    <row r="9750" spans="1:15" ht="25.5" x14ac:dyDescent="0.2">
      <c r="A9750" s="197" t="str">
        <f t="shared" si="152"/>
        <v>RdtCode_throughRoute</v>
      </c>
      <c r="B9750" s="409"/>
      <c r="C9750" s="416"/>
      <c r="D9750" s="198" t="s">
        <v>13412</v>
      </c>
      <c r="E9750" s="198">
        <v>6</v>
      </c>
      <c r="F9750" s="199" t="s">
        <v>13414</v>
      </c>
      <c r="G9750" s="1" t="s">
        <v>52104</v>
      </c>
      <c r="H9750" s="200"/>
      <c r="I9750" s="346"/>
      <c r="J9750" s="39">
        <v>108934</v>
      </c>
      <c r="K9750" s="36" t="str">
        <f>CONCATENATE(Cover!$D$6,"fdd/view?i=",J9750)</f>
        <v>https://www.dgiwg.org/FAD/fdd/view?i=108934</v>
      </c>
      <c r="L9750" s="36" t="s">
        <v>52105</v>
      </c>
      <c r="M9750" s="186"/>
      <c r="N9750" s="186"/>
      <c r="O9750" s="172"/>
    </row>
    <row r="9751" spans="1:15" ht="25.5" x14ac:dyDescent="0.2">
      <c r="A9751" s="203" t="str">
        <f t="shared" si="152"/>
        <v>RdtCode_trackOrPath</v>
      </c>
      <c r="B9751" s="410"/>
      <c r="C9751" s="417"/>
      <c r="D9751" s="204" t="s">
        <v>52106</v>
      </c>
      <c r="E9751" s="204">
        <v>45</v>
      </c>
      <c r="F9751" s="205" t="s">
        <v>52107</v>
      </c>
      <c r="G9751" s="206" t="s">
        <v>52108</v>
      </c>
      <c r="H9751" s="207"/>
      <c r="I9751" s="347"/>
      <c r="J9751" s="39">
        <v>107117</v>
      </c>
      <c r="K9751" s="36" t="str">
        <f>CONCATENATE(Cover!$D$6,"fdd/view?i=",J9751)</f>
        <v>https://www.dgiwg.org/FAD/fdd/view?i=107117</v>
      </c>
      <c r="L9751" s="36" t="s">
        <v>52109</v>
      </c>
      <c r="M9751" s="186"/>
      <c r="N9751" s="186"/>
      <c r="O9751" s="172"/>
    </row>
    <row r="9752" spans="1:15" ht="25.5" x14ac:dyDescent="0.2">
      <c r="A9752" s="190" t="str">
        <f t="shared" si="152"/>
        <v>TafCode_antiDetonationInjection</v>
      </c>
      <c r="B9752" s="414" t="str">
        <f>HYPERLINK("[#]Datatypes!A1572:L1572","TafCode")</f>
        <v>TafCode</v>
      </c>
      <c r="C9752" s="415" t="s">
        <v>16203</v>
      </c>
      <c r="D9752" s="221" t="s">
        <v>52110</v>
      </c>
      <c r="E9752" s="221">
        <v>4</v>
      </c>
      <c r="F9752" s="222" t="s">
        <v>52111</v>
      </c>
      <c r="G9752" s="223" t="s">
        <v>52112</v>
      </c>
      <c r="H9752" s="224"/>
      <c r="I9752" s="345"/>
      <c r="J9752" s="39">
        <v>116459</v>
      </c>
      <c r="K9752" s="36" t="str">
        <f>CONCATENATE(Cover!$D$6,"fdd/view?i=",J9752)</f>
        <v>https://www.dgiwg.org/FAD/fdd/view?i=116459</v>
      </c>
      <c r="L9752" s="36" t="s">
        <v>52113</v>
      </c>
      <c r="M9752" s="186"/>
      <c r="N9752" s="186"/>
      <c r="O9752" s="172"/>
    </row>
    <row r="9753" spans="1:15" x14ac:dyDescent="0.2">
      <c r="A9753" s="197" t="str">
        <f t="shared" si="152"/>
        <v>TafCode_s_1739</v>
      </c>
      <c r="B9753" s="409"/>
      <c r="C9753" s="416"/>
      <c r="D9753" s="198" t="s">
        <v>52114</v>
      </c>
      <c r="E9753" s="198">
        <v>3</v>
      </c>
      <c r="F9753" s="199" t="s">
        <v>52115</v>
      </c>
      <c r="G9753" s="1" t="s">
        <v>52116</v>
      </c>
      <c r="H9753" s="200"/>
      <c r="I9753" s="351" t="s">
        <v>11165</v>
      </c>
      <c r="J9753" s="39">
        <v>116458</v>
      </c>
      <c r="K9753" s="36" t="str">
        <f>CONCATENATE(Cover!$D$6,"fdd/view?i=",J9753)</f>
        <v>https://www.dgiwg.org/FAD/fdd/view?i=116458</v>
      </c>
      <c r="L9753" s="36" t="s">
        <v>52117</v>
      </c>
      <c r="M9753" s="186"/>
      <c r="N9753" s="186"/>
      <c r="O9753" s="172"/>
    </row>
    <row r="9754" spans="1:15" ht="25.5" x14ac:dyDescent="0.2">
      <c r="A9754" s="197" t="str">
        <f t="shared" si="152"/>
        <v>TafCode_s_1744</v>
      </c>
      <c r="B9754" s="409"/>
      <c r="C9754" s="416"/>
      <c r="D9754" s="198" t="s">
        <v>52118</v>
      </c>
      <c r="E9754" s="198">
        <v>2</v>
      </c>
      <c r="F9754" s="199" t="s">
        <v>52119</v>
      </c>
      <c r="G9754" s="1" t="s">
        <v>52120</v>
      </c>
      <c r="H9754" s="200"/>
      <c r="I9754" s="351" t="s">
        <v>52121</v>
      </c>
      <c r="J9754" s="39">
        <v>116457</v>
      </c>
      <c r="K9754" s="36" t="str">
        <f>CONCATENATE(Cover!$D$6,"fdd/view?i=",J9754)</f>
        <v>https://www.dgiwg.org/FAD/fdd/view?i=116457</v>
      </c>
      <c r="L9754" s="36" t="s">
        <v>52122</v>
      </c>
      <c r="M9754" s="186"/>
      <c r="N9754" s="186"/>
      <c r="O9754" s="172"/>
    </row>
    <row r="9755" spans="1:15" x14ac:dyDescent="0.2">
      <c r="A9755" s="197" t="str">
        <f t="shared" si="152"/>
        <v>TafCode_s_747</v>
      </c>
      <c r="B9755" s="409"/>
      <c r="C9755" s="416"/>
      <c r="D9755" s="198" t="s">
        <v>20966</v>
      </c>
      <c r="E9755" s="198">
        <v>1</v>
      </c>
      <c r="F9755" s="199" t="s">
        <v>20967</v>
      </c>
      <c r="G9755" s="1" t="s">
        <v>52123</v>
      </c>
      <c r="H9755" s="200"/>
      <c r="I9755" s="351" t="s">
        <v>52124</v>
      </c>
      <c r="J9755" s="39">
        <v>116456</v>
      </c>
      <c r="K9755" s="36" t="str">
        <f>CONCATENATE(Cover!$D$6,"fdd/view?i=",J9755)</f>
        <v>https://www.dgiwg.org/FAD/fdd/view?i=116456</v>
      </c>
      <c r="L9755" s="36" t="s">
        <v>52125</v>
      </c>
      <c r="M9755" s="186"/>
      <c r="N9755" s="186"/>
      <c r="O9755" s="172"/>
    </row>
    <row r="9756" spans="1:15" x14ac:dyDescent="0.2">
      <c r="A9756" s="197" t="str">
        <f t="shared" si="152"/>
        <v>TafCode_water</v>
      </c>
      <c r="B9756" s="409"/>
      <c r="C9756" s="416"/>
      <c r="D9756" s="198" t="s">
        <v>19606</v>
      </c>
      <c r="E9756" s="198">
        <v>5</v>
      </c>
      <c r="F9756" s="199" t="s">
        <v>52126</v>
      </c>
      <c r="G9756" s="1" t="s">
        <v>52127</v>
      </c>
      <c r="H9756" s="200"/>
      <c r="I9756" s="346"/>
      <c r="J9756" s="39">
        <v>116460</v>
      </c>
      <c r="K9756" s="36" t="str">
        <f>CONCATENATE(Cover!$D$6,"fdd/view?i=",J9756)</f>
        <v>https://www.dgiwg.org/FAD/fdd/view?i=116460</v>
      </c>
      <c r="L9756" s="36" t="s">
        <v>52128</v>
      </c>
      <c r="M9756" s="186"/>
      <c r="N9756" s="186"/>
      <c r="O9756" s="172"/>
    </row>
    <row r="9757" spans="1:15" ht="25.5" x14ac:dyDescent="0.2">
      <c r="A9757" s="203" t="str">
        <f t="shared" si="152"/>
        <v>TafCode_waterAlcohol</v>
      </c>
      <c r="B9757" s="410"/>
      <c r="C9757" s="417"/>
      <c r="D9757" s="204" t="s">
        <v>52129</v>
      </c>
      <c r="E9757" s="204">
        <v>6</v>
      </c>
      <c r="F9757" s="205" t="s">
        <v>52130</v>
      </c>
      <c r="G9757" s="206" t="s">
        <v>52131</v>
      </c>
      <c r="H9757" s="207"/>
      <c r="I9757" s="347"/>
      <c r="J9757" s="39">
        <v>116461</v>
      </c>
      <c r="K9757" s="36" t="str">
        <f>CONCATENATE(Cover!$D$6,"fdd/view?i=",J9757)</f>
        <v>https://www.dgiwg.org/FAD/fdd/view?i=116461</v>
      </c>
      <c r="L9757" s="36" t="s">
        <v>52132</v>
      </c>
      <c r="M9757" s="186"/>
      <c r="N9757" s="186"/>
      <c r="O9757" s="172"/>
    </row>
    <row r="9758" spans="1:15" ht="25.5" x14ac:dyDescent="0.2">
      <c r="A9758" s="190" t="str">
        <f t="shared" si="152"/>
        <v>TctCode_mangrove</v>
      </c>
      <c r="B9758" s="414" t="str">
        <f>HYPERLINK("[#]Datatypes!A1574:L1574","TctCode")</f>
        <v>TctCode</v>
      </c>
      <c r="C9758" s="415" t="s">
        <v>16205</v>
      </c>
      <c r="D9758" s="221" t="s">
        <v>26176</v>
      </c>
      <c r="E9758" s="221">
        <v>2</v>
      </c>
      <c r="F9758" s="222" t="s">
        <v>26177</v>
      </c>
      <c r="G9758" s="223" t="s">
        <v>3962</v>
      </c>
      <c r="H9758" s="224"/>
      <c r="I9758" s="345"/>
      <c r="J9758" s="39">
        <v>114049</v>
      </c>
      <c r="K9758" s="36" t="str">
        <f>CONCATENATE(Cover!$D$6,"fdd/view?i=",J9758)</f>
        <v>https://www.dgiwg.org/FAD/fdd/view?i=114049</v>
      </c>
      <c r="L9758" s="36" t="s">
        <v>52133</v>
      </c>
      <c r="M9758" s="186"/>
      <c r="N9758" s="186"/>
      <c r="O9758" s="172"/>
    </row>
    <row r="9759" spans="1:15" x14ac:dyDescent="0.2">
      <c r="A9759" s="203" t="str">
        <f t="shared" si="152"/>
        <v>TctCode_tidalFlat</v>
      </c>
      <c r="B9759" s="410"/>
      <c r="C9759" s="417"/>
      <c r="D9759" s="204" t="s">
        <v>52134</v>
      </c>
      <c r="E9759" s="204">
        <v>1</v>
      </c>
      <c r="F9759" s="205" t="s">
        <v>52135</v>
      </c>
      <c r="G9759" s="206" t="s">
        <v>52136</v>
      </c>
      <c r="H9759" s="206" t="s">
        <v>52137</v>
      </c>
      <c r="I9759" s="347"/>
      <c r="J9759" s="39">
        <v>114048</v>
      </c>
      <c r="K9759" s="36" t="str">
        <f>CONCATENATE(Cover!$D$6,"fdd/view?i=",J9759)</f>
        <v>https://www.dgiwg.org/FAD/fdd/view?i=114048</v>
      </c>
      <c r="L9759" s="36" t="s">
        <v>52138</v>
      </c>
      <c r="M9759" s="186"/>
      <c r="N9759" s="186"/>
      <c r="O9759" s="172"/>
    </row>
    <row r="9760" spans="1:15" ht="25.5" x14ac:dyDescent="0.2">
      <c r="A9760" s="190" t="str">
        <f t="shared" si="152"/>
        <v>TdcCode_diurnal</v>
      </c>
      <c r="B9760" s="414" t="str">
        <f>HYPERLINK("[#]Datatypes!A1576:L1576","TdcCode")</f>
        <v>TdcCode</v>
      </c>
      <c r="C9760" s="415" t="s">
        <v>16207</v>
      </c>
      <c r="D9760" s="221" t="s">
        <v>52139</v>
      </c>
      <c r="E9760" s="221">
        <v>1</v>
      </c>
      <c r="F9760" s="222" t="s">
        <v>52140</v>
      </c>
      <c r="G9760" s="223" t="s">
        <v>52141</v>
      </c>
      <c r="H9760" s="224"/>
      <c r="I9760" s="345"/>
      <c r="J9760" s="39">
        <v>114449</v>
      </c>
      <c r="K9760" s="36" t="str">
        <f>CONCATENATE(Cover!$D$6,"fdd/view?i=",J9760)</f>
        <v>https://www.dgiwg.org/FAD/fdd/view?i=114449</v>
      </c>
      <c r="L9760" s="36" t="s">
        <v>52142</v>
      </c>
      <c r="M9760" s="186"/>
      <c r="N9760" s="186"/>
      <c r="O9760" s="172"/>
    </row>
    <row r="9761" spans="1:15" ht="38.25" x14ac:dyDescent="0.2">
      <c r="A9761" s="197" t="str">
        <f t="shared" si="152"/>
        <v>TdcCode_mixed</v>
      </c>
      <c r="B9761" s="409"/>
      <c r="C9761" s="416"/>
      <c r="D9761" s="198" t="s">
        <v>32073</v>
      </c>
      <c r="E9761" s="198">
        <v>2</v>
      </c>
      <c r="F9761" s="199" t="s">
        <v>32074</v>
      </c>
      <c r="G9761" s="1" t="s">
        <v>52143</v>
      </c>
      <c r="H9761" s="1" t="s">
        <v>52144</v>
      </c>
      <c r="I9761" s="346"/>
      <c r="J9761" s="39">
        <v>114450</v>
      </c>
      <c r="K9761" s="36" t="str">
        <f>CONCATENATE(Cover!$D$6,"fdd/view?i=",J9761)</f>
        <v>https://www.dgiwg.org/FAD/fdd/view?i=114450</v>
      </c>
      <c r="L9761" s="36" t="s">
        <v>52145</v>
      </c>
      <c r="M9761" s="186"/>
      <c r="N9761" s="186"/>
      <c r="O9761" s="172"/>
    </row>
    <row r="9762" spans="1:15" ht="25.5" x14ac:dyDescent="0.2">
      <c r="A9762" s="197" t="str">
        <f t="shared" si="152"/>
        <v>TdcCode_mixedDiurnal</v>
      </c>
      <c r="B9762" s="409"/>
      <c r="C9762" s="416"/>
      <c r="D9762" s="198" t="s">
        <v>52146</v>
      </c>
      <c r="E9762" s="198">
        <v>3</v>
      </c>
      <c r="F9762" s="199" t="s">
        <v>52147</v>
      </c>
      <c r="G9762" s="1" t="s">
        <v>52148</v>
      </c>
      <c r="H9762" s="200"/>
      <c r="I9762" s="346"/>
      <c r="J9762" s="39">
        <v>114451</v>
      </c>
      <c r="K9762" s="36" t="str">
        <f>CONCATENATE(Cover!$D$6,"fdd/view?i=",J9762)</f>
        <v>https://www.dgiwg.org/FAD/fdd/view?i=114451</v>
      </c>
      <c r="L9762" s="36" t="s">
        <v>52149</v>
      </c>
      <c r="M9762" s="186"/>
      <c r="N9762" s="186"/>
      <c r="O9762" s="172"/>
    </row>
    <row r="9763" spans="1:15" ht="25.5" x14ac:dyDescent="0.2">
      <c r="A9763" s="197" t="str">
        <f t="shared" si="152"/>
        <v>TdcCode_mixedSemiDiurnal</v>
      </c>
      <c r="B9763" s="409"/>
      <c r="C9763" s="416"/>
      <c r="D9763" s="198" t="s">
        <v>52150</v>
      </c>
      <c r="E9763" s="198">
        <v>4</v>
      </c>
      <c r="F9763" s="199" t="s">
        <v>52151</v>
      </c>
      <c r="G9763" s="1" t="s">
        <v>52152</v>
      </c>
      <c r="H9763" s="200"/>
      <c r="I9763" s="346"/>
      <c r="J9763" s="39">
        <v>114452</v>
      </c>
      <c r="K9763" s="36" t="str">
        <f>CONCATENATE(Cover!$D$6,"fdd/view?i=",J9763)</f>
        <v>https://www.dgiwg.org/FAD/fdd/view?i=114452</v>
      </c>
      <c r="L9763" s="36" t="s">
        <v>52153</v>
      </c>
      <c r="M9763" s="186"/>
      <c r="N9763" s="186"/>
      <c r="O9763" s="172"/>
    </row>
    <row r="9764" spans="1:15" ht="25.5" x14ac:dyDescent="0.2">
      <c r="A9764" s="197" t="str">
        <f t="shared" si="152"/>
        <v>TdcCode_quarterDiurnal</v>
      </c>
      <c r="B9764" s="409"/>
      <c r="C9764" s="416"/>
      <c r="D9764" s="198" t="s">
        <v>52154</v>
      </c>
      <c r="E9764" s="198">
        <v>5</v>
      </c>
      <c r="F9764" s="199" t="s">
        <v>52155</v>
      </c>
      <c r="G9764" s="1" t="s">
        <v>52156</v>
      </c>
      <c r="H9764" s="200"/>
      <c r="I9764" s="346"/>
      <c r="J9764" s="39">
        <v>114453</v>
      </c>
      <c r="K9764" s="36" t="str">
        <f>CONCATENATE(Cover!$D$6,"fdd/view?i=",J9764)</f>
        <v>https://www.dgiwg.org/FAD/fdd/view?i=114453</v>
      </c>
      <c r="L9764" s="36" t="s">
        <v>52157</v>
      </c>
      <c r="M9764" s="186"/>
      <c r="N9764" s="186"/>
      <c r="O9764" s="172"/>
    </row>
    <row r="9765" spans="1:15" ht="38.25" x14ac:dyDescent="0.2">
      <c r="A9765" s="197" t="str">
        <f t="shared" si="152"/>
        <v>TdcCode_semiDiurnal</v>
      </c>
      <c r="B9765" s="409"/>
      <c r="C9765" s="416"/>
      <c r="D9765" s="198" t="s">
        <v>52158</v>
      </c>
      <c r="E9765" s="198">
        <v>6</v>
      </c>
      <c r="F9765" s="199" t="s">
        <v>52159</v>
      </c>
      <c r="G9765" s="1" t="s">
        <v>52160</v>
      </c>
      <c r="H9765" s="200"/>
      <c r="I9765" s="346"/>
      <c r="J9765" s="39">
        <v>114454</v>
      </c>
      <c r="K9765" s="36" t="str">
        <f>CONCATENATE(Cover!$D$6,"fdd/view?i=",J9765)</f>
        <v>https://www.dgiwg.org/FAD/fdd/view?i=114454</v>
      </c>
      <c r="L9765" s="36" t="s">
        <v>52161</v>
      </c>
      <c r="M9765" s="186"/>
      <c r="N9765" s="186"/>
      <c r="O9765" s="172"/>
    </row>
    <row r="9766" spans="1:15" x14ac:dyDescent="0.2">
      <c r="A9766" s="203" t="str">
        <f t="shared" si="152"/>
        <v>TdcCode_shallowWater</v>
      </c>
      <c r="B9766" s="410"/>
      <c r="C9766" s="417"/>
      <c r="D9766" s="204" t="s">
        <v>52162</v>
      </c>
      <c r="E9766" s="204">
        <v>7</v>
      </c>
      <c r="F9766" s="205" t="s">
        <v>52163</v>
      </c>
      <c r="G9766" s="206" t="s">
        <v>52164</v>
      </c>
      <c r="H9766" s="207"/>
      <c r="I9766" s="347"/>
      <c r="J9766" s="39">
        <v>114455</v>
      </c>
      <c r="K9766" s="36" t="str">
        <f>CONCATENATE(Cover!$D$6,"fdd/view?i=",J9766)</f>
        <v>https://www.dgiwg.org/FAD/fdd/view?i=114455</v>
      </c>
      <c r="L9766" s="36" t="s">
        <v>52165</v>
      </c>
      <c r="M9766" s="186"/>
      <c r="N9766" s="186"/>
      <c r="O9766" s="172"/>
    </row>
    <row r="9767" spans="1:15" ht="38.25" x14ac:dyDescent="0.2">
      <c r="A9767" s="190" t="str">
        <f t="shared" si="152"/>
        <v>TtyCode_burialMound</v>
      </c>
      <c r="B9767" s="414" t="str">
        <f>HYPERLINK("[#]Datatypes!A1578:L1578","TtyCode")</f>
        <v>TtyCode</v>
      </c>
      <c r="C9767" s="415" t="s">
        <v>16209</v>
      </c>
      <c r="D9767" s="221" t="s">
        <v>52166</v>
      </c>
      <c r="E9767" s="221">
        <v>6</v>
      </c>
      <c r="F9767" s="222" t="s">
        <v>52167</v>
      </c>
      <c r="G9767" s="223" t="s">
        <v>52168</v>
      </c>
      <c r="H9767" s="223" t="s">
        <v>52169</v>
      </c>
      <c r="I9767" s="352" t="s">
        <v>52170</v>
      </c>
      <c r="J9767" s="39">
        <v>118050</v>
      </c>
      <c r="K9767" s="36" t="str">
        <f>CONCATENATE(Cover!$D$6,"fdd/view?i=",J9767)</f>
        <v>https://www.dgiwg.org/FAD/fdd/view?i=118050</v>
      </c>
      <c r="L9767" s="36" t="s">
        <v>52171</v>
      </c>
      <c r="M9767" s="186"/>
      <c r="N9767" s="186"/>
      <c r="O9767" s="172"/>
    </row>
    <row r="9768" spans="1:15" ht="25.5" x14ac:dyDescent="0.2">
      <c r="A9768" s="197" t="str">
        <f t="shared" si="152"/>
        <v>TtyCode_catacomb</v>
      </c>
      <c r="B9768" s="409"/>
      <c r="C9768" s="416"/>
      <c r="D9768" s="198" t="s">
        <v>52172</v>
      </c>
      <c r="E9768" s="198">
        <v>2</v>
      </c>
      <c r="F9768" s="199" t="s">
        <v>52173</v>
      </c>
      <c r="G9768" s="1" t="s">
        <v>52174</v>
      </c>
      <c r="H9768" s="200"/>
      <c r="I9768" s="346"/>
      <c r="J9768" s="39">
        <v>112534</v>
      </c>
      <c r="K9768" s="36" t="str">
        <f>CONCATENATE(Cover!$D$6,"fdd/view?i=",J9768)</f>
        <v>https://www.dgiwg.org/FAD/fdd/view?i=112534</v>
      </c>
      <c r="L9768" s="36" t="s">
        <v>52175</v>
      </c>
      <c r="M9768" s="186"/>
      <c r="N9768" s="186"/>
      <c r="O9768" s="172"/>
    </row>
    <row r="9769" spans="1:15" ht="63.75" x14ac:dyDescent="0.2">
      <c r="A9769" s="197" t="str">
        <f t="shared" si="152"/>
        <v>TtyCode_cave</v>
      </c>
      <c r="B9769" s="409"/>
      <c r="C9769" s="416"/>
      <c r="D9769" s="198" t="s">
        <v>46229</v>
      </c>
      <c r="E9769" s="198">
        <v>1</v>
      </c>
      <c r="F9769" s="199" t="s">
        <v>46230</v>
      </c>
      <c r="G9769" s="1" t="s">
        <v>52176</v>
      </c>
      <c r="H9769" s="1" t="s">
        <v>52177</v>
      </c>
      <c r="I9769" s="346"/>
      <c r="J9769" s="39">
        <v>112532</v>
      </c>
      <c r="K9769" s="36" t="str">
        <f>CONCATENATE(Cover!$D$6,"fdd/view?i=",J9769)</f>
        <v>https://www.dgiwg.org/FAD/fdd/view?i=112532</v>
      </c>
      <c r="L9769" s="36" t="s">
        <v>52178</v>
      </c>
      <c r="M9769" s="186"/>
      <c r="N9769" s="186"/>
      <c r="O9769" s="172"/>
    </row>
    <row r="9770" spans="1:15" ht="76.5" x14ac:dyDescent="0.2">
      <c r="A9770" s="197" t="str">
        <f t="shared" si="152"/>
        <v>TtyCode_columbarium</v>
      </c>
      <c r="B9770" s="409"/>
      <c r="C9770" s="416"/>
      <c r="D9770" s="198" t="s">
        <v>52179</v>
      </c>
      <c r="E9770" s="198">
        <v>7</v>
      </c>
      <c r="F9770" s="199" t="s">
        <v>52180</v>
      </c>
      <c r="G9770" s="1" t="s">
        <v>52181</v>
      </c>
      <c r="H9770" s="1" t="s">
        <v>52182</v>
      </c>
      <c r="I9770" s="346"/>
      <c r="J9770" s="39">
        <v>119635</v>
      </c>
      <c r="K9770" s="36" t="str">
        <f>CONCATENATE(Cover!$D$6,"fdd/view?i=",J9770)</f>
        <v>https://www.dgiwg.org/FAD/fdd/view?i=119635</v>
      </c>
      <c r="L9770" s="36" t="s">
        <v>52183</v>
      </c>
      <c r="M9770" s="186"/>
      <c r="N9770" s="186"/>
      <c r="O9770" s="172"/>
    </row>
    <row r="9771" spans="1:15" ht="25.5" x14ac:dyDescent="0.2">
      <c r="A9771" s="197" t="str">
        <f t="shared" si="152"/>
        <v>TtyCode_crypt</v>
      </c>
      <c r="B9771" s="409"/>
      <c r="C9771" s="416"/>
      <c r="D9771" s="198" t="s">
        <v>52184</v>
      </c>
      <c r="E9771" s="198">
        <v>3</v>
      </c>
      <c r="F9771" s="199" t="s">
        <v>52185</v>
      </c>
      <c r="G9771" s="1" t="s">
        <v>52186</v>
      </c>
      <c r="H9771" s="200"/>
      <c r="I9771" s="346"/>
      <c r="J9771" s="39">
        <v>112536</v>
      </c>
      <c r="K9771" s="36" t="str">
        <f>CONCATENATE(Cover!$D$6,"fdd/view?i=",J9771)</f>
        <v>https://www.dgiwg.org/FAD/fdd/view?i=112536</v>
      </c>
      <c r="L9771" s="36" t="s">
        <v>52187</v>
      </c>
      <c r="M9771" s="186"/>
      <c r="N9771" s="186"/>
      <c r="O9771" s="172"/>
    </row>
    <row r="9772" spans="1:15" ht="63.75" x14ac:dyDescent="0.2">
      <c r="A9772" s="197" t="str">
        <f t="shared" si="152"/>
        <v>TtyCode_mausoleum</v>
      </c>
      <c r="B9772" s="409"/>
      <c r="C9772" s="416"/>
      <c r="D9772" s="198" t="s">
        <v>52188</v>
      </c>
      <c r="E9772" s="198">
        <v>5</v>
      </c>
      <c r="F9772" s="199" t="s">
        <v>52189</v>
      </c>
      <c r="G9772" s="1" t="s">
        <v>52190</v>
      </c>
      <c r="H9772" s="1" t="s">
        <v>52191</v>
      </c>
      <c r="I9772" s="346"/>
      <c r="J9772" s="39">
        <v>112540</v>
      </c>
      <c r="K9772" s="36" t="str">
        <f>CONCATENATE(Cover!$D$6,"fdd/view?i=",J9772)</f>
        <v>https://www.dgiwg.org/FAD/fdd/view?i=112540</v>
      </c>
      <c r="L9772" s="36" t="s">
        <v>52192</v>
      </c>
      <c r="M9772" s="186"/>
      <c r="N9772" s="186"/>
      <c r="O9772" s="172"/>
    </row>
    <row r="9773" spans="1:15" ht="25.5" x14ac:dyDescent="0.2">
      <c r="A9773" s="203" t="str">
        <f t="shared" si="152"/>
        <v>TtyCode_surfaceVault</v>
      </c>
      <c r="B9773" s="410"/>
      <c r="C9773" s="417"/>
      <c r="D9773" s="204" t="s">
        <v>52193</v>
      </c>
      <c r="E9773" s="204">
        <v>4</v>
      </c>
      <c r="F9773" s="205" t="s">
        <v>52194</v>
      </c>
      <c r="G9773" s="206" t="s">
        <v>52195</v>
      </c>
      <c r="H9773" s="207"/>
      <c r="I9773" s="347"/>
      <c r="J9773" s="39">
        <v>112538</v>
      </c>
      <c r="K9773" s="36" t="str">
        <f>CONCATENATE(Cover!$D$6,"fdd/view?i=",J9773)</f>
        <v>https://www.dgiwg.org/FAD/fdd/view?i=112538</v>
      </c>
      <c r="L9773" s="36" t="s">
        <v>52196</v>
      </c>
      <c r="M9773" s="186"/>
      <c r="N9773" s="186"/>
      <c r="O9773" s="172"/>
    </row>
    <row r="9774" spans="1:15" x14ac:dyDescent="0.2">
      <c r="A9774" s="190" t="str">
        <f t="shared" si="152"/>
        <v>TzpCode_ballOverCone</v>
      </c>
      <c r="B9774" s="414" t="str">
        <f>HYPERLINK("[#]Datatypes!A1580:L1580","TzpCode")</f>
        <v>TzpCode</v>
      </c>
      <c r="C9774" s="415" t="s">
        <v>16211</v>
      </c>
      <c r="D9774" s="221" t="s">
        <v>52228</v>
      </c>
      <c r="E9774" s="221">
        <v>33</v>
      </c>
      <c r="F9774" s="222" t="s">
        <v>52229</v>
      </c>
      <c r="G9774" s="223" t="s">
        <v>52230</v>
      </c>
      <c r="H9774" s="224"/>
      <c r="I9774" s="345"/>
      <c r="J9774" s="39">
        <v>119132</v>
      </c>
      <c r="K9774" s="36" t="str">
        <f>CONCATENATE(Cover!$D$6,"fdd/view?i=",J9774)</f>
        <v>https://www.dgiwg.org/FAD/fdd/view?i=119132</v>
      </c>
      <c r="L9774" s="36" t="s">
        <v>52231</v>
      </c>
      <c r="M9774" s="186"/>
      <c r="N9774" s="186"/>
      <c r="O9774" s="172"/>
    </row>
    <row r="9775" spans="1:15" ht="25.5" x14ac:dyDescent="0.2">
      <c r="A9775" s="197" t="str">
        <f t="shared" si="152"/>
        <v>TzpCode_besomPointDownward</v>
      </c>
      <c r="B9775" s="409"/>
      <c r="C9775" s="416"/>
      <c r="D9775" s="198" t="s">
        <v>52232</v>
      </c>
      <c r="E9775" s="198">
        <v>16</v>
      </c>
      <c r="F9775" s="199" t="s">
        <v>52233</v>
      </c>
      <c r="G9775" s="1" t="s">
        <v>52234</v>
      </c>
      <c r="H9775" s="200"/>
      <c r="I9775" s="351" t="s">
        <v>52235</v>
      </c>
      <c r="J9775" s="39">
        <v>118955</v>
      </c>
      <c r="K9775" s="36" t="str">
        <f>CONCATENATE(Cover!$D$6,"fdd/view?i=",J9775)</f>
        <v>https://www.dgiwg.org/FAD/fdd/view?i=118955</v>
      </c>
      <c r="L9775" s="36" t="s">
        <v>52236</v>
      </c>
      <c r="M9775" s="186"/>
      <c r="N9775" s="186"/>
      <c r="O9775" s="172"/>
    </row>
    <row r="9776" spans="1:15" ht="25.5" x14ac:dyDescent="0.2">
      <c r="A9776" s="197" t="str">
        <f t="shared" si="152"/>
        <v>TzpCode_besomPointUpward</v>
      </c>
      <c r="B9776" s="409"/>
      <c r="C9776" s="416"/>
      <c r="D9776" s="198" t="s">
        <v>52237</v>
      </c>
      <c r="E9776" s="198">
        <v>15</v>
      </c>
      <c r="F9776" s="199" t="s">
        <v>52238</v>
      </c>
      <c r="G9776" s="1" t="s">
        <v>52239</v>
      </c>
      <c r="H9776" s="200"/>
      <c r="I9776" s="351" t="s">
        <v>52240</v>
      </c>
      <c r="J9776" s="39">
        <v>118954</v>
      </c>
      <c r="K9776" s="36" t="str">
        <f>CONCATENATE(Cover!$D$6,"fdd/view?i=",J9776)</f>
        <v>https://www.dgiwg.org/FAD/fdd/view?i=118954</v>
      </c>
      <c r="L9776" s="36" t="s">
        <v>52241</v>
      </c>
      <c r="M9776" s="186"/>
      <c r="N9776" s="186"/>
      <c r="O9776" s="172"/>
    </row>
    <row r="9777" spans="1:15" ht="38.25" x14ac:dyDescent="0.2">
      <c r="A9777" s="197" t="str">
        <f t="shared" si="152"/>
        <v>TzpCode_board</v>
      </c>
      <c r="B9777" s="409"/>
      <c r="C9777" s="416"/>
      <c r="D9777" s="198" t="s">
        <v>52242</v>
      </c>
      <c r="E9777" s="198">
        <v>6</v>
      </c>
      <c r="F9777" s="199" t="s">
        <v>52243</v>
      </c>
      <c r="G9777" s="1" t="s">
        <v>52244</v>
      </c>
      <c r="H9777" s="1" t="s">
        <v>52245</v>
      </c>
      <c r="I9777" s="346"/>
      <c r="J9777" s="39">
        <v>118945</v>
      </c>
      <c r="K9777" s="36" t="str">
        <f>CONCATENATE(Cover!$D$6,"fdd/view?i=",J9777)</f>
        <v>https://www.dgiwg.org/FAD/fdd/view?i=118945</v>
      </c>
      <c r="L9777" s="36" t="s">
        <v>52246</v>
      </c>
      <c r="M9777" s="186"/>
      <c r="N9777" s="186"/>
      <c r="O9777" s="172"/>
    </row>
    <row r="9778" spans="1:15" ht="25.5" x14ac:dyDescent="0.2">
      <c r="A9778" s="197" t="str">
        <f t="shared" si="152"/>
        <v>TzpCode_canOverBall</v>
      </c>
      <c r="B9778" s="409"/>
      <c r="C9778" s="416"/>
      <c r="D9778" s="198" t="s">
        <v>52247</v>
      </c>
      <c r="E9778" s="198">
        <v>36</v>
      </c>
      <c r="F9778" s="199" t="s">
        <v>52248</v>
      </c>
      <c r="G9778" s="1" t="s">
        <v>52249</v>
      </c>
      <c r="H9778" s="200"/>
      <c r="I9778" s="346"/>
      <c r="J9778" s="39">
        <v>119135</v>
      </c>
      <c r="K9778" s="36" t="str">
        <f>CONCATENATE(Cover!$D$6,"fdd/view?i=",J9778)</f>
        <v>https://www.dgiwg.org/FAD/fdd/view?i=119135</v>
      </c>
      <c r="L9778" s="36" t="s">
        <v>52250</v>
      </c>
      <c r="M9778" s="186"/>
      <c r="N9778" s="186"/>
      <c r="O9778" s="172"/>
    </row>
    <row r="9779" spans="1:15" ht="25.5" x14ac:dyDescent="0.2">
      <c r="A9779" s="197" t="str">
        <f t="shared" si="152"/>
        <v>TzpCode_circle</v>
      </c>
      <c r="B9779" s="409"/>
      <c r="C9779" s="416"/>
      <c r="D9779" s="198" t="s">
        <v>40635</v>
      </c>
      <c r="E9779" s="198">
        <v>26</v>
      </c>
      <c r="F9779" s="199" t="s">
        <v>40636</v>
      </c>
      <c r="G9779" s="1" t="s">
        <v>52251</v>
      </c>
      <c r="H9779" s="200"/>
      <c r="I9779" s="346"/>
      <c r="J9779" s="39">
        <v>118965</v>
      </c>
      <c r="K9779" s="36" t="str">
        <f>CONCATENATE(Cover!$D$6,"fdd/view?i=",J9779)</f>
        <v>https://www.dgiwg.org/FAD/fdd/view?i=118965</v>
      </c>
      <c r="L9779" s="36" t="s">
        <v>52252</v>
      </c>
      <c r="M9779" s="186"/>
      <c r="N9779" s="186"/>
      <c r="O9779" s="172"/>
    </row>
    <row r="9780" spans="1:15" ht="25.5" x14ac:dyDescent="0.2">
      <c r="A9780" s="197" t="str">
        <f t="shared" si="152"/>
        <v>TzpCode_circleOverTrianglePointUp</v>
      </c>
      <c r="B9780" s="409"/>
      <c r="C9780" s="416"/>
      <c r="D9780" s="198" t="s">
        <v>52253</v>
      </c>
      <c r="E9780" s="198">
        <v>32</v>
      </c>
      <c r="F9780" s="199" t="s">
        <v>52254</v>
      </c>
      <c r="G9780" s="1" t="s">
        <v>52255</v>
      </c>
      <c r="H9780" s="1" t="s">
        <v>52256</v>
      </c>
      <c r="I9780" s="346"/>
      <c r="J9780" s="39">
        <v>118971</v>
      </c>
      <c r="K9780" s="36" t="str">
        <f>CONCATENATE(Cover!$D$6,"fdd/view?i=",J9780)</f>
        <v>https://www.dgiwg.org/FAD/fdd/view?i=118971</v>
      </c>
      <c r="L9780" s="36" t="s">
        <v>52257</v>
      </c>
      <c r="M9780" s="186"/>
      <c r="N9780" s="186"/>
      <c r="O9780" s="172"/>
    </row>
    <row r="9781" spans="1:15" x14ac:dyDescent="0.2">
      <c r="A9781" s="197" t="str">
        <f t="shared" si="152"/>
        <v>TzpCode_coneOverBall</v>
      </c>
      <c r="B9781" s="409"/>
      <c r="C9781" s="416"/>
      <c r="D9781" s="198" t="s">
        <v>52258</v>
      </c>
      <c r="E9781" s="198">
        <v>34</v>
      </c>
      <c r="F9781" s="199" t="s">
        <v>52259</v>
      </c>
      <c r="G9781" s="1" t="s">
        <v>52260</v>
      </c>
      <c r="H9781" s="200"/>
      <c r="I9781" s="346"/>
      <c r="J9781" s="39">
        <v>119133</v>
      </c>
      <c r="K9781" s="36" t="str">
        <f>CONCATENATE(Cover!$D$6,"fdd/view?i=",J9781)</f>
        <v>https://www.dgiwg.org/FAD/fdd/view?i=119133</v>
      </c>
      <c r="L9781" s="36" t="s">
        <v>52261</v>
      </c>
      <c r="M9781" s="186"/>
      <c r="N9781" s="186"/>
      <c r="O9781" s="172"/>
    </row>
    <row r="9782" spans="1:15" ht="76.5" x14ac:dyDescent="0.2">
      <c r="A9782" s="197" t="str">
        <f t="shared" si="152"/>
        <v>TzpCode_conePointDownward</v>
      </c>
      <c r="B9782" s="409"/>
      <c r="C9782" s="416"/>
      <c r="D9782" s="198" t="s">
        <v>52262</v>
      </c>
      <c r="E9782" s="198">
        <v>2</v>
      </c>
      <c r="F9782" s="199" t="s">
        <v>52263</v>
      </c>
      <c r="G9782" s="1" t="s">
        <v>52264</v>
      </c>
      <c r="H9782" s="1" t="s">
        <v>52265</v>
      </c>
      <c r="I9782" s="346"/>
      <c r="J9782" s="39">
        <v>118941</v>
      </c>
      <c r="K9782" s="36" t="str">
        <f>CONCATENATE(Cover!$D$6,"fdd/view?i=",J9782)</f>
        <v>https://www.dgiwg.org/FAD/fdd/view?i=118941</v>
      </c>
      <c r="L9782" s="36" t="s">
        <v>52266</v>
      </c>
      <c r="M9782" s="186"/>
      <c r="N9782" s="186"/>
      <c r="O9782" s="172"/>
    </row>
    <row r="9783" spans="1:15" ht="63.75" x14ac:dyDescent="0.2">
      <c r="A9783" s="197" t="str">
        <f t="shared" si="152"/>
        <v>TzpCode_conePointUpward</v>
      </c>
      <c r="B9783" s="409"/>
      <c r="C9783" s="416"/>
      <c r="D9783" s="198" t="s">
        <v>52267</v>
      </c>
      <c r="E9783" s="198">
        <v>1</v>
      </c>
      <c r="F9783" s="199" t="s">
        <v>52268</v>
      </c>
      <c r="G9783" s="1" t="s">
        <v>52269</v>
      </c>
      <c r="H9783" s="1" t="s">
        <v>52270</v>
      </c>
      <c r="I9783" s="346"/>
      <c r="J9783" s="39">
        <v>118940</v>
      </c>
      <c r="K9783" s="36" t="str">
        <f>CONCATENATE(Cover!$D$6,"fdd/view?i=",J9783)</f>
        <v>https://www.dgiwg.org/FAD/fdd/view?i=118940</v>
      </c>
      <c r="L9783" s="36" t="s">
        <v>52271</v>
      </c>
      <c r="M9783" s="186"/>
      <c r="N9783" s="186"/>
      <c r="O9783" s="172"/>
    </row>
    <row r="9784" spans="1:15" ht="25.5" x14ac:dyDescent="0.2">
      <c r="A9784" s="197" t="str">
        <f t="shared" si="152"/>
        <v>TzpCode_crossOverBall</v>
      </c>
      <c r="B9784" s="409"/>
      <c r="C9784" s="416"/>
      <c r="D9784" s="198" t="s">
        <v>52272</v>
      </c>
      <c r="E9784" s="198">
        <v>35</v>
      </c>
      <c r="F9784" s="199" t="s">
        <v>52273</v>
      </c>
      <c r="G9784" s="1" t="s">
        <v>52274</v>
      </c>
      <c r="H9784" s="200"/>
      <c r="I9784" s="346"/>
      <c r="J9784" s="39">
        <v>119134</v>
      </c>
      <c r="K9784" s="36" t="str">
        <f>CONCATENATE(Cover!$D$6,"fdd/view?i=",J9784)</f>
        <v>https://www.dgiwg.org/FAD/fdd/view?i=119134</v>
      </c>
      <c r="L9784" s="36" t="s">
        <v>52275</v>
      </c>
      <c r="M9784" s="186"/>
      <c r="N9784" s="186"/>
      <c r="O9784" s="172"/>
    </row>
    <row r="9785" spans="1:15" ht="25.5" x14ac:dyDescent="0.2">
      <c r="A9785" s="197" t="str">
        <f t="shared" si="152"/>
        <v>TzpCode_cubePointUpward</v>
      </c>
      <c r="B9785" s="409"/>
      <c r="C9785" s="416"/>
      <c r="D9785" s="198" t="s">
        <v>52276</v>
      </c>
      <c r="E9785" s="198">
        <v>9</v>
      </c>
      <c r="F9785" s="199" t="s">
        <v>52277</v>
      </c>
      <c r="G9785" s="1" t="s">
        <v>52278</v>
      </c>
      <c r="H9785" s="1" t="s">
        <v>52279</v>
      </c>
      <c r="I9785" s="346"/>
      <c r="J9785" s="39">
        <v>118948</v>
      </c>
      <c r="K9785" s="36" t="str">
        <f>CONCATENATE(Cover!$D$6,"fdd/view?i=",J9785)</f>
        <v>https://www.dgiwg.org/FAD/fdd/view?i=118948</v>
      </c>
      <c r="L9785" s="36" t="s">
        <v>52280</v>
      </c>
      <c r="M9785" s="186"/>
      <c r="N9785" s="186"/>
      <c r="O9785" s="172"/>
    </row>
    <row r="9786" spans="1:15" ht="127.5" x14ac:dyDescent="0.2">
      <c r="A9786" s="197" t="str">
        <f t="shared" si="152"/>
        <v>TzpCode_cylinder</v>
      </c>
      <c r="B9786" s="409"/>
      <c r="C9786" s="416"/>
      <c r="D9786" s="198" t="s">
        <v>52281</v>
      </c>
      <c r="E9786" s="198">
        <v>5</v>
      </c>
      <c r="F9786" s="199" t="s">
        <v>52282</v>
      </c>
      <c r="G9786" s="1" t="s">
        <v>52283</v>
      </c>
      <c r="H9786" s="1" t="s">
        <v>52284</v>
      </c>
      <c r="I9786" s="351" t="s">
        <v>24743</v>
      </c>
      <c r="J9786" s="39">
        <v>118944</v>
      </c>
      <c r="K9786" s="36" t="str">
        <f>CONCATENATE(Cover!$D$6,"fdd/view?i=",J9786)</f>
        <v>https://www.dgiwg.org/FAD/fdd/view?i=118944</v>
      </c>
      <c r="L9786" s="36" t="s">
        <v>52285</v>
      </c>
      <c r="M9786" s="186"/>
      <c r="N9786" s="186"/>
      <c r="O9786" s="172"/>
    </row>
    <row r="9787" spans="1:15" ht="25.5" x14ac:dyDescent="0.2">
      <c r="A9787" s="197" t="str">
        <f t="shared" si="152"/>
        <v>TzpCode_diamond</v>
      </c>
      <c r="B9787" s="409"/>
      <c r="C9787" s="416"/>
      <c r="D9787" s="198" t="s">
        <v>24752</v>
      </c>
      <c r="E9787" s="198">
        <v>12</v>
      </c>
      <c r="F9787" s="199" t="s">
        <v>24753</v>
      </c>
      <c r="G9787" s="1" t="s">
        <v>52286</v>
      </c>
      <c r="H9787" s="200"/>
      <c r="I9787" s="351" t="s">
        <v>52287</v>
      </c>
      <c r="J9787" s="39">
        <v>118951</v>
      </c>
      <c r="K9787" s="36" t="str">
        <f>CONCATENATE(Cover!$D$6,"fdd/view?i=",J9787)</f>
        <v>https://www.dgiwg.org/FAD/fdd/view?i=118951</v>
      </c>
      <c r="L9787" s="36" t="s">
        <v>52288</v>
      </c>
      <c r="M9787" s="186"/>
      <c r="N9787" s="186"/>
      <c r="O9787" s="172"/>
    </row>
    <row r="9788" spans="1:15" ht="25.5" x14ac:dyDescent="0.2">
      <c r="A9788" s="197" t="str">
        <f t="shared" si="152"/>
        <v>TzpCode_diamondOverBall</v>
      </c>
      <c r="B9788" s="409"/>
      <c r="C9788" s="416"/>
      <c r="D9788" s="198" t="s">
        <v>52289</v>
      </c>
      <c r="E9788" s="198">
        <v>37</v>
      </c>
      <c r="F9788" s="199" t="s">
        <v>52290</v>
      </c>
      <c r="G9788" s="1" t="s">
        <v>52291</v>
      </c>
      <c r="H9788" s="200"/>
      <c r="I9788" s="346"/>
      <c r="J9788" s="39">
        <v>119136</v>
      </c>
      <c r="K9788" s="36" t="str">
        <f>CONCATENATE(Cover!$D$6,"fdd/view?i=",J9788)</f>
        <v>https://www.dgiwg.org/FAD/fdd/view?i=119136</v>
      </c>
      <c r="L9788" s="36" t="s">
        <v>52292</v>
      </c>
      <c r="M9788" s="186"/>
      <c r="N9788" s="186"/>
      <c r="O9788" s="172"/>
    </row>
    <row r="9789" spans="1:15" ht="51" x14ac:dyDescent="0.2">
      <c r="A9789" s="197" t="str">
        <f t="shared" si="152"/>
        <v>TzpCode_diamondOverCircle</v>
      </c>
      <c r="B9789" s="409"/>
      <c r="C9789" s="416"/>
      <c r="D9789" s="198" t="s">
        <v>52293</v>
      </c>
      <c r="E9789" s="198">
        <v>31</v>
      </c>
      <c r="F9789" s="199" t="s">
        <v>52294</v>
      </c>
      <c r="G9789" s="1" t="s">
        <v>52295</v>
      </c>
      <c r="H9789" s="1" t="s">
        <v>52296</v>
      </c>
      <c r="I9789" s="351" t="s">
        <v>52297</v>
      </c>
      <c r="J9789" s="39">
        <v>118970</v>
      </c>
      <c r="K9789" s="36" t="str">
        <f>CONCATENATE(Cover!$D$6,"fdd/view?i=",J9789)</f>
        <v>https://www.dgiwg.org/FAD/fdd/view?i=118970</v>
      </c>
      <c r="L9789" s="36" t="s">
        <v>52298</v>
      </c>
      <c r="M9789" s="186"/>
      <c r="N9789" s="186"/>
      <c r="O9789" s="172"/>
    </row>
    <row r="9790" spans="1:15" x14ac:dyDescent="0.2">
      <c r="A9790" s="197" t="str">
        <f t="shared" si="152"/>
        <v>TzpCode_flag</v>
      </c>
      <c r="B9790" s="409"/>
      <c r="C9790" s="416"/>
      <c r="D9790" s="198" t="s">
        <v>52299</v>
      </c>
      <c r="E9790" s="198">
        <v>17</v>
      </c>
      <c r="F9790" s="199" t="s">
        <v>52300</v>
      </c>
      <c r="G9790" s="1" t="s">
        <v>52301</v>
      </c>
      <c r="H9790" s="200"/>
      <c r="I9790" s="346"/>
      <c r="J9790" s="39">
        <v>118956</v>
      </c>
      <c r="K9790" s="36" t="str">
        <f>CONCATENATE(Cover!$D$6,"fdd/view?i=",J9790)</f>
        <v>https://www.dgiwg.org/FAD/fdd/view?i=118956</v>
      </c>
      <c r="L9790" s="36" t="s">
        <v>52302</v>
      </c>
      <c r="M9790" s="186"/>
      <c r="N9790" s="186"/>
      <c r="O9790" s="172"/>
    </row>
    <row r="9791" spans="1:15" ht="38.25" x14ac:dyDescent="0.2">
      <c r="A9791" s="197" t="str">
        <f t="shared" si="152"/>
        <v>TzpCode_horizontalRectangle</v>
      </c>
      <c r="B9791" s="409"/>
      <c r="C9791" s="416"/>
      <c r="D9791" s="198" t="s">
        <v>52303</v>
      </c>
      <c r="E9791" s="198">
        <v>20</v>
      </c>
      <c r="F9791" s="199" t="s">
        <v>52304</v>
      </c>
      <c r="G9791" s="1" t="s">
        <v>52305</v>
      </c>
      <c r="H9791" s="1" t="s">
        <v>52306</v>
      </c>
      <c r="I9791" s="346"/>
      <c r="J9791" s="39">
        <v>118959</v>
      </c>
      <c r="K9791" s="36" t="str">
        <f>CONCATENATE(Cover!$D$6,"fdd/view?i=",J9791)</f>
        <v>https://www.dgiwg.org/FAD/fdd/view?i=118959</v>
      </c>
      <c r="L9791" s="36" t="s">
        <v>52307</v>
      </c>
      <c r="M9791" s="186"/>
      <c r="N9791" s="186"/>
      <c r="O9791" s="172"/>
    </row>
    <row r="9792" spans="1:15" x14ac:dyDescent="0.2">
      <c r="A9792" s="197" t="str">
        <f t="shared" si="152"/>
        <v>TzpCode_shapedLikeT</v>
      </c>
      <c r="B9792" s="409"/>
      <c r="C9792" s="416"/>
      <c r="D9792" s="198" t="s">
        <v>34556</v>
      </c>
      <c r="E9792" s="198">
        <v>28</v>
      </c>
      <c r="F9792" s="199" t="s">
        <v>52342</v>
      </c>
      <c r="G9792" s="1" t="s">
        <v>52343</v>
      </c>
      <c r="H9792" s="200"/>
      <c r="I9792" s="346"/>
      <c r="J9792" s="39">
        <v>118967</v>
      </c>
      <c r="K9792" s="36" t="str">
        <f>CONCATENATE(Cover!$D$6,"fdd/view?i=",J9792)</f>
        <v>https://www.dgiwg.org/FAD/fdd/view?i=118967</v>
      </c>
      <c r="L9792" s="36" t="s">
        <v>52344</v>
      </c>
      <c r="M9792" s="186"/>
      <c r="N9792" s="186"/>
      <c r="O9792" s="172"/>
    </row>
    <row r="9793" spans="1:15" ht="25.5" x14ac:dyDescent="0.2">
      <c r="A9793" s="197" t="str">
        <f t="shared" si="152"/>
        <v>TzpCode_shapedLikeUprightCross</v>
      </c>
      <c r="B9793" s="409"/>
      <c r="C9793" s="416"/>
      <c r="D9793" s="198" t="s">
        <v>52345</v>
      </c>
      <c r="E9793" s="198">
        <v>8</v>
      </c>
      <c r="F9793" s="199" t="s">
        <v>52346</v>
      </c>
      <c r="G9793" s="1" t="s">
        <v>52347</v>
      </c>
      <c r="H9793" s="200"/>
      <c r="I9793" s="351" t="s">
        <v>52348</v>
      </c>
      <c r="J9793" s="39">
        <v>118947</v>
      </c>
      <c r="K9793" s="36" t="str">
        <f>CONCATENATE(Cover!$D$6,"fdd/view?i=",J9793)</f>
        <v>https://www.dgiwg.org/FAD/fdd/view?i=118947</v>
      </c>
      <c r="L9793" s="36" t="s">
        <v>52349</v>
      </c>
      <c r="M9793" s="186"/>
      <c r="N9793" s="186"/>
      <c r="O9793" s="172"/>
    </row>
    <row r="9794" spans="1:15" ht="51" x14ac:dyDescent="0.2">
      <c r="A9794" s="197" t="str">
        <f t="shared" ref="A9794:A9857" si="153">HYPERLINK(K9794,L9794)</f>
        <v>TzpCode_shapedLikeX</v>
      </c>
      <c r="B9794" s="409"/>
      <c r="C9794" s="416"/>
      <c r="D9794" s="198" t="s">
        <v>52358</v>
      </c>
      <c r="E9794" s="198">
        <v>7</v>
      </c>
      <c r="F9794" s="199" t="s">
        <v>52359</v>
      </c>
      <c r="G9794" s="1" t="s">
        <v>52360</v>
      </c>
      <c r="H9794" s="1" t="s">
        <v>52361</v>
      </c>
      <c r="I9794" s="351" t="s">
        <v>52362</v>
      </c>
      <c r="J9794" s="39">
        <v>118946</v>
      </c>
      <c r="K9794" s="36" t="str">
        <f>CONCATENATE(Cover!$D$6,"fdd/view?i=",J9794)</f>
        <v>https://www.dgiwg.org/FAD/fdd/view?i=118946</v>
      </c>
      <c r="L9794" s="36" t="s">
        <v>52363</v>
      </c>
      <c r="M9794" s="186"/>
      <c r="N9794" s="186"/>
      <c r="O9794" s="172"/>
    </row>
    <row r="9795" spans="1:15" ht="51" x14ac:dyDescent="0.2">
      <c r="A9795" s="197" t="str">
        <f t="shared" si="153"/>
        <v>TzpCode_sphere</v>
      </c>
      <c r="B9795" s="409"/>
      <c r="C9795" s="416"/>
      <c r="D9795" s="198" t="s">
        <v>52308</v>
      </c>
      <c r="E9795" s="198">
        <v>3</v>
      </c>
      <c r="F9795" s="199" t="s">
        <v>52309</v>
      </c>
      <c r="G9795" s="1" t="s">
        <v>52310</v>
      </c>
      <c r="H9795" s="1" t="s">
        <v>52311</v>
      </c>
      <c r="I9795" s="351" t="s">
        <v>52312</v>
      </c>
      <c r="J9795" s="39">
        <v>118942</v>
      </c>
      <c r="K9795" s="36" t="str">
        <f>CONCATENATE(Cover!$D$6,"fdd/view?i=",J9795)</f>
        <v>https://www.dgiwg.org/FAD/fdd/view?i=118942</v>
      </c>
      <c r="L9795" s="36" t="s">
        <v>52313</v>
      </c>
      <c r="M9795" s="186"/>
      <c r="N9795" s="186"/>
      <c r="O9795" s="172"/>
    </row>
    <row r="9796" spans="1:15" ht="51" x14ac:dyDescent="0.2">
      <c r="A9796" s="197" t="str">
        <f t="shared" si="153"/>
        <v>TzpCode_sphereOverDiamond</v>
      </c>
      <c r="B9796" s="409"/>
      <c r="C9796" s="416"/>
      <c r="D9796" s="198" t="s">
        <v>52314</v>
      </c>
      <c r="E9796" s="198">
        <v>18</v>
      </c>
      <c r="F9796" s="199" t="s">
        <v>52315</v>
      </c>
      <c r="G9796" s="1" t="s">
        <v>52316</v>
      </c>
      <c r="H9796" s="1" t="s">
        <v>52296</v>
      </c>
      <c r="I9796" s="351" t="s">
        <v>52317</v>
      </c>
      <c r="J9796" s="39">
        <v>118957</v>
      </c>
      <c r="K9796" s="36" t="str">
        <f>CONCATENATE(Cover!$D$6,"fdd/view?i=",J9796)</f>
        <v>https://www.dgiwg.org/FAD/fdd/view?i=118957</v>
      </c>
      <c r="L9796" s="36" t="s">
        <v>52318</v>
      </c>
      <c r="M9796" s="186"/>
      <c r="N9796" s="186"/>
      <c r="O9796" s="172"/>
    </row>
    <row r="9797" spans="1:15" x14ac:dyDescent="0.2">
      <c r="A9797" s="197" t="str">
        <f t="shared" si="153"/>
        <v>TzpCode_square</v>
      </c>
      <c r="B9797" s="409"/>
      <c r="C9797" s="416"/>
      <c r="D9797" s="198" t="s">
        <v>27698</v>
      </c>
      <c r="E9797" s="198">
        <v>19</v>
      </c>
      <c r="F9797" s="199" t="s">
        <v>27699</v>
      </c>
      <c r="G9797" s="1" t="s">
        <v>52319</v>
      </c>
      <c r="H9797" s="200"/>
      <c r="I9797" s="346"/>
      <c r="J9797" s="39">
        <v>118958</v>
      </c>
      <c r="K9797" s="36" t="str">
        <f>CONCATENATE(Cover!$D$6,"fdd/view?i=",J9797)</f>
        <v>https://www.dgiwg.org/FAD/fdd/view?i=118958</v>
      </c>
      <c r="L9797" s="36" t="s">
        <v>52320</v>
      </c>
      <c r="M9797" s="186"/>
      <c r="N9797" s="186"/>
      <c r="O9797" s="172"/>
    </row>
    <row r="9798" spans="1:15" ht="25.5" x14ac:dyDescent="0.2">
      <c r="A9798" s="197" t="str">
        <f t="shared" si="153"/>
        <v>TzpCode_trapeziumShortDownward</v>
      </c>
      <c r="B9798" s="409"/>
      <c r="C9798" s="416"/>
      <c r="D9798" s="198" t="s">
        <v>52321</v>
      </c>
      <c r="E9798" s="198">
        <v>23</v>
      </c>
      <c r="F9798" s="199" t="s">
        <v>52322</v>
      </c>
      <c r="G9798" s="1" t="s">
        <v>52323</v>
      </c>
      <c r="H9798" s="1" t="s">
        <v>52324</v>
      </c>
      <c r="I9798" s="346"/>
      <c r="J9798" s="39">
        <v>118962</v>
      </c>
      <c r="K9798" s="36" t="str">
        <f>CONCATENATE(Cover!$D$6,"fdd/view?i=",J9798)</f>
        <v>https://www.dgiwg.org/FAD/fdd/view?i=118962</v>
      </c>
      <c r="L9798" s="36" t="s">
        <v>52325</v>
      </c>
      <c r="M9798" s="186"/>
      <c r="N9798" s="186"/>
      <c r="O9798" s="172"/>
    </row>
    <row r="9799" spans="1:15" ht="25.5" x14ac:dyDescent="0.2">
      <c r="A9799" s="197" t="str">
        <f t="shared" si="153"/>
        <v>TzpCode_trapeziumShortUpward</v>
      </c>
      <c r="B9799" s="409"/>
      <c r="C9799" s="416"/>
      <c r="D9799" s="198" t="s">
        <v>52326</v>
      </c>
      <c r="E9799" s="198">
        <v>22</v>
      </c>
      <c r="F9799" s="199" t="s">
        <v>52327</v>
      </c>
      <c r="G9799" s="1" t="s">
        <v>52328</v>
      </c>
      <c r="H9799" s="1" t="s">
        <v>52324</v>
      </c>
      <c r="I9799" s="346"/>
      <c r="J9799" s="39">
        <v>118961</v>
      </c>
      <c r="K9799" s="36" t="str">
        <f>CONCATENATE(Cover!$D$6,"fdd/view?i=",J9799)</f>
        <v>https://www.dgiwg.org/FAD/fdd/view?i=118961</v>
      </c>
      <c r="L9799" s="36" t="s">
        <v>52329</v>
      </c>
      <c r="M9799" s="186"/>
      <c r="N9799" s="186"/>
      <c r="O9799" s="172"/>
    </row>
    <row r="9800" spans="1:15" ht="25.5" x14ac:dyDescent="0.2">
      <c r="A9800" s="197" t="str">
        <f t="shared" si="153"/>
        <v>TzpCode_trianglePointDownward</v>
      </c>
      <c r="B9800" s="409"/>
      <c r="C9800" s="416"/>
      <c r="D9800" s="198" t="s">
        <v>52330</v>
      </c>
      <c r="E9800" s="198">
        <v>25</v>
      </c>
      <c r="F9800" s="199" t="s">
        <v>52331</v>
      </c>
      <c r="G9800" s="1" t="s">
        <v>52332</v>
      </c>
      <c r="H9800" s="1" t="s">
        <v>52256</v>
      </c>
      <c r="I9800" s="346"/>
      <c r="J9800" s="39">
        <v>118964</v>
      </c>
      <c r="K9800" s="36" t="str">
        <f>CONCATENATE(Cover!$D$6,"fdd/view?i=",J9800)</f>
        <v>https://www.dgiwg.org/FAD/fdd/view?i=118964</v>
      </c>
      <c r="L9800" s="36" t="s">
        <v>52333</v>
      </c>
      <c r="M9800" s="186"/>
      <c r="N9800" s="186"/>
      <c r="O9800" s="172"/>
    </row>
    <row r="9801" spans="1:15" ht="25.5" x14ac:dyDescent="0.2">
      <c r="A9801" s="197" t="str">
        <f t="shared" si="153"/>
        <v>TzpCode_trianglePointUpOverCircle</v>
      </c>
      <c r="B9801" s="409"/>
      <c r="C9801" s="416"/>
      <c r="D9801" s="198" t="s">
        <v>52338</v>
      </c>
      <c r="E9801" s="198">
        <v>29</v>
      </c>
      <c r="F9801" s="199" t="s">
        <v>52339</v>
      </c>
      <c r="G9801" s="1" t="s">
        <v>52340</v>
      </c>
      <c r="H9801" s="1" t="s">
        <v>52256</v>
      </c>
      <c r="I9801" s="346"/>
      <c r="J9801" s="39">
        <v>118968</v>
      </c>
      <c r="K9801" s="36" t="str">
        <f>CONCATENATE(Cover!$D$6,"fdd/view?i=",J9801)</f>
        <v>https://www.dgiwg.org/FAD/fdd/view?i=118968</v>
      </c>
      <c r="L9801" s="36" t="s">
        <v>52341</v>
      </c>
      <c r="M9801" s="186"/>
      <c r="N9801" s="186"/>
      <c r="O9801" s="172"/>
    </row>
    <row r="9802" spans="1:15" ht="25.5" x14ac:dyDescent="0.2">
      <c r="A9802" s="197" t="str">
        <f t="shared" si="153"/>
        <v>TzpCode_trianglePointUpward</v>
      </c>
      <c r="B9802" s="409"/>
      <c r="C9802" s="416"/>
      <c r="D9802" s="198" t="s">
        <v>52334</v>
      </c>
      <c r="E9802" s="198">
        <v>24</v>
      </c>
      <c r="F9802" s="199" t="s">
        <v>52335</v>
      </c>
      <c r="G9802" s="1" t="s">
        <v>52336</v>
      </c>
      <c r="H9802" s="1" t="s">
        <v>52256</v>
      </c>
      <c r="I9802" s="346"/>
      <c r="J9802" s="39">
        <v>118963</v>
      </c>
      <c r="K9802" s="36" t="str">
        <f>CONCATENATE(Cover!$D$6,"fdd/view?i=",J9802)</f>
        <v>https://www.dgiwg.org/FAD/fdd/view?i=118963</v>
      </c>
      <c r="L9802" s="36" t="s">
        <v>52337</v>
      </c>
      <c r="M9802" s="186"/>
      <c r="N9802" s="186"/>
      <c r="O9802" s="172"/>
    </row>
    <row r="9803" spans="1:15" ht="63.75" x14ac:dyDescent="0.2">
      <c r="A9803" s="197" t="str">
        <f t="shared" si="153"/>
        <v>TzpCode_twoConesBaseToBase</v>
      </c>
      <c r="B9803" s="409"/>
      <c r="C9803" s="416"/>
      <c r="D9803" s="198" t="s">
        <v>52197</v>
      </c>
      <c r="E9803" s="198">
        <v>11</v>
      </c>
      <c r="F9803" s="199" t="s">
        <v>52198</v>
      </c>
      <c r="G9803" s="1" t="s">
        <v>52199</v>
      </c>
      <c r="H9803" s="1" t="s">
        <v>52200</v>
      </c>
      <c r="I9803" s="346"/>
      <c r="J9803" s="39">
        <v>118950</v>
      </c>
      <c r="K9803" s="36" t="str">
        <f>CONCATENATE(Cover!$D$6,"fdd/view?i=",J9803)</f>
        <v>https://www.dgiwg.org/FAD/fdd/view?i=118950</v>
      </c>
      <c r="L9803" s="36" t="s">
        <v>52201</v>
      </c>
      <c r="M9803" s="186"/>
      <c r="N9803" s="186"/>
      <c r="O9803" s="172"/>
    </row>
    <row r="9804" spans="1:15" ht="63.75" x14ac:dyDescent="0.2">
      <c r="A9804" s="197" t="str">
        <f t="shared" si="153"/>
        <v>TzpCode_twoConesPointsDownward</v>
      </c>
      <c r="B9804" s="409"/>
      <c r="C9804" s="416"/>
      <c r="D9804" s="198" t="s">
        <v>52207</v>
      </c>
      <c r="E9804" s="198">
        <v>14</v>
      </c>
      <c r="F9804" s="199" t="s">
        <v>52208</v>
      </c>
      <c r="G9804" s="1" t="s">
        <v>52209</v>
      </c>
      <c r="H9804" s="1" t="s">
        <v>52210</v>
      </c>
      <c r="I9804" s="346"/>
      <c r="J9804" s="39">
        <v>118953</v>
      </c>
      <c r="K9804" s="36" t="str">
        <f>CONCATENATE(Cover!$D$6,"fdd/view?i=",J9804)</f>
        <v>https://www.dgiwg.org/FAD/fdd/view?i=118953</v>
      </c>
      <c r="L9804" s="36" t="s">
        <v>52211</v>
      </c>
      <c r="M9804" s="186"/>
      <c r="N9804" s="186"/>
      <c r="O9804" s="172"/>
    </row>
    <row r="9805" spans="1:15" ht="63.75" x14ac:dyDescent="0.2">
      <c r="A9805" s="197" t="str">
        <f t="shared" si="153"/>
        <v>TzpCode_twoConesPointsUpward</v>
      </c>
      <c r="B9805" s="409"/>
      <c r="C9805" s="416"/>
      <c r="D9805" s="198" t="s">
        <v>52212</v>
      </c>
      <c r="E9805" s="198">
        <v>13</v>
      </c>
      <c r="F9805" s="199" t="s">
        <v>52213</v>
      </c>
      <c r="G9805" s="1" t="s">
        <v>52214</v>
      </c>
      <c r="H9805" s="1" t="s">
        <v>52215</v>
      </c>
      <c r="I9805" s="346"/>
      <c r="J9805" s="39">
        <v>118952</v>
      </c>
      <c r="K9805" s="36" t="str">
        <f>CONCATENATE(Cover!$D$6,"fdd/view?i=",J9805)</f>
        <v>https://www.dgiwg.org/FAD/fdd/view?i=118952</v>
      </c>
      <c r="L9805" s="36" t="s">
        <v>52216</v>
      </c>
      <c r="M9805" s="186"/>
      <c r="N9805" s="186"/>
      <c r="O9805" s="172"/>
    </row>
    <row r="9806" spans="1:15" ht="63.75" x14ac:dyDescent="0.2">
      <c r="A9806" s="197" t="str">
        <f t="shared" si="153"/>
        <v>TzpCode_twoConesPointToPoint</v>
      </c>
      <c r="B9806" s="409"/>
      <c r="C9806" s="416"/>
      <c r="D9806" s="198" t="s">
        <v>52202</v>
      </c>
      <c r="E9806" s="198">
        <v>10</v>
      </c>
      <c r="F9806" s="199" t="s">
        <v>52203</v>
      </c>
      <c r="G9806" s="1" t="s">
        <v>52204</v>
      </c>
      <c r="H9806" s="1" t="s">
        <v>52205</v>
      </c>
      <c r="I9806" s="346"/>
      <c r="J9806" s="39">
        <v>118949</v>
      </c>
      <c r="K9806" s="36" t="str">
        <f>CONCATENATE(Cover!$D$6,"fdd/view?i=",J9806)</f>
        <v>https://www.dgiwg.org/FAD/fdd/view?i=118949</v>
      </c>
      <c r="L9806" s="36" t="s">
        <v>52206</v>
      </c>
      <c r="M9806" s="186"/>
      <c r="N9806" s="186"/>
      <c r="O9806" s="172"/>
    </row>
    <row r="9807" spans="1:15" ht="63.75" x14ac:dyDescent="0.2">
      <c r="A9807" s="197" t="str">
        <f t="shared" si="153"/>
        <v>TzpCode_twoSpheresOneOverOther</v>
      </c>
      <c r="B9807" s="409"/>
      <c r="C9807" s="416"/>
      <c r="D9807" s="198" t="s">
        <v>52217</v>
      </c>
      <c r="E9807" s="198">
        <v>4</v>
      </c>
      <c r="F9807" s="199" t="s">
        <v>52218</v>
      </c>
      <c r="G9807" s="1" t="s">
        <v>52219</v>
      </c>
      <c r="H9807" s="1" t="s">
        <v>52220</v>
      </c>
      <c r="I9807" s="351" t="s">
        <v>52221</v>
      </c>
      <c r="J9807" s="39">
        <v>118943</v>
      </c>
      <c r="K9807" s="36" t="str">
        <f>CONCATENATE(Cover!$D$6,"fdd/view?i=",J9807)</f>
        <v>https://www.dgiwg.org/FAD/fdd/view?i=118943</v>
      </c>
      <c r="L9807" s="36" t="s">
        <v>52222</v>
      </c>
      <c r="M9807" s="186"/>
      <c r="N9807" s="186"/>
      <c r="O9807" s="172"/>
    </row>
    <row r="9808" spans="1:15" ht="38.25" x14ac:dyDescent="0.2">
      <c r="A9808" s="197" t="str">
        <f t="shared" si="153"/>
        <v>TzpCode_twoUprightCrosses</v>
      </c>
      <c r="B9808" s="409"/>
      <c r="C9808" s="416"/>
      <c r="D9808" s="198" t="s">
        <v>52223</v>
      </c>
      <c r="E9808" s="198">
        <v>27</v>
      </c>
      <c r="F9808" s="199" t="s">
        <v>52224</v>
      </c>
      <c r="G9808" s="1" t="s">
        <v>52225</v>
      </c>
      <c r="H9808" s="1" t="s">
        <v>52226</v>
      </c>
      <c r="I9808" s="346"/>
      <c r="J9808" s="39">
        <v>118966</v>
      </c>
      <c r="K9808" s="36" t="str">
        <f>CONCATENATE(Cover!$D$6,"fdd/view?i=",J9808)</f>
        <v>https://www.dgiwg.org/FAD/fdd/view?i=118966</v>
      </c>
      <c r="L9808" s="36" t="s">
        <v>52227</v>
      </c>
      <c r="M9808" s="186"/>
      <c r="N9808" s="186"/>
      <c r="O9808" s="172"/>
    </row>
    <row r="9809" spans="1:15" ht="38.25" x14ac:dyDescent="0.2">
      <c r="A9809" s="197" t="str">
        <f t="shared" si="153"/>
        <v>TzpCode_uprightCrossOverCircle</v>
      </c>
      <c r="B9809" s="409"/>
      <c r="C9809" s="416"/>
      <c r="D9809" s="198" t="s">
        <v>52350</v>
      </c>
      <c r="E9809" s="198">
        <v>30</v>
      </c>
      <c r="F9809" s="199" t="s">
        <v>52351</v>
      </c>
      <c r="G9809" s="1" t="s">
        <v>52352</v>
      </c>
      <c r="H9809" s="1" t="s">
        <v>52226</v>
      </c>
      <c r="I9809" s="346"/>
      <c r="J9809" s="39">
        <v>118969</v>
      </c>
      <c r="K9809" s="36" t="str">
        <f>CONCATENATE(Cover!$D$6,"fdd/view?i=",J9809)</f>
        <v>https://www.dgiwg.org/FAD/fdd/view?i=118969</v>
      </c>
      <c r="L9809" s="36" t="s">
        <v>52353</v>
      </c>
      <c r="M9809" s="186"/>
      <c r="N9809" s="186"/>
      <c r="O9809" s="172"/>
    </row>
    <row r="9810" spans="1:15" ht="38.25" x14ac:dyDescent="0.2">
      <c r="A9810" s="203" t="str">
        <f t="shared" si="153"/>
        <v>TzpCode_verticalRectangle</v>
      </c>
      <c r="B9810" s="410"/>
      <c r="C9810" s="417"/>
      <c r="D9810" s="204" t="s">
        <v>52354</v>
      </c>
      <c r="E9810" s="204">
        <v>21</v>
      </c>
      <c r="F9810" s="205" t="s">
        <v>52355</v>
      </c>
      <c r="G9810" s="206" t="s">
        <v>52356</v>
      </c>
      <c r="H9810" s="206" t="s">
        <v>52306</v>
      </c>
      <c r="I9810" s="347"/>
      <c r="J9810" s="39">
        <v>118960</v>
      </c>
      <c r="K9810" s="36" t="str">
        <f>CONCATENATE(Cover!$D$6,"fdd/view?i=",J9810)</f>
        <v>https://www.dgiwg.org/FAD/fdd/view?i=118960</v>
      </c>
      <c r="L9810" s="36" t="s">
        <v>52357</v>
      </c>
      <c r="M9810" s="186"/>
      <c r="N9810" s="186"/>
      <c r="O9810" s="172"/>
    </row>
    <row r="9811" spans="1:15" ht="25.5" x14ac:dyDescent="0.2">
      <c r="A9811" s="190" t="str">
        <f t="shared" si="153"/>
        <v>TppCode_bridge</v>
      </c>
      <c r="B9811" s="414" t="str">
        <f>HYPERLINK("[#]Datatypes!A1582:L1582","TppCode")</f>
        <v>TppCode</v>
      </c>
      <c r="C9811" s="415" t="s">
        <v>16213</v>
      </c>
      <c r="D9811" s="221" t="s">
        <v>24026</v>
      </c>
      <c r="E9811" s="221">
        <v>15</v>
      </c>
      <c r="F9811" s="222" t="s">
        <v>2332</v>
      </c>
      <c r="G9811" s="223" t="s">
        <v>52364</v>
      </c>
      <c r="H9811" s="224"/>
      <c r="I9811" s="345"/>
      <c r="J9811" s="39">
        <v>114071</v>
      </c>
      <c r="K9811" s="36" t="str">
        <f>CONCATENATE(Cover!$D$6,"fdd/view?i=",J9811)</f>
        <v>https://www.dgiwg.org/FAD/fdd/view?i=114071</v>
      </c>
      <c r="L9811" s="36" t="s">
        <v>52365</v>
      </c>
      <c r="M9811" s="186"/>
      <c r="N9811" s="186"/>
      <c r="O9811" s="172"/>
    </row>
    <row r="9812" spans="1:15" x14ac:dyDescent="0.2">
      <c r="A9812" s="197" t="str">
        <f t="shared" si="153"/>
        <v>TppCode_flat</v>
      </c>
      <c r="B9812" s="409"/>
      <c r="C9812" s="416"/>
      <c r="D9812" s="198" t="s">
        <v>46136</v>
      </c>
      <c r="E9812" s="198">
        <v>6</v>
      </c>
      <c r="F9812" s="199" t="s">
        <v>46137</v>
      </c>
      <c r="G9812" s="1" t="s">
        <v>52366</v>
      </c>
      <c r="H9812" s="200"/>
      <c r="I9812" s="346"/>
      <c r="J9812" s="39">
        <v>114062</v>
      </c>
      <c r="K9812" s="36" t="str">
        <f>CONCATENATE(Cover!$D$6,"fdd/view?i=",J9812)</f>
        <v>https://www.dgiwg.org/FAD/fdd/view?i=114062</v>
      </c>
      <c r="L9812" s="36" t="s">
        <v>52367</v>
      </c>
      <c r="M9812" s="186"/>
      <c r="N9812" s="186"/>
      <c r="O9812" s="172"/>
    </row>
    <row r="9813" spans="1:15" x14ac:dyDescent="0.2">
      <c r="A9813" s="197" t="str">
        <f t="shared" si="153"/>
        <v>TppCode_ford</v>
      </c>
      <c r="B9813" s="409"/>
      <c r="C9813" s="416"/>
      <c r="D9813" s="198" t="s">
        <v>46253</v>
      </c>
      <c r="E9813" s="198">
        <v>8</v>
      </c>
      <c r="F9813" s="199" t="s">
        <v>3201</v>
      </c>
      <c r="G9813" s="1" t="s">
        <v>52368</v>
      </c>
      <c r="H9813" s="200"/>
      <c r="I9813" s="346"/>
      <c r="J9813" s="39">
        <v>114064</v>
      </c>
      <c r="K9813" s="36" t="str">
        <f>CONCATENATE(Cover!$D$6,"fdd/view?i=",J9813)</f>
        <v>https://www.dgiwg.org/FAD/fdd/view?i=114064</v>
      </c>
      <c r="L9813" s="36" t="s">
        <v>52369</v>
      </c>
      <c r="M9813" s="186"/>
      <c r="N9813" s="186"/>
      <c r="O9813" s="172"/>
    </row>
    <row r="9814" spans="1:15" ht="25.5" x14ac:dyDescent="0.2">
      <c r="A9814" s="197" t="str">
        <f t="shared" si="153"/>
        <v>TppCode_hightideLimit</v>
      </c>
      <c r="B9814" s="409"/>
      <c r="C9814" s="416"/>
      <c r="D9814" s="198" t="s">
        <v>52370</v>
      </c>
      <c r="E9814" s="198">
        <v>13</v>
      </c>
      <c r="F9814" s="199" t="s">
        <v>52371</v>
      </c>
      <c r="G9814" s="1" t="s">
        <v>52372</v>
      </c>
      <c r="H9814" s="200"/>
      <c r="I9814" s="346"/>
      <c r="J9814" s="39">
        <v>114069</v>
      </c>
      <c r="K9814" s="36" t="str">
        <f>CONCATENATE(Cover!$D$6,"fdd/view?i=",J9814)</f>
        <v>https://www.dgiwg.org/FAD/fdd/view?i=114069</v>
      </c>
      <c r="L9814" s="36" t="s">
        <v>52373</v>
      </c>
      <c r="M9814" s="186"/>
      <c r="N9814" s="186"/>
      <c r="O9814" s="172"/>
    </row>
    <row r="9815" spans="1:15" x14ac:dyDescent="0.2">
      <c r="A9815" s="197" t="str">
        <f t="shared" si="153"/>
        <v>TppCode_hilltop</v>
      </c>
      <c r="B9815" s="409"/>
      <c r="C9815" s="416"/>
      <c r="D9815" s="198" t="s">
        <v>52374</v>
      </c>
      <c r="E9815" s="198">
        <v>4</v>
      </c>
      <c r="F9815" s="199" t="s">
        <v>52375</v>
      </c>
      <c r="G9815" s="1" t="s">
        <v>52376</v>
      </c>
      <c r="H9815" s="200"/>
      <c r="I9815" s="346"/>
      <c r="J9815" s="39">
        <v>114060</v>
      </c>
      <c r="K9815" s="36" t="str">
        <f>CONCATENATE(Cover!$D$6,"fdd/view?i=",J9815)</f>
        <v>https://www.dgiwg.org/FAD/fdd/view?i=114060</v>
      </c>
      <c r="L9815" s="36" t="s">
        <v>52377</v>
      </c>
      <c r="M9815" s="186"/>
      <c r="N9815" s="186"/>
      <c r="O9815" s="172"/>
    </row>
    <row r="9816" spans="1:15" x14ac:dyDescent="0.2">
      <c r="A9816" s="197" t="str">
        <f t="shared" si="153"/>
        <v>TppCode_hollow</v>
      </c>
      <c r="B9816" s="409"/>
      <c r="C9816" s="416"/>
      <c r="D9816" s="198" t="s">
        <v>52378</v>
      </c>
      <c r="E9816" s="198">
        <v>5</v>
      </c>
      <c r="F9816" s="199" t="s">
        <v>52379</v>
      </c>
      <c r="G9816" s="1" t="s">
        <v>52380</v>
      </c>
      <c r="H9816" s="200"/>
      <c r="I9816" s="346"/>
      <c r="J9816" s="39">
        <v>114061</v>
      </c>
      <c r="K9816" s="36" t="str">
        <f>CONCATENATE(Cover!$D$6,"fdd/view?i=",J9816)</f>
        <v>https://www.dgiwg.org/FAD/fdd/view?i=114061</v>
      </c>
      <c r="L9816" s="36" t="s">
        <v>52381</v>
      </c>
      <c r="M9816" s="186"/>
      <c r="N9816" s="186"/>
      <c r="O9816" s="172"/>
    </row>
    <row r="9817" spans="1:15" x14ac:dyDescent="0.2">
      <c r="A9817" s="197" t="str">
        <f t="shared" si="153"/>
        <v>TppCode_island</v>
      </c>
      <c r="B9817" s="409"/>
      <c r="C9817" s="416"/>
      <c r="D9817" s="198" t="s">
        <v>52382</v>
      </c>
      <c r="E9817" s="198">
        <v>17</v>
      </c>
      <c r="F9817" s="199" t="s">
        <v>3756</v>
      </c>
      <c r="G9817" s="1" t="s">
        <v>52383</v>
      </c>
      <c r="H9817" s="200"/>
      <c r="I9817" s="346"/>
      <c r="J9817" s="39">
        <v>114073</v>
      </c>
      <c r="K9817" s="36" t="str">
        <f>CONCATENATE(Cover!$D$6,"fdd/view?i=",J9817)</f>
        <v>https://www.dgiwg.org/FAD/fdd/view?i=114073</v>
      </c>
      <c r="L9817" s="36" t="s">
        <v>52384</v>
      </c>
      <c r="M9817" s="186"/>
      <c r="N9817" s="186"/>
      <c r="O9817" s="172"/>
    </row>
    <row r="9818" spans="1:15" x14ac:dyDescent="0.2">
      <c r="A9818" s="197" t="str">
        <f t="shared" si="153"/>
        <v>TppCode_mountain</v>
      </c>
      <c r="B9818" s="409"/>
      <c r="C9818" s="416"/>
      <c r="D9818" s="198" t="s">
        <v>36790</v>
      </c>
      <c r="E9818" s="198">
        <v>1</v>
      </c>
      <c r="F9818" s="199" t="s">
        <v>4225</v>
      </c>
      <c r="G9818" s="1" t="s">
        <v>52385</v>
      </c>
      <c r="H9818" s="200"/>
      <c r="I9818" s="346"/>
      <c r="J9818" s="39">
        <v>114057</v>
      </c>
      <c r="K9818" s="36" t="str">
        <f>CONCATENATE(Cover!$D$6,"fdd/view?i=",J9818)</f>
        <v>https://www.dgiwg.org/FAD/fdd/view?i=114057</v>
      </c>
      <c r="L9818" s="36" t="s">
        <v>52386</v>
      </c>
      <c r="M9818" s="186"/>
      <c r="N9818" s="186"/>
      <c r="O9818" s="172"/>
    </row>
    <row r="9819" spans="1:15" ht="25.5" x14ac:dyDescent="0.2">
      <c r="A9819" s="197" t="str">
        <f t="shared" si="153"/>
        <v>TppCode_mountainPass</v>
      </c>
      <c r="B9819" s="409"/>
      <c r="C9819" s="416"/>
      <c r="D9819" s="198" t="s">
        <v>52387</v>
      </c>
      <c r="E9819" s="198">
        <v>16</v>
      </c>
      <c r="F9819" s="199" t="s">
        <v>4231</v>
      </c>
      <c r="G9819" s="1" t="s">
        <v>52388</v>
      </c>
      <c r="H9819" s="200"/>
      <c r="I9819" s="346"/>
      <c r="J9819" s="39">
        <v>114072</v>
      </c>
      <c r="K9819" s="36" t="str">
        <f>CONCATENATE(Cover!$D$6,"fdd/view?i=",J9819)</f>
        <v>https://www.dgiwg.org/FAD/fdd/view?i=114072</v>
      </c>
      <c r="L9819" s="36" t="s">
        <v>52389</v>
      </c>
      <c r="M9819" s="186"/>
      <c r="N9819" s="186"/>
      <c r="O9819" s="172"/>
    </row>
    <row r="9820" spans="1:15" ht="25.5" x14ac:dyDescent="0.2">
      <c r="A9820" s="197" t="str">
        <f t="shared" si="153"/>
        <v>TppCode_mountainPassApproach</v>
      </c>
      <c r="B9820" s="409"/>
      <c r="C9820" s="416"/>
      <c r="D9820" s="198" t="s">
        <v>52390</v>
      </c>
      <c r="E9820" s="198">
        <v>9</v>
      </c>
      <c r="F9820" s="199" t="s">
        <v>52391</v>
      </c>
      <c r="G9820" s="1" t="s">
        <v>52392</v>
      </c>
      <c r="H9820" s="200"/>
      <c r="I9820" s="346"/>
      <c r="J9820" s="39">
        <v>114065</v>
      </c>
      <c r="K9820" s="36" t="str">
        <f>CONCATENATE(Cover!$D$6,"fdd/view?i=",J9820)</f>
        <v>https://www.dgiwg.org/FAD/fdd/view?i=114065</v>
      </c>
      <c r="L9820" s="36" t="s">
        <v>52393</v>
      </c>
      <c r="M9820" s="186"/>
      <c r="N9820" s="186"/>
      <c r="O9820" s="172"/>
    </row>
    <row r="9821" spans="1:15" ht="25.5" x14ac:dyDescent="0.2">
      <c r="A9821" s="197" t="str">
        <f t="shared" si="153"/>
        <v>TppCode_mountainSlope</v>
      </c>
      <c r="B9821" s="409"/>
      <c r="C9821" s="416"/>
      <c r="D9821" s="198" t="s">
        <v>52394</v>
      </c>
      <c r="E9821" s="198">
        <v>2</v>
      </c>
      <c r="F9821" s="199" t="s">
        <v>52395</v>
      </c>
      <c r="G9821" s="1" t="s">
        <v>52396</v>
      </c>
      <c r="H9821" s="200"/>
      <c r="I9821" s="346"/>
      <c r="J9821" s="39">
        <v>114058</v>
      </c>
      <c r="K9821" s="36" t="str">
        <f>CONCATENATE(Cover!$D$6,"fdd/view?i=",J9821)</f>
        <v>https://www.dgiwg.org/FAD/fdd/view?i=114058</v>
      </c>
      <c r="L9821" s="36" t="s">
        <v>52397</v>
      </c>
      <c r="M9821" s="186"/>
      <c r="N9821" s="186"/>
      <c r="O9821" s="172"/>
    </row>
    <row r="9822" spans="1:15" ht="25.5" x14ac:dyDescent="0.2">
      <c r="A9822" s="197" t="str">
        <f t="shared" si="153"/>
        <v>TppCode_naturalHarbor</v>
      </c>
      <c r="B9822" s="409"/>
      <c r="C9822" s="416"/>
      <c r="D9822" s="198" t="s">
        <v>52398</v>
      </c>
      <c r="E9822" s="198">
        <v>12</v>
      </c>
      <c r="F9822" s="199" t="s">
        <v>52399</v>
      </c>
      <c r="G9822" s="1" t="s">
        <v>52400</v>
      </c>
      <c r="H9822" s="200"/>
      <c r="I9822" s="346"/>
      <c r="J9822" s="39">
        <v>114068</v>
      </c>
      <c r="K9822" s="36" t="str">
        <f>CONCATENATE(Cover!$D$6,"fdd/view?i=",J9822)</f>
        <v>https://www.dgiwg.org/FAD/fdd/view?i=114068</v>
      </c>
      <c r="L9822" s="36" t="s">
        <v>52401</v>
      </c>
      <c r="M9822" s="186"/>
      <c r="N9822" s="186"/>
      <c r="O9822" s="172"/>
    </row>
    <row r="9823" spans="1:15" x14ac:dyDescent="0.2">
      <c r="A9823" s="197" t="str">
        <f t="shared" si="153"/>
        <v>TppCode_seacoast</v>
      </c>
      <c r="B9823" s="409"/>
      <c r="C9823" s="416"/>
      <c r="D9823" s="198" t="s">
        <v>52402</v>
      </c>
      <c r="E9823" s="198">
        <v>19</v>
      </c>
      <c r="F9823" s="199" t="s">
        <v>52403</v>
      </c>
      <c r="G9823" s="1" t="s">
        <v>52404</v>
      </c>
      <c r="H9823" s="200"/>
      <c r="I9823" s="346"/>
      <c r="J9823" s="39">
        <v>114075</v>
      </c>
      <c r="K9823" s="36" t="str">
        <f>CONCATENATE(Cover!$D$6,"fdd/view?i=",J9823)</f>
        <v>https://www.dgiwg.org/FAD/fdd/view?i=114075</v>
      </c>
      <c r="L9823" s="36" t="s">
        <v>52405</v>
      </c>
      <c r="M9823" s="186"/>
      <c r="N9823" s="186"/>
      <c r="O9823" s="172"/>
    </row>
    <row r="9824" spans="1:15" x14ac:dyDescent="0.2">
      <c r="A9824" s="197" t="str">
        <f t="shared" si="153"/>
        <v>TppCode_springSite</v>
      </c>
      <c r="B9824" s="409"/>
      <c r="C9824" s="416"/>
      <c r="D9824" s="198" t="s">
        <v>52406</v>
      </c>
      <c r="E9824" s="198">
        <v>11</v>
      </c>
      <c r="F9824" s="199" t="s">
        <v>52407</v>
      </c>
      <c r="G9824" s="1" t="s">
        <v>52408</v>
      </c>
      <c r="H9824" s="200"/>
      <c r="I9824" s="346"/>
      <c r="J9824" s="39">
        <v>114067</v>
      </c>
      <c r="K9824" s="36" t="str">
        <f>CONCATENATE(Cover!$D$6,"fdd/view?i=",J9824)</f>
        <v>https://www.dgiwg.org/FAD/fdd/view?i=114067</v>
      </c>
      <c r="L9824" s="36" t="s">
        <v>52409</v>
      </c>
      <c r="M9824" s="186"/>
      <c r="N9824" s="186"/>
      <c r="O9824" s="172"/>
    </row>
    <row r="9825" spans="1:15" x14ac:dyDescent="0.2">
      <c r="A9825" s="197" t="str">
        <f t="shared" si="153"/>
        <v>TppCode_spur</v>
      </c>
      <c r="B9825" s="409"/>
      <c r="C9825" s="416"/>
      <c r="D9825" s="198" t="s">
        <v>24443</v>
      </c>
      <c r="E9825" s="198">
        <v>7</v>
      </c>
      <c r="F9825" s="199" t="s">
        <v>24444</v>
      </c>
      <c r="G9825" s="1" t="s">
        <v>52410</v>
      </c>
      <c r="H9825" s="200"/>
      <c r="I9825" s="346"/>
      <c r="J9825" s="39">
        <v>114063</v>
      </c>
      <c r="K9825" s="36" t="str">
        <f>CONCATENATE(Cover!$D$6,"fdd/view?i=",J9825)</f>
        <v>https://www.dgiwg.org/FAD/fdd/view?i=114063</v>
      </c>
      <c r="L9825" s="36" t="s">
        <v>52411</v>
      </c>
      <c r="M9825" s="186"/>
      <c r="N9825" s="186"/>
      <c r="O9825" s="172"/>
    </row>
    <row r="9826" spans="1:15" ht="25.5" x14ac:dyDescent="0.2">
      <c r="A9826" s="197" t="str">
        <f t="shared" si="153"/>
        <v>TppCode_terrace</v>
      </c>
      <c r="B9826" s="409"/>
      <c r="C9826" s="416"/>
      <c r="D9826" s="198" t="s">
        <v>35988</v>
      </c>
      <c r="E9826" s="198">
        <v>3</v>
      </c>
      <c r="F9826" s="199" t="s">
        <v>35989</v>
      </c>
      <c r="G9826" s="1" t="s">
        <v>52412</v>
      </c>
      <c r="H9826" s="200"/>
      <c r="I9826" s="346"/>
      <c r="J9826" s="39">
        <v>114059</v>
      </c>
      <c r="K9826" s="36" t="str">
        <f>CONCATENATE(Cover!$D$6,"fdd/view?i=",J9826)</f>
        <v>https://www.dgiwg.org/FAD/fdd/view?i=114059</v>
      </c>
      <c r="L9826" s="36" t="s">
        <v>52413</v>
      </c>
      <c r="M9826" s="186"/>
      <c r="N9826" s="186"/>
      <c r="O9826" s="172"/>
    </row>
    <row r="9827" spans="1:15" x14ac:dyDescent="0.2">
      <c r="A9827" s="197" t="str">
        <f t="shared" si="153"/>
        <v>TppCode_valley</v>
      </c>
      <c r="B9827" s="409"/>
      <c r="C9827" s="416"/>
      <c r="D9827" s="198" t="s">
        <v>36840</v>
      </c>
      <c r="E9827" s="198">
        <v>18</v>
      </c>
      <c r="F9827" s="199" t="s">
        <v>36841</v>
      </c>
      <c r="G9827" s="1" t="s">
        <v>52414</v>
      </c>
      <c r="H9827" s="200"/>
      <c r="I9827" s="346"/>
      <c r="J9827" s="39">
        <v>114074</v>
      </c>
      <c r="K9827" s="36" t="str">
        <f>CONCATENATE(Cover!$D$6,"fdd/view?i=",J9827)</f>
        <v>https://www.dgiwg.org/FAD/fdd/view?i=114074</v>
      </c>
      <c r="L9827" s="36" t="s">
        <v>52415</v>
      </c>
      <c r="M9827" s="186"/>
      <c r="N9827" s="186"/>
      <c r="O9827" s="172"/>
    </row>
    <row r="9828" spans="1:15" x14ac:dyDescent="0.2">
      <c r="A9828" s="197" t="str">
        <f t="shared" si="153"/>
        <v>TppCode_waterbody</v>
      </c>
      <c r="B9828" s="409"/>
      <c r="C9828" s="416"/>
      <c r="D9828" s="198" t="s">
        <v>25577</v>
      </c>
      <c r="E9828" s="198">
        <v>14</v>
      </c>
      <c r="F9828" s="199" t="s">
        <v>25578</v>
      </c>
      <c r="G9828" s="1" t="s">
        <v>52416</v>
      </c>
      <c r="H9828" s="200"/>
      <c r="I9828" s="346"/>
      <c r="J9828" s="39">
        <v>114070</v>
      </c>
      <c r="K9828" s="36" t="str">
        <f>CONCATENATE(Cover!$D$6,"fdd/view?i=",J9828)</f>
        <v>https://www.dgiwg.org/FAD/fdd/view?i=114070</v>
      </c>
      <c r="L9828" s="36" t="s">
        <v>52417</v>
      </c>
      <c r="M9828" s="186"/>
      <c r="N9828" s="186"/>
      <c r="O9828" s="172"/>
    </row>
    <row r="9829" spans="1:15" ht="25.5" x14ac:dyDescent="0.2">
      <c r="A9829" s="203" t="str">
        <f t="shared" si="153"/>
        <v>TppCode_waterbodyBank</v>
      </c>
      <c r="B9829" s="410"/>
      <c r="C9829" s="417"/>
      <c r="D9829" s="204" t="s">
        <v>52418</v>
      </c>
      <c r="E9829" s="204">
        <v>10</v>
      </c>
      <c r="F9829" s="205" t="s">
        <v>52419</v>
      </c>
      <c r="G9829" s="206" t="s">
        <v>52420</v>
      </c>
      <c r="H9829" s="207"/>
      <c r="I9829" s="347"/>
      <c r="J9829" s="39">
        <v>114066</v>
      </c>
      <c r="K9829" s="36" t="str">
        <f>CONCATENATE(Cover!$D$6,"fdd/view?i=",J9829)</f>
        <v>https://www.dgiwg.org/FAD/fdd/view?i=114066</v>
      </c>
      <c r="L9829" s="36" t="s">
        <v>52421</v>
      </c>
      <c r="M9829" s="186"/>
      <c r="N9829" s="186"/>
      <c r="O9829" s="172"/>
    </row>
    <row r="9830" spans="1:15" ht="51" x14ac:dyDescent="0.2">
      <c r="A9830" s="190" t="str">
        <f t="shared" si="153"/>
        <v>TosCode_frameShapedLikeA</v>
      </c>
      <c r="B9830" s="414" t="str">
        <f>HYPERLINK("[#]Datatypes!A1586:L1586","TosCode")</f>
        <v>TosCode</v>
      </c>
      <c r="C9830" s="415" t="s">
        <v>16217</v>
      </c>
      <c r="D9830" s="221" t="s">
        <v>52422</v>
      </c>
      <c r="E9830" s="221">
        <v>1</v>
      </c>
      <c r="F9830" s="357" t="s">
        <v>52423</v>
      </c>
      <c r="G9830" s="223" t="s">
        <v>52424</v>
      </c>
      <c r="H9830" s="223" t="s">
        <v>52425</v>
      </c>
      <c r="I9830" s="352" t="s">
        <v>52426</v>
      </c>
      <c r="J9830" s="39">
        <v>109853</v>
      </c>
      <c r="K9830" s="36" t="str">
        <f>CONCATENATE(Cover!$D$6,"fdd/view?i=",J9830)</f>
        <v>https://www.dgiwg.org/FAD/fdd/view?i=109853</v>
      </c>
      <c r="L9830" s="36" t="s">
        <v>52427</v>
      </c>
      <c r="M9830" s="186"/>
      <c r="N9830" s="186"/>
      <c r="O9830" s="172"/>
    </row>
    <row r="9831" spans="1:15" ht="51" x14ac:dyDescent="0.2">
      <c r="A9831" s="197" t="str">
        <f t="shared" si="153"/>
        <v>TosCode_frameShapedLikeH</v>
      </c>
      <c r="B9831" s="409"/>
      <c r="C9831" s="416"/>
      <c r="D9831" s="198" t="s">
        <v>52428</v>
      </c>
      <c r="E9831" s="198">
        <v>2</v>
      </c>
      <c r="F9831" s="356" t="s">
        <v>52429</v>
      </c>
      <c r="G9831" s="1" t="s">
        <v>52430</v>
      </c>
      <c r="H9831" s="1" t="s">
        <v>52425</v>
      </c>
      <c r="I9831" s="346"/>
      <c r="J9831" s="39">
        <v>109858</v>
      </c>
      <c r="K9831" s="36" t="str">
        <f>CONCATENATE(Cover!$D$6,"fdd/view?i=",J9831)</f>
        <v>https://www.dgiwg.org/FAD/fdd/view?i=109858</v>
      </c>
      <c r="L9831" s="36" t="s">
        <v>52431</v>
      </c>
      <c r="M9831" s="186"/>
      <c r="N9831" s="186"/>
      <c r="O9831" s="172"/>
    </row>
    <row r="9832" spans="1:15" ht="51" x14ac:dyDescent="0.2">
      <c r="A9832" s="197" t="str">
        <f t="shared" si="153"/>
        <v>TosCode_frameShapedLikeI</v>
      </c>
      <c r="B9832" s="409"/>
      <c r="C9832" s="416"/>
      <c r="D9832" s="198" t="s">
        <v>52432</v>
      </c>
      <c r="E9832" s="198">
        <v>3</v>
      </c>
      <c r="F9832" s="356" t="s">
        <v>52433</v>
      </c>
      <c r="G9832" s="1" t="s">
        <v>52434</v>
      </c>
      <c r="H9832" s="1" t="s">
        <v>52425</v>
      </c>
      <c r="I9832" s="346"/>
      <c r="J9832" s="39">
        <v>109859</v>
      </c>
      <c r="K9832" s="36" t="str">
        <f>CONCATENATE(Cover!$D$6,"fdd/view?i=",J9832)</f>
        <v>https://www.dgiwg.org/FAD/fdd/view?i=109859</v>
      </c>
      <c r="L9832" s="36" t="s">
        <v>52435</v>
      </c>
      <c r="M9832" s="186"/>
      <c r="N9832" s="186"/>
      <c r="O9832" s="172"/>
    </row>
    <row r="9833" spans="1:15" ht="51" x14ac:dyDescent="0.2">
      <c r="A9833" s="197" t="str">
        <f t="shared" si="153"/>
        <v>TosCode_frameShapedLikeT</v>
      </c>
      <c r="B9833" s="409"/>
      <c r="C9833" s="416"/>
      <c r="D9833" s="198" t="s">
        <v>52449</v>
      </c>
      <c r="E9833" s="198">
        <v>4</v>
      </c>
      <c r="F9833" s="356" t="s">
        <v>52450</v>
      </c>
      <c r="G9833" s="1" t="s">
        <v>52451</v>
      </c>
      <c r="H9833" s="1" t="s">
        <v>52425</v>
      </c>
      <c r="I9833" s="346"/>
      <c r="J9833" s="39">
        <v>109860</v>
      </c>
      <c r="K9833" s="36" t="str">
        <f>CONCATENATE(Cover!$D$6,"fdd/view?i=",J9833)</f>
        <v>https://www.dgiwg.org/FAD/fdd/view?i=109860</v>
      </c>
      <c r="L9833" s="36" t="s">
        <v>52452</v>
      </c>
      <c r="M9833" s="186"/>
      <c r="N9833" s="186"/>
      <c r="O9833" s="172"/>
    </row>
    <row r="9834" spans="1:15" ht="51" x14ac:dyDescent="0.2">
      <c r="A9834" s="197" t="str">
        <f t="shared" si="153"/>
        <v>TosCode_frameShapedLikeY</v>
      </c>
      <c r="B9834" s="409"/>
      <c r="C9834" s="416"/>
      <c r="D9834" s="198" t="s">
        <v>52469</v>
      </c>
      <c r="E9834" s="198">
        <v>5</v>
      </c>
      <c r="F9834" s="356" t="s">
        <v>52470</v>
      </c>
      <c r="G9834" s="1" t="s">
        <v>52471</v>
      </c>
      <c r="H9834" s="1" t="s">
        <v>52425</v>
      </c>
      <c r="I9834" s="346"/>
      <c r="J9834" s="39">
        <v>109861</v>
      </c>
      <c r="K9834" s="36" t="str">
        <f>CONCATENATE(Cover!$D$6,"fdd/view?i=",J9834)</f>
        <v>https://www.dgiwg.org/FAD/fdd/view?i=109861</v>
      </c>
      <c r="L9834" s="36" t="s">
        <v>52472</v>
      </c>
      <c r="M9834" s="186"/>
      <c r="N9834" s="186"/>
      <c r="O9834" s="172"/>
    </row>
    <row r="9835" spans="1:15" ht="25.5" x14ac:dyDescent="0.2">
      <c r="A9835" s="197" t="str">
        <f t="shared" si="153"/>
        <v>TosCode_mast</v>
      </c>
      <c r="B9835" s="409"/>
      <c r="C9835" s="416"/>
      <c r="D9835" s="198" t="s">
        <v>52436</v>
      </c>
      <c r="E9835" s="198">
        <v>6</v>
      </c>
      <c r="F9835" s="199" t="s">
        <v>4079</v>
      </c>
      <c r="G9835" s="1" t="s">
        <v>52437</v>
      </c>
      <c r="H9835" s="1" t="s">
        <v>52438</v>
      </c>
      <c r="I9835" s="346"/>
      <c r="J9835" s="39">
        <v>109862</v>
      </c>
      <c r="K9835" s="36" t="str">
        <f>CONCATENATE(Cover!$D$6,"fdd/view?i=",J9835)</f>
        <v>https://www.dgiwg.org/FAD/fdd/view?i=109862</v>
      </c>
      <c r="L9835" s="36" t="s">
        <v>52439</v>
      </c>
      <c r="M9835" s="186"/>
      <c r="N9835" s="186"/>
      <c r="O9835" s="172"/>
    </row>
    <row r="9836" spans="1:15" x14ac:dyDescent="0.2">
      <c r="A9836" s="197" t="str">
        <f t="shared" si="153"/>
        <v>TosCode_obelisk</v>
      </c>
      <c r="B9836" s="409"/>
      <c r="C9836" s="416"/>
      <c r="D9836" s="198" t="s">
        <v>50138</v>
      </c>
      <c r="E9836" s="198">
        <v>7</v>
      </c>
      <c r="F9836" s="199" t="s">
        <v>50139</v>
      </c>
      <c r="G9836" s="1" t="s">
        <v>50140</v>
      </c>
      <c r="H9836" s="200"/>
      <c r="I9836" s="346"/>
      <c r="J9836" s="39">
        <v>109863</v>
      </c>
      <c r="K9836" s="36" t="str">
        <f>CONCATENATE(Cover!$D$6,"fdd/view?i=",J9836)</f>
        <v>https://www.dgiwg.org/FAD/fdd/view?i=109863</v>
      </c>
      <c r="L9836" s="36" t="s">
        <v>52440</v>
      </c>
      <c r="M9836" s="186"/>
      <c r="N9836" s="186"/>
      <c r="O9836" s="172"/>
    </row>
    <row r="9837" spans="1:15" ht="38.25" x14ac:dyDescent="0.2">
      <c r="A9837" s="197" t="str">
        <f t="shared" si="153"/>
        <v>TosCode_pole</v>
      </c>
      <c r="B9837" s="409"/>
      <c r="C9837" s="416"/>
      <c r="D9837" s="198" t="s">
        <v>52441</v>
      </c>
      <c r="E9837" s="198">
        <v>8</v>
      </c>
      <c r="F9837" s="199" t="s">
        <v>52442</v>
      </c>
      <c r="G9837" s="1" t="s">
        <v>52443</v>
      </c>
      <c r="H9837" s="1" t="s">
        <v>52444</v>
      </c>
      <c r="I9837" s="346"/>
      <c r="J9837" s="39">
        <v>109864</v>
      </c>
      <c r="K9837" s="36" t="str">
        <f>CONCATENATE(Cover!$D$6,"fdd/view?i=",J9837)</f>
        <v>https://www.dgiwg.org/FAD/fdd/view?i=109864</v>
      </c>
      <c r="L9837" s="36" t="s">
        <v>52445</v>
      </c>
      <c r="M9837" s="186"/>
      <c r="N9837" s="186"/>
      <c r="O9837" s="172"/>
    </row>
    <row r="9838" spans="1:15" ht="25.5" x14ac:dyDescent="0.2">
      <c r="A9838" s="197" t="str">
        <f t="shared" si="153"/>
        <v>TosCode_rectangularPrism</v>
      </c>
      <c r="B9838" s="409"/>
      <c r="C9838" s="416"/>
      <c r="D9838" s="198" t="s">
        <v>50148</v>
      </c>
      <c r="E9838" s="198">
        <v>9</v>
      </c>
      <c r="F9838" s="199" t="s">
        <v>50149</v>
      </c>
      <c r="G9838" s="1" t="s">
        <v>50150</v>
      </c>
      <c r="H9838" s="1" t="s">
        <v>52446</v>
      </c>
      <c r="I9838" s="346"/>
      <c r="J9838" s="39">
        <v>109865</v>
      </c>
      <c r="K9838" s="36" t="str">
        <f>CONCATENATE(Cover!$D$6,"fdd/view?i=",J9838)</f>
        <v>https://www.dgiwg.org/FAD/fdd/view?i=109865</v>
      </c>
      <c r="L9838" s="36" t="s">
        <v>52447</v>
      </c>
      <c r="M9838" s="186"/>
      <c r="N9838" s="186"/>
      <c r="O9838" s="172"/>
    </row>
    <row r="9839" spans="1:15" ht="25.5" x14ac:dyDescent="0.2">
      <c r="A9839" s="197" t="str">
        <f t="shared" si="153"/>
        <v>TosCode_squarePrism</v>
      </c>
      <c r="B9839" s="409"/>
      <c r="C9839" s="416"/>
      <c r="D9839" s="198" t="s">
        <v>50160</v>
      </c>
      <c r="E9839" s="198">
        <v>10</v>
      </c>
      <c r="F9839" s="199" t="s">
        <v>50161</v>
      </c>
      <c r="G9839" s="1" t="s">
        <v>50162</v>
      </c>
      <c r="H9839" s="1" t="s">
        <v>52446</v>
      </c>
      <c r="I9839" s="346"/>
      <c r="J9839" s="39">
        <v>109854</v>
      </c>
      <c r="K9839" s="36" t="str">
        <f>CONCATENATE(Cover!$D$6,"fdd/view?i=",J9839)</f>
        <v>https://www.dgiwg.org/FAD/fdd/view?i=109854</v>
      </c>
      <c r="L9839" s="36" t="s">
        <v>52448</v>
      </c>
      <c r="M9839" s="186"/>
      <c r="N9839" s="186"/>
      <c r="O9839" s="172"/>
    </row>
    <row r="9840" spans="1:15" ht="38.25" x14ac:dyDescent="0.2">
      <c r="A9840" s="197" t="str">
        <f t="shared" si="153"/>
        <v>TosCode_towerMill</v>
      </c>
      <c r="B9840" s="409"/>
      <c r="C9840" s="416"/>
      <c r="D9840" s="198" t="s">
        <v>52453</v>
      </c>
      <c r="E9840" s="198">
        <v>14</v>
      </c>
      <c r="F9840" s="199" t="s">
        <v>52454</v>
      </c>
      <c r="G9840" s="1" t="s">
        <v>52455</v>
      </c>
      <c r="H9840" s="1" t="s">
        <v>52456</v>
      </c>
      <c r="I9840" s="346"/>
      <c r="J9840" s="39">
        <v>117966</v>
      </c>
      <c r="K9840" s="36" t="str">
        <f>CONCATENATE(Cover!$D$6,"fdd/view?i=",J9840)</f>
        <v>https://www.dgiwg.org/FAD/fdd/view?i=117966</v>
      </c>
      <c r="L9840" s="36" t="s">
        <v>52457</v>
      </c>
      <c r="M9840" s="186"/>
      <c r="N9840" s="186"/>
      <c r="O9840" s="172"/>
    </row>
    <row r="9841" spans="1:15" x14ac:dyDescent="0.2">
      <c r="A9841" s="197" t="str">
        <f t="shared" si="153"/>
        <v>TosCode_tripod</v>
      </c>
      <c r="B9841" s="409"/>
      <c r="C9841" s="416"/>
      <c r="D9841" s="198" t="s">
        <v>52458</v>
      </c>
      <c r="E9841" s="198">
        <v>11</v>
      </c>
      <c r="F9841" s="199" t="s">
        <v>52459</v>
      </c>
      <c r="G9841" s="1" t="s">
        <v>52460</v>
      </c>
      <c r="H9841" s="200"/>
      <c r="I9841" s="346"/>
      <c r="J9841" s="39">
        <v>109855</v>
      </c>
      <c r="K9841" s="36" t="str">
        <f>CONCATENATE(Cover!$D$6,"fdd/view?i=",J9841)</f>
        <v>https://www.dgiwg.org/FAD/fdd/view?i=109855</v>
      </c>
      <c r="L9841" s="36" t="s">
        <v>52461</v>
      </c>
      <c r="M9841" s="186"/>
      <c r="N9841" s="186"/>
      <c r="O9841" s="172"/>
    </row>
    <row r="9842" spans="1:15" ht="25.5" x14ac:dyDescent="0.2">
      <c r="A9842" s="197" t="str">
        <f t="shared" si="153"/>
        <v>TosCode_truss</v>
      </c>
      <c r="B9842" s="409"/>
      <c r="C9842" s="416"/>
      <c r="D9842" s="198" t="s">
        <v>24569</v>
      </c>
      <c r="E9842" s="198">
        <v>12</v>
      </c>
      <c r="F9842" s="199" t="s">
        <v>24570</v>
      </c>
      <c r="G9842" s="1" t="s">
        <v>52462</v>
      </c>
      <c r="H9842" s="1" t="s">
        <v>52463</v>
      </c>
      <c r="I9842" s="346"/>
      <c r="J9842" s="39">
        <v>109856</v>
      </c>
      <c r="K9842" s="36" t="str">
        <f>CONCATENATE(Cover!$D$6,"fdd/view?i=",J9842)</f>
        <v>https://www.dgiwg.org/FAD/fdd/view?i=109856</v>
      </c>
      <c r="L9842" s="36" t="s">
        <v>52464</v>
      </c>
      <c r="M9842" s="186"/>
      <c r="N9842" s="186"/>
      <c r="O9842" s="172"/>
    </row>
    <row r="9843" spans="1:15" ht="25.5" x14ac:dyDescent="0.2">
      <c r="A9843" s="203" t="str">
        <f t="shared" si="153"/>
        <v>TosCode_tubular</v>
      </c>
      <c r="B9843" s="410"/>
      <c r="C9843" s="417"/>
      <c r="D9843" s="204" t="s">
        <v>52465</v>
      </c>
      <c r="E9843" s="204">
        <v>13</v>
      </c>
      <c r="F9843" s="205" t="s">
        <v>52466</v>
      </c>
      <c r="G9843" s="206" t="s">
        <v>52467</v>
      </c>
      <c r="H9843" s="207"/>
      <c r="I9843" s="347"/>
      <c r="J9843" s="39">
        <v>109857</v>
      </c>
      <c r="K9843" s="36" t="str">
        <f>CONCATENATE(Cover!$D$6,"fdd/view?i=",J9843)</f>
        <v>https://www.dgiwg.org/FAD/fdd/view?i=109857</v>
      </c>
      <c r="L9843" s="36" t="s">
        <v>52468</v>
      </c>
      <c r="M9843" s="186"/>
      <c r="N9843" s="186"/>
      <c r="O9843" s="172"/>
    </row>
    <row r="9844" spans="1:15" ht="25.5" x14ac:dyDescent="0.2">
      <c r="A9844" s="190" t="str">
        <f t="shared" si="153"/>
        <v>TtcCode_bridgeTower</v>
      </c>
      <c r="B9844" s="414" t="str">
        <f>HYPERLINK("[#]Datatypes!A1588:L1588","TtcCode")</f>
        <v>TtcCode</v>
      </c>
      <c r="C9844" s="415" t="s">
        <v>16219</v>
      </c>
      <c r="D9844" s="221" t="s">
        <v>46223</v>
      </c>
      <c r="E9844" s="221">
        <v>1</v>
      </c>
      <c r="F9844" s="222" t="s">
        <v>2350</v>
      </c>
      <c r="G9844" s="223" t="s">
        <v>2351</v>
      </c>
      <c r="H9844" s="224"/>
      <c r="I9844" s="345"/>
      <c r="J9844" s="39">
        <v>108775</v>
      </c>
      <c r="K9844" s="36" t="str">
        <f>CONCATENATE(Cover!$D$6,"fdd/view?i=",J9844)</f>
        <v>https://www.dgiwg.org/FAD/fdd/view?i=108775</v>
      </c>
      <c r="L9844" s="36" t="s">
        <v>52473</v>
      </c>
      <c r="M9844" s="186"/>
      <c r="N9844" s="186"/>
      <c r="O9844" s="172"/>
    </row>
    <row r="9845" spans="1:15" ht="127.5" x14ac:dyDescent="0.2">
      <c r="A9845" s="197" t="str">
        <f t="shared" si="153"/>
        <v>TtcCode_cellTower</v>
      </c>
      <c r="B9845" s="409"/>
      <c r="C9845" s="416"/>
      <c r="D9845" s="198" t="s">
        <v>52474</v>
      </c>
      <c r="E9845" s="198">
        <v>19</v>
      </c>
      <c r="F9845" s="199" t="s">
        <v>52475</v>
      </c>
      <c r="G9845" s="1" t="s">
        <v>52476</v>
      </c>
      <c r="H9845" s="1" t="s">
        <v>52477</v>
      </c>
      <c r="I9845" s="346"/>
      <c r="J9845" s="39">
        <v>110576</v>
      </c>
      <c r="K9845" s="36" t="str">
        <f>CONCATENATE(Cover!$D$6,"fdd/view?i=",J9845)</f>
        <v>https://www.dgiwg.org/FAD/fdd/view?i=110576</v>
      </c>
      <c r="L9845" s="36" t="s">
        <v>52478</v>
      </c>
      <c r="M9845" s="186"/>
      <c r="N9845" s="186"/>
      <c r="O9845" s="172"/>
    </row>
    <row r="9846" spans="1:15" ht="25.5" x14ac:dyDescent="0.2">
      <c r="A9846" s="197" t="str">
        <f t="shared" si="153"/>
        <v>TtcCode_communicationTower</v>
      </c>
      <c r="B9846" s="409"/>
      <c r="C9846" s="416"/>
      <c r="D9846" s="198" t="s">
        <v>52479</v>
      </c>
      <c r="E9846" s="198">
        <v>18</v>
      </c>
      <c r="F9846" s="199" t="s">
        <v>2561</v>
      </c>
      <c r="G9846" s="1" t="s">
        <v>2562</v>
      </c>
      <c r="H9846" s="200"/>
      <c r="I9846" s="346"/>
      <c r="J9846" s="39">
        <v>110575</v>
      </c>
      <c r="K9846" s="36" t="str">
        <f>CONCATENATE(Cover!$D$6,"fdd/view?i=",J9846)</f>
        <v>https://www.dgiwg.org/FAD/fdd/view?i=110575</v>
      </c>
      <c r="L9846" s="36" t="s">
        <v>52480</v>
      </c>
      <c r="M9846" s="186"/>
      <c r="N9846" s="186"/>
      <c r="O9846" s="172"/>
    </row>
    <row r="9847" spans="1:15" ht="38.25" x14ac:dyDescent="0.2">
      <c r="A9847" s="197" t="str">
        <f t="shared" si="153"/>
        <v>TtcCode_controlTower</v>
      </c>
      <c r="B9847" s="409"/>
      <c r="C9847" s="416"/>
      <c r="D9847" s="198" t="s">
        <v>52481</v>
      </c>
      <c r="E9847" s="198">
        <v>16</v>
      </c>
      <c r="F9847" s="199" t="s">
        <v>2612</v>
      </c>
      <c r="G9847" s="1" t="s">
        <v>52482</v>
      </c>
      <c r="H9847" s="200"/>
      <c r="I9847" s="346"/>
      <c r="J9847" s="39">
        <v>108790</v>
      </c>
      <c r="K9847" s="36" t="str">
        <f>CONCATENATE(Cover!$D$6,"fdd/view?i=",J9847)</f>
        <v>https://www.dgiwg.org/FAD/fdd/view?i=108790</v>
      </c>
      <c r="L9847" s="36" t="s">
        <v>52483</v>
      </c>
      <c r="M9847" s="186"/>
      <c r="N9847" s="186"/>
      <c r="O9847" s="172"/>
    </row>
    <row r="9848" spans="1:15" ht="25.5" x14ac:dyDescent="0.2">
      <c r="A9848" s="197" t="str">
        <f t="shared" si="153"/>
        <v>TtcCode_coolingTower</v>
      </c>
      <c r="B9848" s="409"/>
      <c r="C9848" s="416"/>
      <c r="D9848" s="198" t="s">
        <v>52484</v>
      </c>
      <c r="E9848" s="198">
        <v>8</v>
      </c>
      <c r="F9848" s="199" t="s">
        <v>2630</v>
      </c>
      <c r="G9848" s="1" t="s">
        <v>2631</v>
      </c>
      <c r="H9848" s="200"/>
      <c r="I9848" s="346"/>
      <c r="J9848" s="39">
        <v>108782</v>
      </c>
      <c r="K9848" s="36" t="str">
        <f>CONCATENATE(Cover!$D$6,"fdd/view?i=",J9848)</f>
        <v>https://www.dgiwg.org/FAD/fdd/view?i=108782</v>
      </c>
      <c r="L9848" s="36" t="s">
        <v>52485</v>
      </c>
      <c r="M9848" s="186"/>
      <c r="N9848" s="186"/>
      <c r="O9848" s="172"/>
    </row>
    <row r="9849" spans="1:15" ht="25.5" x14ac:dyDescent="0.2">
      <c r="A9849" s="197" t="str">
        <f t="shared" si="153"/>
        <v>TtcCode_dropTower</v>
      </c>
      <c r="B9849" s="409"/>
      <c r="C9849" s="416"/>
      <c r="D9849" s="198" t="s">
        <v>52486</v>
      </c>
      <c r="E9849" s="198">
        <v>23</v>
      </c>
      <c r="F9849" s="199" t="s">
        <v>52487</v>
      </c>
      <c r="G9849" s="1" t="s">
        <v>52488</v>
      </c>
      <c r="H9849" s="200"/>
      <c r="I9849" s="346"/>
      <c r="J9849" s="39">
        <v>112841</v>
      </c>
      <c r="K9849" s="36" t="str">
        <f>CONCATENATE(Cover!$D$6,"fdd/view?i=",J9849)</f>
        <v>https://www.dgiwg.org/FAD/fdd/view?i=112841</v>
      </c>
      <c r="L9849" s="36" t="s">
        <v>52489</v>
      </c>
      <c r="M9849" s="186"/>
      <c r="N9849" s="186"/>
      <c r="O9849" s="172"/>
    </row>
    <row r="9850" spans="1:15" ht="38.25" x14ac:dyDescent="0.2">
      <c r="A9850" s="197" t="str">
        <f t="shared" si="153"/>
        <v>TtcCode_fireTower</v>
      </c>
      <c r="B9850" s="409"/>
      <c r="C9850" s="416"/>
      <c r="D9850" s="198" t="s">
        <v>52490</v>
      </c>
      <c r="E9850" s="198">
        <v>12</v>
      </c>
      <c r="F9850" s="199" t="s">
        <v>52491</v>
      </c>
      <c r="G9850" s="1" t="s">
        <v>52492</v>
      </c>
      <c r="H9850" s="1" t="s">
        <v>52493</v>
      </c>
      <c r="I9850" s="346"/>
      <c r="J9850" s="39">
        <v>108786</v>
      </c>
      <c r="K9850" s="36" t="str">
        <f>CONCATENATE(Cover!$D$6,"fdd/view?i=",J9850)</f>
        <v>https://www.dgiwg.org/FAD/fdd/view?i=108786</v>
      </c>
      <c r="L9850" s="36" t="s">
        <v>52494</v>
      </c>
      <c r="M9850" s="186"/>
      <c r="N9850" s="186"/>
      <c r="O9850" s="172"/>
    </row>
    <row r="9851" spans="1:15" ht="38.25" x14ac:dyDescent="0.2">
      <c r="A9851" s="197" t="str">
        <f t="shared" si="153"/>
        <v>TtcCode_guardTower</v>
      </c>
      <c r="B9851" s="409"/>
      <c r="C9851" s="416"/>
      <c r="D9851" s="198" t="s">
        <v>40271</v>
      </c>
      <c r="E9851" s="198">
        <v>21</v>
      </c>
      <c r="F9851" s="199" t="s">
        <v>40272</v>
      </c>
      <c r="G9851" s="1" t="s">
        <v>52495</v>
      </c>
      <c r="H9851" s="1" t="s">
        <v>52496</v>
      </c>
      <c r="I9851" s="346"/>
      <c r="J9851" s="39">
        <v>112839</v>
      </c>
      <c r="K9851" s="36" t="str">
        <f>CONCATENATE(Cover!$D$6,"fdd/view?i=",J9851)</f>
        <v>https://www.dgiwg.org/FAD/fdd/view?i=112839</v>
      </c>
      <c r="L9851" s="36" t="s">
        <v>52497</v>
      </c>
      <c r="M9851" s="186"/>
      <c r="N9851" s="186"/>
      <c r="O9851" s="172"/>
    </row>
    <row r="9852" spans="1:15" ht="25.5" x14ac:dyDescent="0.2">
      <c r="A9852" s="197" t="str">
        <f t="shared" si="153"/>
        <v>TtcCode_industrialTower</v>
      </c>
      <c r="B9852" s="409"/>
      <c r="C9852" s="416"/>
      <c r="D9852" s="198" t="s">
        <v>52498</v>
      </c>
      <c r="E9852" s="198">
        <v>22</v>
      </c>
      <c r="F9852" s="199" t="s">
        <v>52499</v>
      </c>
      <c r="G9852" s="1" t="s">
        <v>52500</v>
      </c>
      <c r="H9852" s="1" t="s">
        <v>52501</v>
      </c>
      <c r="I9852" s="346"/>
      <c r="J9852" s="39">
        <v>112840</v>
      </c>
      <c r="K9852" s="36" t="str">
        <f>CONCATENATE(Cover!$D$6,"fdd/view?i=",J9852)</f>
        <v>https://www.dgiwg.org/FAD/fdd/view?i=112840</v>
      </c>
      <c r="L9852" s="36" t="s">
        <v>52502</v>
      </c>
      <c r="M9852" s="186"/>
      <c r="N9852" s="186"/>
      <c r="O9852" s="172"/>
    </row>
    <row r="9853" spans="1:15" x14ac:dyDescent="0.2">
      <c r="A9853" s="197" t="str">
        <f t="shared" si="153"/>
        <v>TtcCode_lightTower</v>
      </c>
      <c r="B9853" s="409"/>
      <c r="C9853" s="416"/>
      <c r="D9853" s="198" t="s">
        <v>52503</v>
      </c>
      <c r="E9853" s="198">
        <v>5</v>
      </c>
      <c r="F9853" s="199" t="s">
        <v>52504</v>
      </c>
      <c r="G9853" s="1" t="s">
        <v>52505</v>
      </c>
      <c r="H9853" s="200"/>
      <c r="I9853" s="346"/>
      <c r="J9853" s="39">
        <v>108779</v>
      </c>
      <c r="K9853" s="36" t="str">
        <f>CONCATENATE(Cover!$D$6,"fdd/view?i=",J9853)</f>
        <v>https://www.dgiwg.org/FAD/fdd/view?i=108779</v>
      </c>
      <c r="L9853" s="36" t="s">
        <v>52506</v>
      </c>
      <c r="M9853" s="186"/>
      <c r="N9853" s="186"/>
      <c r="O9853" s="172"/>
    </row>
    <row r="9854" spans="1:15" x14ac:dyDescent="0.2">
      <c r="A9854" s="197" t="str">
        <f t="shared" si="153"/>
        <v>TtcCode_lookoutTower</v>
      </c>
      <c r="B9854" s="409"/>
      <c r="C9854" s="416"/>
      <c r="D9854" s="198" t="s">
        <v>52507</v>
      </c>
      <c r="E9854" s="198">
        <v>10</v>
      </c>
      <c r="F9854" s="199" t="s">
        <v>52508</v>
      </c>
      <c r="G9854" s="1" t="s">
        <v>52509</v>
      </c>
      <c r="H9854" s="1" t="s">
        <v>52510</v>
      </c>
      <c r="I9854" s="346"/>
      <c r="J9854" s="39">
        <v>108784</v>
      </c>
      <c r="K9854" s="36" t="str">
        <f>CONCATENATE(Cover!$D$6,"fdd/view?i=",J9854)</f>
        <v>https://www.dgiwg.org/FAD/fdd/view?i=108784</v>
      </c>
      <c r="L9854" s="36" t="s">
        <v>52511</v>
      </c>
      <c r="M9854" s="186"/>
      <c r="N9854" s="186"/>
      <c r="O9854" s="172"/>
    </row>
    <row r="9855" spans="1:15" ht="51" x14ac:dyDescent="0.2">
      <c r="A9855" s="197" t="str">
        <f t="shared" si="153"/>
        <v>TtcCode_loranTower</v>
      </c>
      <c r="B9855" s="409"/>
      <c r="C9855" s="416"/>
      <c r="D9855" s="198" t="s">
        <v>52512</v>
      </c>
      <c r="E9855" s="198">
        <v>15</v>
      </c>
      <c r="F9855" s="199" t="s">
        <v>52513</v>
      </c>
      <c r="G9855" s="1" t="s">
        <v>52514</v>
      </c>
      <c r="H9855" s="1" t="s">
        <v>52515</v>
      </c>
      <c r="I9855" s="346"/>
      <c r="J9855" s="39">
        <v>108789</v>
      </c>
      <c r="K9855" s="36" t="str">
        <f>CONCATENATE(Cover!$D$6,"fdd/view?i=",J9855)</f>
        <v>https://www.dgiwg.org/FAD/fdd/view?i=108789</v>
      </c>
      <c r="L9855" s="36" t="s">
        <v>52516</v>
      </c>
      <c r="M9855" s="186"/>
      <c r="N9855" s="186"/>
      <c r="O9855" s="172"/>
    </row>
    <row r="9856" spans="1:15" ht="25.5" x14ac:dyDescent="0.2">
      <c r="A9856" s="197" t="str">
        <f t="shared" si="153"/>
        <v>TtcCode_microwaveTower</v>
      </c>
      <c r="B9856" s="409"/>
      <c r="C9856" s="416"/>
      <c r="D9856" s="198" t="s">
        <v>52517</v>
      </c>
      <c r="E9856" s="198">
        <v>17</v>
      </c>
      <c r="F9856" s="199" t="s">
        <v>52518</v>
      </c>
      <c r="G9856" s="1" t="s">
        <v>52519</v>
      </c>
      <c r="H9856" s="200"/>
      <c r="I9856" s="346"/>
      <c r="J9856" s="39">
        <v>108791</v>
      </c>
      <c r="K9856" s="36" t="str">
        <f>CONCATENATE(Cover!$D$6,"fdd/view?i=",J9856)</f>
        <v>https://www.dgiwg.org/FAD/fdd/view?i=108791</v>
      </c>
      <c r="L9856" s="36" t="s">
        <v>52520</v>
      </c>
      <c r="M9856" s="186"/>
      <c r="N9856" s="186"/>
      <c r="O9856" s="172"/>
    </row>
    <row r="9857" spans="1:15" ht="51" x14ac:dyDescent="0.2">
      <c r="A9857" s="197" t="str">
        <f t="shared" si="153"/>
        <v>TtcCode_mineShaftSuperstructure</v>
      </c>
      <c r="B9857" s="409"/>
      <c r="C9857" s="416"/>
      <c r="D9857" s="198" t="s">
        <v>52521</v>
      </c>
      <c r="E9857" s="198">
        <v>26</v>
      </c>
      <c r="F9857" s="199" t="s">
        <v>4136</v>
      </c>
      <c r="G9857" s="1" t="s">
        <v>4137</v>
      </c>
      <c r="H9857" s="1" t="s">
        <v>4138</v>
      </c>
      <c r="I9857" s="351" t="s">
        <v>52522</v>
      </c>
      <c r="J9857" s="39">
        <v>118504</v>
      </c>
      <c r="K9857" s="36" t="str">
        <f>CONCATENATE(Cover!$D$6,"fdd/view?i=",J9857)</f>
        <v>https://www.dgiwg.org/FAD/fdd/view?i=118504</v>
      </c>
      <c r="L9857" s="36" t="s">
        <v>52523</v>
      </c>
      <c r="M9857" s="186"/>
      <c r="N9857" s="186"/>
      <c r="O9857" s="172"/>
    </row>
    <row r="9858" spans="1:15" ht="25.5" x14ac:dyDescent="0.2">
      <c r="A9858" s="197" t="str">
        <f t="shared" ref="A9858:A9921" si="154">HYPERLINK(K9858,L9858)</f>
        <v>TtcCode_observationTower</v>
      </c>
      <c r="B9858" s="409"/>
      <c r="C9858" s="416"/>
      <c r="D9858" s="198" t="s">
        <v>52524</v>
      </c>
      <c r="E9858" s="198">
        <v>2</v>
      </c>
      <c r="F9858" s="199" t="s">
        <v>52525</v>
      </c>
      <c r="G9858" s="1" t="s">
        <v>52526</v>
      </c>
      <c r="H9858" s="1" t="s">
        <v>52527</v>
      </c>
      <c r="I9858" s="346"/>
      <c r="J9858" s="39">
        <v>108776</v>
      </c>
      <c r="K9858" s="36" t="str">
        <f>CONCATENATE(Cover!$D$6,"fdd/view?i=",J9858)</f>
        <v>https://www.dgiwg.org/FAD/fdd/view?i=108776</v>
      </c>
      <c r="L9858" s="36" t="s">
        <v>52528</v>
      </c>
      <c r="M9858" s="186"/>
      <c r="N9858" s="186"/>
      <c r="O9858" s="172"/>
    </row>
    <row r="9859" spans="1:15" ht="38.25" x14ac:dyDescent="0.2">
      <c r="A9859" s="197" t="str">
        <f t="shared" si="154"/>
        <v>TtcCode_powerLinePylon</v>
      </c>
      <c r="B9859" s="409"/>
      <c r="C9859" s="416"/>
      <c r="D9859" s="198" t="s">
        <v>52529</v>
      </c>
      <c r="E9859" s="198">
        <v>14</v>
      </c>
      <c r="F9859" s="199" t="s">
        <v>4514</v>
      </c>
      <c r="G9859" s="1" t="s">
        <v>4515</v>
      </c>
      <c r="H9859" s="1" t="s">
        <v>4516</v>
      </c>
      <c r="I9859" s="346"/>
      <c r="J9859" s="39">
        <v>108788</v>
      </c>
      <c r="K9859" s="36" t="str">
        <f>CONCATENATE(Cover!$D$6,"fdd/view?i=",J9859)</f>
        <v>https://www.dgiwg.org/FAD/fdd/view?i=108788</v>
      </c>
      <c r="L9859" s="36" t="s">
        <v>52530</v>
      </c>
      <c r="M9859" s="186"/>
      <c r="N9859" s="186"/>
      <c r="O9859" s="172"/>
    </row>
    <row r="9860" spans="1:15" ht="25.5" x14ac:dyDescent="0.2">
      <c r="A9860" s="197" t="str">
        <f t="shared" si="154"/>
        <v>TtcCode_radarTower</v>
      </c>
      <c r="B9860" s="409"/>
      <c r="C9860" s="416"/>
      <c r="D9860" s="198" t="s">
        <v>52531</v>
      </c>
      <c r="E9860" s="198">
        <v>9</v>
      </c>
      <c r="F9860" s="199" t="s">
        <v>52532</v>
      </c>
      <c r="G9860" s="1" t="s">
        <v>52533</v>
      </c>
      <c r="H9860" s="200"/>
      <c r="I9860" s="346"/>
      <c r="J9860" s="39">
        <v>108783</v>
      </c>
      <c r="K9860" s="36" t="str">
        <f>CONCATENATE(Cover!$D$6,"fdd/view?i=",J9860)</f>
        <v>https://www.dgiwg.org/FAD/fdd/view?i=108783</v>
      </c>
      <c r="L9860" s="36" t="s">
        <v>52534</v>
      </c>
      <c r="M9860" s="186"/>
      <c r="N9860" s="186"/>
      <c r="O9860" s="172"/>
    </row>
    <row r="9861" spans="1:15" ht="25.5" x14ac:dyDescent="0.2">
      <c r="A9861" s="197" t="str">
        <f t="shared" si="154"/>
        <v>TtcCode_radioTower</v>
      </c>
      <c r="B9861" s="409"/>
      <c r="C9861" s="416"/>
      <c r="D9861" s="198" t="s">
        <v>52535</v>
      </c>
      <c r="E9861" s="198">
        <v>7</v>
      </c>
      <c r="F9861" s="199" t="s">
        <v>52536</v>
      </c>
      <c r="G9861" s="1" t="s">
        <v>52537</v>
      </c>
      <c r="H9861" s="200"/>
      <c r="I9861" s="346"/>
      <c r="J9861" s="39">
        <v>108781</v>
      </c>
      <c r="K9861" s="36" t="str">
        <f>CONCATENATE(Cover!$D$6,"fdd/view?i=",J9861)</f>
        <v>https://www.dgiwg.org/FAD/fdd/view?i=108781</v>
      </c>
      <c r="L9861" s="36" t="s">
        <v>52538</v>
      </c>
      <c r="M9861" s="186"/>
      <c r="N9861" s="186"/>
      <c r="O9861" s="172"/>
    </row>
    <row r="9862" spans="1:15" ht="51" x14ac:dyDescent="0.2">
      <c r="A9862" s="197" t="str">
        <f t="shared" si="154"/>
        <v>TtcCode_solarPowerTower</v>
      </c>
      <c r="B9862" s="409"/>
      <c r="C9862" s="416"/>
      <c r="D9862" s="198" t="s">
        <v>52539</v>
      </c>
      <c r="E9862" s="198">
        <v>24</v>
      </c>
      <c r="F9862" s="199" t="s">
        <v>52540</v>
      </c>
      <c r="G9862" s="1" t="s">
        <v>52541</v>
      </c>
      <c r="H9862" s="1" t="s">
        <v>52542</v>
      </c>
      <c r="I9862" s="346"/>
      <c r="J9862" s="39">
        <v>119112</v>
      </c>
      <c r="K9862" s="36" t="str">
        <f>CONCATENATE(Cover!$D$6,"fdd/view?i=",J9862)</f>
        <v>https://www.dgiwg.org/FAD/fdd/view?i=119112</v>
      </c>
      <c r="L9862" s="36" t="s">
        <v>52543</v>
      </c>
      <c r="M9862" s="186"/>
      <c r="N9862" s="186"/>
      <c r="O9862" s="172"/>
    </row>
    <row r="9863" spans="1:15" ht="25.5" x14ac:dyDescent="0.2">
      <c r="A9863" s="197" t="str">
        <f t="shared" si="154"/>
        <v>TtcCode_telecommunicationTower</v>
      </c>
      <c r="B9863" s="409"/>
      <c r="C9863" s="416"/>
      <c r="D9863" s="198" t="s">
        <v>52544</v>
      </c>
      <c r="E9863" s="198">
        <v>20</v>
      </c>
      <c r="F9863" s="199" t="s">
        <v>52545</v>
      </c>
      <c r="G9863" s="1" t="s">
        <v>52546</v>
      </c>
      <c r="H9863" s="200"/>
      <c r="I9863" s="346"/>
      <c r="J9863" s="39">
        <v>112838</v>
      </c>
      <c r="K9863" s="36" t="str">
        <f>CONCATENATE(Cover!$D$6,"fdd/view?i=",J9863)</f>
        <v>https://www.dgiwg.org/FAD/fdd/view?i=112838</v>
      </c>
      <c r="L9863" s="36" t="s">
        <v>52547</v>
      </c>
      <c r="M9863" s="186"/>
      <c r="N9863" s="186"/>
      <c r="O9863" s="172"/>
    </row>
    <row r="9864" spans="1:15" ht="25.5" x14ac:dyDescent="0.2">
      <c r="A9864" s="197" t="str">
        <f t="shared" si="154"/>
        <v>TtcCode_televisionTower</v>
      </c>
      <c r="B9864" s="409"/>
      <c r="C9864" s="416"/>
      <c r="D9864" s="198" t="s">
        <v>52548</v>
      </c>
      <c r="E9864" s="198">
        <v>11</v>
      </c>
      <c r="F9864" s="199" t="s">
        <v>52549</v>
      </c>
      <c r="G9864" s="1" t="s">
        <v>52550</v>
      </c>
      <c r="H9864" s="200"/>
      <c r="I9864" s="346"/>
      <c r="J9864" s="39">
        <v>108785</v>
      </c>
      <c r="K9864" s="36" t="str">
        <f>CONCATENATE(Cover!$D$6,"fdd/view?i=",J9864)</f>
        <v>https://www.dgiwg.org/FAD/fdd/view?i=108785</v>
      </c>
      <c r="L9864" s="36" t="s">
        <v>52551</v>
      </c>
      <c r="M9864" s="186"/>
      <c r="N9864" s="186"/>
      <c r="O9864" s="172"/>
    </row>
    <row r="9865" spans="1:15" x14ac:dyDescent="0.2">
      <c r="A9865" s="203" t="str">
        <f t="shared" si="154"/>
        <v>TtcCode_waterTower</v>
      </c>
      <c r="B9865" s="410"/>
      <c r="C9865" s="417"/>
      <c r="D9865" s="204" t="s">
        <v>52552</v>
      </c>
      <c r="E9865" s="204">
        <v>6</v>
      </c>
      <c r="F9865" s="205" t="s">
        <v>5803</v>
      </c>
      <c r="G9865" s="206" t="s">
        <v>5804</v>
      </c>
      <c r="H9865" s="207"/>
      <c r="I9865" s="347"/>
      <c r="J9865" s="39">
        <v>108780</v>
      </c>
      <c r="K9865" s="36" t="str">
        <f>CONCATENATE(Cover!$D$6,"fdd/view?i=",J9865)</f>
        <v>https://www.dgiwg.org/FAD/fdd/view?i=108780</v>
      </c>
      <c r="L9865" s="36" t="s">
        <v>52553</v>
      </c>
      <c r="M9865" s="186"/>
      <c r="N9865" s="186"/>
      <c r="O9865" s="172"/>
    </row>
    <row r="9866" spans="1:15" ht="38.25" x14ac:dyDescent="0.2">
      <c r="A9866" s="190" t="str">
        <f t="shared" si="154"/>
        <v>TrtCode_craneTrack</v>
      </c>
      <c r="B9866" s="414" t="str">
        <f>HYPERLINK("[#]Datatypes!A1590:L1590","TrtCode")</f>
        <v>TrtCode</v>
      </c>
      <c r="C9866" s="415" t="s">
        <v>16221</v>
      </c>
      <c r="D9866" s="221" t="s">
        <v>52554</v>
      </c>
      <c r="E9866" s="221">
        <v>1</v>
      </c>
      <c r="F9866" s="222" t="s">
        <v>52555</v>
      </c>
      <c r="G9866" s="223" t="s">
        <v>52556</v>
      </c>
      <c r="H9866" s="223" t="s">
        <v>52557</v>
      </c>
      <c r="I9866" s="345"/>
      <c r="J9866" s="39">
        <v>109866</v>
      </c>
      <c r="K9866" s="36" t="str">
        <f>CONCATENATE(Cover!$D$6,"fdd/view?i=",J9866)</f>
        <v>https://www.dgiwg.org/FAD/fdd/view?i=109866</v>
      </c>
      <c r="L9866" s="36" t="s">
        <v>52558</v>
      </c>
      <c r="M9866" s="186"/>
      <c r="N9866" s="186"/>
      <c r="O9866" s="172"/>
    </row>
    <row r="9867" spans="1:15" ht="25.5" x14ac:dyDescent="0.2">
      <c r="A9867" s="197" t="str">
        <f t="shared" si="154"/>
        <v>TrtCode_drillTrack</v>
      </c>
      <c r="B9867" s="409"/>
      <c r="C9867" s="416"/>
      <c r="D9867" s="198" t="s">
        <v>52559</v>
      </c>
      <c r="E9867" s="198">
        <v>2</v>
      </c>
      <c r="F9867" s="199" t="s">
        <v>52560</v>
      </c>
      <c r="G9867" s="1" t="s">
        <v>52561</v>
      </c>
      <c r="H9867" s="200"/>
      <c r="I9867" s="346"/>
      <c r="J9867" s="39">
        <v>109869</v>
      </c>
      <c r="K9867" s="36" t="str">
        <f>CONCATENATE(Cover!$D$6,"fdd/view?i=",J9867)</f>
        <v>https://www.dgiwg.org/FAD/fdd/view?i=109869</v>
      </c>
      <c r="L9867" s="36" t="s">
        <v>52562</v>
      </c>
      <c r="M9867" s="186"/>
      <c r="N9867" s="186"/>
      <c r="O9867" s="172"/>
    </row>
    <row r="9868" spans="1:15" ht="25.5" x14ac:dyDescent="0.2">
      <c r="A9868" s="197" t="str">
        <f t="shared" si="154"/>
        <v>TrtCode_houseTrack</v>
      </c>
      <c r="B9868" s="409"/>
      <c r="C9868" s="416"/>
      <c r="D9868" s="198" t="s">
        <v>52563</v>
      </c>
      <c r="E9868" s="198">
        <v>3</v>
      </c>
      <c r="F9868" s="199" t="s">
        <v>52564</v>
      </c>
      <c r="G9868" s="1" t="s">
        <v>52565</v>
      </c>
      <c r="H9868" s="1" t="s">
        <v>52566</v>
      </c>
      <c r="I9868" s="346"/>
      <c r="J9868" s="39">
        <v>109870</v>
      </c>
      <c r="K9868" s="36" t="str">
        <f>CONCATENATE(Cover!$D$6,"fdd/view?i=",J9868)</f>
        <v>https://www.dgiwg.org/FAD/fdd/view?i=109870</v>
      </c>
      <c r="L9868" s="36" t="s">
        <v>52567</v>
      </c>
      <c r="M9868" s="186"/>
      <c r="N9868" s="186"/>
      <c r="O9868" s="172"/>
    </row>
    <row r="9869" spans="1:15" ht="25.5" x14ac:dyDescent="0.2">
      <c r="A9869" s="197" t="str">
        <f t="shared" si="154"/>
        <v>TrtCode_jointTrack</v>
      </c>
      <c r="B9869" s="409"/>
      <c r="C9869" s="416"/>
      <c r="D9869" s="198" t="s">
        <v>52568</v>
      </c>
      <c r="E9869" s="198">
        <v>4</v>
      </c>
      <c r="F9869" s="199" t="s">
        <v>52569</v>
      </c>
      <c r="G9869" s="1" t="s">
        <v>52570</v>
      </c>
      <c r="H9869" s="200"/>
      <c r="I9869" s="346"/>
      <c r="J9869" s="39">
        <v>109871</v>
      </c>
      <c r="K9869" s="36" t="str">
        <f>CONCATENATE(Cover!$D$6,"fdd/view?i=",J9869)</f>
        <v>https://www.dgiwg.org/FAD/fdd/view?i=109871</v>
      </c>
      <c r="L9869" s="36" t="s">
        <v>52571</v>
      </c>
      <c r="M9869" s="186"/>
      <c r="N9869" s="186"/>
      <c r="O9869" s="172"/>
    </row>
    <row r="9870" spans="1:15" ht="25.5" x14ac:dyDescent="0.2">
      <c r="A9870" s="197" t="str">
        <f t="shared" si="154"/>
        <v>TrtCode_ladderTrack</v>
      </c>
      <c r="B9870" s="409"/>
      <c r="C9870" s="416"/>
      <c r="D9870" s="198" t="s">
        <v>52572</v>
      </c>
      <c r="E9870" s="198">
        <v>5</v>
      </c>
      <c r="F9870" s="199" t="s">
        <v>52573</v>
      </c>
      <c r="G9870" s="1" t="s">
        <v>52574</v>
      </c>
      <c r="H9870" s="200"/>
      <c r="I9870" s="346"/>
      <c r="J9870" s="39">
        <v>109872</v>
      </c>
      <c r="K9870" s="36" t="str">
        <f>CONCATENATE(Cover!$D$6,"fdd/view?i=",J9870)</f>
        <v>https://www.dgiwg.org/FAD/fdd/view?i=109872</v>
      </c>
      <c r="L9870" s="36" t="s">
        <v>52575</v>
      </c>
      <c r="M9870" s="186"/>
      <c r="N9870" s="186"/>
      <c r="O9870" s="172"/>
    </row>
    <row r="9871" spans="1:15" ht="25.5" x14ac:dyDescent="0.2">
      <c r="A9871" s="197" t="str">
        <f t="shared" si="154"/>
        <v>TrtCode_maglev</v>
      </c>
      <c r="B9871" s="409"/>
      <c r="C9871" s="416"/>
      <c r="D9871" s="198" t="s">
        <v>52576</v>
      </c>
      <c r="E9871" s="198">
        <v>13</v>
      </c>
      <c r="F9871" s="199" t="s">
        <v>52577</v>
      </c>
      <c r="G9871" s="1" t="s">
        <v>52578</v>
      </c>
      <c r="H9871" s="1" t="s">
        <v>52579</v>
      </c>
      <c r="I9871" s="346"/>
      <c r="J9871" s="39">
        <v>110574</v>
      </c>
      <c r="K9871" s="36" t="str">
        <f>CONCATENATE(Cover!$D$6,"fdd/view?i=",J9871)</f>
        <v>https://www.dgiwg.org/FAD/fdd/view?i=110574</v>
      </c>
      <c r="L9871" s="36" t="s">
        <v>52580</v>
      </c>
      <c r="M9871" s="186"/>
      <c r="N9871" s="186"/>
      <c r="O9871" s="172"/>
    </row>
    <row r="9872" spans="1:15" ht="25.5" x14ac:dyDescent="0.2">
      <c r="A9872" s="197" t="str">
        <f t="shared" si="154"/>
        <v>TrtCode_monorail</v>
      </c>
      <c r="B9872" s="409"/>
      <c r="C9872" s="416"/>
      <c r="D9872" s="198" t="s">
        <v>52581</v>
      </c>
      <c r="E9872" s="198">
        <v>12</v>
      </c>
      <c r="F9872" s="199" t="s">
        <v>44269</v>
      </c>
      <c r="G9872" s="1" t="s">
        <v>44270</v>
      </c>
      <c r="H9872" s="200"/>
      <c r="I9872" s="346"/>
      <c r="J9872" s="39">
        <v>110573</v>
      </c>
      <c r="K9872" s="36" t="str">
        <f>CONCATENATE(Cover!$D$6,"fdd/view?i=",J9872)</f>
        <v>https://www.dgiwg.org/FAD/fdd/view?i=110573</v>
      </c>
      <c r="L9872" s="36" t="s">
        <v>52582</v>
      </c>
      <c r="M9872" s="186"/>
      <c r="N9872" s="186"/>
      <c r="O9872" s="172"/>
    </row>
    <row r="9873" spans="1:15" ht="51" x14ac:dyDescent="0.2">
      <c r="A9873" s="197" t="str">
        <f t="shared" si="154"/>
        <v>TrtCode_pairedTrack</v>
      </c>
      <c r="B9873" s="409"/>
      <c r="C9873" s="416"/>
      <c r="D9873" s="198" t="s">
        <v>52583</v>
      </c>
      <c r="E9873" s="198">
        <v>6</v>
      </c>
      <c r="F9873" s="199" t="s">
        <v>52584</v>
      </c>
      <c r="G9873" s="1" t="s">
        <v>52585</v>
      </c>
      <c r="H9873" s="200"/>
      <c r="I9873" s="346"/>
      <c r="J9873" s="39">
        <v>109873</v>
      </c>
      <c r="K9873" s="36" t="str">
        <f>CONCATENATE(Cover!$D$6,"fdd/view?i=",J9873)</f>
        <v>https://www.dgiwg.org/FAD/fdd/view?i=109873</v>
      </c>
      <c r="L9873" s="36" t="s">
        <v>52586</v>
      </c>
      <c r="M9873" s="186"/>
      <c r="N9873" s="186"/>
      <c r="O9873" s="172"/>
    </row>
    <row r="9874" spans="1:15" ht="25.5" x14ac:dyDescent="0.2">
      <c r="A9874" s="197" t="str">
        <f t="shared" si="154"/>
        <v>TrtCode_ripTrack</v>
      </c>
      <c r="B9874" s="409"/>
      <c r="C9874" s="416"/>
      <c r="D9874" s="198" t="s">
        <v>52587</v>
      </c>
      <c r="E9874" s="198">
        <v>7</v>
      </c>
      <c r="F9874" s="199" t="s">
        <v>52588</v>
      </c>
      <c r="G9874" s="1" t="s">
        <v>52589</v>
      </c>
      <c r="H9874" s="1" t="s">
        <v>52590</v>
      </c>
      <c r="I9874" s="346"/>
      <c r="J9874" s="39">
        <v>109874</v>
      </c>
      <c r="K9874" s="36" t="str">
        <f>CONCATENATE(Cover!$D$6,"fdd/view?i=",J9874)</f>
        <v>https://www.dgiwg.org/FAD/fdd/view?i=109874</v>
      </c>
      <c r="L9874" s="36" t="s">
        <v>52591</v>
      </c>
      <c r="M9874" s="186"/>
      <c r="N9874" s="186"/>
      <c r="O9874" s="172"/>
    </row>
    <row r="9875" spans="1:15" ht="25.5" x14ac:dyDescent="0.2">
      <c r="A9875" s="197" t="str">
        <f t="shared" si="154"/>
        <v>TrtCode_sidetrack</v>
      </c>
      <c r="B9875" s="409"/>
      <c r="C9875" s="416"/>
      <c r="D9875" s="198" t="s">
        <v>52592</v>
      </c>
      <c r="E9875" s="198">
        <v>8</v>
      </c>
      <c r="F9875" s="199" t="s">
        <v>52593</v>
      </c>
      <c r="G9875" s="1" t="s">
        <v>52594</v>
      </c>
      <c r="H9875" s="200"/>
      <c r="I9875" s="346"/>
      <c r="J9875" s="39">
        <v>109875</v>
      </c>
      <c r="K9875" s="36" t="str">
        <f>CONCATENATE(Cover!$D$6,"fdd/view?i=",J9875)</f>
        <v>https://www.dgiwg.org/FAD/fdd/view?i=109875</v>
      </c>
      <c r="L9875" s="36" t="s">
        <v>52595</v>
      </c>
      <c r="M9875" s="186"/>
      <c r="N9875" s="186"/>
      <c r="O9875" s="172"/>
    </row>
    <row r="9876" spans="1:15" ht="38.25" x14ac:dyDescent="0.2">
      <c r="A9876" s="197" t="str">
        <f t="shared" si="154"/>
        <v>TrtCode_stubTrack</v>
      </c>
      <c r="B9876" s="409"/>
      <c r="C9876" s="416"/>
      <c r="D9876" s="198" t="s">
        <v>52596</v>
      </c>
      <c r="E9876" s="198">
        <v>9</v>
      </c>
      <c r="F9876" s="199" t="s">
        <v>52597</v>
      </c>
      <c r="G9876" s="1" t="s">
        <v>52598</v>
      </c>
      <c r="H9876" s="200"/>
      <c r="I9876" s="346"/>
      <c r="J9876" s="39">
        <v>109876</v>
      </c>
      <c r="K9876" s="36" t="str">
        <f>CONCATENATE(Cover!$D$6,"fdd/view?i=",J9876)</f>
        <v>https://www.dgiwg.org/FAD/fdd/view?i=109876</v>
      </c>
      <c r="L9876" s="36" t="s">
        <v>52599</v>
      </c>
      <c r="M9876" s="186"/>
      <c r="N9876" s="186"/>
      <c r="O9876" s="172"/>
    </row>
    <row r="9877" spans="1:15" ht="25.5" x14ac:dyDescent="0.2">
      <c r="A9877" s="197" t="str">
        <f t="shared" si="154"/>
        <v>TrtCode_teamTrack</v>
      </c>
      <c r="B9877" s="409"/>
      <c r="C9877" s="416"/>
      <c r="D9877" s="198" t="s">
        <v>52600</v>
      </c>
      <c r="E9877" s="198">
        <v>10</v>
      </c>
      <c r="F9877" s="199" t="s">
        <v>52601</v>
      </c>
      <c r="G9877" s="1" t="s">
        <v>52602</v>
      </c>
      <c r="H9877" s="200"/>
      <c r="I9877" s="346"/>
      <c r="J9877" s="39">
        <v>109867</v>
      </c>
      <c r="K9877" s="36" t="str">
        <f>CONCATENATE(Cover!$D$6,"fdd/view?i=",J9877)</f>
        <v>https://www.dgiwg.org/FAD/fdd/view?i=109867</v>
      </c>
      <c r="L9877" s="36" t="s">
        <v>52603</v>
      </c>
      <c r="M9877" s="186"/>
      <c r="N9877" s="186"/>
      <c r="O9877" s="172"/>
    </row>
    <row r="9878" spans="1:15" ht="25.5" x14ac:dyDescent="0.2">
      <c r="A9878" s="203" t="str">
        <f t="shared" si="154"/>
        <v>TrtCode_turntable</v>
      </c>
      <c r="B9878" s="410"/>
      <c r="C9878" s="417"/>
      <c r="D9878" s="204" t="s">
        <v>52604</v>
      </c>
      <c r="E9878" s="204">
        <v>11</v>
      </c>
      <c r="F9878" s="205" t="s">
        <v>52605</v>
      </c>
      <c r="G9878" s="206" t="s">
        <v>52606</v>
      </c>
      <c r="H9878" s="207"/>
      <c r="I9878" s="347"/>
      <c r="J9878" s="39">
        <v>109868</v>
      </c>
      <c r="K9878" s="36" t="str">
        <f>CONCATENATE(Cover!$D$6,"fdd/view?i=",J9878)</f>
        <v>https://www.dgiwg.org/FAD/fdd/view?i=109868</v>
      </c>
      <c r="L9878" s="36" t="s">
        <v>52607</v>
      </c>
      <c r="M9878" s="186"/>
      <c r="N9878" s="186"/>
      <c r="O9878" s="172"/>
    </row>
    <row r="9879" spans="1:15" ht="25.5" x14ac:dyDescent="0.2">
      <c r="A9879" s="190" t="str">
        <f t="shared" si="154"/>
        <v>TrfCode_inbound</v>
      </c>
      <c r="B9879" s="414" t="str">
        <f>HYPERLINK("[#]Datatypes!A1592:L1592","TrfCode")</f>
        <v>TrfCode</v>
      </c>
      <c r="C9879" s="415" t="s">
        <v>16223</v>
      </c>
      <c r="D9879" s="221" t="s">
        <v>52608</v>
      </c>
      <c r="E9879" s="221">
        <v>1</v>
      </c>
      <c r="F9879" s="222" t="s">
        <v>52609</v>
      </c>
      <c r="G9879" s="223" t="s">
        <v>52610</v>
      </c>
      <c r="H9879" s="224"/>
      <c r="I9879" s="345"/>
      <c r="J9879" s="39">
        <v>108685</v>
      </c>
      <c r="K9879" s="36" t="str">
        <f>CONCATENATE(Cover!$D$6,"fdd/view?i=",J9879)</f>
        <v>https://www.dgiwg.org/FAD/fdd/view?i=108685</v>
      </c>
      <c r="L9879" s="36" t="s">
        <v>52611</v>
      </c>
      <c r="M9879" s="186"/>
      <c r="N9879" s="186"/>
      <c r="O9879" s="172"/>
    </row>
    <row r="9880" spans="1:15" x14ac:dyDescent="0.2">
      <c r="A9880" s="197" t="str">
        <f t="shared" si="154"/>
        <v>TrfCode_oneWay</v>
      </c>
      <c r="B9880" s="409"/>
      <c r="C9880" s="416"/>
      <c r="D9880" s="198" t="s">
        <v>11273</v>
      </c>
      <c r="E9880" s="198">
        <v>3</v>
      </c>
      <c r="F9880" s="199" t="s">
        <v>11275</v>
      </c>
      <c r="G9880" s="1" t="s">
        <v>52612</v>
      </c>
      <c r="H9880" s="200"/>
      <c r="I9880" s="346"/>
      <c r="J9880" s="39">
        <v>108687</v>
      </c>
      <c r="K9880" s="36" t="str">
        <f>CONCATENATE(Cover!$D$6,"fdd/view?i=",J9880)</f>
        <v>https://www.dgiwg.org/FAD/fdd/view?i=108687</v>
      </c>
      <c r="L9880" s="36" t="s">
        <v>52613</v>
      </c>
      <c r="M9880" s="186"/>
      <c r="N9880" s="186"/>
      <c r="O9880" s="172"/>
    </row>
    <row r="9881" spans="1:15" ht="25.5" x14ac:dyDescent="0.2">
      <c r="A9881" s="197" t="str">
        <f t="shared" si="154"/>
        <v>TrfCode_outbound</v>
      </c>
      <c r="B9881" s="409"/>
      <c r="C9881" s="416"/>
      <c r="D9881" s="198" t="s">
        <v>52614</v>
      </c>
      <c r="E9881" s="198">
        <v>2</v>
      </c>
      <c r="F9881" s="199" t="s">
        <v>52615</v>
      </c>
      <c r="G9881" s="1" t="s">
        <v>52616</v>
      </c>
      <c r="H9881" s="200"/>
      <c r="I9881" s="346"/>
      <c r="J9881" s="39">
        <v>108686</v>
      </c>
      <c r="K9881" s="36" t="str">
        <f>CONCATENATE(Cover!$D$6,"fdd/view?i=",J9881)</f>
        <v>https://www.dgiwg.org/FAD/fdd/view?i=108686</v>
      </c>
      <c r="L9881" s="36" t="s">
        <v>52617</v>
      </c>
      <c r="M9881" s="186"/>
      <c r="N9881" s="186"/>
      <c r="O9881" s="172"/>
    </row>
    <row r="9882" spans="1:15" x14ac:dyDescent="0.2">
      <c r="A9882" s="203" t="str">
        <f t="shared" si="154"/>
        <v>TrfCode_twoWay</v>
      </c>
      <c r="B9882" s="410"/>
      <c r="C9882" s="417"/>
      <c r="D9882" s="204" t="s">
        <v>52618</v>
      </c>
      <c r="E9882" s="204">
        <v>4</v>
      </c>
      <c r="F9882" s="205" t="s">
        <v>52619</v>
      </c>
      <c r="G9882" s="206" t="s">
        <v>52620</v>
      </c>
      <c r="H9882" s="207"/>
      <c r="I9882" s="347"/>
      <c r="J9882" s="39">
        <v>108688</v>
      </c>
      <c r="K9882" s="36" t="str">
        <f>CONCATENATE(Cover!$D$6,"fdd/view?i=",J9882)</f>
        <v>https://www.dgiwg.org/FAD/fdd/view?i=108688</v>
      </c>
      <c r="L9882" s="36" t="s">
        <v>52621</v>
      </c>
      <c r="M9882" s="186"/>
      <c r="N9882" s="186"/>
      <c r="O9882" s="172"/>
    </row>
    <row r="9883" spans="1:15" ht="178.5" x14ac:dyDescent="0.2">
      <c r="A9883" s="190" t="str">
        <f t="shared" si="154"/>
        <v>TmyCode_automaticTrafficCounter</v>
      </c>
      <c r="B9883" s="414" t="str">
        <f>HYPERLINK("[#]Datatypes!A1594:L1594","TmyCode")</f>
        <v>TmyCode</v>
      </c>
      <c r="C9883" s="415" t="s">
        <v>16225</v>
      </c>
      <c r="D9883" s="221" t="s">
        <v>52622</v>
      </c>
      <c r="E9883" s="221">
        <v>1</v>
      </c>
      <c r="F9883" s="222" t="s">
        <v>52623</v>
      </c>
      <c r="G9883" s="223" t="s">
        <v>52624</v>
      </c>
      <c r="H9883" s="223" t="s">
        <v>52625</v>
      </c>
      <c r="I9883" s="345"/>
      <c r="J9883" s="39">
        <v>119076</v>
      </c>
      <c r="K9883" s="36" t="str">
        <f>CONCATENATE(Cover!$D$6,"fdd/view?i=",J9883)</f>
        <v>https://www.dgiwg.org/FAD/fdd/view?i=119076</v>
      </c>
      <c r="L9883" s="36" t="s">
        <v>52626</v>
      </c>
      <c r="M9883" s="186"/>
      <c r="N9883" s="186"/>
      <c r="O9883" s="172"/>
    </row>
    <row r="9884" spans="1:15" ht="51" x14ac:dyDescent="0.2">
      <c r="A9884" s="197" t="str">
        <f t="shared" si="154"/>
        <v>TmyCode_video</v>
      </c>
      <c r="B9884" s="409"/>
      <c r="C9884" s="416"/>
      <c r="D9884" s="198" t="s">
        <v>25509</v>
      </c>
      <c r="E9884" s="198">
        <v>2</v>
      </c>
      <c r="F9884" s="199" t="s">
        <v>25510</v>
      </c>
      <c r="G9884" s="1" t="s">
        <v>52627</v>
      </c>
      <c r="H9884" s="1" t="s">
        <v>52628</v>
      </c>
      <c r="I9884" s="346"/>
      <c r="J9884" s="39">
        <v>119077</v>
      </c>
      <c r="K9884" s="36" t="str">
        <f>CONCATENATE(Cover!$D$6,"fdd/view?i=",J9884)</f>
        <v>https://www.dgiwg.org/FAD/fdd/view?i=119077</v>
      </c>
      <c r="L9884" s="36" t="s">
        <v>52629</v>
      </c>
      <c r="M9884" s="186"/>
      <c r="N9884" s="186"/>
      <c r="O9884" s="172"/>
    </row>
    <row r="9885" spans="1:15" ht="38.25" x14ac:dyDescent="0.2">
      <c r="A9885" s="203" t="str">
        <f t="shared" si="154"/>
        <v>TmyCode_weighInMotion</v>
      </c>
      <c r="B9885" s="410"/>
      <c r="C9885" s="417"/>
      <c r="D9885" s="204" t="s">
        <v>52630</v>
      </c>
      <c r="E9885" s="204">
        <v>3</v>
      </c>
      <c r="F9885" s="205" t="s">
        <v>52631</v>
      </c>
      <c r="G9885" s="206" t="s">
        <v>52632</v>
      </c>
      <c r="H9885" s="206" t="s">
        <v>52633</v>
      </c>
      <c r="I9885" s="347"/>
      <c r="J9885" s="39">
        <v>119078</v>
      </c>
      <c r="K9885" s="36" t="str">
        <f>CONCATENATE(Cover!$D$6,"fdd/view?i=",J9885)</f>
        <v>https://www.dgiwg.org/FAD/fdd/view?i=119078</v>
      </c>
      <c r="L9885" s="36" t="s">
        <v>52634</v>
      </c>
      <c r="M9885" s="186"/>
      <c r="N9885" s="186"/>
      <c r="O9885" s="172"/>
    </row>
    <row r="9886" spans="1:15" ht="25.5" x14ac:dyDescent="0.2">
      <c r="A9886" s="190" t="str">
        <f t="shared" si="154"/>
        <v>SreCode_potholes</v>
      </c>
      <c r="B9886" s="414" t="str">
        <f>HYPERLINK("[#]Datatypes!A1596:L1596","SreCode")</f>
        <v>SreCode</v>
      </c>
      <c r="C9886" s="415" t="s">
        <v>16227</v>
      </c>
      <c r="D9886" s="221" t="s">
        <v>52635</v>
      </c>
      <c r="E9886" s="221">
        <v>7</v>
      </c>
      <c r="F9886" s="222" t="s">
        <v>52636</v>
      </c>
      <c r="G9886" s="223" t="s">
        <v>52637</v>
      </c>
      <c r="H9886" s="224"/>
      <c r="I9886" s="345"/>
      <c r="J9886" s="39">
        <v>118357</v>
      </c>
      <c r="K9886" s="36" t="str">
        <f>CONCATENATE(Cover!$D$6,"fdd/view?i=",J9886)</f>
        <v>https://www.dgiwg.org/FAD/fdd/view?i=118357</v>
      </c>
      <c r="L9886" s="36" t="s">
        <v>52638</v>
      </c>
      <c r="M9886" s="186"/>
      <c r="N9886" s="186"/>
      <c r="O9886" s="172"/>
    </row>
    <row r="9887" spans="1:15" ht="25.5" x14ac:dyDescent="0.2">
      <c r="A9887" s="197" t="str">
        <f t="shared" si="154"/>
        <v>SreCode_railwaySwitch</v>
      </c>
      <c r="B9887" s="409"/>
      <c r="C9887" s="416"/>
      <c r="D9887" s="198" t="s">
        <v>46276</v>
      </c>
      <c r="E9887" s="198">
        <v>1</v>
      </c>
      <c r="F9887" s="199" t="s">
        <v>4641</v>
      </c>
      <c r="G9887" s="1" t="s">
        <v>4642</v>
      </c>
      <c r="H9887" s="200"/>
      <c r="I9887" s="346"/>
      <c r="J9887" s="39">
        <v>117960</v>
      </c>
      <c r="K9887" s="36" t="str">
        <f>CONCATENATE(Cover!$D$6,"fdd/view?i=",J9887)</f>
        <v>https://www.dgiwg.org/FAD/fdd/view?i=117960</v>
      </c>
      <c r="L9887" s="36" t="s">
        <v>52639</v>
      </c>
      <c r="M9887" s="186"/>
      <c r="N9887" s="186"/>
      <c r="O9887" s="172"/>
    </row>
    <row r="9888" spans="1:15" ht="38.25" x14ac:dyDescent="0.2">
      <c r="A9888" s="197" t="str">
        <f t="shared" si="154"/>
        <v>SreCode_reducedTrackLaneCount</v>
      </c>
      <c r="B9888" s="409"/>
      <c r="C9888" s="416"/>
      <c r="D9888" s="198" t="s">
        <v>46280</v>
      </c>
      <c r="E9888" s="198">
        <v>2</v>
      </c>
      <c r="F9888" s="199" t="s">
        <v>46281</v>
      </c>
      <c r="G9888" s="1" t="s">
        <v>46282</v>
      </c>
      <c r="H9888" s="200"/>
      <c r="I9888" s="346"/>
      <c r="J9888" s="39">
        <v>117961</v>
      </c>
      <c r="K9888" s="36" t="str">
        <f>CONCATENATE(Cover!$D$6,"fdd/view?i=",J9888)</f>
        <v>https://www.dgiwg.org/FAD/fdd/view?i=117961</v>
      </c>
      <c r="L9888" s="36" t="s">
        <v>52640</v>
      </c>
      <c r="M9888" s="186"/>
      <c r="N9888" s="186"/>
      <c r="O9888" s="172"/>
    </row>
    <row r="9889" spans="1:15" ht="25.5" x14ac:dyDescent="0.2">
      <c r="A9889" s="197" t="str">
        <f t="shared" si="154"/>
        <v>SreCode_roadInterchange</v>
      </c>
      <c r="B9889" s="409"/>
      <c r="C9889" s="416"/>
      <c r="D9889" s="198" t="s">
        <v>46287</v>
      </c>
      <c r="E9889" s="198">
        <v>3</v>
      </c>
      <c r="F9889" s="199" t="s">
        <v>4759</v>
      </c>
      <c r="G9889" s="1" t="s">
        <v>46288</v>
      </c>
      <c r="H9889" s="200"/>
      <c r="I9889" s="346"/>
      <c r="J9889" s="39">
        <v>117962</v>
      </c>
      <c r="K9889" s="36" t="str">
        <f>CONCATENATE(Cover!$D$6,"fdd/view?i=",J9889)</f>
        <v>https://www.dgiwg.org/FAD/fdd/view?i=117962</v>
      </c>
      <c r="L9889" s="36" t="s">
        <v>52641</v>
      </c>
      <c r="M9889" s="186"/>
      <c r="N9889" s="186"/>
      <c r="O9889" s="172"/>
    </row>
    <row r="9890" spans="1:15" ht="25.5" x14ac:dyDescent="0.2">
      <c r="A9890" s="197" t="str">
        <f t="shared" si="154"/>
        <v>SreCode_sharpCurve</v>
      </c>
      <c r="B9890" s="409"/>
      <c r="C9890" s="416"/>
      <c r="D9890" s="198" t="s">
        <v>52642</v>
      </c>
      <c r="E9890" s="198">
        <v>4</v>
      </c>
      <c r="F9890" s="199" t="s">
        <v>4990</v>
      </c>
      <c r="G9890" s="1" t="s">
        <v>4991</v>
      </c>
      <c r="H9890" s="200"/>
      <c r="I9890" s="346"/>
      <c r="J9890" s="39">
        <v>117963</v>
      </c>
      <c r="K9890" s="36" t="str">
        <f>CONCATENATE(Cover!$D$6,"fdd/view?i=",J9890)</f>
        <v>https://www.dgiwg.org/FAD/fdd/view?i=117963</v>
      </c>
      <c r="L9890" s="36" t="s">
        <v>52643</v>
      </c>
      <c r="M9890" s="186"/>
      <c r="N9890" s="186"/>
      <c r="O9890" s="172"/>
    </row>
    <row r="9891" spans="1:15" ht="25.5" x14ac:dyDescent="0.2">
      <c r="A9891" s="197" t="str">
        <f t="shared" si="154"/>
        <v>SreCode_speedBumps</v>
      </c>
      <c r="B9891" s="409"/>
      <c r="C9891" s="416"/>
      <c r="D9891" s="198" t="s">
        <v>52644</v>
      </c>
      <c r="E9891" s="198">
        <v>6</v>
      </c>
      <c r="F9891" s="199" t="s">
        <v>52645</v>
      </c>
      <c r="G9891" s="1" t="s">
        <v>52646</v>
      </c>
      <c r="H9891" s="200"/>
      <c r="I9891" s="346"/>
      <c r="J9891" s="39">
        <v>118356</v>
      </c>
      <c r="K9891" s="36" t="str">
        <f>CONCATENATE(Cover!$D$6,"fdd/view?i=",J9891)</f>
        <v>https://www.dgiwg.org/FAD/fdd/view?i=118356</v>
      </c>
      <c r="L9891" s="36" t="s">
        <v>52647</v>
      </c>
      <c r="M9891" s="186"/>
      <c r="N9891" s="186"/>
      <c r="O9891" s="172"/>
    </row>
    <row r="9892" spans="1:15" ht="25.5" x14ac:dyDescent="0.2">
      <c r="A9892" s="203" t="str">
        <f t="shared" si="154"/>
        <v>SreCode_steepGrade</v>
      </c>
      <c r="B9892" s="410"/>
      <c r="C9892" s="417"/>
      <c r="D9892" s="204" t="s">
        <v>52648</v>
      </c>
      <c r="E9892" s="204">
        <v>5</v>
      </c>
      <c r="F9892" s="205" t="s">
        <v>5253</v>
      </c>
      <c r="G9892" s="206" t="s">
        <v>5254</v>
      </c>
      <c r="H9892" s="207"/>
      <c r="I9892" s="347"/>
      <c r="J9892" s="39">
        <v>117964</v>
      </c>
      <c r="K9892" s="36" t="str">
        <f>CONCATENATE(Cover!$D$6,"fdd/view?i=",J9892)</f>
        <v>https://www.dgiwg.org/FAD/fdd/view?i=117964</v>
      </c>
      <c r="L9892" s="36" t="s">
        <v>52649</v>
      </c>
      <c r="M9892" s="186"/>
      <c r="N9892" s="186"/>
      <c r="O9892" s="172"/>
    </row>
    <row r="9893" spans="1:15" x14ac:dyDescent="0.2">
      <c r="A9893" s="190" t="str">
        <f t="shared" si="154"/>
        <v>SitCode_berthing</v>
      </c>
      <c r="B9893" s="414" t="str">
        <f>HYPERLINK("[#]Datatypes!A1598:L1598","SitCode")</f>
        <v>SitCode</v>
      </c>
      <c r="C9893" s="415" t="s">
        <v>16229</v>
      </c>
      <c r="D9893" s="221" t="s">
        <v>52650</v>
      </c>
      <c r="E9893" s="221">
        <v>4</v>
      </c>
      <c r="F9893" s="222" t="s">
        <v>52651</v>
      </c>
      <c r="G9893" s="223" t="s">
        <v>52652</v>
      </c>
      <c r="H9893" s="224"/>
      <c r="I9893" s="345"/>
      <c r="J9893" s="39">
        <v>107715</v>
      </c>
      <c r="K9893" s="36" t="str">
        <f>CONCATENATE(Cover!$D$6,"fdd/view?i=",J9893)</f>
        <v>https://www.dgiwg.org/FAD/fdd/view?i=107715</v>
      </c>
      <c r="L9893" s="36" t="s">
        <v>52653</v>
      </c>
      <c r="M9893" s="186"/>
      <c r="N9893" s="186"/>
      <c r="O9893" s="172"/>
    </row>
    <row r="9894" spans="1:15" ht="25.5" x14ac:dyDescent="0.2">
      <c r="A9894" s="197" t="str">
        <f t="shared" si="154"/>
        <v>SitCode_bridgePassage</v>
      </c>
      <c r="B9894" s="409"/>
      <c r="C9894" s="416"/>
      <c r="D9894" s="198" t="s">
        <v>52654</v>
      </c>
      <c r="E9894" s="198">
        <v>8</v>
      </c>
      <c r="F9894" s="199" t="s">
        <v>52655</v>
      </c>
      <c r="G9894" s="1" t="s">
        <v>52656</v>
      </c>
      <c r="H9894" s="200"/>
      <c r="I9894" s="346"/>
      <c r="J9894" s="39">
        <v>107719</v>
      </c>
      <c r="K9894" s="36" t="str">
        <f>CONCATENATE(Cover!$D$6,"fdd/view?i=",J9894)</f>
        <v>https://www.dgiwg.org/FAD/fdd/view?i=107719</v>
      </c>
      <c r="L9894" s="36" t="s">
        <v>52657</v>
      </c>
      <c r="M9894" s="186"/>
      <c r="N9894" s="186"/>
      <c r="O9894" s="172"/>
    </row>
    <row r="9895" spans="1:15" x14ac:dyDescent="0.2">
      <c r="A9895" s="197" t="str">
        <f t="shared" si="154"/>
        <v>SitCode_dock</v>
      </c>
      <c r="B9895" s="409"/>
      <c r="C9895" s="416"/>
      <c r="D9895" s="198" t="s">
        <v>52658</v>
      </c>
      <c r="E9895" s="198">
        <v>5</v>
      </c>
      <c r="F9895" s="199" t="s">
        <v>2827</v>
      </c>
      <c r="G9895" s="1" t="s">
        <v>52659</v>
      </c>
      <c r="H9895" s="200"/>
      <c r="I9895" s="346"/>
      <c r="J9895" s="39">
        <v>107716</v>
      </c>
      <c r="K9895" s="36" t="str">
        <f>CONCATENATE(Cover!$D$6,"fdd/view?i=",J9895)</f>
        <v>https://www.dgiwg.org/FAD/fdd/view?i=107716</v>
      </c>
      <c r="L9895" s="36" t="s">
        <v>52660</v>
      </c>
      <c r="M9895" s="186"/>
      <c r="N9895" s="186"/>
      <c r="O9895" s="172"/>
    </row>
    <row r="9896" spans="1:15" x14ac:dyDescent="0.2">
      <c r="A9896" s="197" t="str">
        <f t="shared" si="154"/>
        <v>SitCode_dredging</v>
      </c>
      <c r="B9896" s="409"/>
      <c r="C9896" s="416"/>
      <c r="D9896" s="198" t="s">
        <v>26612</v>
      </c>
      <c r="E9896" s="198">
        <v>9</v>
      </c>
      <c r="F9896" s="199" t="s">
        <v>26613</v>
      </c>
      <c r="G9896" s="1" t="s">
        <v>52661</v>
      </c>
      <c r="H9896" s="200"/>
      <c r="I9896" s="346"/>
      <c r="J9896" s="39">
        <v>107720</v>
      </c>
      <c r="K9896" s="36" t="str">
        <f>CONCATENATE(Cover!$D$6,"fdd/view?i=",J9896)</f>
        <v>https://www.dgiwg.org/FAD/fdd/view?i=107720</v>
      </c>
      <c r="L9896" s="36" t="s">
        <v>52662</v>
      </c>
      <c r="M9896" s="186"/>
      <c r="N9896" s="186"/>
      <c r="O9896" s="172"/>
    </row>
    <row r="9897" spans="1:15" x14ac:dyDescent="0.2">
      <c r="A9897" s="197" t="str">
        <f t="shared" si="154"/>
        <v>SitCode_floodBarrage</v>
      </c>
      <c r="B9897" s="409"/>
      <c r="C9897" s="416"/>
      <c r="D9897" s="198" t="s">
        <v>52663</v>
      </c>
      <c r="E9897" s="198">
        <v>7</v>
      </c>
      <c r="F9897" s="199" t="s">
        <v>3176</v>
      </c>
      <c r="G9897" s="1" t="s">
        <v>52664</v>
      </c>
      <c r="H9897" s="200"/>
      <c r="I9897" s="346"/>
      <c r="J9897" s="39">
        <v>107718</v>
      </c>
      <c r="K9897" s="36" t="str">
        <f>CONCATENATE(Cover!$D$6,"fdd/view?i=",J9897)</f>
        <v>https://www.dgiwg.org/FAD/fdd/view?i=107718</v>
      </c>
      <c r="L9897" s="36" t="s">
        <v>52665</v>
      </c>
      <c r="M9897" s="186"/>
      <c r="N9897" s="186"/>
      <c r="O9897" s="172"/>
    </row>
    <row r="9898" spans="1:15" ht="25.5" x14ac:dyDescent="0.2">
      <c r="A9898" s="197" t="str">
        <f t="shared" si="154"/>
        <v>SitCode_internationalPortTraffic</v>
      </c>
      <c r="B9898" s="409"/>
      <c r="C9898" s="416"/>
      <c r="D9898" s="198" t="s">
        <v>52666</v>
      </c>
      <c r="E9898" s="198">
        <v>3</v>
      </c>
      <c r="F9898" s="199" t="s">
        <v>52667</v>
      </c>
      <c r="G9898" s="1" t="s">
        <v>52668</v>
      </c>
      <c r="H9898" s="200"/>
      <c r="I9898" s="346"/>
      <c r="J9898" s="39">
        <v>107714</v>
      </c>
      <c r="K9898" s="36" t="str">
        <f>CONCATENATE(Cover!$D$6,"fdd/view?i=",J9898)</f>
        <v>https://www.dgiwg.org/FAD/fdd/view?i=107714</v>
      </c>
      <c r="L9898" s="36" t="s">
        <v>52669</v>
      </c>
      <c r="M9898" s="186"/>
      <c r="N9898" s="186"/>
      <c r="O9898" s="172"/>
    </row>
    <row r="9899" spans="1:15" x14ac:dyDescent="0.2">
      <c r="A9899" s="197" t="str">
        <f t="shared" si="154"/>
        <v>SitCode_lock</v>
      </c>
      <c r="B9899" s="409"/>
      <c r="C9899" s="416"/>
      <c r="D9899" s="198" t="s">
        <v>52670</v>
      </c>
      <c r="E9899" s="198">
        <v>6</v>
      </c>
      <c r="F9899" s="199" t="s">
        <v>3905</v>
      </c>
      <c r="G9899" s="1" t="s">
        <v>52671</v>
      </c>
      <c r="H9899" s="200"/>
      <c r="I9899" s="346"/>
      <c r="J9899" s="39">
        <v>107717</v>
      </c>
      <c r="K9899" s="36" t="str">
        <f>CONCATENATE(Cover!$D$6,"fdd/view?i=",J9899)</f>
        <v>https://www.dgiwg.org/FAD/fdd/view?i=107717</v>
      </c>
      <c r="L9899" s="36" t="s">
        <v>52672</v>
      </c>
      <c r="M9899" s="186"/>
      <c r="N9899" s="186"/>
      <c r="O9899" s="172"/>
    </row>
    <row r="9900" spans="1:15" x14ac:dyDescent="0.2">
      <c r="A9900" s="197" t="str">
        <f t="shared" si="154"/>
        <v>SitCode_portControl</v>
      </c>
      <c r="B9900" s="409"/>
      <c r="C9900" s="416"/>
      <c r="D9900" s="198" t="s">
        <v>31321</v>
      </c>
      <c r="E9900" s="198">
        <v>1</v>
      </c>
      <c r="F9900" s="199" t="s">
        <v>31322</v>
      </c>
      <c r="G9900" s="1" t="s">
        <v>52673</v>
      </c>
      <c r="H9900" s="200"/>
      <c r="I9900" s="346"/>
      <c r="J9900" s="39">
        <v>107712</v>
      </c>
      <c r="K9900" s="36" t="str">
        <f>CONCATENATE(Cover!$D$6,"fdd/view?i=",J9900)</f>
        <v>https://www.dgiwg.org/FAD/fdd/view?i=107712</v>
      </c>
      <c r="L9900" s="36" t="s">
        <v>52674</v>
      </c>
      <c r="M9900" s="186"/>
      <c r="N9900" s="186"/>
      <c r="O9900" s="172"/>
    </row>
    <row r="9901" spans="1:15" ht="25.5" x14ac:dyDescent="0.2">
      <c r="A9901" s="197" t="str">
        <f t="shared" si="154"/>
        <v>SitCode_portEntryAndDeparture</v>
      </c>
      <c r="B9901" s="409"/>
      <c r="C9901" s="416"/>
      <c r="D9901" s="198" t="s">
        <v>52675</v>
      </c>
      <c r="E9901" s="198">
        <v>2</v>
      </c>
      <c r="F9901" s="199" t="s">
        <v>52676</v>
      </c>
      <c r="G9901" s="1" t="s">
        <v>52677</v>
      </c>
      <c r="H9901" s="200"/>
      <c r="I9901" s="346"/>
      <c r="J9901" s="39">
        <v>107713</v>
      </c>
      <c r="K9901" s="36" t="str">
        <f>CONCATENATE(Cover!$D$6,"fdd/view?i=",J9901)</f>
        <v>https://www.dgiwg.org/FAD/fdd/view?i=107713</v>
      </c>
      <c r="L9901" s="36" t="s">
        <v>52678</v>
      </c>
      <c r="M9901" s="186"/>
      <c r="N9901" s="186"/>
      <c r="O9901" s="172"/>
    </row>
    <row r="9902" spans="1:15" ht="25.5" x14ac:dyDescent="0.2">
      <c r="A9902" s="203" t="str">
        <f t="shared" si="154"/>
        <v>SitCode_trafficControlLight</v>
      </c>
      <c r="B9902" s="410"/>
      <c r="C9902" s="417"/>
      <c r="D9902" s="204" t="s">
        <v>52679</v>
      </c>
      <c r="E9902" s="204">
        <v>10</v>
      </c>
      <c r="F9902" s="205" t="s">
        <v>52680</v>
      </c>
      <c r="G9902" s="206" t="s">
        <v>52681</v>
      </c>
      <c r="H9902" s="207"/>
      <c r="I9902" s="347"/>
      <c r="J9902" s="39">
        <v>107721</v>
      </c>
      <c r="K9902" s="36" t="str">
        <f>CONCATENATE(Cover!$D$6,"fdd/view?i=",J9902)</f>
        <v>https://www.dgiwg.org/FAD/fdd/view?i=107721</v>
      </c>
      <c r="L9902" s="36" t="s">
        <v>52682</v>
      </c>
      <c r="M9902" s="186"/>
      <c r="N9902" s="186"/>
      <c r="O9902" s="172"/>
    </row>
    <row r="9903" spans="1:15" x14ac:dyDescent="0.2">
      <c r="A9903" s="190" t="str">
        <f t="shared" si="154"/>
        <v>DgcCode_dropGate</v>
      </c>
      <c r="B9903" s="414" t="str">
        <f>HYPERLINK("[#]Datatypes!A1600:L1600","DgcCode")</f>
        <v>DgcCode</v>
      </c>
      <c r="C9903" s="415" t="s">
        <v>16231</v>
      </c>
      <c r="D9903" s="221" t="s">
        <v>52683</v>
      </c>
      <c r="E9903" s="221">
        <v>1</v>
      </c>
      <c r="F9903" s="222" t="s">
        <v>52684</v>
      </c>
      <c r="G9903" s="223" t="s">
        <v>52685</v>
      </c>
      <c r="H9903" s="224"/>
      <c r="I9903" s="345"/>
      <c r="J9903" s="39">
        <v>103352</v>
      </c>
      <c r="K9903" s="36" t="str">
        <f>CONCATENATE(Cover!$D$6,"fdd/view?i=",J9903)</f>
        <v>https://www.dgiwg.org/FAD/fdd/view?i=103352</v>
      </c>
      <c r="L9903" s="36" t="s">
        <v>52686</v>
      </c>
      <c r="M9903" s="186"/>
      <c r="N9903" s="186"/>
      <c r="O9903" s="172"/>
    </row>
    <row r="9904" spans="1:15" x14ac:dyDescent="0.2">
      <c r="A9904" s="203" t="str">
        <f t="shared" si="154"/>
        <v>DgcCode_rollingBlock</v>
      </c>
      <c r="B9904" s="410"/>
      <c r="C9904" s="417"/>
      <c r="D9904" s="204" t="s">
        <v>52687</v>
      </c>
      <c r="E9904" s="204">
        <v>2</v>
      </c>
      <c r="F9904" s="205" t="s">
        <v>52688</v>
      </c>
      <c r="G9904" s="206" t="s">
        <v>52689</v>
      </c>
      <c r="H9904" s="207"/>
      <c r="I9904" s="347"/>
      <c r="J9904" s="39">
        <v>103353</v>
      </c>
      <c r="K9904" s="36" t="str">
        <f>CONCATENATE(Cover!$D$6,"fdd/view?i=",J9904)</f>
        <v>https://www.dgiwg.org/FAD/fdd/view?i=103353</v>
      </c>
      <c r="L9904" s="36" t="s">
        <v>52690</v>
      </c>
      <c r="M9904" s="186"/>
      <c r="N9904" s="186"/>
      <c r="O9904" s="172"/>
    </row>
    <row r="9905" spans="1:15" ht="25.5" x14ac:dyDescent="0.2">
      <c r="A9905" s="190" t="str">
        <f t="shared" si="154"/>
        <v>TfcCode_aerodromeTerminal</v>
      </c>
      <c r="B9905" s="414" t="str">
        <f>HYPERLINK("[#]Datatypes!A1602:L1602","TfcCode")</f>
        <v>TfcCode</v>
      </c>
      <c r="C9905" s="415" t="s">
        <v>16233</v>
      </c>
      <c r="D9905" s="221" t="s">
        <v>52691</v>
      </c>
      <c r="E9905" s="221">
        <v>17</v>
      </c>
      <c r="F9905" s="222" t="s">
        <v>52692</v>
      </c>
      <c r="G9905" s="223" t="s">
        <v>52693</v>
      </c>
      <c r="H9905" s="224"/>
      <c r="I9905" s="345"/>
      <c r="J9905" s="39">
        <v>108466</v>
      </c>
      <c r="K9905" s="36" t="str">
        <f>CONCATENATE(Cover!$D$6,"fdd/view?i=",J9905)</f>
        <v>https://www.dgiwg.org/FAD/fdd/view?i=108466</v>
      </c>
      <c r="L9905" s="36" t="s">
        <v>52694</v>
      </c>
      <c r="M9905" s="186"/>
      <c r="N9905" s="186"/>
      <c r="O9905" s="172"/>
    </row>
    <row r="9906" spans="1:15" x14ac:dyDescent="0.2">
      <c r="A9906" s="197" t="str">
        <f t="shared" si="154"/>
        <v>TfcCode_aircraftHangar</v>
      </c>
      <c r="B9906" s="409"/>
      <c r="C9906" s="416"/>
      <c r="D9906" s="198" t="s">
        <v>52695</v>
      </c>
      <c r="E9906" s="198">
        <v>5</v>
      </c>
      <c r="F9906" s="199" t="s">
        <v>2007</v>
      </c>
      <c r="G9906" s="1" t="s">
        <v>2008</v>
      </c>
      <c r="H9906" s="200"/>
      <c r="I9906" s="346"/>
      <c r="J9906" s="39">
        <v>108454</v>
      </c>
      <c r="K9906" s="36" t="str">
        <f>CONCATENATE(Cover!$D$6,"fdd/view?i=",J9906)</f>
        <v>https://www.dgiwg.org/FAD/fdd/view?i=108454</v>
      </c>
      <c r="L9906" s="36" t="s">
        <v>52696</v>
      </c>
      <c r="M9906" s="186"/>
      <c r="N9906" s="186"/>
      <c r="O9906" s="172"/>
    </row>
    <row r="9907" spans="1:15" ht="25.5" x14ac:dyDescent="0.2">
      <c r="A9907" s="197" t="str">
        <f t="shared" si="154"/>
        <v>TfcCode_aircraftMaintenanceShop</v>
      </c>
      <c r="B9907" s="409"/>
      <c r="C9907" s="416"/>
      <c r="D9907" s="198" t="s">
        <v>52697</v>
      </c>
      <c r="E9907" s="198">
        <v>4</v>
      </c>
      <c r="F9907" s="199" t="s">
        <v>52698</v>
      </c>
      <c r="G9907" s="1" t="s">
        <v>52699</v>
      </c>
      <c r="H9907" s="1" t="s">
        <v>52700</v>
      </c>
      <c r="I9907" s="346"/>
      <c r="J9907" s="39">
        <v>108453</v>
      </c>
      <c r="K9907" s="36" t="str">
        <f>CONCATENATE(Cover!$D$6,"fdd/view?i=",J9907)</f>
        <v>https://www.dgiwg.org/FAD/fdd/view?i=108453</v>
      </c>
      <c r="L9907" s="36" t="s">
        <v>52701</v>
      </c>
      <c r="M9907" s="186"/>
      <c r="N9907" s="186"/>
      <c r="O9907" s="172"/>
    </row>
    <row r="9908" spans="1:15" ht="25.5" x14ac:dyDescent="0.2">
      <c r="A9908" s="197" t="str">
        <f t="shared" si="154"/>
        <v>TfcCode_busShelter</v>
      </c>
      <c r="B9908" s="409"/>
      <c r="C9908" s="416"/>
      <c r="D9908" s="198" t="s">
        <v>52702</v>
      </c>
      <c r="E9908" s="198">
        <v>23</v>
      </c>
      <c r="F9908" s="199" t="s">
        <v>52703</v>
      </c>
      <c r="G9908" s="1" t="s">
        <v>52704</v>
      </c>
      <c r="H9908" s="200"/>
      <c r="I9908" s="346"/>
      <c r="J9908" s="39">
        <v>110554</v>
      </c>
      <c r="K9908" s="36" t="str">
        <f>CONCATENATE(Cover!$D$6,"fdd/view?i=",J9908)</f>
        <v>https://www.dgiwg.org/FAD/fdd/view?i=110554</v>
      </c>
      <c r="L9908" s="36" t="s">
        <v>52705</v>
      </c>
      <c r="M9908" s="186"/>
      <c r="N9908" s="186"/>
      <c r="O9908" s="172"/>
    </row>
    <row r="9909" spans="1:15" ht="25.5" x14ac:dyDescent="0.2">
      <c r="A9909" s="197" t="str">
        <f t="shared" si="154"/>
        <v>TfcCode_busStation</v>
      </c>
      <c r="B9909" s="409"/>
      <c r="C9909" s="416"/>
      <c r="D9909" s="198" t="s">
        <v>52706</v>
      </c>
      <c r="E9909" s="198">
        <v>18</v>
      </c>
      <c r="F9909" s="199" t="s">
        <v>52707</v>
      </c>
      <c r="G9909" s="1" t="s">
        <v>52708</v>
      </c>
      <c r="H9909" s="1" t="s">
        <v>52709</v>
      </c>
      <c r="I9909" s="346"/>
      <c r="J9909" s="39">
        <v>108467</v>
      </c>
      <c r="K9909" s="36" t="str">
        <f>CONCATENATE(Cover!$D$6,"fdd/view?i=",J9909)</f>
        <v>https://www.dgiwg.org/FAD/fdd/view?i=108467</v>
      </c>
      <c r="L9909" s="36" t="s">
        <v>52710</v>
      </c>
      <c r="M9909" s="186"/>
      <c r="N9909" s="186"/>
      <c r="O9909" s="172"/>
    </row>
    <row r="9910" spans="1:15" ht="38.25" x14ac:dyDescent="0.2">
      <c r="A9910" s="197" t="str">
        <f t="shared" si="154"/>
        <v>TfcCode_busStop</v>
      </c>
      <c r="B9910" s="409"/>
      <c r="C9910" s="416"/>
      <c r="D9910" s="198" t="s">
        <v>52711</v>
      </c>
      <c r="E9910" s="198">
        <v>24</v>
      </c>
      <c r="F9910" s="199" t="s">
        <v>52712</v>
      </c>
      <c r="G9910" s="1" t="s">
        <v>52713</v>
      </c>
      <c r="H9910" s="1" t="s">
        <v>52714</v>
      </c>
      <c r="I9910" s="346"/>
      <c r="J9910" s="39">
        <v>110555</v>
      </c>
      <c r="K9910" s="36" t="str">
        <f>CONCATENATE(Cover!$D$6,"fdd/view?i=",J9910)</f>
        <v>https://www.dgiwg.org/FAD/fdd/view?i=110555</v>
      </c>
      <c r="L9910" s="36" t="s">
        <v>52715</v>
      </c>
      <c r="M9910" s="186"/>
      <c r="N9910" s="186"/>
      <c r="O9910" s="172"/>
    </row>
    <row r="9911" spans="1:15" x14ac:dyDescent="0.2">
      <c r="A9911" s="197" t="str">
        <f t="shared" si="154"/>
        <v>TfcCode_cabStand</v>
      </c>
      <c r="B9911" s="409"/>
      <c r="C9911" s="416"/>
      <c r="D9911" s="198" t="s">
        <v>52716</v>
      </c>
      <c r="E9911" s="198">
        <v>22</v>
      </c>
      <c r="F9911" s="199" t="s">
        <v>52717</v>
      </c>
      <c r="G9911" s="1" t="s">
        <v>52718</v>
      </c>
      <c r="H9911" s="200"/>
      <c r="I9911" s="351" t="s">
        <v>52719</v>
      </c>
      <c r="J9911" s="39">
        <v>110553</v>
      </c>
      <c r="K9911" s="36" t="str">
        <f>CONCATENATE(Cover!$D$6,"fdd/view?i=",J9911)</f>
        <v>https://www.dgiwg.org/FAD/fdd/view?i=110553</v>
      </c>
      <c r="L9911" s="36" t="s">
        <v>52720</v>
      </c>
      <c r="M9911" s="186"/>
      <c r="N9911" s="186"/>
      <c r="O9911" s="172"/>
    </row>
    <row r="9912" spans="1:15" ht="38.25" x14ac:dyDescent="0.2">
      <c r="A9912" s="197" t="str">
        <f t="shared" si="154"/>
        <v>TfcCode_depotTerminal</v>
      </c>
      <c r="B9912" s="409"/>
      <c r="C9912" s="416"/>
      <c r="D9912" s="198" t="s">
        <v>52721</v>
      </c>
      <c r="E9912" s="198">
        <v>3</v>
      </c>
      <c r="F9912" s="199" t="s">
        <v>52722</v>
      </c>
      <c r="G9912" s="1" t="s">
        <v>52723</v>
      </c>
      <c r="H9912" s="200"/>
      <c r="I9912" s="346"/>
      <c r="J9912" s="39">
        <v>108452</v>
      </c>
      <c r="K9912" s="36" t="str">
        <f>CONCATENATE(Cover!$D$6,"fdd/view?i=",J9912)</f>
        <v>https://www.dgiwg.org/FAD/fdd/view?i=108452</v>
      </c>
      <c r="L9912" s="36" t="s">
        <v>52724</v>
      </c>
      <c r="M9912" s="186"/>
      <c r="N9912" s="186"/>
      <c r="O9912" s="172"/>
    </row>
    <row r="9913" spans="1:15" x14ac:dyDescent="0.2">
      <c r="A9913" s="197" t="str">
        <f t="shared" si="154"/>
        <v>TfcCode_ferryStation</v>
      </c>
      <c r="B9913" s="409"/>
      <c r="C9913" s="416"/>
      <c r="D9913" s="198" t="s">
        <v>52725</v>
      </c>
      <c r="E9913" s="198">
        <v>27</v>
      </c>
      <c r="F9913" s="199" t="s">
        <v>3072</v>
      </c>
      <c r="G9913" s="1" t="s">
        <v>52726</v>
      </c>
      <c r="H9913" s="200"/>
      <c r="I9913" s="346"/>
      <c r="J9913" s="39">
        <v>118568</v>
      </c>
      <c r="K9913" s="36" t="str">
        <f>CONCATENATE(Cover!$D$6,"fdd/view?i=",J9913)</f>
        <v>https://www.dgiwg.org/FAD/fdd/view?i=118568</v>
      </c>
      <c r="L9913" s="36" t="s">
        <v>52727</v>
      </c>
      <c r="M9913" s="186"/>
      <c r="N9913" s="186"/>
      <c r="O9913" s="172"/>
    </row>
    <row r="9914" spans="1:15" ht="25.5" x14ac:dyDescent="0.2">
      <c r="A9914" s="197" t="str">
        <f t="shared" si="154"/>
        <v>TfcCode_harbourMastersOffice</v>
      </c>
      <c r="B9914" s="409"/>
      <c r="C9914" s="416"/>
      <c r="D9914" s="198" t="s">
        <v>52728</v>
      </c>
      <c r="E9914" s="198">
        <v>11</v>
      </c>
      <c r="F9914" s="199" t="s">
        <v>52729</v>
      </c>
      <c r="G9914" s="1" t="s">
        <v>52730</v>
      </c>
      <c r="H9914" s="200"/>
      <c r="I9914" s="346"/>
      <c r="J9914" s="39">
        <v>108460</v>
      </c>
      <c r="K9914" s="36" t="str">
        <f>CONCATENATE(Cover!$D$6,"fdd/view?i=",J9914)</f>
        <v>https://www.dgiwg.org/FAD/fdd/view?i=108460</v>
      </c>
      <c r="L9914" s="36" t="s">
        <v>52731</v>
      </c>
      <c r="M9914" s="186"/>
      <c r="N9914" s="186"/>
      <c r="O9914" s="172"/>
    </row>
    <row r="9915" spans="1:15" ht="25.5" x14ac:dyDescent="0.2">
      <c r="A9915" s="197" t="str">
        <f t="shared" si="154"/>
        <v>TfcCode_lighthouse</v>
      </c>
      <c r="B9915" s="409"/>
      <c r="C9915" s="416"/>
      <c r="D9915" s="198" t="s">
        <v>52732</v>
      </c>
      <c r="E9915" s="198">
        <v>14</v>
      </c>
      <c r="F9915" s="199" t="s">
        <v>3878</v>
      </c>
      <c r="G9915" s="1" t="s">
        <v>3880</v>
      </c>
      <c r="H9915" s="200"/>
      <c r="I9915" s="346"/>
      <c r="J9915" s="39">
        <v>108463</v>
      </c>
      <c r="K9915" s="36" t="str">
        <f>CONCATENATE(Cover!$D$6,"fdd/view?i=",J9915)</f>
        <v>https://www.dgiwg.org/FAD/fdd/view?i=108463</v>
      </c>
      <c r="L9915" s="36" t="s">
        <v>52733</v>
      </c>
      <c r="M9915" s="186"/>
      <c r="N9915" s="186"/>
      <c r="O9915" s="172"/>
    </row>
    <row r="9916" spans="1:15" ht="25.5" x14ac:dyDescent="0.2">
      <c r="A9916" s="197" t="str">
        <f t="shared" si="154"/>
        <v>TfcCode_maritimeStation</v>
      </c>
      <c r="B9916" s="409"/>
      <c r="C9916" s="416"/>
      <c r="D9916" s="198" t="s">
        <v>52734</v>
      </c>
      <c r="E9916" s="198">
        <v>13</v>
      </c>
      <c r="F9916" s="199" t="s">
        <v>52735</v>
      </c>
      <c r="G9916" s="1" t="s">
        <v>52736</v>
      </c>
      <c r="H9916" s="200"/>
      <c r="I9916" s="346"/>
      <c r="J9916" s="39">
        <v>108462</v>
      </c>
      <c r="K9916" s="36" t="str">
        <f>CONCATENATE(Cover!$D$6,"fdd/view?i=",J9916)</f>
        <v>https://www.dgiwg.org/FAD/fdd/view?i=108462</v>
      </c>
      <c r="L9916" s="36" t="s">
        <v>52737</v>
      </c>
      <c r="M9916" s="186"/>
      <c r="N9916" s="186"/>
      <c r="O9916" s="172"/>
    </row>
    <row r="9917" spans="1:15" ht="25.5" x14ac:dyDescent="0.2">
      <c r="A9917" s="197" t="str">
        <f t="shared" si="154"/>
        <v>TfcCode_motorVehicleStation</v>
      </c>
      <c r="B9917" s="409"/>
      <c r="C9917" s="416"/>
      <c r="D9917" s="198" t="s">
        <v>43903</v>
      </c>
      <c r="E9917" s="198">
        <v>28</v>
      </c>
      <c r="F9917" s="199" t="s">
        <v>4221</v>
      </c>
      <c r="G9917" s="1" t="s">
        <v>4222</v>
      </c>
      <c r="H9917" s="1" t="s">
        <v>4223</v>
      </c>
      <c r="I9917" s="346"/>
      <c r="J9917" s="39">
        <v>118087</v>
      </c>
      <c r="K9917" s="36" t="str">
        <f>CONCATENATE(Cover!$D$6,"fdd/view?i=",J9917)</f>
        <v>https://www.dgiwg.org/FAD/fdd/view?i=118087</v>
      </c>
      <c r="L9917" s="36" t="s">
        <v>52738</v>
      </c>
      <c r="M9917" s="186"/>
      <c r="N9917" s="186"/>
      <c r="O9917" s="172"/>
    </row>
    <row r="9918" spans="1:15" ht="25.5" x14ac:dyDescent="0.2">
      <c r="A9918" s="197" t="str">
        <f t="shared" si="154"/>
        <v>TfcCode_observationStation</v>
      </c>
      <c r="B9918" s="409"/>
      <c r="C9918" s="416"/>
      <c r="D9918" s="198" t="s">
        <v>31219</v>
      </c>
      <c r="E9918" s="198">
        <v>9</v>
      </c>
      <c r="F9918" s="199" t="s">
        <v>31220</v>
      </c>
      <c r="G9918" s="1" t="s">
        <v>52739</v>
      </c>
      <c r="H9918" s="200"/>
      <c r="I9918" s="346"/>
      <c r="J9918" s="39">
        <v>108458</v>
      </c>
      <c r="K9918" s="36" t="str">
        <f>CONCATENATE(Cover!$D$6,"fdd/view?i=",J9918)</f>
        <v>https://www.dgiwg.org/FAD/fdd/view?i=108458</v>
      </c>
      <c r="L9918" s="36" t="s">
        <v>52740</v>
      </c>
      <c r="M9918" s="186"/>
      <c r="N9918" s="186"/>
      <c r="O9918" s="172"/>
    </row>
    <row r="9919" spans="1:15" ht="38.25" x14ac:dyDescent="0.2">
      <c r="A9919" s="197" t="str">
        <f t="shared" si="154"/>
        <v>TfcCode_outbuilding</v>
      </c>
      <c r="B9919" s="409"/>
      <c r="C9919" s="416"/>
      <c r="D9919" s="198" t="s">
        <v>20547</v>
      </c>
      <c r="E9919" s="198">
        <v>21</v>
      </c>
      <c r="F9919" s="199" t="s">
        <v>20548</v>
      </c>
      <c r="G9919" s="1" t="s">
        <v>52741</v>
      </c>
      <c r="H9919" s="200"/>
      <c r="I9919" s="346"/>
      <c r="J9919" s="39">
        <v>108470</v>
      </c>
      <c r="K9919" s="36" t="str">
        <f>CONCATENATE(Cover!$D$6,"fdd/view?i=",J9919)</f>
        <v>https://www.dgiwg.org/FAD/fdd/view?i=108470</v>
      </c>
      <c r="L9919" s="36" t="s">
        <v>52742</v>
      </c>
      <c r="M9919" s="186"/>
      <c r="N9919" s="186"/>
      <c r="O9919" s="172"/>
    </row>
    <row r="9920" spans="1:15" ht="25.5" x14ac:dyDescent="0.2">
      <c r="A9920" s="197" t="str">
        <f t="shared" si="154"/>
        <v>TfcCode_pilotLookoutStation</v>
      </c>
      <c r="B9920" s="409"/>
      <c r="C9920" s="416"/>
      <c r="D9920" s="198" t="s">
        <v>38583</v>
      </c>
      <c r="E9920" s="198">
        <v>20</v>
      </c>
      <c r="F9920" s="199" t="s">
        <v>38584</v>
      </c>
      <c r="G9920" s="1" t="s">
        <v>38585</v>
      </c>
      <c r="H9920" s="200"/>
      <c r="I9920" s="346"/>
      <c r="J9920" s="39">
        <v>108469</v>
      </c>
      <c r="K9920" s="36" t="str">
        <f>CONCATENATE(Cover!$D$6,"fdd/view?i=",J9920)</f>
        <v>https://www.dgiwg.org/FAD/fdd/view?i=108469</v>
      </c>
      <c r="L9920" s="36" t="s">
        <v>52743</v>
      </c>
      <c r="M9920" s="186"/>
      <c r="N9920" s="186"/>
      <c r="O9920" s="172"/>
    </row>
    <row r="9921" spans="1:15" ht="25.5" x14ac:dyDescent="0.2">
      <c r="A9921" s="197" t="str">
        <f t="shared" si="154"/>
        <v>TfcCode_pilotOffice</v>
      </c>
      <c r="B9921" s="409"/>
      <c r="C9921" s="416"/>
      <c r="D9921" s="198" t="s">
        <v>52744</v>
      </c>
      <c r="E9921" s="198">
        <v>19</v>
      </c>
      <c r="F9921" s="199" t="s">
        <v>52745</v>
      </c>
      <c r="G9921" s="1" t="s">
        <v>52746</v>
      </c>
      <c r="H9921" s="1" t="s">
        <v>52747</v>
      </c>
      <c r="I9921" s="346"/>
      <c r="J9921" s="39">
        <v>108468</v>
      </c>
      <c r="K9921" s="36" t="str">
        <f>CONCATENATE(Cover!$D$6,"fdd/view?i=",J9921)</f>
        <v>https://www.dgiwg.org/FAD/fdd/view?i=108468</v>
      </c>
      <c r="L9921" s="36" t="s">
        <v>52748</v>
      </c>
      <c r="M9921" s="186"/>
      <c r="N9921" s="186"/>
      <c r="O9921" s="172"/>
    </row>
    <row r="9922" spans="1:15" ht="38.25" x14ac:dyDescent="0.2">
      <c r="A9922" s="197" t="str">
        <f t="shared" ref="A9922:A9985" si="155">HYPERLINK(K9922,L9922)</f>
        <v>TfcCode_portControl</v>
      </c>
      <c r="B9922" s="409"/>
      <c r="C9922" s="416"/>
      <c r="D9922" s="198" t="s">
        <v>31321</v>
      </c>
      <c r="E9922" s="198">
        <v>12</v>
      </c>
      <c r="F9922" s="199" t="s">
        <v>31322</v>
      </c>
      <c r="G9922" s="1" t="s">
        <v>52749</v>
      </c>
      <c r="H9922" s="200"/>
      <c r="I9922" s="346"/>
      <c r="J9922" s="39">
        <v>108461</v>
      </c>
      <c r="K9922" s="36" t="str">
        <f>CONCATENATE(Cover!$D$6,"fdd/view?i=",J9922)</f>
        <v>https://www.dgiwg.org/FAD/fdd/view?i=108461</v>
      </c>
      <c r="L9922" s="36" t="s">
        <v>52750</v>
      </c>
      <c r="M9922" s="186"/>
      <c r="N9922" s="186"/>
      <c r="O9922" s="172"/>
    </row>
    <row r="9923" spans="1:15" ht="25.5" x14ac:dyDescent="0.2">
      <c r="A9923" s="197" t="str">
        <f t="shared" si="155"/>
        <v>TfcCode_railCarRepair</v>
      </c>
      <c r="B9923" s="409"/>
      <c r="C9923" s="416"/>
      <c r="D9923" s="198" t="s">
        <v>52751</v>
      </c>
      <c r="E9923" s="198">
        <v>2</v>
      </c>
      <c r="F9923" s="199" t="s">
        <v>52752</v>
      </c>
      <c r="G9923" s="1" t="s">
        <v>52753</v>
      </c>
      <c r="H9923" s="200"/>
      <c r="I9923" s="346"/>
      <c r="J9923" s="39">
        <v>108451</v>
      </c>
      <c r="K9923" s="36" t="str">
        <f>CONCATENATE(Cover!$D$6,"fdd/view?i=",J9923)</f>
        <v>https://www.dgiwg.org/FAD/fdd/view?i=108451</v>
      </c>
      <c r="L9923" s="36" t="s">
        <v>52754</v>
      </c>
      <c r="M9923" s="186"/>
      <c r="N9923" s="186"/>
      <c r="O9923" s="172"/>
    </row>
    <row r="9924" spans="1:15" x14ac:dyDescent="0.2">
      <c r="A9924" s="197" t="str">
        <f t="shared" si="155"/>
        <v>TfcCode_railwaySignal</v>
      </c>
      <c r="B9924" s="409"/>
      <c r="C9924" s="416"/>
      <c r="D9924" s="198" t="s">
        <v>46274</v>
      </c>
      <c r="E9924" s="198">
        <v>10</v>
      </c>
      <c r="F9924" s="199" t="s">
        <v>4633</v>
      </c>
      <c r="G9924" s="1" t="s">
        <v>52755</v>
      </c>
      <c r="H9924" s="1" t="s">
        <v>52756</v>
      </c>
      <c r="I9924" s="346"/>
      <c r="J9924" s="39">
        <v>108459</v>
      </c>
      <c r="K9924" s="36" t="str">
        <f>CONCATENATE(Cover!$D$6,"fdd/view?i=",J9924)</f>
        <v>https://www.dgiwg.org/FAD/fdd/view?i=108459</v>
      </c>
      <c r="L9924" s="36" t="s">
        <v>52757</v>
      </c>
      <c r="M9924" s="186"/>
      <c r="N9924" s="186"/>
      <c r="O9924" s="172"/>
    </row>
    <row r="9925" spans="1:15" ht="25.5" x14ac:dyDescent="0.2">
      <c r="A9925" s="197" t="str">
        <f t="shared" si="155"/>
        <v>TfcCode_railwayStation</v>
      </c>
      <c r="B9925" s="409"/>
      <c r="C9925" s="416"/>
      <c r="D9925" s="198" t="s">
        <v>52758</v>
      </c>
      <c r="E9925" s="198">
        <v>15</v>
      </c>
      <c r="F9925" s="199" t="s">
        <v>4637</v>
      </c>
      <c r="G9925" s="1" t="s">
        <v>52759</v>
      </c>
      <c r="H9925" s="200"/>
      <c r="I9925" s="346"/>
      <c r="J9925" s="39">
        <v>108464</v>
      </c>
      <c r="K9925" s="36" t="str">
        <f>CONCATENATE(Cover!$D$6,"fdd/view?i=",J9925)</f>
        <v>https://www.dgiwg.org/FAD/fdd/view?i=108464</v>
      </c>
      <c r="L9925" s="36" t="s">
        <v>52760</v>
      </c>
      <c r="M9925" s="186"/>
      <c r="N9925" s="186"/>
      <c r="O9925" s="172"/>
    </row>
    <row r="9926" spans="1:15" ht="25.5" x14ac:dyDescent="0.2">
      <c r="A9926" s="197" t="str">
        <f t="shared" si="155"/>
        <v>TfcCode_residentialGarage</v>
      </c>
      <c r="B9926" s="409"/>
      <c r="C9926" s="416"/>
      <c r="D9926" s="198" t="s">
        <v>52761</v>
      </c>
      <c r="E9926" s="198">
        <v>29</v>
      </c>
      <c r="F9926" s="199" t="s">
        <v>52762</v>
      </c>
      <c r="G9926" s="1" t="s">
        <v>52763</v>
      </c>
      <c r="H9926" s="1" t="s">
        <v>52764</v>
      </c>
      <c r="I9926" s="346"/>
      <c r="J9926" s="39">
        <v>118503</v>
      </c>
      <c r="K9926" s="36" t="str">
        <f>CONCATENATE(Cover!$D$6,"fdd/view?i=",J9926)</f>
        <v>https://www.dgiwg.org/FAD/fdd/view?i=118503</v>
      </c>
      <c r="L9926" s="36" t="s">
        <v>52765</v>
      </c>
      <c r="M9926" s="186"/>
      <c r="N9926" s="186"/>
      <c r="O9926" s="172"/>
    </row>
    <row r="9927" spans="1:15" ht="25.5" x14ac:dyDescent="0.2">
      <c r="A9927" s="197" t="str">
        <f t="shared" si="155"/>
        <v>TfcCode_roadMaintenanceStation</v>
      </c>
      <c r="B9927" s="409"/>
      <c r="C9927" s="416"/>
      <c r="D9927" s="198" t="s">
        <v>52766</v>
      </c>
      <c r="E9927" s="198">
        <v>7</v>
      </c>
      <c r="F9927" s="199" t="s">
        <v>52767</v>
      </c>
      <c r="G9927" s="1" t="s">
        <v>52768</v>
      </c>
      <c r="H9927" s="200"/>
      <c r="I9927" s="346"/>
      <c r="J9927" s="39">
        <v>108456</v>
      </c>
      <c r="K9927" s="36" t="str">
        <f>CONCATENATE(Cover!$D$6,"fdd/view?i=",J9927)</f>
        <v>https://www.dgiwg.org/FAD/fdd/view?i=108456</v>
      </c>
      <c r="L9927" s="36" t="s">
        <v>52769</v>
      </c>
      <c r="M9927" s="186"/>
      <c r="N9927" s="186"/>
      <c r="O9927" s="172"/>
    </row>
    <row r="9928" spans="1:15" ht="25.5" x14ac:dyDescent="0.2">
      <c r="A9928" s="197" t="str">
        <f t="shared" si="155"/>
        <v>TfcCode_roadsideRestHouse</v>
      </c>
      <c r="B9928" s="409"/>
      <c r="C9928" s="416"/>
      <c r="D9928" s="198" t="s">
        <v>52770</v>
      </c>
      <c r="E9928" s="198">
        <v>6</v>
      </c>
      <c r="F9928" s="199" t="s">
        <v>52771</v>
      </c>
      <c r="G9928" s="1" t="s">
        <v>52772</v>
      </c>
      <c r="H9928" s="1" t="s">
        <v>11354</v>
      </c>
      <c r="I9928" s="351" t="s">
        <v>52773</v>
      </c>
      <c r="J9928" s="39">
        <v>108455</v>
      </c>
      <c r="K9928" s="36" t="str">
        <f>CONCATENATE(Cover!$D$6,"fdd/view?i=",J9928)</f>
        <v>https://www.dgiwg.org/FAD/fdd/view?i=108455</v>
      </c>
      <c r="L9928" s="36" t="s">
        <v>52774</v>
      </c>
      <c r="M9928" s="186"/>
      <c r="N9928" s="186"/>
      <c r="O9928" s="172"/>
    </row>
    <row r="9929" spans="1:15" ht="25.5" x14ac:dyDescent="0.2">
      <c r="A9929" s="197" t="str">
        <f t="shared" si="155"/>
        <v>TfcCode_roundhouse</v>
      </c>
      <c r="B9929" s="409"/>
      <c r="C9929" s="416"/>
      <c r="D9929" s="198" t="s">
        <v>52775</v>
      </c>
      <c r="E9929" s="198">
        <v>1</v>
      </c>
      <c r="F9929" s="199" t="s">
        <v>4781</v>
      </c>
      <c r="G9929" s="1" t="s">
        <v>52776</v>
      </c>
      <c r="H9929" s="200"/>
      <c r="I9929" s="346"/>
      <c r="J9929" s="39">
        <v>108450</v>
      </c>
      <c r="K9929" s="36" t="str">
        <f>CONCATENATE(Cover!$D$6,"fdd/view?i=",J9929)</f>
        <v>https://www.dgiwg.org/FAD/fdd/view?i=108450</v>
      </c>
      <c r="L9929" s="36" t="s">
        <v>52777</v>
      </c>
      <c r="M9929" s="186"/>
      <c r="N9929" s="186"/>
      <c r="O9929" s="172"/>
    </row>
    <row r="9930" spans="1:15" x14ac:dyDescent="0.2">
      <c r="A9930" s="197" t="str">
        <f t="shared" si="155"/>
        <v>TfcCode_vehicleScale</v>
      </c>
      <c r="B9930" s="409"/>
      <c r="C9930" s="416"/>
      <c r="D9930" s="198" t="s">
        <v>52778</v>
      </c>
      <c r="E9930" s="198">
        <v>16</v>
      </c>
      <c r="F9930" s="199" t="s">
        <v>52779</v>
      </c>
      <c r="G9930" s="1" t="s">
        <v>52780</v>
      </c>
      <c r="H9930" s="200"/>
      <c r="I9930" s="346"/>
      <c r="J9930" s="39">
        <v>108465</v>
      </c>
      <c r="K9930" s="36" t="str">
        <f>CONCATENATE(Cover!$D$6,"fdd/view?i=",J9930)</f>
        <v>https://www.dgiwg.org/FAD/fdd/view?i=108465</v>
      </c>
      <c r="L9930" s="36" t="s">
        <v>52781</v>
      </c>
      <c r="M9930" s="186"/>
      <c r="N9930" s="186"/>
      <c r="O9930" s="172"/>
    </row>
    <row r="9931" spans="1:15" x14ac:dyDescent="0.2">
      <c r="A9931" s="203" t="str">
        <f t="shared" si="155"/>
        <v>TfcCode_yachtClub</v>
      </c>
      <c r="B9931" s="410"/>
      <c r="C9931" s="417"/>
      <c r="D9931" s="204" t="s">
        <v>23215</v>
      </c>
      <c r="E9931" s="204">
        <v>8</v>
      </c>
      <c r="F9931" s="205" t="s">
        <v>23216</v>
      </c>
      <c r="G9931" s="206" t="s">
        <v>23217</v>
      </c>
      <c r="H9931" s="207"/>
      <c r="I9931" s="353" t="s">
        <v>23218</v>
      </c>
      <c r="J9931" s="39">
        <v>108457</v>
      </c>
      <c r="K9931" s="36" t="str">
        <f>CONCATENATE(Cover!$D$6,"fdd/view?i=",J9931)</f>
        <v>https://www.dgiwg.org/FAD/fdd/view?i=108457</v>
      </c>
      <c r="L9931" s="36" t="s">
        <v>52782</v>
      </c>
      <c r="M9931" s="186"/>
      <c r="N9931" s="186"/>
      <c r="O9931" s="172"/>
    </row>
    <row r="9932" spans="1:15" ht="38.25" x14ac:dyDescent="0.2">
      <c r="A9932" s="190" t="str">
        <f t="shared" si="155"/>
        <v>CneCode_closure</v>
      </c>
      <c r="B9932" s="414" t="str">
        <f>HYPERLINK("[#]Datatypes!A1604:L1604","CneCode")</f>
        <v>CneCode</v>
      </c>
      <c r="C9932" s="415" t="s">
        <v>16235</v>
      </c>
      <c r="D9932" s="221" t="s">
        <v>15658</v>
      </c>
      <c r="E9932" s="221">
        <v>1</v>
      </c>
      <c r="F9932" s="222" t="s">
        <v>52783</v>
      </c>
      <c r="G9932" s="223" t="s">
        <v>52784</v>
      </c>
      <c r="H9932" s="223" t="s">
        <v>52785</v>
      </c>
      <c r="I9932" s="345"/>
      <c r="J9932" s="39">
        <v>119535</v>
      </c>
      <c r="K9932" s="36" t="str">
        <f>CONCATENATE(Cover!$D$6,"fdd/view?i=",J9932)</f>
        <v>https://www.dgiwg.org/FAD/fdd/view?i=119535</v>
      </c>
      <c r="L9932" s="36" t="s">
        <v>52786</v>
      </c>
      <c r="M9932" s="186"/>
      <c r="N9932" s="186"/>
      <c r="O9932" s="172"/>
    </row>
    <row r="9933" spans="1:15" ht="25.5" x14ac:dyDescent="0.2">
      <c r="A9933" s="197" t="str">
        <f t="shared" si="155"/>
        <v>CneCode_heightReduction</v>
      </c>
      <c r="B9933" s="409"/>
      <c r="C9933" s="416"/>
      <c r="D9933" s="198" t="s">
        <v>52787</v>
      </c>
      <c r="E9933" s="198">
        <v>2</v>
      </c>
      <c r="F9933" s="199" t="s">
        <v>52788</v>
      </c>
      <c r="G9933" s="1" t="s">
        <v>52789</v>
      </c>
      <c r="H9933" s="1" t="s">
        <v>52790</v>
      </c>
      <c r="I9933" s="346"/>
      <c r="J9933" s="39">
        <v>119536</v>
      </c>
      <c r="K9933" s="36" t="str">
        <f>CONCATENATE(Cover!$D$6,"fdd/view?i=",J9933)</f>
        <v>https://www.dgiwg.org/FAD/fdd/view?i=119536</v>
      </c>
      <c r="L9933" s="36" t="s">
        <v>52791</v>
      </c>
      <c r="M9933" s="186"/>
      <c r="N9933" s="186"/>
      <c r="O9933" s="172"/>
    </row>
    <row r="9934" spans="1:15" ht="38.25" x14ac:dyDescent="0.2">
      <c r="A9934" s="197" t="str">
        <f t="shared" si="155"/>
        <v>CneCode_laneReduction</v>
      </c>
      <c r="B9934" s="409"/>
      <c r="C9934" s="416"/>
      <c r="D9934" s="198" t="s">
        <v>52792</v>
      </c>
      <c r="E9934" s="198">
        <v>3</v>
      </c>
      <c r="F9934" s="199" t="s">
        <v>52793</v>
      </c>
      <c r="G9934" s="1" t="s">
        <v>52794</v>
      </c>
      <c r="H9934" s="1" t="s">
        <v>52795</v>
      </c>
      <c r="I9934" s="346"/>
      <c r="J9934" s="39">
        <v>119537</v>
      </c>
      <c r="K9934" s="36" t="str">
        <f>CONCATENATE(Cover!$D$6,"fdd/view?i=",J9934)</f>
        <v>https://www.dgiwg.org/FAD/fdd/view?i=119537</v>
      </c>
      <c r="L9934" s="36" t="s">
        <v>52796</v>
      </c>
      <c r="M9934" s="186"/>
      <c r="N9934" s="186"/>
      <c r="O9934" s="172"/>
    </row>
    <row r="9935" spans="1:15" ht="25.5" x14ac:dyDescent="0.2">
      <c r="A9935" s="197" t="str">
        <f t="shared" si="155"/>
        <v>CneCode_laneShift</v>
      </c>
      <c r="B9935" s="409"/>
      <c r="C9935" s="416"/>
      <c r="D9935" s="198" t="s">
        <v>52797</v>
      </c>
      <c r="E9935" s="198">
        <v>4</v>
      </c>
      <c r="F9935" s="199" t="s">
        <v>52798</v>
      </c>
      <c r="G9935" s="1" t="s">
        <v>52799</v>
      </c>
      <c r="H9935" s="1" t="s">
        <v>52800</v>
      </c>
      <c r="I9935" s="346"/>
      <c r="J9935" s="39">
        <v>119538</v>
      </c>
      <c r="K9935" s="36" t="str">
        <f>CONCATENATE(Cover!$D$6,"fdd/view?i=",J9935)</f>
        <v>https://www.dgiwg.org/FAD/fdd/view?i=119538</v>
      </c>
      <c r="L9935" s="36" t="s">
        <v>52801</v>
      </c>
      <c r="M9935" s="186"/>
      <c r="N9935" s="186"/>
      <c r="O9935" s="172"/>
    </row>
    <row r="9936" spans="1:15" ht="25.5" x14ac:dyDescent="0.2">
      <c r="A9936" s="197" t="str">
        <f t="shared" si="155"/>
        <v>CneCode_oneWayTraffic</v>
      </c>
      <c r="B9936" s="409"/>
      <c r="C9936" s="416"/>
      <c r="D9936" s="198" t="s">
        <v>52802</v>
      </c>
      <c r="E9936" s="198">
        <v>5</v>
      </c>
      <c r="F9936" s="199" t="s">
        <v>52803</v>
      </c>
      <c r="G9936" s="1" t="s">
        <v>52804</v>
      </c>
      <c r="H9936" s="1" t="s">
        <v>52805</v>
      </c>
      <c r="I9936" s="346"/>
      <c r="J9936" s="39">
        <v>119539</v>
      </c>
      <c r="K9936" s="36" t="str">
        <f>CONCATENATE(Cover!$D$6,"fdd/view?i=",J9936)</f>
        <v>https://www.dgiwg.org/FAD/fdd/view?i=119539</v>
      </c>
      <c r="L9936" s="36" t="s">
        <v>52806</v>
      </c>
      <c r="M9936" s="186"/>
      <c r="N9936" s="186"/>
      <c r="O9936" s="172"/>
    </row>
    <row r="9937" spans="1:15" ht="25.5" x14ac:dyDescent="0.2">
      <c r="A9937" s="197" t="str">
        <f t="shared" si="155"/>
        <v>CneCode_roadSurfaceCondition</v>
      </c>
      <c r="B9937" s="409"/>
      <c r="C9937" s="416"/>
      <c r="D9937" s="198" t="s">
        <v>52807</v>
      </c>
      <c r="E9937" s="198">
        <v>6</v>
      </c>
      <c r="F9937" s="199" t="s">
        <v>52808</v>
      </c>
      <c r="G9937" s="1" t="s">
        <v>52809</v>
      </c>
      <c r="H9937" s="1" t="s">
        <v>52810</v>
      </c>
      <c r="I9937" s="346"/>
      <c r="J9937" s="39">
        <v>119540</v>
      </c>
      <c r="K9937" s="36" t="str">
        <f>CONCATENATE(Cover!$D$6,"fdd/view?i=",J9937)</f>
        <v>https://www.dgiwg.org/FAD/fdd/view?i=119540</v>
      </c>
      <c r="L9937" s="36" t="s">
        <v>52811</v>
      </c>
      <c r="M9937" s="186"/>
      <c r="N9937" s="186"/>
      <c r="O9937" s="172"/>
    </row>
    <row r="9938" spans="1:15" ht="25.5" x14ac:dyDescent="0.2">
      <c r="A9938" s="197" t="str">
        <f t="shared" si="155"/>
        <v>CneCode_speedReduction</v>
      </c>
      <c r="B9938" s="409"/>
      <c r="C9938" s="416"/>
      <c r="D9938" s="198" t="s">
        <v>52812</v>
      </c>
      <c r="E9938" s="198">
        <v>7</v>
      </c>
      <c r="F9938" s="199" t="s">
        <v>52813</v>
      </c>
      <c r="G9938" s="1" t="s">
        <v>52814</v>
      </c>
      <c r="H9938" s="1" t="s">
        <v>52815</v>
      </c>
      <c r="I9938" s="346"/>
      <c r="J9938" s="39">
        <v>119541</v>
      </c>
      <c r="K9938" s="36" t="str">
        <f>CONCATENATE(Cover!$D$6,"fdd/view?i=",J9938)</f>
        <v>https://www.dgiwg.org/FAD/fdd/view?i=119541</v>
      </c>
      <c r="L9938" s="36" t="s">
        <v>52816</v>
      </c>
      <c r="M9938" s="186"/>
      <c r="N9938" s="186"/>
      <c r="O9938" s="172"/>
    </row>
    <row r="9939" spans="1:15" ht="38.25" x14ac:dyDescent="0.2">
      <c r="A9939" s="197" t="str">
        <f t="shared" si="155"/>
        <v>CneCode_trafficFlowRestriction</v>
      </c>
      <c r="B9939" s="409"/>
      <c r="C9939" s="416"/>
      <c r="D9939" s="198" t="s">
        <v>52817</v>
      </c>
      <c r="E9939" s="198">
        <v>8</v>
      </c>
      <c r="F9939" s="199" t="s">
        <v>52818</v>
      </c>
      <c r="G9939" s="1" t="s">
        <v>52819</v>
      </c>
      <c r="H9939" s="1" t="s">
        <v>52820</v>
      </c>
      <c r="I9939" s="346"/>
      <c r="J9939" s="39">
        <v>119542</v>
      </c>
      <c r="K9939" s="36" t="str">
        <f>CONCATENATE(Cover!$D$6,"fdd/view?i=",J9939)</f>
        <v>https://www.dgiwg.org/FAD/fdd/view?i=119542</v>
      </c>
      <c r="L9939" s="36" t="s">
        <v>52821</v>
      </c>
      <c r="M9939" s="186"/>
      <c r="N9939" s="186"/>
      <c r="O9939" s="172"/>
    </row>
    <row r="9940" spans="1:15" ht="25.5" x14ac:dyDescent="0.2">
      <c r="A9940" s="197" t="str">
        <f t="shared" si="155"/>
        <v>CneCode_weightReduction</v>
      </c>
      <c r="B9940" s="409"/>
      <c r="C9940" s="416"/>
      <c r="D9940" s="198" t="s">
        <v>52822</v>
      </c>
      <c r="E9940" s="198">
        <v>9</v>
      </c>
      <c r="F9940" s="199" t="s">
        <v>52823</v>
      </c>
      <c r="G9940" s="1" t="s">
        <v>52824</v>
      </c>
      <c r="H9940" s="1" t="s">
        <v>52825</v>
      </c>
      <c r="I9940" s="346"/>
      <c r="J9940" s="39">
        <v>119543</v>
      </c>
      <c r="K9940" s="36" t="str">
        <f>CONCATENATE(Cover!$D$6,"fdd/view?i=",J9940)</f>
        <v>https://www.dgiwg.org/FAD/fdd/view?i=119543</v>
      </c>
      <c r="L9940" s="36" t="s">
        <v>52826</v>
      </c>
      <c r="M9940" s="186"/>
      <c r="N9940" s="186"/>
      <c r="O9940" s="172"/>
    </row>
    <row r="9941" spans="1:15" ht="51" x14ac:dyDescent="0.2">
      <c r="A9941" s="203" t="str">
        <f t="shared" si="155"/>
        <v>CneCode_widthReduction</v>
      </c>
      <c r="B9941" s="410"/>
      <c r="C9941" s="417"/>
      <c r="D9941" s="204" t="s">
        <v>52827</v>
      </c>
      <c r="E9941" s="204">
        <v>10</v>
      </c>
      <c r="F9941" s="205" t="s">
        <v>52828</v>
      </c>
      <c r="G9941" s="206" t="s">
        <v>52829</v>
      </c>
      <c r="H9941" s="206" t="s">
        <v>52830</v>
      </c>
      <c r="I9941" s="347"/>
      <c r="J9941" s="39">
        <v>119544</v>
      </c>
      <c r="K9941" s="36" t="str">
        <f>CONCATENATE(Cover!$D$6,"fdd/view?i=",J9941)</f>
        <v>https://www.dgiwg.org/FAD/fdd/view?i=119544</v>
      </c>
      <c r="L9941" s="36" t="s">
        <v>52831</v>
      </c>
      <c r="M9941" s="186"/>
      <c r="N9941" s="186"/>
      <c r="O9941" s="172"/>
    </row>
    <row r="9942" spans="1:15" ht="51" x14ac:dyDescent="0.2">
      <c r="A9942" s="190" t="str">
        <f t="shared" si="155"/>
        <v>TrpCode_gallery</v>
      </c>
      <c r="B9942" s="414" t="str">
        <f>HYPERLINK("[#]Datatypes!A1606:L1606","TrpCode")</f>
        <v>TrpCode</v>
      </c>
      <c r="C9942" s="415" t="s">
        <v>16237</v>
      </c>
      <c r="D9942" s="221" t="s">
        <v>46255</v>
      </c>
      <c r="E9942" s="221">
        <v>1</v>
      </c>
      <c r="F9942" s="222" t="s">
        <v>3241</v>
      </c>
      <c r="G9942" s="223" t="s">
        <v>52832</v>
      </c>
      <c r="H9942" s="223" t="s">
        <v>52833</v>
      </c>
      <c r="I9942" s="345"/>
      <c r="J9942" s="39">
        <v>117967</v>
      </c>
      <c r="K9942" s="36" t="str">
        <f>CONCATENATE(Cover!$D$6,"fdd/view?i=",J9942)</f>
        <v>https://www.dgiwg.org/FAD/fdd/view?i=117967</v>
      </c>
      <c r="L9942" s="36" t="s">
        <v>52834</v>
      </c>
      <c r="M9942" s="186"/>
      <c r="N9942" s="186"/>
      <c r="O9942" s="172"/>
    </row>
    <row r="9943" spans="1:15" ht="38.25" x14ac:dyDescent="0.2">
      <c r="A9943" s="197" t="str">
        <f t="shared" si="155"/>
        <v>TrpCode_protectionShed</v>
      </c>
      <c r="B9943" s="409"/>
      <c r="C9943" s="416"/>
      <c r="D9943" s="198" t="s">
        <v>52835</v>
      </c>
      <c r="E9943" s="198">
        <v>4</v>
      </c>
      <c r="F9943" s="199" t="s">
        <v>4564</v>
      </c>
      <c r="G9943" s="1" t="s">
        <v>52836</v>
      </c>
      <c r="H9943" s="1" t="s">
        <v>52837</v>
      </c>
      <c r="I9943" s="346"/>
      <c r="J9943" s="39">
        <v>117970</v>
      </c>
      <c r="K9943" s="36" t="str">
        <f>CONCATENATE(Cover!$D$6,"fdd/view?i=",J9943)</f>
        <v>https://www.dgiwg.org/FAD/fdd/view?i=117970</v>
      </c>
      <c r="L9943" s="36" t="s">
        <v>52838</v>
      </c>
      <c r="M9943" s="186"/>
      <c r="N9943" s="186"/>
      <c r="O9943" s="172"/>
    </row>
    <row r="9944" spans="1:15" ht="25.5" x14ac:dyDescent="0.2">
      <c r="A9944" s="197" t="str">
        <f t="shared" si="155"/>
        <v>TrpCode_rockProtectionShed</v>
      </c>
      <c r="B9944" s="409"/>
      <c r="C9944" s="416"/>
      <c r="D9944" s="198" t="s">
        <v>52839</v>
      </c>
      <c r="E9944" s="198">
        <v>2</v>
      </c>
      <c r="F9944" s="199" t="s">
        <v>52840</v>
      </c>
      <c r="G9944" s="1" t="s">
        <v>52841</v>
      </c>
      <c r="H9944" s="1" t="s">
        <v>52842</v>
      </c>
      <c r="I9944" s="346"/>
      <c r="J9944" s="39">
        <v>117968</v>
      </c>
      <c r="K9944" s="36" t="str">
        <f>CONCATENATE(Cover!$D$6,"fdd/view?i=",J9944)</f>
        <v>https://www.dgiwg.org/FAD/fdd/view?i=117968</v>
      </c>
      <c r="L9944" s="36" t="s">
        <v>52843</v>
      </c>
      <c r="M9944" s="186"/>
      <c r="N9944" s="186"/>
      <c r="O9944" s="172"/>
    </row>
    <row r="9945" spans="1:15" ht="38.25" x14ac:dyDescent="0.2">
      <c r="A9945" s="203" t="str">
        <f t="shared" si="155"/>
        <v>TrpCode_snowProtectionShed</v>
      </c>
      <c r="B9945" s="410"/>
      <c r="C9945" s="417"/>
      <c r="D9945" s="204" t="s">
        <v>52844</v>
      </c>
      <c r="E9945" s="204">
        <v>3</v>
      </c>
      <c r="F9945" s="205" t="s">
        <v>52845</v>
      </c>
      <c r="G9945" s="206" t="s">
        <v>52846</v>
      </c>
      <c r="H9945" s="206" t="s">
        <v>52847</v>
      </c>
      <c r="I9945" s="347"/>
      <c r="J9945" s="39">
        <v>117969</v>
      </c>
      <c r="K9945" s="36" t="str">
        <f>CONCATENATE(Cover!$D$6,"fdd/view?i=",J9945)</f>
        <v>https://www.dgiwg.org/FAD/fdd/view?i=117969</v>
      </c>
      <c r="L9945" s="36" t="s">
        <v>52848</v>
      </c>
      <c r="M9945" s="186"/>
      <c r="N9945" s="186"/>
      <c r="O9945" s="172"/>
    </row>
    <row r="9946" spans="1:15" ht="25.5" x14ac:dyDescent="0.2">
      <c r="A9946" s="190" t="str">
        <f t="shared" si="155"/>
        <v>TrsCode_aeronautical</v>
      </c>
      <c r="B9946" s="414" t="str">
        <f>HYPERLINK("[#]Datatypes!A1608:L1608","TrsCode")</f>
        <v>TrsCode</v>
      </c>
      <c r="C9946" s="415" t="s">
        <v>16239</v>
      </c>
      <c r="D9946" s="221" t="s">
        <v>19896</v>
      </c>
      <c r="E9946" s="221">
        <v>1</v>
      </c>
      <c r="F9946" s="222" t="s">
        <v>19897</v>
      </c>
      <c r="G9946" s="223" t="s">
        <v>52849</v>
      </c>
      <c r="H9946" s="224"/>
      <c r="I9946" s="345"/>
      <c r="J9946" s="39">
        <v>110556</v>
      </c>
      <c r="K9946" s="36" t="str">
        <f>CONCATENATE(Cover!$D$6,"fdd/view?i=",J9946)</f>
        <v>https://www.dgiwg.org/FAD/fdd/view?i=110556</v>
      </c>
      <c r="L9946" s="36" t="s">
        <v>52850</v>
      </c>
      <c r="M9946" s="186"/>
      <c r="N9946" s="186"/>
      <c r="O9946" s="172"/>
    </row>
    <row r="9947" spans="1:15" ht="25.5" x14ac:dyDescent="0.2">
      <c r="A9947" s="197" t="str">
        <f t="shared" si="155"/>
        <v>TrsCode_aqueduct</v>
      </c>
      <c r="B9947" s="409"/>
      <c r="C9947" s="416"/>
      <c r="D9947" s="198" t="s">
        <v>35588</v>
      </c>
      <c r="E9947" s="198">
        <v>2</v>
      </c>
      <c r="F9947" s="199" t="s">
        <v>2104</v>
      </c>
      <c r="G9947" s="1" t="s">
        <v>52851</v>
      </c>
      <c r="H9947" s="1" t="s">
        <v>52852</v>
      </c>
      <c r="I9947" s="346"/>
      <c r="J9947" s="39">
        <v>110557</v>
      </c>
      <c r="K9947" s="36" t="str">
        <f>CONCATENATE(Cover!$D$6,"fdd/view?i=",J9947)</f>
        <v>https://www.dgiwg.org/FAD/fdd/view?i=110557</v>
      </c>
      <c r="L9947" s="36" t="s">
        <v>52853</v>
      </c>
      <c r="M9947" s="186"/>
      <c r="N9947" s="186"/>
      <c r="O9947" s="172"/>
    </row>
    <row r="9948" spans="1:15" ht="25.5" x14ac:dyDescent="0.2">
      <c r="A9948" s="197" t="str">
        <f t="shared" si="155"/>
        <v>TrsCode_automotive</v>
      </c>
      <c r="B9948" s="409"/>
      <c r="C9948" s="416"/>
      <c r="D9948" s="198" t="s">
        <v>52854</v>
      </c>
      <c r="E9948" s="198">
        <v>3</v>
      </c>
      <c r="F9948" s="199" t="s">
        <v>52855</v>
      </c>
      <c r="G9948" s="1" t="s">
        <v>52856</v>
      </c>
      <c r="H9948" s="200"/>
      <c r="I9948" s="346"/>
      <c r="J9948" s="39">
        <v>110558</v>
      </c>
      <c r="K9948" s="36" t="str">
        <f>CONCATENATE(Cover!$D$6,"fdd/view?i=",J9948)</f>
        <v>https://www.dgiwg.org/FAD/fdd/view?i=110558</v>
      </c>
      <c r="L9948" s="36" t="s">
        <v>52857</v>
      </c>
      <c r="M9948" s="186"/>
      <c r="N9948" s="186"/>
      <c r="O9948" s="172"/>
    </row>
    <row r="9949" spans="1:15" ht="25.5" x14ac:dyDescent="0.2">
      <c r="A9949" s="197" t="str">
        <f t="shared" si="155"/>
        <v>TrsCode_bicycle</v>
      </c>
      <c r="B9949" s="409"/>
      <c r="C9949" s="416"/>
      <c r="D9949" s="198" t="s">
        <v>40178</v>
      </c>
      <c r="E9949" s="198">
        <v>26</v>
      </c>
      <c r="F9949" s="199" t="s">
        <v>40179</v>
      </c>
      <c r="G9949" s="1" t="s">
        <v>52858</v>
      </c>
      <c r="H9949" s="200"/>
      <c r="I9949" s="346"/>
      <c r="J9949" s="39">
        <v>119631</v>
      </c>
      <c r="K9949" s="36" t="str">
        <f>CONCATENATE(Cover!$D$6,"fdd/view?i=",J9949)</f>
        <v>https://www.dgiwg.org/FAD/fdd/view?i=119631</v>
      </c>
      <c r="L9949" s="36" t="s">
        <v>52859</v>
      </c>
      <c r="M9949" s="186"/>
      <c r="N9949" s="186"/>
      <c r="O9949" s="172"/>
    </row>
    <row r="9950" spans="1:15" ht="25.5" x14ac:dyDescent="0.2">
      <c r="A9950" s="197" t="str">
        <f t="shared" si="155"/>
        <v>TrsCode_bus</v>
      </c>
      <c r="B9950" s="409"/>
      <c r="C9950" s="416"/>
      <c r="D9950" s="198" t="s">
        <v>40182</v>
      </c>
      <c r="E9950" s="198">
        <v>4</v>
      </c>
      <c r="F9950" s="199" t="s">
        <v>40183</v>
      </c>
      <c r="G9950" s="1" t="s">
        <v>52860</v>
      </c>
      <c r="H9950" s="200"/>
      <c r="I9950" s="346"/>
      <c r="J9950" s="39">
        <v>110559</v>
      </c>
      <c r="K9950" s="36" t="str">
        <f>CONCATENATE(Cover!$D$6,"fdd/view?i=",J9950)</f>
        <v>https://www.dgiwg.org/FAD/fdd/view?i=110559</v>
      </c>
      <c r="L9950" s="36" t="s">
        <v>52861</v>
      </c>
      <c r="M9950" s="186"/>
      <c r="N9950" s="186"/>
      <c r="O9950" s="172"/>
    </row>
    <row r="9951" spans="1:15" ht="25.5" x14ac:dyDescent="0.2">
      <c r="A9951" s="197" t="str">
        <f t="shared" si="155"/>
        <v>TrsCode_cableway</v>
      </c>
      <c r="B9951" s="409"/>
      <c r="C9951" s="416"/>
      <c r="D9951" s="198" t="s">
        <v>25358</v>
      </c>
      <c r="E9951" s="198">
        <v>30</v>
      </c>
      <c r="F9951" s="199" t="s">
        <v>2385</v>
      </c>
      <c r="G9951" s="1" t="s">
        <v>52862</v>
      </c>
      <c r="H9951" s="1" t="s">
        <v>42401</v>
      </c>
      <c r="I9951" s="346"/>
      <c r="J9951" s="39">
        <v>119326</v>
      </c>
      <c r="K9951" s="36" t="str">
        <f>CONCATENATE(Cover!$D$6,"fdd/view?i=",J9951)</f>
        <v>https://www.dgiwg.org/FAD/fdd/view?i=119326</v>
      </c>
      <c r="L9951" s="36" t="s">
        <v>52863</v>
      </c>
      <c r="M9951" s="186"/>
      <c r="N9951" s="186"/>
      <c r="O9951" s="172"/>
    </row>
    <row r="9952" spans="1:15" ht="25.5" x14ac:dyDescent="0.2">
      <c r="A9952" s="197" t="str">
        <f t="shared" si="155"/>
        <v>TrsCode_canal</v>
      </c>
      <c r="B9952" s="409"/>
      <c r="C9952" s="416"/>
      <c r="D9952" s="198" t="s">
        <v>35595</v>
      </c>
      <c r="E9952" s="198">
        <v>5</v>
      </c>
      <c r="F9952" s="199" t="s">
        <v>2414</v>
      </c>
      <c r="G9952" s="1" t="s">
        <v>52864</v>
      </c>
      <c r="H9952" s="1" t="s">
        <v>52865</v>
      </c>
      <c r="I9952" s="346"/>
      <c r="J9952" s="39">
        <v>110560</v>
      </c>
      <c r="K9952" s="36" t="str">
        <f>CONCATENATE(Cover!$D$6,"fdd/view?i=",J9952)</f>
        <v>https://www.dgiwg.org/FAD/fdd/view?i=110560</v>
      </c>
      <c r="L9952" s="36" t="s">
        <v>52866</v>
      </c>
      <c r="M9952" s="186"/>
      <c r="N9952" s="186"/>
      <c r="O9952" s="172"/>
    </row>
    <row r="9953" spans="1:15" ht="25.5" x14ac:dyDescent="0.2">
      <c r="A9953" s="197" t="str">
        <f t="shared" si="155"/>
        <v>TrsCode_caravanRoute</v>
      </c>
      <c r="B9953" s="409"/>
      <c r="C9953" s="416"/>
      <c r="D9953" s="198" t="s">
        <v>52867</v>
      </c>
      <c r="E9953" s="198">
        <v>6</v>
      </c>
      <c r="F9953" s="199" t="s">
        <v>52868</v>
      </c>
      <c r="G9953" s="1" t="s">
        <v>52869</v>
      </c>
      <c r="H9953" s="1" t="s">
        <v>52870</v>
      </c>
      <c r="I9953" s="346"/>
      <c r="J9953" s="39">
        <v>110561</v>
      </c>
      <c r="K9953" s="36" t="str">
        <f>CONCATENATE(Cover!$D$6,"fdd/view?i=",J9953)</f>
        <v>https://www.dgiwg.org/FAD/fdd/view?i=110561</v>
      </c>
      <c r="L9953" s="36" t="s">
        <v>52871</v>
      </c>
      <c r="M9953" s="186"/>
      <c r="N9953" s="186"/>
      <c r="O9953" s="172"/>
    </row>
    <row r="9954" spans="1:15" ht="25.5" x14ac:dyDescent="0.2">
      <c r="A9954" s="197" t="str">
        <f t="shared" si="155"/>
        <v>TrsCode_drove</v>
      </c>
      <c r="B9954" s="409"/>
      <c r="C9954" s="416"/>
      <c r="D9954" s="198" t="s">
        <v>52872</v>
      </c>
      <c r="E9954" s="198">
        <v>23</v>
      </c>
      <c r="F9954" s="199" t="s">
        <v>2866</v>
      </c>
      <c r="G9954" s="1" t="s">
        <v>52873</v>
      </c>
      <c r="H9954" s="1" t="s">
        <v>2869</v>
      </c>
      <c r="I9954" s="351" t="s">
        <v>52874</v>
      </c>
      <c r="J9954" s="39">
        <v>112750</v>
      </c>
      <c r="K9954" s="36" t="str">
        <f>CONCATENATE(Cover!$D$6,"fdd/view?i=",J9954)</f>
        <v>https://www.dgiwg.org/FAD/fdd/view?i=112750</v>
      </c>
      <c r="L9954" s="36" t="s">
        <v>52875</v>
      </c>
      <c r="M9954" s="186"/>
      <c r="N9954" s="186"/>
      <c r="O9954" s="172"/>
    </row>
    <row r="9955" spans="1:15" ht="25.5" x14ac:dyDescent="0.2">
      <c r="A9955" s="197" t="str">
        <f t="shared" si="155"/>
        <v>TrsCode_inlandWaterway</v>
      </c>
      <c r="B9955" s="409"/>
      <c r="C9955" s="416"/>
      <c r="D9955" s="198" t="s">
        <v>52876</v>
      </c>
      <c r="E9955" s="198">
        <v>17</v>
      </c>
      <c r="F9955" s="199" t="s">
        <v>52877</v>
      </c>
      <c r="G9955" s="1" t="s">
        <v>52878</v>
      </c>
      <c r="H9955" s="200"/>
      <c r="I9955" s="346"/>
      <c r="J9955" s="39">
        <v>110572</v>
      </c>
      <c r="K9955" s="36" t="str">
        <f>CONCATENATE(Cover!$D$6,"fdd/view?i=",J9955)</f>
        <v>https://www.dgiwg.org/FAD/fdd/view?i=110572</v>
      </c>
      <c r="L9955" s="36" t="s">
        <v>52879</v>
      </c>
      <c r="M9955" s="186"/>
      <c r="N9955" s="186"/>
      <c r="O9955" s="172"/>
    </row>
    <row r="9956" spans="1:15" ht="25.5" x14ac:dyDescent="0.2">
      <c r="A9956" s="197" t="str">
        <f t="shared" si="155"/>
        <v>TrsCode_maritime</v>
      </c>
      <c r="B9956" s="409"/>
      <c r="C9956" s="416"/>
      <c r="D9956" s="198" t="s">
        <v>26034</v>
      </c>
      <c r="E9956" s="198">
        <v>7</v>
      </c>
      <c r="F9956" s="199" t="s">
        <v>32474</v>
      </c>
      <c r="G9956" s="1" t="s">
        <v>52880</v>
      </c>
      <c r="H9956" s="200"/>
      <c r="I9956" s="346"/>
      <c r="J9956" s="39">
        <v>110562</v>
      </c>
      <c r="K9956" s="36" t="str">
        <f>CONCATENATE(Cover!$D$6,"fdd/view?i=",J9956)</f>
        <v>https://www.dgiwg.org/FAD/fdd/view?i=110562</v>
      </c>
      <c r="L9956" s="36" t="s">
        <v>52881</v>
      </c>
      <c r="M9956" s="186"/>
      <c r="N9956" s="186"/>
      <c r="O9956" s="172"/>
    </row>
    <row r="9957" spans="1:15" ht="25.5" x14ac:dyDescent="0.2">
      <c r="A9957" s="197" t="str">
        <f t="shared" si="155"/>
        <v>TrsCode_noTransportationSystem</v>
      </c>
      <c r="B9957" s="409"/>
      <c r="C9957" s="416"/>
      <c r="D9957" s="198" t="s">
        <v>52882</v>
      </c>
      <c r="E9957" s="198">
        <v>8</v>
      </c>
      <c r="F9957" s="199" t="s">
        <v>52883</v>
      </c>
      <c r="G9957" s="1" t="s">
        <v>52884</v>
      </c>
      <c r="H9957" s="200"/>
      <c r="I9957" s="346"/>
      <c r="J9957" s="39">
        <v>110563</v>
      </c>
      <c r="K9957" s="36" t="str">
        <f>CONCATENATE(Cover!$D$6,"fdd/view?i=",J9957)</f>
        <v>https://www.dgiwg.org/FAD/fdd/view?i=110563</v>
      </c>
      <c r="L9957" s="36" t="s">
        <v>52885</v>
      </c>
      <c r="M9957" s="186"/>
      <c r="N9957" s="186"/>
      <c r="O9957" s="172"/>
    </row>
    <row r="9958" spans="1:15" ht="25.5" x14ac:dyDescent="0.2">
      <c r="A9958" s="197" t="str">
        <f t="shared" si="155"/>
        <v>TrsCode_packRoad</v>
      </c>
      <c r="B9958" s="409"/>
      <c r="C9958" s="416"/>
      <c r="D9958" s="198" t="s">
        <v>52886</v>
      </c>
      <c r="E9958" s="198">
        <v>18</v>
      </c>
      <c r="F9958" s="199" t="s">
        <v>52887</v>
      </c>
      <c r="G9958" s="1" t="s">
        <v>52888</v>
      </c>
      <c r="H9958" s="200"/>
      <c r="I9958" s="346"/>
      <c r="J9958" s="39">
        <v>110748</v>
      </c>
      <c r="K9958" s="36" t="str">
        <f>CONCATENATE(Cover!$D$6,"fdd/view?i=",J9958)</f>
        <v>https://www.dgiwg.org/FAD/fdd/view?i=110748</v>
      </c>
      <c r="L9958" s="36" t="s">
        <v>52889</v>
      </c>
      <c r="M9958" s="186"/>
      <c r="N9958" s="186"/>
      <c r="O9958" s="172"/>
    </row>
    <row r="9959" spans="1:15" x14ac:dyDescent="0.2">
      <c r="A9959" s="197" t="str">
        <f t="shared" si="155"/>
        <v>TrsCode_pedestrian</v>
      </c>
      <c r="B9959" s="409"/>
      <c r="C9959" s="416"/>
      <c r="D9959" s="198" t="s">
        <v>52890</v>
      </c>
      <c r="E9959" s="198">
        <v>9</v>
      </c>
      <c r="F9959" s="199" t="s">
        <v>52891</v>
      </c>
      <c r="G9959" s="1" t="s">
        <v>52892</v>
      </c>
      <c r="H9959" s="1" t="s">
        <v>52893</v>
      </c>
      <c r="I9959" s="346"/>
      <c r="J9959" s="39">
        <v>110564</v>
      </c>
      <c r="K9959" s="36" t="str">
        <f>CONCATENATE(Cover!$D$6,"fdd/view?i=",J9959)</f>
        <v>https://www.dgiwg.org/FAD/fdd/view?i=110564</v>
      </c>
      <c r="L9959" s="36" t="s">
        <v>52894</v>
      </c>
      <c r="M9959" s="186"/>
      <c r="N9959" s="186"/>
      <c r="O9959" s="172"/>
    </row>
    <row r="9960" spans="1:15" ht="25.5" x14ac:dyDescent="0.2">
      <c r="A9960" s="197" t="str">
        <f t="shared" si="155"/>
        <v>TrsCode_pipeline</v>
      </c>
      <c r="B9960" s="409"/>
      <c r="C9960" s="416"/>
      <c r="D9960" s="198" t="s">
        <v>25045</v>
      </c>
      <c r="E9960" s="198">
        <v>10</v>
      </c>
      <c r="F9960" s="199" t="s">
        <v>4440</v>
      </c>
      <c r="G9960" s="1" t="s">
        <v>52895</v>
      </c>
      <c r="H9960" s="1" t="s">
        <v>52896</v>
      </c>
      <c r="I9960" s="346"/>
      <c r="J9960" s="39">
        <v>110565</v>
      </c>
      <c r="K9960" s="36" t="str">
        <f>CONCATENATE(Cover!$D$6,"fdd/view?i=",J9960)</f>
        <v>https://www.dgiwg.org/FAD/fdd/view?i=110565</v>
      </c>
      <c r="L9960" s="36" t="s">
        <v>52897</v>
      </c>
      <c r="M9960" s="186"/>
      <c r="N9960" s="186"/>
      <c r="O9960" s="172"/>
    </row>
    <row r="9961" spans="1:15" ht="38.25" x14ac:dyDescent="0.2">
      <c r="A9961" s="197" t="str">
        <f t="shared" si="155"/>
        <v>TrsCode_pipelineMaintenance</v>
      </c>
      <c r="B9961" s="409"/>
      <c r="C9961" s="416"/>
      <c r="D9961" s="198" t="s">
        <v>52898</v>
      </c>
      <c r="E9961" s="198">
        <v>21</v>
      </c>
      <c r="F9961" s="199" t="s">
        <v>52899</v>
      </c>
      <c r="G9961" s="1" t="s">
        <v>52900</v>
      </c>
      <c r="H9961" s="200"/>
      <c r="I9961" s="346"/>
      <c r="J9961" s="39">
        <v>117971</v>
      </c>
      <c r="K9961" s="36" t="str">
        <f>CONCATENATE(Cover!$D$6,"fdd/view?i=",J9961)</f>
        <v>https://www.dgiwg.org/FAD/fdd/view?i=117971</v>
      </c>
      <c r="L9961" s="36" t="s">
        <v>52901</v>
      </c>
      <c r="M9961" s="186"/>
      <c r="N9961" s="186"/>
      <c r="O9961" s="172"/>
    </row>
    <row r="9962" spans="1:15" ht="25.5" x14ac:dyDescent="0.2">
      <c r="A9962" s="197" t="str">
        <f t="shared" si="155"/>
        <v>TrsCode_portage</v>
      </c>
      <c r="B9962" s="409"/>
      <c r="C9962" s="416"/>
      <c r="D9962" s="198" t="s">
        <v>52902</v>
      </c>
      <c r="E9962" s="198">
        <v>11</v>
      </c>
      <c r="F9962" s="199" t="s">
        <v>52903</v>
      </c>
      <c r="G9962" s="1" t="s">
        <v>52904</v>
      </c>
      <c r="H9962" s="200"/>
      <c r="I9962" s="346"/>
      <c r="J9962" s="39">
        <v>110566</v>
      </c>
      <c r="K9962" s="36" t="str">
        <f>CONCATENATE(Cover!$D$6,"fdd/view?i=",J9962)</f>
        <v>https://www.dgiwg.org/FAD/fdd/view?i=110566</v>
      </c>
      <c r="L9962" s="36" t="s">
        <v>52905</v>
      </c>
      <c r="M9962" s="186"/>
      <c r="N9962" s="186"/>
      <c r="O9962" s="172"/>
    </row>
    <row r="9963" spans="1:15" ht="38.25" x14ac:dyDescent="0.2">
      <c r="A9963" s="197" t="str">
        <f t="shared" si="155"/>
        <v>TrsCode_powerLineMaintenance</v>
      </c>
      <c r="B9963" s="409"/>
      <c r="C9963" s="416"/>
      <c r="D9963" s="198" t="s">
        <v>52906</v>
      </c>
      <c r="E9963" s="198">
        <v>22</v>
      </c>
      <c r="F9963" s="199" t="s">
        <v>52907</v>
      </c>
      <c r="G9963" s="1" t="s">
        <v>52908</v>
      </c>
      <c r="H9963" s="200"/>
      <c r="I9963" s="346"/>
      <c r="J9963" s="39">
        <v>117972</v>
      </c>
      <c r="K9963" s="36" t="str">
        <f>CONCATENATE(Cover!$D$6,"fdd/view?i=",J9963)</f>
        <v>https://www.dgiwg.org/FAD/fdd/view?i=117972</v>
      </c>
      <c r="L9963" s="36" t="s">
        <v>52909</v>
      </c>
      <c r="M9963" s="186"/>
      <c r="N9963" s="186"/>
      <c r="O9963" s="172"/>
    </row>
    <row r="9964" spans="1:15" ht="25.5" x14ac:dyDescent="0.2">
      <c r="A9964" s="197" t="str">
        <f t="shared" si="155"/>
        <v>TrsCode_railway</v>
      </c>
      <c r="B9964" s="409"/>
      <c r="C9964" s="416"/>
      <c r="D9964" s="198" t="s">
        <v>52910</v>
      </c>
      <c r="E9964" s="198">
        <v>12</v>
      </c>
      <c r="F9964" s="199" t="s">
        <v>4618</v>
      </c>
      <c r="G9964" s="1" t="s">
        <v>52911</v>
      </c>
      <c r="H9964" s="200"/>
      <c r="I9964" s="346"/>
      <c r="J9964" s="39">
        <v>110567</v>
      </c>
      <c r="K9964" s="36" t="str">
        <f>CONCATENATE(Cover!$D$6,"fdd/view?i=",J9964)</f>
        <v>https://www.dgiwg.org/FAD/fdd/view?i=110567</v>
      </c>
      <c r="L9964" s="36" t="s">
        <v>52912</v>
      </c>
      <c r="M9964" s="186"/>
      <c r="N9964" s="186"/>
      <c r="O9964" s="172"/>
    </row>
    <row r="9965" spans="1:15" ht="25.5" x14ac:dyDescent="0.2">
      <c r="A9965" s="197" t="str">
        <f t="shared" si="155"/>
        <v>TrsCode_road</v>
      </c>
      <c r="B9965" s="409"/>
      <c r="C9965" s="416"/>
      <c r="D9965" s="198" t="s">
        <v>38859</v>
      </c>
      <c r="E9965" s="198">
        <v>13</v>
      </c>
      <c r="F9965" s="199" t="s">
        <v>4754</v>
      </c>
      <c r="G9965" s="1" t="s">
        <v>52913</v>
      </c>
      <c r="H9965" s="200"/>
      <c r="I9965" s="346"/>
      <c r="J9965" s="39">
        <v>110568</v>
      </c>
      <c r="K9965" s="36" t="str">
        <f>CONCATENATE(Cover!$D$6,"fdd/view?i=",J9965)</f>
        <v>https://www.dgiwg.org/FAD/fdd/view?i=110568</v>
      </c>
      <c r="L9965" s="36" t="s">
        <v>52914</v>
      </c>
      <c r="M9965" s="186"/>
      <c r="N9965" s="186"/>
      <c r="O9965" s="172"/>
    </row>
    <row r="9966" spans="1:15" ht="25.5" x14ac:dyDescent="0.2">
      <c r="A9966" s="197" t="str">
        <f t="shared" si="155"/>
        <v>TrsCode_runway</v>
      </c>
      <c r="B9966" s="409"/>
      <c r="C9966" s="416"/>
      <c r="D9966" s="198" t="s">
        <v>52915</v>
      </c>
      <c r="E9966" s="198">
        <v>25</v>
      </c>
      <c r="F9966" s="199" t="s">
        <v>4803</v>
      </c>
      <c r="G9966" s="1" t="s">
        <v>4805</v>
      </c>
      <c r="H9966" s="1" t="s">
        <v>52916</v>
      </c>
      <c r="I9966" s="346"/>
      <c r="J9966" s="39">
        <v>117973</v>
      </c>
      <c r="K9966" s="36" t="str">
        <f>CONCATENATE(Cover!$D$6,"fdd/view?i=",J9966)</f>
        <v>https://www.dgiwg.org/FAD/fdd/view?i=117973</v>
      </c>
      <c r="L9966" s="36" t="s">
        <v>52917</v>
      </c>
      <c r="M9966" s="186"/>
      <c r="N9966" s="186"/>
      <c r="O9966" s="172"/>
    </row>
    <row r="9967" spans="1:15" ht="38.25" x14ac:dyDescent="0.2">
      <c r="A9967" s="197" t="str">
        <f t="shared" si="155"/>
        <v>TrsCode_taxiway</v>
      </c>
      <c r="B9967" s="409"/>
      <c r="C9967" s="416"/>
      <c r="D9967" s="198" t="s">
        <v>52918</v>
      </c>
      <c r="E9967" s="198">
        <v>20</v>
      </c>
      <c r="F9967" s="199" t="s">
        <v>5374</v>
      </c>
      <c r="G9967" s="1" t="s">
        <v>5376</v>
      </c>
      <c r="H9967" s="1" t="s">
        <v>52919</v>
      </c>
      <c r="I9967" s="346"/>
      <c r="J9967" s="39">
        <v>112837</v>
      </c>
      <c r="K9967" s="36" t="str">
        <f>CONCATENATE(Cover!$D$6,"fdd/view?i=",J9967)</f>
        <v>https://www.dgiwg.org/FAD/fdd/view?i=112837</v>
      </c>
      <c r="L9967" s="36" t="s">
        <v>52920</v>
      </c>
      <c r="M9967" s="186"/>
      <c r="N9967" s="186"/>
      <c r="O9967" s="172"/>
    </row>
    <row r="9968" spans="1:15" ht="25.5" x14ac:dyDescent="0.2">
      <c r="A9968" s="197" t="str">
        <f t="shared" si="155"/>
        <v>TrsCode_trackedVehicle</v>
      </c>
      <c r="B9968" s="409"/>
      <c r="C9968" s="416"/>
      <c r="D9968" s="198" t="s">
        <v>52921</v>
      </c>
      <c r="E9968" s="198">
        <v>29</v>
      </c>
      <c r="F9968" s="199" t="s">
        <v>52922</v>
      </c>
      <c r="G9968" s="1" t="s">
        <v>52923</v>
      </c>
      <c r="H9968" s="200"/>
      <c r="I9968" s="346"/>
      <c r="J9968" s="39">
        <v>119632</v>
      </c>
      <c r="K9968" s="36" t="str">
        <f>CONCATENATE(Cover!$D$6,"fdd/view?i=",J9968)</f>
        <v>https://www.dgiwg.org/FAD/fdd/view?i=119632</v>
      </c>
      <c r="L9968" s="36" t="s">
        <v>52924</v>
      </c>
      <c r="M9968" s="186"/>
      <c r="N9968" s="186"/>
      <c r="O9968" s="172"/>
    </row>
    <row r="9969" spans="1:15" ht="25.5" x14ac:dyDescent="0.2">
      <c r="A9969" s="197" t="str">
        <f t="shared" si="155"/>
        <v>TrsCode_truck</v>
      </c>
      <c r="B9969" s="409"/>
      <c r="C9969" s="416"/>
      <c r="D9969" s="198" t="s">
        <v>52925</v>
      </c>
      <c r="E9969" s="198">
        <v>15</v>
      </c>
      <c r="F9969" s="199" t="s">
        <v>40193</v>
      </c>
      <c r="G9969" s="1" t="s">
        <v>52926</v>
      </c>
      <c r="H9969" s="200"/>
      <c r="I9969" s="346"/>
      <c r="J9969" s="39">
        <v>110570</v>
      </c>
      <c r="K9969" s="36" t="str">
        <f>CONCATENATE(Cover!$D$6,"fdd/view?i=",J9969)</f>
        <v>https://www.dgiwg.org/FAD/fdd/view?i=110570</v>
      </c>
      <c r="L9969" s="36" t="s">
        <v>52927</v>
      </c>
      <c r="M9969" s="186"/>
      <c r="N9969" s="186"/>
      <c r="O9969" s="172"/>
    </row>
    <row r="9970" spans="1:15" ht="25.5" x14ac:dyDescent="0.2">
      <c r="A9970" s="203" t="str">
        <f t="shared" si="155"/>
        <v>TrsCode_undergroundRailway</v>
      </c>
      <c r="B9970" s="410"/>
      <c r="C9970" s="417"/>
      <c r="D9970" s="204" t="s">
        <v>44340</v>
      </c>
      <c r="E9970" s="204">
        <v>16</v>
      </c>
      <c r="F9970" s="205" t="s">
        <v>5639</v>
      </c>
      <c r="G9970" s="206" t="s">
        <v>52928</v>
      </c>
      <c r="H9970" s="206" t="s">
        <v>52929</v>
      </c>
      <c r="I9970" s="347"/>
      <c r="J9970" s="39">
        <v>110571</v>
      </c>
      <c r="K9970" s="36" t="str">
        <f>CONCATENATE(Cover!$D$6,"fdd/view?i=",J9970)</f>
        <v>https://www.dgiwg.org/FAD/fdd/view?i=110571</v>
      </c>
      <c r="L9970" s="36" t="s">
        <v>52930</v>
      </c>
      <c r="M9970" s="186"/>
      <c r="N9970" s="186"/>
      <c r="O9970" s="172"/>
    </row>
    <row r="9971" spans="1:15" ht="38.25" x14ac:dyDescent="0.2">
      <c r="A9971" s="190" t="str">
        <f t="shared" si="155"/>
        <v>TucCode_cargo</v>
      </c>
      <c r="B9971" s="414" t="str">
        <f>HYPERLINK("[#]Datatypes!A1610:L1610","TucCode")</f>
        <v>TucCode</v>
      </c>
      <c r="C9971" s="415" t="s">
        <v>16241</v>
      </c>
      <c r="D9971" s="221" t="s">
        <v>22135</v>
      </c>
      <c r="E9971" s="221">
        <v>25</v>
      </c>
      <c r="F9971" s="222" t="s">
        <v>22136</v>
      </c>
      <c r="G9971" s="223" t="s">
        <v>35754</v>
      </c>
      <c r="H9971" s="224"/>
      <c r="I9971" s="345"/>
      <c r="J9971" s="39">
        <v>108814</v>
      </c>
      <c r="K9971" s="36" t="str">
        <f>CONCATENATE(Cover!$D$6,"fdd/view?i=",J9971)</f>
        <v>https://www.dgiwg.org/FAD/fdd/view?i=108814</v>
      </c>
      <c r="L9971" s="36" t="s">
        <v>52931</v>
      </c>
      <c r="M9971" s="186"/>
      <c r="N9971" s="186"/>
      <c r="O9971" s="172"/>
    </row>
    <row r="9972" spans="1:15" ht="25.5" x14ac:dyDescent="0.2">
      <c r="A9972" s="197" t="str">
        <f t="shared" si="155"/>
        <v>TucCode_general</v>
      </c>
      <c r="B9972" s="409"/>
      <c r="C9972" s="416"/>
      <c r="D9972" s="198" t="s">
        <v>37631</v>
      </c>
      <c r="E9972" s="198">
        <v>45</v>
      </c>
      <c r="F9972" s="199" t="s">
        <v>37632</v>
      </c>
      <c r="G9972" s="1" t="s">
        <v>52932</v>
      </c>
      <c r="H9972" s="200"/>
      <c r="I9972" s="346"/>
      <c r="J9972" s="39">
        <v>110577</v>
      </c>
      <c r="K9972" s="36" t="str">
        <f>CONCATENATE(Cover!$D$6,"fdd/view?i=",J9972)</f>
        <v>https://www.dgiwg.org/FAD/fdd/view?i=110577</v>
      </c>
      <c r="L9972" s="36" t="s">
        <v>52933</v>
      </c>
      <c r="M9972" s="186"/>
      <c r="N9972" s="186"/>
      <c r="O9972" s="172"/>
    </row>
    <row r="9973" spans="1:15" x14ac:dyDescent="0.2">
      <c r="A9973" s="197" t="str">
        <f t="shared" si="155"/>
        <v>TucCode_livestock</v>
      </c>
      <c r="B9973" s="409"/>
      <c r="C9973" s="416"/>
      <c r="D9973" s="198" t="s">
        <v>52934</v>
      </c>
      <c r="E9973" s="198">
        <v>19</v>
      </c>
      <c r="F9973" s="199" t="s">
        <v>52935</v>
      </c>
      <c r="G9973" s="1" t="s">
        <v>52936</v>
      </c>
      <c r="H9973" s="1" t="s">
        <v>52937</v>
      </c>
      <c r="I9973" s="346"/>
      <c r="J9973" s="39">
        <v>108808</v>
      </c>
      <c r="K9973" s="36" t="str">
        <f>CONCATENATE(Cover!$D$6,"fdd/view?i=",J9973)</f>
        <v>https://www.dgiwg.org/FAD/fdd/view?i=108808</v>
      </c>
      <c r="L9973" s="36" t="s">
        <v>52938</v>
      </c>
      <c r="M9973" s="186"/>
      <c r="N9973" s="186"/>
      <c r="O9973" s="172"/>
    </row>
    <row r="9974" spans="1:15" ht="25.5" x14ac:dyDescent="0.2">
      <c r="A9974" s="197" t="str">
        <f t="shared" si="155"/>
        <v>TucCode_noTransportationUse</v>
      </c>
      <c r="B9974" s="409"/>
      <c r="C9974" s="416"/>
      <c r="D9974" s="198" t="s">
        <v>52939</v>
      </c>
      <c r="E9974" s="198">
        <v>35</v>
      </c>
      <c r="F9974" s="199" t="s">
        <v>52940</v>
      </c>
      <c r="G9974" s="1" t="s">
        <v>52941</v>
      </c>
      <c r="H9974" s="200"/>
      <c r="I9974" s="346"/>
      <c r="J9974" s="39">
        <v>108824</v>
      </c>
      <c r="K9974" s="36" t="str">
        <f>CONCATENATE(Cover!$D$6,"fdd/view?i=",J9974)</f>
        <v>https://www.dgiwg.org/FAD/fdd/view?i=108824</v>
      </c>
      <c r="L9974" s="36" t="s">
        <v>52942</v>
      </c>
      <c r="M9974" s="186"/>
      <c r="N9974" s="186"/>
      <c r="O9974" s="172"/>
    </row>
    <row r="9975" spans="1:15" x14ac:dyDescent="0.2">
      <c r="A9975" s="197" t="str">
        <f t="shared" si="155"/>
        <v>TucCode_ore</v>
      </c>
      <c r="B9975" s="409"/>
      <c r="C9975" s="416"/>
      <c r="D9975" s="198" t="s">
        <v>43612</v>
      </c>
      <c r="E9975" s="198">
        <v>33</v>
      </c>
      <c r="F9975" s="199" t="s">
        <v>43613</v>
      </c>
      <c r="G9975" s="1" t="s">
        <v>52943</v>
      </c>
      <c r="H9975" s="200"/>
      <c r="I9975" s="351" t="s">
        <v>52944</v>
      </c>
      <c r="J9975" s="39">
        <v>108822</v>
      </c>
      <c r="K9975" s="36" t="str">
        <f>CONCATENATE(Cover!$D$6,"fdd/view?i=",J9975)</f>
        <v>https://www.dgiwg.org/FAD/fdd/view?i=108822</v>
      </c>
      <c r="L9975" s="36" t="s">
        <v>52945</v>
      </c>
      <c r="M9975" s="186"/>
      <c r="N9975" s="186"/>
      <c r="O9975" s="172"/>
    </row>
    <row r="9976" spans="1:15" ht="25.5" x14ac:dyDescent="0.2">
      <c r="A9976" s="203" t="str">
        <f t="shared" si="155"/>
        <v>TucCode_passenger</v>
      </c>
      <c r="B9976" s="410"/>
      <c r="C9976" s="417"/>
      <c r="D9976" s="204" t="s">
        <v>22155</v>
      </c>
      <c r="E9976" s="204">
        <v>26</v>
      </c>
      <c r="F9976" s="205" t="s">
        <v>22156</v>
      </c>
      <c r="G9976" s="206" t="s">
        <v>52946</v>
      </c>
      <c r="H9976" s="206" t="s">
        <v>52947</v>
      </c>
      <c r="I9976" s="347"/>
      <c r="J9976" s="39">
        <v>108815</v>
      </c>
      <c r="K9976" s="36" t="str">
        <f>CONCATENATE(Cover!$D$6,"fdd/view?i=",J9976)</f>
        <v>https://www.dgiwg.org/FAD/fdd/view?i=108815</v>
      </c>
      <c r="L9976" s="36" t="s">
        <v>52948</v>
      </c>
      <c r="M9976" s="186"/>
      <c r="N9976" s="186"/>
      <c r="O9976" s="172"/>
    </row>
    <row r="9977" spans="1:15" ht="25.5" x14ac:dyDescent="0.2">
      <c r="A9977" s="190" t="str">
        <f t="shared" si="155"/>
        <v>TndCode_eitherLeftRightTurn</v>
      </c>
      <c r="B9977" s="414" t="str">
        <f>HYPERLINK("[#]Datatypes!A1612:L1612","TndCode")</f>
        <v>TndCode</v>
      </c>
      <c r="C9977" s="415" t="s">
        <v>16243</v>
      </c>
      <c r="D9977" s="221" t="s">
        <v>52949</v>
      </c>
      <c r="E9977" s="221">
        <v>3</v>
      </c>
      <c r="F9977" s="222" t="s">
        <v>52950</v>
      </c>
      <c r="G9977" s="223" t="s">
        <v>52951</v>
      </c>
      <c r="H9977" s="224"/>
      <c r="I9977" s="345"/>
      <c r="J9977" s="39">
        <v>115691</v>
      </c>
      <c r="K9977" s="36" t="str">
        <f>CONCATENATE(Cover!$D$6,"fdd/view?i=",J9977)</f>
        <v>https://www.dgiwg.org/FAD/fdd/view?i=115691</v>
      </c>
      <c r="L9977" s="36" t="s">
        <v>52952</v>
      </c>
      <c r="M9977" s="186"/>
      <c r="N9977" s="186"/>
      <c r="O9977" s="172"/>
    </row>
    <row r="9978" spans="1:15" x14ac:dyDescent="0.2">
      <c r="A9978" s="197" t="str">
        <f t="shared" si="155"/>
        <v>TndCode_leftTurn</v>
      </c>
      <c r="B9978" s="409"/>
      <c r="C9978" s="416"/>
      <c r="D9978" s="198" t="s">
        <v>52953</v>
      </c>
      <c r="E9978" s="198">
        <v>2</v>
      </c>
      <c r="F9978" s="199" t="s">
        <v>52954</v>
      </c>
      <c r="G9978" s="1" t="s">
        <v>52955</v>
      </c>
      <c r="H9978" s="200"/>
      <c r="I9978" s="346"/>
      <c r="J9978" s="39">
        <v>115690</v>
      </c>
      <c r="K9978" s="36" t="str">
        <f>CONCATENATE(Cover!$D$6,"fdd/view?i=",J9978)</f>
        <v>https://www.dgiwg.org/FAD/fdd/view?i=115690</v>
      </c>
      <c r="L9978" s="36" t="s">
        <v>52956</v>
      </c>
      <c r="M9978" s="186"/>
      <c r="N9978" s="186"/>
      <c r="O9978" s="172"/>
    </row>
    <row r="9979" spans="1:15" x14ac:dyDescent="0.2">
      <c r="A9979" s="203" t="str">
        <f t="shared" si="155"/>
        <v>TndCode_rightTurn</v>
      </c>
      <c r="B9979" s="410"/>
      <c r="C9979" s="417"/>
      <c r="D9979" s="204" t="s">
        <v>52957</v>
      </c>
      <c r="E9979" s="204">
        <v>1</v>
      </c>
      <c r="F9979" s="205" t="s">
        <v>52958</v>
      </c>
      <c r="G9979" s="206" t="s">
        <v>52959</v>
      </c>
      <c r="H9979" s="207"/>
      <c r="I9979" s="347"/>
      <c r="J9979" s="39">
        <v>115689</v>
      </c>
      <c r="K9979" s="36" t="str">
        <f>CONCATENATE(Cover!$D$6,"fdd/view?i=",J9979)</f>
        <v>https://www.dgiwg.org/FAD/fdd/view?i=115689</v>
      </c>
      <c r="L9979" s="36" t="s">
        <v>52960</v>
      </c>
      <c r="M9979" s="186"/>
      <c r="N9979" s="186"/>
      <c r="O9979" s="172"/>
    </row>
    <row r="9980" spans="1:15" ht="25.5" x14ac:dyDescent="0.2">
      <c r="A9980" s="190" t="str">
        <f t="shared" si="155"/>
        <v>Ty3Code_priAirfieldControlStation</v>
      </c>
      <c r="B9980" s="414" t="str">
        <f>HYPERLINK("[#]Datatypes!A1614:L1614","Ty3Code")</f>
        <v>Ty3Code</v>
      </c>
      <c r="C9980" s="415" t="s">
        <v>16245</v>
      </c>
      <c r="D9980" s="221" t="s">
        <v>52961</v>
      </c>
      <c r="E9980" s="221">
        <v>1</v>
      </c>
      <c r="F9980" s="222" t="s">
        <v>52962</v>
      </c>
      <c r="G9980" s="224"/>
      <c r="H9980" s="224"/>
      <c r="I9980" s="345"/>
      <c r="J9980" s="39">
        <v>108848</v>
      </c>
      <c r="K9980" s="36" t="str">
        <f>CONCATENATE(Cover!$D$6,"fdd/view?i=",J9980)</f>
        <v>https://www.dgiwg.org/FAD/fdd/view?i=108848</v>
      </c>
      <c r="L9980" s="36" t="s">
        <v>52963</v>
      </c>
      <c r="M9980" s="186"/>
      <c r="N9980" s="186"/>
      <c r="O9980" s="172"/>
    </row>
    <row r="9981" spans="1:15" ht="25.5" x14ac:dyDescent="0.2">
      <c r="A9981" s="203" t="str">
        <f t="shared" si="155"/>
        <v>Ty3Code_secAirfieldControlStation</v>
      </c>
      <c r="B9981" s="410"/>
      <c r="C9981" s="417"/>
      <c r="D9981" s="204" t="s">
        <v>52964</v>
      </c>
      <c r="E9981" s="204">
        <v>2</v>
      </c>
      <c r="F9981" s="205" t="s">
        <v>52965</v>
      </c>
      <c r="G9981" s="207"/>
      <c r="H9981" s="207"/>
      <c r="I9981" s="347"/>
      <c r="J9981" s="39">
        <v>108849</v>
      </c>
      <c r="K9981" s="36" t="str">
        <f>CONCATENATE(Cover!$D$6,"fdd/view?i=",J9981)</f>
        <v>https://www.dgiwg.org/FAD/fdd/view?i=108849</v>
      </c>
      <c r="L9981" s="36" t="s">
        <v>52966</v>
      </c>
      <c r="M9981" s="186"/>
      <c r="N9981" s="186"/>
      <c r="O9981" s="172"/>
    </row>
    <row r="9982" spans="1:15" x14ac:dyDescent="0.2">
      <c r="A9982" s="190" t="str">
        <f t="shared" si="155"/>
        <v>UaoCode_horizontal</v>
      </c>
      <c r="B9982" s="414" t="str">
        <f>HYPERLINK("[#]Datatypes!A1616:L1616","UaoCode")</f>
        <v>UaoCode</v>
      </c>
      <c r="C9982" s="415" t="s">
        <v>16247</v>
      </c>
      <c r="D9982" s="221" t="s">
        <v>19980</v>
      </c>
      <c r="E9982" s="221">
        <v>1</v>
      </c>
      <c r="F9982" s="222" t="s">
        <v>19981</v>
      </c>
      <c r="G9982" s="223" t="s">
        <v>52967</v>
      </c>
      <c r="H9982" s="224"/>
      <c r="I9982" s="345"/>
      <c r="J9982" s="39">
        <v>119313</v>
      </c>
      <c r="K9982" s="36" t="str">
        <f>CONCATENATE(Cover!$D$6,"fdd/view?i=",J9982)</f>
        <v>https://www.dgiwg.org/FAD/fdd/view?i=119313</v>
      </c>
      <c r="L9982" s="36" t="s">
        <v>52968</v>
      </c>
      <c r="M9982" s="186"/>
      <c r="N9982" s="186"/>
      <c r="O9982" s="172"/>
    </row>
    <row r="9983" spans="1:15" ht="25.5" x14ac:dyDescent="0.2">
      <c r="A9983" s="197" t="str">
        <f t="shared" si="155"/>
        <v>UaoCode_slopesDownward</v>
      </c>
      <c r="B9983" s="409"/>
      <c r="C9983" s="416"/>
      <c r="D9983" s="198" t="s">
        <v>47306</v>
      </c>
      <c r="E9983" s="198">
        <v>2</v>
      </c>
      <c r="F9983" s="199" t="s">
        <v>52969</v>
      </c>
      <c r="G9983" s="1" t="s">
        <v>52970</v>
      </c>
      <c r="H9983" s="200"/>
      <c r="I9983" s="346"/>
      <c r="J9983" s="39">
        <v>119314</v>
      </c>
      <c r="K9983" s="36" t="str">
        <f>CONCATENATE(Cover!$D$6,"fdd/view?i=",J9983)</f>
        <v>https://www.dgiwg.org/FAD/fdd/view?i=119314</v>
      </c>
      <c r="L9983" s="36" t="s">
        <v>52971</v>
      </c>
      <c r="M9983" s="186"/>
      <c r="N9983" s="186"/>
      <c r="O9983" s="172"/>
    </row>
    <row r="9984" spans="1:15" ht="25.5" x14ac:dyDescent="0.2">
      <c r="A9984" s="197" t="str">
        <f t="shared" si="155"/>
        <v>UaoCode_slopesUpward</v>
      </c>
      <c r="B9984" s="409"/>
      <c r="C9984" s="416"/>
      <c r="D9984" s="198" t="s">
        <v>47310</v>
      </c>
      <c r="E9984" s="198">
        <v>4</v>
      </c>
      <c r="F9984" s="199" t="s">
        <v>52972</v>
      </c>
      <c r="G9984" s="1" t="s">
        <v>52973</v>
      </c>
      <c r="H9984" s="200"/>
      <c r="I9984" s="346"/>
      <c r="J9984" s="39">
        <v>119316</v>
      </c>
      <c r="K9984" s="36" t="str">
        <f>CONCATENATE(Cover!$D$6,"fdd/view?i=",J9984)</f>
        <v>https://www.dgiwg.org/FAD/fdd/view?i=119316</v>
      </c>
      <c r="L9984" s="36" t="s">
        <v>52974</v>
      </c>
      <c r="M9984" s="186"/>
      <c r="N9984" s="186"/>
      <c r="O9984" s="172"/>
    </row>
    <row r="9985" spans="1:15" x14ac:dyDescent="0.2">
      <c r="A9985" s="197" t="str">
        <f t="shared" si="155"/>
        <v>UaoCode_verticalDown</v>
      </c>
      <c r="B9985" s="409"/>
      <c r="C9985" s="416"/>
      <c r="D9985" s="198" t="s">
        <v>52975</v>
      </c>
      <c r="E9985" s="198">
        <v>3</v>
      </c>
      <c r="F9985" s="199" t="s">
        <v>52976</v>
      </c>
      <c r="G9985" s="1" t="s">
        <v>52977</v>
      </c>
      <c r="H9985" s="200"/>
      <c r="I9985" s="346"/>
      <c r="J9985" s="39">
        <v>119315</v>
      </c>
      <c r="K9985" s="36" t="str">
        <f>CONCATENATE(Cover!$D$6,"fdd/view?i=",J9985)</f>
        <v>https://www.dgiwg.org/FAD/fdd/view?i=119315</v>
      </c>
      <c r="L9985" s="36" t="s">
        <v>52978</v>
      </c>
      <c r="M9985" s="186"/>
      <c r="N9985" s="186"/>
      <c r="O9985" s="172"/>
    </row>
    <row r="9986" spans="1:15" x14ac:dyDescent="0.2">
      <c r="A9986" s="203" t="str">
        <f t="shared" ref="A9986:A10049" si="156">HYPERLINK(K9986,L9986)</f>
        <v>UaoCode_verticalUp</v>
      </c>
      <c r="B9986" s="410"/>
      <c r="C9986" s="417"/>
      <c r="D9986" s="204" t="s">
        <v>52979</v>
      </c>
      <c r="E9986" s="204">
        <v>5</v>
      </c>
      <c r="F9986" s="205" t="s">
        <v>52980</v>
      </c>
      <c r="G9986" s="206" t="s">
        <v>52981</v>
      </c>
      <c r="H9986" s="207"/>
      <c r="I9986" s="347"/>
      <c r="J9986" s="39">
        <v>119324</v>
      </c>
      <c r="K9986" s="36" t="str">
        <f>CONCATENATE(Cover!$D$6,"fdd/view?i=",J9986)</f>
        <v>https://www.dgiwg.org/FAD/fdd/view?i=119324</v>
      </c>
      <c r="L9986" s="36" t="s">
        <v>52982</v>
      </c>
      <c r="M9986" s="186"/>
      <c r="N9986" s="186"/>
      <c r="O9986" s="172"/>
    </row>
    <row r="9987" spans="1:15" ht="51" x14ac:dyDescent="0.2">
      <c r="A9987" s="190" t="str">
        <f t="shared" si="156"/>
        <v>UmaCode_drift</v>
      </c>
      <c r="B9987" s="414" t="str">
        <f>HYPERLINK("[#]Datatypes!A1618:L1618","UmaCode")</f>
        <v>UmaCode</v>
      </c>
      <c r="C9987" s="415" t="s">
        <v>16249</v>
      </c>
      <c r="D9987" s="221" t="s">
        <v>52983</v>
      </c>
      <c r="E9987" s="221">
        <v>1</v>
      </c>
      <c r="F9987" s="222" t="s">
        <v>52984</v>
      </c>
      <c r="G9987" s="223" t="s">
        <v>52985</v>
      </c>
      <c r="H9987" s="223" t="s">
        <v>52986</v>
      </c>
      <c r="I9987" s="345"/>
      <c r="J9987" s="39">
        <v>112542</v>
      </c>
      <c r="K9987" s="36" t="str">
        <f>CONCATENATE(Cover!$D$6,"fdd/view?i=",J9987)</f>
        <v>https://www.dgiwg.org/FAD/fdd/view?i=112542</v>
      </c>
      <c r="L9987" s="36" t="s">
        <v>52987</v>
      </c>
      <c r="M9987" s="186"/>
      <c r="N9987" s="186"/>
      <c r="O9987" s="172"/>
    </row>
    <row r="9988" spans="1:15" ht="89.25" x14ac:dyDescent="0.2">
      <c r="A9988" s="197" t="str">
        <f t="shared" si="156"/>
        <v>UmaCode_shaft</v>
      </c>
      <c r="B9988" s="409"/>
      <c r="C9988" s="416"/>
      <c r="D9988" s="198" t="s">
        <v>24108</v>
      </c>
      <c r="E9988" s="198">
        <v>3</v>
      </c>
      <c r="F9988" s="199" t="s">
        <v>24109</v>
      </c>
      <c r="G9988" s="1" t="s">
        <v>52988</v>
      </c>
      <c r="H9988" s="1" t="s">
        <v>52989</v>
      </c>
      <c r="I9988" s="346"/>
      <c r="J9988" s="39">
        <v>112546</v>
      </c>
      <c r="K9988" s="36" t="str">
        <f>CONCATENATE(Cover!$D$6,"fdd/view?i=",J9988)</f>
        <v>https://www.dgiwg.org/FAD/fdd/view?i=112546</v>
      </c>
      <c r="L9988" s="36" t="s">
        <v>52990</v>
      </c>
      <c r="M9988" s="186"/>
      <c r="N9988" s="186"/>
      <c r="O9988" s="172"/>
    </row>
    <row r="9989" spans="1:15" ht="51" x14ac:dyDescent="0.2">
      <c r="A9989" s="203" t="str">
        <f t="shared" si="156"/>
        <v>UmaCode_slope</v>
      </c>
      <c r="B9989" s="410"/>
      <c r="C9989" s="417"/>
      <c r="D9989" s="204" t="s">
        <v>27899</v>
      </c>
      <c r="E9989" s="204">
        <v>2</v>
      </c>
      <c r="F9989" s="205" t="s">
        <v>27900</v>
      </c>
      <c r="G9989" s="206" t="s">
        <v>52991</v>
      </c>
      <c r="H9989" s="206" t="s">
        <v>52992</v>
      </c>
      <c r="I9989" s="347"/>
      <c r="J9989" s="39">
        <v>112544</v>
      </c>
      <c r="K9989" s="36" t="str">
        <f>CONCATENATE(Cover!$D$6,"fdd/view?i=",J9989)</f>
        <v>https://www.dgiwg.org/FAD/fdd/view?i=112544</v>
      </c>
      <c r="L9989" s="36" t="s">
        <v>52993</v>
      </c>
      <c r="M9989" s="186"/>
      <c r="N9989" s="186"/>
      <c r="O9989" s="172"/>
    </row>
    <row r="9990" spans="1:15" ht="25.5" x14ac:dyDescent="0.2">
      <c r="A9990" s="190" t="str">
        <f t="shared" si="156"/>
        <v>UsfCode_abandonedMine</v>
      </c>
      <c r="B9990" s="414" t="str">
        <f>HYPERLINK("[#]Datatypes!A1620:L1620","UsfCode")</f>
        <v>UsfCode</v>
      </c>
      <c r="C9990" s="415" t="s">
        <v>16251</v>
      </c>
      <c r="D9990" s="221" t="s">
        <v>52994</v>
      </c>
      <c r="E9990" s="221">
        <v>1</v>
      </c>
      <c r="F9990" s="222" t="s">
        <v>52995</v>
      </c>
      <c r="G9990" s="223" t="s">
        <v>52996</v>
      </c>
      <c r="H9990" s="223" t="s">
        <v>52997</v>
      </c>
      <c r="I9990" s="345"/>
      <c r="J9990" s="39">
        <v>119271</v>
      </c>
      <c r="K9990" s="36" t="str">
        <f>CONCATENATE(Cover!$D$6,"fdd/view?i=",J9990)</f>
        <v>https://www.dgiwg.org/FAD/fdd/view?i=119271</v>
      </c>
      <c r="L9990" s="36" t="s">
        <v>52998</v>
      </c>
      <c r="M9990" s="186"/>
      <c r="N9990" s="186"/>
      <c r="O9990" s="172"/>
    </row>
    <row r="9991" spans="1:15" ht="38.25" x14ac:dyDescent="0.2">
      <c r="A9991" s="197" t="str">
        <f t="shared" si="156"/>
        <v>UsfCode_aquifer</v>
      </c>
      <c r="B9991" s="409"/>
      <c r="C9991" s="416"/>
      <c r="D9991" s="198" t="s">
        <v>52999</v>
      </c>
      <c r="E9991" s="198">
        <v>2</v>
      </c>
      <c r="F9991" s="199" t="s">
        <v>2108</v>
      </c>
      <c r="G9991" s="1" t="s">
        <v>53000</v>
      </c>
      <c r="H9991" s="1" t="s">
        <v>53001</v>
      </c>
      <c r="I9991" s="346"/>
      <c r="J9991" s="39">
        <v>119272</v>
      </c>
      <c r="K9991" s="36" t="str">
        <f>CONCATENATE(Cover!$D$6,"fdd/view?i=",J9991)</f>
        <v>https://www.dgiwg.org/FAD/fdd/view?i=119272</v>
      </c>
      <c r="L9991" s="36" t="s">
        <v>53002</v>
      </c>
      <c r="M9991" s="186"/>
      <c r="N9991" s="186"/>
      <c r="O9991" s="172"/>
    </row>
    <row r="9992" spans="1:15" ht="102" x14ac:dyDescent="0.2">
      <c r="A9992" s="197" t="str">
        <f t="shared" si="156"/>
        <v>UsfCode_depletedReservoir</v>
      </c>
      <c r="B9992" s="409"/>
      <c r="C9992" s="416"/>
      <c r="D9992" s="198" t="s">
        <v>53003</v>
      </c>
      <c r="E9992" s="198">
        <v>3</v>
      </c>
      <c r="F9992" s="199" t="s">
        <v>53004</v>
      </c>
      <c r="G9992" s="1" t="s">
        <v>53005</v>
      </c>
      <c r="H9992" s="1" t="s">
        <v>53006</v>
      </c>
      <c r="I9992" s="346"/>
      <c r="J9992" s="39">
        <v>119273</v>
      </c>
      <c r="K9992" s="36" t="str">
        <f>CONCATENATE(Cover!$D$6,"fdd/view?i=",J9992)</f>
        <v>https://www.dgiwg.org/FAD/fdd/view?i=119273</v>
      </c>
      <c r="L9992" s="36" t="s">
        <v>53007</v>
      </c>
      <c r="M9992" s="186"/>
      <c r="N9992" s="186"/>
      <c r="O9992" s="172"/>
    </row>
    <row r="9993" spans="1:15" ht="51" x14ac:dyDescent="0.2">
      <c r="A9993" s="197" t="str">
        <f t="shared" si="156"/>
        <v>UsfCode_hardRockCavern</v>
      </c>
      <c r="B9993" s="409"/>
      <c r="C9993" s="416"/>
      <c r="D9993" s="198" t="s">
        <v>53008</v>
      </c>
      <c r="E9993" s="198">
        <v>4</v>
      </c>
      <c r="F9993" s="199" t="s">
        <v>53009</v>
      </c>
      <c r="G9993" s="1" t="s">
        <v>53010</v>
      </c>
      <c r="H9993" s="1" t="s">
        <v>53011</v>
      </c>
      <c r="I9993" s="346"/>
      <c r="J9993" s="39">
        <v>119274</v>
      </c>
      <c r="K9993" s="36" t="str">
        <f>CONCATENATE(Cover!$D$6,"fdd/view?i=",J9993)</f>
        <v>https://www.dgiwg.org/FAD/fdd/view?i=119274</v>
      </c>
      <c r="L9993" s="36" t="s">
        <v>53012</v>
      </c>
      <c r="M9993" s="186"/>
      <c r="N9993" s="186"/>
      <c r="O9993" s="172"/>
    </row>
    <row r="9994" spans="1:15" ht="102" x14ac:dyDescent="0.2">
      <c r="A9994" s="203" t="str">
        <f t="shared" si="156"/>
        <v>UsfCode_saltCavern</v>
      </c>
      <c r="B9994" s="410"/>
      <c r="C9994" s="417"/>
      <c r="D9994" s="204" t="s">
        <v>53013</v>
      </c>
      <c r="E9994" s="204">
        <v>5</v>
      </c>
      <c r="F9994" s="205" t="s">
        <v>53014</v>
      </c>
      <c r="G9994" s="206" t="s">
        <v>53015</v>
      </c>
      <c r="H9994" s="206" t="s">
        <v>53016</v>
      </c>
      <c r="I9994" s="347"/>
      <c r="J9994" s="39">
        <v>119275</v>
      </c>
      <c r="K9994" s="36" t="str">
        <f>CONCATENATE(Cover!$D$6,"fdd/view?i=",J9994)</f>
        <v>https://www.dgiwg.org/FAD/fdd/view?i=119275</v>
      </c>
      <c r="L9994" s="36" t="s">
        <v>53017</v>
      </c>
      <c r="M9994" s="186"/>
      <c r="N9994" s="186"/>
      <c r="O9994" s="172"/>
    </row>
    <row r="9995" spans="1:15" ht="51" x14ac:dyDescent="0.2">
      <c r="A9995" s="190" t="str">
        <f t="shared" si="156"/>
        <v>KopCode_openReliefCenter</v>
      </c>
      <c r="B9995" s="414" t="str">
        <f>HYPERLINK("[#]Datatypes!A1624:L1624","KopCode")</f>
        <v>KopCode</v>
      </c>
      <c r="C9995" s="415" t="s">
        <v>16256</v>
      </c>
      <c r="D9995" s="221" t="s">
        <v>53018</v>
      </c>
      <c r="E9995" s="221">
        <v>1</v>
      </c>
      <c r="F9995" s="222" t="s">
        <v>53019</v>
      </c>
      <c r="G9995" s="223" t="s">
        <v>53020</v>
      </c>
      <c r="H9995" s="224"/>
      <c r="I9995" s="345"/>
      <c r="J9995" s="39">
        <v>113490</v>
      </c>
      <c r="K9995" s="36" t="str">
        <f>CONCATENATE(Cover!$D$6,"fdd/view?i=",J9995)</f>
        <v>https://www.dgiwg.org/FAD/fdd/view?i=113490</v>
      </c>
      <c r="L9995" s="36" t="s">
        <v>53021</v>
      </c>
      <c r="M9995" s="186"/>
      <c r="N9995" s="186"/>
      <c r="O9995" s="172"/>
    </row>
    <row r="9996" spans="1:15" ht="38.25" x14ac:dyDescent="0.2">
      <c r="A9996" s="197" t="str">
        <f t="shared" si="156"/>
        <v>KopCode_safeCorridor</v>
      </c>
      <c r="B9996" s="409"/>
      <c r="C9996" s="416"/>
      <c r="D9996" s="198" t="s">
        <v>53022</v>
      </c>
      <c r="E9996" s="198">
        <v>3</v>
      </c>
      <c r="F9996" s="199" t="s">
        <v>53023</v>
      </c>
      <c r="G9996" s="1" t="s">
        <v>53024</v>
      </c>
      <c r="H9996" s="200"/>
      <c r="I9996" s="346"/>
      <c r="J9996" s="39">
        <v>113491</v>
      </c>
      <c r="K9996" s="36" t="str">
        <f>CONCATENATE(Cover!$D$6,"fdd/view?i=",J9996)</f>
        <v>https://www.dgiwg.org/FAD/fdd/view?i=113491</v>
      </c>
      <c r="L9996" s="36" t="s">
        <v>53025</v>
      </c>
      <c r="M9996" s="186"/>
      <c r="N9996" s="186"/>
      <c r="O9996" s="172"/>
    </row>
    <row r="9997" spans="1:15" ht="25.5" x14ac:dyDescent="0.2">
      <c r="A9997" s="203" t="str">
        <f t="shared" si="156"/>
        <v>KopCode_safeZone</v>
      </c>
      <c r="B9997" s="410"/>
      <c r="C9997" s="417"/>
      <c r="D9997" s="204" t="s">
        <v>53026</v>
      </c>
      <c r="E9997" s="204">
        <v>4</v>
      </c>
      <c r="F9997" s="205" t="s">
        <v>53027</v>
      </c>
      <c r="G9997" s="206" t="s">
        <v>53028</v>
      </c>
      <c r="H9997" s="207"/>
      <c r="I9997" s="347"/>
      <c r="J9997" s="39">
        <v>113492</v>
      </c>
      <c r="K9997" s="36" t="str">
        <f>CONCATENATE(Cover!$D$6,"fdd/view?i=",J9997)</f>
        <v>https://www.dgiwg.org/FAD/fdd/view?i=113492</v>
      </c>
      <c r="L9997" s="36" t="s">
        <v>53029</v>
      </c>
      <c r="M9997" s="186"/>
      <c r="N9997" s="186"/>
      <c r="O9997" s="172"/>
    </row>
    <row r="9998" spans="1:15" ht="25.5" x14ac:dyDescent="0.2">
      <c r="A9998" s="190" t="str">
        <f t="shared" si="156"/>
        <v>UneCode_humanitarianOperation</v>
      </c>
      <c r="B9998" s="414" t="str">
        <f>HYPERLINK("[#]Datatypes!A1626:L1626","UneCode")</f>
        <v>UneCode</v>
      </c>
      <c r="C9998" s="415" t="s">
        <v>16258</v>
      </c>
      <c r="D9998" s="221" t="s">
        <v>53030</v>
      </c>
      <c r="E9998" s="221">
        <v>3</v>
      </c>
      <c r="F9998" s="222" t="s">
        <v>53031</v>
      </c>
      <c r="G9998" s="223" t="s">
        <v>53032</v>
      </c>
      <c r="H9998" s="224"/>
      <c r="I9998" s="345"/>
      <c r="J9998" s="39">
        <v>114078</v>
      </c>
      <c r="K9998" s="36" t="str">
        <f>CONCATENATE(Cover!$D$6,"fdd/view?i=",J9998)</f>
        <v>https://www.dgiwg.org/FAD/fdd/view?i=114078</v>
      </c>
      <c r="L9998" s="36" t="s">
        <v>53033</v>
      </c>
      <c r="M9998" s="186"/>
      <c r="N9998" s="186"/>
      <c r="O9998" s="172"/>
    </row>
    <row r="9999" spans="1:15" ht="25.5" x14ac:dyDescent="0.2">
      <c r="A9999" s="197" t="str">
        <f t="shared" si="156"/>
        <v>UneCode_observerMission</v>
      </c>
      <c r="B9999" s="409"/>
      <c r="C9999" s="416"/>
      <c r="D9999" s="198" t="s">
        <v>53034</v>
      </c>
      <c r="E9999" s="198">
        <v>4</v>
      </c>
      <c r="F9999" s="199" t="s">
        <v>53035</v>
      </c>
      <c r="G9999" s="1" t="s">
        <v>53036</v>
      </c>
      <c r="H9999" s="200"/>
      <c r="I9999" s="346"/>
      <c r="J9999" s="39">
        <v>114079</v>
      </c>
      <c r="K9999" s="36" t="str">
        <f>CONCATENATE(Cover!$D$6,"fdd/view?i=",J9999)</f>
        <v>https://www.dgiwg.org/FAD/fdd/view?i=114079</v>
      </c>
      <c r="L9999" s="36" t="s">
        <v>53037</v>
      </c>
      <c r="M9999" s="186"/>
      <c r="N9999" s="186"/>
      <c r="O9999" s="172"/>
    </row>
    <row r="10000" spans="1:15" ht="25.5" x14ac:dyDescent="0.2">
      <c r="A10000" s="197" t="str">
        <f t="shared" si="156"/>
        <v>UneCode_peacekeepingOperation</v>
      </c>
      <c r="B10000" s="409"/>
      <c r="C10000" s="416"/>
      <c r="D10000" s="198" t="s">
        <v>53038</v>
      </c>
      <c r="E10000" s="198">
        <v>2</v>
      </c>
      <c r="F10000" s="199" t="s">
        <v>53039</v>
      </c>
      <c r="G10000" s="1" t="s">
        <v>53040</v>
      </c>
      <c r="H10000" s="200"/>
      <c r="I10000" s="346"/>
      <c r="J10000" s="39">
        <v>114077</v>
      </c>
      <c r="K10000" s="36" t="str">
        <f>CONCATENATE(Cover!$D$6,"fdd/view?i=",J10000)</f>
        <v>https://www.dgiwg.org/FAD/fdd/view?i=114077</v>
      </c>
      <c r="L10000" s="36" t="s">
        <v>53041</v>
      </c>
      <c r="M10000" s="186"/>
      <c r="N10000" s="186"/>
      <c r="O10000" s="172"/>
    </row>
    <row r="10001" spans="1:15" ht="25.5" x14ac:dyDescent="0.2">
      <c r="A10001" s="203" t="str">
        <f t="shared" si="156"/>
        <v>UneCode_peacemakingOperation</v>
      </c>
      <c r="B10001" s="410"/>
      <c r="C10001" s="417"/>
      <c r="D10001" s="204" t="s">
        <v>53042</v>
      </c>
      <c r="E10001" s="204">
        <v>1</v>
      </c>
      <c r="F10001" s="205" t="s">
        <v>53043</v>
      </c>
      <c r="G10001" s="206" t="s">
        <v>53044</v>
      </c>
      <c r="H10001" s="207"/>
      <c r="I10001" s="347"/>
      <c r="J10001" s="39">
        <v>114076</v>
      </c>
      <c r="K10001" s="36" t="str">
        <f>CONCATENATE(Cover!$D$6,"fdd/view?i=",J10001)</f>
        <v>https://www.dgiwg.org/FAD/fdd/view?i=114076</v>
      </c>
      <c r="L10001" s="36" t="s">
        <v>53045</v>
      </c>
      <c r="M10001" s="186"/>
      <c r="N10001" s="186"/>
      <c r="O10001" s="172"/>
    </row>
    <row r="10002" spans="1:15" ht="25.5" x14ac:dyDescent="0.2">
      <c r="A10002" s="190" t="str">
        <f t="shared" si="156"/>
        <v>GauCode_administration</v>
      </c>
      <c r="B10002" s="414" t="str">
        <f>HYPERLINK("[#]Datatypes!A1630:L1630","GauCode")</f>
        <v>GauCode</v>
      </c>
      <c r="C10002" s="415" t="s">
        <v>16263</v>
      </c>
      <c r="D10002" s="221" t="s">
        <v>30401</v>
      </c>
      <c r="E10002" s="221">
        <v>19</v>
      </c>
      <c r="F10002" s="222" t="s">
        <v>30402</v>
      </c>
      <c r="G10002" s="223" t="s">
        <v>53046</v>
      </c>
      <c r="H10002" s="224"/>
      <c r="I10002" s="345"/>
      <c r="J10002" s="39">
        <v>113344</v>
      </c>
      <c r="K10002" s="36" t="str">
        <f>CONCATENATE(Cover!$D$6,"fdd/view?i=",J10002)</f>
        <v>https://www.dgiwg.org/FAD/fdd/view?i=113344</v>
      </c>
      <c r="L10002" s="36" t="s">
        <v>53047</v>
      </c>
      <c r="M10002" s="186"/>
      <c r="N10002" s="186"/>
      <c r="O10002" s="172"/>
    </row>
    <row r="10003" spans="1:15" x14ac:dyDescent="0.2">
      <c r="A10003" s="197" t="str">
        <f t="shared" si="156"/>
        <v>GauCode_barracks</v>
      </c>
      <c r="B10003" s="409"/>
      <c r="C10003" s="416"/>
      <c r="D10003" s="198" t="s">
        <v>40249</v>
      </c>
      <c r="E10003" s="198">
        <v>12</v>
      </c>
      <c r="F10003" s="199" t="s">
        <v>40250</v>
      </c>
      <c r="G10003" s="1" t="s">
        <v>53048</v>
      </c>
      <c r="H10003" s="200"/>
      <c r="I10003" s="346"/>
      <c r="J10003" s="39">
        <v>113337</v>
      </c>
      <c r="K10003" s="36" t="str">
        <f>CONCATENATE(Cover!$D$6,"fdd/view?i=",J10003)</f>
        <v>https://www.dgiwg.org/FAD/fdd/view?i=113337</v>
      </c>
      <c r="L10003" s="36" t="s">
        <v>53049</v>
      </c>
      <c r="M10003" s="186"/>
      <c r="N10003" s="186"/>
      <c r="O10003" s="172"/>
    </row>
    <row r="10004" spans="1:15" ht="25.5" x14ac:dyDescent="0.2">
      <c r="A10004" s="197" t="str">
        <f t="shared" si="156"/>
        <v>GauCode_communication</v>
      </c>
      <c r="B10004" s="409"/>
      <c r="C10004" s="416"/>
      <c r="D10004" s="198" t="s">
        <v>53050</v>
      </c>
      <c r="E10004" s="198">
        <v>13</v>
      </c>
      <c r="F10004" s="199" t="s">
        <v>53051</v>
      </c>
      <c r="G10004" s="1" t="s">
        <v>53052</v>
      </c>
      <c r="H10004" s="200"/>
      <c r="I10004" s="346"/>
      <c r="J10004" s="39">
        <v>113338</v>
      </c>
      <c r="K10004" s="36" t="str">
        <f>CONCATENATE(Cover!$D$6,"fdd/view?i=",J10004)</f>
        <v>https://www.dgiwg.org/FAD/fdd/view?i=113338</v>
      </c>
      <c r="L10004" s="36" t="s">
        <v>53053</v>
      </c>
      <c r="M10004" s="186"/>
      <c r="N10004" s="186"/>
      <c r="O10004" s="172"/>
    </row>
    <row r="10005" spans="1:15" x14ac:dyDescent="0.2">
      <c r="A10005" s="197" t="str">
        <f t="shared" si="156"/>
        <v>GauCode_culture</v>
      </c>
      <c r="B10005" s="409"/>
      <c r="C10005" s="416"/>
      <c r="D10005" s="198" t="s">
        <v>53054</v>
      </c>
      <c r="E10005" s="198">
        <v>14</v>
      </c>
      <c r="F10005" s="199" t="s">
        <v>53055</v>
      </c>
      <c r="G10005" s="1" t="s">
        <v>53056</v>
      </c>
      <c r="H10005" s="200"/>
      <c r="I10005" s="346"/>
      <c r="J10005" s="39">
        <v>113339</v>
      </c>
      <c r="K10005" s="36" t="str">
        <f>CONCATENATE(Cover!$D$6,"fdd/view?i=",J10005)</f>
        <v>https://www.dgiwg.org/FAD/fdd/view?i=113339</v>
      </c>
      <c r="L10005" s="36" t="s">
        <v>53057</v>
      </c>
      <c r="M10005" s="186"/>
      <c r="N10005" s="186"/>
      <c r="O10005" s="172"/>
    </row>
    <row r="10006" spans="1:15" x14ac:dyDescent="0.2">
      <c r="A10006" s="197" t="str">
        <f t="shared" si="156"/>
        <v>GauCode_defence</v>
      </c>
      <c r="B10006" s="409"/>
      <c r="C10006" s="416"/>
      <c r="D10006" s="198" t="s">
        <v>42238</v>
      </c>
      <c r="E10006" s="198">
        <v>16</v>
      </c>
      <c r="F10006" s="199" t="s">
        <v>42239</v>
      </c>
      <c r="G10006" s="1" t="s">
        <v>53058</v>
      </c>
      <c r="H10006" s="200"/>
      <c r="I10006" s="346"/>
      <c r="J10006" s="39">
        <v>113341</v>
      </c>
      <c r="K10006" s="36" t="str">
        <f>CONCATENATE(Cover!$D$6,"fdd/view?i=",J10006)</f>
        <v>https://www.dgiwg.org/FAD/fdd/view?i=113341</v>
      </c>
      <c r="L10006" s="36" t="s">
        <v>53059</v>
      </c>
      <c r="M10006" s="186"/>
      <c r="N10006" s="186"/>
      <c r="O10006" s="172"/>
    </row>
    <row r="10007" spans="1:15" x14ac:dyDescent="0.2">
      <c r="A10007" s="197" t="str">
        <f t="shared" si="156"/>
        <v>GauCode_disposal</v>
      </c>
      <c r="B10007" s="409"/>
      <c r="C10007" s="416"/>
      <c r="D10007" s="198" t="s">
        <v>53060</v>
      </c>
      <c r="E10007" s="198">
        <v>4</v>
      </c>
      <c r="F10007" s="199" t="s">
        <v>53061</v>
      </c>
      <c r="G10007" s="1" t="s">
        <v>53062</v>
      </c>
      <c r="H10007" s="200"/>
      <c r="I10007" s="346"/>
      <c r="J10007" s="39">
        <v>113329</v>
      </c>
      <c r="K10007" s="36" t="str">
        <f>CONCATENATE(Cover!$D$6,"fdd/view?i=",J10007)</f>
        <v>https://www.dgiwg.org/FAD/fdd/view?i=113329</v>
      </c>
      <c r="L10007" s="36" t="s">
        <v>53063</v>
      </c>
      <c r="M10007" s="186"/>
      <c r="N10007" s="186"/>
      <c r="O10007" s="172"/>
    </row>
    <row r="10008" spans="1:15" x14ac:dyDescent="0.2">
      <c r="A10008" s="197" t="str">
        <f t="shared" si="156"/>
        <v>GauCode_education</v>
      </c>
      <c r="B10008" s="409"/>
      <c r="C10008" s="416"/>
      <c r="D10008" s="198" t="s">
        <v>30693</v>
      </c>
      <c r="E10008" s="198">
        <v>1</v>
      </c>
      <c r="F10008" s="199" t="s">
        <v>30694</v>
      </c>
      <c r="G10008" s="1" t="s">
        <v>53064</v>
      </c>
      <c r="H10008" s="200"/>
      <c r="I10008" s="346"/>
      <c r="J10008" s="39">
        <v>113326</v>
      </c>
      <c r="K10008" s="36" t="str">
        <f>CONCATENATE(Cover!$D$6,"fdd/view?i=",J10008)</f>
        <v>https://www.dgiwg.org/FAD/fdd/view?i=113326</v>
      </c>
      <c r="L10008" s="36" t="s">
        <v>53065</v>
      </c>
      <c r="M10008" s="186"/>
      <c r="N10008" s="186"/>
      <c r="O10008" s="172"/>
    </row>
    <row r="10009" spans="1:15" x14ac:dyDescent="0.2">
      <c r="A10009" s="197" t="str">
        <f t="shared" si="156"/>
        <v>GauCode_freeSpace</v>
      </c>
      <c r="B10009" s="409"/>
      <c r="C10009" s="416"/>
      <c r="D10009" s="198" t="s">
        <v>53066</v>
      </c>
      <c r="E10009" s="198">
        <v>8</v>
      </c>
      <c r="F10009" s="199" t="s">
        <v>53067</v>
      </c>
      <c r="G10009" s="1" t="s">
        <v>53068</v>
      </c>
      <c r="H10009" s="200"/>
      <c r="I10009" s="346"/>
      <c r="J10009" s="39">
        <v>113333</v>
      </c>
      <c r="K10009" s="36" t="str">
        <f>CONCATENATE(Cover!$D$6,"fdd/view?i=",J10009)</f>
        <v>https://www.dgiwg.org/FAD/fdd/view?i=113333</v>
      </c>
      <c r="L10009" s="36" t="s">
        <v>53069</v>
      </c>
      <c r="M10009" s="186"/>
      <c r="N10009" s="186"/>
      <c r="O10009" s="172"/>
    </row>
    <row r="10010" spans="1:15" ht="25.5" x14ac:dyDescent="0.2">
      <c r="A10010" s="197" t="str">
        <f t="shared" si="156"/>
        <v>GauCode_healthSocialWelfare</v>
      </c>
      <c r="B10010" s="409"/>
      <c r="C10010" s="416"/>
      <c r="D10010" s="198" t="s">
        <v>53070</v>
      </c>
      <c r="E10010" s="198">
        <v>9</v>
      </c>
      <c r="F10010" s="199" t="s">
        <v>53071</v>
      </c>
      <c r="G10010" s="1" t="s">
        <v>53072</v>
      </c>
      <c r="H10010" s="200"/>
      <c r="I10010" s="346"/>
      <c r="J10010" s="39">
        <v>113334</v>
      </c>
      <c r="K10010" s="36" t="str">
        <f>CONCATENATE(Cover!$D$6,"fdd/view?i=",J10010)</f>
        <v>https://www.dgiwg.org/FAD/fdd/view?i=113334</v>
      </c>
      <c r="L10010" s="36" t="s">
        <v>53073</v>
      </c>
      <c r="M10010" s="186"/>
      <c r="N10010" s="186"/>
      <c r="O10010" s="172"/>
    </row>
    <row r="10011" spans="1:15" ht="25.5" x14ac:dyDescent="0.2">
      <c r="A10011" s="197" t="str">
        <f t="shared" si="156"/>
        <v>GauCode_industryTrading</v>
      </c>
      <c r="B10011" s="409"/>
      <c r="C10011" s="416"/>
      <c r="D10011" s="198" t="s">
        <v>53074</v>
      </c>
      <c r="E10011" s="198">
        <v>11</v>
      </c>
      <c r="F10011" s="199" t="s">
        <v>53075</v>
      </c>
      <c r="G10011" s="1" t="s">
        <v>53076</v>
      </c>
      <c r="H10011" s="200"/>
      <c r="I10011" s="346"/>
      <c r="J10011" s="39">
        <v>113336</v>
      </c>
      <c r="K10011" s="36" t="str">
        <f>CONCATENATE(Cover!$D$6,"fdd/view?i=",J10011)</f>
        <v>https://www.dgiwg.org/FAD/fdd/view?i=113336</v>
      </c>
      <c r="L10011" s="36" t="s">
        <v>53077</v>
      </c>
      <c r="M10011" s="186"/>
      <c r="N10011" s="186"/>
      <c r="O10011" s="172"/>
    </row>
    <row r="10012" spans="1:15" x14ac:dyDescent="0.2">
      <c r="A10012" s="197" t="str">
        <f t="shared" si="156"/>
        <v>GauCode_mixedUse</v>
      </c>
      <c r="B10012" s="409"/>
      <c r="C10012" s="416"/>
      <c r="D10012" s="198" t="s">
        <v>53078</v>
      </c>
      <c r="E10012" s="198">
        <v>6</v>
      </c>
      <c r="F10012" s="199" t="s">
        <v>53079</v>
      </c>
      <c r="G10012" s="1" t="s">
        <v>53080</v>
      </c>
      <c r="H10012" s="200"/>
      <c r="I10012" s="346"/>
      <c r="J10012" s="39">
        <v>113331</v>
      </c>
      <c r="K10012" s="36" t="str">
        <f>CONCATENATE(Cover!$D$6,"fdd/view?i=",J10012)</f>
        <v>https://www.dgiwg.org/FAD/fdd/view?i=113331</v>
      </c>
      <c r="L10012" s="36" t="s">
        <v>53081</v>
      </c>
      <c r="M10012" s="186"/>
      <c r="N10012" s="186"/>
      <c r="O10012" s="172"/>
    </row>
    <row r="10013" spans="1:15" x14ac:dyDescent="0.2">
      <c r="A10013" s="197" t="str">
        <f t="shared" si="156"/>
        <v>GauCode_parking</v>
      </c>
      <c r="B10013" s="409"/>
      <c r="C10013" s="416"/>
      <c r="D10013" s="198" t="s">
        <v>22219</v>
      </c>
      <c r="E10013" s="198">
        <v>22</v>
      </c>
      <c r="F10013" s="199" t="s">
        <v>22220</v>
      </c>
      <c r="G10013" s="1" t="s">
        <v>53082</v>
      </c>
      <c r="H10013" s="200"/>
      <c r="I10013" s="346"/>
      <c r="J10013" s="39">
        <v>113347</v>
      </c>
      <c r="K10013" s="36" t="str">
        <f>CONCATENATE(Cover!$D$6,"fdd/view?i=",J10013)</f>
        <v>https://www.dgiwg.org/FAD/fdd/view?i=113347</v>
      </c>
      <c r="L10013" s="36" t="s">
        <v>53083</v>
      </c>
      <c r="M10013" s="186"/>
      <c r="N10013" s="186"/>
      <c r="O10013" s="172"/>
    </row>
    <row r="10014" spans="1:15" x14ac:dyDescent="0.2">
      <c r="A10014" s="197" t="str">
        <f t="shared" si="156"/>
        <v>GauCode_research</v>
      </c>
      <c r="B10014" s="409"/>
      <c r="C10014" s="416"/>
      <c r="D10014" s="198" t="s">
        <v>24099</v>
      </c>
      <c r="E10014" s="198">
        <v>7</v>
      </c>
      <c r="F10014" s="199" t="s">
        <v>24100</v>
      </c>
      <c r="G10014" s="1" t="s">
        <v>53084</v>
      </c>
      <c r="H10014" s="200"/>
      <c r="I10014" s="346"/>
      <c r="J10014" s="39">
        <v>113332</v>
      </c>
      <c r="K10014" s="36" t="str">
        <f>CONCATENATE(Cover!$D$6,"fdd/view?i=",J10014)</f>
        <v>https://www.dgiwg.org/FAD/fdd/view?i=113332</v>
      </c>
      <c r="L10014" s="36" t="s">
        <v>53085</v>
      </c>
      <c r="M10014" s="186"/>
      <c r="N10014" s="186"/>
      <c r="O10014" s="172"/>
    </row>
    <row r="10015" spans="1:15" x14ac:dyDescent="0.2">
      <c r="A10015" s="197" t="str">
        <f t="shared" si="156"/>
        <v>GauCode_residental</v>
      </c>
      <c r="B10015" s="409"/>
      <c r="C10015" s="416"/>
      <c r="D10015" s="198" t="s">
        <v>53086</v>
      </c>
      <c r="E10015" s="198">
        <v>21</v>
      </c>
      <c r="F10015" s="199" t="s">
        <v>53087</v>
      </c>
      <c r="G10015" s="1" t="s">
        <v>53088</v>
      </c>
      <c r="H10015" s="200"/>
      <c r="I10015" s="346"/>
      <c r="J10015" s="39">
        <v>113346</v>
      </c>
      <c r="K10015" s="36" t="str">
        <f>CONCATENATE(Cover!$D$6,"fdd/view?i=",J10015)</f>
        <v>https://www.dgiwg.org/FAD/fdd/view?i=113346</v>
      </c>
      <c r="L10015" s="36" t="s">
        <v>53089</v>
      </c>
      <c r="M10015" s="186"/>
      <c r="N10015" s="186"/>
      <c r="O10015" s="172"/>
    </row>
    <row r="10016" spans="1:15" ht="25.5" x14ac:dyDescent="0.2">
      <c r="A10016" s="197" t="str">
        <f t="shared" si="156"/>
        <v>GauCode_securityPublicOrder</v>
      </c>
      <c r="B10016" s="409"/>
      <c r="C10016" s="416"/>
      <c r="D10016" s="198" t="s">
        <v>53090</v>
      </c>
      <c r="E10016" s="198">
        <v>17</v>
      </c>
      <c r="F10016" s="199" t="s">
        <v>53091</v>
      </c>
      <c r="G10016" s="1" t="s">
        <v>53092</v>
      </c>
      <c r="H10016" s="200"/>
      <c r="I10016" s="346"/>
      <c r="J10016" s="39">
        <v>113342</v>
      </c>
      <c r="K10016" s="36" t="str">
        <f>CONCATENATE(Cover!$D$6,"fdd/view?i=",J10016)</f>
        <v>https://www.dgiwg.org/FAD/fdd/view?i=113342</v>
      </c>
      <c r="L10016" s="36" t="s">
        <v>53093</v>
      </c>
      <c r="M10016" s="186"/>
      <c r="N10016" s="186"/>
      <c r="O10016" s="172"/>
    </row>
    <row r="10017" spans="1:15" x14ac:dyDescent="0.2">
      <c r="A10017" s="197" t="str">
        <f t="shared" si="156"/>
        <v>GauCode_service</v>
      </c>
      <c r="B10017" s="409"/>
      <c r="C10017" s="416"/>
      <c r="D10017" s="198" t="s">
        <v>52095</v>
      </c>
      <c r="E10017" s="198">
        <v>2</v>
      </c>
      <c r="F10017" s="199" t="s">
        <v>52096</v>
      </c>
      <c r="G10017" s="1" t="s">
        <v>53094</v>
      </c>
      <c r="H10017" s="200"/>
      <c r="I10017" s="346"/>
      <c r="J10017" s="39">
        <v>113327</v>
      </c>
      <c r="K10017" s="36" t="str">
        <f>CONCATENATE(Cover!$D$6,"fdd/view?i=",J10017)</f>
        <v>https://www.dgiwg.org/FAD/fdd/view?i=113327</v>
      </c>
      <c r="L10017" s="36" t="s">
        <v>53095</v>
      </c>
      <c r="M10017" s="186"/>
      <c r="N10017" s="186"/>
      <c r="O10017" s="172"/>
    </row>
    <row r="10018" spans="1:15" x14ac:dyDescent="0.2">
      <c r="A10018" s="197" t="str">
        <f t="shared" si="156"/>
        <v>GauCode_shopping</v>
      </c>
      <c r="B10018" s="409"/>
      <c r="C10018" s="416"/>
      <c r="D10018" s="198" t="s">
        <v>53096</v>
      </c>
      <c r="E10018" s="198">
        <v>3</v>
      </c>
      <c r="F10018" s="199" t="s">
        <v>53097</v>
      </c>
      <c r="G10018" s="1" t="s">
        <v>53098</v>
      </c>
      <c r="H10018" s="200"/>
      <c r="I10018" s="346"/>
      <c r="J10018" s="39">
        <v>113328</v>
      </c>
      <c r="K10018" s="36" t="str">
        <f>CONCATENATE(Cover!$D$6,"fdd/view?i=",J10018)</f>
        <v>https://www.dgiwg.org/FAD/fdd/view?i=113328</v>
      </c>
      <c r="L10018" s="36" t="s">
        <v>53099</v>
      </c>
      <c r="M10018" s="186"/>
      <c r="N10018" s="186"/>
      <c r="O10018" s="172"/>
    </row>
    <row r="10019" spans="1:15" x14ac:dyDescent="0.2">
      <c r="A10019" s="197" t="str">
        <f t="shared" si="156"/>
        <v>GauCode_specialUse</v>
      </c>
      <c r="B10019" s="409"/>
      <c r="C10019" s="416"/>
      <c r="D10019" s="198" t="s">
        <v>20824</v>
      </c>
      <c r="E10019" s="198">
        <v>5</v>
      </c>
      <c r="F10019" s="199" t="s">
        <v>20825</v>
      </c>
      <c r="G10019" s="1" t="s">
        <v>53100</v>
      </c>
      <c r="H10019" s="200"/>
      <c r="I10019" s="346"/>
      <c r="J10019" s="39">
        <v>113330</v>
      </c>
      <c r="K10019" s="36" t="str">
        <f>CONCATENATE(Cover!$D$6,"fdd/view?i=",J10019)</f>
        <v>https://www.dgiwg.org/FAD/fdd/view?i=113330</v>
      </c>
      <c r="L10019" s="36" t="s">
        <v>53101</v>
      </c>
      <c r="M10019" s="186"/>
      <c r="N10019" s="186"/>
      <c r="O10019" s="172"/>
    </row>
    <row r="10020" spans="1:15" x14ac:dyDescent="0.2">
      <c r="A10020" s="197" t="str">
        <f t="shared" si="156"/>
        <v>GauCode_storage</v>
      </c>
      <c r="B10020" s="409"/>
      <c r="C10020" s="416"/>
      <c r="D10020" s="198" t="s">
        <v>35012</v>
      </c>
      <c r="E10020" s="198">
        <v>15</v>
      </c>
      <c r="F10020" s="199" t="s">
        <v>35013</v>
      </c>
      <c r="G10020" s="1" t="s">
        <v>53102</v>
      </c>
      <c r="H10020" s="200"/>
      <c r="I10020" s="346"/>
      <c r="J10020" s="39">
        <v>113340</v>
      </c>
      <c r="K10020" s="36" t="str">
        <f>CONCATENATE(Cover!$D$6,"fdd/view?i=",J10020)</f>
        <v>https://www.dgiwg.org/FAD/fdd/view?i=113340</v>
      </c>
      <c r="L10020" s="36" t="s">
        <v>53103</v>
      </c>
      <c r="M10020" s="186"/>
      <c r="N10020" s="186"/>
      <c r="O10020" s="172"/>
    </row>
    <row r="10021" spans="1:15" x14ac:dyDescent="0.2">
      <c r="A10021" s="197" t="str">
        <f t="shared" si="156"/>
        <v>GauCode_supply</v>
      </c>
      <c r="B10021" s="409"/>
      <c r="C10021" s="416"/>
      <c r="D10021" s="198" t="s">
        <v>53104</v>
      </c>
      <c r="E10021" s="198">
        <v>18</v>
      </c>
      <c r="F10021" s="199" t="s">
        <v>53105</v>
      </c>
      <c r="G10021" s="1" t="s">
        <v>53106</v>
      </c>
      <c r="H10021" s="200"/>
      <c r="I10021" s="346"/>
      <c r="J10021" s="39">
        <v>113343</v>
      </c>
      <c r="K10021" s="36" t="str">
        <f>CONCATENATE(Cover!$D$6,"fdd/view?i=",J10021)</f>
        <v>https://www.dgiwg.org/FAD/fdd/view?i=113343</v>
      </c>
      <c r="L10021" s="36" t="s">
        <v>53107</v>
      </c>
      <c r="M10021" s="186"/>
      <c r="N10021" s="186"/>
      <c r="O10021" s="172"/>
    </row>
    <row r="10022" spans="1:15" ht="25.5" x14ac:dyDescent="0.2">
      <c r="A10022" s="197" t="str">
        <f t="shared" si="156"/>
        <v>GauCode_tradeBanking</v>
      </c>
      <c r="B10022" s="409"/>
      <c r="C10022" s="416"/>
      <c r="D10022" s="198" t="s">
        <v>53108</v>
      </c>
      <c r="E10022" s="198">
        <v>10</v>
      </c>
      <c r="F10022" s="199" t="s">
        <v>53109</v>
      </c>
      <c r="G10022" s="1" t="s">
        <v>53110</v>
      </c>
      <c r="H10022" s="200"/>
      <c r="I10022" s="346"/>
      <c r="J10022" s="39">
        <v>113335</v>
      </c>
      <c r="K10022" s="36" t="str">
        <f>CONCATENATE(Cover!$D$6,"fdd/view?i=",J10022)</f>
        <v>https://www.dgiwg.org/FAD/fdd/view?i=113335</v>
      </c>
      <c r="L10022" s="36" t="s">
        <v>53111</v>
      </c>
      <c r="M10022" s="186"/>
      <c r="N10022" s="186"/>
      <c r="O10022" s="172"/>
    </row>
    <row r="10023" spans="1:15" x14ac:dyDescent="0.2">
      <c r="A10023" s="197" t="str">
        <f t="shared" si="156"/>
        <v>GauCode_traffic</v>
      </c>
      <c r="B10023" s="409"/>
      <c r="C10023" s="416"/>
      <c r="D10023" s="198" t="s">
        <v>53112</v>
      </c>
      <c r="E10023" s="198">
        <v>23</v>
      </c>
      <c r="F10023" s="199" t="s">
        <v>53113</v>
      </c>
      <c r="G10023" s="1" t="s">
        <v>53114</v>
      </c>
      <c r="H10023" s="200"/>
      <c r="I10023" s="346"/>
      <c r="J10023" s="39">
        <v>113348</v>
      </c>
      <c r="K10023" s="36" t="str">
        <f>CONCATENATE(Cover!$D$6,"fdd/view?i=",J10023)</f>
        <v>https://www.dgiwg.org/FAD/fdd/view?i=113348</v>
      </c>
      <c r="L10023" s="36" t="s">
        <v>53115</v>
      </c>
      <c r="M10023" s="186"/>
      <c r="N10023" s="186"/>
      <c r="O10023" s="172"/>
    </row>
    <row r="10024" spans="1:15" ht="25.5" x14ac:dyDescent="0.2">
      <c r="A10024" s="203" t="str">
        <f t="shared" si="156"/>
        <v>GauCode_weekendHolidayResidences</v>
      </c>
      <c r="B10024" s="410"/>
      <c r="C10024" s="417"/>
      <c r="D10024" s="204" t="s">
        <v>53116</v>
      </c>
      <c r="E10024" s="204">
        <v>20</v>
      </c>
      <c r="F10024" s="205" t="s">
        <v>53117</v>
      </c>
      <c r="G10024" s="206" t="s">
        <v>53118</v>
      </c>
      <c r="H10024" s="207"/>
      <c r="I10024" s="347"/>
      <c r="J10024" s="39">
        <v>113345</v>
      </c>
      <c r="K10024" s="36" t="str">
        <f>CONCATENATE(Cover!$D$6,"fdd/view?i=",J10024)</f>
        <v>https://www.dgiwg.org/FAD/fdd/view?i=113345</v>
      </c>
      <c r="L10024" s="36" t="s">
        <v>53119</v>
      </c>
      <c r="M10024" s="186"/>
      <c r="N10024" s="186"/>
      <c r="O10024" s="172"/>
    </row>
    <row r="10025" spans="1:15" ht="25.5" x14ac:dyDescent="0.2">
      <c r="A10025" s="190" t="str">
        <f t="shared" si="156"/>
        <v>UucCode_cooling</v>
      </c>
      <c r="B10025" s="414" t="str">
        <f>HYPERLINK("[#]Datatypes!A1632:L1632","UucCode")</f>
        <v>UucCode</v>
      </c>
      <c r="C10025" s="415" t="s">
        <v>16265</v>
      </c>
      <c r="D10025" s="221" t="s">
        <v>30626</v>
      </c>
      <c r="E10025" s="221">
        <v>12</v>
      </c>
      <c r="F10025" s="222" t="s">
        <v>30627</v>
      </c>
      <c r="G10025" s="223" t="s">
        <v>37555</v>
      </c>
      <c r="H10025" s="224"/>
      <c r="I10025" s="345"/>
      <c r="J10025" s="39">
        <v>110591</v>
      </c>
      <c r="K10025" s="36" t="str">
        <f>CONCATENATE(Cover!$D$6,"fdd/view?i=",J10025)</f>
        <v>https://www.dgiwg.org/FAD/fdd/view?i=110591</v>
      </c>
      <c r="L10025" s="36" t="s">
        <v>53120</v>
      </c>
      <c r="M10025" s="186"/>
      <c r="N10025" s="186"/>
      <c r="O10025" s="172"/>
    </row>
    <row r="10026" spans="1:15" ht="25.5" x14ac:dyDescent="0.2">
      <c r="A10026" s="197" t="str">
        <f t="shared" si="156"/>
        <v>UucCode_drinkingWater</v>
      </c>
      <c r="B10026" s="409"/>
      <c r="C10026" s="416"/>
      <c r="D10026" s="198" t="s">
        <v>23112</v>
      </c>
      <c r="E10026" s="198">
        <v>7</v>
      </c>
      <c r="F10026" s="199" t="s">
        <v>23113</v>
      </c>
      <c r="G10026" s="1" t="s">
        <v>53121</v>
      </c>
      <c r="H10026" s="1" t="s">
        <v>53122</v>
      </c>
      <c r="I10026" s="346"/>
      <c r="J10026" s="39">
        <v>109090</v>
      </c>
      <c r="K10026" s="36" t="str">
        <f>CONCATENATE(Cover!$D$6,"fdd/view?i=",J10026)</f>
        <v>https://www.dgiwg.org/FAD/fdd/view?i=109090</v>
      </c>
      <c r="L10026" s="36" t="s">
        <v>53123</v>
      </c>
      <c r="M10026" s="186"/>
      <c r="N10026" s="186"/>
      <c r="O10026" s="172"/>
    </row>
    <row r="10027" spans="1:15" ht="38.25" x14ac:dyDescent="0.2">
      <c r="A10027" s="197" t="str">
        <f t="shared" si="156"/>
        <v>UucCode_filtrationPlant</v>
      </c>
      <c r="B10027" s="409"/>
      <c r="C10027" s="416"/>
      <c r="D10027" s="198" t="s">
        <v>53124</v>
      </c>
      <c r="E10027" s="198">
        <v>11</v>
      </c>
      <c r="F10027" s="199" t="s">
        <v>53125</v>
      </c>
      <c r="G10027" s="1" t="s">
        <v>53126</v>
      </c>
      <c r="H10027" s="200"/>
      <c r="I10027" s="346"/>
      <c r="J10027" s="39">
        <v>110590</v>
      </c>
      <c r="K10027" s="36" t="str">
        <f>CONCATENATE(Cover!$D$6,"fdd/view?i=",J10027)</f>
        <v>https://www.dgiwg.org/FAD/fdd/view?i=110590</v>
      </c>
      <c r="L10027" s="36" t="s">
        <v>53127</v>
      </c>
      <c r="M10027" s="186"/>
      <c r="N10027" s="186"/>
      <c r="O10027" s="172"/>
    </row>
    <row r="10028" spans="1:15" ht="25.5" x14ac:dyDescent="0.2">
      <c r="A10028" s="197" t="str">
        <f t="shared" si="156"/>
        <v>UucCode_intake</v>
      </c>
      <c r="B10028" s="409"/>
      <c r="C10028" s="416"/>
      <c r="D10028" s="198" t="s">
        <v>53128</v>
      </c>
      <c r="E10028" s="198">
        <v>6</v>
      </c>
      <c r="F10028" s="199" t="s">
        <v>3724</v>
      </c>
      <c r="G10028" s="1" t="s">
        <v>53129</v>
      </c>
      <c r="H10028" s="1" t="s">
        <v>53130</v>
      </c>
      <c r="I10028" s="346"/>
      <c r="J10028" s="39">
        <v>109089</v>
      </c>
      <c r="K10028" s="36" t="str">
        <f>CONCATENATE(Cover!$D$6,"fdd/view?i=",J10028)</f>
        <v>https://www.dgiwg.org/FAD/fdd/view?i=109089</v>
      </c>
      <c r="L10028" s="36" t="s">
        <v>53131</v>
      </c>
      <c r="M10028" s="186"/>
      <c r="N10028" s="186"/>
      <c r="O10028" s="172"/>
    </row>
    <row r="10029" spans="1:15" ht="25.5" x14ac:dyDescent="0.2">
      <c r="A10029" s="197" t="str">
        <f t="shared" si="156"/>
        <v>UucCode_outbuilding</v>
      </c>
      <c r="B10029" s="409"/>
      <c r="C10029" s="416"/>
      <c r="D10029" s="198" t="s">
        <v>20547</v>
      </c>
      <c r="E10029" s="198">
        <v>9</v>
      </c>
      <c r="F10029" s="199" t="s">
        <v>20548</v>
      </c>
      <c r="G10029" s="1" t="s">
        <v>53132</v>
      </c>
      <c r="H10029" s="200"/>
      <c r="I10029" s="346"/>
      <c r="J10029" s="39">
        <v>109092</v>
      </c>
      <c r="K10029" s="36" t="str">
        <f>CONCATENATE(Cover!$D$6,"fdd/view?i=",J10029)</f>
        <v>https://www.dgiwg.org/FAD/fdd/view?i=109092</v>
      </c>
      <c r="L10029" s="36" t="s">
        <v>53133</v>
      </c>
      <c r="M10029" s="186"/>
      <c r="N10029" s="186"/>
      <c r="O10029" s="172"/>
    </row>
    <row r="10030" spans="1:15" ht="38.25" x14ac:dyDescent="0.2">
      <c r="A10030" s="197" t="str">
        <f t="shared" si="156"/>
        <v>UucCode_outfall</v>
      </c>
      <c r="B10030" s="409"/>
      <c r="C10030" s="416"/>
      <c r="D10030" s="198" t="s">
        <v>25030</v>
      </c>
      <c r="E10030" s="198">
        <v>5</v>
      </c>
      <c r="F10030" s="199" t="s">
        <v>25031</v>
      </c>
      <c r="G10030" s="1" t="s">
        <v>53134</v>
      </c>
      <c r="H10030" s="1" t="s">
        <v>53135</v>
      </c>
      <c r="I10030" s="346"/>
      <c r="J10030" s="39">
        <v>109088</v>
      </c>
      <c r="K10030" s="36" t="str">
        <f>CONCATENATE(Cover!$D$6,"fdd/view?i=",J10030)</f>
        <v>https://www.dgiwg.org/FAD/fdd/view?i=109088</v>
      </c>
      <c r="L10030" s="36" t="s">
        <v>53136</v>
      </c>
      <c r="M10030" s="186"/>
      <c r="N10030" s="186"/>
      <c r="O10030" s="172"/>
    </row>
    <row r="10031" spans="1:15" ht="25.5" x14ac:dyDescent="0.2">
      <c r="A10031" s="197" t="str">
        <f t="shared" si="156"/>
        <v>UucCode_power</v>
      </c>
      <c r="B10031" s="409"/>
      <c r="C10031" s="416"/>
      <c r="D10031" s="198" t="s">
        <v>311</v>
      </c>
      <c r="E10031" s="198">
        <v>4</v>
      </c>
      <c r="F10031" s="199" t="s">
        <v>312</v>
      </c>
      <c r="G10031" s="1" t="s">
        <v>53137</v>
      </c>
      <c r="H10031" s="200"/>
      <c r="I10031" s="346"/>
      <c r="J10031" s="39">
        <v>109087</v>
      </c>
      <c r="K10031" s="36" t="str">
        <f>CONCATENATE(Cover!$D$6,"fdd/view?i=",J10031)</f>
        <v>https://www.dgiwg.org/FAD/fdd/view?i=109087</v>
      </c>
      <c r="L10031" s="36" t="s">
        <v>53138</v>
      </c>
      <c r="M10031" s="186"/>
      <c r="N10031" s="186"/>
      <c r="O10031" s="172"/>
    </row>
    <row r="10032" spans="1:15" ht="25.5" x14ac:dyDescent="0.2">
      <c r="A10032" s="197" t="str">
        <f t="shared" si="156"/>
        <v>UucCode_powerStation</v>
      </c>
      <c r="B10032" s="409"/>
      <c r="C10032" s="416"/>
      <c r="D10032" s="198" t="s">
        <v>53139</v>
      </c>
      <c r="E10032" s="198">
        <v>10</v>
      </c>
      <c r="F10032" s="199" t="s">
        <v>53140</v>
      </c>
      <c r="G10032" s="1" t="s">
        <v>53141</v>
      </c>
      <c r="H10032" s="200"/>
      <c r="I10032" s="346"/>
      <c r="J10032" s="39">
        <v>110589</v>
      </c>
      <c r="K10032" s="36" t="str">
        <f>CONCATENATE(Cover!$D$6,"fdd/view?i=",J10032)</f>
        <v>https://www.dgiwg.org/FAD/fdd/view?i=110589</v>
      </c>
      <c r="L10032" s="36" t="s">
        <v>53142</v>
      </c>
      <c r="M10032" s="186"/>
      <c r="N10032" s="186"/>
      <c r="O10032" s="172"/>
    </row>
    <row r="10033" spans="1:15" ht="25.5" x14ac:dyDescent="0.2">
      <c r="A10033" s="203" t="str">
        <f t="shared" si="156"/>
        <v>UucCode_waterwork</v>
      </c>
      <c r="B10033" s="410"/>
      <c r="C10033" s="417"/>
      <c r="D10033" s="204" t="s">
        <v>53143</v>
      </c>
      <c r="E10033" s="204">
        <v>18</v>
      </c>
      <c r="F10033" s="205" t="s">
        <v>5851</v>
      </c>
      <c r="G10033" s="206" t="s">
        <v>5853</v>
      </c>
      <c r="H10033" s="207"/>
      <c r="I10033" s="347"/>
      <c r="J10033" s="39">
        <v>112751</v>
      </c>
      <c r="K10033" s="36" t="str">
        <f>CONCATENATE(Cover!$D$6,"fdd/view?i=",J10033)</f>
        <v>https://www.dgiwg.org/FAD/fdd/view?i=112751</v>
      </c>
      <c r="L10033" s="36" t="s">
        <v>53144</v>
      </c>
      <c r="M10033" s="186"/>
      <c r="N10033" s="186"/>
      <c r="O10033" s="172"/>
    </row>
    <row r="10034" spans="1:15" ht="25.5" x14ac:dyDescent="0.2">
      <c r="A10034" s="190" t="str">
        <f t="shared" si="156"/>
        <v>VegCode_algae</v>
      </c>
      <c r="B10034" s="414" t="str">
        <f>HYPERLINK("[#]Datatypes!A1634:L1634","VegCode")</f>
        <v>VegCode</v>
      </c>
      <c r="C10034" s="415" t="s">
        <v>16267</v>
      </c>
      <c r="D10034" s="221" t="s">
        <v>43273</v>
      </c>
      <c r="E10034" s="221">
        <v>61</v>
      </c>
      <c r="F10034" s="222" t="s">
        <v>2025</v>
      </c>
      <c r="G10034" s="223" t="s">
        <v>53145</v>
      </c>
      <c r="H10034" s="223" t="s">
        <v>2028</v>
      </c>
      <c r="I10034" s="352" t="s">
        <v>2029</v>
      </c>
      <c r="J10034" s="39">
        <v>109240</v>
      </c>
      <c r="K10034" s="36" t="str">
        <f>CONCATENATE(Cover!$D$6,"fdd/view?i=",J10034)</f>
        <v>https://www.dgiwg.org/FAD/fdd/view?i=109240</v>
      </c>
      <c r="L10034" s="36" t="s">
        <v>53146</v>
      </c>
      <c r="M10034" s="186"/>
      <c r="N10034" s="186"/>
      <c r="O10034" s="172"/>
    </row>
    <row r="10035" spans="1:15" ht="25.5" x14ac:dyDescent="0.2">
      <c r="A10035" s="197" t="str">
        <f t="shared" si="156"/>
        <v>VegCode_alpine</v>
      </c>
      <c r="B10035" s="409"/>
      <c r="C10035" s="416"/>
      <c r="D10035" s="198" t="s">
        <v>53147</v>
      </c>
      <c r="E10035" s="198">
        <v>65</v>
      </c>
      <c r="F10035" s="199" t="s">
        <v>53148</v>
      </c>
      <c r="G10035" s="1" t="s">
        <v>53149</v>
      </c>
      <c r="H10035" s="1" t="s">
        <v>53150</v>
      </c>
      <c r="I10035" s="346"/>
      <c r="J10035" s="39">
        <v>109244</v>
      </c>
      <c r="K10035" s="36" t="str">
        <f>CONCATENATE(Cover!$D$6,"fdd/view?i=",J10035)</f>
        <v>https://www.dgiwg.org/FAD/fdd/view?i=109244</v>
      </c>
      <c r="L10035" s="36" t="s">
        <v>53151</v>
      </c>
      <c r="M10035" s="186"/>
      <c r="N10035" s="186"/>
      <c r="O10035" s="172"/>
    </row>
    <row r="10036" spans="1:15" ht="25.5" x14ac:dyDescent="0.2">
      <c r="A10036" s="197" t="str">
        <f t="shared" si="156"/>
        <v>VegCode_bog</v>
      </c>
      <c r="B10036" s="409"/>
      <c r="C10036" s="416"/>
      <c r="D10036" s="198" t="s">
        <v>23570</v>
      </c>
      <c r="E10036" s="198">
        <v>59</v>
      </c>
      <c r="F10036" s="199" t="s">
        <v>2279</v>
      </c>
      <c r="G10036" s="1" t="s">
        <v>2281</v>
      </c>
      <c r="H10036" s="1" t="s">
        <v>23571</v>
      </c>
      <c r="I10036" s="346"/>
      <c r="J10036" s="39">
        <v>105261</v>
      </c>
      <c r="K10036" s="36" t="str">
        <f>CONCATENATE(Cover!$D$6,"fdd/view?i=",J10036)</f>
        <v>https://www.dgiwg.org/FAD/fdd/view?i=105261</v>
      </c>
      <c r="L10036" s="36" t="s">
        <v>53152</v>
      </c>
      <c r="M10036" s="186"/>
      <c r="N10036" s="186"/>
      <c r="O10036" s="172"/>
    </row>
    <row r="10037" spans="1:15" ht="38.25" x14ac:dyDescent="0.2">
      <c r="A10037" s="197" t="str">
        <f t="shared" si="156"/>
        <v>VegCode_brush</v>
      </c>
      <c r="B10037" s="409"/>
      <c r="C10037" s="416"/>
      <c r="D10037" s="198" t="s">
        <v>23573</v>
      </c>
      <c r="E10037" s="198">
        <v>75</v>
      </c>
      <c r="F10037" s="199" t="s">
        <v>2352</v>
      </c>
      <c r="G10037" s="1" t="s">
        <v>23574</v>
      </c>
      <c r="H10037" s="1" t="s">
        <v>23575</v>
      </c>
      <c r="I10037" s="346"/>
      <c r="J10037" s="39">
        <v>110597</v>
      </c>
      <c r="K10037" s="36" t="str">
        <f>CONCATENATE(Cover!$D$6,"fdd/view?i=",J10037)</f>
        <v>https://www.dgiwg.org/FAD/fdd/view?i=110597</v>
      </c>
      <c r="L10037" s="36" t="s">
        <v>53153</v>
      </c>
      <c r="M10037" s="186"/>
      <c r="N10037" s="186"/>
      <c r="O10037" s="172"/>
    </row>
    <row r="10038" spans="1:15" x14ac:dyDescent="0.2">
      <c r="A10038" s="197" t="str">
        <f t="shared" si="156"/>
        <v>VegCode_desert</v>
      </c>
      <c r="B10038" s="409"/>
      <c r="C10038" s="416"/>
      <c r="D10038" s="198" t="s">
        <v>36741</v>
      </c>
      <c r="E10038" s="198">
        <v>80</v>
      </c>
      <c r="F10038" s="199" t="s">
        <v>2764</v>
      </c>
      <c r="G10038" s="1" t="s">
        <v>2766</v>
      </c>
      <c r="H10038" s="200"/>
      <c r="I10038" s="346"/>
      <c r="J10038" s="39">
        <v>110602</v>
      </c>
      <c r="K10038" s="36" t="str">
        <f>CONCATENATE(Cover!$D$6,"fdd/view?i=",J10038)</f>
        <v>https://www.dgiwg.org/FAD/fdd/view?i=110602</v>
      </c>
      <c r="L10038" s="36" t="s">
        <v>53154</v>
      </c>
      <c r="M10038" s="186"/>
      <c r="N10038" s="186"/>
      <c r="O10038" s="172"/>
    </row>
    <row r="10039" spans="1:15" ht="25.5" x14ac:dyDescent="0.2">
      <c r="A10039" s="197" t="str">
        <f t="shared" si="156"/>
        <v>VegCode_forest</v>
      </c>
      <c r="B10039" s="409"/>
      <c r="C10039" s="416"/>
      <c r="D10039" s="198" t="s">
        <v>53155</v>
      </c>
      <c r="E10039" s="198">
        <v>76</v>
      </c>
      <c r="F10039" s="199" t="s">
        <v>3207</v>
      </c>
      <c r="G10039" s="1" t="s">
        <v>53156</v>
      </c>
      <c r="H10039" s="200"/>
      <c r="I10039" s="346"/>
      <c r="J10039" s="39">
        <v>110598</v>
      </c>
      <c r="K10039" s="36" t="str">
        <f>CONCATENATE(Cover!$D$6,"fdd/view?i=",J10039)</f>
        <v>https://www.dgiwg.org/FAD/fdd/view?i=110598</v>
      </c>
      <c r="L10039" s="36" t="s">
        <v>53157</v>
      </c>
      <c r="M10039" s="186"/>
      <c r="N10039" s="186"/>
      <c r="O10039" s="172"/>
    </row>
    <row r="10040" spans="1:15" ht="25.5" x14ac:dyDescent="0.2">
      <c r="A10040" s="197" t="str">
        <f t="shared" si="156"/>
        <v>VegCode_forestClearing</v>
      </c>
      <c r="B10040" s="409"/>
      <c r="C10040" s="416"/>
      <c r="D10040" s="198" t="s">
        <v>23579</v>
      </c>
      <c r="E10040" s="198">
        <v>52</v>
      </c>
      <c r="F10040" s="199" t="s">
        <v>3213</v>
      </c>
      <c r="G10040" s="1" t="s">
        <v>3214</v>
      </c>
      <c r="H10040" s="1" t="s">
        <v>3215</v>
      </c>
      <c r="I10040" s="346"/>
      <c r="J10040" s="39">
        <v>109231</v>
      </c>
      <c r="K10040" s="36" t="str">
        <f>CONCATENATE(Cover!$D$6,"fdd/view?i=",J10040)</f>
        <v>https://www.dgiwg.org/FAD/fdd/view?i=109231</v>
      </c>
      <c r="L10040" s="36" t="s">
        <v>53158</v>
      </c>
      <c r="M10040" s="186"/>
      <c r="N10040" s="186"/>
      <c r="O10040" s="172"/>
    </row>
    <row r="10041" spans="1:15" ht="25.5" x14ac:dyDescent="0.2">
      <c r="A10041" s="197" t="str">
        <f t="shared" si="156"/>
        <v>VegCode_garden</v>
      </c>
      <c r="B10041" s="409"/>
      <c r="C10041" s="416"/>
      <c r="D10041" s="198" t="s">
        <v>53159</v>
      </c>
      <c r="E10041" s="198">
        <v>66</v>
      </c>
      <c r="F10041" s="199" t="s">
        <v>3249</v>
      </c>
      <c r="G10041" s="1" t="s">
        <v>53160</v>
      </c>
      <c r="H10041" s="200"/>
      <c r="I10041" s="346"/>
      <c r="J10041" s="39">
        <v>109245</v>
      </c>
      <c r="K10041" s="36" t="str">
        <f>CONCATENATE(Cover!$D$6,"fdd/view?i=",J10041)</f>
        <v>https://www.dgiwg.org/FAD/fdd/view?i=109245</v>
      </c>
      <c r="L10041" s="36" t="s">
        <v>53161</v>
      </c>
      <c r="M10041" s="186"/>
      <c r="N10041" s="186"/>
      <c r="O10041" s="172"/>
    </row>
    <row r="10042" spans="1:15" ht="25.5" x14ac:dyDescent="0.2">
      <c r="A10042" s="197" t="str">
        <f t="shared" si="156"/>
        <v>VegCode_grassland</v>
      </c>
      <c r="B10042" s="409"/>
      <c r="C10042" s="416"/>
      <c r="D10042" s="198" t="s">
        <v>53162</v>
      </c>
      <c r="E10042" s="198">
        <v>8</v>
      </c>
      <c r="F10042" s="199" t="s">
        <v>3386</v>
      </c>
      <c r="G10042" s="1" t="s">
        <v>3388</v>
      </c>
      <c r="H10042" s="1" t="s">
        <v>3389</v>
      </c>
      <c r="I10042" s="346"/>
      <c r="J10042" s="39">
        <v>109191</v>
      </c>
      <c r="K10042" s="36" t="str">
        <f>CONCATENATE(Cover!$D$6,"fdd/view?i=",J10042)</f>
        <v>https://www.dgiwg.org/FAD/fdd/view?i=109191</v>
      </c>
      <c r="L10042" s="36" t="s">
        <v>53163</v>
      </c>
      <c r="M10042" s="186"/>
      <c r="N10042" s="186"/>
      <c r="O10042" s="172"/>
    </row>
    <row r="10043" spans="1:15" ht="25.5" x14ac:dyDescent="0.2">
      <c r="A10043" s="197" t="str">
        <f t="shared" si="156"/>
        <v>VegCode_grasslandWithTrees</v>
      </c>
      <c r="B10043" s="409"/>
      <c r="C10043" s="416"/>
      <c r="D10043" s="198" t="s">
        <v>53164</v>
      </c>
      <c r="E10043" s="198">
        <v>9</v>
      </c>
      <c r="F10043" s="199" t="s">
        <v>53165</v>
      </c>
      <c r="G10043" s="1" t="s">
        <v>53166</v>
      </c>
      <c r="H10043" s="200"/>
      <c r="I10043" s="346"/>
      <c r="J10043" s="39">
        <v>109192</v>
      </c>
      <c r="K10043" s="36" t="str">
        <f>CONCATENATE(Cover!$D$6,"fdd/view?i=",J10043)</f>
        <v>https://www.dgiwg.org/FAD/fdd/view?i=109192</v>
      </c>
      <c r="L10043" s="36" t="s">
        <v>53167</v>
      </c>
      <c r="M10043" s="186"/>
      <c r="N10043" s="186"/>
      <c r="O10043" s="172"/>
    </row>
    <row r="10044" spans="1:15" ht="38.25" x14ac:dyDescent="0.2">
      <c r="A10044" s="197" t="str">
        <f t="shared" si="156"/>
        <v>VegCode_grove</v>
      </c>
      <c r="B10044" s="409"/>
      <c r="C10044" s="416"/>
      <c r="D10044" s="198" t="s">
        <v>53168</v>
      </c>
      <c r="E10044" s="198">
        <v>20</v>
      </c>
      <c r="F10044" s="199" t="s">
        <v>3429</v>
      </c>
      <c r="G10044" s="1" t="s">
        <v>53169</v>
      </c>
      <c r="H10044" s="1" t="s">
        <v>3432</v>
      </c>
      <c r="I10044" s="346"/>
      <c r="J10044" s="39">
        <v>109200</v>
      </c>
      <c r="K10044" s="36" t="str">
        <f>CONCATENATE(Cover!$D$6,"fdd/view?i=",J10044)</f>
        <v>https://www.dgiwg.org/FAD/fdd/view?i=109200</v>
      </c>
      <c r="L10044" s="36" t="s">
        <v>53170</v>
      </c>
      <c r="M10044" s="186"/>
      <c r="N10044" s="186"/>
      <c r="O10044" s="172"/>
    </row>
    <row r="10045" spans="1:15" ht="25.5" x14ac:dyDescent="0.2">
      <c r="A10045" s="197" t="str">
        <f t="shared" si="156"/>
        <v>VegCode_heathland</v>
      </c>
      <c r="B10045" s="409"/>
      <c r="C10045" s="416"/>
      <c r="D10045" s="198" t="s">
        <v>36755</v>
      </c>
      <c r="E10045" s="198">
        <v>67</v>
      </c>
      <c r="F10045" s="199" t="s">
        <v>3467</v>
      </c>
      <c r="G10045" s="1" t="s">
        <v>3469</v>
      </c>
      <c r="H10045" s="200"/>
      <c r="I10045" s="346"/>
      <c r="J10045" s="39">
        <v>106266</v>
      </c>
      <c r="K10045" s="36" t="str">
        <f>CONCATENATE(Cover!$D$6,"fdd/view?i=",J10045)</f>
        <v>https://www.dgiwg.org/FAD/fdd/view?i=106266</v>
      </c>
      <c r="L10045" s="36" t="s">
        <v>53171</v>
      </c>
      <c r="M10045" s="186"/>
      <c r="N10045" s="186"/>
      <c r="O10045" s="172"/>
    </row>
    <row r="10046" spans="1:15" ht="38.25" x14ac:dyDescent="0.2">
      <c r="A10046" s="197" t="str">
        <f t="shared" si="156"/>
        <v>VegCode_herbaceous</v>
      </c>
      <c r="B10046" s="409"/>
      <c r="C10046" s="416"/>
      <c r="D10046" s="198" t="s">
        <v>53175</v>
      </c>
      <c r="E10046" s="198">
        <v>73</v>
      </c>
      <c r="F10046" s="199" t="s">
        <v>53176</v>
      </c>
      <c r="G10046" s="1" t="s">
        <v>53177</v>
      </c>
      <c r="H10046" s="200"/>
      <c r="I10046" s="346"/>
      <c r="J10046" s="39">
        <v>109879</v>
      </c>
      <c r="K10046" s="36" t="str">
        <f>CONCATENATE(Cover!$D$6,"fdd/view?i=",J10046)</f>
        <v>https://www.dgiwg.org/FAD/fdd/view?i=109879</v>
      </c>
      <c r="L10046" s="36" t="s">
        <v>53178</v>
      </c>
      <c r="M10046" s="186"/>
      <c r="N10046" s="186"/>
      <c r="O10046" s="172"/>
    </row>
    <row r="10047" spans="1:15" ht="38.25" x14ac:dyDescent="0.2">
      <c r="A10047" s="197" t="str">
        <f t="shared" si="156"/>
        <v>VegCode_herbAndBrush</v>
      </c>
      <c r="B10047" s="409"/>
      <c r="C10047" s="416"/>
      <c r="D10047" s="198" t="s">
        <v>53172</v>
      </c>
      <c r="E10047" s="198">
        <v>51</v>
      </c>
      <c r="F10047" s="199" t="s">
        <v>3487</v>
      </c>
      <c r="G10047" s="1" t="s">
        <v>53173</v>
      </c>
      <c r="H10047" s="1" t="s">
        <v>3489</v>
      </c>
      <c r="I10047" s="346"/>
      <c r="J10047" s="39">
        <v>109230</v>
      </c>
      <c r="K10047" s="36" t="str">
        <f>CONCATENATE(Cover!$D$6,"fdd/view?i=",J10047)</f>
        <v>https://www.dgiwg.org/FAD/fdd/view?i=109230</v>
      </c>
      <c r="L10047" s="36" t="s">
        <v>53174</v>
      </c>
      <c r="M10047" s="186"/>
      <c r="N10047" s="186"/>
      <c r="O10047" s="172"/>
    </row>
    <row r="10048" spans="1:15" ht="25.5" x14ac:dyDescent="0.2">
      <c r="A10048" s="197" t="str">
        <f t="shared" si="156"/>
        <v>VegCode_mangroveSwamp</v>
      </c>
      <c r="B10048" s="409"/>
      <c r="C10048" s="416"/>
      <c r="D10048" s="198" t="s">
        <v>50585</v>
      </c>
      <c r="E10048" s="198">
        <v>19</v>
      </c>
      <c r="F10048" s="199" t="s">
        <v>3961</v>
      </c>
      <c r="G10048" s="1" t="s">
        <v>3962</v>
      </c>
      <c r="H10048" s="200"/>
      <c r="I10048" s="346"/>
      <c r="J10048" s="39">
        <v>102556</v>
      </c>
      <c r="K10048" s="36" t="str">
        <f>CONCATENATE(Cover!$D$6,"fdd/view?i=",J10048)</f>
        <v>https://www.dgiwg.org/FAD/fdd/view?i=102556</v>
      </c>
      <c r="L10048" s="36" t="s">
        <v>53179</v>
      </c>
      <c r="M10048" s="186"/>
      <c r="N10048" s="186"/>
      <c r="O10048" s="172"/>
    </row>
    <row r="10049" spans="1:15" x14ac:dyDescent="0.2">
      <c r="A10049" s="197" t="str">
        <f t="shared" si="156"/>
        <v>VegCode_meadow</v>
      </c>
      <c r="B10049" s="409"/>
      <c r="C10049" s="416"/>
      <c r="D10049" s="198" t="s">
        <v>53180</v>
      </c>
      <c r="E10049" s="198">
        <v>83</v>
      </c>
      <c r="F10049" s="199" t="s">
        <v>53181</v>
      </c>
      <c r="G10049" s="1" t="s">
        <v>53182</v>
      </c>
      <c r="H10049" s="200"/>
      <c r="I10049" s="346"/>
      <c r="J10049" s="39">
        <v>112842</v>
      </c>
      <c r="K10049" s="36" t="str">
        <f>CONCATENATE(Cover!$D$6,"fdd/view?i=",J10049)</f>
        <v>https://www.dgiwg.org/FAD/fdd/view?i=112842</v>
      </c>
      <c r="L10049" s="36" t="s">
        <v>53183</v>
      </c>
      <c r="M10049" s="186"/>
      <c r="N10049" s="186"/>
      <c r="O10049" s="172"/>
    </row>
    <row r="10050" spans="1:15" ht="38.25" x14ac:dyDescent="0.2">
      <c r="A10050" s="197" t="str">
        <f t="shared" ref="A10050:A10113" si="157">HYPERLINK(K10050,L10050)</f>
        <v>VegCode_rainforest</v>
      </c>
      <c r="B10050" s="409"/>
      <c r="C10050" s="416"/>
      <c r="D10050" s="198" t="s">
        <v>53184</v>
      </c>
      <c r="E10050" s="198">
        <v>82</v>
      </c>
      <c r="F10050" s="199" t="s">
        <v>4664</v>
      </c>
      <c r="G10050" s="1" t="s">
        <v>4666</v>
      </c>
      <c r="H10050" s="1" t="s">
        <v>4667</v>
      </c>
      <c r="I10050" s="346"/>
      <c r="J10050" s="39">
        <v>110604</v>
      </c>
      <c r="K10050" s="36" t="str">
        <f>CONCATENATE(Cover!$D$6,"fdd/view?i=",J10050)</f>
        <v>https://www.dgiwg.org/FAD/fdd/view?i=110604</v>
      </c>
      <c r="L10050" s="36" t="s">
        <v>53185</v>
      </c>
      <c r="M10050" s="186"/>
      <c r="N10050" s="186"/>
      <c r="O10050" s="172"/>
    </row>
    <row r="10051" spans="1:15" ht="25.5" x14ac:dyDescent="0.2">
      <c r="A10051" s="197" t="str">
        <f t="shared" si="157"/>
        <v>VegCode_savanna</v>
      </c>
      <c r="B10051" s="409"/>
      <c r="C10051" s="416"/>
      <c r="D10051" s="198" t="s">
        <v>53186</v>
      </c>
      <c r="E10051" s="198">
        <v>81</v>
      </c>
      <c r="F10051" s="199" t="s">
        <v>4899</v>
      </c>
      <c r="G10051" s="1" t="s">
        <v>4901</v>
      </c>
      <c r="H10051" s="200"/>
      <c r="I10051" s="346"/>
      <c r="J10051" s="39">
        <v>110603</v>
      </c>
      <c r="K10051" s="36" t="str">
        <f>CONCATENATE(Cover!$D$6,"fdd/view?i=",J10051)</f>
        <v>https://www.dgiwg.org/FAD/fdd/view?i=110603</v>
      </c>
      <c r="L10051" s="36" t="s">
        <v>53187</v>
      </c>
      <c r="M10051" s="186"/>
      <c r="N10051" s="186"/>
      <c r="O10051" s="172"/>
    </row>
    <row r="10052" spans="1:15" ht="25.5" x14ac:dyDescent="0.2">
      <c r="A10052" s="197" t="str">
        <f t="shared" si="157"/>
        <v>VegCode_seaGrass</v>
      </c>
      <c r="B10052" s="409"/>
      <c r="C10052" s="416"/>
      <c r="D10052" s="198" t="s">
        <v>53188</v>
      </c>
      <c r="E10052" s="198">
        <v>62</v>
      </c>
      <c r="F10052" s="199" t="s">
        <v>53189</v>
      </c>
      <c r="G10052" s="1" t="s">
        <v>53190</v>
      </c>
      <c r="H10052" s="1" t="s">
        <v>53191</v>
      </c>
      <c r="I10052" s="346"/>
      <c r="J10052" s="39">
        <v>109241</v>
      </c>
      <c r="K10052" s="36" t="str">
        <f>CONCATENATE(Cover!$D$6,"fdd/view?i=",J10052)</f>
        <v>https://www.dgiwg.org/FAD/fdd/view?i=109241</v>
      </c>
      <c r="L10052" s="36" t="s">
        <v>53192</v>
      </c>
      <c r="M10052" s="186"/>
      <c r="N10052" s="186"/>
      <c r="O10052" s="172"/>
    </row>
    <row r="10053" spans="1:15" ht="25.5" x14ac:dyDescent="0.2">
      <c r="A10053" s="197" t="str">
        <f t="shared" si="157"/>
        <v>VegCode_steppe</v>
      </c>
      <c r="B10053" s="409"/>
      <c r="C10053" s="416"/>
      <c r="D10053" s="198" t="s">
        <v>36830</v>
      </c>
      <c r="E10053" s="198">
        <v>78</v>
      </c>
      <c r="F10053" s="199" t="s">
        <v>5265</v>
      </c>
      <c r="G10053" s="1" t="s">
        <v>53193</v>
      </c>
      <c r="H10053" s="200"/>
      <c r="I10053" s="346"/>
      <c r="J10053" s="39">
        <v>110600</v>
      </c>
      <c r="K10053" s="36" t="str">
        <f>CONCATENATE(Cover!$D$6,"fdd/view?i=",J10053)</f>
        <v>https://www.dgiwg.org/FAD/fdd/view?i=110600</v>
      </c>
      <c r="L10053" s="36" t="s">
        <v>53194</v>
      </c>
      <c r="M10053" s="186"/>
      <c r="N10053" s="186"/>
      <c r="O10053" s="172"/>
    </row>
    <row r="10054" spans="1:15" ht="25.5" x14ac:dyDescent="0.2">
      <c r="A10054" s="197" t="str">
        <f t="shared" si="157"/>
        <v>VegCode_taiga</v>
      </c>
      <c r="B10054" s="409"/>
      <c r="C10054" s="416"/>
      <c r="D10054" s="198" t="s">
        <v>53195</v>
      </c>
      <c r="E10054" s="198">
        <v>79</v>
      </c>
      <c r="F10054" s="199" t="s">
        <v>5357</v>
      </c>
      <c r="G10054" s="1" t="s">
        <v>5359</v>
      </c>
      <c r="H10054" s="200"/>
      <c r="I10054" s="346"/>
      <c r="J10054" s="39">
        <v>110601</v>
      </c>
      <c r="K10054" s="36" t="str">
        <f>CONCATENATE(Cover!$D$6,"fdd/view?i=",J10054)</f>
        <v>https://www.dgiwg.org/FAD/fdd/view?i=110601</v>
      </c>
      <c r="L10054" s="36" t="s">
        <v>53196</v>
      </c>
      <c r="M10054" s="186"/>
      <c r="N10054" s="186"/>
      <c r="O10054" s="172"/>
    </row>
    <row r="10055" spans="1:15" ht="25.5" x14ac:dyDescent="0.2">
      <c r="A10055" s="197" t="str">
        <f t="shared" si="157"/>
        <v>VegCode_thicket</v>
      </c>
      <c r="B10055" s="409"/>
      <c r="C10055" s="416"/>
      <c r="D10055" s="198" t="s">
        <v>23599</v>
      </c>
      <c r="E10055" s="198">
        <v>74</v>
      </c>
      <c r="F10055" s="199" t="s">
        <v>5461</v>
      </c>
      <c r="G10055" s="1" t="s">
        <v>53197</v>
      </c>
      <c r="H10055" s="1" t="s">
        <v>53198</v>
      </c>
      <c r="I10055" s="351" t="s">
        <v>53199</v>
      </c>
      <c r="J10055" s="39">
        <v>109880</v>
      </c>
      <c r="K10055" s="36" t="str">
        <f>CONCATENATE(Cover!$D$6,"fdd/view?i=",J10055)</f>
        <v>https://www.dgiwg.org/FAD/fdd/view?i=109880</v>
      </c>
      <c r="L10055" s="36" t="s">
        <v>53200</v>
      </c>
      <c r="M10055" s="186"/>
      <c r="N10055" s="186"/>
      <c r="O10055" s="172"/>
    </row>
    <row r="10056" spans="1:15" ht="25.5" x14ac:dyDescent="0.2">
      <c r="A10056" s="197" t="str">
        <f t="shared" si="157"/>
        <v>VegCode_tropicalGrass</v>
      </c>
      <c r="B10056" s="409"/>
      <c r="C10056" s="416"/>
      <c r="D10056" s="198" t="s">
        <v>53201</v>
      </c>
      <c r="E10056" s="198">
        <v>10</v>
      </c>
      <c r="F10056" s="199" t="s">
        <v>53202</v>
      </c>
      <c r="G10056" s="1" t="s">
        <v>53203</v>
      </c>
      <c r="H10056" s="1" t="s">
        <v>53204</v>
      </c>
      <c r="I10056" s="346"/>
      <c r="J10056" s="39">
        <v>109193</v>
      </c>
      <c r="K10056" s="36" t="str">
        <f>CONCATENATE(Cover!$D$6,"fdd/view?i=",J10056)</f>
        <v>https://www.dgiwg.org/FAD/fdd/view?i=109193</v>
      </c>
      <c r="L10056" s="36" t="s">
        <v>53205</v>
      </c>
      <c r="M10056" s="186"/>
      <c r="N10056" s="186"/>
      <c r="O10056" s="172"/>
    </row>
    <row r="10057" spans="1:15" ht="25.5" x14ac:dyDescent="0.2">
      <c r="A10057" s="197" t="str">
        <f t="shared" si="157"/>
        <v>VegCode_tundra</v>
      </c>
      <c r="B10057" s="409"/>
      <c r="C10057" s="416"/>
      <c r="D10057" s="198" t="s">
        <v>23916</v>
      </c>
      <c r="E10057" s="198">
        <v>77</v>
      </c>
      <c r="F10057" s="199" t="s">
        <v>5611</v>
      </c>
      <c r="G10057" s="1" t="s">
        <v>5613</v>
      </c>
      <c r="H10057" s="200"/>
      <c r="I10057" s="346"/>
      <c r="J10057" s="39">
        <v>110599</v>
      </c>
      <c r="K10057" s="36" t="str">
        <f>CONCATENATE(Cover!$D$6,"fdd/view?i=",J10057)</f>
        <v>https://www.dgiwg.org/FAD/fdd/view?i=110599</v>
      </c>
      <c r="L10057" s="36" t="s">
        <v>53206</v>
      </c>
      <c r="M10057" s="186"/>
      <c r="N10057" s="186"/>
      <c r="O10057" s="172"/>
    </row>
    <row r="10058" spans="1:15" x14ac:dyDescent="0.2">
      <c r="A10058" s="197" t="str">
        <f t="shared" si="157"/>
        <v>VegCode_undergrowth</v>
      </c>
      <c r="B10058" s="409"/>
      <c r="C10058" s="416"/>
      <c r="D10058" s="198" t="s">
        <v>53207</v>
      </c>
      <c r="E10058" s="198">
        <v>68</v>
      </c>
      <c r="F10058" s="199" t="s">
        <v>53208</v>
      </c>
      <c r="G10058" s="1" t="s">
        <v>53209</v>
      </c>
      <c r="H10058" s="200"/>
      <c r="I10058" s="346"/>
      <c r="J10058" s="39">
        <v>109247</v>
      </c>
      <c r="K10058" s="36" t="str">
        <f>CONCATENATE(Cover!$D$6,"fdd/view?i=",J10058)</f>
        <v>https://www.dgiwg.org/FAD/fdd/view?i=109247</v>
      </c>
      <c r="L10058" s="36" t="s">
        <v>53210</v>
      </c>
      <c r="M10058" s="186"/>
      <c r="N10058" s="186"/>
      <c r="O10058" s="172"/>
    </row>
    <row r="10059" spans="1:15" ht="25.5" x14ac:dyDescent="0.2">
      <c r="A10059" s="197" t="str">
        <f t="shared" si="157"/>
        <v>VegCode_wetland</v>
      </c>
      <c r="B10059" s="409"/>
      <c r="C10059" s="416"/>
      <c r="D10059" s="198" t="s">
        <v>36857</v>
      </c>
      <c r="E10059" s="198">
        <v>64</v>
      </c>
      <c r="F10059" s="199" t="s">
        <v>5882</v>
      </c>
      <c r="G10059" s="1" t="s">
        <v>53211</v>
      </c>
      <c r="H10059" s="200"/>
      <c r="I10059" s="346"/>
      <c r="J10059" s="39">
        <v>109243</v>
      </c>
      <c r="K10059" s="36" t="str">
        <f>CONCATENATE(Cover!$D$6,"fdd/view?i=",J10059)</f>
        <v>https://www.dgiwg.org/FAD/fdd/view?i=109243</v>
      </c>
      <c r="L10059" s="36" t="s">
        <v>53212</v>
      </c>
      <c r="M10059" s="186"/>
      <c r="N10059" s="186"/>
      <c r="O10059" s="172"/>
    </row>
    <row r="10060" spans="1:15" x14ac:dyDescent="0.2">
      <c r="A10060" s="197" t="str">
        <f t="shared" si="157"/>
        <v>VegCode_withoutTrees</v>
      </c>
      <c r="B10060" s="409"/>
      <c r="C10060" s="416"/>
      <c r="D10060" s="198" t="s">
        <v>53217</v>
      </c>
      <c r="E10060" s="198">
        <v>56</v>
      </c>
      <c r="F10060" s="199" t="s">
        <v>53218</v>
      </c>
      <c r="G10060" s="1" t="s">
        <v>53219</v>
      </c>
      <c r="H10060" s="200"/>
      <c r="I10060" s="346"/>
      <c r="J10060" s="39">
        <v>109235</v>
      </c>
      <c r="K10060" s="36" t="str">
        <f>CONCATENATE(Cover!$D$6,"fdd/view?i=",J10060)</f>
        <v>https://www.dgiwg.org/FAD/fdd/view?i=109235</v>
      </c>
      <c r="L10060" s="36" t="s">
        <v>53220</v>
      </c>
      <c r="M10060" s="186"/>
      <c r="N10060" s="186"/>
      <c r="O10060" s="172"/>
    </row>
    <row r="10061" spans="1:15" x14ac:dyDescent="0.2">
      <c r="A10061" s="197" t="str">
        <f t="shared" si="157"/>
        <v>VegCode_withTrees</v>
      </c>
      <c r="B10061" s="409"/>
      <c r="C10061" s="416"/>
      <c r="D10061" s="198" t="s">
        <v>53213</v>
      </c>
      <c r="E10061" s="198">
        <v>55</v>
      </c>
      <c r="F10061" s="199" t="s">
        <v>53214</v>
      </c>
      <c r="G10061" s="1" t="s">
        <v>53215</v>
      </c>
      <c r="H10061" s="200"/>
      <c r="I10061" s="346"/>
      <c r="J10061" s="39">
        <v>109234</v>
      </c>
      <c r="K10061" s="36" t="str">
        <f>CONCATENATE(Cover!$D$6,"fdd/view?i=",J10061)</f>
        <v>https://www.dgiwg.org/FAD/fdd/view?i=109234</v>
      </c>
      <c r="L10061" s="36" t="s">
        <v>53216</v>
      </c>
      <c r="M10061" s="186"/>
      <c r="N10061" s="186"/>
      <c r="O10061" s="172"/>
    </row>
    <row r="10062" spans="1:15" ht="25.5" x14ac:dyDescent="0.2">
      <c r="A10062" s="203" t="str">
        <f t="shared" si="157"/>
        <v>VegCode_wood</v>
      </c>
      <c r="B10062" s="410"/>
      <c r="C10062" s="417"/>
      <c r="D10062" s="204" t="s">
        <v>19610</v>
      </c>
      <c r="E10062" s="204">
        <v>50</v>
      </c>
      <c r="F10062" s="205" t="s">
        <v>5911</v>
      </c>
      <c r="G10062" s="206" t="s">
        <v>5913</v>
      </c>
      <c r="H10062" s="207"/>
      <c r="I10062" s="353" t="s">
        <v>5914</v>
      </c>
      <c r="J10062" s="39">
        <v>109229</v>
      </c>
      <c r="K10062" s="36" t="str">
        <f>CONCATENATE(Cover!$D$6,"fdd/view?i=",J10062)</f>
        <v>https://www.dgiwg.org/FAD/fdd/view?i=109229</v>
      </c>
      <c r="L10062" s="36" t="s">
        <v>53221</v>
      </c>
      <c r="M10062" s="186"/>
      <c r="N10062" s="186"/>
      <c r="O10062" s="172"/>
    </row>
    <row r="10063" spans="1:15" ht="25.5" x14ac:dyDescent="0.2">
      <c r="A10063" s="190" t="str">
        <f t="shared" si="157"/>
        <v>VspCode_alder</v>
      </c>
      <c r="B10063" s="414" t="str">
        <f>HYPERLINK("[#]Datatypes!A1636:L1636","VspCode")</f>
        <v>VspCode</v>
      </c>
      <c r="C10063" s="415" t="s">
        <v>16269</v>
      </c>
      <c r="D10063" s="221" t="s">
        <v>53222</v>
      </c>
      <c r="E10063" s="221">
        <v>40</v>
      </c>
      <c r="F10063" s="222" t="s">
        <v>53223</v>
      </c>
      <c r="G10063" s="223" t="s">
        <v>53224</v>
      </c>
      <c r="H10063" s="223" t="s">
        <v>53225</v>
      </c>
      <c r="I10063" s="345"/>
      <c r="J10063" s="39">
        <v>112921</v>
      </c>
      <c r="K10063" s="36" t="str">
        <f>CONCATENATE(Cover!$D$6,"fdd/view?i=",J10063)</f>
        <v>https://www.dgiwg.org/FAD/fdd/view?i=112921</v>
      </c>
      <c r="L10063" s="36" t="s">
        <v>53226</v>
      </c>
      <c r="M10063" s="186"/>
      <c r="N10063" s="186"/>
      <c r="O10063" s="172"/>
    </row>
    <row r="10064" spans="1:15" ht="51" x14ac:dyDescent="0.2">
      <c r="A10064" s="197" t="str">
        <f t="shared" si="157"/>
        <v>VspCode_algae</v>
      </c>
      <c r="B10064" s="409"/>
      <c r="C10064" s="416"/>
      <c r="D10064" s="198" t="s">
        <v>43273</v>
      </c>
      <c r="E10064" s="198">
        <v>36</v>
      </c>
      <c r="F10064" s="199" t="s">
        <v>2025</v>
      </c>
      <c r="G10064" s="1" t="s">
        <v>53227</v>
      </c>
      <c r="H10064" s="1" t="s">
        <v>53228</v>
      </c>
      <c r="I10064" s="346"/>
      <c r="J10064" s="39">
        <v>112846</v>
      </c>
      <c r="K10064" s="36" t="str">
        <f>CONCATENATE(Cover!$D$6,"fdd/view?i=",J10064)</f>
        <v>https://www.dgiwg.org/FAD/fdd/view?i=112846</v>
      </c>
      <c r="L10064" s="36" t="s">
        <v>53229</v>
      </c>
      <c r="M10064" s="186"/>
      <c r="N10064" s="186"/>
      <c r="O10064" s="172"/>
    </row>
    <row r="10065" spans="1:15" ht="38.25" x14ac:dyDescent="0.2">
      <c r="A10065" s="197" t="str">
        <f t="shared" si="157"/>
        <v>VspCode_ash</v>
      </c>
      <c r="B10065" s="409"/>
      <c r="C10065" s="416"/>
      <c r="D10065" s="198" t="s">
        <v>25254</v>
      </c>
      <c r="E10065" s="198">
        <v>1</v>
      </c>
      <c r="F10065" s="199" t="s">
        <v>25255</v>
      </c>
      <c r="G10065" s="1" t="s">
        <v>53230</v>
      </c>
      <c r="H10065" s="1" t="s">
        <v>53231</v>
      </c>
      <c r="I10065" s="346"/>
      <c r="J10065" s="39">
        <v>110612</v>
      </c>
      <c r="K10065" s="36" t="str">
        <f>CONCATENATE(Cover!$D$6,"fdd/view?i=",J10065)</f>
        <v>https://www.dgiwg.org/FAD/fdd/view?i=110612</v>
      </c>
      <c r="L10065" s="36" t="s">
        <v>53232</v>
      </c>
      <c r="M10065" s="186"/>
      <c r="N10065" s="186"/>
      <c r="O10065" s="172"/>
    </row>
    <row r="10066" spans="1:15" x14ac:dyDescent="0.2">
      <c r="A10066" s="197" t="str">
        <f t="shared" si="157"/>
        <v>VspCode_aspen</v>
      </c>
      <c r="B10066" s="409"/>
      <c r="C10066" s="416"/>
      <c r="D10066" s="198" t="s">
        <v>53233</v>
      </c>
      <c r="E10066" s="198">
        <v>41</v>
      </c>
      <c r="F10066" s="199" t="s">
        <v>53234</v>
      </c>
      <c r="G10066" s="1" t="s">
        <v>53235</v>
      </c>
      <c r="H10066" s="1" t="s">
        <v>53236</v>
      </c>
      <c r="I10066" s="346"/>
      <c r="J10066" s="39">
        <v>112922</v>
      </c>
      <c r="K10066" s="36" t="str">
        <f>CONCATENATE(Cover!$D$6,"fdd/view?i=",J10066)</f>
        <v>https://www.dgiwg.org/FAD/fdd/view?i=112922</v>
      </c>
      <c r="L10066" s="36" t="s">
        <v>53237</v>
      </c>
      <c r="M10066" s="186"/>
      <c r="N10066" s="186"/>
      <c r="O10066" s="172"/>
    </row>
    <row r="10067" spans="1:15" ht="25.5" x14ac:dyDescent="0.2">
      <c r="A10067" s="197" t="str">
        <f t="shared" si="157"/>
        <v>VspCode_bamboo</v>
      </c>
      <c r="B10067" s="409"/>
      <c r="C10067" s="416"/>
      <c r="D10067" s="198" t="s">
        <v>26987</v>
      </c>
      <c r="E10067" s="198">
        <v>34</v>
      </c>
      <c r="F10067" s="199" t="s">
        <v>26988</v>
      </c>
      <c r="G10067" s="1" t="s">
        <v>26989</v>
      </c>
      <c r="H10067" s="1" t="s">
        <v>26990</v>
      </c>
      <c r="I10067" s="346"/>
      <c r="J10067" s="39">
        <v>112844</v>
      </c>
      <c r="K10067" s="36" t="str">
        <f>CONCATENATE(Cover!$D$6,"fdd/view?i=",J10067)</f>
        <v>https://www.dgiwg.org/FAD/fdd/view?i=112844</v>
      </c>
      <c r="L10067" s="36" t="s">
        <v>53238</v>
      </c>
      <c r="M10067" s="186"/>
      <c r="N10067" s="186"/>
      <c r="O10067" s="172"/>
    </row>
    <row r="10068" spans="1:15" ht="25.5" x14ac:dyDescent="0.2">
      <c r="A10068" s="197" t="str">
        <f t="shared" si="157"/>
        <v>VspCode_baobab</v>
      </c>
      <c r="B10068" s="409"/>
      <c r="C10068" s="416"/>
      <c r="D10068" s="198" t="s">
        <v>53239</v>
      </c>
      <c r="E10068" s="198">
        <v>37</v>
      </c>
      <c r="F10068" s="199" t="s">
        <v>53240</v>
      </c>
      <c r="G10068" s="1" t="s">
        <v>53241</v>
      </c>
      <c r="H10068" s="1" t="s">
        <v>53242</v>
      </c>
      <c r="I10068" s="351" t="s">
        <v>53243</v>
      </c>
      <c r="J10068" s="39">
        <v>112918</v>
      </c>
      <c r="K10068" s="36" t="str">
        <f>CONCATENATE(Cover!$D$6,"fdd/view?i=",J10068)</f>
        <v>https://www.dgiwg.org/FAD/fdd/view?i=112918</v>
      </c>
      <c r="L10068" s="36" t="s">
        <v>53244</v>
      </c>
      <c r="M10068" s="186"/>
      <c r="N10068" s="186"/>
      <c r="O10068" s="172"/>
    </row>
    <row r="10069" spans="1:15" ht="51" x14ac:dyDescent="0.2">
      <c r="A10069" s="197" t="str">
        <f t="shared" si="157"/>
        <v>VspCode_beech</v>
      </c>
      <c r="B10069" s="409"/>
      <c r="C10069" s="416"/>
      <c r="D10069" s="198" t="s">
        <v>53245</v>
      </c>
      <c r="E10069" s="198">
        <v>2</v>
      </c>
      <c r="F10069" s="199" t="s">
        <v>53246</v>
      </c>
      <c r="G10069" s="1" t="s">
        <v>53247</v>
      </c>
      <c r="H10069" s="1" t="s">
        <v>53248</v>
      </c>
      <c r="I10069" s="346"/>
      <c r="J10069" s="39">
        <v>110613</v>
      </c>
      <c r="K10069" s="36" t="str">
        <f>CONCATENATE(Cover!$D$6,"fdd/view?i=",J10069)</f>
        <v>https://www.dgiwg.org/FAD/fdd/view?i=110613</v>
      </c>
      <c r="L10069" s="36" t="s">
        <v>53249</v>
      </c>
      <c r="M10069" s="186"/>
      <c r="N10069" s="186"/>
      <c r="O10069" s="172"/>
    </row>
    <row r="10070" spans="1:15" ht="51" x14ac:dyDescent="0.2">
      <c r="A10070" s="197" t="str">
        <f t="shared" si="157"/>
        <v>VspCode_birch</v>
      </c>
      <c r="B10070" s="409"/>
      <c r="C10070" s="416"/>
      <c r="D10070" s="198" t="s">
        <v>53250</v>
      </c>
      <c r="E10070" s="198">
        <v>3</v>
      </c>
      <c r="F10070" s="199" t="s">
        <v>53251</v>
      </c>
      <c r="G10070" s="1" t="s">
        <v>53252</v>
      </c>
      <c r="H10070" s="1" t="s">
        <v>53253</v>
      </c>
      <c r="I10070" s="346"/>
      <c r="J10070" s="39">
        <v>110614</v>
      </c>
      <c r="K10070" s="36" t="str">
        <f>CONCATENATE(Cover!$D$6,"fdd/view?i=",J10070)</f>
        <v>https://www.dgiwg.org/FAD/fdd/view?i=110614</v>
      </c>
      <c r="L10070" s="36" t="s">
        <v>53254</v>
      </c>
      <c r="M10070" s="186"/>
      <c r="N10070" s="186"/>
      <c r="O10070" s="172"/>
    </row>
    <row r="10071" spans="1:15" ht="38.25" x14ac:dyDescent="0.2">
      <c r="A10071" s="197" t="str">
        <f t="shared" si="157"/>
        <v>VspCode_bramble</v>
      </c>
      <c r="B10071" s="409"/>
      <c r="C10071" s="416"/>
      <c r="D10071" s="198" t="s">
        <v>53255</v>
      </c>
      <c r="E10071" s="198">
        <v>61</v>
      </c>
      <c r="F10071" s="199" t="s">
        <v>53256</v>
      </c>
      <c r="G10071" s="1" t="s">
        <v>53257</v>
      </c>
      <c r="H10071" s="200"/>
      <c r="I10071" s="346"/>
      <c r="J10071" s="39">
        <v>118506</v>
      </c>
      <c r="K10071" s="36" t="str">
        <f>CONCATENATE(Cover!$D$6,"fdd/view?i=",J10071)</f>
        <v>https://www.dgiwg.org/FAD/fdd/view?i=118506</v>
      </c>
      <c r="L10071" s="36" t="s">
        <v>53258</v>
      </c>
      <c r="M10071" s="186"/>
      <c r="N10071" s="186"/>
      <c r="O10071" s="172"/>
    </row>
    <row r="10072" spans="1:15" ht="25.5" x14ac:dyDescent="0.2">
      <c r="A10072" s="197" t="str">
        <f t="shared" si="157"/>
        <v>VspCode_casuarina</v>
      </c>
      <c r="B10072" s="409"/>
      <c r="C10072" s="416"/>
      <c r="D10072" s="198" t="s">
        <v>53259</v>
      </c>
      <c r="E10072" s="198">
        <v>4</v>
      </c>
      <c r="F10072" s="199" t="s">
        <v>53260</v>
      </c>
      <c r="G10072" s="1" t="s">
        <v>53261</v>
      </c>
      <c r="H10072" s="1" t="s">
        <v>53262</v>
      </c>
      <c r="I10072" s="346"/>
      <c r="J10072" s="39">
        <v>110615</v>
      </c>
      <c r="K10072" s="36" t="str">
        <f>CONCATENATE(Cover!$D$6,"fdd/view?i=",J10072)</f>
        <v>https://www.dgiwg.org/FAD/fdd/view?i=110615</v>
      </c>
      <c r="L10072" s="36" t="s">
        <v>53263</v>
      </c>
      <c r="M10072" s="186"/>
      <c r="N10072" s="186"/>
      <c r="O10072" s="172"/>
    </row>
    <row r="10073" spans="1:15" x14ac:dyDescent="0.2">
      <c r="A10073" s="197" t="str">
        <f t="shared" si="157"/>
        <v>VspCode_cedar</v>
      </c>
      <c r="B10073" s="409"/>
      <c r="C10073" s="416"/>
      <c r="D10073" s="198" t="s">
        <v>53264</v>
      </c>
      <c r="E10073" s="198">
        <v>54</v>
      </c>
      <c r="F10073" s="199" t="s">
        <v>53265</v>
      </c>
      <c r="G10073" s="1" t="s">
        <v>53266</v>
      </c>
      <c r="H10073" s="1" t="s">
        <v>53267</v>
      </c>
      <c r="I10073" s="346"/>
      <c r="J10073" s="39">
        <v>112935</v>
      </c>
      <c r="K10073" s="36" t="str">
        <f>CONCATENATE(Cover!$D$6,"fdd/view?i=",J10073)</f>
        <v>https://www.dgiwg.org/FAD/fdd/view?i=112935</v>
      </c>
      <c r="L10073" s="36" t="s">
        <v>53268</v>
      </c>
      <c r="M10073" s="186"/>
      <c r="N10073" s="186"/>
      <c r="O10073" s="172"/>
    </row>
    <row r="10074" spans="1:15" ht="25.5" x14ac:dyDescent="0.2">
      <c r="A10074" s="197" t="str">
        <f t="shared" si="157"/>
        <v>VspCode_cembraPine</v>
      </c>
      <c r="B10074" s="409"/>
      <c r="C10074" s="416"/>
      <c r="D10074" s="198" t="s">
        <v>53269</v>
      </c>
      <c r="E10074" s="198">
        <v>55</v>
      </c>
      <c r="F10074" s="199" t="s">
        <v>53270</v>
      </c>
      <c r="G10074" s="1" t="s">
        <v>53271</v>
      </c>
      <c r="H10074" s="1" t="s">
        <v>53272</v>
      </c>
      <c r="I10074" s="346"/>
      <c r="J10074" s="39">
        <v>112936</v>
      </c>
      <c r="K10074" s="36" t="str">
        <f>CONCATENATE(Cover!$D$6,"fdd/view?i=",J10074)</f>
        <v>https://www.dgiwg.org/FAD/fdd/view?i=112936</v>
      </c>
      <c r="L10074" s="36" t="s">
        <v>53273</v>
      </c>
      <c r="M10074" s="186"/>
      <c r="N10074" s="186"/>
      <c r="O10074" s="172"/>
    </row>
    <row r="10075" spans="1:15" ht="38.25" x14ac:dyDescent="0.2">
      <c r="A10075" s="197" t="str">
        <f t="shared" si="157"/>
        <v>VspCode_chestnut</v>
      </c>
      <c r="B10075" s="409"/>
      <c r="C10075" s="416"/>
      <c r="D10075" s="198" t="s">
        <v>27096</v>
      </c>
      <c r="E10075" s="198">
        <v>5</v>
      </c>
      <c r="F10075" s="199" t="s">
        <v>27097</v>
      </c>
      <c r="G10075" s="1" t="s">
        <v>27098</v>
      </c>
      <c r="H10075" s="1" t="s">
        <v>27099</v>
      </c>
      <c r="I10075" s="346"/>
      <c r="J10075" s="39">
        <v>110616</v>
      </c>
      <c r="K10075" s="36" t="str">
        <f>CONCATENATE(Cover!$D$6,"fdd/view?i=",J10075)</f>
        <v>https://www.dgiwg.org/FAD/fdd/view?i=110616</v>
      </c>
      <c r="L10075" s="36" t="s">
        <v>53274</v>
      </c>
      <c r="M10075" s="186"/>
      <c r="N10075" s="186"/>
      <c r="O10075" s="172"/>
    </row>
    <row r="10076" spans="1:15" ht="38.25" x14ac:dyDescent="0.2">
      <c r="A10076" s="197" t="str">
        <f t="shared" si="157"/>
        <v>VspCode_coconut</v>
      </c>
      <c r="B10076" s="409"/>
      <c r="C10076" s="416"/>
      <c r="D10076" s="198" t="s">
        <v>27128</v>
      </c>
      <c r="E10076" s="198">
        <v>33</v>
      </c>
      <c r="F10076" s="199" t="s">
        <v>27129</v>
      </c>
      <c r="G10076" s="1" t="s">
        <v>27130</v>
      </c>
      <c r="H10076" s="1" t="s">
        <v>53275</v>
      </c>
      <c r="I10076" s="346"/>
      <c r="J10076" s="39">
        <v>112843</v>
      </c>
      <c r="K10076" s="36" t="str">
        <f>CONCATENATE(Cover!$D$6,"fdd/view?i=",J10076)</f>
        <v>https://www.dgiwg.org/FAD/fdd/view?i=112843</v>
      </c>
      <c r="L10076" s="36" t="s">
        <v>53276</v>
      </c>
      <c r="M10076" s="186"/>
      <c r="N10076" s="186"/>
      <c r="O10076" s="172"/>
    </row>
    <row r="10077" spans="1:15" ht="25.5" x14ac:dyDescent="0.2">
      <c r="A10077" s="197" t="str">
        <f t="shared" si="157"/>
        <v>VspCode_conifer</v>
      </c>
      <c r="B10077" s="409"/>
      <c r="C10077" s="416"/>
      <c r="D10077" s="198" t="s">
        <v>53277</v>
      </c>
      <c r="E10077" s="198">
        <v>6</v>
      </c>
      <c r="F10077" s="199" t="s">
        <v>53278</v>
      </c>
      <c r="G10077" s="1" t="s">
        <v>53279</v>
      </c>
      <c r="H10077" s="1" t="s">
        <v>53280</v>
      </c>
      <c r="I10077" s="346"/>
      <c r="J10077" s="39">
        <v>110617</v>
      </c>
      <c r="K10077" s="36" t="str">
        <f>CONCATENATE(Cover!$D$6,"fdd/view?i=",J10077)</f>
        <v>https://www.dgiwg.org/FAD/fdd/view?i=110617</v>
      </c>
      <c r="L10077" s="36" t="s">
        <v>53281</v>
      </c>
      <c r="M10077" s="186"/>
      <c r="N10077" s="186"/>
      <c r="O10077" s="172"/>
    </row>
    <row r="10078" spans="1:15" ht="38.25" x14ac:dyDescent="0.2">
      <c r="A10078" s="197" t="str">
        <f t="shared" si="157"/>
        <v>VspCode_corkOak</v>
      </c>
      <c r="B10078" s="409"/>
      <c r="C10078" s="416"/>
      <c r="D10078" s="198" t="s">
        <v>27141</v>
      </c>
      <c r="E10078" s="198">
        <v>7</v>
      </c>
      <c r="F10078" s="199" t="s">
        <v>27142</v>
      </c>
      <c r="G10078" s="1" t="s">
        <v>27143</v>
      </c>
      <c r="H10078" s="1" t="s">
        <v>53282</v>
      </c>
      <c r="I10078" s="351" t="s">
        <v>27144</v>
      </c>
      <c r="J10078" s="39">
        <v>110618</v>
      </c>
      <c r="K10078" s="36" t="str">
        <f>CONCATENATE(Cover!$D$6,"fdd/view?i=",J10078)</f>
        <v>https://www.dgiwg.org/FAD/fdd/view?i=110618</v>
      </c>
      <c r="L10078" s="36" t="s">
        <v>53283</v>
      </c>
      <c r="M10078" s="186"/>
      <c r="N10078" s="186"/>
      <c r="O10078" s="172"/>
    </row>
    <row r="10079" spans="1:15" ht="51" x14ac:dyDescent="0.2">
      <c r="A10079" s="197" t="str">
        <f t="shared" si="157"/>
        <v>VspCode_cypress</v>
      </c>
      <c r="B10079" s="409"/>
      <c r="C10079" s="416"/>
      <c r="D10079" s="198" t="s">
        <v>53284</v>
      </c>
      <c r="E10079" s="198">
        <v>8</v>
      </c>
      <c r="F10079" s="199" t="s">
        <v>53285</v>
      </c>
      <c r="G10079" s="1" t="s">
        <v>53286</v>
      </c>
      <c r="H10079" s="1" t="s">
        <v>53287</v>
      </c>
      <c r="I10079" s="351" t="s">
        <v>53288</v>
      </c>
      <c r="J10079" s="39">
        <v>110619</v>
      </c>
      <c r="K10079" s="36" t="str">
        <f>CONCATENATE(Cover!$D$6,"fdd/view?i=",J10079)</f>
        <v>https://www.dgiwg.org/FAD/fdd/view?i=110619</v>
      </c>
      <c r="L10079" s="36" t="s">
        <v>53289</v>
      </c>
      <c r="M10079" s="186"/>
      <c r="N10079" s="186"/>
      <c r="O10079" s="172"/>
    </row>
    <row r="10080" spans="1:15" x14ac:dyDescent="0.2">
      <c r="A10080" s="197" t="str">
        <f t="shared" si="157"/>
        <v>VspCode_douglasFir</v>
      </c>
      <c r="B10080" s="409"/>
      <c r="C10080" s="416"/>
      <c r="D10080" s="198" t="s">
        <v>53290</v>
      </c>
      <c r="E10080" s="198">
        <v>38</v>
      </c>
      <c r="F10080" s="199" t="s">
        <v>53291</v>
      </c>
      <c r="G10080" s="1" t="s">
        <v>53292</v>
      </c>
      <c r="H10080" s="1" t="s">
        <v>53293</v>
      </c>
      <c r="I10080" s="346"/>
      <c r="J10080" s="39">
        <v>112919</v>
      </c>
      <c r="K10080" s="36" t="str">
        <f>CONCATENATE(Cover!$D$6,"fdd/view?i=",J10080)</f>
        <v>https://www.dgiwg.org/FAD/fdd/view?i=112919</v>
      </c>
      <c r="L10080" s="36" t="s">
        <v>53294</v>
      </c>
      <c r="M10080" s="186"/>
      <c r="N10080" s="186"/>
      <c r="O10080" s="172"/>
    </row>
    <row r="10081" spans="1:15" ht="25.5" x14ac:dyDescent="0.2">
      <c r="A10081" s="197" t="str">
        <f t="shared" si="157"/>
        <v>VspCode_ebony</v>
      </c>
      <c r="B10081" s="409"/>
      <c r="C10081" s="416"/>
      <c r="D10081" s="198" t="s">
        <v>53295</v>
      </c>
      <c r="E10081" s="198">
        <v>39</v>
      </c>
      <c r="F10081" s="199" t="s">
        <v>53296</v>
      </c>
      <c r="G10081" s="1" t="s">
        <v>53297</v>
      </c>
      <c r="H10081" s="1" t="s">
        <v>53298</v>
      </c>
      <c r="I10081" s="346"/>
      <c r="J10081" s="39">
        <v>112920</v>
      </c>
      <c r="K10081" s="36" t="str">
        <f>CONCATENATE(Cover!$D$6,"fdd/view?i=",J10081)</f>
        <v>https://www.dgiwg.org/FAD/fdd/view?i=112920</v>
      </c>
      <c r="L10081" s="36" t="s">
        <v>53299</v>
      </c>
      <c r="M10081" s="186"/>
      <c r="N10081" s="186"/>
      <c r="O10081" s="172"/>
    </row>
    <row r="10082" spans="1:15" ht="63.75" x14ac:dyDescent="0.2">
      <c r="A10082" s="197" t="str">
        <f t="shared" si="157"/>
        <v>VspCode_elm</v>
      </c>
      <c r="B10082" s="409"/>
      <c r="C10082" s="416"/>
      <c r="D10082" s="198" t="s">
        <v>53300</v>
      </c>
      <c r="E10082" s="198">
        <v>9</v>
      </c>
      <c r="F10082" s="199" t="s">
        <v>53301</v>
      </c>
      <c r="G10082" s="1" t="s">
        <v>53302</v>
      </c>
      <c r="H10082" s="1" t="s">
        <v>53303</v>
      </c>
      <c r="I10082" s="346"/>
      <c r="J10082" s="39">
        <v>110620</v>
      </c>
      <c r="K10082" s="36" t="str">
        <f>CONCATENATE(Cover!$D$6,"fdd/view?i=",J10082)</f>
        <v>https://www.dgiwg.org/FAD/fdd/view?i=110620</v>
      </c>
      <c r="L10082" s="36" t="s">
        <v>53304</v>
      </c>
      <c r="M10082" s="186"/>
      <c r="N10082" s="186"/>
      <c r="O10082" s="172"/>
    </row>
    <row r="10083" spans="1:15" ht="38.25" x14ac:dyDescent="0.2">
      <c r="A10083" s="197" t="str">
        <f t="shared" si="157"/>
        <v>VspCode_eucalyptus</v>
      </c>
      <c r="B10083" s="409"/>
      <c r="C10083" s="416"/>
      <c r="D10083" s="198" t="s">
        <v>53305</v>
      </c>
      <c r="E10083" s="198">
        <v>10</v>
      </c>
      <c r="F10083" s="199" t="s">
        <v>53306</v>
      </c>
      <c r="G10083" s="1" t="s">
        <v>53307</v>
      </c>
      <c r="H10083" s="1" t="s">
        <v>53308</v>
      </c>
      <c r="I10083" s="346"/>
      <c r="J10083" s="39">
        <v>110621</v>
      </c>
      <c r="K10083" s="36" t="str">
        <f>CONCATENATE(Cover!$D$6,"fdd/view?i=",J10083)</f>
        <v>https://www.dgiwg.org/FAD/fdd/view?i=110621</v>
      </c>
      <c r="L10083" s="36" t="s">
        <v>53309</v>
      </c>
      <c r="M10083" s="186"/>
      <c r="N10083" s="186"/>
      <c r="O10083" s="172"/>
    </row>
    <row r="10084" spans="1:15" ht="63.75" x14ac:dyDescent="0.2">
      <c r="A10084" s="197" t="str">
        <f t="shared" si="157"/>
        <v>VspCode_filao</v>
      </c>
      <c r="B10084" s="409"/>
      <c r="C10084" s="416"/>
      <c r="D10084" s="198" t="s">
        <v>53310</v>
      </c>
      <c r="E10084" s="198">
        <v>11</v>
      </c>
      <c r="F10084" s="199" t="s">
        <v>53311</v>
      </c>
      <c r="G10084" s="1" t="s">
        <v>53312</v>
      </c>
      <c r="H10084" s="1" t="s">
        <v>53313</v>
      </c>
      <c r="I10084" s="346"/>
      <c r="J10084" s="39">
        <v>110622</v>
      </c>
      <c r="K10084" s="36" t="str">
        <f>CONCATENATE(Cover!$D$6,"fdd/view?i=",J10084)</f>
        <v>https://www.dgiwg.org/FAD/fdd/view?i=110622</v>
      </c>
      <c r="L10084" s="36" t="s">
        <v>53314</v>
      </c>
      <c r="M10084" s="186"/>
      <c r="N10084" s="186"/>
      <c r="O10084" s="172"/>
    </row>
    <row r="10085" spans="1:15" ht="38.25" x14ac:dyDescent="0.2">
      <c r="A10085" s="197" t="str">
        <f t="shared" si="157"/>
        <v>VspCode_fir</v>
      </c>
      <c r="B10085" s="409"/>
      <c r="C10085" s="416"/>
      <c r="D10085" s="198" t="s">
        <v>53315</v>
      </c>
      <c r="E10085" s="198">
        <v>12</v>
      </c>
      <c r="F10085" s="199" t="s">
        <v>53316</v>
      </c>
      <c r="G10085" s="1" t="s">
        <v>53317</v>
      </c>
      <c r="H10085" s="1" t="s">
        <v>53318</v>
      </c>
      <c r="I10085" s="346"/>
      <c r="J10085" s="39">
        <v>110623</v>
      </c>
      <c r="K10085" s="36" t="str">
        <f>CONCATENATE(Cover!$D$6,"fdd/view?i=",J10085)</f>
        <v>https://www.dgiwg.org/FAD/fdd/view?i=110623</v>
      </c>
      <c r="L10085" s="36" t="s">
        <v>53319</v>
      </c>
      <c r="M10085" s="186"/>
      <c r="N10085" s="186"/>
      <c r="O10085" s="172"/>
    </row>
    <row r="10086" spans="1:15" ht="25.5" x14ac:dyDescent="0.2">
      <c r="A10086" s="197" t="str">
        <f t="shared" si="157"/>
        <v>VspCode_gaboon</v>
      </c>
      <c r="B10086" s="409"/>
      <c r="C10086" s="416"/>
      <c r="D10086" s="198" t="s">
        <v>53320</v>
      </c>
      <c r="E10086" s="198">
        <v>48</v>
      </c>
      <c r="F10086" s="199" t="s">
        <v>53321</v>
      </c>
      <c r="G10086" s="1" t="s">
        <v>53322</v>
      </c>
      <c r="H10086" s="1" t="s">
        <v>53323</v>
      </c>
      <c r="I10086" s="346"/>
      <c r="J10086" s="39">
        <v>112929</v>
      </c>
      <c r="K10086" s="36" t="str">
        <f>CONCATENATE(Cover!$D$6,"fdd/view?i=",J10086)</f>
        <v>https://www.dgiwg.org/FAD/fdd/view?i=112929</v>
      </c>
      <c r="L10086" s="36" t="s">
        <v>53324</v>
      </c>
      <c r="M10086" s="186"/>
      <c r="N10086" s="186"/>
      <c r="O10086" s="172"/>
    </row>
    <row r="10087" spans="1:15" ht="51" x14ac:dyDescent="0.2">
      <c r="A10087" s="197" t="str">
        <f t="shared" si="157"/>
        <v>VspCode_grass</v>
      </c>
      <c r="B10087" s="409"/>
      <c r="C10087" s="416"/>
      <c r="D10087" s="198" t="s">
        <v>19622</v>
      </c>
      <c r="E10087" s="198">
        <v>13</v>
      </c>
      <c r="F10087" s="199" t="s">
        <v>19623</v>
      </c>
      <c r="G10087" s="1" t="s">
        <v>53325</v>
      </c>
      <c r="H10087" s="1" t="s">
        <v>53326</v>
      </c>
      <c r="I10087" s="346"/>
      <c r="J10087" s="39">
        <v>110624</v>
      </c>
      <c r="K10087" s="36" t="str">
        <f>CONCATENATE(Cover!$D$6,"fdd/view?i=",J10087)</f>
        <v>https://www.dgiwg.org/FAD/fdd/view?i=110624</v>
      </c>
      <c r="L10087" s="36" t="s">
        <v>53327</v>
      </c>
      <c r="M10087" s="186"/>
      <c r="N10087" s="186"/>
      <c r="O10087" s="172"/>
    </row>
    <row r="10088" spans="1:15" ht="38.25" x14ac:dyDescent="0.2">
      <c r="A10088" s="197" t="str">
        <f t="shared" si="157"/>
        <v>VspCode_hazel</v>
      </c>
      <c r="B10088" s="409"/>
      <c r="C10088" s="416"/>
      <c r="D10088" s="198" t="s">
        <v>53328</v>
      </c>
      <c r="E10088" s="198">
        <v>14</v>
      </c>
      <c r="F10088" s="199" t="s">
        <v>53329</v>
      </c>
      <c r="G10088" s="1" t="s">
        <v>27244</v>
      </c>
      <c r="H10088" s="1" t="s">
        <v>27245</v>
      </c>
      <c r="I10088" s="346"/>
      <c r="J10088" s="39">
        <v>110625</v>
      </c>
      <c r="K10088" s="36" t="str">
        <f>CONCATENATE(Cover!$D$6,"fdd/view?i=",J10088)</f>
        <v>https://www.dgiwg.org/FAD/fdd/view?i=110625</v>
      </c>
      <c r="L10088" s="36" t="s">
        <v>53330</v>
      </c>
      <c r="M10088" s="186"/>
      <c r="N10088" s="186"/>
      <c r="O10088" s="172"/>
    </row>
    <row r="10089" spans="1:15" ht="51" x14ac:dyDescent="0.2">
      <c r="A10089" s="197" t="str">
        <f t="shared" si="157"/>
        <v>VspCode_heath</v>
      </c>
      <c r="B10089" s="409"/>
      <c r="C10089" s="416"/>
      <c r="D10089" s="198" t="s">
        <v>53331</v>
      </c>
      <c r="E10089" s="198">
        <v>15</v>
      </c>
      <c r="F10089" s="199" t="s">
        <v>53332</v>
      </c>
      <c r="G10089" s="1" t="s">
        <v>53333</v>
      </c>
      <c r="H10089" s="1" t="s">
        <v>53334</v>
      </c>
      <c r="I10089" s="346"/>
      <c r="J10089" s="39">
        <v>110626</v>
      </c>
      <c r="K10089" s="36" t="str">
        <f>CONCATENATE(Cover!$D$6,"fdd/view?i=",J10089)</f>
        <v>https://www.dgiwg.org/FAD/fdd/view?i=110626</v>
      </c>
      <c r="L10089" s="36" t="s">
        <v>53335</v>
      </c>
      <c r="M10089" s="186"/>
      <c r="N10089" s="186"/>
      <c r="O10089" s="172"/>
    </row>
    <row r="10090" spans="1:15" ht="25.5" x14ac:dyDescent="0.2">
      <c r="A10090" s="197" t="str">
        <f t="shared" si="157"/>
        <v>VspCode_hickory</v>
      </c>
      <c r="B10090" s="409"/>
      <c r="C10090" s="416"/>
      <c r="D10090" s="198" t="s">
        <v>53336</v>
      </c>
      <c r="E10090" s="198">
        <v>43</v>
      </c>
      <c r="F10090" s="199" t="s">
        <v>53337</v>
      </c>
      <c r="G10090" s="1" t="s">
        <v>53338</v>
      </c>
      <c r="H10090" s="1" t="s">
        <v>53339</v>
      </c>
      <c r="I10090" s="346"/>
      <c r="J10090" s="39">
        <v>112924</v>
      </c>
      <c r="K10090" s="36" t="str">
        <f>CONCATENATE(Cover!$D$6,"fdd/view?i=",J10090)</f>
        <v>https://www.dgiwg.org/FAD/fdd/view?i=112924</v>
      </c>
      <c r="L10090" s="36" t="s">
        <v>53340</v>
      </c>
      <c r="M10090" s="186"/>
      <c r="N10090" s="186"/>
      <c r="O10090" s="172"/>
    </row>
    <row r="10091" spans="1:15" ht="25.5" x14ac:dyDescent="0.2">
      <c r="A10091" s="197" t="str">
        <f t="shared" si="157"/>
        <v>VspCode_hornbeam</v>
      </c>
      <c r="B10091" s="409"/>
      <c r="C10091" s="416"/>
      <c r="D10091" s="198" t="s">
        <v>53341</v>
      </c>
      <c r="E10091" s="198">
        <v>42</v>
      </c>
      <c r="F10091" s="199" t="s">
        <v>53342</v>
      </c>
      <c r="G10091" s="1" t="s">
        <v>53343</v>
      </c>
      <c r="H10091" s="1" t="s">
        <v>53344</v>
      </c>
      <c r="I10091" s="346"/>
      <c r="J10091" s="39">
        <v>112923</v>
      </c>
      <c r="K10091" s="36" t="str">
        <f>CONCATENATE(Cover!$D$6,"fdd/view?i=",J10091)</f>
        <v>https://www.dgiwg.org/FAD/fdd/view?i=112923</v>
      </c>
      <c r="L10091" s="36" t="s">
        <v>53345</v>
      </c>
      <c r="M10091" s="186"/>
      <c r="N10091" s="186"/>
      <c r="O10091" s="172"/>
    </row>
    <row r="10092" spans="1:15" ht="25.5" x14ac:dyDescent="0.2">
      <c r="A10092" s="197" t="str">
        <f t="shared" si="157"/>
        <v>VspCode_ilex</v>
      </c>
      <c r="B10092" s="409"/>
      <c r="C10092" s="416"/>
      <c r="D10092" s="198" t="s">
        <v>53426</v>
      </c>
      <c r="E10092" s="198">
        <v>16</v>
      </c>
      <c r="F10092" s="199" t="s">
        <v>53427</v>
      </c>
      <c r="G10092" s="1" t="s">
        <v>53428</v>
      </c>
      <c r="H10092" s="200"/>
      <c r="I10092" s="346"/>
      <c r="J10092" s="39">
        <v>110627</v>
      </c>
      <c r="K10092" s="36" t="str">
        <f>CONCATENATE(Cover!$D$6,"fdd/view?i=",J10092)</f>
        <v>https://www.dgiwg.org/FAD/fdd/view?i=110627</v>
      </c>
      <c r="L10092" s="36" t="s">
        <v>53429</v>
      </c>
      <c r="M10092" s="186"/>
      <c r="N10092" s="186"/>
      <c r="O10092" s="172"/>
    </row>
    <row r="10093" spans="1:15" ht="51" x14ac:dyDescent="0.2">
      <c r="A10093" s="197" t="str">
        <f t="shared" si="157"/>
        <v>VspCode_ilexAquifolium</v>
      </c>
      <c r="B10093" s="409"/>
      <c r="C10093" s="416"/>
      <c r="D10093" s="198" t="s">
        <v>53346</v>
      </c>
      <c r="E10093" s="198">
        <v>60</v>
      </c>
      <c r="F10093" s="199" t="s">
        <v>53347</v>
      </c>
      <c r="G10093" s="1" t="s">
        <v>53348</v>
      </c>
      <c r="H10093" s="1" t="s">
        <v>53349</v>
      </c>
      <c r="I10093" s="346"/>
      <c r="J10093" s="39">
        <v>114378</v>
      </c>
      <c r="K10093" s="36" t="str">
        <f>CONCATENATE(Cover!$D$6,"fdd/view?i=",J10093)</f>
        <v>https://www.dgiwg.org/FAD/fdd/view?i=114378</v>
      </c>
      <c r="L10093" s="36" t="s">
        <v>53350</v>
      </c>
      <c r="M10093" s="186"/>
      <c r="N10093" s="186"/>
      <c r="O10093" s="172"/>
    </row>
    <row r="10094" spans="1:15" ht="25.5" x14ac:dyDescent="0.2">
      <c r="A10094" s="197" t="str">
        <f t="shared" si="157"/>
        <v>VspCode_juniper</v>
      </c>
      <c r="B10094" s="409"/>
      <c r="C10094" s="416"/>
      <c r="D10094" s="198" t="s">
        <v>53351</v>
      </c>
      <c r="E10094" s="198">
        <v>59</v>
      </c>
      <c r="F10094" s="199" t="s">
        <v>53352</v>
      </c>
      <c r="G10094" s="1" t="s">
        <v>53353</v>
      </c>
      <c r="H10094" s="1" t="s">
        <v>53354</v>
      </c>
      <c r="I10094" s="346"/>
      <c r="J10094" s="39">
        <v>114371</v>
      </c>
      <c r="K10094" s="36" t="str">
        <f>CONCATENATE(Cover!$D$6,"fdd/view?i=",J10094)</f>
        <v>https://www.dgiwg.org/FAD/fdd/view?i=114371</v>
      </c>
      <c r="L10094" s="36" t="s">
        <v>53355</v>
      </c>
      <c r="M10094" s="186"/>
      <c r="N10094" s="186"/>
      <c r="O10094" s="172"/>
    </row>
    <row r="10095" spans="1:15" ht="38.25" x14ac:dyDescent="0.2">
      <c r="A10095" s="197" t="str">
        <f t="shared" si="157"/>
        <v>VspCode_kelp</v>
      </c>
      <c r="B10095" s="409"/>
      <c r="C10095" s="416"/>
      <c r="D10095" s="198" t="s">
        <v>53356</v>
      </c>
      <c r="E10095" s="198">
        <v>17</v>
      </c>
      <c r="F10095" s="199" t="s">
        <v>53357</v>
      </c>
      <c r="G10095" s="1" t="s">
        <v>53358</v>
      </c>
      <c r="H10095" s="1" t="s">
        <v>53359</v>
      </c>
      <c r="I10095" s="346"/>
      <c r="J10095" s="39">
        <v>110628</v>
      </c>
      <c r="K10095" s="36" t="str">
        <f>CONCATENATE(Cover!$D$6,"fdd/view?i=",J10095)</f>
        <v>https://www.dgiwg.org/FAD/fdd/view?i=110628</v>
      </c>
      <c r="L10095" s="36" t="s">
        <v>53360</v>
      </c>
      <c r="M10095" s="186"/>
      <c r="N10095" s="186"/>
      <c r="O10095" s="172"/>
    </row>
    <row r="10096" spans="1:15" ht="25.5" x14ac:dyDescent="0.2">
      <c r="A10096" s="197" t="str">
        <f t="shared" si="157"/>
        <v>VspCode_larch</v>
      </c>
      <c r="B10096" s="409"/>
      <c r="C10096" s="416"/>
      <c r="D10096" s="198" t="s">
        <v>53361</v>
      </c>
      <c r="E10096" s="198">
        <v>18</v>
      </c>
      <c r="F10096" s="199" t="s">
        <v>53362</v>
      </c>
      <c r="G10096" s="1" t="s">
        <v>53363</v>
      </c>
      <c r="H10096" s="1" t="s">
        <v>53364</v>
      </c>
      <c r="I10096" s="346"/>
      <c r="J10096" s="39">
        <v>110629</v>
      </c>
      <c r="K10096" s="36" t="str">
        <f>CONCATENATE(Cover!$D$6,"fdd/view?i=",J10096)</f>
        <v>https://www.dgiwg.org/FAD/fdd/view?i=110629</v>
      </c>
      <c r="L10096" s="36" t="s">
        <v>53365</v>
      </c>
      <c r="M10096" s="186"/>
      <c r="N10096" s="186"/>
      <c r="O10096" s="172"/>
    </row>
    <row r="10097" spans="1:15" ht="25.5" x14ac:dyDescent="0.2">
      <c r="A10097" s="197" t="str">
        <f t="shared" si="157"/>
        <v>VspCode_laurel</v>
      </c>
      <c r="B10097" s="409"/>
      <c r="C10097" s="416"/>
      <c r="D10097" s="198" t="s">
        <v>53366</v>
      </c>
      <c r="E10097" s="198">
        <v>45</v>
      </c>
      <c r="F10097" s="199" t="s">
        <v>53367</v>
      </c>
      <c r="G10097" s="1" t="s">
        <v>53368</v>
      </c>
      <c r="H10097" s="1" t="s">
        <v>53369</v>
      </c>
      <c r="I10097" s="351" t="s">
        <v>53370</v>
      </c>
      <c r="J10097" s="39">
        <v>112926</v>
      </c>
      <c r="K10097" s="36" t="str">
        <f>CONCATENATE(Cover!$D$6,"fdd/view?i=",J10097)</f>
        <v>https://www.dgiwg.org/FAD/fdd/view?i=112926</v>
      </c>
      <c r="L10097" s="36" t="s">
        <v>53371</v>
      </c>
      <c r="M10097" s="186"/>
      <c r="N10097" s="186"/>
      <c r="O10097" s="172"/>
    </row>
    <row r="10098" spans="1:15" ht="25.5" x14ac:dyDescent="0.2">
      <c r="A10098" s="197" t="str">
        <f t="shared" si="157"/>
        <v>VspCode_mahogany</v>
      </c>
      <c r="B10098" s="409"/>
      <c r="C10098" s="416"/>
      <c r="D10098" s="198" t="s">
        <v>53372</v>
      </c>
      <c r="E10098" s="198">
        <v>46</v>
      </c>
      <c r="F10098" s="199" t="s">
        <v>53373</v>
      </c>
      <c r="G10098" s="1" t="s">
        <v>53374</v>
      </c>
      <c r="H10098" s="1" t="s">
        <v>53375</v>
      </c>
      <c r="I10098" s="346"/>
      <c r="J10098" s="39">
        <v>112927</v>
      </c>
      <c r="K10098" s="36" t="str">
        <f>CONCATENATE(Cover!$D$6,"fdd/view?i=",J10098)</f>
        <v>https://www.dgiwg.org/FAD/fdd/view?i=112927</v>
      </c>
      <c r="L10098" s="36" t="s">
        <v>53376</v>
      </c>
      <c r="M10098" s="186"/>
      <c r="N10098" s="186"/>
      <c r="O10098" s="172"/>
    </row>
    <row r="10099" spans="1:15" ht="63.75" x14ac:dyDescent="0.2">
      <c r="A10099" s="197" t="str">
        <f t="shared" si="157"/>
        <v>VspCode_mangrove</v>
      </c>
      <c r="B10099" s="409"/>
      <c r="C10099" s="416"/>
      <c r="D10099" s="198" t="s">
        <v>26176</v>
      </c>
      <c r="E10099" s="198">
        <v>19</v>
      </c>
      <c r="F10099" s="199" t="s">
        <v>26177</v>
      </c>
      <c r="G10099" s="1" t="s">
        <v>53377</v>
      </c>
      <c r="H10099" s="1" t="s">
        <v>53378</v>
      </c>
      <c r="I10099" s="346"/>
      <c r="J10099" s="39">
        <v>110630</v>
      </c>
      <c r="K10099" s="36" t="str">
        <f>CONCATENATE(Cover!$D$6,"fdd/view?i=",J10099)</f>
        <v>https://www.dgiwg.org/FAD/fdd/view?i=110630</v>
      </c>
      <c r="L10099" s="36" t="s">
        <v>53379</v>
      </c>
      <c r="M10099" s="186"/>
      <c r="N10099" s="186"/>
      <c r="O10099" s="172"/>
    </row>
    <row r="10100" spans="1:15" ht="38.25" x14ac:dyDescent="0.2">
      <c r="A10100" s="197" t="str">
        <f t="shared" si="157"/>
        <v>VspCode_maple</v>
      </c>
      <c r="B10100" s="409"/>
      <c r="C10100" s="416"/>
      <c r="D10100" s="198" t="s">
        <v>27316</v>
      </c>
      <c r="E10100" s="198">
        <v>20</v>
      </c>
      <c r="F10100" s="199" t="s">
        <v>27317</v>
      </c>
      <c r="G10100" s="1" t="s">
        <v>27318</v>
      </c>
      <c r="H10100" s="1" t="s">
        <v>27319</v>
      </c>
      <c r="I10100" s="346"/>
      <c r="J10100" s="39">
        <v>110631</v>
      </c>
      <c r="K10100" s="36" t="str">
        <f>CONCATENATE(Cover!$D$6,"fdd/view?i=",J10100)</f>
        <v>https://www.dgiwg.org/FAD/fdd/view?i=110631</v>
      </c>
      <c r="L10100" s="36" t="s">
        <v>53380</v>
      </c>
      <c r="M10100" s="186"/>
      <c r="N10100" s="186"/>
      <c r="O10100" s="172"/>
    </row>
    <row r="10101" spans="1:15" ht="51" x14ac:dyDescent="0.2">
      <c r="A10101" s="197" t="str">
        <f t="shared" si="157"/>
        <v>VspCode_moss</v>
      </c>
      <c r="B10101" s="409"/>
      <c r="C10101" s="416"/>
      <c r="D10101" s="198" t="s">
        <v>34448</v>
      </c>
      <c r="E10101" s="198">
        <v>21</v>
      </c>
      <c r="F10101" s="199" t="s">
        <v>34449</v>
      </c>
      <c r="G10101" s="1" t="s">
        <v>53381</v>
      </c>
      <c r="H10101" s="1" t="s">
        <v>53382</v>
      </c>
      <c r="I10101" s="346"/>
      <c r="J10101" s="39">
        <v>110632</v>
      </c>
      <c r="K10101" s="36" t="str">
        <f>CONCATENATE(Cover!$D$6,"fdd/view?i=",J10101)</f>
        <v>https://www.dgiwg.org/FAD/fdd/view?i=110632</v>
      </c>
      <c r="L10101" s="36" t="s">
        <v>53383</v>
      </c>
      <c r="M10101" s="186"/>
      <c r="N10101" s="186"/>
      <c r="O10101" s="172"/>
    </row>
    <row r="10102" spans="1:15" ht="25.5" x14ac:dyDescent="0.2">
      <c r="A10102" s="197" t="str">
        <f t="shared" si="157"/>
        <v>VspCode_nipa</v>
      </c>
      <c r="B10102" s="409"/>
      <c r="C10102" s="416"/>
      <c r="D10102" s="198" t="s">
        <v>53384</v>
      </c>
      <c r="E10102" s="198">
        <v>22</v>
      </c>
      <c r="F10102" s="199" t="s">
        <v>53385</v>
      </c>
      <c r="G10102" s="1" t="s">
        <v>53386</v>
      </c>
      <c r="H10102" s="200"/>
      <c r="I10102" s="351" t="s">
        <v>53387</v>
      </c>
      <c r="J10102" s="39">
        <v>110633</v>
      </c>
      <c r="K10102" s="36" t="str">
        <f>CONCATENATE(Cover!$D$6,"fdd/view?i=",J10102)</f>
        <v>https://www.dgiwg.org/FAD/fdd/view?i=110633</v>
      </c>
      <c r="L10102" s="36" t="s">
        <v>53388</v>
      </c>
      <c r="M10102" s="186"/>
      <c r="N10102" s="186"/>
      <c r="O10102" s="172"/>
    </row>
    <row r="10103" spans="1:15" ht="38.25" x14ac:dyDescent="0.2">
      <c r="A10103" s="197" t="str">
        <f t="shared" si="157"/>
        <v>VspCode_oak</v>
      </c>
      <c r="B10103" s="409"/>
      <c r="C10103" s="416"/>
      <c r="D10103" s="198" t="s">
        <v>53389</v>
      </c>
      <c r="E10103" s="198">
        <v>23</v>
      </c>
      <c r="F10103" s="199" t="s">
        <v>53390</v>
      </c>
      <c r="G10103" s="1" t="s">
        <v>53391</v>
      </c>
      <c r="H10103" s="1" t="s">
        <v>53392</v>
      </c>
      <c r="I10103" s="346"/>
      <c r="J10103" s="39">
        <v>110634</v>
      </c>
      <c r="K10103" s="36" t="str">
        <f>CONCATENATE(Cover!$D$6,"fdd/view?i=",J10103)</f>
        <v>https://www.dgiwg.org/FAD/fdd/view?i=110634</v>
      </c>
      <c r="L10103" s="36" t="s">
        <v>53393</v>
      </c>
      <c r="M10103" s="186"/>
      <c r="N10103" s="186"/>
      <c r="O10103" s="172"/>
    </row>
    <row r="10104" spans="1:15" ht="76.5" x14ac:dyDescent="0.2">
      <c r="A10104" s="197" t="str">
        <f t="shared" si="157"/>
        <v>VspCode_olive</v>
      </c>
      <c r="B10104" s="409"/>
      <c r="C10104" s="416"/>
      <c r="D10104" s="198" t="s">
        <v>27379</v>
      </c>
      <c r="E10104" s="198">
        <v>24</v>
      </c>
      <c r="F10104" s="199" t="s">
        <v>27380</v>
      </c>
      <c r="G10104" s="1" t="s">
        <v>27381</v>
      </c>
      <c r="H10104" s="1" t="s">
        <v>27382</v>
      </c>
      <c r="I10104" s="346"/>
      <c r="J10104" s="39">
        <v>110635</v>
      </c>
      <c r="K10104" s="36" t="str">
        <f>CONCATENATE(Cover!$D$6,"fdd/view?i=",J10104)</f>
        <v>https://www.dgiwg.org/FAD/fdd/view?i=110635</v>
      </c>
      <c r="L10104" s="36" t="s">
        <v>53394</v>
      </c>
      <c r="M10104" s="186"/>
      <c r="N10104" s="186"/>
      <c r="O10104" s="172"/>
    </row>
    <row r="10105" spans="1:15" ht="25.5" x14ac:dyDescent="0.2">
      <c r="A10105" s="197" t="str">
        <f t="shared" si="157"/>
        <v>VspCode_osier</v>
      </c>
      <c r="B10105" s="409"/>
      <c r="C10105" s="416"/>
      <c r="D10105" s="198" t="s">
        <v>53395</v>
      </c>
      <c r="E10105" s="198">
        <v>57</v>
      </c>
      <c r="F10105" s="199" t="s">
        <v>53396</v>
      </c>
      <c r="G10105" s="1" t="s">
        <v>53397</v>
      </c>
      <c r="H10105" s="1" t="s">
        <v>53398</v>
      </c>
      <c r="I10105" s="346"/>
      <c r="J10105" s="39">
        <v>114369</v>
      </c>
      <c r="K10105" s="36" t="str">
        <f>CONCATENATE(Cover!$D$6,"fdd/view?i=",J10105)</f>
        <v>https://www.dgiwg.org/FAD/fdd/view?i=114369</v>
      </c>
      <c r="L10105" s="36" t="s">
        <v>53399</v>
      </c>
      <c r="M10105" s="186"/>
      <c r="N10105" s="186"/>
      <c r="O10105" s="172"/>
    </row>
    <row r="10106" spans="1:15" ht="38.25" x14ac:dyDescent="0.2">
      <c r="A10106" s="197" t="str">
        <f t="shared" si="157"/>
        <v>VspCode_palm</v>
      </c>
      <c r="B10106" s="409"/>
      <c r="C10106" s="416"/>
      <c r="D10106" s="198" t="s">
        <v>27408</v>
      </c>
      <c r="E10106" s="198">
        <v>25</v>
      </c>
      <c r="F10106" s="199" t="s">
        <v>27409</v>
      </c>
      <c r="G10106" s="1" t="s">
        <v>27410</v>
      </c>
      <c r="H10106" s="1" t="s">
        <v>27411</v>
      </c>
      <c r="I10106" s="346"/>
      <c r="J10106" s="39">
        <v>110636</v>
      </c>
      <c r="K10106" s="36" t="str">
        <f>CONCATENATE(Cover!$D$6,"fdd/view?i=",J10106)</f>
        <v>https://www.dgiwg.org/FAD/fdd/view?i=110636</v>
      </c>
      <c r="L10106" s="36" t="s">
        <v>53400</v>
      </c>
      <c r="M10106" s="186"/>
      <c r="N10106" s="186"/>
      <c r="O10106" s="172"/>
    </row>
    <row r="10107" spans="1:15" ht="25.5" x14ac:dyDescent="0.2">
      <c r="A10107" s="197" t="str">
        <f t="shared" si="157"/>
        <v>VspCode_pine</v>
      </c>
      <c r="B10107" s="409"/>
      <c r="C10107" s="416"/>
      <c r="D10107" s="198" t="s">
        <v>53401</v>
      </c>
      <c r="E10107" s="198">
        <v>26</v>
      </c>
      <c r="F10107" s="199" t="s">
        <v>53402</v>
      </c>
      <c r="G10107" s="1" t="s">
        <v>53403</v>
      </c>
      <c r="H10107" s="1" t="s">
        <v>53404</v>
      </c>
      <c r="I10107" s="346"/>
      <c r="J10107" s="39">
        <v>110637</v>
      </c>
      <c r="K10107" s="36" t="str">
        <f>CONCATENATE(Cover!$D$6,"fdd/view?i=",J10107)</f>
        <v>https://www.dgiwg.org/FAD/fdd/view?i=110637</v>
      </c>
      <c r="L10107" s="36" t="s">
        <v>53405</v>
      </c>
      <c r="M10107" s="186"/>
      <c r="N10107" s="186"/>
      <c r="O10107" s="172"/>
    </row>
    <row r="10108" spans="1:15" ht="25.5" x14ac:dyDescent="0.2">
      <c r="A10108" s="197" t="str">
        <f t="shared" si="157"/>
        <v>VspCode_pinetree</v>
      </c>
      <c r="B10108" s="409"/>
      <c r="C10108" s="416"/>
      <c r="D10108" s="198" t="s">
        <v>53406</v>
      </c>
      <c r="E10108" s="198">
        <v>44</v>
      </c>
      <c r="F10108" s="199" t="s">
        <v>53407</v>
      </c>
      <c r="G10108" s="1" t="s">
        <v>53408</v>
      </c>
      <c r="H10108" s="1" t="s">
        <v>53409</v>
      </c>
      <c r="I10108" s="346"/>
      <c r="J10108" s="39">
        <v>112925</v>
      </c>
      <c r="K10108" s="36" t="str">
        <f>CONCATENATE(Cover!$D$6,"fdd/view?i=",J10108)</f>
        <v>https://www.dgiwg.org/FAD/fdd/view?i=112925</v>
      </c>
      <c r="L10108" s="36" t="s">
        <v>53410</v>
      </c>
      <c r="M10108" s="186"/>
      <c r="N10108" s="186"/>
      <c r="O10108" s="172"/>
    </row>
    <row r="10109" spans="1:15" ht="25.5" x14ac:dyDescent="0.2">
      <c r="A10109" s="197" t="str">
        <f t="shared" si="157"/>
        <v>VspCode_plane</v>
      </c>
      <c r="B10109" s="409"/>
      <c r="C10109" s="416"/>
      <c r="D10109" s="198" t="s">
        <v>53411</v>
      </c>
      <c r="E10109" s="198">
        <v>49</v>
      </c>
      <c r="F10109" s="199" t="s">
        <v>53412</v>
      </c>
      <c r="G10109" s="1" t="s">
        <v>53413</v>
      </c>
      <c r="H10109" s="1" t="s">
        <v>53414</v>
      </c>
      <c r="I10109" s="346"/>
      <c r="J10109" s="39">
        <v>112930</v>
      </c>
      <c r="K10109" s="36" t="str">
        <f>CONCATENATE(Cover!$D$6,"fdd/view?i=",J10109)</f>
        <v>https://www.dgiwg.org/FAD/fdd/view?i=112930</v>
      </c>
      <c r="L10109" s="36" t="s">
        <v>53415</v>
      </c>
      <c r="M10109" s="186"/>
      <c r="N10109" s="186"/>
      <c r="O10109" s="172"/>
    </row>
    <row r="10110" spans="1:15" ht="102" x14ac:dyDescent="0.2">
      <c r="A10110" s="197" t="str">
        <f t="shared" si="157"/>
        <v>VspCode_poplar</v>
      </c>
      <c r="B10110" s="409"/>
      <c r="C10110" s="416"/>
      <c r="D10110" s="198" t="s">
        <v>53416</v>
      </c>
      <c r="E10110" s="198">
        <v>27</v>
      </c>
      <c r="F10110" s="199" t="s">
        <v>53417</v>
      </c>
      <c r="G10110" s="1" t="s">
        <v>53418</v>
      </c>
      <c r="H10110" s="1" t="s">
        <v>53419</v>
      </c>
      <c r="I10110" s="346"/>
      <c r="J10110" s="39">
        <v>110638</v>
      </c>
      <c r="K10110" s="36" t="str">
        <f>CONCATENATE(Cover!$D$6,"fdd/view?i=",J10110)</f>
        <v>https://www.dgiwg.org/FAD/fdd/view?i=110638</v>
      </c>
      <c r="L10110" s="36" t="s">
        <v>53420</v>
      </c>
      <c r="M10110" s="186"/>
      <c r="N10110" s="186"/>
      <c r="O10110" s="172"/>
    </row>
    <row r="10111" spans="1:15" ht="102" x14ac:dyDescent="0.2">
      <c r="A10111" s="197" t="str">
        <f t="shared" si="157"/>
        <v>VspCode_posidonia</v>
      </c>
      <c r="B10111" s="409"/>
      <c r="C10111" s="416"/>
      <c r="D10111" s="198" t="s">
        <v>53421</v>
      </c>
      <c r="E10111" s="198">
        <v>28</v>
      </c>
      <c r="F10111" s="199" t="s">
        <v>53422</v>
      </c>
      <c r="G10111" s="1" t="s">
        <v>53423</v>
      </c>
      <c r="H10111" s="1" t="s">
        <v>53424</v>
      </c>
      <c r="I10111" s="346"/>
      <c r="J10111" s="39">
        <v>110639</v>
      </c>
      <c r="K10111" s="36" t="str">
        <f>CONCATENATE(Cover!$D$6,"fdd/view?i=",J10111)</f>
        <v>https://www.dgiwg.org/FAD/fdd/view?i=110639</v>
      </c>
      <c r="L10111" s="36" t="s">
        <v>53425</v>
      </c>
      <c r="M10111" s="186"/>
      <c r="N10111" s="186"/>
      <c r="O10111" s="172"/>
    </row>
    <row r="10112" spans="1:15" ht="51" x14ac:dyDescent="0.2">
      <c r="A10112" s="197" t="str">
        <f t="shared" si="157"/>
        <v>VspCode_reed</v>
      </c>
      <c r="B10112" s="409"/>
      <c r="C10112" s="416"/>
      <c r="D10112" s="198" t="s">
        <v>32034</v>
      </c>
      <c r="E10112" s="198">
        <v>29</v>
      </c>
      <c r="F10112" s="199" t="s">
        <v>32035</v>
      </c>
      <c r="G10112" s="1" t="s">
        <v>53430</v>
      </c>
      <c r="H10112" s="1" t="s">
        <v>53431</v>
      </c>
      <c r="I10112" s="346"/>
      <c r="J10112" s="39">
        <v>110640</v>
      </c>
      <c r="K10112" s="36" t="str">
        <f>CONCATENATE(Cover!$D$6,"fdd/view?i=",J10112)</f>
        <v>https://www.dgiwg.org/FAD/fdd/view?i=110640</v>
      </c>
      <c r="L10112" s="36" t="s">
        <v>53432</v>
      </c>
      <c r="M10112" s="186"/>
      <c r="N10112" s="186"/>
      <c r="O10112" s="172"/>
    </row>
    <row r="10113" spans="1:15" ht="38.25" x14ac:dyDescent="0.2">
      <c r="A10113" s="197" t="str">
        <f t="shared" si="157"/>
        <v>VspCode_sargassum</v>
      </c>
      <c r="B10113" s="409"/>
      <c r="C10113" s="416"/>
      <c r="D10113" s="198" t="s">
        <v>53433</v>
      </c>
      <c r="E10113" s="198">
        <v>30</v>
      </c>
      <c r="F10113" s="199" t="s">
        <v>53434</v>
      </c>
      <c r="G10113" s="1" t="s">
        <v>53435</v>
      </c>
      <c r="H10113" s="200"/>
      <c r="I10113" s="351" t="s">
        <v>53436</v>
      </c>
      <c r="J10113" s="39">
        <v>110641</v>
      </c>
      <c r="K10113" s="36" t="str">
        <f>CONCATENATE(Cover!$D$6,"fdd/view?i=",J10113)</f>
        <v>https://www.dgiwg.org/FAD/fdd/view?i=110641</v>
      </c>
      <c r="L10113" s="36" t="s">
        <v>53437</v>
      </c>
      <c r="M10113" s="186"/>
      <c r="N10113" s="186"/>
      <c r="O10113" s="172"/>
    </row>
    <row r="10114" spans="1:15" ht="51" x14ac:dyDescent="0.2">
      <c r="A10114" s="197" t="str">
        <f t="shared" ref="A10114:A10177" si="158">HYPERLINK(K10114,L10114)</f>
        <v>VspCode_seaTangle</v>
      </c>
      <c r="B10114" s="409"/>
      <c r="C10114" s="416"/>
      <c r="D10114" s="198" t="s">
        <v>53438</v>
      </c>
      <c r="E10114" s="198">
        <v>31</v>
      </c>
      <c r="F10114" s="199" t="s">
        <v>53439</v>
      </c>
      <c r="G10114" s="1" t="s">
        <v>53440</v>
      </c>
      <c r="H10114" s="1" t="s">
        <v>53441</v>
      </c>
      <c r="I10114" s="351" t="s">
        <v>53442</v>
      </c>
      <c r="J10114" s="39">
        <v>110642</v>
      </c>
      <c r="K10114" s="36" t="str">
        <f>CONCATENATE(Cover!$D$6,"fdd/view?i=",J10114)</f>
        <v>https://www.dgiwg.org/FAD/fdd/view?i=110642</v>
      </c>
      <c r="L10114" s="36" t="s">
        <v>53443</v>
      </c>
      <c r="M10114" s="186"/>
      <c r="N10114" s="186"/>
      <c r="O10114" s="172"/>
    </row>
    <row r="10115" spans="1:15" x14ac:dyDescent="0.2">
      <c r="A10115" s="197" t="str">
        <f t="shared" si="158"/>
        <v>VspCode_sequoia</v>
      </c>
      <c r="B10115" s="409"/>
      <c r="C10115" s="416"/>
      <c r="D10115" s="198" t="s">
        <v>53444</v>
      </c>
      <c r="E10115" s="198">
        <v>47</v>
      </c>
      <c r="F10115" s="199" t="s">
        <v>53445</v>
      </c>
      <c r="G10115" s="1" t="s">
        <v>53446</v>
      </c>
      <c r="H10115" s="1" t="s">
        <v>53447</v>
      </c>
      <c r="I10115" s="351" t="s">
        <v>53448</v>
      </c>
      <c r="J10115" s="39">
        <v>112928</v>
      </c>
      <c r="K10115" s="36" t="str">
        <f>CONCATENATE(Cover!$D$6,"fdd/view?i=",J10115)</f>
        <v>https://www.dgiwg.org/FAD/fdd/view?i=112928</v>
      </c>
      <c r="L10115" s="36" t="s">
        <v>53449</v>
      </c>
      <c r="M10115" s="186"/>
      <c r="N10115" s="186"/>
      <c r="O10115" s="172"/>
    </row>
    <row r="10116" spans="1:15" ht="25.5" x14ac:dyDescent="0.2">
      <c r="A10116" s="197" t="str">
        <f t="shared" si="158"/>
        <v>VspCode_spruce</v>
      </c>
      <c r="B10116" s="409"/>
      <c r="C10116" s="416"/>
      <c r="D10116" s="198" t="s">
        <v>53450</v>
      </c>
      <c r="E10116" s="198">
        <v>56</v>
      </c>
      <c r="F10116" s="199" t="s">
        <v>53451</v>
      </c>
      <c r="G10116" s="1" t="s">
        <v>53452</v>
      </c>
      <c r="H10116" s="1" t="s">
        <v>53453</v>
      </c>
      <c r="I10116" s="346"/>
      <c r="J10116" s="39">
        <v>114368</v>
      </c>
      <c r="K10116" s="36" t="str">
        <f>CONCATENATE(Cover!$D$6,"fdd/view?i=",J10116)</f>
        <v>https://www.dgiwg.org/FAD/fdd/view?i=114368</v>
      </c>
      <c r="L10116" s="36" t="s">
        <v>53454</v>
      </c>
      <c r="M10116" s="186"/>
      <c r="N10116" s="186"/>
      <c r="O10116" s="172"/>
    </row>
    <row r="10117" spans="1:15" x14ac:dyDescent="0.2">
      <c r="A10117" s="197" t="str">
        <f t="shared" si="158"/>
        <v>VspCode_teak</v>
      </c>
      <c r="B10117" s="409"/>
      <c r="C10117" s="416"/>
      <c r="D10117" s="198" t="s">
        <v>53455</v>
      </c>
      <c r="E10117" s="198">
        <v>51</v>
      </c>
      <c r="F10117" s="199" t="s">
        <v>53456</v>
      </c>
      <c r="G10117" s="1" t="s">
        <v>53457</v>
      </c>
      <c r="H10117" s="1" t="s">
        <v>53458</v>
      </c>
      <c r="I10117" s="346"/>
      <c r="J10117" s="39">
        <v>112932</v>
      </c>
      <c r="K10117" s="36" t="str">
        <f>CONCATENATE(Cover!$D$6,"fdd/view?i=",J10117)</f>
        <v>https://www.dgiwg.org/FAD/fdd/view?i=112932</v>
      </c>
      <c r="L10117" s="36" t="s">
        <v>53459</v>
      </c>
      <c r="M10117" s="186"/>
      <c r="N10117" s="186"/>
      <c r="O10117" s="172"/>
    </row>
    <row r="10118" spans="1:15" ht="25.5" x14ac:dyDescent="0.2">
      <c r="A10118" s="197" t="str">
        <f t="shared" si="158"/>
        <v>VspCode_thuya</v>
      </c>
      <c r="B10118" s="409"/>
      <c r="C10118" s="416"/>
      <c r="D10118" s="198" t="s">
        <v>53460</v>
      </c>
      <c r="E10118" s="198">
        <v>52</v>
      </c>
      <c r="F10118" s="199" t="s">
        <v>53461</v>
      </c>
      <c r="G10118" s="1" t="s">
        <v>53462</v>
      </c>
      <c r="H10118" s="1" t="s">
        <v>53463</v>
      </c>
      <c r="I10118" s="351" t="s">
        <v>53464</v>
      </c>
      <c r="J10118" s="39">
        <v>112933</v>
      </c>
      <c r="K10118" s="36" t="str">
        <f>CONCATENATE(Cover!$D$6,"fdd/view?i=",J10118)</f>
        <v>https://www.dgiwg.org/FAD/fdd/view?i=112933</v>
      </c>
      <c r="L10118" s="36" t="s">
        <v>53465</v>
      </c>
      <c r="M10118" s="186"/>
      <c r="N10118" s="186"/>
      <c r="O10118" s="172"/>
    </row>
    <row r="10119" spans="1:15" ht="25.5" x14ac:dyDescent="0.2">
      <c r="A10119" s="197" t="str">
        <f t="shared" si="158"/>
        <v>VspCode_umbrellaThorn</v>
      </c>
      <c r="B10119" s="409"/>
      <c r="C10119" s="416"/>
      <c r="D10119" s="198" t="s">
        <v>53466</v>
      </c>
      <c r="E10119" s="198">
        <v>50</v>
      </c>
      <c r="F10119" s="199" t="s">
        <v>53467</v>
      </c>
      <c r="G10119" s="1" t="s">
        <v>53468</v>
      </c>
      <c r="H10119" s="1" t="s">
        <v>53469</v>
      </c>
      <c r="I10119" s="346"/>
      <c r="J10119" s="39">
        <v>112931</v>
      </c>
      <c r="K10119" s="36" t="str">
        <f>CONCATENATE(Cover!$D$6,"fdd/view?i=",J10119)</f>
        <v>https://www.dgiwg.org/FAD/fdd/view?i=112931</v>
      </c>
      <c r="L10119" s="36" t="s">
        <v>53470</v>
      </c>
      <c r="M10119" s="186"/>
      <c r="N10119" s="186"/>
      <c r="O10119" s="172"/>
    </row>
    <row r="10120" spans="1:15" ht="51" x14ac:dyDescent="0.2">
      <c r="A10120" s="197" t="str">
        <f t="shared" si="158"/>
        <v>VspCode_walnut</v>
      </c>
      <c r="B10120" s="409"/>
      <c r="C10120" s="416"/>
      <c r="D10120" s="198" t="s">
        <v>27634</v>
      </c>
      <c r="E10120" s="198">
        <v>32</v>
      </c>
      <c r="F10120" s="199" t="s">
        <v>27635</v>
      </c>
      <c r="G10120" s="1" t="s">
        <v>27636</v>
      </c>
      <c r="H10120" s="1" t="s">
        <v>27637</v>
      </c>
      <c r="I10120" s="346"/>
      <c r="J10120" s="39">
        <v>110643</v>
      </c>
      <c r="K10120" s="36" t="str">
        <f>CONCATENATE(Cover!$D$6,"fdd/view?i=",J10120)</f>
        <v>https://www.dgiwg.org/FAD/fdd/view?i=110643</v>
      </c>
      <c r="L10120" s="36" t="s">
        <v>53471</v>
      </c>
      <c r="M10120" s="186"/>
      <c r="N10120" s="186"/>
      <c r="O10120" s="172"/>
    </row>
    <row r="10121" spans="1:15" ht="127.5" x14ac:dyDescent="0.2">
      <c r="A10121" s="197" t="str">
        <f t="shared" si="158"/>
        <v>VspCode_waterHyacinth</v>
      </c>
      <c r="B10121" s="409"/>
      <c r="C10121" s="416"/>
      <c r="D10121" s="198" t="s">
        <v>53472</v>
      </c>
      <c r="E10121" s="198">
        <v>35</v>
      </c>
      <c r="F10121" s="199" t="s">
        <v>53473</v>
      </c>
      <c r="G10121" s="1" t="s">
        <v>53474</v>
      </c>
      <c r="H10121" s="1" t="s">
        <v>53475</v>
      </c>
      <c r="I10121" s="346"/>
      <c r="J10121" s="39">
        <v>112845</v>
      </c>
      <c r="K10121" s="36" t="str">
        <f>CONCATENATE(Cover!$D$6,"fdd/view?i=",J10121)</f>
        <v>https://www.dgiwg.org/FAD/fdd/view?i=112845</v>
      </c>
      <c r="L10121" s="36" t="s">
        <v>53476</v>
      </c>
      <c r="M10121" s="186"/>
      <c r="N10121" s="186"/>
      <c r="O10121" s="172"/>
    </row>
    <row r="10122" spans="1:15" ht="25.5" x14ac:dyDescent="0.2">
      <c r="A10122" s="197" t="str">
        <f t="shared" si="158"/>
        <v>VspCode_willow</v>
      </c>
      <c r="B10122" s="409"/>
      <c r="C10122" s="416"/>
      <c r="D10122" s="198" t="s">
        <v>53477</v>
      </c>
      <c r="E10122" s="198">
        <v>53</v>
      </c>
      <c r="F10122" s="199" t="s">
        <v>53478</v>
      </c>
      <c r="G10122" s="1" t="s">
        <v>53479</v>
      </c>
      <c r="H10122" s="1" t="s">
        <v>53480</v>
      </c>
      <c r="I10122" s="346"/>
      <c r="J10122" s="39">
        <v>112934</v>
      </c>
      <c r="K10122" s="36" t="str">
        <f>CONCATENATE(Cover!$D$6,"fdd/view?i=",J10122)</f>
        <v>https://www.dgiwg.org/FAD/fdd/view?i=112934</v>
      </c>
      <c r="L10122" s="36" t="s">
        <v>53481</v>
      </c>
      <c r="M10122" s="186"/>
      <c r="N10122" s="186"/>
      <c r="O10122" s="172"/>
    </row>
    <row r="10123" spans="1:15" x14ac:dyDescent="0.2">
      <c r="A10123" s="203" t="str">
        <f t="shared" si="158"/>
        <v>VspCode_yew</v>
      </c>
      <c r="B10123" s="410"/>
      <c r="C10123" s="417"/>
      <c r="D10123" s="204" t="s">
        <v>53482</v>
      </c>
      <c r="E10123" s="204">
        <v>58</v>
      </c>
      <c r="F10123" s="205" t="s">
        <v>53483</v>
      </c>
      <c r="G10123" s="206" t="s">
        <v>53484</v>
      </c>
      <c r="H10123" s="206" t="s">
        <v>53485</v>
      </c>
      <c r="I10123" s="347"/>
      <c r="J10123" s="39">
        <v>114370</v>
      </c>
      <c r="K10123" s="36" t="str">
        <f>CONCATENATE(Cover!$D$6,"fdd/view?i=",J10123)</f>
        <v>https://www.dgiwg.org/FAD/fdd/view?i=114370</v>
      </c>
      <c r="L10123" s="36" t="s">
        <v>53486</v>
      </c>
      <c r="M10123" s="186"/>
      <c r="N10123" s="186"/>
      <c r="O10123" s="172"/>
    </row>
    <row r="10124" spans="1:15" x14ac:dyDescent="0.2">
      <c r="A10124" s="190" t="str">
        <f t="shared" si="158"/>
        <v>VetCode_aircraft</v>
      </c>
      <c r="B10124" s="414" t="str">
        <f>HYPERLINK("[#]Datatypes!A1638:L1638","VetCode")</f>
        <v>VetCode</v>
      </c>
      <c r="C10124" s="415" t="s">
        <v>16271</v>
      </c>
      <c r="D10124" s="221" t="s">
        <v>26569</v>
      </c>
      <c r="E10124" s="221">
        <v>1</v>
      </c>
      <c r="F10124" s="222" t="s">
        <v>26570</v>
      </c>
      <c r="G10124" s="223" t="s">
        <v>43270</v>
      </c>
      <c r="H10124" s="223" t="s">
        <v>43271</v>
      </c>
      <c r="I10124" s="345"/>
      <c r="J10124" s="39">
        <v>109881</v>
      </c>
      <c r="K10124" s="36" t="str">
        <f>CONCATENATE(Cover!$D$6,"fdd/view?i=",J10124)</f>
        <v>https://www.dgiwg.org/FAD/fdd/view?i=109881</v>
      </c>
      <c r="L10124" s="36" t="s">
        <v>53487</v>
      </c>
      <c r="M10124" s="186"/>
      <c r="N10124" s="186"/>
      <c r="O10124" s="172"/>
    </row>
    <row r="10125" spans="1:15" x14ac:dyDescent="0.2">
      <c r="A10125" s="197" t="str">
        <f t="shared" si="158"/>
        <v>VetCode_automobile</v>
      </c>
      <c r="B10125" s="409"/>
      <c r="C10125" s="416"/>
      <c r="D10125" s="198" t="s">
        <v>46655</v>
      </c>
      <c r="E10125" s="198">
        <v>2</v>
      </c>
      <c r="F10125" s="199" t="s">
        <v>46656</v>
      </c>
      <c r="G10125" s="1" t="s">
        <v>53488</v>
      </c>
      <c r="H10125" s="200"/>
      <c r="I10125" s="346"/>
      <c r="J10125" s="39">
        <v>109883</v>
      </c>
      <c r="K10125" s="36" t="str">
        <f>CONCATENATE(Cover!$D$6,"fdd/view?i=",J10125)</f>
        <v>https://www.dgiwg.org/FAD/fdd/view?i=109883</v>
      </c>
      <c r="L10125" s="36" t="s">
        <v>53489</v>
      </c>
      <c r="M10125" s="186"/>
      <c r="N10125" s="186"/>
      <c r="O10125" s="172"/>
    </row>
    <row r="10126" spans="1:15" ht="25.5" x14ac:dyDescent="0.2">
      <c r="A10126" s="197" t="str">
        <f t="shared" si="158"/>
        <v>VetCode_barge</v>
      </c>
      <c r="B10126" s="409"/>
      <c r="C10126" s="416"/>
      <c r="D10126" s="198" t="s">
        <v>24810</v>
      </c>
      <c r="E10126" s="198">
        <v>3</v>
      </c>
      <c r="F10126" s="199" t="s">
        <v>24811</v>
      </c>
      <c r="G10126" s="1" t="s">
        <v>53490</v>
      </c>
      <c r="H10126" s="200"/>
      <c r="I10126" s="346"/>
      <c r="J10126" s="39">
        <v>109884</v>
      </c>
      <c r="K10126" s="36" t="str">
        <f>CONCATENATE(Cover!$D$6,"fdd/view?i=",J10126)</f>
        <v>https://www.dgiwg.org/FAD/fdd/view?i=109884</v>
      </c>
      <c r="L10126" s="36" t="s">
        <v>53491</v>
      </c>
      <c r="M10126" s="186"/>
      <c r="N10126" s="186"/>
      <c r="O10126" s="172"/>
    </row>
    <row r="10127" spans="1:15" ht="25.5" x14ac:dyDescent="0.2">
      <c r="A10127" s="197" t="str">
        <f t="shared" si="158"/>
        <v>VetCode_bicycle</v>
      </c>
      <c r="B10127" s="409"/>
      <c r="C10127" s="416"/>
      <c r="D10127" s="198" t="s">
        <v>40178</v>
      </c>
      <c r="E10127" s="198">
        <v>4</v>
      </c>
      <c r="F10127" s="199" t="s">
        <v>40179</v>
      </c>
      <c r="G10127" s="1" t="s">
        <v>53492</v>
      </c>
      <c r="H10127" s="200"/>
      <c r="I10127" s="346"/>
      <c r="J10127" s="39">
        <v>109885</v>
      </c>
      <c r="K10127" s="36" t="str">
        <f>CONCATENATE(Cover!$D$6,"fdd/view?i=",J10127)</f>
        <v>https://www.dgiwg.org/FAD/fdd/view?i=109885</v>
      </c>
      <c r="L10127" s="36" t="s">
        <v>53493</v>
      </c>
      <c r="M10127" s="186"/>
      <c r="N10127" s="186"/>
      <c r="O10127" s="172"/>
    </row>
    <row r="10128" spans="1:15" x14ac:dyDescent="0.2">
      <c r="A10128" s="197" t="str">
        <f t="shared" si="158"/>
        <v>VetCode_boat</v>
      </c>
      <c r="B10128" s="409"/>
      <c r="C10128" s="416"/>
      <c r="D10128" s="198" t="s">
        <v>53494</v>
      </c>
      <c r="E10128" s="198">
        <v>5</v>
      </c>
      <c r="F10128" s="199" t="s">
        <v>53495</v>
      </c>
      <c r="G10128" s="1" t="s">
        <v>53496</v>
      </c>
      <c r="H10128" s="200"/>
      <c r="I10128" s="346"/>
      <c r="J10128" s="39">
        <v>109886</v>
      </c>
      <c r="K10128" s="36" t="str">
        <f>CONCATENATE(Cover!$D$6,"fdd/view?i=",J10128)</f>
        <v>https://www.dgiwg.org/FAD/fdd/view?i=109886</v>
      </c>
      <c r="L10128" s="36" t="s">
        <v>53497</v>
      </c>
      <c r="M10128" s="186"/>
      <c r="N10128" s="186"/>
      <c r="O10128" s="172"/>
    </row>
    <row r="10129" spans="1:15" x14ac:dyDescent="0.2">
      <c r="A10129" s="197" t="str">
        <f t="shared" si="158"/>
        <v>VetCode_bus</v>
      </c>
      <c r="B10129" s="409"/>
      <c r="C10129" s="416"/>
      <c r="D10129" s="198" t="s">
        <v>40182</v>
      </c>
      <c r="E10129" s="198">
        <v>6</v>
      </c>
      <c r="F10129" s="199" t="s">
        <v>40183</v>
      </c>
      <c r="G10129" s="1" t="s">
        <v>53498</v>
      </c>
      <c r="H10129" s="200"/>
      <c r="I10129" s="346"/>
      <c r="J10129" s="39">
        <v>109887</v>
      </c>
      <c r="K10129" s="36" t="str">
        <f>CONCATENATE(Cover!$D$6,"fdd/view?i=",J10129)</f>
        <v>https://www.dgiwg.org/FAD/fdd/view?i=109887</v>
      </c>
      <c r="L10129" s="36" t="s">
        <v>53499</v>
      </c>
      <c r="M10129" s="186"/>
      <c r="N10129" s="186"/>
      <c r="O10129" s="172"/>
    </row>
    <row r="10130" spans="1:15" ht="25.5" x14ac:dyDescent="0.2">
      <c r="A10130" s="197" t="str">
        <f t="shared" si="158"/>
        <v>VetCode_caravan</v>
      </c>
      <c r="B10130" s="409"/>
      <c r="C10130" s="416"/>
      <c r="D10130" s="198" t="s">
        <v>29012</v>
      </c>
      <c r="E10130" s="198">
        <v>8</v>
      </c>
      <c r="F10130" s="199" t="s">
        <v>29013</v>
      </c>
      <c r="G10130" s="1" t="s">
        <v>29014</v>
      </c>
      <c r="H10130" s="200"/>
      <c r="I10130" s="346"/>
      <c r="J10130" s="39">
        <v>109889</v>
      </c>
      <c r="K10130" s="36" t="str">
        <f>CONCATENATE(Cover!$D$6,"fdd/view?i=",J10130)</f>
        <v>https://www.dgiwg.org/FAD/fdd/view?i=109889</v>
      </c>
      <c r="L10130" s="36" t="s">
        <v>53500</v>
      </c>
      <c r="M10130" s="186"/>
      <c r="N10130" s="186"/>
      <c r="O10130" s="172"/>
    </row>
    <row r="10131" spans="1:15" ht="25.5" x14ac:dyDescent="0.2">
      <c r="A10131" s="197" t="str">
        <f t="shared" si="158"/>
        <v>VetCode_caravanette</v>
      </c>
      <c r="B10131" s="409"/>
      <c r="C10131" s="416"/>
      <c r="D10131" s="198" t="s">
        <v>53501</v>
      </c>
      <c r="E10131" s="198">
        <v>7</v>
      </c>
      <c r="F10131" s="199" t="s">
        <v>53502</v>
      </c>
      <c r="G10131" s="1" t="s">
        <v>53503</v>
      </c>
      <c r="H10131" s="200"/>
      <c r="I10131" s="346"/>
      <c r="J10131" s="39">
        <v>109888</v>
      </c>
      <c r="K10131" s="36" t="str">
        <f>CONCATENATE(Cover!$D$6,"fdd/view?i=",J10131)</f>
        <v>https://www.dgiwg.org/FAD/fdd/view?i=109888</v>
      </c>
      <c r="L10131" s="36" t="s">
        <v>53504</v>
      </c>
      <c r="M10131" s="186"/>
      <c r="N10131" s="186"/>
      <c r="O10131" s="172"/>
    </row>
    <row r="10132" spans="1:15" x14ac:dyDescent="0.2">
      <c r="A10132" s="197" t="str">
        <f t="shared" si="158"/>
        <v>VetCode_motorcycle</v>
      </c>
      <c r="B10132" s="409"/>
      <c r="C10132" s="416"/>
      <c r="D10132" s="198" t="s">
        <v>44033</v>
      </c>
      <c r="E10132" s="198">
        <v>9</v>
      </c>
      <c r="F10132" s="199" t="s">
        <v>44034</v>
      </c>
      <c r="G10132" s="1" t="s">
        <v>53505</v>
      </c>
      <c r="H10132" s="200"/>
      <c r="I10132" s="351" t="s">
        <v>53506</v>
      </c>
      <c r="J10132" s="39">
        <v>109890</v>
      </c>
      <c r="K10132" s="36" t="str">
        <f>CONCATENATE(Cover!$D$6,"fdd/view?i=",J10132)</f>
        <v>https://www.dgiwg.org/FAD/fdd/view?i=109890</v>
      </c>
      <c r="L10132" s="36" t="s">
        <v>53507</v>
      </c>
      <c r="M10132" s="186"/>
      <c r="N10132" s="186"/>
      <c r="O10132" s="172"/>
    </row>
    <row r="10133" spans="1:15" x14ac:dyDescent="0.2">
      <c r="A10133" s="203" t="str">
        <f t="shared" si="158"/>
        <v>VetCode_ship</v>
      </c>
      <c r="B10133" s="410"/>
      <c r="C10133" s="417"/>
      <c r="D10133" s="204" t="s">
        <v>40551</v>
      </c>
      <c r="E10133" s="204">
        <v>10</v>
      </c>
      <c r="F10133" s="205" t="s">
        <v>40552</v>
      </c>
      <c r="G10133" s="206" t="s">
        <v>53508</v>
      </c>
      <c r="H10133" s="207"/>
      <c r="I10133" s="347"/>
      <c r="J10133" s="39">
        <v>109882</v>
      </c>
      <c r="K10133" s="36" t="str">
        <f>CONCATENATE(Cover!$D$6,"fdd/view?i=",J10133)</f>
        <v>https://www.dgiwg.org/FAD/fdd/view?i=109882</v>
      </c>
      <c r="L10133" s="36" t="s">
        <v>53509</v>
      </c>
      <c r="M10133" s="186"/>
      <c r="N10133" s="186"/>
      <c r="O10133" s="172"/>
    </row>
    <row r="10134" spans="1:15" ht="25.5" x14ac:dyDescent="0.2">
      <c r="A10134" s="190" t="str">
        <f t="shared" si="158"/>
        <v>VcdCode_highestHighWater</v>
      </c>
      <c r="B10134" s="414" t="str">
        <f>HYPERLINK("[#]Datatypes!A1640:L1640","VcdCode")</f>
        <v>VcdCode</v>
      </c>
      <c r="C10134" s="415" t="s">
        <v>16273</v>
      </c>
      <c r="D10134" s="221" t="s">
        <v>35070</v>
      </c>
      <c r="E10134" s="221">
        <v>28</v>
      </c>
      <c r="F10134" s="222" t="s">
        <v>35071</v>
      </c>
      <c r="G10134" s="223" t="s">
        <v>35072</v>
      </c>
      <c r="H10134" s="224"/>
      <c r="I10134" s="345"/>
      <c r="J10134" s="39">
        <v>109121</v>
      </c>
      <c r="K10134" s="36" t="str">
        <f>CONCATENATE(Cover!$D$6,"fdd/view?i=",J10134)</f>
        <v>https://www.dgiwg.org/FAD/fdd/view?i=109121</v>
      </c>
      <c r="L10134" s="36" t="s">
        <v>53510</v>
      </c>
      <c r="M10134" s="186"/>
      <c r="N10134" s="186"/>
      <c r="O10134" s="172"/>
    </row>
    <row r="10135" spans="1:15" ht="25.5" x14ac:dyDescent="0.2">
      <c r="A10135" s="197" t="str">
        <f t="shared" si="158"/>
        <v>VcdCode_indianSpringHighWater</v>
      </c>
      <c r="B10135" s="409"/>
      <c r="C10135" s="416"/>
      <c r="D10135" s="198" t="s">
        <v>35074</v>
      </c>
      <c r="E10135" s="198">
        <v>30</v>
      </c>
      <c r="F10135" s="199" t="s">
        <v>35075</v>
      </c>
      <c r="G10135" s="1" t="s">
        <v>35076</v>
      </c>
      <c r="H10135" s="200"/>
      <c r="I10135" s="346"/>
      <c r="J10135" s="39">
        <v>109122</v>
      </c>
      <c r="K10135" s="36" t="str">
        <f>CONCATENATE(Cover!$D$6,"fdd/view?i=",J10135)</f>
        <v>https://www.dgiwg.org/FAD/fdd/view?i=109122</v>
      </c>
      <c r="L10135" s="36" t="s">
        <v>53511</v>
      </c>
      <c r="M10135" s="186"/>
      <c r="N10135" s="186"/>
      <c r="O10135" s="172"/>
    </row>
    <row r="10136" spans="1:15" ht="25.5" x14ac:dyDescent="0.2">
      <c r="A10136" s="197" t="str">
        <f t="shared" si="158"/>
        <v>VcdCode_meanHigherHighWater</v>
      </c>
      <c r="B10136" s="409"/>
      <c r="C10136" s="416"/>
      <c r="D10136" s="198" t="s">
        <v>35086</v>
      </c>
      <c r="E10136" s="198">
        <v>10</v>
      </c>
      <c r="F10136" s="199" t="s">
        <v>35087</v>
      </c>
      <c r="G10136" s="1" t="s">
        <v>35088</v>
      </c>
      <c r="H10136" s="200"/>
      <c r="I10136" s="346"/>
      <c r="J10136" s="39">
        <v>109117</v>
      </c>
      <c r="K10136" s="36" t="str">
        <f>CONCATENATE(Cover!$D$6,"fdd/view?i=",J10136)</f>
        <v>https://www.dgiwg.org/FAD/fdd/view?i=109117</v>
      </c>
      <c r="L10136" s="36" t="s">
        <v>53514</v>
      </c>
      <c r="M10136" s="186"/>
      <c r="N10136" s="186"/>
      <c r="O10136" s="172"/>
    </row>
    <row r="10137" spans="1:15" ht="25.5" x14ac:dyDescent="0.2">
      <c r="A10137" s="197" t="str">
        <f t="shared" si="158"/>
        <v>VcdCode_meanHigherHighWaterSprings</v>
      </c>
      <c r="B10137" s="409"/>
      <c r="C10137" s="416"/>
      <c r="D10137" s="198" t="s">
        <v>35090</v>
      </c>
      <c r="E10137" s="198">
        <v>24</v>
      </c>
      <c r="F10137" s="199" t="s">
        <v>35091</v>
      </c>
      <c r="G10137" s="1" t="s">
        <v>35092</v>
      </c>
      <c r="H10137" s="200"/>
      <c r="I10137" s="346"/>
      <c r="J10137" s="39">
        <v>109119</v>
      </c>
      <c r="K10137" s="36" t="str">
        <f>CONCATENATE(Cover!$D$6,"fdd/view?i=",J10137)</f>
        <v>https://www.dgiwg.org/FAD/fdd/view?i=109119</v>
      </c>
      <c r="L10137" s="36" t="s">
        <v>53515</v>
      </c>
      <c r="M10137" s="186"/>
      <c r="N10137" s="186"/>
      <c r="O10137" s="172"/>
    </row>
    <row r="10138" spans="1:15" ht="25.5" x14ac:dyDescent="0.2">
      <c r="A10138" s="197" t="str">
        <f t="shared" si="158"/>
        <v>VcdCode_meanHighWater</v>
      </c>
      <c r="B10138" s="409"/>
      <c r="C10138" s="416"/>
      <c r="D10138" s="198" t="s">
        <v>35078</v>
      </c>
      <c r="E10138" s="198">
        <v>7</v>
      </c>
      <c r="F10138" s="199" t="s">
        <v>35079</v>
      </c>
      <c r="G10138" s="1" t="s">
        <v>35080</v>
      </c>
      <c r="H10138" s="200"/>
      <c r="I10138" s="346"/>
      <c r="J10138" s="39">
        <v>109115</v>
      </c>
      <c r="K10138" s="36" t="str">
        <f>CONCATENATE(Cover!$D$6,"fdd/view?i=",J10138)</f>
        <v>https://www.dgiwg.org/FAD/fdd/view?i=109115</v>
      </c>
      <c r="L10138" s="36" t="s">
        <v>53512</v>
      </c>
      <c r="M10138" s="186"/>
      <c r="N10138" s="186"/>
      <c r="O10138" s="172"/>
    </row>
    <row r="10139" spans="1:15" ht="25.5" x14ac:dyDescent="0.2">
      <c r="A10139" s="197" t="str">
        <f t="shared" si="158"/>
        <v>VcdCode_meanHighWaterSprings</v>
      </c>
      <c r="B10139" s="409"/>
      <c r="C10139" s="416"/>
      <c r="D10139" s="198" t="s">
        <v>35082</v>
      </c>
      <c r="E10139" s="198">
        <v>9</v>
      </c>
      <c r="F10139" s="199" t="s">
        <v>35083</v>
      </c>
      <c r="G10139" s="1" t="s">
        <v>35084</v>
      </c>
      <c r="H10139" s="200"/>
      <c r="I10139" s="346"/>
      <c r="J10139" s="39">
        <v>109116</v>
      </c>
      <c r="K10139" s="36" t="str">
        <f>CONCATENATE(Cover!$D$6,"fdd/view?i=",J10139)</f>
        <v>https://www.dgiwg.org/FAD/fdd/view?i=109116</v>
      </c>
      <c r="L10139" s="36" t="s">
        <v>53513</v>
      </c>
      <c r="M10139" s="186"/>
      <c r="N10139" s="186"/>
      <c r="O10139" s="172"/>
    </row>
    <row r="10140" spans="1:15" ht="25.5" x14ac:dyDescent="0.2">
      <c r="A10140" s="203" t="str">
        <f t="shared" si="158"/>
        <v>VcdCode_meanSeaLevel</v>
      </c>
      <c r="B10140" s="410"/>
      <c r="C10140" s="417"/>
      <c r="D10140" s="204" t="s">
        <v>35094</v>
      </c>
      <c r="E10140" s="204">
        <v>15</v>
      </c>
      <c r="F10140" s="205" t="s">
        <v>35095</v>
      </c>
      <c r="G10140" s="206" t="s">
        <v>35096</v>
      </c>
      <c r="H10140" s="207"/>
      <c r="I10140" s="347"/>
      <c r="J10140" s="39">
        <v>109118</v>
      </c>
      <c r="K10140" s="36" t="str">
        <f>CONCATENATE(Cover!$D$6,"fdd/view?i=",J10140)</f>
        <v>https://www.dgiwg.org/FAD/fdd/view?i=109118</v>
      </c>
      <c r="L10140" s="36" t="s">
        <v>53516</v>
      </c>
      <c r="M10140" s="186"/>
      <c r="N10140" s="186"/>
      <c r="O10140" s="172"/>
    </row>
    <row r="10141" spans="1:15" ht="127.5" x14ac:dyDescent="0.2">
      <c r="A10141" s="190" t="str">
        <f t="shared" si="158"/>
        <v>VdtCode_groundLevel</v>
      </c>
      <c r="B10141" s="414" t="str">
        <f>HYPERLINK("[#]Datatypes!A1642:L1642","VdtCode")</f>
        <v>VdtCode</v>
      </c>
      <c r="C10141" s="415" t="s">
        <v>16275</v>
      </c>
      <c r="D10141" s="221" t="s">
        <v>53517</v>
      </c>
      <c r="E10141" s="221">
        <v>6</v>
      </c>
      <c r="F10141" s="222" t="s">
        <v>53518</v>
      </c>
      <c r="G10141" s="223" t="s">
        <v>53519</v>
      </c>
      <c r="H10141" s="223" t="s">
        <v>53520</v>
      </c>
      <c r="I10141" s="345"/>
      <c r="J10141" s="39">
        <v>112700</v>
      </c>
      <c r="K10141" s="36" t="str">
        <f>CONCATENATE(Cover!$D$6,"fdd/view?i=",J10141)</f>
        <v>https://www.dgiwg.org/FAD/fdd/view?i=112700</v>
      </c>
      <c r="L10141" s="36" t="s">
        <v>53521</v>
      </c>
      <c r="M10141" s="186"/>
      <c r="N10141" s="186"/>
      <c r="O10141" s="172"/>
    </row>
    <row r="10142" spans="1:15" ht="38.25" x14ac:dyDescent="0.2">
      <c r="A10142" s="197" t="str">
        <f t="shared" si="158"/>
        <v>VdtCode_meanSeaLevel</v>
      </c>
      <c r="B10142" s="409"/>
      <c r="C10142" s="416"/>
      <c r="D10142" s="198" t="s">
        <v>35094</v>
      </c>
      <c r="E10142" s="198">
        <v>3</v>
      </c>
      <c r="F10142" s="199" t="s">
        <v>53522</v>
      </c>
      <c r="G10142" s="1" t="s">
        <v>53523</v>
      </c>
      <c r="H10142" s="200"/>
      <c r="I10142" s="346"/>
      <c r="J10142" s="39">
        <v>112694</v>
      </c>
      <c r="K10142" s="36" t="str">
        <f>CONCATENATE(Cover!$D$6,"fdd/view?i=",J10142)</f>
        <v>https://www.dgiwg.org/FAD/fdd/view?i=112694</v>
      </c>
      <c r="L10142" s="36" t="s">
        <v>53524</v>
      </c>
      <c r="M10142" s="186"/>
      <c r="N10142" s="186"/>
      <c r="O10142" s="172"/>
    </row>
    <row r="10143" spans="1:15" ht="76.5" x14ac:dyDescent="0.2">
      <c r="A10143" s="197" t="str">
        <f t="shared" si="158"/>
        <v>VdtCode_navd88</v>
      </c>
      <c r="B10143" s="409"/>
      <c r="C10143" s="416"/>
      <c r="D10143" s="198" t="s">
        <v>53530</v>
      </c>
      <c r="E10143" s="198">
        <v>4</v>
      </c>
      <c r="F10143" s="199" t="s">
        <v>53531</v>
      </c>
      <c r="G10143" s="1" t="s">
        <v>53532</v>
      </c>
      <c r="H10143" s="1" t="s">
        <v>53533</v>
      </c>
      <c r="I10143" s="346"/>
      <c r="J10143" s="39">
        <v>112696</v>
      </c>
      <c r="K10143" s="36" t="str">
        <f>CONCATENATE(Cover!$D$6,"fdd/view?i=",J10143)</f>
        <v>https://www.dgiwg.org/FAD/fdd/view?i=112696</v>
      </c>
      <c r="L10143" s="36" t="s">
        <v>53534</v>
      </c>
      <c r="M10143" s="186"/>
      <c r="N10143" s="186"/>
      <c r="O10143" s="172"/>
    </row>
    <row r="10144" spans="1:15" ht="38.25" x14ac:dyDescent="0.2">
      <c r="A10144" s="197" t="str">
        <f t="shared" si="158"/>
        <v>VdtCode_ngvd29</v>
      </c>
      <c r="B10144" s="409"/>
      <c r="C10144" s="416"/>
      <c r="D10144" s="198" t="s">
        <v>53525</v>
      </c>
      <c r="E10144" s="198">
        <v>5</v>
      </c>
      <c r="F10144" s="199" t="s">
        <v>53526</v>
      </c>
      <c r="G10144" s="1" t="s">
        <v>53527</v>
      </c>
      <c r="H10144" s="1" t="s">
        <v>53528</v>
      </c>
      <c r="I10144" s="346"/>
      <c r="J10144" s="39">
        <v>112698</v>
      </c>
      <c r="K10144" s="36" t="str">
        <f>CONCATENATE(Cover!$D$6,"fdd/view?i=",J10144)</f>
        <v>https://www.dgiwg.org/FAD/fdd/view?i=112698</v>
      </c>
      <c r="L10144" s="36" t="s">
        <v>53529</v>
      </c>
      <c r="M10144" s="186"/>
      <c r="N10144" s="186"/>
      <c r="O10144" s="172"/>
    </row>
    <row r="10145" spans="1:15" ht="25.5" x14ac:dyDescent="0.2">
      <c r="A10145" s="197" t="str">
        <f t="shared" si="158"/>
        <v>VdtCode_wgs84</v>
      </c>
      <c r="B10145" s="409"/>
      <c r="C10145" s="416"/>
      <c r="D10145" s="198" t="s">
        <v>53543</v>
      </c>
      <c r="E10145" s="198">
        <v>1</v>
      </c>
      <c r="F10145" s="199" t="s">
        <v>53544</v>
      </c>
      <c r="G10145" s="1" t="s">
        <v>53545</v>
      </c>
      <c r="H10145" s="200"/>
      <c r="I10145" s="346"/>
      <c r="J10145" s="39">
        <v>112690</v>
      </c>
      <c r="K10145" s="36" t="str">
        <f>CONCATENATE(Cover!$D$6,"fdd/view?i=",J10145)</f>
        <v>https://www.dgiwg.org/FAD/fdd/view?i=112690</v>
      </c>
      <c r="L10145" s="36" t="s">
        <v>53546</v>
      </c>
      <c r="M10145" s="186"/>
      <c r="N10145" s="186"/>
      <c r="O10145" s="172"/>
    </row>
    <row r="10146" spans="1:15" ht="38.25" x14ac:dyDescent="0.2">
      <c r="A10146" s="197" t="str">
        <f t="shared" si="158"/>
        <v>VdtCode_wgs84Egm08</v>
      </c>
      <c r="B10146" s="409"/>
      <c r="C10146" s="416"/>
      <c r="D10146" s="198" t="s">
        <v>53535</v>
      </c>
      <c r="E10146" s="198">
        <v>7</v>
      </c>
      <c r="F10146" s="199" t="s">
        <v>53536</v>
      </c>
      <c r="G10146" s="1" t="s">
        <v>53537</v>
      </c>
      <c r="H10146" s="200"/>
      <c r="I10146" s="346"/>
      <c r="J10146" s="39">
        <v>112702</v>
      </c>
      <c r="K10146" s="36" t="str">
        <f>CONCATENATE(Cover!$D$6,"fdd/view?i=",J10146)</f>
        <v>https://www.dgiwg.org/FAD/fdd/view?i=112702</v>
      </c>
      <c r="L10146" s="36" t="s">
        <v>53538</v>
      </c>
      <c r="M10146" s="186"/>
      <c r="N10146" s="186"/>
      <c r="O10146" s="172"/>
    </row>
    <row r="10147" spans="1:15" ht="38.25" x14ac:dyDescent="0.2">
      <c r="A10147" s="203" t="str">
        <f t="shared" si="158"/>
        <v>VdtCode_wgs84Egm96</v>
      </c>
      <c r="B10147" s="410"/>
      <c r="C10147" s="417"/>
      <c r="D10147" s="204" t="s">
        <v>53539</v>
      </c>
      <c r="E10147" s="204">
        <v>2</v>
      </c>
      <c r="F10147" s="205" t="s">
        <v>53540</v>
      </c>
      <c r="G10147" s="206" t="s">
        <v>53541</v>
      </c>
      <c r="H10147" s="207"/>
      <c r="I10147" s="347"/>
      <c r="J10147" s="39">
        <v>112692</v>
      </c>
      <c r="K10147" s="36" t="str">
        <f>CONCATENATE(Cover!$D$6,"fdd/view?i=",J10147)</f>
        <v>https://www.dgiwg.org/FAD/fdd/view?i=112692</v>
      </c>
      <c r="L10147" s="36" t="s">
        <v>53542</v>
      </c>
      <c r="M10147" s="186"/>
      <c r="N10147" s="186"/>
      <c r="O10147" s="172"/>
    </row>
    <row r="10148" spans="1:15" ht="25.5" x14ac:dyDescent="0.2">
      <c r="A10148" s="190" t="str">
        <f t="shared" si="158"/>
        <v>DrvCode_aboveGround</v>
      </c>
      <c r="B10148" s="414" t="str">
        <f>HYPERLINK("[#]Datatypes!A1644:L1644","DrvCode")</f>
        <v>DrvCode</v>
      </c>
      <c r="C10148" s="415" t="s">
        <v>16277</v>
      </c>
      <c r="D10148" s="221" t="s">
        <v>53548</v>
      </c>
      <c r="E10148" s="221">
        <v>1</v>
      </c>
      <c r="F10148" s="222" t="s">
        <v>53549</v>
      </c>
      <c r="G10148" s="223" t="s">
        <v>53550</v>
      </c>
      <c r="H10148" s="224"/>
      <c r="I10148" s="345"/>
      <c r="J10148" s="39">
        <v>115695</v>
      </c>
      <c r="K10148" s="36" t="str">
        <f>CONCATENATE(Cover!$D$6,"fdd/view?i=",J10148)</f>
        <v>https://www.dgiwg.org/FAD/fdd/view?i=115695</v>
      </c>
      <c r="L10148" s="36" t="s">
        <v>53551</v>
      </c>
      <c r="M10148" s="186"/>
      <c r="N10148" s="186"/>
      <c r="O10148" s="13" t="s">
        <v>53547</v>
      </c>
    </row>
    <row r="10149" spans="1:15" ht="25.5" x14ac:dyDescent="0.2">
      <c r="A10149" s="197" t="str">
        <f t="shared" si="158"/>
        <v>DrvCode_aboveMsl</v>
      </c>
      <c r="B10149" s="409"/>
      <c r="C10149" s="416"/>
      <c r="D10149" s="198" t="s">
        <v>53553</v>
      </c>
      <c r="E10149" s="198">
        <v>2</v>
      </c>
      <c r="F10149" s="199" t="s">
        <v>53554</v>
      </c>
      <c r="G10149" s="1" t="s">
        <v>53555</v>
      </c>
      <c r="H10149" s="1" t="s">
        <v>53556</v>
      </c>
      <c r="I10149" s="346"/>
      <c r="J10149" s="39">
        <v>115696</v>
      </c>
      <c r="K10149" s="36" t="str">
        <f>CONCATENATE(Cover!$D$6,"fdd/view?i=",J10149)</f>
        <v>https://www.dgiwg.org/FAD/fdd/view?i=115696</v>
      </c>
      <c r="L10149" s="36" t="s">
        <v>53557</v>
      </c>
      <c r="M10149" s="186"/>
      <c r="N10149" s="186"/>
      <c r="O10149" s="13" t="s">
        <v>53552</v>
      </c>
    </row>
    <row r="10150" spans="1:15" ht="25.5" x14ac:dyDescent="0.2">
      <c r="A10150" s="197" t="str">
        <f t="shared" si="158"/>
        <v>DrvCode_aboveWgs84Ellipsoid</v>
      </c>
      <c r="B10150" s="409"/>
      <c r="C10150" s="416"/>
      <c r="D10150" s="198" t="s">
        <v>53559</v>
      </c>
      <c r="E10150" s="198">
        <v>3</v>
      </c>
      <c r="F10150" s="199" t="s">
        <v>53560</v>
      </c>
      <c r="G10150" s="1" t="s">
        <v>53561</v>
      </c>
      <c r="H10150" s="200"/>
      <c r="I10150" s="346"/>
      <c r="J10150" s="39">
        <v>115697</v>
      </c>
      <c r="K10150" s="36" t="str">
        <f>CONCATENATE(Cover!$D$6,"fdd/view?i=",J10150)</f>
        <v>https://www.dgiwg.org/FAD/fdd/view?i=115697</v>
      </c>
      <c r="L10150" s="36" t="s">
        <v>53562</v>
      </c>
      <c r="M10150" s="186"/>
      <c r="N10150" s="186"/>
      <c r="O10150" s="13" t="s">
        <v>53558</v>
      </c>
    </row>
    <row r="10151" spans="1:15" ht="25.5" x14ac:dyDescent="0.2">
      <c r="A10151" s="203" t="str">
        <f t="shared" si="158"/>
        <v>DrvCode_standardPressureDistance</v>
      </c>
      <c r="B10151" s="410"/>
      <c r="C10151" s="417"/>
      <c r="D10151" s="204" t="s">
        <v>53564</v>
      </c>
      <c r="E10151" s="204">
        <v>4</v>
      </c>
      <c r="F10151" s="205" t="s">
        <v>53565</v>
      </c>
      <c r="G10151" s="206" t="s">
        <v>53566</v>
      </c>
      <c r="H10151" s="206" t="s">
        <v>53567</v>
      </c>
      <c r="I10151" s="347"/>
      <c r="J10151" s="39">
        <v>115698</v>
      </c>
      <c r="K10151" s="36" t="str">
        <f>CONCATENATE(Cover!$D$6,"fdd/view?i=",J10151)</f>
        <v>https://www.dgiwg.org/FAD/fdd/view?i=115698</v>
      </c>
      <c r="L10151" s="36" t="s">
        <v>53568</v>
      </c>
      <c r="M10151" s="186"/>
      <c r="N10151" s="186"/>
      <c r="O10151" s="13" t="s">
        <v>53563</v>
      </c>
    </row>
    <row r="10152" spans="1:15" x14ac:dyDescent="0.2">
      <c r="A10152" s="190" t="str">
        <f t="shared" si="158"/>
        <v>LocCode_aboveSurface</v>
      </c>
      <c r="B10152" s="414" t="str">
        <f>HYPERLINK("[#]Datatypes!A1648:L1648","LocCode")</f>
        <v>LocCode</v>
      </c>
      <c r="C10152" s="415" t="s">
        <v>16282</v>
      </c>
      <c r="D10152" s="221" t="s">
        <v>53569</v>
      </c>
      <c r="E10152" s="221">
        <v>45</v>
      </c>
      <c r="F10152" s="222" t="s">
        <v>53570</v>
      </c>
      <c r="G10152" s="223" t="s">
        <v>53571</v>
      </c>
      <c r="H10152" s="224"/>
      <c r="I10152" s="345"/>
      <c r="J10152" s="39">
        <v>110223</v>
      </c>
      <c r="K10152" s="36" t="str">
        <f>CONCATENATE(Cover!$D$6,"fdd/view?i=",J10152)</f>
        <v>https://www.dgiwg.org/FAD/fdd/view?i=110223</v>
      </c>
      <c r="L10152" s="36" t="s">
        <v>53572</v>
      </c>
      <c r="M10152" s="186"/>
      <c r="N10152" s="186"/>
      <c r="O10152" s="172"/>
    </row>
    <row r="10153" spans="1:15" ht="25.5" x14ac:dyDescent="0.2">
      <c r="A10153" s="197" t="str">
        <f t="shared" si="158"/>
        <v>LocCode_aboveWaterbodyBottom</v>
      </c>
      <c r="B10153" s="409"/>
      <c r="C10153" s="416"/>
      <c r="D10153" s="198" t="s">
        <v>53573</v>
      </c>
      <c r="E10153" s="198">
        <v>46</v>
      </c>
      <c r="F10153" s="199" t="s">
        <v>53574</v>
      </c>
      <c r="G10153" s="1" t="s">
        <v>53575</v>
      </c>
      <c r="H10153" s="200"/>
      <c r="I10153" s="346"/>
      <c r="J10153" s="39">
        <v>110224</v>
      </c>
      <c r="K10153" s="36" t="str">
        <f>CONCATENATE(Cover!$D$6,"fdd/view?i=",J10153)</f>
        <v>https://www.dgiwg.org/FAD/fdd/view?i=110224</v>
      </c>
      <c r="L10153" s="36" t="s">
        <v>53576</v>
      </c>
      <c r="M10153" s="186"/>
      <c r="N10153" s="186"/>
      <c r="O10153" s="172"/>
    </row>
    <row r="10154" spans="1:15" ht="25.5" x14ac:dyDescent="0.2">
      <c r="A10154" s="197" t="str">
        <f t="shared" si="158"/>
        <v>LocCode_belowGroundSurface</v>
      </c>
      <c r="B10154" s="409"/>
      <c r="C10154" s="416"/>
      <c r="D10154" s="198" t="s">
        <v>53577</v>
      </c>
      <c r="E10154" s="198">
        <v>40</v>
      </c>
      <c r="F10154" s="199" t="s">
        <v>53578</v>
      </c>
      <c r="G10154" s="1" t="s">
        <v>53579</v>
      </c>
      <c r="H10154" s="200"/>
      <c r="I10154" s="351" t="s">
        <v>22290</v>
      </c>
      <c r="J10154" s="39">
        <v>105012</v>
      </c>
      <c r="K10154" s="36" t="str">
        <f>CONCATENATE(Cover!$D$6,"fdd/view?i=",J10154)</f>
        <v>https://www.dgiwg.org/FAD/fdd/view?i=105012</v>
      </c>
      <c r="L10154" s="36" t="s">
        <v>53580</v>
      </c>
      <c r="M10154" s="186"/>
      <c r="N10154" s="186"/>
      <c r="O10154" s="172"/>
    </row>
    <row r="10155" spans="1:15" ht="25.5" x14ac:dyDescent="0.2">
      <c r="A10155" s="197" t="str">
        <f t="shared" si="158"/>
        <v>LocCode_belowWaterbodyBottom</v>
      </c>
      <c r="B10155" s="409"/>
      <c r="C10155" s="416"/>
      <c r="D10155" s="198" t="s">
        <v>53581</v>
      </c>
      <c r="E10155" s="198">
        <v>23</v>
      </c>
      <c r="F10155" s="199" t="s">
        <v>53582</v>
      </c>
      <c r="G10155" s="1" t="s">
        <v>53583</v>
      </c>
      <c r="H10155" s="200"/>
      <c r="I10155" s="351" t="s">
        <v>53584</v>
      </c>
      <c r="J10155" s="39">
        <v>104998</v>
      </c>
      <c r="K10155" s="36" t="str">
        <f>CONCATENATE(Cover!$D$6,"fdd/view?i=",J10155)</f>
        <v>https://www.dgiwg.org/FAD/fdd/view?i=104998</v>
      </c>
      <c r="L10155" s="36" t="s">
        <v>53585</v>
      </c>
      <c r="M10155" s="186"/>
      <c r="N10155" s="186"/>
      <c r="O10155" s="172"/>
    </row>
    <row r="10156" spans="1:15" ht="25.5" x14ac:dyDescent="0.2">
      <c r="A10156" s="197" t="str">
        <f t="shared" si="158"/>
        <v>LocCode_belowWaterbodySurface</v>
      </c>
      <c r="B10156" s="409"/>
      <c r="C10156" s="416"/>
      <c r="D10156" s="198" t="s">
        <v>53586</v>
      </c>
      <c r="E10156" s="198">
        <v>47</v>
      </c>
      <c r="F10156" s="199" t="s">
        <v>53587</v>
      </c>
      <c r="G10156" s="1" t="s">
        <v>53588</v>
      </c>
      <c r="H10156" s="200"/>
      <c r="I10156" s="346"/>
      <c r="J10156" s="39">
        <v>119108</v>
      </c>
      <c r="K10156" s="36" t="str">
        <f>CONCATENATE(Cover!$D$6,"fdd/view?i=",J10156)</f>
        <v>https://www.dgiwg.org/FAD/fdd/view?i=119108</v>
      </c>
      <c r="L10156" s="36" t="s">
        <v>53589</v>
      </c>
      <c r="M10156" s="186"/>
      <c r="N10156" s="186"/>
      <c r="O10156" s="172"/>
    </row>
    <row r="10157" spans="1:15" x14ac:dyDescent="0.2">
      <c r="A10157" s="197" t="str">
        <f t="shared" si="158"/>
        <v>LocCode_onSurface</v>
      </c>
      <c r="B10157" s="409"/>
      <c r="C10157" s="416"/>
      <c r="D10157" s="198" t="s">
        <v>53590</v>
      </c>
      <c r="E10157" s="198">
        <v>44</v>
      </c>
      <c r="F10157" s="199" t="s">
        <v>53591</v>
      </c>
      <c r="G10157" s="1" t="s">
        <v>53592</v>
      </c>
      <c r="H10157" s="200"/>
      <c r="I10157" s="346"/>
      <c r="J10157" s="39">
        <v>110222</v>
      </c>
      <c r="K10157" s="36" t="str">
        <f>CONCATENATE(Cover!$D$6,"fdd/view?i=",J10157)</f>
        <v>https://www.dgiwg.org/FAD/fdd/view?i=110222</v>
      </c>
      <c r="L10157" s="36" t="s">
        <v>53593</v>
      </c>
      <c r="M10157" s="186"/>
      <c r="N10157" s="186"/>
      <c r="O10157" s="172"/>
    </row>
    <row r="10158" spans="1:15" ht="25.5" x14ac:dyDescent="0.2">
      <c r="A10158" s="203" t="str">
        <f t="shared" si="158"/>
        <v>LocCode_onWaterbodyBottom</v>
      </c>
      <c r="B10158" s="410"/>
      <c r="C10158" s="417"/>
      <c r="D10158" s="204" t="s">
        <v>53594</v>
      </c>
      <c r="E10158" s="204">
        <v>17</v>
      </c>
      <c r="F10158" s="205" t="s">
        <v>53595</v>
      </c>
      <c r="G10158" s="206" t="s">
        <v>53596</v>
      </c>
      <c r="H10158" s="207"/>
      <c r="I10158" s="353" t="s">
        <v>53597</v>
      </c>
      <c r="J10158" s="39">
        <v>104993</v>
      </c>
      <c r="K10158" s="36" t="str">
        <f>CONCATENATE(Cover!$D$6,"fdd/view?i=",J10158)</f>
        <v>https://www.dgiwg.org/FAD/fdd/view?i=104993</v>
      </c>
      <c r="L10158" s="36" t="s">
        <v>53598</v>
      </c>
      <c r="M10158" s="186"/>
      <c r="N10158" s="186"/>
      <c r="O10158" s="172"/>
    </row>
    <row r="10159" spans="1:15" ht="25.5" x14ac:dyDescent="0.2">
      <c r="A10159" s="190" t="str">
        <f t="shared" si="158"/>
        <v>VscCode_interpolatedDted1</v>
      </c>
      <c r="B10159" s="414" t="str">
        <f>HYPERLINK("[#]Datatypes!A1650:L1650","VscCode")</f>
        <v>VscCode</v>
      </c>
      <c r="C10159" s="415" t="s">
        <v>16284</v>
      </c>
      <c r="D10159" s="221" t="s">
        <v>53599</v>
      </c>
      <c r="E10159" s="221">
        <v>1</v>
      </c>
      <c r="F10159" s="222" t="s">
        <v>45262</v>
      </c>
      <c r="G10159" s="223" t="s">
        <v>53600</v>
      </c>
      <c r="H10159" s="224"/>
      <c r="I10159" s="345"/>
      <c r="J10159" s="39">
        <v>110606</v>
      </c>
      <c r="K10159" s="36" t="str">
        <f>CONCATENATE(Cover!$D$6,"fdd/view?i=",J10159)</f>
        <v>https://www.dgiwg.org/FAD/fdd/view?i=110606</v>
      </c>
      <c r="L10159" s="36" t="s">
        <v>53601</v>
      </c>
      <c r="M10159" s="186"/>
      <c r="N10159" s="186"/>
      <c r="O10159" s="172"/>
    </row>
    <row r="10160" spans="1:15" ht="25.5" x14ac:dyDescent="0.2">
      <c r="A10160" s="197" t="str">
        <f t="shared" si="158"/>
        <v>VscCode_interpolatedDted2</v>
      </c>
      <c r="B10160" s="409"/>
      <c r="C10160" s="416"/>
      <c r="D10160" s="198" t="s">
        <v>53602</v>
      </c>
      <c r="E10160" s="198">
        <v>2</v>
      </c>
      <c r="F10160" s="199" t="s">
        <v>45266</v>
      </c>
      <c r="G10160" s="1" t="s">
        <v>53603</v>
      </c>
      <c r="H10160" s="200"/>
      <c r="I10160" s="346"/>
      <c r="J10160" s="39">
        <v>110607</v>
      </c>
      <c r="K10160" s="36" t="str">
        <f>CONCATENATE(Cover!$D$6,"fdd/view?i=",J10160)</f>
        <v>https://www.dgiwg.org/FAD/fdd/view?i=110607</v>
      </c>
      <c r="L10160" s="36" t="s">
        <v>53604</v>
      </c>
      <c r="M10160" s="186"/>
      <c r="N10160" s="186"/>
      <c r="O10160" s="172"/>
    </row>
    <row r="10161" spans="1:15" ht="76.5" x14ac:dyDescent="0.2">
      <c r="A10161" s="197" t="str">
        <f t="shared" si="158"/>
        <v>VscCode_interpolatedSrtm1</v>
      </c>
      <c r="B10161" s="409"/>
      <c r="C10161" s="416"/>
      <c r="D10161" s="198" t="s">
        <v>53613</v>
      </c>
      <c r="E10161" s="198">
        <v>7</v>
      </c>
      <c r="F10161" s="199" t="s">
        <v>53614</v>
      </c>
      <c r="G10161" s="1" t="s">
        <v>53615</v>
      </c>
      <c r="H10161" s="1" t="s">
        <v>53616</v>
      </c>
      <c r="I10161" s="346"/>
      <c r="J10161" s="39">
        <v>117974</v>
      </c>
      <c r="K10161" s="36" t="str">
        <f>CONCATENATE(Cover!$D$6,"fdd/view?i=",J10161)</f>
        <v>https://www.dgiwg.org/FAD/fdd/view?i=117974</v>
      </c>
      <c r="L10161" s="36" t="s">
        <v>53617</v>
      </c>
      <c r="M10161" s="186"/>
      <c r="N10161" s="186"/>
      <c r="O10161" s="172"/>
    </row>
    <row r="10162" spans="1:15" ht="76.5" x14ac:dyDescent="0.2">
      <c r="A10162" s="197" t="str">
        <f t="shared" si="158"/>
        <v>VscCode_interpolatedSrtm2</v>
      </c>
      <c r="B10162" s="409"/>
      <c r="C10162" s="416"/>
      <c r="D10162" s="198" t="s">
        <v>53618</v>
      </c>
      <c r="E10162" s="198">
        <v>8</v>
      </c>
      <c r="F10162" s="199" t="s">
        <v>53619</v>
      </c>
      <c r="G10162" s="1" t="s">
        <v>53620</v>
      </c>
      <c r="H10162" s="1" t="s">
        <v>53616</v>
      </c>
      <c r="I10162" s="346"/>
      <c r="J10162" s="39">
        <v>117975</v>
      </c>
      <c r="K10162" s="36" t="str">
        <f>CONCATENATE(Cover!$D$6,"fdd/view?i=",J10162)</f>
        <v>https://www.dgiwg.org/FAD/fdd/view?i=117975</v>
      </c>
      <c r="L10162" s="36" t="s">
        <v>53621</v>
      </c>
      <c r="M10162" s="186"/>
      <c r="N10162" s="186"/>
      <c r="O10162" s="172"/>
    </row>
    <row r="10163" spans="1:15" x14ac:dyDescent="0.2">
      <c r="A10163" s="197" t="str">
        <f t="shared" si="158"/>
        <v>VscCode_noElevations</v>
      </c>
      <c r="B10163" s="409"/>
      <c r="C10163" s="416"/>
      <c r="D10163" s="198" t="s">
        <v>53605</v>
      </c>
      <c r="E10163" s="198">
        <v>3</v>
      </c>
      <c r="F10163" s="199" t="s">
        <v>53606</v>
      </c>
      <c r="G10163" s="1" t="s">
        <v>53607</v>
      </c>
      <c r="H10163" s="200"/>
      <c r="I10163" s="346"/>
      <c r="J10163" s="39">
        <v>110608</v>
      </c>
      <c r="K10163" s="36" t="str">
        <f>CONCATENATE(Cover!$D$6,"fdd/view?i=",J10163)</f>
        <v>https://www.dgiwg.org/FAD/fdd/view?i=110608</v>
      </c>
      <c r="L10163" s="36" t="s">
        <v>53608</v>
      </c>
      <c r="M10163" s="186"/>
      <c r="N10163" s="186"/>
      <c r="O10163" s="172"/>
    </row>
    <row r="10164" spans="1:15" ht="25.5" x14ac:dyDescent="0.2">
      <c r="A10164" s="197" t="str">
        <f t="shared" si="158"/>
        <v>VscCode_reflectiveSurface</v>
      </c>
      <c r="B10164" s="409"/>
      <c r="C10164" s="416"/>
      <c r="D10164" s="198" t="s">
        <v>53609</v>
      </c>
      <c r="E10164" s="198">
        <v>4</v>
      </c>
      <c r="F10164" s="199" t="s">
        <v>53610</v>
      </c>
      <c r="G10164" s="1" t="s">
        <v>53611</v>
      </c>
      <c r="H10164" s="200"/>
      <c r="I10164" s="346"/>
      <c r="J10164" s="39">
        <v>110609</v>
      </c>
      <c r="K10164" s="36" t="str">
        <f>CONCATENATE(Cover!$D$6,"fdd/view?i=",J10164)</f>
        <v>https://www.dgiwg.org/FAD/fdd/view?i=110609</v>
      </c>
      <c r="L10164" s="36" t="s">
        <v>53612</v>
      </c>
      <c r="M10164" s="186"/>
      <c r="N10164" s="186"/>
      <c r="O10164" s="172"/>
    </row>
    <row r="10165" spans="1:15" ht="25.5" x14ac:dyDescent="0.2">
      <c r="A10165" s="197" t="str">
        <f t="shared" si="158"/>
        <v>VscCode_stereoscopicImagery</v>
      </c>
      <c r="B10165" s="409"/>
      <c r="C10165" s="416"/>
      <c r="D10165" s="198" t="s">
        <v>49115</v>
      </c>
      <c r="E10165" s="198">
        <v>5</v>
      </c>
      <c r="F10165" s="199" t="s">
        <v>49116</v>
      </c>
      <c r="G10165" s="1" t="s">
        <v>49117</v>
      </c>
      <c r="H10165" s="200"/>
      <c r="I10165" s="346"/>
      <c r="J10165" s="39">
        <v>110610</v>
      </c>
      <c r="K10165" s="36" t="str">
        <f>CONCATENATE(Cover!$D$6,"fdd/view?i=",J10165)</f>
        <v>https://www.dgiwg.org/FAD/fdd/view?i=110610</v>
      </c>
      <c r="L10165" s="36" t="s">
        <v>53622</v>
      </c>
      <c r="M10165" s="186"/>
      <c r="N10165" s="186"/>
      <c r="O10165" s="172"/>
    </row>
    <row r="10166" spans="1:15" ht="25.5" x14ac:dyDescent="0.2">
      <c r="A10166" s="203" t="str">
        <f t="shared" si="158"/>
        <v>VscCode_tinData</v>
      </c>
      <c r="B10166" s="410"/>
      <c r="C10166" s="417"/>
      <c r="D10166" s="204" t="s">
        <v>53623</v>
      </c>
      <c r="E10166" s="204">
        <v>6</v>
      </c>
      <c r="F10166" s="205" t="s">
        <v>53624</v>
      </c>
      <c r="G10166" s="206" t="s">
        <v>53625</v>
      </c>
      <c r="H10166" s="207"/>
      <c r="I10166" s="347"/>
      <c r="J10166" s="39">
        <v>110611</v>
      </c>
      <c r="K10166" s="36" t="str">
        <f>CONCATENATE(Cover!$D$6,"fdd/view?i=",J10166)</f>
        <v>https://www.dgiwg.org/FAD/fdd/view?i=110611</v>
      </c>
      <c r="L10166" s="36" t="s">
        <v>53626</v>
      </c>
      <c r="M10166" s="186"/>
      <c r="N10166" s="186"/>
      <c r="O10166" s="172"/>
    </row>
    <row r="10167" spans="1:15" x14ac:dyDescent="0.2">
      <c r="A10167" s="190" t="str">
        <f t="shared" si="158"/>
        <v>VbmCode_gangway</v>
      </c>
      <c r="B10167" s="414" t="str">
        <f>HYPERLINK("[#]Datatypes!A1652:L1652","VbmCode")</f>
        <v>VbmCode</v>
      </c>
      <c r="C10167" s="415" t="s">
        <v>16286</v>
      </c>
      <c r="D10167" s="221" t="s">
        <v>53627</v>
      </c>
      <c r="E10167" s="221">
        <v>1</v>
      </c>
      <c r="F10167" s="222" t="s">
        <v>53628</v>
      </c>
      <c r="G10167" s="223" t="s">
        <v>53629</v>
      </c>
      <c r="H10167" s="224"/>
      <c r="I10167" s="345"/>
      <c r="J10167" s="39">
        <v>114379</v>
      </c>
      <c r="K10167" s="36" t="str">
        <f>CONCATENATE(Cover!$D$6,"fdd/view?i=",J10167)</f>
        <v>https://www.dgiwg.org/FAD/fdd/view?i=114379</v>
      </c>
      <c r="L10167" s="36" t="s">
        <v>53630</v>
      </c>
      <c r="M10167" s="186"/>
      <c r="N10167" s="186"/>
      <c r="O10167" s="172"/>
    </row>
    <row r="10168" spans="1:15" ht="38.25" x14ac:dyDescent="0.2">
      <c r="A10168" s="197" t="str">
        <f t="shared" si="158"/>
        <v>VbmCode_grapplingHook</v>
      </c>
      <c r="B10168" s="409"/>
      <c r="C10168" s="416"/>
      <c r="D10168" s="198" t="s">
        <v>53631</v>
      </c>
      <c r="E10168" s="198">
        <v>2</v>
      </c>
      <c r="F10168" s="199" t="s">
        <v>53632</v>
      </c>
      <c r="G10168" s="1" t="s">
        <v>53633</v>
      </c>
      <c r="H10168" s="200"/>
      <c r="I10168" s="346"/>
      <c r="J10168" s="39">
        <v>114380</v>
      </c>
      <c r="K10168" s="36" t="str">
        <f>CONCATENATE(Cover!$D$6,"fdd/view?i=",J10168)</f>
        <v>https://www.dgiwg.org/FAD/fdd/view?i=114380</v>
      </c>
      <c r="L10168" s="36" t="s">
        <v>53634</v>
      </c>
      <c r="M10168" s="186"/>
      <c r="N10168" s="186"/>
      <c r="O10168" s="172"/>
    </row>
    <row r="10169" spans="1:15" ht="25.5" x14ac:dyDescent="0.2">
      <c r="A10169" s="197" t="str">
        <f t="shared" si="158"/>
        <v>VbmCode_jumped</v>
      </c>
      <c r="B10169" s="409"/>
      <c r="C10169" s="416"/>
      <c r="D10169" s="198" t="s">
        <v>53635</v>
      </c>
      <c r="E10169" s="198">
        <v>3</v>
      </c>
      <c r="F10169" s="199" t="s">
        <v>53636</v>
      </c>
      <c r="G10169" s="1" t="s">
        <v>53637</v>
      </c>
      <c r="H10169" s="200"/>
      <c r="I10169" s="346"/>
      <c r="J10169" s="39">
        <v>114381</v>
      </c>
      <c r="K10169" s="36" t="str">
        <f>CONCATENATE(Cover!$D$6,"fdd/view?i=",J10169)</f>
        <v>https://www.dgiwg.org/FAD/fdd/view?i=114381</v>
      </c>
      <c r="L10169" s="36" t="s">
        <v>53638</v>
      </c>
      <c r="M10169" s="186"/>
      <c r="N10169" s="186"/>
      <c r="O10169" s="172"/>
    </row>
    <row r="10170" spans="1:15" x14ac:dyDescent="0.2">
      <c r="A10170" s="203" t="str">
        <f t="shared" si="158"/>
        <v>VbmCode_towLine</v>
      </c>
      <c r="B10170" s="410"/>
      <c r="C10170" s="417"/>
      <c r="D10170" s="204" t="s">
        <v>53639</v>
      </c>
      <c r="E10170" s="204">
        <v>4</v>
      </c>
      <c r="F10170" s="205" t="s">
        <v>53640</v>
      </c>
      <c r="G10170" s="206" t="s">
        <v>53641</v>
      </c>
      <c r="H10170" s="207"/>
      <c r="I10170" s="347"/>
      <c r="J10170" s="39">
        <v>114382</v>
      </c>
      <c r="K10170" s="36" t="str">
        <f>CONCATENATE(Cover!$D$6,"fdd/view?i=",J10170)</f>
        <v>https://www.dgiwg.org/FAD/fdd/view?i=114382</v>
      </c>
      <c r="L10170" s="36" t="s">
        <v>53642</v>
      </c>
      <c r="M10170" s="186"/>
      <c r="N10170" s="186"/>
      <c r="O10170" s="172"/>
    </row>
    <row r="10171" spans="1:15" x14ac:dyDescent="0.2">
      <c r="A10171" s="190" t="str">
        <f t="shared" si="158"/>
        <v>VepCode_amidships</v>
      </c>
      <c r="B10171" s="414" t="str">
        <f>HYPERLINK("[#]Datatypes!A1654:L1654","VepCode")</f>
        <v>VepCode</v>
      </c>
      <c r="C10171" s="415" t="s">
        <v>16288</v>
      </c>
      <c r="D10171" s="221" t="s">
        <v>53643</v>
      </c>
      <c r="E10171" s="221">
        <v>1</v>
      </c>
      <c r="F10171" s="222" t="s">
        <v>53644</v>
      </c>
      <c r="G10171" s="223" t="s">
        <v>53645</v>
      </c>
      <c r="H10171" s="224"/>
      <c r="I10171" s="345"/>
      <c r="J10171" s="39">
        <v>114383</v>
      </c>
      <c r="K10171" s="36" t="str">
        <f>CONCATENATE(Cover!$D$6,"fdd/view?i=",J10171)</f>
        <v>https://www.dgiwg.org/FAD/fdd/view?i=114383</v>
      </c>
      <c r="L10171" s="36" t="s">
        <v>53646</v>
      </c>
      <c r="M10171" s="186"/>
      <c r="N10171" s="186"/>
      <c r="O10171" s="172"/>
    </row>
    <row r="10172" spans="1:15" ht="25.5" x14ac:dyDescent="0.2">
      <c r="A10172" s="197" t="str">
        <f t="shared" si="158"/>
        <v>VepCode_bridgeWing</v>
      </c>
      <c r="B10172" s="409"/>
      <c r="C10172" s="416"/>
      <c r="D10172" s="198" t="s">
        <v>53647</v>
      </c>
      <c r="E10172" s="198">
        <v>2</v>
      </c>
      <c r="F10172" s="199" t="s">
        <v>53648</v>
      </c>
      <c r="G10172" s="1" t="s">
        <v>53649</v>
      </c>
      <c r="H10172" s="1" t="s">
        <v>53650</v>
      </c>
      <c r="I10172" s="346"/>
      <c r="J10172" s="39">
        <v>114384</v>
      </c>
      <c r="K10172" s="36" t="str">
        <f>CONCATENATE(Cover!$D$6,"fdd/view?i=",J10172)</f>
        <v>https://www.dgiwg.org/FAD/fdd/view?i=114384</v>
      </c>
      <c r="L10172" s="36" t="s">
        <v>53651</v>
      </c>
      <c r="M10172" s="186"/>
      <c r="N10172" s="186"/>
      <c r="O10172" s="172"/>
    </row>
    <row r="10173" spans="1:15" x14ac:dyDescent="0.2">
      <c r="A10173" s="197" t="str">
        <f t="shared" si="158"/>
        <v>VepCode_engineRoom</v>
      </c>
      <c r="B10173" s="409"/>
      <c r="C10173" s="416"/>
      <c r="D10173" s="198" t="s">
        <v>53652</v>
      </c>
      <c r="E10173" s="198">
        <v>3</v>
      </c>
      <c r="F10173" s="199" t="s">
        <v>53653</v>
      </c>
      <c r="G10173" s="1" t="s">
        <v>53654</v>
      </c>
      <c r="H10173" s="200"/>
      <c r="I10173" s="346"/>
      <c r="J10173" s="39">
        <v>114385</v>
      </c>
      <c r="K10173" s="36" t="str">
        <f>CONCATENATE(Cover!$D$6,"fdd/view?i=",J10173)</f>
        <v>https://www.dgiwg.org/FAD/fdd/view?i=114385</v>
      </c>
      <c r="L10173" s="36" t="s">
        <v>53655</v>
      </c>
      <c r="M10173" s="186"/>
      <c r="N10173" s="186"/>
      <c r="O10173" s="172"/>
    </row>
    <row r="10174" spans="1:15" ht="25.5" x14ac:dyDescent="0.2">
      <c r="A10174" s="197" t="str">
        <f t="shared" si="158"/>
        <v>VepCode_fantail</v>
      </c>
      <c r="B10174" s="409"/>
      <c r="C10174" s="416"/>
      <c r="D10174" s="198" t="s">
        <v>53656</v>
      </c>
      <c r="E10174" s="198">
        <v>4</v>
      </c>
      <c r="F10174" s="199" t="s">
        <v>53657</v>
      </c>
      <c r="G10174" s="1" t="s">
        <v>53658</v>
      </c>
      <c r="H10174" s="200"/>
      <c r="I10174" s="346"/>
      <c r="J10174" s="39">
        <v>114386</v>
      </c>
      <c r="K10174" s="36" t="str">
        <f>CONCATENATE(Cover!$D$6,"fdd/view?i=",J10174)</f>
        <v>https://www.dgiwg.org/FAD/fdd/view?i=114386</v>
      </c>
      <c r="L10174" s="36" t="s">
        <v>53659</v>
      </c>
      <c r="M10174" s="186"/>
      <c r="N10174" s="186"/>
      <c r="O10174" s="172"/>
    </row>
    <row r="10175" spans="1:15" ht="25.5" x14ac:dyDescent="0.2">
      <c r="A10175" s="203" t="str">
        <f t="shared" si="158"/>
        <v>VepCode_stern</v>
      </c>
      <c r="B10175" s="410"/>
      <c r="C10175" s="417"/>
      <c r="D10175" s="204" t="s">
        <v>53660</v>
      </c>
      <c r="E10175" s="204">
        <v>5</v>
      </c>
      <c r="F10175" s="205" t="s">
        <v>53661</v>
      </c>
      <c r="G10175" s="206" t="s">
        <v>53662</v>
      </c>
      <c r="H10175" s="207"/>
      <c r="I10175" s="347"/>
      <c r="J10175" s="39">
        <v>114387</v>
      </c>
      <c r="K10175" s="36" t="str">
        <f>CONCATENATE(Cover!$D$6,"fdd/view?i=",J10175)</f>
        <v>https://www.dgiwg.org/FAD/fdd/view?i=114387</v>
      </c>
      <c r="L10175" s="36" t="s">
        <v>53663</v>
      </c>
      <c r="M10175" s="186"/>
      <c r="N10175" s="186"/>
      <c r="O10175" s="172"/>
    </row>
    <row r="10176" spans="1:15" ht="25.5" x14ac:dyDescent="0.2">
      <c r="A10176" s="190" t="str">
        <f t="shared" si="158"/>
        <v>WktCode_accommodation</v>
      </c>
      <c r="B10176" s="414" t="str">
        <f>HYPERLINK("[#]Datatypes!A1656:L1656","WktCode")</f>
        <v>WktCode</v>
      </c>
      <c r="C10176" s="415" t="s">
        <v>16290</v>
      </c>
      <c r="D10176" s="221" t="s">
        <v>30391</v>
      </c>
      <c r="E10176" s="221">
        <v>140</v>
      </c>
      <c r="F10176" s="222" t="s">
        <v>30392</v>
      </c>
      <c r="G10176" s="223" t="s">
        <v>34982</v>
      </c>
      <c r="H10176" s="223" t="s">
        <v>34983</v>
      </c>
      <c r="I10176" s="345"/>
      <c r="J10176" s="39">
        <v>119961</v>
      </c>
      <c r="K10176" s="36" t="str">
        <f>CONCATENATE(Cover!$D$6,"fdd/view?i=",J10176)</f>
        <v>https://www.dgiwg.org/FAD/fdd/view?i=119961</v>
      </c>
      <c r="L10176" s="36" t="s">
        <v>53664</v>
      </c>
      <c r="M10176" s="186"/>
      <c r="N10176" s="186"/>
      <c r="O10176" s="172"/>
    </row>
    <row r="10177" spans="1:15" ht="25.5" x14ac:dyDescent="0.2">
      <c r="A10177" s="197" t="str">
        <f t="shared" si="158"/>
        <v>WktCode_aircraft</v>
      </c>
      <c r="B10177" s="409"/>
      <c r="C10177" s="416"/>
      <c r="D10177" s="198" t="s">
        <v>26569</v>
      </c>
      <c r="E10177" s="198">
        <v>2</v>
      </c>
      <c r="F10177" s="199" t="s">
        <v>26570</v>
      </c>
      <c r="G10177" s="1" t="s">
        <v>53665</v>
      </c>
      <c r="H10177" s="200"/>
      <c r="I10177" s="346"/>
      <c r="J10177" s="39">
        <v>109444</v>
      </c>
      <c r="K10177" s="36" t="str">
        <f>CONCATENATE(Cover!$D$6,"fdd/view?i=",J10177)</f>
        <v>https://www.dgiwg.org/FAD/fdd/view?i=109444</v>
      </c>
      <c r="L10177" s="36" t="s">
        <v>53666</v>
      </c>
      <c r="M10177" s="186"/>
      <c r="N10177" s="186"/>
      <c r="O10177" s="172"/>
    </row>
    <row r="10178" spans="1:15" ht="25.5" x14ac:dyDescent="0.2">
      <c r="A10178" s="197" t="str">
        <f t="shared" ref="A10178:A10241" si="159">HYPERLINK(K10178,L10178)</f>
        <v>WktCode_aircraftCarrier</v>
      </c>
      <c r="B10178" s="409"/>
      <c r="C10178" s="416"/>
      <c r="D10178" s="198" t="s">
        <v>53667</v>
      </c>
      <c r="E10178" s="198">
        <v>8</v>
      </c>
      <c r="F10178" s="199" t="s">
        <v>53668</v>
      </c>
      <c r="G10178" s="1" t="s">
        <v>53669</v>
      </c>
      <c r="H10178" s="200"/>
      <c r="I10178" s="346"/>
      <c r="J10178" s="39">
        <v>109450</v>
      </c>
      <c r="K10178" s="36" t="str">
        <f>CONCATENATE(Cover!$D$6,"fdd/view?i=",J10178)</f>
        <v>https://www.dgiwg.org/FAD/fdd/view?i=109450</v>
      </c>
      <c r="L10178" s="36" t="s">
        <v>53670</v>
      </c>
      <c r="M10178" s="186"/>
      <c r="N10178" s="186"/>
      <c r="O10178" s="172"/>
    </row>
    <row r="10179" spans="1:15" ht="38.25" x14ac:dyDescent="0.2">
      <c r="A10179" s="197" t="str">
        <f t="shared" si="159"/>
        <v>WktCode_amphibiousWarfareVessel</v>
      </c>
      <c r="B10179" s="409"/>
      <c r="C10179" s="416"/>
      <c r="D10179" s="198" t="s">
        <v>53671</v>
      </c>
      <c r="E10179" s="198">
        <v>136</v>
      </c>
      <c r="F10179" s="199" t="s">
        <v>53672</v>
      </c>
      <c r="G10179" s="1" t="s">
        <v>53673</v>
      </c>
      <c r="H10179" s="200"/>
      <c r="I10179" s="346"/>
      <c r="J10179" s="39">
        <v>114400</v>
      </c>
      <c r="K10179" s="36" t="str">
        <f>CONCATENATE(Cover!$D$6,"fdd/view?i=",J10179)</f>
        <v>https://www.dgiwg.org/FAD/fdd/view?i=114400</v>
      </c>
      <c r="L10179" s="36" t="s">
        <v>53674</v>
      </c>
      <c r="M10179" s="186"/>
      <c r="N10179" s="186"/>
      <c r="O10179" s="172"/>
    </row>
    <row r="10180" spans="1:15" ht="25.5" x14ac:dyDescent="0.2">
      <c r="A10180" s="197" t="str">
        <f t="shared" si="159"/>
        <v>WktCode_ancientMerchant</v>
      </c>
      <c r="B10180" s="409"/>
      <c r="C10180" s="416"/>
      <c r="D10180" s="198" t="s">
        <v>53675</v>
      </c>
      <c r="E10180" s="198">
        <v>109</v>
      </c>
      <c r="F10180" s="199" t="s">
        <v>53676</v>
      </c>
      <c r="G10180" s="1" t="s">
        <v>53677</v>
      </c>
      <c r="H10180" s="200"/>
      <c r="I10180" s="346"/>
      <c r="J10180" s="39">
        <v>109548</v>
      </c>
      <c r="K10180" s="36" t="str">
        <f>CONCATENATE(Cover!$D$6,"fdd/view?i=",J10180)</f>
        <v>https://www.dgiwg.org/FAD/fdd/view?i=109548</v>
      </c>
      <c r="L10180" s="36" t="s">
        <v>53678</v>
      </c>
      <c r="M10180" s="186"/>
      <c r="N10180" s="186"/>
      <c r="O10180" s="172"/>
    </row>
    <row r="10181" spans="1:15" ht="25.5" x14ac:dyDescent="0.2">
      <c r="A10181" s="197" t="str">
        <f t="shared" si="159"/>
        <v>WktCode_ancientMilitaryVessel</v>
      </c>
      <c r="B10181" s="409"/>
      <c r="C10181" s="416"/>
      <c r="D10181" s="198" t="s">
        <v>53679</v>
      </c>
      <c r="E10181" s="198">
        <v>100</v>
      </c>
      <c r="F10181" s="199" t="s">
        <v>53680</v>
      </c>
      <c r="G10181" s="1" t="s">
        <v>53677</v>
      </c>
      <c r="H10181" s="200"/>
      <c r="I10181" s="346"/>
      <c r="J10181" s="39">
        <v>109540</v>
      </c>
      <c r="K10181" s="36" t="str">
        <f>CONCATENATE(Cover!$D$6,"fdd/view?i=",J10181)</f>
        <v>https://www.dgiwg.org/FAD/fdd/view?i=109540</v>
      </c>
      <c r="L10181" s="36" t="s">
        <v>53681</v>
      </c>
      <c r="M10181" s="186"/>
      <c r="N10181" s="186"/>
      <c r="O10181" s="172"/>
    </row>
    <row r="10182" spans="1:15" ht="25.5" x14ac:dyDescent="0.2">
      <c r="A10182" s="197" t="str">
        <f t="shared" si="159"/>
        <v>WktCode_antiSubmarineBarrier</v>
      </c>
      <c r="B10182" s="409"/>
      <c r="C10182" s="416"/>
      <c r="D10182" s="198" t="s">
        <v>53682</v>
      </c>
      <c r="E10182" s="198">
        <v>118</v>
      </c>
      <c r="F10182" s="199" t="s">
        <v>53683</v>
      </c>
      <c r="G10182" s="1" t="s">
        <v>53684</v>
      </c>
      <c r="H10182" s="200"/>
      <c r="I10182" s="346"/>
      <c r="J10182" s="39">
        <v>109556</v>
      </c>
      <c r="K10182" s="36" t="str">
        <f>CONCATENATE(Cover!$D$6,"fdd/view?i=",J10182)</f>
        <v>https://www.dgiwg.org/FAD/fdd/view?i=109556</v>
      </c>
      <c r="L10182" s="36" t="s">
        <v>53685</v>
      </c>
      <c r="M10182" s="186"/>
      <c r="N10182" s="186"/>
      <c r="O10182" s="172"/>
    </row>
    <row r="10183" spans="1:15" x14ac:dyDescent="0.2">
      <c r="A10183" s="197" t="str">
        <f t="shared" si="159"/>
        <v>WktCode_armedVessel</v>
      </c>
      <c r="B10183" s="409"/>
      <c r="C10183" s="416"/>
      <c r="D10183" s="198" t="s">
        <v>53686</v>
      </c>
      <c r="E10183" s="198">
        <v>111</v>
      </c>
      <c r="F10183" s="199" t="s">
        <v>53687</v>
      </c>
      <c r="G10183" s="1" t="s">
        <v>53688</v>
      </c>
      <c r="H10183" s="200"/>
      <c r="I10183" s="346"/>
      <c r="J10183" s="39">
        <v>109550</v>
      </c>
      <c r="K10183" s="36" t="str">
        <f>CONCATENATE(Cover!$D$6,"fdd/view?i=",J10183)</f>
        <v>https://www.dgiwg.org/FAD/fdd/view?i=109550</v>
      </c>
      <c r="L10183" s="36" t="s">
        <v>53689</v>
      </c>
      <c r="M10183" s="186"/>
      <c r="N10183" s="186"/>
      <c r="O10183" s="172"/>
    </row>
    <row r="10184" spans="1:15" ht="25.5" x14ac:dyDescent="0.2">
      <c r="A10184" s="197" t="str">
        <f t="shared" si="159"/>
        <v>WktCode_auxiliary</v>
      </c>
      <c r="B10184" s="409"/>
      <c r="C10184" s="416"/>
      <c r="D10184" s="198" t="s">
        <v>19922</v>
      </c>
      <c r="E10184" s="198">
        <v>3</v>
      </c>
      <c r="F10184" s="199" t="s">
        <v>19923</v>
      </c>
      <c r="G10184" s="1" t="s">
        <v>53690</v>
      </c>
      <c r="H10184" s="1" t="s">
        <v>53691</v>
      </c>
      <c r="I10184" s="346"/>
      <c r="J10184" s="39">
        <v>109445</v>
      </c>
      <c r="K10184" s="36" t="str">
        <f>CONCATENATE(Cover!$D$6,"fdd/view?i=",J10184)</f>
        <v>https://www.dgiwg.org/FAD/fdd/view?i=109445</v>
      </c>
      <c r="L10184" s="36" t="s">
        <v>53692</v>
      </c>
      <c r="M10184" s="186"/>
      <c r="N10184" s="186"/>
      <c r="O10184" s="172"/>
    </row>
    <row r="10185" spans="1:15" ht="38.25" x14ac:dyDescent="0.2">
      <c r="A10185" s="197" t="str">
        <f t="shared" si="159"/>
        <v>WktCode_barge</v>
      </c>
      <c r="B10185" s="409"/>
      <c r="C10185" s="416"/>
      <c r="D10185" s="198" t="s">
        <v>24810</v>
      </c>
      <c r="E10185" s="198">
        <v>5</v>
      </c>
      <c r="F10185" s="199" t="s">
        <v>24811</v>
      </c>
      <c r="G10185" s="1" t="s">
        <v>53693</v>
      </c>
      <c r="H10185" s="200"/>
      <c r="I10185" s="346"/>
      <c r="J10185" s="39">
        <v>109447</v>
      </c>
      <c r="K10185" s="36" t="str">
        <f>CONCATENATE(Cover!$D$6,"fdd/view?i=",J10185)</f>
        <v>https://www.dgiwg.org/FAD/fdd/view?i=109447</v>
      </c>
      <c r="L10185" s="36" t="s">
        <v>53694</v>
      </c>
      <c r="M10185" s="186"/>
      <c r="N10185" s="186"/>
      <c r="O10185" s="172"/>
    </row>
    <row r="10186" spans="1:15" ht="38.25" x14ac:dyDescent="0.2">
      <c r="A10186" s="197" t="str">
        <f t="shared" si="159"/>
        <v>WktCode_barque</v>
      </c>
      <c r="B10186" s="409"/>
      <c r="C10186" s="416"/>
      <c r="D10186" s="198" t="s">
        <v>53695</v>
      </c>
      <c r="E10186" s="198">
        <v>81</v>
      </c>
      <c r="F10186" s="199" t="s">
        <v>53696</v>
      </c>
      <c r="G10186" s="1" t="s">
        <v>53697</v>
      </c>
      <c r="H10186" s="1" t="s">
        <v>53698</v>
      </c>
      <c r="I10186" s="346"/>
      <c r="J10186" s="39">
        <v>109521</v>
      </c>
      <c r="K10186" s="36" t="str">
        <f>CONCATENATE(Cover!$D$6,"fdd/view?i=",J10186)</f>
        <v>https://www.dgiwg.org/FAD/fdd/view?i=109521</v>
      </c>
      <c r="L10186" s="36" t="s">
        <v>53699</v>
      </c>
      <c r="M10186" s="186"/>
      <c r="N10186" s="186"/>
      <c r="O10186" s="172"/>
    </row>
    <row r="10187" spans="1:15" ht="25.5" x14ac:dyDescent="0.2">
      <c r="A10187" s="197" t="str">
        <f t="shared" si="159"/>
        <v>WktCode_battleCruiser</v>
      </c>
      <c r="B10187" s="409"/>
      <c r="C10187" s="416"/>
      <c r="D10187" s="198" t="s">
        <v>53700</v>
      </c>
      <c r="E10187" s="198">
        <v>104</v>
      </c>
      <c r="F10187" s="199" t="s">
        <v>53701</v>
      </c>
      <c r="G10187" s="1" t="s">
        <v>53702</v>
      </c>
      <c r="H10187" s="200"/>
      <c r="I10187" s="346"/>
      <c r="J10187" s="39">
        <v>109544</v>
      </c>
      <c r="K10187" s="36" t="str">
        <f>CONCATENATE(Cover!$D$6,"fdd/view?i=",J10187)</f>
        <v>https://www.dgiwg.org/FAD/fdd/view?i=109544</v>
      </c>
      <c r="L10187" s="36" t="s">
        <v>53703</v>
      </c>
      <c r="M10187" s="186"/>
      <c r="N10187" s="186"/>
      <c r="O10187" s="172"/>
    </row>
    <row r="10188" spans="1:15" ht="25.5" x14ac:dyDescent="0.2">
      <c r="A10188" s="197" t="str">
        <f t="shared" si="159"/>
        <v>WktCode_battleship</v>
      </c>
      <c r="B10188" s="409"/>
      <c r="C10188" s="416"/>
      <c r="D10188" s="198" t="s">
        <v>53704</v>
      </c>
      <c r="E10188" s="198">
        <v>4</v>
      </c>
      <c r="F10188" s="199" t="s">
        <v>53705</v>
      </c>
      <c r="G10188" s="1" t="s">
        <v>53706</v>
      </c>
      <c r="H10188" s="1" t="s">
        <v>53707</v>
      </c>
      <c r="I10188" s="346"/>
      <c r="J10188" s="39">
        <v>109446</v>
      </c>
      <c r="K10188" s="36" t="str">
        <f>CONCATENATE(Cover!$D$6,"fdd/view?i=",J10188)</f>
        <v>https://www.dgiwg.org/FAD/fdd/view?i=109446</v>
      </c>
      <c r="L10188" s="36" t="s">
        <v>53708</v>
      </c>
      <c r="M10188" s="186"/>
      <c r="N10188" s="186"/>
      <c r="O10188" s="172"/>
    </row>
    <row r="10189" spans="1:15" ht="25.5" x14ac:dyDescent="0.2">
      <c r="A10189" s="197" t="str">
        <f t="shared" si="159"/>
        <v>WktCode_beamTrawler</v>
      </c>
      <c r="B10189" s="409"/>
      <c r="C10189" s="416"/>
      <c r="D10189" s="198" t="s">
        <v>53709</v>
      </c>
      <c r="E10189" s="198">
        <v>121</v>
      </c>
      <c r="F10189" s="199" t="s">
        <v>53710</v>
      </c>
      <c r="G10189" s="1" t="s">
        <v>53711</v>
      </c>
      <c r="H10189" s="200"/>
      <c r="I10189" s="346"/>
      <c r="J10189" s="39">
        <v>110658</v>
      </c>
      <c r="K10189" s="36" t="str">
        <f>CONCATENATE(Cover!$D$6,"fdd/view?i=",J10189)</f>
        <v>https://www.dgiwg.org/FAD/fdd/view?i=110658</v>
      </c>
      <c r="L10189" s="36" t="s">
        <v>53712</v>
      </c>
      <c r="M10189" s="186"/>
      <c r="N10189" s="186"/>
      <c r="O10189" s="172"/>
    </row>
    <row r="10190" spans="1:15" x14ac:dyDescent="0.2">
      <c r="A10190" s="197" t="str">
        <f t="shared" si="159"/>
        <v>WktCode_blockShip</v>
      </c>
      <c r="B10190" s="409"/>
      <c r="C10190" s="416"/>
      <c r="D10190" s="198" t="s">
        <v>53713</v>
      </c>
      <c r="E10190" s="198">
        <v>114</v>
      </c>
      <c r="F10190" s="199" t="s">
        <v>53714</v>
      </c>
      <c r="G10190" s="1" t="s">
        <v>53715</v>
      </c>
      <c r="H10190" s="200"/>
      <c r="I10190" s="346"/>
      <c r="J10190" s="39">
        <v>109552</v>
      </c>
      <c r="K10190" s="36" t="str">
        <f>CONCATENATE(Cover!$D$6,"fdd/view?i=",J10190)</f>
        <v>https://www.dgiwg.org/FAD/fdd/view?i=109552</v>
      </c>
      <c r="L10190" s="36" t="s">
        <v>53716</v>
      </c>
      <c r="M10190" s="186"/>
      <c r="N10190" s="186"/>
      <c r="O10190" s="172"/>
    </row>
    <row r="10191" spans="1:15" ht="38.25" x14ac:dyDescent="0.2">
      <c r="A10191" s="197" t="str">
        <f t="shared" si="159"/>
        <v>WktCode_boardingVessel</v>
      </c>
      <c r="B10191" s="409"/>
      <c r="C10191" s="416"/>
      <c r="D10191" s="198" t="s">
        <v>53717</v>
      </c>
      <c r="E10191" s="198">
        <v>94</v>
      </c>
      <c r="F10191" s="199" t="s">
        <v>53718</v>
      </c>
      <c r="G10191" s="1" t="s">
        <v>53719</v>
      </c>
      <c r="H10191" s="1" t="s">
        <v>53720</v>
      </c>
      <c r="I10191" s="346"/>
      <c r="J10191" s="39">
        <v>109534</v>
      </c>
      <c r="K10191" s="36" t="str">
        <f>CONCATENATE(Cover!$D$6,"fdd/view?i=",J10191)</f>
        <v>https://www.dgiwg.org/FAD/fdd/view?i=109534</v>
      </c>
      <c r="L10191" s="36" t="s">
        <v>53721</v>
      </c>
      <c r="M10191" s="186"/>
      <c r="N10191" s="186"/>
      <c r="O10191" s="172"/>
    </row>
    <row r="10192" spans="1:15" x14ac:dyDescent="0.2">
      <c r="A10192" s="197" t="str">
        <f t="shared" si="159"/>
        <v>WktCode_bombardon</v>
      </c>
      <c r="B10192" s="409"/>
      <c r="C10192" s="416"/>
      <c r="D10192" s="198" t="s">
        <v>53722</v>
      </c>
      <c r="E10192" s="198">
        <v>115</v>
      </c>
      <c r="F10192" s="199" t="s">
        <v>53723</v>
      </c>
      <c r="G10192" s="1" t="s">
        <v>53724</v>
      </c>
      <c r="H10192" s="200"/>
      <c r="I10192" s="346"/>
      <c r="J10192" s="39">
        <v>109553</v>
      </c>
      <c r="K10192" s="36" t="str">
        <f>CONCATENATE(Cover!$D$6,"fdd/view?i=",J10192)</f>
        <v>https://www.dgiwg.org/FAD/fdd/view?i=109553</v>
      </c>
      <c r="L10192" s="36" t="s">
        <v>53725</v>
      </c>
      <c r="M10192" s="186"/>
      <c r="N10192" s="186"/>
      <c r="O10192" s="172"/>
    </row>
    <row r="10193" spans="1:15" ht="25.5" x14ac:dyDescent="0.2">
      <c r="A10193" s="197" t="str">
        <f t="shared" si="159"/>
        <v>WktCode_brigantine</v>
      </c>
      <c r="B10193" s="409"/>
      <c r="C10193" s="416"/>
      <c r="D10193" s="198" t="s">
        <v>53726</v>
      </c>
      <c r="E10193" s="198">
        <v>77</v>
      </c>
      <c r="F10193" s="199" t="s">
        <v>53727</v>
      </c>
      <c r="G10193" s="1" t="s">
        <v>53728</v>
      </c>
      <c r="H10193" s="200"/>
      <c r="I10193" s="346"/>
      <c r="J10193" s="39">
        <v>109517</v>
      </c>
      <c r="K10193" s="36" t="str">
        <f>CONCATENATE(Cover!$D$6,"fdd/view?i=",J10193)</f>
        <v>https://www.dgiwg.org/FAD/fdd/view?i=109517</v>
      </c>
      <c r="L10193" s="36" t="s">
        <v>53729</v>
      </c>
      <c r="M10193" s="186"/>
      <c r="N10193" s="186"/>
      <c r="O10193" s="172"/>
    </row>
    <row r="10194" spans="1:15" ht="25.5" x14ac:dyDescent="0.2">
      <c r="A10194" s="197" t="str">
        <f t="shared" si="159"/>
        <v>WktCode_bulkCarrier</v>
      </c>
      <c r="B10194" s="409"/>
      <c r="C10194" s="416"/>
      <c r="D10194" s="198" t="s">
        <v>53730</v>
      </c>
      <c r="E10194" s="198">
        <v>34</v>
      </c>
      <c r="F10194" s="199" t="s">
        <v>53731</v>
      </c>
      <c r="G10194" s="1" t="s">
        <v>53732</v>
      </c>
      <c r="H10194" s="200"/>
      <c r="I10194" s="346"/>
      <c r="J10194" s="39">
        <v>109476</v>
      </c>
      <c r="K10194" s="36" t="str">
        <f>CONCATENATE(Cover!$D$6,"fdd/view?i=",J10194)</f>
        <v>https://www.dgiwg.org/FAD/fdd/view?i=109476</v>
      </c>
      <c r="L10194" s="36" t="s">
        <v>53733</v>
      </c>
      <c r="M10194" s="186"/>
      <c r="N10194" s="186"/>
      <c r="O10194" s="172"/>
    </row>
    <row r="10195" spans="1:15" ht="25.5" x14ac:dyDescent="0.2">
      <c r="A10195" s="197" t="str">
        <f t="shared" si="159"/>
        <v>WktCode_buoy</v>
      </c>
      <c r="B10195" s="409"/>
      <c r="C10195" s="416"/>
      <c r="D10195" s="198" t="s">
        <v>24213</v>
      </c>
      <c r="E10195" s="198">
        <v>6</v>
      </c>
      <c r="F10195" s="199" t="s">
        <v>2373</v>
      </c>
      <c r="G10195" s="1" t="s">
        <v>53734</v>
      </c>
      <c r="H10195" s="200"/>
      <c r="I10195" s="346"/>
      <c r="J10195" s="39">
        <v>109448</v>
      </c>
      <c r="K10195" s="36" t="str">
        <f>CONCATENATE(Cover!$D$6,"fdd/view?i=",J10195)</f>
        <v>https://www.dgiwg.org/FAD/fdd/view?i=109448</v>
      </c>
      <c r="L10195" s="36" t="s">
        <v>53735</v>
      </c>
      <c r="M10195" s="186"/>
      <c r="N10195" s="186"/>
      <c r="O10195" s="172"/>
    </row>
    <row r="10196" spans="1:15" ht="25.5" x14ac:dyDescent="0.2">
      <c r="A10196" s="197" t="str">
        <f t="shared" si="159"/>
        <v>WktCode_cabinCruiser</v>
      </c>
      <c r="B10196" s="409"/>
      <c r="C10196" s="416"/>
      <c r="D10196" s="198" t="s">
        <v>53736</v>
      </c>
      <c r="E10196" s="198">
        <v>85</v>
      </c>
      <c r="F10196" s="199" t="s">
        <v>53737</v>
      </c>
      <c r="G10196" s="1" t="s">
        <v>53738</v>
      </c>
      <c r="H10196" s="200"/>
      <c r="I10196" s="346"/>
      <c r="J10196" s="39">
        <v>109525</v>
      </c>
      <c r="K10196" s="36" t="str">
        <f>CONCATENATE(Cover!$D$6,"fdd/view?i=",J10196)</f>
        <v>https://www.dgiwg.org/FAD/fdd/view?i=109525</v>
      </c>
      <c r="L10196" s="36" t="s">
        <v>53739</v>
      </c>
      <c r="M10196" s="186"/>
      <c r="N10196" s="186"/>
      <c r="O10196" s="172"/>
    </row>
    <row r="10197" spans="1:15" ht="25.5" x14ac:dyDescent="0.2">
      <c r="A10197" s="197" t="str">
        <f t="shared" si="159"/>
        <v>WktCode_cableLayer</v>
      </c>
      <c r="B10197" s="409"/>
      <c r="C10197" s="416"/>
      <c r="D10197" s="198" t="s">
        <v>53740</v>
      </c>
      <c r="E10197" s="198">
        <v>141</v>
      </c>
      <c r="F10197" s="199" t="s">
        <v>53741</v>
      </c>
      <c r="G10197" s="1" t="s">
        <v>53742</v>
      </c>
      <c r="H10197" s="1" t="s">
        <v>6582</v>
      </c>
      <c r="I10197" s="346"/>
      <c r="J10197" s="39">
        <v>119962</v>
      </c>
      <c r="K10197" s="36" t="str">
        <f>CONCATENATE(Cover!$D$6,"fdd/view?i=",J10197)</f>
        <v>https://www.dgiwg.org/FAD/fdd/view?i=119962</v>
      </c>
      <c r="L10197" s="36" t="s">
        <v>53743</v>
      </c>
      <c r="M10197" s="186"/>
      <c r="N10197" s="186"/>
      <c r="O10197" s="172"/>
    </row>
    <row r="10198" spans="1:15" ht="38.25" x14ac:dyDescent="0.2">
      <c r="A10198" s="197" t="str">
        <f t="shared" si="159"/>
        <v>WktCode_caisson</v>
      </c>
      <c r="B10198" s="409"/>
      <c r="C10198" s="416"/>
      <c r="D10198" s="198" t="s">
        <v>23626</v>
      </c>
      <c r="E10198" s="198">
        <v>7</v>
      </c>
      <c r="F10198" s="199" t="s">
        <v>2888</v>
      </c>
      <c r="G10198" s="1" t="s">
        <v>53744</v>
      </c>
      <c r="H10198" s="200"/>
      <c r="I10198" s="346"/>
      <c r="J10198" s="39">
        <v>109449</v>
      </c>
      <c r="K10198" s="36" t="str">
        <f>CONCATENATE(Cover!$D$6,"fdd/view?i=",J10198)</f>
        <v>https://www.dgiwg.org/FAD/fdd/view?i=109449</v>
      </c>
      <c r="L10198" s="36" t="s">
        <v>53745</v>
      </c>
      <c r="M10198" s="186"/>
      <c r="N10198" s="186"/>
      <c r="O10198" s="172"/>
    </row>
    <row r="10199" spans="1:15" x14ac:dyDescent="0.2">
      <c r="A10199" s="197" t="str">
        <f t="shared" si="159"/>
        <v>WktCode_cargo</v>
      </c>
      <c r="B10199" s="409"/>
      <c r="C10199" s="416"/>
      <c r="D10199" s="198" t="s">
        <v>22135</v>
      </c>
      <c r="E10199" s="198">
        <v>9</v>
      </c>
      <c r="F10199" s="199" t="s">
        <v>22136</v>
      </c>
      <c r="G10199" s="1" t="s">
        <v>53746</v>
      </c>
      <c r="H10199" s="200"/>
      <c r="I10199" s="346"/>
      <c r="J10199" s="39">
        <v>109451</v>
      </c>
      <c r="K10199" s="36" t="str">
        <f>CONCATENATE(Cover!$D$6,"fdd/view?i=",J10199)</f>
        <v>https://www.dgiwg.org/FAD/fdd/view?i=109451</v>
      </c>
      <c r="L10199" s="36" t="s">
        <v>53747</v>
      </c>
      <c r="M10199" s="186"/>
      <c r="N10199" s="186"/>
      <c r="O10199" s="172"/>
    </row>
    <row r="10200" spans="1:15" ht="25.5" x14ac:dyDescent="0.2">
      <c r="A10200" s="197" t="str">
        <f t="shared" si="159"/>
        <v>WktCode_carrier</v>
      </c>
      <c r="B10200" s="409"/>
      <c r="C10200" s="416"/>
      <c r="D10200" s="198" t="s">
        <v>53748</v>
      </c>
      <c r="E10200" s="198">
        <v>122</v>
      </c>
      <c r="F10200" s="199" t="s">
        <v>53749</v>
      </c>
      <c r="G10200" s="1" t="s">
        <v>53750</v>
      </c>
      <c r="H10200" s="1" t="s">
        <v>53751</v>
      </c>
      <c r="I10200" s="346"/>
      <c r="J10200" s="39">
        <v>110659</v>
      </c>
      <c r="K10200" s="36" t="str">
        <f>CONCATENATE(Cover!$D$6,"fdd/view?i=",J10200)</f>
        <v>https://www.dgiwg.org/FAD/fdd/view?i=110659</v>
      </c>
      <c r="L10200" s="36" t="s">
        <v>53752</v>
      </c>
      <c r="M10200" s="186"/>
      <c r="N10200" s="186"/>
      <c r="O10200" s="172"/>
    </row>
    <row r="10201" spans="1:15" x14ac:dyDescent="0.2">
      <c r="A10201" s="197" t="str">
        <f t="shared" si="159"/>
        <v>WktCode_catameran</v>
      </c>
      <c r="B10201" s="409"/>
      <c r="C10201" s="416"/>
      <c r="D10201" s="198" t="s">
        <v>53753</v>
      </c>
      <c r="E10201" s="198">
        <v>86</v>
      </c>
      <c r="F10201" s="199" t="s">
        <v>53754</v>
      </c>
      <c r="G10201" s="1" t="s">
        <v>53755</v>
      </c>
      <c r="H10201" s="200"/>
      <c r="I10201" s="346"/>
      <c r="J10201" s="39">
        <v>109526</v>
      </c>
      <c r="K10201" s="36" t="str">
        <f>CONCATENATE(Cover!$D$6,"fdd/view?i=",J10201)</f>
        <v>https://www.dgiwg.org/FAD/fdd/view?i=109526</v>
      </c>
      <c r="L10201" s="36" t="s">
        <v>53756</v>
      </c>
      <c r="M10201" s="186"/>
      <c r="N10201" s="186"/>
      <c r="O10201" s="172"/>
    </row>
    <row r="10202" spans="1:15" ht="25.5" x14ac:dyDescent="0.2">
      <c r="A10202" s="197" t="str">
        <f t="shared" si="159"/>
        <v>WktCode_coaster</v>
      </c>
      <c r="B10202" s="409"/>
      <c r="C10202" s="416"/>
      <c r="D10202" s="198" t="s">
        <v>53761</v>
      </c>
      <c r="E10202" s="198">
        <v>11</v>
      </c>
      <c r="F10202" s="199" t="s">
        <v>53762</v>
      </c>
      <c r="G10202" s="1" t="s">
        <v>53763</v>
      </c>
      <c r="H10202" s="200"/>
      <c r="I10202" s="346"/>
      <c r="J10202" s="39">
        <v>109453</v>
      </c>
      <c r="K10202" s="36" t="str">
        <f>CONCATENATE(Cover!$D$6,"fdd/view?i=",J10202)</f>
        <v>https://www.dgiwg.org/FAD/fdd/view?i=109453</v>
      </c>
      <c r="L10202" s="36" t="s">
        <v>53764</v>
      </c>
      <c r="M10202" s="186"/>
      <c r="N10202" s="186"/>
      <c r="O10202" s="172"/>
    </row>
    <row r="10203" spans="1:15" ht="38.25" x14ac:dyDescent="0.2">
      <c r="A10203" s="197" t="str">
        <f t="shared" si="159"/>
        <v>WktCode_coastGuardVessel</v>
      </c>
      <c r="B10203" s="409"/>
      <c r="C10203" s="416"/>
      <c r="D10203" s="198" t="s">
        <v>53757</v>
      </c>
      <c r="E10203" s="198">
        <v>102</v>
      </c>
      <c r="F10203" s="199" t="s">
        <v>53758</v>
      </c>
      <c r="G10203" s="1" t="s">
        <v>53759</v>
      </c>
      <c r="H10203" s="200"/>
      <c r="I10203" s="346"/>
      <c r="J10203" s="39">
        <v>109542</v>
      </c>
      <c r="K10203" s="36" t="str">
        <f>CONCATENATE(Cover!$D$6,"fdd/view?i=",J10203)</f>
        <v>https://www.dgiwg.org/FAD/fdd/view?i=109542</v>
      </c>
      <c r="L10203" s="36" t="s">
        <v>53760</v>
      </c>
      <c r="M10203" s="186"/>
      <c r="N10203" s="186"/>
      <c r="O10203" s="172"/>
    </row>
    <row r="10204" spans="1:15" x14ac:dyDescent="0.2">
      <c r="A10204" s="197" t="str">
        <f t="shared" si="159"/>
        <v>WktCode_collier</v>
      </c>
      <c r="B10204" s="409"/>
      <c r="C10204" s="416"/>
      <c r="D10204" s="198" t="s">
        <v>53765</v>
      </c>
      <c r="E10204" s="198">
        <v>75</v>
      </c>
      <c r="F10204" s="199" t="s">
        <v>53766</v>
      </c>
      <c r="G10204" s="1" t="s">
        <v>53767</v>
      </c>
      <c r="H10204" s="200"/>
      <c r="I10204" s="346"/>
      <c r="J10204" s="39">
        <v>109515</v>
      </c>
      <c r="K10204" s="36" t="str">
        <f>CONCATENATE(Cover!$D$6,"fdd/view?i=",J10204)</f>
        <v>https://www.dgiwg.org/FAD/fdd/view?i=109515</v>
      </c>
      <c r="L10204" s="36" t="s">
        <v>53768</v>
      </c>
      <c r="M10204" s="186"/>
      <c r="N10204" s="186"/>
      <c r="O10204" s="172"/>
    </row>
    <row r="10205" spans="1:15" ht="25.5" x14ac:dyDescent="0.2">
      <c r="A10205" s="197" t="str">
        <f t="shared" si="159"/>
        <v>WktCode_containerShip</v>
      </c>
      <c r="B10205" s="409"/>
      <c r="C10205" s="416"/>
      <c r="D10205" s="198" t="s">
        <v>53769</v>
      </c>
      <c r="E10205" s="198">
        <v>123</v>
      </c>
      <c r="F10205" s="199" t="s">
        <v>53770</v>
      </c>
      <c r="G10205" s="1" t="s">
        <v>53771</v>
      </c>
      <c r="H10205" s="200"/>
      <c r="I10205" s="346"/>
      <c r="J10205" s="39">
        <v>110660</v>
      </c>
      <c r="K10205" s="36" t="str">
        <f>CONCATENATE(Cover!$D$6,"fdd/view?i=",J10205)</f>
        <v>https://www.dgiwg.org/FAD/fdd/view?i=110660</v>
      </c>
      <c r="L10205" s="36" t="s">
        <v>53772</v>
      </c>
      <c r="M10205" s="186"/>
      <c r="N10205" s="186"/>
      <c r="O10205" s="172"/>
    </row>
    <row r="10206" spans="1:15" ht="25.5" x14ac:dyDescent="0.2">
      <c r="A10206" s="197" t="str">
        <f t="shared" si="159"/>
        <v>WktCode_corvette</v>
      </c>
      <c r="B10206" s="409"/>
      <c r="C10206" s="416"/>
      <c r="D10206" s="198" t="s">
        <v>53773</v>
      </c>
      <c r="E10206" s="198">
        <v>124</v>
      </c>
      <c r="F10206" s="199" t="s">
        <v>53774</v>
      </c>
      <c r="G10206" s="1" t="s">
        <v>53775</v>
      </c>
      <c r="H10206" s="200"/>
      <c r="I10206" s="346"/>
      <c r="J10206" s="39">
        <v>110661</v>
      </c>
      <c r="K10206" s="36" t="str">
        <f>CONCATENATE(Cover!$D$6,"fdd/view?i=",J10206)</f>
        <v>https://www.dgiwg.org/FAD/fdd/view?i=110661</v>
      </c>
      <c r="L10206" s="36" t="s">
        <v>53776</v>
      </c>
      <c r="M10206" s="186"/>
      <c r="N10206" s="186"/>
      <c r="O10206" s="172"/>
    </row>
    <row r="10207" spans="1:15" x14ac:dyDescent="0.2">
      <c r="A10207" s="197" t="str">
        <f t="shared" si="159"/>
        <v>WktCode_craneShip</v>
      </c>
      <c r="B10207" s="409"/>
      <c r="C10207" s="416"/>
      <c r="D10207" s="198" t="s">
        <v>53777</v>
      </c>
      <c r="E10207" s="198">
        <v>142</v>
      </c>
      <c r="F10207" s="199" t="s">
        <v>53778</v>
      </c>
      <c r="G10207" s="1" t="s">
        <v>53779</v>
      </c>
      <c r="H10207" s="1" t="s">
        <v>6582</v>
      </c>
      <c r="I10207" s="346"/>
      <c r="J10207" s="39">
        <v>119963</v>
      </c>
      <c r="K10207" s="36" t="str">
        <f>CONCATENATE(Cover!$D$6,"fdd/view?i=",J10207)</f>
        <v>https://www.dgiwg.org/FAD/fdd/view?i=119963</v>
      </c>
      <c r="L10207" s="36" t="s">
        <v>53780</v>
      </c>
      <c r="M10207" s="186"/>
      <c r="N10207" s="186"/>
      <c r="O10207" s="172"/>
    </row>
    <row r="10208" spans="1:15" x14ac:dyDescent="0.2">
      <c r="A10208" s="197" t="str">
        <f t="shared" si="159"/>
        <v>WktCode_cruiser</v>
      </c>
      <c r="B10208" s="409"/>
      <c r="C10208" s="416"/>
      <c r="D10208" s="198" t="s">
        <v>53781</v>
      </c>
      <c r="E10208" s="198">
        <v>12</v>
      </c>
      <c r="F10208" s="199" t="s">
        <v>53782</v>
      </c>
      <c r="G10208" s="1" t="s">
        <v>53783</v>
      </c>
      <c r="H10208" s="200"/>
      <c r="I10208" s="346"/>
      <c r="J10208" s="39">
        <v>109454</v>
      </c>
      <c r="K10208" s="36" t="str">
        <f>CONCATENATE(Cover!$D$6,"fdd/view?i=",J10208)</f>
        <v>https://www.dgiwg.org/FAD/fdd/view?i=109454</v>
      </c>
      <c r="L10208" s="36" t="s">
        <v>53784</v>
      </c>
      <c r="M10208" s="186"/>
      <c r="N10208" s="186"/>
      <c r="O10208" s="172"/>
    </row>
    <row r="10209" spans="1:15" ht="63.75" x14ac:dyDescent="0.2">
      <c r="A10209" s="197" t="str">
        <f t="shared" si="159"/>
        <v>WktCode_cutter</v>
      </c>
      <c r="B10209" s="409"/>
      <c r="C10209" s="416"/>
      <c r="D10209" s="198" t="s">
        <v>40453</v>
      </c>
      <c r="E10209" s="198">
        <v>79</v>
      </c>
      <c r="F10209" s="199" t="s">
        <v>40454</v>
      </c>
      <c r="G10209" s="1" t="s">
        <v>53788</v>
      </c>
      <c r="H10209" s="1" t="s">
        <v>53789</v>
      </c>
      <c r="I10209" s="346"/>
      <c r="J10209" s="39">
        <v>109519</v>
      </c>
      <c r="K10209" s="36" t="str">
        <f>CONCATENATE(Cover!$D$6,"fdd/view?i=",J10209)</f>
        <v>https://www.dgiwg.org/FAD/fdd/view?i=109519</v>
      </c>
      <c r="L10209" s="36" t="s">
        <v>53790</v>
      </c>
      <c r="M10209" s="186"/>
      <c r="N10209" s="186"/>
      <c r="O10209" s="172"/>
    </row>
    <row r="10210" spans="1:15" ht="25.5" x14ac:dyDescent="0.2">
      <c r="A10210" s="197" t="str">
        <f t="shared" si="159"/>
        <v>WktCode_derrickBarge</v>
      </c>
      <c r="B10210" s="409"/>
      <c r="C10210" s="416"/>
      <c r="D10210" s="198" t="s">
        <v>53791</v>
      </c>
      <c r="E10210" s="198">
        <v>73</v>
      </c>
      <c r="F10210" s="199" t="s">
        <v>53792</v>
      </c>
      <c r="G10210" s="1" t="s">
        <v>53793</v>
      </c>
      <c r="H10210" s="200"/>
      <c r="I10210" s="351" t="s">
        <v>53794</v>
      </c>
      <c r="J10210" s="39">
        <v>109513</v>
      </c>
      <c r="K10210" s="36" t="str">
        <f>CONCATENATE(Cover!$D$6,"fdd/view?i=",J10210)</f>
        <v>https://www.dgiwg.org/FAD/fdd/view?i=109513</v>
      </c>
      <c r="L10210" s="36" t="s">
        <v>53795</v>
      </c>
      <c r="M10210" s="186"/>
      <c r="N10210" s="186"/>
      <c r="O10210" s="172"/>
    </row>
    <row r="10211" spans="1:15" ht="25.5" x14ac:dyDescent="0.2">
      <c r="A10211" s="197" t="str">
        <f t="shared" si="159"/>
        <v>WktCode_destroyer</v>
      </c>
      <c r="B10211" s="409"/>
      <c r="C10211" s="416"/>
      <c r="D10211" s="198" t="s">
        <v>53796</v>
      </c>
      <c r="E10211" s="198">
        <v>125</v>
      </c>
      <c r="F10211" s="199" t="s">
        <v>53797</v>
      </c>
      <c r="G10211" s="1" t="s">
        <v>53798</v>
      </c>
      <c r="H10211" s="200"/>
      <c r="I10211" s="346"/>
      <c r="J10211" s="39">
        <v>110662</v>
      </c>
      <c r="K10211" s="36" t="str">
        <f>CONCATENATE(Cover!$D$6,"fdd/view?i=",J10211)</f>
        <v>https://www.dgiwg.org/FAD/fdd/view?i=110662</v>
      </c>
      <c r="L10211" s="36" t="s">
        <v>53799</v>
      </c>
      <c r="M10211" s="186"/>
      <c r="N10211" s="186"/>
      <c r="O10211" s="172"/>
    </row>
    <row r="10212" spans="1:15" x14ac:dyDescent="0.2">
      <c r="A10212" s="197" t="str">
        <f t="shared" si="159"/>
        <v>WktCode_dinghy</v>
      </c>
      <c r="B10212" s="409"/>
      <c r="C10212" s="416"/>
      <c r="D10212" s="198" t="s">
        <v>53800</v>
      </c>
      <c r="E10212" s="198">
        <v>90</v>
      </c>
      <c r="F10212" s="199" t="s">
        <v>53801</v>
      </c>
      <c r="G10212" s="1" t="s">
        <v>53802</v>
      </c>
      <c r="H10212" s="200"/>
      <c r="I10212" s="346"/>
      <c r="J10212" s="39">
        <v>109530</v>
      </c>
      <c r="K10212" s="36" t="str">
        <f>CONCATENATE(Cover!$D$6,"fdd/view?i=",J10212)</f>
        <v>https://www.dgiwg.org/FAD/fdd/view?i=109530</v>
      </c>
      <c r="L10212" s="36" t="s">
        <v>53803</v>
      </c>
      <c r="M10212" s="186"/>
      <c r="N10212" s="186"/>
      <c r="O10212" s="172"/>
    </row>
    <row r="10213" spans="1:15" ht="38.25" x14ac:dyDescent="0.2">
      <c r="A10213" s="197" t="str">
        <f t="shared" si="159"/>
        <v>WktCode_dreadnoughtBattleship</v>
      </c>
      <c r="B10213" s="409"/>
      <c r="C10213" s="416"/>
      <c r="D10213" s="198" t="s">
        <v>53804</v>
      </c>
      <c r="E10213" s="198">
        <v>103</v>
      </c>
      <c r="F10213" s="199" t="s">
        <v>53805</v>
      </c>
      <c r="G10213" s="1" t="s">
        <v>53806</v>
      </c>
      <c r="H10213" s="200"/>
      <c r="I10213" s="346"/>
      <c r="J10213" s="39">
        <v>109543</v>
      </c>
      <c r="K10213" s="36" t="str">
        <f>CONCATENATE(Cover!$D$6,"fdd/view?i=",J10213)</f>
        <v>https://www.dgiwg.org/FAD/fdd/view?i=109543</v>
      </c>
      <c r="L10213" s="36" t="s">
        <v>53807</v>
      </c>
      <c r="M10213" s="186"/>
      <c r="N10213" s="186"/>
      <c r="O10213" s="172"/>
    </row>
    <row r="10214" spans="1:15" ht="38.25" x14ac:dyDescent="0.2">
      <c r="A10214" s="197" t="str">
        <f t="shared" si="159"/>
        <v>WktCode_dredger</v>
      </c>
      <c r="B10214" s="409"/>
      <c r="C10214" s="416"/>
      <c r="D10214" s="198" t="s">
        <v>53808</v>
      </c>
      <c r="E10214" s="198">
        <v>15</v>
      </c>
      <c r="F10214" s="199" t="s">
        <v>53809</v>
      </c>
      <c r="G10214" s="1" t="s">
        <v>53810</v>
      </c>
      <c r="H10214" s="200"/>
      <c r="I10214" s="351" t="s">
        <v>31950</v>
      </c>
      <c r="J10214" s="39">
        <v>109457</v>
      </c>
      <c r="K10214" s="36" t="str">
        <f>CONCATENATE(Cover!$D$6,"fdd/view?i=",J10214)</f>
        <v>https://www.dgiwg.org/FAD/fdd/view?i=109457</v>
      </c>
      <c r="L10214" s="36" t="s">
        <v>53811</v>
      </c>
      <c r="M10214" s="186"/>
      <c r="N10214" s="186"/>
      <c r="O10214" s="172"/>
    </row>
    <row r="10215" spans="1:15" ht="38.25" x14ac:dyDescent="0.2">
      <c r="A10215" s="197" t="str">
        <f t="shared" si="159"/>
        <v>WktCode_drifter</v>
      </c>
      <c r="B10215" s="409"/>
      <c r="C10215" s="416"/>
      <c r="D10215" s="198" t="s">
        <v>53812</v>
      </c>
      <c r="E10215" s="198">
        <v>126</v>
      </c>
      <c r="F10215" s="199" t="s">
        <v>53813</v>
      </c>
      <c r="G10215" s="1" t="s">
        <v>53814</v>
      </c>
      <c r="H10215" s="1" t="s">
        <v>53815</v>
      </c>
      <c r="I10215" s="346"/>
      <c r="J10215" s="39">
        <v>110663</v>
      </c>
      <c r="K10215" s="36" t="str">
        <f>CONCATENATE(Cover!$D$6,"fdd/view?i=",J10215)</f>
        <v>https://www.dgiwg.org/FAD/fdd/view?i=110663</v>
      </c>
      <c r="L10215" s="36" t="s">
        <v>53816</v>
      </c>
      <c r="M10215" s="186"/>
      <c r="N10215" s="186"/>
      <c r="O10215" s="172"/>
    </row>
    <row r="10216" spans="1:15" ht="25.5" x14ac:dyDescent="0.2">
      <c r="A10216" s="197" t="str">
        <f t="shared" si="159"/>
        <v>WktCode_drillVesselOrRig</v>
      </c>
      <c r="B10216" s="409"/>
      <c r="C10216" s="416"/>
      <c r="D10216" s="198" t="s">
        <v>53817</v>
      </c>
      <c r="E10216" s="198">
        <v>16</v>
      </c>
      <c r="F10216" s="199" t="s">
        <v>53818</v>
      </c>
      <c r="G10216" s="1" t="s">
        <v>53819</v>
      </c>
      <c r="H10216" s="200"/>
      <c r="I10216" s="346"/>
      <c r="J10216" s="39">
        <v>109458</v>
      </c>
      <c r="K10216" s="36" t="str">
        <f>CONCATENATE(Cover!$D$6,"fdd/view?i=",J10216)</f>
        <v>https://www.dgiwg.org/FAD/fdd/view?i=109458</v>
      </c>
      <c r="L10216" s="36" t="s">
        <v>53820</v>
      </c>
      <c r="M10216" s="186"/>
      <c r="N10216" s="186"/>
      <c r="O10216" s="172"/>
    </row>
    <row r="10217" spans="1:15" ht="25.5" x14ac:dyDescent="0.2">
      <c r="A10217" s="197" t="str">
        <f t="shared" si="159"/>
        <v>WktCode_eastIndiaman</v>
      </c>
      <c r="B10217" s="409"/>
      <c r="C10217" s="416"/>
      <c r="D10217" s="198" t="s">
        <v>53821</v>
      </c>
      <c r="E10217" s="198">
        <v>66</v>
      </c>
      <c r="F10217" s="199" t="s">
        <v>53822</v>
      </c>
      <c r="G10217" s="1" t="s">
        <v>53823</v>
      </c>
      <c r="H10217" s="200"/>
      <c r="I10217" s="346"/>
      <c r="J10217" s="39">
        <v>109506</v>
      </c>
      <c r="K10217" s="36" t="str">
        <f>CONCATENATE(Cover!$D$6,"fdd/view?i=",J10217)</f>
        <v>https://www.dgiwg.org/FAD/fdd/view?i=109506</v>
      </c>
      <c r="L10217" s="36" t="s">
        <v>53824</v>
      </c>
      <c r="M10217" s="186"/>
      <c r="N10217" s="186"/>
      <c r="O10217" s="172"/>
    </row>
    <row r="10218" spans="1:15" x14ac:dyDescent="0.2">
      <c r="A10218" s="197" t="str">
        <f t="shared" si="159"/>
        <v>WktCode_escortVessel</v>
      </c>
      <c r="B10218" s="409"/>
      <c r="C10218" s="416"/>
      <c r="D10218" s="198" t="s">
        <v>53825</v>
      </c>
      <c r="E10218" s="198">
        <v>112</v>
      </c>
      <c r="F10218" s="199" t="s">
        <v>53826</v>
      </c>
      <c r="G10218" s="1" t="s">
        <v>53827</v>
      </c>
      <c r="H10218" s="200"/>
      <c r="I10218" s="346"/>
      <c r="J10218" s="39">
        <v>109551</v>
      </c>
      <c r="K10218" s="36" t="str">
        <f>CONCATENATE(Cover!$D$6,"fdd/view?i=",J10218)</f>
        <v>https://www.dgiwg.org/FAD/fdd/view?i=109551</v>
      </c>
      <c r="L10218" s="36" t="s">
        <v>53828</v>
      </c>
      <c r="M10218" s="186"/>
      <c r="N10218" s="186"/>
      <c r="O10218" s="172"/>
    </row>
    <row r="10219" spans="1:15" ht="25.5" x14ac:dyDescent="0.2">
      <c r="A10219" s="197" t="str">
        <f t="shared" si="159"/>
        <v>WktCode_explorationVessel</v>
      </c>
      <c r="B10219" s="409"/>
      <c r="C10219" s="416"/>
      <c r="D10219" s="198" t="s">
        <v>53829</v>
      </c>
      <c r="E10219" s="198">
        <v>97</v>
      </c>
      <c r="F10219" s="199" t="s">
        <v>53830</v>
      </c>
      <c r="G10219" s="1" t="s">
        <v>53831</v>
      </c>
      <c r="H10219" s="200"/>
      <c r="I10219" s="346"/>
      <c r="J10219" s="39">
        <v>109537</v>
      </c>
      <c r="K10219" s="36" t="str">
        <f>CONCATENATE(Cover!$D$6,"fdd/view?i=",J10219)</f>
        <v>https://www.dgiwg.org/FAD/fdd/view?i=109537</v>
      </c>
      <c r="L10219" s="36" t="s">
        <v>53832</v>
      </c>
      <c r="M10219" s="186"/>
      <c r="N10219" s="186"/>
      <c r="O10219" s="172"/>
    </row>
    <row r="10220" spans="1:15" ht="38.25" x14ac:dyDescent="0.2">
      <c r="A10220" s="197" t="str">
        <f t="shared" si="159"/>
        <v>WktCode_explosives</v>
      </c>
      <c r="B10220" s="409"/>
      <c r="C10220" s="416"/>
      <c r="D10220" s="198" t="s">
        <v>28989</v>
      </c>
      <c r="E10220" s="198">
        <v>17</v>
      </c>
      <c r="F10220" s="199" t="s">
        <v>28990</v>
      </c>
      <c r="G10220" s="1" t="s">
        <v>43436</v>
      </c>
      <c r="H10220" s="1" t="s">
        <v>53833</v>
      </c>
      <c r="I10220" s="346"/>
      <c r="J10220" s="39">
        <v>109459</v>
      </c>
      <c r="K10220" s="36" t="str">
        <f>CONCATENATE(Cover!$D$6,"fdd/view?i=",J10220)</f>
        <v>https://www.dgiwg.org/FAD/fdd/view?i=109459</v>
      </c>
      <c r="L10220" s="36" t="s">
        <v>53834</v>
      </c>
      <c r="M10220" s="186"/>
      <c r="N10220" s="186"/>
      <c r="O10220" s="172"/>
    </row>
    <row r="10221" spans="1:15" x14ac:dyDescent="0.2">
      <c r="A10221" s="197" t="str">
        <f t="shared" si="159"/>
        <v>WktCode_factoryShip</v>
      </c>
      <c r="B10221" s="409"/>
      <c r="C10221" s="416"/>
      <c r="D10221" s="198" t="s">
        <v>53835</v>
      </c>
      <c r="E10221" s="198">
        <v>127</v>
      </c>
      <c r="F10221" s="199" t="s">
        <v>53836</v>
      </c>
      <c r="G10221" s="1" t="s">
        <v>53837</v>
      </c>
      <c r="H10221" s="200"/>
      <c r="I10221" s="346"/>
      <c r="J10221" s="39">
        <v>110664</v>
      </c>
      <c r="K10221" s="36" t="str">
        <f>CONCATENATE(Cover!$D$6,"fdd/view?i=",J10221)</f>
        <v>https://www.dgiwg.org/FAD/fdd/view?i=110664</v>
      </c>
      <c r="L10221" s="36" t="s">
        <v>53838</v>
      </c>
      <c r="M10221" s="186"/>
      <c r="N10221" s="186"/>
      <c r="O10221" s="172"/>
    </row>
    <row r="10222" spans="1:15" ht="25.5" x14ac:dyDescent="0.2">
      <c r="A10222" s="197" t="str">
        <f t="shared" si="159"/>
        <v>WktCode_ferry</v>
      </c>
      <c r="B10222" s="409"/>
      <c r="C10222" s="416"/>
      <c r="D10222" s="198" t="s">
        <v>24037</v>
      </c>
      <c r="E10222" s="198">
        <v>20</v>
      </c>
      <c r="F10222" s="199" t="s">
        <v>24038</v>
      </c>
      <c r="G10222" s="1" t="s">
        <v>53839</v>
      </c>
      <c r="H10222" s="200"/>
      <c r="I10222" s="346"/>
      <c r="J10222" s="39">
        <v>109462</v>
      </c>
      <c r="K10222" s="36" t="str">
        <f>CONCATENATE(Cover!$D$6,"fdd/view?i=",J10222)</f>
        <v>https://www.dgiwg.org/FAD/fdd/view?i=109462</v>
      </c>
      <c r="L10222" s="36" t="s">
        <v>53840</v>
      </c>
      <c r="M10222" s="186"/>
      <c r="N10222" s="186"/>
      <c r="O10222" s="172"/>
    </row>
    <row r="10223" spans="1:15" ht="38.25" x14ac:dyDescent="0.2">
      <c r="A10223" s="197" t="str">
        <f t="shared" si="159"/>
        <v>WktCode_firefightingVessel</v>
      </c>
      <c r="B10223" s="409"/>
      <c r="C10223" s="416"/>
      <c r="D10223" s="198" t="s">
        <v>53867</v>
      </c>
      <c r="E10223" s="198">
        <v>143</v>
      </c>
      <c r="F10223" s="199" t="s">
        <v>53868</v>
      </c>
      <c r="G10223" s="1" t="s">
        <v>53869</v>
      </c>
      <c r="H10223" s="1" t="s">
        <v>6582</v>
      </c>
      <c r="I10223" s="346"/>
      <c r="J10223" s="39">
        <v>119964</v>
      </c>
      <c r="K10223" s="36" t="str">
        <f>CONCATENATE(Cover!$D$6,"fdd/view?i=",J10223)</f>
        <v>https://www.dgiwg.org/FAD/fdd/view?i=119964</v>
      </c>
      <c r="L10223" s="36" t="s">
        <v>53870</v>
      </c>
      <c r="M10223" s="186"/>
      <c r="N10223" s="186"/>
      <c r="O10223" s="172"/>
    </row>
    <row r="10224" spans="1:15" ht="38.25" x14ac:dyDescent="0.2">
      <c r="A10224" s="197" t="str">
        <f t="shared" si="159"/>
        <v>WktCode_fishingReef</v>
      </c>
      <c r="B10224" s="409"/>
      <c r="C10224" s="416"/>
      <c r="D10224" s="198" t="s">
        <v>53841</v>
      </c>
      <c r="E10224" s="198">
        <v>19</v>
      </c>
      <c r="F10224" s="199" t="s">
        <v>53842</v>
      </c>
      <c r="G10224" s="1" t="s">
        <v>53843</v>
      </c>
      <c r="H10224" s="1" t="s">
        <v>53844</v>
      </c>
      <c r="I10224" s="351" t="s">
        <v>3113</v>
      </c>
      <c r="J10224" s="39">
        <v>109461</v>
      </c>
      <c r="K10224" s="36" t="str">
        <f>CONCATENATE(Cover!$D$6,"fdd/view?i=",J10224)</f>
        <v>https://www.dgiwg.org/FAD/fdd/view?i=109461</v>
      </c>
      <c r="L10224" s="36" t="s">
        <v>53845</v>
      </c>
      <c r="M10224" s="186"/>
      <c r="N10224" s="186"/>
      <c r="O10224" s="172"/>
    </row>
    <row r="10225" spans="1:15" ht="25.5" x14ac:dyDescent="0.2">
      <c r="A10225" s="197" t="str">
        <f t="shared" si="159"/>
        <v>WktCode_fishingVessel</v>
      </c>
      <c r="B10225" s="409"/>
      <c r="C10225" s="416"/>
      <c r="D10225" s="198" t="s">
        <v>53846</v>
      </c>
      <c r="E10225" s="198">
        <v>18</v>
      </c>
      <c r="F10225" s="199" t="s">
        <v>53847</v>
      </c>
      <c r="G10225" s="1" t="s">
        <v>53848</v>
      </c>
      <c r="H10225" s="200"/>
      <c r="I10225" s="346"/>
      <c r="J10225" s="39">
        <v>109460</v>
      </c>
      <c r="K10225" s="36" t="str">
        <f>CONCATENATE(Cover!$D$6,"fdd/view?i=",J10225)</f>
        <v>https://www.dgiwg.org/FAD/fdd/view?i=109460</v>
      </c>
      <c r="L10225" s="36" t="s">
        <v>53849</v>
      </c>
      <c r="M10225" s="186"/>
      <c r="N10225" s="186"/>
      <c r="O10225" s="172"/>
    </row>
    <row r="10226" spans="1:15" x14ac:dyDescent="0.2">
      <c r="A10226" s="197" t="str">
        <f t="shared" si="159"/>
        <v>WktCode_freighter</v>
      </c>
      <c r="B10226" s="409"/>
      <c r="C10226" s="416"/>
      <c r="D10226" s="198" t="s">
        <v>53850</v>
      </c>
      <c r="E10226" s="198">
        <v>128</v>
      </c>
      <c r="F10226" s="199" t="s">
        <v>53851</v>
      </c>
      <c r="G10226" s="1" t="s">
        <v>53852</v>
      </c>
      <c r="H10226" s="200"/>
      <c r="I10226" s="346"/>
      <c r="J10226" s="39">
        <v>110665</v>
      </c>
      <c r="K10226" s="36" t="str">
        <f>CONCATENATE(Cover!$D$6,"fdd/view?i=",J10226)</f>
        <v>https://www.dgiwg.org/FAD/fdd/view?i=110665</v>
      </c>
      <c r="L10226" s="36" t="s">
        <v>53853</v>
      </c>
      <c r="M10226" s="186"/>
      <c r="N10226" s="186"/>
      <c r="O10226" s="172"/>
    </row>
    <row r="10227" spans="1:15" ht="38.25" x14ac:dyDescent="0.2">
      <c r="A10227" s="197" t="str">
        <f t="shared" si="159"/>
        <v>WktCode_frigate</v>
      </c>
      <c r="B10227" s="409"/>
      <c r="C10227" s="416"/>
      <c r="D10227" s="198" t="s">
        <v>53854</v>
      </c>
      <c r="E10227" s="198">
        <v>21</v>
      </c>
      <c r="F10227" s="199" t="s">
        <v>53855</v>
      </c>
      <c r="G10227" s="1" t="s">
        <v>53856</v>
      </c>
      <c r="H10227" s="1" t="s">
        <v>53857</v>
      </c>
      <c r="I10227" s="346"/>
      <c r="J10227" s="39">
        <v>109463</v>
      </c>
      <c r="K10227" s="36" t="str">
        <f>CONCATENATE(Cover!$D$6,"fdd/view?i=",J10227)</f>
        <v>https://www.dgiwg.org/FAD/fdd/view?i=109463</v>
      </c>
      <c r="L10227" s="36" t="s">
        <v>53858</v>
      </c>
      <c r="M10227" s="186"/>
      <c r="N10227" s="186"/>
      <c r="O10227" s="172"/>
    </row>
    <row r="10228" spans="1:15" ht="38.25" x14ac:dyDescent="0.2">
      <c r="A10228" s="197" t="str">
        <f t="shared" si="159"/>
        <v>WktCode_gasTurbineVessel</v>
      </c>
      <c r="B10228" s="409"/>
      <c r="C10228" s="416"/>
      <c r="D10228" s="198" t="s">
        <v>53859</v>
      </c>
      <c r="E10228" s="198">
        <v>59</v>
      </c>
      <c r="F10228" s="199" t="s">
        <v>53860</v>
      </c>
      <c r="G10228" s="1" t="s">
        <v>53861</v>
      </c>
      <c r="H10228" s="200"/>
      <c r="I10228" s="346"/>
      <c r="J10228" s="39">
        <v>109501</v>
      </c>
      <c r="K10228" s="36" t="str">
        <f>CONCATENATE(Cover!$D$6,"fdd/view?i=",J10228)</f>
        <v>https://www.dgiwg.org/FAD/fdd/view?i=109501</v>
      </c>
      <c r="L10228" s="36" t="s">
        <v>53862</v>
      </c>
      <c r="M10228" s="186"/>
      <c r="N10228" s="186"/>
      <c r="O10228" s="172"/>
    </row>
    <row r="10229" spans="1:15" ht="25.5" x14ac:dyDescent="0.2">
      <c r="A10229" s="197" t="str">
        <f t="shared" si="159"/>
        <v>WktCode_gunboat</v>
      </c>
      <c r="B10229" s="409"/>
      <c r="C10229" s="416"/>
      <c r="D10229" s="198" t="s">
        <v>53863</v>
      </c>
      <c r="E10229" s="198">
        <v>22</v>
      </c>
      <c r="F10229" s="199" t="s">
        <v>53864</v>
      </c>
      <c r="G10229" s="1" t="s">
        <v>53865</v>
      </c>
      <c r="H10229" s="200"/>
      <c r="I10229" s="346"/>
      <c r="J10229" s="39">
        <v>109464</v>
      </c>
      <c r="K10229" s="36" t="str">
        <f>CONCATENATE(Cover!$D$6,"fdd/view?i=",J10229)</f>
        <v>https://www.dgiwg.org/FAD/fdd/view?i=109464</v>
      </c>
      <c r="L10229" s="36" t="s">
        <v>53866</v>
      </c>
      <c r="M10229" s="186"/>
      <c r="N10229" s="186"/>
      <c r="O10229" s="172"/>
    </row>
    <row r="10230" spans="1:15" ht="25.5" x14ac:dyDescent="0.2">
      <c r="A10230" s="197" t="str">
        <f t="shared" si="159"/>
        <v>WktCode_heavyCruiser</v>
      </c>
      <c r="B10230" s="409"/>
      <c r="C10230" s="416"/>
      <c r="D10230" s="198" t="s">
        <v>53871</v>
      </c>
      <c r="E10230" s="198">
        <v>107</v>
      </c>
      <c r="F10230" s="199" t="s">
        <v>53872</v>
      </c>
      <c r="G10230" s="1" t="s">
        <v>53873</v>
      </c>
      <c r="H10230" s="200"/>
      <c r="I10230" s="346"/>
      <c r="J10230" s="39">
        <v>109546</v>
      </c>
      <c r="K10230" s="36" t="str">
        <f>CONCATENATE(Cover!$D$6,"fdd/view?i=",J10230)</f>
        <v>https://www.dgiwg.org/FAD/fdd/view?i=109546</v>
      </c>
      <c r="L10230" s="36" t="s">
        <v>53874</v>
      </c>
      <c r="M10230" s="186"/>
      <c r="N10230" s="186"/>
      <c r="O10230" s="172"/>
    </row>
    <row r="10231" spans="1:15" ht="38.25" x14ac:dyDescent="0.2">
      <c r="A10231" s="197" t="str">
        <f t="shared" si="159"/>
        <v>WktCode_helicopter</v>
      </c>
      <c r="B10231" s="409"/>
      <c r="C10231" s="416"/>
      <c r="D10231" s="198" t="s">
        <v>21089</v>
      </c>
      <c r="E10231" s="198">
        <v>101</v>
      </c>
      <c r="F10231" s="199" t="s">
        <v>21090</v>
      </c>
      <c r="G10231" s="1" t="s">
        <v>53875</v>
      </c>
      <c r="H10231" s="200"/>
      <c r="I10231" s="346"/>
      <c r="J10231" s="39">
        <v>109541</v>
      </c>
      <c r="K10231" s="36" t="str">
        <f>CONCATENATE(Cover!$D$6,"fdd/view?i=",J10231)</f>
        <v>https://www.dgiwg.org/FAD/fdd/view?i=109541</v>
      </c>
      <c r="L10231" s="36" t="s">
        <v>53876</v>
      </c>
      <c r="M10231" s="186"/>
      <c r="N10231" s="186"/>
      <c r="O10231" s="172"/>
    </row>
    <row r="10232" spans="1:15" ht="25.5" x14ac:dyDescent="0.2">
      <c r="A10232" s="197" t="str">
        <f t="shared" si="159"/>
        <v>WktCode_helicopterCarrier</v>
      </c>
      <c r="B10232" s="409"/>
      <c r="C10232" s="416"/>
      <c r="D10232" s="198" t="s">
        <v>53877</v>
      </c>
      <c r="E10232" s="198">
        <v>144</v>
      </c>
      <c r="F10232" s="199" t="s">
        <v>53878</v>
      </c>
      <c r="G10232" s="1" t="s">
        <v>53879</v>
      </c>
      <c r="H10232" s="1" t="s">
        <v>6582</v>
      </c>
      <c r="I10232" s="346"/>
      <c r="J10232" s="39">
        <v>119965</v>
      </c>
      <c r="K10232" s="36" t="str">
        <f>CONCATENATE(Cover!$D$6,"fdd/view?i=",J10232)</f>
        <v>https://www.dgiwg.org/FAD/fdd/view?i=119965</v>
      </c>
      <c r="L10232" s="36" t="s">
        <v>53880</v>
      </c>
      <c r="M10232" s="186"/>
      <c r="N10232" s="186"/>
      <c r="O10232" s="172"/>
    </row>
    <row r="10233" spans="1:15" ht="25.5" x14ac:dyDescent="0.2">
      <c r="A10233" s="197" t="str">
        <f t="shared" si="159"/>
        <v>WktCode_hospitalShip</v>
      </c>
      <c r="B10233" s="409"/>
      <c r="C10233" s="416"/>
      <c r="D10233" s="198" t="s">
        <v>53881</v>
      </c>
      <c r="E10233" s="198">
        <v>23</v>
      </c>
      <c r="F10233" s="199" t="s">
        <v>53882</v>
      </c>
      <c r="G10233" s="1" t="s">
        <v>53883</v>
      </c>
      <c r="H10233" s="200"/>
      <c r="I10233" s="346"/>
      <c r="J10233" s="39">
        <v>109465</v>
      </c>
      <c r="K10233" s="36" t="str">
        <f>CONCATENATE(Cover!$D$6,"fdd/view?i=",J10233)</f>
        <v>https://www.dgiwg.org/FAD/fdd/view?i=109465</v>
      </c>
      <c r="L10233" s="36" t="s">
        <v>53884</v>
      </c>
      <c r="M10233" s="186"/>
      <c r="N10233" s="186"/>
      <c r="O10233" s="172"/>
    </row>
    <row r="10234" spans="1:15" ht="25.5" x14ac:dyDescent="0.2">
      <c r="A10234" s="197" t="str">
        <f t="shared" si="159"/>
        <v>WktCode_houseboat</v>
      </c>
      <c r="B10234" s="409"/>
      <c r="C10234" s="416"/>
      <c r="D10234" s="198" t="s">
        <v>53885</v>
      </c>
      <c r="E10234" s="198">
        <v>145</v>
      </c>
      <c r="F10234" s="199" t="s">
        <v>53886</v>
      </c>
      <c r="G10234" s="1" t="s">
        <v>34489</v>
      </c>
      <c r="H10234" s="1" t="s">
        <v>6582</v>
      </c>
      <c r="I10234" s="346"/>
      <c r="J10234" s="39">
        <v>119966</v>
      </c>
      <c r="K10234" s="36" t="str">
        <f>CONCATENATE(Cover!$D$6,"fdd/view?i=",J10234)</f>
        <v>https://www.dgiwg.org/FAD/fdd/view?i=119966</v>
      </c>
      <c r="L10234" s="36" t="s">
        <v>53887</v>
      </c>
      <c r="M10234" s="186"/>
      <c r="N10234" s="186"/>
      <c r="O10234" s="172"/>
    </row>
    <row r="10235" spans="1:15" ht="25.5" x14ac:dyDescent="0.2">
      <c r="A10235" s="197" t="str">
        <f t="shared" si="159"/>
        <v>WktCode_hovercraft</v>
      </c>
      <c r="B10235" s="409"/>
      <c r="C10235" s="416"/>
      <c r="D10235" s="198" t="s">
        <v>53888</v>
      </c>
      <c r="E10235" s="198">
        <v>83</v>
      </c>
      <c r="F10235" s="199" t="s">
        <v>53889</v>
      </c>
      <c r="G10235" s="1" t="s">
        <v>53890</v>
      </c>
      <c r="H10235" s="200"/>
      <c r="I10235" s="346"/>
      <c r="J10235" s="39">
        <v>109523</v>
      </c>
      <c r="K10235" s="36" t="str">
        <f>CONCATENATE(Cover!$D$6,"fdd/view?i=",J10235)</f>
        <v>https://www.dgiwg.org/FAD/fdd/view?i=109523</v>
      </c>
      <c r="L10235" s="36" t="s">
        <v>53891</v>
      </c>
      <c r="M10235" s="186"/>
      <c r="N10235" s="186"/>
      <c r="O10235" s="172"/>
    </row>
    <row r="10236" spans="1:15" x14ac:dyDescent="0.2">
      <c r="A10236" s="197" t="str">
        <f t="shared" si="159"/>
        <v>WktCode_hulk</v>
      </c>
      <c r="B10236" s="409"/>
      <c r="C10236" s="416"/>
      <c r="D10236" s="198" t="s">
        <v>53892</v>
      </c>
      <c r="E10236" s="198">
        <v>99</v>
      </c>
      <c r="F10236" s="199" t="s">
        <v>3535</v>
      </c>
      <c r="G10236" s="1" t="s">
        <v>53893</v>
      </c>
      <c r="H10236" s="200"/>
      <c r="I10236" s="346"/>
      <c r="J10236" s="39">
        <v>109539</v>
      </c>
      <c r="K10236" s="36" t="str">
        <f>CONCATENATE(Cover!$D$6,"fdd/view?i=",J10236)</f>
        <v>https://www.dgiwg.org/FAD/fdd/view?i=109539</v>
      </c>
      <c r="L10236" s="36" t="s">
        <v>53894</v>
      </c>
      <c r="M10236" s="186"/>
      <c r="N10236" s="186"/>
      <c r="O10236" s="172"/>
    </row>
    <row r="10237" spans="1:15" ht="25.5" x14ac:dyDescent="0.2">
      <c r="A10237" s="197" t="str">
        <f t="shared" si="159"/>
        <v>WktCode_hydrofoil</v>
      </c>
      <c r="B10237" s="409"/>
      <c r="C10237" s="416"/>
      <c r="D10237" s="198" t="s">
        <v>53895</v>
      </c>
      <c r="E10237" s="198">
        <v>129</v>
      </c>
      <c r="F10237" s="199" t="s">
        <v>53896</v>
      </c>
      <c r="G10237" s="1" t="s">
        <v>53897</v>
      </c>
      <c r="H10237" s="200"/>
      <c r="I10237" s="351" t="s">
        <v>53898</v>
      </c>
      <c r="J10237" s="39">
        <v>110666</v>
      </c>
      <c r="K10237" s="36" t="str">
        <f>CONCATENATE(Cover!$D$6,"fdd/view?i=",J10237)</f>
        <v>https://www.dgiwg.org/FAD/fdd/view?i=110666</v>
      </c>
      <c r="L10237" s="36" t="s">
        <v>53899</v>
      </c>
      <c r="M10237" s="186"/>
      <c r="N10237" s="186"/>
      <c r="O10237" s="172"/>
    </row>
    <row r="10238" spans="1:15" ht="25.5" x14ac:dyDescent="0.2">
      <c r="A10238" s="197" t="str">
        <f t="shared" si="159"/>
        <v>WktCode_iceBreaker</v>
      </c>
      <c r="B10238" s="409"/>
      <c r="C10238" s="416"/>
      <c r="D10238" s="198" t="s">
        <v>53900</v>
      </c>
      <c r="E10238" s="198">
        <v>95</v>
      </c>
      <c r="F10238" s="199" t="s">
        <v>53901</v>
      </c>
      <c r="G10238" s="1" t="s">
        <v>53902</v>
      </c>
      <c r="H10238" s="200"/>
      <c r="I10238" s="346"/>
      <c r="J10238" s="39">
        <v>109535</v>
      </c>
      <c r="K10238" s="36" t="str">
        <f>CONCATENATE(Cover!$D$6,"fdd/view?i=",J10238)</f>
        <v>https://www.dgiwg.org/FAD/fdd/view?i=109535</v>
      </c>
      <c r="L10238" s="36" t="s">
        <v>53903</v>
      </c>
      <c r="M10238" s="186"/>
      <c r="N10238" s="186"/>
      <c r="O10238" s="172"/>
    </row>
    <row r="10239" spans="1:15" ht="25.5" x14ac:dyDescent="0.2">
      <c r="A10239" s="197" t="str">
        <f t="shared" si="159"/>
        <v>WktCode_inshoreVessel</v>
      </c>
      <c r="B10239" s="409"/>
      <c r="C10239" s="416"/>
      <c r="D10239" s="198" t="s">
        <v>53904</v>
      </c>
      <c r="E10239" s="198">
        <v>64</v>
      </c>
      <c r="F10239" s="199" t="s">
        <v>53905</v>
      </c>
      <c r="G10239" s="1" t="s">
        <v>53906</v>
      </c>
      <c r="H10239" s="200"/>
      <c r="I10239" s="346"/>
      <c r="J10239" s="39">
        <v>109504</v>
      </c>
      <c r="K10239" s="36" t="str">
        <f>CONCATENATE(Cover!$D$6,"fdd/view?i=",J10239)</f>
        <v>https://www.dgiwg.org/FAD/fdd/view?i=109504</v>
      </c>
      <c r="L10239" s="36" t="s">
        <v>53907</v>
      </c>
      <c r="M10239" s="186"/>
      <c r="N10239" s="186"/>
      <c r="O10239" s="172"/>
    </row>
    <row r="10240" spans="1:15" ht="38.25" x14ac:dyDescent="0.2">
      <c r="A10240" s="197" t="str">
        <f t="shared" si="159"/>
        <v>WktCode_junk</v>
      </c>
      <c r="B10240" s="409"/>
      <c r="C10240" s="416"/>
      <c r="D10240" s="198" t="s">
        <v>53908</v>
      </c>
      <c r="E10240" s="198">
        <v>25</v>
      </c>
      <c r="F10240" s="199" t="s">
        <v>53909</v>
      </c>
      <c r="G10240" s="1" t="s">
        <v>53910</v>
      </c>
      <c r="H10240" s="200"/>
      <c r="I10240" s="346"/>
      <c r="J10240" s="39">
        <v>109467</v>
      </c>
      <c r="K10240" s="36" t="str">
        <f>CONCATENATE(Cover!$D$6,"fdd/view?i=",J10240)</f>
        <v>https://www.dgiwg.org/FAD/fdd/view?i=109467</v>
      </c>
      <c r="L10240" s="36" t="s">
        <v>53911</v>
      </c>
      <c r="M10240" s="186"/>
      <c r="N10240" s="186"/>
      <c r="O10240" s="172"/>
    </row>
    <row r="10241" spans="1:15" ht="38.25" x14ac:dyDescent="0.2">
      <c r="A10241" s="197" t="str">
        <f t="shared" si="159"/>
        <v>WktCode_ketch</v>
      </c>
      <c r="B10241" s="409"/>
      <c r="C10241" s="416"/>
      <c r="D10241" s="198" t="s">
        <v>53912</v>
      </c>
      <c r="E10241" s="198">
        <v>78</v>
      </c>
      <c r="F10241" s="199" t="s">
        <v>53913</v>
      </c>
      <c r="G10241" s="1" t="s">
        <v>53914</v>
      </c>
      <c r="H10241" s="1" t="s">
        <v>53915</v>
      </c>
      <c r="I10241" s="346"/>
      <c r="J10241" s="39">
        <v>109518</v>
      </c>
      <c r="K10241" s="36" t="str">
        <f>CONCATENATE(Cover!$D$6,"fdd/view?i=",J10241)</f>
        <v>https://www.dgiwg.org/FAD/fdd/view?i=109518</v>
      </c>
      <c r="L10241" s="36" t="s">
        <v>53916</v>
      </c>
      <c r="M10241" s="186"/>
      <c r="N10241" s="186"/>
      <c r="O10241" s="172"/>
    </row>
    <row r="10242" spans="1:15" ht="25.5" x14ac:dyDescent="0.2">
      <c r="A10242" s="197" t="str">
        <f t="shared" ref="A10242:A10305" si="160">HYPERLINK(K10242,L10242)</f>
        <v>WktCode_landingCraftInfantry</v>
      </c>
      <c r="B10242" s="409"/>
      <c r="C10242" s="416"/>
      <c r="D10242" s="198" t="s">
        <v>53917</v>
      </c>
      <c r="E10242" s="198">
        <v>27</v>
      </c>
      <c r="F10242" s="199" t="s">
        <v>53918</v>
      </c>
      <c r="G10242" s="1" t="s">
        <v>53919</v>
      </c>
      <c r="H10242" s="200"/>
      <c r="I10242" s="346"/>
      <c r="J10242" s="39">
        <v>109469</v>
      </c>
      <c r="K10242" s="36" t="str">
        <f>CONCATENATE(Cover!$D$6,"fdd/view?i=",J10242)</f>
        <v>https://www.dgiwg.org/FAD/fdd/view?i=109469</v>
      </c>
      <c r="L10242" s="36" t="s">
        <v>53920</v>
      </c>
      <c r="M10242" s="186"/>
      <c r="N10242" s="186"/>
      <c r="O10242" s="172"/>
    </row>
    <row r="10243" spans="1:15" ht="38.25" x14ac:dyDescent="0.2">
      <c r="A10243" s="197" t="str">
        <f t="shared" si="160"/>
        <v>WktCode_landingShipInfantry</v>
      </c>
      <c r="B10243" s="409"/>
      <c r="C10243" s="416"/>
      <c r="D10243" s="198" t="s">
        <v>53921</v>
      </c>
      <c r="E10243" s="198">
        <v>29</v>
      </c>
      <c r="F10243" s="199" t="s">
        <v>53922</v>
      </c>
      <c r="G10243" s="1" t="s">
        <v>53923</v>
      </c>
      <c r="H10243" s="1" t="s">
        <v>53924</v>
      </c>
      <c r="I10243" s="346"/>
      <c r="J10243" s="39">
        <v>109471</v>
      </c>
      <c r="K10243" s="36" t="str">
        <f>CONCATENATE(Cover!$D$6,"fdd/view?i=",J10243)</f>
        <v>https://www.dgiwg.org/FAD/fdd/view?i=109471</v>
      </c>
      <c r="L10243" s="36" t="s">
        <v>53925</v>
      </c>
      <c r="M10243" s="186"/>
      <c r="N10243" s="186"/>
      <c r="O10243" s="172"/>
    </row>
    <row r="10244" spans="1:15" ht="38.25" x14ac:dyDescent="0.2">
      <c r="A10244" s="197" t="str">
        <f t="shared" si="160"/>
        <v>WktCode_landingShipTank</v>
      </c>
      <c r="B10244" s="409"/>
      <c r="C10244" s="416"/>
      <c r="D10244" s="198" t="s">
        <v>53926</v>
      </c>
      <c r="E10244" s="198">
        <v>30</v>
      </c>
      <c r="F10244" s="199" t="s">
        <v>53927</v>
      </c>
      <c r="G10244" s="1" t="s">
        <v>53928</v>
      </c>
      <c r="H10244" s="1" t="s">
        <v>53929</v>
      </c>
      <c r="I10244" s="346"/>
      <c r="J10244" s="39">
        <v>109472</v>
      </c>
      <c r="K10244" s="36" t="str">
        <f>CONCATENATE(Cover!$D$6,"fdd/view?i=",J10244)</f>
        <v>https://www.dgiwg.org/FAD/fdd/view?i=109472</v>
      </c>
      <c r="L10244" s="36" t="s">
        <v>53930</v>
      </c>
      <c r="M10244" s="186"/>
      <c r="N10244" s="186"/>
      <c r="O10244" s="172"/>
    </row>
    <row r="10245" spans="1:15" x14ac:dyDescent="0.2">
      <c r="A10245" s="197" t="str">
        <f t="shared" si="160"/>
        <v>WktCode_landingStage</v>
      </c>
      <c r="B10245" s="409"/>
      <c r="C10245" s="416"/>
      <c r="D10245" s="198" t="s">
        <v>53931</v>
      </c>
      <c r="E10245" s="198">
        <v>116</v>
      </c>
      <c r="F10245" s="199" t="s">
        <v>53932</v>
      </c>
      <c r="G10245" s="1" t="s">
        <v>53933</v>
      </c>
      <c r="H10245" s="200"/>
      <c r="I10245" s="346"/>
      <c r="J10245" s="39">
        <v>109554</v>
      </c>
      <c r="K10245" s="36" t="str">
        <f>CONCATENATE(Cover!$D$6,"fdd/view?i=",J10245)</f>
        <v>https://www.dgiwg.org/FAD/fdd/view?i=109554</v>
      </c>
      <c r="L10245" s="36" t="s">
        <v>53934</v>
      </c>
      <c r="M10245" s="186"/>
      <c r="N10245" s="186"/>
      <c r="O10245" s="172"/>
    </row>
    <row r="10246" spans="1:15" ht="38.25" x14ac:dyDescent="0.2">
      <c r="A10246" s="197" t="str">
        <f t="shared" si="160"/>
        <v>WktCode_largeContainerShip</v>
      </c>
      <c r="B10246" s="409"/>
      <c r="C10246" s="416"/>
      <c r="D10246" s="198" t="s">
        <v>53935</v>
      </c>
      <c r="E10246" s="198">
        <v>52</v>
      </c>
      <c r="F10246" s="199" t="s">
        <v>53936</v>
      </c>
      <c r="G10246" s="1" t="s">
        <v>53937</v>
      </c>
      <c r="H10246" s="1" t="s">
        <v>53938</v>
      </c>
      <c r="I10246" s="346"/>
      <c r="J10246" s="39">
        <v>109494</v>
      </c>
      <c r="K10246" s="36" t="str">
        <f>CONCATENATE(Cover!$D$6,"fdd/view?i=",J10246)</f>
        <v>https://www.dgiwg.org/FAD/fdd/view?i=109494</v>
      </c>
      <c r="L10246" s="36" t="s">
        <v>53939</v>
      </c>
      <c r="M10246" s="186"/>
      <c r="N10246" s="186"/>
      <c r="O10246" s="172"/>
    </row>
    <row r="10247" spans="1:15" ht="25.5" x14ac:dyDescent="0.2">
      <c r="A10247" s="197" t="str">
        <f t="shared" si="160"/>
        <v>WktCode_launch</v>
      </c>
      <c r="B10247" s="409"/>
      <c r="C10247" s="416"/>
      <c r="D10247" s="198" t="s">
        <v>53946</v>
      </c>
      <c r="E10247" s="198">
        <v>87</v>
      </c>
      <c r="F10247" s="199" t="s">
        <v>53947</v>
      </c>
      <c r="G10247" s="1" t="s">
        <v>53948</v>
      </c>
      <c r="H10247" s="1" t="s">
        <v>53949</v>
      </c>
      <c r="I10247" s="346"/>
      <c r="J10247" s="39">
        <v>109527</v>
      </c>
      <c r="K10247" s="36" t="str">
        <f>CONCATENATE(Cover!$D$6,"fdd/view?i=",J10247)</f>
        <v>https://www.dgiwg.org/FAD/fdd/view?i=109527</v>
      </c>
      <c r="L10247" s="36" t="s">
        <v>53950</v>
      </c>
      <c r="M10247" s="186"/>
      <c r="N10247" s="186"/>
      <c r="O10247" s="172"/>
    </row>
    <row r="10248" spans="1:15" ht="25.5" x14ac:dyDescent="0.2">
      <c r="A10248" s="197" t="str">
        <f t="shared" si="160"/>
        <v>WktCode_libertyShip</v>
      </c>
      <c r="B10248" s="409"/>
      <c r="C10248" s="416"/>
      <c r="D10248" s="198" t="s">
        <v>53951</v>
      </c>
      <c r="E10248" s="198">
        <v>65</v>
      </c>
      <c r="F10248" s="199" t="s">
        <v>53952</v>
      </c>
      <c r="G10248" s="1" t="s">
        <v>53953</v>
      </c>
      <c r="H10248" s="200"/>
      <c r="I10248" s="346"/>
      <c r="J10248" s="39">
        <v>109505</v>
      </c>
      <c r="K10248" s="36" t="str">
        <f>CONCATENATE(Cover!$D$6,"fdd/view?i=",J10248)</f>
        <v>https://www.dgiwg.org/FAD/fdd/view?i=109505</v>
      </c>
      <c r="L10248" s="36" t="s">
        <v>53954</v>
      </c>
      <c r="M10248" s="186"/>
      <c r="N10248" s="186"/>
      <c r="O10248" s="172"/>
    </row>
    <row r="10249" spans="1:15" ht="25.5" x14ac:dyDescent="0.2">
      <c r="A10249" s="197" t="str">
        <f t="shared" si="160"/>
        <v>WktCode_lightCruiser</v>
      </c>
      <c r="B10249" s="409"/>
      <c r="C10249" s="416"/>
      <c r="D10249" s="198" t="s">
        <v>53955</v>
      </c>
      <c r="E10249" s="198">
        <v>108</v>
      </c>
      <c r="F10249" s="199" t="s">
        <v>53956</v>
      </c>
      <c r="G10249" s="1" t="s">
        <v>53957</v>
      </c>
      <c r="H10249" s="200"/>
      <c r="I10249" s="346"/>
      <c r="J10249" s="39">
        <v>109547</v>
      </c>
      <c r="K10249" s="36" t="str">
        <f>CONCATENATE(Cover!$D$6,"fdd/view?i=",J10249)</f>
        <v>https://www.dgiwg.org/FAD/fdd/view?i=109547</v>
      </c>
      <c r="L10249" s="36" t="s">
        <v>53958</v>
      </c>
      <c r="M10249" s="186"/>
      <c r="N10249" s="186"/>
      <c r="O10249" s="172"/>
    </row>
    <row r="10250" spans="1:15" ht="76.5" x14ac:dyDescent="0.2">
      <c r="A10250" s="197" t="str">
        <f t="shared" si="160"/>
        <v>WktCode_lighterAboardShipVessel</v>
      </c>
      <c r="B10250" s="409"/>
      <c r="C10250" s="416"/>
      <c r="D10250" s="198" t="s">
        <v>53959</v>
      </c>
      <c r="E10250" s="198">
        <v>26</v>
      </c>
      <c r="F10250" s="199" t="s">
        <v>53960</v>
      </c>
      <c r="G10250" s="1" t="s">
        <v>53961</v>
      </c>
      <c r="H10250" s="1" t="s">
        <v>53943</v>
      </c>
      <c r="I10250" s="346"/>
      <c r="J10250" s="39">
        <v>109468</v>
      </c>
      <c r="K10250" s="36" t="str">
        <f>CONCATENATE(Cover!$D$6,"fdd/view?i=",J10250)</f>
        <v>https://www.dgiwg.org/FAD/fdd/view?i=109468</v>
      </c>
      <c r="L10250" s="36" t="s">
        <v>53962</v>
      </c>
      <c r="M10250" s="186"/>
      <c r="N10250" s="186"/>
      <c r="O10250" s="172"/>
    </row>
    <row r="10251" spans="1:15" ht="25.5" x14ac:dyDescent="0.2">
      <c r="A10251" s="197" t="str">
        <f t="shared" si="160"/>
        <v>WktCode_lighterVessel</v>
      </c>
      <c r="B10251" s="409"/>
      <c r="C10251" s="416"/>
      <c r="D10251" s="198" t="s">
        <v>53963</v>
      </c>
      <c r="E10251" s="198">
        <v>70</v>
      </c>
      <c r="F10251" s="199" t="s">
        <v>53964</v>
      </c>
      <c r="G10251" s="1" t="s">
        <v>53965</v>
      </c>
      <c r="H10251" s="200"/>
      <c r="I10251" s="346"/>
      <c r="J10251" s="39">
        <v>109510</v>
      </c>
      <c r="K10251" s="36" t="str">
        <f>CONCATENATE(Cover!$D$6,"fdd/view?i=",J10251)</f>
        <v>https://www.dgiwg.org/FAD/fdd/view?i=109510</v>
      </c>
      <c r="L10251" s="36" t="s">
        <v>53966</v>
      </c>
      <c r="M10251" s="186"/>
      <c r="N10251" s="186"/>
      <c r="O10251" s="172"/>
    </row>
    <row r="10252" spans="1:15" ht="25.5" x14ac:dyDescent="0.2">
      <c r="A10252" s="197" t="str">
        <f t="shared" si="160"/>
        <v>WktCode_lightship</v>
      </c>
      <c r="B10252" s="409"/>
      <c r="C10252" s="416"/>
      <c r="D10252" s="198" t="s">
        <v>53967</v>
      </c>
      <c r="E10252" s="198">
        <v>31</v>
      </c>
      <c r="F10252" s="199" t="s">
        <v>3877</v>
      </c>
      <c r="G10252" s="1" t="s">
        <v>3875</v>
      </c>
      <c r="H10252" s="200"/>
      <c r="I10252" s="346"/>
      <c r="J10252" s="39">
        <v>109473</v>
      </c>
      <c r="K10252" s="36" t="str">
        <f>CONCATENATE(Cover!$D$6,"fdd/view?i=",J10252)</f>
        <v>https://www.dgiwg.org/FAD/fdd/view?i=109473</v>
      </c>
      <c r="L10252" s="36" t="s">
        <v>53968</v>
      </c>
      <c r="M10252" s="186"/>
      <c r="N10252" s="186"/>
      <c r="O10252" s="172"/>
    </row>
    <row r="10253" spans="1:15" x14ac:dyDescent="0.2">
      <c r="A10253" s="197" t="str">
        <f t="shared" si="160"/>
        <v>WktCode_liner</v>
      </c>
      <c r="B10253" s="409"/>
      <c r="C10253" s="416"/>
      <c r="D10253" s="198" t="s">
        <v>53969</v>
      </c>
      <c r="E10253" s="198">
        <v>130</v>
      </c>
      <c r="F10253" s="199" t="s">
        <v>53970</v>
      </c>
      <c r="G10253" s="1" t="s">
        <v>53971</v>
      </c>
      <c r="H10253" s="200"/>
      <c r="I10253" s="346"/>
      <c r="J10253" s="39">
        <v>110667</v>
      </c>
      <c r="K10253" s="36" t="str">
        <f>CONCATENATE(Cover!$D$6,"fdd/view?i=",J10253)</f>
        <v>https://www.dgiwg.org/FAD/fdd/view?i=110667</v>
      </c>
      <c r="L10253" s="36" t="s">
        <v>53972</v>
      </c>
      <c r="M10253" s="186"/>
      <c r="N10253" s="186"/>
      <c r="O10253" s="172"/>
    </row>
    <row r="10254" spans="1:15" ht="25.5" x14ac:dyDescent="0.2">
      <c r="A10254" s="197" t="str">
        <f t="shared" si="160"/>
        <v>WktCode_liquefiedPetroGasCarrier</v>
      </c>
      <c r="B10254" s="409"/>
      <c r="C10254" s="416"/>
      <c r="D10254" s="198" t="s">
        <v>53973</v>
      </c>
      <c r="E10254" s="198">
        <v>28</v>
      </c>
      <c r="F10254" s="199" t="s">
        <v>53974</v>
      </c>
      <c r="G10254" s="1" t="s">
        <v>53975</v>
      </c>
      <c r="H10254" s="200"/>
      <c r="I10254" s="346"/>
      <c r="J10254" s="39">
        <v>109470</v>
      </c>
      <c r="K10254" s="36" t="str">
        <f>CONCATENATE(Cover!$D$6,"fdd/view?i=",J10254)</f>
        <v>https://www.dgiwg.org/FAD/fdd/view?i=109470</v>
      </c>
      <c r="L10254" s="36" t="s">
        <v>53976</v>
      </c>
      <c r="M10254" s="186"/>
      <c r="N10254" s="186"/>
      <c r="O10254" s="172"/>
    </row>
    <row r="10255" spans="1:15" x14ac:dyDescent="0.2">
      <c r="A10255" s="197" t="str">
        <f t="shared" si="160"/>
        <v>WktCode_mailboat</v>
      </c>
      <c r="B10255" s="409"/>
      <c r="C10255" s="416"/>
      <c r="D10255" s="198" t="s">
        <v>53977</v>
      </c>
      <c r="E10255" s="198">
        <v>82</v>
      </c>
      <c r="F10255" s="199" t="s">
        <v>53978</v>
      </c>
      <c r="G10255" s="1" t="s">
        <v>53979</v>
      </c>
      <c r="H10255" s="200"/>
      <c r="I10255" s="346"/>
      <c r="J10255" s="39">
        <v>109522</v>
      </c>
      <c r="K10255" s="36" t="str">
        <f>CONCATENATE(Cover!$D$6,"fdd/view?i=",J10255)</f>
        <v>https://www.dgiwg.org/FAD/fdd/view?i=109522</v>
      </c>
      <c r="L10255" s="36" t="s">
        <v>53980</v>
      </c>
      <c r="M10255" s="186"/>
      <c r="N10255" s="186"/>
      <c r="O10255" s="172"/>
    </row>
    <row r="10256" spans="1:15" ht="25.5" x14ac:dyDescent="0.2">
      <c r="A10256" s="197" t="str">
        <f t="shared" si="160"/>
        <v>WktCode_merchantShip</v>
      </c>
      <c r="B10256" s="409"/>
      <c r="C10256" s="416"/>
      <c r="D10256" s="198" t="s">
        <v>53981</v>
      </c>
      <c r="E10256" s="198">
        <v>60</v>
      </c>
      <c r="F10256" s="199" t="s">
        <v>53982</v>
      </c>
      <c r="G10256" s="1" t="s">
        <v>53983</v>
      </c>
      <c r="H10256" s="200"/>
      <c r="I10256" s="346"/>
      <c r="J10256" s="39">
        <v>109502</v>
      </c>
      <c r="K10256" s="36" t="str">
        <f>CONCATENATE(Cover!$D$6,"fdd/view?i=",J10256)</f>
        <v>https://www.dgiwg.org/FAD/fdd/view?i=109502</v>
      </c>
      <c r="L10256" s="36" t="s">
        <v>53984</v>
      </c>
      <c r="M10256" s="186"/>
      <c r="N10256" s="186"/>
      <c r="O10256" s="172"/>
    </row>
    <row r="10257" spans="1:15" ht="25.5" x14ac:dyDescent="0.2">
      <c r="A10257" s="197" t="str">
        <f t="shared" si="160"/>
        <v>WktCode_militaryCruiser</v>
      </c>
      <c r="B10257" s="409"/>
      <c r="C10257" s="416"/>
      <c r="D10257" s="198" t="s">
        <v>53785</v>
      </c>
      <c r="E10257" s="198">
        <v>106</v>
      </c>
      <c r="F10257" s="199" t="s">
        <v>53786</v>
      </c>
      <c r="G10257" s="1" t="s">
        <v>53783</v>
      </c>
      <c r="H10257" s="200"/>
      <c r="I10257" s="346"/>
      <c r="J10257" s="39">
        <v>109545</v>
      </c>
      <c r="K10257" s="36" t="str">
        <f>CONCATENATE(Cover!$D$6,"fdd/view?i=",J10257)</f>
        <v>https://www.dgiwg.org/FAD/fdd/view?i=109545</v>
      </c>
      <c r="L10257" s="36" t="s">
        <v>53787</v>
      </c>
      <c r="M10257" s="186"/>
      <c r="N10257" s="186"/>
      <c r="O10257" s="172"/>
    </row>
    <row r="10258" spans="1:15" ht="25.5" x14ac:dyDescent="0.2">
      <c r="A10258" s="197" t="str">
        <f t="shared" si="160"/>
        <v>WktCode_militaryVessel</v>
      </c>
      <c r="B10258" s="409"/>
      <c r="C10258" s="416"/>
      <c r="D10258" s="198" t="s">
        <v>53985</v>
      </c>
      <c r="E10258" s="198">
        <v>62</v>
      </c>
      <c r="F10258" s="199" t="s">
        <v>53986</v>
      </c>
      <c r="G10258" s="1" t="s">
        <v>53987</v>
      </c>
      <c r="H10258" s="200"/>
      <c r="I10258" s="346"/>
      <c r="J10258" s="39">
        <v>109503</v>
      </c>
      <c r="K10258" s="36" t="str">
        <f>CONCATENATE(Cover!$D$6,"fdd/view?i=",J10258)</f>
        <v>https://www.dgiwg.org/FAD/fdd/view?i=109503</v>
      </c>
      <c r="L10258" s="36" t="s">
        <v>53988</v>
      </c>
      <c r="M10258" s="186"/>
      <c r="N10258" s="186"/>
      <c r="O10258" s="172"/>
    </row>
    <row r="10259" spans="1:15" x14ac:dyDescent="0.2">
      <c r="A10259" s="197" t="str">
        <f t="shared" si="160"/>
        <v>WktCode_minelayer</v>
      </c>
      <c r="B10259" s="409"/>
      <c r="C10259" s="416"/>
      <c r="D10259" s="198" t="s">
        <v>53989</v>
      </c>
      <c r="E10259" s="198">
        <v>131</v>
      </c>
      <c r="F10259" s="199" t="s">
        <v>53990</v>
      </c>
      <c r="G10259" s="1" t="s">
        <v>53991</v>
      </c>
      <c r="H10259" s="200"/>
      <c r="I10259" s="346"/>
      <c r="J10259" s="39">
        <v>110668</v>
      </c>
      <c r="K10259" s="36" t="str">
        <f>CONCATENATE(Cover!$D$6,"fdd/view?i=",J10259)</f>
        <v>https://www.dgiwg.org/FAD/fdd/view?i=110668</v>
      </c>
      <c r="L10259" s="36" t="s">
        <v>53992</v>
      </c>
      <c r="M10259" s="186"/>
      <c r="N10259" s="186"/>
      <c r="O10259" s="172"/>
    </row>
    <row r="10260" spans="1:15" ht="25.5" x14ac:dyDescent="0.2">
      <c r="A10260" s="197" t="str">
        <f t="shared" si="160"/>
        <v>WktCode_minelayerOrMinesweeper</v>
      </c>
      <c r="B10260" s="409"/>
      <c r="C10260" s="416"/>
      <c r="D10260" s="198" t="s">
        <v>53993</v>
      </c>
      <c r="E10260" s="198">
        <v>32</v>
      </c>
      <c r="F10260" s="199" t="s">
        <v>53994</v>
      </c>
      <c r="G10260" s="1" t="s">
        <v>53995</v>
      </c>
      <c r="H10260" s="200"/>
      <c r="I10260" s="346"/>
      <c r="J10260" s="39">
        <v>109474</v>
      </c>
      <c r="K10260" s="36" t="str">
        <f>CONCATENATE(Cover!$D$6,"fdd/view?i=",J10260)</f>
        <v>https://www.dgiwg.org/FAD/fdd/view?i=109474</v>
      </c>
      <c r="L10260" s="36" t="s">
        <v>53996</v>
      </c>
      <c r="M10260" s="186"/>
      <c r="N10260" s="186"/>
      <c r="O10260" s="172"/>
    </row>
    <row r="10261" spans="1:15" x14ac:dyDescent="0.2">
      <c r="A10261" s="197" t="str">
        <f t="shared" si="160"/>
        <v>WktCode_minesweeper</v>
      </c>
      <c r="B10261" s="409"/>
      <c r="C10261" s="416"/>
      <c r="D10261" s="198" t="s">
        <v>42006</v>
      </c>
      <c r="E10261" s="198">
        <v>132</v>
      </c>
      <c r="F10261" s="199" t="s">
        <v>42007</v>
      </c>
      <c r="G10261" s="1" t="s">
        <v>53997</v>
      </c>
      <c r="H10261" s="200"/>
      <c r="I10261" s="346"/>
      <c r="J10261" s="39">
        <v>110669</v>
      </c>
      <c r="K10261" s="36" t="str">
        <f>CONCATENATE(Cover!$D$6,"fdd/view?i=",J10261)</f>
        <v>https://www.dgiwg.org/FAD/fdd/view?i=110669</v>
      </c>
      <c r="L10261" s="36" t="s">
        <v>53998</v>
      </c>
      <c r="M10261" s="186"/>
      <c r="N10261" s="186"/>
      <c r="O10261" s="172"/>
    </row>
    <row r="10262" spans="1:15" ht="25.5" x14ac:dyDescent="0.2">
      <c r="A10262" s="197" t="str">
        <f t="shared" si="160"/>
        <v>WktCode_mobileCrane</v>
      </c>
      <c r="B10262" s="409"/>
      <c r="C10262" s="416"/>
      <c r="D10262" s="198" t="s">
        <v>53999</v>
      </c>
      <c r="E10262" s="198">
        <v>74</v>
      </c>
      <c r="F10262" s="199" t="s">
        <v>54000</v>
      </c>
      <c r="G10262" s="1" t="s">
        <v>54001</v>
      </c>
      <c r="H10262" s="200"/>
      <c r="I10262" s="346"/>
      <c r="J10262" s="39">
        <v>109514</v>
      </c>
      <c r="K10262" s="36" t="str">
        <f>CONCATENATE(Cover!$D$6,"fdd/view?i=",J10262)</f>
        <v>https://www.dgiwg.org/FAD/fdd/view?i=109514</v>
      </c>
      <c r="L10262" s="36" t="s">
        <v>54002</v>
      </c>
      <c r="M10262" s="186"/>
      <c r="N10262" s="186"/>
      <c r="O10262" s="172"/>
    </row>
    <row r="10263" spans="1:15" x14ac:dyDescent="0.2">
      <c r="A10263" s="197" t="str">
        <f t="shared" si="160"/>
        <v>WktCode_motorVessel</v>
      </c>
      <c r="B10263" s="409"/>
      <c r="C10263" s="416"/>
      <c r="D10263" s="198" t="s">
        <v>54003</v>
      </c>
      <c r="E10263" s="198">
        <v>56</v>
      </c>
      <c r="F10263" s="199" t="s">
        <v>54004</v>
      </c>
      <c r="G10263" s="1" t="s">
        <v>54005</v>
      </c>
      <c r="H10263" s="200"/>
      <c r="I10263" s="346"/>
      <c r="J10263" s="39">
        <v>109498</v>
      </c>
      <c r="K10263" s="36" t="str">
        <f>CONCATENATE(Cover!$D$6,"fdd/view?i=",J10263)</f>
        <v>https://www.dgiwg.org/FAD/fdd/view?i=109498</v>
      </c>
      <c r="L10263" s="36" t="s">
        <v>54006</v>
      </c>
      <c r="M10263" s="186"/>
      <c r="N10263" s="186"/>
      <c r="O10263" s="172"/>
    </row>
    <row r="10264" spans="1:15" x14ac:dyDescent="0.2">
      <c r="A10264" s="197" t="str">
        <f t="shared" si="160"/>
        <v>WktCode_mulberryUnit</v>
      </c>
      <c r="B10264" s="409"/>
      <c r="C10264" s="416"/>
      <c r="D10264" s="198" t="s">
        <v>54007</v>
      </c>
      <c r="E10264" s="198">
        <v>117</v>
      </c>
      <c r="F10264" s="199" t="s">
        <v>54008</v>
      </c>
      <c r="G10264" s="1" t="s">
        <v>54009</v>
      </c>
      <c r="H10264" s="200"/>
      <c r="I10264" s="346"/>
      <c r="J10264" s="39">
        <v>109555</v>
      </c>
      <c r="K10264" s="36" t="str">
        <f>CONCATENATE(Cover!$D$6,"fdd/view?i=",J10264)</f>
        <v>https://www.dgiwg.org/FAD/fdd/view?i=109555</v>
      </c>
      <c r="L10264" s="36" t="s">
        <v>54010</v>
      </c>
      <c r="M10264" s="186"/>
      <c r="N10264" s="186"/>
      <c r="O10264" s="172"/>
    </row>
    <row r="10265" spans="1:15" ht="38.25" x14ac:dyDescent="0.2">
      <c r="A10265" s="197" t="str">
        <f t="shared" si="160"/>
        <v>WktCode_netTender</v>
      </c>
      <c r="B10265" s="409"/>
      <c r="C10265" s="416"/>
      <c r="D10265" s="198" t="s">
        <v>54011</v>
      </c>
      <c r="E10265" s="198">
        <v>33</v>
      </c>
      <c r="F10265" s="199" t="s">
        <v>54012</v>
      </c>
      <c r="G10265" s="1" t="s">
        <v>54013</v>
      </c>
      <c r="H10265" s="200"/>
      <c r="I10265" s="346"/>
      <c r="J10265" s="39">
        <v>109475</v>
      </c>
      <c r="K10265" s="36" t="str">
        <f>CONCATENATE(Cover!$D$6,"fdd/view?i=",J10265)</f>
        <v>https://www.dgiwg.org/FAD/fdd/view?i=109475</v>
      </c>
      <c r="L10265" s="36" t="s">
        <v>54014</v>
      </c>
      <c r="M10265" s="186"/>
      <c r="N10265" s="186"/>
      <c r="O10265" s="172"/>
    </row>
    <row r="10266" spans="1:15" ht="25.5" x14ac:dyDescent="0.2">
      <c r="A10266" s="197" t="str">
        <f t="shared" si="160"/>
        <v>WktCode_nonPropelledRollOnRollOff</v>
      </c>
      <c r="B10266" s="409"/>
      <c r="C10266" s="416"/>
      <c r="D10266" s="198" t="s">
        <v>54015</v>
      </c>
      <c r="E10266" s="198">
        <v>84</v>
      </c>
      <c r="F10266" s="199" t="s">
        <v>54016</v>
      </c>
      <c r="G10266" s="1" t="s">
        <v>54017</v>
      </c>
      <c r="H10266" s="200"/>
      <c r="I10266" s="346"/>
      <c r="J10266" s="39">
        <v>109524</v>
      </c>
      <c r="K10266" s="36" t="str">
        <f>CONCATENATE(Cover!$D$6,"fdd/view?i=",J10266)</f>
        <v>https://www.dgiwg.org/FAD/fdd/view?i=109524</v>
      </c>
      <c r="L10266" s="36" t="s">
        <v>54018</v>
      </c>
      <c r="M10266" s="186"/>
      <c r="N10266" s="186"/>
      <c r="O10266" s="172"/>
    </row>
    <row r="10267" spans="1:15" ht="38.25" x14ac:dyDescent="0.2">
      <c r="A10267" s="197" t="str">
        <f t="shared" si="160"/>
        <v>WktCode_obstruction</v>
      </c>
      <c r="B10267" s="409"/>
      <c r="C10267" s="416"/>
      <c r="D10267" s="198" t="s">
        <v>20031</v>
      </c>
      <c r="E10267" s="198">
        <v>35</v>
      </c>
      <c r="F10267" s="199" t="s">
        <v>20032</v>
      </c>
      <c r="G10267" s="1" t="s">
        <v>54019</v>
      </c>
      <c r="H10267" s="1" t="s">
        <v>54020</v>
      </c>
      <c r="I10267" s="346"/>
      <c r="J10267" s="39">
        <v>109477</v>
      </c>
      <c r="K10267" s="36" t="str">
        <f>CONCATENATE(Cover!$D$6,"fdd/view?i=",J10267)</f>
        <v>https://www.dgiwg.org/FAD/fdd/view?i=109477</v>
      </c>
      <c r="L10267" s="36" t="s">
        <v>54021</v>
      </c>
      <c r="M10267" s="186"/>
      <c r="N10267" s="186"/>
      <c r="O10267" s="172"/>
    </row>
    <row r="10268" spans="1:15" ht="25.5" x14ac:dyDescent="0.2">
      <c r="A10268" s="197" t="str">
        <f t="shared" si="160"/>
        <v>WktCode_oceanTug</v>
      </c>
      <c r="B10268" s="409"/>
      <c r="C10268" s="416"/>
      <c r="D10268" s="198" t="s">
        <v>54022</v>
      </c>
      <c r="E10268" s="198">
        <v>68</v>
      </c>
      <c r="F10268" s="199" t="s">
        <v>54023</v>
      </c>
      <c r="G10268" s="1" t="s">
        <v>54024</v>
      </c>
      <c r="H10268" s="200"/>
      <c r="I10268" s="346"/>
      <c r="J10268" s="39">
        <v>109508</v>
      </c>
      <c r="K10268" s="36" t="str">
        <f>CONCATENATE(Cover!$D$6,"fdd/view?i=",J10268)</f>
        <v>https://www.dgiwg.org/FAD/fdd/view?i=109508</v>
      </c>
      <c r="L10268" s="36" t="s">
        <v>54025</v>
      </c>
      <c r="M10268" s="186"/>
      <c r="N10268" s="186"/>
      <c r="O10268" s="172"/>
    </row>
    <row r="10269" spans="1:15" ht="25.5" x14ac:dyDescent="0.2">
      <c r="A10269" s="197" t="str">
        <f t="shared" si="160"/>
        <v>WktCode_paddleBoat</v>
      </c>
      <c r="B10269" s="409"/>
      <c r="C10269" s="416"/>
      <c r="D10269" s="198" t="s">
        <v>54026</v>
      </c>
      <c r="E10269" s="198">
        <v>133</v>
      </c>
      <c r="F10269" s="199" t="s">
        <v>54027</v>
      </c>
      <c r="G10269" s="1" t="s">
        <v>54028</v>
      </c>
      <c r="H10269" s="200"/>
      <c r="I10269" s="346"/>
      <c r="J10269" s="39">
        <v>110745</v>
      </c>
      <c r="K10269" s="36" t="str">
        <f>CONCATENATE(Cover!$D$6,"fdd/view?i=",J10269)</f>
        <v>https://www.dgiwg.org/FAD/fdd/view?i=110745</v>
      </c>
      <c r="L10269" s="36" t="s">
        <v>54029</v>
      </c>
      <c r="M10269" s="186"/>
      <c r="N10269" s="186"/>
      <c r="O10269" s="172"/>
    </row>
    <row r="10270" spans="1:15" ht="38.25" x14ac:dyDescent="0.2">
      <c r="A10270" s="197" t="str">
        <f t="shared" si="160"/>
        <v>WktCode_passengerCargo</v>
      </c>
      <c r="B10270" s="409"/>
      <c r="C10270" s="416"/>
      <c r="D10270" s="198" t="s">
        <v>54030</v>
      </c>
      <c r="E10270" s="198">
        <v>36</v>
      </c>
      <c r="F10270" s="199" t="s">
        <v>54031</v>
      </c>
      <c r="G10270" s="1" t="s">
        <v>54032</v>
      </c>
      <c r="H10270" s="1" t="s">
        <v>54033</v>
      </c>
      <c r="I10270" s="346"/>
      <c r="J10270" s="39">
        <v>109478</v>
      </c>
      <c r="K10270" s="36" t="str">
        <f>CONCATENATE(Cover!$D$6,"fdd/view?i=",J10270)</f>
        <v>https://www.dgiwg.org/FAD/fdd/view?i=109478</v>
      </c>
      <c r="L10270" s="36" t="s">
        <v>54034</v>
      </c>
      <c r="M10270" s="186"/>
      <c r="N10270" s="186"/>
      <c r="O10270" s="172"/>
    </row>
    <row r="10271" spans="1:15" ht="25.5" x14ac:dyDescent="0.2">
      <c r="A10271" s="197" t="str">
        <f t="shared" si="160"/>
        <v>WktCode_patrolBoat</v>
      </c>
      <c r="B10271" s="409"/>
      <c r="C10271" s="416"/>
      <c r="D10271" s="198" t="s">
        <v>54035</v>
      </c>
      <c r="E10271" s="198">
        <v>37</v>
      </c>
      <c r="F10271" s="199" t="s">
        <v>54036</v>
      </c>
      <c r="G10271" s="1" t="s">
        <v>54037</v>
      </c>
      <c r="H10271" s="200"/>
      <c r="I10271" s="346"/>
      <c r="J10271" s="39">
        <v>109479</v>
      </c>
      <c r="K10271" s="36" t="str">
        <f>CONCATENATE(Cover!$D$6,"fdd/view?i=",J10271)</f>
        <v>https://www.dgiwg.org/FAD/fdd/view?i=109479</v>
      </c>
      <c r="L10271" s="36" t="s">
        <v>54038</v>
      </c>
      <c r="M10271" s="186"/>
      <c r="N10271" s="186"/>
      <c r="O10271" s="172"/>
    </row>
    <row r="10272" spans="1:15" x14ac:dyDescent="0.2">
      <c r="A10272" s="197" t="str">
        <f t="shared" si="160"/>
        <v>WktCode_pilotBoat</v>
      </c>
      <c r="B10272" s="409"/>
      <c r="C10272" s="416"/>
      <c r="D10272" s="198" t="s">
        <v>54039</v>
      </c>
      <c r="E10272" s="198">
        <v>93</v>
      </c>
      <c r="F10272" s="199" t="s">
        <v>54040</v>
      </c>
      <c r="G10272" s="1" t="s">
        <v>54041</v>
      </c>
      <c r="H10272" s="200"/>
      <c r="I10272" s="346"/>
      <c r="J10272" s="39">
        <v>109533</v>
      </c>
      <c r="K10272" s="36" t="str">
        <f>CONCATENATE(Cover!$D$6,"fdd/view?i=",J10272)</f>
        <v>https://www.dgiwg.org/FAD/fdd/view?i=109533</v>
      </c>
      <c r="L10272" s="36" t="s">
        <v>54042</v>
      </c>
      <c r="M10272" s="186"/>
      <c r="N10272" s="186"/>
      <c r="O10272" s="172"/>
    </row>
    <row r="10273" spans="1:15" ht="25.5" x14ac:dyDescent="0.2">
      <c r="A10273" s="197" t="str">
        <f t="shared" si="160"/>
        <v>WktCode_pinnacleRock</v>
      </c>
      <c r="B10273" s="409"/>
      <c r="C10273" s="416"/>
      <c r="D10273" s="198" t="s">
        <v>54043</v>
      </c>
      <c r="E10273" s="198">
        <v>38</v>
      </c>
      <c r="F10273" s="199" t="s">
        <v>54044</v>
      </c>
      <c r="G10273" s="1" t="s">
        <v>54045</v>
      </c>
      <c r="H10273" s="1" t="s">
        <v>54046</v>
      </c>
      <c r="I10273" s="346"/>
      <c r="J10273" s="39">
        <v>109480</v>
      </c>
      <c r="K10273" s="36" t="str">
        <f>CONCATENATE(Cover!$D$6,"fdd/view?i=",J10273)</f>
        <v>https://www.dgiwg.org/FAD/fdd/view?i=109480</v>
      </c>
      <c r="L10273" s="36" t="s">
        <v>54047</v>
      </c>
      <c r="M10273" s="186"/>
      <c r="N10273" s="186"/>
      <c r="O10273" s="172"/>
    </row>
    <row r="10274" spans="1:15" x14ac:dyDescent="0.2">
      <c r="A10274" s="197" t="str">
        <f t="shared" si="160"/>
        <v>WktCode_pleasureCraft</v>
      </c>
      <c r="B10274" s="409"/>
      <c r="C10274" s="416"/>
      <c r="D10274" s="198" t="s">
        <v>54048</v>
      </c>
      <c r="E10274" s="198">
        <v>88</v>
      </c>
      <c r="F10274" s="199" t="s">
        <v>54049</v>
      </c>
      <c r="G10274" s="1" t="s">
        <v>54050</v>
      </c>
      <c r="H10274" s="200"/>
      <c r="I10274" s="346"/>
      <c r="J10274" s="39">
        <v>109528</v>
      </c>
      <c r="K10274" s="36" t="str">
        <f>CONCATENATE(Cover!$D$6,"fdd/view?i=",J10274)</f>
        <v>https://www.dgiwg.org/FAD/fdd/view?i=109528</v>
      </c>
      <c r="L10274" s="36" t="s">
        <v>54051</v>
      </c>
      <c r="M10274" s="186"/>
      <c r="N10274" s="186"/>
      <c r="O10274" s="172"/>
    </row>
    <row r="10275" spans="1:15" x14ac:dyDescent="0.2">
      <c r="A10275" s="197" t="str">
        <f t="shared" si="160"/>
        <v>WktCode_rescueBoat</v>
      </c>
      <c r="B10275" s="409"/>
      <c r="C10275" s="416"/>
      <c r="D10275" s="198" t="s">
        <v>54052</v>
      </c>
      <c r="E10275" s="198">
        <v>92</v>
      </c>
      <c r="F10275" s="199" t="s">
        <v>54053</v>
      </c>
      <c r="G10275" s="1" t="s">
        <v>54054</v>
      </c>
      <c r="H10275" s="200"/>
      <c r="I10275" s="346"/>
      <c r="J10275" s="39">
        <v>109532</v>
      </c>
      <c r="K10275" s="36" t="str">
        <f>CONCATENATE(Cover!$D$6,"fdd/view?i=",J10275)</f>
        <v>https://www.dgiwg.org/FAD/fdd/view?i=109532</v>
      </c>
      <c r="L10275" s="36" t="s">
        <v>54055</v>
      </c>
      <c r="M10275" s="186"/>
      <c r="N10275" s="186"/>
      <c r="O10275" s="172"/>
    </row>
    <row r="10276" spans="1:15" ht="25.5" x14ac:dyDescent="0.2">
      <c r="A10276" s="197" t="str">
        <f t="shared" si="160"/>
        <v>WktCode_researchVessel</v>
      </c>
      <c r="B10276" s="409"/>
      <c r="C10276" s="416"/>
      <c r="D10276" s="198" t="s">
        <v>54056</v>
      </c>
      <c r="E10276" s="198">
        <v>98</v>
      </c>
      <c r="F10276" s="199" t="s">
        <v>54057</v>
      </c>
      <c r="G10276" s="1" t="s">
        <v>54058</v>
      </c>
      <c r="H10276" s="200"/>
      <c r="I10276" s="346"/>
      <c r="J10276" s="39">
        <v>109538</v>
      </c>
      <c r="K10276" s="36" t="str">
        <f>CONCATENATE(Cover!$D$6,"fdd/view?i=",J10276)</f>
        <v>https://www.dgiwg.org/FAD/fdd/view?i=109538</v>
      </c>
      <c r="L10276" s="36" t="s">
        <v>54059</v>
      </c>
      <c r="M10276" s="186"/>
      <c r="N10276" s="186"/>
      <c r="O10276" s="172"/>
    </row>
    <row r="10277" spans="1:15" x14ac:dyDescent="0.2">
      <c r="A10277" s="197" t="str">
        <f t="shared" si="160"/>
        <v>WktCode_riverboat</v>
      </c>
      <c r="B10277" s="409"/>
      <c r="C10277" s="416"/>
      <c r="D10277" s="198" t="s">
        <v>54060</v>
      </c>
      <c r="E10277" s="198">
        <v>134</v>
      </c>
      <c r="F10277" s="199" t="s">
        <v>54061</v>
      </c>
      <c r="G10277" s="1" t="s">
        <v>54062</v>
      </c>
      <c r="H10277" s="1" t="s">
        <v>54063</v>
      </c>
      <c r="I10277" s="346"/>
      <c r="J10277" s="39">
        <v>110746</v>
      </c>
      <c r="K10277" s="36" t="str">
        <f>CONCATENATE(Cover!$D$6,"fdd/view?i=",J10277)</f>
        <v>https://www.dgiwg.org/FAD/fdd/view?i=110746</v>
      </c>
      <c r="L10277" s="36" t="s">
        <v>54064</v>
      </c>
      <c r="M10277" s="186"/>
      <c r="N10277" s="186"/>
      <c r="O10277" s="172"/>
    </row>
    <row r="10278" spans="1:15" ht="25.5" x14ac:dyDescent="0.2">
      <c r="A10278" s="197" t="str">
        <f t="shared" si="160"/>
        <v>WktCode_rollOnRollOff</v>
      </c>
      <c r="B10278" s="409"/>
      <c r="C10278" s="416"/>
      <c r="D10278" s="198" t="s">
        <v>38862</v>
      </c>
      <c r="E10278" s="198">
        <v>39</v>
      </c>
      <c r="F10278" s="199" t="s">
        <v>38863</v>
      </c>
      <c r="G10278" s="1" t="s">
        <v>54065</v>
      </c>
      <c r="H10278" s="200"/>
      <c r="I10278" s="346"/>
      <c r="J10278" s="39">
        <v>109481</v>
      </c>
      <c r="K10278" s="36" t="str">
        <f>CONCATENATE(Cover!$D$6,"fdd/view?i=",J10278)</f>
        <v>https://www.dgiwg.org/FAD/fdd/view?i=109481</v>
      </c>
      <c r="L10278" s="36" t="s">
        <v>54066</v>
      </c>
      <c r="M10278" s="186"/>
      <c r="N10278" s="186"/>
      <c r="O10278" s="172"/>
    </row>
    <row r="10279" spans="1:15" ht="25.5" x14ac:dyDescent="0.2">
      <c r="A10279" s="197" t="str">
        <f t="shared" si="160"/>
        <v>WktCode_sailingShip</v>
      </c>
      <c r="B10279" s="409"/>
      <c r="C10279" s="416"/>
      <c r="D10279" s="198" t="s">
        <v>54067</v>
      </c>
      <c r="E10279" s="198">
        <v>40</v>
      </c>
      <c r="F10279" s="199" t="s">
        <v>54068</v>
      </c>
      <c r="G10279" s="1" t="s">
        <v>54069</v>
      </c>
      <c r="H10279" s="200"/>
      <c r="I10279" s="346"/>
      <c r="J10279" s="39">
        <v>109482</v>
      </c>
      <c r="K10279" s="36" t="str">
        <f>CONCATENATE(Cover!$D$6,"fdd/view?i=",J10279)</f>
        <v>https://www.dgiwg.org/FAD/fdd/view?i=109482</v>
      </c>
      <c r="L10279" s="36" t="s">
        <v>54070</v>
      </c>
      <c r="M10279" s="186"/>
      <c r="N10279" s="186"/>
      <c r="O10279" s="172"/>
    </row>
    <row r="10280" spans="1:15" ht="25.5" x14ac:dyDescent="0.2">
      <c r="A10280" s="197" t="str">
        <f t="shared" si="160"/>
        <v>WktCode_salvageVessel</v>
      </c>
      <c r="B10280" s="409"/>
      <c r="C10280" s="416"/>
      <c r="D10280" s="198" t="s">
        <v>54071</v>
      </c>
      <c r="E10280" s="198">
        <v>96</v>
      </c>
      <c r="F10280" s="199" t="s">
        <v>54072</v>
      </c>
      <c r="G10280" s="1" t="s">
        <v>54073</v>
      </c>
      <c r="H10280" s="200"/>
      <c r="I10280" s="346"/>
      <c r="J10280" s="39">
        <v>109536</v>
      </c>
      <c r="K10280" s="36" t="str">
        <f>CONCATENATE(Cover!$D$6,"fdd/view?i=",J10280)</f>
        <v>https://www.dgiwg.org/FAD/fdd/view?i=109536</v>
      </c>
      <c r="L10280" s="36" t="s">
        <v>54074</v>
      </c>
      <c r="M10280" s="186"/>
      <c r="N10280" s="186"/>
      <c r="O10280" s="172"/>
    </row>
    <row r="10281" spans="1:15" ht="38.25" x14ac:dyDescent="0.2">
      <c r="A10281" s="197" t="str">
        <f t="shared" si="160"/>
        <v>WktCode_schooner</v>
      </c>
      <c r="B10281" s="409"/>
      <c r="C10281" s="416"/>
      <c r="D10281" s="198" t="s">
        <v>54075</v>
      </c>
      <c r="E10281" s="198">
        <v>80</v>
      </c>
      <c r="F10281" s="199" t="s">
        <v>54076</v>
      </c>
      <c r="G10281" s="1" t="s">
        <v>54077</v>
      </c>
      <c r="H10281" s="200"/>
      <c r="I10281" s="346"/>
      <c r="J10281" s="39">
        <v>109520</v>
      </c>
      <c r="K10281" s="36" t="str">
        <f>CONCATENATE(Cover!$D$6,"fdd/view?i=",J10281)</f>
        <v>https://www.dgiwg.org/FAD/fdd/view?i=109520</v>
      </c>
      <c r="L10281" s="36" t="s">
        <v>54078</v>
      </c>
      <c r="M10281" s="186"/>
      <c r="N10281" s="186"/>
      <c r="O10281" s="172"/>
    </row>
    <row r="10282" spans="1:15" ht="76.5" x14ac:dyDescent="0.2">
      <c r="A10282" s="197" t="str">
        <f t="shared" si="160"/>
        <v>WktCode_seaBeeLashBarge</v>
      </c>
      <c r="B10282" s="409"/>
      <c r="C10282" s="416"/>
      <c r="D10282" s="198" t="s">
        <v>53940</v>
      </c>
      <c r="E10282" s="198">
        <v>41</v>
      </c>
      <c r="F10282" s="199" t="s">
        <v>53941</v>
      </c>
      <c r="G10282" s="1" t="s">
        <v>53942</v>
      </c>
      <c r="H10282" s="1" t="s">
        <v>53943</v>
      </c>
      <c r="I10282" s="351" t="s">
        <v>53944</v>
      </c>
      <c r="J10282" s="39">
        <v>109483</v>
      </c>
      <c r="K10282" s="36" t="str">
        <f>CONCATENATE(Cover!$D$6,"fdd/view?i=",J10282)</f>
        <v>https://www.dgiwg.org/FAD/fdd/view?i=109483</v>
      </c>
      <c r="L10282" s="36" t="s">
        <v>53945</v>
      </c>
      <c r="M10282" s="186"/>
      <c r="N10282" s="186"/>
      <c r="O10282" s="172"/>
    </row>
    <row r="10283" spans="1:15" ht="25.5" x14ac:dyDescent="0.2">
      <c r="A10283" s="197" t="str">
        <f t="shared" si="160"/>
        <v>WktCode_shipDebris</v>
      </c>
      <c r="B10283" s="409"/>
      <c r="C10283" s="416"/>
      <c r="D10283" s="198" t="s">
        <v>54079</v>
      </c>
      <c r="E10283" s="198">
        <v>13</v>
      </c>
      <c r="F10283" s="199" t="s">
        <v>54080</v>
      </c>
      <c r="G10283" s="1" t="s">
        <v>54081</v>
      </c>
      <c r="H10283" s="200"/>
      <c r="I10283" s="346"/>
      <c r="J10283" s="39">
        <v>109455</v>
      </c>
      <c r="K10283" s="36" t="str">
        <f>CONCATENATE(Cover!$D$6,"fdd/view?i=",J10283)</f>
        <v>https://www.dgiwg.org/FAD/fdd/view?i=109455</v>
      </c>
      <c r="L10283" s="36" t="s">
        <v>54082</v>
      </c>
      <c r="M10283" s="186"/>
      <c r="N10283" s="186"/>
      <c r="O10283" s="172"/>
    </row>
    <row r="10284" spans="1:15" x14ac:dyDescent="0.2">
      <c r="A10284" s="197" t="str">
        <f t="shared" si="160"/>
        <v>WktCode_shipsLifeboat</v>
      </c>
      <c r="B10284" s="409"/>
      <c r="C10284" s="416"/>
      <c r="D10284" s="198" t="s">
        <v>54083</v>
      </c>
      <c r="E10284" s="198">
        <v>91</v>
      </c>
      <c r="F10284" s="199" t="s">
        <v>54084</v>
      </c>
      <c r="G10284" s="1" t="s">
        <v>54085</v>
      </c>
      <c r="H10284" s="200"/>
      <c r="I10284" s="346"/>
      <c r="J10284" s="39">
        <v>109531</v>
      </c>
      <c r="K10284" s="36" t="str">
        <f>CONCATENATE(Cover!$D$6,"fdd/view?i=",J10284)</f>
        <v>https://www.dgiwg.org/FAD/fdd/view?i=109531</v>
      </c>
      <c r="L10284" s="36" t="s">
        <v>54086</v>
      </c>
      <c r="M10284" s="186"/>
      <c r="N10284" s="186"/>
      <c r="O10284" s="172"/>
    </row>
    <row r="10285" spans="1:15" ht="25.5" x14ac:dyDescent="0.2">
      <c r="A10285" s="197" t="str">
        <f t="shared" si="160"/>
        <v>WktCode_sloop</v>
      </c>
      <c r="B10285" s="409"/>
      <c r="C10285" s="416"/>
      <c r="D10285" s="198" t="s">
        <v>54087</v>
      </c>
      <c r="E10285" s="198">
        <v>76</v>
      </c>
      <c r="F10285" s="199" t="s">
        <v>54088</v>
      </c>
      <c r="G10285" s="1" t="s">
        <v>54089</v>
      </c>
      <c r="H10285" s="200"/>
      <c r="I10285" s="346"/>
      <c r="J10285" s="39">
        <v>109516</v>
      </c>
      <c r="K10285" s="36" t="str">
        <f>CONCATENATE(Cover!$D$6,"fdd/view?i=",J10285)</f>
        <v>https://www.dgiwg.org/FAD/fdd/view?i=109516</v>
      </c>
      <c r="L10285" s="36" t="s">
        <v>54090</v>
      </c>
      <c r="M10285" s="186"/>
      <c r="N10285" s="186"/>
      <c r="O10285" s="172"/>
    </row>
    <row r="10286" spans="1:15" ht="25.5" x14ac:dyDescent="0.2">
      <c r="A10286" s="197" t="str">
        <f t="shared" si="160"/>
        <v>WktCode_smack</v>
      </c>
      <c r="B10286" s="409"/>
      <c r="C10286" s="416"/>
      <c r="D10286" s="198" t="s">
        <v>54091</v>
      </c>
      <c r="E10286" s="198">
        <v>67</v>
      </c>
      <c r="F10286" s="199" t="s">
        <v>54092</v>
      </c>
      <c r="G10286" s="1" t="s">
        <v>54093</v>
      </c>
      <c r="H10286" s="200"/>
      <c r="I10286" s="346"/>
      <c r="J10286" s="39">
        <v>109507</v>
      </c>
      <c r="K10286" s="36" t="str">
        <f>CONCATENATE(Cover!$D$6,"fdd/view?i=",J10286)</f>
        <v>https://www.dgiwg.org/FAD/fdd/view?i=109507</v>
      </c>
      <c r="L10286" s="36" t="s">
        <v>54094</v>
      </c>
      <c r="M10286" s="186"/>
      <c r="N10286" s="186"/>
      <c r="O10286" s="172"/>
    </row>
    <row r="10287" spans="1:15" ht="25.5" x14ac:dyDescent="0.2">
      <c r="A10287" s="197" t="str">
        <f t="shared" si="160"/>
        <v>WktCode_smallDefenceVessel</v>
      </c>
      <c r="B10287" s="409"/>
      <c r="C10287" s="416"/>
      <c r="D10287" s="198" t="s">
        <v>54095</v>
      </c>
      <c r="E10287" s="198">
        <v>110</v>
      </c>
      <c r="F10287" s="199" t="s">
        <v>54096</v>
      </c>
      <c r="G10287" s="1" t="s">
        <v>54097</v>
      </c>
      <c r="H10287" s="200"/>
      <c r="I10287" s="346"/>
      <c r="J10287" s="39">
        <v>109549</v>
      </c>
      <c r="K10287" s="36" t="str">
        <f>CONCATENATE(Cover!$D$6,"fdd/view?i=",J10287)</f>
        <v>https://www.dgiwg.org/FAD/fdd/view?i=109549</v>
      </c>
      <c r="L10287" s="36" t="s">
        <v>54098</v>
      </c>
      <c r="M10287" s="186"/>
      <c r="N10287" s="186"/>
      <c r="O10287" s="172"/>
    </row>
    <row r="10288" spans="1:15" x14ac:dyDescent="0.2">
      <c r="A10288" s="197" t="str">
        <f t="shared" si="160"/>
        <v>WktCode_speedboat</v>
      </c>
      <c r="B10288" s="409"/>
      <c r="C10288" s="416"/>
      <c r="D10288" s="198" t="s">
        <v>37792</v>
      </c>
      <c r="E10288" s="198">
        <v>89</v>
      </c>
      <c r="F10288" s="199" t="s">
        <v>37793</v>
      </c>
      <c r="G10288" s="1" t="s">
        <v>54099</v>
      </c>
      <c r="H10288" s="200"/>
      <c r="I10288" s="346"/>
      <c r="J10288" s="39">
        <v>109529</v>
      </c>
      <c r="K10288" s="36" t="str">
        <f>CONCATENATE(Cover!$D$6,"fdd/view?i=",J10288)</f>
        <v>https://www.dgiwg.org/FAD/fdd/view?i=109529</v>
      </c>
      <c r="L10288" s="36" t="s">
        <v>54100</v>
      </c>
      <c r="M10288" s="186"/>
      <c r="N10288" s="186"/>
      <c r="O10288" s="172"/>
    </row>
    <row r="10289" spans="1:15" x14ac:dyDescent="0.2">
      <c r="A10289" s="197" t="str">
        <f t="shared" si="160"/>
        <v>WktCode_steamShip</v>
      </c>
      <c r="B10289" s="409"/>
      <c r="C10289" s="416"/>
      <c r="D10289" s="198" t="s">
        <v>54101</v>
      </c>
      <c r="E10289" s="198">
        <v>55</v>
      </c>
      <c r="F10289" s="199" t="s">
        <v>54102</v>
      </c>
      <c r="G10289" s="1" t="s">
        <v>54103</v>
      </c>
      <c r="H10289" s="200"/>
      <c r="I10289" s="346"/>
      <c r="J10289" s="39">
        <v>109497</v>
      </c>
      <c r="K10289" s="36" t="str">
        <f>CONCATENATE(Cover!$D$6,"fdd/view?i=",J10289)</f>
        <v>https://www.dgiwg.org/FAD/fdd/view?i=109497</v>
      </c>
      <c r="L10289" s="36" t="s">
        <v>54104</v>
      </c>
      <c r="M10289" s="186"/>
      <c r="N10289" s="186"/>
      <c r="O10289" s="172"/>
    </row>
    <row r="10290" spans="1:15" x14ac:dyDescent="0.2">
      <c r="A10290" s="197" t="str">
        <f t="shared" si="160"/>
        <v>WktCode_sternTrawler</v>
      </c>
      <c r="B10290" s="409"/>
      <c r="C10290" s="416"/>
      <c r="D10290" s="198" t="s">
        <v>54105</v>
      </c>
      <c r="E10290" s="198">
        <v>72</v>
      </c>
      <c r="F10290" s="199" t="s">
        <v>54106</v>
      </c>
      <c r="G10290" s="1" t="s">
        <v>54107</v>
      </c>
      <c r="H10290" s="200"/>
      <c r="I10290" s="346"/>
      <c r="J10290" s="39">
        <v>109512</v>
      </c>
      <c r="K10290" s="36" t="str">
        <f>CONCATENATE(Cover!$D$6,"fdd/view?i=",J10290)</f>
        <v>https://www.dgiwg.org/FAD/fdd/view?i=109512</v>
      </c>
      <c r="L10290" s="36" t="s">
        <v>54108</v>
      </c>
      <c r="M10290" s="186"/>
      <c r="N10290" s="186"/>
      <c r="O10290" s="172"/>
    </row>
    <row r="10291" spans="1:15" x14ac:dyDescent="0.2">
      <c r="A10291" s="197" t="str">
        <f t="shared" si="160"/>
        <v>WktCode_subchaser</v>
      </c>
      <c r="B10291" s="409"/>
      <c r="C10291" s="416"/>
      <c r="D10291" s="198" t="s">
        <v>54109</v>
      </c>
      <c r="E10291" s="198">
        <v>10</v>
      </c>
      <c r="F10291" s="199" t="s">
        <v>54110</v>
      </c>
      <c r="G10291" s="1" t="s">
        <v>54111</v>
      </c>
      <c r="H10291" s="200"/>
      <c r="I10291" s="346"/>
      <c r="J10291" s="39">
        <v>109452</v>
      </c>
      <c r="K10291" s="36" t="str">
        <f>CONCATENATE(Cover!$D$6,"fdd/view?i=",J10291)</f>
        <v>https://www.dgiwg.org/FAD/fdd/view?i=109452</v>
      </c>
      <c r="L10291" s="36" t="s">
        <v>54112</v>
      </c>
      <c r="M10291" s="186"/>
      <c r="N10291" s="186"/>
      <c r="O10291" s="172"/>
    </row>
    <row r="10292" spans="1:15" ht="25.5" x14ac:dyDescent="0.2">
      <c r="A10292" s="197" t="str">
        <f t="shared" si="160"/>
        <v>WktCode_submarine</v>
      </c>
      <c r="B10292" s="409"/>
      <c r="C10292" s="416"/>
      <c r="D10292" s="198" t="s">
        <v>47494</v>
      </c>
      <c r="E10292" s="198">
        <v>43</v>
      </c>
      <c r="F10292" s="199" t="s">
        <v>47495</v>
      </c>
      <c r="G10292" s="1" t="s">
        <v>54113</v>
      </c>
      <c r="H10292" s="200"/>
      <c r="I10292" s="346"/>
      <c r="J10292" s="39">
        <v>109485</v>
      </c>
      <c r="K10292" s="36" t="str">
        <f>CONCATENATE(Cover!$D$6,"fdd/view?i=",J10292)</f>
        <v>https://www.dgiwg.org/FAD/fdd/view?i=109485</v>
      </c>
      <c r="L10292" s="36" t="s">
        <v>54114</v>
      </c>
      <c r="M10292" s="186"/>
      <c r="N10292" s="186"/>
      <c r="O10292" s="172"/>
    </row>
    <row r="10293" spans="1:15" ht="25.5" x14ac:dyDescent="0.2">
      <c r="A10293" s="197" t="str">
        <f t="shared" si="160"/>
        <v>WktCode_supplyVessel</v>
      </c>
      <c r="B10293" s="409"/>
      <c r="C10293" s="416"/>
      <c r="D10293" s="198" t="s">
        <v>54115</v>
      </c>
      <c r="E10293" s="198">
        <v>69</v>
      </c>
      <c r="F10293" s="199" t="s">
        <v>54116</v>
      </c>
      <c r="G10293" s="1" t="s">
        <v>54117</v>
      </c>
      <c r="H10293" s="200"/>
      <c r="I10293" s="346"/>
      <c r="J10293" s="39">
        <v>109509</v>
      </c>
      <c r="K10293" s="36" t="str">
        <f>CONCATENATE(Cover!$D$6,"fdd/view?i=",J10293)</f>
        <v>https://www.dgiwg.org/FAD/fdd/view?i=109509</v>
      </c>
      <c r="L10293" s="36" t="s">
        <v>54118</v>
      </c>
      <c r="M10293" s="186"/>
      <c r="N10293" s="186"/>
      <c r="O10293" s="172"/>
    </row>
    <row r="10294" spans="1:15" ht="38.25" x14ac:dyDescent="0.2">
      <c r="A10294" s="197" t="str">
        <f t="shared" si="160"/>
        <v>WktCode_surfaceWarshipDestSmall</v>
      </c>
      <c r="B10294" s="409"/>
      <c r="C10294" s="416"/>
      <c r="D10294" s="198" t="s">
        <v>54119</v>
      </c>
      <c r="E10294" s="198">
        <v>135</v>
      </c>
      <c r="F10294" s="199" t="s">
        <v>54120</v>
      </c>
      <c r="G10294" s="1" t="s">
        <v>54121</v>
      </c>
      <c r="H10294" s="1" t="s">
        <v>54122</v>
      </c>
      <c r="I10294" s="346"/>
      <c r="J10294" s="39">
        <v>110747</v>
      </c>
      <c r="K10294" s="36" t="str">
        <f>CONCATENATE(Cover!$D$6,"fdd/view?i=",J10294)</f>
        <v>https://www.dgiwg.org/FAD/fdd/view?i=110747</v>
      </c>
      <c r="L10294" s="36" t="s">
        <v>54123</v>
      </c>
      <c r="M10294" s="186"/>
      <c r="N10294" s="186"/>
      <c r="O10294" s="172"/>
    </row>
    <row r="10295" spans="1:15" ht="25.5" x14ac:dyDescent="0.2">
      <c r="A10295" s="197" t="str">
        <f t="shared" si="160"/>
        <v>WktCode_surveyVessel</v>
      </c>
      <c r="B10295" s="409"/>
      <c r="C10295" s="416"/>
      <c r="D10295" s="198" t="s">
        <v>54124</v>
      </c>
      <c r="E10295" s="198">
        <v>44</v>
      </c>
      <c r="F10295" s="199" t="s">
        <v>54125</v>
      </c>
      <c r="G10295" s="1" t="s">
        <v>54126</v>
      </c>
      <c r="H10295" s="200"/>
      <c r="I10295" s="346"/>
      <c r="J10295" s="39">
        <v>109486</v>
      </c>
      <c r="K10295" s="36" t="str">
        <f>CONCATENATE(Cover!$D$6,"fdd/view?i=",J10295)</f>
        <v>https://www.dgiwg.org/FAD/fdd/view?i=109486</v>
      </c>
      <c r="L10295" s="36" t="s">
        <v>54127</v>
      </c>
      <c r="M10295" s="186"/>
      <c r="N10295" s="186"/>
      <c r="O10295" s="172"/>
    </row>
    <row r="10296" spans="1:15" x14ac:dyDescent="0.2">
      <c r="A10296" s="197" t="str">
        <f t="shared" si="160"/>
        <v>WktCode_tanker</v>
      </c>
      <c r="B10296" s="409"/>
      <c r="C10296" s="416"/>
      <c r="D10296" s="198" t="s">
        <v>25546</v>
      </c>
      <c r="E10296" s="198">
        <v>45</v>
      </c>
      <c r="F10296" s="199" t="s">
        <v>25547</v>
      </c>
      <c r="G10296" s="1" t="s">
        <v>54128</v>
      </c>
      <c r="H10296" s="200"/>
      <c r="I10296" s="346"/>
      <c r="J10296" s="39">
        <v>109487</v>
      </c>
      <c r="K10296" s="36" t="str">
        <f>CONCATENATE(Cover!$D$6,"fdd/view?i=",J10296)</f>
        <v>https://www.dgiwg.org/FAD/fdd/view?i=109487</v>
      </c>
      <c r="L10296" s="36" t="s">
        <v>54129</v>
      </c>
      <c r="M10296" s="186"/>
      <c r="N10296" s="186"/>
      <c r="O10296" s="172"/>
    </row>
    <row r="10297" spans="1:15" x14ac:dyDescent="0.2">
      <c r="A10297" s="197" t="str">
        <f t="shared" si="160"/>
        <v>WktCode_targetShip</v>
      </c>
      <c r="B10297" s="409"/>
      <c r="C10297" s="416"/>
      <c r="D10297" s="198" t="s">
        <v>54130</v>
      </c>
      <c r="E10297" s="198">
        <v>47</v>
      </c>
      <c r="F10297" s="199" t="s">
        <v>54131</v>
      </c>
      <c r="G10297" s="1" t="s">
        <v>54132</v>
      </c>
      <c r="H10297" s="200"/>
      <c r="I10297" s="346"/>
      <c r="J10297" s="39">
        <v>109489</v>
      </c>
      <c r="K10297" s="36" t="str">
        <f>CONCATENATE(Cover!$D$6,"fdd/view?i=",J10297)</f>
        <v>https://www.dgiwg.org/FAD/fdd/view?i=109489</v>
      </c>
      <c r="L10297" s="36" t="s">
        <v>54133</v>
      </c>
      <c r="M10297" s="186"/>
      <c r="N10297" s="186"/>
      <c r="O10297" s="172"/>
    </row>
    <row r="10298" spans="1:15" ht="38.25" x14ac:dyDescent="0.2">
      <c r="A10298" s="197" t="str">
        <f t="shared" si="160"/>
        <v>WktCode_tenderVessel</v>
      </c>
      <c r="B10298" s="409"/>
      <c r="C10298" s="416"/>
      <c r="D10298" s="198" t="s">
        <v>54134</v>
      </c>
      <c r="E10298" s="198">
        <v>71</v>
      </c>
      <c r="F10298" s="199" t="s">
        <v>54135</v>
      </c>
      <c r="G10298" s="1" t="s">
        <v>54136</v>
      </c>
      <c r="H10298" s="200"/>
      <c r="I10298" s="346"/>
      <c r="J10298" s="39">
        <v>109511</v>
      </c>
      <c r="K10298" s="36" t="str">
        <f>CONCATENATE(Cover!$D$6,"fdd/view?i=",J10298)</f>
        <v>https://www.dgiwg.org/FAD/fdd/view?i=109511</v>
      </c>
      <c r="L10298" s="36" t="s">
        <v>54137</v>
      </c>
      <c r="M10298" s="186"/>
      <c r="N10298" s="186"/>
      <c r="O10298" s="172"/>
    </row>
    <row r="10299" spans="1:15" ht="25.5" x14ac:dyDescent="0.2">
      <c r="A10299" s="197" t="str">
        <f t="shared" si="160"/>
        <v>WktCode_torpedoBoat</v>
      </c>
      <c r="B10299" s="409"/>
      <c r="C10299" s="416"/>
      <c r="D10299" s="198" t="s">
        <v>54138</v>
      </c>
      <c r="E10299" s="198">
        <v>48</v>
      </c>
      <c r="F10299" s="199" t="s">
        <v>54139</v>
      </c>
      <c r="G10299" s="1" t="s">
        <v>54140</v>
      </c>
      <c r="H10299" s="200"/>
      <c r="I10299" s="346"/>
      <c r="J10299" s="39">
        <v>109490</v>
      </c>
      <c r="K10299" s="36" t="str">
        <f>CONCATENATE(Cover!$D$6,"fdd/view?i=",J10299)</f>
        <v>https://www.dgiwg.org/FAD/fdd/view?i=109490</v>
      </c>
      <c r="L10299" s="36" t="s">
        <v>54141</v>
      </c>
      <c r="M10299" s="186"/>
      <c r="N10299" s="186"/>
      <c r="O10299" s="172"/>
    </row>
    <row r="10300" spans="1:15" ht="38.25" x14ac:dyDescent="0.2">
      <c r="A10300" s="197" t="str">
        <f t="shared" si="160"/>
        <v>WktCode_trainingShip</v>
      </c>
      <c r="B10300" s="409"/>
      <c r="C10300" s="416"/>
      <c r="D10300" s="198" t="s">
        <v>54142</v>
      </c>
      <c r="E10300" s="198">
        <v>146</v>
      </c>
      <c r="F10300" s="199" t="s">
        <v>54143</v>
      </c>
      <c r="G10300" s="1" t="s">
        <v>54144</v>
      </c>
      <c r="H10300" s="1" t="s">
        <v>54145</v>
      </c>
      <c r="I10300" s="346"/>
      <c r="J10300" s="39">
        <v>119967</v>
      </c>
      <c r="K10300" s="36" t="str">
        <f>CONCATENATE(Cover!$D$6,"fdd/view?i=",J10300)</f>
        <v>https://www.dgiwg.org/FAD/fdd/view?i=119967</v>
      </c>
      <c r="L10300" s="36" t="s">
        <v>54146</v>
      </c>
      <c r="M10300" s="186"/>
      <c r="N10300" s="186"/>
      <c r="O10300" s="172"/>
    </row>
    <row r="10301" spans="1:15" ht="25.5" x14ac:dyDescent="0.2">
      <c r="A10301" s="197" t="str">
        <f t="shared" si="160"/>
        <v>WktCode_transportShip</v>
      </c>
      <c r="B10301" s="409"/>
      <c r="C10301" s="416"/>
      <c r="D10301" s="198" t="s">
        <v>54147</v>
      </c>
      <c r="E10301" s="198">
        <v>49</v>
      </c>
      <c r="F10301" s="199" t="s">
        <v>54148</v>
      </c>
      <c r="G10301" s="1" t="s">
        <v>54149</v>
      </c>
      <c r="H10301" s="200"/>
      <c r="I10301" s="346"/>
      <c r="J10301" s="39">
        <v>109491</v>
      </c>
      <c r="K10301" s="36" t="str">
        <f>CONCATENATE(Cover!$D$6,"fdd/view?i=",J10301)</f>
        <v>https://www.dgiwg.org/FAD/fdd/view?i=109491</v>
      </c>
      <c r="L10301" s="36" t="s">
        <v>54150</v>
      </c>
      <c r="M10301" s="186"/>
      <c r="N10301" s="186"/>
      <c r="O10301" s="172"/>
    </row>
    <row r="10302" spans="1:15" ht="25.5" x14ac:dyDescent="0.2">
      <c r="A10302" s="197" t="str">
        <f t="shared" si="160"/>
        <v>WktCode_trawler</v>
      </c>
      <c r="B10302" s="409"/>
      <c r="C10302" s="416"/>
      <c r="D10302" s="198" t="s">
        <v>54151</v>
      </c>
      <c r="E10302" s="198">
        <v>51</v>
      </c>
      <c r="F10302" s="199" t="s">
        <v>54152</v>
      </c>
      <c r="G10302" s="1" t="s">
        <v>54153</v>
      </c>
      <c r="H10302" s="200"/>
      <c r="I10302" s="346"/>
      <c r="J10302" s="39">
        <v>109493</v>
      </c>
      <c r="K10302" s="36" t="str">
        <f>CONCATENATE(Cover!$D$6,"fdd/view?i=",J10302)</f>
        <v>https://www.dgiwg.org/FAD/fdd/view?i=109493</v>
      </c>
      <c r="L10302" s="36" t="s">
        <v>54154</v>
      </c>
      <c r="M10302" s="186"/>
      <c r="N10302" s="186"/>
      <c r="O10302" s="172"/>
    </row>
    <row r="10303" spans="1:15" x14ac:dyDescent="0.2">
      <c r="A10303" s="197" t="str">
        <f t="shared" si="160"/>
        <v>WktCode_trimaran</v>
      </c>
      <c r="B10303" s="409"/>
      <c r="C10303" s="416"/>
      <c r="D10303" s="198" t="s">
        <v>54155</v>
      </c>
      <c r="E10303" s="198">
        <v>120</v>
      </c>
      <c r="F10303" s="199" t="s">
        <v>54156</v>
      </c>
      <c r="G10303" s="1" t="s">
        <v>54157</v>
      </c>
      <c r="H10303" s="200"/>
      <c r="I10303" s="346"/>
      <c r="J10303" s="39">
        <v>109558</v>
      </c>
      <c r="K10303" s="36" t="str">
        <f>CONCATENATE(Cover!$D$6,"fdd/view?i=",J10303)</f>
        <v>https://www.dgiwg.org/FAD/fdd/view?i=109558</v>
      </c>
      <c r="L10303" s="36" t="s">
        <v>54158</v>
      </c>
      <c r="M10303" s="186"/>
      <c r="N10303" s="186"/>
      <c r="O10303" s="172"/>
    </row>
    <row r="10304" spans="1:15" x14ac:dyDescent="0.2">
      <c r="A10304" s="197" t="str">
        <f t="shared" si="160"/>
        <v>WktCode_tug</v>
      </c>
      <c r="B10304" s="409"/>
      <c r="C10304" s="416"/>
      <c r="D10304" s="198" t="s">
        <v>54159</v>
      </c>
      <c r="E10304" s="198">
        <v>50</v>
      </c>
      <c r="F10304" s="199" t="s">
        <v>54160</v>
      </c>
      <c r="G10304" s="1" t="s">
        <v>54161</v>
      </c>
      <c r="H10304" s="200"/>
      <c r="I10304" s="351" t="s">
        <v>54162</v>
      </c>
      <c r="J10304" s="39">
        <v>109492</v>
      </c>
      <c r="K10304" s="36" t="str">
        <f>CONCATENATE(Cover!$D$6,"fdd/view?i=",J10304)</f>
        <v>https://www.dgiwg.org/FAD/fdd/view?i=109492</v>
      </c>
      <c r="L10304" s="36" t="s">
        <v>54163</v>
      </c>
      <c r="M10304" s="186"/>
      <c r="N10304" s="186"/>
      <c r="O10304" s="172"/>
    </row>
    <row r="10305" spans="1:15" ht="38.25" x14ac:dyDescent="0.2">
      <c r="A10305" s="197" t="str">
        <f t="shared" si="160"/>
        <v>WktCode_turboElectricVessel</v>
      </c>
      <c r="B10305" s="409"/>
      <c r="C10305" s="416"/>
      <c r="D10305" s="198" t="s">
        <v>54164</v>
      </c>
      <c r="E10305" s="198">
        <v>58</v>
      </c>
      <c r="F10305" s="199" t="s">
        <v>54165</v>
      </c>
      <c r="G10305" s="1" t="s">
        <v>54166</v>
      </c>
      <c r="H10305" s="200"/>
      <c r="I10305" s="346"/>
      <c r="J10305" s="39">
        <v>109500</v>
      </c>
      <c r="K10305" s="36" t="str">
        <f>CONCATENATE(Cover!$D$6,"fdd/view?i=",J10305)</f>
        <v>https://www.dgiwg.org/FAD/fdd/view?i=109500</v>
      </c>
      <c r="L10305" s="36" t="s">
        <v>54167</v>
      </c>
      <c r="M10305" s="186"/>
      <c r="N10305" s="186"/>
      <c r="O10305" s="172"/>
    </row>
    <row r="10306" spans="1:15" ht="25.5" x14ac:dyDescent="0.2">
      <c r="A10306" s="197" t="str">
        <f t="shared" ref="A10306:A10369" si="161">HYPERLINK(K10306,L10306)</f>
        <v>WktCode_twinMotorVessel</v>
      </c>
      <c r="B10306" s="409"/>
      <c r="C10306" s="416"/>
      <c r="D10306" s="198" t="s">
        <v>54168</v>
      </c>
      <c r="E10306" s="198">
        <v>57</v>
      </c>
      <c r="F10306" s="199" t="s">
        <v>54169</v>
      </c>
      <c r="G10306" s="1" t="s">
        <v>54170</v>
      </c>
      <c r="H10306" s="200"/>
      <c r="I10306" s="346"/>
      <c r="J10306" s="39">
        <v>109499</v>
      </c>
      <c r="K10306" s="36" t="str">
        <f>CONCATENATE(Cover!$D$6,"fdd/view?i=",J10306)</f>
        <v>https://www.dgiwg.org/FAD/fdd/view?i=109499</v>
      </c>
      <c r="L10306" s="36" t="s">
        <v>54171</v>
      </c>
      <c r="M10306" s="186"/>
      <c r="N10306" s="186"/>
      <c r="O10306" s="172"/>
    </row>
    <row r="10307" spans="1:15" ht="25.5" x14ac:dyDescent="0.2">
      <c r="A10307" s="197" t="str">
        <f t="shared" si="161"/>
        <v>WktCode_unmannedSurfaceVehicle</v>
      </c>
      <c r="B10307" s="409"/>
      <c r="C10307" s="416"/>
      <c r="D10307" s="198" t="s">
        <v>54172</v>
      </c>
      <c r="E10307" s="198">
        <v>147</v>
      </c>
      <c r="F10307" s="199" t="s">
        <v>54173</v>
      </c>
      <c r="G10307" s="1" t="s">
        <v>54174</v>
      </c>
      <c r="H10307" s="1" t="s">
        <v>54175</v>
      </c>
      <c r="I10307" s="346"/>
      <c r="J10307" s="39">
        <v>119968</v>
      </c>
      <c r="K10307" s="36" t="str">
        <f>CONCATENATE(Cover!$D$6,"fdd/view?i=",J10307)</f>
        <v>https://www.dgiwg.org/FAD/fdd/view?i=119968</v>
      </c>
      <c r="L10307" s="36" t="s">
        <v>54176</v>
      </c>
      <c r="M10307" s="186"/>
      <c r="N10307" s="186"/>
      <c r="O10307" s="172"/>
    </row>
    <row r="10308" spans="1:15" ht="38.25" x14ac:dyDescent="0.2">
      <c r="A10308" s="197" t="str">
        <f t="shared" si="161"/>
        <v>WktCode_victoryShip</v>
      </c>
      <c r="B10308" s="409"/>
      <c r="C10308" s="416"/>
      <c r="D10308" s="198" t="s">
        <v>54177</v>
      </c>
      <c r="E10308" s="198">
        <v>119</v>
      </c>
      <c r="F10308" s="199" t="s">
        <v>54178</v>
      </c>
      <c r="G10308" s="1" t="s">
        <v>54179</v>
      </c>
      <c r="H10308" s="200"/>
      <c r="I10308" s="346"/>
      <c r="J10308" s="39">
        <v>109557</v>
      </c>
      <c r="K10308" s="36" t="str">
        <f>CONCATENATE(Cover!$D$6,"fdd/view?i=",J10308)</f>
        <v>https://www.dgiwg.org/FAD/fdd/view?i=109557</v>
      </c>
      <c r="L10308" s="36" t="s">
        <v>54180</v>
      </c>
      <c r="M10308" s="186"/>
      <c r="N10308" s="186"/>
      <c r="O10308" s="172"/>
    </row>
    <row r="10309" spans="1:15" ht="25.5" x14ac:dyDescent="0.2">
      <c r="A10309" s="197" t="str">
        <f t="shared" si="161"/>
        <v>WktCode_wreckLikeAnomaly</v>
      </c>
      <c r="B10309" s="409"/>
      <c r="C10309" s="416"/>
      <c r="D10309" s="198" t="s">
        <v>54181</v>
      </c>
      <c r="E10309" s="198">
        <v>1</v>
      </c>
      <c r="F10309" s="199" t="s">
        <v>54182</v>
      </c>
      <c r="G10309" s="1" t="s">
        <v>54183</v>
      </c>
      <c r="H10309" s="200"/>
      <c r="I10309" s="346"/>
      <c r="J10309" s="39">
        <v>109443</v>
      </c>
      <c r="K10309" s="36" t="str">
        <f>CONCATENATE(Cover!$D$6,"fdd/view?i=",J10309)</f>
        <v>https://www.dgiwg.org/FAD/fdd/view?i=109443</v>
      </c>
      <c r="L10309" s="36" t="s">
        <v>54184</v>
      </c>
      <c r="M10309" s="186"/>
      <c r="N10309" s="186"/>
      <c r="O10309" s="172"/>
    </row>
    <row r="10310" spans="1:15" ht="25.5" x14ac:dyDescent="0.2">
      <c r="A10310" s="203" t="str">
        <f t="shared" si="161"/>
        <v>WktCode_yacht</v>
      </c>
      <c r="B10310" s="410"/>
      <c r="C10310" s="417"/>
      <c r="D10310" s="204" t="s">
        <v>37798</v>
      </c>
      <c r="E10310" s="204">
        <v>54</v>
      </c>
      <c r="F10310" s="205" t="s">
        <v>37799</v>
      </c>
      <c r="G10310" s="206" t="s">
        <v>54185</v>
      </c>
      <c r="H10310" s="207"/>
      <c r="I10310" s="347"/>
      <c r="J10310" s="39">
        <v>109496</v>
      </c>
      <c r="K10310" s="36" t="str">
        <f>CONCATENATE(Cover!$D$6,"fdd/view?i=",J10310)</f>
        <v>https://www.dgiwg.org/FAD/fdd/view?i=109496</v>
      </c>
      <c r="L10310" s="36" t="s">
        <v>54186</v>
      </c>
      <c r="M10310" s="186"/>
      <c r="N10310" s="186"/>
      <c r="O10310" s="172"/>
    </row>
    <row r="10311" spans="1:15" ht="38.25" x14ac:dyDescent="0.2">
      <c r="A10311" s="190" t="str">
        <f t="shared" si="161"/>
        <v>VtyCode_conventionalVor</v>
      </c>
      <c r="B10311" s="414" t="str">
        <f>HYPERLINK("[#]Datatypes!A1658:L1658","VtyCode")</f>
        <v>VtyCode</v>
      </c>
      <c r="C10311" s="415" t="s">
        <v>16292</v>
      </c>
      <c r="D10311" s="221" t="s">
        <v>54187</v>
      </c>
      <c r="E10311" s="221">
        <v>1</v>
      </c>
      <c r="F10311" s="222" t="s">
        <v>54188</v>
      </c>
      <c r="G10311" s="223" t="s">
        <v>54189</v>
      </c>
      <c r="H10311" s="224"/>
      <c r="I10311" s="345"/>
      <c r="J10311" s="39">
        <v>115374</v>
      </c>
      <c r="K10311" s="36" t="str">
        <f>CONCATENATE(Cover!$D$6,"fdd/view?i=",J10311)</f>
        <v>https://www.dgiwg.org/FAD/fdd/view?i=115374</v>
      </c>
      <c r="L10311" s="36" t="s">
        <v>54190</v>
      </c>
      <c r="M10311" s="186"/>
      <c r="N10311" s="186"/>
      <c r="O10311" s="13" t="s">
        <v>22118</v>
      </c>
    </row>
    <row r="10312" spans="1:15" ht="51" x14ac:dyDescent="0.2">
      <c r="A10312" s="197" t="str">
        <f t="shared" si="161"/>
        <v>VtyCode_dopplerVor</v>
      </c>
      <c r="B10312" s="409"/>
      <c r="C10312" s="416"/>
      <c r="D10312" s="198" t="s">
        <v>54192</v>
      </c>
      <c r="E10312" s="198">
        <v>2</v>
      </c>
      <c r="F10312" s="199" t="s">
        <v>54193</v>
      </c>
      <c r="G10312" s="1" t="s">
        <v>54194</v>
      </c>
      <c r="H10312" s="200"/>
      <c r="I10312" s="346"/>
      <c r="J10312" s="39">
        <v>115375</v>
      </c>
      <c r="K10312" s="36" t="str">
        <f>CONCATENATE(Cover!$D$6,"fdd/view?i=",J10312)</f>
        <v>https://www.dgiwg.org/FAD/fdd/view?i=115375</v>
      </c>
      <c r="L10312" s="36" t="s">
        <v>54195</v>
      </c>
      <c r="M10312" s="186"/>
      <c r="N10312" s="186"/>
      <c r="O10312" s="13" t="s">
        <v>54191</v>
      </c>
    </row>
    <row r="10313" spans="1:15" ht="63.75" x14ac:dyDescent="0.2">
      <c r="A10313" s="203" t="str">
        <f t="shared" si="161"/>
        <v>VtyCode_vorTestFacility</v>
      </c>
      <c r="B10313" s="410"/>
      <c r="C10313" s="417"/>
      <c r="D10313" s="204" t="s">
        <v>54196</v>
      </c>
      <c r="E10313" s="204">
        <v>3</v>
      </c>
      <c r="F10313" s="205" t="s">
        <v>54197</v>
      </c>
      <c r="G10313" s="206" t="s">
        <v>54198</v>
      </c>
      <c r="H10313" s="207"/>
      <c r="I10313" s="347"/>
      <c r="J10313" s="39">
        <v>119643</v>
      </c>
      <c r="K10313" s="36" t="str">
        <f>CONCATENATE(Cover!$D$6,"fdd/view?i=",J10313)</f>
        <v>https://www.dgiwg.org/FAD/fdd/view?i=119643</v>
      </c>
      <c r="L10313" s="36" t="s">
        <v>54199</v>
      </c>
      <c r="M10313" s="186"/>
      <c r="N10313" s="186"/>
      <c r="O10313" s="172"/>
    </row>
    <row r="10314" spans="1:15" ht="38.25" x14ac:dyDescent="0.2">
      <c r="A10314" s="190" t="str">
        <f t="shared" si="161"/>
        <v>VvoCode_commEquipmentDestroyed</v>
      </c>
      <c r="B10314" s="414" t="str">
        <f>HYPERLINK("[#]Datatypes!A1660:L1660","VvoCode")</f>
        <v>VvoCode</v>
      </c>
      <c r="C10314" s="415" t="s">
        <v>16294</v>
      </c>
      <c r="D10314" s="221" t="s">
        <v>54200</v>
      </c>
      <c r="E10314" s="221">
        <v>1</v>
      </c>
      <c r="F10314" s="222" t="s">
        <v>54201</v>
      </c>
      <c r="G10314" s="223" t="s">
        <v>54202</v>
      </c>
      <c r="H10314" s="223" t="s">
        <v>54203</v>
      </c>
      <c r="I10314" s="345"/>
      <c r="J10314" s="39">
        <v>112660</v>
      </c>
      <c r="K10314" s="36" t="str">
        <f>CONCATENATE(Cover!$D$6,"fdd/view?i=",J10314)</f>
        <v>https://www.dgiwg.org/FAD/fdd/view?i=112660</v>
      </c>
      <c r="L10314" s="36" t="s">
        <v>54204</v>
      </c>
      <c r="M10314" s="186"/>
      <c r="N10314" s="186"/>
      <c r="O10314" s="172"/>
    </row>
    <row r="10315" spans="1:15" x14ac:dyDescent="0.2">
      <c r="A10315" s="197" t="str">
        <f t="shared" si="161"/>
        <v>VvoCode_damaged</v>
      </c>
      <c r="B10315" s="409"/>
      <c r="C10315" s="416"/>
      <c r="D10315" s="198" t="s">
        <v>19467</v>
      </c>
      <c r="E10315" s="198">
        <v>3</v>
      </c>
      <c r="F10315" s="199" t="s">
        <v>19468</v>
      </c>
      <c r="G10315" s="1" t="s">
        <v>54205</v>
      </c>
      <c r="H10315" s="200"/>
      <c r="I10315" s="346"/>
      <c r="J10315" s="39">
        <v>112664</v>
      </c>
      <c r="K10315" s="36" t="str">
        <f>CONCATENATE(Cover!$D$6,"fdd/view?i=",J10315)</f>
        <v>https://www.dgiwg.org/FAD/fdd/view?i=112664</v>
      </c>
      <c r="L10315" s="36" t="s">
        <v>54206</v>
      </c>
      <c r="M10315" s="186"/>
      <c r="N10315" s="186"/>
      <c r="O10315" s="172"/>
    </row>
    <row r="10316" spans="1:15" x14ac:dyDescent="0.2">
      <c r="A10316" s="197" t="str">
        <f t="shared" si="161"/>
        <v>VvoCode_destroyed</v>
      </c>
      <c r="B10316" s="409"/>
      <c r="C10316" s="416"/>
      <c r="D10316" s="198" t="s">
        <v>19471</v>
      </c>
      <c r="E10316" s="198">
        <v>5</v>
      </c>
      <c r="F10316" s="199" t="s">
        <v>19472</v>
      </c>
      <c r="G10316" s="1" t="s">
        <v>54207</v>
      </c>
      <c r="H10316" s="200"/>
      <c r="I10316" s="346"/>
      <c r="J10316" s="39">
        <v>112668</v>
      </c>
      <c r="K10316" s="36" t="str">
        <f>CONCATENATE(Cover!$D$6,"fdd/view?i=",J10316)</f>
        <v>https://www.dgiwg.org/FAD/fdd/view?i=112668</v>
      </c>
      <c r="L10316" s="36" t="s">
        <v>54208</v>
      </c>
      <c r="M10316" s="186"/>
      <c r="N10316" s="186"/>
      <c r="O10316" s="172"/>
    </row>
    <row r="10317" spans="1:15" x14ac:dyDescent="0.2">
      <c r="A10317" s="197" t="str">
        <f t="shared" si="161"/>
        <v>VvoCode_disabled</v>
      </c>
      <c r="B10317" s="409"/>
      <c r="C10317" s="416"/>
      <c r="D10317" s="198" t="s">
        <v>54209</v>
      </c>
      <c r="E10317" s="198">
        <v>4</v>
      </c>
      <c r="F10317" s="199" t="s">
        <v>54210</v>
      </c>
      <c r="G10317" s="1" t="s">
        <v>54211</v>
      </c>
      <c r="H10317" s="200"/>
      <c r="I10317" s="346"/>
      <c r="J10317" s="39">
        <v>112666</v>
      </c>
      <c r="K10317" s="36" t="str">
        <f>CONCATENATE(Cover!$D$6,"fdd/view?i=",J10317)</f>
        <v>https://www.dgiwg.org/FAD/fdd/view?i=112666</v>
      </c>
      <c r="L10317" s="36" t="s">
        <v>54212</v>
      </c>
      <c r="M10317" s="186"/>
      <c r="N10317" s="186"/>
      <c r="O10317" s="172"/>
    </row>
    <row r="10318" spans="1:15" x14ac:dyDescent="0.2">
      <c r="A10318" s="197" t="str">
        <f t="shared" si="161"/>
        <v>VvoCode_stolen</v>
      </c>
      <c r="B10318" s="409"/>
      <c r="C10318" s="416"/>
      <c r="D10318" s="198" t="s">
        <v>54213</v>
      </c>
      <c r="E10318" s="198">
        <v>2</v>
      </c>
      <c r="F10318" s="199" t="s">
        <v>54214</v>
      </c>
      <c r="G10318" s="1" t="s">
        <v>54215</v>
      </c>
      <c r="H10318" s="200"/>
      <c r="I10318" s="346"/>
      <c r="J10318" s="39">
        <v>112662</v>
      </c>
      <c r="K10318" s="36" t="str">
        <f>CONCATENATE(Cover!$D$6,"fdd/view?i=",J10318)</f>
        <v>https://www.dgiwg.org/FAD/fdd/view?i=112662</v>
      </c>
      <c r="L10318" s="36" t="s">
        <v>54216</v>
      </c>
      <c r="M10318" s="186"/>
      <c r="N10318" s="186"/>
      <c r="O10318" s="172"/>
    </row>
    <row r="10319" spans="1:15" x14ac:dyDescent="0.2">
      <c r="A10319" s="197" t="str">
        <f t="shared" si="161"/>
        <v>VvoCode_sunk</v>
      </c>
      <c r="B10319" s="409"/>
      <c r="C10319" s="416"/>
      <c r="D10319" s="198" t="s">
        <v>50643</v>
      </c>
      <c r="E10319" s="198">
        <v>6</v>
      </c>
      <c r="F10319" s="199" t="s">
        <v>50644</v>
      </c>
      <c r="G10319" s="1" t="s">
        <v>54217</v>
      </c>
      <c r="H10319" s="200"/>
      <c r="I10319" s="346"/>
      <c r="J10319" s="39">
        <v>112670</v>
      </c>
      <c r="K10319" s="36" t="str">
        <f>CONCATENATE(Cover!$D$6,"fdd/view?i=",J10319)</f>
        <v>https://www.dgiwg.org/FAD/fdd/view?i=112670</v>
      </c>
      <c r="L10319" s="36" t="s">
        <v>54218</v>
      </c>
      <c r="M10319" s="186"/>
      <c r="N10319" s="186"/>
      <c r="O10319" s="172"/>
    </row>
    <row r="10320" spans="1:15" x14ac:dyDescent="0.2">
      <c r="A10320" s="203" t="str">
        <f t="shared" si="161"/>
        <v>VvoCode_unharmed</v>
      </c>
      <c r="B10320" s="410"/>
      <c r="C10320" s="417"/>
      <c r="D10320" s="204" t="s">
        <v>26940</v>
      </c>
      <c r="E10320" s="204">
        <v>7</v>
      </c>
      <c r="F10320" s="205" t="s">
        <v>26941</v>
      </c>
      <c r="G10320" s="206" t="s">
        <v>54219</v>
      </c>
      <c r="H10320" s="207"/>
      <c r="I10320" s="347"/>
      <c r="J10320" s="39">
        <v>112672</v>
      </c>
      <c r="K10320" s="36" t="str">
        <f>CONCATENATE(Cover!$D$6,"fdd/view?i=",J10320)</f>
        <v>https://www.dgiwg.org/FAD/fdd/view?i=112672</v>
      </c>
      <c r="L10320" s="36" t="s">
        <v>54220</v>
      </c>
      <c r="M10320" s="186"/>
      <c r="N10320" s="186"/>
      <c r="O10320" s="172"/>
    </row>
    <row r="10321" spans="1:15" x14ac:dyDescent="0.2">
      <c r="A10321" s="190" t="str">
        <f t="shared" si="161"/>
        <v>VvsCode_anchored</v>
      </c>
      <c r="B10321" s="414" t="str">
        <f>HYPERLINK("[#]Datatypes!A1662:L1662","VvsCode")</f>
        <v>VvsCode</v>
      </c>
      <c r="C10321" s="415" t="s">
        <v>16296</v>
      </c>
      <c r="D10321" s="221" t="s">
        <v>54221</v>
      </c>
      <c r="E10321" s="221">
        <v>1</v>
      </c>
      <c r="F10321" s="222" t="s">
        <v>54222</v>
      </c>
      <c r="G10321" s="223" t="s">
        <v>54223</v>
      </c>
      <c r="H10321" s="224"/>
      <c r="I10321" s="345"/>
      <c r="J10321" s="39">
        <v>112674</v>
      </c>
      <c r="K10321" s="36" t="str">
        <f>CONCATENATE(Cover!$D$6,"fdd/view?i=",J10321)</f>
        <v>https://www.dgiwg.org/FAD/fdd/view?i=112674</v>
      </c>
      <c r="L10321" s="36" t="s">
        <v>54224</v>
      </c>
      <c r="M10321" s="186"/>
      <c r="N10321" s="186"/>
      <c r="O10321" s="172"/>
    </row>
    <row r="10322" spans="1:15" x14ac:dyDescent="0.2">
      <c r="A10322" s="197" t="str">
        <f t="shared" si="161"/>
        <v>VvsCode_docked</v>
      </c>
      <c r="B10322" s="409"/>
      <c r="C10322" s="416"/>
      <c r="D10322" s="198" t="s">
        <v>54225</v>
      </c>
      <c r="E10322" s="198">
        <v>2</v>
      </c>
      <c r="F10322" s="199" t="s">
        <v>54226</v>
      </c>
      <c r="G10322" s="1" t="s">
        <v>54227</v>
      </c>
      <c r="H10322" s="200"/>
      <c r="I10322" s="346"/>
      <c r="J10322" s="39">
        <v>112676</v>
      </c>
      <c r="K10322" s="36" t="str">
        <f>CONCATENATE(Cover!$D$6,"fdd/view?i=",J10322)</f>
        <v>https://www.dgiwg.org/FAD/fdd/view?i=112676</v>
      </c>
      <c r="L10322" s="36" t="s">
        <v>54228</v>
      </c>
      <c r="M10322" s="186"/>
      <c r="N10322" s="186"/>
      <c r="O10322" s="172"/>
    </row>
    <row r="10323" spans="1:15" x14ac:dyDescent="0.2">
      <c r="A10323" s="203" t="str">
        <f t="shared" si="161"/>
        <v>VvsCode_underway</v>
      </c>
      <c r="B10323" s="410"/>
      <c r="C10323" s="417"/>
      <c r="D10323" s="204" t="s">
        <v>54229</v>
      </c>
      <c r="E10323" s="204">
        <v>3</v>
      </c>
      <c r="F10323" s="205" t="s">
        <v>54230</v>
      </c>
      <c r="G10323" s="206" t="s">
        <v>54231</v>
      </c>
      <c r="H10323" s="207"/>
      <c r="I10323" s="347"/>
      <c r="J10323" s="39">
        <v>112678</v>
      </c>
      <c r="K10323" s="36" t="str">
        <f>CONCATENATE(Cover!$D$6,"fdd/view?i=",J10323)</f>
        <v>https://www.dgiwg.org/FAD/fdd/view?i=112678</v>
      </c>
      <c r="L10323" s="36" t="s">
        <v>54232</v>
      </c>
      <c r="M10323" s="186"/>
      <c r="N10323" s="186"/>
      <c r="O10323" s="172"/>
    </row>
    <row r="10324" spans="1:15" ht="38.25" x14ac:dyDescent="0.2">
      <c r="A10324" s="190" t="str">
        <f t="shared" si="161"/>
        <v>VvtCode_barge</v>
      </c>
      <c r="B10324" s="414" t="str">
        <f>HYPERLINK("[#]Datatypes!A1664:L1664","VvtCode")</f>
        <v>VvtCode</v>
      </c>
      <c r="C10324" s="415" t="s">
        <v>16298</v>
      </c>
      <c r="D10324" s="221" t="s">
        <v>24810</v>
      </c>
      <c r="E10324" s="221">
        <v>1</v>
      </c>
      <c r="F10324" s="222" t="s">
        <v>24811</v>
      </c>
      <c r="G10324" s="223" t="s">
        <v>53693</v>
      </c>
      <c r="H10324" s="224"/>
      <c r="I10324" s="345"/>
      <c r="J10324" s="39">
        <v>119249</v>
      </c>
      <c r="K10324" s="36" t="str">
        <f>CONCATENATE(Cover!$D$6,"fdd/view?i=",J10324)</f>
        <v>https://www.dgiwg.org/FAD/fdd/view?i=119249</v>
      </c>
      <c r="L10324" s="36" t="s">
        <v>54233</v>
      </c>
      <c r="M10324" s="186"/>
      <c r="N10324" s="186"/>
      <c r="O10324" s="172"/>
    </row>
    <row r="10325" spans="1:15" ht="25.5" x14ac:dyDescent="0.2">
      <c r="A10325" s="197" t="str">
        <f t="shared" si="161"/>
        <v>VvtCode_bulkCarrier</v>
      </c>
      <c r="B10325" s="409"/>
      <c r="C10325" s="416"/>
      <c r="D10325" s="198" t="s">
        <v>53730</v>
      </c>
      <c r="E10325" s="198">
        <v>2</v>
      </c>
      <c r="F10325" s="199" t="s">
        <v>53731</v>
      </c>
      <c r="G10325" s="1" t="s">
        <v>53732</v>
      </c>
      <c r="H10325" s="200"/>
      <c r="I10325" s="346"/>
      <c r="J10325" s="39">
        <v>119250</v>
      </c>
      <c r="K10325" s="36" t="str">
        <f>CONCATENATE(Cover!$D$6,"fdd/view?i=",J10325)</f>
        <v>https://www.dgiwg.org/FAD/fdd/view?i=119250</v>
      </c>
      <c r="L10325" s="36" t="s">
        <v>54234</v>
      </c>
      <c r="M10325" s="186"/>
      <c r="N10325" s="186"/>
      <c r="O10325" s="172"/>
    </row>
    <row r="10326" spans="1:15" ht="51" x14ac:dyDescent="0.2">
      <c r="A10326" s="197" t="str">
        <f t="shared" si="161"/>
        <v>VvtCode_containerShip</v>
      </c>
      <c r="B10326" s="409"/>
      <c r="C10326" s="416"/>
      <c r="D10326" s="198" t="s">
        <v>53769</v>
      </c>
      <c r="E10326" s="198">
        <v>3</v>
      </c>
      <c r="F10326" s="199" t="s">
        <v>54235</v>
      </c>
      <c r="G10326" s="1" t="s">
        <v>54236</v>
      </c>
      <c r="H10326" s="1" t="s">
        <v>38836</v>
      </c>
      <c r="I10326" s="346"/>
      <c r="J10326" s="39">
        <v>119251</v>
      </c>
      <c r="K10326" s="36" t="str">
        <f>CONCATENATE(Cover!$D$6,"fdd/view?i=",J10326)</f>
        <v>https://www.dgiwg.org/FAD/fdd/view?i=119251</v>
      </c>
      <c r="L10326" s="36" t="s">
        <v>54237</v>
      </c>
      <c r="M10326" s="186"/>
      <c r="N10326" s="186"/>
      <c r="O10326" s="172"/>
    </row>
    <row r="10327" spans="1:15" ht="25.5" x14ac:dyDescent="0.2">
      <c r="A10327" s="197" t="str">
        <f t="shared" si="161"/>
        <v>VvtCode_fishingBoat</v>
      </c>
      <c r="B10327" s="409"/>
      <c r="C10327" s="416"/>
      <c r="D10327" s="198" t="s">
        <v>37776</v>
      </c>
      <c r="E10327" s="198">
        <v>4</v>
      </c>
      <c r="F10327" s="199" t="s">
        <v>37777</v>
      </c>
      <c r="G10327" s="1" t="s">
        <v>54238</v>
      </c>
      <c r="H10327" s="200"/>
      <c r="I10327" s="346"/>
      <c r="J10327" s="39">
        <v>119252</v>
      </c>
      <c r="K10327" s="36" t="str">
        <f>CONCATENATE(Cover!$D$6,"fdd/view?i=",J10327)</f>
        <v>https://www.dgiwg.org/FAD/fdd/view?i=119252</v>
      </c>
      <c r="L10327" s="36" t="s">
        <v>54239</v>
      </c>
      <c r="M10327" s="186"/>
      <c r="N10327" s="186"/>
      <c r="O10327" s="172"/>
    </row>
    <row r="10328" spans="1:15" ht="25.5" x14ac:dyDescent="0.2">
      <c r="A10328" s="197" t="str">
        <f t="shared" si="161"/>
        <v>VvtCode_generalCargo</v>
      </c>
      <c r="B10328" s="409"/>
      <c r="C10328" s="416"/>
      <c r="D10328" s="198" t="s">
        <v>38652</v>
      </c>
      <c r="E10328" s="198">
        <v>5</v>
      </c>
      <c r="F10328" s="199" t="s">
        <v>38653</v>
      </c>
      <c r="G10328" s="1" t="s">
        <v>54240</v>
      </c>
      <c r="H10328" s="200"/>
      <c r="I10328" s="346"/>
      <c r="J10328" s="39">
        <v>119253</v>
      </c>
      <c r="K10328" s="36" t="str">
        <f>CONCATENATE(Cover!$D$6,"fdd/view?i=",J10328)</f>
        <v>https://www.dgiwg.org/FAD/fdd/view?i=119253</v>
      </c>
      <c r="L10328" s="36" t="s">
        <v>54241</v>
      </c>
      <c r="M10328" s="186"/>
      <c r="N10328" s="186"/>
      <c r="O10328" s="172"/>
    </row>
    <row r="10329" spans="1:15" ht="25.5" x14ac:dyDescent="0.2">
      <c r="A10329" s="197" t="str">
        <f t="shared" si="161"/>
        <v>VvtCode_merchantShip</v>
      </c>
      <c r="B10329" s="409"/>
      <c r="C10329" s="416"/>
      <c r="D10329" s="198" t="s">
        <v>53981</v>
      </c>
      <c r="E10329" s="198">
        <v>6</v>
      </c>
      <c r="F10329" s="199" t="s">
        <v>53982</v>
      </c>
      <c r="G10329" s="1" t="s">
        <v>53983</v>
      </c>
      <c r="H10329" s="200"/>
      <c r="I10329" s="346"/>
      <c r="J10329" s="39">
        <v>119254</v>
      </c>
      <c r="K10329" s="36" t="str">
        <f>CONCATENATE(Cover!$D$6,"fdd/view?i=",J10329)</f>
        <v>https://www.dgiwg.org/FAD/fdd/view?i=119254</v>
      </c>
      <c r="L10329" s="36" t="s">
        <v>54242</v>
      </c>
      <c r="M10329" s="186"/>
      <c r="N10329" s="186"/>
      <c r="O10329" s="172"/>
    </row>
    <row r="10330" spans="1:15" ht="25.5" x14ac:dyDescent="0.2">
      <c r="A10330" s="197" t="str">
        <f t="shared" si="161"/>
        <v>VvtCode_rollOnRollOff</v>
      </c>
      <c r="B10330" s="409"/>
      <c r="C10330" s="416"/>
      <c r="D10330" s="198" t="s">
        <v>38862</v>
      </c>
      <c r="E10330" s="198">
        <v>7</v>
      </c>
      <c r="F10330" s="199" t="s">
        <v>38863</v>
      </c>
      <c r="G10330" s="1" t="s">
        <v>54065</v>
      </c>
      <c r="H10330" s="200"/>
      <c r="I10330" s="346"/>
      <c r="J10330" s="39">
        <v>119255</v>
      </c>
      <c r="K10330" s="36" t="str">
        <f>CONCATENATE(Cover!$D$6,"fdd/view?i=",J10330)</f>
        <v>https://www.dgiwg.org/FAD/fdd/view?i=119255</v>
      </c>
      <c r="L10330" s="36" t="s">
        <v>54243</v>
      </c>
      <c r="M10330" s="186"/>
      <c r="N10330" s="186"/>
      <c r="O10330" s="172"/>
    </row>
    <row r="10331" spans="1:15" x14ac:dyDescent="0.2">
      <c r="A10331" s="197" t="str">
        <f t="shared" si="161"/>
        <v>VvtCode_supplyVessel</v>
      </c>
      <c r="B10331" s="409"/>
      <c r="C10331" s="416"/>
      <c r="D10331" s="198" t="s">
        <v>54115</v>
      </c>
      <c r="E10331" s="198">
        <v>8</v>
      </c>
      <c r="F10331" s="199" t="s">
        <v>54116</v>
      </c>
      <c r="G10331" s="1" t="s">
        <v>54117</v>
      </c>
      <c r="H10331" s="200"/>
      <c r="I10331" s="346"/>
      <c r="J10331" s="39">
        <v>119256</v>
      </c>
      <c r="K10331" s="36" t="str">
        <f>CONCATENATE(Cover!$D$6,"fdd/view?i=",J10331)</f>
        <v>https://www.dgiwg.org/FAD/fdd/view?i=119256</v>
      </c>
      <c r="L10331" s="36" t="s">
        <v>54244</v>
      </c>
      <c r="M10331" s="186"/>
      <c r="N10331" s="186"/>
      <c r="O10331" s="172"/>
    </row>
    <row r="10332" spans="1:15" x14ac:dyDescent="0.2">
      <c r="A10332" s="197" t="str">
        <f t="shared" si="161"/>
        <v>VvtCode_tanker</v>
      </c>
      <c r="B10332" s="409"/>
      <c r="C10332" s="416"/>
      <c r="D10332" s="198" t="s">
        <v>25546</v>
      </c>
      <c r="E10332" s="198">
        <v>9</v>
      </c>
      <c r="F10332" s="199" t="s">
        <v>25547</v>
      </c>
      <c r="G10332" s="1" t="s">
        <v>54128</v>
      </c>
      <c r="H10332" s="200"/>
      <c r="I10332" s="346"/>
      <c r="J10332" s="39">
        <v>119257</v>
      </c>
      <c r="K10332" s="36" t="str">
        <f>CONCATENATE(Cover!$D$6,"fdd/view?i=",J10332)</f>
        <v>https://www.dgiwg.org/FAD/fdd/view?i=119257</v>
      </c>
      <c r="L10332" s="36" t="s">
        <v>54245</v>
      </c>
      <c r="M10332" s="186"/>
      <c r="N10332" s="186"/>
      <c r="O10332" s="172"/>
    </row>
    <row r="10333" spans="1:15" x14ac:dyDescent="0.2">
      <c r="A10333" s="197" t="str">
        <f t="shared" si="161"/>
        <v>VvtCode_tug</v>
      </c>
      <c r="B10333" s="409"/>
      <c r="C10333" s="416"/>
      <c r="D10333" s="198" t="s">
        <v>54159</v>
      </c>
      <c r="E10333" s="198">
        <v>10</v>
      </c>
      <c r="F10333" s="199" t="s">
        <v>54160</v>
      </c>
      <c r="G10333" s="1" t="s">
        <v>54161</v>
      </c>
      <c r="H10333" s="200"/>
      <c r="I10333" s="346"/>
      <c r="J10333" s="39">
        <v>119258</v>
      </c>
      <c r="K10333" s="36" t="str">
        <f>CONCATENATE(Cover!$D$6,"fdd/view?i=",J10333)</f>
        <v>https://www.dgiwg.org/FAD/fdd/view?i=119258</v>
      </c>
      <c r="L10333" s="36" t="s">
        <v>54246</v>
      </c>
      <c r="M10333" s="186"/>
      <c r="N10333" s="186"/>
      <c r="O10333" s="172"/>
    </row>
    <row r="10334" spans="1:15" ht="25.5" x14ac:dyDescent="0.2">
      <c r="A10334" s="203" t="str">
        <f t="shared" si="161"/>
        <v>VvtCode_yacht</v>
      </c>
      <c r="B10334" s="410"/>
      <c r="C10334" s="417"/>
      <c r="D10334" s="204" t="s">
        <v>37798</v>
      </c>
      <c r="E10334" s="204">
        <v>11</v>
      </c>
      <c r="F10334" s="205" t="s">
        <v>37799</v>
      </c>
      <c r="G10334" s="206" t="s">
        <v>54185</v>
      </c>
      <c r="H10334" s="207"/>
      <c r="I10334" s="347"/>
      <c r="J10334" s="39">
        <v>119259</v>
      </c>
      <c r="K10334" s="36" t="str">
        <f>CONCATENATE(Cover!$D$6,"fdd/view?i=",J10334)</f>
        <v>https://www.dgiwg.org/FAD/fdd/view?i=119259</v>
      </c>
      <c r="L10334" s="36" t="s">
        <v>54247</v>
      </c>
      <c r="M10334" s="186"/>
      <c r="N10334" s="186"/>
      <c r="O10334" s="172"/>
    </row>
    <row r="10335" spans="1:15" x14ac:dyDescent="0.2">
      <c r="A10335" s="190" t="str">
        <f t="shared" si="161"/>
        <v>VacCode_landMarker</v>
      </c>
      <c r="B10335" s="414" t="str">
        <f>HYPERLINK("[#]Datatypes!A1666:L1666","VacCode")</f>
        <v>VacCode</v>
      </c>
      <c r="C10335" s="415" t="s">
        <v>16300</v>
      </c>
      <c r="D10335" s="221" t="s">
        <v>54248</v>
      </c>
      <c r="E10335" s="221">
        <v>2</v>
      </c>
      <c r="F10335" s="222" t="s">
        <v>54249</v>
      </c>
      <c r="G10335" s="224"/>
      <c r="H10335" s="224"/>
      <c r="I10335" s="345"/>
      <c r="J10335" s="39">
        <v>109098</v>
      </c>
      <c r="K10335" s="36" t="str">
        <f>CONCATENATE(Cover!$D$6,"fdd/view?i=",J10335)</f>
        <v>https://www.dgiwg.org/FAD/fdd/view?i=109098</v>
      </c>
      <c r="L10335" s="36" t="s">
        <v>54250</v>
      </c>
      <c r="M10335" s="186"/>
      <c r="N10335" s="186"/>
      <c r="O10335" s="172"/>
    </row>
    <row r="10336" spans="1:15" x14ac:dyDescent="0.2">
      <c r="A10336" s="203" t="str">
        <f t="shared" si="161"/>
        <v>VacCode_shoreMarker</v>
      </c>
      <c r="B10336" s="410"/>
      <c r="C10336" s="417"/>
      <c r="D10336" s="204" t="s">
        <v>54251</v>
      </c>
      <c r="E10336" s="204">
        <v>1</v>
      </c>
      <c r="F10336" s="205" t="s">
        <v>54252</v>
      </c>
      <c r="G10336" s="207"/>
      <c r="H10336" s="207"/>
      <c r="I10336" s="347"/>
      <c r="J10336" s="39">
        <v>109097</v>
      </c>
      <c r="K10336" s="36" t="str">
        <f>CONCATENATE(Cover!$D$6,"fdd/view?i=",J10336)</f>
        <v>https://www.dgiwg.org/FAD/fdd/view?i=109097</v>
      </c>
      <c r="L10336" s="36" t="s">
        <v>54253</v>
      </c>
      <c r="M10336" s="186"/>
      <c r="N10336" s="186"/>
      <c r="O10336" s="172"/>
    </row>
    <row r="10337" spans="1:15" ht="38.25" x14ac:dyDescent="0.2">
      <c r="A10337" s="190" t="str">
        <f t="shared" si="161"/>
        <v>Vs1Code_abbreviatedPapi</v>
      </c>
      <c r="B10337" s="414" t="str">
        <f>HYPERLINK("[#]Datatypes!A1668:L1668","Vs1Code")</f>
        <v>Vs1Code</v>
      </c>
      <c r="C10337" s="415" t="s">
        <v>16302</v>
      </c>
      <c r="D10337" s="221" t="s">
        <v>54277</v>
      </c>
      <c r="E10337" s="221">
        <v>5</v>
      </c>
      <c r="F10337" s="222" t="s">
        <v>54278</v>
      </c>
      <c r="G10337" s="223" t="s">
        <v>54279</v>
      </c>
      <c r="H10337" s="223" t="s">
        <v>54280</v>
      </c>
      <c r="I10337" s="352" t="s">
        <v>54281</v>
      </c>
      <c r="J10337" s="39">
        <v>115625</v>
      </c>
      <c r="K10337" s="36" t="str">
        <f>CONCATENATE(Cover!$D$6,"fdd/view?i=",J10337)</f>
        <v>https://www.dgiwg.org/FAD/fdd/view?i=115625</v>
      </c>
      <c r="L10337" s="36" t="s">
        <v>54282</v>
      </c>
      <c r="M10337" s="186"/>
      <c r="N10337" s="186"/>
      <c r="O10337" s="13" t="s">
        <v>54276</v>
      </c>
    </row>
    <row r="10338" spans="1:15" ht="38.25" x14ac:dyDescent="0.2">
      <c r="A10338" s="197" t="str">
        <f t="shared" si="161"/>
        <v>Vs1Code_abbreviatedTeeVasis</v>
      </c>
      <c r="B10338" s="409"/>
      <c r="C10338" s="416"/>
      <c r="D10338" s="198" t="s">
        <v>54284</v>
      </c>
      <c r="E10338" s="198">
        <v>6</v>
      </c>
      <c r="F10338" s="199" t="s">
        <v>54285</v>
      </c>
      <c r="G10338" s="1" t="s">
        <v>54286</v>
      </c>
      <c r="H10338" s="1" t="s">
        <v>54264</v>
      </c>
      <c r="I10338" s="351" t="s">
        <v>54287</v>
      </c>
      <c r="J10338" s="39">
        <v>115626</v>
      </c>
      <c r="K10338" s="36" t="str">
        <f>CONCATENATE(Cover!$D$6,"fdd/view?i=",J10338)</f>
        <v>https://www.dgiwg.org/FAD/fdd/view?i=115626</v>
      </c>
      <c r="L10338" s="36" t="s">
        <v>54288</v>
      </c>
      <c r="M10338" s="186"/>
      <c r="N10338" s="186"/>
      <c r="O10338" s="13" t="s">
        <v>54283</v>
      </c>
    </row>
    <row r="10339" spans="1:15" ht="38.25" x14ac:dyDescent="0.2">
      <c r="A10339" s="197" t="str">
        <f t="shared" si="161"/>
        <v>Vs1Code_abbreviatedTeeVasis3Bar</v>
      </c>
      <c r="B10339" s="409"/>
      <c r="C10339" s="416"/>
      <c r="D10339" s="198" t="s">
        <v>54261</v>
      </c>
      <c r="E10339" s="198">
        <v>1</v>
      </c>
      <c r="F10339" s="199" t="s">
        <v>54262</v>
      </c>
      <c r="G10339" s="1" t="s">
        <v>54263</v>
      </c>
      <c r="H10339" s="1" t="s">
        <v>54264</v>
      </c>
      <c r="I10339" s="346"/>
      <c r="J10339" s="39">
        <v>115621</v>
      </c>
      <c r="K10339" s="36" t="str">
        <f>CONCATENATE(Cover!$D$6,"fdd/view?i=",J10339)</f>
        <v>https://www.dgiwg.org/FAD/fdd/view?i=115621</v>
      </c>
      <c r="L10339" s="36" t="s">
        <v>54265</v>
      </c>
      <c r="M10339" s="186"/>
      <c r="N10339" s="186"/>
      <c r="O10339" s="13" t="s">
        <v>54260</v>
      </c>
    </row>
    <row r="10340" spans="1:15" ht="25.5" x14ac:dyDescent="0.2">
      <c r="A10340" s="197" t="str">
        <f t="shared" si="161"/>
        <v>Vs1Code_abbreviatedVasis</v>
      </c>
      <c r="B10340" s="409"/>
      <c r="C10340" s="416"/>
      <c r="D10340" s="198" t="s">
        <v>54290</v>
      </c>
      <c r="E10340" s="198">
        <v>7</v>
      </c>
      <c r="F10340" s="199" t="s">
        <v>54291</v>
      </c>
      <c r="G10340" s="1" t="s">
        <v>54292</v>
      </c>
      <c r="H10340" s="1" t="s">
        <v>54264</v>
      </c>
      <c r="I10340" s="351" t="s">
        <v>54293</v>
      </c>
      <c r="J10340" s="39">
        <v>115627</v>
      </c>
      <c r="K10340" s="36" t="str">
        <f>CONCATENATE(Cover!$D$6,"fdd/view?i=",J10340)</f>
        <v>https://www.dgiwg.org/FAD/fdd/view?i=115627</v>
      </c>
      <c r="L10340" s="36" t="s">
        <v>54294</v>
      </c>
      <c r="M10340" s="186"/>
      <c r="N10340" s="186"/>
      <c r="O10340" s="13" t="s">
        <v>54289</v>
      </c>
    </row>
    <row r="10341" spans="1:15" ht="25.5" x14ac:dyDescent="0.2">
      <c r="A10341" s="197" t="str">
        <f t="shared" si="161"/>
        <v>Vs1Code_abbreviatedVasis3Bar</v>
      </c>
      <c r="B10341" s="409"/>
      <c r="C10341" s="416"/>
      <c r="D10341" s="198" t="s">
        <v>54267</v>
      </c>
      <c r="E10341" s="198">
        <v>2</v>
      </c>
      <c r="F10341" s="199" t="s">
        <v>54268</v>
      </c>
      <c r="G10341" s="1" t="s">
        <v>54269</v>
      </c>
      <c r="H10341" s="1" t="s">
        <v>54264</v>
      </c>
      <c r="I10341" s="346"/>
      <c r="J10341" s="39">
        <v>115622</v>
      </c>
      <c r="K10341" s="36" t="str">
        <f>CONCATENATE(Cover!$D$6,"fdd/view?i=",J10341)</f>
        <v>https://www.dgiwg.org/FAD/fdd/view?i=115622</v>
      </c>
      <c r="L10341" s="36" t="s">
        <v>54270</v>
      </c>
      <c r="M10341" s="186"/>
      <c r="N10341" s="186"/>
      <c r="O10341" s="13" t="s">
        <v>54266</v>
      </c>
    </row>
    <row r="10342" spans="1:15" ht="51" x14ac:dyDescent="0.2">
      <c r="A10342" s="197" t="str">
        <f t="shared" si="161"/>
        <v>Vs1Code_heliApproachPathIndicator</v>
      </c>
      <c r="B10342" s="409"/>
      <c r="C10342" s="416"/>
      <c r="D10342" s="198" t="s">
        <v>54296</v>
      </c>
      <c r="E10342" s="198">
        <v>8</v>
      </c>
      <c r="F10342" s="199" t="s">
        <v>54297</v>
      </c>
      <c r="G10342" s="1" t="s">
        <v>54298</v>
      </c>
      <c r="H10342" s="1" t="s">
        <v>54299</v>
      </c>
      <c r="I10342" s="351" t="s">
        <v>54300</v>
      </c>
      <c r="J10342" s="39">
        <v>115628</v>
      </c>
      <c r="K10342" s="36" t="str">
        <f>CONCATENATE(Cover!$D$6,"fdd/view?i=",J10342)</f>
        <v>https://www.dgiwg.org/FAD/fdd/view?i=115628</v>
      </c>
      <c r="L10342" s="36" t="s">
        <v>54301</v>
      </c>
      <c r="M10342" s="186"/>
      <c r="N10342" s="186"/>
      <c r="O10342" s="13" t="s">
        <v>54295</v>
      </c>
    </row>
    <row r="10343" spans="1:15" ht="38.25" x14ac:dyDescent="0.2">
      <c r="A10343" s="197" t="str">
        <f t="shared" si="161"/>
        <v>Vs1Code_lowCostVasi</v>
      </c>
      <c r="B10343" s="409"/>
      <c r="C10343" s="416"/>
      <c r="D10343" s="198" t="s">
        <v>54303</v>
      </c>
      <c r="E10343" s="198">
        <v>9</v>
      </c>
      <c r="F10343" s="199" t="s">
        <v>54304</v>
      </c>
      <c r="G10343" s="1" t="s">
        <v>54305</v>
      </c>
      <c r="H10343" s="1" t="s">
        <v>54264</v>
      </c>
      <c r="I10343" s="351" t="s">
        <v>54306</v>
      </c>
      <c r="J10343" s="39">
        <v>115629</v>
      </c>
      <c r="K10343" s="36" t="str">
        <f>CONCATENATE(Cover!$D$6,"fdd/view?i=",J10343)</f>
        <v>https://www.dgiwg.org/FAD/fdd/view?i=115629</v>
      </c>
      <c r="L10343" s="36" t="s">
        <v>54307</v>
      </c>
      <c r="M10343" s="186"/>
      <c r="N10343" s="186"/>
      <c r="O10343" s="13" t="s">
        <v>54302</v>
      </c>
    </row>
    <row r="10344" spans="1:15" ht="25.5" x14ac:dyDescent="0.2">
      <c r="A10344" s="197" t="str">
        <f t="shared" si="161"/>
        <v>Vs1Code_multipleIdenticalLightUnits</v>
      </c>
      <c r="B10344" s="409"/>
      <c r="C10344" s="416"/>
      <c r="D10344" s="198" t="s">
        <v>54309</v>
      </c>
      <c r="E10344" s="198">
        <v>10</v>
      </c>
      <c r="F10344" s="199" t="s">
        <v>54310</v>
      </c>
      <c r="G10344" s="1" t="s">
        <v>54311</v>
      </c>
      <c r="H10344" s="200"/>
      <c r="I10344" s="346"/>
      <c r="J10344" s="39">
        <v>115630</v>
      </c>
      <c r="K10344" s="36" t="str">
        <f>CONCATENATE(Cover!$D$6,"fdd/view?i=",J10344)</f>
        <v>https://www.dgiwg.org/FAD/fdd/view?i=115630</v>
      </c>
      <c r="L10344" s="36" t="s">
        <v>54312</v>
      </c>
      <c r="M10344" s="186"/>
      <c r="N10344" s="186"/>
      <c r="O10344" s="13" t="s">
        <v>54308</v>
      </c>
    </row>
    <row r="10345" spans="1:15" ht="25.5" x14ac:dyDescent="0.2">
      <c r="A10345" s="197" t="str">
        <f t="shared" si="161"/>
        <v>Vs1Code_opticalLandingSystem</v>
      </c>
      <c r="B10345" s="409"/>
      <c r="C10345" s="416"/>
      <c r="D10345" s="198" t="s">
        <v>20045</v>
      </c>
      <c r="E10345" s="198">
        <v>11</v>
      </c>
      <c r="F10345" s="199" t="s">
        <v>54314</v>
      </c>
      <c r="G10345" s="1" t="s">
        <v>54315</v>
      </c>
      <c r="H10345" s="200"/>
      <c r="I10345" s="346"/>
      <c r="J10345" s="39">
        <v>115631</v>
      </c>
      <c r="K10345" s="36" t="str">
        <f>CONCATENATE(Cover!$D$6,"fdd/view?i=",J10345)</f>
        <v>https://www.dgiwg.org/FAD/fdd/view?i=115631</v>
      </c>
      <c r="L10345" s="36" t="s">
        <v>54316</v>
      </c>
      <c r="M10345" s="186"/>
      <c r="N10345" s="186"/>
      <c r="O10345" s="13" t="s">
        <v>54313</v>
      </c>
    </row>
    <row r="10346" spans="1:15" ht="76.5" x14ac:dyDescent="0.2">
      <c r="A10346" s="197" t="str">
        <f t="shared" si="161"/>
        <v>Vs1Code_precApproachPathIndicator</v>
      </c>
      <c r="B10346" s="409"/>
      <c r="C10346" s="416"/>
      <c r="D10346" s="198" t="s">
        <v>54318</v>
      </c>
      <c r="E10346" s="198">
        <v>12</v>
      </c>
      <c r="F10346" s="199" t="s">
        <v>41850</v>
      </c>
      <c r="G10346" s="1" t="s">
        <v>54319</v>
      </c>
      <c r="H10346" s="1" t="s">
        <v>54320</v>
      </c>
      <c r="I10346" s="346"/>
      <c r="J10346" s="39">
        <v>115632</v>
      </c>
      <c r="K10346" s="36" t="str">
        <f>CONCATENATE(Cover!$D$6,"fdd/view?i=",J10346)</f>
        <v>https://www.dgiwg.org/FAD/fdd/view?i=115632</v>
      </c>
      <c r="L10346" s="36" t="s">
        <v>54321</v>
      </c>
      <c r="M10346" s="186"/>
      <c r="N10346" s="186"/>
      <c r="O10346" s="13" t="s">
        <v>54317</v>
      </c>
    </row>
    <row r="10347" spans="1:15" ht="25.5" x14ac:dyDescent="0.2">
      <c r="A10347" s="197" t="str">
        <f t="shared" si="161"/>
        <v>Vs1Code_pulsatingVasi</v>
      </c>
      <c r="B10347" s="409"/>
      <c r="C10347" s="416"/>
      <c r="D10347" s="198" t="s">
        <v>54323</v>
      </c>
      <c r="E10347" s="198">
        <v>13</v>
      </c>
      <c r="F10347" s="199" t="s">
        <v>54324</v>
      </c>
      <c r="G10347" s="1" t="s">
        <v>54325</v>
      </c>
      <c r="H10347" s="1" t="s">
        <v>54326</v>
      </c>
      <c r="I10347" s="346"/>
      <c r="J10347" s="39">
        <v>115633</v>
      </c>
      <c r="K10347" s="36" t="str">
        <f>CONCATENATE(Cover!$D$6,"fdd/view?i=",J10347)</f>
        <v>https://www.dgiwg.org/FAD/fdd/view?i=115633</v>
      </c>
      <c r="L10347" s="36" t="s">
        <v>54327</v>
      </c>
      <c r="M10347" s="186"/>
      <c r="N10347" s="186"/>
      <c r="O10347" s="13" t="s">
        <v>54322</v>
      </c>
    </row>
    <row r="10348" spans="1:15" ht="51" x14ac:dyDescent="0.2">
      <c r="A10348" s="197" t="str">
        <f t="shared" si="161"/>
        <v>Vs1Code_teeVasis</v>
      </c>
      <c r="B10348" s="409"/>
      <c r="C10348" s="416"/>
      <c r="D10348" s="198" t="s">
        <v>54335</v>
      </c>
      <c r="E10348" s="198">
        <v>14</v>
      </c>
      <c r="F10348" s="356" t="s">
        <v>54336</v>
      </c>
      <c r="G10348" s="1" t="s">
        <v>54337</v>
      </c>
      <c r="H10348" s="1" t="s">
        <v>54264</v>
      </c>
      <c r="I10348" s="351" t="s">
        <v>54338</v>
      </c>
      <c r="J10348" s="39">
        <v>115634</v>
      </c>
      <c r="K10348" s="36" t="str">
        <f>CONCATENATE(Cover!$D$6,"fdd/view?i=",J10348)</f>
        <v>https://www.dgiwg.org/FAD/fdd/view?i=115634</v>
      </c>
      <c r="L10348" s="36" t="s">
        <v>54339</v>
      </c>
      <c r="M10348" s="186"/>
      <c r="N10348" s="186"/>
      <c r="O10348" s="13" t="s">
        <v>54334</v>
      </c>
    </row>
    <row r="10349" spans="1:15" ht="25.5" x14ac:dyDescent="0.2">
      <c r="A10349" s="197" t="str">
        <f t="shared" si="161"/>
        <v>Vs1Code_triColourVasi</v>
      </c>
      <c r="B10349" s="409"/>
      <c r="C10349" s="416"/>
      <c r="D10349" s="198" t="s">
        <v>54329</v>
      </c>
      <c r="E10349" s="198">
        <v>15</v>
      </c>
      <c r="F10349" s="199" t="s">
        <v>54330</v>
      </c>
      <c r="G10349" s="1" t="s">
        <v>54331</v>
      </c>
      <c r="H10349" s="1" t="s">
        <v>54332</v>
      </c>
      <c r="I10349" s="346"/>
      <c r="J10349" s="39">
        <v>115635</v>
      </c>
      <c r="K10349" s="36" t="str">
        <f>CONCATENATE(Cover!$D$6,"fdd/view?i=",J10349)</f>
        <v>https://www.dgiwg.org/FAD/fdd/view?i=115635</v>
      </c>
      <c r="L10349" s="36" t="s">
        <v>54333</v>
      </c>
      <c r="M10349" s="186"/>
      <c r="N10349" s="186"/>
      <c r="O10349" s="13" t="s">
        <v>54328</v>
      </c>
    </row>
    <row r="10350" spans="1:15" ht="38.25" x14ac:dyDescent="0.2">
      <c r="A10350" s="197" t="str">
        <f t="shared" si="161"/>
        <v>Vs1Code_vasis2Bar</v>
      </c>
      <c r="B10350" s="409"/>
      <c r="C10350" s="416"/>
      <c r="D10350" s="198" t="s">
        <v>54255</v>
      </c>
      <c r="E10350" s="198">
        <v>4</v>
      </c>
      <c r="F10350" s="199" t="s">
        <v>54256</v>
      </c>
      <c r="G10350" s="1" t="s">
        <v>54257</v>
      </c>
      <c r="H10350" s="1" t="s">
        <v>54258</v>
      </c>
      <c r="I10350" s="346"/>
      <c r="J10350" s="39">
        <v>115624</v>
      </c>
      <c r="K10350" s="36" t="str">
        <f>CONCATENATE(Cover!$D$6,"fdd/view?i=",J10350)</f>
        <v>https://www.dgiwg.org/FAD/fdd/view?i=115624</v>
      </c>
      <c r="L10350" s="36" t="s">
        <v>54259</v>
      </c>
      <c r="M10350" s="186"/>
      <c r="N10350" s="186"/>
      <c r="O10350" s="13" t="s">
        <v>54254</v>
      </c>
    </row>
    <row r="10351" spans="1:15" ht="25.5" x14ac:dyDescent="0.2">
      <c r="A10351" s="203" t="str">
        <f t="shared" si="161"/>
        <v>Vs1Code_vasis3Bar</v>
      </c>
      <c r="B10351" s="410"/>
      <c r="C10351" s="417"/>
      <c r="D10351" s="204" t="s">
        <v>54272</v>
      </c>
      <c r="E10351" s="204">
        <v>3</v>
      </c>
      <c r="F10351" s="205" t="s">
        <v>54273</v>
      </c>
      <c r="G10351" s="206" t="s">
        <v>54274</v>
      </c>
      <c r="H10351" s="206" t="s">
        <v>54264</v>
      </c>
      <c r="I10351" s="347"/>
      <c r="J10351" s="39">
        <v>115623</v>
      </c>
      <c r="K10351" s="36" t="str">
        <f>CONCATENATE(Cover!$D$6,"fdd/view?i=",J10351)</f>
        <v>https://www.dgiwg.org/FAD/fdd/view?i=115623</v>
      </c>
      <c r="L10351" s="36" t="s">
        <v>54275</v>
      </c>
      <c r="M10351" s="186"/>
      <c r="N10351" s="186"/>
      <c r="O10351" s="13" t="s">
        <v>54271</v>
      </c>
    </row>
    <row r="10352" spans="1:15" ht="25.5" x14ac:dyDescent="0.2">
      <c r="A10352" s="190" t="str">
        <f t="shared" si="161"/>
        <v>AtdCode_eitherLeftRightTurns</v>
      </c>
      <c r="B10352" s="414" t="str">
        <f>HYPERLINK("[#]Datatypes!A1670:L1670","AtdCode")</f>
        <v>AtdCode</v>
      </c>
      <c r="C10352" s="415" t="s">
        <v>16304</v>
      </c>
      <c r="D10352" s="221" t="s">
        <v>54340</v>
      </c>
      <c r="E10352" s="221">
        <v>3</v>
      </c>
      <c r="F10352" s="222" t="s">
        <v>54341</v>
      </c>
      <c r="G10352" s="223" t="s">
        <v>54342</v>
      </c>
      <c r="H10352" s="224"/>
      <c r="I10352" s="345"/>
      <c r="J10352" s="39">
        <v>115699</v>
      </c>
      <c r="K10352" s="36" t="str">
        <f>CONCATENATE(Cover!$D$6,"fdd/view?i=",J10352)</f>
        <v>https://www.dgiwg.org/FAD/fdd/view?i=115699</v>
      </c>
      <c r="L10352" s="36" t="s">
        <v>54343</v>
      </c>
      <c r="M10352" s="186"/>
      <c r="N10352" s="186"/>
      <c r="O10352" s="13" t="s">
        <v>20938</v>
      </c>
    </row>
    <row r="10353" spans="1:15" ht="25.5" x14ac:dyDescent="0.2">
      <c r="A10353" s="197" t="str">
        <f t="shared" si="161"/>
        <v>AtdCode_leftTurns</v>
      </c>
      <c r="B10353" s="409"/>
      <c r="C10353" s="416"/>
      <c r="D10353" s="198" t="s">
        <v>54345</v>
      </c>
      <c r="E10353" s="198">
        <v>1</v>
      </c>
      <c r="F10353" s="199" t="s">
        <v>54346</v>
      </c>
      <c r="G10353" s="1" t="s">
        <v>54347</v>
      </c>
      <c r="H10353" s="200"/>
      <c r="I10353" s="346"/>
      <c r="J10353" s="39">
        <v>115700</v>
      </c>
      <c r="K10353" s="36" t="str">
        <f>CONCATENATE(Cover!$D$6,"fdd/view?i=",J10353)</f>
        <v>https://www.dgiwg.org/FAD/fdd/view?i=115700</v>
      </c>
      <c r="L10353" s="36" t="s">
        <v>54348</v>
      </c>
      <c r="M10353" s="186"/>
      <c r="N10353" s="186"/>
      <c r="O10353" s="13" t="s">
        <v>54344</v>
      </c>
    </row>
    <row r="10354" spans="1:15" ht="25.5" x14ac:dyDescent="0.2">
      <c r="A10354" s="203" t="str">
        <f t="shared" si="161"/>
        <v>AtdCode_rightTurns</v>
      </c>
      <c r="B10354" s="410"/>
      <c r="C10354" s="417"/>
      <c r="D10354" s="204" t="s">
        <v>54349</v>
      </c>
      <c r="E10354" s="204">
        <v>2</v>
      </c>
      <c r="F10354" s="205" t="s">
        <v>54350</v>
      </c>
      <c r="G10354" s="206" t="s">
        <v>54351</v>
      </c>
      <c r="H10354" s="207"/>
      <c r="I10354" s="347"/>
      <c r="J10354" s="39">
        <v>115701</v>
      </c>
      <c r="K10354" s="36" t="str">
        <f>CONCATENATE(Cover!$D$6,"fdd/view?i=",J10354)</f>
        <v>https://www.dgiwg.org/FAD/fdd/view?i=115701</v>
      </c>
      <c r="L10354" s="36" t="s">
        <v>54352</v>
      </c>
      <c r="M10354" s="186"/>
      <c r="N10354" s="186"/>
      <c r="O10354" s="13" t="s">
        <v>20674</v>
      </c>
    </row>
    <row r="10355" spans="1:15" ht="38.25" x14ac:dyDescent="0.2">
      <c r="A10355" s="190" t="str">
        <f t="shared" si="161"/>
        <v>VcaCode_classified</v>
      </c>
      <c r="B10355" s="414" t="str">
        <f>HYPERLINK("[#]Datatypes!A1672:L1672","VcaCode")</f>
        <v>VcaCode</v>
      </c>
      <c r="C10355" s="415" t="s">
        <v>16306</v>
      </c>
      <c r="D10355" s="221" t="s">
        <v>24126</v>
      </c>
      <c r="E10355" s="221">
        <v>14</v>
      </c>
      <c r="F10355" s="222" t="s">
        <v>24127</v>
      </c>
      <c r="G10355" s="223" t="s">
        <v>54353</v>
      </c>
      <c r="H10355" s="223" t="s">
        <v>54354</v>
      </c>
      <c r="I10355" s="345"/>
      <c r="J10355" s="39">
        <v>110918</v>
      </c>
      <c r="K10355" s="36" t="str">
        <f>CONCATENATE(Cover!$D$6,"fdd/view?i=",J10355)</f>
        <v>https://www.dgiwg.org/FAD/fdd/view?i=110918</v>
      </c>
      <c r="L10355" s="36" t="s">
        <v>54355</v>
      </c>
      <c r="M10355" s="186"/>
      <c r="N10355" s="186"/>
      <c r="O10355" s="172"/>
    </row>
    <row r="10356" spans="1:15" x14ac:dyDescent="0.2">
      <c r="A10356" s="197" t="str">
        <f t="shared" si="161"/>
        <v>VcaCode_cloudCover</v>
      </c>
      <c r="B10356" s="409"/>
      <c r="C10356" s="416"/>
      <c r="D10356" s="198" t="s">
        <v>54356</v>
      </c>
      <c r="E10356" s="198">
        <v>9</v>
      </c>
      <c r="F10356" s="199" t="s">
        <v>54357</v>
      </c>
      <c r="G10356" s="1" t="s">
        <v>54358</v>
      </c>
      <c r="H10356" s="200"/>
      <c r="I10356" s="346"/>
      <c r="J10356" s="39">
        <v>110913</v>
      </c>
      <c r="K10356" s="36" t="str">
        <f>CONCATENATE(Cover!$D$6,"fdd/view?i=",J10356)</f>
        <v>https://www.dgiwg.org/FAD/fdd/view?i=110913</v>
      </c>
      <c r="L10356" s="36" t="s">
        <v>54359</v>
      </c>
      <c r="M10356" s="186"/>
      <c r="N10356" s="186"/>
      <c r="O10356" s="172"/>
    </row>
    <row r="10357" spans="1:15" ht="25.5" x14ac:dyDescent="0.2">
      <c r="A10357" s="197" t="str">
        <f t="shared" si="161"/>
        <v>VcaCode_darkShade</v>
      </c>
      <c r="B10357" s="409"/>
      <c r="C10357" s="416"/>
      <c r="D10357" s="198" t="s">
        <v>54360</v>
      </c>
      <c r="E10357" s="198">
        <v>11</v>
      </c>
      <c r="F10357" s="199" t="s">
        <v>54361</v>
      </c>
      <c r="G10357" s="1" t="s">
        <v>54362</v>
      </c>
      <c r="H10357" s="200"/>
      <c r="I10357" s="346"/>
      <c r="J10357" s="39">
        <v>110915</v>
      </c>
      <c r="K10357" s="36" t="str">
        <f>CONCATENATE(Cover!$D$6,"fdd/view?i=",J10357)</f>
        <v>https://www.dgiwg.org/FAD/fdd/view?i=110915</v>
      </c>
      <c r="L10357" s="36" t="s">
        <v>54363</v>
      </c>
      <c r="M10357" s="186"/>
      <c r="N10357" s="186"/>
      <c r="O10357" s="172"/>
    </row>
    <row r="10358" spans="1:15" ht="38.25" x14ac:dyDescent="0.2">
      <c r="A10358" s="197" t="str">
        <f t="shared" si="161"/>
        <v>VcaCode_diffHgtThresInDataBlock</v>
      </c>
      <c r="B10358" s="409"/>
      <c r="C10358" s="416"/>
      <c r="D10358" s="198" t="s">
        <v>54364</v>
      </c>
      <c r="E10358" s="198">
        <v>4</v>
      </c>
      <c r="F10358" s="199" t="s">
        <v>54365</v>
      </c>
      <c r="G10358" s="200"/>
      <c r="H10358" s="200"/>
      <c r="I10358" s="346"/>
      <c r="J10358" s="39">
        <v>109106</v>
      </c>
      <c r="K10358" s="36" t="str">
        <f>CONCATENATE(Cover!$D$6,"fdd/view?i=",J10358)</f>
        <v>https://www.dgiwg.org/FAD/fdd/view?i=109106</v>
      </c>
      <c r="L10358" s="36" t="s">
        <v>54366</v>
      </c>
      <c r="M10358" s="186"/>
      <c r="N10358" s="186"/>
      <c r="O10358" s="172"/>
    </row>
    <row r="10359" spans="1:15" ht="25.5" x14ac:dyDescent="0.2">
      <c r="A10359" s="197" t="str">
        <f t="shared" si="161"/>
        <v>VcaCode_flooded</v>
      </c>
      <c r="B10359" s="409"/>
      <c r="C10359" s="416"/>
      <c r="D10359" s="198" t="s">
        <v>25950</v>
      </c>
      <c r="E10359" s="198">
        <v>13</v>
      </c>
      <c r="F10359" s="199" t="s">
        <v>25951</v>
      </c>
      <c r="G10359" s="1" t="s">
        <v>54367</v>
      </c>
      <c r="H10359" s="200"/>
      <c r="I10359" s="346"/>
      <c r="J10359" s="39">
        <v>110917</v>
      </c>
      <c r="K10359" s="36" t="str">
        <f>CONCATENATE(Cover!$D$6,"fdd/view?i=",J10359)</f>
        <v>https://www.dgiwg.org/FAD/fdd/view?i=110917</v>
      </c>
      <c r="L10359" s="36" t="s">
        <v>54368</v>
      </c>
      <c r="M10359" s="186"/>
      <c r="N10359" s="186"/>
      <c r="O10359" s="172"/>
    </row>
    <row r="10360" spans="1:15" ht="25.5" x14ac:dyDescent="0.2">
      <c r="A10360" s="197" t="str">
        <f t="shared" si="161"/>
        <v>VcaCode_inaccessible</v>
      </c>
      <c r="B10360" s="409"/>
      <c r="C10360" s="416"/>
      <c r="D10360" s="198" t="s">
        <v>54369</v>
      </c>
      <c r="E10360" s="198">
        <v>2</v>
      </c>
      <c r="F10360" s="199" t="s">
        <v>54370</v>
      </c>
      <c r="G10360" s="1" t="s">
        <v>54371</v>
      </c>
      <c r="H10360" s="200"/>
      <c r="I10360" s="346"/>
      <c r="J10360" s="39">
        <v>109104</v>
      </c>
      <c r="K10360" s="36" t="str">
        <f>CONCATENATE(Cover!$D$6,"fdd/view?i=",J10360)</f>
        <v>https://www.dgiwg.org/FAD/fdd/view?i=109104</v>
      </c>
      <c r="L10360" s="36" t="s">
        <v>54372</v>
      </c>
      <c r="M10360" s="186"/>
      <c r="N10360" s="186"/>
      <c r="O10360" s="172"/>
    </row>
    <row r="10361" spans="1:15" ht="25.5" x14ac:dyDescent="0.2">
      <c r="A10361" s="197" t="str">
        <f t="shared" si="161"/>
        <v>VcaCode_lowDataCollectCriteria</v>
      </c>
      <c r="B10361" s="409"/>
      <c r="C10361" s="416"/>
      <c r="D10361" s="198" t="s">
        <v>54373</v>
      </c>
      <c r="E10361" s="198">
        <v>5</v>
      </c>
      <c r="F10361" s="199" t="s">
        <v>54374</v>
      </c>
      <c r="G10361" s="200"/>
      <c r="H10361" s="200"/>
      <c r="I10361" s="346"/>
      <c r="J10361" s="39">
        <v>109107</v>
      </c>
      <c r="K10361" s="36" t="str">
        <f>CONCATENATE(Cover!$D$6,"fdd/view?i=",J10361)</f>
        <v>https://www.dgiwg.org/FAD/fdd/view?i=109107</v>
      </c>
      <c r="L10361" s="36" t="s">
        <v>54375</v>
      </c>
      <c r="M10361" s="186"/>
      <c r="N10361" s="186"/>
      <c r="O10361" s="172"/>
    </row>
    <row r="10362" spans="1:15" ht="25.5" x14ac:dyDescent="0.2">
      <c r="A10362" s="197" t="str">
        <f t="shared" si="161"/>
        <v>VcaCode_noAvailableImagery</v>
      </c>
      <c r="B10362" s="409"/>
      <c r="C10362" s="416"/>
      <c r="D10362" s="198" t="s">
        <v>54376</v>
      </c>
      <c r="E10362" s="198">
        <v>3</v>
      </c>
      <c r="F10362" s="199" t="s">
        <v>54377</v>
      </c>
      <c r="G10362" s="1" t="s">
        <v>54378</v>
      </c>
      <c r="H10362" s="200"/>
      <c r="I10362" s="346"/>
      <c r="J10362" s="39">
        <v>109105</v>
      </c>
      <c r="K10362" s="36" t="str">
        <f>CONCATENATE(Cover!$D$6,"fdd/view?i=",J10362)</f>
        <v>https://www.dgiwg.org/FAD/fdd/view?i=109105</v>
      </c>
      <c r="L10362" s="36" t="s">
        <v>54379</v>
      </c>
      <c r="M10362" s="186"/>
      <c r="N10362" s="186"/>
      <c r="O10362" s="172"/>
    </row>
    <row r="10363" spans="1:15" ht="25.5" x14ac:dyDescent="0.2">
      <c r="A10363" s="197" t="str">
        <f t="shared" si="161"/>
        <v>VcaCode_noAvailableMapSource</v>
      </c>
      <c r="B10363" s="409"/>
      <c r="C10363" s="416"/>
      <c r="D10363" s="198" t="s">
        <v>54380</v>
      </c>
      <c r="E10363" s="198">
        <v>6</v>
      </c>
      <c r="F10363" s="199" t="s">
        <v>54381</v>
      </c>
      <c r="G10363" s="1" t="s">
        <v>54382</v>
      </c>
      <c r="H10363" s="200"/>
      <c r="I10363" s="346"/>
      <c r="J10363" s="39">
        <v>109108</v>
      </c>
      <c r="K10363" s="36" t="str">
        <f>CONCATENATE(Cover!$D$6,"fdd/view?i=",J10363)</f>
        <v>https://www.dgiwg.org/FAD/fdd/view?i=109108</v>
      </c>
      <c r="L10363" s="36" t="s">
        <v>54383</v>
      </c>
      <c r="M10363" s="186"/>
      <c r="N10363" s="186"/>
      <c r="O10363" s="172"/>
    </row>
    <row r="10364" spans="1:15" ht="25.5" x14ac:dyDescent="0.2">
      <c r="A10364" s="197" t="str">
        <f t="shared" si="161"/>
        <v>VcaCode_noAvailableSurvey</v>
      </c>
      <c r="B10364" s="409"/>
      <c r="C10364" s="416"/>
      <c r="D10364" s="198" t="s">
        <v>54384</v>
      </c>
      <c r="E10364" s="198">
        <v>16</v>
      </c>
      <c r="F10364" s="199" t="s">
        <v>54385</v>
      </c>
      <c r="G10364" s="1" t="s">
        <v>54386</v>
      </c>
      <c r="H10364" s="200"/>
      <c r="I10364" s="346"/>
      <c r="J10364" s="39">
        <v>111323</v>
      </c>
      <c r="K10364" s="36" t="str">
        <f>CONCATENATE(Cover!$D$6,"fdd/view?i=",J10364)</f>
        <v>https://www.dgiwg.org/FAD/fdd/view?i=111323</v>
      </c>
      <c r="L10364" s="36" t="s">
        <v>54387</v>
      </c>
      <c r="M10364" s="186"/>
      <c r="N10364" s="186"/>
      <c r="O10364" s="172"/>
    </row>
    <row r="10365" spans="1:15" ht="25.5" x14ac:dyDescent="0.2">
      <c r="A10365" s="197" t="str">
        <f t="shared" si="161"/>
        <v>VcaCode_noSuitableImagery</v>
      </c>
      <c r="B10365" s="409"/>
      <c r="C10365" s="416"/>
      <c r="D10365" s="198" t="s">
        <v>54388</v>
      </c>
      <c r="E10365" s="198">
        <v>7</v>
      </c>
      <c r="F10365" s="199" t="s">
        <v>54389</v>
      </c>
      <c r="G10365" s="1" t="s">
        <v>54390</v>
      </c>
      <c r="H10365" s="200"/>
      <c r="I10365" s="346"/>
      <c r="J10365" s="39">
        <v>109109</v>
      </c>
      <c r="K10365" s="36" t="str">
        <f>CONCATENATE(Cover!$D$6,"fdd/view?i=",J10365)</f>
        <v>https://www.dgiwg.org/FAD/fdd/view?i=109109</v>
      </c>
      <c r="L10365" s="36" t="s">
        <v>54391</v>
      </c>
      <c r="M10365" s="186"/>
      <c r="N10365" s="186"/>
      <c r="O10365" s="172"/>
    </row>
    <row r="10366" spans="1:15" ht="25.5" x14ac:dyDescent="0.2">
      <c r="A10366" s="197" t="str">
        <f t="shared" si="161"/>
        <v>VcaCode_notRequested</v>
      </c>
      <c r="B10366" s="409"/>
      <c r="C10366" s="416"/>
      <c r="D10366" s="198" t="s">
        <v>54392</v>
      </c>
      <c r="E10366" s="198">
        <v>1</v>
      </c>
      <c r="F10366" s="199" t="s">
        <v>54393</v>
      </c>
      <c r="G10366" s="1" t="s">
        <v>54394</v>
      </c>
      <c r="H10366" s="200"/>
      <c r="I10366" s="346"/>
      <c r="J10366" s="39">
        <v>109103</v>
      </c>
      <c r="K10366" s="36" t="str">
        <f>CONCATENATE(Cover!$D$6,"fdd/view?i=",J10366)</f>
        <v>https://www.dgiwg.org/FAD/fdd/view?i=109103</v>
      </c>
      <c r="L10366" s="36" t="s">
        <v>54395</v>
      </c>
      <c r="M10366" s="186"/>
      <c r="N10366" s="186"/>
      <c r="O10366" s="172"/>
    </row>
    <row r="10367" spans="1:15" x14ac:dyDescent="0.2">
      <c r="A10367" s="197" t="str">
        <f t="shared" si="161"/>
        <v>VcaCode_notRequired</v>
      </c>
      <c r="B10367" s="409"/>
      <c r="C10367" s="416"/>
      <c r="D10367" s="198" t="s">
        <v>54396</v>
      </c>
      <c r="E10367" s="198">
        <v>8</v>
      </c>
      <c r="F10367" s="199" t="s">
        <v>54397</v>
      </c>
      <c r="G10367" s="1" t="s">
        <v>54398</v>
      </c>
      <c r="H10367" s="200"/>
      <c r="I10367" s="346"/>
      <c r="J10367" s="39">
        <v>109110</v>
      </c>
      <c r="K10367" s="36" t="str">
        <f>CONCATENATE(Cover!$D$6,"fdd/view?i=",J10367)</f>
        <v>https://www.dgiwg.org/FAD/fdd/view?i=109110</v>
      </c>
      <c r="L10367" s="36" t="s">
        <v>54399</v>
      </c>
      <c r="M10367" s="186"/>
      <c r="N10367" s="186"/>
      <c r="O10367" s="172"/>
    </row>
    <row r="10368" spans="1:15" x14ac:dyDescent="0.2">
      <c r="A10368" s="197" t="str">
        <f t="shared" si="161"/>
        <v>VcaCode_snowCover</v>
      </c>
      <c r="B10368" s="409"/>
      <c r="C10368" s="416"/>
      <c r="D10368" s="198" t="s">
        <v>54400</v>
      </c>
      <c r="E10368" s="198">
        <v>10</v>
      </c>
      <c r="F10368" s="199" t="s">
        <v>54401</v>
      </c>
      <c r="G10368" s="1" t="s">
        <v>54402</v>
      </c>
      <c r="H10368" s="200"/>
      <c r="I10368" s="346"/>
      <c r="J10368" s="39">
        <v>110914</v>
      </c>
      <c r="K10368" s="36" t="str">
        <f>CONCATENATE(Cover!$D$6,"fdd/view?i=",J10368)</f>
        <v>https://www.dgiwg.org/FAD/fdd/view?i=110914</v>
      </c>
      <c r="L10368" s="36" t="s">
        <v>54403</v>
      </c>
      <c r="M10368" s="186"/>
      <c r="N10368" s="186"/>
      <c r="O10368" s="172"/>
    </row>
    <row r="10369" spans="1:15" x14ac:dyDescent="0.2">
      <c r="A10369" s="197" t="str">
        <f t="shared" si="161"/>
        <v>VcaCode_unprocessed</v>
      </c>
      <c r="B10369" s="409"/>
      <c r="C10369" s="416"/>
      <c r="D10369" s="198" t="s">
        <v>54404</v>
      </c>
      <c r="E10369" s="198">
        <v>15</v>
      </c>
      <c r="F10369" s="199" t="s">
        <v>54405</v>
      </c>
      <c r="G10369" s="1" t="s">
        <v>54406</v>
      </c>
      <c r="H10369" s="200"/>
      <c r="I10369" s="346"/>
      <c r="J10369" s="39">
        <v>110919</v>
      </c>
      <c r="K10369" s="36" t="str">
        <f>CONCATENATE(Cover!$D$6,"fdd/view?i=",J10369)</f>
        <v>https://www.dgiwg.org/FAD/fdd/view?i=110919</v>
      </c>
      <c r="L10369" s="36" t="s">
        <v>54407</v>
      </c>
      <c r="M10369" s="186"/>
      <c r="N10369" s="186"/>
      <c r="O10369" s="172"/>
    </row>
    <row r="10370" spans="1:15" ht="25.5" x14ac:dyDescent="0.2">
      <c r="A10370" s="203" t="str">
        <f t="shared" ref="A10370:A10433" si="162">HYPERLINK(K10370,L10370)</f>
        <v>VcaCode_vegetationCover</v>
      </c>
      <c r="B10370" s="410"/>
      <c r="C10370" s="417"/>
      <c r="D10370" s="204" t="s">
        <v>54408</v>
      </c>
      <c r="E10370" s="204">
        <v>12</v>
      </c>
      <c r="F10370" s="205" t="s">
        <v>54409</v>
      </c>
      <c r="G10370" s="206" t="s">
        <v>54410</v>
      </c>
      <c r="H10370" s="207"/>
      <c r="I10370" s="347"/>
      <c r="J10370" s="39">
        <v>110916</v>
      </c>
      <c r="K10370" s="36" t="str">
        <f>CONCATENATE(Cover!$D$6,"fdd/view?i=",J10370)</f>
        <v>https://www.dgiwg.org/FAD/fdd/view?i=110916</v>
      </c>
      <c r="L10370" s="36" t="s">
        <v>54411</v>
      </c>
      <c r="M10370" s="186"/>
      <c r="N10370" s="186"/>
      <c r="O10370" s="172"/>
    </row>
    <row r="10371" spans="1:15" ht="25.5" x14ac:dyDescent="0.2">
      <c r="A10371" s="190" t="str">
        <f t="shared" si="162"/>
        <v>VctCode_bathymetry</v>
      </c>
      <c r="B10371" s="414" t="str">
        <f>HYPERLINK("[#]Datatypes!A1674:L1674","VctCode")</f>
        <v>VctCode</v>
      </c>
      <c r="C10371" s="415" t="s">
        <v>16308</v>
      </c>
      <c r="D10371" s="221" t="s">
        <v>54412</v>
      </c>
      <c r="E10371" s="221">
        <v>3</v>
      </c>
      <c r="F10371" s="222" t="s">
        <v>54413</v>
      </c>
      <c r="G10371" s="223" t="s">
        <v>54414</v>
      </c>
      <c r="H10371" s="224"/>
      <c r="I10371" s="352" t="s">
        <v>54415</v>
      </c>
      <c r="J10371" s="39">
        <v>103662</v>
      </c>
      <c r="K10371" s="36" t="str">
        <f>CONCATENATE(Cover!$D$6,"fdd/view?i=",J10371)</f>
        <v>https://www.dgiwg.org/FAD/fdd/view?i=103662</v>
      </c>
      <c r="L10371" s="36" t="s">
        <v>54416</v>
      </c>
      <c r="M10371" s="186"/>
      <c r="N10371" s="186"/>
      <c r="O10371" s="172"/>
    </row>
    <row r="10372" spans="1:15" x14ac:dyDescent="0.2">
      <c r="A10372" s="197" t="str">
        <f t="shared" si="162"/>
        <v>VctCode_hypsography</v>
      </c>
      <c r="B10372" s="409"/>
      <c r="C10372" s="416"/>
      <c r="D10372" s="198" t="s">
        <v>54417</v>
      </c>
      <c r="E10372" s="198">
        <v>1</v>
      </c>
      <c r="F10372" s="199" t="s">
        <v>54418</v>
      </c>
      <c r="G10372" s="1" t="s">
        <v>54419</v>
      </c>
      <c r="H10372" s="200"/>
      <c r="I10372" s="351" t="s">
        <v>8353</v>
      </c>
      <c r="J10372" s="39">
        <v>109127</v>
      </c>
      <c r="K10372" s="36" t="str">
        <f>CONCATENATE(Cover!$D$6,"fdd/view?i=",J10372)</f>
        <v>https://www.dgiwg.org/FAD/fdd/view?i=109127</v>
      </c>
      <c r="L10372" s="36" t="s">
        <v>54420</v>
      </c>
      <c r="M10372" s="186"/>
      <c r="N10372" s="186"/>
      <c r="O10372" s="172"/>
    </row>
    <row r="10373" spans="1:15" ht="25.5" x14ac:dyDescent="0.2">
      <c r="A10373" s="203" t="str">
        <f t="shared" si="162"/>
        <v>VctCode_waterbodyBottomComposition</v>
      </c>
      <c r="B10373" s="410"/>
      <c r="C10373" s="417"/>
      <c r="D10373" s="204" t="s">
        <v>54421</v>
      </c>
      <c r="E10373" s="204">
        <v>4</v>
      </c>
      <c r="F10373" s="205" t="s">
        <v>54422</v>
      </c>
      <c r="G10373" s="206" t="s">
        <v>54423</v>
      </c>
      <c r="H10373" s="207"/>
      <c r="I10373" s="353" t="s">
        <v>54424</v>
      </c>
      <c r="J10373" s="39">
        <v>103663</v>
      </c>
      <c r="K10373" s="36" t="str">
        <f>CONCATENATE(Cover!$D$6,"fdd/view?i=",J10373)</f>
        <v>https://www.dgiwg.org/FAD/fdd/view?i=103663</v>
      </c>
      <c r="L10373" s="36" t="s">
        <v>54425</v>
      </c>
      <c r="M10373" s="186"/>
      <c r="N10373" s="186"/>
      <c r="O10373" s="172"/>
    </row>
    <row r="10374" spans="1:15" ht="38.25" x14ac:dyDescent="0.2">
      <c r="A10374" s="190" t="str">
        <f t="shared" si="162"/>
        <v>VoaCode_active</v>
      </c>
      <c r="B10374" s="414" t="str">
        <f>HYPERLINK("[#]Datatypes!A1676:L1676","VoaCode")</f>
        <v>VoaCode</v>
      </c>
      <c r="C10374" s="415" t="s">
        <v>16310</v>
      </c>
      <c r="D10374" s="221" t="s">
        <v>54426</v>
      </c>
      <c r="E10374" s="221">
        <v>1</v>
      </c>
      <c r="F10374" s="222" t="s">
        <v>54427</v>
      </c>
      <c r="G10374" s="223" t="s">
        <v>54428</v>
      </c>
      <c r="H10374" s="223" t="s">
        <v>54429</v>
      </c>
      <c r="I10374" s="345"/>
      <c r="J10374" s="39">
        <v>112548</v>
      </c>
      <c r="K10374" s="36" t="str">
        <f>CONCATENATE(Cover!$D$6,"fdd/view?i=",J10374)</f>
        <v>https://www.dgiwg.org/FAD/fdd/view?i=112548</v>
      </c>
      <c r="L10374" s="36" t="s">
        <v>54430</v>
      </c>
      <c r="M10374" s="186"/>
      <c r="N10374" s="186"/>
      <c r="O10374" s="172"/>
    </row>
    <row r="10375" spans="1:15" x14ac:dyDescent="0.2">
      <c r="A10375" s="197" t="str">
        <f t="shared" si="162"/>
        <v>VoaCode_dormant</v>
      </c>
      <c r="B10375" s="409"/>
      <c r="C10375" s="416"/>
      <c r="D10375" s="198" t="s">
        <v>54431</v>
      </c>
      <c r="E10375" s="198">
        <v>2</v>
      </c>
      <c r="F10375" s="199" t="s">
        <v>54432</v>
      </c>
      <c r="G10375" s="1" t="s">
        <v>54433</v>
      </c>
      <c r="H10375" s="1" t="s">
        <v>54434</v>
      </c>
      <c r="I10375" s="346"/>
      <c r="J10375" s="39">
        <v>112550</v>
      </c>
      <c r="K10375" s="36" t="str">
        <f>CONCATENATE(Cover!$D$6,"fdd/view?i=",J10375)</f>
        <v>https://www.dgiwg.org/FAD/fdd/view?i=112550</v>
      </c>
      <c r="L10375" s="36" t="s">
        <v>54435</v>
      </c>
      <c r="M10375" s="186"/>
      <c r="N10375" s="186"/>
      <c r="O10375" s="172"/>
    </row>
    <row r="10376" spans="1:15" ht="25.5" x14ac:dyDescent="0.2">
      <c r="A10376" s="203" t="str">
        <f t="shared" si="162"/>
        <v>VoaCode_inactiveOrExtinct</v>
      </c>
      <c r="B10376" s="410"/>
      <c r="C10376" s="417"/>
      <c r="D10376" s="204" t="s">
        <v>54436</v>
      </c>
      <c r="E10376" s="204">
        <v>3</v>
      </c>
      <c r="F10376" s="205" t="s">
        <v>54437</v>
      </c>
      <c r="G10376" s="206" t="s">
        <v>54438</v>
      </c>
      <c r="H10376" s="207"/>
      <c r="I10376" s="347"/>
      <c r="J10376" s="39">
        <v>112552</v>
      </c>
      <c r="K10376" s="36" t="str">
        <f>CONCATENATE(Cover!$D$6,"fdd/view?i=",J10376)</f>
        <v>https://www.dgiwg.org/FAD/fdd/view?i=112552</v>
      </c>
      <c r="L10376" s="36" t="s">
        <v>54439</v>
      </c>
      <c r="M10376" s="186"/>
      <c r="N10376" s="186"/>
      <c r="O10376" s="172"/>
    </row>
    <row r="10377" spans="1:15" ht="140.25" x14ac:dyDescent="0.2">
      <c r="A10377" s="190" t="str">
        <f t="shared" si="162"/>
        <v>VeiCode_extremelyLarge_6</v>
      </c>
      <c r="B10377" s="414" t="str">
        <f>HYPERLINK("[#]Datatypes!A1678:L1678","VeiCode")</f>
        <v>VeiCode</v>
      </c>
      <c r="C10377" s="415" t="s">
        <v>16312</v>
      </c>
      <c r="D10377" s="221" t="s">
        <v>54440</v>
      </c>
      <c r="E10377" s="221">
        <v>7</v>
      </c>
      <c r="F10377" s="222" t="s">
        <v>54441</v>
      </c>
      <c r="G10377" s="223" t="s">
        <v>54442</v>
      </c>
      <c r="H10377" s="223" t="s">
        <v>54443</v>
      </c>
      <c r="I10377" s="345"/>
      <c r="J10377" s="39">
        <v>119282</v>
      </c>
      <c r="K10377" s="36" t="str">
        <f>CONCATENATE(Cover!$D$6,"fdd/view?i=",J10377)</f>
        <v>https://www.dgiwg.org/FAD/fdd/view?i=119282</v>
      </c>
      <c r="L10377" s="36" t="s">
        <v>54444</v>
      </c>
      <c r="M10377" s="186"/>
      <c r="N10377" s="186"/>
      <c r="O10377" s="172"/>
    </row>
    <row r="10378" spans="1:15" ht="267.75" x14ac:dyDescent="0.2">
      <c r="A10378" s="197" t="str">
        <f t="shared" si="162"/>
        <v>VeiCode_large_4</v>
      </c>
      <c r="B10378" s="409"/>
      <c r="C10378" s="416"/>
      <c r="D10378" s="198" t="s">
        <v>54445</v>
      </c>
      <c r="E10378" s="198">
        <v>5</v>
      </c>
      <c r="F10378" s="199" t="s">
        <v>54446</v>
      </c>
      <c r="G10378" s="1" t="s">
        <v>54447</v>
      </c>
      <c r="H10378" s="1" t="s">
        <v>54448</v>
      </c>
      <c r="I10378" s="346"/>
      <c r="J10378" s="39">
        <v>119280</v>
      </c>
      <c r="K10378" s="36" t="str">
        <f>CONCATENATE(Cover!$D$6,"fdd/view?i=",J10378)</f>
        <v>https://www.dgiwg.org/FAD/fdd/view?i=119280</v>
      </c>
      <c r="L10378" s="36" t="s">
        <v>54449</v>
      </c>
      <c r="M10378" s="186"/>
      <c r="N10378" s="186"/>
      <c r="O10378" s="172"/>
    </row>
    <row r="10379" spans="1:15" ht="153" x14ac:dyDescent="0.2">
      <c r="A10379" s="197" t="str">
        <f t="shared" si="162"/>
        <v>VeiCode_megaLarge_8</v>
      </c>
      <c r="B10379" s="409"/>
      <c r="C10379" s="416"/>
      <c r="D10379" s="198" t="s">
        <v>54450</v>
      </c>
      <c r="E10379" s="198">
        <v>9</v>
      </c>
      <c r="F10379" s="199" t="s">
        <v>54451</v>
      </c>
      <c r="G10379" s="1" t="s">
        <v>54452</v>
      </c>
      <c r="H10379" s="1" t="s">
        <v>54453</v>
      </c>
      <c r="I10379" s="346"/>
      <c r="J10379" s="39">
        <v>119284</v>
      </c>
      <c r="K10379" s="36" t="str">
        <f>CONCATENATE(Cover!$D$6,"fdd/view?i=",J10379)</f>
        <v>https://www.dgiwg.org/FAD/fdd/view?i=119284</v>
      </c>
      <c r="L10379" s="36" t="s">
        <v>54454</v>
      </c>
      <c r="M10379" s="186"/>
      <c r="N10379" s="186"/>
      <c r="O10379" s="172"/>
    </row>
    <row r="10380" spans="1:15" ht="191.25" x14ac:dyDescent="0.2">
      <c r="A10380" s="197" t="str">
        <f t="shared" si="162"/>
        <v>VeiCode_moderate_2</v>
      </c>
      <c r="B10380" s="409"/>
      <c r="C10380" s="416"/>
      <c r="D10380" s="198" t="s">
        <v>54455</v>
      </c>
      <c r="E10380" s="198">
        <v>3</v>
      </c>
      <c r="F10380" s="199" t="s">
        <v>54456</v>
      </c>
      <c r="G10380" s="1" t="s">
        <v>54457</v>
      </c>
      <c r="H10380" s="1" t="s">
        <v>54458</v>
      </c>
      <c r="I10380" s="346"/>
      <c r="J10380" s="39">
        <v>119278</v>
      </c>
      <c r="K10380" s="36" t="str">
        <f>CONCATENATE(Cover!$D$6,"fdd/view?i=",J10380)</f>
        <v>https://www.dgiwg.org/FAD/fdd/view?i=119278</v>
      </c>
      <c r="L10380" s="36" t="s">
        <v>54459</v>
      </c>
      <c r="M10380" s="186"/>
      <c r="N10380" s="186"/>
      <c r="O10380" s="172"/>
    </row>
    <row r="10381" spans="1:15" ht="242.25" x14ac:dyDescent="0.2">
      <c r="A10381" s="197" t="str">
        <f t="shared" si="162"/>
        <v>VeiCode_moderateLarge_3</v>
      </c>
      <c r="B10381" s="409"/>
      <c r="C10381" s="416"/>
      <c r="D10381" s="198" t="s">
        <v>54460</v>
      </c>
      <c r="E10381" s="198">
        <v>4</v>
      </c>
      <c r="F10381" s="199" t="s">
        <v>54461</v>
      </c>
      <c r="G10381" s="1" t="s">
        <v>54462</v>
      </c>
      <c r="H10381" s="1" t="s">
        <v>54463</v>
      </c>
      <c r="I10381" s="346"/>
      <c r="J10381" s="39">
        <v>119279</v>
      </c>
      <c r="K10381" s="36" t="str">
        <f>CONCATENATE(Cover!$D$6,"fdd/view?i=",J10381)</f>
        <v>https://www.dgiwg.org/FAD/fdd/view?i=119279</v>
      </c>
      <c r="L10381" s="36" t="s">
        <v>54464</v>
      </c>
      <c r="M10381" s="186"/>
      <c r="N10381" s="186"/>
      <c r="O10381" s="172"/>
    </row>
    <row r="10382" spans="1:15" ht="191.25" x14ac:dyDescent="0.2">
      <c r="A10382" s="197" t="str">
        <f t="shared" si="162"/>
        <v>VeiCode_nonExplosive_0</v>
      </c>
      <c r="B10382" s="409"/>
      <c r="C10382" s="416"/>
      <c r="D10382" s="198" t="s">
        <v>54465</v>
      </c>
      <c r="E10382" s="198">
        <v>1</v>
      </c>
      <c r="F10382" s="199" t="s">
        <v>54466</v>
      </c>
      <c r="G10382" s="1" t="s">
        <v>54467</v>
      </c>
      <c r="H10382" s="1" t="s">
        <v>54468</v>
      </c>
      <c r="I10382" s="346"/>
      <c r="J10382" s="39">
        <v>119276</v>
      </c>
      <c r="K10382" s="36" t="str">
        <f>CONCATENATE(Cover!$D$6,"fdd/view?i=",J10382)</f>
        <v>https://www.dgiwg.org/FAD/fdd/view?i=119276</v>
      </c>
      <c r="L10382" s="36" t="s">
        <v>54469</v>
      </c>
      <c r="M10382" s="186"/>
      <c r="N10382" s="186"/>
      <c r="O10382" s="172"/>
    </row>
    <row r="10383" spans="1:15" ht="267.75" x14ac:dyDescent="0.2">
      <c r="A10383" s="197" t="str">
        <f t="shared" si="162"/>
        <v>VeiCode_small_1</v>
      </c>
      <c r="B10383" s="409"/>
      <c r="C10383" s="416"/>
      <c r="D10383" s="198" t="s">
        <v>54470</v>
      </c>
      <c r="E10383" s="198">
        <v>2</v>
      </c>
      <c r="F10383" s="199" t="s">
        <v>54471</v>
      </c>
      <c r="G10383" s="1" t="s">
        <v>54472</v>
      </c>
      <c r="H10383" s="1" t="s">
        <v>54473</v>
      </c>
      <c r="I10383" s="346"/>
      <c r="J10383" s="39">
        <v>119277</v>
      </c>
      <c r="K10383" s="36" t="str">
        <f>CONCATENATE(Cover!$D$6,"fdd/view?i=",J10383)</f>
        <v>https://www.dgiwg.org/FAD/fdd/view?i=119277</v>
      </c>
      <c r="L10383" s="36" t="s">
        <v>54474</v>
      </c>
      <c r="M10383" s="186"/>
      <c r="N10383" s="186"/>
      <c r="O10383" s="172"/>
    </row>
    <row r="10384" spans="1:15" ht="153" x14ac:dyDescent="0.2">
      <c r="A10384" s="197" t="str">
        <f t="shared" si="162"/>
        <v>VeiCode_superLarge_7</v>
      </c>
      <c r="B10384" s="409"/>
      <c r="C10384" s="416"/>
      <c r="D10384" s="198" t="s">
        <v>54475</v>
      </c>
      <c r="E10384" s="198">
        <v>8</v>
      </c>
      <c r="F10384" s="199" t="s">
        <v>54476</v>
      </c>
      <c r="G10384" s="1" t="s">
        <v>54477</v>
      </c>
      <c r="H10384" s="1" t="s">
        <v>54478</v>
      </c>
      <c r="I10384" s="346"/>
      <c r="J10384" s="39">
        <v>119283</v>
      </c>
      <c r="K10384" s="36" t="str">
        <f>CONCATENATE(Cover!$D$6,"fdd/view?i=",J10384)</f>
        <v>https://www.dgiwg.org/FAD/fdd/view?i=119283</v>
      </c>
      <c r="L10384" s="36" t="s">
        <v>54479</v>
      </c>
      <c r="M10384" s="186"/>
      <c r="N10384" s="186"/>
      <c r="O10384" s="172"/>
    </row>
    <row r="10385" spans="1:15" ht="140.25" x14ac:dyDescent="0.2">
      <c r="A10385" s="203" t="str">
        <f t="shared" si="162"/>
        <v>VeiCode_veryLarge_5</v>
      </c>
      <c r="B10385" s="410"/>
      <c r="C10385" s="417"/>
      <c r="D10385" s="204" t="s">
        <v>54480</v>
      </c>
      <c r="E10385" s="204">
        <v>6</v>
      </c>
      <c r="F10385" s="205" t="s">
        <v>54481</v>
      </c>
      <c r="G10385" s="206" t="s">
        <v>54482</v>
      </c>
      <c r="H10385" s="206" t="s">
        <v>54483</v>
      </c>
      <c r="I10385" s="347"/>
      <c r="J10385" s="39">
        <v>119281</v>
      </c>
      <c r="K10385" s="36" t="str">
        <f>CONCATENATE(Cover!$D$6,"fdd/view?i=",J10385)</f>
        <v>https://www.dgiwg.org/FAD/fdd/view?i=119281</v>
      </c>
      <c r="L10385" s="36" t="s">
        <v>54484</v>
      </c>
      <c r="M10385" s="186"/>
      <c r="N10385" s="186"/>
      <c r="O10385" s="172"/>
    </row>
    <row r="10386" spans="1:15" ht="51" x14ac:dyDescent="0.2">
      <c r="A10386" s="190" t="str">
        <f t="shared" si="162"/>
        <v>VlcCode_andesitic</v>
      </c>
      <c r="B10386" s="414" t="str">
        <f>HYPERLINK("[#]Datatypes!A1680:L1680","VlcCode")</f>
        <v>VlcCode</v>
      </c>
      <c r="C10386" s="415" t="s">
        <v>16314</v>
      </c>
      <c r="D10386" s="221" t="s">
        <v>54485</v>
      </c>
      <c r="E10386" s="221">
        <v>2</v>
      </c>
      <c r="F10386" s="222" t="s">
        <v>54486</v>
      </c>
      <c r="G10386" s="223" t="s">
        <v>54487</v>
      </c>
      <c r="H10386" s="223" t="s">
        <v>54488</v>
      </c>
      <c r="I10386" s="352" t="s">
        <v>54489</v>
      </c>
      <c r="J10386" s="39">
        <v>118810</v>
      </c>
      <c r="K10386" s="36" t="str">
        <f>CONCATENATE(Cover!$D$6,"fdd/view?i=",J10386)</f>
        <v>https://www.dgiwg.org/FAD/fdd/view?i=118810</v>
      </c>
      <c r="L10386" s="36" t="s">
        <v>54490</v>
      </c>
      <c r="M10386" s="186"/>
      <c r="N10386" s="186"/>
      <c r="O10386" s="172"/>
    </row>
    <row r="10387" spans="1:15" ht="76.5" x14ac:dyDescent="0.2">
      <c r="A10387" s="197" t="str">
        <f t="shared" si="162"/>
        <v>VlcCode_felsic</v>
      </c>
      <c r="B10387" s="409"/>
      <c r="C10387" s="416"/>
      <c r="D10387" s="198" t="s">
        <v>45949</v>
      </c>
      <c r="E10387" s="198">
        <v>1</v>
      </c>
      <c r="F10387" s="199" t="s">
        <v>45950</v>
      </c>
      <c r="G10387" s="1" t="s">
        <v>54491</v>
      </c>
      <c r="H10387" s="1" t="s">
        <v>54492</v>
      </c>
      <c r="I10387" s="351" t="s">
        <v>46066</v>
      </c>
      <c r="J10387" s="39">
        <v>118809</v>
      </c>
      <c r="K10387" s="36" t="str">
        <f>CONCATENATE(Cover!$D$6,"fdd/view?i=",J10387)</f>
        <v>https://www.dgiwg.org/FAD/fdd/view?i=118809</v>
      </c>
      <c r="L10387" s="36" t="s">
        <v>54493</v>
      </c>
      <c r="M10387" s="186"/>
      <c r="N10387" s="186"/>
      <c r="O10387" s="172"/>
    </row>
    <row r="10388" spans="1:15" ht="38.25" x14ac:dyDescent="0.2">
      <c r="A10388" s="197" t="str">
        <f t="shared" si="162"/>
        <v>VlcCode_mafic</v>
      </c>
      <c r="B10388" s="409"/>
      <c r="C10388" s="416"/>
      <c r="D10388" s="198" t="s">
        <v>46007</v>
      </c>
      <c r="E10388" s="198">
        <v>3</v>
      </c>
      <c r="F10388" s="199" t="s">
        <v>46008</v>
      </c>
      <c r="G10388" s="1" t="s">
        <v>54494</v>
      </c>
      <c r="H10388" s="1" t="s">
        <v>54495</v>
      </c>
      <c r="I10388" s="351" t="s">
        <v>54496</v>
      </c>
      <c r="J10388" s="39">
        <v>118811</v>
      </c>
      <c r="K10388" s="36" t="str">
        <f>CONCATENATE(Cover!$D$6,"fdd/view?i=",J10388)</f>
        <v>https://www.dgiwg.org/FAD/fdd/view?i=118811</v>
      </c>
      <c r="L10388" s="36" t="s">
        <v>54497</v>
      </c>
      <c r="M10388" s="186"/>
      <c r="N10388" s="186"/>
      <c r="O10388" s="172"/>
    </row>
    <row r="10389" spans="1:15" ht="76.5" x14ac:dyDescent="0.2">
      <c r="A10389" s="203" t="str">
        <f t="shared" si="162"/>
        <v>VlcCode_ultramafic</v>
      </c>
      <c r="B10389" s="410"/>
      <c r="C10389" s="417"/>
      <c r="D10389" s="204" t="s">
        <v>46114</v>
      </c>
      <c r="E10389" s="204">
        <v>4</v>
      </c>
      <c r="F10389" s="205" t="s">
        <v>46115</v>
      </c>
      <c r="G10389" s="206" t="s">
        <v>54498</v>
      </c>
      <c r="H10389" s="206" t="s">
        <v>54499</v>
      </c>
      <c r="I10389" s="347"/>
      <c r="J10389" s="39">
        <v>118812</v>
      </c>
      <c r="K10389" s="36" t="str">
        <f>CONCATENATE(Cover!$D$6,"fdd/view?i=",J10389)</f>
        <v>https://www.dgiwg.org/FAD/fdd/view?i=118812</v>
      </c>
      <c r="L10389" s="36" t="s">
        <v>54500</v>
      </c>
      <c r="M10389" s="186"/>
      <c r="N10389" s="186"/>
      <c r="O10389" s="172"/>
    </row>
    <row r="10390" spans="1:15" ht="38.25" x14ac:dyDescent="0.2">
      <c r="A10390" s="190" t="str">
        <f t="shared" si="162"/>
        <v>VptCode_caldera</v>
      </c>
      <c r="B10390" s="414" t="str">
        <f>HYPERLINK("[#]Datatypes!A1682:L1682","VptCode")</f>
        <v>VptCode</v>
      </c>
      <c r="C10390" s="415" t="s">
        <v>16316</v>
      </c>
      <c r="D10390" s="221" t="s">
        <v>26912</v>
      </c>
      <c r="E10390" s="221">
        <v>1</v>
      </c>
      <c r="F10390" s="222" t="s">
        <v>26913</v>
      </c>
      <c r="G10390" s="223" t="s">
        <v>54501</v>
      </c>
      <c r="H10390" s="224"/>
      <c r="I10390" s="345"/>
      <c r="J10390" s="39">
        <v>114103</v>
      </c>
      <c r="K10390" s="36" t="str">
        <f>CONCATENATE(Cover!$D$6,"fdd/view?i=",J10390)</f>
        <v>https://www.dgiwg.org/FAD/fdd/view?i=114103</v>
      </c>
      <c r="L10390" s="36" t="s">
        <v>54502</v>
      </c>
      <c r="M10390" s="186"/>
      <c r="N10390" s="186"/>
      <c r="O10390" s="172"/>
    </row>
    <row r="10391" spans="1:15" ht="25.5" x14ac:dyDescent="0.2">
      <c r="A10391" s="197" t="str">
        <f t="shared" si="162"/>
        <v>VptCode_cinderCone</v>
      </c>
      <c r="B10391" s="409"/>
      <c r="C10391" s="416"/>
      <c r="D10391" s="198" t="s">
        <v>54503</v>
      </c>
      <c r="E10391" s="198">
        <v>12</v>
      </c>
      <c r="F10391" s="199" t="s">
        <v>54504</v>
      </c>
      <c r="G10391" s="1" t="s">
        <v>54505</v>
      </c>
      <c r="H10391" s="200"/>
      <c r="I10391" s="346"/>
      <c r="J10391" s="39">
        <v>114114</v>
      </c>
      <c r="K10391" s="36" t="str">
        <f>CONCATENATE(Cover!$D$6,"fdd/view?i=",J10391)</f>
        <v>https://www.dgiwg.org/FAD/fdd/view?i=114114</v>
      </c>
      <c r="L10391" s="36" t="s">
        <v>54506</v>
      </c>
      <c r="M10391" s="186"/>
      <c r="N10391" s="186"/>
      <c r="O10391" s="172"/>
    </row>
    <row r="10392" spans="1:15" ht="25.5" x14ac:dyDescent="0.2">
      <c r="A10392" s="197" t="str">
        <f t="shared" si="162"/>
        <v>VptCode_fumarole</v>
      </c>
      <c r="B10392" s="409"/>
      <c r="C10392" s="416"/>
      <c r="D10392" s="198" t="s">
        <v>34341</v>
      </c>
      <c r="E10392" s="198">
        <v>2</v>
      </c>
      <c r="F10392" s="199" t="s">
        <v>34342</v>
      </c>
      <c r="G10392" s="1" t="s">
        <v>54507</v>
      </c>
      <c r="H10392" s="200"/>
      <c r="I10392" s="346"/>
      <c r="J10392" s="39">
        <v>114104</v>
      </c>
      <c r="K10392" s="36" t="str">
        <f>CONCATENATE(Cover!$D$6,"fdd/view?i=",J10392)</f>
        <v>https://www.dgiwg.org/FAD/fdd/view?i=114104</v>
      </c>
      <c r="L10392" s="36" t="s">
        <v>54508</v>
      </c>
      <c r="M10392" s="186"/>
      <c r="N10392" s="186"/>
      <c r="O10392" s="172"/>
    </row>
    <row r="10393" spans="1:15" ht="25.5" x14ac:dyDescent="0.2">
      <c r="A10393" s="197" t="str">
        <f t="shared" si="162"/>
        <v>VptCode_geyser</v>
      </c>
      <c r="B10393" s="409"/>
      <c r="C10393" s="416"/>
      <c r="D10393" s="198" t="s">
        <v>34347</v>
      </c>
      <c r="E10393" s="198">
        <v>3</v>
      </c>
      <c r="F10393" s="199" t="s">
        <v>34348</v>
      </c>
      <c r="G10393" s="1" t="s">
        <v>54509</v>
      </c>
      <c r="H10393" s="200"/>
      <c r="I10393" s="346"/>
      <c r="J10393" s="39">
        <v>114105</v>
      </c>
      <c r="K10393" s="36" t="str">
        <f>CONCATENATE(Cover!$D$6,"fdd/view?i=",J10393)</f>
        <v>https://www.dgiwg.org/FAD/fdd/view?i=114105</v>
      </c>
      <c r="L10393" s="36" t="s">
        <v>54510</v>
      </c>
      <c r="M10393" s="186"/>
      <c r="N10393" s="186"/>
      <c r="O10393" s="172"/>
    </row>
    <row r="10394" spans="1:15" ht="38.25" x14ac:dyDescent="0.2">
      <c r="A10394" s="197" t="str">
        <f t="shared" si="162"/>
        <v>VptCode_hydroclasticVolcano</v>
      </c>
      <c r="B10394" s="409"/>
      <c r="C10394" s="416"/>
      <c r="D10394" s="198" t="s">
        <v>54511</v>
      </c>
      <c r="E10394" s="198">
        <v>4</v>
      </c>
      <c r="F10394" s="199" t="s">
        <v>54512</v>
      </c>
      <c r="G10394" s="1" t="s">
        <v>54513</v>
      </c>
      <c r="H10394" s="1" t="s">
        <v>54514</v>
      </c>
      <c r="I10394" s="346"/>
      <c r="J10394" s="39">
        <v>114106</v>
      </c>
      <c r="K10394" s="36" t="str">
        <f>CONCATENATE(Cover!$D$6,"fdd/view?i=",J10394)</f>
        <v>https://www.dgiwg.org/FAD/fdd/view?i=114106</v>
      </c>
      <c r="L10394" s="36" t="s">
        <v>54515</v>
      </c>
      <c r="M10394" s="186"/>
      <c r="N10394" s="186"/>
      <c r="O10394" s="172"/>
    </row>
    <row r="10395" spans="1:15" ht="25.5" x14ac:dyDescent="0.2">
      <c r="A10395" s="197" t="str">
        <f t="shared" si="162"/>
        <v>VptCode_lahar</v>
      </c>
      <c r="B10395" s="409"/>
      <c r="C10395" s="416"/>
      <c r="D10395" s="198" t="s">
        <v>34028</v>
      </c>
      <c r="E10395" s="198">
        <v>5</v>
      </c>
      <c r="F10395" s="199" t="s">
        <v>34029</v>
      </c>
      <c r="G10395" s="1" t="s">
        <v>54516</v>
      </c>
      <c r="H10395" s="200"/>
      <c r="I10395" s="346"/>
      <c r="J10395" s="39">
        <v>114107</v>
      </c>
      <c r="K10395" s="36" t="str">
        <f>CONCATENATE(Cover!$D$6,"fdd/view?i=",J10395)</f>
        <v>https://www.dgiwg.org/FAD/fdd/view?i=114107</v>
      </c>
      <c r="L10395" s="36" t="s">
        <v>54517</v>
      </c>
      <c r="M10395" s="186"/>
      <c r="N10395" s="186"/>
      <c r="O10395" s="172"/>
    </row>
    <row r="10396" spans="1:15" ht="25.5" x14ac:dyDescent="0.2">
      <c r="A10396" s="197" t="str">
        <f t="shared" si="162"/>
        <v>VptCode_lavaDome</v>
      </c>
      <c r="B10396" s="409"/>
      <c r="C10396" s="416"/>
      <c r="D10396" s="198" t="s">
        <v>54518</v>
      </c>
      <c r="E10396" s="198">
        <v>13</v>
      </c>
      <c r="F10396" s="199" t="s">
        <v>54519</v>
      </c>
      <c r="G10396" s="1" t="s">
        <v>54520</v>
      </c>
      <c r="H10396" s="200"/>
      <c r="I10396" s="346"/>
      <c r="J10396" s="39">
        <v>114115</v>
      </c>
      <c r="K10396" s="36" t="str">
        <f>CONCATENATE(Cover!$D$6,"fdd/view?i=",J10396)</f>
        <v>https://www.dgiwg.org/FAD/fdd/view?i=114115</v>
      </c>
      <c r="L10396" s="36" t="s">
        <v>54521</v>
      </c>
      <c r="M10396" s="186"/>
      <c r="N10396" s="186"/>
      <c r="O10396" s="172"/>
    </row>
    <row r="10397" spans="1:15" ht="25.5" x14ac:dyDescent="0.2">
      <c r="A10397" s="197" t="str">
        <f t="shared" si="162"/>
        <v>VptCode_lavaFlow</v>
      </c>
      <c r="B10397" s="409"/>
      <c r="C10397" s="416"/>
      <c r="D10397" s="198" t="s">
        <v>54522</v>
      </c>
      <c r="E10397" s="198">
        <v>6</v>
      </c>
      <c r="F10397" s="199" t="s">
        <v>54523</v>
      </c>
      <c r="G10397" s="1" t="s">
        <v>54524</v>
      </c>
      <c r="H10397" s="200"/>
      <c r="I10397" s="346"/>
      <c r="J10397" s="39">
        <v>114108</v>
      </c>
      <c r="K10397" s="36" t="str">
        <f>CONCATENATE(Cover!$D$6,"fdd/view?i=",J10397)</f>
        <v>https://www.dgiwg.org/FAD/fdd/view?i=114108</v>
      </c>
      <c r="L10397" s="36" t="s">
        <v>54525</v>
      </c>
      <c r="M10397" s="186"/>
      <c r="N10397" s="186"/>
      <c r="O10397" s="172"/>
    </row>
    <row r="10398" spans="1:15" ht="38.25" x14ac:dyDescent="0.2">
      <c r="A10398" s="197" t="str">
        <f t="shared" si="162"/>
        <v>VptCode_mofette</v>
      </c>
      <c r="B10398" s="409"/>
      <c r="C10398" s="416"/>
      <c r="D10398" s="198" t="s">
        <v>54526</v>
      </c>
      <c r="E10398" s="198">
        <v>7</v>
      </c>
      <c r="F10398" s="199" t="s">
        <v>54527</v>
      </c>
      <c r="G10398" s="1" t="s">
        <v>54528</v>
      </c>
      <c r="H10398" s="200"/>
      <c r="I10398" s="346"/>
      <c r="J10398" s="39">
        <v>114109</v>
      </c>
      <c r="K10398" s="36" t="str">
        <f>CONCATENATE(Cover!$D$6,"fdd/view?i=",J10398)</f>
        <v>https://www.dgiwg.org/FAD/fdd/view?i=114109</v>
      </c>
      <c r="L10398" s="36" t="s">
        <v>54529</v>
      </c>
      <c r="M10398" s="186"/>
      <c r="N10398" s="186"/>
      <c r="O10398" s="172"/>
    </row>
    <row r="10399" spans="1:15" ht="25.5" x14ac:dyDescent="0.2">
      <c r="A10399" s="197" t="str">
        <f t="shared" si="162"/>
        <v>VptCode_solfatara</v>
      </c>
      <c r="B10399" s="409"/>
      <c r="C10399" s="416"/>
      <c r="D10399" s="198" t="s">
        <v>54530</v>
      </c>
      <c r="E10399" s="198">
        <v>8</v>
      </c>
      <c r="F10399" s="199" t="s">
        <v>54531</v>
      </c>
      <c r="G10399" s="1" t="s">
        <v>54532</v>
      </c>
      <c r="H10399" s="200"/>
      <c r="I10399" s="346"/>
      <c r="J10399" s="39">
        <v>114110</v>
      </c>
      <c r="K10399" s="36" t="str">
        <f>CONCATENATE(Cover!$D$6,"fdd/view?i=",J10399)</f>
        <v>https://www.dgiwg.org/FAD/fdd/view?i=114110</v>
      </c>
      <c r="L10399" s="36" t="s">
        <v>54533</v>
      </c>
      <c r="M10399" s="186"/>
      <c r="N10399" s="186"/>
      <c r="O10399" s="172"/>
    </row>
    <row r="10400" spans="1:15" ht="25.5" x14ac:dyDescent="0.2">
      <c r="A10400" s="197" t="str">
        <f t="shared" si="162"/>
        <v>VptCode_thermalSpring</v>
      </c>
      <c r="B10400" s="409"/>
      <c r="C10400" s="416"/>
      <c r="D10400" s="198" t="s">
        <v>54534</v>
      </c>
      <c r="E10400" s="198">
        <v>9</v>
      </c>
      <c r="F10400" s="199" t="s">
        <v>54535</v>
      </c>
      <c r="G10400" s="1" t="s">
        <v>54536</v>
      </c>
      <c r="H10400" s="200"/>
      <c r="I10400" s="346"/>
      <c r="J10400" s="39">
        <v>114111</v>
      </c>
      <c r="K10400" s="36" t="str">
        <f>CONCATENATE(Cover!$D$6,"fdd/view?i=",J10400)</f>
        <v>https://www.dgiwg.org/FAD/fdd/view?i=114111</v>
      </c>
      <c r="L10400" s="36" t="s">
        <v>54537</v>
      </c>
      <c r="M10400" s="186"/>
      <c r="N10400" s="186"/>
      <c r="O10400" s="172"/>
    </row>
    <row r="10401" spans="1:15" ht="38.25" x14ac:dyDescent="0.2">
      <c r="A10401" s="197" t="str">
        <f t="shared" si="162"/>
        <v>VptCode_tuffCone</v>
      </c>
      <c r="B10401" s="409"/>
      <c r="C10401" s="416"/>
      <c r="D10401" s="198" t="s">
        <v>54538</v>
      </c>
      <c r="E10401" s="198">
        <v>14</v>
      </c>
      <c r="F10401" s="199" t="s">
        <v>54539</v>
      </c>
      <c r="G10401" s="1" t="s">
        <v>54513</v>
      </c>
      <c r="H10401" s="1" t="s">
        <v>54540</v>
      </c>
      <c r="I10401" s="346"/>
      <c r="J10401" s="39">
        <v>114116</v>
      </c>
      <c r="K10401" s="36" t="str">
        <f>CONCATENATE(Cover!$D$6,"fdd/view?i=",J10401)</f>
        <v>https://www.dgiwg.org/FAD/fdd/view?i=114116</v>
      </c>
      <c r="L10401" s="36" t="s">
        <v>54541</v>
      </c>
      <c r="M10401" s="186"/>
      <c r="N10401" s="186"/>
      <c r="O10401" s="172"/>
    </row>
    <row r="10402" spans="1:15" ht="25.5" x14ac:dyDescent="0.2">
      <c r="A10402" s="197" t="str">
        <f t="shared" si="162"/>
        <v>VptCode_volcanicFissureEruption</v>
      </c>
      <c r="B10402" s="409"/>
      <c r="C10402" s="416"/>
      <c r="D10402" s="198" t="s">
        <v>54542</v>
      </c>
      <c r="E10402" s="198">
        <v>10</v>
      </c>
      <c r="F10402" s="199" t="s">
        <v>54543</v>
      </c>
      <c r="G10402" s="1" t="s">
        <v>54544</v>
      </c>
      <c r="H10402" s="200"/>
      <c r="I10402" s="346"/>
      <c r="J10402" s="39">
        <v>114112</v>
      </c>
      <c r="K10402" s="36" t="str">
        <f>CONCATENATE(Cover!$D$6,"fdd/view?i=",J10402)</f>
        <v>https://www.dgiwg.org/FAD/fdd/view?i=114112</v>
      </c>
      <c r="L10402" s="36" t="s">
        <v>54545</v>
      </c>
      <c r="M10402" s="186"/>
      <c r="N10402" s="186"/>
      <c r="O10402" s="172"/>
    </row>
    <row r="10403" spans="1:15" ht="25.5" x14ac:dyDescent="0.2">
      <c r="A10403" s="203" t="str">
        <f t="shared" si="162"/>
        <v>VptCode_volcanicGasEmission</v>
      </c>
      <c r="B10403" s="410"/>
      <c r="C10403" s="417"/>
      <c r="D10403" s="204" t="s">
        <v>54546</v>
      </c>
      <c r="E10403" s="204">
        <v>11</v>
      </c>
      <c r="F10403" s="205" t="s">
        <v>54547</v>
      </c>
      <c r="G10403" s="206" t="s">
        <v>54548</v>
      </c>
      <c r="H10403" s="206" t="s">
        <v>54549</v>
      </c>
      <c r="I10403" s="347"/>
      <c r="J10403" s="39">
        <v>114113</v>
      </c>
      <c r="K10403" s="36" t="str">
        <f>CONCATENATE(Cover!$D$6,"fdd/view?i=",J10403)</f>
        <v>https://www.dgiwg.org/FAD/fdd/view?i=114113</v>
      </c>
      <c r="L10403" s="36" t="s">
        <v>54550</v>
      </c>
      <c r="M10403" s="186"/>
      <c r="N10403" s="186"/>
      <c r="O10403" s="172"/>
    </row>
    <row r="10404" spans="1:15" ht="25.5" x14ac:dyDescent="0.2">
      <c r="A10404" s="190" t="str">
        <f t="shared" si="162"/>
        <v>VgtCode_caldera</v>
      </c>
      <c r="B10404" s="414" t="str">
        <f>HYPERLINK("[#]Datatypes!A1684:L1684","VgtCode")</f>
        <v>VgtCode</v>
      </c>
      <c r="C10404" s="415" t="s">
        <v>16318</v>
      </c>
      <c r="D10404" s="221" t="s">
        <v>26912</v>
      </c>
      <c r="E10404" s="221">
        <v>4</v>
      </c>
      <c r="F10404" s="222" t="s">
        <v>26913</v>
      </c>
      <c r="G10404" s="223" t="s">
        <v>54551</v>
      </c>
      <c r="H10404" s="224"/>
      <c r="I10404" s="345"/>
      <c r="J10404" s="39">
        <v>109263</v>
      </c>
      <c r="K10404" s="36" t="str">
        <f>CONCATENATE(Cover!$D$6,"fdd/view?i=",J10404)</f>
        <v>https://www.dgiwg.org/FAD/fdd/view?i=109263</v>
      </c>
      <c r="L10404" s="36" t="s">
        <v>54552</v>
      </c>
      <c r="M10404" s="186"/>
      <c r="N10404" s="186"/>
      <c r="O10404" s="172"/>
    </row>
    <row r="10405" spans="1:15" ht="25.5" x14ac:dyDescent="0.2">
      <c r="A10405" s="197" t="str">
        <f t="shared" si="162"/>
        <v>VgtCode_cinderCone</v>
      </c>
      <c r="B10405" s="409"/>
      <c r="C10405" s="416"/>
      <c r="D10405" s="198" t="s">
        <v>54503</v>
      </c>
      <c r="E10405" s="198">
        <v>2</v>
      </c>
      <c r="F10405" s="199" t="s">
        <v>54504</v>
      </c>
      <c r="G10405" s="1" t="s">
        <v>54553</v>
      </c>
      <c r="H10405" s="200"/>
      <c r="I10405" s="346"/>
      <c r="J10405" s="39">
        <v>109261</v>
      </c>
      <c r="K10405" s="36" t="str">
        <f>CONCATENATE(Cover!$D$6,"fdd/view?i=",J10405)</f>
        <v>https://www.dgiwg.org/FAD/fdd/view?i=109261</v>
      </c>
      <c r="L10405" s="36" t="s">
        <v>54554</v>
      </c>
      <c r="M10405" s="186"/>
      <c r="N10405" s="186"/>
      <c r="O10405" s="172"/>
    </row>
    <row r="10406" spans="1:15" ht="25.5" x14ac:dyDescent="0.2">
      <c r="A10406" s="197" t="str">
        <f t="shared" si="162"/>
        <v>VgtCode_composite</v>
      </c>
      <c r="B10406" s="409"/>
      <c r="C10406" s="416"/>
      <c r="D10406" s="198" t="s">
        <v>54555</v>
      </c>
      <c r="E10406" s="198">
        <v>5</v>
      </c>
      <c r="F10406" s="199" t="s">
        <v>54556</v>
      </c>
      <c r="G10406" s="1" t="s">
        <v>54557</v>
      </c>
      <c r="H10406" s="200"/>
      <c r="I10406" s="346"/>
      <c r="J10406" s="39">
        <v>109264</v>
      </c>
      <c r="K10406" s="36" t="str">
        <f>CONCATENATE(Cover!$D$6,"fdd/view?i=",J10406)</f>
        <v>https://www.dgiwg.org/FAD/fdd/view?i=109264</v>
      </c>
      <c r="L10406" s="36" t="s">
        <v>54558</v>
      </c>
      <c r="M10406" s="186"/>
      <c r="N10406" s="186"/>
      <c r="O10406" s="172"/>
    </row>
    <row r="10407" spans="1:15" x14ac:dyDescent="0.2">
      <c r="A10407" s="197" t="str">
        <f t="shared" si="162"/>
        <v>VgtCode_cone</v>
      </c>
      <c r="B10407" s="409"/>
      <c r="C10407" s="416"/>
      <c r="D10407" s="198" t="s">
        <v>34701</v>
      </c>
      <c r="E10407" s="198">
        <v>1</v>
      </c>
      <c r="F10407" s="199" t="s">
        <v>34702</v>
      </c>
      <c r="G10407" s="1" t="s">
        <v>54559</v>
      </c>
      <c r="H10407" s="200"/>
      <c r="I10407" s="346"/>
      <c r="J10407" s="39">
        <v>109260</v>
      </c>
      <c r="K10407" s="36" t="str">
        <f>CONCATENATE(Cover!$D$6,"fdd/view?i=",J10407)</f>
        <v>https://www.dgiwg.org/FAD/fdd/view?i=109260</v>
      </c>
      <c r="L10407" s="36" t="s">
        <v>54560</v>
      </c>
      <c r="M10407" s="186"/>
      <c r="N10407" s="186"/>
      <c r="O10407" s="172"/>
    </row>
    <row r="10408" spans="1:15" ht="38.25" x14ac:dyDescent="0.2">
      <c r="A10408" s="203" t="str">
        <f t="shared" si="162"/>
        <v>VgtCode_shield</v>
      </c>
      <c r="B10408" s="410"/>
      <c r="C10408" s="417"/>
      <c r="D10408" s="204" t="s">
        <v>54561</v>
      </c>
      <c r="E10408" s="204">
        <v>3</v>
      </c>
      <c r="F10408" s="205" t="s">
        <v>54562</v>
      </c>
      <c r="G10408" s="206" t="s">
        <v>54563</v>
      </c>
      <c r="H10408" s="207"/>
      <c r="I10408" s="347"/>
      <c r="J10408" s="39">
        <v>109262</v>
      </c>
      <c r="K10408" s="36" t="str">
        <f>CONCATENATE(Cover!$D$6,"fdd/view?i=",J10408)</f>
        <v>https://www.dgiwg.org/FAD/fdd/view?i=109262</v>
      </c>
      <c r="L10408" s="36" t="s">
        <v>54564</v>
      </c>
      <c r="M10408" s="186"/>
      <c r="N10408" s="186"/>
      <c r="O10408" s="172"/>
    </row>
    <row r="10409" spans="1:15" ht="25.5" x14ac:dyDescent="0.2">
      <c r="A10409" s="190" t="str">
        <f t="shared" si="162"/>
        <v>WtiCode_freeStanding</v>
      </c>
      <c r="B10409" s="414" t="str">
        <f>HYPERLINK("[#]Datatypes!A1686:L1686","WtiCode")</f>
        <v>WtiCode</v>
      </c>
      <c r="C10409" s="415" t="s">
        <v>16320</v>
      </c>
      <c r="D10409" s="221" t="s">
        <v>54565</v>
      </c>
      <c r="E10409" s="221">
        <v>1</v>
      </c>
      <c r="F10409" s="222" t="s">
        <v>54566</v>
      </c>
      <c r="G10409" s="223" t="s">
        <v>54567</v>
      </c>
      <c r="H10409" s="224"/>
      <c r="I10409" s="352" t="s">
        <v>54568</v>
      </c>
      <c r="J10409" s="39">
        <v>109709</v>
      </c>
      <c r="K10409" s="36" t="str">
        <f>CONCATENATE(Cover!$D$6,"fdd/view?i=",J10409)</f>
        <v>https://www.dgiwg.org/FAD/fdd/view?i=109709</v>
      </c>
      <c r="L10409" s="36" t="s">
        <v>54569</v>
      </c>
      <c r="M10409" s="186"/>
      <c r="N10409" s="186"/>
      <c r="O10409" s="172"/>
    </row>
    <row r="10410" spans="1:15" ht="25.5" x14ac:dyDescent="0.2">
      <c r="A10410" s="197" t="str">
        <f t="shared" si="162"/>
        <v>WtiCode_hedged</v>
      </c>
      <c r="B10410" s="409"/>
      <c r="C10410" s="416"/>
      <c r="D10410" s="198" t="s">
        <v>54570</v>
      </c>
      <c r="E10410" s="198">
        <v>4</v>
      </c>
      <c r="F10410" s="199" t="s">
        <v>54571</v>
      </c>
      <c r="G10410" s="1" t="s">
        <v>54572</v>
      </c>
      <c r="H10410" s="1" t="s">
        <v>54573</v>
      </c>
      <c r="I10410" s="346"/>
      <c r="J10410" s="39">
        <v>109712</v>
      </c>
      <c r="K10410" s="36" t="str">
        <f>CONCATENATE(Cover!$D$6,"fdd/view?i=",J10410)</f>
        <v>https://www.dgiwg.org/FAD/fdd/view?i=109712</v>
      </c>
      <c r="L10410" s="36" t="s">
        <v>54574</v>
      </c>
      <c r="M10410" s="186"/>
      <c r="N10410" s="186"/>
      <c r="O10410" s="172"/>
    </row>
    <row r="10411" spans="1:15" ht="25.5" x14ac:dyDescent="0.2">
      <c r="A10411" s="197" t="str">
        <f t="shared" si="162"/>
        <v>WtiCode_lockWall</v>
      </c>
      <c r="B10411" s="409"/>
      <c r="C10411" s="416"/>
      <c r="D10411" s="198" t="s">
        <v>54575</v>
      </c>
      <c r="E10411" s="198">
        <v>5</v>
      </c>
      <c r="F10411" s="199" t="s">
        <v>3918</v>
      </c>
      <c r="G10411" s="1" t="s">
        <v>54576</v>
      </c>
      <c r="H10411" s="200"/>
      <c r="I10411" s="346"/>
      <c r="J10411" s="39">
        <v>118569</v>
      </c>
      <c r="K10411" s="36" t="str">
        <f>CONCATENATE(Cover!$D$6,"fdd/view?i=",J10411)</f>
        <v>https://www.dgiwg.org/FAD/fdd/view?i=118569</v>
      </c>
      <c r="L10411" s="36" t="s">
        <v>54577</v>
      </c>
      <c r="M10411" s="186"/>
      <c r="N10411" s="186"/>
      <c r="O10411" s="172"/>
    </row>
    <row r="10412" spans="1:15" x14ac:dyDescent="0.2">
      <c r="A10412" s="203" t="str">
        <f t="shared" si="162"/>
        <v>WtiCode_retaining</v>
      </c>
      <c r="B10412" s="410"/>
      <c r="C10412" s="417"/>
      <c r="D10412" s="204" t="s">
        <v>54578</v>
      </c>
      <c r="E10412" s="204">
        <v>2</v>
      </c>
      <c r="F10412" s="205" t="s">
        <v>54579</v>
      </c>
      <c r="G10412" s="206" t="s">
        <v>54580</v>
      </c>
      <c r="H10412" s="206" t="s">
        <v>54581</v>
      </c>
      <c r="I10412" s="347"/>
      <c r="J10412" s="39">
        <v>109710</v>
      </c>
      <c r="K10412" s="36" t="str">
        <f>CONCATENATE(Cover!$D$6,"fdd/view?i=",J10412)</f>
        <v>https://www.dgiwg.org/FAD/fdd/view?i=109710</v>
      </c>
      <c r="L10412" s="36" t="s">
        <v>54582</v>
      </c>
      <c r="M10412" s="186"/>
      <c r="N10412" s="186"/>
      <c r="O10412" s="172"/>
    </row>
    <row r="10413" spans="1:15" ht="25.5" x14ac:dyDescent="0.2">
      <c r="A10413" s="190" t="str">
        <f t="shared" si="162"/>
        <v>WcfCode_brown14Percent</v>
      </c>
      <c r="B10413" s="414" t="str">
        <f>HYPERLINK("[#]Datatypes!A1688:L1688","WcfCode")</f>
        <v>WcfCode</v>
      </c>
      <c r="C10413" s="415" t="s">
        <v>14227</v>
      </c>
      <c r="D10413" s="221" t="s">
        <v>54586</v>
      </c>
      <c r="E10413" s="221">
        <v>16</v>
      </c>
      <c r="F10413" s="222" t="s">
        <v>54587</v>
      </c>
      <c r="G10413" s="224"/>
      <c r="H10413" s="224"/>
      <c r="I10413" s="345"/>
      <c r="J10413" s="39">
        <v>109415</v>
      </c>
      <c r="K10413" s="36" t="str">
        <f>CONCATENATE(Cover!$D$6,"fdd/view?i=",J10413)</f>
        <v>https://www.dgiwg.org/FAD/fdd/view?i=109415</v>
      </c>
      <c r="L10413" s="36" t="s">
        <v>54588</v>
      </c>
      <c r="M10413" s="186"/>
      <c r="N10413" s="186"/>
      <c r="O10413" s="172"/>
    </row>
    <row r="10414" spans="1:15" ht="25.5" x14ac:dyDescent="0.2">
      <c r="A10414" s="197" t="str">
        <f t="shared" si="162"/>
        <v>WcfCode_brown20Percent</v>
      </c>
      <c r="B10414" s="409"/>
      <c r="C10414" s="416"/>
      <c r="D10414" s="198" t="s">
        <v>54598</v>
      </c>
      <c r="E10414" s="198">
        <v>17</v>
      </c>
      <c r="F10414" s="199" t="s">
        <v>54599</v>
      </c>
      <c r="G10414" s="200"/>
      <c r="H10414" s="200"/>
      <c r="I10414" s="346"/>
      <c r="J10414" s="39">
        <v>109416</v>
      </c>
      <c r="K10414" s="36" t="str">
        <f>CONCATENATE(Cover!$D$6,"fdd/view?i=",J10414)</f>
        <v>https://www.dgiwg.org/FAD/fdd/view?i=109416</v>
      </c>
      <c r="L10414" s="36" t="s">
        <v>54600</v>
      </c>
      <c r="M10414" s="186"/>
      <c r="N10414" s="186"/>
      <c r="O10414" s="172"/>
    </row>
    <row r="10415" spans="1:15" ht="25.5" x14ac:dyDescent="0.2">
      <c r="A10415" s="197" t="str">
        <f t="shared" si="162"/>
        <v>WcfCode_brown27Percent</v>
      </c>
      <c r="B10415" s="409"/>
      <c r="C10415" s="416"/>
      <c r="D10415" s="198" t="s">
        <v>54604</v>
      </c>
      <c r="E10415" s="198">
        <v>18</v>
      </c>
      <c r="F10415" s="199" t="s">
        <v>54605</v>
      </c>
      <c r="G10415" s="200"/>
      <c r="H10415" s="200"/>
      <c r="I10415" s="346"/>
      <c r="J10415" s="39">
        <v>109417</v>
      </c>
      <c r="K10415" s="36" t="str">
        <f>CONCATENATE(Cover!$D$6,"fdd/view?i=",J10415)</f>
        <v>https://www.dgiwg.org/FAD/fdd/view?i=109417</v>
      </c>
      <c r="L10415" s="36" t="s">
        <v>54606</v>
      </c>
      <c r="M10415" s="186"/>
      <c r="N10415" s="186"/>
      <c r="O10415" s="172"/>
    </row>
    <row r="10416" spans="1:15" ht="25.5" x14ac:dyDescent="0.2">
      <c r="A10416" s="197" t="str">
        <f t="shared" si="162"/>
        <v>WcfCode_brown2Percent</v>
      </c>
      <c r="B10416" s="409"/>
      <c r="C10416" s="416"/>
      <c r="D10416" s="198" t="s">
        <v>54592</v>
      </c>
      <c r="E10416" s="198">
        <v>13</v>
      </c>
      <c r="F10416" s="199" t="s">
        <v>54593</v>
      </c>
      <c r="G10416" s="200"/>
      <c r="H10416" s="200"/>
      <c r="I10416" s="346"/>
      <c r="J10416" s="39">
        <v>109412</v>
      </c>
      <c r="K10416" s="36" t="str">
        <f>CONCATENATE(Cover!$D$6,"fdd/view?i=",J10416)</f>
        <v>https://www.dgiwg.org/FAD/fdd/view?i=109412</v>
      </c>
      <c r="L10416" s="36" t="s">
        <v>54594</v>
      </c>
      <c r="M10416" s="186"/>
      <c r="N10416" s="186"/>
      <c r="O10416" s="172"/>
    </row>
    <row r="10417" spans="1:15" ht="25.5" x14ac:dyDescent="0.2">
      <c r="A10417" s="197" t="str">
        <f t="shared" si="162"/>
        <v>WcfCode_brown35Percent</v>
      </c>
      <c r="B10417" s="409"/>
      <c r="C10417" s="416"/>
      <c r="D10417" s="198" t="s">
        <v>54610</v>
      </c>
      <c r="E10417" s="198">
        <v>19</v>
      </c>
      <c r="F10417" s="199" t="s">
        <v>54611</v>
      </c>
      <c r="G10417" s="200"/>
      <c r="H10417" s="200"/>
      <c r="I10417" s="346"/>
      <c r="J10417" s="39">
        <v>109418</v>
      </c>
      <c r="K10417" s="36" t="str">
        <f>CONCATENATE(Cover!$D$6,"fdd/view?i=",J10417)</f>
        <v>https://www.dgiwg.org/FAD/fdd/view?i=109418</v>
      </c>
      <c r="L10417" s="36" t="s">
        <v>54612</v>
      </c>
      <c r="M10417" s="186"/>
      <c r="N10417" s="186"/>
      <c r="O10417" s="172"/>
    </row>
    <row r="10418" spans="1:15" ht="25.5" x14ac:dyDescent="0.2">
      <c r="A10418" s="197" t="str">
        <f t="shared" si="162"/>
        <v>WcfCode_brown44Percent</v>
      </c>
      <c r="B10418" s="409"/>
      <c r="C10418" s="416"/>
      <c r="D10418" s="198" t="s">
        <v>54616</v>
      </c>
      <c r="E10418" s="198">
        <v>20</v>
      </c>
      <c r="F10418" s="199" t="s">
        <v>54617</v>
      </c>
      <c r="G10418" s="200"/>
      <c r="H10418" s="200"/>
      <c r="I10418" s="346"/>
      <c r="J10418" s="39">
        <v>109419</v>
      </c>
      <c r="K10418" s="36" t="str">
        <f>CONCATENATE(Cover!$D$6,"fdd/view?i=",J10418)</f>
        <v>https://www.dgiwg.org/FAD/fdd/view?i=109419</v>
      </c>
      <c r="L10418" s="36" t="s">
        <v>54618</v>
      </c>
      <c r="M10418" s="186"/>
      <c r="N10418" s="186"/>
      <c r="O10418" s="172"/>
    </row>
    <row r="10419" spans="1:15" ht="25.5" x14ac:dyDescent="0.2">
      <c r="A10419" s="197" t="str">
        <f t="shared" si="162"/>
        <v>WcfCode_brown54Percent</v>
      </c>
      <c r="B10419" s="409"/>
      <c r="C10419" s="416"/>
      <c r="D10419" s="198" t="s">
        <v>54628</v>
      </c>
      <c r="E10419" s="198">
        <v>21</v>
      </c>
      <c r="F10419" s="199" t="s">
        <v>54629</v>
      </c>
      <c r="G10419" s="200"/>
      <c r="H10419" s="200"/>
      <c r="I10419" s="346"/>
      <c r="J10419" s="39">
        <v>109420</v>
      </c>
      <c r="K10419" s="36" t="str">
        <f>CONCATENATE(Cover!$D$6,"fdd/view?i=",J10419)</f>
        <v>https://www.dgiwg.org/FAD/fdd/view?i=109420</v>
      </c>
      <c r="L10419" s="36" t="s">
        <v>54630</v>
      </c>
      <c r="M10419" s="186"/>
      <c r="N10419" s="186"/>
      <c r="O10419" s="172"/>
    </row>
    <row r="10420" spans="1:15" ht="25.5" x14ac:dyDescent="0.2">
      <c r="A10420" s="197" t="str">
        <f t="shared" si="162"/>
        <v>WcfCode_brown5Percent</v>
      </c>
      <c r="B10420" s="409"/>
      <c r="C10420" s="416"/>
      <c r="D10420" s="198" t="s">
        <v>54622</v>
      </c>
      <c r="E10420" s="198">
        <v>14</v>
      </c>
      <c r="F10420" s="199" t="s">
        <v>54623</v>
      </c>
      <c r="G10420" s="200"/>
      <c r="H10420" s="200"/>
      <c r="I10420" s="346"/>
      <c r="J10420" s="39">
        <v>109413</v>
      </c>
      <c r="K10420" s="36" t="str">
        <f>CONCATENATE(Cover!$D$6,"fdd/view?i=",J10420)</f>
        <v>https://www.dgiwg.org/FAD/fdd/view?i=109413</v>
      </c>
      <c r="L10420" s="36" t="s">
        <v>54624</v>
      </c>
      <c r="M10420" s="186"/>
      <c r="N10420" s="186"/>
      <c r="O10420" s="172"/>
    </row>
    <row r="10421" spans="1:15" ht="25.5" x14ac:dyDescent="0.2">
      <c r="A10421" s="197" t="str">
        <f t="shared" si="162"/>
        <v>WcfCode_brown65Percent</v>
      </c>
      <c r="B10421" s="409"/>
      <c r="C10421" s="416"/>
      <c r="D10421" s="198" t="s">
        <v>54634</v>
      </c>
      <c r="E10421" s="198">
        <v>22</v>
      </c>
      <c r="F10421" s="199" t="s">
        <v>54635</v>
      </c>
      <c r="G10421" s="200"/>
      <c r="H10421" s="200"/>
      <c r="I10421" s="346"/>
      <c r="J10421" s="39">
        <v>109421</v>
      </c>
      <c r="K10421" s="36" t="str">
        <f>CONCATENATE(Cover!$D$6,"fdd/view?i=",J10421)</f>
        <v>https://www.dgiwg.org/FAD/fdd/view?i=109421</v>
      </c>
      <c r="L10421" s="36" t="s">
        <v>54636</v>
      </c>
      <c r="M10421" s="186"/>
      <c r="N10421" s="186"/>
      <c r="O10421" s="172"/>
    </row>
    <row r="10422" spans="1:15" ht="25.5" x14ac:dyDescent="0.2">
      <c r="A10422" s="197" t="str">
        <f t="shared" si="162"/>
        <v>WcfCode_brown9Percent</v>
      </c>
      <c r="B10422" s="409"/>
      <c r="C10422" s="416"/>
      <c r="D10422" s="198" t="s">
        <v>54640</v>
      </c>
      <c r="E10422" s="198">
        <v>15</v>
      </c>
      <c r="F10422" s="199" t="s">
        <v>54641</v>
      </c>
      <c r="G10422" s="200"/>
      <c r="H10422" s="200"/>
      <c r="I10422" s="346"/>
      <c r="J10422" s="39">
        <v>109414</v>
      </c>
      <c r="K10422" s="36" t="str">
        <f>CONCATENATE(Cover!$D$6,"fdd/view?i=",J10422)</f>
        <v>https://www.dgiwg.org/FAD/fdd/view?i=109414</v>
      </c>
      <c r="L10422" s="36" t="s">
        <v>54642</v>
      </c>
      <c r="M10422" s="186"/>
      <c r="N10422" s="186"/>
      <c r="O10422" s="172"/>
    </row>
    <row r="10423" spans="1:15" ht="25.5" x14ac:dyDescent="0.2">
      <c r="A10423" s="197" t="str">
        <f t="shared" si="162"/>
        <v>WcfCode_forelUleValueUnavailable</v>
      </c>
      <c r="B10423" s="409"/>
      <c r="C10423" s="416"/>
      <c r="D10423" s="198" t="s">
        <v>54646</v>
      </c>
      <c r="E10423" s="198">
        <v>1</v>
      </c>
      <c r="F10423" s="199" t="s">
        <v>54647</v>
      </c>
      <c r="G10423" s="200"/>
      <c r="H10423" s="200"/>
      <c r="I10423" s="346"/>
      <c r="J10423" s="39">
        <v>109400</v>
      </c>
      <c r="K10423" s="36" t="str">
        <f>CONCATENATE(Cover!$D$6,"fdd/view?i=",J10423)</f>
        <v>https://www.dgiwg.org/FAD/fdd/view?i=109400</v>
      </c>
      <c r="L10423" s="36" t="s">
        <v>54648</v>
      </c>
      <c r="M10423" s="186"/>
      <c r="N10423" s="186"/>
      <c r="O10423" s="172"/>
    </row>
    <row r="10424" spans="1:15" ht="25.5" x14ac:dyDescent="0.2">
      <c r="A10424" s="197" t="str">
        <f t="shared" si="162"/>
        <v>WcfCode_yellow0Percent</v>
      </c>
      <c r="B10424" s="409"/>
      <c r="C10424" s="416"/>
      <c r="D10424" s="198" t="s">
        <v>54583</v>
      </c>
      <c r="E10424" s="198">
        <v>2</v>
      </c>
      <c r="F10424" s="199" t="s">
        <v>54584</v>
      </c>
      <c r="G10424" s="200"/>
      <c r="H10424" s="200"/>
      <c r="I10424" s="346"/>
      <c r="J10424" s="39">
        <v>109401</v>
      </c>
      <c r="K10424" s="36" t="str">
        <f>CONCATENATE(Cover!$D$6,"fdd/view?i=",J10424)</f>
        <v>https://www.dgiwg.org/FAD/fdd/view?i=109401</v>
      </c>
      <c r="L10424" s="36" t="s">
        <v>54585</v>
      </c>
      <c r="M10424" s="186"/>
      <c r="N10424" s="186"/>
      <c r="O10424" s="172"/>
    </row>
    <row r="10425" spans="1:15" ht="25.5" x14ac:dyDescent="0.2">
      <c r="A10425" s="197" t="str">
        <f t="shared" si="162"/>
        <v>WcfCode_yellow14Percent</v>
      </c>
      <c r="B10425" s="409"/>
      <c r="C10425" s="416"/>
      <c r="D10425" s="198" t="s">
        <v>54589</v>
      </c>
      <c r="E10425" s="198">
        <v>6</v>
      </c>
      <c r="F10425" s="199" t="s">
        <v>54590</v>
      </c>
      <c r="G10425" s="200"/>
      <c r="H10425" s="200"/>
      <c r="I10425" s="346"/>
      <c r="J10425" s="39">
        <v>109405</v>
      </c>
      <c r="K10425" s="36" t="str">
        <f>CONCATENATE(Cover!$D$6,"fdd/view?i=",J10425)</f>
        <v>https://www.dgiwg.org/FAD/fdd/view?i=109405</v>
      </c>
      <c r="L10425" s="36" t="s">
        <v>54591</v>
      </c>
      <c r="M10425" s="186"/>
      <c r="N10425" s="186"/>
      <c r="O10425" s="172"/>
    </row>
    <row r="10426" spans="1:15" ht="25.5" x14ac:dyDescent="0.2">
      <c r="A10426" s="197" t="str">
        <f t="shared" si="162"/>
        <v>WcfCode_yellow20Percent</v>
      </c>
      <c r="B10426" s="409"/>
      <c r="C10426" s="416"/>
      <c r="D10426" s="198" t="s">
        <v>54601</v>
      </c>
      <c r="E10426" s="198">
        <v>7</v>
      </c>
      <c r="F10426" s="199" t="s">
        <v>54602</v>
      </c>
      <c r="G10426" s="200"/>
      <c r="H10426" s="200"/>
      <c r="I10426" s="346"/>
      <c r="J10426" s="39">
        <v>109406</v>
      </c>
      <c r="K10426" s="36" t="str">
        <f>CONCATENATE(Cover!$D$6,"fdd/view?i=",J10426)</f>
        <v>https://www.dgiwg.org/FAD/fdd/view?i=109406</v>
      </c>
      <c r="L10426" s="36" t="s">
        <v>54603</v>
      </c>
      <c r="M10426" s="186"/>
      <c r="N10426" s="186"/>
      <c r="O10426" s="172"/>
    </row>
    <row r="10427" spans="1:15" ht="25.5" x14ac:dyDescent="0.2">
      <c r="A10427" s="197" t="str">
        <f t="shared" si="162"/>
        <v>WcfCode_yellow27Percent</v>
      </c>
      <c r="B10427" s="409"/>
      <c r="C10427" s="416"/>
      <c r="D10427" s="198" t="s">
        <v>54607</v>
      </c>
      <c r="E10427" s="198">
        <v>8</v>
      </c>
      <c r="F10427" s="199" t="s">
        <v>54608</v>
      </c>
      <c r="G10427" s="200"/>
      <c r="H10427" s="200"/>
      <c r="I10427" s="346"/>
      <c r="J10427" s="39">
        <v>109407</v>
      </c>
      <c r="K10427" s="36" t="str">
        <f>CONCATENATE(Cover!$D$6,"fdd/view?i=",J10427)</f>
        <v>https://www.dgiwg.org/FAD/fdd/view?i=109407</v>
      </c>
      <c r="L10427" s="36" t="s">
        <v>54609</v>
      </c>
      <c r="M10427" s="186"/>
      <c r="N10427" s="186"/>
      <c r="O10427" s="172"/>
    </row>
    <row r="10428" spans="1:15" ht="25.5" x14ac:dyDescent="0.2">
      <c r="A10428" s="197" t="str">
        <f t="shared" si="162"/>
        <v>WcfCode_yellow2Percent</v>
      </c>
      <c r="B10428" s="409"/>
      <c r="C10428" s="416"/>
      <c r="D10428" s="198" t="s">
        <v>54595</v>
      </c>
      <c r="E10428" s="198">
        <v>3</v>
      </c>
      <c r="F10428" s="199" t="s">
        <v>54596</v>
      </c>
      <c r="G10428" s="200"/>
      <c r="H10428" s="200"/>
      <c r="I10428" s="346"/>
      <c r="J10428" s="39">
        <v>109402</v>
      </c>
      <c r="K10428" s="36" t="str">
        <f>CONCATENATE(Cover!$D$6,"fdd/view?i=",J10428)</f>
        <v>https://www.dgiwg.org/FAD/fdd/view?i=109402</v>
      </c>
      <c r="L10428" s="36" t="s">
        <v>54597</v>
      </c>
      <c r="M10428" s="186"/>
      <c r="N10428" s="186"/>
      <c r="O10428" s="172"/>
    </row>
    <row r="10429" spans="1:15" ht="25.5" x14ac:dyDescent="0.2">
      <c r="A10429" s="197" t="str">
        <f t="shared" si="162"/>
        <v>WcfCode_yellow35Percent</v>
      </c>
      <c r="B10429" s="409"/>
      <c r="C10429" s="416"/>
      <c r="D10429" s="198" t="s">
        <v>54613</v>
      </c>
      <c r="E10429" s="198">
        <v>9</v>
      </c>
      <c r="F10429" s="199" t="s">
        <v>54614</v>
      </c>
      <c r="G10429" s="200"/>
      <c r="H10429" s="200"/>
      <c r="I10429" s="346"/>
      <c r="J10429" s="39">
        <v>109408</v>
      </c>
      <c r="K10429" s="36" t="str">
        <f>CONCATENATE(Cover!$D$6,"fdd/view?i=",J10429)</f>
        <v>https://www.dgiwg.org/FAD/fdd/view?i=109408</v>
      </c>
      <c r="L10429" s="36" t="s">
        <v>54615</v>
      </c>
      <c r="M10429" s="186"/>
      <c r="N10429" s="186"/>
      <c r="O10429" s="172"/>
    </row>
    <row r="10430" spans="1:15" ht="25.5" x14ac:dyDescent="0.2">
      <c r="A10430" s="197" t="str">
        <f t="shared" si="162"/>
        <v>WcfCode_yellow44Percent</v>
      </c>
      <c r="B10430" s="409"/>
      <c r="C10430" s="416"/>
      <c r="D10430" s="198" t="s">
        <v>54619</v>
      </c>
      <c r="E10430" s="198">
        <v>10</v>
      </c>
      <c r="F10430" s="199" t="s">
        <v>54620</v>
      </c>
      <c r="G10430" s="200"/>
      <c r="H10430" s="200"/>
      <c r="I10430" s="346"/>
      <c r="J10430" s="39">
        <v>109409</v>
      </c>
      <c r="K10430" s="36" t="str">
        <f>CONCATENATE(Cover!$D$6,"fdd/view?i=",J10430)</f>
        <v>https://www.dgiwg.org/FAD/fdd/view?i=109409</v>
      </c>
      <c r="L10430" s="36" t="s">
        <v>54621</v>
      </c>
      <c r="M10430" s="186"/>
      <c r="N10430" s="186"/>
      <c r="O10430" s="172"/>
    </row>
    <row r="10431" spans="1:15" ht="25.5" x14ac:dyDescent="0.2">
      <c r="A10431" s="197" t="str">
        <f t="shared" si="162"/>
        <v>WcfCode_yellow54Percent</v>
      </c>
      <c r="B10431" s="409"/>
      <c r="C10431" s="416"/>
      <c r="D10431" s="198" t="s">
        <v>54631</v>
      </c>
      <c r="E10431" s="198">
        <v>11</v>
      </c>
      <c r="F10431" s="199" t="s">
        <v>54632</v>
      </c>
      <c r="G10431" s="200"/>
      <c r="H10431" s="200"/>
      <c r="I10431" s="346"/>
      <c r="J10431" s="39">
        <v>109410</v>
      </c>
      <c r="K10431" s="36" t="str">
        <f>CONCATENATE(Cover!$D$6,"fdd/view?i=",J10431)</f>
        <v>https://www.dgiwg.org/FAD/fdd/view?i=109410</v>
      </c>
      <c r="L10431" s="36" t="s">
        <v>54633</v>
      </c>
      <c r="M10431" s="186"/>
      <c r="N10431" s="186"/>
      <c r="O10431" s="172"/>
    </row>
    <row r="10432" spans="1:15" ht="25.5" x14ac:dyDescent="0.2">
      <c r="A10432" s="197" t="str">
        <f t="shared" si="162"/>
        <v>WcfCode_yellow5Percent</v>
      </c>
      <c r="B10432" s="409"/>
      <c r="C10432" s="416"/>
      <c r="D10432" s="198" t="s">
        <v>54625</v>
      </c>
      <c r="E10432" s="198">
        <v>4</v>
      </c>
      <c r="F10432" s="199" t="s">
        <v>54626</v>
      </c>
      <c r="G10432" s="200"/>
      <c r="H10432" s="200"/>
      <c r="I10432" s="346"/>
      <c r="J10432" s="39">
        <v>109403</v>
      </c>
      <c r="K10432" s="36" t="str">
        <f>CONCATENATE(Cover!$D$6,"fdd/view?i=",J10432)</f>
        <v>https://www.dgiwg.org/FAD/fdd/view?i=109403</v>
      </c>
      <c r="L10432" s="36" t="s">
        <v>54627</v>
      </c>
      <c r="M10432" s="186"/>
      <c r="N10432" s="186"/>
      <c r="O10432" s="172"/>
    </row>
    <row r="10433" spans="1:15" ht="25.5" x14ac:dyDescent="0.2">
      <c r="A10433" s="197" t="str">
        <f t="shared" si="162"/>
        <v>WcfCode_yellow65Percent</v>
      </c>
      <c r="B10433" s="409"/>
      <c r="C10433" s="416"/>
      <c r="D10433" s="198" t="s">
        <v>54637</v>
      </c>
      <c r="E10433" s="198">
        <v>12</v>
      </c>
      <c r="F10433" s="199" t="s">
        <v>54638</v>
      </c>
      <c r="G10433" s="200"/>
      <c r="H10433" s="200"/>
      <c r="I10433" s="346"/>
      <c r="J10433" s="39">
        <v>109411</v>
      </c>
      <c r="K10433" s="36" t="str">
        <f>CONCATENATE(Cover!$D$6,"fdd/view?i=",J10433)</f>
        <v>https://www.dgiwg.org/FAD/fdd/view?i=109411</v>
      </c>
      <c r="L10433" s="36" t="s">
        <v>54639</v>
      </c>
      <c r="M10433" s="186"/>
      <c r="N10433" s="186"/>
      <c r="O10433" s="172"/>
    </row>
    <row r="10434" spans="1:15" ht="25.5" x14ac:dyDescent="0.2">
      <c r="A10434" s="203" t="str">
        <f t="shared" ref="A10434:A10497" si="163">HYPERLINK(K10434,L10434)</f>
        <v>WcfCode_yellow9Percent</v>
      </c>
      <c r="B10434" s="410"/>
      <c r="C10434" s="417"/>
      <c r="D10434" s="204" t="s">
        <v>54643</v>
      </c>
      <c r="E10434" s="204">
        <v>5</v>
      </c>
      <c r="F10434" s="205" t="s">
        <v>54644</v>
      </c>
      <c r="G10434" s="207"/>
      <c r="H10434" s="207"/>
      <c r="I10434" s="347"/>
      <c r="J10434" s="39">
        <v>109404</v>
      </c>
      <c r="K10434" s="36" t="str">
        <f>CONCATENATE(Cover!$D$6,"fdd/view?i=",J10434)</f>
        <v>https://www.dgiwg.org/FAD/fdd/view?i=109404</v>
      </c>
      <c r="L10434" s="36" t="s">
        <v>54645</v>
      </c>
      <c r="M10434" s="186"/>
      <c r="N10434" s="186"/>
      <c r="O10434" s="172"/>
    </row>
    <row r="10435" spans="1:15" ht="25.5" x14ac:dyDescent="0.2">
      <c r="A10435" s="190" t="str">
        <f t="shared" si="163"/>
        <v>GncCode_caisson</v>
      </c>
      <c r="B10435" s="414" t="str">
        <f>HYPERLINK("[#]Datatypes!A1690:L1690","GncCode")</f>
        <v>GncCode</v>
      </c>
      <c r="C10435" s="415" t="s">
        <v>16323</v>
      </c>
      <c r="D10435" s="221" t="s">
        <v>23626</v>
      </c>
      <c r="E10435" s="221">
        <v>3</v>
      </c>
      <c r="F10435" s="222" t="s">
        <v>2888</v>
      </c>
      <c r="G10435" s="223" t="s">
        <v>54649</v>
      </c>
      <c r="H10435" s="224"/>
      <c r="I10435" s="345"/>
      <c r="J10435" s="39">
        <v>103886</v>
      </c>
      <c r="K10435" s="36" t="str">
        <f>CONCATENATE(Cover!$D$6,"fdd/view?i=",J10435)</f>
        <v>https://www.dgiwg.org/FAD/fdd/view?i=103886</v>
      </c>
      <c r="L10435" s="36" t="s">
        <v>54650</v>
      </c>
      <c r="M10435" s="186"/>
      <c r="N10435" s="186"/>
      <c r="O10435" s="172"/>
    </row>
    <row r="10436" spans="1:15" x14ac:dyDescent="0.2">
      <c r="A10436" s="197" t="str">
        <f t="shared" si="163"/>
        <v>GncCode_dykeGate</v>
      </c>
      <c r="B10436" s="409"/>
      <c r="C10436" s="416"/>
      <c r="D10436" s="198" t="s">
        <v>31962</v>
      </c>
      <c r="E10436" s="198">
        <v>5</v>
      </c>
      <c r="F10436" s="199" t="s">
        <v>31963</v>
      </c>
      <c r="G10436" s="1" t="s">
        <v>31964</v>
      </c>
      <c r="H10436" s="200"/>
      <c r="I10436" s="346"/>
      <c r="J10436" s="39">
        <v>103888</v>
      </c>
      <c r="K10436" s="36" t="str">
        <f>CONCATENATE(Cover!$D$6,"fdd/view?i=",J10436)</f>
        <v>https://www.dgiwg.org/FAD/fdd/view?i=103888</v>
      </c>
      <c r="L10436" s="36" t="s">
        <v>54651</v>
      </c>
      <c r="M10436" s="186"/>
      <c r="N10436" s="186"/>
      <c r="O10436" s="172"/>
    </row>
    <row r="10437" spans="1:15" ht="25.5" x14ac:dyDescent="0.2">
      <c r="A10437" s="197" t="str">
        <f t="shared" si="163"/>
        <v>GncCode_emergencyGate</v>
      </c>
      <c r="B10437" s="409"/>
      <c r="C10437" s="416"/>
      <c r="D10437" s="198" t="s">
        <v>31966</v>
      </c>
      <c r="E10437" s="198">
        <v>6</v>
      </c>
      <c r="F10437" s="199" t="s">
        <v>31967</v>
      </c>
      <c r="G10437" s="1" t="s">
        <v>31968</v>
      </c>
      <c r="H10437" s="200"/>
      <c r="I10437" s="346"/>
      <c r="J10437" s="39">
        <v>103889</v>
      </c>
      <c r="K10437" s="36" t="str">
        <f>CONCATENATE(Cover!$D$6,"fdd/view?i=",J10437)</f>
        <v>https://www.dgiwg.org/FAD/fdd/view?i=103889</v>
      </c>
      <c r="L10437" s="36" t="s">
        <v>54652</v>
      </c>
      <c r="M10437" s="186"/>
      <c r="N10437" s="186"/>
      <c r="O10437" s="172"/>
    </row>
    <row r="10438" spans="1:15" ht="38.25" x14ac:dyDescent="0.2">
      <c r="A10438" s="197" t="str">
        <f t="shared" si="163"/>
        <v>GncCode_floodBarrageGate</v>
      </c>
      <c r="B10438" s="409"/>
      <c r="C10438" s="416"/>
      <c r="D10438" s="198" t="s">
        <v>54653</v>
      </c>
      <c r="E10438" s="198">
        <v>2</v>
      </c>
      <c r="F10438" s="199" t="s">
        <v>54654</v>
      </c>
      <c r="G10438" s="1" t="s">
        <v>54655</v>
      </c>
      <c r="H10438" s="1" t="s">
        <v>54656</v>
      </c>
      <c r="I10438" s="346"/>
      <c r="J10438" s="39">
        <v>103885</v>
      </c>
      <c r="K10438" s="36" t="str">
        <f>CONCATENATE(Cover!$D$6,"fdd/view?i=",J10438)</f>
        <v>https://www.dgiwg.org/FAD/fdd/view?i=103885</v>
      </c>
      <c r="L10438" s="36" t="s">
        <v>54657</v>
      </c>
      <c r="M10438" s="186"/>
      <c r="N10438" s="186"/>
      <c r="O10438" s="172"/>
    </row>
    <row r="10439" spans="1:15" x14ac:dyDescent="0.2">
      <c r="A10439" s="197" t="str">
        <f t="shared" si="163"/>
        <v>GncCode_lockGate</v>
      </c>
      <c r="B10439" s="409"/>
      <c r="C10439" s="416"/>
      <c r="D10439" s="198" t="s">
        <v>23629</v>
      </c>
      <c r="E10439" s="198">
        <v>4</v>
      </c>
      <c r="F10439" s="199" t="s">
        <v>3914</v>
      </c>
      <c r="G10439" s="1" t="s">
        <v>23630</v>
      </c>
      <c r="H10439" s="200"/>
      <c r="I10439" s="346"/>
      <c r="J10439" s="39">
        <v>103887</v>
      </c>
      <c r="K10439" s="36" t="str">
        <f>CONCATENATE(Cover!$D$6,"fdd/view?i=",J10439)</f>
        <v>https://www.dgiwg.org/FAD/fdd/view?i=103887</v>
      </c>
      <c r="L10439" s="36" t="s">
        <v>54658</v>
      </c>
      <c r="M10439" s="186"/>
      <c r="N10439" s="186"/>
      <c r="O10439" s="172"/>
    </row>
    <row r="10440" spans="1:15" ht="25.5" x14ac:dyDescent="0.2">
      <c r="A10440" s="203" t="str">
        <f t="shared" si="163"/>
        <v>GncCode_sluiceGate</v>
      </c>
      <c r="B10440" s="410"/>
      <c r="C10440" s="417"/>
      <c r="D10440" s="204" t="s">
        <v>54659</v>
      </c>
      <c r="E10440" s="204">
        <v>7</v>
      </c>
      <c r="F10440" s="205" t="s">
        <v>5101</v>
      </c>
      <c r="G10440" s="206" t="s">
        <v>54660</v>
      </c>
      <c r="H10440" s="207"/>
      <c r="I10440" s="347"/>
      <c r="J10440" s="39">
        <v>110198</v>
      </c>
      <c r="K10440" s="36" t="str">
        <f>CONCATENATE(Cover!$D$6,"fdd/view?i=",J10440)</f>
        <v>https://www.dgiwg.org/FAD/fdd/view?i=110198</v>
      </c>
      <c r="L10440" s="36" t="s">
        <v>54661</v>
      </c>
      <c r="M10440" s="186"/>
      <c r="N10440" s="186"/>
      <c r="O10440" s="172"/>
    </row>
    <row r="10441" spans="1:15" ht="38.25" x14ac:dyDescent="0.2">
      <c r="A10441" s="190" t="str">
        <f t="shared" si="163"/>
        <v>WleCode_alwaysDry</v>
      </c>
      <c r="B10441" s="414" t="str">
        <f>HYPERLINK("[#]Datatypes!A1692:L1692","WleCode")</f>
        <v>WleCode</v>
      </c>
      <c r="C10441" s="415" t="s">
        <v>16325</v>
      </c>
      <c r="D10441" s="221" t="s">
        <v>54662</v>
      </c>
      <c r="E10441" s="221">
        <v>2</v>
      </c>
      <c r="F10441" s="222" t="s">
        <v>54663</v>
      </c>
      <c r="G10441" s="223" t="s">
        <v>54664</v>
      </c>
      <c r="H10441" s="224"/>
      <c r="I10441" s="352" t="s">
        <v>54665</v>
      </c>
      <c r="J10441" s="39">
        <v>109564</v>
      </c>
      <c r="K10441" s="36" t="str">
        <f>CONCATENATE(Cover!$D$6,"fdd/view?i=",J10441)</f>
        <v>https://www.dgiwg.org/FAD/fdd/view?i=109564</v>
      </c>
      <c r="L10441" s="36" t="s">
        <v>54666</v>
      </c>
      <c r="M10441" s="186"/>
      <c r="N10441" s="186"/>
      <c r="O10441" s="172"/>
    </row>
    <row r="10442" spans="1:15" ht="25.5" x14ac:dyDescent="0.2">
      <c r="A10442" s="197" t="str">
        <f t="shared" si="163"/>
        <v>WleCode_alwaysSubmerged</v>
      </c>
      <c r="B10442" s="409"/>
      <c r="C10442" s="416"/>
      <c r="D10442" s="198" t="s">
        <v>54667</v>
      </c>
      <c r="E10442" s="198">
        <v>3</v>
      </c>
      <c r="F10442" s="199" t="s">
        <v>54668</v>
      </c>
      <c r="G10442" s="1" t="s">
        <v>54669</v>
      </c>
      <c r="H10442" s="200"/>
      <c r="I10442" s="346"/>
      <c r="J10442" s="39">
        <v>109565</v>
      </c>
      <c r="K10442" s="36" t="str">
        <f>CONCATENATE(Cover!$D$6,"fdd/view?i=",J10442)</f>
        <v>https://www.dgiwg.org/FAD/fdd/view?i=109565</v>
      </c>
      <c r="L10442" s="36" t="s">
        <v>54670</v>
      </c>
      <c r="M10442" s="186"/>
      <c r="N10442" s="186"/>
      <c r="O10442" s="172"/>
    </row>
    <row r="10443" spans="1:15" ht="25.5" x14ac:dyDescent="0.2">
      <c r="A10443" s="197" t="str">
        <f t="shared" si="163"/>
        <v>WleCode_awashAtChartDatum</v>
      </c>
      <c r="B10443" s="409"/>
      <c r="C10443" s="416"/>
      <c r="D10443" s="198" t="s">
        <v>54671</v>
      </c>
      <c r="E10443" s="198">
        <v>9</v>
      </c>
      <c r="F10443" s="199" t="s">
        <v>54672</v>
      </c>
      <c r="G10443" s="1" t="s">
        <v>54673</v>
      </c>
      <c r="H10443" s="200"/>
      <c r="I10443" s="346"/>
      <c r="J10443" s="39">
        <v>110644</v>
      </c>
      <c r="K10443" s="36" t="str">
        <f>CONCATENATE(Cover!$D$6,"fdd/view?i=",J10443)</f>
        <v>https://www.dgiwg.org/FAD/fdd/view?i=110644</v>
      </c>
      <c r="L10443" s="36" t="s">
        <v>54674</v>
      </c>
      <c r="M10443" s="186"/>
      <c r="N10443" s="186"/>
      <c r="O10443" s="172"/>
    </row>
    <row r="10444" spans="1:15" ht="25.5" x14ac:dyDescent="0.2">
      <c r="A10444" s="197" t="str">
        <f t="shared" si="163"/>
        <v>WleCode_awashAtLowWater</v>
      </c>
      <c r="B10444" s="409"/>
      <c r="C10444" s="416"/>
      <c r="D10444" s="198" t="s">
        <v>54675</v>
      </c>
      <c r="E10444" s="198">
        <v>5</v>
      </c>
      <c r="F10444" s="199" t="s">
        <v>54676</v>
      </c>
      <c r="G10444" s="1" t="s">
        <v>54677</v>
      </c>
      <c r="H10444" s="200"/>
      <c r="I10444" s="351" t="s">
        <v>54678</v>
      </c>
      <c r="J10444" s="39">
        <v>109567</v>
      </c>
      <c r="K10444" s="36" t="str">
        <f>CONCATENATE(Cover!$D$6,"fdd/view?i=",J10444)</f>
        <v>https://www.dgiwg.org/FAD/fdd/view?i=109567</v>
      </c>
      <c r="L10444" s="36" t="s">
        <v>54679</v>
      </c>
      <c r="M10444" s="186"/>
      <c r="N10444" s="186"/>
      <c r="O10444" s="172"/>
    </row>
    <row r="10445" spans="1:15" ht="38.25" x14ac:dyDescent="0.2">
      <c r="A10445" s="197" t="str">
        <f t="shared" si="163"/>
        <v>WleCode_coversAndUncovers</v>
      </c>
      <c r="B10445" s="409"/>
      <c r="C10445" s="416"/>
      <c r="D10445" s="198" t="s">
        <v>54680</v>
      </c>
      <c r="E10445" s="198">
        <v>4</v>
      </c>
      <c r="F10445" s="199" t="s">
        <v>54681</v>
      </c>
      <c r="G10445" s="1" t="s">
        <v>54682</v>
      </c>
      <c r="H10445" s="200"/>
      <c r="I10445" s="351" t="s">
        <v>54683</v>
      </c>
      <c r="J10445" s="39">
        <v>109566</v>
      </c>
      <c r="K10445" s="36" t="str">
        <f>CONCATENATE(Cover!$D$6,"fdd/view?i=",J10445)</f>
        <v>https://www.dgiwg.org/FAD/fdd/view?i=109566</v>
      </c>
      <c r="L10445" s="36" t="s">
        <v>54684</v>
      </c>
      <c r="M10445" s="186"/>
      <c r="N10445" s="186"/>
      <c r="O10445" s="172"/>
    </row>
    <row r="10446" spans="1:15" x14ac:dyDescent="0.2">
      <c r="A10446" s="197" t="str">
        <f t="shared" si="163"/>
        <v>WleCode_floating</v>
      </c>
      <c r="B10446" s="409"/>
      <c r="C10446" s="416"/>
      <c r="D10446" s="198" t="s">
        <v>8791</v>
      </c>
      <c r="E10446" s="198">
        <v>8</v>
      </c>
      <c r="F10446" s="199" t="s">
        <v>8793</v>
      </c>
      <c r="G10446" s="1" t="s">
        <v>54685</v>
      </c>
      <c r="H10446" s="200"/>
      <c r="I10446" s="346"/>
      <c r="J10446" s="39">
        <v>109570</v>
      </c>
      <c r="K10446" s="36" t="str">
        <f>CONCATENATE(Cover!$D$6,"fdd/view?i=",J10446)</f>
        <v>https://www.dgiwg.org/FAD/fdd/view?i=109570</v>
      </c>
      <c r="L10446" s="36" t="s">
        <v>54686</v>
      </c>
      <c r="M10446" s="186"/>
      <c r="N10446" s="186"/>
      <c r="O10446" s="172"/>
    </row>
    <row r="10447" spans="1:15" ht="25.5" x14ac:dyDescent="0.2">
      <c r="A10447" s="197" t="str">
        <f t="shared" si="163"/>
        <v>WleCode_partlySubmerged</v>
      </c>
      <c r="B10447" s="409"/>
      <c r="C10447" s="416"/>
      <c r="D10447" s="198" t="s">
        <v>54687</v>
      </c>
      <c r="E10447" s="198">
        <v>1</v>
      </c>
      <c r="F10447" s="199" t="s">
        <v>54688</v>
      </c>
      <c r="G10447" s="1" t="s">
        <v>54689</v>
      </c>
      <c r="H10447" s="200"/>
      <c r="I10447" s="346"/>
      <c r="J10447" s="39">
        <v>109563</v>
      </c>
      <c r="K10447" s="36" t="str">
        <f>CONCATENATE(Cover!$D$6,"fdd/view?i=",J10447)</f>
        <v>https://www.dgiwg.org/FAD/fdd/view?i=109563</v>
      </c>
      <c r="L10447" s="36" t="s">
        <v>54690</v>
      </c>
      <c r="M10447" s="186"/>
      <c r="N10447" s="186"/>
      <c r="O10447" s="172"/>
    </row>
    <row r="10448" spans="1:15" ht="25.5" x14ac:dyDescent="0.2">
      <c r="A10448" s="203" t="str">
        <f t="shared" si="163"/>
        <v>WleCode_subjectToInundation</v>
      </c>
      <c r="B10448" s="410"/>
      <c r="C10448" s="417"/>
      <c r="D10448" s="204" t="s">
        <v>54691</v>
      </c>
      <c r="E10448" s="204">
        <v>7</v>
      </c>
      <c r="F10448" s="205" t="s">
        <v>54692</v>
      </c>
      <c r="G10448" s="206" t="s">
        <v>54693</v>
      </c>
      <c r="H10448" s="207"/>
      <c r="I10448" s="347"/>
      <c r="J10448" s="39">
        <v>109569</v>
      </c>
      <c r="K10448" s="36" t="str">
        <f>CONCATENATE(Cover!$D$6,"fdd/view?i=",J10448)</f>
        <v>https://www.dgiwg.org/FAD/fdd/view?i=109569</v>
      </c>
      <c r="L10448" s="36" t="s">
        <v>54694</v>
      </c>
      <c r="M10448" s="186"/>
      <c r="N10448" s="186"/>
      <c r="O10448" s="172"/>
    </row>
    <row r="10449" spans="1:15" ht="25.5" x14ac:dyDescent="0.2">
      <c r="A10449" s="190" t="str">
        <f t="shared" si="163"/>
        <v>YwqCode_contaminated</v>
      </c>
      <c r="B10449" s="414" t="str">
        <f>HYPERLINK("[#]Datatypes!A1694:L1694","YwqCode")</f>
        <v>YwqCode</v>
      </c>
      <c r="C10449" s="415" t="s">
        <v>16327</v>
      </c>
      <c r="D10449" s="221" t="s">
        <v>54695</v>
      </c>
      <c r="E10449" s="221">
        <v>3</v>
      </c>
      <c r="F10449" s="222" t="s">
        <v>54696</v>
      </c>
      <c r="G10449" s="223" t="s">
        <v>54697</v>
      </c>
      <c r="H10449" s="223" t="s">
        <v>54698</v>
      </c>
      <c r="I10449" s="345"/>
      <c r="J10449" s="39">
        <v>109798</v>
      </c>
      <c r="K10449" s="36" t="str">
        <f>CONCATENATE(Cover!$D$6,"fdd/view?i=",J10449)</f>
        <v>https://www.dgiwg.org/FAD/fdd/view?i=109798</v>
      </c>
      <c r="L10449" s="36" t="s">
        <v>54699</v>
      </c>
      <c r="M10449" s="186"/>
      <c r="N10449" s="186"/>
      <c r="O10449" s="172"/>
    </row>
    <row r="10450" spans="1:15" x14ac:dyDescent="0.2">
      <c r="A10450" s="197" t="str">
        <f t="shared" si="163"/>
        <v>YwqCode_nonpotable</v>
      </c>
      <c r="B10450" s="409"/>
      <c r="C10450" s="416"/>
      <c r="D10450" s="198" t="s">
        <v>54700</v>
      </c>
      <c r="E10450" s="198">
        <v>4</v>
      </c>
      <c r="F10450" s="199" t="s">
        <v>54701</v>
      </c>
      <c r="G10450" s="1" t="s">
        <v>54702</v>
      </c>
      <c r="H10450" s="200"/>
      <c r="I10450" s="351" t="s">
        <v>54703</v>
      </c>
      <c r="J10450" s="39">
        <v>109799</v>
      </c>
      <c r="K10450" s="36" t="str">
        <f>CONCATENATE(Cover!$D$6,"fdd/view?i=",J10450)</f>
        <v>https://www.dgiwg.org/FAD/fdd/view?i=109799</v>
      </c>
      <c r="L10450" s="36" t="s">
        <v>54704</v>
      </c>
      <c r="M10450" s="186"/>
      <c r="N10450" s="186"/>
      <c r="O10450" s="172"/>
    </row>
    <row r="10451" spans="1:15" x14ac:dyDescent="0.2">
      <c r="A10451" s="197" t="str">
        <f t="shared" si="163"/>
        <v>YwqCode_potable</v>
      </c>
      <c r="B10451" s="409"/>
      <c r="C10451" s="416"/>
      <c r="D10451" s="198" t="s">
        <v>54705</v>
      </c>
      <c r="E10451" s="198">
        <v>1</v>
      </c>
      <c r="F10451" s="199" t="s">
        <v>54706</v>
      </c>
      <c r="G10451" s="1" t="s">
        <v>54707</v>
      </c>
      <c r="H10451" s="200"/>
      <c r="I10451" s="346"/>
      <c r="J10451" s="39">
        <v>109796</v>
      </c>
      <c r="K10451" s="36" t="str">
        <f>CONCATENATE(Cover!$D$6,"fdd/view?i=",J10451)</f>
        <v>https://www.dgiwg.org/FAD/fdd/view?i=109796</v>
      </c>
      <c r="L10451" s="36" t="s">
        <v>54708</v>
      </c>
      <c r="M10451" s="186"/>
      <c r="N10451" s="186"/>
      <c r="O10451" s="172"/>
    </row>
    <row r="10452" spans="1:15" ht="25.5" x14ac:dyDescent="0.2">
      <c r="A10452" s="203" t="str">
        <f t="shared" si="163"/>
        <v>YwqCode_treatable</v>
      </c>
      <c r="B10452" s="410"/>
      <c r="C10452" s="417"/>
      <c r="D10452" s="204" t="s">
        <v>54709</v>
      </c>
      <c r="E10452" s="204">
        <v>2</v>
      </c>
      <c r="F10452" s="205" t="s">
        <v>54710</v>
      </c>
      <c r="G10452" s="206" t="s">
        <v>54711</v>
      </c>
      <c r="H10452" s="206" t="s">
        <v>54712</v>
      </c>
      <c r="I10452" s="347"/>
      <c r="J10452" s="39">
        <v>109797</v>
      </c>
      <c r="K10452" s="36" t="str">
        <f>CONCATENATE(Cover!$D$6,"fdd/view?i=",J10452)</f>
        <v>https://www.dgiwg.org/FAD/fdd/view?i=109797</v>
      </c>
      <c r="L10452" s="36" t="s">
        <v>54713</v>
      </c>
      <c r="M10452" s="186"/>
      <c r="N10452" s="186"/>
      <c r="O10452" s="172"/>
    </row>
    <row r="10453" spans="1:15" ht="38.25" x14ac:dyDescent="0.2">
      <c r="A10453" s="190" t="str">
        <f t="shared" si="163"/>
        <v>WpaCode_classI</v>
      </c>
      <c r="B10453" s="414" t="str">
        <f>HYPERLINK("[#]Datatypes!A1696:L1696","WpaCode")</f>
        <v>WpaCode</v>
      </c>
      <c r="C10453" s="415" t="s">
        <v>16329</v>
      </c>
      <c r="D10453" s="221" t="s">
        <v>54714</v>
      </c>
      <c r="E10453" s="221">
        <v>1</v>
      </c>
      <c r="F10453" s="222" t="s">
        <v>54715</v>
      </c>
      <c r="G10453" s="223" t="s">
        <v>54716</v>
      </c>
      <c r="H10453" s="224"/>
      <c r="I10453" s="345"/>
      <c r="J10453" s="39">
        <v>114119</v>
      </c>
      <c r="K10453" s="36" t="str">
        <f>CONCATENATE(Cover!$D$6,"fdd/view?i=",J10453)</f>
        <v>https://www.dgiwg.org/FAD/fdd/view?i=114119</v>
      </c>
      <c r="L10453" s="36" t="s">
        <v>54717</v>
      </c>
      <c r="M10453" s="186"/>
      <c r="N10453" s="186"/>
      <c r="O10453" s="172"/>
    </row>
    <row r="10454" spans="1:15" ht="51" x14ac:dyDescent="0.2">
      <c r="A10454" s="197" t="str">
        <f t="shared" si="163"/>
        <v>WpaCode_classII</v>
      </c>
      <c r="B10454" s="409"/>
      <c r="C10454" s="416"/>
      <c r="D10454" s="198" t="s">
        <v>54718</v>
      </c>
      <c r="E10454" s="198">
        <v>2</v>
      </c>
      <c r="F10454" s="199" t="s">
        <v>54719</v>
      </c>
      <c r="G10454" s="1" t="s">
        <v>54720</v>
      </c>
      <c r="H10454" s="200"/>
      <c r="I10454" s="346"/>
      <c r="J10454" s="39">
        <v>114120</v>
      </c>
      <c r="K10454" s="36" t="str">
        <f>CONCATENATE(Cover!$D$6,"fdd/view?i=",J10454)</f>
        <v>https://www.dgiwg.org/FAD/fdd/view?i=114120</v>
      </c>
      <c r="L10454" s="36" t="s">
        <v>54721</v>
      </c>
      <c r="M10454" s="186"/>
      <c r="N10454" s="186"/>
      <c r="O10454" s="172"/>
    </row>
    <row r="10455" spans="1:15" ht="51" x14ac:dyDescent="0.2">
      <c r="A10455" s="197" t="str">
        <f t="shared" si="163"/>
        <v>WpaCode_classIII</v>
      </c>
      <c r="B10455" s="409"/>
      <c r="C10455" s="416"/>
      <c r="D10455" s="198" t="s">
        <v>54722</v>
      </c>
      <c r="E10455" s="198">
        <v>3</v>
      </c>
      <c r="F10455" s="199" t="s">
        <v>54723</v>
      </c>
      <c r="G10455" s="1" t="s">
        <v>54724</v>
      </c>
      <c r="H10455" s="200"/>
      <c r="I10455" s="346"/>
      <c r="J10455" s="39">
        <v>114121</v>
      </c>
      <c r="K10455" s="36" t="str">
        <f>CONCATENATE(Cover!$D$6,"fdd/view?i=",J10455)</f>
        <v>https://www.dgiwg.org/FAD/fdd/view?i=114121</v>
      </c>
      <c r="L10455" s="36" t="s">
        <v>54725</v>
      </c>
      <c r="M10455" s="186"/>
      <c r="N10455" s="186"/>
      <c r="O10455" s="172"/>
    </row>
    <row r="10456" spans="1:15" ht="38.25" x14ac:dyDescent="0.2">
      <c r="A10456" s="197" t="str">
        <f t="shared" si="163"/>
        <v>WpaCode_classIIIA</v>
      </c>
      <c r="B10456" s="409"/>
      <c r="C10456" s="416"/>
      <c r="D10456" s="198" t="s">
        <v>54726</v>
      </c>
      <c r="E10456" s="198">
        <v>4</v>
      </c>
      <c r="F10456" s="199" t="s">
        <v>54727</v>
      </c>
      <c r="G10456" s="1" t="s">
        <v>54728</v>
      </c>
      <c r="H10456" s="200"/>
      <c r="I10456" s="346"/>
      <c r="J10456" s="39">
        <v>114122</v>
      </c>
      <c r="K10456" s="36" t="str">
        <f>CONCATENATE(Cover!$D$6,"fdd/view?i=",J10456)</f>
        <v>https://www.dgiwg.org/FAD/fdd/view?i=114122</v>
      </c>
      <c r="L10456" s="36" t="s">
        <v>54729</v>
      </c>
      <c r="M10456" s="186"/>
      <c r="N10456" s="186"/>
      <c r="O10456" s="172"/>
    </row>
    <row r="10457" spans="1:15" ht="25.5" x14ac:dyDescent="0.2">
      <c r="A10457" s="203" t="str">
        <f t="shared" si="163"/>
        <v>WpaCode_classIIIB</v>
      </c>
      <c r="B10457" s="410"/>
      <c r="C10457" s="417"/>
      <c r="D10457" s="204" t="s">
        <v>54730</v>
      </c>
      <c r="E10457" s="204">
        <v>5</v>
      </c>
      <c r="F10457" s="205" t="s">
        <v>54731</v>
      </c>
      <c r="G10457" s="206" t="s">
        <v>54732</v>
      </c>
      <c r="H10457" s="207"/>
      <c r="I10457" s="347"/>
      <c r="J10457" s="39">
        <v>114123</v>
      </c>
      <c r="K10457" s="36" t="str">
        <f>CONCATENATE(Cover!$D$6,"fdd/view?i=",J10457)</f>
        <v>https://www.dgiwg.org/FAD/fdd/view?i=114123</v>
      </c>
      <c r="L10457" s="36" t="s">
        <v>54733</v>
      </c>
      <c r="M10457" s="186"/>
      <c r="N10457" s="186"/>
      <c r="O10457" s="172"/>
    </row>
    <row r="10458" spans="1:15" ht="51" x14ac:dyDescent="0.2">
      <c r="A10458" s="190" t="str">
        <f t="shared" si="163"/>
        <v>WrtCode_flume</v>
      </c>
      <c r="B10458" s="414" t="str">
        <f>HYPERLINK("[#]Datatypes!A1698:L1698","WrtCode")</f>
        <v>WrtCode</v>
      </c>
      <c r="C10458" s="415" t="s">
        <v>16331</v>
      </c>
      <c r="D10458" s="221" t="s">
        <v>54734</v>
      </c>
      <c r="E10458" s="221">
        <v>2</v>
      </c>
      <c r="F10458" s="222" t="s">
        <v>3188</v>
      </c>
      <c r="G10458" s="223" t="s">
        <v>54735</v>
      </c>
      <c r="H10458" s="223" t="s">
        <v>54736</v>
      </c>
      <c r="I10458" s="345"/>
      <c r="J10458" s="39">
        <v>117977</v>
      </c>
      <c r="K10458" s="36" t="str">
        <f>CONCATENATE(Cover!$D$6,"fdd/view?i=",J10458)</f>
        <v>https://www.dgiwg.org/FAD/fdd/view?i=117977</v>
      </c>
      <c r="L10458" s="36" t="s">
        <v>54737</v>
      </c>
      <c r="M10458" s="186"/>
      <c r="N10458" s="186"/>
      <c r="O10458" s="172"/>
    </row>
    <row r="10459" spans="1:15" ht="25.5" x14ac:dyDescent="0.2">
      <c r="A10459" s="197" t="str">
        <f t="shared" si="163"/>
        <v>WrtCode_headrace</v>
      </c>
      <c r="B10459" s="409"/>
      <c r="C10459" s="416"/>
      <c r="D10459" s="198" t="s">
        <v>54738</v>
      </c>
      <c r="E10459" s="198">
        <v>3</v>
      </c>
      <c r="F10459" s="199" t="s">
        <v>54739</v>
      </c>
      <c r="G10459" s="1" t="s">
        <v>54740</v>
      </c>
      <c r="H10459" s="200"/>
      <c r="I10459" s="346"/>
      <c r="J10459" s="39">
        <v>117978</v>
      </c>
      <c r="K10459" s="36" t="str">
        <f>CONCATENATE(Cover!$D$6,"fdd/view?i=",J10459)</f>
        <v>https://www.dgiwg.org/FAD/fdd/view?i=117978</v>
      </c>
      <c r="L10459" s="36" t="s">
        <v>54741</v>
      </c>
      <c r="M10459" s="186"/>
      <c r="N10459" s="186"/>
      <c r="O10459" s="172"/>
    </row>
    <row r="10460" spans="1:15" ht="38.25" x14ac:dyDescent="0.2">
      <c r="A10460" s="197" t="str">
        <f t="shared" si="163"/>
        <v>WrtCode_sluice</v>
      </c>
      <c r="B10460" s="409"/>
      <c r="C10460" s="416"/>
      <c r="D10460" s="198" t="s">
        <v>54742</v>
      </c>
      <c r="E10460" s="198">
        <v>1</v>
      </c>
      <c r="F10460" s="199" t="s">
        <v>5095</v>
      </c>
      <c r="G10460" s="1" t="s">
        <v>54743</v>
      </c>
      <c r="H10460" s="1" t="s">
        <v>54744</v>
      </c>
      <c r="I10460" s="346"/>
      <c r="J10460" s="39">
        <v>117976</v>
      </c>
      <c r="K10460" s="36" t="str">
        <f>CONCATENATE(Cover!$D$6,"fdd/view?i=",J10460)</f>
        <v>https://www.dgiwg.org/FAD/fdd/view?i=117976</v>
      </c>
      <c r="L10460" s="36" t="s">
        <v>54745</v>
      </c>
      <c r="M10460" s="186"/>
      <c r="N10460" s="186"/>
      <c r="O10460" s="172"/>
    </row>
    <row r="10461" spans="1:15" ht="25.5" x14ac:dyDescent="0.2">
      <c r="A10461" s="203" t="str">
        <f t="shared" si="163"/>
        <v>WrtCode_tailrace</v>
      </c>
      <c r="B10461" s="410"/>
      <c r="C10461" s="417"/>
      <c r="D10461" s="204" t="s">
        <v>54746</v>
      </c>
      <c r="E10461" s="204">
        <v>4</v>
      </c>
      <c r="F10461" s="205" t="s">
        <v>54747</v>
      </c>
      <c r="G10461" s="206" t="s">
        <v>54748</v>
      </c>
      <c r="H10461" s="207"/>
      <c r="I10461" s="347"/>
      <c r="J10461" s="39">
        <v>117979</v>
      </c>
      <c r="K10461" s="36" t="str">
        <f>CONCATENATE(Cover!$D$6,"fdd/view?i=",J10461)</f>
        <v>https://www.dgiwg.org/FAD/fdd/view?i=117979</v>
      </c>
      <c r="L10461" s="36" t="s">
        <v>54749</v>
      </c>
      <c r="M10461" s="186"/>
      <c r="N10461" s="186"/>
      <c r="O10461" s="172"/>
    </row>
    <row r="10462" spans="1:15" ht="25.5" x14ac:dyDescent="0.2">
      <c r="A10462" s="190" t="str">
        <f t="shared" si="163"/>
        <v>WusCode_inducedAquiferRecharge</v>
      </c>
      <c r="B10462" s="414" t="str">
        <f>HYPERLINK("[#]Datatypes!A1700:L1700","WusCode")</f>
        <v>WusCode</v>
      </c>
      <c r="C10462" s="415" t="s">
        <v>16333</v>
      </c>
      <c r="D10462" s="221" t="s">
        <v>54750</v>
      </c>
      <c r="E10462" s="221">
        <v>3</v>
      </c>
      <c r="F10462" s="222" t="s">
        <v>54751</v>
      </c>
      <c r="G10462" s="223" t="s">
        <v>54752</v>
      </c>
      <c r="H10462" s="224"/>
      <c r="I10462" s="345"/>
      <c r="J10462" s="39">
        <v>114140</v>
      </c>
      <c r="K10462" s="36" t="str">
        <f>CONCATENATE(Cover!$D$6,"fdd/view?i=",J10462)</f>
        <v>https://www.dgiwg.org/FAD/fdd/view?i=114140</v>
      </c>
      <c r="L10462" s="36" t="s">
        <v>54753</v>
      </c>
      <c r="M10462" s="186"/>
      <c r="N10462" s="186"/>
      <c r="O10462" s="172"/>
    </row>
    <row r="10463" spans="1:15" ht="25.5" x14ac:dyDescent="0.2">
      <c r="A10463" s="197" t="str">
        <f t="shared" si="163"/>
        <v>WusCode_publicWaterSupply</v>
      </c>
      <c r="B10463" s="409"/>
      <c r="C10463" s="416"/>
      <c r="D10463" s="198" t="s">
        <v>54754</v>
      </c>
      <c r="E10463" s="198">
        <v>1</v>
      </c>
      <c r="F10463" s="199" t="s">
        <v>54755</v>
      </c>
      <c r="G10463" s="1" t="s">
        <v>54756</v>
      </c>
      <c r="H10463" s="200"/>
      <c r="I10463" s="346"/>
      <c r="J10463" s="39">
        <v>114138</v>
      </c>
      <c r="K10463" s="36" t="str">
        <f>CONCATENATE(Cover!$D$6,"fdd/view?i=",J10463)</f>
        <v>https://www.dgiwg.org/FAD/fdd/view?i=114138</v>
      </c>
      <c r="L10463" s="36" t="s">
        <v>54757</v>
      </c>
      <c r="M10463" s="186"/>
      <c r="N10463" s="186"/>
      <c r="O10463" s="172"/>
    </row>
    <row r="10464" spans="1:15" ht="25.5" x14ac:dyDescent="0.2">
      <c r="A10464" s="197" t="str">
        <f t="shared" si="163"/>
        <v>WusCode_spaProtectionArea</v>
      </c>
      <c r="B10464" s="409"/>
      <c r="C10464" s="416"/>
      <c r="D10464" s="198" t="s">
        <v>54758</v>
      </c>
      <c r="E10464" s="198">
        <v>4</v>
      </c>
      <c r="F10464" s="199" t="s">
        <v>54759</v>
      </c>
      <c r="G10464" s="1" t="s">
        <v>54760</v>
      </c>
      <c r="H10464" s="200"/>
      <c r="I10464" s="346"/>
      <c r="J10464" s="39">
        <v>114141</v>
      </c>
      <c r="K10464" s="36" t="str">
        <f>CONCATENATE(Cover!$D$6,"fdd/view?i=",J10464)</f>
        <v>https://www.dgiwg.org/FAD/fdd/view?i=114141</v>
      </c>
      <c r="L10464" s="36" t="s">
        <v>54761</v>
      </c>
      <c r="M10464" s="186"/>
      <c r="N10464" s="186"/>
      <c r="O10464" s="172"/>
    </row>
    <row r="10465" spans="1:15" ht="25.5" x14ac:dyDescent="0.2">
      <c r="A10465" s="197" t="str">
        <f t="shared" si="163"/>
        <v>WusCode_waterCatchmentArea</v>
      </c>
      <c r="B10465" s="409"/>
      <c r="C10465" s="416"/>
      <c r="D10465" s="198" t="s">
        <v>54762</v>
      </c>
      <c r="E10465" s="198">
        <v>2</v>
      </c>
      <c r="F10465" s="199" t="s">
        <v>54763</v>
      </c>
      <c r="G10465" s="1" t="s">
        <v>54764</v>
      </c>
      <c r="H10465" s="200"/>
      <c r="I10465" s="346"/>
      <c r="J10465" s="39">
        <v>114139</v>
      </c>
      <c r="K10465" s="36" t="str">
        <f>CONCATENATE(Cover!$D$6,"fdd/view?i=",J10465)</f>
        <v>https://www.dgiwg.org/FAD/fdd/view?i=114139</v>
      </c>
      <c r="L10465" s="36" t="s">
        <v>54765</v>
      </c>
      <c r="M10465" s="186"/>
      <c r="N10465" s="186"/>
      <c r="O10465" s="172"/>
    </row>
    <row r="10466" spans="1:15" ht="25.5" x14ac:dyDescent="0.2">
      <c r="A10466" s="203" t="str">
        <f t="shared" si="163"/>
        <v>WusCode_waterProtectionArea</v>
      </c>
      <c r="B10466" s="410"/>
      <c r="C10466" s="417"/>
      <c r="D10466" s="204" t="s">
        <v>54766</v>
      </c>
      <c r="E10466" s="204">
        <v>5</v>
      </c>
      <c r="F10466" s="205" t="s">
        <v>54767</v>
      </c>
      <c r="G10466" s="206" t="s">
        <v>54768</v>
      </c>
      <c r="H10466" s="207"/>
      <c r="I10466" s="347"/>
      <c r="J10466" s="39">
        <v>114142</v>
      </c>
      <c r="K10466" s="36" t="str">
        <f>CONCATENATE(Cover!$D$6,"fdd/view?i=",J10466)</f>
        <v>https://www.dgiwg.org/FAD/fdd/view?i=114142</v>
      </c>
      <c r="L10466" s="36" t="s">
        <v>54769</v>
      </c>
      <c r="M10466" s="186"/>
      <c r="N10466" s="186"/>
      <c r="O10466" s="172"/>
    </row>
    <row r="10467" spans="1:15" ht="51" x14ac:dyDescent="0.2">
      <c r="A10467" s="190" t="str">
        <f t="shared" si="163"/>
        <v>WttCode_breakers</v>
      </c>
      <c r="B10467" s="414" t="str">
        <f>HYPERLINK("[#]Datatypes!A1702:L1702","WttCode")</f>
        <v>WttCode</v>
      </c>
      <c r="C10467" s="415" t="s">
        <v>16335</v>
      </c>
      <c r="D10467" s="221" t="s">
        <v>54770</v>
      </c>
      <c r="E10467" s="221">
        <v>8</v>
      </c>
      <c r="F10467" s="222" t="s">
        <v>2326</v>
      </c>
      <c r="G10467" s="223" t="s">
        <v>54771</v>
      </c>
      <c r="H10467" s="223" t="s">
        <v>54772</v>
      </c>
      <c r="I10467" s="345"/>
      <c r="J10467" s="39">
        <v>112731</v>
      </c>
      <c r="K10467" s="36" t="str">
        <f>CONCATENATE(Cover!$D$6,"fdd/view?i=",J10467)</f>
        <v>https://www.dgiwg.org/FAD/fdd/view?i=112731</v>
      </c>
      <c r="L10467" s="36" t="s">
        <v>54773</v>
      </c>
      <c r="M10467" s="186"/>
      <c r="N10467" s="186"/>
      <c r="O10467" s="172"/>
    </row>
    <row r="10468" spans="1:15" ht="38.25" x14ac:dyDescent="0.2">
      <c r="A10468" s="197" t="str">
        <f t="shared" si="163"/>
        <v>WttCode_confusedSeas</v>
      </c>
      <c r="B10468" s="409"/>
      <c r="C10468" s="416"/>
      <c r="D10468" s="198" t="s">
        <v>54774</v>
      </c>
      <c r="E10468" s="198">
        <v>9</v>
      </c>
      <c r="F10468" s="199" t="s">
        <v>54775</v>
      </c>
      <c r="G10468" s="1" t="s">
        <v>54776</v>
      </c>
      <c r="H10468" s="1" t="s">
        <v>54777</v>
      </c>
      <c r="I10468" s="346"/>
      <c r="J10468" s="39">
        <v>112847</v>
      </c>
      <c r="K10468" s="36" t="str">
        <f>CONCATENATE(Cover!$D$6,"fdd/view?i=",J10468)</f>
        <v>https://www.dgiwg.org/FAD/fdd/view?i=112847</v>
      </c>
      <c r="L10468" s="36" t="s">
        <v>54778</v>
      </c>
      <c r="M10468" s="186"/>
      <c r="N10468" s="186"/>
      <c r="O10468" s="172"/>
    </row>
    <row r="10469" spans="1:15" ht="38.25" x14ac:dyDescent="0.2">
      <c r="A10469" s="197" t="str">
        <f t="shared" si="163"/>
        <v>WttCode_eddies</v>
      </c>
      <c r="B10469" s="409"/>
      <c r="C10469" s="416"/>
      <c r="D10469" s="198" t="s">
        <v>54779</v>
      </c>
      <c r="E10469" s="198">
        <v>4</v>
      </c>
      <c r="F10469" s="199" t="s">
        <v>2929</v>
      </c>
      <c r="G10469" s="1" t="s">
        <v>2931</v>
      </c>
      <c r="H10469" s="200"/>
      <c r="I10469" s="346"/>
      <c r="J10469" s="39">
        <v>109894</v>
      </c>
      <c r="K10469" s="36" t="str">
        <f>CONCATENATE(Cover!$D$6,"fdd/view?i=",J10469)</f>
        <v>https://www.dgiwg.org/FAD/fdd/view?i=109894</v>
      </c>
      <c r="L10469" s="36" t="s">
        <v>54780</v>
      </c>
      <c r="M10469" s="186"/>
      <c r="N10469" s="186"/>
      <c r="O10469" s="172"/>
    </row>
    <row r="10470" spans="1:15" ht="38.25" x14ac:dyDescent="0.2">
      <c r="A10470" s="197" t="str">
        <f t="shared" si="163"/>
        <v>WttCode_overfalls</v>
      </c>
      <c r="B10470" s="409"/>
      <c r="C10470" s="416"/>
      <c r="D10470" s="198" t="s">
        <v>54781</v>
      </c>
      <c r="E10470" s="198">
        <v>5</v>
      </c>
      <c r="F10470" s="199" t="s">
        <v>54782</v>
      </c>
      <c r="G10470" s="1" t="s">
        <v>54783</v>
      </c>
      <c r="H10470" s="200"/>
      <c r="I10470" s="346"/>
      <c r="J10470" s="39">
        <v>109895</v>
      </c>
      <c r="K10470" s="36" t="str">
        <f>CONCATENATE(Cover!$D$6,"fdd/view?i=",J10470)</f>
        <v>https://www.dgiwg.org/FAD/fdd/view?i=109895</v>
      </c>
      <c r="L10470" s="36" t="s">
        <v>54784</v>
      </c>
      <c r="M10470" s="186"/>
      <c r="N10470" s="186"/>
      <c r="O10470" s="172"/>
    </row>
    <row r="10471" spans="1:15" ht="25.5" x14ac:dyDescent="0.2">
      <c r="A10471" s="197" t="str">
        <f t="shared" si="163"/>
        <v>WttCode_plungingBreakers</v>
      </c>
      <c r="B10471" s="409"/>
      <c r="C10471" s="416"/>
      <c r="D10471" s="198" t="s">
        <v>54785</v>
      </c>
      <c r="E10471" s="198">
        <v>2</v>
      </c>
      <c r="F10471" s="199" t="s">
        <v>54786</v>
      </c>
      <c r="G10471" s="1" t="s">
        <v>54787</v>
      </c>
      <c r="H10471" s="200"/>
      <c r="I10471" s="346"/>
      <c r="J10471" s="39">
        <v>109892</v>
      </c>
      <c r="K10471" s="36" t="str">
        <f>CONCATENATE(Cover!$D$6,"fdd/view?i=",J10471)</f>
        <v>https://www.dgiwg.org/FAD/fdd/view?i=109892</v>
      </c>
      <c r="L10471" s="36" t="s">
        <v>54788</v>
      </c>
      <c r="M10471" s="186"/>
      <c r="N10471" s="186"/>
      <c r="O10471" s="172"/>
    </row>
    <row r="10472" spans="1:15" ht="25.5" x14ac:dyDescent="0.2">
      <c r="A10472" s="197" t="str">
        <f t="shared" si="163"/>
        <v>WttCode_spillingBreakers</v>
      </c>
      <c r="B10472" s="409"/>
      <c r="C10472" s="416"/>
      <c r="D10472" s="198" t="s">
        <v>54789</v>
      </c>
      <c r="E10472" s="198">
        <v>1</v>
      </c>
      <c r="F10472" s="199" t="s">
        <v>54790</v>
      </c>
      <c r="G10472" s="1" t="s">
        <v>54791</v>
      </c>
      <c r="H10472" s="200"/>
      <c r="I10472" s="346"/>
      <c r="J10472" s="39">
        <v>109891</v>
      </c>
      <c r="K10472" s="36" t="str">
        <f>CONCATENATE(Cover!$D$6,"fdd/view?i=",J10472)</f>
        <v>https://www.dgiwg.org/FAD/fdd/view?i=109891</v>
      </c>
      <c r="L10472" s="36" t="s">
        <v>54792</v>
      </c>
      <c r="M10472" s="186"/>
      <c r="N10472" s="186"/>
      <c r="O10472" s="172"/>
    </row>
    <row r="10473" spans="1:15" ht="25.5" x14ac:dyDescent="0.2">
      <c r="A10473" s="197" t="str">
        <f t="shared" si="163"/>
        <v>WttCode_surgingBreakers</v>
      </c>
      <c r="B10473" s="409"/>
      <c r="C10473" s="416"/>
      <c r="D10473" s="198" t="s">
        <v>54793</v>
      </c>
      <c r="E10473" s="198">
        <v>3</v>
      </c>
      <c r="F10473" s="199" t="s">
        <v>54794</v>
      </c>
      <c r="G10473" s="1" t="s">
        <v>54795</v>
      </c>
      <c r="H10473" s="200"/>
      <c r="I10473" s="346"/>
      <c r="J10473" s="39">
        <v>109893</v>
      </c>
      <c r="K10473" s="36" t="str">
        <f>CONCATENATE(Cover!$D$6,"fdd/view?i=",J10473)</f>
        <v>https://www.dgiwg.org/FAD/fdd/view?i=109893</v>
      </c>
      <c r="L10473" s="36" t="s">
        <v>54796</v>
      </c>
      <c r="M10473" s="186"/>
      <c r="N10473" s="186"/>
      <c r="O10473" s="172"/>
    </row>
    <row r="10474" spans="1:15" ht="25.5" x14ac:dyDescent="0.2">
      <c r="A10474" s="197" t="str">
        <f t="shared" si="163"/>
        <v>WttCode_tideRips</v>
      </c>
      <c r="B10474" s="409"/>
      <c r="C10474" s="416"/>
      <c r="D10474" s="198" t="s">
        <v>54797</v>
      </c>
      <c r="E10474" s="198">
        <v>6</v>
      </c>
      <c r="F10474" s="199" t="s">
        <v>54798</v>
      </c>
      <c r="G10474" s="1" t="s">
        <v>54799</v>
      </c>
      <c r="H10474" s="200"/>
      <c r="I10474" s="346"/>
      <c r="J10474" s="39">
        <v>109896</v>
      </c>
      <c r="K10474" s="36" t="str">
        <f>CONCATENATE(Cover!$D$6,"fdd/view?i=",J10474)</f>
        <v>https://www.dgiwg.org/FAD/fdd/view?i=109896</v>
      </c>
      <c r="L10474" s="36" t="s">
        <v>54800</v>
      </c>
      <c r="M10474" s="186"/>
      <c r="N10474" s="186"/>
      <c r="O10474" s="172"/>
    </row>
    <row r="10475" spans="1:15" ht="25.5" x14ac:dyDescent="0.2">
      <c r="A10475" s="203" t="str">
        <f t="shared" si="163"/>
        <v>WttCode_whirlpool</v>
      </c>
      <c r="B10475" s="410"/>
      <c r="C10475" s="417"/>
      <c r="D10475" s="204" t="s">
        <v>54801</v>
      </c>
      <c r="E10475" s="204">
        <v>7</v>
      </c>
      <c r="F10475" s="205" t="s">
        <v>54802</v>
      </c>
      <c r="G10475" s="206" t="s">
        <v>54803</v>
      </c>
      <c r="H10475" s="206" t="s">
        <v>54804</v>
      </c>
      <c r="I10475" s="347"/>
      <c r="J10475" s="39">
        <v>112725</v>
      </c>
      <c r="K10475" s="36" t="str">
        <f>CONCATENATE(Cover!$D$6,"fdd/view?i=",J10475)</f>
        <v>https://www.dgiwg.org/FAD/fdd/view?i=112725</v>
      </c>
      <c r="L10475" s="36" t="s">
        <v>54805</v>
      </c>
      <c r="M10475" s="186"/>
      <c r="N10475" s="186"/>
      <c r="O10475" s="172"/>
    </row>
    <row r="10476" spans="1:15" x14ac:dyDescent="0.2">
      <c r="A10476" s="190" t="str">
        <f t="shared" si="163"/>
        <v>SccCode_alkaline</v>
      </c>
      <c r="B10476" s="414" t="str">
        <f>HYPERLINK("[#]Datatypes!A1704:L1704","SccCode")</f>
        <v>SccCode</v>
      </c>
      <c r="C10476" s="415" t="s">
        <v>16337</v>
      </c>
      <c r="D10476" s="221" t="s">
        <v>54806</v>
      </c>
      <c r="E10476" s="221">
        <v>1</v>
      </c>
      <c r="F10476" s="222" t="s">
        <v>54807</v>
      </c>
      <c r="G10476" s="223" t="s">
        <v>54808</v>
      </c>
      <c r="H10476" s="224"/>
      <c r="I10476" s="345"/>
      <c r="J10476" s="39">
        <v>107446</v>
      </c>
      <c r="K10476" s="36" t="str">
        <f>CONCATENATE(Cover!$D$6,"fdd/view?i=",J10476)</f>
        <v>https://www.dgiwg.org/FAD/fdd/view?i=107446</v>
      </c>
      <c r="L10476" s="36" t="s">
        <v>54809</v>
      </c>
      <c r="M10476" s="186"/>
      <c r="N10476" s="186"/>
      <c r="O10476" s="172"/>
    </row>
    <row r="10477" spans="1:15" ht="38.25" x14ac:dyDescent="0.2">
      <c r="A10477" s="197" t="str">
        <f t="shared" si="163"/>
        <v>SccCode_brackish</v>
      </c>
      <c r="B10477" s="409"/>
      <c r="C10477" s="416"/>
      <c r="D10477" s="198" t="s">
        <v>54810</v>
      </c>
      <c r="E10477" s="198">
        <v>12</v>
      </c>
      <c r="F10477" s="199" t="s">
        <v>54811</v>
      </c>
      <c r="G10477" s="1" t="s">
        <v>54812</v>
      </c>
      <c r="H10477" s="1" t="s">
        <v>54813</v>
      </c>
      <c r="I10477" s="346"/>
      <c r="J10477" s="39">
        <v>110404</v>
      </c>
      <c r="K10477" s="36" t="str">
        <f>CONCATENATE(Cover!$D$6,"fdd/view?i=",J10477)</f>
        <v>https://www.dgiwg.org/FAD/fdd/view?i=110404</v>
      </c>
      <c r="L10477" s="36" t="s">
        <v>54814</v>
      </c>
      <c r="M10477" s="186"/>
      <c r="N10477" s="186"/>
      <c r="O10477" s="172"/>
    </row>
    <row r="10478" spans="1:15" ht="25.5" x14ac:dyDescent="0.2">
      <c r="A10478" s="197" t="str">
        <f t="shared" si="163"/>
        <v>SccCode_brine</v>
      </c>
      <c r="B10478" s="409"/>
      <c r="C10478" s="416"/>
      <c r="D10478" s="198" t="s">
        <v>43316</v>
      </c>
      <c r="E10478" s="198">
        <v>14</v>
      </c>
      <c r="F10478" s="199" t="s">
        <v>43317</v>
      </c>
      <c r="G10478" s="1" t="s">
        <v>54815</v>
      </c>
      <c r="H10478" s="1" t="s">
        <v>54816</v>
      </c>
      <c r="I10478" s="346"/>
      <c r="J10478" s="39">
        <v>112796</v>
      </c>
      <c r="K10478" s="36" t="str">
        <f>CONCATENATE(Cover!$D$6,"fdd/view?i=",J10478)</f>
        <v>https://www.dgiwg.org/FAD/fdd/view?i=112796</v>
      </c>
      <c r="L10478" s="36" t="s">
        <v>54817</v>
      </c>
      <c r="M10478" s="186"/>
      <c r="N10478" s="186"/>
      <c r="O10478" s="172"/>
    </row>
    <row r="10479" spans="1:15" ht="38.25" x14ac:dyDescent="0.2">
      <c r="A10479" s="197" t="str">
        <f t="shared" si="163"/>
        <v>SccCode_fresh</v>
      </c>
      <c r="B10479" s="409"/>
      <c r="C10479" s="416"/>
      <c r="D10479" s="198" t="s">
        <v>54818</v>
      </c>
      <c r="E10479" s="198">
        <v>11</v>
      </c>
      <c r="F10479" s="199" t="s">
        <v>54819</v>
      </c>
      <c r="G10479" s="1" t="s">
        <v>54820</v>
      </c>
      <c r="H10479" s="1" t="s">
        <v>54821</v>
      </c>
      <c r="I10479" s="346"/>
      <c r="J10479" s="39">
        <v>107454</v>
      </c>
      <c r="K10479" s="36" t="str">
        <f>CONCATENATE(Cover!$D$6,"fdd/view?i=",J10479)</f>
        <v>https://www.dgiwg.org/FAD/fdd/view?i=107454</v>
      </c>
      <c r="L10479" s="36" t="s">
        <v>54822</v>
      </c>
      <c r="M10479" s="186"/>
      <c r="N10479" s="186"/>
      <c r="O10479" s="172"/>
    </row>
    <row r="10480" spans="1:15" ht="38.25" x14ac:dyDescent="0.2">
      <c r="A10480" s="197" t="str">
        <f t="shared" si="163"/>
        <v>SccCode_mineral</v>
      </c>
      <c r="B10480" s="409"/>
      <c r="C10480" s="416"/>
      <c r="D10480" s="198" t="s">
        <v>54823</v>
      </c>
      <c r="E10480" s="198">
        <v>4</v>
      </c>
      <c r="F10480" s="199" t="s">
        <v>52944</v>
      </c>
      <c r="G10480" s="1" t="s">
        <v>54824</v>
      </c>
      <c r="H10480" s="200"/>
      <c r="I10480" s="346"/>
      <c r="J10480" s="39">
        <v>107449</v>
      </c>
      <c r="K10480" s="36" t="str">
        <f>CONCATENATE(Cover!$D$6,"fdd/view?i=",J10480)</f>
        <v>https://www.dgiwg.org/FAD/fdd/view?i=107449</v>
      </c>
      <c r="L10480" s="36" t="s">
        <v>54825</v>
      </c>
      <c r="M10480" s="186"/>
      <c r="N10480" s="186"/>
      <c r="O10480" s="172"/>
    </row>
    <row r="10481" spans="1:15" ht="25.5" x14ac:dyDescent="0.2">
      <c r="A10481" s="197" t="str">
        <f t="shared" si="163"/>
        <v>SccCode_saline</v>
      </c>
      <c r="B10481" s="409"/>
      <c r="C10481" s="416"/>
      <c r="D10481" s="198" t="s">
        <v>54826</v>
      </c>
      <c r="E10481" s="198">
        <v>10</v>
      </c>
      <c r="F10481" s="199" t="s">
        <v>54827</v>
      </c>
      <c r="G10481" s="1" t="s">
        <v>54828</v>
      </c>
      <c r="H10481" s="200"/>
      <c r="I10481" s="346"/>
      <c r="J10481" s="39">
        <v>107453</v>
      </c>
      <c r="K10481" s="36" t="str">
        <f>CONCATENATE(Cover!$D$6,"fdd/view?i=",J10481)</f>
        <v>https://www.dgiwg.org/FAD/fdd/view?i=107453</v>
      </c>
      <c r="L10481" s="36" t="s">
        <v>54829</v>
      </c>
      <c r="M10481" s="186"/>
      <c r="N10481" s="186"/>
      <c r="O10481" s="172"/>
    </row>
    <row r="10482" spans="1:15" ht="25.5" x14ac:dyDescent="0.2">
      <c r="A10482" s="203" t="str">
        <f t="shared" si="163"/>
        <v>SccCode_seawater</v>
      </c>
      <c r="B10482" s="410"/>
      <c r="C10482" s="417"/>
      <c r="D10482" s="204" t="s">
        <v>54830</v>
      </c>
      <c r="E10482" s="204">
        <v>13</v>
      </c>
      <c r="F10482" s="205" t="s">
        <v>54831</v>
      </c>
      <c r="G10482" s="206" t="s">
        <v>54832</v>
      </c>
      <c r="H10482" s="207"/>
      <c r="I10482" s="347"/>
      <c r="J10482" s="39">
        <v>110405</v>
      </c>
      <c r="K10482" s="36" t="str">
        <f>CONCATENATE(Cover!$D$6,"fdd/view?i=",J10482)</f>
        <v>https://www.dgiwg.org/FAD/fdd/view?i=110405</v>
      </c>
      <c r="L10482" s="36" t="s">
        <v>54833</v>
      </c>
      <c r="M10482" s="186"/>
      <c r="N10482" s="186"/>
      <c r="O10482" s="172"/>
    </row>
    <row r="10483" spans="1:15" ht="25.5" x14ac:dyDescent="0.2">
      <c r="A10483" s="190" t="str">
        <f t="shared" si="163"/>
        <v>WurCode_agriculturalIrrigation</v>
      </c>
      <c r="B10483" s="414" t="str">
        <f>HYPERLINK("[#]Datatypes!A1706:L1706","WurCode")</f>
        <v>WurCode</v>
      </c>
      <c r="C10483" s="415" t="s">
        <v>16339</v>
      </c>
      <c r="D10483" s="221" t="s">
        <v>54834</v>
      </c>
      <c r="E10483" s="221">
        <v>1</v>
      </c>
      <c r="F10483" s="222" t="s">
        <v>54835</v>
      </c>
      <c r="G10483" s="223" t="s">
        <v>54836</v>
      </c>
      <c r="H10483" s="224"/>
      <c r="I10483" s="345"/>
      <c r="J10483" s="39">
        <v>119414</v>
      </c>
      <c r="K10483" s="36" t="str">
        <f>CONCATENATE(Cover!$D$6,"fdd/view?i=",J10483)</f>
        <v>https://www.dgiwg.org/FAD/fdd/view?i=119414</v>
      </c>
      <c r="L10483" s="36" t="s">
        <v>54837</v>
      </c>
      <c r="M10483" s="186"/>
      <c r="N10483" s="186"/>
      <c r="O10483" s="172"/>
    </row>
    <row r="10484" spans="1:15" ht="25.5" x14ac:dyDescent="0.2">
      <c r="A10484" s="197" t="str">
        <f t="shared" si="163"/>
        <v>WurCode_commercial</v>
      </c>
      <c r="B10484" s="409"/>
      <c r="C10484" s="416"/>
      <c r="D10484" s="198" t="s">
        <v>28919</v>
      </c>
      <c r="E10484" s="198">
        <v>2</v>
      </c>
      <c r="F10484" s="199" t="s">
        <v>28920</v>
      </c>
      <c r="G10484" s="1" t="s">
        <v>54838</v>
      </c>
      <c r="H10484" s="1" t="s">
        <v>54839</v>
      </c>
      <c r="I10484" s="346"/>
      <c r="J10484" s="39">
        <v>119415</v>
      </c>
      <c r="K10484" s="36" t="str">
        <f>CONCATENATE(Cover!$D$6,"fdd/view?i=",J10484)</f>
        <v>https://www.dgiwg.org/FAD/fdd/view?i=119415</v>
      </c>
      <c r="L10484" s="36" t="s">
        <v>54840</v>
      </c>
      <c r="M10484" s="186"/>
      <c r="N10484" s="186"/>
      <c r="O10484" s="172"/>
    </row>
    <row r="10485" spans="1:15" ht="25.5" x14ac:dyDescent="0.2">
      <c r="A10485" s="197" t="str">
        <f t="shared" si="163"/>
        <v>WurCode_domesticIrrigation</v>
      </c>
      <c r="B10485" s="409"/>
      <c r="C10485" s="416"/>
      <c r="D10485" s="198" t="s">
        <v>54841</v>
      </c>
      <c r="E10485" s="198">
        <v>3</v>
      </c>
      <c r="F10485" s="199" t="s">
        <v>54842</v>
      </c>
      <c r="G10485" s="1" t="s">
        <v>54843</v>
      </c>
      <c r="H10485" s="1" t="s">
        <v>54844</v>
      </c>
      <c r="I10485" s="346"/>
      <c r="J10485" s="39">
        <v>119416</v>
      </c>
      <c r="K10485" s="36" t="str">
        <f>CONCATENATE(Cover!$D$6,"fdd/view?i=",J10485)</f>
        <v>https://www.dgiwg.org/FAD/fdd/view?i=119416</v>
      </c>
      <c r="L10485" s="36" t="s">
        <v>54845</v>
      </c>
      <c r="M10485" s="186"/>
      <c r="N10485" s="186"/>
      <c r="O10485" s="172"/>
    </row>
    <row r="10486" spans="1:15" ht="38.25" x14ac:dyDescent="0.2">
      <c r="A10486" s="197" t="str">
        <f t="shared" si="163"/>
        <v>WurCode_industrial</v>
      </c>
      <c r="B10486" s="409"/>
      <c r="C10486" s="416"/>
      <c r="D10486" s="198" t="s">
        <v>32466</v>
      </c>
      <c r="E10486" s="198">
        <v>4</v>
      </c>
      <c r="F10486" s="199" t="s">
        <v>32467</v>
      </c>
      <c r="G10486" s="1" t="s">
        <v>54846</v>
      </c>
      <c r="H10486" s="1" t="s">
        <v>54847</v>
      </c>
      <c r="I10486" s="346"/>
      <c r="J10486" s="39">
        <v>119417</v>
      </c>
      <c r="K10486" s="36" t="str">
        <f>CONCATENATE(Cover!$D$6,"fdd/view?i=",J10486)</f>
        <v>https://www.dgiwg.org/FAD/fdd/view?i=119417</v>
      </c>
      <c r="L10486" s="36" t="s">
        <v>54848</v>
      </c>
      <c r="M10486" s="186"/>
      <c r="N10486" s="186"/>
      <c r="O10486" s="172"/>
    </row>
    <row r="10487" spans="1:15" ht="38.25" x14ac:dyDescent="0.2">
      <c r="A10487" s="197" t="str">
        <f t="shared" si="163"/>
        <v>WurCode_institutional</v>
      </c>
      <c r="B10487" s="409"/>
      <c r="C10487" s="416"/>
      <c r="D10487" s="198" t="s">
        <v>32470</v>
      </c>
      <c r="E10487" s="198">
        <v>5</v>
      </c>
      <c r="F10487" s="199" t="s">
        <v>32471</v>
      </c>
      <c r="G10487" s="1" t="s">
        <v>54849</v>
      </c>
      <c r="H10487" s="200"/>
      <c r="I10487" s="346"/>
      <c r="J10487" s="39">
        <v>119418</v>
      </c>
      <c r="K10487" s="36" t="str">
        <f>CONCATENATE(Cover!$D$6,"fdd/view?i=",J10487)</f>
        <v>https://www.dgiwg.org/FAD/fdd/view?i=119418</v>
      </c>
      <c r="L10487" s="36" t="s">
        <v>54850</v>
      </c>
      <c r="M10487" s="186"/>
      <c r="N10487" s="186"/>
      <c r="O10487" s="172"/>
    </row>
    <row r="10488" spans="1:15" ht="38.25" x14ac:dyDescent="0.2">
      <c r="A10488" s="197" t="str">
        <f t="shared" si="163"/>
        <v>WurCode_livestock</v>
      </c>
      <c r="B10488" s="409"/>
      <c r="C10488" s="416"/>
      <c r="D10488" s="198" t="s">
        <v>52934</v>
      </c>
      <c r="E10488" s="198">
        <v>6</v>
      </c>
      <c r="F10488" s="199" t="s">
        <v>52935</v>
      </c>
      <c r="G10488" s="1" t="s">
        <v>54851</v>
      </c>
      <c r="H10488" s="200"/>
      <c r="I10488" s="346"/>
      <c r="J10488" s="39">
        <v>119419</v>
      </c>
      <c r="K10488" s="36" t="str">
        <f>CONCATENATE(Cover!$D$6,"fdd/view?i=",J10488)</f>
        <v>https://www.dgiwg.org/FAD/fdd/view?i=119419</v>
      </c>
      <c r="L10488" s="36" t="s">
        <v>54852</v>
      </c>
      <c r="M10488" s="186"/>
      <c r="N10488" s="186"/>
      <c r="O10488" s="172"/>
    </row>
    <row r="10489" spans="1:15" ht="25.5" x14ac:dyDescent="0.2">
      <c r="A10489" s="197" t="str">
        <f t="shared" si="163"/>
        <v>WurCode_municipal</v>
      </c>
      <c r="B10489" s="409"/>
      <c r="C10489" s="416"/>
      <c r="D10489" s="198" t="s">
        <v>16693</v>
      </c>
      <c r="E10489" s="198">
        <v>7</v>
      </c>
      <c r="F10489" s="199" t="s">
        <v>16694</v>
      </c>
      <c r="G10489" s="1" t="s">
        <v>54853</v>
      </c>
      <c r="H10489" s="1" t="s">
        <v>54854</v>
      </c>
      <c r="I10489" s="346"/>
      <c r="J10489" s="39">
        <v>119420</v>
      </c>
      <c r="K10489" s="36" t="str">
        <f>CONCATENATE(Cover!$D$6,"fdd/view?i=",J10489)</f>
        <v>https://www.dgiwg.org/FAD/fdd/view?i=119420</v>
      </c>
      <c r="L10489" s="36" t="s">
        <v>54855</v>
      </c>
      <c r="M10489" s="186"/>
      <c r="N10489" s="186"/>
      <c r="O10489" s="172"/>
    </row>
    <row r="10490" spans="1:15" ht="38.25" x14ac:dyDescent="0.2">
      <c r="A10490" s="197" t="str">
        <f t="shared" si="163"/>
        <v>WurCode_powerGeneration</v>
      </c>
      <c r="B10490" s="409"/>
      <c r="C10490" s="416"/>
      <c r="D10490" s="198" t="s">
        <v>31330</v>
      </c>
      <c r="E10490" s="198">
        <v>8</v>
      </c>
      <c r="F10490" s="199" t="s">
        <v>31331</v>
      </c>
      <c r="G10490" s="1" t="s">
        <v>54856</v>
      </c>
      <c r="H10490" s="200"/>
      <c r="I10490" s="346"/>
      <c r="J10490" s="39">
        <v>119421</v>
      </c>
      <c r="K10490" s="36" t="str">
        <f>CONCATENATE(Cover!$D$6,"fdd/view?i=",J10490)</f>
        <v>https://www.dgiwg.org/FAD/fdd/view?i=119421</v>
      </c>
      <c r="L10490" s="36" t="s">
        <v>54857</v>
      </c>
      <c r="M10490" s="186"/>
      <c r="N10490" s="186"/>
      <c r="O10490" s="172"/>
    </row>
    <row r="10491" spans="1:15" ht="38.25" x14ac:dyDescent="0.2">
      <c r="A10491" s="197" t="str">
        <f t="shared" si="163"/>
        <v>WurCode_recreational</v>
      </c>
      <c r="B10491" s="409"/>
      <c r="C10491" s="416"/>
      <c r="D10491" s="198" t="s">
        <v>32496</v>
      </c>
      <c r="E10491" s="198">
        <v>9</v>
      </c>
      <c r="F10491" s="199" t="s">
        <v>32497</v>
      </c>
      <c r="G10491" s="1" t="s">
        <v>54858</v>
      </c>
      <c r="H10491" s="200"/>
      <c r="I10491" s="346"/>
      <c r="J10491" s="39">
        <v>119422</v>
      </c>
      <c r="K10491" s="36" t="str">
        <f>CONCATENATE(Cover!$D$6,"fdd/view?i=",J10491)</f>
        <v>https://www.dgiwg.org/FAD/fdd/view?i=119422</v>
      </c>
      <c r="L10491" s="36" t="s">
        <v>54859</v>
      </c>
      <c r="M10491" s="186"/>
      <c r="N10491" s="186"/>
      <c r="O10491" s="172"/>
    </row>
    <row r="10492" spans="1:15" ht="25.5" x14ac:dyDescent="0.2">
      <c r="A10492" s="203" t="str">
        <f t="shared" si="163"/>
        <v>WurCode_sanitaryDomestic</v>
      </c>
      <c r="B10492" s="410"/>
      <c r="C10492" s="417"/>
      <c r="D10492" s="204" t="s">
        <v>54860</v>
      </c>
      <c r="E10492" s="204">
        <v>10</v>
      </c>
      <c r="F10492" s="205" t="s">
        <v>54861</v>
      </c>
      <c r="G10492" s="206" t="s">
        <v>54862</v>
      </c>
      <c r="H10492" s="207"/>
      <c r="I10492" s="347"/>
      <c r="J10492" s="39">
        <v>119423</v>
      </c>
      <c r="K10492" s="36" t="str">
        <f>CONCATENATE(Cover!$D$6,"fdd/view?i=",J10492)</f>
        <v>https://www.dgiwg.org/FAD/fdd/view?i=119423</v>
      </c>
      <c r="L10492" s="36" t="s">
        <v>54863</v>
      </c>
      <c r="M10492" s="186"/>
      <c r="N10492" s="186"/>
      <c r="O10492" s="172"/>
    </row>
    <row r="10493" spans="1:15" x14ac:dyDescent="0.2">
      <c r="A10493" s="190" t="str">
        <f t="shared" si="163"/>
        <v>SshCode_hard</v>
      </c>
      <c r="B10493" s="414" t="str">
        <f>HYPERLINK("[#]Datatypes!A1708:L1708","SshCode")</f>
        <v>SshCode</v>
      </c>
      <c r="C10493" s="415" t="s">
        <v>16341</v>
      </c>
      <c r="D10493" s="221" t="s">
        <v>43187</v>
      </c>
      <c r="E10493" s="221">
        <v>1</v>
      </c>
      <c r="F10493" s="222" t="s">
        <v>43188</v>
      </c>
      <c r="G10493" s="223" t="s">
        <v>54864</v>
      </c>
      <c r="H10493" s="224"/>
      <c r="I10493" s="345"/>
      <c r="J10493" s="39">
        <v>113788</v>
      </c>
      <c r="K10493" s="36" t="str">
        <f>CONCATENATE(Cover!$D$6,"fdd/view?i=",J10493)</f>
        <v>https://www.dgiwg.org/FAD/fdd/view?i=113788</v>
      </c>
      <c r="L10493" s="36" t="s">
        <v>54865</v>
      </c>
      <c r="M10493" s="186"/>
      <c r="N10493" s="186"/>
      <c r="O10493" s="172"/>
    </row>
    <row r="10494" spans="1:15" ht="25.5" x14ac:dyDescent="0.2">
      <c r="A10494" s="197" t="str">
        <f t="shared" si="163"/>
        <v>SshCode_hardMinorSoftAreas</v>
      </c>
      <c r="B10494" s="409"/>
      <c r="C10494" s="416"/>
      <c r="D10494" s="198" t="s">
        <v>54870</v>
      </c>
      <c r="E10494" s="198">
        <v>3</v>
      </c>
      <c r="F10494" s="199" t="s">
        <v>54871</v>
      </c>
      <c r="G10494" s="1" t="s">
        <v>54872</v>
      </c>
      <c r="H10494" s="200"/>
      <c r="I10494" s="346"/>
      <c r="J10494" s="39">
        <v>113790</v>
      </c>
      <c r="K10494" s="36" t="str">
        <f>CONCATENATE(Cover!$D$6,"fdd/view?i=",J10494)</f>
        <v>https://www.dgiwg.org/FAD/fdd/view?i=113790</v>
      </c>
      <c r="L10494" s="36" t="s">
        <v>54873</v>
      </c>
      <c r="M10494" s="186"/>
      <c r="N10494" s="186"/>
      <c r="O10494" s="172"/>
    </row>
    <row r="10495" spans="1:15" ht="25.5" x14ac:dyDescent="0.2">
      <c r="A10495" s="197" t="str">
        <f t="shared" si="163"/>
        <v>SshCode_hardSandEqualDistrib</v>
      </c>
      <c r="B10495" s="409"/>
      <c r="C10495" s="416"/>
      <c r="D10495" s="198" t="s">
        <v>54866</v>
      </c>
      <c r="E10495" s="198">
        <v>2</v>
      </c>
      <c r="F10495" s="199" t="s">
        <v>54867</v>
      </c>
      <c r="G10495" s="1" t="s">
        <v>54868</v>
      </c>
      <c r="H10495" s="200"/>
      <c r="I10495" s="346"/>
      <c r="J10495" s="39">
        <v>113789</v>
      </c>
      <c r="K10495" s="36" t="str">
        <f>CONCATENATE(Cover!$D$6,"fdd/view?i=",J10495)</f>
        <v>https://www.dgiwg.org/FAD/fdd/view?i=113789</v>
      </c>
      <c r="L10495" s="36" t="s">
        <v>54869</v>
      </c>
      <c r="M10495" s="186"/>
      <c r="N10495" s="186"/>
      <c r="O10495" s="172"/>
    </row>
    <row r="10496" spans="1:15" x14ac:dyDescent="0.2">
      <c r="A10496" s="197" t="str">
        <f t="shared" si="163"/>
        <v>SshCode_sand</v>
      </c>
      <c r="B10496" s="409"/>
      <c r="C10496" s="416"/>
      <c r="D10496" s="198" t="s">
        <v>19594</v>
      </c>
      <c r="E10496" s="198">
        <v>4</v>
      </c>
      <c r="F10496" s="199" t="s">
        <v>19595</v>
      </c>
      <c r="G10496" s="1" t="s">
        <v>54874</v>
      </c>
      <c r="H10496" s="200"/>
      <c r="I10496" s="346"/>
      <c r="J10496" s="39">
        <v>113791</v>
      </c>
      <c r="K10496" s="36" t="str">
        <f>CONCATENATE(Cover!$D$6,"fdd/view?i=",J10496)</f>
        <v>https://www.dgiwg.org/FAD/fdd/view?i=113791</v>
      </c>
      <c r="L10496" s="36" t="s">
        <v>54875</v>
      </c>
      <c r="M10496" s="186"/>
      <c r="N10496" s="186"/>
      <c r="O10496" s="172"/>
    </row>
    <row r="10497" spans="1:15" ht="25.5" x14ac:dyDescent="0.2">
      <c r="A10497" s="197" t="str">
        <f t="shared" si="163"/>
        <v>SshCode_sandMinorSoftAreas</v>
      </c>
      <c r="B10497" s="409"/>
      <c r="C10497" s="416"/>
      <c r="D10497" s="198" t="s">
        <v>54880</v>
      </c>
      <c r="E10497" s="198">
        <v>6</v>
      </c>
      <c r="F10497" s="199" t="s">
        <v>54881</v>
      </c>
      <c r="G10497" s="1" t="s">
        <v>54882</v>
      </c>
      <c r="H10497" s="200"/>
      <c r="I10497" s="346"/>
      <c r="J10497" s="39">
        <v>113793</v>
      </c>
      <c r="K10497" s="36" t="str">
        <f>CONCATENATE(Cover!$D$6,"fdd/view?i=",J10497)</f>
        <v>https://www.dgiwg.org/FAD/fdd/view?i=113793</v>
      </c>
      <c r="L10497" s="36" t="s">
        <v>54883</v>
      </c>
      <c r="M10497" s="186"/>
      <c r="N10497" s="186"/>
      <c r="O10497" s="172"/>
    </row>
    <row r="10498" spans="1:15" ht="25.5" x14ac:dyDescent="0.2">
      <c r="A10498" s="197" t="str">
        <f t="shared" ref="A10498:A10561" si="164">HYPERLINK(K10498,L10498)</f>
        <v>SshCode_sandSoftEqualDistrib</v>
      </c>
      <c r="B10498" s="409"/>
      <c r="C10498" s="416"/>
      <c r="D10498" s="198" t="s">
        <v>54876</v>
      </c>
      <c r="E10498" s="198">
        <v>5</v>
      </c>
      <c r="F10498" s="199" t="s">
        <v>54877</v>
      </c>
      <c r="G10498" s="1" t="s">
        <v>54878</v>
      </c>
      <c r="H10498" s="200"/>
      <c r="I10498" s="346"/>
      <c r="J10498" s="39">
        <v>113792</v>
      </c>
      <c r="K10498" s="36" t="str">
        <f>CONCATENATE(Cover!$D$6,"fdd/view?i=",J10498)</f>
        <v>https://www.dgiwg.org/FAD/fdd/view?i=113792</v>
      </c>
      <c r="L10498" s="36" t="s">
        <v>54879</v>
      </c>
      <c r="M10498" s="186"/>
      <c r="N10498" s="186"/>
      <c r="O10498" s="172"/>
    </row>
    <row r="10499" spans="1:15" x14ac:dyDescent="0.2">
      <c r="A10499" s="197" t="str">
        <f t="shared" si="164"/>
        <v>SshCode_soft</v>
      </c>
      <c r="B10499" s="409"/>
      <c r="C10499" s="416"/>
      <c r="D10499" s="198" t="s">
        <v>43219</v>
      </c>
      <c r="E10499" s="198">
        <v>7</v>
      </c>
      <c r="F10499" s="199" t="s">
        <v>43220</v>
      </c>
      <c r="G10499" s="1" t="s">
        <v>54884</v>
      </c>
      <c r="H10499" s="200"/>
      <c r="I10499" s="346"/>
      <c r="J10499" s="39">
        <v>113794</v>
      </c>
      <c r="K10499" s="36" t="str">
        <f>CONCATENATE(Cover!$D$6,"fdd/view?i=",J10499)</f>
        <v>https://www.dgiwg.org/FAD/fdd/view?i=113794</v>
      </c>
      <c r="L10499" s="36" t="s">
        <v>54885</v>
      </c>
      <c r="M10499" s="186"/>
      <c r="N10499" s="186"/>
      <c r="O10499" s="172"/>
    </row>
    <row r="10500" spans="1:15" ht="25.5" x14ac:dyDescent="0.2">
      <c r="A10500" s="197" t="str">
        <f t="shared" si="164"/>
        <v>SshCode_softHardEqualDistrib</v>
      </c>
      <c r="B10500" s="409"/>
      <c r="C10500" s="416"/>
      <c r="D10500" s="198" t="s">
        <v>54886</v>
      </c>
      <c r="E10500" s="198">
        <v>8</v>
      </c>
      <c r="F10500" s="199" t="s">
        <v>54887</v>
      </c>
      <c r="G10500" s="1" t="s">
        <v>54888</v>
      </c>
      <c r="H10500" s="200"/>
      <c r="I10500" s="346"/>
      <c r="J10500" s="39">
        <v>113795</v>
      </c>
      <c r="K10500" s="36" t="str">
        <f>CONCATENATE(Cover!$D$6,"fdd/view?i=",J10500)</f>
        <v>https://www.dgiwg.org/FAD/fdd/view?i=113795</v>
      </c>
      <c r="L10500" s="36" t="s">
        <v>54889</v>
      </c>
      <c r="M10500" s="186"/>
      <c r="N10500" s="186"/>
      <c r="O10500" s="172"/>
    </row>
    <row r="10501" spans="1:15" ht="25.5" x14ac:dyDescent="0.2">
      <c r="A10501" s="203" t="str">
        <f t="shared" si="164"/>
        <v>SshCode_softMinorHardOutcrops</v>
      </c>
      <c r="B10501" s="410"/>
      <c r="C10501" s="417"/>
      <c r="D10501" s="204" t="s">
        <v>54890</v>
      </c>
      <c r="E10501" s="204">
        <v>9</v>
      </c>
      <c r="F10501" s="205" t="s">
        <v>54891</v>
      </c>
      <c r="G10501" s="206" t="s">
        <v>54892</v>
      </c>
      <c r="H10501" s="207"/>
      <c r="I10501" s="347"/>
      <c r="J10501" s="39">
        <v>113796</v>
      </c>
      <c r="K10501" s="36" t="str">
        <f>CONCATENATE(Cover!$D$6,"fdd/view?i=",J10501)</f>
        <v>https://www.dgiwg.org/FAD/fdd/view?i=113796</v>
      </c>
      <c r="L10501" s="36" t="s">
        <v>54893</v>
      </c>
      <c r="M10501" s="186"/>
      <c r="N10501" s="186"/>
      <c r="O10501" s="172"/>
    </row>
    <row r="10502" spans="1:15" ht="25.5" x14ac:dyDescent="0.2">
      <c r="A10502" s="190" t="str">
        <f t="shared" si="164"/>
        <v>SeaCode_abyssalHills</v>
      </c>
      <c r="B10502" s="414" t="str">
        <f>HYPERLINK("[#]Datatypes!A1710:L1710","SeaCode")</f>
        <v>SeaCode</v>
      </c>
      <c r="C10502" s="415" t="s">
        <v>16343</v>
      </c>
      <c r="D10502" s="221" t="s">
        <v>54894</v>
      </c>
      <c r="E10502" s="221">
        <v>26</v>
      </c>
      <c r="F10502" s="222" t="s">
        <v>54895</v>
      </c>
      <c r="G10502" s="223" t="s">
        <v>54896</v>
      </c>
      <c r="H10502" s="224"/>
      <c r="I10502" s="345"/>
      <c r="J10502" s="39">
        <v>107520</v>
      </c>
      <c r="K10502" s="36" t="str">
        <f>CONCATENATE(Cover!$D$6,"fdd/view?i=",J10502)</f>
        <v>https://www.dgiwg.org/FAD/fdd/view?i=107520</v>
      </c>
      <c r="L10502" s="36" t="s">
        <v>54897</v>
      </c>
      <c r="M10502" s="186"/>
      <c r="N10502" s="186"/>
      <c r="O10502" s="172"/>
    </row>
    <row r="10503" spans="1:15" ht="25.5" x14ac:dyDescent="0.2">
      <c r="A10503" s="197" t="str">
        <f t="shared" si="164"/>
        <v>SeaCode_abyssalPlain</v>
      </c>
      <c r="B10503" s="409"/>
      <c r="C10503" s="416"/>
      <c r="D10503" s="198" t="s">
        <v>54898</v>
      </c>
      <c r="E10503" s="198">
        <v>20</v>
      </c>
      <c r="F10503" s="199" t="s">
        <v>54899</v>
      </c>
      <c r="G10503" s="1" t="s">
        <v>54900</v>
      </c>
      <c r="H10503" s="200"/>
      <c r="I10503" s="346"/>
      <c r="J10503" s="39">
        <v>107514</v>
      </c>
      <c r="K10503" s="36" t="str">
        <f>CONCATENATE(Cover!$D$6,"fdd/view?i=",J10503)</f>
        <v>https://www.dgiwg.org/FAD/fdd/view?i=107514</v>
      </c>
      <c r="L10503" s="36" t="s">
        <v>54901</v>
      </c>
      <c r="M10503" s="186"/>
      <c r="N10503" s="186"/>
      <c r="O10503" s="172"/>
    </row>
    <row r="10504" spans="1:15" ht="25.5" x14ac:dyDescent="0.2">
      <c r="A10504" s="197" t="str">
        <f t="shared" si="164"/>
        <v>SeaCode_apron</v>
      </c>
      <c r="B10504" s="409"/>
      <c r="C10504" s="416"/>
      <c r="D10504" s="198" t="s">
        <v>26779</v>
      </c>
      <c r="E10504" s="198">
        <v>27</v>
      </c>
      <c r="F10504" s="199" t="s">
        <v>2090</v>
      </c>
      <c r="G10504" s="1" t="s">
        <v>54902</v>
      </c>
      <c r="H10504" s="200"/>
      <c r="I10504" s="346"/>
      <c r="J10504" s="39">
        <v>107521</v>
      </c>
      <c r="K10504" s="36" t="str">
        <f>CONCATENATE(Cover!$D$6,"fdd/view?i=",J10504)</f>
        <v>https://www.dgiwg.org/FAD/fdd/view?i=107521</v>
      </c>
      <c r="L10504" s="36" t="s">
        <v>54903</v>
      </c>
      <c r="M10504" s="186"/>
      <c r="N10504" s="186"/>
      <c r="O10504" s="172"/>
    </row>
    <row r="10505" spans="1:15" x14ac:dyDescent="0.2">
      <c r="A10505" s="197" t="str">
        <f t="shared" si="164"/>
        <v>SeaCode_arch</v>
      </c>
      <c r="B10505" s="409"/>
      <c r="C10505" s="416"/>
      <c r="D10505" s="198" t="s">
        <v>24494</v>
      </c>
      <c r="E10505" s="198">
        <v>75</v>
      </c>
      <c r="F10505" s="199" t="s">
        <v>24495</v>
      </c>
      <c r="G10505" s="1" t="s">
        <v>54904</v>
      </c>
      <c r="H10505" s="200"/>
      <c r="I10505" s="346"/>
      <c r="J10505" s="39">
        <v>112801</v>
      </c>
      <c r="K10505" s="36" t="str">
        <f>CONCATENATE(Cover!$D$6,"fdd/view?i=",J10505)</f>
        <v>https://www.dgiwg.org/FAD/fdd/view?i=112801</v>
      </c>
      <c r="L10505" s="36" t="s">
        <v>54905</v>
      </c>
      <c r="M10505" s="186"/>
      <c r="N10505" s="186"/>
      <c r="O10505" s="172"/>
    </row>
    <row r="10506" spans="1:15" ht="25.5" x14ac:dyDescent="0.2">
      <c r="A10506" s="197" t="str">
        <f t="shared" si="164"/>
        <v>SeaCode_archipelagicApron</v>
      </c>
      <c r="B10506" s="409"/>
      <c r="C10506" s="416"/>
      <c r="D10506" s="198" t="s">
        <v>54906</v>
      </c>
      <c r="E10506" s="198">
        <v>28</v>
      </c>
      <c r="F10506" s="199" t="s">
        <v>54907</v>
      </c>
      <c r="G10506" s="1" t="s">
        <v>54908</v>
      </c>
      <c r="H10506" s="200"/>
      <c r="I10506" s="346"/>
      <c r="J10506" s="39">
        <v>107522</v>
      </c>
      <c r="K10506" s="36" t="str">
        <f>CONCATENATE(Cover!$D$6,"fdd/view?i=",J10506)</f>
        <v>https://www.dgiwg.org/FAD/fdd/view?i=107522</v>
      </c>
      <c r="L10506" s="36" t="s">
        <v>54909</v>
      </c>
      <c r="M10506" s="186"/>
      <c r="N10506" s="186"/>
      <c r="O10506" s="172"/>
    </row>
    <row r="10507" spans="1:15" x14ac:dyDescent="0.2">
      <c r="A10507" s="197" t="str">
        <f t="shared" si="164"/>
        <v>SeaCode_arrugado</v>
      </c>
      <c r="B10507" s="409"/>
      <c r="C10507" s="416"/>
      <c r="D10507" s="198" t="s">
        <v>54910</v>
      </c>
      <c r="E10507" s="198">
        <v>76</v>
      </c>
      <c r="F10507" s="199" t="s">
        <v>54911</v>
      </c>
      <c r="G10507" s="1" t="s">
        <v>54912</v>
      </c>
      <c r="H10507" s="200"/>
      <c r="I10507" s="346"/>
      <c r="J10507" s="39">
        <v>112802</v>
      </c>
      <c r="K10507" s="36" t="str">
        <f>CONCATENATE(Cover!$D$6,"fdd/view?i=",J10507)</f>
        <v>https://www.dgiwg.org/FAD/fdd/view?i=112802</v>
      </c>
      <c r="L10507" s="36" t="s">
        <v>54913</v>
      </c>
      <c r="M10507" s="186"/>
      <c r="N10507" s="186"/>
      <c r="O10507" s="172"/>
    </row>
    <row r="10508" spans="1:15" ht="25.5" x14ac:dyDescent="0.2">
      <c r="A10508" s="197" t="str">
        <f t="shared" si="164"/>
        <v>SeaCode_bank</v>
      </c>
      <c r="B10508" s="409"/>
      <c r="C10508" s="416"/>
      <c r="D10508" s="198" t="s">
        <v>26246</v>
      </c>
      <c r="E10508" s="198">
        <v>3</v>
      </c>
      <c r="F10508" s="199" t="s">
        <v>26247</v>
      </c>
      <c r="G10508" s="1" t="s">
        <v>54914</v>
      </c>
      <c r="H10508" s="1" t="s">
        <v>54915</v>
      </c>
      <c r="I10508" s="346"/>
      <c r="J10508" s="39">
        <v>107497</v>
      </c>
      <c r="K10508" s="36" t="str">
        <f>CONCATENATE(Cover!$D$6,"fdd/view?i=",J10508)</f>
        <v>https://www.dgiwg.org/FAD/fdd/view?i=107497</v>
      </c>
      <c r="L10508" s="36" t="s">
        <v>54916</v>
      </c>
      <c r="M10508" s="186"/>
      <c r="N10508" s="186"/>
      <c r="O10508" s="172"/>
    </row>
    <row r="10509" spans="1:15" x14ac:dyDescent="0.2">
      <c r="A10509" s="197" t="str">
        <f t="shared" si="164"/>
        <v>SeaCode_basin</v>
      </c>
      <c r="B10509" s="409"/>
      <c r="C10509" s="416"/>
      <c r="D10509" s="198" t="s">
        <v>35590</v>
      </c>
      <c r="E10509" s="198">
        <v>7</v>
      </c>
      <c r="F10509" s="199" t="s">
        <v>35591</v>
      </c>
      <c r="G10509" s="1" t="s">
        <v>54917</v>
      </c>
      <c r="H10509" s="200"/>
      <c r="I10509" s="346"/>
      <c r="J10509" s="39">
        <v>107501</v>
      </c>
      <c r="K10509" s="36" t="str">
        <f>CONCATENATE(Cover!$D$6,"fdd/view?i=",J10509)</f>
        <v>https://www.dgiwg.org/FAD/fdd/view?i=107501</v>
      </c>
      <c r="L10509" s="36" t="s">
        <v>54918</v>
      </c>
      <c r="M10509" s="186"/>
      <c r="N10509" s="186"/>
      <c r="O10509" s="172"/>
    </row>
    <row r="10510" spans="1:15" ht="25.5" x14ac:dyDescent="0.2">
      <c r="A10510" s="197" t="str">
        <f t="shared" si="164"/>
        <v>SeaCode_basinRangeProvince</v>
      </c>
      <c r="B10510" s="409"/>
      <c r="C10510" s="416"/>
      <c r="D10510" s="198" t="s">
        <v>54919</v>
      </c>
      <c r="E10510" s="198">
        <v>106</v>
      </c>
      <c r="F10510" s="199" t="s">
        <v>54920</v>
      </c>
      <c r="G10510" s="1" t="s">
        <v>54921</v>
      </c>
      <c r="H10510" s="200"/>
      <c r="I10510" s="346"/>
      <c r="J10510" s="39">
        <v>119329</v>
      </c>
      <c r="K10510" s="36" t="str">
        <f>CONCATENATE(Cover!$D$6,"fdd/view?i=",J10510)</f>
        <v>https://www.dgiwg.org/FAD/fdd/view?i=119329</v>
      </c>
      <c r="L10510" s="36" t="s">
        <v>54922</v>
      </c>
      <c r="M10510" s="186"/>
      <c r="N10510" s="186"/>
      <c r="O10510" s="172"/>
    </row>
    <row r="10511" spans="1:15" x14ac:dyDescent="0.2">
      <c r="A10511" s="197" t="str">
        <f t="shared" si="164"/>
        <v>SeaCode_bay</v>
      </c>
      <c r="B10511" s="409"/>
      <c r="C10511" s="416"/>
      <c r="D10511" s="198" t="s">
        <v>23757</v>
      </c>
      <c r="E10511" s="198">
        <v>5</v>
      </c>
      <c r="F10511" s="199" t="s">
        <v>23758</v>
      </c>
      <c r="G10511" s="1" t="s">
        <v>54923</v>
      </c>
      <c r="H10511" s="200"/>
      <c r="I10511" s="346"/>
      <c r="J10511" s="39">
        <v>107499</v>
      </c>
      <c r="K10511" s="36" t="str">
        <f>CONCATENATE(Cover!$D$6,"fdd/view?i=",J10511)</f>
        <v>https://www.dgiwg.org/FAD/fdd/view?i=107499</v>
      </c>
      <c r="L10511" s="36" t="s">
        <v>54924</v>
      </c>
      <c r="M10511" s="186"/>
      <c r="N10511" s="186"/>
      <c r="O10511" s="172"/>
    </row>
    <row r="10512" spans="1:15" x14ac:dyDescent="0.2">
      <c r="A10512" s="197" t="str">
        <f t="shared" si="164"/>
        <v>SeaCode_bench</v>
      </c>
      <c r="B10512" s="409"/>
      <c r="C10512" s="416"/>
      <c r="D10512" s="198" t="s">
        <v>47521</v>
      </c>
      <c r="E10512" s="198">
        <v>78</v>
      </c>
      <c r="F10512" s="199" t="s">
        <v>2243</v>
      </c>
      <c r="G10512" s="1" t="s">
        <v>54925</v>
      </c>
      <c r="H10512" s="200"/>
      <c r="I10512" s="346"/>
      <c r="J10512" s="39">
        <v>112804</v>
      </c>
      <c r="K10512" s="36" t="str">
        <f>CONCATENATE(Cover!$D$6,"fdd/view?i=",J10512)</f>
        <v>https://www.dgiwg.org/FAD/fdd/view?i=112804</v>
      </c>
      <c r="L10512" s="36" t="s">
        <v>54926</v>
      </c>
      <c r="M10512" s="186"/>
      <c r="N10512" s="186"/>
      <c r="O10512" s="172"/>
    </row>
    <row r="10513" spans="1:15" ht="25.5" x14ac:dyDescent="0.2">
      <c r="A10513" s="197" t="str">
        <f t="shared" si="164"/>
        <v>SeaCode_berm</v>
      </c>
      <c r="B10513" s="409"/>
      <c r="C10513" s="416"/>
      <c r="D10513" s="198" t="s">
        <v>54927</v>
      </c>
      <c r="E10513" s="198">
        <v>62</v>
      </c>
      <c r="F10513" s="199" t="s">
        <v>54928</v>
      </c>
      <c r="G10513" s="1" t="s">
        <v>54929</v>
      </c>
      <c r="H10513" s="200"/>
      <c r="I10513" s="346"/>
      <c r="J10513" s="39">
        <v>107556</v>
      </c>
      <c r="K10513" s="36" t="str">
        <f>CONCATENATE(Cover!$D$6,"fdd/view?i=",J10513)</f>
        <v>https://www.dgiwg.org/FAD/fdd/view?i=107556</v>
      </c>
      <c r="L10513" s="36" t="s">
        <v>54930</v>
      </c>
      <c r="M10513" s="186"/>
      <c r="N10513" s="186"/>
      <c r="O10513" s="172"/>
    </row>
    <row r="10514" spans="1:15" x14ac:dyDescent="0.2">
      <c r="A10514" s="197" t="str">
        <f t="shared" si="164"/>
        <v>SeaCode_bight</v>
      </c>
      <c r="B10514" s="409"/>
      <c r="C10514" s="416"/>
      <c r="D10514" s="198" t="s">
        <v>54931</v>
      </c>
      <c r="E10514" s="198">
        <v>77</v>
      </c>
      <c r="F10514" s="199" t="s">
        <v>54932</v>
      </c>
      <c r="G10514" s="1" t="s">
        <v>54933</v>
      </c>
      <c r="H10514" s="200"/>
      <c r="I10514" s="346"/>
      <c r="J10514" s="39">
        <v>112803</v>
      </c>
      <c r="K10514" s="36" t="str">
        <f>CONCATENATE(Cover!$D$6,"fdd/view?i=",J10514)</f>
        <v>https://www.dgiwg.org/FAD/fdd/view?i=112803</v>
      </c>
      <c r="L10514" s="36" t="s">
        <v>54934</v>
      </c>
      <c r="M10514" s="186"/>
      <c r="N10514" s="186"/>
      <c r="O10514" s="172"/>
    </row>
    <row r="10515" spans="1:15" ht="38.25" x14ac:dyDescent="0.2">
      <c r="A10515" s="197" t="str">
        <f t="shared" si="164"/>
        <v>SeaCode_borderland</v>
      </c>
      <c r="B10515" s="409"/>
      <c r="C10515" s="416"/>
      <c r="D10515" s="198" t="s">
        <v>54935</v>
      </c>
      <c r="E10515" s="198">
        <v>29</v>
      </c>
      <c r="F10515" s="199" t="s">
        <v>54936</v>
      </c>
      <c r="G10515" s="1" t="s">
        <v>54937</v>
      </c>
      <c r="H10515" s="200"/>
      <c r="I10515" s="346"/>
      <c r="J10515" s="39">
        <v>107523</v>
      </c>
      <c r="K10515" s="36" t="str">
        <f>CONCATENATE(Cover!$D$6,"fdd/view?i=",J10515)</f>
        <v>https://www.dgiwg.org/FAD/fdd/view?i=107523</v>
      </c>
      <c r="L10515" s="36" t="s">
        <v>54938</v>
      </c>
      <c r="M10515" s="186"/>
      <c r="N10515" s="186"/>
      <c r="O10515" s="172"/>
    </row>
    <row r="10516" spans="1:15" ht="25.5" x14ac:dyDescent="0.2">
      <c r="A10516" s="197" t="str">
        <f t="shared" si="164"/>
        <v>SeaCode_caldera</v>
      </c>
      <c r="B10516" s="409"/>
      <c r="C10516" s="416"/>
      <c r="D10516" s="198" t="s">
        <v>26912</v>
      </c>
      <c r="E10516" s="198">
        <v>102</v>
      </c>
      <c r="F10516" s="199" t="s">
        <v>26913</v>
      </c>
      <c r="G10516" s="1" t="s">
        <v>54939</v>
      </c>
      <c r="H10516" s="200"/>
      <c r="I10516" s="346"/>
      <c r="J10516" s="39">
        <v>112799</v>
      </c>
      <c r="K10516" s="36" t="str">
        <f>CONCATENATE(Cover!$D$6,"fdd/view?i=",J10516)</f>
        <v>https://www.dgiwg.org/FAD/fdd/view?i=112799</v>
      </c>
      <c r="L10516" s="36" t="s">
        <v>54940</v>
      </c>
      <c r="M10516" s="186"/>
      <c r="N10516" s="186"/>
      <c r="O10516" s="172"/>
    </row>
    <row r="10517" spans="1:15" x14ac:dyDescent="0.2">
      <c r="A10517" s="197" t="str">
        <f t="shared" si="164"/>
        <v>SeaCode_canal</v>
      </c>
      <c r="B10517" s="409"/>
      <c r="C10517" s="416"/>
      <c r="D10517" s="198" t="s">
        <v>35595</v>
      </c>
      <c r="E10517" s="198">
        <v>53</v>
      </c>
      <c r="F10517" s="199" t="s">
        <v>2414</v>
      </c>
      <c r="G10517" s="1" t="s">
        <v>54941</v>
      </c>
      <c r="H10517" s="200"/>
      <c r="I10517" s="346"/>
      <c r="J10517" s="39">
        <v>107547</v>
      </c>
      <c r="K10517" s="36" t="str">
        <f>CONCATENATE(Cover!$D$6,"fdd/view?i=",J10517)</f>
        <v>https://www.dgiwg.org/FAD/fdd/view?i=107547</v>
      </c>
      <c r="L10517" s="36" t="s">
        <v>54942</v>
      </c>
      <c r="M10517" s="186"/>
      <c r="N10517" s="186"/>
      <c r="O10517" s="172"/>
    </row>
    <row r="10518" spans="1:15" ht="25.5" x14ac:dyDescent="0.2">
      <c r="A10518" s="197" t="str">
        <f t="shared" si="164"/>
        <v>SeaCode_canyon</v>
      </c>
      <c r="B10518" s="409"/>
      <c r="C10518" s="416"/>
      <c r="D10518" s="198" t="s">
        <v>54943</v>
      </c>
      <c r="E10518" s="198">
        <v>13</v>
      </c>
      <c r="F10518" s="199" t="s">
        <v>36822</v>
      </c>
      <c r="G10518" s="1" t="s">
        <v>54944</v>
      </c>
      <c r="H10518" s="1" t="s">
        <v>54945</v>
      </c>
      <c r="I10518" s="346"/>
      <c r="J10518" s="39">
        <v>107507</v>
      </c>
      <c r="K10518" s="36" t="str">
        <f>CONCATENATE(Cover!$D$6,"fdd/view?i=",J10518)</f>
        <v>https://www.dgiwg.org/FAD/fdd/view?i=107507</v>
      </c>
      <c r="L10518" s="36" t="s">
        <v>54946</v>
      </c>
      <c r="M10518" s="186"/>
      <c r="N10518" s="186"/>
      <c r="O10518" s="172"/>
    </row>
    <row r="10519" spans="1:15" x14ac:dyDescent="0.2">
      <c r="A10519" s="197" t="str">
        <f t="shared" si="164"/>
        <v>SeaCode_canyonLands</v>
      </c>
      <c r="B10519" s="409"/>
      <c r="C10519" s="416"/>
      <c r="D10519" s="198" t="s">
        <v>54947</v>
      </c>
      <c r="E10519" s="198">
        <v>58</v>
      </c>
      <c r="F10519" s="199" t="s">
        <v>54948</v>
      </c>
      <c r="G10519" s="200"/>
      <c r="H10519" s="200"/>
      <c r="I10519" s="346"/>
      <c r="J10519" s="39">
        <v>107552</v>
      </c>
      <c r="K10519" s="36" t="str">
        <f>CONCATENATE(Cover!$D$6,"fdd/view?i=",J10519)</f>
        <v>https://www.dgiwg.org/FAD/fdd/view?i=107552</v>
      </c>
      <c r="L10519" s="36" t="s">
        <v>54949</v>
      </c>
      <c r="M10519" s="186"/>
      <c r="N10519" s="186"/>
      <c r="O10519" s="172"/>
    </row>
    <row r="10520" spans="1:15" ht="25.5" x14ac:dyDescent="0.2">
      <c r="A10520" s="197" t="str">
        <f t="shared" si="164"/>
        <v>SeaCode_channel</v>
      </c>
      <c r="B10520" s="409"/>
      <c r="C10520" s="416"/>
      <c r="D10520" s="198" t="s">
        <v>54950</v>
      </c>
      <c r="E10520" s="198">
        <v>80</v>
      </c>
      <c r="F10520" s="199" t="s">
        <v>2486</v>
      </c>
      <c r="G10520" s="1" t="s">
        <v>54951</v>
      </c>
      <c r="H10520" s="200"/>
      <c r="I10520" s="346"/>
      <c r="J10520" s="39">
        <v>112806</v>
      </c>
      <c r="K10520" s="36" t="str">
        <f>CONCATENATE(Cover!$D$6,"fdd/view?i=",J10520)</f>
        <v>https://www.dgiwg.org/FAD/fdd/view?i=112806</v>
      </c>
      <c r="L10520" s="36" t="s">
        <v>54952</v>
      </c>
      <c r="M10520" s="186"/>
      <c r="N10520" s="186"/>
      <c r="O10520" s="172"/>
    </row>
    <row r="10521" spans="1:15" ht="25.5" x14ac:dyDescent="0.2">
      <c r="A10521" s="197" t="str">
        <f t="shared" si="164"/>
        <v>SeaCode_continentalMargin</v>
      </c>
      <c r="B10521" s="409"/>
      <c r="C10521" s="416"/>
      <c r="D10521" s="198" t="s">
        <v>54953</v>
      </c>
      <c r="E10521" s="198">
        <v>30</v>
      </c>
      <c r="F10521" s="199" t="s">
        <v>54954</v>
      </c>
      <c r="G10521" s="1" t="s">
        <v>54955</v>
      </c>
      <c r="H10521" s="200"/>
      <c r="I10521" s="346"/>
      <c r="J10521" s="39">
        <v>107524</v>
      </c>
      <c r="K10521" s="36" t="str">
        <f>CONCATENATE(Cover!$D$6,"fdd/view?i=",J10521)</f>
        <v>https://www.dgiwg.org/FAD/fdd/view?i=107524</v>
      </c>
      <c r="L10521" s="36" t="s">
        <v>54956</v>
      </c>
      <c r="M10521" s="186"/>
      <c r="N10521" s="186"/>
      <c r="O10521" s="172"/>
    </row>
    <row r="10522" spans="1:15" ht="25.5" x14ac:dyDescent="0.2">
      <c r="A10522" s="197" t="str">
        <f t="shared" si="164"/>
        <v>SeaCode_continentalRise</v>
      </c>
      <c r="B10522" s="409"/>
      <c r="C10522" s="416"/>
      <c r="D10522" s="198" t="s">
        <v>54957</v>
      </c>
      <c r="E10522" s="198">
        <v>31</v>
      </c>
      <c r="F10522" s="199" t="s">
        <v>54958</v>
      </c>
      <c r="G10522" s="1" t="s">
        <v>54959</v>
      </c>
      <c r="H10522" s="200"/>
      <c r="I10522" s="346"/>
      <c r="J10522" s="39">
        <v>107525</v>
      </c>
      <c r="K10522" s="36" t="str">
        <f>CONCATENATE(Cover!$D$6,"fdd/view?i=",J10522)</f>
        <v>https://www.dgiwg.org/FAD/fdd/view?i=107525</v>
      </c>
      <c r="L10522" s="36" t="s">
        <v>54960</v>
      </c>
      <c r="M10522" s="186"/>
      <c r="N10522" s="186"/>
      <c r="O10522" s="172"/>
    </row>
    <row r="10523" spans="1:15" ht="25.5" x14ac:dyDescent="0.2">
      <c r="A10523" s="197" t="str">
        <f t="shared" si="164"/>
        <v>SeaCode_cordillera</v>
      </c>
      <c r="B10523" s="409"/>
      <c r="C10523" s="416"/>
      <c r="D10523" s="198" t="s">
        <v>54961</v>
      </c>
      <c r="E10523" s="198">
        <v>79</v>
      </c>
      <c r="F10523" s="199" t="s">
        <v>54962</v>
      </c>
      <c r="G10523" s="1" t="s">
        <v>54963</v>
      </c>
      <c r="H10523" s="200"/>
      <c r="I10523" s="346"/>
      <c r="J10523" s="39">
        <v>112805</v>
      </c>
      <c r="K10523" s="36" t="str">
        <f>CONCATENATE(Cover!$D$6,"fdd/view?i=",J10523)</f>
        <v>https://www.dgiwg.org/FAD/fdd/view?i=112805</v>
      </c>
      <c r="L10523" s="36" t="s">
        <v>54964</v>
      </c>
      <c r="M10523" s="186"/>
      <c r="N10523" s="186"/>
      <c r="O10523" s="172"/>
    </row>
    <row r="10524" spans="1:15" x14ac:dyDescent="0.2">
      <c r="A10524" s="197" t="str">
        <f t="shared" si="164"/>
        <v>SeaCode_cove</v>
      </c>
      <c r="B10524" s="409"/>
      <c r="C10524" s="416"/>
      <c r="D10524" s="198" t="s">
        <v>54965</v>
      </c>
      <c r="E10524" s="198">
        <v>81</v>
      </c>
      <c r="F10524" s="199" t="s">
        <v>54966</v>
      </c>
      <c r="G10524" s="1" t="s">
        <v>54967</v>
      </c>
      <c r="H10524" s="200"/>
      <c r="I10524" s="346"/>
      <c r="J10524" s="39">
        <v>112807</v>
      </c>
      <c r="K10524" s="36" t="str">
        <f>CONCATENATE(Cover!$D$6,"fdd/view?i=",J10524)</f>
        <v>https://www.dgiwg.org/FAD/fdd/view?i=112807</v>
      </c>
      <c r="L10524" s="36" t="s">
        <v>54968</v>
      </c>
      <c r="M10524" s="186"/>
      <c r="N10524" s="186"/>
      <c r="O10524" s="172"/>
    </row>
    <row r="10525" spans="1:15" ht="25.5" x14ac:dyDescent="0.2">
      <c r="A10525" s="197" t="str">
        <f t="shared" si="164"/>
        <v>SeaCode_crater</v>
      </c>
      <c r="B10525" s="409"/>
      <c r="C10525" s="416"/>
      <c r="D10525" s="198" t="s">
        <v>54969</v>
      </c>
      <c r="E10525" s="198">
        <v>59</v>
      </c>
      <c r="F10525" s="199" t="s">
        <v>2644</v>
      </c>
      <c r="G10525" s="1" t="s">
        <v>54970</v>
      </c>
      <c r="H10525" s="200"/>
      <c r="I10525" s="346"/>
      <c r="J10525" s="39">
        <v>107553</v>
      </c>
      <c r="K10525" s="36" t="str">
        <f>CONCATENATE(Cover!$D$6,"fdd/view?i=",J10525)</f>
        <v>https://www.dgiwg.org/FAD/fdd/view?i=107553</v>
      </c>
      <c r="L10525" s="36" t="s">
        <v>54971</v>
      </c>
      <c r="M10525" s="186"/>
      <c r="N10525" s="186"/>
      <c r="O10525" s="172"/>
    </row>
    <row r="10526" spans="1:15" ht="25.5" x14ac:dyDescent="0.2">
      <c r="A10526" s="197" t="str">
        <f t="shared" si="164"/>
        <v>SeaCode_deep</v>
      </c>
      <c r="B10526" s="409"/>
      <c r="C10526" s="416"/>
      <c r="D10526" s="198" t="s">
        <v>54972</v>
      </c>
      <c r="E10526" s="198">
        <v>4</v>
      </c>
      <c r="F10526" s="199" t="s">
        <v>54973</v>
      </c>
      <c r="G10526" s="1" t="s">
        <v>54974</v>
      </c>
      <c r="H10526" s="200"/>
      <c r="I10526" s="346"/>
      <c r="J10526" s="39">
        <v>107498</v>
      </c>
      <c r="K10526" s="36" t="str">
        <f>CONCATENATE(Cover!$D$6,"fdd/view?i=",J10526)</f>
        <v>https://www.dgiwg.org/FAD/fdd/view?i=107498</v>
      </c>
      <c r="L10526" s="36" t="s">
        <v>54975</v>
      </c>
      <c r="M10526" s="186"/>
      <c r="N10526" s="186"/>
      <c r="O10526" s="172"/>
    </row>
    <row r="10527" spans="1:15" ht="38.25" x14ac:dyDescent="0.2">
      <c r="A10527" s="197" t="str">
        <f t="shared" si="164"/>
        <v>SeaCode_deeperLandwardTrenchWall</v>
      </c>
      <c r="B10527" s="409"/>
      <c r="C10527" s="416"/>
      <c r="D10527" s="198" t="s">
        <v>54976</v>
      </c>
      <c r="E10527" s="198">
        <v>107</v>
      </c>
      <c r="F10527" s="199" t="s">
        <v>54977</v>
      </c>
      <c r="G10527" s="1" t="s">
        <v>54978</v>
      </c>
      <c r="H10527" s="200"/>
      <c r="I10527" s="346"/>
      <c r="J10527" s="39">
        <v>119330</v>
      </c>
      <c r="K10527" s="36" t="str">
        <f>CONCATENATE(Cover!$D$6,"fdd/view?i=",J10527)</f>
        <v>https://www.dgiwg.org/FAD/fdd/view?i=119330</v>
      </c>
      <c r="L10527" s="36" t="s">
        <v>54979</v>
      </c>
      <c r="M10527" s="186"/>
      <c r="N10527" s="186"/>
      <c r="O10527" s="172"/>
    </row>
    <row r="10528" spans="1:15" ht="25.5" x14ac:dyDescent="0.2">
      <c r="A10528" s="197" t="str">
        <f t="shared" si="164"/>
        <v>SeaCode_deformationZone</v>
      </c>
      <c r="B10528" s="409"/>
      <c r="C10528" s="416"/>
      <c r="D10528" s="198" t="s">
        <v>54980</v>
      </c>
      <c r="E10528" s="198">
        <v>109</v>
      </c>
      <c r="F10528" s="199" t="s">
        <v>54981</v>
      </c>
      <c r="G10528" s="1" t="s">
        <v>54982</v>
      </c>
      <c r="H10528" s="200"/>
      <c r="I10528" s="346"/>
      <c r="J10528" s="39">
        <v>119331</v>
      </c>
      <c r="K10528" s="36" t="str">
        <f>CONCATENATE(Cover!$D$6,"fdd/view?i=",J10528)</f>
        <v>https://www.dgiwg.org/FAD/fdd/view?i=119331</v>
      </c>
      <c r="L10528" s="36" t="s">
        <v>54983</v>
      </c>
      <c r="M10528" s="186"/>
      <c r="N10528" s="186"/>
      <c r="O10528" s="172"/>
    </row>
    <row r="10529" spans="1:15" ht="25.5" x14ac:dyDescent="0.2">
      <c r="A10529" s="197" t="str">
        <f t="shared" si="164"/>
        <v>SeaCode_escarpment</v>
      </c>
      <c r="B10529" s="409"/>
      <c r="C10529" s="416"/>
      <c r="D10529" s="198" t="s">
        <v>51508</v>
      </c>
      <c r="E10529" s="198">
        <v>32</v>
      </c>
      <c r="F10529" s="199" t="s">
        <v>51509</v>
      </c>
      <c r="G10529" s="1" t="s">
        <v>54984</v>
      </c>
      <c r="H10529" s="200"/>
      <c r="I10529" s="351" t="s">
        <v>54985</v>
      </c>
      <c r="J10529" s="39">
        <v>107526</v>
      </c>
      <c r="K10529" s="36" t="str">
        <f>CONCATENATE(Cover!$D$6,"fdd/view?i=",J10529)</f>
        <v>https://www.dgiwg.org/FAD/fdd/view?i=107526</v>
      </c>
      <c r="L10529" s="36" t="s">
        <v>54986</v>
      </c>
      <c r="M10529" s="186"/>
      <c r="N10529" s="186"/>
      <c r="O10529" s="172"/>
    </row>
    <row r="10530" spans="1:15" ht="25.5" x14ac:dyDescent="0.2">
      <c r="A10530" s="197" t="str">
        <f t="shared" si="164"/>
        <v>SeaCode_estuary</v>
      </c>
      <c r="B10530" s="409"/>
      <c r="C10530" s="416"/>
      <c r="D10530" s="198" t="s">
        <v>54987</v>
      </c>
      <c r="E10530" s="198">
        <v>60</v>
      </c>
      <c r="F10530" s="199" t="s">
        <v>54988</v>
      </c>
      <c r="G10530" s="1" t="s">
        <v>54989</v>
      </c>
      <c r="H10530" s="200"/>
      <c r="I10530" s="346"/>
      <c r="J10530" s="39">
        <v>107554</v>
      </c>
      <c r="K10530" s="36" t="str">
        <f>CONCATENATE(Cover!$D$6,"fdd/view?i=",J10530)</f>
        <v>https://www.dgiwg.org/FAD/fdd/view?i=107554</v>
      </c>
      <c r="L10530" s="36" t="s">
        <v>54990</v>
      </c>
      <c r="M10530" s="186"/>
      <c r="N10530" s="186"/>
      <c r="O10530" s="172"/>
    </row>
    <row r="10531" spans="1:15" ht="25.5" x14ac:dyDescent="0.2">
      <c r="A10531" s="197" t="str">
        <f t="shared" si="164"/>
        <v>SeaCode_fan</v>
      </c>
      <c r="B10531" s="409"/>
      <c r="C10531" s="416"/>
      <c r="D10531" s="198" t="s">
        <v>54991</v>
      </c>
      <c r="E10531" s="198">
        <v>33</v>
      </c>
      <c r="F10531" s="199" t="s">
        <v>54992</v>
      </c>
      <c r="G10531" s="1" t="s">
        <v>54993</v>
      </c>
      <c r="H10531" s="200"/>
      <c r="I10531" s="351" t="s">
        <v>34702</v>
      </c>
      <c r="J10531" s="39">
        <v>107527</v>
      </c>
      <c r="K10531" s="36" t="str">
        <f>CONCATENATE(Cover!$D$6,"fdd/view?i=",J10531)</f>
        <v>https://www.dgiwg.org/FAD/fdd/view?i=107527</v>
      </c>
      <c r="L10531" s="36" t="s">
        <v>54994</v>
      </c>
      <c r="M10531" s="186"/>
      <c r="N10531" s="186"/>
      <c r="O10531" s="172"/>
    </row>
    <row r="10532" spans="1:15" ht="38.25" x14ac:dyDescent="0.2">
      <c r="A10532" s="197" t="str">
        <f t="shared" si="164"/>
        <v>SeaCode_faultLine</v>
      </c>
      <c r="B10532" s="409"/>
      <c r="C10532" s="416"/>
      <c r="D10532" s="198" t="s">
        <v>54995</v>
      </c>
      <c r="E10532" s="198">
        <v>63</v>
      </c>
      <c r="F10532" s="199" t="s">
        <v>54996</v>
      </c>
      <c r="G10532" s="1" t="s">
        <v>54997</v>
      </c>
      <c r="H10532" s="200"/>
      <c r="I10532" s="346"/>
      <c r="J10532" s="39">
        <v>107557</v>
      </c>
      <c r="K10532" s="36" t="str">
        <f>CONCATENATE(Cover!$D$6,"fdd/view?i=",J10532)</f>
        <v>https://www.dgiwg.org/FAD/fdd/view?i=107557</v>
      </c>
      <c r="L10532" s="36" t="s">
        <v>54998</v>
      </c>
      <c r="M10532" s="186"/>
      <c r="N10532" s="186"/>
      <c r="O10532" s="172"/>
    </row>
    <row r="10533" spans="1:15" ht="25.5" x14ac:dyDescent="0.2">
      <c r="A10533" s="197" t="str">
        <f t="shared" si="164"/>
        <v>SeaCode_fjord</v>
      </c>
      <c r="B10533" s="409"/>
      <c r="C10533" s="416"/>
      <c r="D10533" s="198" t="s">
        <v>54999</v>
      </c>
      <c r="E10533" s="198">
        <v>82</v>
      </c>
      <c r="F10533" s="199" t="s">
        <v>55000</v>
      </c>
      <c r="G10533" s="1" t="s">
        <v>55001</v>
      </c>
      <c r="H10533" s="200"/>
      <c r="I10533" s="346"/>
      <c r="J10533" s="39">
        <v>112808</v>
      </c>
      <c r="K10533" s="36" t="str">
        <f>CONCATENATE(Cover!$D$6,"fdd/view?i=",J10533)</f>
        <v>https://www.dgiwg.org/FAD/fdd/view?i=112808</v>
      </c>
      <c r="L10533" s="36" t="s">
        <v>55002</v>
      </c>
      <c r="M10533" s="186"/>
      <c r="N10533" s="186"/>
      <c r="O10533" s="172"/>
    </row>
    <row r="10534" spans="1:15" x14ac:dyDescent="0.2">
      <c r="A10534" s="197" t="str">
        <f t="shared" si="164"/>
        <v>SeaCode_flat</v>
      </c>
      <c r="B10534" s="409"/>
      <c r="C10534" s="416"/>
      <c r="D10534" s="198" t="s">
        <v>46136</v>
      </c>
      <c r="E10534" s="198">
        <v>83</v>
      </c>
      <c r="F10534" s="199" t="s">
        <v>46137</v>
      </c>
      <c r="G10534" s="1" t="s">
        <v>55003</v>
      </c>
      <c r="H10534" s="200"/>
      <c r="I10534" s="346"/>
      <c r="J10534" s="39">
        <v>112809</v>
      </c>
      <c r="K10534" s="36" t="str">
        <f>CONCATENATE(Cover!$D$6,"fdd/view?i=",J10534)</f>
        <v>https://www.dgiwg.org/FAD/fdd/view?i=112809</v>
      </c>
      <c r="L10534" s="36" t="s">
        <v>55004</v>
      </c>
      <c r="M10534" s="186"/>
      <c r="N10534" s="186"/>
      <c r="O10534" s="172"/>
    </row>
    <row r="10535" spans="1:15" x14ac:dyDescent="0.2">
      <c r="A10535" s="197" t="str">
        <f t="shared" si="164"/>
        <v>SeaCode_fork</v>
      </c>
      <c r="B10535" s="409"/>
      <c r="C10535" s="416"/>
      <c r="D10535" s="198" t="s">
        <v>45787</v>
      </c>
      <c r="E10535" s="198">
        <v>84</v>
      </c>
      <c r="F10535" s="199" t="s">
        <v>45788</v>
      </c>
      <c r="G10535" s="1" t="s">
        <v>55005</v>
      </c>
      <c r="H10535" s="200"/>
      <c r="I10535" s="346"/>
      <c r="J10535" s="39">
        <v>112810</v>
      </c>
      <c r="K10535" s="36" t="str">
        <f>CONCATENATE(Cover!$D$6,"fdd/view?i=",J10535)</f>
        <v>https://www.dgiwg.org/FAD/fdd/view?i=112810</v>
      </c>
      <c r="L10535" s="36" t="s">
        <v>55006</v>
      </c>
      <c r="M10535" s="186"/>
      <c r="N10535" s="186"/>
      <c r="O10535" s="172"/>
    </row>
    <row r="10536" spans="1:15" ht="38.25" x14ac:dyDescent="0.2">
      <c r="A10536" s="197" t="str">
        <f t="shared" si="164"/>
        <v>SeaCode_fractureZone</v>
      </c>
      <c r="B10536" s="409"/>
      <c r="C10536" s="416"/>
      <c r="D10536" s="198" t="s">
        <v>55007</v>
      </c>
      <c r="E10536" s="198">
        <v>34</v>
      </c>
      <c r="F10536" s="199" t="s">
        <v>55008</v>
      </c>
      <c r="G10536" s="1" t="s">
        <v>55009</v>
      </c>
      <c r="H10536" s="200"/>
      <c r="I10536" s="346"/>
      <c r="J10536" s="39">
        <v>107528</v>
      </c>
      <c r="K10536" s="36" t="str">
        <f>CONCATENATE(Cover!$D$6,"fdd/view?i=",J10536)</f>
        <v>https://www.dgiwg.org/FAD/fdd/view?i=107528</v>
      </c>
      <c r="L10536" s="36" t="s">
        <v>55010</v>
      </c>
      <c r="M10536" s="186"/>
      <c r="N10536" s="186"/>
      <c r="O10536" s="172"/>
    </row>
    <row r="10537" spans="1:15" x14ac:dyDescent="0.2">
      <c r="A10537" s="197" t="str">
        <f t="shared" si="164"/>
        <v>SeaCode_furrow</v>
      </c>
      <c r="B10537" s="409"/>
      <c r="C10537" s="416"/>
      <c r="D10537" s="198" t="s">
        <v>35962</v>
      </c>
      <c r="E10537" s="198">
        <v>85</v>
      </c>
      <c r="F10537" s="199" t="s">
        <v>35963</v>
      </c>
      <c r="G10537" s="1" t="s">
        <v>55011</v>
      </c>
      <c r="H10537" s="200"/>
      <c r="I10537" s="346"/>
      <c r="J10537" s="39">
        <v>112811</v>
      </c>
      <c r="K10537" s="36" t="str">
        <f>CONCATENATE(Cover!$D$6,"fdd/view?i=",J10537)</f>
        <v>https://www.dgiwg.org/FAD/fdd/view?i=112811</v>
      </c>
      <c r="L10537" s="36" t="s">
        <v>55012</v>
      </c>
      <c r="M10537" s="186"/>
      <c r="N10537" s="186"/>
      <c r="O10537" s="172"/>
    </row>
    <row r="10538" spans="1:15" x14ac:dyDescent="0.2">
      <c r="A10538" s="197" t="str">
        <f t="shared" si="164"/>
        <v>SeaCode_gap</v>
      </c>
      <c r="B10538" s="409"/>
      <c r="C10538" s="416"/>
      <c r="D10538" s="198" t="s">
        <v>47558</v>
      </c>
      <c r="E10538" s="198">
        <v>35</v>
      </c>
      <c r="F10538" s="199" t="s">
        <v>47559</v>
      </c>
      <c r="G10538" s="1" t="s">
        <v>55013</v>
      </c>
      <c r="H10538" s="200"/>
      <c r="I10538" s="351" t="s">
        <v>55014</v>
      </c>
      <c r="J10538" s="39">
        <v>107529</v>
      </c>
      <c r="K10538" s="36" t="str">
        <f>CONCATENATE(Cover!$D$6,"fdd/view?i=",J10538)</f>
        <v>https://www.dgiwg.org/FAD/fdd/view?i=107529</v>
      </c>
      <c r="L10538" s="36" t="s">
        <v>55015</v>
      </c>
      <c r="M10538" s="186"/>
      <c r="N10538" s="186"/>
      <c r="O10538" s="172"/>
    </row>
    <row r="10539" spans="1:15" ht="25.5" x14ac:dyDescent="0.2">
      <c r="A10539" s="197" t="str">
        <f t="shared" si="164"/>
        <v>SeaCode_gat</v>
      </c>
      <c r="B10539" s="409"/>
      <c r="C10539" s="416"/>
      <c r="D10539" s="198" t="s">
        <v>55016</v>
      </c>
      <c r="E10539" s="198">
        <v>2</v>
      </c>
      <c r="F10539" s="199" t="s">
        <v>55017</v>
      </c>
      <c r="G10539" s="1" t="s">
        <v>55018</v>
      </c>
      <c r="H10539" s="200"/>
      <c r="I10539" s="346"/>
      <c r="J10539" s="39">
        <v>107496</v>
      </c>
      <c r="K10539" s="36" t="str">
        <f>CONCATENATE(Cover!$D$6,"fdd/view?i=",J10539)</f>
        <v>https://www.dgiwg.org/FAD/fdd/view?i=107496</v>
      </c>
      <c r="L10539" s="36" t="s">
        <v>55019</v>
      </c>
      <c r="M10539" s="186"/>
      <c r="N10539" s="186"/>
      <c r="O10539" s="172"/>
    </row>
    <row r="10540" spans="1:15" x14ac:dyDescent="0.2">
      <c r="A10540" s="197" t="str">
        <f t="shared" si="164"/>
        <v>SeaCode_gulf</v>
      </c>
      <c r="B10540" s="409"/>
      <c r="C10540" s="416"/>
      <c r="D10540" s="198" t="s">
        <v>55020</v>
      </c>
      <c r="E10540" s="198">
        <v>87</v>
      </c>
      <c r="F10540" s="199" t="s">
        <v>55021</v>
      </c>
      <c r="G10540" s="1" t="s">
        <v>55022</v>
      </c>
      <c r="H10540" s="200"/>
      <c r="I10540" s="346"/>
      <c r="J10540" s="39">
        <v>112813</v>
      </c>
      <c r="K10540" s="36" t="str">
        <f>CONCATENATE(Cover!$D$6,"fdd/view?i=",J10540)</f>
        <v>https://www.dgiwg.org/FAD/fdd/view?i=112813</v>
      </c>
      <c r="L10540" s="36" t="s">
        <v>55023</v>
      </c>
      <c r="M10540" s="186"/>
      <c r="N10540" s="186"/>
      <c r="O10540" s="172"/>
    </row>
    <row r="10541" spans="1:15" x14ac:dyDescent="0.2">
      <c r="A10541" s="197" t="str">
        <f t="shared" si="164"/>
        <v>SeaCode_gully</v>
      </c>
      <c r="B10541" s="409"/>
      <c r="C10541" s="416"/>
      <c r="D10541" s="198" t="s">
        <v>55024</v>
      </c>
      <c r="E10541" s="198">
        <v>86</v>
      </c>
      <c r="F10541" s="199" t="s">
        <v>3433</v>
      </c>
      <c r="G10541" s="1" t="s">
        <v>55025</v>
      </c>
      <c r="H10541" s="200"/>
      <c r="I10541" s="346"/>
      <c r="J10541" s="39">
        <v>112812</v>
      </c>
      <c r="K10541" s="36" t="str">
        <f>CONCATENATE(Cover!$D$6,"fdd/view?i=",J10541)</f>
        <v>https://www.dgiwg.org/FAD/fdd/view?i=112812</v>
      </c>
      <c r="L10541" s="36" t="s">
        <v>55026</v>
      </c>
      <c r="M10541" s="186"/>
      <c r="N10541" s="186"/>
      <c r="O10541" s="172"/>
    </row>
    <row r="10542" spans="1:15" x14ac:dyDescent="0.2">
      <c r="A10542" s="197" t="str">
        <f t="shared" si="164"/>
        <v>SeaCode_guyot</v>
      </c>
      <c r="B10542" s="409"/>
      <c r="C10542" s="416"/>
      <c r="D10542" s="198" t="s">
        <v>55027</v>
      </c>
      <c r="E10542" s="198">
        <v>36</v>
      </c>
      <c r="F10542" s="199" t="s">
        <v>55028</v>
      </c>
      <c r="G10542" s="1" t="s">
        <v>55029</v>
      </c>
      <c r="H10542" s="200"/>
      <c r="I10542" s="351" t="s">
        <v>55030</v>
      </c>
      <c r="J10542" s="39">
        <v>107530</v>
      </c>
      <c r="K10542" s="36" t="str">
        <f>CONCATENATE(Cover!$D$6,"fdd/view?i=",J10542)</f>
        <v>https://www.dgiwg.org/FAD/fdd/view?i=107530</v>
      </c>
      <c r="L10542" s="36" t="s">
        <v>55031</v>
      </c>
      <c r="M10542" s="186"/>
      <c r="N10542" s="186"/>
      <c r="O10542" s="172"/>
    </row>
    <row r="10543" spans="1:15" ht="25.5" x14ac:dyDescent="0.2">
      <c r="A10543" s="197" t="str">
        <f t="shared" si="164"/>
        <v>SeaCode_highlyReflectivePatch</v>
      </c>
      <c r="B10543" s="409"/>
      <c r="C10543" s="416"/>
      <c r="D10543" s="198" t="s">
        <v>55032</v>
      </c>
      <c r="E10543" s="198">
        <v>64</v>
      </c>
      <c r="F10543" s="199" t="s">
        <v>55033</v>
      </c>
      <c r="G10543" s="1" t="s">
        <v>55034</v>
      </c>
      <c r="H10543" s="200"/>
      <c r="I10543" s="346"/>
      <c r="J10543" s="39">
        <v>107558</v>
      </c>
      <c r="K10543" s="36" t="str">
        <f>CONCATENATE(Cover!$D$6,"fdd/view?i=",J10543)</f>
        <v>https://www.dgiwg.org/FAD/fdd/view?i=107558</v>
      </c>
      <c r="L10543" s="36" t="s">
        <v>55035</v>
      </c>
      <c r="M10543" s="186"/>
      <c r="N10543" s="186"/>
      <c r="O10543" s="172"/>
    </row>
    <row r="10544" spans="1:15" x14ac:dyDescent="0.2">
      <c r="A10544" s="197" t="str">
        <f t="shared" si="164"/>
        <v>SeaCode_hill</v>
      </c>
      <c r="B10544" s="409"/>
      <c r="C10544" s="416"/>
      <c r="D10544" s="198" t="s">
        <v>55036</v>
      </c>
      <c r="E10544" s="198">
        <v>37</v>
      </c>
      <c r="F10544" s="199" t="s">
        <v>3494</v>
      </c>
      <c r="G10544" s="1" t="s">
        <v>55037</v>
      </c>
      <c r="H10544" s="200"/>
      <c r="I10544" s="346"/>
      <c r="J10544" s="39">
        <v>107531</v>
      </c>
      <c r="K10544" s="36" t="str">
        <f>CONCATENATE(Cover!$D$6,"fdd/view?i=",J10544)</f>
        <v>https://www.dgiwg.org/FAD/fdd/view?i=107531</v>
      </c>
      <c r="L10544" s="36" t="s">
        <v>55038</v>
      </c>
      <c r="M10544" s="186"/>
      <c r="N10544" s="186"/>
      <c r="O10544" s="172"/>
    </row>
    <row r="10545" spans="1:15" x14ac:dyDescent="0.2">
      <c r="A10545" s="197" t="str">
        <f t="shared" si="164"/>
        <v>SeaCode_hole</v>
      </c>
      <c r="B10545" s="409"/>
      <c r="C10545" s="416"/>
      <c r="D10545" s="198" t="s">
        <v>55039</v>
      </c>
      <c r="E10545" s="198">
        <v>38</v>
      </c>
      <c r="F10545" s="199" t="s">
        <v>55040</v>
      </c>
      <c r="G10545" s="1" t="s">
        <v>55041</v>
      </c>
      <c r="H10545" s="200"/>
      <c r="I10545" s="346"/>
      <c r="J10545" s="39">
        <v>107532</v>
      </c>
      <c r="K10545" s="36" t="str">
        <f>CONCATENATE(Cover!$D$6,"fdd/view?i=",J10545)</f>
        <v>https://www.dgiwg.org/FAD/fdd/view?i=107532</v>
      </c>
      <c r="L10545" s="36" t="s">
        <v>55042</v>
      </c>
      <c r="M10545" s="186"/>
      <c r="N10545" s="186"/>
      <c r="O10545" s="172"/>
    </row>
    <row r="10546" spans="1:15" ht="25.5" x14ac:dyDescent="0.2">
      <c r="A10546" s="197" t="str">
        <f t="shared" si="164"/>
        <v>SeaCode_inlet</v>
      </c>
      <c r="B10546" s="409"/>
      <c r="C10546" s="416"/>
      <c r="D10546" s="198" t="s">
        <v>55043</v>
      </c>
      <c r="E10546" s="198">
        <v>88</v>
      </c>
      <c r="F10546" s="199" t="s">
        <v>55044</v>
      </c>
      <c r="G10546" s="1" t="s">
        <v>55045</v>
      </c>
      <c r="H10546" s="200"/>
      <c r="I10546" s="346"/>
      <c r="J10546" s="39">
        <v>112814</v>
      </c>
      <c r="K10546" s="36" t="str">
        <f>CONCATENATE(Cover!$D$6,"fdd/view?i=",J10546)</f>
        <v>https://www.dgiwg.org/FAD/fdd/view?i=112814</v>
      </c>
      <c r="L10546" s="36" t="s">
        <v>55046</v>
      </c>
      <c r="M10546" s="186"/>
      <c r="N10546" s="186"/>
      <c r="O10546" s="172"/>
    </row>
    <row r="10547" spans="1:15" ht="25.5" x14ac:dyDescent="0.2">
      <c r="A10547" s="197" t="str">
        <f t="shared" si="164"/>
        <v>SeaCode_insularPlatform</v>
      </c>
      <c r="B10547" s="409"/>
      <c r="C10547" s="416"/>
      <c r="D10547" s="198" t="s">
        <v>55047</v>
      </c>
      <c r="E10547" s="198">
        <v>110</v>
      </c>
      <c r="F10547" s="199" t="s">
        <v>55048</v>
      </c>
      <c r="G10547" s="1" t="s">
        <v>55049</v>
      </c>
      <c r="H10547" s="200"/>
      <c r="I10547" s="346"/>
      <c r="J10547" s="39">
        <v>119332</v>
      </c>
      <c r="K10547" s="36" t="str">
        <f>CONCATENATE(Cover!$D$6,"fdd/view?i=",J10547)</f>
        <v>https://www.dgiwg.org/FAD/fdd/view?i=119332</v>
      </c>
      <c r="L10547" s="36" t="s">
        <v>55050</v>
      </c>
      <c r="M10547" s="186"/>
      <c r="N10547" s="186"/>
      <c r="O10547" s="172"/>
    </row>
    <row r="10548" spans="1:15" x14ac:dyDescent="0.2">
      <c r="A10548" s="197" t="str">
        <f t="shared" si="164"/>
        <v>SeaCode_knoll</v>
      </c>
      <c r="B10548" s="409"/>
      <c r="C10548" s="416"/>
      <c r="D10548" s="198" t="s">
        <v>55051</v>
      </c>
      <c r="E10548" s="198">
        <v>16</v>
      </c>
      <c r="F10548" s="199" t="s">
        <v>55052</v>
      </c>
      <c r="G10548" s="1" t="s">
        <v>55053</v>
      </c>
      <c r="H10548" s="200"/>
      <c r="I10548" s="346"/>
      <c r="J10548" s="39">
        <v>107510</v>
      </c>
      <c r="K10548" s="36" t="str">
        <f>CONCATENATE(Cover!$D$6,"fdd/view?i=",J10548)</f>
        <v>https://www.dgiwg.org/FAD/fdd/view?i=107510</v>
      </c>
      <c r="L10548" s="36" t="s">
        <v>55054</v>
      </c>
      <c r="M10548" s="186"/>
      <c r="N10548" s="186"/>
      <c r="O10548" s="172"/>
    </row>
    <row r="10549" spans="1:15" x14ac:dyDescent="0.2">
      <c r="A10549" s="197" t="str">
        <f t="shared" si="164"/>
        <v>SeaCode_lake</v>
      </c>
      <c r="B10549" s="409"/>
      <c r="C10549" s="416"/>
      <c r="D10549" s="198" t="s">
        <v>35599</v>
      </c>
      <c r="E10549" s="198">
        <v>54</v>
      </c>
      <c r="F10549" s="199" t="s">
        <v>3776</v>
      </c>
      <c r="G10549" s="1" t="s">
        <v>3778</v>
      </c>
      <c r="H10549" s="200"/>
      <c r="I10549" s="346"/>
      <c r="J10549" s="39">
        <v>107548</v>
      </c>
      <c r="K10549" s="36" t="str">
        <f>CONCATENATE(Cover!$D$6,"fdd/view?i=",J10549)</f>
        <v>https://www.dgiwg.org/FAD/fdd/view?i=107548</v>
      </c>
      <c r="L10549" s="36" t="s">
        <v>55055</v>
      </c>
      <c r="M10549" s="186"/>
      <c r="N10549" s="186"/>
      <c r="O10549" s="172"/>
    </row>
    <row r="10550" spans="1:15" ht="25.5" x14ac:dyDescent="0.2">
      <c r="A10550" s="197" t="str">
        <f t="shared" si="164"/>
        <v>SeaCode_landwardSlopeApron</v>
      </c>
      <c r="B10550" s="409"/>
      <c r="C10550" s="416"/>
      <c r="D10550" s="198" t="s">
        <v>55056</v>
      </c>
      <c r="E10550" s="198">
        <v>111</v>
      </c>
      <c r="F10550" s="199" t="s">
        <v>55057</v>
      </c>
      <c r="G10550" s="1" t="s">
        <v>55058</v>
      </c>
      <c r="H10550" s="200"/>
      <c r="I10550" s="346"/>
      <c r="J10550" s="39">
        <v>119333</v>
      </c>
      <c r="K10550" s="36" t="str">
        <f>CONCATENATE(Cover!$D$6,"fdd/view?i=",J10550)</f>
        <v>https://www.dgiwg.org/FAD/fdd/view?i=119333</v>
      </c>
      <c r="L10550" s="36" t="s">
        <v>55059</v>
      </c>
      <c r="M10550" s="186"/>
      <c r="N10550" s="186"/>
      <c r="O10550" s="172"/>
    </row>
    <row r="10551" spans="1:15" ht="25.5" x14ac:dyDescent="0.2">
      <c r="A10551" s="197" t="str">
        <f t="shared" si="164"/>
        <v>SeaCode_landwardSlopeCanyon</v>
      </c>
      <c r="B10551" s="409"/>
      <c r="C10551" s="416"/>
      <c r="D10551" s="198" t="s">
        <v>55060</v>
      </c>
      <c r="E10551" s="198">
        <v>112</v>
      </c>
      <c r="F10551" s="199" t="s">
        <v>55061</v>
      </c>
      <c r="G10551" s="1" t="s">
        <v>55062</v>
      </c>
      <c r="H10551" s="200"/>
      <c r="I10551" s="351" t="s">
        <v>55063</v>
      </c>
      <c r="J10551" s="39">
        <v>119334</v>
      </c>
      <c r="K10551" s="36" t="str">
        <f>CONCATENATE(Cover!$D$6,"fdd/view?i=",J10551)</f>
        <v>https://www.dgiwg.org/FAD/fdd/view?i=119334</v>
      </c>
      <c r="L10551" s="36" t="s">
        <v>55064</v>
      </c>
      <c r="M10551" s="186"/>
      <c r="N10551" s="186"/>
      <c r="O10551" s="172"/>
    </row>
    <row r="10552" spans="1:15" ht="25.5" x14ac:dyDescent="0.2">
      <c r="A10552" s="197" t="str">
        <f t="shared" si="164"/>
        <v>SeaCode_landwardUpperSlope</v>
      </c>
      <c r="B10552" s="409"/>
      <c r="C10552" s="416"/>
      <c r="D10552" s="198" t="s">
        <v>55065</v>
      </c>
      <c r="E10552" s="198">
        <v>113</v>
      </c>
      <c r="F10552" s="199" t="s">
        <v>55066</v>
      </c>
      <c r="G10552" s="1" t="s">
        <v>55067</v>
      </c>
      <c r="H10552" s="200"/>
      <c r="I10552" s="346"/>
      <c r="J10552" s="39">
        <v>119335</v>
      </c>
      <c r="K10552" s="36" t="str">
        <f>CONCATENATE(Cover!$D$6,"fdd/view?i=",J10552)</f>
        <v>https://www.dgiwg.org/FAD/fdd/view?i=119335</v>
      </c>
      <c r="L10552" s="36" t="s">
        <v>55068</v>
      </c>
      <c r="M10552" s="186"/>
      <c r="N10552" s="186"/>
      <c r="O10552" s="172"/>
    </row>
    <row r="10553" spans="1:15" x14ac:dyDescent="0.2">
      <c r="A10553" s="197" t="str">
        <f t="shared" si="164"/>
        <v>SeaCode_ledge</v>
      </c>
      <c r="B10553" s="409"/>
      <c r="C10553" s="416"/>
      <c r="D10553" s="198" t="s">
        <v>55069</v>
      </c>
      <c r="E10553" s="198">
        <v>12</v>
      </c>
      <c r="F10553" s="199" t="s">
        <v>55070</v>
      </c>
      <c r="G10553" s="1" t="s">
        <v>55071</v>
      </c>
      <c r="H10553" s="200"/>
      <c r="I10553" s="346"/>
      <c r="J10553" s="39">
        <v>107506</v>
      </c>
      <c r="K10553" s="36" t="str">
        <f>CONCATENATE(Cover!$D$6,"fdd/view?i=",J10553)</f>
        <v>https://www.dgiwg.org/FAD/fdd/view?i=107506</v>
      </c>
      <c r="L10553" s="36" t="s">
        <v>55072</v>
      </c>
      <c r="M10553" s="186"/>
      <c r="N10553" s="186"/>
      <c r="O10553" s="172"/>
    </row>
    <row r="10554" spans="1:15" ht="25.5" x14ac:dyDescent="0.2">
      <c r="A10554" s="197" t="str">
        <f t="shared" si="164"/>
        <v>SeaCode_levee</v>
      </c>
      <c r="B10554" s="409"/>
      <c r="C10554" s="416"/>
      <c r="D10554" s="198" t="s">
        <v>29272</v>
      </c>
      <c r="E10554" s="198">
        <v>39</v>
      </c>
      <c r="F10554" s="199" t="s">
        <v>29273</v>
      </c>
      <c r="G10554" s="1" t="s">
        <v>55073</v>
      </c>
      <c r="H10554" s="200"/>
      <c r="I10554" s="346"/>
      <c r="J10554" s="39">
        <v>107533</v>
      </c>
      <c r="K10554" s="36" t="str">
        <f>CONCATENATE(Cover!$D$6,"fdd/view?i=",J10554)</f>
        <v>https://www.dgiwg.org/FAD/fdd/view?i=107533</v>
      </c>
      <c r="L10554" s="36" t="s">
        <v>55074</v>
      </c>
      <c r="M10554" s="186"/>
      <c r="N10554" s="186"/>
      <c r="O10554" s="172"/>
    </row>
    <row r="10555" spans="1:15" x14ac:dyDescent="0.2">
      <c r="A10555" s="197" t="str">
        <f t="shared" si="164"/>
        <v>SeaCode_lowlands</v>
      </c>
      <c r="B10555" s="409"/>
      <c r="C10555" s="416"/>
      <c r="D10555" s="198" t="s">
        <v>55075</v>
      </c>
      <c r="E10555" s="198">
        <v>57</v>
      </c>
      <c r="F10555" s="199" t="s">
        <v>55076</v>
      </c>
      <c r="G10555" s="200"/>
      <c r="H10555" s="200"/>
      <c r="I10555" s="346"/>
      <c r="J10555" s="39">
        <v>107551</v>
      </c>
      <c r="K10555" s="36" t="str">
        <f>CONCATENATE(Cover!$D$6,"fdd/view?i=",J10555)</f>
        <v>https://www.dgiwg.org/FAD/fdd/view?i=107551</v>
      </c>
      <c r="L10555" s="36" t="s">
        <v>55077</v>
      </c>
      <c r="M10555" s="186"/>
      <c r="N10555" s="186"/>
      <c r="O10555" s="172"/>
    </row>
    <row r="10556" spans="1:15" ht="25.5" x14ac:dyDescent="0.2">
      <c r="A10556" s="197" t="str">
        <f t="shared" si="164"/>
        <v>SeaCode_magneticAnomaly</v>
      </c>
      <c r="B10556" s="409"/>
      <c r="C10556" s="416"/>
      <c r="D10556" s="198" t="s">
        <v>55078</v>
      </c>
      <c r="E10556" s="198">
        <v>65</v>
      </c>
      <c r="F10556" s="199" t="s">
        <v>55079</v>
      </c>
      <c r="G10556" s="1" t="s">
        <v>55080</v>
      </c>
      <c r="H10556" s="200"/>
      <c r="I10556" s="346"/>
      <c r="J10556" s="39">
        <v>107559</v>
      </c>
      <c r="K10556" s="36" t="str">
        <f>CONCATENATE(Cover!$D$6,"fdd/view?i=",J10556)</f>
        <v>https://www.dgiwg.org/FAD/fdd/view?i=107559</v>
      </c>
      <c r="L10556" s="36" t="s">
        <v>55081</v>
      </c>
      <c r="M10556" s="186"/>
      <c r="N10556" s="186"/>
      <c r="O10556" s="172"/>
    </row>
    <row r="10557" spans="1:15" ht="25.5" x14ac:dyDescent="0.2">
      <c r="A10557" s="197" t="str">
        <f t="shared" si="164"/>
        <v>SeaCode_marginalEscarpment</v>
      </c>
      <c r="B10557" s="409"/>
      <c r="C10557" s="416"/>
      <c r="D10557" s="198" t="s">
        <v>55082</v>
      </c>
      <c r="E10557" s="198">
        <v>114</v>
      </c>
      <c r="F10557" s="199" t="s">
        <v>55083</v>
      </c>
      <c r="G10557" s="1" t="s">
        <v>55084</v>
      </c>
      <c r="H10557" s="200"/>
      <c r="I10557" s="346"/>
      <c r="J10557" s="39">
        <v>119336</v>
      </c>
      <c r="K10557" s="36" t="str">
        <f>CONCATENATE(Cover!$D$6,"fdd/view?i=",J10557)</f>
        <v>https://www.dgiwg.org/FAD/fdd/view?i=119336</v>
      </c>
      <c r="L10557" s="36" t="s">
        <v>55085</v>
      </c>
      <c r="M10557" s="186"/>
      <c r="N10557" s="186"/>
      <c r="O10557" s="172"/>
    </row>
    <row r="10558" spans="1:15" ht="25.5" x14ac:dyDescent="0.2">
      <c r="A10558" s="197" t="str">
        <f t="shared" si="164"/>
        <v>SeaCode_marginalPlateau</v>
      </c>
      <c r="B10558" s="409"/>
      <c r="C10558" s="416"/>
      <c r="D10558" s="198" t="s">
        <v>55086</v>
      </c>
      <c r="E10558" s="198">
        <v>115</v>
      </c>
      <c r="F10558" s="199" t="s">
        <v>55087</v>
      </c>
      <c r="G10558" s="1" t="s">
        <v>55088</v>
      </c>
      <c r="H10558" s="200"/>
      <c r="I10558" s="346"/>
      <c r="J10558" s="39">
        <v>119337</v>
      </c>
      <c r="K10558" s="36" t="str">
        <f>CONCATENATE(Cover!$D$6,"fdd/view?i=",J10558)</f>
        <v>https://www.dgiwg.org/FAD/fdd/view?i=119337</v>
      </c>
      <c r="L10558" s="36" t="s">
        <v>55089</v>
      </c>
      <c r="M10558" s="186"/>
      <c r="N10558" s="186"/>
      <c r="O10558" s="172"/>
    </row>
    <row r="10559" spans="1:15" ht="25.5" x14ac:dyDescent="0.2">
      <c r="A10559" s="197" t="str">
        <f t="shared" si="164"/>
        <v>SeaCode_medianValley</v>
      </c>
      <c r="B10559" s="409"/>
      <c r="C10559" s="416"/>
      <c r="D10559" s="198" t="s">
        <v>55090</v>
      </c>
      <c r="E10559" s="198">
        <v>40</v>
      </c>
      <c r="F10559" s="199" t="s">
        <v>55091</v>
      </c>
      <c r="G10559" s="1" t="s">
        <v>55092</v>
      </c>
      <c r="H10559" s="200"/>
      <c r="I10559" s="346"/>
      <c r="J10559" s="39">
        <v>107534</v>
      </c>
      <c r="K10559" s="36" t="str">
        <f>CONCATENATE(Cover!$D$6,"fdd/view?i=",J10559)</f>
        <v>https://www.dgiwg.org/FAD/fdd/view?i=107534</v>
      </c>
      <c r="L10559" s="36" t="s">
        <v>55093</v>
      </c>
      <c r="M10559" s="186"/>
      <c r="N10559" s="186"/>
      <c r="O10559" s="172"/>
    </row>
    <row r="10560" spans="1:15" ht="25.5" x14ac:dyDescent="0.2">
      <c r="A10560" s="197" t="str">
        <f t="shared" si="164"/>
        <v>SeaCode_mesa</v>
      </c>
      <c r="B10560" s="409"/>
      <c r="C10560" s="416"/>
      <c r="D10560" s="198" t="s">
        <v>47587</v>
      </c>
      <c r="E10560" s="198">
        <v>89</v>
      </c>
      <c r="F10560" s="199" t="s">
        <v>47588</v>
      </c>
      <c r="G10560" s="1" t="s">
        <v>55094</v>
      </c>
      <c r="H10560" s="200"/>
      <c r="I10560" s="346"/>
      <c r="J10560" s="39">
        <v>112815</v>
      </c>
      <c r="K10560" s="36" t="str">
        <f>CONCATENATE(Cover!$D$6,"fdd/view?i=",J10560)</f>
        <v>https://www.dgiwg.org/FAD/fdd/view?i=112815</v>
      </c>
      <c r="L10560" s="36" t="s">
        <v>55095</v>
      </c>
      <c r="M10560" s="186"/>
      <c r="N10560" s="186"/>
      <c r="O10560" s="172"/>
    </row>
    <row r="10561" spans="1:15" ht="76.5" x14ac:dyDescent="0.2">
      <c r="A10561" s="197" t="str">
        <f t="shared" si="164"/>
        <v>SeaCode_midOceanRidge</v>
      </c>
      <c r="B10561" s="409"/>
      <c r="C10561" s="416"/>
      <c r="D10561" s="198" t="s">
        <v>55096</v>
      </c>
      <c r="E10561" s="198">
        <v>117</v>
      </c>
      <c r="F10561" s="199" t="s">
        <v>55097</v>
      </c>
      <c r="G10561" s="1" t="s">
        <v>55098</v>
      </c>
      <c r="H10561" s="1" t="s">
        <v>55099</v>
      </c>
      <c r="I10561" s="346"/>
      <c r="J10561" s="39">
        <v>119338</v>
      </c>
      <c r="K10561" s="36" t="str">
        <f>CONCATENATE(Cover!$D$6,"fdd/view?i=",J10561)</f>
        <v>https://www.dgiwg.org/FAD/fdd/view?i=119338</v>
      </c>
      <c r="L10561" s="36" t="s">
        <v>55100</v>
      </c>
      <c r="M10561" s="186"/>
      <c r="N10561" s="186"/>
      <c r="O10561" s="172"/>
    </row>
    <row r="10562" spans="1:15" ht="25.5" x14ac:dyDescent="0.2">
      <c r="A10562" s="197" t="str">
        <f t="shared" ref="A10562:A10625" si="165">HYPERLINK(K10562,L10562)</f>
        <v>SeaCode_midSlopeTerrace</v>
      </c>
      <c r="B10562" s="409"/>
      <c r="C10562" s="416"/>
      <c r="D10562" s="198" t="s">
        <v>55101</v>
      </c>
      <c r="E10562" s="198">
        <v>118</v>
      </c>
      <c r="F10562" s="199" t="s">
        <v>55102</v>
      </c>
      <c r="G10562" s="1" t="s">
        <v>55103</v>
      </c>
      <c r="H10562" s="200"/>
      <c r="I10562" s="346"/>
      <c r="J10562" s="39">
        <v>119339</v>
      </c>
      <c r="K10562" s="36" t="str">
        <f>CONCATENATE(Cover!$D$6,"fdd/view?i=",J10562)</f>
        <v>https://www.dgiwg.org/FAD/fdd/view?i=119339</v>
      </c>
      <c r="L10562" s="36" t="s">
        <v>55104</v>
      </c>
      <c r="M10562" s="186"/>
      <c r="N10562" s="186"/>
      <c r="O10562" s="172"/>
    </row>
    <row r="10563" spans="1:15" ht="25.5" x14ac:dyDescent="0.2">
      <c r="A10563" s="197" t="str">
        <f t="shared" si="165"/>
        <v>SeaCode_moat</v>
      </c>
      <c r="B10563" s="409"/>
      <c r="C10563" s="416"/>
      <c r="D10563" s="198" t="s">
        <v>55105</v>
      </c>
      <c r="E10563" s="198">
        <v>41</v>
      </c>
      <c r="F10563" s="199" t="s">
        <v>4179</v>
      </c>
      <c r="G10563" s="1" t="s">
        <v>55106</v>
      </c>
      <c r="H10563" s="200"/>
      <c r="I10563" s="346"/>
      <c r="J10563" s="39">
        <v>107535</v>
      </c>
      <c r="K10563" s="36" t="str">
        <f>CONCATENATE(Cover!$D$6,"fdd/view?i=",J10563)</f>
        <v>https://www.dgiwg.org/FAD/fdd/view?i=107535</v>
      </c>
      <c r="L10563" s="36" t="s">
        <v>55107</v>
      </c>
      <c r="M10563" s="186"/>
      <c r="N10563" s="186"/>
      <c r="O10563" s="172"/>
    </row>
    <row r="10564" spans="1:15" x14ac:dyDescent="0.2">
      <c r="A10564" s="197" t="str">
        <f t="shared" si="165"/>
        <v>SeaCode_mound</v>
      </c>
      <c r="B10564" s="409"/>
      <c r="C10564" s="416"/>
      <c r="D10564" s="198" t="s">
        <v>29276</v>
      </c>
      <c r="E10564" s="198">
        <v>90</v>
      </c>
      <c r="F10564" s="199" t="s">
        <v>29277</v>
      </c>
      <c r="G10564" s="1" t="s">
        <v>55108</v>
      </c>
      <c r="H10564" s="200"/>
      <c r="I10564" s="346"/>
      <c r="J10564" s="39">
        <v>112816</v>
      </c>
      <c r="K10564" s="36" t="str">
        <f>CONCATENATE(Cover!$D$6,"fdd/view?i=",J10564)</f>
        <v>https://www.dgiwg.org/FAD/fdd/view?i=112816</v>
      </c>
      <c r="L10564" s="36" t="s">
        <v>55109</v>
      </c>
      <c r="M10564" s="186"/>
      <c r="N10564" s="186"/>
      <c r="O10564" s="172"/>
    </row>
    <row r="10565" spans="1:15" x14ac:dyDescent="0.2">
      <c r="A10565" s="197" t="str">
        <f t="shared" si="165"/>
        <v>SeaCode_mountains</v>
      </c>
      <c r="B10565" s="409"/>
      <c r="C10565" s="416"/>
      <c r="D10565" s="198" t="s">
        <v>36793</v>
      </c>
      <c r="E10565" s="198">
        <v>42</v>
      </c>
      <c r="F10565" s="199" t="s">
        <v>36794</v>
      </c>
      <c r="G10565" s="1" t="s">
        <v>55110</v>
      </c>
      <c r="H10565" s="200"/>
      <c r="I10565" s="346"/>
      <c r="J10565" s="39">
        <v>107536</v>
      </c>
      <c r="K10565" s="36" t="str">
        <f>CONCATENATE(Cover!$D$6,"fdd/view?i=",J10565)</f>
        <v>https://www.dgiwg.org/FAD/fdd/view?i=107536</v>
      </c>
      <c r="L10565" s="36" t="s">
        <v>55111</v>
      </c>
      <c r="M10565" s="186"/>
      <c r="N10565" s="186"/>
      <c r="O10565" s="172"/>
    </row>
    <row r="10566" spans="1:15" ht="25.5" x14ac:dyDescent="0.2">
      <c r="A10566" s="197" t="str">
        <f t="shared" si="165"/>
        <v>SeaCode_mudFlats</v>
      </c>
      <c r="B10566" s="409"/>
      <c r="C10566" s="416"/>
      <c r="D10566" s="198" t="s">
        <v>55112</v>
      </c>
      <c r="E10566" s="198">
        <v>10</v>
      </c>
      <c r="F10566" s="199" t="s">
        <v>55113</v>
      </c>
      <c r="G10566" s="1" t="s">
        <v>55114</v>
      </c>
      <c r="H10566" s="200"/>
      <c r="I10566" s="351" t="s">
        <v>55115</v>
      </c>
      <c r="J10566" s="39">
        <v>107504</v>
      </c>
      <c r="K10566" s="36" t="str">
        <f>CONCATENATE(Cover!$D$6,"fdd/view?i=",J10566)</f>
        <v>https://www.dgiwg.org/FAD/fdd/view?i=107504</v>
      </c>
      <c r="L10566" s="36" t="s">
        <v>55116</v>
      </c>
      <c r="M10566" s="186"/>
      <c r="N10566" s="186"/>
      <c r="O10566" s="172"/>
    </row>
    <row r="10567" spans="1:15" x14ac:dyDescent="0.2">
      <c r="A10567" s="197" t="str">
        <f t="shared" si="165"/>
        <v>SeaCode_narrows</v>
      </c>
      <c r="B10567" s="409"/>
      <c r="C10567" s="416"/>
      <c r="D10567" s="198" t="s">
        <v>55117</v>
      </c>
      <c r="E10567" s="198">
        <v>14</v>
      </c>
      <c r="F10567" s="199" t="s">
        <v>55118</v>
      </c>
      <c r="G10567" s="1" t="s">
        <v>55119</v>
      </c>
      <c r="H10567" s="200"/>
      <c r="I10567" s="346"/>
      <c r="J10567" s="39">
        <v>107508</v>
      </c>
      <c r="K10567" s="36" t="str">
        <f>CONCATENATE(Cover!$D$6,"fdd/view?i=",J10567)</f>
        <v>https://www.dgiwg.org/FAD/fdd/view?i=107508</v>
      </c>
      <c r="L10567" s="36" t="s">
        <v>55120</v>
      </c>
      <c r="M10567" s="186"/>
      <c r="N10567" s="186"/>
      <c r="O10567" s="172"/>
    </row>
    <row r="10568" spans="1:15" ht="25.5" x14ac:dyDescent="0.2">
      <c r="A10568" s="197" t="str">
        <f t="shared" si="165"/>
        <v>SeaCode_nearshore</v>
      </c>
      <c r="B10568" s="409"/>
      <c r="C10568" s="416"/>
      <c r="D10568" s="198" t="s">
        <v>55121</v>
      </c>
      <c r="E10568" s="198">
        <v>61</v>
      </c>
      <c r="F10568" s="199" t="s">
        <v>4281</v>
      </c>
      <c r="G10568" s="1" t="s">
        <v>55122</v>
      </c>
      <c r="H10568" s="1" t="s">
        <v>55123</v>
      </c>
      <c r="I10568" s="346"/>
      <c r="J10568" s="39">
        <v>107555</v>
      </c>
      <c r="K10568" s="36" t="str">
        <f>CONCATENATE(Cover!$D$6,"fdd/view?i=",J10568)</f>
        <v>https://www.dgiwg.org/FAD/fdd/view?i=107555</v>
      </c>
      <c r="L10568" s="36" t="s">
        <v>55124</v>
      </c>
      <c r="M10568" s="186"/>
      <c r="N10568" s="186"/>
      <c r="O10568" s="172"/>
    </row>
    <row r="10569" spans="1:15" ht="25.5" x14ac:dyDescent="0.2">
      <c r="A10569" s="197" t="str">
        <f t="shared" si="165"/>
        <v>SeaCode_ocean</v>
      </c>
      <c r="B10569" s="409"/>
      <c r="C10569" s="416"/>
      <c r="D10569" s="198" t="s">
        <v>42145</v>
      </c>
      <c r="E10569" s="198">
        <v>91</v>
      </c>
      <c r="F10569" s="199" t="s">
        <v>42146</v>
      </c>
      <c r="G10569" s="1" t="s">
        <v>55125</v>
      </c>
      <c r="H10569" s="200"/>
      <c r="I10569" s="346"/>
      <c r="J10569" s="39">
        <v>112817</v>
      </c>
      <c r="K10569" s="36" t="str">
        <f>CONCATENATE(Cover!$D$6,"fdd/view?i=",J10569)</f>
        <v>https://www.dgiwg.org/FAD/fdd/view?i=112817</v>
      </c>
      <c r="L10569" s="36" t="s">
        <v>55126</v>
      </c>
      <c r="M10569" s="186"/>
      <c r="N10569" s="186"/>
      <c r="O10569" s="172"/>
    </row>
    <row r="10570" spans="1:15" ht="51" x14ac:dyDescent="0.2">
      <c r="A10570" s="197" t="str">
        <f t="shared" si="165"/>
        <v>SeaCode_oceanBasinHills</v>
      </c>
      <c r="B10570" s="409"/>
      <c r="C10570" s="416"/>
      <c r="D10570" s="198" t="s">
        <v>55127</v>
      </c>
      <c r="E10570" s="198">
        <v>120</v>
      </c>
      <c r="F10570" s="199" t="s">
        <v>55128</v>
      </c>
      <c r="G10570" s="1" t="s">
        <v>55129</v>
      </c>
      <c r="H10570" s="200"/>
      <c r="I10570" s="346"/>
      <c r="J10570" s="39">
        <v>119340</v>
      </c>
      <c r="K10570" s="36" t="str">
        <f>CONCATENATE(Cover!$D$6,"fdd/view?i=",J10570)</f>
        <v>https://www.dgiwg.org/FAD/fdd/view?i=119340</v>
      </c>
      <c r="L10570" s="36" t="s">
        <v>55130</v>
      </c>
      <c r="M10570" s="186"/>
      <c r="N10570" s="186"/>
      <c r="O10570" s="172"/>
    </row>
    <row r="10571" spans="1:15" ht="25.5" x14ac:dyDescent="0.2">
      <c r="A10571" s="197" t="str">
        <f t="shared" si="165"/>
        <v>SeaCode_peak</v>
      </c>
      <c r="B10571" s="409"/>
      <c r="C10571" s="416"/>
      <c r="D10571" s="198" t="s">
        <v>34157</v>
      </c>
      <c r="E10571" s="198">
        <v>43</v>
      </c>
      <c r="F10571" s="199" t="s">
        <v>34158</v>
      </c>
      <c r="G10571" s="1" t="s">
        <v>55131</v>
      </c>
      <c r="H10571" s="200"/>
      <c r="I10571" s="346"/>
      <c r="J10571" s="39">
        <v>107537</v>
      </c>
      <c r="K10571" s="36" t="str">
        <f>CONCATENATE(Cover!$D$6,"fdd/view?i=",J10571)</f>
        <v>https://www.dgiwg.org/FAD/fdd/view?i=107537</v>
      </c>
      <c r="L10571" s="36" t="s">
        <v>55132</v>
      </c>
      <c r="M10571" s="186"/>
      <c r="N10571" s="186"/>
      <c r="O10571" s="172"/>
    </row>
    <row r="10572" spans="1:15" ht="38.25" x14ac:dyDescent="0.2">
      <c r="A10572" s="197" t="str">
        <f t="shared" si="165"/>
        <v>SeaCode_pinnacle</v>
      </c>
      <c r="B10572" s="409"/>
      <c r="C10572" s="416"/>
      <c r="D10572" s="198" t="s">
        <v>45860</v>
      </c>
      <c r="E10572" s="198">
        <v>19</v>
      </c>
      <c r="F10572" s="199" t="s">
        <v>45861</v>
      </c>
      <c r="G10572" s="1" t="s">
        <v>55133</v>
      </c>
      <c r="H10572" s="1" t="s">
        <v>55134</v>
      </c>
      <c r="I10572" s="346"/>
      <c r="J10572" s="39">
        <v>107513</v>
      </c>
      <c r="K10572" s="36" t="str">
        <f>CONCATENATE(Cover!$D$6,"fdd/view?i=",J10572)</f>
        <v>https://www.dgiwg.org/FAD/fdd/view?i=107513</v>
      </c>
      <c r="L10572" s="36" t="s">
        <v>55135</v>
      </c>
      <c r="M10572" s="186"/>
      <c r="N10572" s="186"/>
      <c r="O10572" s="172"/>
    </row>
    <row r="10573" spans="1:15" x14ac:dyDescent="0.2">
      <c r="A10573" s="197" t="str">
        <f t="shared" si="165"/>
        <v>SeaCode_plain</v>
      </c>
      <c r="B10573" s="409"/>
      <c r="C10573" s="416"/>
      <c r="D10573" s="198" t="s">
        <v>36812</v>
      </c>
      <c r="E10573" s="198">
        <v>93</v>
      </c>
      <c r="F10573" s="199" t="s">
        <v>36813</v>
      </c>
      <c r="G10573" s="1" t="s">
        <v>55136</v>
      </c>
      <c r="H10573" s="200"/>
      <c r="I10573" s="346"/>
      <c r="J10573" s="39">
        <v>112819</v>
      </c>
      <c r="K10573" s="36" t="str">
        <f>CONCATENATE(Cover!$D$6,"fdd/view?i=",J10573)</f>
        <v>https://www.dgiwg.org/FAD/fdd/view?i=112819</v>
      </c>
      <c r="L10573" s="36" t="s">
        <v>55137</v>
      </c>
      <c r="M10573" s="186"/>
      <c r="N10573" s="186"/>
      <c r="O10573" s="172"/>
    </row>
    <row r="10574" spans="1:15" ht="25.5" x14ac:dyDescent="0.2">
      <c r="A10574" s="197" t="str">
        <f t="shared" si="165"/>
        <v>SeaCode_plateau</v>
      </c>
      <c r="B10574" s="409"/>
      <c r="C10574" s="416"/>
      <c r="D10574" s="198" t="s">
        <v>36816</v>
      </c>
      <c r="E10574" s="198">
        <v>21</v>
      </c>
      <c r="F10574" s="199" t="s">
        <v>36765</v>
      </c>
      <c r="G10574" s="1" t="s">
        <v>55138</v>
      </c>
      <c r="H10574" s="200"/>
      <c r="I10574" s="346"/>
      <c r="J10574" s="39">
        <v>107515</v>
      </c>
      <c r="K10574" s="36" t="str">
        <f>CONCATENATE(Cover!$D$6,"fdd/view?i=",J10574)</f>
        <v>https://www.dgiwg.org/FAD/fdd/view?i=107515</v>
      </c>
      <c r="L10574" s="36" t="s">
        <v>55139</v>
      </c>
      <c r="M10574" s="186"/>
      <c r="N10574" s="186"/>
      <c r="O10574" s="172"/>
    </row>
    <row r="10575" spans="1:15" ht="25.5" x14ac:dyDescent="0.2">
      <c r="A10575" s="197" t="str">
        <f t="shared" si="165"/>
        <v>SeaCode_platform</v>
      </c>
      <c r="B10575" s="409"/>
      <c r="C10575" s="416"/>
      <c r="D10575" s="198" t="s">
        <v>42186</v>
      </c>
      <c r="E10575" s="198">
        <v>92</v>
      </c>
      <c r="F10575" s="199" t="s">
        <v>42187</v>
      </c>
      <c r="G10575" s="1" t="s">
        <v>55140</v>
      </c>
      <c r="H10575" s="200"/>
      <c r="I10575" s="346"/>
      <c r="J10575" s="39">
        <v>112818</v>
      </c>
      <c r="K10575" s="36" t="str">
        <f>CONCATENATE(Cover!$D$6,"fdd/view?i=",J10575)</f>
        <v>https://www.dgiwg.org/FAD/fdd/view?i=112818</v>
      </c>
      <c r="L10575" s="36" t="s">
        <v>55141</v>
      </c>
      <c r="M10575" s="186"/>
      <c r="N10575" s="186"/>
      <c r="O10575" s="172"/>
    </row>
    <row r="10576" spans="1:15" ht="25.5" x14ac:dyDescent="0.2">
      <c r="A10576" s="197" t="str">
        <f t="shared" si="165"/>
        <v>SeaCode_platformUpperSlope</v>
      </c>
      <c r="B10576" s="409"/>
      <c r="C10576" s="416"/>
      <c r="D10576" s="198" t="s">
        <v>55142</v>
      </c>
      <c r="E10576" s="198">
        <v>121</v>
      </c>
      <c r="F10576" s="199" t="s">
        <v>55143</v>
      </c>
      <c r="G10576" s="1" t="s">
        <v>55144</v>
      </c>
      <c r="H10576" s="200"/>
      <c r="I10576" s="346"/>
      <c r="J10576" s="39">
        <v>119341</v>
      </c>
      <c r="K10576" s="36" t="str">
        <f>CONCATENATE(Cover!$D$6,"fdd/view?i=",J10576)</f>
        <v>https://www.dgiwg.org/FAD/fdd/view?i=119341</v>
      </c>
      <c r="L10576" s="36" t="s">
        <v>55145</v>
      </c>
      <c r="M10576" s="186"/>
      <c r="N10576" s="186"/>
      <c r="O10576" s="172"/>
    </row>
    <row r="10577" spans="1:15" x14ac:dyDescent="0.2">
      <c r="A10577" s="197" t="str">
        <f t="shared" si="165"/>
        <v>SeaCode_pockmark</v>
      </c>
      <c r="B10577" s="409"/>
      <c r="C10577" s="416"/>
      <c r="D10577" s="198" t="s">
        <v>55146</v>
      </c>
      <c r="E10577" s="198">
        <v>73</v>
      </c>
      <c r="F10577" s="199" t="s">
        <v>55147</v>
      </c>
      <c r="G10577" s="1" t="s">
        <v>55148</v>
      </c>
      <c r="H10577" s="200"/>
      <c r="I10577" s="346"/>
      <c r="J10577" s="39">
        <v>107566</v>
      </c>
      <c r="K10577" s="36" t="str">
        <f>CONCATENATE(Cover!$D$6,"fdd/view?i=",J10577)</f>
        <v>https://www.dgiwg.org/FAD/fdd/view?i=107566</v>
      </c>
      <c r="L10577" s="36" t="s">
        <v>55149</v>
      </c>
      <c r="M10577" s="186"/>
      <c r="N10577" s="186"/>
      <c r="O10577" s="172"/>
    </row>
    <row r="10578" spans="1:15" ht="25.5" x14ac:dyDescent="0.2">
      <c r="A10578" s="197" t="str">
        <f t="shared" si="165"/>
        <v>SeaCode_promontory</v>
      </c>
      <c r="B10578" s="409"/>
      <c r="C10578" s="416"/>
      <c r="D10578" s="198" t="s">
        <v>47597</v>
      </c>
      <c r="E10578" s="198">
        <v>74</v>
      </c>
      <c r="F10578" s="199" t="s">
        <v>47598</v>
      </c>
      <c r="G10578" s="1" t="s">
        <v>55150</v>
      </c>
      <c r="H10578" s="1" t="s">
        <v>55151</v>
      </c>
      <c r="I10578" s="346"/>
      <c r="J10578" s="39">
        <v>112800</v>
      </c>
      <c r="K10578" s="36" t="str">
        <f>CONCATENATE(Cover!$D$6,"fdd/view?i=",J10578)</f>
        <v>https://www.dgiwg.org/FAD/fdd/view?i=112800</v>
      </c>
      <c r="L10578" s="36" t="s">
        <v>55152</v>
      </c>
      <c r="M10578" s="186"/>
      <c r="N10578" s="186"/>
      <c r="O10578" s="172"/>
    </row>
    <row r="10579" spans="1:15" ht="38.25" x14ac:dyDescent="0.2">
      <c r="A10579" s="197" t="str">
        <f t="shared" si="165"/>
        <v>SeaCode_province</v>
      </c>
      <c r="B10579" s="409"/>
      <c r="C10579" s="416"/>
      <c r="D10579" s="198" t="s">
        <v>26742</v>
      </c>
      <c r="E10579" s="198">
        <v>44</v>
      </c>
      <c r="F10579" s="199" t="s">
        <v>26743</v>
      </c>
      <c r="G10579" s="1" t="s">
        <v>55153</v>
      </c>
      <c r="H10579" s="200"/>
      <c r="I10579" s="346"/>
      <c r="J10579" s="39">
        <v>107538</v>
      </c>
      <c r="K10579" s="36" t="str">
        <f>CONCATENATE(Cover!$D$6,"fdd/view?i=",J10579)</f>
        <v>https://www.dgiwg.org/FAD/fdd/view?i=107538</v>
      </c>
      <c r="L10579" s="36" t="s">
        <v>55154</v>
      </c>
      <c r="M10579" s="186"/>
      <c r="N10579" s="186"/>
      <c r="O10579" s="172"/>
    </row>
    <row r="10580" spans="1:15" x14ac:dyDescent="0.2">
      <c r="A10580" s="197" t="str">
        <f t="shared" si="165"/>
        <v>SeaCode_ramp</v>
      </c>
      <c r="B10580" s="409"/>
      <c r="C10580" s="416"/>
      <c r="D10580" s="198" t="s">
        <v>46278</v>
      </c>
      <c r="E10580" s="198">
        <v>95</v>
      </c>
      <c r="F10580" s="199" t="s">
        <v>4668</v>
      </c>
      <c r="G10580" s="1" t="s">
        <v>55155</v>
      </c>
      <c r="H10580" s="200"/>
      <c r="I10580" s="346"/>
      <c r="J10580" s="39">
        <v>112821</v>
      </c>
      <c r="K10580" s="36" t="str">
        <f>CONCATENATE(Cover!$D$6,"fdd/view?i=",J10580)</f>
        <v>https://www.dgiwg.org/FAD/fdd/view?i=112821</v>
      </c>
      <c r="L10580" s="36" t="s">
        <v>55156</v>
      </c>
      <c r="M10580" s="186"/>
      <c r="N10580" s="186"/>
      <c r="O10580" s="172"/>
    </row>
    <row r="10581" spans="1:15" x14ac:dyDescent="0.2">
      <c r="A10581" s="197" t="str">
        <f t="shared" si="165"/>
        <v>SeaCode_range</v>
      </c>
      <c r="B10581" s="409"/>
      <c r="C10581" s="416"/>
      <c r="D10581" s="198" t="s">
        <v>20080</v>
      </c>
      <c r="E10581" s="198">
        <v>96</v>
      </c>
      <c r="F10581" s="199" t="s">
        <v>20081</v>
      </c>
      <c r="G10581" s="1" t="s">
        <v>55157</v>
      </c>
      <c r="H10581" s="200"/>
      <c r="I10581" s="346"/>
      <c r="J10581" s="39">
        <v>112822</v>
      </c>
      <c r="K10581" s="36" t="str">
        <f>CONCATENATE(Cover!$D$6,"fdd/view?i=",J10581)</f>
        <v>https://www.dgiwg.org/FAD/fdd/view?i=112822</v>
      </c>
      <c r="L10581" s="36" t="s">
        <v>55158</v>
      </c>
      <c r="M10581" s="186"/>
      <c r="N10581" s="186"/>
      <c r="O10581" s="172"/>
    </row>
    <row r="10582" spans="1:15" x14ac:dyDescent="0.2">
      <c r="A10582" s="197" t="str">
        <f t="shared" si="165"/>
        <v>SeaCode_ravine</v>
      </c>
      <c r="B10582" s="409"/>
      <c r="C10582" s="416"/>
      <c r="D10582" s="198" t="s">
        <v>36819</v>
      </c>
      <c r="E10582" s="198">
        <v>94</v>
      </c>
      <c r="F10582" s="199" t="s">
        <v>36820</v>
      </c>
      <c r="G10582" s="1" t="s">
        <v>55159</v>
      </c>
      <c r="H10582" s="200"/>
      <c r="I10582" s="346"/>
      <c r="J10582" s="39">
        <v>112820</v>
      </c>
      <c r="K10582" s="36" t="str">
        <f>CONCATENATE(Cover!$D$6,"fdd/view?i=",J10582)</f>
        <v>https://www.dgiwg.org/FAD/fdd/view?i=112820</v>
      </c>
      <c r="L10582" s="36" t="s">
        <v>55160</v>
      </c>
      <c r="M10582" s="186"/>
      <c r="N10582" s="186"/>
      <c r="O10582" s="172"/>
    </row>
    <row r="10583" spans="1:15" ht="25.5" x14ac:dyDescent="0.2">
      <c r="A10583" s="197" t="str">
        <f t="shared" si="165"/>
        <v>SeaCode_reach</v>
      </c>
      <c r="B10583" s="409"/>
      <c r="C10583" s="416"/>
      <c r="D10583" s="198" t="s">
        <v>55161</v>
      </c>
      <c r="E10583" s="198">
        <v>56</v>
      </c>
      <c r="F10583" s="199" t="s">
        <v>55162</v>
      </c>
      <c r="G10583" s="1" t="s">
        <v>55163</v>
      </c>
      <c r="H10583" s="200"/>
      <c r="I10583" s="346"/>
      <c r="J10583" s="39">
        <v>107550</v>
      </c>
      <c r="K10583" s="36" t="str">
        <f>CONCATENATE(Cover!$D$6,"fdd/view?i=",J10583)</f>
        <v>https://www.dgiwg.org/FAD/fdd/view?i=107550</v>
      </c>
      <c r="L10583" s="36" t="s">
        <v>55164</v>
      </c>
      <c r="M10583" s="186"/>
      <c r="N10583" s="186"/>
      <c r="O10583" s="172"/>
    </row>
    <row r="10584" spans="1:15" ht="25.5" x14ac:dyDescent="0.2">
      <c r="A10584" s="197" t="str">
        <f t="shared" si="165"/>
        <v>SeaCode_reef</v>
      </c>
      <c r="B10584" s="409"/>
      <c r="C10584" s="416"/>
      <c r="D10584" s="198" t="s">
        <v>55165</v>
      </c>
      <c r="E10584" s="198">
        <v>11</v>
      </c>
      <c r="F10584" s="199" t="s">
        <v>4690</v>
      </c>
      <c r="G10584" s="1" t="s">
        <v>55166</v>
      </c>
      <c r="H10584" s="200"/>
      <c r="I10584" s="346"/>
      <c r="J10584" s="39">
        <v>107505</v>
      </c>
      <c r="K10584" s="36" t="str">
        <f>CONCATENATE(Cover!$D$6,"fdd/view?i=",J10584)</f>
        <v>https://www.dgiwg.org/FAD/fdd/view?i=107505</v>
      </c>
      <c r="L10584" s="36" t="s">
        <v>55167</v>
      </c>
      <c r="M10584" s="186"/>
      <c r="N10584" s="186"/>
      <c r="O10584" s="172"/>
    </row>
    <row r="10585" spans="1:15" ht="25.5" x14ac:dyDescent="0.2">
      <c r="A10585" s="197" t="str">
        <f t="shared" si="165"/>
        <v>SeaCode_ridge</v>
      </c>
      <c r="B10585" s="409"/>
      <c r="C10585" s="416"/>
      <c r="D10585" s="198" t="s">
        <v>36824</v>
      </c>
      <c r="E10585" s="198">
        <v>17</v>
      </c>
      <c r="F10585" s="199" t="s">
        <v>36825</v>
      </c>
      <c r="G10585" s="1" t="s">
        <v>55168</v>
      </c>
      <c r="H10585" s="200"/>
      <c r="I10585" s="351" t="s">
        <v>55169</v>
      </c>
      <c r="J10585" s="39">
        <v>107511</v>
      </c>
      <c r="K10585" s="36" t="str">
        <f>CONCATENATE(Cover!$D$6,"fdd/view?i=",J10585)</f>
        <v>https://www.dgiwg.org/FAD/fdd/view?i=107511</v>
      </c>
      <c r="L10585" s="36" t="s">
        <v>55170</v>
      </c>
      <c r="M10585" s="186"/>
      <c r="N10585" s="186"/>
      <c r="O10585" s="172"/>
    </row>
    <row r="10586" spans="1:15" ht="38.25" x14ac:dyDescent="0.2">
      <c r="A10586" s="197" t="str">
        <f t="shared" si="165"/>
        <v>SeaCode_ridgesValleys</v>
      </c>
      <c r="B10586" s="409"/>
      <c r="C10586" s="416"/>
      <c r="D10586" s="198" t="s">
        <v>55171</v>
      </c>
      <c r="E10586" s="198">
        <v>122</v>
      </c>
      <c r="F10586" s="199" t="s">
        <v>55172</v>
      </c>
      <c r="G10586" s="1" t="s">
        <v>55173</v>
      </c>
      <c r="H10586" s="200"/>
      <c r="I10586" s="346"/>
      <c r="J10586" s="39">
        <v>119342</v>
      </c>
      <c r="K10586" s="36" t="str">
        <f>CONCATENATE(Cover!$D$6,"fdd/view?i=",J10586)</f>
        <v>https://www.dgiwg.org/FAD/fdd/view?i=119342</v>
      </c>
      <c r="L10586" s="36" t="s">
        <v>55174</v>
      </c>
      <c r="M10586" s="186"/>
      <c r="N10586" s="186"/>
      <c r="O10586" s="172"/>
    </row>
    <row r="10587" spans="1:15" ht="38.25" x14ac:dyDescent="0.2">
      <c r="A10587" s="197" t="str">
        <f t="shared" si="165"/>
        <v>SeaCode_ridgeValleyComplex</v>
      </c>
      <c r="B10587" s="409"/>
      <c r="C10587" s="416"/>
      <c r="D10587" s="198" t="s">
        <v>55175</v>
      </c>
      <c r="E10587" s="198">
        <v>123</v>
      </c>
      <c r="F10587" s="199" t="s">
        <v>55176</v>
      </c>
      <c r="G10587" s="1" t="s">
        <v>55177</v>
      </c>
      <c r="H10587" s="1" t="s">
        <v>55178</v>
      </c>
      <c r="I10587" s="346"/>
      <c r="J10587" s="39">
        <v>119343</v>
      </c>
      <c r="K10587" s="36" t="str">
        <f>CONCATENATE(Cover!$D$6,"fdd/view?i=",J10587)</f>
        <v>https://www.dgiwg.org/FAD/fdd/view?i=119343</v>
      </c>
      <c r="L10587" s="36" t="s">
        <v>55179</v>
      </c>
      <c r="M10587" s="186"/>
      <c r="N10587" s="186"/>
      <c r="O10587" s="172"/>
    </row>
    <row r="10588" spans="1:15" ht="25.5" x14ac:dyDescent="0.2">
      <c r="A10588" s="197" t="str">
        <f t="shared" si="165"/>
        <v>SeaCode_riftValley</v>
      </c>
      <c r="B10588" s="409"/>
      <c r="C10588" s="416"/>
      <c r="D10588" s="198" t="s">
        <v>55180</v>
      </c>
      <c r="E10588" s="198">
        <v>124</v>
      </c>
      <c r="F10588" s="199" t="s">
        <v>55181</v>
      </c>
      <c r="G10588" s="1" t="s">
        <v>55182</v>
      </c>
      <c r="H10588" s="1" t="s">
        <v>55183</v>
      </c>
      <c r="I10588" s="346"/>
      <c r="J10588" s="39">
        <v>119344</v>
      </c>
      <c r="K10588" s="36" t="str">
        <f>CONCATENATE(Cover!$D$6,"fdd/view?i=",J10588)</f>
        <v>https://www.dgiwg.org/FAD/fdd/view?i=119344</v>
      </c>
      <c r="L10588" s="36" t="s">
        <v>55184</v>
      </c>
      <c r="M10588" s="186"/>
      <c r="N10588" s="186"/>
      <c r="O10588" s="172"/>
    </row>
    <row r="10589" spans="1:15" ht="25.5" x14ac:dyDescent="0.2">
      <c r="A10589" s="197" t="str">
        <f t="shared" si="165"/>
        <v>SeaCode_ripple</v>
      </c>
      <c r="B10589" s="409"/>
      <c r="C10589" s="416"/>
      <c r="D10589" s="198" t="s">
        <v>46568</v>
      </c>
      <c r="E10589" s="198">
        <v>66</v>
      </c>
      <c r="F10589" s="199" t="s">
        <v>46569</v>
      </c>
      <c r="G10589" s="1" t="s">
        <v>55185</v>
      </c>
      <c r="H10589" s="200"/>
      <c r="I10589" s="346"/>
      <c r="J10589" s="39">
        <v>107560</v>
      </c>
      <c r="K10589" s="36" t="str">
        <f>CONCATENATE(Cover!$D$6,"fdd/view?i=",J10589)</f>
        <v>https://www.dgiwg.org/FAD/fdd/view?i=107560</v>
      </c>
      <c r="L10589" s="36" t="s">
        <v>55186</v>
      </c>
      <c r="M10589" s="186"/>
      <c r="N10589" s="186"/>
      <c r="O10589" s="172"/>
    </row>
    <row r="10590" spans="1:15" ht="38.25" x14ac:dyDescent="0.2">
      <c r="A10590" s="197" t="str">
        <f t="shared" si="165"/>
        <v>SeaCode_rise</v>
      </c>
      <c r="B10590" s="409"/>
      <c r="C10590" s="416"/>
      <c r="D10590" s="198" t="s">
        <v>55187</v>
      </c>
      <c r="E10590" s="198">
        <v>45</v>
      </c>
      <c r="F10590" s="199" t="s">
        <v>55188</v>
      </c>
      <c r="G10590" s="1" t="s">
        <v>55189</v>
      </c>
      <c r="H10590" s="1" t="s">
        <v>55190</v>
      </c>
      <c r="I10590" s="351" t="s">
        <v>55169</v>
      </c>
      <c r="J10590" s="39">
        <v>107539</v>
      </c>
      <c r="K10590" s="36" t="str">
        <f>CONCATENATE(Cover!$D$6,"fdd/view?i=",J10590)</f>
        <v>https://www.dgiwg.org/FAD/fdd/view?i=107539</v>
      </c>
      <c r="L10590" s="36" t="s">
        <v>55191</v>
      </c>
      <c r="M10590" s="186"/>
      <c r="N10590" s="186"/>
      <c r="O10590" s="172"/>
    </row>
    <row r="10591" spans="1:15" x14ac:dyDescent="0.2">
      <c r="A10591" s="197" t="str">
        <f t="shared" si="165"/>
        <v>SeaCode_river</v>
      </c>
      <c r="B10591" s="409"/>
      <c r="C10591" s="416"/>
      <c r="D10591" s="198" t="s">
        <v>35615</v>
      </c>
      <c r="E10591" s="198">
        <v>55</v>
      </c>
      <c r="F10591" s="199" t="s">
        <v>4750</v>
      </c>
      <c r="G10591" s="1" t="s">
        <v>55192</v>
      </c>
      <c r="H10591" s="200"/>
      <c r="I10591" s="346"/>
      <c r="J10591" s="39">
        <v>107549</v>
      </c>
      <c r="K10591" s="36" t="str">
        <f>CONCATENATE(Cover!$D$6,"fdd/view?i=",J10591)</f>
        <v>https://www.dgiwg.org/FAD/fdd/view?i=107549</v>
      </c>
      <c r="L10591" s="36" t="s">
        <v>55193</v>
      </c>
      <c r="M10591" s="186"/>
      <c r="N10591" s="186"/>
      <c r="O10591" s="172"/>
    </row>
    <row r="10592" spans="1:15" ht="25.5" x14ac:dyDescent="0.2">
      <c r="A10592" s="197" t="str">
        <f t="shared" si="165"/>
        <v>SeaCode_runnel</v>
      </c>
      <c r="B10592" s="409"/>
      <c r="C10592" s="416"/>
      <c r="D10592" s="198" t="s">
        <v>55194</v>
      </c>
      <c r="E10592" s="198">
        <v>67</v>
      </c>
      <c r="F10592" s="199" t="s">
        <v>55195</v>
      </c>
      <c r="G10592" s="1" t="s">
        <v>55196</v>
      </c>
      <c r="H10592" s="200"/>
      <c r="I10592" s="346"/>
      <c r="J10592" s="39">
        <v>107561</v>
      </c>
      <c r="K10592" s="36" t="str">
        <f>CONCATENATE(Cover!$D$6,"fdd/view?i=",J10592)</f>
        <v>https://www.dgiwg.org/FAD/fdd/view?i=107561</v>
      </c>
      <c r="L10592" s="36" t="s">
        <v>55197</v>
      </c>
      <c r="M10592" s="186"/>
      <c r="N10592" s="186"/>
      <c r="O10592" s="172"/>
    </row>
    <row r="10593" spans="1:15" ht="25.5" x14ac:dyDescent="0.2">
      <c r="A10593" s="197" t="str">
        <f t="shared" si="165"/>
        <v>SeaCode_saddle</v>
      </c>
      <c r="B10593" s="409"/>
      <c r="C10593" s="416"/>
      <c r="D10593" s="198" t="s">
        <v>47601</v>
      </c>
      <c r="E10593" s="198">
        <v>25</v>
      </c>
      <c r="F10593" s="199" t="s">
        <v>47602</v>
      </c>
      <c r="G10593" s="1" t="s">
        <v>55198</v>
      </c>
      <c r="H10593" s="200"/>
      <c r="I10593" s="346"/>
      <c r="J10593" s="39">
        <v>107519</v>
      </c>
      <c r="K10593" s="36" t="str">
        <f>CONCATENATE(Cover!$D$6,"fdd/view?i=",J10593)</f>
        <v>https://www.dgiwg.org/FAD/fdd/view?i=107519</v>
      </c>
      <c r="L10593" s="36" t="s">
        <v>55199</v>
      </c>
      <c r="M10593" s="186"/>
      <c r="N10593" s="186"/>
      <c r="O10593" s="172"/>
    </row>
    <row r="10594" spans="1:15" ht="25.5" x14ac:dyDescent="0.2">
      <c r="A10594" s="197" t="str">
        <f t="shared" si="165"/>
        <v>SeaCode_sandwave</v>
      </c>
      <c r="B10594" s="409"/>
      <c r="C10594" s="416"/>
      <c r="D10594" s="198" t="s">
        <v>55200</v>
      </c>
      <c r="E10594" s="198">
        <v>68</v>
      </c>
      <c r="F10594" s="199" t="s">
        <v>55201</v>
      </c>
      <c r="G10594" s="1" t="s">
        <v>55202</v>
      </c>
      <c r="H10594" s="200"/>
      <c r="I10594" s="346"/>
      <c r="J10594" s="39">
        <v>107562</v>
      </c>
      <c r="K10594" s="36" t="str">
        <f>CONCATENATE(Cover!$D$6,"fdd/view?i=",J10594)</f>
        <v>https://www.dgiwg.org/FAD/fdd/view?i=107562</v>
      </c>
      <c r="L10594" s="36" t="s">
        <v>55203</v>
      </c>
      <c r="M10594" s="186"/>
      <c r="N10594" s="186"/>
      <c r="O10594" s="172"/>
    </row>
    <row r="10595" spans="1:15" ht="25.5" x14ac:dyDescent="0.2">
      <c r="A10595" s="197" t="str">
        <f t="shared" si="165"/>
        <v>SeaCode_sea</v>
      </c>
      <c r="B10595" s="409"/>
      <c r="C10595" s="416"/>
      <c r="D10595" s="198" t="s">
        <v>55204</v>
      </c>
      <c r="E10595" s="198">
        <v>98</v>
      </c>
      <c r="F10595" s="199" t="s">
        <v>55205</v>
      </c>
      <c r="G10595" s="1" t="s">
        <v>55206</v>
      </c>
      <c r="H10595" s="200"/>
      <c r="I10595" s="346"/>
      <c r="J10595" s="39">
        <v>112824</v>
      </c>
      <c r="K10595" s="36" t="str">
        <f>CONCATENATE(Cover!$D$6,"fdd/view?i=",J10595)</f>
        <v>https://www.dgiwg.org/FAD/fdd/view?i=112824</v>
      </c>
      <c r="L10595" s="36" t="s">
        <v>55207</v>
      </c>
      <c r="M10595" s="186"/>
      <c r="N10595" s="186"/>
      <c r="O10595" s="172"/>
    </row>
    <row r="10596" spans="1:15" x14ac:dyDescent="0.2">
      <c r="A10596" s="197" t="str">
        <f t="shared" si="165"/>
        <v>SeaCode_seabedVent</v>
      </c>
      <c r="B10596" s="409"/>
      <c r="C10596" s="416"/>
      <c r="D10596" s="198" t="s">
        <v>55212</v>
      </c>
      <c r="E10596" s="198">
        <v>69</v>
      </c>
      <c r="F10596" s="199" t="s">
        <v>55213</v>
      </c>
      <c r="G10596" s="1" t="s">
        <v>55214</v>
      </c>
      <c r="H10596" s="200"/>
      <c r="I10596" s="346"/>
      <c r="J10596" s="39">
        <v>107563</v>
      </c>
      <c r="K10596" s="36" t="str">
        <f>CONCATENATE(Cover!$D$6,"fdd/view?i=",J10596)</f>
        <v>https://www.dgiwg.org/FAD/fdd/view?i=107563</v>
      </c>
      <c r="L10596" s="36" t="s">
        <v>55215</v>
      </c>
      <c r="M10596" s="186"/>
      <c r="N10596" s="186"/>
      <c r="O10596" s="172"/>
    </row>
    <row r="10597" spans="1:15" ht="38.25" x14ac:dyDescent="0.2">
      <c r="A10597" s="197" t="str">
        <f t="shared" si="165"/>
        <v>SeaCode_seaChannel</v>
      </c>
      <c r="B10597" s="409"/>
      <c r="C10597" s="416"/>
      <c r="D10597" s="198" t="s">
        <v>55208</v>
      </c>
      <c r="E10597" s="198">
        <v>46</v>
      </c>
      <c r="F10597" s="199" t="s">
        <v>55209</v>
      </c>
      <c r="G10597" s="1" t="s">
        <v>55210</v>
      </c>
      <c r="H10597" s="200"/>
      <c r="I10597" s="346"/>
      <c r="J10597" s="39">
        <v>107540</v>
      </c>
      <c r="K10597" s="36" t="str">
        <f>CONCATENATE(Cover!$D$6,"fdd/view?i=",J10597)</f>
        <v>https://www.dgiwg.org/FAD/fdd/view?i=107540</v>
      </c>
      <c r="L10597" s="36" t="s">
        <v>55211</v>
      </c>
      <c r="M10597" s="186"/>
      <c r="N10597" s="186"/>
      <c r="O10597" s="172"/>
    </row>
    <row r="10598" spans="1:15" ht="25.5" x14ac:dyDescent="0.2">
      <c r="A10598" s="197" t="str">
        <f t="shared" si="165"/>
        <v>SeaCode_seamount</v>
      </c>
      <c r="B10598" s="409"/>
      <c r="C10598" s="416"/>
      <c r="D10598" s="198" t="s">
        <v>55216</v>
      </c>
      <c r="E10598" s="198">
        <v>18</v>
      </c>
      <c r="F10598" s="199" t="s">
        <v>55217</v>
      </c>
      <c r="G10598" s="1" t="s">
        <v>55218</v>
      </c>
      <c r="H10598" s="200"/>
      <c r="I10598" s="346"/>
      <c r="J10598" s="39">
        <v>107512</v>
      </c>
      <c r="K10598" s="36" t="str">
        <f>CONCATENATE(Cover!$D$6,"fdd/view?i=",J10598)</f>
        <v>https://www.dgiwg.org/FAD/fdd/view?i=107512</v>
      </c>
      <c r="L10598" s="36" t="s">
        <v>55219</v>
      </c>
      <c r="M10598" s="186"/>
      <c r="N10598" s="186"/>
      <c r="O10598" s="172"/>
    </row>
    <row r="10599" spans="1:15" ht="25.5" x14ac:dyDescent="0.2">
      <c r="A10599" s="197" t="str">
        <f t="shared" si="165"/>
        <v>SeaCode_seamountChain</v>
      </c>
      <c r="B10599" s="409"/>
      <c r="C10599" s="416"/>
      <c r="D10599" s="198" t="s">
        <v>55220</v>
      </c>
      <c r="E10599" s="198">
        <v>47</v>
      </c>
      <c r="F10599" s="199" t="s">
        <v>55221</v>
      </c>
      <c r="G10599" s="1" t="s">
        <v>55222</v>
      </c>
      <c r="H10599" s="200"/>
      <c r="I10599" s="351" t="s">
        <v>55223</v>
      </c>
      <c r="J10599" s="39">
        <v>107541</v>
      </c>
      <c r="K10599" s="36" t="str">
        <f>CONCATENATE(Cover!$D$6,"fdd/view?i=",J10599)</f>
        <v>https://www.dgiwg.org/FAD/fdd/view?i=107541</v>
      </c>
      <c r="L10599" s="36" t="s">
        <v>55224</v>
      </c>
      <c r="M10599" s="186"/>
      <c r="N10599" s="186"/>
      <c r="O10599" s="172"/>
    </row>
    <row r="10600" spans="1:15" ht="38.25" x14ac:dyDescent="0.2">
      <c r="A10600" s="197" t="str">
        <f t="shared" si="165"/>
        <v>SeaCode_shelf</v>
      </c>
      <c r="B10600" s="409"/>
      <c r="C10600" s="416"/>
      <c r="D10600" s="198" t="s">
        <v>55225</v>
      </c>
      <c r="E10600" s="198">
        <v>23</v>
      </c>
      <c r="F10600" s="199" t="s">
        <v>55226</v>
      </c>
      <c r="G10600" s="1" t="s">
        <v>2603</v>
      </c>
      <c r="H10600" s="200"/>
      <c r="I10600" s="346"/>
      <c r="J10600" s="39">
        <v>107517</v>
      </c>
      <c r="K10600" s="36" t="str">
        <f>CONCATENATE(Cover!$D$6,"fdd/view?i=",J10600)</f>
        <v>https://www.dgiwg.org/FAD/fdd/view?i=107517</v>
      </c>
      <c r="L10600" s="36" t="s">
        <v>55227</v>
      </c>
      <c r="M10600" s="186"/>
      <c r="N10600" s="186"/>
      <c r="O10600" s="172"/>
    </row>
    <row r="10601" spans="1:15" ht="25.5" x14ac:dyDescent="0.2">
      <c r="A10601" s="197" t="str">
        <f t="shared" si="165"/>
        <v>SeaCode_shelfEdge</v>
      </c>
      <c r="B10601" s="409"/>
      <c r="C10601" s="416"/>
      <c r="D10601" s="198" t="s">
        <v>55232</v>
      </c>
      <c r="E10601" s="198">
        <v>48</v>
      </c>
      <c r="F10601" s="199" t="s">
        <v>55233</v>
      </c>
      <c r="G10601" s="1" t="s">
        <v>55234</v>
      </c>
      <c r="H10601" s="200"/>
      <c r="I10601" s="351" t="s">
        <v>55235</v>
      </c>
      <c r="J10601" s="39">
        <v>107542</v>
      </c>
      <c r="K10601" s="36" t="str">
        <f>CONCATENATE(Cover!$D$6,"fdd/view?i=",J10601)</f>
        <v>https://www.dgiwg.org/FAD/fdd/view?i=107542</v>
      </c>
      <c r="L10601" s="36" t="s">
        <v>55236</v>
      </c>
      <c r="M10601" s="186"/>
      <c r="N10601" s="186"/>
      <c r="O10601" s="172"/>
    </row>
    <row r="10602" spans="1:15" x14ac:dyDescent="0.2">
      <c r="A10602" s="197" t="str">
        <f t="shared" si="165"/>
        <v>SeaCode_shelfValley</v>
      </c>
      <c r="B10602" s="409"/>
      <c r="C10602" s="416"/>
      <c r="D10602" s="198" t="s">
        <v>55228</v>
      </c>
      <c r="E10602" s="198">
        <v>99</v>
      </c>
      <c r="F10602" s="199" t="s">
        <v>55229</v>
      </c>
      <c r="G10602" s="1" t="s">
        <v>55230</v>
      </c>
      <c r="H10602" s="200"/>
      <c r="I10602" s="346"/>
      <c r="J10602" s="39">
        <v>112825</v>
      </c>
      <c r="K10602" s="36" t="str">
        <f>CONCATENATE(Cover!$D$6,"fdd/view?i=",J10602)</f>
        <v>https://www.dgiwg.org/FAD/fdd/view?i=112825</v>
      </c>
      <c r="L10602" s="36" t="s">
        <v>55231</v>
      </c>
      <c r="M10602" s="186"/>
      <c r="N10602" s="186"/>
      <c r="O10602" s="172"/>
    </row>
    <row r="10603" spans="1:15" ht="25.5" x14ac:dyDescent="0.2">
      <c r="A10603" s="197" t="str">
        <f t="shared" si="165"/>
        <v>SeaCode_shoal</v>
      </c>
      <c r="B10603" s="409"/>
      <c r="C10603" s="416"/>
      <c r="D10603" s="198" t="s">
        <v>55237</v>
      </c>
      <c r="E10603" s="198">
        <v>15</v>
      </c>
      <c r="F10603" s="199" t="s">
        <v>55238</v>
      </c>
      <c r="G10603" s="1" t="s">
        <v>55239</v>
      </c>
      <c r="H10603" s="200"/>
      <c r="I10603" s="346"/>
      <c r="J10603" s="39">
        <v>107509</v>
      </c>
      <c r="K10603" s="36" t="str">
        <f>CONCATENATE(Cover!$D$6,"fdd/view?i=",J10603)</f>
        <v>https://www.dgiwg.org/FAD/fdd/view?i=107509</v>
      </c>
      <c r="L10603" s="36" t="s">
        <v>55240</v>
      </c>
      <c r="M10603" s="186"/>
      <c r="N10603" s="186"/>
      <c r="O10603" s="172"/>
    </row>
    <row r="10604" spans="1:15" ht="25.5" x14ac:dyDescent="0.2">
      <c r="A10604" s="197" t="str">
        <f t="shared" si="165"/>
        <v>SeaCode_sill</v>
      </c>
      <c r="B10604" s="409"/>
      <c r="C10604" s="416"/>
      <c r="D10604" s="198" t="s">
        <v>55241</v>
      </c>
      <c r="E10604" s="198">
        <v>49</v>
      </c>
      <c r="F10604" s="199" t="s">
        <v>55242</v>
      </c>
      <c r="G10604" s="1" t="s">
        <v>55243</v>
      </c>
      <c r="H10604" s="200"/>
      <c r="I10604" s="346"/>
      <c r="J10604" s="39">
        <v>107543</v>
      </c>
      <c r="K10604" s="36" t="str">
        <f>CONCATENATE(Cover!$D$6,"fdd/view?i=",J10604)</f>
        <v>https://www.dgiwg.org/FAD/fdd/view?i=107543</v>
      </c>
      <c r="L10604" s="36" t="s">
        <v>55244</v>
      </c>
      <c r="M10604" s="186"/>
      <c r="N10604" s="186"/>
      <c r="O10604" s="172"/>
    </row>
    <row r="10605" spans="1:15" ht="38.25" x14ac:dyDescent="0.2">
      <c r="A10605" s="197" t="str">
        <f t="shared" si="165"/>
        <v>SeaCode_slope</v>
      </c>
      <c r="B10605" s="409"/>
      <c r="C10605" s="416"/>
      <c r="D10605" s="198" t="s">
        <v>27899</v>
      </c>
      <c r="E10605" s="198">
        <v>50</v>
      </c>
      <c r="F10605" s="199" t="s">
        <v>27900</v>
      </c>
      <c r="G10605" s="1" t="s">
        <v>55245</v>
      </c>
      <c r="H10605" s="200"/>
      <c r="I10605" s="346"/>
      <c r="J10605" s="39">
        <v>107544</v>
      </c>
      <c r="K10605" s="36" t="str">
        <f>CONCATENATE(Cover!$D$6,"fdd/view?i=",J10605)</f>
        <v>https://www.dgiwg.org/FAD/fdd/view?i=107544</v>
      </c>
      <c r="L10605" s="36" t="s">
        <v>55246</v>
      </c>
      <c r="M10605" s="186"/>
      <c r="N10605" s="186"/>
      <c r="O10605" s="172"/>
    </row>
    <row r="10606" spans="1:15" ht="25.5" x14ac:dyDescent="0.2">
      <c r="A10606" s="197" t="str">
        <f t="shared" si="165"/>
        <v>SeaCode_slopeBasin</v>
      </c>
      <c r="B10606" s="409"/>
      <c r="C10606" s="416"/>
      <c r="D10606" s="198" t="s">
        <v>55247</v>
      </c>
      <c r="E10606" s="198">
        <v>125</v>
      </c>
      <c r="F10606" s="199" t="s">
        <v>55248</v>
      </c>
      <c r="G10606" s="1" t="s">
        <v>55249</v>
      </c>
      <c r="H10606" s="200"/>
      <c r="I10606" s="346"/>
      <c r="J10606" s="39">
        <v>119345</v>
      </c>
      <c r="K10606" s="36" t="str">
        <f>CONCATENATE(Cover!$D$6,"fdd/view?i=",J10606)</f>
        <v>https://www.dgiwg.org/FAD/fdd/view?i=119345</v>
      </c>
      <c r="L10606" s="36" t="s">
        <v>55250</v>
      </c>
      <c r="M10606" s="186"/>
      <c r="N10606" s="186"/>
      <c r="O10606" s="172"/>
    </row>
    <row r="10607" spans="1:15" ht="38.25" x14ac:dyDescent="0.2">
      <c r="A10607" s="197" t="str">
        <f t="shared" si="165"/>
        <v>SeaCode_slump</v>
      </c>
      <c r="B10607" s="409"/>
      <c r="C10607" s="416"/>
      <c r="D10607" s="198" t="s">
        <v>55251</v>
      </c>
      <c r="E10607" s="198">
        <v>126</v>
      </c>
      <c r="F10607" s="199" t="s">
        <v>55252</v>
      </c>
      <c r="G10607" s="1" t="s">
        <v>55253</v>
      </c>
      <c r="H10607" s="200"/>
      <c r="I10607" s="346"/>
      <c r="J10607" s="39">
        <v>119346</v>
      </c>
      <c r="K10607" s="36" t="str">
        <f>CONCATENATE(Cover!$D$6,"fdd/view?i=",J10607)</f>
        <v>https://www.dgiwg.org/FAD/fdd/view?i=119346</v>
      </c>
      <c r="L10607" s="36" t="s">
        <v>55254</v>
      </c>
      <c r="M10607" s="186"/>
      <c r="N10607" s="186"/>
      <c r="O10607" s="172"/>
    </row>
    <row r="10608" spans="1:15" ht="38.25" x14ac:dyDescent="0.2">
      <c r="A10608" s="197" t="str">
        <f t="shared" si="165"/>
        <v>SeaCode_sound</v>
      </c>
      <c r="B10608" s="409"/>
      <c r="C10608" s="416"/>
      <c r="D10608" s="198" t="s">
        <v>55255</v>
      </c>
      <c r="E10608" s="198">
        <v>97</v>
      </c>
      <c r="F10608" s="199" t="s">
        <v>55256</v>
      </c>
      <c r="G10608" s="1" t="s">
        <v>55257</v>
      </c>
      <c r="H10608" s="200"/>
      <c r="I10608" s="346"/>
      <c r="J10608" s="39">
        <v>112823</v>
      </c>
      <c r="K10608" s="36" t="str">
        <f>CONCATENATE(Cover!$D$6,"fdd/view?i=",J10608)</f>
        <v>https://www.dgiwg.org/FAD/fdd/view?i=112823</v>
      </c>
      <c r="L10608" s="36" t="s">
        <v>55258</v>
      </c>
      <c r="M10608" s="186"/>
      <c r="N10608" s="186"/>
      <c r="O10608" s="172"/>
    </row>
    <row r="10609" spans="1:15" ht="25.5" x14ac:dyDescent="0.2">
      <c r="A10609" s="197" t="str">
        <f t="shared" si="165"/>
        <v>SeaCode_springs</v>
      </c>
      <c r="B10609" s="409"/>
      <c r="C10609" s="416"/>
      <c r="D10609" s="198" t="s">
        <v>55259</v>
      </c>
      <c r="E10609" s="198">
        <v>70</v>
      </c>
      <c r="F10609" s="199" t="s">
        <v>55260</v>
      </c>
      <c r="G10609" s="1" t="s">
        <v>55261</v>
      </c>
      <c r="H10609" s="1" t="s">
        <v>55262</v>
      </c>
      <c r="I10609" s="346"/>
      <c r="J10609" s="39">
        <v>107564</v>
      </c>
      <c r="K10609" s="36" t="str">
        <f>CONCATENATE(Cover!$D$6,"fdd/view?i=",J10609)</f>
        <v>https://www.dgiwg.org/FAD/fdd/view?i=107564</v>
      </c>
      <c r="L10609" s="36" t="s">
        <v>55263</v>
      </c>
      <c r="M10609" s="186"/>
      <c r="N10609" s="186"/>
      <c r="O10609" s="172"/>
    </row>
    <row r="10610" spans="1:15" ht="25.5" x14ac:dyDescent="0.2">
      <c r="A10610" s="197" t="str">
        <f t="shared" si="165"/>
        <v>SeaCode_spur</v>
      </c>
      <c r="B10610" s="409"/>
      <c r="C10610" s="416"/>
      <c r="D10610" s="198" t="s">
        <v>24443</v>
      </c>
      <c r="E10610" s="198">
        <v>22</v>
      </c>
      <c r="F10610" s="199" t="s">
        <v>24444</v>
      </c>
      <c r="G10610" s="1" t="s">
        <v>55264</v>
      </c>
      <c r="H10610" s="200"/>
      <c r="I10610" s="346"/>
      <c r="J10610" s="39">
        <v>107516</v>
      </c>
      <c r="K10610" s="36" t="str">
        <f>CONCATENATE(Cover!$D$6,"fdd/view?i=",J10610)</f>
        <v>https://www.dgiwg.org/FAD/fdd/view?i=107516</v>
      </c>
      <c r="L10610" s="36" t="s">
        <v>55265</v>
      </c>
      <c r="M10610" s="186"/>
      <c r="N10610" s="186"/>
      <c r="O10610" s="172"/>
    </row>
    <row r="10611" spans="1:15" ht="25.5" x14ac:dyDescent="0.2">
      <c r="A10611" s="197" t="str">
        <f t="shared" si="165"/>
        <v>SeaCode_strait</v>
      </c>
      <c r="B10611" s="409"/>
      <c r="C10611" s="416"/>
      <c r="D10611" s="198" t="s">
        <v>55266</v>
      </c>
      <c r="E10611" s="198">
        <v>100</v>
      </c>
      <c r="F10611" s="199" t="s">
        <v>55267</v>
      </c>
      <c r="G10611" s="1" t="s">
        <v>55268</v>
      </c>
      <c r="H10611" s="200"/>
      <c r="I10611" s="346"/>
      <c r="J10611" s="39">
        <v>112797</v>
      </c>
      <c r="K10611" s="36" t="str">
        <f>CONCATENATE(Cover!$D$6,"fdd/view?i=",J10611)</f>
        <v>https://www.dgiwg.org/FAD/fdd/view?i=112797</v>
      </c>
      <c r="L10611" s="36" t="s">
        <v>55269</v>
      </c>
      <c r="M10611" s="186"/>
      <c r="N10611" s="186"/>
      <c r="O10611" s="172"/>
    </row>
    <row r="10612" spans="1:15" ht="38.25" x14ac:dyDescent="0.2">
      <c r="A10612" s="197" t="str">
        <f t="shared" si="165"/>
        <v>SeaCode_terrace</v>
      </c>
      <c r="B10612" s="409"/>
      <c r="C10612" s="416"/>
      <c r="D10612" s="198" t="s">
        <v>35988</v>
      </c>
      <c r="E10612" s="198">
        <v>51</v>
      </c>
      <c r="F10612" s="199" t="s">
        <v>35989</v>
      </c>
      <c r="G10612" s="1" t="s">
        <v>55270</v>
      </c>
      <c r="H10612" s="200"/>
      <c r="I10612" s="351" t="s">
        <v>2243</v>
      </c>
      <c r="J10612" s="39">
        <v>107545</v>
      </c>
      <c r="K10612" s="36" t="str">
        <f>CONCATENATE(Cover!$D$6,"fdd/view?i=",J10612)</f>
        <v>https://www.dgiwg.org/FAD/fdd/view?i=107545</v>
      </c>
      <c r="L10612" s="36" t="s">
        <v>55271</v>
      </c>
      <c r="M10612" s="186"/>
      <c r="N10612" s="186"/>
      <c r="O10612" s="172"/>
    </row>
    <row r="10613" spans="1:15" ht="25.5" x14ac:dyDescent="0.2">
      <c r="A10613" s="197" t="str">
        <f t="shared" si="165"/>
        <v>SeaCode_thermalVent</v>
      </c>
      <c r="B10613" s="409"/>
      <c r="C10613" s="416"/>
      <c r="D10613" s="198" t="s">
        <v>55272</v>
      </c>
      <c r="E10613" s="198">
        <v>71</v>
      </c>
      <c r="F10613" s="199" t="s">
        <v>55273</v>
      </c>
      <c r="G10613" s="1" t="s">
        <v>55274</v>
      </c>
      <c r="H10613" s="200"/>
      <c r="I10613" s="346"/>
      <c r="J10613" s="39">
        <v>107565</v>
      </c>
      <c r="K10613" s="36" t="str">
        <f>CONCATENATE(Cover!$D$6,"fdd/view?i=",J10613)</f>
        <v>https://www.dgiwg.org/FAD/fdd/view?i=107565</v>
      </c>
      <c r="L10613" s="36" t="s">
        <v>55275</v>
      </c>
      <c r="M10613" s="186"/>
      <c r="N10613" s="186"/>
      <c r="O10613" s="172"/>
    </row>
    <row r="10614" spans="1:15" ht="25.5" x14ac:dyDescent="0.2">
      <c r="A10614" s="197" t="str">
        <f t="shared" si="165"/>
        <v>SeaCode_tidalFlat</v>
      </c>
      <c r="B10614" s="409"/>
      <c r="C10614" s="416"/>
      <c r="D10614" s="198" t="s">
        <v>52134</v>
      </c>
      <c r="E10614" s="198">
        <v>8</v>
      </c>
      <c r="F10614" s="199" t="s">
        <v>52135</v>
      </c>
      <c r="G10614" s="1" t="s">
        <v>55276</v>
      </c>
      <c r="H10614" s="200"/>
      <c r="I10614" s="346"/>
      <c r="J10614" s="39">
        <v>107502</v>
      </c>
      <c r="K10614" s="36" t="str">
        <f>CONCATENATE(Cover!$D$6,"fdd/view?i=",J10614)</f>
        <v>https://www.dgiwg.org/FAD/fdd/view?i=107502</v>
      </c>
      <c r="L10614" s="36" t="s">
        <v>55277</v>
      </c>
      <c r="M10614" s="186"/>
      <c r="N10614" s="186"/>
      <c r="O10614" s="172"/>
    </row>
    <row r="10615" spans="1:15" ht="25.5" x14ac:dyDescent="0.2">
      <c r="A10615" s="197" t="str">
        <f t="shared" si="165"/>
        <v>SeaCode_tongue</v>
      </c>
      <c r="B10615" s="409"/>
      <c r="C10615" s="416"/>
      <c r="D10615" s="198" t="s">
        <v>55278</v>
      </c>
      <c r="E10615" s="198">
        <v>101</v>
      </c>
      <c r="F10615" s="199" t="s">
        <v>55279</v>
      </c>
      <c r="G10615" s="1" t="s">
        <v>55280</v>
      </c>
      <c r="H10615" s="200"/>
      <c r="I10615" s="346"/>
      <c r="J10615" s="39">
        <v>112798</v>
      </c>
      <c r="K10615" s="36" t="str">
        <f>CONCATENATE(Cover!$D$6,"fdd/view?i=",J10615)</f>
        <v>https://www.dgiwg.org/FAD/fdd/view?i=112798</v>
      </c>
      <c r="L10615" s="36" t="s">
        <v>55281</v>
      </c>
      <c r="M10615" s="186"/>
      <c r="N10615" s="186"/>
      <c r="O10615" s="172"/>
    </row>
    <row r="10616" spans="1:15" ht="38.25" x14ac:dyDescent="0.2">
      <c r="A10616" s="197" t="str">
        <f t="shared" si="165"/>
        <v>SeaCode_trench</v>
      </c>
      <c r="B10616" s="409"/>
      <c r="C10616" s="416"/>
      <c r="D10616" s="198" t="s">
        <v>55282</v>
      </c>
      <c r="E10616" s="198">
        <v>9</v>
      </c>
      <c r="F10616" s="199" t="s">
        <v>55283</v>
      </c>
      <c r="G10616" s="1" t="s">
        <v>55284</v>
      </c>
      <c r="H10616" s="1" t="s">
        <v>55285</v>
      </c>
      <c r="I10616" s="346"/>
      <c r="J10616" s="39">
        <v>107503</v>
      </c>
      <c r="K10616" s="36" t="str">
        <f>CONCATENATE(Cover!$D$6,"fdd/view?i=",J10616)</f>
        <v>https://www.dgiwg.org/FAD/fdd/view?i=107503</v>
      </c>
      <c r="L10616" s="36" t="s">
        <v>55286</v>
      </c>
      <c r="M10616" s="186"/>
      <c r="N10616" s="186"/>
      <c r="O10616" s="172"/>
    </row>
    <row r="10617" spans="1:15" ht="25.5" x14ac:dyDescent="0.2">
      <c r="A10617" s="197" t="str">
        <f t="shared" si="165"/>
        <v>SeaCode_trenchFloor</v>
      </c>
      <c r="B10617" s="409"/>
      <c r="C10617" s="416"/>
      <c r="D10617" s="198" t="s">
        <v>55287</v>
      </c>
      <c r="E10617" s="198">
        <v>127</v>
      </c>
      <c r="F10617" s="199" t="s">
        <v>55288</v>
      </c>
      <c r="G10617" s="1" t="s">
        <v>55289</v>
      </c>
      <c r="H10617" s="200"/>
      <c r="I10617" s="346"/>
      <c r="J10617" s="39">
        <v>119347</v>
      </c>
      <c r="K10617" s="36" t="str">
        <f>CONCATENATE(Cover!$D$6,"fdd/view?i=",J10617)</f>
        <v>https://www.dgiwg.org/FAD/fdd/view?i=119347</v>
      </c>
      <c r="L10617" s="36" t="s">
        <v>55290</v>
      </c>
      <c r="M10617" s="186"/>
      <c r="N10617" s="186"/>
      <c r="O10617" s="172"/>
    </row>
    <row r="10618" spans="1:15" ht="25.5" x14ac:dyDescent="0.2">
      <c r="A10618" s="197" t="str">
        <f t="shared" si="165"/>
        <v>SeaCode_trough</v>
      </c>
      <c r="B10618" s="409"/>
      <c r="C10618" s="416"/>
      <c r="D10618" s="198" t="s">
        <v>55291</v>
      </c>
      <c r="E10618" s="198">
        <v>24</v>
      </c>
      <c r="F10618" s="199" t="s">
        <v>55292</v>
      </c>
      <c r="G10618" s="1" t="s">
        <v>55293</v>
      </c>
      <c r="H10618" s="200"/>
      <c r="I10618" s="346"/>
      <c r="J10618" s="39">
        <v>107518</v>
      </c>
      <c r="K10618" s="36" t="str">
        <f>CONCATENATE(Cover!$D$6,"fdd/view?i=",J10618)</f>
        <v>https://www.dgiwg.org/FAD/fdd/view?i=107518</v>
      </c>
      <c r="L10618" s="36" t="s">
        <v>55294</v>
      </c>
      <c r="M10618" s="186"/>
      <c r="N10618" s="186"/>
      <c r="O10618" s="172"/>
    </row>
    <row r="10619" spans="1:15" ht="25.5" x14ac:dyDescent="0.2">
      <c r="A10619" s="197" t="str">
        <f t="shared" si="165"/>
        <v>SeaCode_upperTrenchSlope</v>
      </c>
      <c r="B10619" s="409"/>
      <c r="C10619" s="416"/>
      <c r="D10619" s="198" t="s">
        <v>55295</v>
      </c>
      <c r="E10619" s="198">
        <v>128</v>
      </c>
      <c r="F10619" s="199" t="s">
        <v>55296</v>
      </c>
      <c r="G10619" s="1" t="s">
        <v>55297</v>
      </c>
      <c r="H10619" s="200"/>
      <c r="I10619" s="346"/>
      <c r="J10619" s="39">
        <v>119348</v>
      </c>
      <c r="K10619" s="36" t="str">
        <f>CONCATENATE(Cover!$D$6,"fdd/view?i=",J10619)</f>
        <v>https://www.dgiwg.org/FAD/fdd/view?i=119348</v>
      </c>
      <c r="L10619" s="36" t="s">
        <v>55298</v>
      </c>
      <c r="M10619" s="186"/>
      <c r="N10619" s="186"/>
      <c r="O10619" s="172"/>
    </row>
    <row r="10620" spans="1:15" ht="38.25" x14ac:dyDescent="0.2">
      <c r="A10620" s="203" t="str">
        <f t="shared" si="165"/>
        <v>SeaCode_valley</v>
      </c>
      <c r="B10620" s="410"/>
      <c r="C10620" s="417"/>
      <c r="D10620" s="204" t="s">
        <v>36840</v>
      </c>
      <c r="E10620" s="204">
        <v>52</v>
      </c>
      <c r="F10620" s="205" t="s">
        <v>36841</v>
      </c>
      <c r="G10620" s="206" t="s">
        <v>55299</v>
      </c>
      <c r="H10620" s="206" t="s">
        <v>55300</v>
      </c>
      <c r="I10620" s="353" t="s">
        <v>55301</v>
      </c>
      <c r="J10620" s="39">
        <v>107546</v>
      </c>
      <c r="K10620" s="36" t="str">
        <f>CONCATENATE(Cover!$D$6,"fdd/view?i=",J10620)</f>
        <v>https://www.dgiwg.org/FAD/fdd/view?i=107546</v>
      </c>
      <c r="L10620" s="36" t="s">
        <v>55302</v>
      </c>
      <c r="M10620" s="186"/>
      <c r="N10620" s="186"/>
      <c r="O10620" s="172"/>
    </row>
    <row r="10621" spans="1:15" ht="38.25" x14ac:dyDescent="0.2">
      <c r="A10621" s="190" t="str">
        <f t="shared" si="165"/>
        <v>WccCode_braidedStream</v>
      </c>
      <c r="B10621" s="414" t="str">
        <f>HYPERLINK("[#]Datatypes!A1712:L1712","WccCode")</f>
        <v>WccCode</v>
      </c>
      <c r="C10621" s="415" t="s">
        <v>16345</v>
      </c>
      <c r="D10621" s="221" t="s">
        <v>55303</v>
      </c>
      <c r="E10621" s="221">
        <v>2</v>
      </c>
      <c r="F10621" s="222" t="s">
        <v>55304</v>
      </c>
      <c r="G10621" s="223" t="s">
        <v>55305</v>
      </c>
      <c r="H10621" s="223" t="s">
        <v>55306</v>
      </c>
      <c r="I10621" s="345"/>
      <c r="J10621" s="39">
        <v>109390</v>
      </c>
      <c r="K10621" s="36" t="str">
        <f>CONCATENATE(Cover!$D$6,"fdd/view?i=",J10621)</f>
        <v>https://www.dgiwg.org/FAD/fdd/view?i=109390</v>
      </c>
      <c r="L10621" s="36" t="s">
        <v>55307</v>
      </c>
      <c r="M10621" s="186"/>
      <c r="N10621" s="186"/>
      <c r="O10621" s="172"/>
    </row>
    <row r="10622" spans="1:15" ht="25.5" x14ac:dyDescent="0.2">
      <c r="A10622" s="197" t="str">
        <f t="shared" si="165"/>
        <v>WccCode_channelizedStream</v>
      </c>
      <c r="B10622" s="409"/>
      <c r="C10622" s="416"/>
      <c r="D10622" s="198" t="s">
        <v>55308</v>
      </c>
      <c r="E10622" s="198">
        <v>1</v>
      </c>
      <c r="F10622" s="199" t="s">
        <v>55309</v>
      </c>
      <c r="G10622" s="1" t="s">
        <v>55310</v>
      </c>
      <c r="H10622" s="200"/>
      <c r="I10622" s="346"/>
      <c r="J10622" s="39">
        <v>109389</v>
      </c>
      <c r="K10622" s="36" t="str">
        <f>CONCATENATE(Cover!$D$6,"fdd/view?i=",J10622)</f>
        <v>https://www.dgiwg.org/FAD/fdd/view?i=109389</v>
      </c>
      <c r="L10622" s="36" t="s">
        <v>55311</v>
      </c>
      <c r="M10622" s="186"/>
      <c r="N10622" s="186"/>
      <c r="O10622" s="172"/>
    </row>
    <row r="10623" spans="1:15" x14ac:dyDescent="0.2">
      <c r="A10623" s="197" t="str">
        <f t="shared" si="165"/>
        <v>WccCode_gorge</v>
      </c>
      <c r="B10623" s="409"/>
      <c r="C10623" s="416"/>
      <c r="D10623" s="198" t="s">
        <v>55312</v>
      </c>
      <c r="E10623" s="198">
        <v>3</v>
      </c>
      <c r="F10623" s="199" t="s">
        <v>3436</v>
      </c>
      <c r="G10623" s="1" t="s">
        <v>55313</v>
      </c>
      <c r="H10623" s="200"/>
      <c r="I10623" s="351" t="s">
        <v>36820</v>
      </c>
      <c r="J10623" s="39">
        <v>109391</v>
      </c>
      <c r="K10623" s="36" t="str">
        <f>CONCATENATE(Cover!$D$6,"fdd/view?i=",J10623)</f>
        <v>https://www.dgiwg.org/FAD/fdd/view?i=109391</v>
      </c>
      <c r="L10623" s="36" t="s">
        <v>55314</v>
      </c>
      <c r="M10623" s="186"/>
      <c r="N10623" s="186"/>
      <c r="O10623" s="172"/>
    </row>
    <row r="10624" spans="1:15" ht="25.5" x14ac:dyDescent="0.2">
      <c r="A10624" s="197" t="str">
        <f t="shared" si="165"/>
        <v>WccCode_lostWatercourse</v>
      </c>
      <c r="B10624" s="409"/>
      <c r="C10624" s="416"/>
      <c r="D10624" s="198" t="s">
        <v>55315</v>
      </c>
      <c r="E10624" s="198">
        <v>8</v>
      </c>
      <c r="F10624" s="199" t="s">
        <v>55316</v>
      </c>
      <c r="G10624" s="1" t="s">
        <v>55317</v>
      </c>
      <c r="H10624" s="200"/>
      <c r="I10624" s="346"/>
      <c r="J10624" s="39">
        <v>112727</v>
      </c>
      <c r="K10624" s="36" t="str">
        <f>CONCATENATE(Cover!$D$6,"fdd/view?i=",J10624)</f>
        <v>https://www.dgiwg.org/FAD/fdd/view?i=112727</v>
      </c>
      <c r="L10624" s="36" t="s">
        <v>55318</v>
      </c>
      <c r="M10624" s="186"/>
      <c r="N10624" s="186"/>
      <c r="O10624" s="172"/>
    </row>
    <row r="10625" spans="1:15" ht="25.5" x14ac:dyDescent="0.2">
      <c r="A10625" s="197" t="str">
        <f t="shared" si="165"/>
        <v>WccCode_normalChannel</v>
      </c>
      <c r="B10625" s="409"/>
      <c r="C10625" s="416"/>
      <c r="D10625" s="198" t="s">
        <v>55319</v>
      </c>
      <c r="E10625" s="198">
        <v>7</v>
      </c>
      <c r="F10625" s="199" t="s">
        <v>55320</v>
      </c>
      <c r="G10625" s="1" t="s">
        <v>55321</v>
      </c>
      <c r="H10625" s="1" t="s">
        <v>55322</v>
      </c>
      <c r="I10625" s="346"/>
      <c r="J10625" s="39">
        <v>109395</v>
      </c>
      <c r="K10625" s="36" t="str">
        <f>CONCATENATE(Cover!$D$6,"fdd/view?i=",J10625)</f>
        <v>https://www.dgiwg.org/FAD/fdd/view?i=109395</v>
      </c>
      <c r="L10625" s="36" t="s">
        <v>55323</v>
      </c>
      <c r="M10625" s="186"/>
      <c r="N10625" s="186"/>
      <c r="O10625" s="172"/>
    </row>
    <row r="10626" spans="1:15" ht="25.5" x14ac:dyDescent="0.2">
      <c r="A10626" s="197" t="str">
        <f t="shared" ref="A10626:A10689" si="166">HYPERLINK(K10626,L10626)</f>
        <v>WccCode_oxbow</v>
      </c>
      <c r="B10626" s="409"/>
      <c r="C10626" s="416"/>
      <c r="D10626" s="198" t="s">
        <v>55324</v>
      </c>
      <c r="E10626" s="198">
        <v>5</v>
      </c>
      <c r="F10626" s="199" t="s">
        <v>55325</v>
      </c>
      <c r="G10626" s="1" t="s">
        <v>55326</v>
      </c>
      <c r="H10626" s="200"/>
      <c r="I10626" s="346"/>
      <c r="J10626" s="39">
        <v>109393</v>
      </c>
      <c r="K10626" s="36" t="str">
        <f>CONCATENATE(Cover!$D$6,"fdd/view?i=",J10626)</f>
        <v>https://www.dgiwg.org/FAD/fdd/view?i=109393</v>
      </c>
      <c r="L10626" s="36" t="s">
        <v>55327</v>
      </c>
      <c r="M10626" s="186"/>
      <c r="N10626" s="186"/>
      <c r="O10626" s="172"/>
    </row>
    <row r="10627" spans="1:15" ht="25.5" x14ac:dyDescent="0.2">
      <c r="A10627" s="197" t="str">
        <f t="shared" si="166"/>
        <v>WccCode_splitStream</v>
      </c>
      <c r="B10627" s="409"/>
      <c r="C10627" s="416"/>
      <c r="D10627" s="198" t="s">
        <v>55328</v>
      </c>
      <c r="E10627" s="198">
        <v>6</v>
      </c>
      <c r="F10627" s="199" t="s">
        <v>55329</v>
      </c>
      <c r="G10627" s="1" t="s">
        <v>55330</v>
      </c>
      <c r="H10627" s="200"/>
      <c r="I10627" s="346"/>
      <c r="J10627" s="39">
        <v>109394</v>
      </c>
      <c r="K10627" s="36" t="str">
        <f>CONCATENATE(Cover!$D$6,"fdd/view?i=",J10627)</f>
        <v>https://www.dgiwg.org/FAD/fdd/view?i=109394</v>
      </c>
      <c r="L10627" s="36" t="s">
        <v>55331</v>
      </c>
      <c r="M10627" s="186"/>
      <c r="N10627" s="186"/>
      <c r="O10627" s="172"/>
    </row>
    <row r="10628" spans="1:15" ht="51" x14ac:dyDescent="0.2">
      <c r="A10628" s="203" t="str">
        <f t="shared" si="166"/>
        <v>WccCode_wadi</v>
      </c>
      <c r="B10628" s="410"/>
      <c r="C10628" s="417"/>
      <c r="D10628" s="204" t="s">
        <v>51829</v>
      </c>
      <c r="E10628" s="204">
        <v>4</v>
      </c>
      <c r="F10628" s="205" t="s">
        <v>51830</v>
      </c>
      <c r="G10628" s="206" t="s">
        <v>55332</v>
      </c>
      <c r="H10628" s="206" t="s">
        <v>55333</v>
      </c>
      <c r="I10628" s="353" t="s">
        <v>55334</v>
      </c>
      <c r="J10628" s="39">
        <v>109392</v>
      </c>
      <c r="K10628" s="36" t="str">
        <f>CONCATENATE(Cover!$D$6,"fdd/view?i=",J10628)</f>
        <v>https://www.dgiwg.org/FAD/fdd/view?i=109392</v>
      </c>
      <c r="L10628" s="36" t="s">
        <v>55335</v>
      </c>
      <c r="M10628" s="186"/>
      <c r="N10628" s="186"/>
      <c r="O10628" s="172"/>
    </row>
    <row r="10629" spans="1:15" ht="38.25" x14ac:dyDescent="0.2">
      <c r="A10629" s="190" t="str">
        <f t="shared" si="166"/>
        <v>WmtCode_abandoned</v>
      </c>
      <c r="B10629" s="414" t="str">
        <f>HYPERLINK("[#]Datatypes!A1714:L1714","WmtCode")</f>
        <v>WmtCode</v>
      </c>
      <c r="C10629" s="415" t="s">
        <v>16347</v>
      </c>
      <c r="D10629" s="221" t="s">
        <v>26381</v>
      </c>
      <c r="E10629" s="221">
        <v>11</v>
      </c>
      <c r="F10629" s="222" t="s">
        <v>26382</v>
      </c>
      <c r="G10629" s="223" t="s">
        <v>55336</v>
      </c>
      <c r="H10629" s="224"/>
      <c r="I10629" s="345"/>
      <c r="J10629" s="39">
        <v>112594</v>
      </c>
      <c r="K10629" s="36" t="str">
        <f>CONCATENATE(Cover!$D$6,"fdd/view?i=",J10629)</f>
        <v>https://www.dgiwg.org/FAD/fdd/view?i=112594</v>
      </c>
      <c r="L10629" s="36" t="s">
        <v>55337</v>
      </c>
      <c r="M10629" s="186"/>
      <c r="N10629" s="186"/>
      <c r="O10629" s="172"/>
    </row>
    <row r="10630" spans="1:15" ht="25.5" x14ac:dyDescent="0.2">
      <c r="A10630" s="197" t="str">
        <f t="shared" si="166"/>
        <v>WmtCode_anabranch</v>
      </c>
      <c r="B10630" s="409"/>
      <c r="C10630" s="416"/>
      <c r="D10630" s="198" t="s">
        <v>55338</v>
      </c>
      <c r="E10630" s="198">
        <v>7</v>
      </c>
      <c r="F10630" s="199" t="s">
        <v>55339</v>
      </c>
      <c r="G10630" s="1" t="s">
        <v>55340</v>
      </c>
      <c r="H10630" s="200"/>
      <c r="I10630" s="346"/>
      <c r="J10630" s="39">
        <v>112586</v>
      </c>
      <c r="K10630" s="36" t="str">
        <f>CONCATENATE(Cover!$D$6,"fdd/view?i=",J10630)</f>
        <v>https://www.dgiwg.org/FAD/fdd/view?i=112586</v>
      </c>
      <c r="L10630" s="36" t="s">
        <v>55341</v>
      </c>
      <c r="M10630" s="186"/>
      <c r="N10630" s="186"/>
      <c r="O10630" s="172"/>
    </row>
    <row r="10631" spans="1:15" x14ac:dyDescent="0.2">
      <c r="A10631" s="197" t="str">
        <f t="shared" si="166"/>
        <v>WmtCode_bend</v>
      </c>
      <c r="B10631" s="409"/>
      <c r="C10631" s="416"/>
      <c r="D10631" s="198" t="s">
        <v>55342</v>
      </c>
      <c r="E10631" s="198">
        <v>3</v>
      </c>
      <c r="F10631" s="199" t="s">
        <v>55343</v>
      </c>
      <c r="G10631" s="1" t="s">
        <v>55344</v>
      </c>
      <c r="H10631" s="200"/>
      <c r="I10631" s="346"/>
      <c r="J10631" s="39">
        <v>112578</v>
      </c>
      <c r="K10631" s="36" t="str">
        <f>CONCATENATE(Cover!$D$6,"fdd/view?i=",J10631)</f>
        <v>https://www.dgiwg.org/FAD/fdd/view?i=112578</v>
      </c>
      <c r="L10631" s="36" t="s">
        <v>55345</v>
      </c>
      <c r="M10631" s="186"/>
      <c r="N10631" s="186"/>
      <c r="O10631" s="172"/>
    </row>
    <row r="10632" spans="1:15" ht="25.5" x14ac:dyDescent="0.2">
      <c r="A10632" s="197" t="str">
        <f t="shared" si="166"/>
        <v>WmtCode_canalized</v>
      </c>
      <c r="B10632" s="409"/>
      <c r="C10632" s="416"/>
      <c r="D10632" s="198" t="s">
        <v>55346</v>
      </c>
      <c r="E10632" s="198">
        <v>8</v>
      </c>
      <c r="F10632" s="199" t="s">
        <v>55347</v>
      </c>
      <c r="G10632" s="1" t="s">
        <v>55348</v>
      </c>
      <c r="H10632" s="200"/>
      <c r="I10632" s="346"/>
      <c r="J10632" s="39">
        <v>112588</v>
      </c>
      <c r="K10632" s="36" t="str">
        <f>CONCATENATE(Cover!$D$6,"fdd/view?i=",J10632)</f>
        <v>https://www.dgiwg.org/FAD/fdd/view?i=112588</v>
      </c>
      <c r="L10632" s="36" t="s">
        <v>55349</v>
      </c>
      <c r="M10632" s="186"/>
      <c r="N10632" s="186"/>
      <c r="O10632" s="172"/>
    </row>
    <row r="10633" spans="1:15" x14ac:dyDescent="0.2">
      <c r="A10633" s="197" t="str">
        <f t="shared" si="166"/>
        <v>WmtCode_confluence</v>
      </c>
      <c r="B10633" s="409"/>
      <c r="C10633" s="416"/>
      <c r="D10633" s="198" t="s">
        <v>55350</v>
      </c>
      <c r="E10633" s="198">
        <v>4</v>
      </c>
      <c r="F10633" s="199" t="s">
        <v>55351</v>
      </c>
      <c r="G10633" s="1" t="s">
        <v>55352</v>
      </c>
      <c r="H10633" s="200"/>
      <c r="I10633" s="351" t="s">
        <v>24956</v>
      </c>
      <c r="J10633" s="39">
        <v>112580</v>
      </c>
      <c r="K10633" s="36" t="str">
        <f>CONCATENATE(Cover!$D$6,"fdd/view?i=",J10633)</f>
        <v>https://www.dgiwg.org/FAD/fdd/view?i=112580</v>
      </c>
      <c r="L10633" s="36" t="s">
        <v>55353</v>
      </c>
      <c r="M10633" s="186"/>
      <c r="N10633" s="186"/>
      <c r="O10633" s="172"/>
    </row>
    <row r="10634" spans="1:15" ht="25.5" x14ac:dyDescent="0.2">
      <c r="A10634" s="197" t="str">
        <f t="shared" si="166"/>
        <v>WmtCode_craterLake</v>
      </c>
      <c r="B10634" s="409"/>
      <c r="C10634" s="416"/>
      <c r="D10634" s="198" t="s">
        <v>55354</v>
      </c>
      <c r="E10634" s="198">
        <v>14</v>
      </c>
      <c r="F10634" s="199" t="s">
        <v>55355</v>
      </c>
      <c r="G10634" s="1" t="s">
        <v>55356</v>
      </c>
      <c r="H10634" s="200"/>
      <c r="I10634" s="346"/>
      <c r="J10634" s="39">
        <v>112600</v>
      </c>
      <c r="K10634" s="36" t="str">
        <f>CONCATENATE(Cover!$D$6,"fdd/view?i=",J10634)</f>
        <v>https://www.dgiwg.org/FAD/fdd/view?i=112600</v>
      </c>
      <c r="L10634" s="36" t="s">
        <v>55357</v>
      </c>
      <c r="M10634" s="186"/>
      <c r="N10634" s="186"/>
      <c r="O10634" s="172"/>
    </row>
    <row r="10635" spans="1:15" ht="25.5" x14ac:dyDescent="0.2">
      <c r="A10635" s="197" t="str">
        <f t="shared" si="166"/>
        <v>WmtCode_cutOff</v>
      </c>
      <c r="B10635" s="409"/>
      <c r="C10635" s="416"/>
      <c r="D10635" s="198" t="s">
        <v>55358</v>
      </c>
      <c r="E10635" s="198">
        <v>5</v>
      </c>
      <c r="F10635" s="199" t="s">
        <v>55359</v>
      </c>
      <c r="G10635" s="1" t="s">
        <v>55360</v>
      </c>
      <c r="H10635" s="200"/>
      <c r="I10635" s="346"/>
      <c r="J10635" s="39">
        <v>112582</v>
      </c>
      <c r="K10635" s="36" t="str">
        <f>CONCATENATE(Cover!$D$6,"fdd/view?i=",J10635)</f>
        <v>https://www.dgiwg.org/FAD/fdd/view?i=112582</v>
      </c>
      <c r="L10635" s="36" t="s">
        <v>55361</v>
      </c>
      <c r="M10635" s="186"/>
      <c r="N10635" s="186"/>
      <c r="O10635" s="172"/>
    </row>
    <row r="10636" spans="1:15" ht="25.5" x14ac:dyDescent="0.2">
      <c r="A10636" s="197" t="str">
        <f t="shared" si="166"/>
        <v>WmtCode_distributary</v>
      </c>
      <c r="B10636" s="409"/>
      <c r="C10636" s="416"/>
      <c r="D10636" s="198" t="s">
        <v>55362</v>
      </c>
      <c r="E10636" s="198">
        <v>9</v>
      </c>
      <c r="F10636" s="199" t="s">
        <v>55363</v>
      </c>
      <c r="G10636" s="1" t="s">
        <v>55364</v>
      </c>
      <c r="H10636" s="200"/>
      <c r="I10636" s="346"/>
      <c r="J10636" s="39">
        <v>112590</v>
      </c>
      <c r="K10636" s="36" t="str">
        <f>CONCATENATE(Cover!$D$6,"fdd/view?i=",J10636)</f>
        <v>https://www.dgiwg.org/FAD/fdd/view?i=112590</v>
      </c>
      <c r="L10636" s="36" t="s">
        <v>55365</v>
      </c>
      <c r="M10636" s="186"/>
      <c r="N10636" s="186"/>
      <c r="O10636" s="172"/>
    </row>
    <row r="10637" spans="1:15" ht="25.5" x14ac:dyDescent="0.2">
      <c r="A10637" s="197" t="str">
        <f t="shared" si="166"/>
        <v>WmtCode_headwaters</v>
      </c>
      <c r="B10637" s="409"/>
      <c r="C10637" s="416"/>
      <c r="D10637" s="198" t="s">
        <v>55366</v>
      </c>
      <c r="E10637" s="198">
        <v>10</v>
      </c>
      <c r="F10637" s="199" t="s">
        <v>55367</v>
      </c>
      <c r="G10637" s="1" t="s">
        <v>55368</v>
      </c>
      <c r="H10637" s="200"/>
      <c r="I10637" s="346"/>
      <c r="J10637" s="39">
        <v>112592</v>
      </c>
      <c r="K10637" s="36" t="str">
        <f>CONCATENATE(Cover!$D$6,"fdd/view?i=",J10637)</f>
        <v>https://www.dgiwg.org/FAD/fdd/view?i=112592</v>
      </c>
      <c r="L10637" s="36" t="s">
        <v>55369</v>
      </c>
      <c r="M10637" s="186"/>
      <c r="N10637" s="186"/>
      <c r="O10637" s="172"/>
    </row>
    <row r="10638" spans="1:15" ht="25.5" x14ac:dyDescent="0.2">
      <c r="A10638" s="197" t="str">
        <f t="shared" si="166"/>
        <v>WmtCode_meander</v>
      </c>
      <c r="B10638" s="409"/>
      <c r="C10638" s="416"/>
      <c r="D10638" s="198" t="s">
        <v>55370</v>
      </c>
      <c r="E10638" s="198">
        <v>12</v>
      </c>
      <c r="F10638" s="199" t="s">
        <v>55371</v>
      </c>
      <c r="G10638" s="1" t="s">
        <v>55326</v>
      </c>
      <c r="H10638" s="200"/>
      <c r="I10638" s="351" t="s">
        <v>55325</v>
      </c>
      <c r="J10638" s="39">
        <v>112596</v>
      </c>
      <c r="K10638" s="36" t="str">
        <f>CONCATENATE(Cover!$D$6,"fdd/view?i=",J10638)</f>
        <v>https://www.dgiwg.org/FAD/fdd/view?i=112596</v>
      </c>
      <c r="L10638" s="36" t="s">
        <v>55372</v>
      </c>
      <c r="M10638" s="186"/>
      <c r="N10638" s="186"/>
      <c r="O10638" s="172"/>
    </row>
    <row r="10639" spans="1:15" ht="25.5" x14ac:dyDescent="0.2">
      <c r="A10639" s="197" t="str">
        <f t="shared" si="166"/>
        <v>WmtCode_mouth</v>
      </c>
      <c r="B10639" s="409"/>
      <c r="C10639" s="416"/>
      <c r="D10639" s="198" t="s">
        <v>55373</v>
      </c>
      <c r="E10639" s="198">
        <v>1</v>
      </c>
      <c r="F10639" s="199" t="s">
        <v>55374</v>
      </c>
      <c r="G10639" s="1" t="s">
        <v>55375</v>
      </c>
      <c r="H10639" s="200"/>
      <c r="I10639" s="346"/>
      <c r="J10639" s="39">
        <v>112574</v>
      </c>
      <c r="K10639" s="36" t="str">
        <f>CONCATENATE(Cover!$D$6,"fdd/view?i=",J10639)</f>
        <v>https://www.dgiwg.org/FAD/fdd/view?i=112574</v>
      </c>
      <c r="L10639" s="36" t="s">
        <v>55376</v>
      </c>
      <c r="M10639" s="186"/>
      <c r="N10639" s="186"/>
      <c r="O10639" s="172"/>
    </row>
    <row r="10640" spans="1:15" ht="25.5" x14ac:dyDescent="0.2">
      <c r="A10640" s="197" t="str">
        <f t="shared" si="166"/>
        <v>WmtCode_oxbowLake</v>
      </c>
      <c r="B10640" s="409"/>
      <c r="C10640" s="416"/>
      <c r="D10640" s="198" t="s">
        <v>55377</v>
      </c>
      <c r="E10640" s="198">
        <v>13</v>
      </c>
      <c r="F10640" s="199" t="s">
        <v>55378</v>
      </c>
      <c r="G10640" s="1" t="s">
        <v>55379</v>
      </c>
      <c r="H10640" s="200"/>
      <c r="I10640" s="346"/>
      <c r="J10640" s="39">
        <v>112598</v>
      </c>
      <c r="K10640" s="36" t="str">
        <f>CONCATENATE(Cover!$D$6,"fdd/view?i=",J10640)</f>
        <v>https://www.dgiwg.org/FAD/fdd/view?i=112598</v>
      </c>
      <c r="L10640" s="36" t="s">
        <v>55380</v>
      </c>
      <c r="M10640" s="186"/>
      <c r="N10640" s="186"/>
      <c r="O10640" s="172"/>
    </row>
    <row r="10641" spans="1:15" ht="38.25" x14ac:dyDescent="0.2">
      <c r="A10641" s="197" t="str">
        <f t="shared" si="166"/>
        <v>WmtCode_pool</v>
      </c>
      <c r="B10641" s="409"/>
      <c r="C10641" s="416"/>
      <c r="D10641" s="198" t="s">
        <v>55381</v>
      </c>
      <c r="E10641" s="198">
        <v>2</v>
      </c>
      <c r="F10641" s="199" t="s">
        <v>55382</v>
      </c>
      <c r="G10641" s="1" t="s">
        <v>55383</v>
      </c>
      <c r="H10641" s="200"/>
      <c r="I10641" s="346"/>
      <c r="J10641" s="39">
        <v>112576</v>
      </c>
      <c r="K10641" s="36" t="str">
        <f>CONCATENATE(Cover!$D$6,"fdd/view?i=",J10641)</f>
        <v>https://www.dgiwg.org/FAD/fdd/view?i=112576</v>
      </c>
      <c r="L10641" s="36" t="s">
        <v>55384</v>
      </c>
      <c r="M10641" s="186"/>
      <c r="N10641" s="186"/>
      <c r="O10641" s="172"/>
    </row>
    <row r="10642" spans="1:15" ht="25.5" x14ac:dyDescent="0.2">
      <c r="A10642" s="203" t="str">
        <f t="shared" si="166"/>
        <v>WmtCode_reach</v>
      </c>
      <c r="B10642" s="410"/>
      <c r="C10642" s="417"/>
      <c r="D10642" s="204" t="s">
        <v>55161</v>
      </c>
      <c r="E10642" s="204">
        <v>6</v>
      </c>
      <c r="F10642" s="205" t="s">
        <v>55162</v>
      </c>
      <c r="G10642" s="206" t="s">
        <v>55385</v>
      </c>
      <c r="H10642" s="207"/>
      <c r="I10642" s="347"/>
      <c r="J10642" s="39">
        <v>112584</v>
      </c>
      <c r="K10642" s="36" t="str">
        <f>CONCATENATE(Cover!$D$6,"fdd/view?i=",J10642)</f>
        <v>https://www.dgiwg.org/FAD/fdd/view?i=112584</v>
      </c>
      <c r="L10642" s="36" t="s">
        <v>55386</v>
      </c>
      <c r="M10642" s="186"/>
      <c r="N10642" s="186"/>
      <c r="O10642" s="172"/>
    </row>
    <row r="10643" spans="1:15" ht="25.5" x14ac:dyDescent="0.2">
      <c r="A10643" s="190" t="str">
        <f t="shared" si="166"/>
        <v>WstCode_disappearing</v>
      </c>
      <c r="B10643" s="414" t="str">
        <f>HYPERLINK("[#]Datatypes!A1716:L1716","WstCode")</f>
        <v>WstCode</v>
      </c>
      <c r="C10643" s="415" t="s">
        <v>16349</v>
      </c>
      <c r="D10643" s="221" t="s">
        <v>55387</v>
      </c>
      <c r="E10643" s="221">
        <v>2</v>
      </c>
      <c r="F10643" s="222" t="s">
        <v>55388</v>
      </c>
      <c r="G10643" s="223" t="s">
        <v>55389</v>
      </c>
      <c r="H10643" s="224"/>
      <c r="I10643" s="345"/>
      <c r="J10643" s="39">
        <v>109693</v>
      </c>
      <c r="K10643" s="36" t="str">
        <f>CONCATENATE(Cover!$D$6,"fdd/view?i=",J10643)</f>
        <v>https://www.dgiwg.org/FAD/fdd/view?i=109693</v>
      </c>
      <c r="L10643" s="36" t="s">
        <v>55390</v>
      </c>
      <c r="M10643" s="186"/>
      <c r="N10643" s="186"/>
      <c r="O10643" s="172"/>
    </row>
    <row r="10644" spans="1:15" x14ac:dyDescent="0.2">
      <c r="A10644" s="197" t="str">
        <f t="shared" si="166"/>
        <v>WstCode_dissipating</v>
      </c>
      <c r="B10644" s="409"/>
      <c r="C10644" s="416"/>
      <c r="D10644" s="198" t="s">
        <v>55391</v>
      </c>
      <c r="E10644" s="198">
        <v>1</v>
      </c>
      <c r="F10644" s="199" t="s">
        <v>55392</v>
      </c>
      <c r="G10644" s="1" t="s">
        <v>55393</v>
      </c>
      <c r="H10644" s="200"/>
      <c r="I10644" s="346"/>
      <c r="J10644" s="39">
        <v>109692</v>
      </c>
      <c r="K10644" s="36" t="str">
        <f>CONCATENATE(Cover!$D$6,"fdd/view?i=",J10644)</f>
        <v>https://www.dgiwg.org/FAD/fdd/view?i=109692</v>
      </c>
      <c r="L10644" s="36" t="s">
        <v>55394</v>
      </c>
      <c r="M10644" s="186"/>
      <c r="N10644" s="186"/>
      <c r="O10644" s="172"/>
    </row>
    <row r="10645" spans="1:15" x14ac:dyDescent="0.2">
      <c r="A10645" s="197" t="str">
        <f t="shared" si="166"/>
        <v>WstCode_hole</v>
      </c>
      <c r="B10645" s="409"/>
      <c r="C10645" s="416"/>
      <c r="D10645" s="198" t="s">
        <v>55039</v>
      </c>
      <c r="E10645" s="198">
        <v>4</v>
      </c>
      <c r="F10645" s="199" t="s">
        <v>55040</v>
      </c>
      <c r="G10645" s="1" t="s">
        <v>55395</v>
      </c>
      <c r="H10645" s="200"/>
      <c r="I10645" s="346"/>
      <c r="J10645" s="39">
        <v>109695</v>
      </c>
      <c r="K10645" s="36" t="str">
        <f>CONCATENATE(Cover!$D$6,"fdd/view?i=",J10645)</f>
        <v>https://www.dgiwg.org/FAD/fdd/view?i=109695</v>
      </c>
      <c r="L10645" s="36" t="s">
        <v>55396</v>
      </c>
      <c r="M10645" s="186"/>
      <c r="N10645" s="186"/>
      <c r="O10645" s="172"/>
    </row>
    <row r="10646" spans="1:15" ht="38.25" x14ac:dyDescent="0.2">
      <c r="A10646" s="203" t="str">
        <f t="shared" si="166"/>
        <v>WstCode_sinkhole</v>
      </c>
      <c r="B10646" s="410"/>
      <c r="C10646" s="417"/>
      <c r="D10646" s="204" t="s">
        <v>47605</v>
      </c>
      <c r="E10646" s="204">
        <v>3</v>
      </c>
      <c r="F10646" s="205" t="s">
        <v>47606</v>
      </c>
      <c r="G10646" s="206" t="s">
        <v>55397</v>
      </c>
      <c r="H10646" s="207"/>
      <c r="I10646" s="347"/>
      <c r="J10646" s="39">
        <v>109694</v>
      </c>
      <c r="K10646" s="36" t="str">
        <f>CONCATENATE(Cover!$D$6,"fdd/view?i=",J10646)</f>
        <v>https://www.dgiwg.org/FAD/fdd/view?i=109694</v>
      </c>
      <c r="L10646" s="36" t="s">
        <v>55398</v>
      </c>
      <c r="M10646" s="186"/>
      <c r="N10646" s="186"/>
      <c r="O10646" s="172"/>
    </row>
    <row r="10647" spans="1:15" ht="51" x14ac:dyDescent="0.2">
      <c r="A10647" s="190" t="str">
        <f t="shared" si="166"/>
        <v>WwcCode_iEastOfElbe</v>
      </c>
      <c r="B10647" s="414" t="str">
        <f>HYPERLINK("[#]Datatypes!A1718:L1718","WwcCode")</f>
        <v>WwcCode</v>
      </c>
      <c r="C10647" s="415" t="s">
        <v>16351</v>
      </c>
      <c r="D10647" s="221" t="s">
        <v>55399</v>
      </c>
      <c r="E10647" s="221">
        <v>11</v>
      </c>
      <c r="F10647" s="222" t="s">
        <v>55400</v>
      </c>
      <c r="G10647" s="348" t="s">
        <v>55401</v>
      </c>
      <c r="H10647" s="224"/>
      <c r="I10647" s="345"/>
      <c r="J10647" s="39">
        <v>114153</v>
      </c>
      <c r="K10647" s="36" t="str">
        <f>CONCATENATE(Cover!$D$6,"fdd/view?i=",J10647)</f>
        <v>https://www.dgiwg.org/FAD/fdd/view?i=114153</v>
      </c>
      <c r="L10647" s="36" t="s">
        <v>55402</v>
      </c>
      <c r="M10647" s="186"/>
      <c r="N10647" s="186"/>
      <c r="O10647" s="172"/>
    </row>
    <row r="10648" spans="1:15" ht="51" x14ac:dyDescent="0.2">
      <c r="A10648" s="197" t="str">
        <f t="shared" si="166"/>
        <v>WwcCode_iiEastOfElbe</v>
      </c>
      <c r="B10648" s="409"/>
      <c r="C10648" s="416"/>
      <c r="D10648" s="198" t="s">
        <v>55407</v>
      </c>
      <c r="E10648" s="198">
        <v>12</v>
      </c>
      <c r="F10648" s="199" t="s">
        <v>55408</v>
      </c>
      <c r="G10648" s="349" t="s">
        <v>55409</v>
      </c>
      <c r="H10648" s="200"/>
      <c r="I10648" s="346"/>
      <c r="J10648" s="39">
        <v>114154</v>
      </c>
      <c r="K10648" s="36" t="str">
        <f>CONCATENATE(Cover!$D$6,"fdd/view?i=",J10648)</f>
        <v>https://www.dgiwg.org/FAD/fdd/view?i=114154</v>
      </c>
      <c r="L10648" s="36" t="s">
        <v>55410</v>
      </c>
      <c r="M10648" s="186"/>
      <c r="N10648" s="186"/>
      <c r="O10648" s="172"/>
    </row>
    <row r="10649" spans="1:15" ht="63.75" x14ac:dyDescent="0.2">
      <c r="A10649" s="197" t="str">
        <f t="shared" si="166"/>
        <v>WwcCode_iiiEastOfElbe</v>
      </c>
      <c r="B10649" s="409"/>
      <c r="C10649" s="416"/>
      <c r="D10649" s="198" t="s">
        <v>55415</v>
      </c>
      <c r="E10649" s="198">
        <v>13</v>
      </c>
      <c r="F10649" s="199" t="s">
        <v>55416</v>
      </c>
      <c r="G10649" s="1" t="s">
        <v>55417</v>
      </c>
      <c r="H10649" s="200"/>
      <c r="I10649" s="346"/>
      <c r="J10649" s="39">
        <v>114155</v>
      </c>
      <c r="K10649" s="36" t="str">
        <f>CONCATENATE(Cover!$D$6,"fdd/view?i=",J10649)</f>
        <v>https://www.dgiwg.org/FAD/fdd/view?i=114155</v>
      </c>
      <c r="L10649" s="36" t="s">
        <v>55418</v>
      </c>
      <c r="M10649" s="186"/>
      <c r="N10649" s="186"/>
      <c r="O10649" s="172"/>
    </row>
    <row r="10650" spans="1:15" ht="63.75" x14ac:dyDescent="0.2">
      <c r="A10650" s="197" t="str">
        <f t="shared" si="166"/>
        <v>WwcCode_iiiWestOfElbe</v>
      </c>
      <c r="B10650" s="409"/>
      <c r="C10650" s="416"/>
      <c r="D10650" s="198" t="s">
        <v>55419</v>
      </c>
      <c r="E10650" s="198">
        <v>3</v>
      </c>
      <c r="F10650" s="199" t="s">
        <v>55420</v>
      </c>
      <c r="G10650" s="349" t="s">
        <v>55421</v>
      </c>
      <c r="H10650" s="200"/>
      <c r="I10650" s="346"/>
      <c r="J10650" s="39">
        <v>114145</v>
      </c>
      <c r="K10650" s="36" t="str">
        <f>CONCATENATE(Cover!$D$6,"fdd/view?i=",J10650)</f>
        <v>https://www.dgiwg.org/FAD/fdd/view?i=114145</v>
      </c>
      <c r="L10650" s="36" t="s">
        <v>55422</v>
      </c>
      <c r="M10650" s="186"/>
      <c r="N10650" s="186"/>
      <c r="O10650" s="172"/>
    </row>
    <row r="10651" spans="1:15" ht="63.75" x14ac:dyDescent="0.2">
      <c r="A10651" s="197" t="str">
        <f t="shared" si="166"/>
        <v>WwcCode_iiWestOfElbe</v>
      </c>
      <c r="B10651" s="409"/>
      <c r="C10651" s="416"/>
      <c r="D10651" s="198" t="s">
        <v>55411</v>
      </c>
      <c r="E10651" s="198">
        <v>2</v>
      </c>
      <c r="F10651" s="199" t="s">
        <v>55412</v>
      </c>
      <c r="G10651" s="349" t="s">
        <v>55413</v>
      </c>
      <c r="H10651" s="200"/>
      <c r="I10651" s="346"/>
      <c r="J10651" s="39">
        <v>114144</v>
      </c>
      <c r="K10651" s="36" t="str">
        <f>CONCATENATE(Cover!$D$6,"fdd/view?i=",J10651)</f>
        <v>https://www.dgiwg.org/FAD/fdd/view?i=114144</v>
      </c>
      <c r="L10651" s="36" t="s">
        <v>55414</v>
      </c>
      <c r="M10651" s="186"/>
      <c r="N10651" s="186"/>
      <c r="O10651" s="172"/>
    </row>
    <row r="10652" spans="1:15" ht="89.25" x14ac:dyDescent="0.2">
      <c r="A10652" s="197" t="str">
        <f t="shared" si="166"/>
        <v>WwcCode_iv</v>
      </c>
      <c r="B10652" s="409"/>
      <c r="C10652" s="416"/>
      <c r="D10652" s="198" t="s">
        <v>55423</v>
      </c>
      <c r="E10652" s="198">
        <v>4</v>
      </c>
      <c r="F10652" s="199" t="s">
        <v>55424</v>
      </c>
      <c r="G10652" s="349" t="s">
        <v>55425</v>
      </c>
      <c r="H10652" s="200"/>
      <c r="I10652" s="346"/>
      <c r="J10652" s="39">
        <v>114146</v>
      </c>
      <c r="K10652" s="36" t="str">
        <f>CONCATENATE(Cover!$D$6,"fdd/view?i=",J10652)</f>
        <v>https://www.dgiwg.org/FAD/fdd/view?i=114146</v>
      </c>
      <c r="L10652" s="36" t="s">
        <v>55426</v>
      </c>
      <c r="M10652" s="186"/>
      <c r="N10652" s="186"/>
      <c r="O10652" s="172"/>
    </row>
    <row r="10653" spans="1:15" ht="63.75" x14ac:dyDescent="0.2">
      <c r="A10653" s="197" t="str">
        <f t="shared" si="166"/>
        <v>WwcCode_iWestOfElbe</v>
      </c>
      <c r="B10653" s="409"/>
      <c r="C10653" s="416"/>
      <c r="D10653" s="198" t="s">
        <v>55403</v>
      </c>
      <c r="E10653" s="198">
        <v>1</v>
      </c>
      <c r="F10653" s="199" t="s">
        <v>55404</v>
      </c>
      <c r="G10653" s="349" t="s">
        <v>55405</v>
      </c>
      <c r="H10653" s="200"/>
      <c r="I10653" s="346"/>
      <c r="J10653" s="39">
        <v>114143</v>
      </c>
      <c r="K10653" s="36" t="str">
        <f>CONCATENATE(Cover!$D$6,"fdd/view?i=",J10653)</f>
        <v>https://www.dgiwg.org/FAD/fdd/view?i=114143</v>
      </c>
      <c r="L10653" s="36" t="s">
        <v>55406</v>
      </c>
      <c r="M10653" s="186"/>
      <c r="N10653" s="186"/>
      <c r="O10653" s="172"/>
    </row>
    <row r="10654" spans="1:15" ht="102" x14ac:dyDescent="0.2">
      <c r="A10654" s="197" t="str">
        <f t="shared" si="166"/>
        <v>WwcCode_va</v>
      </c>
      <c r="B10654" s="409"/>
      <c r="C10654" s="416"/>
      <c r="D10654" s="198" t="s">
        <v>55427</v>
      </c>
      <c r="E10654" s="198">
        <v>5</v>
      </c>
      <c r="F10654" s="199" t="s">
        <v>55428</v>
      </c>
      <c r="G10654" s="349" t="s">
        <v>55429</v>
      </c>
      <c r="H10654" s="200"/>
      <c r="I10654" s="346"/>
      <c r="J10654" s="39">
        <v>114147</v>
      </c>
      <c r="K10654" s="36" t="str">
        <f>CONCATENATE(Cover!$D$6,"fdd/view?i=",J10654)</f>
        <v>https://www.dgiwg.org/FAD/fdd/view?i=114147</v>
      </c>
      <c r="L10654" s="36" t="s">
        <v>55430</v>
      </c>
      <c r="M10654" s="186"/>
      <c r="N10654" s="186"/>
      <c r="O10654" s="172"/>
    </row>
    <row r="10655" spans="1:15" ht="89.25" x14ac:dyDescent="0.2">
      <c r="A10655" s="197" t="str">
        <f t="shared" si="166"/>
        <v>WwcCode_vb</v>
      </c>
      <c r="B10655" s="409"/>
      <c r="C10655" s="416"/>
      <c r="D10655" s="198" t="s">
        <v>55431</v>
      </c>
      <c r="E10655" s="198">
        <v>6</v>
      </c>
      <c r="F10655" s="199" t="s">
        <v>55432</v>
      </c>
      <c r="G10655" s="1" t="s">
        <v>55433</v>
      </c>
      <c r="H10655" s="200"/>
      <c r="I10655" s="346"/>
      <c r="J10655" s="39">
        <v>114148</v>
      </c>
      <c r="K10655" s="36" t="str">
        <f>CONCATENATE(Cover!$D$6,"fdd/view?i=",J10655)</f>
        <v>https://www.dgiwg.org/FAD/fdd/view?i=114148</v>
      </c>
      <c r="L10655" s="36" t="s">
        <v>55434</v>
      </c>
      <c r="M10655" s="186"/>
      <c r="N10655" s="186"/>
      <c r="O10655" s="172"/>
    </row>
    <row r="10656" spans="1:15" ht="89.25" x14ac:dyDescent="0.2">
      <c r="A10656" s="197" t="str">
        <f t="shared" si="166"/>
        <v>WwcCode_via</v>
      </c>
      <c r="B10656" s="409"/>
      <c r="C10656" s="416"/>
      <c r="D10656" s="198" t="s">
        <v>55435</v>
      </c>
      <c r="E10656" s="198">
        <v>7</v>
      </c>
      <c r="F10656" s="199" t="s">
        <v>55436</v>
      </c>
      <c r="G10656" s="1" t="s">
        <v>55437</v>
      </c>
      <c r="H10656" s="200"/>
      <c r="I10656" s="346"/>
      <c r="J10656" s="39">
        <v>114149</v>
      </c>
      <c r="K10656" s="36" t="str">
        <f>CONCATENATE(Cover!$D$6,"fdd/view?i=",J10656)</f>
        <v>https://www.dgiwg.org/FAD/fdd/view?i=114149</v>
      </c>
      <c r="L10656" s="36" t="s">
        <v>55438</v>
      </c>
      <c r="M10656" s="186"/>
      <c r="N10656" s="186"/>
      <c r="O10656" s="172"/>
    </row>
    <row r="10657" spans="1:15" ht="102" x14ac:dyDescent="0.2">
      <c r="A10657" s="197" t="str">
        <f t="shared" si="166"/>
        <v>WwcCode_vib</v>
      </c>
      <c r="B10657" s="409"/>
      <c r="C10657" s="416"/>
      <c r="D10657" s="198" t="s">
        <v>55439</v>
      </c>
      <c r="E10657" s="198">
        <v>8</v>
      </c>
      <c r="F10657" s="199" t="s">
        <v>55440</v>
      </c>
      <c r="G10657" s="1" t="s">
        <v>55441</v>
      </c>
      <c r="H10657" s="200"/>
      <c r="I10657" s="346"/>
      <c r="J10657" s="39">
        <v>114150</v>
      </c>
      <c r="K10657" s="36" t="str">
        <f>CONCATENATE(Cover!$D$6,"fdd/view?i=",J10657)</f>
        <v>https://www.dgiwg.org/FAD/fdd/view?i=114150</v>
      </c>
      <c r="L10657" s="36" t="s">
        <v>55442</v>
      </c>
      <c r="M10657" s="186"/>
      <c r="N10657" s="186"/>
      <c r="O10657" s="172"/>
    </row>
    <row r="10658" spans="1:15" ht="127.5" x14ac:dyDescent="0.2">
      <c r="A10658" s="197" t="str">
        <f t="shared" si="166"/>
        <v>WwcCode_vic</v>
      </c>
      <c r="B10658" s="409"/>
      <c r="C10658" s="416"/>
      <c r="D10658" s="198" t="s">
        <v>55443</v>
      </c>
      <c r="E10658" s="198">
        <v>9</v>
      </c>
      <c r="F10658" s="199" t="s">
        <v>55444</v>
      </c>
      <c r="G10658" s="1" t="s">
        <v>55445</v>
      </c>
      <c r="H10658" s="200"/>
      <c r="I10658" s="346"/>
      <c r="J10658" s="39">
        <v>114151</v>
      </c>
      <c r="K10658" s="36" t="str">
        <f>CONCATENATE(Cover!$D$6,"fdd/view?i=",J10658)</f>
        <v>https://www.dgiwg.org/FAD/fdd/view?i=114151</v>
      </c>
      <c r="L10658" s="36" t="s">
        <v>55446</v>
      </c>
      <c r="M10658" s="186"/>
      <c r="N10658" s="186"/>
      <c r="O10658" s="172"/>
    </row>
    <row r="10659" spans="1:15" ht="127.5" x14ac:dyDescent="0.2">
      <c r="A10659" s="203" t="str">
        <f t="shared" si="166"/>
        <v>WwcCode_vii</v>
      </c>
      <c r="B10659" s="410"/>
      <c r="C10659" s="417"/>
      <c r="D10659" s="204" t="s">
        <v>55447</v>
      </c>
      <c r="E10659" s="204">
        <v>10</v>
      </c>
      <c r="F10659" s="205" t="s">
        <v>55448</v>
      </c>
      <c r="G10659" s="206" t="s">
        <v>55449</v>
      </c>
      <c r="H10659" s="207"/>
      <c r="I10659" s="347"/>
      <c r="J10659" s="39">
        <v>114152</v>
      </c>
      <c r="K10659" s="36" t="str">
        <f>CONCATENATE(Cover!$D$6,"fdd/view?i=",J10659)</f>
        <v>https://www.dgiwg.org/FAD/fdd/view?i=114152</v>
      </c>
      <c r="L10659" s="36" t="s">
        <v>55450</v>
      </c>
      <c r="M10659" s="186"/>
      <c r="N10659" s="186"/>
      <c r="O10659" s="172"/>
    </row>
    <row r="10660" spans="1:15" ht="25.5" x14ac:dyDescent="0.2">
      <c r="A10660" s="190" t="str">
        <f t="shared" si="166"/>
        <v>WmaCode_maintained</v>
      </c>
      <c r="B10660" s="414" t="str">
        <f>HYPERLINK("[#]Datatypes!A1720:L1720","WmaCode")</f>
        <v>WmaCode</v>
      </c>
      <c r="C10660" s="415" t="s">
        <v>16353</v>
      </c>
      <c r="D10660" s="221" t="s">
        <v>10180</v>
      </c>
      <c r="E10660" s="221">
        <v>3</v>
      </c>
      <c r="F10660" s="222" t="s">
        <v>10182</v>
      </c>
      <c r="G10660" s="223" t="s">
        <v>55451</v>
      </c>
      <c r="H10660" s="224"/>
      <c r="I10660" s="345"/>
      <c r="J10660" s="39">
        <v>110605</v>
      </c>
      <c r="K10660" s="36" t="str">
        <f>CONCATENATE(Cover!$D$6,"fdd/view?i=",J10660)</f>
        <v>https://www.dgiwg.org/FAD/fdd/view?i=110605</v>
      </c>
      <c r="L10660" s="36" t="s">
        <v>55452</v>
      </c>
      <c r="M10660" s="186"/>
      <c r="N10660" s="186"/>
      <c r="O10660" s="172"/>
    </row>
    <row r="10661" spans="1:15" ht="25.5" x14ac:dyDescent="0.2">
      <c r="A10661" s="197" t="str">
        <f t="shared" si="166"/>
        <v>WmaCode_notMaintained</v>
      </c>
      <c r="B10661" s="409"/>
      <c r="C10661" s="416"/>
      <c r="D10661" s="198" t="s">
        <v>55453</v>
      </c>
      <c r="E10661" s="198">
        <v>1</v>
      </c>
      <c r="F10661" s="199" t="s">
        <v>55454</v>
      </c>
      <c r="G10661" s="1" t="s">
        <v>55455</v>
      </c>
      <c r="H10661" s="200"/>
      <c r="I10661" s="346"/>
      <c r="J10661" s="39">
        <v>110008</v>
      </c>
      <c r="K10661" s="36" t="str">
        <f>CONCATENATE(Cover!$D$6,"fdd/view?i=",J10661)</f>
        <v>https://www.dgiwg.org/FAD/fdd/view?i=110008</v>
      </c>
      <c r="L10661" s="36" t="s">
        <v>55456</v>
      </c>
      <c r="M10661" s="186"/>
      <c r="N10661" s="186"/>
      <c r="O10661" s="172"/>
    </row>
    <row r="10662" spans="1:15" ht="25.5" x14ac:dyDescent="0.2">
      <c r="A10662" s="203" t="str">
        <f t="shared" si="166"/>
        <v>WmaCode_notRegularlyMaintained</v>
      </c>
      <c r="B10662" s="410"/>
      <c r="C10662" s="417"/>
      <c r="D10662" s="204" t="s">
        <v>55457</v>
      </c>
      <c r="E10662" s="204">
        <v>2</v>
      </c>
      <c r="F10662" s="205" t="s">
        <v>55458</v>
      </c>
      <c r="G10662" s="206" t="s">
        <v>55459</v>
      </c>
      <c r="H10662" s="207"/>
      <c r="I10662" s="347"/>
      <c r="J10662" s="39">
        <v>110036</v>
      </c>
      <c r="K10662" s="36" t="str">
        <f>CONCATENATE(Cover!$D$6,"fdd/view?i=",J10662)</f>
        <v>https://www.dgiwg.org/FAD/fdd/view?i=110036</v>
      </c>
      <c r="L10662" s="36" t="s">
        <v>55460</v>
      </c>
      <c r="M10662" s="186"/>
      <c r="N10662" s="186"/>
      <c r="O10662" s="172"/>
    </row>
    <row r="10663" spans="1:15" ht="51" x14ac:dyDescent="0.2">
      <c r="A10663" s="190" t="str">
        <f t="shared" si="166"/>
        <v>WplCode_named</v>
      </c>
      <c r="B10663" s="414" t="str">
        <f>HYPERLINK("[#]Datatypes!A1722:L1722","WplCode")</f>
        <v>WplCode</v>
      </c>
      <c r="C10663" s="415" t="s">
        <v>16355</v>
      </c>
      <c r="D10663" s="221" t="s">
        <v>55461</v>
      </c>
      <c r="E10663" s="221">
        <v>2</v>
      </c>
      <c r="F10663" s="222" t="s">
        <v>55462</v>
      </c>
      <c r="G10663" s="223" t="s">
        <v>55463</v>
      </c>
      <c r="H10663" s="223" t="s">
        <v>55464</v>
      </c>
      <c r="I10663" s="345"/>
      <c r="J10663" s="39">
        <v>119689</v>
      </c>
      <c r="K10663" s="36" t="str">
        <f>CONCATENATE(Cover!$D$6,"fdd/view?i=",J10663)</f>
        <v>https://www.dgiwg.org/FAD/fdd/view?i=119689</v>
      </c>
      <c r="L10663" s="36" t="s">
        <v>55465</v>
      </c>
      <c r="M10663" s="186"/>
      <c r="N10663" s="186"/>
      <c r="O10663" s="172"/>
    </row>
    <row r="10664" spans="1:15" ht="51" x14ac:dyDescent="0.2">
      <c r="A10664" s="203" t="str">
        <f t="shared" si="166"/>
        <v>WplCode_unnamed</v>
      </c>
      <c r="B10664" s="410"/>
      <c r="C10664" s="417"/>
      <c r="D10664" s="204" t="s">
        <v>55466</v>
      </c>
      <c r="E10664" s="204">
        <v>1</v>
      </c>
      <c r="F10664" s="205" t="s">
        <v>55467</v>
      </c>
      <c r="G10664" s="206" t="s">
        <v>55468</v>
      </c>
      <c r="H10664" s="206" t="s">
        <v>55469</v>
      </c>
      <c r="I10664" s="347"/>
      <c r="J10664" s="39">
        <v>119688</v>
      </c>
      <c r="K10664" s="36" t="str">
        <f>CONCATENATE(Cover!$D$6,"fdd/view?i=",J10664)</f>
        <v>https://www.dgiwg.org/FAD/fdd/view?i=119688</v>
      </c>
      <c r="L10664" s="36" t="s">
        <v>55470</v>
      </c>
      <c r="M10664" s="186"/>
      <c r="N10664" s="186"/>
      <c r="O10664" s="172"/>
    </row>
    <row r="10665" spans="1:15" ht="25.5" x14ac:dyDescent="0.2">
      <c r="A10665" s="190" t="str">
        <f t="shared" si="166"/>
        <v>WptCode_flyBy</v>
      </c>
      <c r="B10665" s="414" t="str">
        <f>HYPERLINK("[#]Datatypes!A1724:L1724","WptCode")</f>
        <v>WptCode</v>
      </c>
      <c r="C10665" s="415" t="s">
        <v>16357</v>
      </c>
      <c r="D10665" s="221" t="s">
        <v>55471</v>
      </c>
      <c r="E10665" s="221">
        <v>1</v>
      </c>
      <c r="F10665" s="222" t="s">
        <v>55472</v>
      </c>
      <c r="G10665" s="223" t="s">
        <v>55473</v>
      </c>
      <c r="H10665" s="224"/>
      <c r="I10665" s="345"/>
      <c r="J10665" s="39">
        <v>115412</v>
      </c>
      <c r="K10665" s="36" t="str">
        <f>CONCATENATE(Cover!$D$6,"fdd/view?i=",J10665)</f>
        <v>https://www.dgiwg.org/FAD/fdd/view?i=115412</v>
      </c>
      <c r="L10665" s="36" t="s">
        <v>55474</v>
      </c>
      <c r="M10665" s="186"/>
      <c r="N10665" s="186"/>
      <c r="O10665" s="172"/>
    </row>
    <row r="10666" spans="1:15" ht="25.5" x14ac:dyDescent="0.2">
      <c r="A10666" s="203" t="str">
        <f t="shared" si="166"/>
        <v>WptCode_flyover</v>
      </c>
      <c r="B10666" s="410"/>
      <c r="C10666" s="417"/>
      <c r="D10666" s="204" t="s">
        <v>55475</v>
      </c>
      <c r="E10666" s="204">
        <v>2</v>
      </c>
      <c r="F10666" s="205" t="s">
        <v>55476</v>
      </c>
      <c r="G10666" s="206" t="s">
        <v>55477</v>
      </c>
      <c r="H10666" s="207"/>
      <c r="I10666" s="347"/>
      <c r="J10666" s="39">
        <v>115413</v>
      </c>
      <c r="K10666" s="36" t="str">
        <f>CONCATENATE(Cover!$D$6,"fdd/view?i=",J10666)</f>
        <v>https://www.dgiwg.org/FAD/fdd/view?i=115413</v>
      </c>
      <c r="L10666" s="36" t="s">
        <v>55478</v>
      </c>
      <c r="M10666" s="186"/>
      <c r="N10666" s="186"/>
      <c r="O10666" s="172"/>
    </row>
    <row r="10667" spans="1:15" ht="25.5" x14ac:dyDescent="0.2">
      <c r="A10667" s="190" t="str">
        <f t="shared" si="166"/>
        <v>WpuCode_areaNavigation</v>
      </c>
      <c r="B10667" s="414" t="str">
        <f>HYPERLINK("[#]Datatypes!A1726:L1726","WpuCode")</f>
        <v>WpuCode</v>
      </c>
      <c r="C10667" s="415" t="s">
        <v>16359</v>
      </c>
      <c r="D10667" s="221" t="s">
        <v>21998</v>
      </c>
      <c r="E10667" s="221">
        <v>2</v>
      </c>
      <c r="F10667" s="222" t="s">
        <v>55479</v>
      </c>
      <c r="G10667" s="223" t="s">
        <v>55480</v>
      </c>
      <c r="H10667" s="224"/>
      <c r="I10667" s="345"/>
      <c r="J10667" s="39">
        <v>119691</v>
      </c>
      <c r="K10667" s="36" t="str">
        <f>CONCATENATE(Cover!$D$6,"fdd/view?i=",J10667)</f>
        <v>https://www.dgiwg.org/FAD/fdd/view?i=119691</v>
      </c>
      <c r="L10667" s="36" t="s">
        <v>55481</v>
      </c>
      <c r="M10667" s="186"/>
      <c r="N10667" s="186"/>
      <c r="O10667" s="172"/>
    </row>
    <row r="10668" spans="1:15" ht="51" x14ac:dyDescent="0.2">
      <c r="A10668" s="197" t="str">
        <f t="shared" si="166"/>
        <v>WpuCode_navigationReferenceSystem</v>
      </c>
      <c r="B10668" s="409"/>
      <c r="C10668" s="416"/>
      <c r="D10668" s="198" t="s">
        <v>55482</v>
      </c>
      <c r="E10668" s="198">
        <v>3</v>
      </c>
      <c r="F10668" s="199" t="s">
        <v>55483</v>
      </c>
      <c r="G10668" s="1" t="s">
        <v>55484</v>
      </c>
      <c r="H10668" s="1" t="s">
        <v>55485</v>
      </c>
      <c r="I10668" s="346"/>
      <c r="J10668" s="39">
        <v>119692</v>
      </c>
      <c r="K10668" s="36" t="str">
        <f>CONCATENATE(Cover!$D$6,"fdd/view?i=",J10668)</f>
        <v>https://www.dgiwg.org/FAD/fdd/view?i=119692</v>
      </c>
      <c r="L10668" s="36" t="s">
        <v>55486</v>
      </c>
      <c r="M10668" s="186"/>
      <c r="N10668" s="186"/>
      <c r="O10668" s="172"/>
    </row>
    <row r="10669" spans="1:15" ht="25.5" x14ac:dyDescent="0.2">
      <c r="A10669" s="197" t="str">
        <f t="shared" si="166"/>
        <v>WpuCode_offRoute</v>
      </c>
      <c r="B10669" s="409"/>
      <c r="C10669" s="416"/>
      <c r="D10669" s="198" t="s">
        <v>55487</v>
      </c>
      <c r="E10669" s="198">
        <v>1</v>
      </c>
      <c r="F10669" s="199" t="s">
        <v>55488</v>
      </c>
      <c r="G10669" s="1" t="s">
        <v>55489</v>
      </c>
      <c r="H10669" s="1" t="s">
        <v>55490</v>
      </c>
      <c r="I10669" s="346"/>
      <c r="J10669" s="39">
        <v>119690</v>
      </c>
      <c r="K10669" s="36" t="str">
        <f>CONCATENATE(Cover!$D$6,"fdd/view?i=",J10669)</f>
        <v>https://www.dgiwg.org/FAD/fdd/view?i=119690</v>
      </c>
      <c r="L10669" s="36" t="s">
        <v>55491</v>
      </c>
      <c r="M10669" s="186"/>
      <c r="N10669" s="186"/>
      <c r="O10669" s="172"/>
    </row>
    <row r="10670" spans="1:15" ht="38.25" x14ac:dyDescent="0.2">
      <c r="A10670" s="203" t="str">
        <f t="shared" si="166"/>
        <v>WpuCode_specialUsageAirspace</v>
      </c>
      <c r="B10670" s="410"/>
      <c r="C10670" s="417"/>
      <c r="D10670" s="204" t="s">
        <v>55492</v>
      </c>
      <c r="E10670" s="204">
        <v>4</v>
      </c>
      <c r="F10670" s="205" t="s">
        <v>55493</v>
      </c>
      <c r="G10670" s="206" t="s">
        <v>55494</v>
      </c>
      <c r="H10670" s="207"/>
      <c r="I10670" s="347"/>
      <c r="J10670" s="39">
        <v>119693</v>
      </c>
      <c r="K10670" s="36" t="str">
        <f>CONCATENATE(Cover!$D$6,"fdd/view?i=",J10670)</f>
        <v>https://www.dgiwg.org/FAD/fdd/view?i=119693</v>
      </c>
      <c r="L10670" s="36" t="s">
        <v>55495</v>
      </c>
      <c r="M10670" s="186"/>
      <c r="N10670" s="186"/>
      <c r="O10670" s="172"/>
    </row>
    <row r="10671" spans="1:15" ht="25.5" x14ac:dyDescent="0.2">
      <c r="A10671" s="190" t="str">
        <f t="shared" si="166"/>
        <v>XmtCode_launchSilo</v>
      </c>
      <c r="B10671" s="414" t="str">
        <f>HYPERLINK("[#]Datatypes!A1728:L1728","XmtCode")</f>
        <v>XmtCode</v>
      </c>
      <c r="C10671" s="415" t="s">
        <v>16361</v>
      </c>
      <c r="D10671" s="221" t="s">
        <v>55496</v>
      </c>
      <c r="E10671" s="221">
        <v>2</v>
      </c>
      <c r="F10671" s="222" t="s">
        <v>55497</v>
      </c>
      <c r="G10671" s="223" t="s">
        <v>55498</v>
      </c>
      <c r="H10671" s="224"/>
      <c r="I10671" s="345"/>
      <c r="J10671" s="39">
        <v>119765</v>
      </c>
      <c r="K10671" s="36" t="str">
        <f>CONCATENATE(Cover!$D$6,"fdd/view?i=",J10671)</f>
        <v>https://www.dgiwg.org/FAD/fdd/view?i=119765</v>
      </c>
      <c r="L10671" s="36" t="s">
        <v>55499</v>
      </c>
      <c r="M10671" s="186"/>
      <c r="N10671" s="186"/>
      <c r="O10671" s="172"/>
    </row>
    <row r="10672" spans="1:15" ht="25.5" x14ac:dyDescent="0.2">
      <c r="A10672" s="197" t="str">
        <f t="shared" si="166"/>
        <v>XmtCode_missileContainer</v>
      </c>
      <c r="B10672" s="409"/>
      <c r="C10672" s="416"/>
      <c r="D10672" s="198" t="s">
        <v>55500</v>
      </c>
      <c r="E10672" s="198">
        <v>3</v>
      </c>
      <c r="F10672" s="199" t="s">
        <v>55501</v>
      </c>
      <c r="G10672" s="1" t="s">
        <v>55502</v>
      </c>
      <c r="H10672" s="200"/>
      <c r="I10672" s="346"/>
      <c r="J10672" s="39">
        <v>119766</v>
      </c>
      <c r="K10672" s="36" t="str">
        <f>CONCATENATE(Cover!$D$6,"fdd/view?i=",J10672)</f>
        <v>https://www.dgiwg.org/FAD/fdd/view?i=119766</v>
      </c>
      <c r="L10672" s="36" t="s">
        <v>55503</v>
      </c>
      <c r="M10672" s="186"/>
      <c r="N10672" s="186"/>
      <c r="O10672" s="172"/>
    </row>
    <row r="10673" spans="1:15" x14ac:dyDescent="0.2">
      <c r="A10673" s="203" t="str">
        <f t="shared" si="166"/>
        <v>XmtCode_missilePallet</v>
      </c>
      <c r="B10673" s="410"/>
      <c r="C10673" s="417"/>
      <c r="D10673" s="204" t="s">
        <v>55504</v>
      </c>
      <c r="E10673" s="204">
        <v>4</v>
      </c>
      <c r="F10673" s="205" t="s">
        <v>55505</v>
      </c>
      <c r="G10673" s="206" t="s">
        <v>55506</v>
      </c>
      <c r="H10673" s="207"/>
      <c r="I10673" s="347"/>
      <c r="J10673" s="39">
        <v>119767</v>
      </c>
      <c r="K10673" s="36" t="str">
        <f>CONCATENATE(Cover!$D$6,"fdd/view?i=",J10673)</f>
        <v>https://www.dgiwg.org/FAD/fdd/view?i=119767</v>
      </c>
      <c r="L10673" s="36" t="s">
        <v>55507</v>
      </c>
      <c r="M10673" s="186"/>
      <c r="N10673" s="186"/>
      <c r="O10673" s="172"/>
    </row>
    <row r="10674" spans="1:15" ht="25.5" x14ac:dyDescent="0.2">
      <c r="A10674" s="190" t="str">
        <f t="shared" si="166"/>
        <v>XfmCode_artillery</v>
      </c>
      <c r="B10674" s="414" t="str">
        <f>HYPERLINK("[#]Datatypes!A1730:L1730","XfmCode")</f>
        <v>XfmCode</v>
      </c>
      <c r="C10674" s="415" t="s">
        <v>16363</v>
      </c>
      <c r="D10674" s="221" t="s">
        <v>40530</v>
      </c>
      <c r="E10674" s="221">
        <v>1</v>
      </c>
      <c r="F10674" s="222" t="s">
        <v>40531</v>
      </c>
      <c r="G10674" s="223" t="s">
        <v>55508</v>
      </c>
      <c r="H10674" s="224"/>
      <c r="I10674" s="345"/>
      <c r="J10674" s="39">
        <v>119748</v>
      </c>
      <c r="K10674" s="36" t="str">
        <f>CONCATENATE(Cover!$D$6,"fdd/view?i=",J10674)</f>
        <v>https://www.dgiwg.org/FAD/fdd/view?i=119748</v>
      </c>
      <c r="L10674" s="36" t="s">
        <v>55509</v>
      </c>
      <c r="M10674" s="186"/>
      <c r="N10674" s="186"/>
      <c r="O10674" s="172"/>
    </row>
    <row r="10675" spans="1:15" ht="25.5" x14ac:dyDescent="0.2">
      <c r="A10675" s="197" t="str">
        <f t="shared" si="166"/>
        <v>XfmCode_combinedTypes</v>
      </c>
      <c r="B10675" s="409"/>
      <c r="C10675" s="416"/>
      <c r="D10675" s="198" t="s">
        <v>55510</v>
      </c>
      <c r="E10675" s="198">
        <v>4</v>
      </c>
      <c r="F10675" s="199" t="s">
        <v>55511</v>
      </c>
      <c r="G10675" s="1" t="s">
        <v>55512</v>
      </c>
      <c r="H10675" s="200"/>
      <c r="I10675" s="346"/>
      <c r="J10675" s="39">
        <v>119749</v>
      </c>
      <c r="K10675" s="36" t="str">
        <f>CONCATENATE(Cover!$D$6,"fdd/view?i=",J10675)</f>
        <v>https://www.dgiwg.org/FAD/fdd/view?i=119749</v>
      </c>
      <c r="L10675" s="36" t="s">
        <v>55513</v>
      </c>
      <c r="M10675" s="186"/>
      <c r="N10675" s="186"/>
      <c r="O10675" s="172"/>
    </row>
    <row r="10676" spans="1:15" x14ac:dyDescent="0.2">
      <c r="A10676" s="197" t="str">
        <f t="shared" si="166"/>
        <v>XfmCode_gun</v>
      </c>
      <c r="B10676" s="409"/>
      <c r="C10676" s="416"/>
      <c r="D10676" s="198" t="s">
        <v>42945</v>
      </c>
      <c r="E10676" s="198">
        <v>5</v>
      </c>
      <c r="F10676" s="199" t="s">
        <v>42946</v>
      </c>
      <c r="G10676" s="1" t="s">
        <v>55514</v>
      </c>
      <c r="H10676" s="200"/>
      <c r="I10676" s="346"/>
      <c r="J10676" s="39">
        <v>119750</v>
      </c>
      <c r="K10676" s="36" t="str">
        <f>CONCATENATE(Cover!$D$6,"fdd/view?i=",J10676)</f>
        <v>https://www.dgiwg.org/FAD/fdd/view?i=119750</v>
      </c>
      <c r="L10676" s="36" t="s">
        <v>55515</v>
      </c>
      <c r="M10676" s="186"/>
      <c r="N10676" s="186"/>
      <c r="O10676" s="172"/>
    </row>
    <row r="10677" spans="1:15" ht="38.25" x14ac:dyDescent="0.2">
      <c r="A10677" s="197" t="str">
        <f t="shared" si="166"/>
        <v>XfmCode_laser</v>
      </c>
      <c r="B10677" s="409"/>
      <c r="C10677" s="416"/>
      <c r="D10677" s="198" t="s">
        <v>55516</v>
      </c>
      <c r="E10677" s="198">
        <v>6</v>
      </c>
      <c r="F10677" s="199" t="s">
        <v>55517</v>
      </c>
      <c r="G10677" s="1" t="s">
        <v>55518</v>
      </c>
      <c r="H10677" s="200"/>
      <c r="I10677" s="346"/>
      <c r="J10677" s="39">
        <v>119751</v>
      </c>
      <c r="K10677" s="36" t="str">
        <f>CONCATENATE(Cover!$D$6,"fdd/view?i=",J10677)</f>
        <v>https://www.dgiwg.org/FAD/fdd/view?i=119751</v>
      </c>
      <c r="L10677" s="36" t="s">
        <v>55519</v>
      </c>
      <c r="M10677" s="186"/>
      <c r="N10677" s="186"/>
      <c r="O10677" s="172"/>
    </row>
    <row r="10678" spans="1:15" x14ac:dyDescent="0.2">
      <c r="A10678" s="197" t="str">
        <f t="shared" si="166"/>
        <v>XfmCode_missile</v>
      </c>
      <c r="B10678" s="409"/>
      <c r="C10678" s="416"/>
      <c r="D10678" s="198" t="s">
        <v>44106</v>
      </c>
      <c r="E10678" s="198">
        <v>7</v>
      </c>
      <c r="F10678" s="199" t="s">
        <v>44107</v>
      </c>
      <c r="G10678" s="1" t="s">
        <v>55520</v>
      </c>
      <c r="H10678" s="200"/>
      <c r="I10678" s="346"/>
      <c r="J10678" s="39">
        <v>119752</v>
      </c>
      <c r="K10678" s="36" t="str">
        <f>CONCATENATE(Cover!$D$6,"fdd/view?i=",J10678)</f>
        <v>https://www.dgiwg.org/FAD/fdd/view?i=119752</v>
      </c>
      <c r="L10678" s="36" t="s">
        <v>55521</v>
      </c>
      <c r="M10678" s="186"/>
      <c r="N10678" s="186"/>
      <c r="O10678" s="172"/>
    </row>
    <row r="10679" spans="1:15" x14ac:dyDescent="0.2">
      <c r="A10679" s="203" t="str">
        <f t="shared" si="166"/>
        <v>XfmCode_rocket</v>
      </c>
      <c r="B10679" s="410"/>
      <c r="C10679" s="417"/>
      <c r="D10679" s="204" t="s">
        <v>37689</v>
      </c>
      <c r="E10679" s="204">
        <v>8</v>
      </c>
      <c r="F10679" s="205" t="s">
        <v>37690</v>
      </c>
      <c r="G10679" s="206" t="s">
        <v>55522</v>
      </c>
      <c r="H10679" s="207"/>
      <c r="I10679" s="347"/>
      <c r="J10679" s="39">
        <v>119753</v>
      </c>
      <c r="K10679" s="36" t="str">
        <f>CONCATENATE(Cover!$D$6,"fdd/view?i=",J10679)</f>
        <v>https://www.dgiwg.org/FAD/fdd/view?i=119753</v>
      </c>
      <c r="L10679" s="36" t="s">
        <v>55523</v>
      </c>
      <c r="M10679" s="186"/>
      <c r="N10679" s="186"/>
      <c r="O10679" s="172"/>
    </row>
    <row r="10680" spans="1:15" ht="38.25" x14ac:dyDescent="0.2">
      <c r="A10680" s="190" t="str">
        <f t="shared" si="166"/>
        <v>FrtCode_demolitionArea</v>
      </c>
      <c r="B10680" s="414" t="str">
        <f>HYPERLINK("[#]Datatypes!A1732:L1732","FrtCode")</f>
        <v>FrtCode</v>
      </c>
      <c r="C10680" s="415" t="s">
        <v>16365</v>
      </c>
      <c r="D10680" s="221" t="s">
        <v>55524</v>
      </c>
      <c r="E10680" s="221">
        <v>5</v>
      </c>
      <c r="F10680" s="222" t="s">
        <v>55525</v>
      </c>
      <c r="G10680" s="223" t="s">
        <v>55526</v>
      </c>
      <c r="H10680" s="224"/>
      <c r="I10680" s="345"/>
      <c r="J10680" s="39">
        <v>103723</v>
      </c>
      <c r="K10680" s="36" t="str">
        <f>CONCATENATE(Cover!$D$6,"fdd/view?i=",J10680)</f>
        <v>https://www.dgiwg.org/FAD/fdd/view?i=103723</v>
      </c>
      <c r="L10680" s="36" t="s">
        <v>55527</v>
      </c>
      <c r="M10680" s="186"/>
      <c r="N10680" s="186"/>
      <c r="O10680" s="172"/>
    </row>
    <row r="10681" spans="1:15" ht="25.5" x14ac:dyDescent="0.2">
      <c r="A10681" s="197" t="str">
        <f t="shared" si="166"/>
        <v>FrtCode_fieldArtillery</v>
      </c>
      <c r="B10681" s="409"/>
      <c r="C10681" s="416"/>
      <c r="D10681" s="198" t="s">
        <v>55528</v>
      </c>
      <c r="E10681" s="198">
        <v>3</v>
      </c>
      <c r="F10681" s="199" t="s">
        <v>55529</v>
      </c>
      <c r="G10681" s="1" t="s">
        <v>55530</v>
      </c>
      <c r="H10681" s="200"/>
      <c r="I10681" s="346"/>
      <c r="J10681" s="39">
        <v>103721</v>
      </c>
      <c r="K10681" s="36" t="str">
        <f>CONCATENATE(Cover!$D$6,"fdd/view?i=",J10681)</f>
        <v>https://www.dgiwg.org/FAD/fdd/view?i=103721</v>
      </c>
      <c r="L10681" s="36" t="s">
        <v>55531</v>
      </c>
      <c r="M10681" s="186"/>
      <c r="N10681" s="186"/>
      <c r="O10681" s="172"/>
    </row>
    <row r="10682" spans="1:15" ht="51" x14ac:dyDescent="0.2">
      <c r="A10682" s="197" t="str">
        <f t="shared" si="166"/>
        <v>FrtCode_grenade</v>
      </c>
      <c r="B10682" s="409"/>
      <c r="C10682" s="416"/>
      <c r="D10682" s="198" t="s">
        <v>42940</v>
      </c>
      <c r="E10682" s="198">
        <v>4</v>
      </c>
      <c r="F10682" s="199" t="s">
        <v>42941</v>
      </c>
      <c r="G10682" s="1" t="s">
        <v>55532</v>
      </c>
      <c r="H10682" s="1" t="s">
        <v>55533</v>
      </c>
      <c r="I10682" s="346"/>
      <c r="J10682" s="39">
        <v>103722</v>
      </c>
      <c r="K10682" s="36" t="str">
        <f>CONCATENATE(Cover!$D$6,"fdd/view?i=",J10682)</f>
        <v>https://www.dgiwg.org/FAD/fdd/view?i=103722</v>
      </c>
      <c r="L10682" s="36" t="s">
        <v>55534</v>
      </c>
      <c r="M10682" s="186"/>
      <c r="N10682" s="186"/>
      <c r="O10682" s="172"/>
    </row>
    <row r="10683" spans="1:15" ht="25.5" x14ac:dyDescent="0.2">
      <c r="A10683" s="197" t="str">
        <f t="shared" si="166"/>
        <v>FrtCode_impactArea</v>
      </c>
      <c r="B10683" s="409"/>
      <c r="C10683" s="416"/>
      <c r="D10683" s="198" t="s">
        <v>55535</v>
      </c>
      <c r="E10683" s="198">
        <v>6</v>
      </c>
      <c r="F10683" s="199" t="s">
        <v>55536</v>
      </c>
      <c r="G10683" s="1" t="s">
        <v>41235</v>
      </c>
      <c r="H10683" s="200"/>
      <c r="I10683" s="346"/>
      <c r="J10683" s="39">
        <v>103724</v>
      </c>
      <c r="K10683" s="36" t="str">
        <f>CONCATENATE(Cover!$D$6,"fdd/view?i=",J10683)</f>
        <v>https://www.dgiwg.org/FAD/fdd/view?i=103724</v>
      </c>
      <c r="L10683" s="36" t="s">
        <v>55537</v>
      </c>
      <c r="M10683" s="186"/>
      <c r="N10683" s="186"/>
      <c r="O10683" s="172"/>
    </row>
    <row r="10684" spans="1:15" ht="25.5" x14ac:dyDescent="0.2">
      <c r="A10684" s="197" t="str">
        <f t="shared" si="166"/>
        <v>FrtCode_smallArms</v>
      </c>
      <c r="B10684" s="409"/>
      <c r="C10684" s="416"/>
      <c r="D10684" s="198" t="s">
        <v>55538</v>
      </c>
      <c r="E10684" s="198">
        <v>1</v>
      </c>
      <c r="F10684" s="199" t="s">
        <v>55539</v>
      </c>
      <c r="G10684" s="1" t="s">
        <v>55540</v>
      </c>
      <c r="H10684" s="200"/>
      <c r="I10684" s="346"/>
      <c r="J10684" s="39">
        <v>103719</v>
      </c>
      <c r="K10684" s="36" t="str">
        <f>CONCATENATE(Cover!$D$6,"fdd/view?i=",J10684)</f>
        <v>https://www.dgiwg.org/FAD/fdd/view?i=103719</v>
      </c>
      <c r="L10684" s="36" t="s">
        <v>55541</v>
      </c>
      <c r="M10684" s="186"/>
      <c r="N10684" s="186"/>
      <c r="O10684" s="172"/>
    </row>
    <row r="10685" spans="1:15" ht="63.75" x14ac:dyDescent="0.2">
      <c r="A10685" s="203" t="str">
        <f t="shared" si="166"/>
        <v>FrtCode_tank</v>
      </c>
      <c r="B10685" s="410"/>
      <c r="C10685" s="417"/>
      <c r="D10685" s="204" t="s">
        <v>55542</v>
      </c>
      <c r="E10685" s="204">
        <v>2</v>
      </c>
      <c r="F10685" s="205" t="s">
        <v>55543</v>
      </c>
      <c r="G10685" s="206" t="s">
        <v>55544</v>
      </c>
      <c r="H10685" s="206" t="s">
        <v>55545</v>
      </c>
      <c r="I10685" s="347"/>
      <c r="J10685" s="39">
        <v>103720</v>
      </c>
      <c r="K10685" s="36" t="str">
        <f>CONCATENATE(Cover!$D$6,"fdd/view?i=",J10685)</f>
        <v>https://www.dgiwg.org/FAD/fdd/view?i=103720</v>
      </c>
      <c r="L10685" s="36" t="s">
        <v>55546</v>
      </c>
      <c r="M10685" s="186"/>
      <c r="N10685" s="186"/>
      <c r="O10685" s="172"/>
    </row>
    <row r="10686" spans="1:15" ht="102" x14ac:dyDescent="0.2">
      <c r="A10686" s="190" t="str">
        <f t="shared" si="166"/>
        <v>WrxCode_allWeather</v>
      </c>
      <c r="B10686" s="414" t="str">
        <f>HYPERLINK("[#]Datatypes!A1734:L1734","WrxCode")</f>
        <v>WrxCode</v>
      </c>
      <c r="C10686" s="415" t="s">
        <v>16367</v>
      </c>
      <c r="D10686" s="221" t="s">
        <v>45822</v>
      </c>
      <c r="E10686" s="221">
        <v>1</v>
      </c>
      <c r="F10686" s="222" t="s">
        <v>45823</v>
      </c>
      <c r="G10686" s="223" t="s">
        <v>45824</v>
      </c>
      <c r="H10686" s="223" t="s">
        <v>55547</v>
      </c>
      <c r="I10686" s="345"/>
      <c r="J10686" s="39">
        <v>118359</v>
      </c>
      <c r="K10686" s="36" t="str">
        <f>CONCATENATE(Cover!$D$6,"fdd/view?i=",J10686)</f>
        <v>https://www.dgiwg.org/FAD/fdd/view?i=118359</v>
      </c>
      <c r="L10686" s="36" t="s">
        <v>55548</v>
      </c>
      <c r="M10686" s="186"/>
      <c r="N10686" s="186"/>
      <c r="O10686" s="172"/>
    </row>
    <row r="10687" spans="1:15" ht="38.25" x14ac:dyDescent="0.2">
      <c r="A10687" s="197" t="str">
        <f t="shared" si="166"/>
        <v>WrxCode_closedInWinter</v>
      </c>
      <c r="B10687" s="409"/>
      <c r="C10687" s="416"/>
      <c r="D10687" s="198" t="s">
        <v>45827</v>
      </c>
      <c r="E10687" s="198">
        <v>2</v>
      </c>
      <c r="F10687" s="199" t="s">
        <v>45828</v>
      </c>
      <c r="G10687" s="1" t="s">
        <v>45829</v>
      </c>
      <c r="H10687" s="1" t="s">
        <v>55549</v>
      </c>
      <c r="I10687" s="346"/>
      <c r="J10687" s="39">
        <v>118360</v>
      </c>
      <c r="K10687" s="36" t="str">
        <f>CONCATENATE(Cover!$D$6,"fdd/view?i=",J10687)</f>
        <v>https://www.dgiwg.org/FAD/fdd/view?i=118360</v>
      </c>
      <c r="L10687" s="36" t="s">
        <v>55550</v>
      </c>
      <c r="M10687" s="186"/>
      <c r="N10687" s="186"/>
      <c r="O10687" s="172"/>
    </row>
    <row r="10688" spans="1:15" ht="76.5" x14ac:dyDescent="0.2">
      <c r="A10688" s="197" t="str">
        <f t="shared" si="166"/>
        <v>WrxCode_fairWeather</v>
      </c>
      <c r="B10688" s="409"/>
      <c r="C10688" s="416"/>
      <c r="D10688" s="198" t="s">
        <v>45832</v>
      </c>
      <c r="E10688" s="198">
        <v>3</v>
      </c>
      <c r="F10688" s="199" t="s">
        <v>45833</v>
      </c>
      <c r="G10688" s="1" t="s">
        <v>55551</v>
      </c>
      <c r="H10688" s="1" t="s">
        <v>55552</v>
      </c>
      <c r="I10688" s="346"/>
      <c r="J10688" s="39">
        <v>118361</v>
      </c>
      <c r="K10688" s="36" t="str">
        <f>CONCATENATE(Cover!$D$6,"fdd/view?i=",J10688)</f>
        <v>https://www.dgiwg.org/FAD/fdd/view?i=118361</v>
      </c>
      <c r="L10688" s="36" t="s">
        <v>55553</v>
      </c>
      <c r="M10688" s="186"/>
      <c r="N10688" s="186"/>
      <c r="O10688" s="172"/>
    </row>
    <row r="10689" spans="1:15" ht="127.5" x14ac:dyDescent="0.2">
      <c r="A10689" s="197" t="str">
        <f t="shared" si="166"/>
        <v>WrxCode_limitedAllWeather</v>
      </c>
      <c r="B10689" s="409"/>
      <c r="C10689" s="416"/>
      <c r="D10689" s="198" t="s">
        <v>45837</v>
      </c>
      <c r="E10689" s="198">
        <v>4</v>
      </c>
      <c r="F10689" s="199" t="s">
        <v>45838</v>
      </c>
      <c r="G10689" s="1" t="s">
        <v>55554</v>
      </c>
      <c r="H10689" s="1" t="s">
        <v>55555</v>
      </c>
      <c r="I10689" s="346"/>
      <c r="J10689" s="39">
        <v>118362</v>
      </c>
      <c r="K10689" s="36" t="str">
        <f>CONCATENATE(Cover!$D$6,"fdd/view?i=",J10689)</f>
        <v>https://www.dgiwg.org/FAD/fdd/view?i=118362</v>
      </c>
      <c r="L10689" s="36" t="s">
        <v>55556</v>
      </c>
      <c r="M10689" s="186"/>
      <c r="N10689" s="186"/>
      <c r="O10689" s="172"/>
    </row>
    <row r="10690" spans="1:15" ht="38.25" x14ac:dyDescent="0.2">
      <c r="A10690" s="203" t="str">
        <f t="shared" ref="A10690:A10753" si="167">HYPERLINK(K10690,L10690)</f>
        <v>WrxCode_winterOnly</v>
      </c>
      <c r="B10690" s="410"/>
      <c r="C10690" s="417"/>
      <c r="D10690" s="204" t="s">
        <v>45842</v>
      </c>
      <c r="E10690" s="204">
        <v>5</v>
      </c>
      <c r="F10690" s="205" t="s">
        <v>45843</v>
      </c>
      <c r="G10690" s="206" t="s">
        <v>55557</v>
      </c>
      <c r="H10690" s="206" t="s">
        <v>55558</v>
      </c>
      <c r="I10690" s="347"/>
      <c r="J10690" s="39">
        <v>118363</v>
      </c>
      <c r="K10690" s="36" t="str">
        <f>CONCATENATE(Cover!$D$6,"fdd/view?i=",J10690)</f>
        <v>https://www.dgiwg.org/FAD/fdd/view?i=118363</v>
      </c>
      <c r="L10690" s="36" t="s">
        <v>55559</v>
      </c>
      <c r="M10690" s="186"/>
      <c r="N10690" s="186"/>
      <c r="O10690" s="172"/>
    </row>
    <row r="10691" spans="1:15" ht="25.5" x14ac:dyDescent="0.2">
      <c r="A10691" s="190" t="str">
        <f t="shared" si="167"/>
        <v>WerCode_bridgeBeneath</v>
      </c>
      <c r="B10691" s="414" t="str">
        <f>HYPERLINK("[#]Datatypes!A1736:L1736","WerCode")</f>
        <v>WerCode</v>
      </c>
      <c r="C10691" s="415" t="s">
        <v>16369</v>
      </c>
      <c r="D10691" s="221" t="s">
        <v>55560</v>
      </c>
      <c r="E10691" s="221">
        <v>1</v>
      </c>
      <c r="F10691" s="222" t="s">
        <v>55561</v>
      </c>
      <c r="G10691" s="223" t="s">
        <v>55562</v>
      </c>
      <c r="H10691" s="224"/>
      <c r="I10691" s="345"/>
      <c r="J10691" s="39">
        <v>118879</v>
      </c>
      <c r="K10691" s="36" t="str">
        <f>CONCATENATE(Cover!$D$6,"fdd/view?i=",J10691)</f>
        <v>https://www.dgiwg.org/FAD/fdd/view?i=118879</v>
      </c>
      <c r="L10691" s="36" t="s">
        <v>55563</v>
      </c>
      <c r="M10691" s="186"/>
      <c r="N10691" s="186"/>
      <c r="O10691" s="172"/>
    </row>
    <row r="10692" spans="1:15" ht="25.5" x14ac:dyDescent="0.2">
      <c r="A10692" s="197" t="str">
        <f t="shared" si="167"/>
        <v>WerCode_culvertBeneath</v>
      </c>
      <c r="B10692" s="409"/>
      <c r="C10692" s="416"/>
      <c r="D10692" s="198" t="s">
        <v>55564</v>
      </c>
      <c r="E10692" s="198">
        <v>4</v>
      </c>
      <c r="F10692" s="199" t="s">
        <v>55565</v>
      </c>
      <c r="G10692" s="1" t="s">
        <v>55566</v>
      </c>
      <c r="H10692" s="200"/>
      <c r="I10692" s="346"/>
      <c r="J10692" s="39">
        <v>118882</v>
      </c>
      <c r="K10692" s="36" t="str">
        <f>CONCATENATE(Cover!$D$6,"fdd/view?i=",J10692)</f>
        <v>https://www.dgiwg.org/FAD/fdd/view?i=118882</v>
      </c>
      <c r="L10692" s="36" t="s">
        <v>55567</v>
      </c>
      <c r="M10692" s="186"/>
      <c r="N10692" s="186"/>
      <c r="O10692" s="172"/>
    </row>
    <row r="10693" spans="1:15" x14ac:dyDescent="0.2">
      <c r="A10693" s="197" t="str">
        <f t="shared" si="167"/>
        <v>WerCode_roadSurface</v>
      </c>
      <c r="B10693" s="409"/>
      <c r="C10693" s="416"/>
      <c r="D10693" s="198" t="s">
        <v>55568</v>
      </c>
      <c r="E10693" s="198">
        <v>3</v>
      </c>
      <c r="F10693" s="199" t="s">
        <v>55569</v>
      </c>
      <c r="G10693" s="1" t="s">
        <v>55570</v>
      </c>
      <c r="H10693" s="200"/>
      <c r="I10693" s="346"/>
      <c r="J10693" s="39">
        <v>118881</v>
      </c>
      <c r="K10693" s="36" t="str">
        <f>CONCATENATE(Cover!$D$6,"fdd/view?i=",J10693)</f>
        <v>https://www.dgiwg.org/FAD/fdd/view?i=118881</v>
      </c>
      <c r="L10693" s="36" t="s">
        <v>55571</v>
      </c>
      <c r="M10693" s="186"/>
      <c r="N10693" s="186"/>
      <c r="O10693" s="172"/>
    </row>
    <row r="10694" spans="1:15" ht="25.5" x14ac:dyDescent="0.2">
      <c r="A10694" s="203" t="str">
        <f t="shared" si="167"/>
        <v>WerCode_tunnelBeneath</v>
      </c>
      <c r="B10694" s="410"/>
      <c r="C10694" s="417"/>
      <c r="D10694" s="204" t="s">
        <v>55572</v>
      </c>
      <c r="E10694" s="204">
        <v>2</v>
      </c>
      <c r="F10694" s="205" t="s">
        <v>55573</v>
      </c>
      <c r="G10694" s="206" t="s">
        <v>55574</v>
      </c>
      <c r="H10694" s="207"/>
      <c r="I10694" s="347"/>
      <c r="J10694" s="39">
        <v>118880</v>
      </c>
      <c r="K10694" s="36" t="str">
        <f>CONCATENATE(Cover!$D$6,"fdd/view?i=",J10694)</f>
        <v>https://www.dgiwg.org/FAD/fdd/view?i=118880</v>
      </c>
      <c r="L10694" s="36" t="s">
        <v>55575</v>
      </c>
      <c r="M10694" s="186"/>
      <c r="N10694" s="186"/>
      <c r="O10694" s="172"/>
    </row>
    <row r="10695" spans="1:15" ht="51" x14ac:dyDescent="0.2">
      <c r="A10695" s="190" t="str">
        <f t="shared" si="167"/>
        <v>WeqCode_capped</v>
      </c>
      <c r="B10695" s="414" t="str">
        <f>HYPERLINK("[#]Datatypes!A1738:L1738","WeqCode")</f>
        <v>WeqCode</v>
      </c>
      <c r="C10695" s="415" t="s">
        <v>16371</v>
      </c>
      <c r="D10695" s="221" t="s">
        <v>55576</v>
      </c>
      <c r="E10695" s="221">
        <v>10</v>
      </c>
      <c r="F10695" s="222" t="s">
        <v>55577</v>
      </c>
      <c r="G10695" s="223" t="s">
        <v>55578</v>
      </c>
      <c r="H10695" s="223" t="s">
        <v>55579</v>
      </c>
      <c r="I10695" s="345"/>
      <c r="J10695" s="39">
        <v>112572</v>
      </c>
      <c r="K10695" s="36" t="str">
        <f>CONCATENATE(Cover!$D$6,"fdd/view?i=",J10695)</f>
        <v>https://www.dgiwg.org/FAD/fdd/view?i=112572</v>
      </c>
      <c r="L10695" s="36" t="s">
        <v>55580</v>
      </c>
      <c r="M10695" s="186"/>
      <c r="N10695" s="186"/>
      <c r="O10695" s="172"/>
    </row>
    <row r="10696" spans="1:15" ht="127.5" x14ac:dyDescent="0.2">
      <c r="A10696" s="197" t="str">
        <f t="shared" si="167"/>
        <v>WeqCode_christmasTree</v>
      </c>
      <c r="B10696" s="409"/>
      <c r="C10696" s="416"/>
      <c r="D10696" s="198" t="s">
        <v>55581</v>
      </c>
      <c r="E10696" s="198">
        <v>2</v>
      </c>
      <c r="F10696" s="199" t="s">
        <v>55582</v>
      </c>
      <c r="G10696" s="1" t="s">
        <v>55583</v>
      </c>
      <c r="H10696" s="1" t="s">
        <v>55584</v>
      </c>
      <c r="I10696" s="346"/>
      <c r="J10696" s="39">
        <v>112556</v>
      </c>
      <c r="K10696" s="36" t="str">
        <f>CONCATENATE(Cover!$D$6,"fdd/view?i=",J10696)</f>
        <v>https://www.dgiwg.org/FAD/fdd/view?i=112556</v>
      </c>
      <c r="L10696" s="36" t="s">
        <v>55585</v>
      </c>
      <c r="M10696" s="186"/>
      <c r="N10696" s="186"/>
      <c r="O10696" s="172"/>
    </row>
    <row r="10697" spans="1:15" ht="102" x14ac:dyDescent="0.2">
      <c r="A10697" s="197" t="str">
        <f t="shared" si="167"/>
        <v>WeqCode_manifold</v>
      </c>
      <c r="B10697" s="409"/>
      <c r="C10697" s="416"/>
      <c r="D10697" s="198" t="s">
        <v>55586</v>
      </c>
      <c r="E10697" s="198">
        <v>3</v>
      </c>
      <c r="F10697" s="199" t="s">
        <v>55587</v>
      </c>
      <c r="G10697" s="1" t="s">
        <v>55588</v>
      </c>
      <c r="H10697" s="1" t="s">
        <v>55589</v>
      </c>
      <c r="I10697" s="346"/>
      <c r="J10697" s="39">
        <v>112558</v>
      </c>
      <c r="K10697" s="36" t="str">
        <f>CONCATENATE(Cover!$D$6,"fdd/view?i=",J10697)</f>
        <v>https://www.dgiwg.org/FAD/fdd/view?i=112558</v>
      </c>
      <c r="L10697" s="36" t="s">
        <v>55590</v>
      </c>
      <c r="M10697" s="186"/>
      <c r="N10697" s="186"/>
      <c r="O10697" s="172"/>
    </row>
    <row r="10698" spans="1:15" ht="63.75" x14ac:dyDescent="0.2">
      <c r="A10698" s="197" t="str">
        <f t="shared" si="167"/>
        <v>WeqCode_protectiveStructure</v>
      </c>
      <c r="B10698" s="409"/>
      <c r="C10698" s="416"/>
      <c r="D10698" s="198" t="s">
        <v>55591</v>
      </c>
      <c r="E10698" s="198">
        <v>4</v>
      </c>
      <c r="F10698" s="199" t="s">
        <v>55592</v>
      </c>
      <c r="G10698" s="1" t="s">
        <v>55593</v>
      </c>
      <c r="H10698" s="1" t="s">
        <v>55594</v>
      </c>
      <c r="I10698" s="346"/>
      <c r="J10698" s="39">
        <v>112560</v>
      </c>
      <c r="K10698" s="36" t="str">
        <f>CONCATENATE(Cover!$D$6,"fdd/view?i=",J10698)</f>
        <v>https://www.dgiwg.org/FAD/fdd/view?i=112560</v>
      </c>
      <c r="L10698" s="36" t="s">
        <v>55595</v>
      </c>
      <c r="M10698" s="186"/>
      <c r="N10698" s="186"/>
      <c r="O10698" s="172"/>
    </row>
    <row r="10699" spans="1:15" ht="89.25" x14ac:dyDescent="0.2">
      <c r="A10699" s="197" t="str">
        <f t="shared" si="167"/>
        <v>WeqCode_pump</v>
      </c>
      <c r="B10699" s="409"/>
      <c r="C10699" s="416"/>
      <c r="D10699" s="198" t="s">
        <v>55596</v>
      </c>
      <c r="E10699" s="198">
        <v>5</v>
      </c>
      <c r="F10699" s="199" t="s">
        <v>55597</v>
      </c>
      <c r="G10699" s="1" t="s">
        <v>55598</v>
      </c>
      <c r="H10699" s="1" t="s">
        <v>55599</v>
      </c>
      <c r="I10699" s="346"/>
      <c r="J10699" s="39">
        <v>112562</v>
      </c>
      <c r="K10699" s="36" t="str">
        <f>CONCATENATE(Cover!$D$6,"fdd/view?i=",J10699)</f>
        <v>https://www.dgiwg.org/FAD/fdd/view?i=112562</v>
      </c>
      <c r="L10699" s="36" t="s">
        <v>55600</v>
      </c>
      <c r="M10699" s="186"/>
      <c r="N10699" s="186"/>
      <c r="O10699" s="172"/>
    </row>
    <row r="10700" spans="1:15" ht="63.75" x14ac:dyDescent="0.2">
      <c r="A10700" s="197" t="str">
        <f t="shared" si="167"/>
        <v>WeqCode_rodPump</v>
      </c>
      <c r="B10700" s="409"/>
      <c r="C10700" s="416"/>
      <c r="D10700" s="198" t="s">
        <v>55601</v>
      </c>
      <c r="E10700" s="198">
        <v>6</v>
      </c>
      <c r="F10700" s="199" t="s">
        <v>55602</v>
      </c>
      <c r="G10700" s="1" t="s">
        <v>55603</v>
      </c>
      <c r="H10700" s="1" t="s">
        <v>55604</v>
      </c>
      <c r="I10700" s="346"/>
      <c r="J10700" s="39">
        <v>112564</v>
      </c>
      <c r="K10700" s="36" t="str">
        <f>CONCATENATE(Cover!$D$6,"fdd/view?i=",J10700)</f>
        <v>https://www.dgiwg.org/FAD/fdd/view?i=112564</v>
      </c>
      <c r="L10700" s="36" t="s">
        <v>55605</v>
      </c>
      <c r="M10700" s="186"/>
      <c r="N10700" s="186"/>
      <c r="O10700" s="172"/>
    </row>
    <row r="10701" spans="1:15" ht="89.25" x14ac:dyDescent="0.2">
      <c r="A10701" s="197" t="str">
        <f t="shared" si="167"/>
        <v>WeqCode_separator</v>
      </c>
      <c r="B10701" s="409"/>
      <c r="C10701" s="416"/>
      <c r="D10701" s="198" t="s">
        <v>55606</v>
      </c>
      <c r="E10701" s="198">
        <v>7</v>
      </c>
      <c r="F10701" s="199" t="s">
        <v>55607</v>
      </c>
      <c r="G10701" s="1" t="s">
        <v>55608</v>
      </c>
      <c r="H10701" s="1" t="s">
        <v>55609</v>
      </c>
      <c r="I10701" s="346"/>
      <c r="J10701" s="39">
        <v>112566</v>
      </c>
      <c r="K10701" s="36" t="str">
        <f>CONCATENATE(Cover!$D$6,"fdd/view?i=",J10701)</f>
        <v>https://www.dgiwg.org/FAD/fdd/view?i=112566</v>
      </c>
      <c r="L10701" s="36" t="s">
        <v>55610</v>
      </c>
      <c r="M10701" s="186"/>
      <c r="N10701" s="186"/>
      <c r="O10701" s="172"/>
    </row>
    <row r="10702" spans="1:15" ht="25.5" x14ac:dyDescent="0.2">
      <c r="A10702" s="197" t="str">
        <f t="shared" si="167"/>
        <v>WeqCode_stockTank</v>
      </c>
      <c r="B10702" s="409"/>
      <c r="C10702" s="416"/>
      <c r="D10702" s="198" t="s">
        <v>55611</v>
      </c>
      <c r="E10702" s="198">
        <v>8</v>
      </c>
      <c r="F10702" s="199" t="s">
        <v>55612</v>
      </c>
      <c r="G10702" s="1" t="s">
        <v>55613</v>
      </c>
      <c r="H10702" s="200"/>
      <c r="I10702" s="346"/>
      <c r="J10702" s="39">
        <v>112568</v>
      </c>
      <c r="K10702" s="36" t="str">
        <f>CONCATENATE(Cover!$D$6,"fdd/view?i=",J10702)</f>
        <v>https://www.dgiwg.org/FAD/fdd/view?i=112568</v>
      </c>
      <c r="L10702" s="36" t="s">
        <v>55614</v>
      </c>
      <c r="M10702" s="186"/>
      <c r="N10702" s="186"/>
      <c r="O10702" s="172"/>
    </row>
    <row r="10703" spans="1:15" ht="38.25" x14ac:dyDescent="0.2">
      <c r="A10703" s="197" t="str">
        <f t="shared" si="167"/>
        <v>WeqCode_treater</v>
      </c>
      <c r="B10703" s="409"/>
      <c r="C10703" s="416"/>
      <c r="D10703" s="198" t="s">
        <v>55615</v>
      </c>
      <c r="E10703" s="198">
        <v>9</v>
      </c>
      <c r="F10703" s="199" t="s">
        <v>55616</v>
      </c>
      <c r="G10703" s="1" t="s">
        <v>55617</v>
      </c>
      <c r="H10703" s="1" t="s">
        <v>55618</v>
      </c>
      <c r="I10703" s="346"/>
      <c r="J10703" s="39">
        <v>112570</v>
      </c>
      <c r="K10703" s="36" t="str">
        <f>CONCATENATE(Cover!$D$6,"fdd/view?i=",J10703)</f>
        <v>https://www.dgiwg.org/FAD/fdd/view?i=112570</v>
      </c>
      <c r="L10703" s="36" t="s">
        <v>55619</v>
      </c>
      <c r="M10703" s="186"/>
      <c r="N10703" s="186"/>
      <c r="O10703" s="172"/>
    </row>
    <row r="10704" spans="1:15" ht="38.25" x14ac:dyDescent="0.2">
      <c r="A10704" s="203" t="str">
        <f t="shared" si="167"/>
        <v>WeqCode_wellhead</v>
      </c>
      <c r="B10704" s="410"/>
      <c r="C10704" s="417"/>
      <c r="D10704" s="204" t="s">
        <v>25197</v>
      </c>
      <c r="E10704" s="204">
        <v>1</v>
      </c>
      <c r="F10704" s="205" t="s">
        <v>25198</v>
      </c>
      <c r="G10704" s="206" t="s">
        <v>55620</v>
      </c>
      <c r="H10704" s="206" t="s">
        <v>55621</v>
      </c>
      <c r="I10704" s="347"/>
      <c r="J10704" s="39">
        <v>112554</v>
      </c>
      <c r="K10704" s="36" t="str">
        <f>CONCATENATE(Cover!$D$6,"fdd/view?i=",J10704)</f>
        <v>https://www.dgiwg.org/FAD/fdd/view?i=112554</v>
      </c>
      <c r="L10704" s="36" t="s">
        <v>55622</v>
      </c>
      <c r="M10704" s="186"/>
      <c r="N10704" s="186"/>
      <c r="O10704" s="172"/>
    </row>
    <row r="10705" spans="1:15" ht="38.25" x14ac:dyDescent="0.2">
      <c r="A10705" s="190" t="str">
        <f t="shared" si="167"/>
        <v>WftCode_artesian</v>
      </c>
      <c r="B10705" s="414" t="str">
        <f>HYPERLINK("[#]Datatypes!A1740:L1740","WftCode")</f>
        <v>WftCode</v>
      </c>
      <c r="C10705" s="415" t="s">
        <v>16373</v>
      </c>
      <c r="D10705" s="221" t="s">
        <v>55623</v>
      </c>
      <c r="E10705" s="221">
        <v>3</v>
      </c>
      <c r="F10705" s="222" t="s">
        <v>55624</v>
      </c>
      <c r="G10705" s="223" t="s">
        <v>55625</v>
      </c>
      <c r="H10705" s="224"/>
      <c r="I10705" s="345"/>
      <c r="J10705" s="39">
        <v>109434</v>
      </c>
      <c r="K10705" s="36" t="str">
        <f>CONCATENATE(Cover!$D$6,"fdd/view?i=",J10705)</f>
        <v>https://www.dgiwg.org/FAD/fdd/view?i=109434</v>
      </c>
      <c r="L10705" s="36" t="s">
        <v>55626</v>
      </c>
      <c r="M10705" s="186"/>
      <c r="N10705" s="186"/>
      <c r="O10705" s="172"/>
    </row>
    <row r="10706" spans="1:15" ht="38.25" x14ac:dyDescent="0.2">
      <c r="A10706" s="197" t="str">
        <f t="shared" si="167"/>
        <v>WftCode_drilled</v>
      </c>
      <c r="B10706" s="409"/>
      <c r="C10706" s="416"/>
      <c r="D10706" s="198" t="s">
        <v>55627</v>
      </c>
      <c r="E10706" s="198">
        <v>7</v>
      </c>
      <c r="F10706" s="199" t="s">
        <v>55628</v>
      </c>
      <c r="G10706" s="1" t="s">
        <v>55629</v>
      </c>
      <c r="H10706" s="1" t="s">
        <v>55630</v>
      </c>
      <c r="I10706" s="346"/>
      <c r="J10706" s="39">
        <v>109438</v>
      </c>
      <c r="K10706" s="36" t="str">
        <f>CONCATENATE(Cover!$D$6,"fdd/view?i=",J10706)</f>
        <v>https://www.dgiwg.org/FAD/fdd/view?i=109438</v>
      </c>
      <c r="L10706" s="36" t="s">
        <v>55631</v>
      </c>
      <c r="M10706" s="186"/>
      <c r="N10706" s="186"/>
      <c r="O10706" s="172"/>
    </row>
    <row r="10707" spans="1:15" ht="25.5" x14ac:dyDescent="0.2">
      <c r="A10707" s="197" t="str">
        <f t="shared" si="167"/>
        <v>WftCode_dug</v>
      </c>
      <c r="B10707" s="409"/>
      <c r="C10707" s="416"/>
      <c r="D10707" s="198" t="s">
        <v>55632</v>
      </c>
      <c r="E10707" s="198">
        <v>6</v>
      </c>
      <c r="F10707" s="199" t="s">
        <v>55633</v>
      </c>
      <c r="G10707" s="1" t="s">
        <v>55634</v>
      </c>
      <c r="H10707" s="1" t="s">
        <v>55635</v>
      </c>
      <c r="I10707" s="346"/>
      <c r="J10707" s="39">
        <v>109437</v>
      </c>
      <c r="K10707" s="36" t="str">
        <f>CONCATENATE(Cover!$D$6,"fdd/view?i=",J10707)</f>
        <v>https://www.dgiwg.org/FAD/fdd/view?i=109437</v>
      </c>
      <c r="L10707" s="36" t="s">
        <v>55636</v>
      </c>
      <c r="M10707" s="186"/>
      <c r="N10707" s="186"/>
      <c r="O10707" s="172"/>
    </row>
    <row r="10708" spans="1:15" x14ac:dyDescent="0.2">
      <c r="A10708" s="197" t="str">
        <f t="shared" si="167"/>
        <v>WftCode_dugOrDrilled</v>
      </c>
      <c r="B10708" s="409"/>
      <c r="C10708" s="416"/>
      <c r="D10708" s="198" t="s">
        <v>55637</v>
      </c>
      <c r="E10708" s="198">
        <v>5</v>
      </c>
      <c r="F10708" s="199" t="s">
        <v>55638</v>
      </c>
      <c r="G10708" s="1" t="s">
        <v>55639</v>
      </c>
      <c r="H10708" s="200"/>
      <c r="I10708" s="346"/>
      <c r="J10708" s="39">
        <v>109436</v>
      </c>
      <c r="K10708" s="36" t="str">
        <f>CONCATENATE(Cover!$D$6,"fdd/view?i=",J10708)</f>
        <v>https://www.dgiwg.org/FAD/fdd/view?i=109436</v>
      </c>
      <c r="L10708" s="36" t="s">
        <v>55640</v>
      </c>
      <c r="M10708" s="186"/>
      <c r="N10708" s="186"/>
      <c r="O10708" s="172"/>
    </row>
    <row r="10709" spans="1:15" ht="25.5" x14ac:dyDescent="0.2">
      <c r="A10709" s="203" t="str">
        <f t="shared" si="167"/>
        <v>WftCode_walledIn</v>
      </c>
      <c r="B10709" s="410"/>
      <c r="C10709" s="417"/>
      <c r="D10709" s="204" t="s">
        <v>55641</v>
      </c>
      <c r="E10709" s="204">
        <v>2</v>
      </c>
      <c r="F10709" s="205" t="s">
        <v>55642</v>
      </c>
      <c r="G10709" s="206" t="s">
        <v>55643</v>
      </c>
      <c r="H10709" s="206" t="s">
        <v>55644</v>
      </c>
      <c r="I10709" s="347"/>
      <c r="J10709" s="39">
        <v>109433</v>
      </c>
      <c r="K10709" s="36" t="str">
        <f>CONCATENATE(Cover!$D$6,"fdd/view?i=",J10709)</f>
        <v>https://www.dgiwg.org/FAD/fdd/view?i=109433</v>
      </c>
      <c r="L10709" s="36" t="s">
        <v>55645</v>
      </c>
      <c r="M10709" s="186"/>
      <c r="N10709" s="186"/>
      <c r="O10709" s="172"/>
    </row>
    <row r="10710" spans="1:15" ht="51" x14ac:dyDescent="0.2">
      <c r="A10710" s="190" t="str">
        <f t="shared" si="167"/>
        <v>WimCode_air</v>
      </c>
      <c r="B10710" s="414" t="str">
        <f>HYPERLINK("[#]Datatypes!A1742:L1742","WimCode")</f>
        <v>WimCode</v>
      </c>
      <c r="C10710" s="415" t="s">
        <v>16375</v>
      </c>
      <c r="D10710" s="221" t="s">
        <v>55646</v>
      </c>
      <c r="E10710" s="221">
        <v>1</v>
      </c>
      <c r="F10710" s="222" t="s">
        <v>55647</v>
      </c>
      <c r="G10710" s="223" t="s">
        <v>55648</v>
      </c>
      <c r="H10710" s="223" t="s">
        <v>55649</v>
      </c>
      <c r="I10710" s="345"/>
      <c r="J10710" s="39">
        <v>119285</v>
      </c>
      <c r="K10710" s="36" t="str">
        <f>CONCATENATE(Cover!$D$6,"fdd/view?i=",J10710)</f>
        <v>https://www.dgiwg.org/FAD/fdd/view?i=119285</v>
      </c>
      <c r="L10710" s="36" t="s">
        <v>55650</v>
      </c>
      <c r="M10710" s="186"/>
      <c r="N10710" s="186"/>
      <c r="O10710" s="172"/>
    </row>
    <row r="10711" spans="1:15" ht="89.25" x14ac:dyDescent="0.2">
      <c r="A10711" s="197" t="str">
        <f t="shared" si="167"/>
        <v>WimCode_carbonDioxide</v>
      </c>
      <c r="B10711" s="409"/>
      <c r="C10711" s="416"/>
      <c r="D10711" s="198" t="s">
        <v>55651</v>
      </c>
      <c r="E10711" s="198">
        <v>2</v>
      </c>
      <c r="F10711" s="199" t="s">
        <v>55652</v>
      </c>
      <c r="G10711" s="1" t="s">
        <v>55653</v>
      </c>
      <c r="H10711" s="1" t="s">
        <v>55654</v>
      </c>
      <c r="I10711" s="346"/>
      <c r="J10711" s="39">
        <v>119286</v>
      </c>
      <c r="K10711" s="36" t="str">
        <f>CONCATENATE(Cover!$D$6,"fdd/view?i=",J10711)</f>
        <v>https://www.dgiwg.org/FAD/fdd/view?i=119286</v>
      </c>
      <c r="L10711" s="36" t="s">
        <v>55655</v>
      </c>
      <c r="M10711" s="186"/>
      <c r="N10711" s="186"/>
      <c r="O10711" s="172"/>
    </row>
    <row r="10712" spans="1:15" ht="51" x14ac:dyDescent="0.2">
      <c r="A10712" s="197" t="str">
        <f t="shared" si="167"/>
        <v>WimCode_chemicals</v>
      </c>
      <c r="B10712" s="409"/>
      <c r="C10712" s="416"/>
      <c r="D10712" s="198" t="s">
        <v>55656</v>
      </c>
      <c r="E10712" s="198">
        <v>3</v>
      </c>
      <c r="F10712" s="199" t="s">
        <v>55657</v>
      </c>
      <c r="G10712" s="1" t="s">
        <v>55658</v>
      </c>
      <c r="H10712" s="1" t="s">
        <v>55659</v>
      </c>
      <c r="I10712" s="346"/>
      <c r="J10712" s="39">
        <v>119287</v>
      </c>
      <c r="K10712" s="36" t="str">
        <f>CONCATENATE(Cover!$D$6,"fdd/view?i=",J10712)</f>
        <v>https://www.dgiwg.org/FAD/fdd/view?i=119287</v>
      </c>
      <c r="L10712" s="36" t="s">
        <v>55660</v>
      </c>
      <c r="M10712" s="186"/>
      <c r="N10712" s="186"/>
      <c r="O10712" s="172"/>
    </row>
    <row r="10713" spans="1:15" ht="76.5" x14ac:dyDescent="0.2">
      <c r="A10713" s="197" t="str">
        <f t="shared" si="167"/>
        <v>WimCode_coalSlurry</v>
      </c>
      <c r="B10713" s="409"/>
      <c r="C10713" s="416"/>
      <c r="D10713" s="198" t="s">
        <v>55661</v>
      </c>
      <c r="E10713" s="198">
        <v>4</v>
      </c>
      <c r="F10713" s="199" t="s">
        <v>55662</v>
      </c>
      <c r="G10713" s="1" t="s">
        <v>55663</v>
      </c>
      <c r="H10713" s="1" t="s">
        <v>55664</v>
      </c>
      <c r="I10713" s="346"/>
      <c r="J10713" s="39">
        <v>119288</v>
      </c>
      <c r="K10713" s="36" t="str">
        <f>CONCATENATE(Cover!$D$6,"fdd/view?i=",J10713)</f>
        <v>https://www.dgiwg.org/FAD/fdd/view?i=119288</v>
      </c>
      <c r="L10713" s="36" t="s">
        <v>55665</v>
      </c>
      <c r="M10713" s="186"/>
      <c r="N10713" s="186"/>
      <c r="O10713" s="172"/>
    </row>
    <row r="10714" spans="1:15" ht="38.25" x14ac:dyDescent="0.2">
      <c r="A10714" s="197" t="str">
        <f t="shared" si="167"/>
        <v>WimCode_detergent</v>
      </c>
      <c r="B10714" s="409"/>
      <c r="C10714" s="416"/>
      <c r="D10714" s="198" t="s">
        <v>55666</v>
      </c>
      <c r="E10714" s="198">
        <v>5</v>
      </c>
      <c r="F10714" s="199" t="s">
        <v>55667</v>
      </c>
      <c r="G10714" s="1" t="s">
        <v>55668</v>
      </c>
      <c r="H10714" s="200"/>
      <c r="I10714" s="346"/>
      <c r="J10714" s="39">
        <v>119289</v>
      </c>
      <c r="K10714" s="36" t="str">
        <f>CONCATENATE(Cover!$D$6,"fdd/view?i=",J10714)</f>
        <v>https://www.dgiwg.org/FAD/fdd/view?i=119289</v>
      </c>
      <c r="L10714" s="36" t="s">
        <v>55669</v>
      </c>
      <c r="M10714" s="186"/>
      <c r="N10714" s="186"/>
      <c r="O10714" s="172"/>
    </row>
    <row r="10715" spans="1:15" ht="76.5" x14ac:dyDescent="0.2">
      <c r="A10715" s="197" t="str">
        <f t="shared" si="167"/>
        <v>WimCode_fireFlooding</v>
      </c>
      <c r="B10715" s="409"/>
      <c r="C10715" s="416"/>
      <c r="D10715" s="198" t="s">
        <v>55670</v>
      </c>
      <c r="E10715" s="198">
        <v>6</v>
      </c>
      <c r="F10715" s="199" t="s">
        <v>55671</v>
      </c>
      <c r="G10715" s="1" t="s">
        <v>55672</v>
      </c>
      <c r="H10715" s="1" t="s">
        <v>55673</v>
      </c>
      <c r="I10715" s="346"/>
      <c r="J10715" s="39">
        <v>119290</v>
      </c>
      <c r="K10715" s="36" t="str">
        <f>CONCATENATE(Cover!$D$6,"fdd/view?i=",J10715)</f>
        <v>https://www.dgiwg.org/FAD/fdd/view?i=119290</v>
      </c>
      <c r="L10715" s="36" t="s">
        <v>55674</v>
      </c>
      <c r="M10715" s="186"/>
      <c r="N10715" s="186"/>
      <c r="O10715" s="172"/>
    </row>
    <row r="10716" spans="1:15" ht="63.75" x14ac:dyDescent="0.2">
      <c r="A10716" s="197" t="str">
        <f t="shared" si="167"/>
        <v>WimCode_liquefiedPetroleumGas</v>
      </c>
      <c r="B10716" s="409"/>
      <c r="C10716" s="416"/>
      <c r="D10716" s="198" t="s">
        <v>22963</v>
      </c>
      <c r="E10716" s="198">
        <v>7</v>
      </c>
      <c r="F10716" s="199" t="s">
        <v>22964</v>
      </c>
      <c r="G10716" s="1" t="s">
        <v>55675</v>
      </c>
      <c r="H10716" s="1" t="s">
        <v>55676</v>
      </c>
      <c r="I10716" s="346"/>
      <c r="J10716" s="39">
        <v>119291</v>
      </c>
      <c r="K10716" s="36" t="str">
        <f>CONCATENATE(Cover!$D$6,"fdd/view?i=",J10716)</f>
        <v>https://www.dgiwg.org/FAD/fdd/view?i=119291</v>
      </c>
      <c r="L10716" s="36" t="s">
        <v>55677</v>
      </c>
      <c r="M10716" s="186"/>
      <c r="N10716" s="186"/>
      <c r="O10716" s="172"/>
    </row>
    <row r="10717" spans="1:15" ht="51" x14ac:dyDescent="0.2">
      <c r="A10717" s="197" t="str">
        <f t="shared" si="167"/>
        <v>WimCode_liquids</v>
      </c>
      <c r="B10717" s="409"/>
      <c r="C10717" s="416"/>
      <c r="D10717" s="198" t="s">
        <v>55678</v>
      </c>
      <c r="E10717" s="198">
        <v>8</v>
      </c>
      <c r="F10717" s="199" t="s">
        <v>55679</v>
      </c>
      <c r="G10717" s="1" t="s">
        <v>55680</v>
      </c>
      <c r="H10717" s="200"/>
      <c r="I10717" s="346"/>
      <c r="J10717" s="39">
        <v>119292</v>
      </c>
      <c r="K10717" s="36" t="str">
        <f>CONCATENATE(Cover!$D$6,"fdd/view?i=",J10717)</f>
        <v>https://www.dgiwg.org/FAD/fdd/view?i=119292</v>
      </c>
      <c r="L10717" s="36" t="s">
        <v>55681</v>
      </c>
      <c r="M10717" s="186"/>
      <c r="N10717" s="186"/>
      <c r="O10717" s="172"/>
    </row>
    <row r="10718" spans="1:15" ht="38.25" x14ac:dyDescent="0.2">
      <c r="A10718" s="197" t="str">
        <f t="shared" si="167"/>
        <v>WimCode_naturalGas</v>
      </c>
      <c r="B10718" s="409"/>
      <c r="C10718" s="416"/>
      <c r="D10718" s="198" t="s">
        <v>29320</v>
      </c>
      <c r="E10718" s="198">
        <v>9</v>
      </c>
      <c r="F10718" s="199" t="s">
        <v>29321</v>
      </c>
      <c r="G10718" s="1" t="s">
        <v>55682</v>
      </c>
      <c r="H10718" s="1" t="s">
        <v>55683</v>
      </c>
      <c r="I10718" s="346"/>
      <c r="J10718" s="39">
        <v>119293</v>
      </c>
      <c r="K10718" s="36" t="str">
        <f>CONCATENATE(Cover!$D$6,"fdd/view?i=",J10718)</f>
        <v>https://www.dgiwg.org/FAD/fdd/view?i=119293</v>
      </c>
      <c r="L10718" s="36" t="s">
        <v>55684</v>
      </c>
      <c r="M10718" s="186"/>
      <c r="N10718" s="186"/>
      <c r="O10718" s="172"/>
    </row>
    <row r="10719" spans="1:15" ht="76.5" x14ac:dyDescent="0.2">
      <c r="A10719" s="197" t="str">
        <f t="shared" si="167"/>
        <v>WimCode_petroleum</v>
      </c>
      <c r="B10719" s="409"/>
      <c r="C10719" s="416"/>
      <c r="D10719" s="198" t="s">
        <v>29333</v>
      </c>
      <c r="E10719" s="198">
        <v>10</v>
      </c>
      <c r="F10719" s="199" t="s">
        <v>29334</v>
      </c>
      <c r="G10719" s="1" t="s">
        <v>55685</v>
      </c>
      <c r="H10719" s="1" t="s">
        <v>55686</v>
      </c>
      <c r="I10719" s="346"/>
      <c r="J10719" s="39">
        <v>119294</v>
      </c>
      <c r="K10719" s="36" t="str">
        <f>CONCATENATE(Cover!$D$6,"fdd/view?i=",J10719)</f>
        <v>https://www.dgiwg.org/FAD/fdd/view?i=119294</v>
      </c>
      <c r="L10719" s="36" t="s">
        <v>55687</v>
      </c>
      <c r="M10719" s="186"/>
      <c r="N10719" s="186"/>
      <c r="O10719" s="172"/>
    </row>
    <row r="10720" spans="1:15" ht="25.5" x14ac:dyDescent="0.2">
      <c r="A10720" s="197" t="str">
        <f t="shared" si="167"/>
        <v>WimCode_squeezeLiquids</v>
      </c>
      <c r="B10720" s="409"/>
      <c r="C10720" s="416"/>
      <c r="D10720" s="198" t="s">
        <v>55688</v>
      </c>
      <c r="E10720" s="198">
        <v>11</v>
      </c>
      <c r="F10720" s="199" t="s">
        <v>55689</v>
      </c>
      <c r="G10720" s="1" t="s">
        <v>55690</v>
      </c>
      <c r="H10720" s="200"/>
      <c r="I10720" s="346"/>
      <c r="J10720" s="39">
        <v>119295</v>
      </c>
      <c r="K10720" s="36" t="str">
        <f>CONCATENATE(Cover!$D$6,"fdd/view?i=",J10720)</f>
        <v>https://www.dgiwg.org/FAD/fdd/view?i=119295</v>
      </c>
      <c r="L10720" s="36" t="s">
        <v>55691</v>
      </c>
      <c r="M10720" s="186"/>
      <c r="N10720" s="186"/>
      <c r="O10720" s="172"/>
    </row>
    <row r="10721" spans="1:15" ht="51" x14ac:dyDescent="0.2">
      <c r="A10721" s="197" t="str">
        <f t="shared" si="167"/>
        <v>WimCode_steam</v>
      </c>
      <c r="B10721" s="409"/>
      <c r="C10721" s="416"/>
      <c r="D10721" s="198" t="s">
        <v>55692</v>
      </c>
      <c r="E10721" s="198">
        <v>12</v>
      </c>
      <c r="F10721" s="199" t="s">
        <v>55693</v>
      </c>
      <c r="G10721" s="1" t="s">
        <v>55694</v>
      </c>
      <c r="H10721" s="1" t="s">
        <v>55695</v>
      </c>
      <c r="I10721" s="346"/>
      <c r="J10721" s="39">
        <v>119296</v>
      </c>
      <c r="K10721" s="36" t="str">
        <f>CONCATENATE(Cover!$D$6,"fdd/view?i=",J10721)</f>
        <v>https://www.dgiwg.org/FAD/fdd/view?i=119296</v>
      </c>
      <c r="L10721" s="36" t="s">
        <v>55696</v>
      </c>
      <c r="M10721" s="186"/>
      <c r="N10721" s="186"/>
      <c r="O10721" s="172"/>
    </row>
    <row r="10722" spans="1:15" ht="25.5" x14ac:dyDescent="0.2">
      <c r="A10722" s="197" t="str">
        <f t="shared" si="167"/>
        <v>WimCode_thermalFluids</v>
      </c>
      <c r="B10722" s="409"/>
      <c r="C10722" s="416"/>
      <c r="D10722" s="198" t="s">
        <v>55697</v>
      </c>
      <c r="E10722" s="198">
        <v>13</v>
      </c>
      <c r="F10722" s="199" t="s">
        <v>55698</v>
      </c>
      <c r="G10722" s="1" t="s">
        <v>55699</v>
      </c>
      <c r="H10722" s="1" t="s">
        <v>55700</v>
      </c>
      <c r="I10722" s="346"/>
      <c r="J10722" s="39">
        <v>119297</v>
      </c>
      <c r="K10722" s="36" t="str">
        <f>CONCATENATE(Cover!$D$6,"fdd/view?i=",J10722)</f>
        <v>https://www.dgiwg.org/FAD/fdd/view?i=119297</v>
      </c>
      <c r="L10722" s="36" t="s">
        <v>55701</v>
      </c>
      <c r="M10722" s="186"/>
      <c r="N10722" s="186"/>
      <c r="O10722" s="172"/>
    </row>
    <row r="10723" spans="1:15" ht="76.5" x14ac:dyDescent="0.2">
      <c r="A10723" s="203" t="str">
        <f t="shared" si="167"/>
        <v>WimCode_water</v>
      </c>
      <c r="B10723" s="410"/>
      <c r="C10723" s="417"/>
      <c r="D10723" s="204" t="s">
        <v>19606</v>
      </c>
      <c r="E10723" s="204">
        <v>14</v>
      </c>
      <c r="F10723" s="205" t="s">
        <v>19607</v>
      </c>
      <c r="G10723" s="206" t="s">
        <v>55702</v>
      </c>
      <c r="H10723" s="206" t="s">
        <v>55703</v>
      </c>
      <c r="I10723" s="347"/>
      <c r="J10723" s="39">
        <v>119298</v>
      </c>
      <c r="K10723" s="36" t="str">
        <f>CONCATENATE(Cover!$D$6,"fdd/view?i=",J10723)</f>
        <v>https://www.dgiwg.org/FAD/fdd/view?i=119298</v>
      </c>
      <c r="L10723" s="36" t="s">
        <v>55704</v>
      </c>
      <c r="M10723" s="186"/>
      <c r="N10723" s="186"/>
      <c r="O10723" s="172"/>
    </row>
    <row r="10724" spans="1:15" ht="76.5" x14ac:dyDescent="0.2">
      <c r="A10724" s="190" t="str">
        <f t="shared" si="167"/>
        <v>WbsCode_abandoned</v>
      </c>
      <c r="B10724" s="414" t="str">
        <f>HYPERLINK("[#]Datatypes!A1744:L1744","WbsCode")</f>
        <v>WbsCode</v>
      </c>
      <c r="C10724" s="415" t="s">
        <v>16377</v>
      </c>
      <c r="D10724" s="221" t="s">
        <v>26381</v>
      </c>
      <c r="E10724" s="221">
        <v>1</v>
      </c>
      <c r="F10724" s="222" t="s">
        <v>26382</v>
      </c>
      <c r="G10724" s="223" t="s">
        <v>55705</v>
      </c>
      <c r="H10724" s="224"/>
      <c r="I10724" s="345"/>
      <c r="J10724" s="39">
        <v>119299</v>
      </c>
      <c r="K10724" s="36" t="str">
        <f>CONCATENATE(Cover!$D$6,"fdd/view?i=",J10724)</f>
        <v>https://www.dgiwg.org/FAD/fdd/view?i=119299</v>
      </c>
      <c r="L10724" s="36" t="s">
        <v>55706</v>
      </c>
      <c r="M10724" s="186"/>
      <c r="N10724" s="186"/>
      <c r="O10724" s="172"/>
    </row>
    <row r="10725" spans="1:15" ht="38.25" x14ac:dyDescent="0.2">
      <c r="A10725" s="197" t="str">
        <f t="shared" si="167"/>
        <v>WbsCode_active</v>
      </c>
      <c r="B10725" s="409"/>
      <c r="C10725" s="416"/>
      <c r="D10725" s="198" t="s">
        <v>54426</v>
      </c>
      <c r="E10725" s="198">
        <v>2</v>
      </c>
      <c r="F10725" s="199" t="s">
        <v>54427</v>
      </c>
      <c r="G10725" s="1" t="s">
        <v>55707</v>
      </c>
      <c r="H10725" s="200"/>
      <c r="I10725" s="346"/>
      <c r="J10725" s="39">
        <v>119300</v>
      </c>
      <c r="K10725" s="36" t="str">
        <f>CONCATENATE(Cover!$D$6,"fdd/view?i=",J10725)</f>
        <v>https://www.dgiwg.org/FAD/fdd/view?i=119300</v>
      </c>
      <c r="L10725" s="36" t="s">
        <v>55708</v>
      </c>
      <c r="M10725" s="186"/>
      <c r="N10725" s="186"/>
      <c r="O10725" s="172"/>
    </row>
    <row r="10726" spans="1:15" ht="25.5" x14ac:dyDescent="0.2">
      <c r="A10726" s="197" t="str">
        <f t="shared" si="167"/>
        <v>WbsCode_buried</v>
      </c>
      <c r="B10726" s="409"/>
      <c r="C10726" s="416"/>
      <c r="D10726" s="198" t="s">
        <v>55709</v>
      </c>
      <c r="E10726" s="198">
        <v>3</v>
      </c>
      <c r="F10726" s="199" t="s">
        <v>55710</v>
      </c>
      <c r="G10726" s="1" t="s">
        <v>55711</v>
      </c>
      <c r="H10726" s="200"/>
      <c r="I10726" s="346"/>
      <c r="J10726" s="39">
        <v>119301</v>
      </c>
      <c r="K10726" s="36" t="str">
        <f>CONCATENATE(Cover!$D$6,"fdd/view?i=",J10726)</f>
        <v>https://www.dgiwg.org/FAD/fdd/view?i=119301</v>
      </c>
      <c r="L10726" s="36" t="s">
        <v>55712</v>
      </c>
      <c r="M10726" s="186"/>
      <c r="N10726" s="186"/>
      <c r="O10726" s="172"/>
    </row>
    <row r="10727" spans="1:15" x14ac:dyDescent="0.2">
      <c r="A10727" s="197" t="str">
        <f t="shared" si="167"/>
        <v>WbsCode_drilling</v>
      </c>
      <c r="B10727" s="409"/>
      <c r="C10727" s="416"/>
      <c r="D10727" s="198" t="s">
        <v>30689</v>
      </c>
      <c r="E10727" s="198">
        <v>4</v>
      </c>
      <c r="F10727" s="199" t="s">
        <v>30690</v>
      </c>
      <c r="G10727" s="1" t="s">
        <v>55713</v>
      </c>
      <c r="H10727" s="200"/>
      <c r="I10727" s="346"/>
      <c r="J10727" s="39">
        <v>119302</v>
      </c>
      <c r="K10727" s="36" t="str">
        <f>CONCATENATE(Cover!$D$6,"fdd/view?i=",J10727)</f>
        <v>https://www.dgiwg.org/FAD/fdd/view?i=119302</v>
      </c>
      <c r="L10727" s="36" t="s">
        <v>55714</v>
      </c>
      <c r="M10727" s="186"/>
      <c r="N10727" s="186"/>
      <c r="O10727" s="172"/>
    </row>
    <row r="10728" spans="1:15" ht="127.5" x14ac:dyDescent="0.2">
      <c r="A10728" s="197" t="str">
        <f t="shared" si="167"/>
        <v>WbsCode_dry</v>
      </c>
      <c r="B10728" s="409"/>
      <c r="C10728" s="416"/>
      <c r="D10728" s="198" t="s">
        <v>35127</v>
      </c>
      <c r="E10728" s="198">
        <v>5</v>
      </c>
      <c r="F10728" s="199" t="s">
        <v>35128</v>
      </c>
      <c r="G10728" s="1" t="s">
        <v>55715</v>
      </c>
      <c r="H10728" s="1" t="s">
        <v>55716</v>
      </c>
      <c r="I10728" s="346"/>
      <c r="J10728" s="39">
        <v>119303</v>
      </c>
      <c r="K10728" s="36" t="str">
        <f>CONCATENATE(Cover!$D$6,"fdd/view?i=",J10728)</f>
        <v>https://www.dgiwg.org/FAD/fdd/view?i=119303</v>
      </c>
      <c r="L10728" s="36" t="s">
        <v>55717</v>
      </c>
      <c r="M10728" s="186"/>
      <c r="N10728" s="186"/>
      <c r="O10728" s="172"/>
    </row>
    <row r="10729" spans="1:15" ht="25.5" x14ac:dyDescent="0.2">
      <c r="A10729" s="197" t="str">
        <f t="shared" si="167"/>
        <v>WbsCode_expired</v>
      </c>
      <c r="B10729" s="409"/>
      <c r="C10729" s="416"/>
      <c r="D10729" s="198" t="s">
        <v>55718</v>
      </c>
      <c r="E10729" s="198">
        <v>6</v>
      </c>
      <c r="F10729" s="199" t="s">
        <v>55719</v>
      </c>
      <c r="G10729" s="1" t="s">
        <v>55720</v>
      </c>
      <c r="H10729" s="200"/>
      <c r="I10729" s="346"/>
      <c r="J10729" s="39">
        <v>119304</v>
      </c>
      <c r="K10729" s="36" t="str">
        <f>CONCATENATE(Cover!$D$6,"fdd/view?i=",J10729)</f>
        <v>https://www.dgiwg.org/FAD/fdd/view?i=119304</v>
      </c>
      <c r="L10729" s="36" t="s">
        <v>55721</v>
      </c>
      <c r="M10729" s="186"/>
      <c r="N10729" s="186"/>
      <c r="O10729" s="172"/>
    </row>
    <row r="10730" spans="1:15" ht="25.5" x14ac:dyDescent="0.2">
      <c r="A10730" s="197" t="str">
        <f t="shared" si="167"/>
        <v>WbsCode_planned</v>
      </c>
      <c r="B10730" s="409"/>
      <c r="C10730" s="416"/>
      <c r="D10730" s="198" t="s">
        <v>26410</v>
      </c>
      <c r="E10730" s="198">
        <v>7</v>
      </c>
      <c r="F10730" s="199" t="s">
        <v>26411</v>
      </c>
      <c r="G10730" s="1" t="s">
        <v>55722</v>
      </c>
      <c r="H10730" s="200"/>
      <c r="I10730" s="346"/>
      <c r="J10730" s="39">
        <v>119305</v>
      </c>
      <c r="K10730" s="36" t="str">
        <f>CONCATENATE(Cover!$D$6,"fdd/view?i=",J10730)</f>
        <v>https://www.dgiwg.org/FAD/fdd/view?i=119305</v>
      </c>
      <c r="L10730" s="36" t="s">
        <v>55723</v>
      </c>
      <c r="M10730" s="186"/>
      <c r="N10730" s="186"/>
      <c r="O10730" s="172"/>
    </row>
    <row r="10731" spans="1:15" ht="102" x14ac:dyDescent="0.2">
      <c r="A10731" s="197" t="str">
        <f t="shared" si="167"/>
        <v>WbsCode_plugged</v>
      </c>
      <c r="B10731" s="409"/>
      <c r="C10731" s="416"/>
      <c r="D10731" s="198" t="s">
        <v>55724</v>
      </c>
      <c r="E10731" s="198">
        <v>8</v>
      </c>
      <c r="F10731" s="199" t="s">
        <v>55725</v>
      </c>
      <c r="G10731" s="1" t="s">
        <v>55726</v>
      </c>
      <c r="H10731" s="1" t="s">
        <v>55727</v>
      </c>
      <c r="I10731" s="346"/>
      <c r="J10731" s="39">
        <v>119306</v>
      </c>
      <c r="K10731" s="36" t="str">
        <f>CONCATENATE(Cover!$D$6,"fdd/view?i=",J10731)</f>
        <v>https://www.dgiwg.org/FAD/fdd/view?i=119306</v>
      </c>
      <c r="L10731" s="36" t="s">
        <v>55728</v>
      </c>
      <c r="M10731" s="186"/>
      <c r="N10731" s="186"/>
      <c r="O10731" s="172"/>
    </row>
    <row r="10732" spans="1:15" ht="76.5" x14ac:dyDescent="0.2">
      <c r="A10732" s="197" t="str">
        <f t="shared" si="167"/>
        <v>WbsCode_pluggedBack</v>
      </c>
      <c r="B10732" s="409"/>
      <c r="C10732" s="416"/>
      <c r="D10732" s="198" t="s">
        <v>55729</v>
      </c>
      <c r="E10732" s="198">
        <v>9</v>
      </c>
      <c r="F10732" s="199" t="s">
        <v>55730</v>
      </c>
      <c r="G10732" s="1" t="s">
        <v>55731</v>
      </c>
      <c r="H10732" s="200"/>
      <c r="I10732" s="346"/>
      <c r="J10732" s="39">
        <v>119307</v>
      </c>
      <c r="K10732" s="36" t="str">
        <f>CONCATENATE(Cover!$D$6,"fdd/view?i=",J10732)</f>
        <v>https://www.dgiwg.org/FAD/fdd/view?i=119307</v>
      </c>
      <c r="L10732" s="36" t="s">
        <v>55732</v>
      </c>
      <c r="M10732" s="186"/>
      <c r="N10732" s="186"/>
      <c r="O10732" s="172"/>
    </row>
    <row r="10733" spans="1:15" ht="38.25" x14ac:dyDescent="0.2">
      <c r="A10733" s="197" t="str">
        <f t="shared" si="167"/>
        <v>WbsCode_shutIn</v>
      </c>
      <c r="B10733" s="409"/>
      <c r="C10733" s="416"/>
      <c r="D10733" s="198" t="s">
        <v>55733</v>
      </c>
      <c r="E10733" s="198">
        <v>10</v>
      </c>
      <c r="F10733" s="199" t="s">
        <v>55734</v>
      </c>
      <c r="G10733" s="1" t="s">
        <v>55735</v>
      </c>
      <c r="H10733" s="200"/>
      <c r="I10733" s="346"/>
      <c r="J10733" s="39">
        <v>119308</v>
      </c>
      <c r="K10733" s="36" t="str">
        <f>CONCATENATE(Cover!$D$6,"fdd/view?i=",J10733)</f>
        <v>https://www.dgiwg.org/FAD/fdd/view?i=119308</v>
      </c>
      <c r="L10733" s="36" t="s">
        <v>55736</v>
      </c>
      <c r="M10733" s="186"/>
      <c r="N10733" s="186"/>
      <c r="O10733" s="172"/>
    </row>
    <row r="10734" spans="1:15" x14ac:dyDescent="0.2">
      <c r="A10734" s="197" t="str">
        <f t="shared" si="167"/>
        <v>WbsCode_suspended</v>
      </c>
      <c r="B10734" s="409"/>
      <c r="C10734" s="416"/>
      <c r="D10734" s="198" t="s">
        <v>13221</v>
      </c>
      <c r="E10734" s="198">
        <v>11</v>
      </c>
      <c r="F10734" s="199" t="s">
        <v>13223</v>
      </c>
      <c r="G10734" s="1" t="s">
        <v>55737</v>
      </c>
      <c r="H10734" s="200"/>
      <c r="I10734" s="346"/>
      <c r="J10734" s="39">
        <v>119309</v>
      </c>
      <c r="K10734" s="36" t="str">
        <f>CONCATENATE(Cover!$D$6,"fdd/view?i=",J10734)</f>
        <v>https://www.dgiwg.org/FAD/fdd/view?i=119309</v>
      </c>
      <c r="L10734" s="36" t="s">
        <v>55738</v>
      </c>
      <c r="M10734" s="186"/>
      <c r="N10734" s="186"/>
      <c r="O10734" s="172"/>
    </row>
    <row r="10735" spans="1:15" ht="51" x14ac:dyDescent="0.2">
      <c r="A10735" s="197" t="str">
        <f t="shared" si="167"/>
        <v>WbsCode_temporarilyAbandoned</v>
      </c>
      <c r="B10735" s="409"/>
      <c r="C10735" s="416"/>
      <c r="D10735" s="198" t="s">
        <v>55739</v>
      </c>
      <c r="E10735" s="198">
        <v>12</v>
      </c>
      <c r="F10735" s="199" t="s">
        <v>55740</v>
      </c>
      <c r="G10735" s="1" t="s">
        <v>55741</v>
      </c>
      <c r="H10735" s="200"/>
      <c r="I10735" s="346"/>
      <c r="J10735" s="39">
        <v>119310</v>
      </c>
      <c r="K10735" s="36" t="str">
        <f>CONCATENATE(Cover!$D$6,"fdd/view?i=",J10735)</f>
        <v>https://www.dgiwg.org/FAD/fdd/view?i=119310</v>
      </c>
      <c r="L10735" s="36" t="s">
        <v>55742</v>
      </c>
      <c r="M10735" s="186"/>
      <c r="N10735" s="186"/>
      <c r="O10735" s="172"/>
    </row>
    <row r="10736" spans="1:15" ht="25.5" x14ac:dyDescent="0.2">
      <c r="A10736" s="197" t="str">
        <f t="shared" si="167"/>
        <v>WbsCode_test</v>
      </c>
      <c r="B10736" s="409"/>
      <c r="C10736" s="416"/>
      <c r="D10736" s="198" t="s">
        <v>37394</v>
      </c>
      <c r="E10736" s="198">
        <v>13</v>
      </c>
      <c r="F10736" s="199" t="s">
        <v>37395</v>
      </c>
      <c r="G10736" s="1" t="s">
        <v>55743</v>
      </c>
      <c r="H10736" s="200"/>
      <c r="I10736" s="346"/>
      <c r="J10736" s="39">
        <v>119311</v>
      </c>
      <c r="K10736" s="36" t="str">
        <f>CONCATENATE(Cover!$D$6,"fdd/view?i=",J10736)</f>
        <v>https://www.dgiwg.org/FAD/fdd/view?i=119311</v>
      </c>
      <c r="L10736" s="36" t="s">
        <v>55744</v>
      </c>
      <c r="M10736" s="186"/>
      <c r="N10736" s="186"/>
      <c r="O10736" s="172"/>
    </row>
    <row r="10737" spans="1:15" ht="38.25" x14ac:dyDescent="0.2">
      <c r="A10737" s="203" t="str">
        <f t="shared" si="167"/>
        <v>WbsCode_waitingOnCompletion</v>
      </c>
      <c r="B10737" s="410"/>
      <c r="C10737" s="417"/>
      <c r="D10737" s="204" t="s">
        <v>55745</v>
      </c>
      <c r="E10737" s="204">
        <v>14</v>
      </c>
      <c r="F10737" s="205" t="s">
        <v>55746</v>
      </c>
      <c r="G10737" s="206" t="s">
        <v>55747</v>
      </c>
      <c r="H10737" s="207"/>
      <c r="I10737" s="347"/>
      <c r="J10737" s="39">
        <v>119312</v>
      </c>
      <c r="K10737" s="36" t="str">
        <f>CONCATENATE(Cover!$D$6,"fdd/view?i=",J10737)</f>
        <v>https://www.dgiwg.org/FAD/fdd/view?i=119312</v>
      </c>
      <c r="L10737" s="36" t="s">
        <v>55748</v>
      </c>
      <c r="M10737" s="186"/>
      <c r="N10737" s="186"/>
      <c r="O10737" s="172"/>
    </row>
    <row r="10738" spans="1:15" ht="38.25" x14ac:dyDescent="0.2">
      <c r="A10738" s="190" t="str">
        <f t="shared" si="167"/>
        <v>WsfCode_basinSwamp</v>
      </c>
      <c r="B10738" s="414" t="str">
        <f>HYPERLINK("[#]Datatypes!A1746:L1746","WsfCode")</f>
        <v>WsfCode</v>
      </c>
      <c r="C10738" s="415" t="s">
        <v>16379</v>
      </c>
      <c r="D10738" s="221" t="s">
        <v>50580</v>
      </c>
      <c r="E10738" s="221">
        <v>7</v>
      </c>
      <c r="F10738" s="222" t="s">
        <v>50581</v>
      </c>
      <c r="G10738" s="223" t="s">
        <v>50582</v>
      </c>
      <c r="H10738" s="223" t="s">
        <v>50583</v>
      </c>
      <c r="I10738" s="345"/>
      <c r="J10738" s="39">
        <v>114130</v>
      </c>
      <c r="K10738" s="36" t="str">
        <f>CONCATENATE(Cover!$D$6,"fdd/view?i=",J10738)</f>
        <v>https://www.dgiwg.org/FAD/fdd/view?i=114130</v>
      </c>
      <c r="L10738" s="36" t="s">
        <v>55749</v>
      </c>
      <c r="M10738" s="186"/>
      <c r="N10738" s="186"/>
      <c r="O10738" s="172"/>
    </row>
    <row r="10739" spans="1:15" ht="25.5" x14ac:dyDescent="0.2">
      <c r="A10739" s="197" t="str">
        <f t="shared" si="167"/>
        <v>WsfCode_bog</v>
      </c>
      <c r="B10739" s="409"/>
      <c r="C10739" s="416"/>
      <c r="D10739" s="198" t="s">
        <v>23570</v>
      </c>
      <c r="E10739" s="198">
        <v>13</v>
      </c>
      <c r="F10739" s="199" t="s">
        <v>2279</v>
      </c>
      <c r="G10739" s="1" t="s">
        <v>2281</v>
      </c>
      <c r="H10739" s="1" t="s">
        <v>23571</v>
      </c>
      <c r="I10739" s="346"/>
      <c r="J10739" s="39">
        <v>118507</v>
      </c>
      <c r="K10739" s="36" t="str">
        <f>CONCATENATE(Cover!$D$6,"fdd/view?i=",J10739)</f>
        <v>https://www.dgiwg.org/FAD/fdd/view?i=118507</v>
      </c>
      <c r="L10739" s="36" t="s">
        <v>55750</v>
      </c>
      <c r="M10739" s="186"/>
      <c r="N10739" s="186"/>
      <c r="O10739" s="172"/>
    </row>
    <row r="10740" spans="1:15" ht="25.5" x14ac:dyDescent="0.2">
      <c r="A10740" s="197" t="str">
        <f t="shared" si="167"/>
        <v>WsfCode_fenBog</v>
      </c>
      <c r="B10740" s="409"/>
      <c r="C10740" s="416"/>
      <c r="D10740" s="198" t="s">
        <v>55751</v>
      </c>
      <c r="E10740" s="198">
        <v>12</v>
      </c>
      <c r="F10740" s="199" t="s">
        <v>55752</v>
      </c>
      <c r="G10740" s="1" t="s">
        <v>55753</v>
      </c>
      <c r="H10740" s="1" t="s">
        <v>55754</v>
      </c>
      <c r="I10740" s="346"/>
      <c r="J10740" s="39">
        <v>114135</v>
      </c>
      <c r="K10740" s="36" t="str">
        <f>CONCATENATE(Cover!$D$6,"fdd/view?i=",J10740)</f>
        <v>https://www.dgiwg.org/FAD/fdd/view?i=114135</v>
      </c>
      <c r="L10740" s="36" t="s">
        <v>55755</v>
      </c>
      <c r="M10740" s="186"/>
      <c r="N10740" s="186"/>
      <c r="O10740" s="172"/>
    </row>
    <row r="10741" spans="1:15" ht="25.5" x14ac:dyDescent="0.2">
      <c r="A10741" s="197" t="str">
        <f t="shared" si="167"/>
        <v>WsfCode_floodLand</v>
      </c>
      <c r="B10741" s="409"/>
      <c r="C10741" s="416"/>
      <c r="D10741" s="198" t="s">
        <v>55756</v>
      </c>
      <c r="E10741" s="198">
        <v>9</v>
      </c>
      <c r="F10741" s="199" t="s">
        <v>55757</v>
      </c>
      <c r="G10741" s="1" t="s">
        <v>55758</v>
      </c>
      <c r="H10741" s="200"/>
      <c r="I10741" s="346"/>
      <c r="J10741" s="39">
        <v>114132</v>
      </c>
      <c r="K10741" s="36" t="str">
        <f>CONCATENATE(Cover!$D$6,"fdd/view?i=",J10741)</f>
        <v>https://www.dgiwg.org/FAD/fdd/view?i=114132</v>
      </c>
      <c r="L10741" s="36" t="s">
        <v>55759</v>
      </c>
      <c r="M10741" s="186"/>
      <c r="N10741" s="186"/>
      <c r="O10741" s="172"/>
    </row>
    <row r="10742" spans="1:15" ht="25.5" x14ac:dyDescent="0.2">
      <c r="A10742" s="197" t="str">
        <f t="shared" si="167"/>
        <v>WsfCode_highBog</v>
      </c>
      <c r="B10742" s="409"/>
      <c r="C10742" s="416"/>
      <c r="D10742" s="198" t="s">
        <v>55760</v>
      </c>
      <c r="E10742" s="198">
        <v>11</v>
      </c>
      <c r="F10742" s="199" t="s">
        <v>55761</v>
      </c>
      <c r="G10742" s="1" t="s">
        <v>55762</v>
      </c>
      <c r="H10742" s="1" t="s">
        <v>55763</v>
      </c>
      <c r="I10742" s="346"/>
      <c r="J10742" s="39">
        <v>114134</v>
      </c>
      <c r="K10742" s="36" t="str">
        <f>CONCATENATE(Cover!$D$6,"fdd/view?i=",J10742)</f>
        <v>https://www.dgiwg.org/FAD/fdd/view?i=114134</v>
      </c>
      <c r="L10742" s="36" t="s">
        <v>55764</v>
      </c>
      <c r="M10742" s="186"/>
      <c r="N10742" s="186"/>
      <c r="O10742" s="172"/>
    </row>
    <row r="10743" spans="1:15" ht="25.5" x14ac:dyDescent="0.2">
      <c r="A10743" s="197" t="str">
        <f t="shared" si="167"/>
        <v>WsfCode_mangroveSwamp</v>
      </c>
      <c r="B10743" s="409"/>
      <c r="C10743" s="416"/>
      <c r="D10743" s="198" t="s">
        <v>50585</v>
      </c>
      <c r="E10743" s="198">
        <v>8</v>
      </c>
      <c r="F10743" s="199" t="s">
        <v>3961</v>
      </c>
      <c r="G10743" s="1" t="s">
        <v>3962</v>
      </c>
      <c r="H10743" s="200"/>
      <c r="I10743" s="346"/>
      <c r="J10743" s="39">
        <v>114131</v>
      </c>
      <c r="K10743" s="36" t="str">
        <f>CONCATENATE(Cover!$D$6,"fdd/view?i=",J10743)</f>
        <v>https://www.dgiwg.org/FAD/fdd/view?i=114131</v>
      </c>
      <c r="L10743" s="36" t="s">
        <v>55765</v>
      </c>
      <c r="M10743" s="186"/>
      <c r="N10743" s="186"/>
      <c r="O10743" s="172"/>
    </row>
    <row r="10744" spans="1:15" ht="38.25" x14ac:dyDescent="0.2">
      <c r="A10744" s="197" t="str">
        <f t="shared" si="167"/>
        <v>WsfCode_marsh</v>
      </c>
      <c r="B10744" s="409"/>
      <c r="C10744" s="416"/>
      <c r="D10744" s="198" t="s">
        <v>55766</v>
      </c>
      <c r="E10744" s="198">
        <v>1</v>
      </c>
      <c r="F10744" s="199" t="s">
        <v>4070</v>
      </c>
      <c r="G10744" s="1" t="s">
        <v>4072</v>
      </c>
      <c r="H10744" s="1" t="s">
        <v>55767</v>
      </c>
      <c r="I10744" s="346"/>
      <c r="J10744" s="39">
        <v>114124</v>
      </c>
      <c r="K10744" s="36" t="str">
        <f>CONCATENATE(Cover!$D$6,"fdd/view?i=",J10744)</f>
        <v>https://www.dgiwg.org/FAD/fdd/view?i=114124</v>
      </c>
      <c r="L10744" s="36" t="s">
        <v>55768</v>
      </c>
      <c r="M10744" s="186"/>
      <c r="N10744" s="186"/>
      <c r="O10744" s="172"/>
    </row>
    <row r="10745" spans="1:15" ht="38.25" x14ac:dyDescent="0.2">
      <c r="A10745" s="197" t="str">
        <f t="shared" si="167"/>
        <v>WsfCode_shallowBasinMarsh</v>
      </c>
      <c r="B10745" s="409"/>
      <c r="C10745" s="416"/>
      <c r="D10745" s="198" t="s">
        <v>38782</v>
      </c>
      <c r="E10745" s="198">
        <v>2</v>
      </c>
      <c r="F10745" s="199" t="s">
        <v>38783</v>
      </c>
      <c r="G10745" s="1" t="s">
        <v>38784</v>
      </c>
      <c r="H10745" s="1" t="s">
        <v>38785</v>
      </c>
      <c r="I10745" s="346"/>
      <c r="J10745" s="39">
        <v>114125</v>
      </c>
      <c r="K10745" s="36" t="str">
        <f>CONCATENATE(Cover!$D$6,"fdd/view?i=",J10745)</f>
        <v>https://www.dgiwg.org/FAD/fdd/view?i=114125</v>
      </c>
      <c r="L10745" s="36" t="s">
        <v>55769</v>
      </c>
      <c r="M10745" s="186"/>
      <c r="N10745" s="186"/>
      <c r="O10745" s="172"/>
    </row>
    <row r="10746" spans="1:15" ht="51" x14ac:dyDescent="0.2">
      <c r="A10746" s="197" t="str">
        <f t="shared" si="167"/>
        <v>WsfCode_shoreMarsh</v>
      </c>
      <c r="B10746" s="409"/>
      <c r="C10746" s="416"/>
      <c r="D10746" s="198" t="s">
        <v>38787</v>
      </c>
      <c r="E10746" s="198">
        <v>3</v>
      </c>
      <c r="F10746" s="199" t="s">
        <v>38788</v>
      </c>
      <c r="G10746" s="1" t="s">
        <v>38789</v>
      </c>
      <c r="H10746" s="1" t="s">
        <v>38790</v>
      </c>
      <c r="I10746" s="346"/>
      <c r="J10746" s="39">
        <v>114126</v>
      </c>
      <c r="K10746" s="36" t="str">
        <f>CONCATENATE(Cover!$D$6,"fdd/view?i=",J10746)</f>
        <v>https://www.dgiwg.org/FAD/fdd/view?i=114126</v>
      </c>
      <c r="L10746" s="36" t="s">
        <v>55770</v>
      </c>
      <c r="M10746" s="186"/>
      <c r="N10746" s="186"/>
      <c r="O10746" s="172"/>
    </row>
    <row r="10747" spans="1:15" ht="38.25" x14ac:dyDescent="0.2">
      <c r="A10747" s="197" t="str">
        <f t="shared" si="167"/>
        <v>WsfCode_streamMarsh</v>
      </c>
      <c r="B10747" s="409"/>
      <c r="C10747" s="416"/>
      <c r="D10747" s="198" t="s">
        <v>38792</v>
      </c>
      <c r="E10747" s="198">
        <v>4</v>
      </c>
      <c r="F10747" s="199" t="s">
        <v>38793</v>
      </c>
      <c r="G10747" s="1" t="s">
        <v>38794</v>
      </c>
      <c r="H10747" s="1" t="s">
        <v>38795</v>
      </c>
      <c r="I10747" s="346"/>
      <c r="J10747" s="39">
        <v>114127</v>
      </c>
      <c r="K10747" s="36" t="str">
        <f>CONCATENATE(Cover!$D$6,"fdd/view?i=",J10747)</f>
        <v>https://www.dgiwg.org/FAD/fdd/view?i=114127</v>
      </c>
      <c r="L10747" s="36" t="s">
        <v>55771</v>
      </c>
      <c r="M10747" s="186"/>
      <c r="N10747" s="186"/>
      <c r="O10747" s="172"/>
    </row>
    <row r="10748" spans="1:15" ht="38.25" x14ac:dyDescent="0.2">
      <c r="A10748" s="197" t="str">
        <f t="shared" si="167"/>
        <v>WsfCode_streamSwamp</v>
      </c>
      <c r="B10748" s="409"/>
      <c r="C10748" s="416"/>
      <c r="D10748" s="198" t="s">
        <v>50587</v>
      </c>
      <c r="E10748" s="198">
        <v>6</v>
      </c>
      <c r="F10748" s="199" t="s">
        <v>50588</v>
      </c>
      <c r="G10748" s="1" t="s">
        <v>50589</v>
      </c>
      <c r="H10748" s="1" t="s">
        <v>50590</v>
      </c>
      <c r="I10748" s="346"/>
      <c r="J10748" s="39">
        <v>114129</v>
      </c>
      <c r="K10748" s="36" t="str">
        <f>CONCATENATE(Cover!$D$6,"fdd/view?i=",J10748)</f>
        <v>https://www.dgiwg.org/FAD/fdd/view?i=114129</v>
      </c>
      <c r="L10748" s="36" t="s">
        <v>55772</v>
      </c>
      <c r="M10748" s="186"/>
      <c r="N10748" s="186"/>
      <c r="O10748" s="172"/>
    </row>
    <row r="10749" spans="1:15" ht="89.25" x14ac:dyDescent="0.2">
      <c r="A10749" s="197" t="str">
        <f t="shared" si="167"/>
        <v>WsfCode_swamp</v>
      </c>
      <c r="B10749" s="409"/>
      <c r="C10749" s="416"/>
      <c r="D10749" s="198" t="s">
        <v>55773</v>
      </c>
      <c r="E10749" s="198">
        <v>5</v>
      </c>
      <c r="F10749" s="199" t="s">
        <v>5339</v>
      </c>
      <c r="G10749" s="1" t="s">
        <v>5341</v>
      </c>
      <c r="H10749" s="1" t="s">
        <v>55774</v>
      </c>
      <c r="I10749" s="346"/>
      <c r="J10749" s="39">
        <v>114128</v>
      </c>
      <c r="K10749" s="36" t="str">
        <f>CONCATENATE(Cover!$D$6,"fdd/view?i=",J10749)</f>
        <v>https://www.dgiwg.org/FAD/fdd/view?i=114128</v>
      </c>
      <c r="L10749" s="36" t="s">
        <v>55775</v>
      </c>
      <c r="M10749" s="186"/>
      <c r="N10749" s="186"/>
      <c r="O10749" s="172"/>
    </row>
    <row r="10750" spans="1:15" ht="25.5" x14ac:dyDescent="0.2">
      <c r="A10750" s="203" t="str">
        <f t="shared" si="167"/>
        <v>WsfCode_wetRiceCultivation</v>
      </c>
      <c r="B10750" s="410"/>
      <c r="C10750" s="417"/>
      <c r="D10750" s="204" t="s">
        <v>20596</v>
      </c>
      <c r="E10750" s="204">
        <v>10</v>
      </c>
      <c r="F10750" s="205" t="s">
        <v>20597</v>
      </c>
      <c r="G10750" s="206" t="s">
        <v>55776</v>
      </c>
      <c r="H10750" s="207"/>
      <c r="I10750" s="347"/>
      <c r="J10750" s="39">
        <v>114133</v>
      </c>
      <c r="K10750" s="36" t="str">
        <f>CONCATENATE(Cover!$D$6,"fdd/view?i=",J10750)</f>
        <v>https://www.dgiwg.org/FAD/fdd/view?i=114133</v>
      </c>
      <c r="L10750" s="36" t="s">
        <v>55777</v>
      </c>
      <c r="M10750" s="186"/>
      <c r="N10750" s="186"/>
      <c r="O10750" s="172"/>
    </row>
    <row r="10751" spans="1:15" ht="25.5" x14ac:dyDescent="0.2">
      <c r="A10751" s="190" t="str">
        <f t="shared" si="167"/>
        <v>WntCode_tetrahedron</v>
      </c>
      <c r="B10751" s="414" t="str">
        <f>HYPERLINK("[#]Datatypes!A1748:L1748","WntCode")</f>
        <v>WntCode</v>
      </c>
      <c r="C10751" s="415" t="s">
        <v>16381</v>
      </c>
      <c r="D10751" s="221" t="s">
        <v>55778</v>
      </c>
      <c r="E10751" s="221">
        <v>2</v>
      </c>
      <c r="F10751" s="222" t="s">
        <v>55779</v>
      </c>
      <c r="G10751" s="223" t="s">
        <v>55780</v>
      </c>
      <c r="H10751" s="224"/>
      <c r="I10751" s="345"/>
      <c r="J10751" s="39">
        <v>115487</v>
      </c>
      <c r="K10751" s="36" t="str">
        <f>CONCATENATE(Cover!$D$6,"fdd/view?i=",J10751)</f>
        <v>https://www.dgiwg.org/FAD/fdd/view?i=115487</v>
      </c>
      <c r="L10751" s="36" t="s">
        <v>55781</v>
      </c>
      <c r="M10751" s="186"/>
      <c r="N10751" s="186"/>
      <c r="O10751" s="172"/>
    </row>
    <row r="10752" spans="1:15" ht="25.5" x14ac:dyDescent="0.2">
      <c r="A10752" s="197" t="str">
        <f t="shared" si="167"/>
        <v>WntCode_windsock</v>
      </c>
      <c r="B10752" s="409"/>
      <c r="C10752" s="416"/>
      <c r="D10752" s="198" t="s">
        <v>55786</v>
      </c>
      <c r="E10752" s="198">
        <v>1</v>
      </c>
      <c r="F10752" s="199" t="s">
        <v>55787</v>
      </c>
      <c r="G10752" s="1" t="s">
        <v>55788</v>
      </c>
      <c r="H10752" s="200"/>
      <c r="I10752" s="346"/>
      <c r="J10752" s="39">
        <v>115486</v>
      </c>
      <c r="K10752" s="36" t="str">
        <f>CONCATENATE(Cover!$D$6,"fdd/view?i=",J10752)</f>
        <v>https://www.dgiwg.org/FAD/fdd/view?i=115486</v>
      </c>
      <c r="L10752" s="36" t="s">
        <v>55789</v>
      </c>
      <c r="M10752" s="186"/>
      <c r="N10752" s="186"/>
      <c r="O10752" s="172"/>
    </row>
    <row r="10753" spans="1:15" ht="38.25" x14ac:dyDescent="0.2">
      <c r="A10753" s="203" t="str">
        <f t="shared" si="167"/>
        <v>WntCode_windTee</v>
      </c>
      <c r="B10753" s="410"/>
      <c r="C10753" s="417"/>
      <c r="D10753" s="204" t="s">
        <v>55782</v>
      </c>
      <c r="E10753" s="204">
        <v>3</v>
      </c>
      <c r="F10753" s="205" t="s">
        <v>55783</v>
      </c>
      <c r="G10753" s="206" t="s">
        <v>55784</v>
      </c>
      <c r="H10753" s="207"/>
      <c r="I10753" s="347"/>
      <c r="J10753" s="39">
        <v>115488</v>
      </c>
      <c r="K10753" s="36" t="str">
        <f>CONCATENATE(Cover!$D$6,"fdd/view?i=",J10753)</f>
        <v>https://www.dgiwg.org/FAD/fdd/view?i=115488</v>
      </c>
      <c r="L10753" s="36" t="s">
        <v>55785</v>
      </c>
      <c r="M10753" s="186"/>
      <c r="N10753" s="186"/>
      <c r="O10753" s="172"/>
    </row>
    <row r="10754" spans="1:15" ht="38.25" x14ac:dyDescent="0.2">
      <c r="A10754" s="190" t="str">
        <f t="shared" ref="A10754:A10770" si="168">HYPERLINK(K10754,L10754)</f>
        <v>WitCode_cellularPhone</v>
      </c>
      <c r="B10754" s="414" t="str">
        <f>HYPERLINK("[#]Datatypes!A1750:L1750","WitCode")</f>
        <v>WitCode</v>
      </c>
      <c r="C10754" s="415" t="s">
        <v>16383</v>
      </c>
      <c r="D10754" s="221" t="s">
        <v>55790</v>
      </c>
      <c r="E10754" s="221">
        <v>1</v>
      </c>
      <c r="F10754" s="222" t="s">
        <v>55791</v>
      </c>
      <c r="G10754" s="223" t="s">
        <v>55792</v>
      </c>
      <c r="H10754" s="224"/>
      <c r="I10754" s="345"/>
      <c r="J10754" s="39">
        <v>114388</v>
      </c>
      <c r="K10754" s="36" t="str">
        <f>CONCATENATE(Cover!$D$6,"fdd/view?i=",J10754)</f>
        <v>https://www.dgiwg.org/FAD/fdd/view?i=114388</v>
      </c>
      <c r="L10754" s="36" t="s">
        <v>55793</v>
      </c>
      <c r="M10754" s="186"/>
      <c r="N10754" s="186"/>
      <c r="O10754" s="172"/>
    </row>
    <row r="10755" spans="1:15" ht="51" x14ac:dyDescent="0.2">
      <c r="A10755" s="197" t="str">
        <f t="shared" si="168"/>
        <v>WitCode_microwaveRadioRelay</v>
      </c>
      <c r="B10755" s="409"/>
      <c r="C10755" s="416"/>
      <c r="D10755" s="198" t="s">
        <v>55794</v>
      </c>
      <c r="E10755" s="198">
        <v>2</v>
      </c>
      <c r="F10755" s="199" t="s">
        <v>55795</v>
      </c>
      <c r="G10755" s="1" t="s">
        <v>55796</v>
      </c>
      <c r="H10755" s="1" t="s">
        <v>55797</v>
      </c>
      <c r="I10755" s="346"/>
      <c r="J10755" s="39">
        <v>114389</v>
      </c>
      <c r="K10755" s="36" t="str">
        <f>CONCATENATE(Cover!$D$6,"fdd/view?i=",J10755)</f>
        <v>https://www.dgiwg.org/FAD/fdd/view?i=114389</v>
      </c>
      <c r="L10755" s="36" t="s">
        <v>55798</v>
      </c>
      <c r="M10755" s="186"/>
      <c r="N10755" s="186"/>
      <c r="O10755" s="172"/>
    </row>
    <row r="10756" spans="1:15" ht="102" x14ac:dyDescent="0.2">
      <c r="A10756" s="197" t="str">
        <f t="shared" si="168"/>
        <v>WitCode_mobilePhone</v>
      </c>
      <c r="B10756" s="409"/>
      <c r="C10756" s="416"/>
      <c r="D10756" s="198" t="s">
        <v>55799</v>
      </c>
      <c r="E10756" s="198">
        <v>3</v>
      </c>
      <c r="F10756" s="199" t="s">
        <v>55800</v>
      </c>
      <c r="G10756" s="1" t="s">
        <v>55801</v>
      </c>
      <c r="H10756" s="1" t="s">
        <v>55802</v>
      </c>
      <c r="I10756" s="346"/>
      <c r="J10756" s="39">
        <v>114401</v>
      </c>
      <c r="K10756" s="36" t="str">
        <f>CONCATENATE(Cover!$D$6,"fdd/view?i=",J10756)</f>
        <v>https://www.dgiwg.org/FAD/fdd/view?i=114401</v>
      </c>
      <c r="L10756" s="36" t="s">
        <v>55803</v>
      </c>
      <c r="M10756" s="186"/>
      <c r="N10756" s="186"/>
      <c r="O10756" s="172"/>
    </row>
    <row r="10757" spans="1:15" ht="38.25" x14ac:dyDescent="0.2">
      <c r="A10757" s="197" t="str">
        <f t="shared" si="168"/>
        <v>WitCode_radioBroadcast</v>
      </c>
      <c r="B10757" s="409"/>
      <c r="C10757" s="416"/>
      <c r="D10757" s="198" t="s">
        <v>55804</v>
      </c>
      <c r="E10757" s="198">
        <v>4</v>
      </c>
      <c r="F10757" s="199" t="s">
        <v>55805</v>
      </c>
      <c r="G10757" s="1" t="s">
        <v>55806</v>
      </c>
      <c r="H10757" s="1" t="s">
        <v>55807</v>
      </c>
      <c r="I10757" s="346"/>
      <c r="J10757" s="39">
        <v>114402</v>
      </c>
      <c r="K10757" s="36" t="str">
        <f>CONCATENATE(Cover!$D$6,"fdd/view?i=",J10757)</f>
        <v>https://www.dgiwg.org/FAD/fdd/view?i=114402</v>
      </c>
      <c r="L10757" s="36" t="s">
        <v>55808</v>
      </c>
      <c r="M10757" s="186"/>
      <c r="N10757" s="186"/>
      <c r="O10757" s="172"/>
    </row>
    <row r="10758" spans="1:15" ht="25.5" x14ac:dyDescent="0.2">
      <c r="A10758" s="197" t="str">
        <f t="shared" si="168"/>
        <v>WitCode_radioTelegraph</v>
      </c>
      <c r="B10758" s="409"/>
      <c r="C10758" s="416"/>
      <c r="D10758" s="198" t="s">
        <v>41891</v>
      </c>
      <c r="E10758" s="198">
        <v>6</v>
      </c>
      <c r="F10758" s="199" t="s">
        <v>41892</v>
      </c>
      <c r="G10758" s="1" t="s">
        <v>55812</v>
      </c>
      <c r="H10758" s="1" t="s">
        <v>55813</v>
      </c>
      <c r="I10758" s="346"/>
      <c r="J10758" s="39">
        <v>114404</v>
      </c>
      <c r="K10758" s="36" t="str">
        <f>CONCATENATE(Cover!$D$6,"fdd/view?i=",J10758)</f>
        <v>https://www.dgiwg.org/FAD/fdd/view?i=114404</v>
      </c>
      <c r="L10758" s="36" t="s">
        <v>55814</v>
      </c>
      <c r="M10758" s="186"/>
      <c r="N10758" s="186"/>
      <c r="O10758" s="172"/>
    </row>
    <row r="10759" spans="1:15" ht="127.5" x14ac:dyDescent="0.2">
      <c r="A10759" s="197" t="str">
        <f t="shared" si="168"/>
        <v>WitCode_radioTelephone</v>
      </c>
      <c r="B10759" s="409"/>
      <c r="C10759" s="416"/>
      <c r="D10759" s="198" t="s">
        <v>41886</v>
      </c>
      <c r="E10759" s="198">
        <v>5</v>
      </c>
      <c r="F10759" s="199" t="s">
        <v>41887</v>
      </c>
      <c r="G10759" s="1" t="s">
        <v>55809</v>
      </c>
      <c r="H10759" s="1" t="s">
        <v>55810</v>
      </c>
      <c r="I10759" s="346"/>
      <c r="J10759" s="39">
        <v>114403</v>
      </c>
      <c r="K10759" s="36" t="str">
        <f>CONCATENATE(Cover!$D$6,"fdd/view?i=",J10759)</f>
        <v>https://www.dgiwg.org/FAD/fdd/view?i=114403</v>
      </c>
      <c r="L10759" s="36" t="s">
        <v>55811</v>
      </c>
      <c r="M10759" s="186"/>
      <c r="N10759" s="186"/>
      <c r="O10759" s="172"/>
    </row>
    <row r="10760" spans="1:15" ht="25.5" x14ac:dyDescent="0.2">
      <c r="A10760" s="203" t="str">
        <f t="shared" si="168"/>
        <v>WitCode_television</v>
      </c>
      <c r="B10760" s="410"/>
      <c r="C10760" s="417"/>
      <c r="D10760" s="204" t="s">
        <v>41915</v>
      </c>
      <c r="E10760" s="204">
        <v>7</v>
      </c>
      <c r="F10760" s="205" t="s">
        <v>41916</v>
      </c>
      <c r="G10760" s="206" t="s">
        <v>41917</v>
      </c>
      <c r="H10760" s="207"/>
      <c r="I10760" s="347"/>
      <c r="J10760" s="39">
        <v>114405</v>
      </c>
      <c r="K10760" s="36" t="str">
        <f>CONCATENATE(Cover!$D$6,"fdd/view?i=",J10760)</f>
        <v>https://www.dgiwg.org/FAD/fdd/view?i=114405</v>
      </c>
      <c r="L10760" s="36" t="s">
        <v>55815</v>
      </c>
      <c r="M10760" s="186"/>
      <c r="N10760" s="186"/>
      <c r="O10760" s="172"/>
    </row>
    <row r="10761" spans="1:15" ht="25.5" x14ac:dyDescent="0.2">
      <c r="A10761" s="190" t="str">
        <f t="shared" si="168"/>
        <v>WloCode_funnelShowing</v>
      </c>
      <c r="B10761" s="414" t="str">
        <f>HYPERLINK("[#]Datatypes!A1754:L1754","WloCode")</f>
        <v>WloCode</v>
      </c>
      <c r="C10761" s="415" t="s">
        <v>16388</v>
      </c>
      <c r="D10761" s="221" t="s">
        <v>55816</v>
      </c>
      <c r="E10761" s="221">
        <v>3</v>
      </c>
      <c r="F10761" s="222" t="s">
        <v>55817</v>
      </c>
      <c r="G10761" s="223" t="s">
        <v>55818</v>
      </c>
      <c r="H10761" s="224"/>
      <c r="I10761" s="345"/>
      <c r="J10761" s="39">
        <v>109577</v>
      </c>
      <c r="K10761" s="36" t="str">
        <f>CONCATENATE(Cover!$D$6,"fdd/view?i=",J10761)</f>
        <v>https://www.dgiwg.org/FAD/fdd/view?i=109577</v>
      </c>
      <c r="L10761" s="36" t="s">
        <v>55819</v>
      </c>
      <c r="M10761" s="186"/>
      <c r="N10761" s="186"/>
      <c r="O10761" s="172"/>
    </row>
    <row r="10762" spans="1:15" x14ac:dyDescent="0.2">
      <c r="A10762" s="197" t="str">
        <f t="shared" si="168"/>
        <v>WloCode_hullShowing</v>
      </c>
      <c r="B10762" s="409"/>
      <c r="C10762" s="416"/>
      <c r="D10762" s="198" t="s">
        <v>55820</v>
      </c>
      <c r="E10762" s="198">
        <v>1</v>
      </c>
      <c r="F10762" s="199" t="s">
        <v>55821</v>
      </c>
      <c r="G10762" s="1" t="s">
        <v>55822</v>
      </c>
      <c r="H10762" s="200"/>
      <c r="I10762" s="346"/>
      <c r="J10762" s="39">
        <v>109575</v>
      </c>
      <c r="K10762" s="36" t="str">
        <f>CONCATENATE(Cover!$D$6,"fdd/view?i=",J10762)</f>
        <v>https://www.dgiwg.org/FAD/fdd/view?i=109575</v>
      </c>
      <c r="L10762" s="36" t="s">
        <v>55823</v>
      </c>
      <c r="M10762" s="186"/>
      <c r="N10762" s="186"/>
      <c r="O10762" s="172"/>
    </row>
    <row r="10763" spans="1:15" ht="25.5" x14ac:dyDescent="0.2">
      <c r="A10763" s="197" t="str">
        <f t="shared" si="168"/>
        <v>WloCode_mastsFunnelShowing</v>
      </c>
      <c r="B10763" s="409"/>
      <c r="C10763" s="416"/>
      <c r="D10763" s="198" t="s">
        <v>55824</v>
      </c>
      <c r="E10763" s="198">
        <v>5</v>
      </c>
      <c r="F10763" s="199" t="s">
        <v>55825</v>
      </c>
      <c r="G10763" s="1" t="s">
        <v>55826</v>
      </c>
      <c r="H10763" s="200"/>
      <c r="I10763" s="346"/>
      <c r="J10763" s="39">
        <v>109579</v>
      </c>
      <c r="K10763" s="36" t="str">
        <f>CONCATENATE(Cover!$D$6,"fdd/view?i=",J10763)</f>
        <v>https://www.dgiwg.org/FAD/fdd/view?i=109579</v>
      </c>
      <c r="L10763" s="36" t="s">
        <v>55827</v>
      </c>
      <c r="M10763" s="186"/>
      <c r="N10763" s="186"/>
      <c r="O10763" s="172"/>
    </row>
    <row r="10764" spans="1:15" ht="25.5" x14ac:dyDescent="0.2">
      <c r="A10764" s="197" t="str">
        <f t="shared" si="168"/>
        <v>WloCode_mastsShowing</v>
      </c>
      <c r="B10764" s="409"/>
      <c r="C10764" s="416"/>
      <c r="D10764" s="198" t="s">
        <v>55828</v>
      </c>
      <c r="E10764" s="198">
        <v>2</v>
      </c>
      <c r="F10764" s="199" t="s">
        <v>55829</v>
      </c>
      <c r="G10764" s="1" t="s">
        <v>55830</v>
      </c>
      <c r="H10764" s="200"/>
      <c r="I10764" s="346"/>
      <c r="J10764" s="39">
        <v>109576</v>
      </c>
      <c r="K10764" s="36" t="str">
        <f>CONCATENATE(Cover!$D$6,"fdd/view?i=",J10764)</f>
        <v>https://www.dgiwg.org/FAD/fdd/view?i=109576</v>
      </c>
      <c r="L10764" s="36" t="s">
        <v>55831</v>
      </c>
      <c r="M10764" s="186"/>
      <c r="N10764" s="186"/>
      <c r="O10764" s="172"/>
    </row>
    <row r="10765" spans="1:15" ht="25.5" x14ac:dyDescent="0.2">
      <c r="A10765" s="203" t="str">
        <f t="shared" si="168"/>
        <v>WloCode_superstructureShowing</v>
      </c>
      <c r="B10765" s="410"/>
      <c r="C10765" s="417"/>
      <c r="D10765" s="204" t="s">
        <v>55832</v>
      </c>
      <c r="E10765" s="204">
        <v>4</v>
      </c>
      <c r="F10765" s="205" t="s">
        <v>55833</v>
      </c>
      <c r="G10765" s="206" t="s">
        <v>55834</v>
      </c>
      <c r="H10765" s="207"/>
      <c r="I10765" s="347"/>
      <c r="J10765" s="39">
        <v>109578</v>
      </c>
      <c r="K10765" s="36" t="str">
        <f>CONCATENATE(Cover!$D$6,"fdd/view?i=",J10765)</f>
        <v>https://www.dgiwg.org/FAD/fdd/view?i=109578</v>
      </c>
      <c r="L10765" s="36" t="s">
        <v>55835</v>
      </c>
      <c r="M10765" s="186"/>
      <c r="N10765" s="186"/>
      <c r="O10765" s="172"/>
    </row>
    <row r="10766" spans="1:15" ht="63.75" x14ac:dyDescent="0.2">
      <c r="A10766" s="190" t="str">
        <f t="shared" si="168"/>
        <v>WrkCode_dangerousWreck</v>
      </c>
      <c r="B10766" s="414" t="str">
        <f>HYPERLINK("[#]Datatypes!A1756:L1756","WrkCode")</f>
        <v>WrkCode</v>
      </c>
      <c r="C10766" s="415" t="s">
        <v>16390</v>
      </c>
      <c r="D10766" s="221" t="s">
        <v>55836</v>
      </c>
      <c r="E10766" s="221">
        <v>2</v>
      </c>
      <c r="F10766" s="222" t="s">
        <v>55837</v>
      </c>
      <c r="G10766" s="223" t="s">
        <v>55838</v>
      </c>
      <c r="H10766" s="223" t="s">
        <v>55839</v>
      </c>
      <c r="I10766" s="345"/>
      <c r="J10766" s="39">
        <v>109619</v>
      </c>
      <c r="K10766" s="36" t="str">
        <f>CONCATENATE(Cover!$D$6,"fdd/view?i=",J10766)</f>
        <v>https://www.dgiwg.org/FAD/fdd/view?i=109619</v>
      </c>
      <c r="L10766" s="36" t="s">
        <v>55840</v>
      </c>
      <c r="M10766" s="186"/>
      <c r="N10766" s="186"/>
      <c r="O10766" s="172"/>
    </row>
    <row r="10767" spans="1:15" ht="38.25" x14ac:dyDescent="0.2">
      <c r="A10767" s="197" t="str">
        <f t="shared" si="168"/>
        <v>WrkCode_distributedRemains</v>
      </c>
      <c r="B10767" s="409"/>
      <c r="C10767" s="416"/>
      <c r="D10767" s="198" t="s">
        <v>55841</v>
      </c>
      <c r="E10767" s="198">
        <v>3</v>
      </c>
      <c r="F10767" s="199" t="s">
        <v>55842</v>
      </c>
      <c r="G10767" s="1" t="s">
        <v>55843</v>
      </c>
      <c r="H10767" s="200"/>
      <c r="I10767" s="346"/>
      <c r="J10767" s="39">
        <v>109620</v>
      </c>
      <c r="K10767" s="36" t="str">
        <f>CONCATENATE(Cover!$D$6,"fdd/view?i=",J10767)</f>
        <v>https://www.dgiwg.org/FAD/fdd/view?i=109620</v>
      </c>
      <c r="L10767" s="36" t="s">
        <v>55844</v>
      </c>
      <c r="M10767" s="186"/>
      <c r="N10767" s="186"/>
      <c r="O10767" s="172"/>
    </row>
    <row r="10768" spans="1:15" ht="38.25" x14ac:dyDescent="0.2">
      <c r="A10768" s="197" t="str">
        <f t="shared" si="168"/>
        <v>WrkCode_hullSuperstructureShowing</v>
      </c>
      <c r="B10768" s="409"/>
      <c r="C10768" s="416"/>
      <c r="D10768" s="198" t="s">
        <v>55845</v>
      </c>
      <c r="E10768" s="198">
        <v>5</v>
      </c>
      <c r="F10768" s="199" t="s">
        <v>55846</v>
      </c>
      <c r="G10768" s="1" t="s">
        <v>55847</v>
      </c>
      <c r="H10768" s="200"/>
      <c r="I10768" s="346"/>
      <c r="J10768" s="39">
        <v>109622</v>
      </c>
      <c r="K10768" s="36" t="str">
        <f>CONCATENATE(Cover!$D$6,"fdd/view?i=",J10768)</f>
        <v>https://www.dgiwg.org/FAD/fdd/view?i=109622</v>
      </c>
      <c r="L10768" s="36" t="s">
        <v>55848</v>
      </c>
      <c r="M10768" s="186"/>
      <c r="N10768" s="186"/>
      <c r="O10768" s="172"/>
    </row>
    <row r="10769" spans="1:15" ht="25.5" x14ac:dyDescent="0.2">
      <c r="A10769" s="197" t="str">
        <f t="shared" si="168"/>
        <v>WrkCode_mastsShowing</v>
      </c>
      <c r="B10769" s="409"/>
      <c r="C10769" s="416"/>
      <c r="D10769" s="198" t="s">
        <v>55828</v>
      </c>
      <c r="E10769" s="198">
        <v>4</v>
      </c>
      <c r="F10769" s="199" t="s">
        <v>55849</v>
      </c>
      <c r="G10769" s="1" t="s">
        <v>55850</v>
      </c>
      <c r="H10769" s="200"/>
      <c r="I10769" s="346"/>
      <c r="J10769" s="39">
        <v>109621</v>
      </c>
      <c r="K10769" s="36" t="str">
        <f>CONCATENATE(Cover!$D$6,"fdd/view?i=",J10769)</f>
        <v>https://www.dgiwg.org/FAD/fdd/view?i=109621</v>
      </c>
      <c r="L10769" s="36" t="s">
        <v>55851</v>
      </c>
      <c r="M10769" s="186"/>
      <c r="N10769" s="186"/>
      <c r="O10769" s="172"/>
    </row>
    <row r="10770" spans="1:15" ht="76.5" x14ac:dyDescent="0.2">
      <c r="A10770" s="203" t="str">
        <f t="shared" si="168"/>
        <v>WrkCode_nonDangerousWreck</v>
      </c>
      <c r="B10770" s="410"/>
      <c r="C10770" s="417"/>
      <c r="D10770" s="204" t="s">
        <v>55852</v>
      </c>
      <c r="E10770" s="204">
        <v>1</v>
      </c>
      <c r="F10770" s="205" t="s">
        <v>55853</v>
      </c>
      <c r="G10770" s="206" t="s">
        <v>55854</v>
      </c>
      <c r="H10770" s="206" t="s">
        <v>55855</v>
      </c>
      <c r="I10770" s="347"/>
      <c r="J10770" s="39">
        <v>109618</v>
      </c>
      <c r="K10770" s="36" t="str">
        <f>CONCATENATE(Cover!$D$6,"fdd/view?i=",J10770)</f>
        <v>https://www.dgiwg.org/FAD/fdd/view?i=109618</v>
      </c>
      <c r="L10770" s="36" t="s">
        <v>55856</v>
      </c>
      <c r="M10770" s="186"/>
      <c r="N10770" s="186"/>
      <c r="O10770" s="172"/>
    </row>
  </sheetData>
  <sortState caseSensitive="1" ref="A2:P10770">
    <sortCondition ref="C2"/>
    <sortCondition ref="D2"/>
  </sortState>
  <mergeCells count="1410">
    <mergeCell ref="B2:B24"/>
    <mergeCell ref="C2:C24"/>
    <mergeCell ref="B25:B47"/>
    <mergeCell ref="C25:C47"/>
    <mergeCell ref="B48:B54"/>
    <mergeCell ref="C48:C54"/>
    <mergeCell ref="B102:B453"/>
    <mergeCell ref="C102:C453"/>
    <mergeCell ref="B454:B805"/>
    <mergeCell ref="C454:C805"/>
    <mergeCell ref="B806:B828"/>
    <mergeCell ref="C806:C828"/>
    <mergeCell ref="B79:B87"/>
    <mergeCell ref="C79:C87"/>
    <mergeCell ref="B88:B95"/>
    <mergeCell ref="C88:C95"/>
    <mergeCell ref="B96:B101"/>
    <mergeCell ref="C96:C101"/>
    <mergeCell ref="B55:B67"/>
    <mergeCell ref="C55:C67"/>
    <mergeCell ref="B68:B69"/>
    <mergeCell ref="C68:C69"/>
    <mergeCell ref="B70:B78"/>
    <mergeCell ref="C70:C78"/>
    <mergeCell ref="B900:B907"/>
    <mergeCell ref="C900:C907"/>
    <mergeCell ref="B908:B916"/>
    <mergeCell ref="C908:C916"/>
    <mergeCell ref="B917:B920"/>
    <mergeCell ref="C917:C920"/>
    <mergeCell ref="B867:B873"/>
    <mergeCell ref="C867:C873"/>
    <mergeCell ref="B874:B878"/>
    <mergeCell ref="C874:C878"/>
    <mergeCell ref="B879:B899"/>
    <mergeCell ref="C879:C899"/>
    <mergeCell ref="B829:B830"/>
    <mergeCell ref="C829:C830"/>
    <mergeCell ref="B831:B843"/>
    <mergeCell ref="C831:C843"/>
    <mergeCell ref="B844:B866"/>
    <mergeCell ref="C844:C866"/>
    <mergeCell ref="B1060:B1076"/>
    <mergeCell ref="C1060:C1076"/>
    <mergeCell ref="B1077:B1081"/>
    <mergeCell ref="C1077:C1081"/>
    <mergeCell ref="B1082:B1118"/>
    <mergeCell ref="C1082:C1118"/>
    <mergeCell ref="B963:B1052"/>
    <mergeCell ref="C963:C1052"/>
    <mergeCell ref="B1053:B1056"/>
    <mergeCell ref="C1053:C1056"/>
    <mergeCell ref="B1057:B1059"/>
    <mergeCell ref="C1057:C1059"/>
    <mergeCell ref="B921:B941"/>
    <mergeCell ref="C921:C941"/>
    <mergeCell ref="B942:B951"/>
    <mergeCell ref="C942:C951"/>
    <mergeCell ref="B952:B962"/>
    <mergeCell ref="C952:C962"/>
    <mergeCell ref="B1171:B1173"/>
    <mergeCell ref="C1171:C1173"/>
    <mergeCell ref="B1174:B1176"/>
    <mergeCell ref="C1174:C1176"/>
    <mergeCell ref="B1177:B1191"/>
    <mergeCell ref="C1177:C1191"/>
    <mergeCell ref="B1143:B1152"/>
    <mergeCell ref="C1143:C1152"/>
    <mergeCell ref="B1153:B1162"/>
    <mergeCell ref="C1153:C1162"/>
    <mergeCell ref="B1163:B1170"/>
    <mergeCell ref="C1163:C1170"/>
    <mergeCell ref="B1119:B1123"/>
    <mergeCell ref="C1119:C1123"/>
    <mergeCell ref="B1124:B1133"/>
    <mergeCell ref="C1124:C1133"/>
    <mergeCell ref="B1134:B1142"/>
    <mergeCell ref="C1134:C1142"/>
    <mergeCell ref="B1233:B1238"/>
    <mergeCell ref="C1233:C1238"/>
    <mergeCell ref="B1239:B1245"/>
    <mergeCell ref="C1239:C1245"/>
    <mergeCell ref="B1246:B1248"/>
    <mergeCell ref="C1246:C1248"/>
    <mergeCell ref="B1215:B1221"/>
    <mergeCell ref="C1215:C1221"/>
    <mergeCell ref="B1222:B1224"/>
    <mergeCell ref="C1222:C1224"/>
    <mergeCell ref="B1225:B1232"/>
    <mergeCell ref="C1225:C1232"/>
    <mergeCell ref="B1192:B1196"/>
    <mergeCell ref="C1192:C1196"/>
    <mergeCell ref="B1197:B1205"/>
    <mergeCell ref="C1197:C1205"/>
    <mergeCell ref="B1206:B1214"/>
    <mergeCell ref="C1206:C1214"/>
    <mergeCell ref="B1277:B1291"/>
    <mergeCell ref="C1277:C1291"/>
    <mergeCell ref="B1292:B1349"/>
    <mergeCell ref="C1292:C1349"/>
    <mergeCell ref="B1350:B1356"/>
    <mergeCell ref="C1350:C1356"/>
    <mergeCell ref="B1265:B1270"/>
    <mergeCell ref="C1265:C1270"/>
    <mergeCell ref="B1271:B1272"/>
    <mergeCell ref="C1271:C1272"/>
    <mergeCell ref="B1273:B1276"/>
    <mergeCell ref="C1273:C1276"/>
    <mergeCell ref="B1249:B1251"/>
    <mergeCell ref="C1249:C1251"/>
    <mergeCell ref="B1252:B1259"/>
    <mergeCell ref="C1252:C1259"/>
    <mergeCell ref="B1260:B1264"/>
    <mergeCell ref="C1260:C1264"/>
    <mergeCell ref="B1429:B1431"/>
    <mergeCell ref="C1429:C1431"/>
    <mergeCell ref="B1432:B1449"/>
    <mergeCell ref="C1432:C1449"/>
    <mergeCell ref="B1450:B1453"/>
    <mergeCell ref="C1450:C1453"/>
    <mergeCell ref="B1403:B1409"/>
    <mergeCell ref="C1403:C1409"/>
    <mergeCell ref="B1410:B1415"/>
    <mergeCell ref="C1410:C1415"/>
    <mergeCell ref="B1416:B1428"/>
    <mergeCell ref="C1416:C1428"/>
    <mergeCell ref="B1357:B1359"/>
    <mergeCell ref="C1357:C1359"/>
    <mergeCell ref="B1360:B1396"/>
    <mergeCell ref="C1360:C1396"/>
    <mergeCell ref="B1397:B1402"/>
    <mergeCell ref="C1397:C1402"/>
    <mergeCell ref="B1524:B1527"/>
    <mergeCell ref="C1524:C1527"/>
    <mergeCell ref="B1528:B1531"/>
    <mergeCell ref="C1528:C1531"/>
    <mergeCell ref="B1532:B1551"/>
    <mergeCell ref="C1532:C1551"/>
    <mergeCell ref="B1494:B1501"/>
    <mergeCell ref="C1494:C1501"/>
    <mergeCell ref="B1502:B1516"/>
    <mergeCell ref="C1502:C1516"/>
    <mergeCell ref="B1517:B1523"/>
    <mergeCell ref="C1517:C1523"/>
    <mergeCell ref="B1454:B1456"/>
    <mergeCell ref="C1454:C1456"/>
    <mergeCell ref="B1457:B1459"/>
    <mergeCell ref="C1457:C1459"/>
    <mergeCell ref="B1460:B1493"/>
    <mergeCell ref="C1460:C1493"/>
    <mergeCell ref="B1675:B1677"/>
    <mergeCell ref="C1675:C1677"/>
    <mergeCell ref="B1678:B1699"/>
    <mergeCell ref="C1678:C1699"/>
    <mergeCell ref="B1700:B1717"/>
    <mergeCell ref="C1700:C1717"/>
    <mergeCell ref="B1580:B1653"/>
    <mergeCell ref="C1580:C1653"/>
    <mergeCell ref="B1654:B1671"/>
    <mergeCell ref="C1654:C1671"/>
    <mergeCell ref="B1672:B1674"/>
    <mergeCell ref="C1672:C1674"/>
    <mergeCell ref="B1552:B1571"/>
    <mergeCell ref="C1552:C1571"/>
    <mergeCell ref="B1572:B1576"/>
    <mergeCell ref="C1572:C1576"/>
    <mergeCell ref="B1577:B1579"/>
    <mergeCell ref="C1577:C1579"/>
    <mergeCell ref="B1829:B1835"/>
    <mergeCell ref="C1829:C1835"/>
    <mergeCell ref="B1836:B1838"/>
    <mergeCell ref="C1836:C1838"/>
    <mergeCell ref="B1839:B1842"/>
    <mergeCell ref="C1839:C1842"/>
    <mergeCell ref="B1795:B1802"/>
    <mergeCell ref="C1795:C1802"/>
    <mergeCell ref="B1803:B1820"/>
    <mergeCell ref="C1803:C1820"/>
    <mergeCell ref="B1821:B1828"/>
    <mergeCell ref="C1821:C1828"/>
    <mergeCell ref="B1718:B1755"/>
    <mergeCell ref="C1718:C1755"/>
    <mergeCell ref="B1756:B1787"/>
    <mergeCell ref="C1756:C1787"/>
    <mergeCell ref="B1788:B1794"/>
    <mergeCell ref="C1788:C1794"/>
    <mergeCell ref="B1895:B1898"/>
    <mergeCell ref="C1895:C1898"/>
    <mergeCell ref="B1899:B1901"/>
    <mergeCell ref="C1899:C1901"/>
    <mergeCell ref="B1902:B1927"/>
    <mergeCell ref="C1902:C1927"/>
    <mergeCell ref="B1863:B1873"/>
    <mergeCell ref="C1863:C1873"/>
    <mergeCell ref="B1874:B1889"/>
    <mergeCell ref="C1874:C1889"/>
    <mergeCell ref="B1890:B1894"/>
    <mergeCell ref="C1890:C1894"/>
    <mergeCell ref="B1843:B1854"/>
    <mergeCell ref="C1843:C1854"/>
    <mergeCell ref="B1855:B1859"/>
    <mergeCell ref="C1855:C1859"/>
    <mergeCell ref="B1860:B1862"/>
    <mergeCell ref="C1860:C1862"/>
    <mergeCell ref="B1975:B1990"/>
    <mergeCell ref="C1975:C1990"/>
    <mergeCell ref="B1991:B1997"/>
    <mergeCell ref="C1991:C1997"/>
    <mergeCell ref="B1998:B2028"/>
    <mergeCell ref="C1998:C2028"/>
    <mergeCell ref="B1954:B1957"/>
    <mergeCell ref="C1954:C1957"/>
    <mergeCell ref="B1958:B1971"/>
    <mergeCell ref="C1958:C1971"/>
    <mergeCell ref="B1972:B1974"/>
    <mergeCell ref="C1972:C1974"/>
    <mergeCell ref="B1928:B1946"/>
    <mergeCell ref="C1928:C1946"/>
    <mergeCell ref="B1947:B1948"/>
    <mergeCell ref="C1947:C1948"/>
    <mergeCell ref="B1949:B1953"/>
    <mergeCell ref="C1949:C1953"/>
    <mergeCell ref="B2058:B2076"/>
    <mergeCell ref="C2058:C2076"/>
    <mergeCell ref="B2077:B2079"/>
    <mergeCell ref="C2077:C2079"/>
    <mergeCell ref="B2080:B2085"/>
    <mergeCell ref="C2080:C2085"/>
    <mergeCell ref="B2045:B2047"/>
    <mergeCell ref="C2045:C2047"/>
    <mergeCell ref="B2048:B2049"/>
    <mergeCell ref="C2048:C2049"/>
    <mergeCell ref="B2050:B2057"/>
    <mergeCell ref="C2050:C2057"/>
    <mergeCell ref="B2029:B2032"/>
    <mergeCell ref="C2029:C2032"/>
    <mergeCell ref="B2033:B2037"/>
    <mergeCell ref="C2033:C2037"/>
    <mergeCell ref="B2038:B2044"/>
    <mergeCell ref="C2038:C2044"/>
    <mergeCell ref="B2227:B2229"/>
    <mergeCell ref="C2227:C2229"/>
    <mergeCell ref="B2230:B2251"/>
    <mergeCell ref="C2230:C2251"/>
    <mergeCell ref="B2252:B2254"/>
    <mergeCell ref="C2252:C2254"/>
    <mergeCell ref="B2115:B2123"/>
    <mergeCell ref="C2115:C2123"/>
    <mergeCell ref="B2124:B2220"/>
    <mergeCell ref="C2124:C2220"/>
    <mergeCell ref="B2221:B2226"/>
    <mergeCell ref="C2221:C2226"/>
    <mergeCell ref="B2086:B2102"/>
    <mergeCell ref="C2086:C2102"/>
    <mergeCell ref="B2103:B2105"/>
    <mergeCell ref="C2103:C2105"/>
    <mergeCell ref="B2106:B2114"/>
    <mergeCell ref="C2106:C2114"/>
    <mergeCell ref="B2305:B2309"/>
    <mergeCell ref="C2305:C2309"/>
    <mergeCell ref="B2310:B2314"/>
    <mergeCell ref="C2310:C2314"/>
    <mergeCell ref="B2315:B2322"/>
    <mergeCell ref="C2315:C2322"/>
    <mergeCell ref="B2290:B2291"/>
    <mergeCell ref="C2290:C2291"/>
    <mergeCell ref="B2292:B2297"/>
    <mergeCell ref="C2292:C2297"/>
    <mergeCell ref="B2298:B2304"/>
    <mergeCell ref="C2298:C2304"/>
    <mergeCell ref="B2255:B2268"/>
    <mergeCell ref="C2255:C2268"/>
    <mergeCell ref="B2269:B2275"/>
    <mergeCell ref="C2269:C2275"/>
    <mergeCell ref="B2276:B2289"/>
    <mergeCell ref="C2276:C2289"/>
    <mergeCell ref="B2452:B2458"/>
    <mergeCell ref="C2452:C2458"/>
    <mergeCell ref="B2459:B2474"/>
    <mergeCell ref="C2459:C2474"/>
    <mergeCell ref="B2475:B2480"/>
    <mergeCell ref="C2475:C2480"/>
    <mergeCell ref="B2430:B2436"/>
    <mergeCell ref="C2430:C2436"/>
    <mergeCell ref="B2437:B2449"/>
    <mergeCell ref="C2437:C2449"/>
    <mergeCell ref="B2450:B2451"/>
    <mergeCell ref="C2450:C2451"/>
    <mergeCell ref="B2323:B2383"/>
    <mergeCell ref="C2323:C2383"/>
    <mergeCell ref="B2384:B2395"/>
    <mergeCell ref="C2384:C2395"/>
    <mergeCell ref="B2396:B2429"/>
    <mergeCell ref="C2396:C2429"/>
    <mergeCell ref="B2537:B2540"/>
    <mergeCell ref="C2537:C2540"/>
    <mergeCell ref="B2541:B2548"/>
    <mergeCell ref="C2541:C2548"/>
    <mergeCell ref="B2549:B2550"/>
    <mergeCell ref="C2549:C2550"/>
    <mergeCell ref="B2513:B2521"/>
    <mergeCell ref="C2513:C2521"/>
    <mergeCell ref="B2522:B2532"/>
    <mergeCell ref="C2522:C2532"/>
    <mergeCell ref="B2533:B2536"/>
    <mergeCell ref="C2533:C2536"/>
    <mergeCell ref="B2481:B2492"/>
    <mergeCell ref="C2481:C2492"/>
    <mergeCell ref="B2493:B2505"/>
    <mergeCell ref="C2493:C2505"/>
    <mergeCell ref="B2506:B2512"/>
    <mergeCell ref="C2506:C2512"/>
    <mergeCell ref="B2580:B2601"/>
    <mergeCell ref="C2580:C2601"/>
    <mergeCell ref="B2602:B2608"/>
    <mergeCell ref="C2602:C2608"/>
    <mergeCell ref="B2609:B2614"/>
    <mergeCell ref="C2609:C2614"/>
    <mergeCell ref="B2568:B2572"/>
    <mergeCell ref="C2568:C2572"/>
    <mergeCell ref="B2573:B2574"/>
    <mergeCell ref="C2573:C2574"/>
    <mergeCell ref="B2575:B2579"/>
    <mergeCell ref="C2575:C2579"/>
    <mergeCell ref="B2551:B2553"/>
    <mergeCell ref="C2551:C2553"/>
    <mergeCell ref="B2554:B2559"/>
    <mergeCell ref="C2554:C2559"/>
    <mergeCell ref="B2560:B2567"/>
    <mergeCell ref="C2560:C2567"/>
    <mergeCell ref="B2643:B2795"/>
    <mergeCell ref="C2643:C2795"/>
    <mergeCell ref="B2796:B2799"/>
    <mergeCell ref="C2796:C2799"/>
    <mergeCell ref="B2800:B2809"/>
    <mergeCell ref="C2800:C2809"/>
    <mergeCell ref="B2629:B2633"/>
    <mergeCell ref="C2629:C2633"/>
    <mergeCell ref="B2634:B2638"/>
    <mergeCell ref="C2634:C2638"/>
    <mergeCell ref="B2639:B2642"/>
    <mergeCell ref="C2639:C2642"/>
    <mergeCell ref="B2615:B2620"/>
    <mergeCell ref="C2615:C2620"/>
    <mergeCell ref="B2621:B2624"/>
    <mergeCell ref="C2621:C2624"/>
    <mergeCell ref="B2625:B2628"/>
    <mergeCell ref="C2625:C2628"/>
    <mergeCell ref="B2855:B2856"/>
    <mergeCell ref="C2855:C2856"/>
    <mergeCell ref="B2857:B2861"/>
    <mergeCell ref="C2857:C2861"/>
    <mergeCell ref="B2862:B2867"/>
    <mergeCell ref="C2862:C2867"/>
    <mergeCell ref="B2840:B2843"/>
    <mergeCell ref="C2840:C2843"/>
    <mergeCell ref="B2844:B2846"/>
    <mergeCell ref="C2844:C2846"/>
    <mergeCell ref="B2847:B2854"/>
    <mergeCell ref="C2847:C2854"/>
    <mergeCell ref="B2810:B2816"/>
    <mergeCell ref="C2810:C2816"/>
    <mergeCell ref="B2817:B2825"/>
    <mergeCell ref="C2817:C2825"/>
    <mergeCell ref="B2826:B2839"/>
    <mergeCell ref="C2826:C2839"/>
    <mergeCell ref="B2895:B2898"/>
    <mergeCell ref="C2895:C2898"/>
    <mergeCell ref="B2899:B2903"/>
    <mergeCell ref="C2899:C2903"/>
    <mergeCell ref="B2904:B2906"/>
    <mergeCell ref="C2904:C2906"/>
    <mergeCell ref="B2884:B2885"/>
    <mergeCell ref="C2884:C2885"/>
    <mergeCell ref="B2886:B2888"/>
    <mergeCell ref="C2886:C2888"/>
    <mergeCell ref="B2889:B2894"/>
    <mergeCell ref="C2889:C2894"/>
    <mergeCell ref="B2868:B2874"/>
    <mergeCell ref="C2868:C2874"/>
    <mergeCell ref="B2875:B2877"/>
    <mergeCell ref="C2875:C2877"/>
    <mergeCell ref="B2878:B2883"/>
    <mergeCell ref="C2878:C2883"/>
    <mergeCell ref="B3295:B3297"/>
    <mergeCell ref="C3295:C3297"/>
    <mergeCell ref="B3298:B3301"/>
    <mergeCell ref="C3298:C3301"/>
    <mergeCell ref="B3302:B3306"/>
    <mergeCell ref="C3302:C3306"/>
    <mergeCell ref="B3286:B3288"/>
    <mergeCell ref="C3286:C3288"/>
    <mergeCell ref="B3289:B3291"/>
    <mergeCell ref="C3289:C3291"/>
    <mergeCell ref="B3292:B3294"/>
    <mergeCell ref="C3292:C3294"/>
    <mergeCell ref="B2907:B2925"/>
    <mergeCell ref="C2907:C2925"/>
    <mergeCell ref="B2926:B2933"/>
    <mergeCell ref="C2926:C2933"/>
    <mergeCell ref="B2934:B3285"/>
    <mergeCell ref="C2934:C3285"/>
    <mergeCell ref="B3349:B3351"/>
    <mergeCell ref="C3349:C3351"/>
    <mergeCell ref="B3352:B3359"/>
    <mergeCell ref="C3352:C3359"/>
    <mergeCell ref="B3360:B3366"/>
    <mergeCell ref="C3360:C3366"/>
    <mergeCell ref="B3329:B3336"/>
    <mergeCell ref="C3329:C3336"/>
    <mergeCell ref="B3337:B3344"/>
    <mergeCell ref="C3337:C3344"/>
    <mergeCell ref="B3345:B3348"/>
    <mergeCell ref="C3345:C3348"/>
    <mergeCell ref="B3307:B3308"/>
    <mergeCell ref="C3307:C3308"/>
    <mergeCell ref="B3309:B3314"/>
    <mergeCell ref="C3309:C3314"/>
    <mergeCell ref="B3315:B3328"/>
    <mergeCell ref="C3315:C3328"/>
    <mergeCell ref="B3400:B3404"/>
    <mergeCell ref="C3400:C3404"/>
    <mergeCell ref="B3405:B3410"/>
    <mergeCell ref="C3405:C3410"/>
    <mergeCell ref="B3411:B3416"/>
    <mergeCell ref="C3411:C3416"/>
    <mergeCell ref="B3381:B3386"/>
    <mergeCell ref="C3381:C3386"/>
    <mergeCell ref="B3387:B3395"/>
    <mergeCell ref="C3387:C3395"/>
    <mergeCell ref="B3396:B3399"/>
    <mergeCell ref="C3396:C3399"/>
    <mergeCell ref="B3367:B3368"/>
    <mergeCell ref="C3367:C3368"/>
    <mergeCell ref="B3369:B3374"/>
    <mergeCell ref="C3369:C3374"/>
    <mergeCell ref="B3375:B3380"/>
    <mergeCell ref="C3375:C3380"/>
    <mergeCell ref="B3492:B3495"/>
    <mergeCell ref="C3492:C3495"/>
    <mergeCell ref="B3496:B3526"/>
    <mergeCell ref="C3496:C3526"/>
    <mergeCell ref="B3527:B3529"/>
    <mergeCell ref="C3527:C3529"/>
    <mergeCell ref="B3447:B3472"/>
    <mergeCell ref="C3447:C3472"/>
    <mergeCell ref="B3473:B3482"/>
    <mergeCell ref="C3473:C3482"/>
    <mergeCell ref="B3483:B3491"/>
    <mergeCell ref="C3483:C3491"/>
    <mergeCell ref="B3417:B3420"/>
    <mergeCell ref="C3417:C3420"/>
    <mergeCell ref="B3421:B3430"/>
    <mergeCell ref="C3421:C3430"/>
    <mergeCell ref="B3431:B3446"/>
    <mergeCell ref="C3431:C3446"/>
    <mergeCell ref="B3642:B3645"/>
    <mergeCell ref="C3642:C3645"/>
    <mergeCell ref="B3646:B3653"/>
    <mergeCell ref="C3646:C3653"/>
    <mergeCell ref="B3654:B3657"/>
    <mergeCell ref="C3654:C3657"/>
    <mergeCell ref="B3594:B3595"/>
    <mergeCell ref="C3594:C3595"/>
    <mergeCell ref="B3596:B3609"/>
    <mergeCell ref="C3596:C3609"/>
    <mergeCell ref="B3610:B3641"/>
    <mergeCell ref="C3610:C3641"/>
    <mergeCell ref="B3530:B3533"/>
    <mergeCell ref="C3530:C3533"/>
    <mergeCell ref="B3534:B3542"/>
    <mergeCell ref="C3534:C3542"/>
    <mergeCell ref="B3543:B3593"/>
    <mergeCell ref="C3543:C3593"/>
    <mergeCell ref="B3988:B3996"/>
    <mergeCell ref="C3988:C3996"/>
    <mergeCell ref="B3997:B3999"/>
    <mergeCell ref="C3997:C3999"/>
    <mergeCell ref="B4000:B4003"/>
    <mergeCell ref="C4000:C4003"/>
    <mergeCell ref="B3973:B3981"/>
    <mergeCell ref="C3973:C3981"/>
    <mergeCell ref="B3982:B3984"/>
    <mergeCell ref="C3982:C3984"/>
    <mergeCell ref="B3985:B3987"/>
    <mergeCell ref="C3985:C3987"/>
    <mergeCell ref="B3658:B3962"/>
    <mergeCell ref="C3658:C3962"/>
    <mergeCell ref="B3963:B3967"/>
    <mergeCell ref="C3963:C3967"/>
    <mergeCell ref="B3968:B3972"/>
    <mergeCell ref="C3968:C3972"/>
    <mergeCell ref="B4044:B4051"/>
    <mergeCell ref="C4044:C4051"/>
    <mergeCell ref="B4052:B4058"/>
    <mergeCell ref="C4052:C4058"/>
    <mergeCell ref="B4059:B4070"/>
    <mergeCell ref="C4059:C4070"/>
    <mergeCell ref="B4026:B4030"/>
    <mergeCell ref="C4026:C4030"/>
    <mergeCell ref="B4031:B4037"/>
    <mergeCell ref="C4031:C4037"/>
    <mergeCell ref="B4038:B4043"/>
    <mergeCell ref="C4038:C4043"/>
    <mergeCell ref="B4004:B4008"/>
    <mergeCell ref="C4004:C4008"/>
    <mergeCell ref="B4009:B4012"/>
    <mergeCell ref="C4009:C4012"/>
    <mergeCell ref="B4013:B4025"/>
    <mergeCell ref="C4013:C4025"/>
    <mergeCell ref="B4111:B4116"/>
    <mergeCell ref="C4111:C4116"/>
    <mergeCell ref="B4117:B4145"/>
    <mergeCell ref="C4117:C4145"/>
    <mergeCell ref="B4146:B4149"/>
    <mergeCell ref="C4146:C4149"/>
    <mergeCell ref="B4095:B4096"/>
    <mergeCell ref="C4095:C4096"/>
    <mergeCell ref="B4097:B4100"/>
    <mergeCell ref="C4097:C4100"/>
    <mergeCell ref="B4101:B4110"/>
    <mergeCell ref="C4101:C4110"/>
    <mergeCell ref="B4071:B4073"/>
    <mergeCell ref="C4071:C4073"/>
    <mergeCell ref="B4074:B4088"/>
    <mergeCell ref="C4074:C4088"/>
    <mergeCell ref="B4089:B4094"/>
    <mergeCell ref="C4089:C4094"/>
    <mergeCell ref="B4516:B4521"/>
    <mergeCell ref="C4516:C4521"/>
    <mergeCell ref="B4522:B4533"/>
    <mergeCell ref="C4522:C4533"/>
    <mergeCell ref="B4534:B4543"/>
    <mergeCell ref="C4534:C4543"/>
    <mergeCell ref="B4482:B4501"/>
    <mergeCell ref="C4482:C4501"/>
    <mergeCell ref="B4502:B4505"/>
    <mergeCell ref="C4502:C4505"/>
    <mergeCell ref="B4506:B4515"/>
    <mergeCell ref="C4506:C4515"/>
    <mergeCell ref="B4150:B4158"/>
    <mergeCell ref="C4150:C4158"/>
    <mergeCell ref="B4159:B4471"/>
    <mergeCell ref="C4159:C4471"/>
    <mergeCell ref="B4472:B4481"/>
    <mergeCell ref="C4472:C4481"/>
    <mergeCell ref="B4602:B4605"/>
    <mergeCell ref="C4602:C4605"/>
    <mergeCell ref="B4606:B4609"/>
    <mergeCell ref="C4606:C4609"/>
    <mergeCell ref="B4610:B4614"/>
    <mergeCell ref="C4610:C4614"/>
    <mergeCell ref="B4580:B4584"/>
    <mergeCell ref="C4580:C4584"/>
    <mergeCell ref="B4585:B4586"/>
    <mergeCell ref="C4585:C4586"/>
    <mergeCell ref="B4587:B4601"/>
    <mergeCell ref="C4587:C4601"/>
    <mergeCell ref="B4544:B4549"/>
    <mergeCell ref="C4544:C4549"/>
    <mergeCell ref="B4550:B4562"/>
    <mergeCell ref="C4550:C4562"/>
    <mergeCell ref="B4563:B4579"/>
    <mergeCell ref="C4563:C4579"/>
    <mergeCell ref="B4666:B4677"/>
    <mergeCell ref="C4666:C4677"/>
    <mergeCell ref="B4678:B4680"/>
    <mergeCell ref="C4678:C4680"/>
    <mergeCell ref="B4681:B4683"/>
    <mergeCell ref="C4681:C4683"/>
    <mergeCell ref="B4647:B4649"/>
    <mergeCell ref="C4647:C4649"/>
    <mergeCell ref="B4650:B4663"/>
    <mergeCell ref="C4650:C4663"/>
    <mergeCell ref="B4664:B4665"/>
    <mergeCell ref="C4664:C4665"/>
    <mergeCell ref="B4615:B4628"/>
    <mergeCell ref="C4615:C4628"/>
    <mergeCell ref="B4629:B4635"/>
    <mergeCell ref="C4629:C4635"/>
    <mergeCell ref="B4636:B4646"/>
    <mergeCell ref="C4636:C4646"/>
    <mergeCell ref="B4743:B4753"/>
    <mergeCell ref="C4743:C4753"/>
    <mergeCell ref="B4754:B4758"/>
    <mergeCell ref="C4754:C4758"/>
    <mergeCell ref="B4759:B4764"/>
    <mergeCell ref="C4759:C4764"/>
    <mergeCell ref="B4704:B4707"/>
    <mergeCell ref="C4704:C4707"/>
    <mergeCell ref="B4708:B4729"/>
    <mergeCell ref="C4708:C4729"/>
    <mergeCell ref="B4730:B4742"/>
    <mergeCell ref="C4730:C4742"/>
    <mergeCell ref="B4684:B4693"/>
    <mergeCell ref="C4684:C4693"/>
    <mergeCell ref="B4694:B4701"/>
    <mergeCell ref="C4694:C4701"/>
    <mergeCell ref="B4702:B4703"/>
    <mergeCell ref="C4702:C4703"/>
    <mergeCell ref="B4834:B4841"/>
    <mergeCell ref="C4834:C4841"/>
    <mergeCell ref="B4842:B4863"/>
    <mergeCell ref="C4842:C4863"/>
    <mergeCell ref="B4864:B4867"/>
    <mergeCell ref="C4864:C4867"/>
    <mergeCell ref="B4784:B4786"/>
    <mergeCell ref="C4784:C4786"/>
    <mergeCell ref="B4787:B4808"/>
    <mergeCell ref="C4787:C4808"/>
    <mergeCell ref="B4809:B4833"/>
    <mergeCell ref="C4809:C4833"/>
    <mergeCell ref="B4766:B4772"/>
    <mergeCell ref="C4766:C4772"/>
    <mergeCell ref="B4773:B4779"/>
    <mergeCell ref="C4773:C4779"/>
    <mergeCell ref="B4780:B4783"/>
    <mergeCell ref="C4780:C4783"/>
    <mergeCell ref="B4910:B4923"/>
    <mergeCell ref="C4910:C4923"/>
    <mergeCell ref="B4924:B4932"/>
    <mergeCell ref="C4924:C4932"/>
    <mergeCell ref="B4933:B4935"/>
    <mergeCell ref="C4933:C4935"/>
    <mergeCell ref="B4897:B4898"/>
    <mergeCell ref="C4897:C4898"/>
    <mergeCell ref="B4899:B4902"/>
    <mergeCell ref="C4899:C4902"/>
    <mergeCell ref="B4903:B4909"/>
    <mergeCell ref="C4903:C4909"/>
    <mergeCell ref="B4868:B4871"/>
    <mergeCell ref="C4868:C4871"/>
    <mergeCell ref="B4872:B4884"/>
    <mergeCell ref="C4872:C4884"/>
    <mergeCell ref="B4885:B4896"/>
    <mergeCell ref="C4885:C4896"/>
    <mergeCell ref="B5152:B5160"/>
    <mergeCell ref="C5152:C5160"/>
    <mergeCell ref="B5161:B5163"/>
    <mergeCell ref="C5161:C5163"/>
    <mergeCell ref="B5164:B5201"/>
    <mergeCell ref="C5164:C5201"/>
    <mergeCell ref="B4970:B4971"/>
    <mergeCell ref="C4970:C4971"/>
    <mergeCell ref="B4972:B4979"/>
    <mergeCell ref="C4972:C4979"/>
    <mergeCell ref="B4980:B5151"/>
    <mergeCell ref="C4980:C5151"/>
    <mergeCell ref="B4936:B4954"/>
    <mergeCell ref="C4936:C4954"/>
    <mergeCell ref="B4955:B4960"/>
    <mergeCell ref="C4955:C4960"/>
    <mergeCell ref="B4961:B4969"/>
    <mergeCell ref="C4961:C4969"/>
    <mergeCell ref="B5280:B5282"/>
    <mergeCell ref="C5280:C5282"/>
    <mergeCell ref="B5283:B5284"/>
    <mergeCell ref="C5283:C5284"/>
    <mergeCell ref="B5285:B5292"/>
    <mergeCell ref="C5285:C5292"/>
    <mergeCell ref="B5268:B5269"/>
    <mergeCell ref="C5268:C5269"/>
    <mergeCell ref="B5270:B5276"/>
    <mergeCell ref="C5270:C5276"/>
    <mergeCell ref="B5277:B5279"/>
    <mergeCell ref="C5277:C5279"/>
    <mergeCell ref="B5202:B5207"/>
    <mergeCell ref="C5202:C5207"/>
    <mergeCell ref="B5208:B5211"/>
    <mergeCell ref="C5208:C5211"/>
    <mergeCell ref="B5212:B5267"/>
    <mergeCell ref="C5212:C5267"/>
    <mergeCell ref="B5365:B5367"/>
    <mergeCell ref="C5365:C5367"/>
    <mergeCell ref="B5368:B5370"/>
    <mergeCell ref="C5368:C5370"/>
    <mergeCell ref="B5371:B5374"/>
    <mergeCell ref="C5371:C5374"/>
    <mergeCell ref="B5325:B5326"/>
    <mergeCell ref="C5325:C5326"/>
    <mergeCell ref="B5327:B5331"/>
    <mergeCell ref="C5327:C5331"/>
    <mergeCell ref="B5332:B5364"/>
    <mergeCell ref="C5332:C5364"/>
    <mergeCell ref="B5293:B5295"/>
    <mergeCell ref="C5293:C5295"/>
    <mergeCell ref="B5296:B5300"/>
    <mergeCell ref="C5296:C5300"/>
    <mergeCell ref="B5301:B5324"/>
    <mergeCell ref="C5301:C5324"/>
    <mergeCell ref="B5423:B5437"/>
    <mergeCell ref="C5423:C5437"/>
    <mergeCell ref="B5438:B5440"/>
    <mergeCell ref="C5438:C5440"/>
    <mergeCell ref="B5441:B5448"/>
    <mergeCell ref="C5441:C5448"/>
    <mergeCell ref="B5410:B5412"/>
    <mergeCell ref="C5410:C5412"/>
    <mergeCell ref="B5413:B5420"/>
    <mergeCell ref="C5413:C5420"/>
    <mergeCell ref="B5421:B5422"/>
    <mergeCell ref="C5421:C5422"/>
    <mergeCell ref="B5375:B5402"/>
    <mergeCell ref="C5375:C5402"/>
    <mergeCell ref="B5403:B5406"/>
    <mergeCell ref="C5403:C5406"/>
    <mergeCell ref="B5407:B5409"/>
    <mergeCell ref="C5407:C5409"/>
    <mergeCell ref="B5620:B5628"/>
    <mergeCell ref="C5620:C5628"/>
    <mergeCell ref="B5629:B5658"/>
    <mergeCell ref="C5629:C5658"/>
    <mergeCell ref="B5659:B5667"/>
    <mergeCell ref="C5659:C5667"/>
    <mergeCell ref="B5514:B5532"/>
    <mergeCell ref="C5514:C5532"/>
    <mergeCell ref="B5533:B5538"/>
    <mergeCell ref="C5533:C5538"/>
    <mergeCell ref="B5539:B5619"/>
    <mergeCell ref="C5539:C5619"/>
    <mergeCell ref="B5449:B5490"/>
    <mergeCell ref="C5449:C5490"/>
    <mergeCell ref="B5491:B5504"/>
    <mergeCell ref="C5491:C5504"/>
    <mergeCell ref="B5505:B5513"/>
    <mergeCell ref="C5505:C5513"/>
    <mergeCell ref="B5726:B5728"/>
    <mergeCell ref="C5726:C5728"/>
    <mergeCell ref="B5729:B5732"/>
    <mergeCell ref="C5729:C5732"/>
    <mergeCell ref="B5733:B5748"/>
    <mergeCell ref="C5733:C5748"/>
    <mergeCell ref="B5707:B5717"/>
    <mergeCell ref="C5707:C5717"/>
    <mergeCell ref="B5718:B5721"/>
    <mergeCell ref="C5718:C5721"/>
    <mergeCell ref="B5722:B5725"/>
    <mergeCell ref="C5722:C5725"/>
    <mergeCell ref="B5668:B5692"/>
    <mergeCell ref="C5668:C5692"/>
    <mergeCell ref="B5693:B5701"/>
    <mergeCell ref="C5693:C5701"/>
    <mergeCell ref="B5702:B5706"/>
    <mergeCell ref="C5702:C5706"/>
    <mergeCell ref="B6011:B6020"/>
    <mergeCell ref="C6011:C6020"/>
    <mergeCell ref="B6021:B6024"/>
    <mergeCell ref="C6021:C6024"/>
    <mergeCell ref="B6025:B6026"/>
    <mergeCell ref="C6025:C6026"/>
    <mergeCell ref="B5803:B6002"/>
    <mergeCell ref="C5803:C6002"/>
    <mergeCell ref="B6003:B6004"/>
    <mergeCell ref="C6003:C6004"/>
    <mergeCell ref="B6005:B6010"/>
    <mergeCell ref="C6005:C6010"/>
    <mergeCell ref="B5749:B5774"/>
    <mergeCell ref="C5749:C5774"/>
    <mergeCell ref="B5775:B5779"/>
    <mergeCell ref="C5775:C5779"/>
    <mergeCell ref="B5780:B5802"/>
    <mergeCell ref="C5780:C5802"/>
    <mergeCell ref="B6068:B6071"/>
    <mergeCell ref="C6068:C6071"/>
    <mergeCell ref="B6072:B6074"/>
    <mergeCell ref="C6072:C6074"/>
    <mergeCell ref="B6075:B6081"/>
    <mergeCell ref="C6075:C6081"/>
    <mergeCell ref="B6053:B6055"/>
    <mergeCell ref="C6053:C6055"/>
    <mergeCell ref="B6056:B6063"/>
    <mergeCell ref="C6056:C6063"/>
    <mergeCell ref="B6064:B6067"/>
    <mergeCell ref="C6064:C6067"/>
    <mergeCell ref="B6027:B6030"/>
    <mergeCell ref="C6027:C6030"/>
    <mergeCell ref="B6031:B6045"/>
    <mergeCell ref="C6031:C6045"/>
    <mergeCell ref="B6046:B6052"/>
    <mergeCell ref="C6046:C6052"/>
    <mergeCell ref="B6107:B6114"/>
    <mergeCell ref="C6107:C6114"/>
    <mergeCell ref="B6115:B6117"/>
    <mergeCell ref="C6115:C6117"/>
    <mergeCell ref="B6118:B6131"/>
    <mergeCell ref="C6118:C6131"/>
    <mergeCell ref="B6095:B6097"/>
    <mergeCell ref="C6095:C6097"/>
    <mergeCell ref="B6098:B6099"/>
    <mergeCell ref="C6098:C6099"/>
    <mergeCell ref="B6100:B6106"/>
    <mergeCell ref="C6100:C6106"/>
    <mergeCell ref="B6082:B6087"/>
    <mergeCell ref="C6082:C6087"/>
    <mergeCell ref="B6088:B6092"/>
    <mergeCell ref="C6088:C6092"/>
    <mergeCell ref="B6093:B6094"/>
    <mergeCell ref="C6093:C6094"/>
    <mergeCell ref="B6161:B6185"/>
    <mergeCell ref="C6161:C6185"/>
    <mergeCell ref="B6186:B6197"/>
    <mergeCell ref="C6186:C6197"/>
    <mergeCell ref="B6198:B6199"/>
    <mergeCell ref="C6198:C6199"/>
    <mergeCell ref="B6143:B6154"/>
    <mergeCell ref="C6143:C6154"/>
    <mergeCell ref="B6155:B6156"/>
    <mergeCell ref="C6155:C6156"/>
    <mergeCell ref="B6157:B6160"/>
    <mergeCell ref="C6157:C6160"/>
    <mergeCell ref="B6132:B6135"/>
    <mergeCell ref="C6132:C6135"/>
    <mergeCell ref="B6136:B6139"/>
    <mergeCell ref="C6136:C6139"/>
    <mergeCell ref="B6140:B6142"/>
    <mergeCell ref="C6140:C6142"/>
    <mergeCell ref="B6228:B6231"/>
    <mergeCell ref="C6228:C6231"/>
    <mergeCell ref="B6232:B6234"/>
    <mergeCell ref="C6232:C6234"/>
    <mergeCell ref="B6235:B6257"/>
    <mergeCell ref="C6235:C6257"/>
    <mergeCell ref="B6216:B6219"/>
    <mergeCell ref="C6216:C6219"/>
    <mergeCell ref="B6220:B6224"/>
    <mergeCell ref="C6220:C6224"/>
    <mergeCell ref="B6225:B6227"/>
    <mergeCell ref="C6225:C6227"/>
    <mergeCell ref="B6200:B6202"/>
    <mergeCell ref="C6200:C6202"/>
    <mergeCell ref="B6203:B6210"/>
    <mergeCell ref="C6203:C6210"/>
    <mergeCell ref="B6211:B6215"/>
    <mergeCell ref="C6211:C6215"/>
    <mergeCell ref="B6318:B6321"/>
    <mergeCell ref="C6318:C6321"/>
    <mergeCell ref="B6322:B6349"/>
    <mergeCell ref="C6322:C6349"/>
    <mergeCell ref="B6350:B6354"/>
    <mergeCell ref="C6350:C6354"/>
    <mergeCell ref="B6282:B6291"/>
    <mergeCell ref="C6282:C6291"/>
    <mergeCell ref="B6292:B6301"/>
    <mergeCell ref="C6292:C6301"/>
    <mergeCell ref="B6302:B6317"/>
    <mergeCell ref="C6302:C6317"/>
    <mergeCell ref="B6258:B6260"/>
    <mergeCell ref="C6258:C6260"/>
    <mergeCell ref="B6261:B6273"/>
    <mergeCell ref="C6261:C6273"/>
    <mergeCell ref="B6274:B6281"/>
    <mergeCell ref="C6274:C6281"/>
    <mergeCell ref="B6486:B6505"/>
    <mergeCell ref="C6486:C6505"/>
    <mergeCell ref="B6506:B6508"/>
    <mergeCell ref="C6506:C6508"/>
    <mergeCell ref="B6509:B6512"/>
    <mergeCell ref="C6509:C6512"/>
    <mergeCell ref="B6400:B6477"/>
    <mergeCell ref="C6400:C6477"/>
    <mergeCell ref="B6478:B6481"/>
    <mergeCell ref="C6478:C6481"/>
    <mergeCell ref="B6482:B6485"/>
    <mergeCell ref="C6482:C6485"/>
    <mergeCell ref="B6355:B6380"/>
    <mergeCell ref="C6355:C6380"/>
    <mergeCell ref="B6381:B6393"/>
    <mergeCell ref="C6381:C6393"/>
    <mergeCell ref="B6394:B6399"/>
    <mergeCell ref="C6394:C6399"/>
    <mergeCell ref="B6536:B6541"/>
    <mergeCell ref="C6536:C6541"/>
    <mergeCell ref="B6542:B6545"/>
    <mergeCell ref="C6542:C6545"/>
    <mergeCell ref="B6546:B6558"/>
    <mergeCell ref="C6546:C6558"/>
    <mergeCell ref="B6525:B6527"/>
    <mergeCell ref="C6525:C6527"/>
    <mergeCell ref="B6528:B6532"/>
    <mergeCell ref="C6528:C6532"/>
    <mergeCell ref="B6533:B6535"/>
    <mergeCell ref="C6533:C6535"/>
    <mergeCell ref="B6513:B6515"/>
    <mergeCell ref="C6513:C6515"/>
    <mergeCell ref="B6516:B6522"/>
    <mergeCell ref="C6516:C6522"/>
    <mergeCell ref="B6523:B6524"/>
    <mergeCell ref="C6523:C6524"/>
    <mergeCell ref="B6590:B6616"/>
    <mergeCell ref="C6590:C6616"/>
    <mergeCell ref="B6617:B6629"/>
    <mergeCell ref="C6617:C6629"/>
    <mergeCell ref="B6630:B6631"/>
    <mergeCell ref="C6630:C6631"/>
    <mergeCell ref="B6574:B6585"/>
    <mergeCell ref="C6574:C6585"/>
    <mergeCell ref="B6586:B6587"/>
    <mergeCell ref="C6586:C6587"/>
    <mergeCell ref="B6588:B6589"/>
    <mergeCell ref="C6588:C6589"/>
    <mergeCell ref="B6559:B6562"/>
    <mergeCell ref="C6559:C6562"/>
    <mergeCell ref="B6563:B6564"/>
    <mergeCell ref="C6563:C6564"/>
    <mergeCell ref="B6565:B6573"/>
    <mergeCell ref="C6565:C6573"/>
    <mergeCell ref="B6655:B6657"/>
    <mergeCell ref="C6655:C6657"/>
    <mergeCell ref="B6658:B6663"/>
    <mergeCell ref="C6658:C6663"/>
    <mergeCell ref="B6664:B6671"/>
    <mergeCell ref="C6664:C6671"/>
    <mergeCell ref="B6642:B6647"/>
    <mergeCell ref="C6642:C6647"/>
    <mergeCell ref="B6648:B6650"/>
    <mergeCell ref="C6648:C6650"/>
    <mergeCell ref="B6651:B6654"/>
    <mergeCell ref="C6651:C6654"/>
    <mergeCell ref="B6632:B6633"/>
    <mergeCell ref="C6632:C6633"/>
    <mergeCell ref="B6634:B6637"/>
    <mergeCell ref="C6634:C6637"/>
    <mergeCell ref="B6638:B6641"/>
    <mergeCell ref="C6638:C6641"/>
    <mergeCell ref="B6737:B6745"/>
    <mergeCell ref="C6737:C6745"/>
    <mergeCell ref="B6746:B6754"/>
    <mergeCell ref="C6746:C6754"/>
    <mergeCell ref="B6755:B6762"/>
    <mergeCell ref="C6755:C6762"/>
    <mergeCell ref="B6683:B6691"/>
    <mergeCell ref="C6683:C6691"/>
    <mergeCell ref="B6692:B6698"/>
    <mergeCell ref="C6692:C6698"/>
    <mergeCell ref="B6699:B6736"/>
    <mergeCell ref="C6699:C6736"/>
    <mergeCell ref="B6672:B6675"/>
    <mergeCell ref="C6672:C6675"/>
    <mergeCell ref="B6676:B6679"/>
    <mergeCell ref="C6676:C6679"/>
    <mergeCell ref="B6680:B6682"/>
    <mergeCell ref="C6680:C6682"/>
    <mergeCell ref="B6805:B6830"/>
    <mergeCell ref="C6805:C6830"/>
    <mergeCell ref="B6831:B6834"/>
    <mergeCell ref="C6831:C6834"/>
    <mergeCell ref="B6835:B6836"/>
    <mergeCell ref="C6835:C6836"/>
    <mergeCell ref="B6778:B6782"/>
    <mergeCell ref="C6778:C6782"/>
    <mergeCell ref="B6783:B6800"/>
    <mergeCell ref="C6783:C6800"/>
    <mergeCell ref="B6801:B6804"/>
    <mergeCell ref="C6801:C6804"/>
    <mergeCell ref="B6763:B6767"/>
    <mergeCell ref="C6763:C6767"/>
    <mergeCell ref="B6768:B6774"/>
    <mergeCell ref="C6768:C6774"/>
    <mergeCell ref="B6775:B6777"/>
    <mergeCell ref="C6775:C6777"/>
    <mergeCell ref="B7034:B7043"/>
    <mergeCell ref="C7034:C7043"/>
    <mergeCell ref="B7044:B7052"/>
    <mergeCell ref="C7044:C7052"/>
    <mergeCell ref="B7053:B7057"/>
    <mergeCell ref="C7053:C7057"/>
    <mergeCell ref="B7004:B7011"/>
    <mergeCell ref="C7004:C7011"/>
    <mergeCell ref="B7012:B7028"/>
    <mergeCell ref="C7012:C7028"/>
    <mergeCell ref="B7029:B7033"/>
    <mergeCell ref="C7029:C7033"/>
    <mergeCell ref="B6837:B6993"/>
    <mergeCell ref="C6837:C6993"/>
    <mergeCell ref="B6994:B6997"/>
    <mergeCell ref="C6994:C6997"/>
    <mergeCell ref="B6998:B7003"/>
    <mergeCell ref="C6998:C7003"/>
    <mergeCell ref="B7096:B7110"/>
    <mergeCell ref="C7096:C7110"/>
    <mergeCell ref="B7111:B7113"/>
    <mergeCell ref="C7111:C7113"/>
    <mergeCell ref="B7114:B7117"/>
    <mergeCell ref="C7114:C7117"/>
    <mergeCell ref="B7081:B7083"/>
    <mergeCell ref="C7081:C7083"/>
    <mergeCell ref="B7084:B7088"/>
    <mergeCell ref="C7084:C7088"/>
    <mergeCell ref="B7089:B7095"/>
    <mergeCell ref="C7089:C7095"/>
    <mergeCell ref="B7058:B7063"/>
    <mergeCell ref="C7058:C7063"/>
    <mergeCell ref="B7064:B7075"/>
    <mergeCell ref="C7064:C7075"/>
    <mergeCell ref="B7076:B7080"/>
    <mergeCell ref="C7076:C7080"/>
    <mergeCell ref="B7261:B7269"/>
    <mergeCell ref="C7261:C7269"/>
    <mergeCell ref="B7270:B7271"/>
    <mergeCell ref="C7270:C7271"/>
    <mergeCell ref="B7272:B7276"/>
    <mergeCell ref="C7272:C7276"/>
    <mergeCell ref="B7138:B7144"/>
    <mergeCell ref="C7138:C7144"/>
    <mergeCell ref="B7145:B7257"/>
    <mergeCell ref="C7145:C7257"/>
    <mergeCell ref="B7258:B7260"/>
    <mergeCell ref="C7258:C7260"/>
    <mergeCell ref="B7118:B7120"/>
    <mergeCell ref="C7118:C7120"/>
    <mergeCell ref="B7121:B7131"/>
    <mergeCell ref="C7121:C7131"/>
    <mergeCell ref="B7132:B7137"/>
    <mergeCell ref="C7132:C7137"/>
    <mergeCell ref="B7391:B7396"/>
    <mergeCell ref="C7391:C7396"/>
    <mergeCell ref="B7397:B7414"/>
    <mergeCell ref="C7397:C7414"/>
    <mergeCell ref="B7415:B7563"/>
    <mergeCell ref="C7415:C7563"/>
    <mergeCell ref="B7349:B7363"/>
    <mergeCell ref="C7349:C7363"/>
    <mergeCell ref="B7364:B7385"/>
    <mergeCell ref="C7364:C7385"/>
    <mergeCell ref="B7386:B7390"/>
    <mergeCell ref="C7386:C7390"/>
    <mergeCell ref="B7277:B7279"/>
    <mergeCell ref="C7277:C7279"/>
    <mergeCell ref="B7280:B7333"/>
    <mergeCell ref="C7280:C7333"/>
    <mergeCell ref="B7334:B7348"/>
    <mergeCell ref="C7334:C7348"/>
    <mergeCell ref="B7665:B7674"/>
    <mergeCell ref="C7665:C7674"/>
    <mergeCell ref="B7675:B7685"/>
    <mergeCell ref="C7675:C7685"/>
    <mergeCell ref="B7686:B7728"/>
    <mergeCell ref="C7686:C7728"/>
    <mergeCell ref="B7584:B7588"/>
    <mergeCell ref="C7584:C7588"/>
    <mergeCell ref="B7589:B7592"/>
    <mergeCell ref="C7589:C7592"/>
    <mergeCell ref="B7593:B7664"/>
    <mergeCell ref="C7593:C7664"/>
    <mergeCell ref="B7564:B7565"/>
    <mergeCell ref="C7564:C7565"/>
    <mergeCell ref="B7566:B7572"/>
    <mergeCell ref="C7566:C7572"/>
    <mergeCell ref="B7573:B7583"/>
    <mergeCell ref="C7573:C7583"/>
    <mergeCell ref="B7765:B7783"/>
    <mergeCell ref="C7765:C7783"/>
    <mergeCell ref="B7784:B7792"/>
    <mergeCell ref="C7784:C7792"/>
    <mergeCell ref="B7793:B7794"/>
    <mergeCell ref="C7793:C7794"/>
    <mergeCell ref="B7755:B7756"/>
    <mergeCell ref="C7755:C7756"/>
    <mergeCell ref="B7757:B7759"/>
    <mergeCell ref="C7757:C7759"/>
    <mergeCell ref="B7760:B7764"/>
    <mergeCell ref="C7760:C7764"/>
    <mergeCell ref="B7729:B7733"/>
    <mergeCell ref="C7729:C7733"/>
    <mergeCell ref="B7734:B7738"/>
    <mergeCell ref="C7734:C7738"/>
    <mergeCell ref="B7739:B7754"/>
    <mergeCell ref="C7739:C7754"/>
    <mergeCell ref="B7843:B7929"/>
    <mergeCell ref="C7843:C7929"/>
    <mergeCell ref="B7930:B7936"/>
    <mergeCell ref="C7930:C7936"/>
    <mergeCell ref="B7937:B7959"/>
    <mergeCell ref="C7937:C7959"/>
    <mergeCell ref="B7810:B7826"/>
    <mergeCell ref="C7810:C7826"/>
    <mergeCell ref="B7827:B7831"/>
    <mergeCell ref="C7827:C7831"/>
    <mergeCell ref="B7832:B7842"/>
    <mergeCell ref="C7832:C7842"/>
    <mergeCell ref="B7795:B7797"/>
    <mergeCell ref="C7795:C7797"/>
    <mergeCell ref="B7798:B7805"/>
    <mergeCell ref="C7798:C7805"/>
    <mergeCell ref="B7806:B7809"/>
    <mergeCell ref="C7806:C7809"/>
    <mergeCell ref="B8044:B8047"/>
    <mergeCell ref="C8044:C8047"/>
    <mergeCell ref="B8048:B8051"/>
    <mergeCell ref="C8048:C8051"/>
    <mergeCell ref="B8052:B8055"/>
    <mergeCell ref="C8052:C8055"/>
    <mergeCell ref="B8016:B8020"/>
    <mergeCell ref="C8016:C8020"/>
    <mergeCell ref="B8021:B8035"/>
    <mergeCell ref="C8021:C8035"/>
    <mergeCell ref="B8036:B8043"/>
    <mergeCell ref="C8036:C8043"/>
    <mergeCell ref="B7960:B7961"/>
    <mergeCell ref="C7960:C7961"/>
    <mergeCell ref="B7962:B8010"/>
    <mergeCell ref="C7962:C8010"/>
    <mergeCell ref="B8011:B8015"/>
    <mergeCell ref="C8011:C8015"/>
    <mergeCell ref="B8099:B8101"/>
    <mergeCell ref="C8099:C8101"/>
    <mergeCell ref="B8102:B8104"/>
    <mergeCell ref="C8102:C8104"/>
    <mergeCell ref="B8105:B8113"/>
    <mergeCell ref="C8105:C8113"/>
    <mergeCell ref="B8082:B8091"/>
    <mergeCell ref="C8082:C8091"/>
    <mergeCell ref="B8092:B8093"/>
    <mergeCell ref="C8092:C8093"/>
    <mergeCell ref="B8094:B8098"/>
    <mergeCell ref="C8094:C8098"/>
    <mergeCell ref="B8056:B8060"/>
    <mergeCell ref="C8056:C8060"/>
    <mergeCell ref="B8061:B8078"/>
    <mergeCell ref="C8061:C8078"/>
    <mergeCell ref="B8079:B8081"/>
    <mergeCell ref="C8079:C8081"/>
    <mergeCell ref="B8406:B8411"/>
    <mergeCell ref="C8406:C8411"/>
    <mergeCell ref="B8412:B8415"/>
    <mergeCell ref="C8412:C8415"/>
    <mergeCell ref="B8416:B8418"/>
    <mergeCell ref="C8416:C8418"/>
    <mergeCell ref="B8199:B8208"/>
    <mergeCell ref="C8199:C8208"/>
    <mergeCell ref="B8209:B8226"/>
    <mergeCell ref="C8209:C8226"/>
    <mergeCell ref="B8227:B8405"/>
    <mergeCell ref="C8227:C8405"/>
    <mergeCell ref="B8114:B8145"/>
    <mergeCell ref="C8114:C8145"/>
    <mergeCell ref="B8146:B8177"/>
    <mergeCell ref="C8146:C8177"/>
    <mergeCell ref="B8178:B8198"/>
    <mergeCell ref="C8178:C8198"/>
    <mergeCell ref="B8695:B8702"/>
    <mergeCell ref="C8695:C8702"/>
    <mergeCell ref="B8703:B8707"/>
    <mergeCell ref="C8703:C8707"/>
    <mergeCell ref="B8708:B8711"/>
    <mergeCell ref="C8708:C8711"/>
    <mergeCell ref="B8473:B8482"/>
    <mergeCell ref="C8473:C8482"/>
    <mergeCell ref="B8483:B8537"/>
    <mergeCell ref="C8483:C8537"/>
    <mergeCell ref="B8538:B8694"/>
    <mergeCell ref="C8538:C8694"/>
    <mergeCell ref="B8419:B8464"/>
    <mergeCell ref="C8419:C8464"/>
    <mergeCell ref="B8465:B8467"/>
    <mergeCell ref="C8465:C8467"/>
    <mergeCell ref="B8468:B8472"/>
    <mergeCell ref="C8468:C8472"/>
    <mergeCell ref="B8754:B8768"/>
    <mergeCell ref="C8754:C8768"/>
    <mergeCell ref="B8769:B8778"/>
    <mergeCell ref="C8769:C8778"/>
    <mergeCell ref="B8779:B8911"/>
    <mergeCell ref="C8779:C8911"/>
    <mergeCell ref="B8737:B8746"/>
    <mergeCell ref="C8737:C8746"/>
    <mergeCell ref="B8747:B8751"/>
    <mergeCell ref="C8747:C8751"/>
    <mergeCell ref="B8752:B8753"/>
    <mergeCell ref="C8752:C8753"/>
    <mergeCell ref="B8712:B8717"/>
    <mergeCell ref="C8712:C8717"/>
    <mergeCell ref="B8718:B8722"/>
    <mergeCell ref="C8718:C8722"/>
    <mergeCell ref="B8723:B8736"/>
    <mergeCell ref="C8723:C8736"/>
    <mergeCell ref="B9078:B9090"/>
    <mergeCell ref="C9078:C9090"/>
    <mergeCell ref="B9091:B9093"/>
    <mergeCell ref="C9091:C9093"/>
    <mergeCell ref="B9094:B9096"/>
    <mergeCell ref="C9094:C9096"/>
    <mergeCell ref="B8950:B8954"/>
    <mergeCell ref="C8950:C8954"/>
    <mergeCell ref="B8955:B8956"/>
    <mergeCell ref="C8955:C8956"/>
    <mergeCell ref="B8957:B9077"/>
    <mergeCell ref="C8957:C9077"/>
    <mergeCell ref="B8912:B8943"/>
    <mergeCell ref="C8912:C8943"/>
    <mergeCell ref="B8944:B8946"/>
    <mergeCell ref="C8944:C8946"/>
    <mergeCell ref="B8947:B8949"/>
    <mergeCell ref="C8947:C8949"/>
    <mergeCell ref="B9497:B9498"/>
    <mergeCell ref="C9497:C9498"/>
    <mergeCell ref="B9499:B9500"/>
    <mergeCell ref="C9499:C9500"/>
    <mergeCell ref="B9501:B9513"/>
    <mergeCell ref="C9501:C9513"/>
    <mergeCell ref="B9132:B9142"/>
    <mergeCell ref="C9132:C9142"/>
    <mergeCell ref="B9143:B9494"/>
    <mergeCell ref="C9143:C9494"/>
    <mergeCell ref="B9495:B9496"/>
    <mergeCell ref="C9495:C9496"/>
    <mergeCell ref="B9097:B9106"/>
    <mergeCell ref="C9097:C9106"/>
    <mergeCell ref="B9107:B9128"/>
    <mergeCell ref="C9107:C9128"/>
    <mergeCell ref="B9129:B9131"/>
    <mergeCell ref="C9129:C9131"/>
    <mergeCell ref="B9625:B9710"/>
    <mergeCell ref="C9625:C9710"/>
    <mergeCell ref="B9711:B9721"/>
    <mergeCell ref="C9711:C9721"/>
    <mergeCell ref="B9722:B9725"/>
    <mergeCell ref="C9722:C9725"/>
    <mergeCell ref="B9532:B9533"/>
    <mergeCell ref="C9532:C9533"/>
    <mergeCell ref="B9534:B9612"/>
    <mergeCell ref="C9534:C9612"/>
    <mergeCell ref="B9613:B9624"/>
    <mergeCell ref="C9613:C9624"/>
    <mergeCell ref="B9514:B9525"/>
    <mergeCell ref="C9514:C9525"/>
    <mergeCell ref="B9526:B9528"/>
    <mergeCell ref="C9526:C9528"/>
    <mergeCell ref="B9529:B9531"/>
    <mergeCell ref="C9529:C9531"/>
    <mergeCell ref="B9774:B9810"/>
    <mergeCell ref="C9774:C9810"/>
    <mergeCell ref="B9811:B9829"/>
    <mergeCell ref="C9811:C9829"/>
    <mergeCell ref="B9830:B9843"/>
    <mergeCell ref="C9830:C9843"/>
    <mergeCell ref="B9758:B9759"/>
    <mergeCell ref="C9758:C9759"/>
    <mergeCell ref="B9760:B9766"/>
    <mergeCell ref="C9760:C9766"/>
    <mergeCell ref="B9767:B9773"/>
    <mergeCell ref="C9767:C9773"/>
    <mergeCell ref="B9726:B9742"/>
    <mergeCell ref="C9726:C9742"/>
    <mergeCell ref="B9743:B9751"/>
    <mergeCell ref="C9743:C9751"/>
    <mergeCell ref="B9752:B9757"/>
    <mergeCell ref="C9752:C9757"/>
    <mergeCell ref="B9903:B9904"/>
    <mergeCell ref="C9903:C9904"/>
    <mergeCell ref="B9905:B9931"/>
    <mergeCell ref="C9905:C9931"/>
    <mergeCell ref="B9932:B9941"/>
    <mergeCell ref="C9932:C9941"/>
    <mergeCell ref="B9883:B9885"/>
    <mergeCell ref="C9883:C9885"/>
    <mergeCell ref="B9886:B9892"/>
    <mergeCell ref="C9886:C9892"/>
    <mergeCell ref="B9893:B9902"/>
    <mergeCell ref="C9893:C9902"/>
    <mergeCell ref="B9844:B9865"/>
    <mergeCell ref="C9844:C9865"/>
    <mergeCell ref="B9866:B9878"/>
    <mergeCell ref="C9866:C9878"/>
    <mergeCell ref="B9879:B9882"/>
    <mergeCell ref="C9879:C9882"/>
    <mergeCell ref="B9987:B9989"/>
    <mergeCell ref="C9987:C9989"/>
    <mergeCell ref="B9990:B9994"/>
    <mergeCell ref="C9990:C9994"/>
    <mergeCell ref="B9995:B9997"/>
    <mergeCell ref="C9995:C9997"/>
    <mergeCell ref="B9977:B9979"/>
    <mergeCell ref="C9977:C9979"/>
    <mergeCell ref="B9980:B9981"/>
    <mergeCell ref="C9980:C9981"/>
    <mergeCell ref="B9982:B9986"/>
    <mergeCell ref="C9982:C9986"/>
    <mergeCell ref="B9942:B9945"/>
    <mergeCell ref="C9942:C9945"/>
    <mergeCell ref="B9946:B9970"/>
    <mergeCell ref="C9946:C9970"/>
    <mergeCell ref="B9971:B9976"/>
    <mergeCell ref="C9971:C9976"/>
    <mergeCell ref="B10134:B10140"/>
    <mergeCell ref="C10134:C10140"/>
    <mergeCell ref="B10141:B10147"/>
    <mergeCell ref="C10141:C10147"/>
    <mergeCell ref="B10148:B10151"/>
    <mergeCell ref="C10148:C10151"/>
    <mergeCell ref="B10034:B10062"/>
    <mergeCell ref="C10034:C10062"/>
    <mergeCell ref="B10063:B10123"/>
    <mergeCell ref="C10063:C10123"/>
    <mergeCell ref="B10124:B10133"/>
    <mergeCell ref="C10124:C10133"/>
    <mergeCell ref="B9998:B10001"/>
    <mergeCell ref="C9998:C10001"/>
    <mergeCell ref="B10002:B10024"/>
    <mergeCell ref="C10002:C10024"/>
    <mergeCell ref="B10025:B10033"/>
    <mergeCell ref="C10025:C10033"/>
    <mergeCell ref="B10314:B10320"/>
    <mergeCell ref="C10314:C10320"/>
    <mergeCell ref="B10321:B10323"/>
    <mergeCell ref="C10321:C10323"/>
    <mergeCell ref="B10324:B10334"/>
    <mergeCell ref="C10324:C10334"/>
    <mergeCell ref="B10171:B10175"/>
    <mergeCell ref="C10171:C10175"/>
    <mergeCell ref="B10176:B10310"/>
    <mergeCell ref="C10176:C10310"/>
    <mergeCell ref="B10311:B10313"/>
    <mergeCell ref="C10311:C10313"/>
    <mergeCell ref="B10152:B10158"/>
    <mergeCell ref="C10152:C10158"/>
    <mergeCell ref="B10159:B10166"/>
    <mergeCell ref="C10159:C10166"/>
    <mergeCell ref="B10167:B10170"/>
    <mergeCell ref="C10167:C10170"/>
    <mergeCell ref="B10377:B10385"/>
    <mergeCell ref="C10377:C10385"/>
    <mergeCell ref="B10386:B10389"/>
    <mergeCell ref="C10386:C10389"/>
    <mergeCell ref="B10390:B10403"/>
    <mergeCell ref="C10390:C10403"/>
    <mergeCell ref="B10355:B10370"/>
    <mergeCell ref="C10355:C10370"/>
    <mergeCell ref="B10371:B10373"/>
    <mergeCell ref="C10371:C10373"/>
    <mergeCell ref="B10374:B10376"/>
    <mergeCell ref="C10374:C10376"/>
    <mergeCell ref="B10335:B10336"/>
    <mergeCell ref="C10335:C10336"/>
    <mergeCell ref="B10337:B10351"/>
    <mergeCell ref="C10337:C10351"/>
    <mergeCell ref="B10352:B10354"/>
    <mergeCell ref="C10352:C10354"/>
    <mergeCell ref="B10453:B10457"/>
    <mergeCell ref="C10453:C10457"/>
    <mergeCell ref="B10458:B10461"/>
    <mergeCell ref="C10458:C10461"/>
    <mergeCell ref="B10462:B10466"/>
    <mergeCell ref="C10462:C10466"/>
    <mergeCell ref="B10435:B10440"/>
    <mergeCell ref="C10435:C10440"/>
    <mergeCell ref="B10441:B10448"/>
    <mergeCell ref="C10441:C10448"/>
    <mergeCell ref="B10449:B10452"/>
    <mergeCell ref="C10449:C10452"/>
    <mergeCell ref="B10404:B10408"/>
    <mergeCell ref="C10404:C10408"/>
    <mergeCell ref="B10409:B10412"/>
    <mergeCell ref="C10409:C10412"/>
    <mergeCell ref="B10413:B10434"/>
    <mergeCell ref="C10413:C10434"/>
    <mergeCell ref="B10629:B10642"/>
    <mergeCell ref="C10629:C10642"/>
    <mergeCell ref="B10643:B10646"/>
    <mergeCell ref="C10643:C10646"/>
    <mergeCell ref="B10647:B10659"/>
    <mergeCell ref="C10647:C10659"/>
    <mergeCell ref="B10493:B10501"/>
    <mergeCell ref="C10493:C10501"/>
    <mergeCell ref="B10502:B10620"/>
    <mergeCell ref="C10502:C10620"/>
    <mergeCell ref="B10621:B10628"/>
    <mergeCell ref="C10621:C10628"/>
    <mergeCell ref="B10467:B10475"/>
    <mergeCell ref="C10467:C10475"/>
    <mergeCell ref="B10476:B10482"/>
    <mergeCell ref="C10476:C10482"/>
    <mergeCell ref="B10483:B10492"/>
    <mergeCell ref="C10483:C10492"/>
    <mergeCell ref="B10680:B10685"/>
    <mergeCell ref="C10680:C10685"/>
    <mergeCell ref="B10686:B10690"/>
    <mergeCell ref="C10686:C10690"/>
    <mergeCell ref="B10691:B10694"/>
    <mergeCell ref="C10691:C10694"/>
    <mergeCell ref="B10667:B10670"/>
    <mergeCell ref="C10667:C10670"/>
    <mergeCell ref="B10671:B10673"/>
    <mergeCell ref="C10671:C10673"/>
    <mergeCell ref="B10674:B10679"/>
    <mergeCell ref="C10674:C10679"/>
    <mergeCell ref="B10660:B10662"/>
    <mergeCell ref="C10660:C10662"/>
    <mergeCell ref="B10663:B10664"/>
    <mergeCell ref="C10663:C10664"/>
    <mergeCell ref="B10665:B10666"/>
    <mergeCell ref="C10665:C10666"/>
    <mergeCell ref="B10754:B10760"/>
    <mergeCell ref="C10754:C10760"/>
    <mergeCell ref="B10761:B10765"/>
    <mergeCell ref="C10761:C10765"/>
    <mergeCell ref="B10766:B10770"/>
    <mergeCell ref="C10766:C10770"/>
    <mergeCell ref="B10724:B10737"/>
    <mergeCell ref="C10724:C10737"/>
    <mergeCell ref="B10738:B10750"/>
    <mergeCell ref="C10738:C10750"/>
    <mergeCell ref="B10751:B10753"/>
    <mergeCell ref="C10751:C10753"/>
    <mergeCell ref="B10695:B10704"/>
    <mergeCell ref="C10695:C10704"/>
    <mergeCell ref="B10705:B10709"/>
    <mergeCell ref="C10705:C10709"/>
    <mergeCell ref="B10710:B10723"/>
    <mergeCell ref="C10710:C10723"/>
  </mergeCells>
  <phoneticPr fontId="8" type="noConversion"/>
  <pageMargins left="0.75" right="0.75" top="1" bottom="1" header="0.5" footer="0.5"/>
  <pageSetup orientation="portrait"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A1:AA55"/>
  <sheetViews>
    <sheetView zoomScale="80" zoomScaleNormal="80" workbookViewId="0">
      <pane xSplit="4" ySplit="1" topLeftCell="E2" activePane="bottomRight" state="frozen"/>
      <selection pane="topRight" activeCell="E1" sqref="E1"/>
      <selection pane="bottomLeft" activeCell="A2" sqref="A2"/>
      <selection pane="bottomRight"/>
    </sheetView>
  </sheetViews>
  <sheetFormatPr baseColWidth="10" defaultColWidth="9.140625" defaultRowHeight="12.75" x14ac:dyDescent="0.2"/>
  <cols>
    <col min="1" max="1" width="22.5703125" style="26" customWidth="1"/>
    <col min="2" max="2" width="11.85546875" style="11" customWidth="1"/>
    <col min="3" max="3" width="6.5703125" style="11" hidden="1" customWidth="1"/>
    <col min="4" max="4" width="30.7109375" style="22" customWidth="1"/>
    <col min="5" max="5" width="69.7109375" style="15" customWidth="1"/>
    <col min="6" max="6" width="22.42578125" style="15" customWidth="1"/>
    <col min="7" max="7" width="22.5703125" style="15" customWidth="1"/>
    <col min="8" max="8" width="12" style="24" customWidth="1"/>
    <col min="9" max="9" width="10" style="37" hidden="1" customWidth="1"/>
    <col min="10" max="10" width="3.28515625" style="25" hidden="1" customWidth="1"/>
    <col min="11" max="11" width="28.7109375" style="13" hidden="1" customWidth="1"/>
    <col min="12" max="13" width="30.7109375" style="13" hidden="1" customWidth="1"/>
    <col min="14" max="14" width="8.140625" style="105" hidden="1" customWidth="1"/>
    <col min="15" max="26" width="2.85546875" style="13" hidden="1" customWidth="1"/>
    <col min="27" max="16384" width="9.140625" style="13"/>
  </cols>
  <sheetData>
    <row r="1" spans="1:27" s="12" customFormat="1" ht="25.5" x14ac:dyDescent="0.2">
      <c r="A1" s="69" t="s">
        <v>156</v>
      </c>
      <c r="B1" s="93" t="s">
        <v>158</v>
      </c>
      <c r="C1" s="93" t="s">
        <v>30</v>
      </c>
      <c r="D1" s="54" t="s">
        <v>32</v>
      </c>
      <c r="E1" s="54" t="s">
        <v>33</v>
      </c>
      <c r="F1" s="54" t="s">
        <v>31</v>
      </c>
      <c r="G1" s="55" t="s">
        <v>29</v>
      </c>
      <c r="H1" s="59" t="s">
        <v>144</v>
      </c>
      <c r="I1" s="128" t="s">
        <v>145</v>
      </c>
      <c r="J1" s="70"/>
      <c r="K1" s="98" t="s">
        <v>42</v>
      </c>
      <c r="L1" s="98" t="s">
        <v>41</v>
      </c>
      <c r="M1" s="98" t="s">
        <v>136</v>
      </c>
      <c r="N1" s="104" t="s">
        <v>134</v>
      </c>
      <c r="O1" s="126"/>
      <c r="P1" s="126"/>
      <c r="Q1" s="126"/>
      <c r="R1" s="126"/>
      <c r="S1" s="126"/>
      <c r="T1" s="126"/>
      <c r="U1" s="126"/>
      <c r="V1" s="126"/>
      <c r="W1" s="126"/>
      <c r="X1" s="126"/>
      <c r="Y1" s="126"/>
      <c r="Z1" s="127"/>
      <c r="AA1" s="35"/>
    </row>
    <row r="2" spans="1:27" ht="25.5" x14ac:dyDescent="0.2">
      <c r="A2" s="175" t="str">
        <f t="shared" ref="A2:A33" si="0">HYPERLINK(J2,B2)</f>
        <v>acceleration</v>
      </c>
      <c r="B2" s="11" t="s">
        <v>209</v>
      </c>
      <c r="C2" s="173"/>
      <c r="D2" s="22" t="s">
        <v>210</v>
      </c>
      <c r="E2" s="15" t="s">
        <v>211</v>
      </c>
      <c r="F2" s="174"/>
      <c r="G2" s="174"/>
      <c r="H2" s="248" t="str">
        <f>HYPERLINK("[#]UnitsOfMeasure!A2:G2","&lt;values&gt;")</f>
        <v>&lt;values&gt;</v>
      </c>
      <c r="I2" s="37">
        <v>70001</v>
      </c>
      <c r="J2" s="25" t="str">
        <f>CONCATENATE(Cover!$D$6,"fdd/view?i=",I2)</f>
        <v>https://www.dgiwg.org/FAD/fdd/view?i=70001</v>
      </c>
      <c r="K2" s="172"/>
      <c r="L2" s="172"/>
      <c r="M2" s="172"/>
      <c r="AA2" s="34"/>
    </row>
    <row r="3" spans="1:27" ht="25.5" x14ac:dyDescent="0.2">
      <c r="A3" s="176" t="str">
        <f t="shared" si="0"/>
        <v>amountOfSubstance</v>
      </c>
      <c r="B3" s="11" t="s">
        <v>212</v>
      </c>
      <c r="C3" s="173"/>
      <c r="D3" s="22" t="s">
        <v>213</v>
      </c>
      <c r="E3" s="15" t="s">
        <v>214</v>
      </c>
      <c r="F3" s="174"/>
      <c r="G3" s="174"/>
      <c r="H3" s="248" t="str">
        <f>HYPERLINK("[#]UnitsOfMeasure!A6:G6","&lt;values&gt;")</f>
        <v>&lt;values&gt;</v>
      </c>
      <c r="I3" s="37">
        <v>70002</v>
      </c>
      <c r="J3" s="25" t="str">
        <f>CONCATENATE(Cover!$D$6,"fdd/view?i=",I3)</f>
        <v>https://www.dgiwg.org/FAD/fdd/view?i=70002</v>
      </c>
      <c r="K3" s="172"/>
      <c r="L3" s="172"/>
      <c r="M3" s="172"/>
      <c r="AA3" s="34"/>
    </row>
    <row r="4" spans="1:27" ht="25.5" x14ac:dyDescent="0.2">
      <c r="A4" s="176" t="str">
        <f t="shared" si="0"/>
        <v>area</v>
      </c>
      <c r="B4" s="11" t="s">
        <v>215</v>
      </c>
      <c r="C4" s="173"/>
      <c r="D4" s="22" t="s">
        <v>216</v>
      </c>
      <c r="E4" s="15" t="s">
        <v>217</v>
      </c>
      <c r="F4" s="174"/>
      <c r="G4" s="174"/>
      <c r="H4" s="248" t="str">
        <f>HYPERLINK("[#]UnitsOfMeasure!A7:G7","&lt;values&gt;")</f>
        <v>&lt;values&gt;</v>
      </c>
      <c r="I4" s="37">
        <v>70003</v>
      </c>
      <c r="J4" s="25" t="str">
        <f>CONCATENATE(Cover!$D$6,"fdd/view?i=",I4)</f>
        <v>https://www.dgiwg.org/FAD/fdd/view?i=70003</v>
      </c>
      <c r="K4" s="172"/>
      <c r="L4" s="172"/>
      <c r="M4" s="172"/>
      <c r="AA4" s="34"/>
    </row>
    <row r="5" spans="1:27" x14ac:dyDescent="0.2">
      <c r="A5" s="176" t="str">
        <f t="shared" si="0"/>
        <v>capacitance</v>
      </c>
      <c r="B5" s="11" t="s">
        <v>218</v>
      </c>
      <c r="C5" s="173"/>
      <c r="D5" s="22" t="s">
        <v>219</v>
      </c>
      <c r="E5" s="15" t="s">
        <v>220</v>
      </c>
      <c r="F5" s="174"/>
      <c r="G5" s="174"/>
      <c r="H5" s="248" t="str">
        <f>HYPERLINK("[#]UnitsOfMeasure!A19:G19","&lt;values&gt;")</f>
        <v>&lt;values&gt;</v>
      </c>
      <c r="I5" s="37">
        <v>70004</v>
      </c>
      <c r="J5" s="25" t="str">
        <f>CONCATENATE(Cover!$D$6,"fdd/view?i=",I5)</f>
        <v>https://www.dgiwg.org/FAD/fdd/view?i=70004</v>
      </c>
      <c r="K5" s="172"/>
      <c r="L5" s="172"/>
      <c r="M5" s="172"/>
      <c r="AA5" s="34"/>
    </row>
    <row r="6" spans="1:27" ht="25.5" x14ac:dyDescent="0.2">
      <c r="A6" s="176" t="str">
        <f t="shared" si="0"/>
        <v>electricCharge</v>
      </c>
      <c r="B6" s="11" t="s">
        <v>221</v>
      </c>
      <c r="C6" s="173"/>
      <c r="D6" s="22" t="s">
        <v>222</v>
      </c>
      <c r="E6" s="15" t="s">
        <v>223</v>
      </c>
      <c r="F6" s="174"/>
      <c r="G6" s="174"/>
      <c r="H6" s="248" t="str">
        <f>HYPERLINK("[#]UnitsOfMeasure!A23:G23","&lt;values&gt;")</f>
        <v>&lt;values&gt;</v>
      </c>
      <c r="I6" s="37">
        <v>70005</v>
      </c>
      <c r="J6" s="25" t="str">
        <f>CONCATENATE(Cover!$D$6,"fdd/view?i=",I6)</f>
        <v>https://www.dgiwg.org/FAD/fdd/view?i=70005</v>
      </c>
      <c r="K6" s="172"/>
      <c r="L6" s="172"/>
      <c r="M6" s="172"/>
      <c r="AA6" s="34"/>
    </row>
    <row r="7" spans="1:27" ht="25.5" x14ac:dyDescent="0.2">
      <c r="A7" s="176" t="str">
        <f t="shared" si="0"/>
        <v>electricConductance</v>
      </c>
      <c r="B7" s="11" t="s">
        <v>224</v>
      </c>
      <c r="C7" s="173"/>
      <c r="D7" s="22" t="s">
        <v>225</v>
      </c>
      <c r="E7" s="15" t="s">
        <v>226</v>
      </c>
      <c r="F7" s="174"/>
      <c r="G7" s="174"/>
      <c r="H7" s="248" t="str">
        <f>HYPERLINK("[#]UnitsOfMeasure!A27:G27","&lt;values&gt;")</f>
        <v>&lt;values&gt;</v>
      </c>
      <c r="I7" s="37">
        <v>70006</v>
      </c>
      <c r="J7" s="25" t="str">
        <f>CONCATENATE(Cover!$D$6,"fdd/view?i=",I7)</f>
        <v>https://www.dgiwg.org/FAD/fdd/view?i=70006</v>
      </c>
      <c r="K7" s="172"/>
      <c r="L7" s="172"/>
      <c r="M7" s="172"/>
      <c r="AA7" s="34"/>
    </row>
    <row r="8" spans="1:27" ht="25.5" x14ac:dyDescent="0.2">
      <c r="A8" s="176" t="str">
        <f t="shared" si="0"/>
        <v>electricConductivity</v>
      </c>
      <c r="B8" s="11" t="s">
        <v>227</v>
      </c>
      <c r="C8" s="173"/>
      <c r="D8" s="22" t="s">
        <v>228</v>
      </c>
      <c r="E8" s="15" t="s">
        <v>229</v>
      </c>
      <c r="F8" s="174"/>
      <c r="G8" s="174"/>
      <c r="H8" s="248" t="str">
        <f>HYPERLINK("[#]UnitsOfMeasure!A30:G30","&lt;values&gt;")</f>
        <v>&lt;values&gt;</v>
      </c>
      <c r="I8" s="37">
        <v>70378</v>
      </c>
      <c r="J8" s="25" t="str">
        <f>CONCATENATE(Cover!$D$6,"fdd/view?i=",I8)</f>
        <v>https://www.dgiwg.org/FAD/fdd/view?i=70378</v>
      </c>
      <c r="K8" s="172"/>
      <c r="L8" s="172"/>
      <c r="M8" s="172"/>
      <c r="AA8" s="34"/>
    </row>
    <row r="9" spans="1:27" ht="25.5" x14ac:dyDescent="0.2">
      <c r="A9" s="176" t="str">
        <f t="shared" si="0"/>
        <v>electricCurrent</v>
      </c>
      <c r="B9" s="11" t="s">
        <v>230</v>
      </c>
      <c r="C9" s="173"/>
      <c r="D9" s="22" t="s">
        <v>231</v>
      </c>
      <c r="E9" s="15" t="s">
        <v>232</v>
      </c>
      <c r="F9" s="174"/>
      <c r="G9" s="174"/>
      <c r="H9" s="248" t="str">
        <f>HYPERLINK("[#]UnitsOfMeasure!A38:G38","&lt;values&gt;")</f>
        <v>&lt;values&gt;</v>
      </c>
      <c r="I9" s="37">
        <v>70007</v>
      </c>
      <c r="J9" s="25" t="str">
        <f>CONCATENATE(Cover!$D$6,"fdd/view?i=",I9)</f>
        <v>https://www.dgiwg.org/FAD/fdd/view?i=70007</v>
      </c>
      <c r="K9" s="172"/>
      <c r="L9" s="172"/>
      <c r="M9" s="172"/>
      <c r="AA9" s="34"/>
    </row>
    <row r="10" spans="1:27" ht="25.5" x14ac:dyDescent="0.2">
      <c r="A10" s="176" t="str">
        <f t="shared" si="0"/>
        <v>electricResistance</v>
      </c>
      <c r="B10" s="11" t="s">
        <v>233</v>
      </c>
      <c r="C10" s="173"/>
      <c r="D10" s="22" t="s">
        <v>234</v>
      </c>
      <c r="E10" s="15" t="s">
        <v>235</v>
      </c>
      <c r="F10" s="174"/>
      <c r="G10" s="174"/>
      <c r="H10" s="248" t="str">
        <f>HYPERLINK("[#]UnitsOfMeasure!A42:G42","&lt;values&gt;")</f>
        <v>&lt;values&gt;</v>
      </c>
      <c r="I10" s="37">
        <v>70008</v>
      </c>
      <c r="J10" s="25" t="str">
        <f>CONCATENATE(Cover!$D$6,"fdd/view?i=",I10)</f>
        <v>https://www.dgiwg.org/FAD/fdd/view?i=70008</v>
      </c>
      <c r="K10" s="172"/>
      <c r="L10" s="172"/>
      <c r="M10" s="172"/>
      <c r="AA10" s="34"/>
    </row>
    <row r="11" spans="1:27" ht="25.5" x14ac:dyDescent="0.2">
      <c r="A11" s="176" t="str">
        <f t="shared" si="0"/>
        <v>electricResistivity</v>
      </c>
      <c r="B11" s="11" t="s">
        <v>236</v>
      </c>
      <c r="C11" s="173"/>
      <c r="D11" s="22" t="s">
        <v>237</v>
      </c>
      <c r="E11" s="15" t="s">
        <v>238</v>
      </c>
      <c r="F11" s="174"/>
      <c r="G11" s="174"/>
      <c r="H11" s="248" t="str">
        <f>HYPERLINK("[#]UnitsOfMeasure!A45:G45","&lt;values&gt;")</f>
        <v>&lt;values&gt;</v>
      </c>
      <c r="I11" s="37">
        <v>70379</v>
      </c>
      <c r="J11" s="25" t="str">
        <f>CONCATENATE(Cover!$D$6,"fdd/view?i=",I11)</f>
        <v>https://www.dgiwg.org/FAD/fdd/view?i=70379</v>
      </c>
      <c r="K11" s="172"/>
      <c r="L11" s="172"/>
      <c r="M11" s="172"/>
      <c r="AA11" s="34"/>
    </row>
    <row r="12" spans="1:27" ht="25.5" x14ac:dyDescent="0.2">
      <c r="A12" s="176" t="str">
        <f t="shared" si="0"/>
        <v>electromotiveForce</v>
      </c>
      <c r="B12" s="11" t="s">
        <v>239</v>
      </c>
      <c r="C12" s="173"/>
      <c r="D12" s="22" t="s">
        <v>240</v>
      </c>
      <c r="E12" s="15" t="s">
        <v>241</v>
      </c>
      <c r="F12" s="174"/>
      <c r="G12" s="174"/>
      <c r="H12" s="248" t="str">
        <f>HYPERLINK("[#]UnitsOfMeasure!A49:G49","&lt;values&gt;")</f>
        <v>&lt;values&gt;</v>
      </c>
      <c r="I12" s="37">
        <v>70009</v>
      </c>
      <c r="J12" s="25" t="str">
        <f>CONCATENATE(Cover!$D$6,"fdd/view?i=",I12)</f>
        <v>https://www.dgiwg.org/FAD/fdd/view?i=70009</v>
      </c>
      <c r="K12" s="172"/>
      <c r="L12" s="172"/>
      <c r="M12" s="172"/>
      <c r="AA12" s="34"/>
    </row>
    <row r="13" spans="1:27" ht="25.5" x14ac:dyDescent="0.2">
      <c r="A13" s="176" t="str">
        <f t="shared" si="0"/>
        <v>energy</v>
      </c>
      <c r="B13" s="11" t="s">
        <v>242</v>
      </c>
      <c r="C13" s="173"/>
      <c r="D13" s="22" t="s">
        <v>243</v>
      </c>
      <c r="E13" s="15" t="s">
        <v>244</v>
      </c>
      <c r="F13" s="174"/>
      <c r="G13" s="15" t="s">
        <v>245</v>
      </c>
      <c r="H13" s="248" t="str">
        <f>HYPERLINK("[#]UnitsOfMeasure!A53:G53","&lt;values&gt;")</f>
        <v>&lt;values&gt;</v>
      </c>
      <c r="I13" s="37">
        <v>70010</v>
      </c>
      <c r="J13" s="25" t="str">
        <f>CONCATENATE(Cover!$D$6,"fdd/view?i=",I13)</f>
        <v>https://www.dgiwg.org/FAD/fdd/view?i=70010</v>
      </c>
      <c r="K13" s="172"/>
      <c r="L13" s="172"/>
      <c r="M13" s="172"/>
      <c r="AA13" s="34"/>
    </row>
    <row r="14" spans="1:27" ht="25.5" x14ac:dyDescent="0.2">
      <c r="A14" s="176" t="str">
        <f t="shared" si="0"/>
        <v>force</v>
      </c>
      <c r="B14" s="11" t="s">
        <v>246</v>
      </c>
      <c r="C14" s="173"/>
      <c r="D14" s="22" t="s">
        <v>247</v>
      </c>
      <c r="E14" s="15" t="s">
        <v>248</v>
      </c>
      <c r="F14" s="174"/>
      <c r="G14" s="174"/>
      <c r="H14" s="248" t="str">
        <f>HYPERLINK("[#]UnitsOfMeasure!A63:G63","&lt;values&gt;")</f>
        <v>&lt;values&gt;</v>
      </c>
      <c r="I14" s="37">
        <v>70011</v>
      </c>
      <c r="J14" s="25" t="str">
        <f>CONCATENATE(Cover!$D$6,"fdd/view?i=",I14)</f>
        <v>https://www.dgiwg.org/FAD/fdd/view?i=70011</v>
      </c>
      <c r="K14" s="172"/>
      <c r="L14" s="172"/>
      <c r="M14" s="172"/>
      <c r="AA14" s="34"/>
    </row>
    <row r="15" spans="1:27" x14ac:dyDescent="0.2">
      <c r="A15" s="176" t="str">
        <f t="shared" si="0"/>
        <v>frequency</v>
      </c>
      <c r="B15" s="11" t="s">
        <v>249</v>
      </c>
      <c r="C15" s="173"/>
      <c r="D15" s="22" t="s">
        <v>250</v>
      </c>
      <c r="E15" s="15" t="s">
        <v>251</v>
      </c>
      <c r="F15" s="174"/>
      <c r="G15" s="174"/>
      <c r="H15" s="248" t="str">
        <f>HYPERLINK("[#]UnitsOfMeasure!A68:G68","&lt;values&gt;")</f>
        <v>&lt;values&gt;</v>
      </c>
      <c r="I15" s="37">
        <v>70012</v>
      </c>
      <c r="J15" s="25" t="str">
        <f>CONCATENATE(Cover!$D$6,"fdd/view?i=",I15)</f>
        <v>https://www.dgiwg.org/FAD/fdd/view?i=70012</v>
      </c>
      <c r="K15" s="172"/>
      <c r="L15" s="172"/>
      <c r="M15" s="172"/>
      <c r="AA15" s="34"/>
    </row>
    <row r="16" spans="1:27" ht="38.25" x14ac:dyDescent="0.2">
      <c r="A16" s="176" t="str">
        <f t="shared" si="0"/>
        <v>geopotentialEnergyLength</v>
      </c>
      <c r="B16" s="11" t="s">
        <v>252</v>
      </c>
      <c r="C16" s="173"/>
      <c r="D16" s="22" t="s">
        <v>253</v>
      </c>
      <c r="E16" s="15" t="s">
        <v>254</v>
      </c>
      <c r="F16" s="174"/>
      <c r="G16" s="174"/>
      <c r="H16" s="248" t="str">
        <f>HYPERLINK("[#]UnitsOfMeasure!A72:G72","&lt;values&gt;")</f>
        <v>&lt;values&gt;</v>
      </c>
      <c r="I16" s="37">
        <v>70013</v>
      </c>
      <c r="J16" s="25" t="str">
        <f>CONCATENATE(Cover!$D$6,"fdd/view?i=",I16)</f>
        <v>https://www.dgiwg.org/FAD/fdd/view?i=70013</v>
      </c>
      <c r="K16" s="172"/>
      <c r="L16" s="172"/>
      <c r="M16" s="172"/>
      <c r="AA16" s="34"/>
    </row>
    <row r="17" spans="1:27" x14ac:dyDescent="0.2">
      <c r="A17" s="176" t="str">
        <f t="shared" si="0"/>
        <v>illuminance</v>
      </c>
      <c r="B17" s="11" t="s">
        <v>255</v>
      </c>
      <c r="C17" s="173"/>
      <c r="D17" s="22" t="s">
        <v>256</v>
      </c>
      <c r="E17" s="15" t="s">
        <v>257</v>
      </c>
      <c r="F17" s="174"/>
      <c r="G17" s="15" t="s">
        <v>258</v>
      </c>
      <c r="H17" s="248" t="str">
        <f>HYPERLINK("[#]UnitsOfMeasure!A73:G73","&lt;values&gt;")</f>
        <v>&lt;values&gt;</v>
      </c>
      <c r="I17" s="37">
        <v>70014</v>
      </c>
      <c r="J17" s="25" t="str">
        <f>CONCATENATE(Cover!$D$6,"fdd/view?i=",I17)</f>
        <v>https://www.dgiwg.org/FAD/fdd/view?i=70014</v>
      </c>
      <c r="K17" s="172"/>
      <c r="L17" s="172"/>
      <c r="M17" s="172"/>
      <c r="AA17" s="34"/>
    </row>
    <row r="18" spans="1:27" ht="25.5" x14ac:dyDescent="0.2">
      <c r="A18" s="176" t="str">
        <f t="shared" si="0"/>
        <v>inductance</v>
      </c>
      <c r="B18" s="11" t="s">
        <v>259</v>
      </c>
      <c r="C18" s="173"/>
      <c r="D18" s="22" t="s">
        <v>260</v>
      </c>
      <c r="E18" s="15" t="s">
        <v>261</v>
      </c>
      <c r="F18" s="174"/>
      <c r="G18" s="174"/>
      <c r="H18" s="248" t="str">
        <f>HYPERLINK("[#]UnitsOfMeasure!A76:G76","&lt;values&gt;")</f>
        <v>&lt;values&gt;</v>
      </c>
      <c r="I18" s="37">
        <v>70015</v>
      </c>
      <c r="J18" s="25" t="str">
        <f>CONCATENATE(Cover!$D$6,"fdd/view?i=",I18)</f>
        <v>https://www.dgiwg.org/FAD/fdd/view?i=70015</v>
      </c>
      <c r="K18" s="172"/>
      <c r="L18" s="172"/>
      <c r="M18" s="172"/>
      <c r="AA18" s="34"/>
    </row>
    <row r="19" spans="1:27" ht="25.5" x14ac:dyDescent="0.2">
      <c r="A19" s="176" t="str">
        <f t="shared" si="0"/>
        <v>irradiance</v>
      </c>
      <c r="B19" s="11" t="s">
        <v>262</v>
      </c>
      <c r="C19" s="173"/>
      <c r="D19" s="22" t="s">
        <v>263</v>
      </c>
      <c r="E19" s="15" t="s">
        <v>264</v>
      </c>
      <c r="F19" s="174"/>
      <c r="G19" s="15" t="s">
        <v>265</v>
      </c>
      <c r="H19" s="248" t="str">
        <f>HYPERLINK("[#]UnitsOfMeasure!A78:G78","&lt;values&gt;")</f>
        <v>&lt;values&gt;</v>
      </c>
      <c r="I19" s="37">
        <v>70016</v>
      </c>
      <c r="J19" s="25" t="str">
        <f>CONCATENATE(Cover!$D$6,"fdd/view?i=",I19)</f>
        <v>https://www.dgiwg.org/FAD/fdd/view?i=70016</v>
      </c>
      <c r="K19" s="172"/>
      <c r="L19" s="172"/>
      <c r="M19" s="172"/>
      <c r="AA19" s="34"/>
    </row>
    <row r="20" spans="1:27" x14ac:dyDescent="0.2">
      <c r="A20" s="176" t="str">
        <f t="shared" si="0"/>
        <v>length</v>
      </c>
      <c r="B20" s="11" t="s">
        <v>266</v>
      </c>
      <c r="C20" s="173"/>
      <c r="D20" s="22" t="s">
        <v>34</v>
      </c>
      <c r="E20" s="15" t="s">
        <v>267</v>
      </c>
      <c r="F20" s="174"/>
      <c r="G20" s="174"/>
      <c r="H20" s="248" t="str">
        <f>HYPERLINK("[#]UnitsOfMeasure!A80:G80","&lt;values&gt;")</f>
        <v>&lt;values&gt;</v>
      </c>
      <c r="I20" s="37">
        <v>70017</v>
      </c>
      <c r="J20" s="25" t="str">
        <f>CONCATENATE(Cover!$D$6,"fdd/view?i=",I20)</f>
        <v>https://www.dgiwg.org/FAD/fdd/view?i=70017</v>
      </c>
      <c r="K20" s="172"/>
      <c r="L20" s="172"/>
      <c r="M20" s="172"/>
      <c r="AA20" s="34"/>
    </row>
    <row r="21" spans="1:27" x14ac:dyDescent="0.2">
      <c r="A21" s="176" t="str">
        <f t="shared" si="0"/>
        <v>linearDensity</v>
      </c>
      <c r="B21" s="11" t="s">
        <v>268</v>
      </c>
      <c r="C21" s="173"/>
      <c r="D21" s="22" t="s">
        <v>269</v>
      </c>
      <c r="E21" s="15" t="s">
        <v>270</v>
      </c>
      <c r="F21" s="174"/>
      <c r="G21" s="174"/>
      <c r="H21" s="248" t="str">
        <f>HYPERLINK("[#]UnitsOfMeasure!A111:G111","&lt;values&gt;")</f>
        <v>&lt;values&gt;</v>
      </c>
      <c r="I21" s="37">
        <v>70049</v>
      </c>
      <c r="J21" s="25" t="str">
        <f>CONCATENATE(Cover!$D$6,"fdd/view?i=",I21)</f>
        <v>https://www.dgiwg.org/FAD/fdd/view?i=70049</v>
      </c>
      <c r="K21" s="172"/>
      <c r="L21" s="172"/>
      <c r="M21" s="172"/>
      <c r="AA21" s="34"/>
    </row>
    <row r="22" spans="1:27" ht="25.5" x14ac:dyDescent="0.2">
      <c r="A22" s="176" t="str">
        <f t="shared" si="0"/>
        <v>linearEnergyTransfer</v>
      </c>
      <c r="B22" s="11" t="s">
        <v>271</v>
      </c>
      <c r="C22" s="173"/>
      <c r="D22" s="22" t="s">
        <v>272</v>
      </c>
      <c r="E22" s="15" t="s">
        <v>273</v>
      </c>
      <c r="F22" s="174"/>
      <c r="G22" s="174"/>
      <c r="H22" s="248" t="str">
        <f>HYPERLINK("[#]UnitsOfMeasure!A113:G113","&lt;values&gt;")</f>
        <v>&lt;values&gt;</v>
      </c>
      <c r="I22" s="37">
        <v>70018</v>
      </c>
      <c r="J22" s="25" t="str">
        <f>CONCATENATE(Cover!$D$6,"fdd/view?i=",I22)</f>
        <v>https://www.dgiwg.org/FAD/fdd/view?i=70018</v>
      </c>
      <c r="K22" s="172"/>
      <c r="L22" s="172"/>
      <c r="M22" s="172"/>
      <c r="AA22" s="34"/>
    </row>
    <row r="23" spans="1:27" ht="25.5" x14ac:dyDescent="0.2">
      <c r="A23" s="176" t="str">
        <f t="shared" si="0"/>
        <v>luminousFlux</v>
      </c>
      <c r="B23" s="11" t="s">
        <v>274</v>
      </c>
      <c r="C23" s="173"/>
      <c r="D23" s="22" t="s">
        <v>275</v>
      </c>
      <c r="E23" s="15" t="s">
        <v>276</v>
      </c>
      <c r="F23" s="174"/>
      <c r="G23" s="174"/>
      <c r="H23" s="248" t="str">
        <f>HYPERLINK("[#]UnitsOfMeasure!A115:G115","&lt;values&gt;")</f>
        <v>&lt;values&gt;</v>
      </c>
      <c r="I23" s="37">
        <v>70019</v>
      </c>
      <c r="J23" s="25" t="str">
        <f>CONCATENATE(Cover!$D$6,"fdd/view?i=",I23)</f>
        <v>https://www.dgiwg.org/FAD/fdd/view?i=70019</v>
      </c>
      <c r="K23" s="172"/>
      <c r="L23" s="172"/>
      <c r="M23" s="172"/>
      <c r="AA23" s="34"/>
    </row>
    <row r="24" spans="1:27" ht="25.5" x14ac:dyDescent="0.2">
      <c r="A24" s="176" t="str">
        <f t="shared" si="0"/>
        <v>luminousIntensity</v>
      </c>
      <c r="B24" s="11" t="s">
        <v>277</v>
      </c>
      <c r="C24" s="173"/>
      <c r="D24" s="22" t="s">
        <v>278</v>
      </c>
      <c r="E24" s="15" t="s">
        <v>279</v>
      </c>
      <c r="F24" s="174"/>
      <c r="G24" s="174"/>
      <c r="H24" s="248" t="str">
        <f>HYPERLINK("[#]UnitsOfMeasure!A116:G116","&lt;values&gt;")</f>
        <v>&lt;values&gt;</v>
      </c>
      <c r="I24" s="37">
        <v>70020</v>
      </c>
      <c r="J24" s="25" t="str">
        <f>CONCATENATE(Cover!$D$6,"fdd/view?i=",I24)</f>
        <v>https://www.dgiwg.org/FAD/fdd/view?i=70020</v>
      </c>
      <c r="K24" s="172"/>
      <c r="L24" s="172"/>
      <c r="M24" s="172"/>
      <c r="AA24" s="34"/>
    </row>
    <row r="25" spans="1:27" ht="25.5" x14ac:dyDescent="0.2">
      <c r="A25" s="176" t="str">
        <f t="shared" si="0"/>
        <v>magneticFlux</v>
      </c>
      <c r="B25" s="11" t="s">
        <v>280</v>
      </c>
      <c r="C25" s="173"/>
      <c r="D25" s="22" t="s">
        <v>281</v>
      </c>
      <c r="E25" s="15" t="s">
        <v>282</v>
      </c>
      <c r="F25" s="174"/>
      <c r="G25" s="174"/>
      <c r="H25" s="248" t="str">
        <f>HYPERLINK("[#]UnitsOfMeasure!A117:G117","&lt;values&gt;")</f>
        <v>&lt;values&gt;</v>
      </c>
      <c r="I25" s="37">
        <v>70021</v>
      </c>
      <c r="J25" s="25" t="str">
        <f>CONCATENATE(Cover!$D$6,"fdd/view?i=",I25)</f>
        <v>https://www.dgiwg.org/FAD/fdd/view?i=70021</v>
      </c>
      <c r="K25" s="172"/>
      <c r="L25" s="172"/>
      <c r="M25" s="172"/>
      <c r="AA25" s="34"/>
    </row>
    <row r="26" spans="1:27" ht="25.5" x14ac:dyDescent="0.2">
      <c r="A26" s="176" t="str">
        <f t="shared" si="0"/>
        <v>magneticFluxDensity</v>
      </c>
      <c r="B26" s="11" t="s">
        <v>283</v>
      </c>
      <c r="C26" s="173"/>
      <c r="D26" s="22" t="s">
        <v>284</v>
      </c>
      <c r="E26" s="15" t="s">
        <v>285</v>
      </c>
      <c r="F26" s="174"/>
      <c r="G26" s="174"/>
      <c r="H26" s="248" t="str">
        <f>HYPERLINK("[#]UnitsOfMeasure!A121:G121","&lt;values&gt;")</f>
        <v>&lt;values&gt;</v>
      </c>
      <c r="I26" s="37">
        <v>70022</v>
      </c>
      <c r="J26" s="25" t="str">
        <f>CONCATENATE(Cover!$D$6,"fdd/view?i=",I26)</f>
        <v>https://www.dgiwg.org/FAD/fdd/view?i=70022</v>
      </c>
      <c r="K26" s="172"/>
      <c r="L26" s="172"/>
      <c r="M26" s="172"/>
      <c r="AA26" s="34"/>
    </row>
    <row r="27" spans="1:27" ht="38.25" x14ac:dyDescent="0.2">
      <c r="A27" s="176" t="str">
        <f t="shared" si="0"/>
        <v>magneticFluxDensityGradient</v>
      </c>
      <c r="B27" s="11" t="s">
        <v>286</v>
      </c>
      <c r="C27" s="173"/>
      <c r="D27" s="22" t="s">
        <v>287</v>
      </c>
      <c r="E27" s="15" t="s">
        <v>288</v>
      </c>
      <c r="F27" s="174"/>
      <c r="G27" s="174"/>
      <c r="H27" s="248" t="str">
        <f>HYPERLINK("[#]UnitsOfMeasure!A124:G124","&lt;values&gt;")</f>
        <v>&lt;values&gt;</v>
      </c>
      <c r="I27" s="37">
        <v>70023</v>
      </c>
      <c r="J27" s="25" t="str">
        <f>CONCATENATE(Cover!$D$6,"fdd/view?i=",I27)</f>
        <v>https://www.dgiwg.org/FAD/fdd/view?i=70023</v>
      </c>
      <c r="K27" s="172"/>
      <c r="L27" s="172"/>
      <c r="M27" s="172"/>
      <c r="AA27" s="34"/>
    </row>
    <row r="28" spans="1:27" ht="25.5" x14ac:dyDescent="0.2">
      <c r="A28" s="176" t="str">
        <f t="shared" si="0"/>
        <v>mass</v>
      </c>
      <c r="B28" s="11" t="s">
        <v>289</v>
      </c>
      <c r="C28" s="173"/>
      <c r="D28" s="22" t="s">
        <v>290</v>
      </c>
      <c r="E28" s="15" t="s">
        <v>291</v>
      </c>
      <c r="F28" s="174"/>
      <c r="G28" s="174"/>
      <c r="H28" s="248" t="str">
        <f>HYPERLINK("[#]UnitsOfMeasure!A126:G126","&lt;values&gt;")</f>
        <v>&lt;values&gt;</v>
      </c>
      <c r="I28" s="37">
        <v>70024</v>
      </c>
      <c r="J28" s="25" t="str">
        <f>CONCATENATE(Cover!$D$6,"fdd/view?i=",I28)</f>
        <v>https://www.dgiwg.org/FAD/fdd/view?i=70024</v>
      </c>
      <c r="K28" s="172"/>
      <c r="L28" s="172"/>
      <c r="M28" s="172"/>
      <c r="AA28" s="34"/>
    </row>
    <row r="29" spans="1:27" ht="25.5" x14ac:dyDescent="0.2">
      <c r="A29" s="176" t="str">
        <f t="shared" si="0"/>
        <v>massDensity</v>
      </c>
      <c r="B29" s="11" t="s">
        <v>292</v>
      </c>
      <c r="C29" s="173"/>
      <c r="D29" s="22" t="s">
        <v>293</v>
      </c>
      <c r="E29" s="15" t="s">
        <v>294</v>
      </c>
      <c r="F29" s="174"/>
      <c r="G29" s="15" t="s">
        <v>295</v>
      </c>
      <c r="H29" s="248" t="str">
        <f>HYPERLINK("[#]UnitsOfMeasure!A137:G137","&lt;values&gt;")</f>
        <v>&lt;values&gt;</v>
      </c>
      <c r="I29" s="37">
        <v>70025</v>
      </c>
      <c r="J29" s="25" t="str">
        <f>CONCATENATE(Cover!$D$6,"fdd/view?i=",I29)</f>
        <v>https://www.dgiwg.org/FAD/fdd/view?i=70025</v>
      </c>
      <c r="K29" s="172"/>
      <c r="L29" s="172"/>
      <c r="M29" s="172"/>
      <c r="AA29" s="34"/>
    </row>
    <row r="30" spans="1:27" ht="25.5" x14ac:dyDescent="0.2">
      <c r="A30" s="176" t="str">
        <f t="shared" si="0"/>
        <v>massFraction</v>
      </c>
      <c r="B30" s="11" t="s">
        <v>296</v>
      </c>
      <c r="C30" s="173"/>
      <c r="D30" s="22" t="s">
        <v>297</v>
      </c>
      <c r="E30" s="15" t="s">
        <v>298</v>
      </c>
      <c r="F30" s="174"/>
      <c r="G30" s="174"/>
      <c r="H30" s="248" t="str">
        <f>HYPERLINK("[#]UnitsOfMeasure!A144:G144","&lt;values&gt;")</f>
        <v>&lt;values&gt;</v>
      </c>
      <c r="I30" s="37">
        <v>70026</v>
      </c>
      <c r="J30" s="25" t="str">
        <f>CONCATENATE(Cover!$D$6,"fdd/view?i=",I30)</f>
        <v>https://www.dgiwg.org/FAD/fdd/view?i=70026</v>
      </c>
      <c r="K30" s="172"/>
      <c r="L30" s="172"/>
      <c r="M30" s="172"/>
      <c r="AA30" s="34"/>
    </row>
    <row r="31" spans="1:27" ht="25.5" x14ac:dyDescent="0.2">
      <c r="A31" s="176" t="str">
        <f t="shared" si="0"/>
        <v>massRate</v>
      </c>
      <c r="B31" s="11" t="s">
        <v>299</v>
      </c>
      <c r="C31" s="173"/>
      <c r="D31" s="22" t="s">
        <v>300</v>
      </c>
      <c r="E31" s="15" t="s">
        <v>301</v>
      </c>
      <c r="F31" s="174"/>
      <c r="G31" s="174"/>
      <c r="H31" s="248" t="str">
        <f>HYPERLINK("[#]UnitsOfMeasure!A147:G147","&lt;values&gt;")</f>
        <v>&lt;values&gt;</v>
      </c>
      <c r="I31" s="37">
        <v>70047</v>
      </c>
      <c r="J31" s="25" t="str">
        <f>CONCATENATE(Cover!$D$6,"fdd/view?i=",I31)</f>
        <v>https://www.dgiwg.org/FAD/fdd/view?i=70047</v>
      </c>
      <c r="K31" s="172"/>
      <c r="L31" s="172"/>
      <c r="M31" s="172"/>
      <c r="AA31" s="34"/>
    </row>
    <row r="32" spans="1:27" ht="25.5" x14ac:dyDescent="0.2">
      <c r="A32" s="176" t="str">
        <f t="shared" si="0"/>
        <v>monetaryUnit</v>
      </c>
      <c r="B32" s="11" t="s">
        <v>302</v>
      </c>
      <c r="C32" s="173"/>
      <c r="D32" s="22" t="s">
        <v>303</v>
      </c>
      <c r="E32" s="15" t="s">
        <v>304</v>
      </c>
      <c r="F32" s="174"/>
      <c r="G32" s="174"/>
      <c r="H32" s="248" t="str">
        <f>HYPERLINK("[#]UnitsOfMeasure!A151:G151","&lt;values&gt;")</f>
        <v>&lt;values&gt;</v>
      </c>
      <c r="I32" s="37">
        <v>70050</v>
      </c>
      <c r="J32" s="25" t="str">
        <f>CONCATENATE(Cover!$D$6,"fdd/view?i=",I32)</f>
        <v>https://www.dgiwg.org/FAD/fdd/view?i=70050</v>
      </c>
      <c r="K32" s="172"/>
      <c r="L32" s="172"/>
      <c r="M32" s="172"/>
      <c r="AA32" s="34"/>
    </row>
    <row r="33" spans="1:27" ht="25.5" x14ac:dyDescent="0.2">
      <c r="A33" s="176" t="str">
        <f t="shared" si="0"/>
        <v>noncomparable</v>
      </c>
      <c r="B33" s="11" t="s">
        <v>305</v>
      </c>
      <c r="C33" s="173"/>
      <c r="D33" s="22" t="s">
        <v>306</v>
      </c>
      <c r="E33" s="15" t="s">
        <v>307</v>
      </c>
      <c r="F33" s="174"/>
      <c r="G33" s="174"/>
      <c r="H33" s="248" t="str">
        <f>HYPERLINK("[#]UnitsOfMeasure!A154:G154","&lt;values&gt;")</f>
        <v>&lt;values&gt;</v>
      </c>
      <c r="I33" s="37">
        <v>70027</v>
      </c>
      <c r="J33" s="25" t="str">
        <f>CONCATENATE(Cover!$D$6,"fdd/view?i=",I33)</f>
        <v>https://www.dgiwg.org/FAD/fdd/view?i=70027</v>
      </c>
      <c r="K33" s="172"/>
      <c r="L33" s="172"/>
      <c r="M33" s="172"/>
      <c r="AA33" s="34"/>
    </row>
    <row r="34" spans="1:27" ht="25.5" x14ac:dyDescent="0.2">
      <c r="A34" s="176" t="str">
        <f t="shared" ref="A34:A65" si="1">HYPERLINK(J34,B34)</f>
        <v>planeAngle</v>
      </c>
      <c r="B34" s="11" t="s">
        <v>308</v>
      </c>
      <c r="C34" s="173"/>
      <c r="D34" s="22" t="s">
        <v>309</v>
      </c>
      <c r="E34" s="15" t="s">
        <v>310</v>
      </c>
      <c r="F34" s="174"/>
      <c r="G34" s="174"/>
      <c r="H34" s="248" t="str">
        <f>HYPERLINK("[#]UnitsOfMeasure!A156:G156","&lt;values&gt;")</f>
        <v>&lt;values&gt;</v>
      </c>
      <c r="I34" s="37">
        <v>70028</v>
      </c>
      <c r="J34" s="25" t="str">
        <f>CONCATENATE(Cover!$D$6,"fdd/view?i=",I34)</f>
        <v>https://www.dgiwg.org/FAD/fdd/view?i=70028</v>
      </c>
      <c r="K34" s="172"/>
      <c r="L34" s="172"/>
      <c r="M34" s="172"/>
      <c r="AA34" s="34"/>
    </row>
    <row r="35" spans="1:27" x14ac:dyDescent="0.2">
      <c r="A35" s="176" t="str">
        <f t="shared" si="1"/>
        <v>power</v>
      </c>
      <c r="B35" s="11" t="s">
        <v>311</v>
      </c>
      <c r="C35" s="173"/>
      <c r="D35" s="22" t="s">
        <v>312</v>
      </c>
      <c r="E35" s="15" t="s">
        <v>313</v>
      </c>
      <c r="F35" s="174"/>
      <c r="G35" s="174"/>
      <c r="H35" s="248" t="str">
        <f>HYPERLINK("[#]UnitsOfMeasure!A180:G180","&lt;values&gt;")</f>
        <v>&lt;values&gt;</v>
      </c>
      <c r="I35" s="37">
        <v>70029</v>
      </c>
      <c r="J35" s="25" t="str">
        <f>CONCATENATE(Cover!$D$6,"fdd/view?i=",I35)</f>
        <v>https://www.dgiwg.org/FAD/fdd/view?i=70029</v>
      </c>
      <c r="K35" s="172"/>
      <c r="L35" s="172"/>
      <c r="M35" s="172"/>
      <c r="AA35" s="34"/>
    </row>
    <row r="36" spans="1:27" ht="25.5" x14ac:dyDescent="0.2">
      <c r="A36" s="176" t="str">
        <f t="shared" si="1"/>
        <v>powerLevelDifference</v>
      </c>
      <c r="B36" s="11" t="s">
        <v>314</v>
      </c>
      <c r="C36" s="173"/>
      <c r="D36" s="22" t="s">
        <v>315</v>
      </c>
      <c r="E36" s="15" t="s">
        <v>316</v>
      </c>
      <c r="F36" s="174"/>
      <c r="G36" s="174"/>
      <c r="H36" s="248" t="str">
        <f>HYPERLINK("[#]UnitsOfMeasure!A194:G194","&lt;values&gt;")</f>
        <v>&lt;values&gt;</v>
      </c>
      <c r="I36" s="37">
        <v>70030</v>
      </c>
      <c r="J36" s="25" t="str">
        <f>CONCATENATE(Cover!$D$6,"fdd/view?i=",I36)</f>
        <v>https://www.dgiwg.org/FAD/fdd/view?i=70030</v>
      </c>
      <c r="K36" s="172"/>
      <c r="L36" s="172"/>
      <c r="M36" s="172"/>
      <c r="AA36" s="34"/>
    </row>
    <row r="37" spans="1:27" ht="25.5" x14ac:dyDescent="0.2">
      <c r="A37" s="176" t="str">
        <f t="shared" si="1"/>
        <v>powerLevelDiffLenGradient</v>
      </c>
      <c r="B37" s="11" t="s">
        <v>317</v>
      </c>
      <c r="C37" s="173"/>
      <c r="D37" s="22" t="s">
        <v>318</v>
      </c>
      <c r="E37" s="15" t="s">
        <v>319</v>
      </c>
      <c r="F37" s="174"/>
      <c r="G37" s="174"/>
      <c r="H37" s="248" t="str">
        <f>HYPERLINK("[#]UnitsOfMeasure!A197:G197","&lt;values&gt;")</f>
        <v>&lt;values&gt;</v>
      </c>
      <c r="I37" s="37">
        <v>70031</v>
      </c>
      <c r="J37" s="25" t="str">
        <f>CONCATENATE(Cover!$D$6,"fdd/view?i=",I37)</f>
        <v>https://www.dgiwg.org/FAD/fdd/view?i=70031</v>
      </c>
      <c r="K37" s="172"/>
      <c r="L37" s="172"/>
      <c r="M37" s="172"/>
      <c r="AA37" s="34"/>
    </row>
    <row r="38" spans="1:27" x14ac:dyDescent="0.2">
      <c r="A38" s="176" t="str">
        <f t="shared" si="1"/>
        <v>pressure</v>
      </c>
      <c r="B38" s="11" t="s">
        <v>320</v>
      </c>
      <c r="C38" s="173"/>
      <c r="D38" s="22" t="s">
        <v>321</v>
      </c>
      <c r="E38" s="15" t="s">
        <v>322</v>
      </c>
      <c r="F38" s="174"/>
      <c r="G38" s="174"/>
      <c r="H38" s="248" t="str">
        <f>HYPERLINK("[#]UnitsOfMeasure!A200:G200","&lt;values&gt;")</f>
        <v>&lt;values&gt;</v>
      </c>
      <c r="I38" s="37">
        <v>70032</v>
      </c>
      <c r="J38" s="25" t="str">
        <f>CONCATENATE(Cover!$D$6,"fdd/view?i=",I38)</f>
        <v>https://www.dgiwg.org/FAD/fdd/view?i=70032</v>
      </c>
      <c r="K38" s="172"/>
      <c r="L38" s="172"/>
      <c r="M38" s="172"/>
      <c r="AA38" s="34"/>
    </row>
    <row r="39" spans="1:27" x14ac:dyDescent="0.2">
      <c r="A39" s="176" t="str">
        <f t="shared" si="1"/>
        <v>pureNumber</v>
      </c>
      <c r="B39" s="11" t="s">
        <v>323</v>
      </c>
      <c r="C39" s="173"/>
      <c r="D39" s="22" t="s">
        <v>324</v>
      </c>
      <c r="E39" s="15" t="s">
        <v>325</v>
      </c>
      <c r="F39" s="174"/>
      <c r="G39" s="174"/>
      <c r="H39" s="248" t="str">
        <f>HYPERLINK("[#]UnitsOfMeasure!A213:G213","&lt;values&gt;")</f>
        <v>&lt;values&gt;</v>
      </c>
      <c r="I39" s="37">
        <v>70033</v>
      </c>
      <c r="J39" s="25" t="str">
        <f>CONCATENATE(Cover!$D$6,"fdd/view?i=",I39)</f>
        <v>https://www.dgiwg.org/FAD/fdd/view?i=70033</v>
      </c>
      <c r="K39" s="172"/>
      <c r="L39" s="172"/>
      <c r="M39" s="172"/>
      <c r="AA39" s="34"/>
    </row>
    <row r="40" spans="1:27" ht="25.5" x14ac:dyDescent="0.2">
      <c r="A40" s="176" t="str">
        <f t="shared" si="1"/>
        <v>radiationAbsorbedDose</v>
      </c>
      <c r="B40" s="11" t="s">
        <v>326</v>
      </c>
      <c r="C40" s="173"/>
      <c r="D40" s="22" t="s">
        <v>327</v>
      </c>
      <c r="E40" s="15" t="s">
        <v>328</v>
      </c>
      <c r="F40" s="174"/>
      <c r="G40" s="174"/>
      <c r="H40" s="248" t="str">
        <f>HYPERLINK("[#]UnitsOfMeasure!A220:G220","&lt;values&gt;")</f>
        <v>&lt;values&gt;</v>
      </c>
      <c r="I40" s="37">
        <v>70034</v>
      </c>
      <c r="J40" s="25" t="str">
        <f>CONCATENATE(Cover!$D$6,"fdd/view?i=",I40)</f>
        <v>https://www.dgiwg.org/FAD/fdd/view?i=70034</v>
      </c>
      <c r="K40" s="172"/>
      <c r="L40" s="172"/>
      <c r="M40" s="172"/>
      <c r="AA40" s="34"/>
    </row>
    <row r="41" spans="1:27" ht="25.5" x14ac:dyDescent="0.2">
      <c r="A41" s="176" t="str">
        <f t="shared" si="1"/>
        <v>radiationDoseEquivalent</v>
      </c>
      <c r="B41" s="11" t="s">
        <v>329</v>
      </c>
      <c r="C41" s="173"/>
      <c r="D41" s="22" t="s">
        <v>330</v>
      </c>
      <c r="E41" s="15" t="s">
        <v>331</v>
      </c>
      <c r="F41" s="174"/>
      <c r="G41" s="174"/>
      <c r="H41" s="248" t="str">
        <f>HYPERLINK("[#]UnitsOfMeasure!A222:G222","&lt;values&gt;")</f>
        <v>&lt;values&gt;</v>
      </c>
      <c r="I41" s="37">
        <v>70035</v>
      </c>
      <c r="J41" s="25" t="str">
        <f>CONCATENATE(Cover!$D$6,"fdd/view?i=",I41)</f>
        <v>https://www.dgiwg.org/FAD/fdd/view?i=70035</v>
      </c>
      <c r="K41" s="172"/>
      <c r="L41" s="172"/>
      <c r="M41" s="172"/>
      <c r="AA41" s="34"/>
    </row>
    <row r="42" spans="1:27" ht="25.5" x14ac:dyDescent="0.2">
      <c r="A42" s="176" t="str">
        <f t="shared" si="1"/>
        <v>radionuclideActivity</v>
      </c>
      <c r="B42" s="11" t="s">
        <v>332</v>
      </c>
      <c r="C42" s="173"/>
      <c r="D42" s="22" t="s">
        <v>333</v>
      </c>
      <c r="E42" s="15" t="s">
        <v>334</v>
      </c>
      <c r="F42" s="174"/>
      <c r="G42" s="174"/>
      <c r="H42" s="248" t="str">
        <f>HYPERLINK("[#]UnitsOfMeasure!A224:G224","&lt;values&gt;")</f>
        <v>&lt;values&gt;</v>
      </c>
      <c r="I42" s="37">
        <v>70036</v>
      </c>
      <c r="J42" s="25" t="str">
        <f>CONCATENATE(Cover!$D$6,"fdd/view?i=",I42)</f>
        <v>https://www.dgiwg.org/FAD/fdd/view?i=70036</v>
      </c>
      <c r="K42" s="172"/>
      <c r="L42" s="172"/>
      <c r="M42" s="172"/>
      <c r="AA42" s="34"/>
    </row>
    <row r="43" spans="1:27" x14ac:dyDescent="0.2">
      <c r="A43" s="176" t="str">
        <f t="shared" si="1"/>
        <v>rate</v>
      </c>
      <c r="B43" s="11" t="s">
        <v>335</v>
      </c>
      <c r="C43" s="173"/>
      <c r="D43" s="22" t="s">
        <v>336</v>
      </c>
      <c r="E43" s="15" t="s">
        <v>337</v>
      </c>
      <c r="F43" s="174"/>
      <c r="G43" s="174"/>
      <c r="H43" s="248" t="str">
        <f>HYPERLINK("[#]UnitsOfMeasure!A228:G228","&lt;values&gt;")</f>
        <v>&lt;values&gt;</v>
      </c>
      <c r="I43" s="37">
        <v>70048</v>
      </c>
      <c r="J43" s="25" t="str">
        <f>CONCATENATE(Cover!$D$6,"fdd/view?i=",I43)</f>
        <v>https://www.dgiwg.org/FAD/fdd/view?i=70048</v>
      </c>
      <c r="K43" s="172"/>
      <c r="L43" s="172"/>
      <c r="M43" s="172"/>
      <c r="AA43" s="34"/>
    </row>
    <row r="44" spans="1:27" ht="25.5" x14ac:dyDescent="0.2">
      <c r="A44" s="176" t="str">
        <f t="shared" si="1"/>
        <v>reciprocalArea</v>
      </c>
      <c r="B44" s="11" t="s">
        <v>338</v>
      </c>
      <c r="C44" s="173"/>
      <c r="D44" s="22" t="s">
        <v>339</v>
      </c>
      <c r="E44" s="15" t="s">
        <v>340</v>
      </c>
      <c r="F44" s="174"/>
      <c r="G44" s="15" t="s">
        <v>341</v>
      </c>
      <c r="H44" s="248" t="str">
        <f>HYPERLINK("[#]UnitsOfMeasure!A235:G235","&lt;values&gt;")</f>
        <v>&lt;values&gt;</v>
      </c>
      <c r="I44" s="37">
        <v>70037</v>
      </c>
      <c r="J44" s="25" t="str">
        <f>CONCATENATE(Cover!$D$6,"fdd/view?i=",I44)</f>
        <v>https://www.dgiwg.org/FAD/fdd/view?i=70037</v>
      </c>
      <c r="K44" s="172"/>
      <c r="L44" s="172"/>
      <c r="M44" s="172"/>
      <c r="AA44" s="34"/>
    </row>
    <row r="45" spans="1:27" ht="25.5" x14ac:dyDescent="0.2">
      <c r="A45" s="176" t="str">
        <f t="shared" si="1"/>
        <v>reciprocalTime</v>
      </c>
      <c r="B45" s="11" t="s">
        <v>342</v>
      </c>
      <c r="C45" s="173"/>
      <c r="D45" s="22" t="s">
        <v>343</v>
      </c>
      <c r="E45" s="15" t="s">
        <v>344</v>
      </c>
      <c r="F45" s="174"/>
      <c r="G45" s="174"/>
      <c r="H45" s="248" t="str">
        <f>HYPERLINK("[#]UnitsOfMeasure!A238:G238","&lt;values&gt;")</f>
        <v>&lt;values&gt;</v>
      </c>
      <c r="I45" s="37">
        <v>70046</v>
      </c>
      <c r="J45" s="25" t="str">
        <f>CONCATENATE(Cover!$D$6,"fdd/view?i=",I45)</f>
        <v>https://www.dgiwg.org/FAD/fdd/view?i=70046</v>
      </c>
      <c r="K45" s="172"/>
      <c r="L45" s="172"/>
      <c r="M45" s="172"/>
      <c r="AA45" s="34"/>
    </row>
    <row r="46" spans="1:27" ht="25.5" x14ac:dyDescent="0.2">
      <c r="A46" s="176" t="str">
        <f t="shared" si="1"/>
        <v>solidAngle</v>
      </c>
      <c r="B46" s="11" t="s">
        <v>345</v>
      </c>
      <c r="C46" s="173"/>
      <c r="D46" s="22" t="s">
        <v>346</v>
      </c>
      <c r="E46" s="15" t="s">
        <v>347</v>
      </c>
      <c r="F46" s="174"/>
      <c r="G46" s="174"/>
      <c r="H46" s="248" t="str">
        <f>HYPERLINK("[#]UnitsOfMeasure!A243:G243","&lt;values&gt;")</f>
        <v>&lt;values&gt;</v>
      </c>
      <c r="I46" s="37">
        <v>70038</v>
      </c>
      <c r="J46" s="25" t="str">
        <f>CONCATENATE(Cover!$D$6,"fdd/view?i=",I46)</f>
        <v>https://www.dgiwg.org/FAD/fdd/view?i=70038</v>
      </c>
      <c r="K46" s="172"/>
      <c r="L46" s="172"/>
      <c r="M46" s="172"/>
      <c r="AA46" s="34"/>
    </row>
    <row r="47" spans="1:27" ht="25.5" x14ac:dyDescent="0.2">
      <c r="A47" s="176" t="str">
        <f t="shared" si="1"/>
        <v>soundSpeedRatio</v>
      </c>
      <c r="B47" s="11" t="s">
        <v>348</v>
      </c>
      <c r="C47" s="173"/>
      <c r="D47" s="22" t="s">
        <v>349</v>
      </c>
      <c r="E47" s="15" t="s">
        <v>350</v>
      </c>
      <c r="F47" s="174"/>
      <c r="G47" s="174"/>
      <c r="H47" s="248" t="str">
        <f>HYPERLINK("[#]UnitsOfMeasure!A244:G244","&lt;values&gt;")</f>
        <v>&lt;values&gt;</v>
      </c>
      <c r="I47" s="37">
        <v>70377</v>
      </c>
      <c r="J47" s="25" t="str">
        <f>CONCATENATE(Cover!$D$6,"fdd/view?i=",I47)</f>
        <v>https://www.dgiwg.org/FAD/fdd/view?i=70377</v>
      </c>
      <c r="K47" s="172"/>
      <c r="L47" s="172"/>
      <c r="M47" s="172"/>
      <c r="AA47" s="34"/>
    </row>
    <row r="48" spans="1:27" x14ac:dyDescent="0.2">
      <c r="A48" s="176" t="str">
        <f t="shared" si="1"/>
        <v>speed</v>
      </c>
      <c r="B48" s="11" t="s">
        <v>351</v>
      </c>
      <c r="C48" s="173"/>
      <c r="D48" s="22" t="s">
        <v>352</v>
      </c>
      <c r="E48" s="15" t="s">
        <v>353</v>
      </c>
      <c r="F48" s="174"/>
      <c r="G48" s="174"/>
      <c r="H48" s="248" t="str">
        <f>HYPERLINK("[#]UnitsOfMeasure!A246:G246","&lt;values&gt;")</f>
        <v>&lt;values&gt;</v>
      </c>
      <c r="I48" s="37">
        <v>70039</v>
      </c>
      <c r="J48" s="25" t="str">
        <f>CONCATENATE(Cover!$D$6,"fdd/view?i=",I48)</f>
        <v>https://www.dgiwg.org/FAD/fdd/view?i=70039</v>
      </c>
      <c r="K48" s="172"/>
      <c r="L48" s="172"/>
      <c r="M48" s="172"/>
      <c r="AA48" s="34"/>
    </row>
    <row r="49" spans="1:27" ht="25.5" x14ac:dyDescent="0.2">
      <c r="A49" s="176" t="str">
        <f t="shared" si="1"/>
        <v>surfaceMassDensityRate</v>
      </c>
      <c r="B49" s="11" t="s">
        <v>354</v>
      </c>
      <c r="C49" s="173"/>
      <c r="D49" s="22" t="s">
        <v>355</v>
      </c>
      <c r="E49" s="15" t="s">
        <v>356</v>
      </c>
      <c r="F49" s="174"/>
      <c r="G49" s="174"/>
      <c r="H49" s="248" t="str">
        <f>HYPERLINK("[#]UnitsOfMeasure!A259:G259","&lt;values&gt;")</f>
        <v>&lt;values&gt;</v>
      </c>
      <c r="I49" s="37">
        <v>70040</v>
      </c>
      <c r="J49" s="25" t="str">
        <f>CONCATENATE(Cover!$D$6,"fdd/view?i=",I49)</f>
        <v>https://www.dgiwg.org/FAD/fdd/view?i=70040</v>
      </c>
      <c r="K49" s="172"/>
      <c r="L49" s="172"/>
      <c r="M49" s="172"/>
      <c r="AA49" s="34"/>
    </row>
    <row r="50" spans="1:27" ht="38.25" x14ac:dyDescent="0.2">
      <c r="A50" s="176" t="str">
        <f t="shared" si="1"/>
        <v>thermodynamicTemperature</v>
      </c>
      <c r="B50" s="11" t="s">
        <v>357</v>
      </c>
      <c r="C50" s="173"/>
      <c r="D50" s="22" t="s">
        <v>358</v>
      </c>
      <c r="E50" s="15" t="s">
        <v>359</v>
      </c>
      <c r="F50" s="174"/>
      <c r="G50" s="174"/>
      <c r="H50" s="248" t="str">
        <f>HYPERLINK("[#]UnitsOfMeasure!A261:G261","&lt;values&gt;")</f>
        <v>&lt;values&gt;</v>
      </c>
      <c r="I50" s="37">
        <v>70041</v>
      </c>
      <c r="J50" s="25" t="str">
        <f>CONCATENATE(Cover!$D$6,"fdd/view?i=",I50)</f>
        <v>https://www.dgiwg.org/FAD/fdd/view?i=70041</v>
      </c>
      <c r="K50" s="172"/>
      <c r="L50" s="172"/>
      <c r="M50" s="172"/>
      <c r="AA50" s="34"/>
    </row>
    <row r="51" spans="1:27" x14ac:dyDescent="0.2">
      <c r="A51" s="176" t="str">
        <f t="shared" si="1"/>
        <v>time</v>
      </c>
      <c r="B51" s="11" t="s">
        <v>360</v>
      </c>
      <c r="C51" s="173"/>
      <c r="D51" s="22" t="s">
        <v>361</v>
      </c>
      <c r="E51" s="15" t="s">
        <v>362</v>
      </c>
      <c r="F51" s="174"/>
      <c r="G51" s="174"/>
      <c r="H51" s="248" t="str">
        <f>HYPERLINK("[#]UnitsOfMeasure!A264:G264","&lt;values&gt;")</f>
        <v>&lt;values&gt;</v>
      </c>
      <c r="I51" s="37">
        <v>70042</v>
      </c>
      <c r="J51" s="25" t="str">
        <f>CONCATENATE(Cover!$D$6,"fdd/view?i=",I51)</f>
        <v>https://www.dgiwg.org/FAD/fdd/view?i=70042</v>
      </c>
      <c r="K51" s="172"/>
      <c r="L51" s="172"/>
      <c r="M51" s="172"/>
      <c r="AA51" s="34"/>
    </row>
    <row r="52" spans="1:27" ht="25.5" x14ac:dyDescent="0.2">
      <c r="A52" s="176" t="str">
        <f t="shared" si="1"/>
        <v>volume</v>
      </c>
      <c r="B52" s="11" t="s">
        <v>363</v>
      </c>
      <c r="C52" s="173"/>
      <c r="D52" s="22" t="s">
        <v>364</v>
      </c>
      <c r="E52" s="15" t="s">
        <v>365</v>
      </c>
      <c r="F52" s="174"/>
      <c r="G52" s="174"/>
      <c r="H52" s="248" t="str">
        <f>HYPERLINK("[#]UnitsOfMeasure!A272:G272","&lt;values&gt;")</f>
        <v>&lt;values&gt;</v>
      </c>
      <c r="I52" s="37">
        <v>70043</v>
      </c>
      <c r="J52" s="25" t="str">
        <f>CONCATENATE(Cover!$D$6,"fdd/view?i=",I52)</f>
        <v>https://www.dgiwg.org/FAD/fdd/view?i=70043</v>
      </c>
      <c r="K52" s="172"/>
      <c r="L52" s="172"/>
      <c r="M52" s="172"/>
      <c r="AA52" s="34"/>
    </row>
    <row r="53" spans="1:27" ht="25.5" x14ac:dyDescent="0.2">
      <c r="A53" s="176" t="str">
        <f t="shared" si="1"/>
        <v>volumeFlowRate</v>
      </c>
      <c r="B53" s="11" t="s">
        <v>366</v>
      </c>
      <c r="C53" s="173"/>
      <c r="D53" s="22" t="s">
        <v>367</v>
      </c>
      <c r="E53" s="15" t="s">
        <v>368</v>
      </c>
      <c r="F53" s="174"/>
      <c r="G53" s="174"/>
      <c r="H53" s="248" t="str">
        <f>HYPERLINK("[#]UnitsOfMeasure!A288:G288","&lt;values&gt;")</f>
        <v>&lt;values&gt;</v>
      </c>
      <c r="I53" s="37">
        <v>70044</v>
      </c>
      <c r="J53" s="25" t="str">
        <f>CONCATENATE(Cover!$D$6,"fdd/view?i=",I53)</f>
        <v>https://www.dgiwg.org/FAD/fdd/view?i=70044</v>
      </c>
      <c r="K53" s="172"/>
      <c r="L53" s="172"/>
      <c r="M53" s="172"/>
      <c r="AA53" s="34"/>
    </row>
    <row r="54" spans="1:27" ht="25.5" x14ac:dyDescent="0.2">
      <c r="A54" s="177" t="str">
        <f t="shared" si="1"/>
        <v>volumeFraction</v>
      </c>
      <c r="B54" s="178" t="s">
        <v>369</v>
      </c>
      <c r="C54" s="179"/>
      <c r="D54" s="180" t="s">
        <v>370</v>
      </c>
      <c r="E54" s="181" t="s">
        <v>371</v>
      </c>
      <c r="F54" s="182"/>
      <c r="G54" s="182"/>
      <c r="H54" s="249" t="str">
        <f>HYPERLINK("[#]UnitsOfMeasure!A297:G297","&lt;values&gt;")</f>
        <v>&lt;values&gt;</v>
      </c>
      <c r="I54" s="183">
        <v>70045</v>
      </c>
      <c r="J54" s="184" t="str">
        <f>CONCATENATE(Cover!$D$6,"fdd/view?i=",I54)</f>
        <v>https://www.dgiwg.org/FAD/fdd/view?i=70045</v>
      </c>
      <c r="K54" s="182"/>
      <c r="L54" s="182"/>
      <c r="M54" s="182"/>
      <c r="N54" s="185"/>
      <c r="AA54" s="34"/>
    </row>
    <row r="55" spans="1:27" x14ac:dyDescent="0.2">
      <c r="A55" s="68"/>
    </row>
  </sheetData>
  <pageMargins left="0.53" right="0.39" top="0.56000000000000005" bottom="0.56000000000000005" header="0.43" footer="0.4"/>
  <pageSetup scale="65" orientation="landscape" r:id="rId1"/>
  <headerFooter alignWithMargins="0">
    <oddHeader>&amp;A</oddHead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A1:Q297"/>
  <sheetViews>
    <sheetView zoomScale="80" workbookViewId="0">
      <pane xSplit="5" ySplit="1" topLeftCell="F2" activePane="bottomRight" state="frozen"/>
      <selection pane="topRight" activeCell="F1" sqref="F1"/>
      <selection pane="bottomLeft" activeCell="A2" sqref="A2"/>
      <selection pane="bottomRight" activeCell="E1" sqref="E1"/>
    </sheetView>
  </sheetViews>
  <sheetFormatPr baseColWidth="10" defaultColWidth="9.140625" defaultRowHeight="12.75" x14ac:dyDescent="0.2"/>
  <cols>
    <col min="1" max="1" width="20.7109375" style="26" customWidth="1"/>
    <col min="2" max="2" width="14.7109375" style="23" customWidth="1"/>
    <col min="3" max="3" width="28.28515625" style="22" customWidth="1"/>
    <col min="4" max="4" width="28.7109375" style="11" customWidth="1"/>
    <col min="5" max="5" width="6.42578125" style="11" customWidth="1"/>
    <col min="6" max="6" width="21.7109375" style="5" customWidth="1"/>
    <col min="7" max="7" width="57.42578125" style="122" customWidth="1"/>
    <col min="8" max="8" width="45.28515625" style="122" customWidth="1"/>
    <col min="9" max="9" width="15.42578125" style="122" customWidth="1"/>
    <col min="10" max="10" width="10.140625" style="39" hidden="1" customWidth="1"/>
    <col min="11" max="12" width="3.140625" style="36" hidden="1" customWidth="1"/>
    <col min="13" max="13" width="18" style="122" hidden="1" customWidth="1"/>
    <col min="14" max="14" width="45.85546875" style="122" hidden="1" customWidth="1"/>
    <col min="15" max="15" width="30.7109375" style="13" customWidth="1"/>
    <col min="16" max="16" width="8.140625" style="105" hidden="1" customWidth="1"/>
    <col min="17" max="16384" width="9.140625" style="122"/>
  </cols>
  <sheetData>
    <row r="1" spans="1:17" s="52" customFormat="1" ht="25.5" x14ac:dyDescent="0.2">
      <c r="A1" s="69" t="s">
        <v>165</v>
      </c>
      <c r="B1" s="157" t="s">
        <v>1784</v>
      </c>
      <c r="C1" s="158" t="s">
        <v>168</v>
      </c>
      <c r="D1" s="93" t="s">
        <v>158</v>
      </c>
      <c r="E1" s="93" t="s">
        <v>1785</v>
      </c>
      <c r="F1" s="55" t="s">
        <v>32</v>
      </c>
      <c r="G1" s="55" t="s">
        <v>33</v>
      </c>
      <c r="H1" s="55" t="s">
        <v>31</v>
      </c>
      <c r="I1" s="100" t="s">
        <v>29</v>
      </c>
      <c r="J1" s="101" t="s">
        <v>46</v>
      </c>
      <c r="K1" s="106"/>
      <c r="L1" s="106"/>
      <c r="M1" s="114" t="s">
        <v>42</v>
      </c>
      <c r="N1" s="114" t="s">
        <v>41</v>
      </c>
      <c r="O1" s="98" t="s">
        <v>136</v>
      </c>
      <c r="P1" s="104" t="s">
        <v>134</v>
      </c>
    </row>
    <row r="2" spans="1:17" ht="25.5" x14ac:dyDescent="0.2">
      <c r="A2" s="190" t="str">
        <f t="shared" ref="A2:A65" si="0">HYPERLINK(K2,L2)</f>
        <v>acceleration_metrePerSecondSquare</v>
      </c>
      <c r="B2" s="414" t="str">
        <f>HYPERLINK("[#]PhysicalQuantities!A2:N2","acceleration")</f>
        <v>acceleration</v>
      </c>
      <c r="C2" s="415" t="s">
        <v>210</v>
      </c>
      <c r="D2" s="191" t="s">
        <v>373</v>
      </c>
      <c r="E2" s="191">
        <v>1</v>
      </c>
      <c r="F2" s="192" t="s">
        <v>374</v>
      </c>
      <c r="G2" s="191" t="s">
        <v>375</v>
      </c>
      <c r="H2" s="193"/>
      <c r="I2" s="193"/>
      <c r="J2" s="191">
        <v>70100</v>
      </c>
      <c r="K2" s="194" t="str">
        <f>CONCATENATE(Cover!$D$6,"fdd/view?i=",J2)</f>
        <v>https://www.dgiwg.org/FAD/fdd/view?i=70100</v>
      </c>
      <c r="L2" s="194" t="s">
        <v>376</v>
      </c>
      <c r="M2" s="193"/>
      <c r="N2" s="193"/>
      <c r="O2" s="195" t="s">
        <v>372</v>
      </c>
      <c r="P2" s="196"/>
      <c r="Q2" s="188"/>
    </row>
    <row r="3" spans="1:17" ht="25.5" x14ac:dyDescent="0.2">
      <c r="A3" s="197" t="str">
        <f t="shared" si="0"/>
        <v>acceleration_gal</v>
      </c>
      <c r="B3" s="409"/>
      <c r="C3" s="416"/>
      <c r="D3" s="198" t="s">
        <v>378</v>
      </c>
      <c r="E3" s="198">
        <v>2</v>
      </c>
      <c r="F3" s="199" t="s">
        <v>379</v>
      </c>
      <c r="G3" s="1" t="s">
        <v>380</v>
      </c>
      <c r="H3" s="200"/>
      <c r="I3" s="200"/>
      <c r="J3" s="201">
        <v>70101</v>
      </c>
      <c r="K3" s="25" t="str">
        <f>CONCATENATE(Cover!$D$6,"fdd/view?i=",J3)</f>
        <v>https://www.dgiwg.org/FAD/fdd/view?i=70101</v>
      </c>
      <c r="L3" s="25" t="s">
        <v>381</v>
      </c>
      <c r="M3" s="200"/>
      <c r="N3" s="200"/>
      <c r="O3" s="13" t="s">
        <v>377</v>
      </c>
      <c r="P3" s="202"/>
      <c r="Q3" s="188"/>
    </row>
    <row r="4" spans="1:17" ht="25.5" x14ac:dyDescent="0.2">
      <c r="A4" s="197" t="str">
        <f t="shared" si="0"/>
        <v>acceleration_milligal</v>
      </c>
      <c r="B4" s="409"/>
      <c r="C4" s="416"/>
      <c r="D4" s="198" t="s">
        <v>383</v>
      </c>
      <c r="E4" s="198">
        <v>3</v>
      </c>
      <c r="F4" s="199" t="s">
        <v>384</v>
      </c>
      <c r="G4" s="1" t="s">
        <v>385</v>
      </c>
      <c r="H4" s="200"/>
      <c r="I4" s="200"/>
      <c r="J4" s="201">
        <v>70102</v>
      </c>
      <c r="K4" s="25" t="str">
        <f>CONCATENATE(Cover!$D$6,"fdd/view?i=",J4)</f>
        <v>https://www.dgiwg.org/FAD/fdd/view?i=70102</v>
      </c>
      <c r="L4" s="25" t="s">
        <v>386</v>
      </c>
      <c r="M4" s="200"/>
      <c r="N4" s="200"/>
      <c r="O4" s="13" t="s">
        <v>382</v>
      </c>
      <c r="P4" s="202"/>
      <c r="Q4" s="188"/>
    </row>
    <row r="5" spans="1:17" ht="25.5" x14ac:dyDescent="0.2">
      <c r="A5" s="203" t="str">
        <f t="shared" si="0"/>
        <v>acceleration_footPerSecondSquare</v>
      </c>
      <c r="B5" s="410"/>
      <c r="C5" s="417"/>
      <c r="D5" s="204" t="s">
        <v>388</v>
      </c>
      <c r="E5" s="204">
        <v>4</v>
      </c>
      <c r="F5" s="205" t="s">
        <v>389</v>
      </c>
      <c r="G5" s="206" t="s">
        <v>390</v>
      </c>
      <c r="H5" s="207"/>
      <c r="I5" s="207"/>
      <c r="J5" s="208">
        <v>70103</v>
      </c>
      <c r="K5" s="209" t="str">
        <f>CONCATENATE(Cover!$D$6,"fdd/view?i=",J5)</f>
        <v>https://www.dgiwg.org/FAD/fdd/view?i=70103</v>
      </c>
      <c r="L5" s="209" t="s">
        <v>391</v>
      </c>
      <c r="M5" s="207"/>
      <c r="N5" s="207"/>
      <c r="O5" s="210" t="s">
        <v>387</v>
      </c>
      <c r="P5" s="211"/>
      <c r="Q5" s="188"/>
    </row>
    <row r="6" spans="1:17" ht="51" x14ac:dyDescent="0.2">
      <c r="A6" s="212" t="str">
        <f t="shared" si="0"/>
        <v>amountOfSubstance_mole</v>
      </c>
      <c r="B6" s="213" t="str">
        <f>HYPERLINK("[#]PhysicalQuantities!A3:N3","amountOfSubstance")</f>
        <v>amountOfSubstance</v>
      </c>
      <c r="C6" s="214" t="s">
        <v>213</v>
      </c>
      <c r="D6" s="215" t="s">
        <v>393</v>
      </c>
      <c r="E6" s="215">
        <v>1</v>
      </c>
      <c r="F6" s="216" t="s">
        <v>394</v>
      </c>
      <c r="G6" s="215" t="s">
        <v>395</v>
      </c>
      <c r="H6" s="215" t="s">
        <v>396</v>
      </c>
      <c r="I6" s="217"/>
      <c r="J6" s="215">
        <v>70104</v>
      </c>
      <c r="K6" s="218" t="str">
        <f>CONCATENATE(Cover!$D$6,"fdd/view?i=",J6)</f>
        <v>https://www.dgiwg.org/FAD/fdd/view?i=70104</v>
      </c>
      <c r="L6" s="218" t="s">
        <v>397</v>
      </c>
      <c r="M6" s="217"/>
      <c r="N6" s="217"/>
      <c r="O6" s="219" t="s">
        <v>392</v>
      </c>
      <c r="P6" s="220"/>
      <c r="Q6" s="188"/>
    </row>
    <row r="7" spans="1:17" ht="25.5" x14ac:dyDescent="0.2">
      <c r="A7" s="190" t="str">
        <f t="shared" si="0"/>
        <v>area_squareMetre</v>
      </c>
      <c r="B7" s="414" t="str">
        <f>HYPERLINK("[#]PhysicalQuantities!A4:N4","area")</f>
        <v>area</v>
      </c>
      <c r="C7" s="415" t="s">
        <v>216</v>
      </c>
      <c r="D7" s="191" t="s">
        <v>399</v>
      </c>
      <c r="E7" s="191">
        <v>1</v>
      </c>
      <c r="F7" s="192" t="s">
        <v>400</v>
      </c>
      <c r="G7" s="191" t="s">
        <v>401</v>
      </c>
      <c r="H7" s="193"/>
      <c r="I7" s="193"/>
      <c r="J7" s="191">
        <v>70105</v>
      </c>
      <c r="K7" s="194" t="str">
        <f>CONCATENATE(Cover!$D$6,"fdd/view?i=",J7)</f>
        <v>https://www.dgiwg.org/FAD/fdd/view?i=70105</v>
      </c>
      <c r="L7" s="194" t="s">
        <v>402</v>
      </c>
      <c r="M7" s="193"/>
      <c r="N7" s="193"/>
      <c r="O7" s="195" t="s">
        <v>398</v>
      </c>
      <c r="P7" s="196"/>
      <c r="Q7" s="188"/>
    </row>
    <row r="8" spans="1:17" ht="25.5" x14ac:dyDescent="0.2">
      <c r="A8" s="197" t="str">
        <f t="shared" si="0"/>
        <v>area_squareKilometre</v>
      </c>
      <c r="B8" s="409"/>
      <c r="C8" s="416"/>
      <c r="D8" s="198" t="s">
        <v>404</v>
      </c>
      <c r="E8" s="198">
        <v>2</v>
      </c>
      <c r="F8" s="199" t="s">
        <v>405</v>
      </c>
      <c r="G8" s="1" t="s">
        <v>406</v>
      </c>
      <c r="H8" s="200"/>
      <c r="I8" s="200"/>
      <c r="J8" s="201">
        <v>70106</v>
      </c>
      <c r="K8" s="25" t="str">
        <f>CONCATENATE(Cover!$D$6,"fdd/view?i=",J8)</f>
        <v>https://www.dgiwg.org/FAD/fdd/view?i=70106</v>
      </c>
      <c r="L8" s="25" t="s">
        <v>407</v>
      </c>
      <c r="M8" s="200"/>
      <c r="N8" s="200"/>
      <c r="O8" s="13" t="s">
        <v>403</v>
      </c>
      <c r="P8" s="202"/>
      <c r="Q8" s="188"/>
    </row>
    <row r="9" spans="1:17" ht="38.25" x14ac:dyDescent="0.2">
      <c r="A9" s="197" t="str">
        <f t="shared" si="0"/>
        <v>area_hectare</v>
      </c>
      <c r="B9" s="409"/>
      <c r="C9" s="416"/>
      <c r="D9" s="198" t="s">
        <v>409</v>
      </c>
      <c r="E9" s="198">
        <v>3</v>
      </c>
      <c r="F9" s="199" t="s">
        <v>410</v>
      </c>
      <c r="G9" s="1" t="s">
        <v>411</v>
      </c>
      <c r="H9" s="200"/>
      <c r="I9" s="200"/>
      <c r="J9" s="201">
        <v>70107</v>
      </c>
      <c r="K9" s="25" t="str">
        <f>CONCATENATE(Cover!$D$6,"fdd/view?i=",J9)</f>
        <v>https://www.dgiwg.org/FAD/fdd/view?i=70107</v>
      </c>
      <c r="L9" s="25" t="s">
        <v>412</v>
      </c>
      <c r="M9" s="200"/>
      <c r="N9" s="200"/>
      <c r="O9" s="13" t="s">
        <v>408</v>
      </c>
      <c r="P9" s="202"/>
      <c r="Q9" s="188"/>
    </row>
    <row r="10" spans="1:17" ht="25.5" x14ac:dyDescent="0.2">
      <c r="A10" s="197" t="str">
        <f t="shared" si="0"/>
        <v>area_squareDecametre</v>
      </c>
      <c r="B10" s="409"/>
      <c r="C10" s="416"/>
      <c r="D10" s="198" t="s">
        <v>413</v>
      </c>
      <c r="E10" s="198">
        <v>4</v>
      </c>
      <c r="F10" s="199" t="s">
        <v>414</v>
      </c>
      <c r="G10" s="1" t="s">
        <v>415</v>
      </c>
      <c r="H10" s="200"/>
      <c r="I10" s="200"/>
      <c r="J10" s="201">
        <v>70108</v>
      </c>
      <c r="K10" s="25" t="str">
        <f>CONCATENATE(Cover!$D$6,"fdd/view?i=",J10)</f>
        <v>https://www.dgiwg.org/FAD/fdd/view?i=70108</v>
      </c>
      <c r="L10" s="25" t="s">
        <v>416</v>
      </c>
      <c r="M10" s="200"/>
      <c r="N10" s="200"/>
      <c r="O10" s="172"/>
      <c r="P10" s="202"/>
      <c r="Q10" s="188"/>
    </row>
    <row r="11" spans="1:17" ht="38.25" x14ac:dyDescent="0.2">
      <c r="A11" s="197" t="str">
        <f t="shared" si="0"/>
        <v>area_squareDecimetre</v>
      </c>
      <c r="B11" s="409"/>
      <c r="C11" s="416"/>
      <c r="D11" s="198" t="s">
        <v>418</v>
      </c>
      <c r="E11" s="198">
        <v>5</v>
      </c>
      <c r="F11" s="199" t="s">
        <v>419</v>
      </c>
      <c r="G11" s="1" t="s">
        <v>420</v>
      </c>
      <c r="H11" s="200"/>
      <c r="I11" s="200"/>
      <c r="J11" s="201">
        <v>70109</v>
      </c>
      <c r="K11" s="25" t="str">
        <f>CONCATENATE(Cover!$D$6,"fdd/view?i=",J11)</f>
        <v>https://www.dgiwg.org/FAD/fdd/view?i=70109</v>
      </c>
      <c r="L11" s="25" t="s">
        <v>421</v>
      </c>
      <c r="M11" s="200"/>
      <c r="N11" s="200"/>
      <c r="O11" s="13" t="s">
        <v>417</v>
      </c>
      <c r="P11" s="202"/>
      <c r="Q11" s="188"/>
    </row>
    <row r="12" spans="1:17" ht="38.25" x14ac:dyDescent="0.2">
      <c r="A12" s="197" t="str">
        <f t="shared" si="0"/>
        <v>area_squareCentimetre</v>
      </c>
      <c r="B12" s="409"/>
      <c r="C12" s="416"/>
      <c r="D12" s="198" t="s">
        <v>423</v>
      </c>
      <c r="E12" s="198">
        <v>6</v>
      </c>
      <c r="F12" s="199" t="s">
        <v>424</v>
      </c>
      <c r="G12" s="1" t="s">
        <v>425</v>
      </c>
      <c r="H12" s="200"/>
      <c r="I12" s="200"/>
      <c r="J12" s="201">
        <v>70110</v>
      </c>
      <c r="K12" s="25" t="str">
        <f>CONCATENATE(Cover!$D$6,"fdd/view?i=",J12)</f>
        <v>https://www.dgiwg.org/FAD/fdd/view?i=70110</v>
      </c>
      <c r="L12" s="25" t="s">
        <v>426</v>
      </c>
      <c r="M12" s="200"/>
      <c r="N12" s="200"/>
      <c r="O12" s="13" t="s">
        <v>422</v>
      </c>
      <c r="P12" s="202"/>
      <c r="Q12" s="188"/>
    </row>
    <row r="13" spans="1:17" ht="38.25" x14ac:dyDescent="0.2">
      <c r="A13" s="197" t="str">
        <f t="shared" si="0"/>
        <v>area_squareMillimetre</v>
      </c>
      <c r="B13" s="409"/>
      <c r="C13" s="416"/>
      <c r="D13" s="198" t="s">
        <v>428</v>
      </c>
      <c r="E13" s="198">
        <v>7</v>
      </c>
      <c r="F13" s="199" t="s">
        <v>429</v>
      </c>
      <c r="G13" s="1" t="s">
        <v>430</v>
      </c>
      <c r="H13" s="200"/>
      <c r="I13" s="200"/>
      <c r="J13" s="201">
        <v>70111</v>
      </c>
      <c r="K13" s="25" t="str">
        <f>CONCATENATE(Cover!$D$6,"fdd/view?i=",J13)</f>
        <v>https://www.dgiwg.org/FAD/fdd/view?i=70111</v>
      </c>
      <c r="L13" s="25" t="s">
        <v>431</v>
      </c>
      <c r="M13" s="200"/>
      <c r="N13" s="200"/>
      <c r="O13" s="13" t="s">
        <v>427</v>
      </c>
      <c r="P13" s="202"/>
      <c r="Q13" s="188"/>
    </row>
    <row r="14" spans="1:17" ht="25.5" x14ac:dyDescent="0.2">
      <c r="A14" s="197" t="str">
        <f t="shared" si="0"/>
        <v>area_squareStatuteMile</v>
      </c>
      <c r="B14" s="409"/>
      <c r="C14" s="416"/>
      <c r="D14" s="198" t="s">
        <v>433</v>
      </c>
      <c r="E14" s="198">
        <v>8</v>
      </c>
      <c r="F14" s="199" t="s">
        <v>434</v>
      </c>
      <c r="G14" s="1" t="s">
        <v>435</v>
      </c>
      <c r="H14" s="200"/>
      <c r="I14" s="200"/>
      <c r="J14" s="201">
        <v>70112</v>
      </c>
      <c r="K14" s="25" t="str">
        <f>CONCATENATE(Cover!$D$6,"fdd/view?i=",J14)</f>
        <v>https://www.dgiwg.org/FAD/fdd/view?i=70112</v>
      </c>
      <c r="L14" s="25" t="s">
        <v>436</v>
      </c>
      <c r="M14" s="200"/>
      <c r="N14" s="200"/>
      <c r="O14" s="13" t="s">
        <v>432</v>
      </c>
      <c r="P14" s="202"/>
      <c r="Q14" s="188"/>
    </row>
    <row r="15" spans="1:17" ht="25.5" x14ac:dyDescent="0.2">
      <c r="A15" s="197" t="str">
        <f t="shared" si="0"/>
        <v>area_acre</v>
      </c>
      <c r="B15" s="409"/>
      <c r="C15" s="416"/>
      <c r="D15" s="198" t="s">
        <v>438</v>
      </c>
      <c r="E15" s="198">
        <v>9</v>
      </c>
      <c r="F15" s="199" t="s">
        <v>439</v>
      </c>
      <c r="G15" s="1" t="s">
        <v>440</v>
      </c>
      <c r="H15" s="200"/>
      <c r="I15" s="200"/>
      <c r="J15" s="201">
        <v>70113</v>
      </c>
      <c r="K15" s="25" t="str">
        <f>CONCATENATE(Cover!$D$6,"fdd/view?i=",J15)</f>
        <v>https://www.dgiwg.org/FAD/fdd/view?i=70113</v>
      </c>
      <c r="L15" s="25" t="s">
        <v>441</v>
      </c>
      <c r="M15" s="200"/>
      <c r="N15" s="200"/>
      <c r="O15" s="13" t="s">
        <v>437</v>
      </c>
      <c r="P15" s="202"/>
      <c r="Q15" s="188"/>
    </row>
    <row r="16" spans="1:17" ht="25.5" x14ac:dyDescent="0.2">
      <c r="A16" s="197" t="str">
        <f t="shared" si="0"/>
        <v>area_squareYard</v>
      </c>
      <c r="B16" s="409"/>
      <c r="C16" s="416"/>
      <c r="D16" s="198" t="s">
        <v>443</v>
      </c>
      <c r="E16" s="198">
        <v>10</v>
      </c>
      <c r="F16" s="199" t="s">
        <v>444</v>
      </c>
      <c r="G16" s="1" t="s">
        <v>445</v>
      </c>
      <c r="H16" s="200"/>
      <c r="I16" s="200"/>
      <c r="J16" s="201">
        <v>70114</v>
      </c>
      <c r="K16" s="25" t="str">
        <f>CONCATENATE(Cover!$D$6,"fdd/view?i=",J16)</f>
        <v>https://www.dgiwg.org/FAD/fdd/view?i=70114</v>
      </c>
      <c r="L16" s="25" t="s">
        <v>446</v>
      </c>
      <c r="M16" s="200"/>
      <c r="N16" s="200"/>
      <c r="O16" s="13" t="s">
        <v>442</v>
      </c>
      <c r="P16" s="202"/>
      <c r="Q16" s="188"/>
    </row>
    <row r="17" spans="1:17" ht="25.5" x14ac:dyDescent="0.2">
      <c r="A17" s="197" t="str">
        <f t="shared" si="0"/>
        <v>area_squareFoot</v>
      </c>
      <c r="B17" s="409"/>
      <c r="C17" s="416"/>
      <c r="D17" s="198" t="s">
        <v>448</v>
      </c>
      <c r="E17" s="198">
        <v>11</v>
      </c>
      <c r="F17" s="199" t="s">
        <v>449</v>
      </c>
      <c r="G17" s="1" t="s">
        <v>450</v>
      </c>
      <c r="H17" s="200"/>
      <c r="I17" s="200"/>
      <c r="J17" s="201">
        <v>70115</v>
      </c>
      <c r="K17" s="25" t="str">
        <f>CONCATENATE(Cover!$D$6,"fdd/view?i=",J17)</f>
        <v>https://www.dgiwg.org/FAD/fdd/view?i=70115</v>
      </c>
      <c r="L17" s="25" t="s">
        <v>451</v>
      </c>
      <c r="M17" s="200"/>
      <c r="N17" s="200"/>
      <c r="O17" s="13" t="s">
        <v>447</v>
      </c>
      <c r="P17" s="202"/>
      <c r="Q17" s="188"/>
    </row>
    <row r="18" spans="1:17" ht="25.5" x14ac:dyDescent="0.2">
      <c r="A18" s="203" t="str">
        <f t="shared" si="0"/>
        <v>area_squareInch</v>
      </c>
      <c r="B18" s="410"/>
      <c r="C18" s="417"/>
      <c r="D18" s="204" t="s">
        <v>453</v>
      </c>
      <c r="E18" s="204">
        <v>12</v>
      </c>
      <c r="F18" s="205" t="s">
        <v>454</v>
      </c>
      <c r="G18" s="206" t="s">
        <v>455</v>
      </c>
      <c r="H18" s="207"/>
      <c r="I18" s="207"/>
      <c r="J18" s="208">
        <v>70116</v>
      </c>
      <c r="K18" s="209" t="str">
        <f>CONCATENATE(Cover!$D$6,"fdd/view?i=",J18)</f>
        <v>https://www.dgiwg.org/FAD/fdd/view?i=70116</v>
      </c>
      <c r="L18" s="209" t="s">
        <v>456</v>
      </c>
      <c r="M18" s="207"/>
      <c r="N18" s="207"/>
      <c r="O18" s="210" t="s">
        <v>452</v>
      </c>
      <c r="P18" s="211"/>
      <c r="Q18" s="188"/>
    </row>
    <row r="19" spans="1:17" ht="38.25" x14ac:dyDescent="0.2">
      <c r="A19" s="190" t="str">
        <f t="shared" si="0"/>
        <v>capacitance_farad</v>
      </c>
      <c r="B19" s="414" t="str">
        <f>HYPERLINK("[#]PhysicalQuantities!A5:N5","capacitance")</f>
        <v>capacitance</v>
      </c>
      <c r="C19" s="415" t="s">
        <v>219</v>
      </c>
      <c r="D19" s="191" t="s">
        <v>458</v>
      </c>
      <c r="E19" s="191">
        <v>1</v>
      </c>
      <c r="F19" s="192" t="s">
        <v>459</v>
      </c>
      <c r="G19" s="191" t="s">
        <v>460</v>
      </c>
      <c r="H19" s="193"/>
      <c r="I19" s="193"/>
      <c r="J19" s="191">
        <v>70117</v>
      </c>
      <c r="K19" s="194" t="str">
        <f>CONCATENATE(Cover!$D$6,"fdd/view?i=",J19)</f>
        <v>https://www.dgiwg.org/FAD/fdd/view?i=70117</v>
      </c>
      <c r="L19" s="194" t="s">
        <v>461</v>
      </c>
      <c r="M19" s="193"/>
      <c r="N19" s="193"/>
      <c r="O19" s="195" t="s">
        <v>457</v>
      </c>
      <c r="P19" s="196"/>
      <c r="Q19" s="188"/>
    </row>
    <row r="20" spans="1:17" ht="25.5" x14ac:dyDescent="0.2">
      <c r="A20" s="197" t="str">
        <f t="shared" si="0"/>
        <v>capacitance_microfarad</v>
      </c>
      <c r="B20" s="409"/>
      <c r="C20" s="416"/>
      <c r="D20" s="198" t="s">
        <v>463</v>
      </c>
      <c r="E20" s="198">
        <v>2</v>
      </c>
      <c r="F20" s="199" t="s">
        <v>464</v>
      </c>
      <c r="G20" s="1" t="s">
        <v>465</v>
      </c>
      <c r="H20" s="200"/>
      <c r="I20" s="200"/>
      <c r="J20" s="201">
        <v>70118</v>
      </c>
      <c r="K20" s="25" t="str">
        <f>CONCATENATE(Cover!$D$6,"fdd/view?i=",J20)</f>
        <v>https://www.dgiwg.org/FAD/fdd/view?i=70118</v>
      </c>
      <c r="L20" s="25" t="s">
        <v>466</v>
      </c>
      <c r="M20" s="200"/>
      <c r="N20" s="200"/>
      <c r="O20" s="13" t="s">
        <v>462</v>
      </c>
      <c r="P20" s="202"/>
      <c r="Q20" s="188"/>
    </row>
    <row r="21" spans="1:17" ht="25.5" x14ac:dyDescent="0.2">
      <c r="A21" s="197" t="str">
        <f t="shared" si="0"/>
        <v>capacitance_nanofarad</v>
      </c>
      <c r="B21" s="409"/>
      <c r="C21" s="416"/>
      <c r="D21" s="198" t="s">
        <v>468</v>
      </c>
      <c r="E21" s="198">
        <v>3</v>
      </c>
      <c r="F21" s="199" t="s">
        <v>469</v>
      </c>
      <c r="G21" s="1" t="s">
        <v>470</v>
      </c>
      <c r="H21" s="200"/>
      <c r="I21" s="200"/>
      <c r="J21" s="201">
        <v>70119</v>
      </c>
      <c r="K21" s="25" t="str">
        <f>CONCATENATE(Cover!$D$6,"fdd/view?i=",J21)</f>
        <v>https://www.dgiwg.org/FAD/fdd/view?i=70119</v>
      </c>
      <c r="L21" s="25" t="s">
        <v>471</v>
      </c>
      <c r="M21" s="200"/>
      <c r="N21" s="200"/>
      <c r="O21" s="13" t="s">
        <v>467</v>
      </c>
      <c r="P21" s="202"/>
      <c r="Q21" s="188"/>
    </row>
    <row r="22" spans="1:17" ht="25.5" x14ac:dyDescent="0.2">
      <c r="A22" s="203" t="str">
        <f t="shared" si="0"/>
        <v>capacitance_picofarad</v>
      </c>
      <c r="B22" s="410"/>
      <c r="C22" s="417"/>
      <c r="D22" s="204" t="s">
        <v>473</v>
      </c>
      <c r="E22" s="204">
        <v>4</v>
      </c>
      <c r="F22" s="205" t="s">
        <v>474</v>
      </c>
      <c r="G22" s="206" t="s">
        <v>475</v>
      </c>
      <c r="H22" s="207"/>
      <c r="I22" s="207"/>
      <c r="J22" s="208">
        <v>70120</v>
      </c>
      <c r="K22" s="209" t="str">
        <f>CONCATENATE(Cover!$D$6,"fdd/view?i=",J22)</f>
        <v>https://www.dgiwg.org/FAD/fdd/view?i=70120</v>
      </c>
      <c r="L22" s="209" t="s">
        <v>476</v>
      </c>
      <c r="M22" s="207"/>
      <c r="N22" s="207"/>
      <c r="O22" s="210" t="s">
        <v>472</v>
      </c>
      <c r="P22" s="211"/>
      <c r="Q22" s="188"/>
    </row>
    <row r="23" spans="1:17" ht="38.25" x14ac:dyDescent="0.2">
      <c r="A23" s="190" t="str">
        <f t="shared" si="0"/>
        <v>electricCharge_coulomb</v>
      </c>
      <c r="B23" s="414" t="str">
        <f>HYPERLINK("[#]PhysicalQuantities!A6:N6","electricCharge")</f>
        <v>electricCharge</v>
      </c>
      <c r="C23" s="415" t="s">
        <v>222</v>
      </c>
      <c r="D23" s="191" t="s">
        <v>478</v>
      </c>
      <c r="E23" s="191">
        <v>1</v>
      </c>
      <c r="F23" s="192" t="s">
        <v>479</v>
      </c>
      <c r="G23" s="191" t="s">
        <v>480</v>
      </c>
      <c r="H23" s="193"/>
      <c r="I23" s="193"/>
      <c r="J23" s="191">
        <v>70121</v>
      </c>
      <c r="K23" s="194" t="str">
        <f>CONCATENATE(Cover!$D$6,"fdd/view?i=",J23)</f>
        <v>https://www.dgiwg.org/FAD/fdd/view?i=70121</v>
      </c>
      <c r="L23" s="194" t="s">
        <v>481</v>
      </c>
      <c r="M23" s="193"/>
      <c r="N23" s="193"/>
      <c r="O23" s="195" t="s">
        <v>477</v>
      </c>
      <c r="P23" s="196"/>
      <c r="Q23" s="188"/>
    </row>
    <row r="24" spans="1:17" ht="25.5" x14ac:dyDescent="0.2">
      <c r="A24" s="197" t="str">
        <f t="shared" si="0"/>
        <v>electricCharge_millicoulomb</v>
      </c>
      <c r="B24" s="409"/>
      <c r="C24" s="416"/>
      <c r="D24" s="198" t="s">
        <v>483</v>
      </c>
      <c r="E24" s="198">
        <v>2</v>
      </c>
      <c r="F24" s="199" t="s">
        <v>484</v>
      </c>
      <c r="G24" s="1" t="s">
        <v>485</v>
      </c>
      <c r="H24" s="200"/>
      <c r="I24" s="200"/>
      <c r="J24" s="201">
        <v>70122</v>
      </c>
      <c r="K24" s="25" t="str">
        <f>CONCATENATE(Cover!$D$6,"fdd/view?i=",J24)</f>
        <v>https://www.dgiwg.org/FAD/fdd/view?i=70122</v>
      </c>
      <c r="L24" s="25" t="s">
        <v>486</v>
      </c>
      <c r="M24" s="200"/>
      <c r="N24" s="200"/>
      <c r="O24" s="13" t="s">
        <v>482</v>
      </c>
      <c r="P24" s="202"/>
      <c r="Q24" s="188"/>
    </row>
    <row r="25" spans="1:17" ht="25.5" x14ac:dyDescent="0.2">
      <c r="A25" s="197" t="str">
        <f t="shared" si="0"/>
        <v>electricCharge_microcoulomb</v>
      </c>
      <c r="B25" s="409"/>
      <c r="C25" s="416"/>
      <c r="D25" s="198" t="s">
        <v>488</v>
      </c>
      <c r="E25" s="198">
        <v>3</v>
      </c>
      <c r="F25" s="199" t="s">
        <v>489</v>
      </c>
      <c r="G25" s="1" t="s">
        <v>490</v>
      </c>
      <c r="H25" s="200"/>
      <c r="I25" s="200"/>
      <c r="J25" s="201">
        <v>70123</v>
      </c>
      <c r="K25" s="25" t="str">
        <f>CONCATENATE(Cover!$D$6,"fdd/view?i=",J25)</f>
        <v>https://www.dgiwg.org/FAD/fdd/view?i=70123</v>
      </c>
      <c r="L25" s="25" t="s">
        <v>491</v>
      </c>
      <c r="M25" s="200"/>
      <c r="N25" s="200"/>
      <c r="O25" s="13" t="s">
        <v>487</v>
      </c>
      <c r="P25" s="202"/>
      <c r="Q25" s="188"/>
    </row>
    <row r="26" spans="1:17" ht="25.5" x14ac:dyDescent="0.2">
      <c r="A26" s="203" t="str">
        <f t="shared" si="0"/>
        <v>electricCharge_nanocoulomb</v>
      </c>
      <c r="B26" s="410"/>
      <c r="C26" s="417"/>
      <c r="D26" s="204" t="s">
        <v>493</v>
      </c>
      <c r="E26" s="204">
        <v>4</v>
      </c>
      <c r="F26" s="205" t="s">
        <v>494</v>
      </c>
      <c r="G26" s="206" t="s">
        <v>495</v>
      </c>
      <c r="H26" s="207"/>
      <c r="I26" s="207"/>
      <c r="J26" s="208">
        <v>70124</v>
      </c>
      <c r="K26" s="209" t="str">
        <f>CONCATENATE(Cover!$D$6,"fdd/view?i=",J26)</f>
        <v>https://www.dgiwg.org/FAD/fdd/view?i=70124</v>
      </c>
      <c r="L26" s="209" t="s">
        <v>496</v>
      </c>
      <c r="M26" s="207"/>
      <c r="N26" s="207"/>
      <c r="O26" s="210" t="s">
        <v>492</v>
      </c>
      <c r="P26" s="211"/>
      <c r="Q26" s="188"/>
    </row>
    <row r="27" spans="1:17" ht="25.5" x14ac:dyDescent="0.2">
      <c r="A27" s="190" t="str">
        <f t="shared" si="0"/>
        <v>electricConductance_siemens</v>
      </c>
      <c r="B27" s="414" t="str">
        <f>HYPERLINK("[#]PhysicalQuantities!A7:N7","electricConductance")</f>
        <v>electricConductance</v>
      </c>
      <c r="C27" s="415" t="s">
        <v>225</v>
      </c>
      <c r="D27" s="191" t="s">
        <v>498</v>
      </c>
      <c r="E27" s="191">
        <v>1</v>
      </c>
      <c r="F27" s="192" t="s">
        <v>499</v>
      </c>
      <c r="G27" s="191" t="s">
        <v>500</v>
      </c>
      <c r="H27" s="193"/>
      <c r="I27" s="191" t="s">
        <v>501</v>
      </c>
      <c r="J27" s="191">
        <v>70125</v>
      </c>
      <c r="K27" s="194" t="str">
        <f>CONCATENATE(Cover!$D$6,"fdd/view?i=",J27)</f>
        <v>https://www.dgiwg.org/FAD/fdd/view?i=70125</v>
      </c>
      <c r="L27" s="194" t="s">
        <v>502</v>
      </c>
      <c r="M27" s="193"/>
      <c r="N27" s="193"/>
      <c r="O27" s="195" t="s">
        <v>497</v>
      </c>
      <c r="P27" s="196"/>
      <c r="Q27" s="188"/>
    </row>
    <row r="28" spans="1:17" ht="25.5" x14ac:dyDescent="0.2">
      <c r="A28" s="197" t="str">
        <f t="shared" si="0"/>
        <v>electricConductance_millisiemens</v>
      </c>
      <c r="B28" s="409"/>
      <c r="C28" s="416"/>
      <c r="D28" s="198" t="s">
        <v>504</v>
      </c>
      <c r="E28" s="198">
        <v>2</v>
      </c>
      <c r="F28" s="199" t="s">
        <v>505</v>
      </c>
      <c r="G28" s="1" t="s">
        <v>506</v>
      </c>
      <c r="H28" s="200"/>
      <c r="I28" s="200"/>
      <c r="J28" s="201">
        <v>70126</v>
      </c>
      <c r="K28" s="25" t="str">
        <f>CONCATENATE(Cover!$D$6,"fdd/view?i=",J28)</f>
        <v>https://www.dgiwg.org/FAD/fdd/view?i=70126</v>
      </c>
      <c r="L28" s="25" t="s">
        <v>507</v>
      </c>
      <c r="M28" s="200"/>
      <c r="N28" s="200"/>
      <c r="O28" s="13" t="s">
        <v>503</v>
      </c>
      <c r="P28" s="202"/>
      <c r="Q28" s="188"/>
    </row>
    <row r="29" spans="1:17" ht="25.5" x14ac:dyDescent="0.2">
      <c r="A29" s="203" t="str">
        <f t="shared" si="0"/>
        <v>electricConductance_microsiemens</v>
      </c>
      <c r="B29" s="410"/>
      <c r="C29" s="417"/>
      <c r="D29" s="204" t="s">
        <v>509</v>
      </c>
      <c r="E29" s="204">
        <v>3</v>
      </c>
      <c r="F29" s="205" t="s">
        <v>510</v>
      </c>
      <c r="G29" s="206" t="s">
        <v>511</v>
      </c>
      <c r="H29" s="207"/>
      <c r="I29" s="207"/>
      <c r="J29" s="208">
        <v>70127</v>
      </c>
      <c r="K29" s="209" t="str">
        <f>CONCATENATE(Cover!$D$6,"fdd/view?i=",J29)</f>
        <v>https://www.dgiwg.org/FAD/fdd/view?i=70127</v>
      </c>
      <c r="L29" s="209" t="s">
        <v>512</v>
      </c>
      <c r="M29" s="207"/>
      <c r="N29" s="207"/>
      <c r="O29" s="210" t="s">
        <v>508</v>
      </c>
      <c r="P29" s="211"/>
      <c r="Q29" s="188"/>
    </row>
    <row r="30" spans="1:17" ht="25.5" x14ac:dyDescent="0.2">
      <c r="A30" s="190" t="str">
        <f t="shared" si="0"/>
        <v>electricConductivity_siemensPerCentimetre</v>
      </c>
      <c r="B30" s="414" t="str">
        <f>HYPERLINK("[#]PhysicalQuantities!A8:N8","electricConductivity")</f>
        <v>electricConductivity</v>
      </c>
      <c r="C30" s="415" t="s">
        <v>228</v>
      </c>
      <c r="D30" s="221" t="s">
        <v>513</v>
      </c>
      <c r="E30" s="221">
        <v>1</v>
      </c>
      <c r="F30" s="222" t="s">
        <v>514</v>
      </c>
      <c r="G30" s="223" t="s">
        <v>515</v>
      </c>
      <c r="H30" s="224"/>
      <c r="I30" s="223" t="s">
        <v>516</v>
      </c>
      <c r="J30" s="225">
        <v>70380</v>
      </c>
      <c r="K30" s="226" t="str">
        <f>CONCATENATE(Cover!$D$6,"fdd/view?i=",J30)</f>
        <v>https://www.dgiwg.org/FAD/fdd/view?i=70380</v>
      </c>
      <c r="L30" s="226" t="s">
        <v>517</v>
      </c>
      <c r="M30" s="224"/>
      <c r="N30" s="224"/>
      <c r="O30" s="227"/>
      <c r="P30" s="196"/>
      <c r="Q30" s="188"/>
    </row>
    <row r="31" spans="1:17" ht="38.25" x14ac:dyDescent="0.2">
      <c r="A31" s="197" t="str">
        <f t="shared" si="0"/>
        <v>electricConductivity_siemensPerMetre</v>
      </c>
      <c r="B31" s="409"/>
      <c r="C31" s="416"/>
      <c r="D31" s="228" t="s">
        <v>518</v>
      </c>
      <c r="E31" s="228">
        <v>2</v>
      </c>
      <c r="F31" s="229" t="s">
        <v>519</v>
      </c>
      <c r="G31" s="228" t="s">
        <v>520</v>
      </c>
      <c r="H31" s="230"/>
      <c r="I31" s="228" t="s">
        <v>521</v>
      </c>
      <c r="J31" s="228">
        <v>70381</v>
      </c>
      <c r="K31" s="231" t="str">
        <f>CONCATENATE(Cover!$D$6,"fdd/view?i=",J31)</f>
        <v>https://www.dgiwg.org/FAD/fdd/view?i=70381</v>
      </c>
      <c r="L31" s="231" t="s">
        <v>522</v>
      </c>
      <c r="M31" s="230"/>
      <c r="N31" s="230"/>
      <c r="O31" s="189"/>
      <c r="P31" s="202"/>
      <c r="Q31" s="188"/>
    </row>
    <row r="32" spans="1:17" ht="38.25" x14ac:dyDescent="0.2">
      <c r="A32" s="197" t="str">
        <f t="shared" si="0"/>
        <v>electricConductivity_microsiemensPerCentimetre</v>
      </c>
      <c r="B32" s="409"/>
      <c r="C32" s="416"/>
      <c r="D32" s="198" t="s">
        <v>523</v>
      </c>
      <c r="E32" s="198">
        <v>3</v>
      </c>
      <c r="F32" s="199" t="s">
        <v>524</v>
      </c>
      <c r="G32" s="1" t="s">
        <v>525</v>
      </c>
      <c r="H32" s="200"/>
      <c r="I32" s="200"/>
      <c r="J32" s="201">
        <v>70382</v>
      </c>
      <c r="K32" s="25" t="str">
        <f>CONCATENATE(Cover!$D$6,"fdd/view?i=",J32)</f>
        <v>https://www.dgiwg.org/FAD/fdd/view?i=70382</v>
      </c>
      <c r="L32" s="25" t="s">
        <v>526</v>
      </c>
      <c r="M32" s="200"/>
      <c r="N32" s="200"/>
      <c r="O32" s="172"/>
      <c r="P32" s="202"/>
      <c r="Q32" s="188"/>
    </row>
    <row r="33" spans="1:17" ht="25.5" x14ac:dyDescent="0.2">
      <c r="A33" s="197" t="str">
        <f t="shared" si="0"/>
        <v>electricConductivity_microsiemensPerMetre</v>
      </c>
      <c r="B33" s="409"/>
      <c r="C33" s="416"/>
      <c r="D33" s="198" t="s">
        <v>527</v>
      </c>
      <c r="E33" s="198">
        <v>4</v>
      </c>
      <c r="F33" s="199" t="s">
        <v>528</v>
      </c>
      <c r="G33" s="1" t="s">
        <v>529</v>
      </c>
      <c r="H33" s="200"/>
      <c r="I33" s="200"/>
      <c r="J33" s="201">
        <v>70383</v>
      </c>
      <c r="K33" s="25" t="str">
        <f>CONCATENATE(Cover!$D$6,"fdd/view?i=",J33)</f>
        <v>https://www.dgiwg.org/FAD/fdd/view?i=70383</v>
      </c>
      <c r="L33" s="25" t="s">
        <v>530</v>
      </c>
      <c r="M33" s="200"/>
      <c r="N33" s="200"/>
      <c r="O33" s="172"/>
      <c r="P33" s="202"/>
      <c r="Q33" s="188"/>
    </row>
    <row r="34" spans="1:17" ht="25.5" x14ac:dyDescent="0.2">
      <c r="A34" s="197" t="str">
        <f t="shared" si="0"/>
        <v>electricConductivity_siemensPerInch</v>
      </c>
      <c r="B34" s="409"/>
      <c r="C34" s="416"/>
      <c r="D34" s="198" t="s">
        <v>531</v>
      </c>
      <c r="E34" s="198">
        <v>5</v>
      </c>
      <c r="F34" s="199" t="s">
        <v>532</v>
      </c>
      <c r="G34" s="1" t="s">
        <v>533</v>
      </c>
      <c r="H34" s="200"/>
      <c r="I34" s="200"/>
      <c r="J34" s="201">
        <v>70384</v>
      </c>
      <c r="K34" s="25" t="str">
        <f>CONCATENATE(Cover!$D$6,"fdd/view?i=",J34)</f>
        <v>https://www.dgiwg.org/FAD/fdd/view?i=70384</v>
      </c>
      <c r="L34" s="25" t="s">
        <v>534</v>
      </c>
      <c r="M34" s="200"/>
      <c r="N34" s="200"/>
      <c r="O34" s="172"/>
      <c r="P34" s="202"/>
      <c r="Q34" s="188"/>
    </row>
    <row r="35" spans="1:17" ht="25.5" x14ac:dyDescent="0.2">
      <c r="A35" s="197" t="str">
        <f t="shared" si="0"/>
        <v>electricConductivity_siemensPerFoot</v>
      </c>
      <c r="B35" s="409"/>
      <c r="C35" s="416"/>
      <c r="D35" s="198" t="s">
        <v>535</v>
      </c>
      <c r="E35" s="198">
        <v>6</v>
      </c>
      <c r="F35" s="199" t="s">
        <v>536</v>
      </c>
      <c r="G35" s="1" t="s">
        <v>537</v>
      </c>
      <c r="H35" s="200"/>
      <c r="I35" s="200"/>
      <c r="J35" s="201">
        <v>70385</v>
      </c>
      <c r="K35" s="25" t="str">
        <f>CONCATENATE(Cover!$D$6,"fdd/view?i=",J35)</f>
        <v>https://www.dgiwg.org/FAD/fdd/view?i=70385</v>
      </c>
      <c r="L35" s="25" t="s">
        <v>538</v>
      </c>
      <c r="M35" s="200"/>
      <c r="N35" s="200"/>
      <c r="O35" s="172"/>
      <c r="P35" s="202"/>
      <c r="Q35" s="188"/>
    </row>
    <row r="36" spans="1:17" ht="25.5" x14ac:dyDescent="0.2">
      <c r="A36" s="197" t="str">
        <f t="shared" si="0"/>
        <v>electricConductivity_microsiemensPerInch</v>
      </c>
      <c r="B36" s="409"/>
      <c r="C36" s="416"/>
      <c r="D36" s="198" t="s">
        <v>539</v>
      </c>
      <c r="E36" s="198">
        <v>7</v>
      </c>
      <c r="F36" s="199" t="s">
        <v>540</v>
      </c>
      <c r="G36" s="1" t="s">
        <v>541</v>
      </c>
      <c r="H36" s="200"/>
      <c r="I36" s="200"/>
      <c r="J36" s="201">
        <v>70386</v>
      </c>
      <c r="K36" s="25" t="str">
        <f>CONCATENATE(Cover!$D$6,"fdd/view?i=",J36)</f>
        <v>https://www.dgiwg.org/FAD/fdd/view?i=70386</v>
      </c>
      <c r="L36" s="25" t="s">
        <v>542</v>
      </c>
      <c r="M36" s="200"/>
      <c r="N36" s="200"/>
      <c r="O36" s="172"/>
      <c r="P36" s="202"/>
      <c r="Q36" s="188"/>
    </row>
    <row r="37" spans="1:17" ht="25.5" x14ac:dyDescent="0.2">
      <c r="A37" s="203" t="str">
        <f t="shared" si="0"/>
        <v>electricConductivity_microsiemensPerFoot</v>
      </c>
      <c r="B37" s="410"/>
      <c r="C37" s="417"/>
      <c r="D37" s="204" t="s">
        <v>543</v>
      </c>
      <c r="E37" s="204">
        <v>8</v>
      </c>
      <c r="F37" s="205" t="s">
        <v>544</v>
      </c>
      <c r="G37" s="206" t="s">
        <v>545</v>
      </c>
      <c r="H37" s="207"/>
      <c r="I37" s="207"/>
      <c r="J37" s="208">
        <v>70387</v>
      </c>
      <c r="K37" s="209" t="str">
        <f>CONCATENATE(Cover!$D$6,"fdd/view?i=",J37)</f>
        <v>https://www.dgiwg.org/FAD/fdd/view?i=70387</v>
      </c>
      <c r="L37" s="209" t="s">
        <v>546</v>
      </c>
      <c r="M37" s="207"/>
      <c r="N37" s="207"/>
      <c r="O37" s="232"/>
      <c r="P37" s="211"/>
      <c r="Q37" s="188"/>
    </row>
    <row r="38" spans="1:17" ht="25.5" x14ac:dyDescent="0.2">
      <c r="A38" s="190" t="str">
        <f t="shared" si="0"/>
        <v>electricCurrent_kiloampere</v>
      </c>
      <c r="B38" s="414" t="str">
        <f>HYPERLINK("[#]PhysicalQuantities!A9:N9","electricCurrent")</f>
        <v>electricCurrent</v>
      </c>
      <c r="C38" s="415" t="s">
        <v>231</v>
      </c>
      <c r="D38" s="221" t="s">
        <v>548</v>
      </c>
      <c r="E38" s="221">
        <v>1</v>
      </c>
      <c r="F38" s="222" t="s">
        <v>549</v>
      </c>
      <c r="G38" s="223" t="s">
        <v>550</v>
      </c>
      <c r="H38" s="224"/>
      <c r="I38" s="224"/>
      <c r="J38" s="225">
        <v>70128</v>
      </c>
      <c r="K38" s="226" t="str">
        <f>CONCATENATE(Cover!$D$6,"fdd/view?i=",J38)</f>
        <v>https://www.dgiwg.org/FAD/fdd/view?i=70128</v>
      </c>
      <c r="L38" s="226" t="s">
        <v>551</v>
      </c>
      <c r="M38" s="224"/>
      <c r="N38" s="224"/>
      <c r="O38" s="233" t="s">
        <v>547</v>
      </c>
      <c r="P38" s="196"/>
      <c r="Q38" s="188"/>
    </row>
    <row r="39" spans="1:17" ht="76.5" x14ac:dyDescent="0.2">
      <c r="A39" s="197" t="str">
        <f t="shared" si="0"/>
        <v>electricCurrent_ampere</v>
      </c>
      <c r="B39" s="409"/>
      <c r="C39" s="416"/>
      <c r="D39" s="228" t="s">
        <v>553</v>
      </c>
      <c r="E39" s="228">
        <v>2</v>
      </c>
      <c r="F39" s="229" t="s">
        <v>554</v>
      </c>
      <c r="G39" s="228" t="s">
        <v>555</v>
      </c>
      <c r="H39" s="230"/>
      <c r="I39" s="230"/>
      <c r="J39" s="228">
        <v>70129</v>
      </c>
      <c r="K39" s="231" t="str">
        <f>CONCATENATE(Cover!$D$6,"fdd/view?i=",J39)</f>
        <v>https://www.dgiwg.org/FAD/fdd/view?i=70129</v>
      </c>
      <c r="L39" s="231" t="s">
        <v>556</v>
      </c>
      <c r="M39" s="230"/>
      <c r="N39" s="230"/>
      <c r="O39" s="187" t="s">
        <v>552</v>
      </c>
      <c r="P39" s="202"/>
      <c r="Q39" s="188"/>
    </row>
    <row r="40" spans="1:17" ht="25.5" x14ac:dyDescent="0.2">
      <c r="A40" s="197" t="str">
        <f t="shared" si="0"/>
        <v>electricCurrent_milliampere</v>
      </c>
      <c r="B40" s="409"/>
      <c r="C40" s="416"/>
      <c r="D40" s="198" t="s">
        <v>558</v>
      </c>
      <c r="E40" s="198">
        <v>3</v>
      </c>
      <c r="F40" s="199" t="s">
        <v>559</v>
      </c>
      <c r="G40" s="1" t="s">
        <v>560</v>
      </c>
      <c r="H40" s="200"/>
      <c r="I40" s="200"/>
      <c r="J40" s="201">
        <v>70130</v>
      </c>
      <c r="K40" s="25" t="str">
        <f>CONCATENATE(Cover!$D$6,"fdd/view?i=",J40)</f>
        <v>https://www.dgiwg.org/FAD/fdd/view?i=70130</v>
      </c>
      <c r="L40" s="25" t="s">
        <v>561</v>
      </c>
      <c r="M40" s="200"/>
      <c r="N40" s="200"/>
      <c r="O40" s="13" t="s">
        <v>557</v>
      </c>
      <c r="P40" s="202"/>
      <c r="Q40" s="188"/>
    </row>
    <row r="41" spans="1:17" ht="25.5" x14ac:dyDescent="0.2">
      <c r="A41" s="203" t="str">
        <f t="shared" si="0"/>
        <v>electricCurrent_microampere</v>
      </c>
      <c r="B41" s="410"/>
      <c r="C41" s="417"/>
      <c r="D41" s="204" t="s">
        <v>563</v>
      </c>
      <c r="E41" s="204">
        <v>4</v>
      </c>
      <c r="F41" s="205" t="s">
        <v>564</v>
      </c>
      <c r="G41" s="206" t="s">
        <v>565</v>
      </c>
      <c r="H41" s="207"/>
      <c r="I41" s="207"/>
      <c r="J41" s="208">
        <v>70131</v>
      </c>
      <c r="K41" s="209" t="str">
        <f>CONCATENATE(Cover!$D$6,"fdd/view?i=",J41)</f>
        <v>https://www.dgiwg.org/FAD/fdd/view?i=70131</v>
      </c>
      <c r="L41" s="209" t="s">
        <v>566</v>
      </c>
      <c r="M41" s="207"/>
      <c r="N41" s="207"/>
      <c r="O41" s="210" t="s">
        <v>562</v>
      </c>
      <c r="P41" s="211"/>
      <c r="Q41" s="188"/>
    </row>
    <row r="42" spans="1:17" ht="25.5" x14ac:dyDescent="0.2">
      <c r="A42" s="190" t="str">
        <f t="shared" si="0"/>
        <v>electricResistance_megaohm</v>
      </c>
      <c r="B42" s="414" t="str">
        <f>HYPERLINK("[#]PhysicalQuantities!A10:N10","electricResistance")</f>
        <v>electricResistance</v>
      </c>
      <c r="C42" s="415" t="s">
        <v>234</v>
      </c>
      <c r="D42" s="221" t="s">
        <v>568</v>
      </c>
      <c r="E42" s="221">
        <v>1</v>
      </c>
      <c r="F42" s="222" t="s">
        <v>569</v>
      </c>
      <c r="G42" s="223" t="s">
        <v>570</v>
      </c>
      <c r="H42" s="224"/>
      <c r="I42" s="224"/>
      <c r="J42" s="225">
        <v>70132</v>
      </c>
      <c r="K42" s="226" t="str">
        <f>CONCATENATE(Cover!$D$6,"fdd/view?i=",J42)</f>
        <v>https://www.dgiwg.org/FAD/fdd/view?i=70132</v>
      </c>
      <c r="L42" s="226" t="s">
        <v>571</v>
      </c>
      <c r="M42" s="224"/>
      <c r="N42" s="224"/>
      <c r="O42" s="233" t="s">
        <v>567</v>
      </c>
      <c r="P42" s="196"/>
      <c r="Q42" s="188"/>
    </row>
    <row r="43" spans="1:17" ht="25.5" x14ac:dyDescent="0.2">
      <c r="A43" s="197" t="str">
        <f t="shared" si="0"/>
        <v>electricResistance_kilohm</v>
      </c>
      <c r="B43" s="409"/>
      <c r="C43" s="416"/>
      <c r="D43" s="198" t="s">
        <v>573</v>
      </c>
      <c r="E43" s="198">
        <v>2</v>
      </c>
      <c r="F43" s="199" t="s">
        <v>574</v>
      </c>
      <c r="G43" s="1" t="s">
        <v>575</v>
      </c>
      <c r="H43" s="200"/>
      <c r="I43" s="200"/>
      <c r="J43" s="201">
        <v>70133</v>
      </c>
      <c r="K43" s="25" t="str">
        <f>CONCATENATE(Cover!$D$6,"fdd/view?i=",J43)</f>
        <v>https://www.dgiwg.org/FAD/fdd/view?i=70133</v>
      </c>
      <c r="L43" s="25" t="s">
        <v>576</v>
      </c>
      <c r="M43" s="200"/>
      <c r="N43" s="200"/>
      <c r="O43" s="13" t="s">
        <v>572</v>
      </c>
      <c r="P43" s="202"/>
      <c r="Q43" s="188"/>
    </row>
    <row r="44" spans="1:17" ht="51" x14ac:dyDescent="0.2">
      <c r="A44" s="203" t="str">
        <f t="shared" si="0"/>
        <v>electricResistance_ohm</v>
      </c>
      <c r="B44" s="410"/>
      <c r="C44" s="417"/>
      <c r="D44" s="234" t="s">
        <v>578</v>
      </c>
      <c r="E44" s="234">
        <v>3</v>
      </c>
      <c r="F44" s="235" t="s">
        <v>579</v>
      </c>
      <c r="G44" s="234" t="s">
        <v>580</v>
      </c>
      <c r="H44" s="236"/>
      <c r="I44" s="236"/>
      <c r="J44" s="234">
        <v>70134</v>
      </c>
      <c r="K44" s="237" t="str">
        <f>CONCATENATE(Cover!$D$6,"fdd/view?i=",J44)</f>
        <v>https://www.dgiwg.org/FAD/fdd/view?i=70134</v>
      </c>
      <c r="L44" s="237" t="s">
        <v>581</v>
      </c>
      <c r="M44" s="236"/>
      <c r="N44" s="236"/>
      <c r="O44" s="238" t="s">
        <v>577</v>
      </c>
      <c r="P44" s="211"/>
      <c r="Q44" s="188"/>
    </row>
    <row r="45" spans="1:17" ht="38.25" x14ac:dyDescent="0.2">
      <c r="A45" s="190" t="str">
        <f t="shared" si="0"/>
        <v>electricResistivity_ohmMetre</v>
      </c>
      <c r="B45" s="414" t="str">
        <f>HYPERLINK("[#]PhysicalQuantities!A11:N11","electricResistivity")</f>
        <v>electricResistivity</v>
      </c>
      <c r="C45" s="415" t="s">
        <v>237</v>
      </c>
      <c r="D45" s="191" t="s">
        <v>582</v>
      </c>
      <c r="E45" s="191">
        <v>1</v>
      </c>
      <c r="F45" s="192" t="s">
        <v>583</v>
      </c>
      <c r="G45" s="191" t="s">
        <v>584</v>
      </c>
      <c r="H45" s="193"/>
      <c r="I45" s="193"/>
      <c r="J45" s="191">
        <v>70388</v>
      </c>
      <c r="K45" s="194" t="str">
        <f>CONCATENATE(Cover!$D$6,"fdd/view?i=",J45)</f>
        <v>https://www.dgiwg.org/FAD/fdd/view?i=70388</v>
      </c>
      <c r="L45" s="194" t="s">
        <v>585</v>
      </c>
      <c r="M45" s="193"/>
      <c r="N45" s="193"/>
      <c r="O45" s="239"/>
      <c r="P45" s="196"/>
      <c r="Q45" s="188"/>
    </row>
    <row r="46" spans="1:17" ht="25.5" x14ac:dyDescent="0.2">
      <c r="A46" s="197" t="str">
        <f t="shared" si="0"/>
        <v>electricResistivity_ohmCentimetre</v>
      </c>
      <c r="B46" s="409"/>
      <c r="C46" s="416"/>
      <c r="D46" s="198" t="s">
        <v>586</v>
      </c>
      <c r="E46" s="198">
        <v>2</v>
      </c>
      <c r="F46" s="199" t="s">
        <v>587</v>
      </c>
      <c r="G46" s="1" t="s">
        <v>588</v>
      </c>
      <c r="H46" s="200"/>
      <c r="I46" s="200"/>
      <c r="J46" s="201">
        <v>70389</v>
      </c>
      <c r="K46" s="25" t="str">
        <f>CONCATENATE(Cover!$D$6,"fdd/view?i=",J46)</f>
        <v>https://www.dgiwg.org/FAD/fdd/view?i=70389</v>
      </c>
      <c r="L46" s="25" t="s">
        <v>589</v>
      </c>
      <c r="M46" s="200"/>
      <c r="N46" s="200"/>
      <c r="O46" s="172"/>
      <c r="P46" s="202"/>
      <c r="Q46" s="188"/>
    </row>
    <row r="47" spans="1:17" ht="25.5" x14ac:dyDescent="0.2">
      <c r="A47" s="197" t="str">
        <f t="shared" si="0"/>
        <v xml:space="preserve">electricResistivity_ohmFoot </v>
      </c>
      <c r="B47" s="409"/>
      <c r="C47" s="416"/>
      <c r="D47" s="198" t="s">
        <v>590</v>
      </c>
      <c r="E47" s="198">
        <v>3</v>
      </c>
      <c r="F47" s="199" t="s">
        <v>591</v>
      </c>
      <c r="G47" s="1" t="s">
        <v>592</v>
      </c>
      <c r="H47" s="200"/>
      <c r="I47" s="200"/>
      <c r="J47" s="201">
        <v>70390</v>
      </c>
      <c r="K47" s="25" t="str">
        <f>CONCATENATE(Cover!$D$6,"fdd/view?i=",J47)</f>
        <v>https://www.dgiwg.org/FAD/fdd/view?i=70390</v>
      </c>
      <c r="L47" s="25" t="s">
        <v>593</v>
      </c>
      <c r="M47" s="200"/>
      <c r="N47" s="200"/>
      <c r="O47" s="172"/>
      <c r="P47" s="202"/>
      <c r="Q47" s="188"/>
    </row>
    <row r="48" spans="1:17" ht="25.5" x14ac:dyDescent="0.2">
      <c r="A48" s="203" t="str">
        <f t="shared" si="0"/>
        <v xml:space="preserve">electricResistivity_ohmInch </v>
      </c>
      <c r="B48" s="410"/>
      <c r="C48" s="417"/>
      <c r="D48" s="204" t="s">
        <v>594</v>
      </c>
      <c r="E48" s="204">
        <v>4</v>
      </c>
      <c r="F48" s="205" t="s">
        <v>595</v>
      </c>
      <c r="G48" s="206" t="s">
        <v>596</v>
      </c>
      <c r="H48" s="207"/>
      <c r="I48" s="207"/>
      <c r="J48" s="208">
        <v>70391</v>
      </c>
      <c r="K48" s="209" t="str">
        <f>CONCATENATE(Cover!$D$6,"fdd/view?i=",J48)</f>
        <v>https://www.dgiwg.org/FAD/fdd/view?i=70391</v>
      </c>
      <c r="L48" s="209" t="s">
        <v>597</v>
      </c>
      <c r="M48" s="207"/>
      <c r="N48" s="207"/>
      <c r="O48" s="232"/>
      <c r="P48" s="211"/>
      <c r="Q48" s="188"/>
    </row>
    <row r="49" spans="1:17" ht="25.5" x14ac:dyDescent="0.2">
      <c r="A49" s="190" t="str">
        <f t="shared" si="0"/>
        <v>electromotiveForce_kilovolt</v>
      </c>
      <c r="B49" s="414" t="str">
        <f>HYPERLINK("[#]PhysicalQuantities!A12:N12","electromotiveForce")</f>
        <v>electromotiveForce</v>
      </c>
      <c r="C49" s="415" t="s">
        <v>240</v>
      </c>
      <c r="D49" s="221" t="s">
        <v>599</v>
      </c>
      <c r="E49" s="221">
        <v>1</v>
      </c>
      <c r="F49" s="222" t="s">
        <v>600</v>
      </c>
      <c r="G49" s="223" t="s">
        <v>601</v>
      </c>
      <c r="H49" s="224"/>
      <c r="I49" s="224"/>
      <c r="J49" s="225">
        <v>70135</v>
      </c>
      <c r="K49" s="226" t="str">
        <f>CONCATENATE(Cover!$D$6,"fdd/view?i=",J49)</f>
        <v>https://www.dgiwg.org/FAD/fdd/view?i=70135</v>
      </c>
      <c r="L49" s="226" t="s">
        <v>602</v>
      </c>
      <c r="M49" s="224"/>
      <c r="N49" s="224"/>
      <c r="O49" s="233" t="s">
        <v>598</v>
      </c>
      <c r="P49" s="196"/>
      <c r="Q49" s="188"/>
    </row>
    <row r="50" spans="1:17" ht="25.5" x14ac:dyDescent="0.2">
      <c r="A50" s="197" t="str">
        <f t="shared" si="0"/>
        <v>electromotiveForce_volt</v>
      </c>
      <c r="B50" s="409"/>
      <c r="C50" s="416"/>
      <c r="D50" s="228" t="s">
        <v>604</v>
      </c>
      <c r="E50" s="228">
        <v>2</v>
      </c>
      <c r="F50" s="229" t="s">
        <v>605</v>
      </c>
      <c r="G50" s="228" t="s">
        <v>606</v>
      </c>
      <c r="H50" s="230"/>
      <c r="I50" s="230"/>
      <c r="J50" s="228">
        <v>70136</v>
      </c>
      <c r="K50" s="231" t="str">
        <f>CONCATENATE(Cover!$D$6,"fdd/view?i=",J50)</f>
        <v>https://www.dgiwg.org/FAD/fdd/view?i=70136</v>
      </c>
      <c r="L50" s="231" t="s">
        <v>607</v>
      </c>
      <c r="M50" s="230"/>
      <c r="N50" s="230"/>
      <c r="O50" s="187" t="s">
        <v>603</v>
      </c>
      <c r="P50" s="202"/>
      <c r="Q50" s="188"/>
    </row>
    <row r="51" spans="1:17" ht="25.5" x14ac:dyDescent="0.2">
      <c r="A51" s="197" t="str">
        <f t="shared" si="0"/>
        <v>electromotiveForce_millivolt</v>
      </c>
      <c r="B51" s="409"/>
      <c r="C51" s="416"/>
      <c r="D51" s="198" t="s">
        <v>609</v>
      </c>
      <c r="E51" s="198">
        <v>3</v>
      </c>
      <c r="F51" s="199" t="s">
        <v>610</v>
      </c>
      <c r="G51" s="1" t="s">
        <v>611</v>
      </c>
      <c r="H51" s="200"/>
      <c r="I51" s="200"/>
      <c r="J51" s="201">
        <v>70137</v>
      </c>
      <c r="K51" s="25" t="str">
        <f>CONCATENATE(Cover!$D$6,"fdd/view?i=",J51)</f>
        <v>https://www.dgiwg.org/FAD/fdd/view?i=70137</v>
      </c>
      <c r="L51" s="25" t="s">
        <v>612</v>
      </c>
      <c r="M51" s="200"/>
      <c r="N51" s="200"/>
      <c r="O51" s="13" t="s">
        <v>608</v>
      </c>
      <c r="P51" s="202"/>
      <c r="Q51" s="188"/>
    </row>
    <row r="52" spans="1:17" ht="25.5" x14ac:dyDescent="0.2">
      <c r="A52" s="203" t="str">
        <f t="shared" si="0"/>
        <v>electromotiveForce_microvolt</v>
      </c>
      <c r="B52" s="410"/>
      <c r="C52" s="417"/>
      <c r="D52" s="204" t="s">
        <v>614</v>
      </c>
      <c r="E52" s="204">
        <v>4</v>
      </c>
      <c r="F52" s="205" t="s">
        <v>615</v>
      </c>
      <c r="G52" s="206" t="s">
        <v>616</v>
      </c>
      <c r="H52" s="207"/>
      <c r="I52" s="207"/>
      <c r="J52" s="208">
        <v>70138</v>
      </c>
      <c r="K52" s="209" t="str">
        <f>CONCATENATE(Cover!$D$6,"fdd/view?i=",J52)</f>
        <v>https://www.dgiwg.org/FAD/fdd/view?i=70138</v>
      </c>
      <c r="L52" s="209" t="s">
        <v>617</v>
      </c>
      <c r="M52" s="207"/>
      <c r="N52" s="207"/>
      <c r="O52" s="210" t="s">
        <v>613</v>
      </c>
      <c r="P52" s="211"/>
      <c r="Q52" s="188"/>
    </row>
    <row r="53" spans="1:17" ht="25.5" x14ac:dyDescent="0.2">
      <c r="A53" s="190" t="str">
        <f t="shared" si="0"/>
        <v>energy_kilojoule</v>
      </c>
      <c r="B53" s="414" t="str">
        <f>HYPERLINK("[#]PhysicalQuantities!A13:N13","energy")</f>
        <v>energy</v>
      </c>
      <c r="C53" s="415" t="s">
        <v>243</v>
      </c>
      <c r="D53" s="221" t="s">
        <v>619</v>
      </c>
      <c r="E53" s="221">
        <v>1</v>
      </c>
      <c r="F53" s="222" t="s">
        <v>620</v>
      </c>
      <c r="G53" s="223" t="s">
        <v>621</v>
      </c>
      <c r="H53" s="224"/>
      <c r="I53" s="224"/>
      <c r="J53" s="225">
        <v>70139</v>
      </c>
      <c r="K53" s="226" t="str">
        <f>CONCATENATE(Cover!$D$6,"fdd/view?i=",J53)</f>
        <v>https://www.dgiwg.org/FAD/fdd/view?i=70139</v>
      </c>
      <c r="L53" s="226" t="s">
        <v>622</v>
      </c>
      <c r="M53" s="224"/>
      <c r="N53" s="224"/>
      <c r="O53" s="233" t="s">
        <v>618</v>
      </c>
      <c r="P53" s="196"/>
      <c r="Q53" s="188"/>
    </row>
    <row r="54" spans="1:17" ht="25.5" x14ac:dyDescent="0.2">
      <c r="A54" s="197" t="str">
        <f t="shared" si="0"/>
        <v>energy_joule</v>
      </c>
      <c r="B54" s="409"/>
      <c r="C54" s="416"/>
      <c r="D54" s="228" t="s">
        <v>624</v>
      </c>
      <c r="E54" s="228">
        <v>2</v>
      </c>
      <c r="F54" s="229" t="s">
        <v>625</v>
      </c>
      <c r="G54" s="228" t="s">
        <v>626</v>
      </c>
      <c r="H54" s="230"/>
      <c r="I54" s="230"/>
      <c r="J54" s="228">
        <v>70140</v>
      </c>
      <c r="K54" s="231" t="str">
        <f>CONCATENATE(Cover!$D$6,"fdd/view?i=",J54)</f>
        <v>https://www.dgiwg.org/FAD/fdd/view?i=70140</v>
      </c>
      <c r="L54" s="231" t="s">
        <v>627</v>
      </c>
      <c r="M54" s="230"/>
      <c r="N54" s="230"/>
      <c r="O54" s="187" t="s">
        <v>623</v>
      </c>
      <c r="P54" s="202"/>
      <c r="Q54" s="188"/>
    </row>
    <row r="55" spans="1:17" ht="25.5" x14ac:dyDescent="0.2">
      <c r="A55" s="197" t="str">
        <f t="shared" si="0"/>
        <v>energy_erg</v>
      </c>
      <c r="B55" s="409"/>
      <c r="C55" s="416"/>
      <c r="D55" s="198" t="s">
        <v>629</v>
      </c>
      <c r="E55" s="198">
        <v>3</v>
      </c>
      <c r="F55" s="199" t="s">
        <v>630</v>
      </c>
      <c r="G55" s="1" t="s">
        <v>631</v>
      </c>
      <c r="H55" s="200"/>
      <c r="I55" s="200"/>
      <c r="J55" s="201">
        <v>70141</v>
      </c>
      <c r="K55" s="25" t="str">
        <f>CONCATENATE(Cover!$D$6,"fdd/view?i=",J55)</f>
        <v>https://www.dgiwg.org/FAD/fdd/view?i=70141</v>
      </c>
      <c r="L55" s="25" t="s">
        <v>632</v>
      </c>
      <c r="M55" s="200"/>
      <c r="N55" s="200"/>
      <c r="O55" s="13" t="s">
        <v>628</v>
      </c>
      <c r="P55" s="202"/>
      <c r="Q55" s="188"/>
    </row>
    <row r="56" spans="1:17" ht="25.5" x14ac:dyDescent="0.2">
      <c r="A56" s="197" t="str">
        <f t="shared" si="0"/>
        <v>energy_thermochemicalCalorie</v>
      </c>
      <c r="B56" s="409"/>
      <c r="C56" s="416"/>
      <c r="D56" s="198" t="s">
        <v>634</v>
      </c>
      <c r="E56" s="198">
        <v>4</v>
      </c>
      <c r="F56" s="199" t="s">
        <v>635</v>
      </c>
      <c r="G56" s="1" t="s">
        <v>636</v>
      </c>
      <c r="H56" s="200"/>
      <c r="I56" s="200"/>
      <c r="J56" s="201">
        <v>70142</v>
      </c>
      <c r="K56" s="25" t="str">
        <f>CONCATENATE(Cover!$D$6,"fdd/view?i=",J56)</f>
        <v>https://www.dgiwg.org/FAD/fdd/view?i=70142</v>
      </c>
      <c r="L56" s="25" t="s">
        <v>637</v>
      </c>
      <c r="M56" s="200"/>
      <c r="N56" s="200"/>
      <c r="O56" s="13" t="s">
        <v>633</v>
      </c>
      <c r="P56" s="202"/>
      <c r="Q56" s="188"/>
    </row>
    <row r="57" spans="1:17" ht="51" x14ac:dyDescent="0.2">
      <c r="A57" s="197" t="str">
        <f t="shared" si="0"/>
        <v>energy_electronVolt</v>
      </c>
      <c r="B57" s="409"/>
      <c r="C57" s="416"/>
      <c r="D57" s="198" t="s">
        <v>639</v>
      </c>
      <c r="E57" s="198">
        <v>5</v>
      </c>
      <c r="F57" s="199" t="s">
        <v>640</v>
      </c>
      <c r="G57" s="1" t="s">
        <v>641</v>
      </c>
      <c r="H57" s="200"/>
      <c r="I57" s="200"/>
      <c r="J57" s="201">
        <v>70143</v>
      </c>
      <c r="K57" s="25" t="str">
        <f>CONCATENATE(Cover!$D$6,"fdd/view?i=",J57)</f>
        <v>https://www.dgiwg.org/FAD/fdd/view?i=70143</v>
      </c>
      <c r="L57" s="25" t="s">
        <v>642</v>
      </c>
      <c r="M57" s="200"/>
      <c r="N57" s="200"/>
      <c r="O57" s="13" t="s">
        <v>638</v>
      </c>
      <c r="P57" s="202"/>
      <c r="Q57" s="188"/>
    </row>
    <row r="58" spans="1:17" ht="25.5" x14ac:dyDescent="0.2">
      <c r="A58" s="197" t="str">
        <f t="shared" si="0"/>
        <v>energy_kilogramForceMetre</v>
      </c>
      <c r="B58" s="409"/>
      <c r="C58" s="416"/>
      <c r="D58" s="198" t="s">
        <v>644</v>
      </c>
      <c r="E58" s="198">
        <v>6</v>
      </c>
      <c r="F58" s="199" t="s">
        <v>645</v>
      </c>
      <c r="G58" s="1" t="s">
        <v>646</v>
      </c>
      <c r="H58" s="200"/>
      <c r="I58" s="200"/>
      <c r="J58" s="201">
        <v>70144</v>
      </c>
      <c r="K58" s="25" t="str">
        <f>CONCATENATE(Cover!$D$6,"fdd/view?i=",J58)</f>
        <v>https://www.dgiwg.org/FAD/fdd/view?i=70144</v>
      </c>
      <c r="L58" s="25" t="s">
        <v>647</v>
      </c>
      <c r="M58" s="200"/>
      <c r="N58" s="200"/>
      <c r="O58" s="13" t="s">
        <v>643</v>
      </c>
      <c r="P58" s="202"/>
      <c r="Q58" s="188"/>
    </row>
    <row r="59" spans="1:17" ht="25.5" x14ac:dyDescent="0.2">
      <c r="A59" s="197" t="str">
        <f t="shared" si="0"/>
        <v>energy_footPoundForce</v>
      </c>
      <c r="B59" s="409"/>
      <c r="C59" s="416"/>
      <c r="D59" s="198" t="s">
        <v>649</v>
      </c>
      <c r="E59" s="198">
        <v>7</v>
      </c>
      <c r="F59" s="199" t="s">
        <v>650</v>
      </c>
      <c r="G59" s="1" t="s">
        <v>651</v>
      </c>
      <c r="H59" s="200"/>
      <c r="I59" s="200"/>
      <c r="J59" s="201">
        <v>70145</v>
      </c>
      <c r="K59" s="25" t="str">
        <f>CONCATENATE(Cover!$D$6,"fdd/view?i=",J59)</f>
        <v>https://www.dgiwg.org/FAD/fdd/view?i=70145</v>
      </c>
      <c r="L59" s="25" t="s">
        <v>652</v>
      </c>
      <c r="M59" s="200"/>
      <c r="N59" s="200"/>
      <c r="O59" s="13" t="s">
        <v>648</v>
      </c>
      <c r="P59" s="202"/>
      <c r="Q59" s="188"/>
    </row>
    <row r="60" spans="1:17" ht="25.5" x14ac:dyDescent="0.2">
      <c r="A60" s="197" t="str">
        <f t="shared" si="0"/>
        <v>energy_megawattHour</v>
      </c>
      <c r="B60" s="409"/>
      <c r="C60" s="416"/>
      <c r="D60" s="198" t="s">
        <v>654</v>
      </c>
      <c r="E60" s="198">
        <v>8</v>
      </c>
      <c r="F60" s="199" t="s">
        <v>655</v>
      </c>
      <c r="G60" s="1" t="s">
        <v>656</v>
      </c>
      <c r="H60" s="200"/>
      <c r="I60" s="200"/>
      <c r="J60" s="201">
        <v>70350</v>
      </c>
      <c r="K60" s="25" t="str">
        <f>CONCATENATE(Cover!$D$6,"fdd/view?i=",J60)</f>
        <v>https://www.dgiwg.org/FAD/fdd/view?i=70350</v>
      </c>
      <c r="L60" s="25" t="s">
        <v>657</v>
      </c>
      <c r="M60" s="200"/>
      <c r="N60" s="200"/>
      <c r="O60" s="13" t="s">
        <v>653</v>
      </c>
      <c r="P60" s="202"/>
      <c r="Q60" s="188"/>
    </row>
    <row r="61" spans="1:17" ht="25.5" x14ac:dyDescent="0.2">
      <c r="A61" s="197" t="str">
        <f t="shared" si="0"/>
        <v>energy_kilowattHour</v>
      </c>
      <c r="B61" s="409"/>
      <c r="C61" s="416"/>
      <c r="D61" s="198" t="s">
        <v>659</v>
      </c>
      <c r="E61" s="198">
        <v>9</v>
      </c>
      <c r="F61" s="199" t="s">
        <v>660</v>
      </c>
      <c r="G61" s="1" t="s">
        <v>661</v>
      </c>
      <c r="H61" s="200"/>
      <c r="I61" s="200"/>
      <c r="J61" s="201">
        <v>70351</v>
      </c>
      <c r="K61" s="25" t="str">
        <f>CONCATENATE(Cover!$D$6,"fdd/view?i=",J61)</f>
        <v>https://www.dgiwg.org/FAD/fdd/view?i=70351</v>
      </c>
      <c r="L61" s="25" t="s">
        <v>662</v>
      </c>
      <c r="M61" s="200"/>
      <c r="N61" s="200"/>
      <c r="O61" s="13" t="s">
        <v>658</v>
      </c>
      <c r="P61" s="202"/>
      <c r="Q61" s="188"/>
    </row>
    <row r="62" spans="1:17" ht="25.5" x14ac:dyDescent="0.2">
      <c r="A62" s="203" t="str">
        <f t="shared" si="0"/>
        <v>energy_wattHour</v>
      </c>
      <c r="B62" s="410"/>
      <c r="C62" s="417"/>
      <c r="D62" s="204" t="s">
        <v>664</v>
      </c>
      <c r="E62" s="204">
        <v>10</v>
      </c>
      <c r="F62" s="205" t="s">
        <v>665</v>
      </c>
      <c r="G62" s="206" t="s">
        <v>666</v>
      </c>
      <c r="H62" s="207"/>
      <c r="I62" s="207"/>
      <c r="J62" s="208">
        <v>70352</v>
      </c>
      <c r="K62" s="209" t="str">
        <f>CONCATENATE(Cover!$D$6,"fdd/view?i=",J62)</f>
        <v>https://www.dgiwg.org/FAD/fdd/view?i=70352</v>
      </c>
      <c r="L62" s="209" t="s">
        <v>667</v>
      </c>
      <c r="M62" s="207"/>
      <c r="N62" s="207"/>
      <c r="O62" s="210" t="s">
        <v>663</v>
      </c>
      <c r="P62" s="211"/>
      <c r="Q62" s="188"/>
    </row>
    <row r="63" spans="1:17" ht="25.5" x14ac:dyDescent="0.2">
      <c r="A63" s="190" t="str">
        <f t="shared" si="0"/>
        <v>force_kilopoundForce</v>
      </c>
      <c r="B63" s="414" t="str">
        <f>HYPERLINK("[#]PhysicalQuantities!A14:N14","force")</f>
        <v>force</v>
      </c>
      <c r="C63" s="415" t="s">
        <v>247</v>
      </c>
      <c r="D63" s="221" t="s">
        <v>668</v>
      </c>
      <c r="E63" s="221">
        <v>1</v>
      </c>
      <c r="F63" s="222" t="s">
        <v>669</v>
      </c>
      <c r="G63" s="223" t="s">
        <v>670</v>
      </c>
      <c r="H63" s="224"/>
      <c r="I63" s="223" t="s">
        <v>671</v>
      </c>
      <c r="J63" s="225">
        <v>70146</v>
      </c>
      <c r="K63" s="226" t="str">
        <f>CONCATENATE(Cover!$D$6,"fdd/view?i=",J63)</f>
        <v>https://www.dgiwg.org/FAD/fdd/view?i=70146</v>
      </c>
      <c r="L63" s="226" t="s">
        <v>672</v>
      </c>
      <c r="M63" s="224"/>
      <c r="N63" s="224"/>
      <c r="O63" s="227"/>
      <c r="P63" s="196"/>
      <c r="Q63" s="188"/>
    </row>
    <row r="64" spans="1:17" ht="25.5" x14ac:dyDescent="0.2">
      <c r="A64" s="197" t="str">
        <f t="shared" si="0"/>
        <v>force_kilogramForce</v>
      </c>
      <c r="B64" s="409"/>
      <c r="C64" s="416"/>
      <c r="D64" s="198" t="s">
        <v>674</v>
      </c>
      <c r="E64" s="198">
        <v>2</v>
      </c>
      <c r="F64" s="199" t="s">
        <v>675</v>
      </c>
      <c r="G64" s="1" t="s">
        <v>676</v>
      </c>
      <c r="H64" s="200"/>
      <c r="I64" s="1" t="s">
        <v>677</v>
      </c>
      <c r="J64" s="201">
        <v>70147</v>
      </c>
      <c r="K64" s="25" t="str">
        <f>CONCATENATE(Cover!$D$6,"fdd/view?i=",J64)</f>
        <v>https://www.dgiwg.org/FAD/fdd/view?i=70147</v>
      </c>
      <c r="L64" s="25" t="s">
        <v>678</v>
      </c>
      <c r="M64" s="200"/>
      <c r="N64" s="200"/>
      <c r="O64" s="13" t="s">
        <v>673</v>
      </c>
      <c r="P64" s="202"/>
      <c r="Q64" s="188"/>
    </row>
    <row r="65" spans="1:17" ht="25.5" x14ac:dyDescent="0.2">
      <c r="A65" s="197" t="str">
        <f t="shared" si="0"/>
        <v>force_poundForce</v>
      </c>
      <c r="B65" s="409"/>
      <c r="C65" s="416"/>
      <c r="D65" s="198" t="s">
        <v>680</v>
      </c>
      <c r="E65" s="198">
        <v>3</v>
      </c>
      <c r="F65" s="199" t="s">
        <v>681</v>
      </c>
      <c r="G65" s="1" t="s">
        <v>682</v>
      </c>
      <c r="H65" s="200"/>
      <c r="I65" s="1" t="s">
        <v>683</v>
      </c>
      <c r="J65" s="201">
        <v>70148</v>
      </c>
      <c r="K65" s="25" t="str">
        <f>CONCATENATE(Cover!$D$6,"fdd/view?i=",J65)</f>
        <v>https://www.dgiwg.org/FAD/fdd/view?i=70148</v>
      </c>
      <c r="L65" s="25" t="s">
        <v>684</v>
      </c>
      <c r="M65" s="200"/>
      <c r="N65" s="200"/>
      <c r="O65" s="13" t="s">
        <v>679</v>
      </c>
      <c r="P65" s="202"/>
      <c r="Q65" s="188"/>
    </row>
    <row r="66" spans="1:17" ht="38.25" x14ac:dyDescent="0.2">
      <c r="A66" s="197" t="str">
        <f t="shared" ref="A66:A129" si="1">HYPERLINK(K66,L66)</f>
        <v>force_newton</v>
      </c>
      <c r="B66" s="409"/>
      <c r="C66" s="416"/>
      <c r="D66" s="228" t="s">
        <v>686</v>
      </c>
      <c r="E66" s="228">
        <v>4</v>
      </c>
      <c r="F66" s="229" t="s">
        <v>687</v>
      </c>
      <c r="G66" s="228" t="s">
        <v>688</v>
      </c>
      <c r="H66" s="230"/>
      <c r="I66" s="230"/>
      <c r="J66" s="228">
        <v>70149</v>
      </c>
      <c r="K66" s="231" t="str">
        <f>CONCATENATE(Cover!$D$6,"fdd/view?i=",J66)</f>
        <v>https://www.dgiwg.org/FAD/fdd/view?i=70149</v>
      </c>
      <c r="L66" s="231" t="s">
        <v>689</v>
      </c>
      <c r="M66" s="230"/>
      <c r="N66" s="230"/>
      <c r="O66" s="187" t="s">
        <v>685</v>
      </c>
      <c r="P66" s="202"/>
      <c r="Q66" s="188"/>
    </row>
    <row r="67" spans="1:17" ht="25.5" x14ac:dyDescent="0.2">
      <c r="A67" s="203" t="str">
        <f t="shared" si="1"/>
        <v>force_dyne</v>
      </c>
      <c r="B67" s="410"/>
      <c r="C67" s="417"/>
      <c r="D67" s="204" t="s">
        <v>691</v>
      </c>
      <c r="E67" s="204">
        <v>5</v>
      </c>
      <c r="F67" s="205" t="s">
        <v>692</v>
      </c>
      <c r="G67" s="206" t="s">
        <v>693</v>
      </c>
      <c r="H67" s="207"/>
      <c r="I67" s="207"/>
      <c r="J67" s="208">
        <v>70150</v>
      </c>
      <c r="K67" s="209" t="str">
        <f>CONCATENATE(Cover!$D$6,"fdd/view?i=",J67)</f>
        <v>https://www.dgiwg.org/FAD/fdd/view?i=70150</v>
      </c>
      <c r="L67" s="209" t="s">
        <v>694</v>
      </c>
      <c r="M67" s="207"/>
      <c r="N67" s="207"/>
      <c r="O67" s="210" t="s">
        <v>690</v>
      </c>
      <c r="P67" s="211"/>
      <c r="Q67" s="188"/>
    </row>
    <row r="68" spans="1:17" ht="25.5" x14ac:dyDescent="0.2">
      <c r="A68" s="190" t="str">
        <f t="shared" si="1"/>
        <v>frequency_gigahertz</v>
      </c>
      <c r="B68" s="414" t="str">
        <f>HYPERLINK("[#]PhysicalQuantities!A15:N15","frequency")</f>
        <v>frequency</v>
      </c>
      <c r="C68" s="415" t="s">
        <v>250</v>
      </c>
      <c r="D68" s="221" t="s">
        <v>696</v>
      </c>
      <c r="E68" s="221">
        <v>1</v>
      </c>
      <c r="F68" s="222" t="s">
        <v>697</v>
      </c>
      <c r="G68" s="223" t="s">
        <v>698</v>
      </c>
      <c r="H68" s="224"/>
      <c r="I68" s="224"/>
      <c r="J68" s="225">
        <v>70151</v>
      </c>
      <c r="K68" s="226" t="str">
        <f>CONCATENATE(Cover!$D$6,"fdd/view?i=",J68)</f>
        <v>https://www.dgiwg.org/FAD/fdd/view?i=70151</v>
      </c>
      <c r="L68" s="226" t="s">
        <v>699</v>
      </c>
      <c r="M68" s="224"/>
      <c r="N68" s="224"/>
      <c r="O68" s="233" t="s">
        <v>695</v>
      </c>
      <c r="P68" s="196"/>
      <c r="Q68" s="188"/>
    </row>
    <row r="69" spans="1:17" ht="25.5" x14ac:dyDescent="0.2">
      <c r="A69" s="197" t="str">
        <f t="shared" si="1"/>
        <v>frequency_megahertz</v>
      </c>
      <c r="B69" s="409"/>
      <c r="C69" s="416"/>
      <c r="D69" s="198" t="s">
        <v>701</v>
      </c>
      <c r="E69" s="198">
        <v>2</v>
      </c>
      <c r="F69" s="199" t="s">
        <v>702</v>
      </c>
      <c r="G69" s="1" t="s">
        <v>703</v>
      </c>
      <c r="H69" s="200"/>
      <c r="I69" s="200"/>
      <c r="J69" s="201">
        <v>70152</v>
      </c>
      <c r="K69" s="25" t="str">
        <f>CONCATENATE(Cover!$D$6,"fdd/view?i=",J69)</f>
        <v>https://www.dgiwg.org/FAD/fdd/view?i=70152</v>
      </c>
      <c r="L69" s="25" t="s">
        <v>704</v>
      </c>
      <c r="M69" s="200"/>
      <c r="N69" s="200"/>
      <c r="O69" s="13" t="s">
        <v>700</v>
      </c>
      <c r="P69" s="202"/>
      <c r="Q69" s="188"/>
    </row>
    <row r="70" spans="1:17" ht="25.5" x14ac:dyDescent="0.2">
      <c r="A70" s="197" t="str">
        <f t="shared" si="1"/>
        <v>frequency_kilohertz</v>
      </c>
      <c r="B70" s="409"/>
      <c r="C70" s="416"/>
      <c r="D70" s="198" t="s">
        <v>706</v>
      </c>
      <c r="E70" s="198">
        <v>3</v>
      </c>
      <c r="F70" s="199" t="s">
        <v>707</v>
      </c>
      <c r="G70" s="1" t="s">
        <v>708</v>
      </c>
      <c r="H70" s="200"/>
      <c r="I70" s="200"/>
      <c r="J70" s="201">
        <v>70153</v>
      </c>
      <c r="K70" s="25" t="str">
        <f>CONCATENATE(Cover!$D$6,"fdd/view?i=",J70)</f>
        <v>https://www.dgiwg.org/FAD/fdd/view?i=70153</v>
      </c>
      <c r="L70" s="25" t="s">
        <v>709</v>
      </c>
      <c r="M70" s="200"/>
      <c r="N70" s="200"/>
      <c r="O70" s="13" t="s">
        <v>705</v>
      </c>
      <c r="P70" s="202"/>
      <c r="Q70" s="188"/>
    </row>
    <row r="71" spans="1:17" ht="25.5" x14ac:dyDescent="0.2">
      <c r="A71" s="203" t="str">
        <f t="shared" si="1"/>
        <v>frequency_hertz</v>
      </c>
      <c r="B71" s="410"/>
      <c r="C71" s="417"/>
      <c r="D71" s="234" t="s">
        <v>711</v>
      </c>
      <c r="E71" s="234">
        <v>4</v>
      </c>
      <c r="F71" s="235" t="s">
        <v>712</v>
      </c>
      <c r="G71" s="234" t="s">
        <v>713</v>
      </c>
      <c r="H71" s="236"/>
      <c r="I71" s="236"/>
      <c r="J71" s="234">
        <v>70154</v>
      </c>
      <c r="K71" s="237" t="str">
        <f>CONCATENATE(Cover!$D$6,"fdd/view?i=",J71)</f>
        <v>https://www.dgiwg.org/FAD/fdd/view?i=70154</v>
      </c>
      <c r="L71" s="237" t="s">
        <v>714</v>
      </c>
      <c r="M71" s="236"/>
      <c r="N71" s="236"/>
      <c r="O71" s="238" t="s">
        <v>710</v>
      </c>
      <c r="P71" s="211"/>
      <c r="Q71" s="188"/>
    </row>
    <row r="72" spans="1:17" ht="38.25" x14ac:dyDescent="0.2">
      <c r="A72" s="212" t="str">
        <f t="shared" si="1"/>
        <v>geopotentialEnergyLength_geopotentialMetre</v>
      </c>
      <c r="B72" s="213" t="str">
        <f>HYPERLINK("[#]PhysicalQuantities!A16:N16","geopotentialEnergyLength")</f>
        <v>geopotentialEnergyLength</v>
      </c>
      <c r="C72" s="214" t="s">
        <v>253</v>
      </c>
      <c r="D72" s="240" t="s">
        <v>715</v>
      </c>
      <c r="E72" s="240">
        <v>1</v>
      </c>
      <c r="F72" s="241" t="s">
        <v>716</v>
      </c>
      <c r="G72" s="242" t="s">
        <v>717</v>
      </c>
      <c r="H72" s="242" t="s">
        <v>718</v>
      </c>
      <c r="I72" s="243"/>
      <c r="J72" s="244">
        <v>70155</v>
      </c>
      <c r="K72" s="245" t="str">
        <f>CONCATENATE(Cover!$D$6,"fdd/view?i=",J72)</f>
        <v>https://www.dgiwg.org/FAD/fdd/view?i=70155</v>
      </c>
      <c r="L72" s="245" t="s">
        <v>719</v>
      </c>
      <c r="M72" s="243"/>
      <c r="N72" s="243"/>
      <c r="O72" s="246"/>
      <c r="P72" s="220"/>
      <c r="Q72" s="188"/>
    </row>
    <row r="73" spans="1:17" ht="25.5" x14ac:dyDescent="0.2">
      <c r="A73" s="190" t="str">
        <f t="shared" si="1"/>
        <v>illuminance_lux</v>
      </c>
      <c r="B73" s="414" t="str">
        <f>HYPERLINK("[#]PhysicalQuantities!A17:N17","illuminance")</f>
        <v>illuminance</v>
      </c>
      <c r="C73" s="415" t="s">
        <v>256</v>
      </c>
      <c r="D73" s="191" t="s">
        <v>721</v>
      </c>
      <c r="E73" s="191">
        <v>1</v>
      </c>
      <c r="F73" s="192" t="s">
        <v>722</v>
      </c>
      <c r="G73" s="191" t="s">
        <v>723</v>
      </c>
      <c r="H73" s="193"/>
      <c r="I73" s="193"/>
      <c r="J73" s="191">
        <v>70157</v>
      </c>
      <c r="K73" s="194" t="str">
        <f>CONCATENATE(Cover!$D$6,"fdd/view?i=",J73)</f>
        <v>https://www.dgiwg.org/FAD/fdd/view?i=70157</v>
      </c>
      <c r="L73" s="194" t="s">
        <v>724</v>
      </c>
      <c r="M73" s="193"/>
      <c r="N73" s="193"/>
      <c r="O73" s="195" t="s">
        <v>720</v>
      </c>
      <c r="P73" s="196"/>
      <c r="Q73" s="188"/>
    </row>
    <row r="74" spans="1:17" ht="25.5" x14ac:dyDescent="0.2">
      <c r="A74" s="197" t="str">
        <f t="shared" si="1"/>
        <v>illuminance_kilolux</v>
      </c>
      <c r="B74" s="409"/>
      <c r="C74" s="416"/>
      <c r="D74" s="198" t="s">
        <v>725</v>
      </c>
      <c r="E74" s="198">
        <v>2</v>
      </c>
      <c r="F74" s="199" t="s">
        <v>726</v>
      </c>
      <c r="G74" s="1" t="s">
        <v>727</v>
      </c>
      <c r="H74" s="200"/>
      <c r="I74" s="200"/>
      <c r="J74" s="201">
        <v>70156</v>
      </c>
      <c r="K74" s="25" t="str">
        <f>CONCATENATE(Cover!$D$6,"fdd/view?i=",J74)</f>
        <v>https://www.dgiwg.org/FAD/fdd/view?i=70156</v>
      </c>
      <c r="L74" s="25" t="s">
        <v>728</v>
      </c>
      <c r="M74" s="200"/>
      <c r="N74" s="200"/>
      <c r="O74" s="172"/>
      <c r="P74" s="202"/>
      <c r="Q74" s="188"/>
    </row>
    <row r="75" spans="1:17" ht="25.5" x14ac:dyDescent="0.2">
      <c r="A75" s="203" t="str">
        <f t="shared" si="1"/>
        <v>illuminance_millilux</v>
      </c>
      <c r="B75" s="410"/>
      <c r="C75" s="417"/>
      <c r="D75" s="204" t="s">
        <v>729</v>
      </c>
      <c r="E75" s="204">
        <v>3</v>
      </c>
      <c r="F75" s="205" t="s">
        <v>730</v>
      </c>
      <c r="G75" s="206" t="s">
        <v>731</v>
      </c>
      <c r="H75" s="207"/>
      <c r="I75" s="207"/>
      <c r="J75" s="208">
        <v>70158</v>
      </c>
      <c r="K75" s="209" t="str">
        <f>CONCATENATE(Cover!$D$6,"fdd/view?i=",J75)</f>
        <v>https://www.dgiwg.org/FAD/fdd/view?i=70158</v>
      </c>
      <c r="L75" s="209" t="s">
        <v>732</v>
      </c>
      <c r="M75" s="207"/>
      <c r="N75" s="207"/>
      <c r="O75" s="232"/>
      <c r="P75" s="211"/>
      <c r="Q75" s="188"/>
    </row>
    <row r="76" spans="1:17" ht="25.5" x14ac:dyDescent="0.2">
      <c r="A76" s="190" t="str">
        <f t="shared" si="1"/>
        <v>inductance_henry</v>
      </c>
      <c r="B76" s="414" t="str">
        <f>HYPERLINK("[#]PhysicalQuantities!A18:N18","inductance")</f>
        <v>inductance</v>
      </c>
      <c r="C76" s="415" t="s">
        <v>260</v>
      </c>
      <c r="D76" s="191" t="s">
        <v>734</v>
      </c>
      <c r="E76" s="191">
        <v>1</v>
      </c>
      <c r="F76" s="192" t="s">
        <v>735</v>
      </c>
      <c r="G76" s="191" t="s">
        <v>736</v>
      </c>
      <c r="H76" s="193"/>
      <c r="I76" s="193"/>
      <c r="J76" s="191">
        <v>70159</v>
      </c>
      <c r="K76" s="194" t="str">
        <f>CONCATENATE(Cover!$D$6,"fdd/view?i=",J76)</f>
        <v>https://www.dgiwg.org/FAD/fdd/view?i=70159</v>
      </c>
      <c r="L76" s="194" t="s">
        <v>737</v>
      </c>
      <c r="M76" s="193"/>
      <c r="N76" s="193"/>
      <c r="O76" s="195" t="s">
        <v>733</v>
      </c>
      <c r="P76" s="196"/>
      <c r="Q76" s="188"/>
    </row>
    <row r="77" spans="1:17" ht="25.5" x14ac:dyDescent="0.2">
      <c r="A77" s="203" t="str">
        <f t="shared" si="1"/>
        <v>inductance_microhenry</v>
      </c>
      <c r="B77" s="410"/>
      <c r="C77" s="417"/>
      <c r="D77" s="204" t="s">
        <v>739</v>
      </c>
      <c r="E77" s="204">
        <v>2</v>
      </c>
      <c r="F77" s="205" t="s">
        <v>740</v>
      </c>
      <c r="G77" s="206" t="s">
        <v>741</v>
      </c>
      <c r="H77" s="207"/>
      <c r="I77" s="207"/>
      <c r="J77" s="208">
        <v>70160</v>
      </c>
      <c r="K77" s="209" t="str">
        <f>CONCATENATE(Cover!$D$6,"fdd/view?i=",J77)</f>
        <v>https://www.dgiwg.org/FAD/fdd/view?i=70160</v>
      </c>
      <c r="L77" s="209" t="s">
        <v>742</v>
      </c>
      <c r="M77" s="207"/>
      <c r="N77" s="207"/>
      <c r="O77" s="210" t="s">
        <v>738</v>
      </c>
      <c r="P77" s="211"/>
      <c r="Q77" s="188"/>
    </row>
    <row r="78" spans="1:17" ht="25.5" x14ac:dyDescent="0.2">
      <c r="A78" s="190" t="str">
        <f t="shared" si="1"/>
        <v>irradiance_wattPerSquareMetre</v>
      </c>
      <c r="B78" s="414" t="str">
        <f>HYPERLINK("[#]PhysicalQuantities!A19:N19","irradiance")</f>
        <v>irradiance</v>
      </c>
      <c r="C78" s="415" t="s">
        <v>263</v>
      </c>
      <c r="D78" s="191" t="s">
        <v>744</v>
      </c>
      <c r="E78" s="191">
        <v>1</v>
      </c>
      <c r="F78" s="192" t="s">
        <v>745</v>
      </c>
      <c r="G78" s="191" t="s">
        <v>746</v>
      </c>
      <c r="H78" s="193"/>
      <c r="I78" s="193"/>
      <c r="J78" s="191">
        <v>70161</v>
      </c>
      <c r="K78" s="194" t="str">
        <f>CONCATENATE(Cover!$D$6,"fdd/view?i=",J78)</f>
        <v>https://www.dgiwg.org/FAD/fdd/view?i=70161</v>
      </c>
      <c r="L78" s="194" t="s">
        <v>747</v>
      </c>
      <c r="M78" s="193"/>
      <c r="N78" s="193"/>
      <c r="O78" s="195" t="s">
        <v>743</v>
      </c>
      <c r="P78" s="196"/>
      <c r="Q78" s="188"/>
    </row>
    <row r="79" spans="1:17" ht="38.25" x14ac:dyDescent="0.2">
      <c r="A79" s="203" t="str">
        <f t="shared" si="1"/>
        <v>irradiance_ergsPerSqCmPerSecond</v>
      </c>
      <c r="B79" s="410"/>
      <c r="C79" s="417"/>
      <c r="D79" s="204" t="s">
        <v>749</v>
      </c>
      <c r="E79" s="204">
        <v>2</v>
      </c>
      <c r="F79" s="205" t="s">
        <v>750</v>
      </c>
      <c r="G79" s="206" t="s">
        <v>751</v>
      </c>
      <c r="H79" s="207"/>
      <c r="I79" s="207"/>
      <c r="J79" s="208">
        <v>70162</v>
      </c>
      <c r="K79" s="209" t="str">
        <f>CONCATENATE(Cover!$D$6,"fdd/view?i=",J79)</f>
        <v>https://www.dgiwg.org/FAD/fdd/view?i=70162</v>
      </c>
      <c r="L79" s="209" t="s">
        <v>752</v>
      </c>
      <c r="M79" s="207"/>
      <c r="N79" s="207"/>
      <c r="O79" s="210" t="s">
        <v>748</v>
      </c>
      <c r="P79" s="211"/>
      <c r="Q79" s="188"/>
    </row>
    <row r="80" spans="1:17" ht="38.25" x14ac:dyDescent="0.2">
      <c r="A80" s="190" t="str">
        <f t="shared" si="1"/>
        <v>length_metre</v>
      </c>
      <c r="B80" s="414" t="str">
        <f>HYPERLINK("[#]PhysicalQuantities!A20:N20","length")</f>
        <v>length</v>
      </c>
      <c r="C80" s="415" t="s">
        <v>34</v>
      </c>
      <c r="D80" s="191" t="s">
        <v>754</v>
      </c>
      <c r="E80" s="191">
        <v>1</v>
      </c>
      <c r="F80" s="192" t="s">
        <v>755</v>
      </c>
      <c r="G80" s="191" t="s">
        <v>756</v>
      </c>
      <c r="H80" s="193"/>
      <c r="I80" s="193"/>
      <c r="J80" s="191">
        <v>70163</v>
      </c>
      <c r="K80" s="194" t="str">
        <f>CONCATENATE(Cover!$D$6,"fdd/view?i=",J80)</f>
        <v>https://www.dgiwg.org/FAD/fdd/view?i=70163</v>
      </c>
      <c r="L80" s="194" t="s">
        <v>757</v>
      </c>
      <c r="M80" s="193"/>
      <c r="N80" s="193"/>
      <c r="O80" s="195" t="s">
        <v>753</v>
      </c>
      <c r="P80" s="196"/>
      <c r="Q80" s="188"/>
    </row>
    <row r="81" spans="1:17" ht="25.5" x14ac:dyDescent="0.2">
      <c r="A81" s="197" t="str">
        <f t="shared" si="1"/>
        <v>length_hectokilometre</v>
      </c>
      <c r="B81" s="409"/>
      <c r="C81" s="416"/>
      <c r="D81" s="198" t="s">
        <v>758</v>
      </c>
      <c r="E81" s="198">
        <v>2</v>
      </c>
      <c r="F81" s="199" t="s">
        <v>759</v>
      </c>
      <c r="G81" s="1" t="s">
        <v>760</v>
      </c>
      <c r="H81" s="200"/>
      <c r="I81" s="200"/>
      <c r="J81" s="201">
        <v>70164</v>
      </c>
      <c r="K81" s="25" t="str">
        <f>CONCATENATE(Cover!$D$6,"fdd/view?i=",J81)</f>
        <v>https://www.dgiwg.org/FAD/fdd/view?i=70164</v>
      </c>
      <c r="L81" s="25" t="s">
        <v>761</v>
      </c>
      <c r="M81" s="200"/>
      <c r="N81" s="200"/>
      <c r="O81" s="172"/>
      <c r="P81" s="202"/>
      <c r="Q81" s="188"/>
    </row>
    <row r="82" spans="1:17" ht="25.5" x14ac:dyDescent="0.2">
      <c r="A82" s="197" t="str">
        <f t="shared" si="1"/>
        <v>length_decakilometre</v>
      </c>
      <c r="B82" s="409"/>
      <c r="C82" s="416"/>
      <c r="D82" s="198" t="s">
        <v>762</v>
      </c>
      <c r="E82" s="198">
        <v>3</v>
      </c>
      <c r="F82" s="199" t="s">
        <v>763</v>
      </c>
      <c r="G82" s="1" t="s">
        <v>764</v>
      </c>
      <c r="H82" s="200"/>
      <c r="I82" s="200"/>
      <c r="J82" s="201">
        <v>70165</v>
      </c>
      <c r="K82" s="25" t="str">
        <f>CONCATENATE(Cover!$D$6,"fdd/view?i=",J82)</f>
        <v>https://www.dgiwg.org/FAD/fdd/view?i=70165</v>
      </c>
      <c r="L82" s="25" t="s">
        <v>765</v>
      </c>
      <c r="M82" s="200"/>
      <c r="N82" s="200"/>
      <c r="O82" s="172"/>
      <c r="P82" s="202"/>
      <c r="Q82" s="188"/>
    </row>
    <row r="83" spans="1:17" ht="25.5" x14ac:dyDescent="0.2">
      <c r="A83" s="197" t="str">
        <f t="shared" si="1"/>
        <v>length_kilometre</v>
      </c>
      <c r="B83" s="409"/>
      <c r="C83" s="416"/>
      <c r="D83" s="198" t="s">
        <v>767</v>
      </c>
      <c r="E83" s="198">
        <v>4</v>
      </c>
      <c r="F83" s="199" t="s">
        <v>768</v>
      </c>
      <c r="G83" s="1" t="s">
        <v>769</v>
      </c>
      <c r="H83" s="200"/>
      <c r="I83" s="200"/>
      <c r="J83" s="201">
        <v>70166</v>
      </c>
      <c r="K83" s="25" t="str">
        <f>CONCATENATE(Cover!$D$6,"fdd/view?i=",J83)</f>
        <v>https://www.dgiwg.org/FAD/fdd/view?i=70166</v>
      </c>
      <c r="L83" s="25" t="s">
        <v>770</v>
      </c>
      <c r="M83" s="200"/>
      <c r="N83" s="200"/>
      <c r="O83" s="13" t="s">
        <v>766</v>
      </c>
      <c r="P83" s="202"/>
      <c r="Q83" s="188"/>
    </row>
    <row r="84" spans="1:17" ht="25.5" x14ac:dyDescent="0.2">
      <c r="A84" s="197" t="str">
        <f t="shared" si="1"/>
        <v>length_hectometre</v>
      </c>
      <c r="B84" s="409"/>
      <c r="C84" s="416"/>
      <c r="D84" s="198" t="s">
        <v>772</v>
      </c>
      <c r="E84" s="198">
        <v>5</v>
      </c>
      <c r="F84" s="199" t="s">
        <v>773</v>
      </c>
      <c r="G84" s="1" t="s">
        <v>774</v>
      </c>
      <c r="H84" s="200"/>
      <c r="I84" s="200"/>
      <c r="J84" s="201">
        <v>70167</v>
      </c>
      <c r="K84" s="25" t="str">
        <f>CONCATENATE(Cover!$D$6,"fdd/view?i=",J84)</f>
        <v>https://www.dgiwg.org/FAD/fdd/view?i=70167</v>
      </c>
      <c r="L84" s="25" t="s">
        <v>775</v>
      </c>
      <c r="M84" s="200"/>
      <c r="N84" s="200"/>
      <c r="O84" s="13" t="s">
        <v>771</v>
      </c>
      <c r="P84" s="202"/>
      <c r="Q84" s="188"/>
    </row>
    <row r="85" spans="1:17" x14ac:dyDescent="0.2">
      <c r="A85" s="197" t="str">
        <f t="shared" si="1"/>
        <v>length_halfHectometre</v>
      </c>
      <c r="B85" s="409"/>
      <c r="C85" s="416"/>
      <c r="D85" s="198" t="s">
        <v>776</v>
      </c>
      <c r="E85" s="198">
        <v>6</v>
      </c>
      <c r="F85" s="199" t="s">
        <v>777</v>
      </c>
      <c r="G85" s="1" t="s">
        <v>778</v>
      </c>
      <c r="H85" s="200"/>
      <c r="I85" s="200"/>
      <c r="J85" s="201">
        <v>70168</v>
      </c>
      <c r="K85" s="25" t="str">
        <f>CONCATENATE(Cover!$D$6,"fdd/view?i=",J85)</f>
        <v>https://www.dgiwg.org/FAD/fdd/view?i=70168</v>
      </c>
      <c r="L85" s="25" t="s">
        <v>779</v>
      </c>
      <c r="M85" s="200"/>
      <c r="N85" s="200"/>
      <c r="O85" s="172"/>
      <c r="P85" s="202"/>
      <c r="Q85" s="188"/>
    </row>
    <row r="86" spans="1:17" ht="25.5" x14ac:dyDescent="0.2">
      <c r="A86" s="197" t="str">
        <f t="shared" si="1"/>
        <v>length_decametre</v>
      </c>
      <c r="B86" s="409"/>
      <c r="C86" s="416"/>
      <c r="D86" s="198" t="s">
        <v>781</v>
      </c>
      <c r="E86" s="198">
        <v>7</v>
      </c>
      <c r="F86" s="199" t="s">
        <v>782</v>
      </c>
      <c r="G86" s="1" t="s">
        <v>783</v>
      </c>
      <c r="H86" s="200"/>
      <c r="I86" s="200"/>
      <c r="J86" s="201">
        <v>70169</v>
      </c>
      <c r="K86" s="25" t="str">
        <f>CONCATENATE(Cover!$D$6,"fdd/view?i=",J86)</f>
        <v>https://www.dgiwg.org/FAD/fdd/view?i=70169</v>
      </c>
      <c r="L86" s="25" t="s">
        <v>784</v>
      </c>
      <c r="M86" s="200"/>
      <c r="N86" s="200"/>
      <c r="O86" s="13" t="s">
        <v>780</v>
      </c>
      <c r="P86" s="202"/>
      <c r="Q86" s="188"/>
    </row>
    <row r="87" spans="1:17" x14ac:dyDescent="0.2">
      <c r="A87" s="197" t="str">
        <f t="shared" si="1"/>
        <v>length_halfMetre</v>
      </c>
      <c r="B87" s="409"/>
      <c r="C87" s="416"/>
      <c r="D87" s="198" t="s">
        <v>785</v>
      </c>
      <c r="E87" s="198">
        <v>8</v>
      </c>
      <c r="F87" s="199" t="s">
        <v>786</v>
      </c>
      <c r="G87" s="1" t="s">
        <v>787</v>
      </c>
      <c r="H87" s="200"/>
      <c r="I87" s="200"/>
      <c r="J87" s="201">
        <v>70170</v>
      </c>
      <c r="K87" s="25" t="str">
        <f>CONCATENATE(Cover!$D$6,"fdd/view?i=",J87)</f>
        <v>https://www.dgiwg.org/FAD/fdd/view?i=70170</v>
      </c>
      <c r="L87" s="25" t="s">
        <v>788</v>
      </c>
      <c r="M87" s="200"/>
      <c r="N87" s="200"/>
      <c r="O87" s="172"/>
      <c r="P87" s="202"/>
      <c r="Q87" s="188"/>
    </row>
    <row r="88" spans="1:17" ht="25.5" x14ac:dyDescent="0.2">
      <c r="A88" s="197" t="str">
        <f t="shared" si="1"/>
        <v>length_decimetre</v>
      </c>
      <c r="B88" s="409"/>
      <c r="C88" s="416"/>
      <c r="D88" s="198" t="s">
        <v>790</v>
      </c>
      <c r="E88" s="198">
        <v>9</v>
      </c>
      <c r="F88" s="199" t="s">
        <v>791</v>
      </c>
      <c r="G88" s="1" t="s">
        <v>792</v>
      </c>
      <c r="H88" s="200"/>
      <c r="I88" s="200"/>
      <c r="J88" s="201">
        <v>70171</v>
      </c>
      <c r="K88" s="25" t="str">
        <f>CONCATENATE(Cover!$D$6,"fdd/view?i=",J88)</f>
        <v>https://www.dgiwg.org/FAD/fdd/view?i=70171</v>
      </c>
      <c r="L88" s="25" t="s">
        <v>793</v>
      </c>
      <c r="M88" s="200"/>
      <c r="N88" s="200"/>
      <c r="O88" s="13" t="s">
        <v>789</v>
      </c>
      <c r="P88" s="202"/>
      <c r="Q88" s="188"/>
    </row>
    <row r="89" spans="1:17" ht="25.5" x14ac:dyDescent="0.2">
      <c r="A89" s="197" t="str">
        <f t="shared" si="1"/>
        <v>length_centimetre</v>
      </c>
      <c r="B89" s="409"/>
      <c r="C89" s="416"/>
      <c r="D89" s="198" t="s">
        <v>795</v>
      </c>
      <c r="E89" s="198">
        <v>10</v>
      </c>
      <c r="F89" s="199" t="s">
        <v>796</v>
      </c>
      <c r="G89" s="1" t="s">
        <v>797</v>
      </c>
      <c r="H89" s="200"/>
      <c r="I89" s="200"/>
      <c r="J89" s="201">
        <v>70172</v>
      </c>
      <c r="K89" s="25" t="str">
        <f>CONCATENATE(Cover!$D$6,"fdd/view?i=",J89)</f>
        <v>https://www.dgiwg.org/FAD/fdd/view?i=70172</v>
      </c>
      <c r="L89" s="25" t="s">
        <v>798</v>
      </c>
      <c r="M89" s="200"/>
      <c r="N89" s="200"/>
      <c r="O89" s="13" t="s">
        <v>794</v>
      </c>
      <c r="P89" s="202"/>
      <c r="Q89" s="188"/>
    </row>
    <row r="90" spans="1:17" ht="25.5" x14ac:dyDescent="0.2">
      <c r="A90" s="197" t="str">
        <f t="shared" si="1"/>
        <v>length_millimetre</v>
      </c>
      <c r="B90" s="409"/>
      <c r="C90" s="416"/>
      <c r="D90" s="198" t="s">
        <v>800</v>
      </c>
      <c r="E90" s="198">
        <v>11</v>
      </c>
      <c r="F90" s="199" t="s">
        <v>801</v>
      </c>
      <c r="G90" s="1" t="s">
        <v>802</v>
      </c>
      <c r="H90" s="200"/>
      <c r="I90" s="200"/>
      <c r="J90" s="201">
        <v>70173</v>
      </c>
      <c r="K90" s="25" t="str">
        <f>CONCATENATE(Cover!$D$6,"fdd/view?i=",J90)</f>
        <v>https://www.dgiwg.org/FAD/fdd/view?i=70173</v>
      </c>
      <c r="L90" s="25" t="s">
        <v>803</v>
      </c>
      <c r="M90" s="200"/>
      <c r="N90" s="200"/>
      <c r="O90" s="13" t="s">
        <v>799</v>
      </c>
      <c r="P90" s="202"/>
      <c r="Q90" s="188"/>
    </row>
    <row r="91" spans="1:17" ht="25.5" x14ac:dyDescent="0.2">
      <c r="A91" s="197" t="str">
        <f t="shared" si="1"/>
        <v>length_micrometre</v>
      </c>
      <c r="B91" s="409"/>
      <c r="C91" s="416"/>
      <c r="D91" s="198" t="s">
        <v>805</v>
      </c>
      <c r="E91" s="198">
        <v>12</v>
      </c>
      <c r="F91" s="199" t="s">
        <v>806</v>
      </c>
      <c r="G91" s="1" t="s">
        <v>807</v>
      </c>
      <c r="H91" s="200"/>
      <c r="I91" s="200"/>
      <c r="J91" s="201">
        <v>70174</v>
      </c>
      <c r="K91" s="25" t="str">
        <f>CONCATENATE(Cover!$D$6,"fdd/view?i=",J91)</f>
        <v>https://www.dgiwg.org/FAD/fdd/view?i=70174</v>
      </c>
      <c r="L91" s="25" t="s">
        <v>808</v>
      </c>
      <c r="M91" s="200"/>
      <c r="N91" s="200"/>
      <c r="O91" s="13" t="s">
        <v>804</v>
      </c>
      <c r="P91" s="202"/>
      <c r="Q91" s="188"/>
    </row>
    <row r="92" spans="1:17" ht="25.5" x14ac:dyDescent="0.2">
      <c r="A92" s="197" t="str">
        <f t="shared" si="1"/>
        <v>length_nanometre</v>
      </c>
      <c r="B92" s="409"/>
      <c r="C92" s="416"/>
      <c r="D92" s="198" t="s">
        <v>810</v>
      </c>
      <c r="E92" s="198">
        <v>13</v>
      </c>
      <c r="F92" s="199" t="s">
        <v>811</v>
      </c>
      <c r="G92" s="1" t="s">
        <v>812</v>
      </c>
      <c r="H92" s="200"/>
      <c r="I92" s="200"/>
      <c r="J92" s="201">
        <v>70175</v>
      </c>
      <c r="K92" s="25" t="str">
        <f>CONCATENATE(Cover!$D$6,"fdd/view?i=",J92)</f>
        <v>https://www.dgiwg.org/FAD/fdd/view?i=70175</v>
      </c>
      <c r="L92" s="25" t="s">
        <v>813</v>
      </c>
      <c r="M92" s="200"/>
      <c r="N92" s="200"/>
      <c r="O92" s="13" t="s">
        <v>809</v>
      </c>
      <c r="P92" s="202"/>
      <c r="Q92" s="188"/>
    </row>
    <row r="93" spans="1:17" ht="25.5" x14ac:dyDescent="0.2">
      <c r="A93" s="197" t="str">
        <f t="shared" si="1"/>
        <v>length_picometre</v>
      </c>
      <c r="B93" s="409"/>
      <c r="C93" s="416"/>
      <c r="D93" s="198" t="s">
        <v>815</v>
      </c>
      <c r="E93" s="198">
        <v>14</v>
      </c>
      <c r="F93" s="199" t="s">
        <v>816</v>
      </c>
      <c r="G93" s="1" t="s">
        <v>817</v>
      </c>
      <c r="H93" s="200"/>
      <c r="I93" s="200"/>
      <c r="J93" s="201">
        <v>70176</v>
      </c>
      <c r="K93" s="25" t="str">
        <f>CONCATENATE(Cover!$D$6,"fdd/view?i=",J93)</f>
        <v>https://www.dgiwg.org/FAD/fdd/view?i=70176</v>
      </c>
      <c r="L93" s="25" t="s">
        <v>818</v>
      </c>
      <c r="M93" s="200"/>
      <c r="N93" s="200"/>
      <c r="O93" s="13" t="s">
        <v>814</v>
      </c>
      <c r="P93" s="202"/>
      <c r="Q93" s="188"/>
    </row>
    <row r="94" spans="1:17" ht="25.5" x14ac:dyDescent="0.2">
      <c r="A94" s="197" t="str">
        <f t="shared" si="1"/>
        <v>length_nauticalMile</v>
      </c>
      <c r="B94" s="409"/>
      <c r="C94" s="416"/>
      <c r="D94" s="198" t="s">
        <v>820</v>
      </c>
      <c r="E94" s="198">
        <v>15</v>
      </c>
      <c r="F94" s="199" t="s">
        <v>821</v>
      </c>
      <c r="G94" s="1" t="s">
        <v>822</v>
      </c>
      <c r="H94" s="200"/>
      <c r="I94" s="200"/>
      <c r="J94" s="201">
        <v>70177</v>
      </c>
      <c r="K94" s="25" t="str">
        <f>CONCATENATE(Cover!$D$6,"fdd/view?i=",J94)</f>
        <v>https://www.dgiwg.org/FAD/fdd/view?i=70177</v>
      </c>
      <c r="L94" s="25" t="s">
        <v>823</v>
      </c>
      <c r="M94" s="200"/>
      <c r="N94" s="200"/>
      <c r="O94" s="13" t="s">
        <v>819</v>
      </c>
      <c r="P94" s="202"/>
      <c r="Q94" s="188"/>
    </row>
    <row r="95" spans="1:17" ht="25.5" x14ac:dyDescent="0.2">
      <c r="A95" s="197" t="str">
        <f t="shared" si="1"/>
        <v>length_deciNauticalMile</v>
      </c>
      <c r="B95" s="409"/>
      <c r="C95" s="416"/>
      <c r="D95" s="198" t="s">
        <v>824</v>
      </c>
      <c r="E95" s="198">
        <v>16</v>
      </c>
      <c r="F95" s="199" t="s">
        <v>825</v>
      </c>
      <c r="G95" s="1" t="s">
        <v>826</v>
      </c>
      <c r="H95" s="200"/>
      <c r="I95" s="200"/>
      <c r="J95" s="201">
        <v>70178</v>
      </c>
      <c r="K95" s="25" t="str">
        <f>CONCATENATE(Cover!$D$6,"fdd/view?i=",J95)</f>
        <v>https://www.dgiwg.org/FAD/fdd/view?i=70178</v>
      </c>
      <c r="L95" s="25" t="s">
        <v>827</v>
      </c>
      <c r="M95" s="200"/>
      <c r="N95" s="200"/>
      <c r="O95" s="172"/>
      <c r="P95" s="202"/>
      <c r="Q95" s="188"/>
    </row>
    <row r="96" spans="1:17" ht="25.5" x14ac:dyDescent="0.2">
      <c r="A96" s="197" t="str">
        <f t="shared" si="1"/>
        <v>length_statuteMile</v>
      </c>
      <c r="B96" s="409"/>
      <c r="C96" s="416"/>
      <c r="D96" s="198" t="s">
        <v>829</v>
      </c>
      <c r="E96" s="198">
        <v>17</v>
      </c>
      <c r="F96" s="199" t="s">
        <v>830</v>
      </c>
      <c r="G96" s="1" t="s">
        <v>831</v>
      </c>
      <c r="H96" s="200"/>
      <c r="I96" s="200"/>
      <c r="J96" s="201">
        <v>70179</v>
      </c>
      <c r="K96" s="25" t="str">
        <f>CONCATENATE(Cover!$D$6,"fdd/view?i=",J96)</f>
        <v>https://www.dgiwg.org/FAD/fdd/view?i=70179</v>
      </c>
      <c r="L96" s="25" t="s">
        <v>832</v>
      </c>
      <c r="M96" s="200"/>
      <c r="N96" s="200"/>
      <c r="O96" s="13" t="s">
        <v>828</v>
      </c>
      <c r="P96" s="202"/>
      <c r="Q96" s="188"/>
    </row>
    <row r="97" spans="1:17" ht="38.25" x14ac:dyDescent="0.2">
      <c r="A97" s="197" t="str">
        <f t="shared" si="1"/>
        <v>length_dataMile</v>
      </c>
      <c r="B97" s="409"/>
      <c r="C97" s="416"/>
      <c r="D97" s="198" t="s">
        <v>833</v>
      </c>
      <c r="E97" s="198">
        <v>18</v>
      </c>
      <c r="F97" s="199" t="s">
        <v>834</v>
      </c>
      <c r="G97" s="1" t="s">
        <v>835</v>
      </c>
      <c r="H97" s="1" t="s">
        <v>836</v>
      </c>
      <c r="I97" s="200"/>
      <c r="J97" s="201">
        <v>70180</v>
      </c>
      <c r="K97" s="25" t="str">
        <f>CONCATENATE(Cover!$D$6,"fdd/view?i=",J97)</f>
        <v>https://www.dgiwg.org/FAD/fdd/view?i=70180</v>
      </c>
      <c r="L97" s="25" t="s">
        <v>837</v>
      </c>
      <c r="M97" s="200"/>
      <c r="N97" s="200"/>
      <c r="O97" s="172"/>
      <c r="P97" s="202"/>
      <c r="Q97" s="188"/>
    </row>
    <row r="98" spans="1:17" ht="25.5" x14ac:dyDescent="0.2">
      <c r="A98" s="197" t="str">
        <f t="shared" si="1"/>
        <v>length_kiloyard</v>
      </c>
      <c r="B98" s="409"/>
      <c r="C98" s="416"/>
      <c r="D98" s="198" t="s">
        <v>838</v>
      </c>
      <c r="E98" s="198">
        <v>19</v>
      </c>
      <c r="F98" s="199" t="s">
        <v>839</v>
      </c>
      <c r="G98" s="1" t="s">
        <v>840</v>
      </c>
      <c r="H98" s="200"/>
      <c r="I98" s="200"/>
      <c r="J98" s="201">
        <v>70181</v>
      </c>
      <c r="K98" s="25" t="str">
        <f>CONCATENATE(Cover!$D$6,"fdd/view?i=",J98)</f>
        <v>https://www.dgiwg.org/FAD/fdd/view?i=70181</v>
      </c>
      <c r="L98" s="25" t="s">
        <v>841</v>
      </c>
      <c r="M98" s="200"/>
      <c r="N98" s="200"/>
      <c r="O98" s="172"/>
      <c r="P98" s="202"/>
      <c r="Q98" s="188"/>
    </row>
    <row r="99" spans="1:17" ht="25.5" x14ac:dyDescent="0.2">
      <c r="A99" s="197" t="str">
        <f t="shared" si="1"/>
        <v>length_kilofoot</v>
      </c>
      <c r="B99" s="409"/>
      <c r="C99" s="416"/>
      <c r="D99" s="198" t="s">
        <v>842</v>
      </c>
      <c r="E99" s="198">
        <v>20</v>
      </c>
      <c r="F99" s="199" t="s">
        <v>843</v>
      </c>
      <c r="G99" s="1" t="s">
        <v>844</v>
      </c>
      <c r="H99" s="200"/>
      <c r="I99" s="200"/>
      <c r="J99" s="201">
        <v>70182</v>
      </c>
      <c r="K99" s="25" t="str">
        <f>CONCATENATE(Cover!$D$6,"fdd/view?i=",J99)</f>
        <v>https://www.dgiwg.org/FAD/fdd/view?i=70182</v>
      </c>
      <c r="L99" s="25" t="s">
        <v>845</v>
      </c>
      <c r="M99" s="200"/>
      <c r="N99" s="200"/>
      <c r="O99" s="172"/>
      <c r="P99" s="202"/>
      <c r="Q99" s="188"/>
    </row>
    <row r="100" spans="1:17" ht="25.5" x14ac:dyDescent="0.2">
      <c r="A100" s="197" t="str">
        <f t="shared" si="1"/>
        <v>length_hectofoot</v>
      </c>
      <c r="B100" s="409"/>
      <c r="C100" s="416"/>
      <c r="D100" s="198" t="s">
        <v>846</v>
      </c>
      <c r="E100" s="198">
        <v>21</v>
      </c>
      <c r="F100" s="199" t="s">
        <v>847</v>
      </c>
      <c r="G100" s="1" t="s">
        <v>848</v>
      </c>
      <c r="H100" s="200"/>
      <c r="I100" s="200"/>
      <c r="J100" s="201">
        <v>70183</v>
      </c>
      <c r="K100" s="25" t="str">
        <f>CONCATENATE(Cover!$D$6,"fdd/view?i=",J100)</f>
        <v>https://www.dgiwg.org/FAD/fdd/view?i=70183</v>
      </c>
      <c r="L100" s="25" t="s">
        <v>849</v>
      </c>
      <c r="M100" s="200"/>
      <c r="N100" s="200"/>
      <c r="O100" s="172"/>
      <c r="P100" s="202"/>
      <c r="Q100" s="188"/>
    </row>
    <row r="101" spans="1:17" ht="25.5" x14ac:dyDescent="0.2">
      <c r="A101" s="197" t="str">
        <f t="shared" si="1"/>
        <v>length_decafoot</v>
      </c>
      <c r="B101" s="409"/>
      <c r="C101" s="416"/>
      <c r="D101" s="198" t="s">
        <v>850</v>
      </c>
      <c r="E101" s="198">
        <v>22</v>
      </c>
      <c r="F101" s="199" t="s">
        <v>851</v>
      </c>
      <c r="G101" s="1" t="s">
        <v>852</v>
      </c>
      <c r="H101" s="200"/>
      <c r="I101" s="200"/>
      <c r="J101" s="201">
        <v>70184</v>
      </c>
      <c r="K101" s="25" t="str">
        <f>CONCATENATE(Cover!$D$6,"fdd/view?i=",J101)</f>
        <v>https://www.dgiwg.org/FAD/fdd/view?i=70184</v>
      </c>
      <c r="L101" s="25" t="s">
        <v>853</v>
      </c>
      <c r="M101" s="200"/>
      <c r="N101" s="200"/>
      <c r="O101" s="172"/>
      <c r="P101" s="202"/>
      <c r="Q101" s="188"/>
    </row>
    <row r="102" spans="1:17" ht="25.5" x14ac:dyDescent="0.2">
      <c r="A102" s="197" t="str">
        <f t="shared" si="1"/>
        <v>length_yard</v>
      </c>
      <c r="B102" s="409"/>
      <c r="C102" s="416"/>
      <c r="D102" s="198" t="s">
        <v>855</v>
      </c>
      <c r="E102" s="198">
        <v>23</v>
      </c>
      <c r="F102" s="199" t="s">
        <v>856</v>
      </c>
      <c r="G102" s="1" t="s">
        <v>857</v>
      </c>
      <c r="H102" s="200"/>
      <c r="I102" s="200"/>
      <c r="J102" s="201">
        <v>70185</v>
      </c>
      <c r="K102" s="25" t="str">
        <f>CONCATENATE(Cover!$D$6,"fdd/view?i=",J102)</f>
        <v>https://www.dgiwg.org/FAD/fdd/view?i=70185</v>
      </c>
      <c r="L102" s="25" t="s">
        <v>858</v>
      </c>
      <c r="M102" s="200"/>
      <c r="N102" s="200"/>
      <c r="O102" s="13" t="s">
        <v>854</v>
      </c>
      <c r="P102" s="202"/>
      <c r="Q102" s="188"/>
    </row>
    <row r="103" spans="1:17" ht="25.5" x14ac:dyDescent="0.2">
      <c r="A103" s="197" t="str">
        <f t="shared" si="1"/>
        <v>length_foot</v>
      </c>
      <c r="B103" s="409"/>
      <c r="C103" s="416"/>
      <c r="D103" s="198" t="s">
        <v>860</v>
      </c>
      <c r="E103" s="198">
        <v>24</v>
      </c>
      <c r="F103" s="199" t="s">
        <v>861</v>
      </c>
      <c r="G103" s="1" t="s">
        <v>862</v>
      </c>
      <c r="H103" s="200"/>
      <c r="I103" s="200"/>
      <c r="J103" s="201">
        <v>70186</v>
      </c>
      <c r="K103" s="25" t="str">
        <f>CONCATENATE(Cover!$D$6,"fdd/view?i=",J103)</f>
        <v>https://www.dgiwg.org/FAD/fdd/view?i=70186</v>
      </c>
      <c r="L103" s="25" t="s">
        <v>863</v>
      </c>
      <c r="M103" s="200"/>
      <c r="N103" s="200"/>
      <c r="O103" s="13" t="s">
        <v>859</v>
      </c>
      <c r="P103" s="202"/>
      <c r="Q103" s="188"/>
    </row>
    <row r="104" spans="1:17" ht="25.5" x14ac:dyDescent="0.2">
      <c r="A104" s="197" t="str">
        <f t="shared" si="1"/>
        <v>length_halfFoot</v>
      </c>
      <c r="B104" s="409"/>
      <c r="C104" s="416"/>
      <c r="D104" s="198" t="s">
        <v>864</v>
      </c>
      <c r="E104" s="198">
        <v>25</v>
      </c>
      <c r="F104" s="199" t="s">
        <v>865</v>
      </c>
      <c r="G104" s="1" t="s">
        <v>866</v>
      </c>
      <c r="H104" s="200"/>
      <c r="I104" s="200"/>
      <c r="J104" s="201">
        <v>70187</v>
      </c>
      <c r="K104" s="25" t="str">
        <f>CONCATENATE(Cover!$D$6,"fdd/view?i=",J104)</f>
        <v>https://www.dgiwg.org/FAD/fdd/view?i=70187</v>
      </c>
      <c r="L104" s="25" t="s">
        <v>867</v>
      </c>
      <c r="M104" s="200"/>
      <c r="N104" s="200"/>
      <c r="O104" s="172"/>
      <c r="P104" s="202"/>
      <c r="Q104" s="188"/>
    </row>
    <row r="105" spans="1:17" ht="25.5" x14ac:dyDescent="0.2">
      <c r="A105" s="197" t="str">
        <f t="shared" si="1"/>
        <v>length_decifoot</v>
      </c>
      <c r="B105" s="409"/>
      <c r="C105" s="416"/>
      <c r="D105" s="198" t="s">
        <v>868</v>
      </c>
      <c r="E105" s="198">
        <v>26</v>
      </c>
      <c r="F105" s="199" t="s">
        <v>869</v>
      </c>
      <c r="G105" s="1" t="s">
        <v>870</v>
      </c>
      <c r="H105" s="200"/>
      <c r="I105" s="200"/>
      <c r="J105" s="201">
        <v>70188</v>
      </c>
      <c r="K105" s="25" t="str">
        <f>CONCATENATE(Cover!$D$6,"fdd/view?i=",J105)</f>
        <v>https://www.dgiwg.org/FAD/fdd/view?i=70188</v>
      </c>
      <c r="L105" s="25" t="s">
        <v>871</v>
      </c>
      <c r="M105" s="200"/>
      <c r="N105" s="200"/>
      <c r="O105" s="172"/>
      <c r="P105" s="202"/>
      <c r="Q105" s="188"/>
    </row>
    <row r="106" spans="1:17" ht="25.5" x14ac:dyDescent="0.2">
      <c r="A106" s="197" t="str">
        <f t="shared" si="1"/>
        <v>length_inch</v>
      </c>
      <c r="B106" s="409"/>
      <c r="C106" s="416"/>
      <c r="D106" s="198" t="s">
        <v>873</v>
      </c>
      <c r="E106" s="198">
        <v>27</v>
      </c>
      <c r="F106" s="199" t="s">
        <v>874</v>
      </c>
      <c r="G106" s="1" t="s">
        <v>875</v>
      </c>
      <c r="H106" s="200"/>
      <c r="I106" s="200"/>
      <c r="J106" s="201">
        <v>70189</v>
      </c>
      <c r="K106" s="25" t="str">
        <f>CONCATENATE(Cover!$D$6,"fdd/view?i=",J106)</f>
        <v>https://www.dgiwg.org/FAD/fdd/view?i=70189</v>
      </c>
      <c r="L106" s="25" t="s">
        <v>876</v>
      </c>
      <c r="M106" s="200"/>
      <c r="N106" s="200"/>
      <c r="O106" s="13" t="s">
        <v>872</v>
      </c>
      <c r="P106" s="202"/>
      <c r="Q106" s="188"/>
    </row>
    <row r="107" spans="1:17" ht="25.5" x14ac:dyDescent="0.2">
      <c r="A107" s="197" t="str">
        <f t="shared" si="1"/>
        <v>length_fathom</v>
      </c>
      <c r="B107" s="409"/>
      <c r="C107" s="416"/>
      <c r="D107" s="198" t="s">
        <v>878</v>
      </c>
      <c r="E107" s="198">
        <v>28</v>
      </c>
      <c r="F107" s="199" t="s">
        <v>879</v>
      </c>
      <c r="G107" s="1" t="s">
        <v>880</v>
      </c>
      <c r="H107" s="200"/>
      <c r="I107" s="200"/>
      <c r="J107" s="201">
        <v>70190</v>
      </c>
      <c r="K107" s="25" t="str">
        <f>CONCATENATE(Cover!$D$6,"fdd/view?i=",J107)</f>
        <v>https://www.dgiwg.org/FAD/fdd/view?i=70190</v>
      </c>
      <c r="L107" s="25" t="s">
        <v>881</v>
      </c>
      <c r="M107" s="200"/>
      <c r="N107" s="200"/>
      <c r="O107" s="13" t="s">
        <v>877</v>
      </c>
      <c r="P107" s="202"/>
      <c r="Q107" s="188"/>
    </row>
    <row r="108" spans="1:17" ht="25.5" x14ac:dyDescent="0.2">
      <c r="A108" s="197" t="str">
        <f t="shared" si="1"/>
        <v>length_usSurveyMile</v>
      </c>
      <c r="B108" s="409"/>
      <c r="C108" s="416"/>
      <c r="D108" s="198" t="s">
        <v>882</v>
      </c>
      <c r="E108" s="198">
        <v>29</v>
      </c>
      <c r="F108" s="199" t="s">
        <v>883</v>
      </c>
      <c r="G108" s="1" t="s">
        <v>884</v>
      </c>
      <c r="H108" s="200"/>
      <c r="I108" s="200"/>
      <c r="J108" s="201">
        <v>70191</v>
      </c>
      <c r="K108" s="25" t="str">
        <f>CONCATENATE(Cover!$D$6,"fdd/view?i=",J108)</f>
        <v>https://www.dgiwg.org/FAD/fdd/view?i=70191</v>
      </c>
      <c r="L108" s="25" t="s">
        <v>885</v>
      </c>
      <c r="M108" s="200"/>
      <c r="N108" s="200"/>
      <c r="O108" s="172"/>
      <c r="P108" s="202"/>
      <c r="Q108" s="188"/>
    </row>
    <row r="109" spans="1:17" ht="25.5" x14ac:dyDescent="0.2">
      <c r="A109" s="197" t="str">
        <f t="shared" si="1"/>
        <v>length_usSurveyFoot</v>
      </c>
      <c r="B109" s="409"/>
      <c r="C109" s="416"/>
      <c r="D109" s="198" t="s">
        <v>886</v>
      </c>
      <c r="E109" s="198">
        <v>30</v>
      </c>
      <c r="F109" s="199" t="s">
        <v>887</v>
      </c>
      <c r="G109" s="1" t="s">
        <v>888</v>
      </c>
      <c r="H109" s="1" t="s">
        <v>889</v>
      </c>
      <c r="I109" s="200"/>
      <c r="J109" s="201">
        <v>70192</v>
      </c>
      <c r="K109" s="25" t="str">
        <f>CONCATENATE(Cover!$D$6,"fdd/view?i=",J109)</f>
        <v>https://www.dgiwg.org/FAD/fdd/view?i=70192</v>
      </c>
      <c r="L109" s="25" t="s">
        <v>890</v>
      </c>
      <c r="M109" s="200"/>
      <c r="N109" s="200"/>
      <c r="O109" s="172"/>
      <c r="P109" s="202"/>
      <c r="Q109" s="188"/>
    </row>
    <row r="110" spans="1:17" ht="25.5" x14ac:dyDescent="0.2">
      <c r="A110" s="203" t="str">
        <f t="shared" si="1"/>
        <v>length_astronomicUnit</v>
      </c>
      <c r="B110" s="410"/>
      <c r="C110" s="417"/>
      <c r="D110" s="204" t="s">
        <v>892</v>
      </c>
      <c r="E110" s="204">
        <v>31</v>
      </c>
      <c r="F110" s="205" t="s">
        <v>893</v>
      </c>
      <c r="G110" s="206" t="s">
        <v>894</v>
      </c>
      <c r="H110" s="207"/>
      <c r="I110" s="207"/>
      <c r="J110" s="208">
        <v>70193</v>
      </c>
      <c r="K110" s="209" t="str">
        <f>CONCATENATE(Cover!$D$6,"fdd/view?i=",J110)</f>
        <v>https://www.dgiwg.org/FAD/fdd/view?i=70193</v>
      </c>
      <c r="L110" s="209" t="s">
        <v>895</v>
      </c>
      <c r="M110" s="207"/>
      <c r="N110" s="207"/>
      <c r="O110" s="210" t="s">
        <v>891</v>
      </c>
      <c r="P110" s="211"/>
      <c r="Q110" s="188"/>
    </row>
    <row r="111" spans="1:17" ht="25.5" x14ac:dyDescent="0.2">
      <c r="A111" s="190" t="str">
        <f t="shared" si="1"/>
        <v>linearDensity_metrePerSquareMetre</v>
      </c>
      <c r="B111" s="414" t="str">
        <f>HYPERLINK("[#]PhysicalQuantities!A21:N21","linearDensity")</f>
        <v>linearDensity</v>
      </c>
      <c r="C111" s="415" t="s">
        <v>269</v>
      </c>
      <c r="D111" s="191" t="s">
        <v>896</v>
      </c>
      <c r="E111" s="191">
        <v>1</v>
      </c>
      <c r="F111" s="192" t="s">
        <v>897</v>
      </c>
      <c r="G111" s="191" t="s">
        <v>898</v>
      </c>
      <c r="H111" s="193"/>
      <c r="I111" s="193"/>
      <c r="J111" s="191">
        <v>70367</v>
      </c>
      <c r="K111" s="194" t="str">
        <f>CONCATENATE(Cover!$D$6,"fdd/view?i=",J111)</f>
        <v>https://www.dgiwg.org/FAD/fdd/view?i=70367</v>
      </c>
      <c r="L111" s="194" t="s">
        <v>899</v>
      </c>
      <c r="M111" s="193"/>
      <c r="N111" s="193"/>
      <c r="O111" s="239"/>
      <c r="P111" s="196"/>
      <c r="Q111" s="188"/>
    </row>
    <row r="112" spans="1:17" ht="25.5" x14ac:dyDescent="0.2">
      <c r="A112" s="203" t="str">
        <f t="shared" si="1"/>
        <v>linearDensity_kilometrePerSquareKilometre</v>
      </c>
      <c r="B112" s="410"/>
      <c r="C112" s="417"/>
      <c r="D112" s="204" t="s">
        <v>900</v>
      </c>
      <c r="E112" s="204">
        <v>2</v>
      </c>
      <c r="F112" s="205" t="s">
        <v>901</v>
      </c>
      <c r="G112" s="206" t="s">
        <v>902</v>
      </c>
      <c r="H112" s="207"/>
      <c r="I112" s="207"/>
      <c r="J112" s="208">
        <v>70368</v>
      </c>
      <c r="K112" s="209" t="str">
        <f>CONCATENATE(Cover!$D$6,"fdd/view?i=",J112)</f>
        <v>https://www.dgiwg.org/FAD/fdd/view?i=70368</v>
      </c>
      <c r="L112" s="209" t="s">
        <v>903</v>
      </c>
      <c r="M112" s="207"/>
      <c r="N112" s="207"/>
      <c r="O112" s="232"/>
      <c r="P112" s="211"/>
      <c r="Q112" s="188"/>
    </row>
    <row r="113" spans="1:17" ht="25.5" x14ac:dyDescent="0.2">
      <c r="A113" s="190" t="str">
        <f t="shared" si="1"/>
        <v>linearEnergyTransfer_joulePerMetre</v>
      </c>
      <c r="B113" s="414" t="str">
        <f>HYPERLINK("[#]PhysicalQuantities!A22:N22","linearEnergyTransfer")</f>
        <v>linearEnergyTransfer</v>
      </c>
      <c r="C113" s="415" t="s">
        <v>272</v>
      </c>
      <c r="D113" s="191" t="s">
        <v>905</v>
      </c>
      <c r="E113" s="191">
        <v>1</v>
      </c>
      <c r="F113" s="192" t="s">
        <v>906</v>
      </c>
      <c r="G113" s="191" t="s">
        <v>907</v>
      </c>
      <c r="H113" s="193"/>
      <c r="I113" s="193"/>
      <c r="J113" s="191">
        <v>70194</v>
      </c>
      <c r="K113" s="194" t="str">
        <f>CONCATENATE(Cover!$D$6,"fdd/view?i=",J113)</f>
        <v>https://www.dgiwg.org/FAD/fdd/view?i=70194</v>
      </c>
      <c r="L113" s="194" t="s">
        <v>908</v>
      </c>
      <c r="M113" s="193"/>
      <c r="N113" s="193"/>
      <c r="O113" s="195" t="s">
        <v>904</v>
      </c>
      <c r="P113" s="196"/>
      <c r="Q113" s="188"/>
    </row>
    <row r="114" spans="1:17" ht="25.5" x14ac:dyDescent="0.2">
      <c r="A114" s="203" t="str">
        <f t="shared" si="1"/>
        <v>linearEnergyTransfer_joulePerKilometre</v>
      </c>
      <c r="B114" s="410"/>
      <c r="C114" s="417"/>
      <c r="D114" s="204" t="s">
        <v>909</v>
      </c>
      <c r="E114" s="204">
        <v>2</v>
      </c>
      <c r="F114" s="205" t="s">
        <v>910</v>
      </c>
      <c r="G114" s="206" t="s">
        <v>911</v>
      </c>
      <c r="H114" s="207"/>
      <c r="I114" s="207"/>
      <c r="J114" s="208">
        <v>70195</v>
      </c>
      <c r="K114" s="209" t="str">
        <f>CONCATENATE(Cover!$D$6,"fdd/view?i=",J114)</f>
        <v>https://www.dgiwg.org/FAD/fdd/view?i=70195</v>
      </c>
      <c r="L114" s="209" t="s">
        <v>912</v>
      </c>
      <c r="M114" s="207"/>
      <c r="N114" s="207"/>
      <c r="O114" s="232"/>
      <c r="P114" s="211"/>
      <c r="Q114" s="188"/>
    </row>
    <row r="115" spans="1:17" ht="38.25" x14ac:dyDescent="0.2">
      <c r="A115" s="212" t="str">
        <f t="shared" si="1"/>
        <v>luminousFlux_lumen</v>
      </c>
      <c r="B115" s="213" t="str">
        <f>HYPERLINK("[#]PhysicalQuantities!A23:N23","luminousFlux")</f>
        <v>luminousFlux</v>
      </c>
      <c r="C115" s="214" t="s">
        <v>275</v>
      </c>
      <c r="D115" s="215" t="s">
        <v>914</v>
      </c>
      <c r="E115" s="215">
        <v>1</v>
      </c>
      <c r="F115" s="216" t="s">
        <v>915</v>
      </c>
      <c r="G115" s="215" t="s">
        <v>916</v>
      </c>
      <c r="H115" s="217"/>
      <c r="I115" s="217"/>
      <c r="J115" s="215">
        <v>70196</v>
      </c>
      <c r="K115" s="218" t="str">
        <f>CONCATENATE(Cover!$D$6,"fdd/view?i=",J115)</f>
        <v>https://www.dgiwg.org/FAD/fdd/view?i=70196</v>
      </c>
      <c r="L115" s="218" t="s">
        <v>917</v>
      </c>
      <c r="M115" s="217"/>
      <c r="N115" s="217"/>
      <c r="O115" s="219" t="s">
        <v>913</v>
      </c>
      <c r="P115" s="220"/>
      <c r="Q115" s="188"/>
    </row>
    <row r="116" spans="1:17" ht="63.75" x14ac:dyDescent="0.2">
      <c r="A116" s="212" t="str">
        <f t="shared" si="1"/>
        <v>luminousIntensity_candela</v>
      </c>
      <c r="B116" s="213" t="str">
        <f>HYPERLINK("[#]PhysicalQuantities!A24:N24","luminousIntensity")</f>
        <v>luminousIntensity</v>
      </c>
      <c r="C116" s="214" t="s">
        <v>278</v>
      </c>
      <c r="D116" s="215" t="s">
        <v>919</v>
      </c>
      <c r="E116" s="215">
        <v>1</v>
      </c>
      <c r="F116" s="216" t="s">
        <v>920</v>
      </c>
      <c r="G116" s="215" t="s">
        <v>921</v>
      </c>
      <c r="H116" s="217"/>
      <c r="I116" s="217"/>
      <c r="J116" s="215">
        <v>70197</v>
      </c>
      <c r="K116" s="218" t="str">
        <f>CONCATENATE(Cover!$D$6,"fdd/view?i=",J116)</f>
        <v>https://www.dgiwg.org/FAD/fdd/view?i=70197</v>
      </c>
      <c r="L116" s="218" t="s">
        <v>922</v>
      </c>
      <c r="M116" s="217"/>
      <c r="N116" s="217"/>
      <c r="O116" s="219" t="s">
        <v>918</v>
      </c>
      <c r="P116" s="220"/>
      <c r="Q116" s="188"/>
    </row>
    <row r="117" spans="1:17" ht="51" x14ac:dyDescent="0.2">
      <c r="A117" s="190" t="str">
        <f t="shared" si="1"/>
        <v>magneticFlux_weber</v>
      </c>
      <c r="B117" s="414" t="str">
        <f>HYPERLINK("[#]PhysicalQuantities!A25:N25","magneticFlux")</f>
        <v>magneticFlux</v>
      </c>
      <c r="C117" s="415" t="s">
        <v>281</v>
      </c>
      <c r="D117" s="191" t="s">
        <v>924</v>
      </c>
      <c r="E117" s="191">
        <v>1</v>
      </c>
      <c r="F117" s="192" t="s">
        <v>925</v>
      </c>
      <c r="G117" s="191" t="s">
        <v>926</v>
      </c>
      <c r="H117" s="193"/>
      <c r="I117" s="193"/>
      <c r="J117" s="191">
        <v>70198</v>
      </c>
      <c r="K117" s="194" t="str">
        <f>CONCATENATE(Cover!$D$6,"fdd/view?i=",J117)</f>
        <v>https://www.dgiwg.org/FAD/fdd/view?i=70198</v>
      </c>
      <c r="L117" s="194" t="s">
        <v>927</v>
      </c>
      <c r="M117" s="193"/>
      <c r="N117" s="193"/>
      <c r="O117" s="195" t="s">
        <v>923</v>
      </c>
      <c r="P117" s="196"/>
      <c r="Q117" s="188"/>
    </row>
    <row r="118" spans="1:17" ht="25.5" x14ac:dyDescent="0.2">
      <c r="A118" s="197" t="str">
        <f t="shared" si="1"/>
        <v>magneticFlux_milliweber</v>
      </c>
      <c r="B118" s="409"/>
      <c r="C118" s="416"/>
      <c r="D118" s="198" t="s">
        <v>929</v>
      </c>
      <c r="E118" s="198">
        <v>2</v>
      </c>
      <c r="F118" s="199" t="s">
        <v>930</v>
      </c>
      <c r="G118" s="1" t="s">
        <v>931</v>
      </c>
      <c r="H118" s="200"/>
      <c r="I118" s="200"/>
      <c r="J118" s="201">
        <v>70199</v>
      </c>
      <c r="K118" s="25" t="str">
        <f>CONCATENATE(Cover!$D$6,"fdd/view?i=",J118)</f>
        <v>https://www.dgiwg.org/FAD/fdd/view?i=70199</v>
      </c>
      <c r="L118" s="25" t="s">
        <v>932</v>
      </c>
      <c r="M118" s="200"/>
      <c r="N118" s="200"/>
      <c r="O118" s="13" t="s">
        <v>928</v>
      </c>
      <c r="P118" s="202"/>
      <c r="Q118" s="188"/>
    </row>
    <row r="119" spans="1:17" ht="25.5" x14ac:dyDescent="0.2">
      <c r="A119" s="197" t="str">
        <f t="shared" si="1"/>
        <v>magneticFlux_microweber</v>
      </c>
      <c r="B119" s="409"/>
      <c r="C119" s="416"/>
      <c r="D119" s="198" t="s">
        <v>933</v>
      </c>
      <c r="E119" s="198">
        <v>3</v>
      </c>
      <c r="F119" s="199" t="s">
        <v>934</v>
      </c>
      <c r="G119" s="1" t="s">
        <v>935</v>
      </c>
      <c r="H119" s="200"/>
      <c r="I119" s="200"/>
      <c r="J119" s="201">
        <v>70200</v>
      </c>
      <c r="K119" s="25" t="str">
        <f>CONCATENATE(Cover!$D$6,"fdd/view?i=",J119)</f>
        <v>https://www.dgiwg.org/FAD/fdd/view?i=70200</v>
      </c>
      <c r="L119" s="25" t="s">
        <v>936</v>
      </c>
      <c r="M119" s="200"/>
      <c r="N119" s="200"/>
      <c r="O119" s="172"/>
      <c r="P119" s="202"/>
      <c r="Q119" s="188"/>
    </row>
    <row r="120" spans="1:17" ht="25.5" x14ac:dyDescent="0.2">
      <c r="A120" s="203" t="str">
        <f t="shared" si="1"/>
        <v>magneticFlux_nanoweber</v>
      </c>
      <c r="B120" s="410"/>
      <c r="C120" s="417"/>
      <c r="D120" s="204" t="s">
        <v>937</v>
      </c>
      <c r="E120" s="204">
        <v>4</v>
      </c>
      <c r="F120" s="205" t="s">
        <v>938</v>
      </c>
      <c r="G120" s="206" t="s">
        <v>939</v>
      </c>
      <c r="H120" s="207"/>
      <c r="I120" s="207"/>
      <c r="J120" s="208">
        <v>70201</v>
      </c>
      <c r="K120" s="209" t="str">
        <f>CONCATENATE(Cover!$D$6,"fdd/view?i=",J120)</f>
        <v>https://www.dgiwg.org/FAD/fdd/view?i=70201</v>
      </c>
      <c r="L120" s="209" t="s">
        <v>940</v>
      </c>
      <c r="M120" s="207"/>
      <c r="N120" s="207"/>
      <c r="O120" s="232"/>
      <c r="P120" s="211"/>
      <c r="Q120" s="188"/>
    </row>
    <row r="121" spans="1:17" ht="25.5" x14ac:dyDescent="0.2">
      <c r="A121" s="190" t="str">
        <f t="shared" si="1"/>
        <v>magneticFluxDensity_tesla</v>
      </c>
      <c r="B121" s="414" t="str">
        <f>HYPERLINK("[#]PhysicalQuantities!A26:N26","magneticFluxDensity")</f>
        <v>magneticFluxDensity</v>
      </c>
      <c r="C121" s="415" t="s">
        <v>284</v>
      </c>
      <c r="D121" s="191" t="s">
        <v>942</v>
      </c>
      <c r="E121" s="191">
        <v>1</v>
      </c>
      <c r="F121" s="192" t="s">
        <v>943</v>
      </c>
      <c r="G121" s="191" t="s">
        <v>944</v>
      </c>
      <c r="H121" s="193"/>
      <c r="I121" s="193"/>
      <c r="J121" s="191">
        <v>70202</v>
      </c>
      <c r="K121" s="194" t="str">
        <f>CONCATENATE(Cover!$D$6,"fdd/view?i=",J121)</f>
        <v>https://www.dgiwg.org/FAD/fdd/view?i=70202</v>
      </c>
      <c r="L121" s="194" t="s">
        <v>945</v>
      </c>
      <c r="M121" s="193"/>
      <c r="N121" s="193"/>
      <c r="O121" s="195" t="s">
        <v>941</v>
      </c>
      <c r="P121" s="196"/>
      <c r="Q121" s="188"/>
    </row>
    <row r="122" spans="1:17" ht="25.5" x14ac:dyDescent="0.2">
      <c r="A122" s="197" t="str">
        <f t="shared" si="1"/>
        <v>magneticFluxDensity_nanotesla</v>
      </c>
      <c r="B122" s="409"/>
      <c r="C122" s="416"/>
      <c r="D122" s="198" t="s">
        <v>947</v>
      </c>
      <c r="E122" s="198">
        <v>2</v>
      </c>
      <c r="F122" s="199" t="s">
        <v>948</v>
      </c>
      <c r="G122" s="1" t="s">
        <v>949</v>
      </c>
      <c r="H122" s="200"/>
      <c r="I122" s="200"/>
      <c r="J122" s="201">
        <v>70203</v>
      </c>
      <c r="K122" s="25" t="str">
        <f>CONCATENATE(Cover!$D$6,"fdd/view?i=",J122)</f>
        <v>https://www.dgiwg.org/FAD/fdd/view?i=70203</v>
      </c>
      <c r="L122" s="25" t="s">
        <v>950</v>
      </c>
      <c r="M122" s="200"/>
      <c r="N122" s="200"/>
      <c r="O122" s="13" t="s">
        <v>946</v>
      </c>
      <c r="P122" s="202"/>
      <c r="Q122" s="188"/>
    </row>
    <row r="123" spans="1:17" ht="38.25" x14ac:dyDescent="0.2">
      <c r="A123" s="203" t="str">
        <f t="shared" si="1"/>
        <v>magneticFluxDensity_gauss</v>
      </c>
      <c r="B123" s="410"/>
      <c r="C123" s="417"/>
      <c r="D123" s="204" t="s">
        <v>952</v>
      </c>
      <c r="E123" s="204">
        <v>3</v>
      </c>
      <c r="F123" s="205" t="s">
        <v>953</v>
      </c>
      <c r="G123" s="206" t="s">
        <v>954</v>
      </c>
      <c r="H123" s="207"/>
      <c r="I123" s="207"/>
      <c r="J123" s="208">
        <v>70204</v>
      </c>
      <c r="K123" s="209" t="str">
        <f>CONCATENATE(Cover!$D$6,"fdd/view?i=",J123)</f>
        <v>https://www.dgiwg.org/FAD/fdd/view?i=70204</v>
      </c>
      <c r="L123" s="209" t="s">
        <v>955</v>
      </c>
      <c r="M123" s="207"/>
      <c r="N123" s="207"/>
      <c r="O123" s="210" t="s">
        <v>951</v>
      </c>
      <c r="P123" s="211"/>
      <c r="Q123" s="188"/>
    </row>
    <row r="124" spans="1:17" ht="25.5" x14ac:dyDescent="0.2">
      <c r="A124" s="190" t="str">
        <f t="shared" si="1"/>
        <v>magneticFluxDensityGradient_teslaPerMetre</v>
      </c>
      <c r="B124" s="414" t="str">
        <f>HYPERLINK("[#]PhysicalQuantities!A27:N27","magneticFluxDensityGradient")</f>
        <v>magneticFluxDensityGradient</v>
      </c>
      <c r="C124" s="415" t="s">
        <v>287</v>
      </c>
      <c r="D124" s="191" t="s">
        <v>956</v>
      </c>
      <c r="E124" s="191">
        <v>1</v>
      </c>
      <c r="F124" s="192" t="s">
        <v>957</v>
      </c>
      <c r="G124" s="191" t="s">
        <v>958</v>
      </c>
      <c r="H124" s="193"/>
      <c r="I124" s="193"/>
      <c r="J124" s="191">
        <v>70205</v>
      </c>
      <c r="K124" s="194" t="str">
        <f>CONCATENATE(Cover!$D$6,"fdd/view?i=",J124)</f>
        <v>https://www.dgiwg.org/FAD/fdd/view?i=70205</v>
      </c>
      <c r="L124" s="194" t="s">
        <v>959</v>
      </c>
      <c r="M124" s="193"/>
      <c r="N124" s="193"/>
      <c r="O124" s="239"/>
      <c r="P124" s="196"/>
      <c r="Q124" s="188"/>
    </row>
    <row r="125" spans="1:17" ht="38.25" x14ac:dyDescent="0.2">
      <c r="A125" s="203" t="str">
        <f t="shared" si="1"/>
        <v>magneticFluxDensityGradient_nanoteslaPerMetre</v>
      </c>
      <c r="B125" s="410"/>
      <c r="C125" s="417"/>
      <c r="D125" s="204" t="s">
        <v>960</v>
      </c>
      <c r="E125" s="204">
        <v>2</v>
      </c>
      <c r="F125" s="205" t="s">
        <v>961</v>
      </c>
      <c r="G125" s="206" t="s">
        <v>962</v>
      </c>
      <c r="H125" s="207"/>
      <c r="I125" s="207"/>
      <c r="J125" s="208">
        <v>70206</v>
      </c>
      <c r="K125" s="209" t="str">
        <f>CONCATENATE(Cover!$D$6,"fdd/view?i=",J125)</f>
        <v>https://www.dgiwg.org/FAD/fdd/view?i=70206</v>
      </c>
      <c r="L125" s="209" t="s">
        <v>963</v>
      </c>
      <c r="M125" s="207"/>
      <c r="N125" s="207"/>
      <c r="O125" s="232"/>
      <c r="P125" s="211"/>
      <c r="Q125" s="188"/>
    </row>
    <row r="126" spans="1:17" ht="25.5" x14ac:dyDescent="0.2">
      <c r="A126" s="190" t="str">
        <f t="shared" si="1"/>
        <v>mass_tonne</v>
      </c>
      <c r="B126" s="414" t="str">
        <f>HYPERLINK("[#]PhysicalQuantities!A28:N28","mass")</f>
        <v>mass</v>
      </c>
      <c r="C126" s="415" t="s">
        <v>290</v>
      </c>
      <c r="D126" s="221" t="s">
        <v>965</v>
      </c>
      <c r="E126" s="221">
        <v>1</v>
      </c>
      <c r="F126" s="222" t="s">
        <v>966</v>
      </c>
      <c r="G126" s="223" t="s">
        <v>967</v>
      </c>
      <c r="H126" s="224"/>
      <c r="I126" s="224"/>
      <c r="J126" s="225">
        <v>70207</v>
      </c>
      <c r="K126" s="226" t="str">
        <f>CONCATENATE(Cover!$D$6,"fdd/view?i=",J126)</f>
        <v>https://www.dgiwg.org/FAD/fdd/view?i=70207</v>
      </c>
      <c r="L126" s="226" t="s">
        <v>968</v>
      </c>
      <c r="M126" s="224"/>
      <c r="N126" s="224"/>
      <c r="O126" s="233" t="s">
        <v>964</v>
      </c>
      <c r="P126" s="196"/>
      <c r="Q126" s="188"/>
    </row>
    <row r="127" spans="1:17" ht="25.5" x14ac:dyDescent="0.2">
      <c r="A127" s="197" t="str">
        <f t="shared" si="1"/>
        <v>mass_kilogram</v>
      </c>
      <c r="B127" s="409"/>
      <c r="C127" s="416"/>
      <c r="D127" s="228" t="s">
        <v>970</v>
      </c>
      <c r="E127" s="228">
        <v>2</v>
      </c>
      <c r="F127" s="229" t="s">
        <v>971</v>
      </c>
      <c r="G127" s="228" t="s">
        <v>972</v>
      </c>
      <c r="H127" s="230"/>
      <c r="I127" s="230"/>
      <c r="J127" s="228">
        <v>70208</v>
      </c>
      <c r="K127" s="231" t="str">
        <f>CONCATENATE(Cover!$D$6,"fdd/view?i=",J127)</f>
        <v>https://www.dgiwg.org/FAD/fdd/view?i=70208</v>
      </c>
      <c r="L127" s="231" t="s">
        <v>973</v>
      </c>
      <c r="M127" s="230"/>
      <c r="N127" s="230"/>
      <c r="O127" s="187" t="s">
        <v>969</v>
      </c>
      <c r="P127" s="202"/>
      <c r="Q127" s="188"/>
    </row>
    <row r="128" spans="1:17" ht="25.5" x14ac:dyDescent="0.2">
      <c r="A128" s="197" t="str">
        <f t="shared" si="1"/>
        <v>mass_gram</v>
      </c>
      <c r="B128" s="409"/>
      <c r="C128" s="416"/>
      <c r="D128" s="198" t="s">
        <v>975</v>
      </c>
      <c r="E128" s="198">
        <v>3</v>
      </c>
      <c r="F128" s="199" t="s">
        <v>976</v>
      </c>
      <c r="G128" s="1" t="s">
        <v>977</v>
      </c>
      <c r="H128" s="200"/>
      <c r="I128" s="200"/>
      <c r="J128" s="201">
        <v>70209</v>
      </c>
      <c r="K128" s="25" t="str">
        <f>CONCATENATE(Cover!$D$6,"fdd/view?i=",J128)</f>
        <v>https://www.dgiwg.org/FAD/fdd/view?i=70209</v>
      </c>
      <c r="L128" s="25" t="s">
        <v>978</v>
      </c>
      <c r="M128" s="200"/>
      <c r="N128" s="200"/>
      <c r="O128" s="13" t="s">
        <v>974</v>
      </c>
      <c r="P128" s="202"/>
      <c r="Q128" s="188"/>
    </row>
    <row r="129" spans="1:17" ht="25.5" x14ac:dyDescent="0.2">
      <c r="A129" s="197" t="str">
        <f t="shared" si="1"/>
        <v>mass_milligram</v>
      </c>
      <c r="B129" s="409"/>
      <c r="C129" s="416"/>
      <c r="D129" s="198" t="s">
        <v>980</v>
      </c>
      <c r="E129" s="198">
        <v>4</v>
      </c>
      <c r="F129" s="199" t="s">
        <v>981</v>
      </c>
      <c r="G129" s="1" t="s">
        <v>982</v>
      </c>
      <c r="H129" s="200"/>
      <c r="I129" s="200"/>
      <c r="J129" s="201">
        <v>70210</v>
      </c>
      <c r="K129" s="25" t="str">
        <f>CONCATENATE(Cover!$D$6,"fdd/view?i=",J129)</f>
        <v>https://www.dgiwg.org/FAD/fdd/view?i=70210</v>
      </c>
      <c r="L129" s="25" t="s">
        <v>983</v>
      </c>
      <c r="M129" s="200"/>
      <c r="N129" s="200"/>
      <c r="O129" s="13" t="s">
        <v>979</v>
      </c>
      <c r="P129" s="202"/>
      <c r="Q129" s="188"/>
    </row>
    <row r="130" spans="1:17" ht="25.5" x14ac:dyDescent="0.2">
      <c r="A130" s="197" t="str">
        <f t="shared" ref="A130:A193" si="2">HYPERLINK(K130,L130)</f>
        <v>mass_microgram</v>
      </c>
      <c r="B130" s="409"/>
      <c r="C130" s="416"/>
      <c r="D130" s="198" t="s">
        <v>985</v>
      </c>
      <c r="E130" s="198">
        <v>5</v>
      </c>
      <c r="F130" s="199" t="s">
        <v>986</v>
      </c>
      <c r="G130" s="1" t="s">
        <v>987</v>
      </c>
      <c r="H130" s="200"/>
      <c r="I130" s="200"/>
      <c r="J130" s="201">
        <v>70211</v>
      </c>
      <c r="K130" s="25" t="str">
        <f>CONCATENATE(Cover!$D$6,"fdd/view?i=",J130)</f>
        <v>https://www.dgiwg.org/FAD/fdd/view?i=70211</v>
      </c>
      <c r="L130" s="25" t="s">
        <v>988</v>
      </c>
      <c r="M130" s="200"/>
      <c r="N130" s="200"/>
      <c r="O130" s="13" t="s">
        <v>984</v>
      </c>
      <c r="P130" s="202"/>
      <c r="Q130" s="188"/>
    </row>
    <row r="131" spans="1:17" ht="25.5" x14ac:dyDescent="0.2">
      <c r="A131" s="197" t="str">
        <f t="shared" si="2"/>
        <v>mass_longTon</v>
      </c>
      <c r="B131" s="409"/>
      <c r="C131" s="416"/>
      <c r="D131" s="198" t="s">
        <v>990</v>
      </c>
      <c r="E131" s="198">
        <v>6</v>
      </c>
      <c r="F131" s="199" t="s">
        <v>991</v>
      </c>
      <c r="G131" s="1" t="s">
        <v>992</v>
      </c>
      <c r="H131" s="200"/>
      <c r="I131" s="1" t="s">
        <v>993</v>
      </c>
      <c r="J131" s="201">
        <v>70212</v>
      </c>
      <c r="K131" s="25" t="str">
        <f>CONCATENATE(Cover!$D$6,"fdd/view?i=",J131)</f>
        <v>https://www.dgiwg.org/FAD/fdd/view?i=70212</v>
      </c>
      <c r="L131" s="25" t="s">
        <v>994</v>
      </c>
      <c r="M131" s="200"/>
      <c r="N131" s="200"/>
      <c r="O131" s="13" t="s">
        <v>989</v>
      </c>
      <c r="P131" s="202"/>
      <c r="Q131" s="188"/>
    </row>
    <row r="132" spans="1:17" ht="25.5" x14ac:dyDescent="0.2">
      <c r="A132" s="197" t="str">
        <f t="shared" si="2"/>
        <v>mass_shortTon</v>
      </c>
      <c r="B132" s="409"/>
      <c r="C132" s="416"/>
      <c r="D132" s="198" t="s">
        <v>996</v>
      </c>
      <c r="E132" s="198">
        <v>7</v>
      </c>
      <c r="F132" s="199" t="s">
        <v>997</v>
      </c>
      <c r="G132" s="1" t="s">
        <v>998</v>
      </c>
      <c r="H132" s="200"/>
      <c r="I132" s="1" t="s">
        <v>999</v>
      </c>
      <c r="J132" s="201">
        <v>70213</v>
      </c>
      <c r="K132" s="25" t="str">
        <f>CONCATENATE(Cover!$D$6,"fdd/view?i=",J132)</f>
        <v>https://www.dgiwg.org/FAD/fdd/view?i=70213</v>
      </c>
      <c r="L132" s="25" t="s">
        <v>1000</v>
      </c>
      <c r="M132" s="200"/>
      <c r="N132" s="200"/>
      <c r="O132" s="13" t="s">
        <v>995</v>
      </c>
      <c r="P132" s="202"/>
      <c r="Q132" s="188"/>
    </row>
    <row r="133" spans="1:17" ht="25.5" x14ac:dyDescent="0.2">
      <c r="A133" s="197" t="str">
        <f t="shared" si="2"/>
        <v>mass_pound</v>
      </c>
      <c r="B133" s="409"/>
      <c r="C133" s="416"/>
      <c r="D133" s="198" t="s">
        <v>1002</v>
      </c>
      <c r="E133" s="198">
        <v>8</v>
      </c>
      <c r="F133" s="199" t="s">
        <v>1003</v>
      </c>
      <c r="G133" s="1" t="s">
        <v>1004</v>
      </c>
      <c r="H133" s="200"/>
      <c r="I133" s="200"/>
      <c r="J133" s="201">
        <v>70214</v>
      </c>
      <c r="K133" s="25" t="str">
        <f>CONCATENATE(Cover!$D$6,"fdd/view?i=",J133)</f>
        <v>https://www.dgiwg.org/FAD/fdd/view?i=70214</v>
      </c>
      <c r="L133" s="25" t="s">
        <v>1005</v>
      </c>
      <c r="M133" s="200"/>
      <c r="N133" s="200"/>
      <c r="O133" s="13" t="s">
        <v>1001</v>
      </c>
      <c r="P133" s="202"/>
      <c r="Q133" s="188"/>
    </row>
    <row r="134" spans="1:17" ht="25.5" x14ac:dyDescent="0.2">
      <c r="A134" s="197" t="str">
        <f t="shared" si="2"/>
        <v>mass_ounce</v>
      </c>
      <c r="B134" s="409"/>
      <c r="C134" s="416"/>
      <c r="D134" s="198" t="s">
        <v>1007</v>
      </c>
      <c r="E134" s="198">
        <v>9</v>
      </c>
      <c r="F134" s="199" t="s">
        <v>1008</v>
      </c>
      <c r="G134" s="1" t="s">
        <v>1009</v>
      </c>
      <c r="H134" s="200"/>
      <c r="I134" s="200"/>
      <c r="J134" s="201">
        <v>70215</v>
      </c>
      <c r="K134" s="25" t="str">
        <f>CONCATENATE(Cover!$D$6,"fdd/view?i=",J134)</f>
        <v>https://www.dgiwg.org/FAD/fdd/view?i=70215</v>
      </c>
      <c r="L134" s="25" t="s">
        <v>1010</v>
      </c>
      <c r="M134" s="200"/>
      <c r="N134" s="200"/>
      <c r="O134" s="13" t="s">
        <v>1006</v>
      </c>
      <c r="P134" s="202"/>
      <c r="Q134" s="188"/>
    </row>
    <row r="135" spans="1:17" ht="38.25" x14ac:dyDescent="0.2">
      <c r="A135" s="197" t="str">
        <f t="shared" si="2"/>
        <v>mass_unifiedAtomicMassUnit</v>
      </c>
      <c r="B135" s="409"/>
      <c r="C135" s="416"/>
      <c r="D135" s="198" t="s">
        <v>1012</v>
      </c>
      <c r="E135" s="198">
        <v>10</v>
      </c>
      <c r="F135" s="199" t="s">
        <v>1013</v>
      </c>
      <c r="G135" s="1" t="s">
        <v>1014</v>
      </c>
      <c r="H135" s="200"/>
      <c r="I135" s="200"/>
      <c r="J135" s="201">
        <v>70216</v>
      </c>
      <c r="K135" s="25" t="str">
        <f>CONCATENATE(Cover!$D$6,"fdd/view?i=",J135)</f>
        <v>https://www.dgiwg.org/FAD/fdd/view?i=70216</v>
      </c>
      <c r="L135" s="25" t="s">
        <v>1015</v>
      </c>
      <c r="M135" s="200"/>
      <c r="N135" s="200"/>
      <c r="O135" s="13" t="s">
        <v>1011</v>
      </c>
      <c r="P135" s="202"/>
      <c r="Q135" s="188"/>
    </row>
    <row r="136" spans="1:17" ht="25.5" x14ac:dyDescent="0.2">
      <c r="A136" s="203" t="str">
        <f t="shared" si="2"/>
        <v>mass_kilopound</v>
      </c>
      <c r="B136" s="410"/>
      <c r="C136" s="417"/>
      <c r="D136" s="204" t="s">
        <v>1017</v>
      </c>
      <c r="E136" s="204">
        <v>11</v>
      </c>
      <c r="F136" s="205" t="s">
        <v>1018</v>
      </c>
      <c r="G136" s="206" t="s">
        <v>1019</v>
      </c>
      <c r="H136" s="207"/>
      <c r="I136" s="207"/>
      <c r="J136" s="208">
        <v>70217</v>
      </c>
      <c r="K136" s="209" t="str">
        <f>CONCATENATE(Cover!$D$6,"fdd/view?i=",J136)</f>
        <v>https://www.dgiwg.org/FAD/fdd/view?i=70217</v>
      </c>
      <c r="L136" s="209" t="s">
        <v>1020</v>
      </c>
      <c r="M136" s="207"/>
      <c r="N136" s="207"/>
      <c r="O136" s="210" t="s">
        <v>1016</v>
      </c>
      <c r="P136" s="211"/>
      <c r="Q136" s="188"/>
    </row>
    <row r="137" spans="1:17" ht="25.5" x14ac:dyDescent="0.2">
      <c r="A137" s="190" t="str">
        <f t="shared" si="2"/>
        <v>massDensity_tonnePerCubicMetre</v>
      </c>
      <c r="B137" s="414" t="str">
        <f>HYPERLINK("[#]PhysicalQuantities!A29:N29","massDensity")</f>
        <v>massDensity</v>
      </c>
      <c r="C137" s="415" t="s">
        <v>293</v>
      </c>
      <c r="D137" s="221" t="s">
        <v>1022</v>
      </c>
      <c r="E137" s="221">
        <v>1</v>
      </c>
      <c r="F137" s="222" t="s">
        <v>1023</v>
      </c>
      <c r="G137" s="223" t="s">
        <v>1024</v>
      </c>
      <c r="H137" s="224"/>
      <c r="I137" s="224"/>
      <c r="J137" s="225">
        <v>70218</v>
      </c>
      <c r="K137" s="226" t="str">
        <f>CONCATENATE(Cover!$D$6,"fdd/view?i=",J137)</f>
        <v>https://www.dgiwg.org/FAD/fdd/view?i=70218</v>
      </c>
      <c r="L137" s="226" t="s">
        <v>1025</v>
      </c>
      <c r="M137" s="224"/>
      <c r="N137" s="224"/>
      <c r="O137" s="233" t="s">
        <v>1021</v>
      </c>
      <c r="P137" s="196"/>
      <c r="Q137" s="188"/>
    </row>
    <row r="138" spans="1:17" ht="25.5" x14ac:dyDescent="0.2">
      <c r="A138" s="197" t="str">
        <f t="shared" si="2"/>
        <v>massDensity_kilogramPerCubicMetre</v>
      </c>
      <c r="B138" s="409"/>
      <c r="C138" s="416"/>
      <c r="D138" s="228" t="s">
        <v>1027</v>
      </c>
      <c r="E138" s="228">
        <v>2</v>
      </c>
      <c r="F138" s="229" t="s">
        <v>1028</v>
      </c>
      <c r="G138" s="228" t="s">
        <v>1029</v>
      </c>
      <c r="H138" s="230"/>
      <c r="I138" s="230"/>
      <c r="J138" s="228">
        <v>70219</v>
      </c>
      <c r="K138" s="231" t="str">
        <f>CONCATENATE(Cover!$D$6,"fdd/view?i=",J138)</f>
        <v>https://www.dgiwg.org/FAD/fdd/view?i=70219</v>
      </c>
      <c r="L138" s="231" t="s">
        <v>1030</v>
      </c>
      <c r="M138" s="230"/>
      <c r="N138" s="230"/>
      <c r="O138" s="187" t="s">
        <v>1026</v>
      </c>
      <c r="P138" s="202"/>
      <c r="Q138" s="188"/>
    </row>
    <row r="139" spans="1:17" ht="25.5" x14ac:dyDescent="0.2">
      <c r="A139" s="197" t="str">
        <f t="shared" si="2"/>
        <v>massDensity_gramPerLitre</v>
      </c>
      <c r="B139" s="409"/>
      <c r="C139" s="416"/>
      <c r="D139" s="198" t="s">
        <v>1032</v>
      </c>
      <c r="E139" s="198">
        <v>3</v>
      </c>
      <c r="F139" s="199" t="s">
        <v>1033</v>
      </c>
      <c r="G139" s="1" t="s">
        <v>1034</v>
      </c>
      <c r="H139" s="200"/>
      <c r="I139" s="200"/>
      <c r="J139" s="201">
        <v>70220</v>
      </c>
      <c r="K139" s="25" t="str">
        <f>CONCATENATE(Cover!$D$6,"fdd/view?i=",J139)</f>
        <v>https://www.dgiwg.org/FAD/fdd/view?i=70220</v>
      </c>
      <c r="L139" s="25" t="s">
        <v>1035</v>
      </c>
      <c r="M139" s="200"/>
      <c r="N139" s="200"/>
      <c r="O139" s="13" t="s">
        <v>1031</v>
      </c>
      <c r="P139" s="202"/>
      <c r="Q139" s="188"/>
    </row>
    <row r="140" spans="1:17" ht="25.5" x14ac:dyDescent="0.2">
      <c r="A140" s="197" t="str">
        <f t="shared" si="2"/>
        <v>massDensity_gramPerCubicMetre</v>
      </c>
      <c r="B140" s="409"/>
      <c r="C140" s="416"/>
      <c r="D140" s="198" t="s">
        <v>1037</v>
      </c>
      <c r="E140" s="198">
        <v>4</v>
      </c>
      <c r="F140" s="199" t="s">
        <v>1038</v>
      </c>
      <c r="G140" s="1" t="s">
        <v>1039</v>
      </c>
      <c r="H140" s="200"/>
      <c r="I140" s="1" t="s">
        <v>1040</v>
      </c>
      <c r="J140" s="201">
        <v>70221</v>
      </c>
      <c r="K140" s="25" t="str">
        <f>CONCATENATE(Cover!$D$6,"fdd/view?i=",J140)</f>
        <v>https://www.dgiwg.org/FAD/fdd/view?i=70221</v>
      </c>
      <c r="L140" s="25" t="s">
        <v>1041</v>
      </c>
      <c r="M140" s="200"/>
      <c r="N140" s="200"/>
      <c r="O140" s="13" t="s">
        <v>1036</v>
      </c>
      <c r="P140" s="202"/>
      <c r="Q140" s="188"/>
    </row>
    <row r="141" spans="1:17" ht="25.5" x14ac:dyDescent="0.2">
      <c r="A141" s="197" t="str">
        <f t="shared" si="2"/>
        <v>massDensity_kilogramPerLitre</v>
      </c>
      <c r="B141" s="409"/>
      <c r="C141" s="416"/>
      <c r="D141" s="198" t="s">
        <v>1043</v>
      </c>
      <c r="E141" s="198">
        <v>5</v>
      </c>
      <c r="F141" s="199" t="s">
        <v>1044</v>
      </c>
      <c r="G141" s="1" t="s">
        <v>1039</v>
      </c>
      <c r="H141" s="200"/>
      <c r="I141" s="200"/>
      <c r="J141" s="201">
        <v>70222</v>
      </c>
      <c r="K141" s="25" t="str">
        <f>CONCATENATE(Cover!$D$6,"fdd/view?i=",J141)</f>
        <v>https://www.dgiwg.org/FAD/fdd/view?i=70222</v>
      </c>
      <c r="L141" s="25" t="s">
        <v>1045</v>
      </c>
      <c r="M141" s="200"/>
      <c r="N141" s="200"/>
      <c r="O141" s="13" t="s">
        <v>1042</v>
      </c>
      <c r="P141" s="202"/>
      <c r="Q141" s="188"/>
    </row>
    <row r="142" spans="1:17" ht="25.5" x14ac:dyDescent="0.2">
      <c r="A142" s="197" t="str">
        <f t="shared" si="2"/>
        <v>massDensity_gramPerCubicCentimetre</v>
      </c>
      <c r="B142" s="409"/>
      <c r="C142" s="416"/>
      <c r="D142" s="198" t="s">
        <v>1047</v>
      </c>
      <c r="E142" s="198">
        <v>6</v>
      </c>
      <c r="F142" s="199" t="s">
        <v>1048</v>
      </c>
      <c r="G142" s="1" t="s">
        <v>1049</v>
      </c>
      <c r="H142" s="200"/>
      <c r="I142" s="200"/>
      <c r="J142" s="201">
        <v>70223</v>
      </c>
      <c r="K142" s="25" t="str">
        <f>CONCATENATE(Cover!$D$6,"fdd/view?i=",J142)</f>
        <v>https://www.dgiwg.org/FAD/fdd/view?i=70223</v>
      </c>
      <c r="L142" s="25" t="s">
        <v>1050</v>
      </c>
      <c r="M142" s="200"/>
      <c r="N142" s="200"/>
      <c r="O142" s="13" t="s">
        <v>1046</v>
      </c>
      <c r="P142" s="202"/>
      <c r="Q142" s="188"/>
    </row>
    <row r="143" spans="1:17" ht="25.5" x14ac:dyDescent="0.2">
      <c r="A143" s="203" t="str">
        <f t="shared" si="2"/>
        <v>massDensity_microgramPerCubicMetre</v>
      </c>
      <c r="B143" s="410"/>
      <c r="C143" s="417"/>
      <c r="D143" s="204" t="s">
        <v>1052</v>
      </c>
      <c r="E143" s="204">
        <v>7</v>
      </c>
      <c r="F143" s="205" t="s">
        <v>1053</v>
      </c>
      <c r="G143" s="206" t="s">
        <v>1049</v>
      </c>
      <c r="H143" s="207"/>
      <c r="I143" s="207"/>
      <c r="J143" s="208">
        <v>70224</v>
      </c>
      <c r="K143" s="209" t="str">
        <f>CONCATENATE(Cover!$D$6,"fdd/view?i=",J143)</f>
        <v>https://www.dgiwg.org/FAD/fdd/view?i=70224</v>
      </c>
      <c r="L143" s="209" t="s">
        <v>1054</v>
      </c>
      <c r="M143" s="207"/>
      <c r="N143" s="207"/>
      <c r="O143" s="210" t="s">
        <v>1051</v>
      </c>
      <c r="P143" s="211"/>
      <c r="Q143" s="188"/>
    </row>
    <row r="144" spans="1:17" ht="25.5" x14ac:dyDescent="0.2">
      <c r="A144" s="190" t="str">
        <f t="shared" si="2"/>
        <v>massFraction_kilogramPerKilogram</v>
      </c>
      <c r="B144" s="414" t="str">
        <f>HYPERLINK("[#]PhysicalQuantities!A30:N30","massFraction")</f>
        <v>massFraction</v>
      </c>
      <c r="C144" s="415" t="s">
        <v>297</v>
      </c>
      <c r="D144" s="191" t="s">
        <v>1055</v>
      </c>
      <c r="E144" s="191">
        <v>1</v>
      </c>
      <c r="F144" s="192" t="s">
        <v>1056</v>
      </c>
      <c r="G144" s="191" t="s">
        <v>1057</v>
      </c>
      <c r="H144" s="193"/>
      <c r="I144" s="193"/>
      <c r="J144" s="191">
        <v>70225</v>
      </c>
      <c r="K144" s="194" t="str">
        <f>CONCATENATE(Cover!$D$6,"fdd/view?i=",J144)</f>
        <v>https://www.dgiwg.org/FAD/fdd/view?i=70225</v>
      </c>
      <c r="L144" s="194" t="s">
        <v>1058</v>
      </c>
      <c r="M144" s="193"/>
      <c r="N144" s="193"/>
      <c r="O144" s="239"/>
      <c r="P144" s="196"/>
      <c r="Q144" s="188"/>
    </row>
    <row r="145" spans="1:17" ht="25.5" x14ac:dyDescent="0.2">
      <c r="A145" s="197" t="str">
        <f t="shared" si="2"/>
        <v>massFraction_gramPerKilogram</v>
      </c>
      <c r="B145" s="409"/>
      <c r="C145" s="416"/>
      <c r="D145" s="198" t="s">
        <v>1060</v>
      </c>
      <c r="E145" s="198">
        <v>2</v>
      </c>
      <c r="F145" s="199" t="s">
        <v>1061</v>
      </c>
      <c r="G145" s="1" t="s">
        <v>1062</v>
      </c>
      <c r="H145" s="200"/>
      <c r="I145" s="200"/>
      <c r="J145" s="201">
        <v>70226</v>
      </c>
      <c r="K145" s="25" t="str">
        <f>CONCATENATE(Cover!$D$6,"fdd/view?i=",J145)</f>
        <v>https://www.dgiwg.org/FAD/fdd/view?i=70226</v>
      </c>
      <c r="L145" s="25" t="s">
        <v>1063</v>
      </c>
      <c r="M145" s="200"/>
      <c r="N145" s="200"/>
      <c r="O145" s="13" t="s">
        <v>1059</v>
      </c>
      <c r="P145" s="202"/>
      <c r="Q145" s="188"/>
    </row>
    <row r="146" spans="1:17" ht="25.5" x14ac:dyDescent="0.2">
      <c r="A146" s="203" t="str">
        <f t="shared" si="2"/>
        <v>massFraction_gramPerGram</v>
      </c>
      <c r="B146" s="410"/>
      <c r="C146" s="417"/>
      <c r="D146" s="204" t="s">
        <v>1064</v>
      </c>
      <c r="E146" s="204">
        <v>3</v>
      </c>
      <c r="F146" s="205" t="s">
        <v>1065</v>
      </c>
      <c r="G146" s="206" t="s">
        <v>1066</v>
      </c>
      <c r="H146" s="207"/>
      <c r="I146" s="207"/>
      <c r="J146" s="208">
        <v>70227</v>
      </c>
      <c r="K146" s="209" t="str">
        <f>CONCATENATE(Cover!$D$6,"fdd/view?i=",J146)</f>
        <v>https://www.dgiwg.org/FAD/fdd/view?i=70227</v>
      </c>
      <c r="L146" s="209" t="s">
        <v>1067</v>
      </c>
      <c r="M146" s="207"/>
      <c r="N146" s="207"/>
      <c r="O146" s="232"/>
      <c r="P146" s="211"/>
      <c r="Q146" s="188"/>
    </row>
    <row r="147" spans="1:17" ht="25.5" x14ac:dyDescent="0.2">
      <c r="A147" s="190" t="str">
        <f t="shared" si="2"/>
        <v>massRate_kilogramPerSecond</v>
      </c>
      <c r="B147" s="414" t="str">
        <f>HYPERLINK("[#]PhysicalQuantities!A31:N31","massRate")</f>
        <v>massRate</v>
      </c>
      <c r="C147" s="415" t="s">
        <v>300</v>
      </c>
      <c r="D147" s="191" t="s">
        <v>1068</v>
      </c>
      <c r="E147" s="191">
        <v>1</v>
      </c>
      <c r="F147" s="192" t="s">
        <v>1069</v>
      </c>
      <c r="G147" s="191" t="s">
        <v>1070</v>
      </c>
      <c r="H147" s="193"/>
      <c r="I147" s="193"/>
      <c r="J147" s="191">
        <v>70358</v>
      </c>
      <c r="K147" s="194" t="str">
        <f>CONCATENATE(Cover!$D$6,"fdd/view?i=",J147)</f>
        <v>https://www.dgiwg.org/FAD/fdd/view?i=70358</v>
      </c>
      <c r="L147" s="194" t="s">
        <v>1071</v>
      </c>
      <c r="M147" s="193"/>
      <c r="N147" s="193"/>
      <c r="O147" s="239"/>
      <c r="P147" s="196"/>
      <c r="Q147" s="188"/>
    </row>
    <row r="148" spans="1:17" ht="25.5" x14ac:dyDescent="0.2">
      <c r="A148" s="197" t="str">
        <f t="shared" si="2"/>
        <v>massRate_tonnePerHour</v>
      </c>
      <c r="B148" s="409"/>
      <c r="C148" s="416"/>
      <c r="D148" s="198" t="s">
        <v>1073</v>
      </c>
      <c r="E148" s="198">
        <v>2</v>
      </c>
      <c r="F148" s="199" t="s">
        <v>1074</v>
      </c>
      <c r="G148" s="1" t="s">
        <v>1075</v>
      </c>
      <c r="H148" s="200"/>
      <c r="I148" s="200"/>
      <c r="J148" s="201">
        <v>70372</v>
      </c>
      <c r="K148" s="25" t="str">
        <f>CONCATENATE(Cover!$D$6,"fdd/view?i=",J148)</f>
        <v>https://www.dgiwg.org/FAD/fdd/view?i=70372</v>
      </c>
      <c r="L148" s="25" t="s">
        <v>1076</v>
      </c>
      <c r="M148" s="200"/>
      <c r="N148" s="200"/>
      <c r="O148" s="13" t="s">
        <v>1072</v>
      </c>
      <c r="P148" s="202"/>
      <c r="Q148" s="188"/>
    </row>
    <row r="149" spans="1:17" ht="25.5" x14ac:dyDescent="0.2">
      <c r="A149" s="197" t="str">
        <f t="shared" si="2"/>
        <v>massRate_tonnePerAnnum</v>
      </c>
      <c r="B149" s="409"/>
      <c r="C149" s="416"/>
      <c r="D149" s="198" t="s">
        <v>1077</v>
      </c>
      <c r="E149" s="198">
        <v>3</v>
      </c>
      <c r="F149" s="199" t="s">
        <v>1078</v>
      </c>
      <c r="G149" s="1" t="s">
        <v>1079</v>
      </c>
      <c r="H149" s="200"/>
      <c r="I149" s="200"/>
      <c r="J149" s="201">
        <v>70359</v>
      </c>
      <c r="K149" s="25" t="str">
        <f>CONCATENATE(Cover!$D$6,"fdd/view?i=",J149)</f>
        <v>https://www.dgiwg.org/FAD/fdd/view?i=70359</v>
      </c>
      <c r="L149" s="25" t="s">
        <v>1080</v>
      </c>
      <c r="M149" s="200"/>
      <c r="N149" s="200"/>
      <c r="O149" s="172"/>
      <c r="P149" s="202"/>
      <c r="Q149" s="188"/>
    </row>
    <row r="150" spans="1:17" ht="25.5" x14ac:dyDescent="0.2">
      <c r="A150" s="203" t="str">
        <f t="shared" si="2"/>
        <v>massRate_tonnePerDay</v>
      </c>
      <c r="B150" s="410"/>
      <c r="C150" s="417"/>
      <c r="D150" s="204" t="s">
        <v>1081</v>
      </c>
      <c r="E150" s="204">
        <v>4</v>
      </c>
      <c r="F150" s="205" t="s">
        <v>1082</v>
      </c>
      <c r="G150" s="206" t="s">
        <v>1083</v>
      </c>
      <c r="H150" s="207"/>
      <c r="I150" s="207"/>
      <c r="J150" s="208">
        <v>70392</v>
      </c>
      <c r="K150" s="209" t="str">
        <f>CONCATENATE(Cover!$D$6,"fdd/view?i=",J150)</f>
        <v>https://www.dgiwg.org/FAD/fdd/view?i=70392</v>
      </c>
      <c r="L150" s="209" t="s">
        <v>1084</v>
      </c>
      <c r="M150" s="207"/>
      <c r="N150" s="207"/>
      <c r="O150" s="232"/>
      <c r="P150" s="211"/>
      <c r="Q150" s="188"/>
    </row>
    <row r="151" spans="1:17" ht="25.5" x14ac:dyDescent="0.2">
      <c r="A151" s="190" t="str">
        <f t="shared" si="2"/>
        <v>monetaryUnit_usDollar</v>
      </c>
      <c r="B151" s="414" t="str">
        <f>HYPERLINK("[#]PhysicalQuantities!A32:N32","monetaryUnit")</f>
        <v>monetaryUnit</v>
      </c>
      <c r="C151" s="415" t="s">
        <v>303</v>
      </c>
      <c r="D151" s="221" t="s">
        <v>1085</v>
      </c>
      <c r="E151" s="221">
        <v>1</v>
      </c>
      <c r="F151" s="222" t="s">
        <v>1086</v>
      </c>
      <c r="G151" s="223" t="s">
        <v>1087</v>
      </c>
      <c r="H151" s="224"/>
      <c r="I151" s="224"/>
      <c r="J151" s="225">
        <v>70369</v>
      </c>
      <c r="K151" s="226" t="str">
        <f>CONCATENATE(Cover!$D$6,"fdd/view?i=",J151)</f>
        <v>https://www.dgiwg.org/FAD/fdd/view?i=70369</v>
      </c>
      <c r="L151" s="226" t="s">
        <v>1088</v>
      </c>
      <c r="M151" s="224"/>
      <c r="N151" s="224"/>
      <c r="O151" s="227"/>
      <c r="P151" s="196"/>
      <c r="Q151" s="188"/>
    </row>
    <row r="152" spans="1:17" ht="25.5" x14ac:dyDescent="0.2">
      <c r="A152" s="197" t="str">
        <f t="shared" si="2"/>
        <v>monetaryUnit_euro</v>
      </c>
      <c r="B152" s="409"/>
      <c r="C152" s="416"/>
      <c r="D152" s="198" t="s">
        <v>1089</v>
      </c>
      <c r="E152" s="198">
        <v>2</v>
      </c>
      <c r="F152" s="199" t="s">
        <v>1090</v>
      </c>
      <c r="G152" s="1" t="s">
        <v>1091</v>
      </c>
      <c r="H152" s="200"/>
      <c r="I152" s="200"/>
      <c r="J152" s="201">
        <v>70370</v>
      </c>
      <c r="K152" s="25" t="str">
        <f>CONCATENATE(Cover!$D$6,"fdd/view?i=",J152)</f>
        <v>https://www.dgiwg.org/FAD/fdd/view?i=70370</v>
      </c>
      <c r="L152" s="25" t="s">
        <v>1092</v>
      </c>
      <c r="M152" s="200"/>
      <c r="N152" s="200"/>
      <c r="O152" s="172"/>
      <c r="P152" s="202"/>
      <c r="Q152" s="188"/>
    </row>
    <row r="153" spans="1:17" ht="76.5" x14ac:dyDescent="0.2">
      <c r="A153" s="203" t="str">
        <f t="shared" si="2"/>
        <v>monetaryUnit_poundSterling</v>
      </c>
      <c r="B153" s="410"/>
      <c r="C153" s="417"/>
      <c r="D153" s="204" t="s">
        <v>1093</v>
      </c>
      <c r="E153" s="204">
        <v>3</v>
      </c>
      <c r="F153" s="205" t="s">
        <v>1094</v>
      </c>
      <c r="G153" s="206" t="s">
        <v>1095</v>
      </c>
      <c r="H153" s="206" t="s">
        <v>1096</v>
      </c>
      <c r="I153" s="207"/>
      <c r="J153" s="208">
        <v>70371</v>
      </c>
      <c r="K153" s="209" t="str">
        <f>CONCATENATE(Cover!$D$6,"fdd/view?i=",J153)</f>
        <v>https://www.dgiwg.org/FAD/fdd/view?i=70371</v>
      </c>
      <c r="L153" s="209" t="s">
        <v>1097</v>
      </c>
      <c r="M153" s="207"/>
      <c r="N153" s="207"/>
      <c r="O153" s="232"/>
      <c r="P153" s="211"/>
      <c r="Q153" s="188"/>
    </row>
    <row r="154" spans="1:17" ht="89.25" x14ac:dyDescent="0.2">
      <c r="A154" s="190" t="str">
        <f t="shared" si="2"/>
        <v>noncomparable_flightLevel</v>
      </c>
      <c r="B154" s="414" t="str">
        <f>HYPERLINK("[#]PhysicalQuantities!A33:N33","noncomparable")</f>
        <v>noncomparable</v>
      </c>
      <c r="C154" s="415" t="s">
        <v>306</v>
      </c>
      <c r="D154" s="221" t="s">
        <v>1098</v>
      </c>
      <c r="E154" s="221">
        <v>1</v>
      </c>
      <c r="F154" s="222" t="s">
        <v>1099</v>
      </c>
      <c r="G154" s="223" t="s">
        <v>1100</v>
      </c>
      <c r="H154" s="223" t="s">
        <v>1101</v>
      </c>
      <c r="I154" s="224"/>
      <c r="J154" s="225">
        <v>70228</v>
      </c>
      <c r="K154" s="226" t="str">
        <f>CONCATENATE(Cover!$D$6,"fdd/view?i=",J154)</f>
        <v>https://www.dgiwg.org/FAD/fdd/view?i=70228</v>
      </c>
      <c r="L154" s="226" t="s">
        <v>1102</v>
      </c>
      <c r="M154" s="224"/>
      <c r="N154" s="224"/>
      <c r="O154" s="227"/>
      <c r="P154" s="196"/>
      <c r="Q154" s="188"/>
    </row>
    <row r="155" spans="1:17" ht="51" x14ac:dyDescent="0.2">
      <c r="A155" s="203" t="str">
        <f t="shared" si="2"/>
        <v>noncomparable_militaryLoadClass</v>
      </c>
      <c r="B155" s="410"/>
      <c r="C155" s="417"/>
      <c r="D155" s="204" t="s">
        <v>1103</v>
      </c>
      <c r="E155" s="204">
        <v>2</v>
      </c>
      <c r="F155" s="205" t="s">
        <v>1104</v>
      </c>
      <c r="G155" s="206" t="s">
        <v>1105</v>
      </c>
      <c r="H155" s="206" t="s">
        <v>1106</v>
      </c>
      <c r="I155" s="207"/>
      <c r="J155" s="208">
        <v>70229</v>
      </c>
      <c r="K155" s="209" t="str">
        <f>CONCATENATE(Cover!$D$6,"fdd/view?i=",J155)</f>
        <v>https://www.dgiwg.org/FAD/fdd/view?i=70229</v>
      </c>
      <c r="L155" s="209" t="s">
        <v>1107</v>
      </c>
      <c r="M155" s="207"/>
      <c r="N155" s="207"/>
      <c r="O155" s="232"/>
      <c r="P155" s="211"/>
      <c r="Q155" s="188"/>
    </row>
    <row r="156" spans="1:17" ht="25.5" x14ac:dyDescent="0.2">
      <c r="A156" s="190" t="str">
        <f t="shared" si="2"/>
        <v>planeAngle_radian</v>
      </c>
      <c r="B156" s="414" t="str">
        <f>HYPERLINK("[#]PhysicalQuantities!A34:N34","planeAngle")</f>
        <v>planeAngle</v>
      </c>
      <c r="C156" s="415" t="s">
        <v>309</v>
      </c>
      <c r="D156" s="191" t="s">
        <v>1109</v>
      </c>
      <c r="E156" s="191">
        <v>1</v>
      </c>
      <c r="F156" s="192" t="s">
        <v>1110</v>
      </c>
      <c r="G156" s="191" t="s">
        <v>1111</v>
      </c>
      <c r="H156" s="191" t="s">
        <v>1112</v>
      </c>
      <c r="I156" s="193"/>
      <c r="J156" s="191">
        <v>70230</v>
      </c>
      <c r="K156" s="194" t="str">
        <f>CONCATENATE(Cover!$D$6,"fdd/view?i=",J156)</f>
        <v>https://www.dgiwg.org/FAD/fdd/view?i=70230</v>
      </c>
      <c r="L156" s="194" t="s">
        <v>1113</v>
      </c>
      <c r="M156" s="193"/>
      <c r="N156" s="193"/>
      <c r="O156" s="195" t="s">
        <v>1108</v>
      </c>
      <c r="P156" s="196"/>
      <c r="Q156" s="188"/>
    </row>
    <row r="157" spans="1:17" ht="25.5" x14ac:dyDescent="0.2">
      <c r="A157" s="197" t="str">
        <f t="shared" si="2"/>
        <v>planeAngle_arcDecadegree</v>
      </c>
      <c r="B157" s="409"/>
      <c r="C157" s="416"/>
      <c r="D157" s="198" t="s">
        <v>1114</v>
      </c>
      <c r="E157" s="198">
        <v>2</v>
      </c>
      <c r="F157" s="199" t="s">
        <v>1115</v>
      </c>
      <c r="G157" s="1" t="s">
        <v>1116</v>
      </c>
      <c r="H157" s="200"/>
      <c r="I157" s="1" t="s">
        <v>1117</v>
      </c>
      <c r="J157" s="201">
        <v>70231</v>
      </c>
      <c r="K157" s="25" t="str">
        <f>CONCATENATE(Cover!$D$6,"fdd/view?i=",J157)</f>
        <v>https://www.dgiwg.org/FAD/fdd/view?i=70231</v>
      </c>
      <c r="L157" s="25" t="s">
        <v>1118</v>
      </c>
      <c r="M157" s="200"/>
      <c r="N157" s="200"/>
      <c r="O157" s="172"/>
      <c r="P157" s="202"/>
      <c r="Q157" s="188"/>
    </row>
    <row r="158" spans="1:17" ht="25.5" x14ac:dyDescent="0.2">
      <c r="A158" s="197" t="str">
        <f t="shared" si="2"/>
        <v>planeAngle_arcQuintdegree</v>
      </c>
      <c r="B158" s="409"/>
      <c r="C158" s="416"/>
      <c r="D158" s="198" t="s">
        <v>1119</v>
      </c>
      <c r="E158" s="198">
        <v>3</v>
      </c>
      <c r="F158" s="199" t="s">
        <v>1120</v>
      </c>
      <c r="G158" s="1" t="s">
        <v>1121</v>
      </c>
      <c r="H158" s="200"/>
      <c r="I158" s="1" t="s">
        <v>1122</v>
      </c>
      <c r="J158" s="201">
        <v>70232</v>
      </c>
      <c r="K158" s="25" t="str">
        <f>CONCATENATE(Cover!$D$6,"fdd/view?i=",J158)</f>
        <v>https://www.dgiwg.org/FAD/fdd/view?i=70232</v>
      </c>
      <c r="L158" s="25" t="s">
        <v>1123</v>
      </c>
      <c r="M158" s="200"/>
      <c r="N158" s="200"/>
      <c r="O158" s="172"/>
      <c r="P158" s="202"/>
      <c r="Q158" s="188"/>
    </row>
    <row r="159" spans="1:17" ht="25.5" x14ac:dyDescent="0.2">
      <c r="A159" s="197" t="str">
        <f t="shared" si="2"/>
        <v>planeAngle_arcDegree</v>
      </c>
      <c r="B159" s="409"/>
      <c r="C159" s="416"/>
      <c r="D159" s="198" t="s">
        <v>1125</v>
      </c>
      <c r="E159" s="198">
        <v>4</v>
      </c>
      <c r="F159" s="199" t="s">
        <v>1126</v>
      </c>
      <c r="G159" s="1" t="s">
        <v>1127</v>
      </c>
      <c r="H159" s="200"/>
      <c r="I159" s="1" t="s">
        <v>1128</v>
      </c>
      <c r="J159" s="201">
        <v>70233</v>
      </c>
      <c r="K159" s="25" t="str">
        <f>CONCATENATE(Cover!$D$6,"fdd/view?i=",J159)</f>
        <v>https://www.dgiwg.org/FAD/fdd/view?i=70233</v>
      </c>
      <c r="L159" s="25" t="s">
        <v>1129</v>
      </c>
      <c r="M159" s="200"/>
      <c r="N159" s="200"/>
      <c r="O159" s="13" t="s">
        <v>1124</v>
      </c>
      <c r="P159" s="202"/>
      <c r="Q159" s="188"/>
    </row>
    <row r="160" spans="1:17" ht="38.25" x14ac:dyDescent="0.2">
      <c r="A160" s="197" t="str">
        <f t="shared" si="2"/>
        <v>planeAngle_arcDecidegree</v>
      </c>
      <c r="B160" s="409"/>
      <c r="C160" s="416"/>
      <c r="D160" s="198" t="s">
        <v>1130</v>
      </c>
      <c r="E160" s="198">
        <v>5</v>
      </c>
      <c r="F160" s="199" t="s">
        <v>1131</v>
      </c>
      <c r="G160" s="1" t="s">
        <v>1132</v>
      </c>
      <c r="H160" s="200"/>
      <c r="I160" s="1" t="s">
        <v>1133</v>
      </c>
      <c r="J160" s="201">
        <v>70234</v>
      </c>
      <c r="K160" s="25" t="str">
        <f>CONCATENATE(Cover!$D$6,"fdd/view?i=",J160)</f>
        <v>https://www.dgiwg.org/FAD/fdd/view?i=70234</v>
      </c>
      <c r="L160" s="25" t="s">
        <v>1134</v>
      </c>
      <c r="M160" s="200"/>
      <c r="N160" s="200"/>
      <c r="O160" s="172"/>
      <c r="P160" s="202"/>
      <c r="Q160" s="188"/>
    </row>
    <row r="161" spans="1:17" ht="38.25" x14ac:dyDescent="0.2">
      <c r="A161" s="197" t="str">
        <f t="shared" si="2"/>
        <v>planeAngle_arcCentidegree</v>
      </c>
      <c r="B161" s="409"/>
      <c r="C161" s="416"/>
      <c r="D161" s="198" t="s">
        <v>1135</v>
      </c>
      <c r="E161" s="198">
        <v>6</v>
      </c>
      <c r="F161" s="199" t="s">
        <v>1136</v>
      </c>
      <c r="G161" s="1" t="s">
        <v>1137</v>
      </c>
      <c r="H161" s="200"/>
      <c r="I161" s="1" t="s">
        <v>1138</v>
      </c>
      <c r="J161" s="201">
        <v>70235</v>
      </c>
      <c r="K161" s="25" t="str">
        <f>CONCATENATE(Cover!$D$6,"fdd/view?i=",J161)</f>
        <v>https://www.dgiwg.org/FAD/fdd/view?i=70235</v>
      </c>
      <c r="L161" s="25" t="s">
        <v>1139</v>
      </c>
      <c r="M161" s="200"/>
      <c r="N161" s="200"/>
      <c r="O161" s="172"/>
      <c r="P161" s="202"/>
      <c r="Q161" s="188"/>
    </row>
    <row r="162" spans="1:17" ht="38.25" x14ac:dyDescent="0.2">
      <c r="A162" s="197" t="str">
        <f t="shared" si="2"/>
        <v>planeAngle_arcMillidegree</v>
      </c>
      <c r="B162" s="409"/>
      <c r="C162" s="416"/>
      <c r="D162" s="198" t="s">
        <v>1140</v>
      </c>
      <c r="E162" s="198">
        <v>7</v>
      </c>
      <c r="F162" s="199" t="s">
        <v>1141</v>
      </c>
      <c r="G162" s="1" t="s">
        <v>1142</v>
      </c>
      <c r="H162" s="200"/>
      <c r="I162" s="1" t="s">
        <v>1143</v>
      </c>
      <c r="J162" s="201">
        <v>70236</v>
      </c>
      <c r="K162" s="25" t="str">
        <f>CONCATENATE(Cover!$D$6,"fdd/view?i=",J162)</f>
        <v>https://www.dgiwg.org/FAD/fdd/view?i=70236</v>
      </c>
      <c r="L162" s="25" t="s">
        <v>1144</v>
      </c>
      <c r="M162" s="200"/>
      <c r="N162" s="200"/>
      <c r="O162" s="172"/>
      <c r="P162" s="202"/>
      <c r="Q162" s="188"/>
    </row>
    <row r="163" spans="1:17" ht="38.25" x14ac:dyDescent="0.2">
      <c r="A163" s="197" t="str">
        <f t="shared" si="2"/>
        <v>planeAngle_arcDecimillidegree</v>
      </c>
      <c r="B163" s="409"/>
      <c r="C163" s="416"/>
      <c r="D163" s="198" t="s">
        <v>1145</v>
      </c>
      <c r="E163" s="198">
        <v>8</v>
      </c>
      <c r="F163" s="199" t="s">
        <v>1146</v>
      </c>
      <c r="G163" s="1" t="s">
        <v>1147</v>
      </c>
      <c r="H163" s="200"/>
      <c r="I163" s="1" t="s">
        <v>1148</v>
      </c>
      <c r="J163" s="201">
        <v>70237</v>
      </c>
      <c r="K163" s="25" t="str">
        <f>CONCATENATE(Cover!$D$6,"fdd/view?i=",J163)</f>
        <v>https://www.dgiwg.org/FAD/fdd/view?i=70237</v>
      </c>
      <c r="L163" s="25" t="s">
        <v>1149</v>
      </c>
      <c r="M163" s="200"/>
      <c r="N163" s="200"/>
      <c r="O163" s="172"/>
      <c r="P163" s="202"/>
      <c r="Q163" s="188"/>
    </row>
    <row r="164" spans="1:17" ht="38.25" x14ac:dyDescent="0.2">
      <c r="A164" s="197" t="str">
        <f t="shared" si="2"/>
        <v>planeAngle_arcCentimilllidegree</v>
      </c>
      <c r="B164" s="409"/>
      <c r="C164" s="416"/>
      <c r="D164" s="198" t="s">
        <v>1150</v>
      </c>
      <c r="E164" s="198">
        <v>9</v>
      </c>
      <c r="F164" s="199" t="s">
        <v>1151</v>
      </c>
      <c r="G164" s="1" t="s">
        <v>1152</v>
      </c>
      <c r="H164" s="200"/>
      <c r="I164" s="1" t="s">
        <v>1153</v>
      </c>
      <c r="J164" s="201">
        <v>70238</v>
      </c>
      <c r="K164" s="25" t="str">
        <f>CONCATENATE(Cover!$D$6,"fdd/view?i=",J164)</f>
        <v>https://www.dgiwg.org/FAD/fdd/view?i=70238</v>
      </c>
      <c r="L164" s="25" t="s">
        <v>1154</v>
      </c>
      <c r="M164" s="200"/>
      <c r="N164" s="200"/>
      <c r="O164" s="172"/>
      <c r="P164" s="202"/>
      <c r="Q164" s="188"/>
    </row>
    <row r="165" spans="1:17" ht="38.25" x14ac:dyDescent="0.2">
      <c r="A165" s="197" t="str">
        <f t="shared" si="2"/>
        <v>planeAngle_arcMicrodegree</v>
      </c>
      <c r="B165" s="409"/>
      <c r="C165" s="416"/>
      <c r="D165" s="198" t="s">
        <v>1155</v>
      </c>
      <c r="E165" s="198">
        <v>10</v>
      </c>
      <c r="F165" s="199" t="s">
        <v>1156</v>
      </c>
      <c r="G165" s="1" t="s">
        <v>1157</v>
      </c>
      <c r="H165" s="200"/>
      <c r="I165" s="1" t="s">
        <v>1158</v>
      </c>
      <c r="J165" s="201">
        <v>70239</v>
      </c>
      <c r="K165" s="25" t="str">
        <f>CONCATENATE(Cover!$D$6,"fdd/view?i=",J165)</f>
        <v>https://www.dgiwg.org/FAD/fdd/view?i=70239</v>
      </c>
      <c r="L165" s="25" t="s">
        <v>1159</v>
      </c>
      <c r="M165" s="200"/>
      <c r="N165" s="200"/>
      <c r="O165" s="172"/>
      <c r="P165" s="202"/>
      <c r="Q165" s="188"/>
    </row>
    <row r="166" spans="1:17" ht="25.5" x14ac:dyDescent="0.2">
      <c r="A166" s="197" t="str">
        <f t="shared" si="2"/>
        <v>planeAngle_arcMinute</v>
      </c>
      <c r="B166" s="409"/>
      <c r="C166" s="416"/>
      <c r="D166" s="198" t="s">
        <v>1161</v>
      </c>
      <c r="E166" s="198">
        <v>11</v>
      </c>
      <c r="F166" s="199" t="s">
        <v>1162</v>
      </c>
      <c r="G166" s="1" t="s">
        <v>1163</v>
      </c>
      <c r="H166" s="200"/>
      <c r="I166" s="1" t="s">
        <v>1164</v>
      </c>
      <c r="J166" s="201">
        <v>70240</v>
      </c>
      <c r="K166" s="25" t="str">
        <f>CONCATENATE(Cover!$D$6,"fdd/view?i=",J166)</f>
        <v>https://www.dgiwg.org/FAD/fdd/view?i=70240</v>
      </c>
      <c r="L166" s="25" t="s">
        <v>1165</v>
      </c>
      <c r="M166" s="200"/>
      <c r="N166" s="200"/>
      <c r="O166" s="13" t="s">
        <v>1160</v>
      </c>
      <c r="P166" s="202"/>
      <c r="Q166" s="188"/>
    </row>
    <row r="167" spans="1:17" ht="38.25" x14ac:dyDescent="0.2">
      <c r="A167" s="197" t="str">
        <f t="shared" si="2"/>
        <v>planeAngle_arcDeciminute</v>
      </c>
      <c r="B167" s="409"/>
      <c r="C167" s="416"/>
      <c r="D167" s="198" t="s">
        <v>1166</v>
      </c>
      <c r="E167" s="198">
        <v>12</v>
      </c>
      <c r="F167" s="199" t="s">
        <v>1167</v>
      </c>
      <c r="G167" s="1" t="s">
        <v>1168</v>
      </c>
      <c r="H167" s="200"/>
      <c r="I167" s="1" t="s">
        <v>1169</v>
      </c>
      <c r="J167" s="201">
        <v>70241</v>
      </c>
      <c r="K167" s="25" t="str">
        <f>CONCATENATE(Cover!$D$6,"fdd/view?i=",J167)</f>
        <v>https://www.dgiwg.org/FAD/fdd/view?i=70241</v>
      </c>
      <c r="L167" s="25" t="s">
        <v>1170</v>
      </c>
      <c r="M167" s="200"/>
      <c r="N167" s="200"/>
      <c r="O167" s="172"/>
      <c r="P167" s="202"/>
      <c r="Q167" s="188"/>
    </row>
    <row r="168" spans="1:17" ht="38.25" x14ac:dyDescent="0.2">
      <c r="A168" s="197" t="str">
        <f t="shared" si="2"/>
        <v>planeAngle_arcCentiminute</v>
      </c>
      <c r="B168" s="409"/>
      <c r="C168" s="416"/>
      <c r="D168" s="198" t="s">
        <v>1171</v>
      </c>
      <c r="E168" s="198">
        <v>13</v>
      </c>
      <c r="F168" s="199" t="s">
        <v>1172</v>
      </c>
      <c r="G168" s="1" t="s">
        <v>1173</v>
      </c>
      <c r="H168" s="200"/>
      <c r="I168" s="1" t="s">
        <v>1174</v>
      </c>
      <c r="J168" s="201">
        <v>70242</v>
      </c>
      <c r="K168" s="25" t="str">
        <f>CONCATENATE(Cover!$D$6,"fdd/view?i=",J168)</f>
        <v>https://www.dgiwg.org/FAD/fdd/view?i=70242</v>
      </c>
      <c r="L168" s="25" t="s">
        <v>1175</v>
      </c>
      <c r="M168" s="200"/>
      <c r="N168" s="200"/>
      <c r="O168" s="172"/>
      <c r="P168" s="202"/>
      <c r="Q168" s="188"/>
    </row>
    <row r="169" spans="1:17" ht="38.25" x14ac:dyDescent="0.2">
      <c r="A169" s="197" t="str">
        <f t="shared" si="2"/>
        <v>planeAngle_arcMilliminute</v>
      </c>
      <c r="B169" s="409"/>
      <c r="C169" s="416"/>
      <c r="D169" s="198" t="s">
        <v>1176</v>
      </c>
      <c r="E169" s="198">
        <v>14</v>
      </c>
      <c r="F169" s="199" t="s">
        <v>1177</v>
      </c>
      <c r="G169" s="1" t="s">
        <v>1178</v>
      </c>
      <c r="H169" s="200"/>
      <c r="I169" s="1" t="s">
        <v>1179</v>
      </c>
      <c r="J169" s="201">
        <v>70243</v>
      </c>
      <c r="K169" s="25" t="str">
        <f>CONCATENATE(Cover!$D$6,"fdd/view?i=",J169)</f>
        <v>https://www.dgiwg.org/FAD/fdd/view?i=70243</v>
      </c>
      <c r="L169" s="25" t="s">
        <v>1180</v>
      </c>
      <c r="M169" s="200"/>
      <c r="N169" s="200"/>
      <c r="O169" s="172"/>
      <c r="P169" s="202"/>
      <c r="Q169" s="188"/>
    </row>
    <row r="170" spans="1:17" ht="38.25" x14ac:dyDescent="0.2">
      <c r="A170" s="197" t="str">
        <f t="shared" si="2"/>
        <v>planeAngle_arcDecimilliminute</v>
      </c>
      <c r="B170" s="409"/>
      <c r="C170" s="416"/>
      <c r="D170" s="198" t="s">
        <v>1181</v>
      </c>
      <c r="E170" s="198">
        <v>15</v>
      </c>
      <c r="F170" s="199" t="s">
        <v>1182</v>
      </c>
      <c r="G170" s="1" t="s">
        <v>1183</v>
      </c>
      <c r="H170" s="200"/>
      <c r="I170" s="1" t="s">
        <v>1184</v>
      </c>
      <c r="J170" s="201">
        <v>70244</v>
      </c>
      <c r="K170" s="25" t="str">
        <f>CONCATENATE(Cover!$D$6,"fdd/view?i=",J170)</f>
        <v>https://www.dgiwg.org/FAD/fdd/view?i=70244</v>
      </c>
      <c r="L170" s="25" t="s">
        <v>1185</v>
      </c>
      <c r="M170" s="200"/>
      <c r="N170" s="200"/>
      <c r="O170" s="172"/>
      <c r="P170" s="202"/>
      <c r="Q170" s="188"/>
    </row>
    <row r="171" spans="1:17" ht="25.5" x14ac:dyDescent="0.2">
      <c r="A171" s="197" t="str">
        <f t="shared" si="2"/>
        <v>planeAngle_arcSecond</v>
      </c>
      <c r="B171" s="409"/>
      <c r="C171" s="416"/>
      <c r="D171" s="198" t="s">
        <v>1187</v>
      </c>
      <c r="E171" s="198">
        <v>16</v>
      </c>
      <c r="F171" s="199" t="s">
        <v>1188</v>
      </c>
      <c r="G171" s="1" t="s">
        <v>1189</v>
      </c>
      <c r="H171" s="200"/>
      <c r="I171" s="1" t="s">
        <v>1190</v>
      </c>
      <c r="J171" s="201">
        <v>70245</v>
      </c>
      <c r="K171" s="25" t="str">
        <f>CONCATENATE(Cover!$D$6,"fdd/view?i=",J171)</f>
        <v>https://www.dgiwg.org/FAD/fdd/view?i=70245</v>
      </c>
      <c r="L171" s="25" t="s">
        <v>1191</v>
      </c>
      <c r="M171" s="200"/>
      <c r="N171" s="200"/>
      <c r="O171" s="13" t="s">
        <v>1186</v>
      </c>
      <c r="P171" s="202"/>
      <c r="Q171" s="188"/>
    </row>
    <row r="172" spans="1:17" ht="38.25" x14ac:dyDescent="0.2">
      <c r="A172" s="197" t="str">
        <f t="shared" si="2"/>
        <v>planeAngle_arcDecisecond</v>
      </c>
      <c r="B172" s="409"/>
      <c r="C172" s="416"/>
      <c r="D172" s="198" t="s">
        <v>1192</v>
      </c>
      <c r="E172" s="198">
        <v>17</v>
      </c>
      <c r="F172" s="199" t="s">
        <v>1193</v>
      </c>
      <c r="G172" s="1" t="s">
        <v>1194</v>
      </c>
      <c r="H172" s="200"/>
      <c r="I172" s="1" t="s">
        <v>1195</v>
      </c>
      <c r="J172" s="201">
        <v>70246</v>
      </c>
      <c r="K172" s="25" t="str">
        <f>CONCATENATE(Cover!$D$6,"fdd/view?i=",J172)</f>
        <v>https://www.dgiwg.org/FAD/fdd/view?i=70246</v>
      </c>
      <c r="L172" s="25" t="s">
        <v>1196</v>
      </c>
      <c r="M172" s="200"/>
      <c r="N172" s="200"/>
      <c r="O172" s="172"/>
      <c r="P172" s="202"/>
      <c r="Q172" s="188"/>
    </row>
    <row r="173" spans="1:17" ht="38.25" x14ac:dyDescent="0.2">
      <c r="A173" s="197" t="str">
        <f t="shared" si="2"/>
        <v>planeAngle_arcCentisecond</v>
      </c>
      <c r="B173" s="409"/>
      <c r="C173" s="416"/>
      <c r="D173" s="198" t="s">
        <v>1197</v>
      </c>
      <c r="E173" s="198">
        <v>18</v>
      </c>
      <c r="F173" s="199" t="s">
        <v>1198</v>
      </c>
      <c r="G173" s="1" t="s">
        <v>1199</v>
      </c>
      <c r="H173" s="200"/>
      <c r="I173" s="1" t="s">
        <v>1200</v>
      </c>
      <c r="J173" s="201">
        <v>70247</v>
      </c>
      <c r="K173" s="25" t="str">
        <f>CONCATENATE(Cover!$D$6,"fdd/view?i=",J173)</f>
        <v>https://www.dgiwg.org/FAD/fdd/view?i=70247</v>
      </c>
      <c r="L173" s="25" t="s">
        <v>1201</v>
      </c>
      <c r="M173" s="200"/>
      <c r="N173" s="200"/>
      <c r="O173" s="172"/>
      <c r="P173" s="202"/>
      <c r="Q173" s="188"/>
    </row>
    <row r="174" spans="1:17" ht="38.25" x14ac:dyDescent="0.2">
      <c r="A174" s="197" t="str">
        <f t="shared" si="2"/>
        <v>planeAngle_arcMillisecond</v>
      </c>
      <c r="B174" s="409"/>
      <c r="C174" s="416"/>
      <c r="D174" s="198" t="s">
        <v>1202</v>
      </c>
      <c r="E174" s="198">
        <v>19</v>
      </c>
      <c r="F174" s="199" t="s">
        <v>1203</v>
      </c>
      <c r="G174" s="1" t="s">
        <v>1204</v>
      </c>
      <c r="H174" s="200"/>
      <c r="I174" s="1" t="s">
        <v>1205</v>
      </c>
      <c r="J174" s="201">
        <v>70248</v>
      </c>
      <c r="K174" s="25" t="str">
        <f>CONCATENATE(Cover!$D$6,"fdd/view?i=",J174)</f>
        <v>https://www.dgiwg.org/FAD/fdd/view?i=70248</v>
      </c>
      <c r="L174" s="25" t="s">
        <v>1206</v>
      </c>
      <c r="M174" s="200"/>
      <c r="N174" s="200"/>
      <c r="O174" s="172"/>
      <c r="P174" s="202"/>
      <c r="Q174" s="188"/>
    </row>
    <row r="175" spans="1:17" ht="25.5" x14ac:dyDescent="0.2">
      <c r="A175" s="197" t="str">
        <f t="shared" si="2"/>
        <v>planeAngle_grad</v>
      </c>
      <c r="B175" s="409"/>
      <c r="C175" s="416"/>
      <c r="D175" s="198" t="s">
        <v>1207</v>
      </c>
      <c r="E175" s="198">
        <v>20</v>
      </c>
      <c r="F175" s="199" t="s">
        <v>1208</v>
      </c>
      <c r="G175" s="1" t="s">
        <v>1209</v>
      </c>
      <c r="H175" s="1" t="s">
        <v>1210</v>
      </c>
      <c r="I175" s="200"/>
      <c r="J175" s="201">
        <v>70249</v>
      </c>
      <c r="K175" s="25" t="str">
        <f>CONCATENATE(Cover!$D$6,"fdd/view?i=",J175)</f>
        <v>https://www.dgiwg.org/FAD/fdd/view?i=70249</v>
      </c>
      <c r="L175" s="25" t="s">
        <v>1211</v>
      </c>
      <c r="M175" s="200"/>
      <c r="N175" s="200"/>
      <c r="O175" s="172"/>
      <c r="P175" s="202"/>
      <c r="Q175" s="188"/>
    </row>
    <row r="176" spans="1:17" ht="38.25" x14ac:dyDescent="0.2">
      <c r="A176" s="197" t="str">
        <f t="shared" si="2"/>
        <v>planeAngle_hectomil</v>
      </c>
      <c r="B176" s="409"/>
      <c r="C176" s="416"/>
      <c r="D176" s="198" t="s">
        <v>1212</v>
      </c>
      <c r="E176" s="198">
        <v>21</v>
      </c>
      <c r="F176" s="199" t="s">
        <v>1213</v>
      </c>
      <c r="G176" s="1" t="s">
        <v>1214</v>
      </c>
      <c r="H176" s="1" t="s">
        <v>1215</v>
      </c>
      <c r="I176" s="200"/>
      <c r="J176" s="201">
        <v>70250</v>
      </c>
      <c r="K176" s="25" t="str">
        <f>CONCATENATE(Cover!$D$6,"fdd/view?i=",J176)</f>
        <v>https://www.dgiwg.org/FAD/fdd/view?i=70250</v>
      </c>
      <c r="L176" s="25" t="s">
        <v>1216</v>
      </c>
      <c r="M176" s="200"/>
      <c r="N176" s="200"/>
      <c r="O176" s="172"/>
      <c r="P176" s="202"/>
      <c r="Q176" s="188"/>
    </row>
    <row r="177" spans="1:17" ht="38.25" x14ac:dyDescent="0.2">
      <c r="A177" s="197" t="str">
        <f t="shared" si="2"/>
        <v>planeAngle_decamil</v>
      </c>
      <c r="B177" s="409"/>
      <c r="C177" s="416"/>
      <c r="D177" s="198" t="s">
        <v>1217</v>
      </c>
      <c r="E177" s="198">
        <v>22</v>
      </c>
      <c r="F177" s="199" t="s">
        <v>1218</v>
      </c>
      <c r="G177" s="1" t="s">
        <v>1219</v>
      </c>
      <c r="H177" s="1" t="s">
        <v>1220</v>
      </c>
      <c r="I177" s="200"/>
      <c r="J177" s="201">
        <v>70251</v>
      </c>
      <c r="K177" s="25" t="str">
        <f>CONCATENATE(Cover!$D$6,"fdd/view?i=",J177)</f>
        <v>https://www.dgiwg.org/FAD/fdd/view?i=70251</v>
      </c>
      <c r="L177" s="25" t="s">
        <v>1221</v>
      </c>
      <c r="M177" s="200"/>
      <c r="N177" s="200"/>
      <c r="O177" s="172"/>
      <c r="P177" s="202"/>
      <c r="Q177" s="188"/>
    </row>
    <row r="178" spans="1:17" ht="38.25" x14ac:dyDescent="0.2">
      <c r="A178" s="197" t="str">
        <f t="shared" si="2"/>
        <v>planeAngle_mil</v>
      </c>
      <c r="B178" s="409"/>
      <c r="C178" s="416"/>
      <c r="D178" s="198" t="s">
        <v>1222</v>
      </c>
      <c r="E178" s="198">
        <v>23</v>
      </c>
      <c r="F178" s="199" t="s">
        <v>1223</v>
      </c>
      <c r="G178" s="1" t="s">
        <v>1224</v>
      </c>
      <c r="H178" s="1" t="s">
        <v>1225</v>
      </c>
      <c r="I178" s="200"/>
      <c r="J178" s="201">
        <v>70252</v>
      </c>
      <c r="K178" s="25" t="str">
        <f>CONCATENATE(Cover!$D$6,"fdd/view?i=",J178)</f>
        <v>https://www.dgiwg.org/FAD/fdd/view?i=70252</v>
      </c>
      <c r="L178" s="25" t="s">
        <v>1226</v>
      </c>
      <c r="M178" s="200"/>
      <c r="N178" s="200"/>
      <c r="O178" s="172"/>
      <c r="P178" s="202"/>
      <c r="Q178" s="188"/>
    </row>
    <row r="179" spans="1:17" ht="51" x14ac:dyDescent="0.2">
      <c r="A179" s="203" t="str">
        <f t="shared" si="2"/>
        <v>planeAngle_millimil</v>
      </c>
      <c r="B179" s="410"/>
      <c r="C179" s="417"/>
      <c r="D179" s="204" t="s">
        <v>1227</v>
      </c>
      <c r="E179" s="204">
        <v>24</v>
      </c>
      <c r="F179" s="205" t="s">
        <v>1228</v>
      </c>
      <c r="G179" s="206" t="s">
        <v>1229</v>
      </c>
      <c r="H179" s="206" t="s">
        <v>1230</v>
      </c>
      <c r="I179" s="207"/>
      <c r="J179" s="208">
        <v>70253</v>
      </c>
      <c r="K179" s="209" t="str">
        <f>CONCATENATE(Cover!$D$6,"fdd/view?i=",J179)</f>
        <v>https://www.dgiwg.org/FAD/fdd/view?i=70253</v>
      </c>
      <c r="L179" s="209" t="s">
        <v>1231</v>
      </c>
      <c r="M179" s="207"/>
      <c r="N179" s="207"/>
      <c r="O179" s="232"/>
      <c r="P179" s="211"/>
      <c r="Q179" s="188"/>
    </row>
    <row r="180" spans="1:17" ht="25.5" x14ac:dyDescent="0.2">
      <c r="A180" s="190" t="str">
        <f t="shared" si="2"/>
        <v>power_megawatt</v>
      </c>
      <c r="B180" s="414" t="str">
        <f>HYPERLINK("[#]PhysicalQuantities!A35:N35","power")</f>
        <v>power</v>
      </c>
      <c r="C180" s="415" t="s">
        <v>312</v>
      </c>
      <c r="D180" s="221" t="s">
        <v>1233</v>
      </c>
      <c r="E180" s="221">
        <v>1</v>
      </c>
      <c r="F180" s="222" t="s">
        <v>1234</v>
      </c>
      <c r="G180" s="223" t="s">
        <v>1235</v>
      </c>
      <c r="H180" s="224"/>
      <c r="I180" s="224"/>
      <c r="J180" s="225">
        <v>70254</v>
      </c>
      <c r="K180" s="226" t="str">
        <f>CONCATENATE(Cover!$D$6,"fdd/view?i=",J180)</f>
        <v>https://www.dgiwg.org/FAD/fdd/view?i=70254</v>
      </c>
      <c r="L180" s="226" t="s">
        <v>1236</v>
      </c>
      <c r="M180" s="224"/>
      <c r="N180" s="224"/>
      <c r="O180" s="233" t="s">
        <v>1232</v>
      </c>
      <c r="P180" s="196"/>
      <c r="Q180" s="188"/>
    </row>
    <row r="181" spans="1:17" ht="25.5" x14ac:dyDescent="0.2">
      <c r="A181" s="197" t="str">
        <f t="shared" si="2"/>
        <v>power_kilowatt</v>
      </c>
      <c r="B181" s="409"/>
      <c r="C181" s="416"/>
      <c r="D181" s="198" t="s">
        <v>1238</v>
      </c>
      <c r="E181" s="198">
        <v>2</v>
      </c>
      <c r="F181" s="199" t="s">
        <v>1239</v>
      </c>
      <c r="G181" s="1" t="s">
        <v>1240</v>
      </c>
      <c r="H181" s="200"/>
      <c r="I181" s="200"/>
      <c r="J181" s="201">
        <v>70255</v>
      </c>
      <c r="K181" s="25" t="str">
        <f>CONCATENATE(Cover!$D$6,"fdd/view?i=",J181)</f>
        <v>https://www.dgiwg.org/FAD/fdd/view?i=70255</v>
      </c>
      <c r="L181" s="25" t="s">
        <v>1241</v>
      </c>
      <c r="M181" s="200"/>
      <c r="N181" s="200"/>
      <c r="O181" s="13" t="s">
        <v>1237</v>
      </c>
      <c r="P181" s="202"/>
      <c r="Q181" s="188"/>
    </row>
    <row r="182" spans="1:17" ht="25.5" x14ac:dyDescent="0.2">
      <c r="A182" s="197" t="str">
        <f t="shared" si="2"/>
        <v>power_watt</v>
      </c>
      <c r="B182" s="409"/>
      <c r="C182" s="416"/>
      <c r="D182" s="228" t="s">
        <v>1243</v>
      </c>
      <c r="E182" s="228">
        <v>3</v>
      </c>
      <c r="F182" s="229" t="s">
        <v>1244</v>
      </c>
      <c r="G182" s="228" t="s">
        <v>1245</v>
      </c>
      <c r="H182" s="230"/>
      <c r="I182" s="230"/>
      <c r="J182" s="228">
        <v>70256</v>
      </c>
      <c r="K182" s="231" t="str">
        <f>CONCATENATE(Cover!$D$6,"fdd/view?i=",J182)</f>
        <v>https://www.dgiwg.org/FAD/fdd/view?i=70256</v>
      </c>
      <c r="L182" s="231" t="s">
        <v>1246</v>
      </c>
      <c r="M182" s="230"/>
      <c r="N182" s="230"/>
      <c r="O182" s="187" t="s">
        <v>1242</v>
      </c>
      <c r="P182" s="202"/>
      <c r="Q182" s="188"/>
    </row>
    <row r="183" spans="1:17" ht="25.5" x14ac:dyDescent="0.2">
      <c r="A183" s="197" t="str">
        <f t="shared" si="2"/>
        <v>power_milliwatt</v>
      </c>
      <c r="B183" s="409"/>
      <c r="C183" s="416"/>
      <c r="D183" s="198" t="s">
        <v>1248</v>
      </c>
      <c r="E183" s="198">
        <v>4</v>
      </c>
      <c r="F183" s="199" t="s">
        <v>1249</v>
      </c>
      <c r="G183" s="1" t="s">
        <v>1250</v>
      </c>
      <c r="H183" s="200"/>
      <c r="I183" s="200"/>
      <c r="J183" s="201">
        <v>70257</v>
      </c>
      <c r="K183" s="25" t="str">
        <f>CONCATENATE(Cover!$D$6,"fdd/view?i=",J183)</f>
        <v>https://www.dgiwg.org/FAD/fdd/view?i=70257</v>
      </c>
      <c r="L183" s="25" t="s">
        <v>1251</v>
      </c>
      <c r="M183" s="200"/>
      <c r="N183" s="200"/>
      <c r="O183" s="13" t="s">
        <v>1247</v>
      </c>
      <c r="P183" s="202"/>
      <c r="Q183" s="188"/>
    </row>
    <row r="184" spans="1:17" ht="25.5" x14ac:dyDescent="0.2">
      <c r="A184" s="197" t="str">
        <f t="shared" si="2"/>
        <v>power_microwatt</v>
      </c>
      <c r="B184" s="409"/>
      <c r="C184" s="416"/>
      <c r="D184" s="198" t="s">
        <v>1253</v>
      </c>
      <c r="E184" s="198">
        <v>5</v>
      </c>
      <c r="F184" s="199" t="s">
        <v>1254</v>
      </c>
      <c r="G184" s="1" t="s">
        <v>1255</v>
      </c>
      <c r="H184" s="200"/>
      <c r="I184" s="200"/>
      <c r="J184" s="201">
        <v>70258</v>
      </c>
      <c r="K184" s="25" t="str">
        <f>CONCATENATE(Cover!$D$6,"fdd/view?i=",J184)</f>
        <v>https://www.dgiwg.org/FAD/fdd/view?i=70258</v>
      </c>
      <c r="L184" s="25" t="s">
        <v>1256</v>
      </c>
      <c r="M184" s="200"/>
      <c r="N184" s="200"/>
      <c r="O184" s="13" t="s">
        <v>1252</v>
      </c>
      <c r="P184" s="202"/>
      <c r="Q184" s="188"/>
    </row>
    <row r="185" spans="1:17" ht="25.5" x14ac:dyDescent="0.2">
      <c r="A185" s="197" t="str">
        <f t="shared" si="2"/>
        <v>power_horsepowerElectric</v>
      </c>
      <c r="B185" s="409"/>
      <c r="C185" s="416"/>
      <c r="D185" s="198" t="s">
        <v>1257</v>
      </c>
      <c r="E185" s="198">
        <v>6</v>
      </c>
      <c r="F185" s="199" t="s">
        <v>1258</v>
      </c>
      <c r="G185" s="1" t="s">
        <v>1259</v>
      </c>
      <c r="H185" s="200"/>
      <c r="I185" s="200"/>
      <c r="J185" s="201">
        <v>70259</v>
      </c>
      <c r="K185" s="25" t="str">
        <f>CONCATENATE(Cover!$D$6,"fdd/view?i=",J185)</f>
        <v>https://www.dgiwg.org/FAD/fdd/view?i=70259</v>
      </c>
      <c r="L185" s="25" t="s">
        <v>1260</v>
      </c>
      <c r="M185" s="200"/>
      <c r="N185" s="200"/>
      <c r="O185" s="172"/>
      <c r="P185" s="202"/>
      <c r="Q185" s="188"/>
    </row>
    <row r="186" spans="1:17" ht="25.5" x14ac:dyDescent="0.2">
      <c r="A186" s="197" t="str">
        <f t="shared" si="2"/>
        <v>power_horsepowerMechanic</v>
      </c>
      <c r="B186" s="409"/>
      <c r="C186" s="416"/>
      <c r="D186" s="198" t="s">
        <v>1261</v>
      </c>
      <c r="E186" s="198">
        <v>7</v>
      </c>
      <c r="F186" s="199" t="s">
        <v>1262</v>
      </c>
      <c r="G186" s="1" t="s">
        <v>1263</v>
      </c>
      <c r="H186" s="200"/>
      <c r="I186" s="200"/>
      <c r="J186" s="201">
        <v>70260</v>
      </c>
      <c r="K186" s="25" t="str">
        <f>CONCATENATE(Cover!$D$6,"fdd/view?i=",J186)</f>
        <v>https://www.dgiwg.org/FAD/fdd/view?i=70260</v>
      </c>
      <c r="L186" s="25" t="s">
        <v>1264</v>
      </c>
      <c r="M186" s="200"/>
      <c r="N186" s="200"/>
      <c r="O186" s="172"/>
      <c r="P186" s="202"/>
      <c r="Q186" s="188"/>
    </row>
    <row r="187" spans="1:17" ht="25.5" x14ac:dyDescent="0.2">
      <c r="A187" s="197" t="str">
        <f t="shared" si="2"/>
        <v>power_horsepowerMetric</v>
      </c>
      <c r="B187" s="409"/>
      <c r="C187" s="416"/>
      <c r="D187" s="198" t="s">
        <v>1265</v>
      </c>
      <c r="E187" s="198">
        <v>8</v>
      </c>
      <c r="F187" s="199" t="s">
        <v>1266</v>
      </c>
      <c r="G187" s="1" t="s">
        <v>1267</v>
      </c>
      <c r="H187" s="200"/>
      <c r="I187" s="200"/>
      <c r="J187" s="201">
        <v>70261</v>
      </c>
      <c r="K187" s="25" t="str">
        <f>CONCATENATE(Cover!$D$6,"fdd/view?i=",J187)</f>
        <v>https://www.dgiwg.org/FAD/fdd/view?i=70261</v>
      </c>
      <c r="L187" s="25" t="s">
        <v>1268</v>
      </c>
      <c r="M187" s="200"/>
      <c r="N187" s="200"/>
      <c r="O187" s="172"/>
      <c r="P187" s="202"/>
      <c r="Q187" s="188"/>
    </row>
    <row r="188" spans="1:17" ht="25.5" x14ac:dyDescent="0.2">
      <c r="A188" s="197" t="str">
        <f t="shared" si="2"/>
        <v>power_kgForceMetrePerSecond</v>
      </c>
      <c r="B188" s="409"/>
      <c r="C188" s="416"/>
      <c r="D188" s="198" t="s">
        <v>1270</v>
      </c>
      <c r="E188" s="198">
        <v>9</v>
      </c>
      <c r="F188" s="199" t="s">
        <v>1271</v>
      </c>
      <c r="G188" s="1" t="s">
        <v>1272</v>
      </c>
      <c r="H188" s="200"/>
      <c r="I188" s="200"/>
      <c r="J188" s="201">
        <v>70262</v>
      </c>
      <c r="K188" s="25" t="str">
        <f>CONCATENATE(Cover!$D$6,"fdd/view?i=",J188)</f>
        <v>https://www.dgiwg.org/FAD/fdd/view?i=70262</v>
      </c>
      <c r="L188" s="25" t="s">
        <v>1273</v>
      </c>
      <c r="M188" s="200"/>
      <c r="N188" s="200"/>
      <c r="O188" s="13" t="s">
        <v>1269</v>
      </c>
      <c r="P188" s="202"/>
      <c r="Q188" s="188"/>
    </row>
    <row r="189" spans="1:17" ht="25.5" x14ac:dyDescent="0.2">
      <c r="A189" s="197" t="str">
        <f t="shared" si="2"/>
        <v>power_footPoundForcePerSecond</v>
      </c>
      <c r="B189" s="409"/>
      <c r="C189" s="416"/>
      <c r="D189" s="198" t="s">
        <v>1275</v>
      </c>
      <c r="E189" s="198">
        <v>10</v>
      </c>
      <c r="F189" s="199" t="s">
        <v>1276</v>
      </c>
      <c r="G189" s="1" t="s">
        <v>1277</v>
      </c>
      <c r="H189" s="200"/>
      <c r="I189" s="200"/>
      <c r="J189" s="201">
        <v>70263</v>
      </c>
      <c r="K189" s="25" t="str">
        <f>CONCATENATE(Cover!$D$6,"fdd/view?i=",J189)</f>
        <v>https://www.dgiwg.org/FAD/fdd/view?i=70263</v>
      </c>
      <c r="L189" s="25" t="s">
        <v>1278</v>
      </c>
      <c r="M189" s="200"/>
      <c r="N189" s="200"/>
      <c r="O189" s="13" t="s">
        <v>1274</v>
      </c>
      <c r="P189" s="202"/>
      <c r="Q189" s="188"/>
    </row>
    <row r="190" spans="1:17" ht="25.5" x14ac:dyDescent="0.2">
      <c r="A190" s="197" t="str">
        <f t="shared" si="2"/>
        <v>power_gigajoulePerAnnum</v>
      </c>
      <c r="B190" s="409"/>
      <c r="C190" s="416"/>
      <c r="D190" s="198" t="s">
        <v>1280</v>
      </c>
      <c r="E190" s="198">
        <v>11</v>
      </c>
      <c r="F190" s="199" t="s">
        <v>1281</v>
      </c>
      <c r="G190" s="1" t="s">
        <v>1282</v>
      </c>
      <c r="H190" s="200"/>
      <c r="I190" s="200"/>
      <c r="J190" s="201">
        <v>70279</v>
      </c>
      <c r="K190" s="25" t="str">
        <f>CONCATENATE(Cover!$D$6,"fdd/view?i=",J190)</f>
        <v>https://www.dgiwg.org/FAD/fdd/view?i=70279</v>
      </c>
      <c r="L190" s="25" t="s">
        <v>1283</v>
      </c>
      <c r="M190" s="200"/>
      <c r="N190" s="200"/>
      <c r="O190" s="13" t="s">
        <v>1279</v>
      </c>
      <c r="P190" s="202"/>
      <c r="Q190" s="188"/>
    </row>
    <row r="191" spans="1:17" ht="25.5" x14ac:dyDescent="0.2">
      <c r="A191" s="197" t="str">
        <f t="shared" si="2"/>
        <v>power_kilowattHourPerAnnum</v>
      </c>
      <c r="B191" s="409"/>
      <c r="C191" s="416"/>
      <c r="D191" s="198" t="s">
        <v>1284</v>
      </c>
      <c r="E191" s="198">
        <v>12</v>
      </c>
      <c r="F191" s="199" t="s">
        <v>1285</v>
      </c>
      <c r="G191" s="1" t="s">
        <v>1286</v>
      </c>
      <c r="H191" s="200"/>
      <c r="I191" s="200"/>
      <c r="J191" s="201">
        <v>70349</v>
      </c>
      <c r="K191" s="25" t="str">
        <f>CONCATENATE(Cover!$D$6,"fdd/view?i=",J191)</f>
        <v>https://www.dgiwg.org/FAD/fdd/view?i=70349</v>
      </c>
      <c r="L191" s="25" t="s">
        <v>1287</v>
      </c>
      <c r="M191" s="200"/>
      <c r="N191" s="200"/>
      <c r="O191" s="172"/>
      <c r="P191" s="202"/>
      <c r="Q191" s="188"/>
    </row>
    <row r="192" spans="1:17" ht="89.25" x14ac:dyDescent="0.2">
      <c r="A192" s="197" t="str">
        <f t="shared" si="2"/>
        <v>power_voltAmpere</v>
      </c>
      <c r="B192" s="409"/>
      <c r="C192" s="416"/>
      <c r="D192" s="198" t="s">
        <v>1288</v>
      </c>
      <c r="E192" s="198">
        <v>13</v>
      </c>
      <c r="F192" s="199" t="s">
        <v>1289</v>
      </c>
      <c r="G192" s="1" t="s">
        <v>1290</v>
      </c>
      <c r="H192" s="1" t="s">
        <v>1291</v>
      </c>
      <c r="I192" s="200"/>
      <c r="J192" s="201">
        <v>70395</v>
      </c>
      <c r="K192" s="25" t="str">
        <f>CONCATENATE(Cover!$D$6,"fdd/view?i=",J192)</f>
        <v>https://www.dgiwg.org/FAD/fdd/view?i=70395</v>
      </c>
      <c r="L192" s="25" t="s">
        <v>1292</v>
      </c>
      <c r="M192" s="200"/>
      <c r="N192" s="200"/>
      <c r="O192" s="172"/>
      <c r="P192" s="202"/>
      <c r="Q192" s="188"/>
    </row>
    <row r="193" spans="1:17" ht="25.5" x14ac:dyDescent="0.2">
      <c r="A193" s="203" t="str">
        <f t="shared" si="2"/>
        <v>power_kilovoltAmpere</v>
      </c>
      <c r="B193" s="410"/>
      <c r="C193" s="417"/>
      <c r="D193" s="204" t="s">
        <v>1293</v>
      </c>
      <c r="E193" s="204">
        <v>14</v>
      </c>
      <c r="F193" s="205" t="s">
        <v>1294</v>
      </c>
      <c r="G193" s="206" t="s">
        <v>1295</v>
      </c>
      <c r="H193" s="207"/>
      <c r="I193" s="207"/>
      <c r="J193" s="208">
        <v>70396</v>
      </c>
      <c r="K193" s="209" t="str">
        <f>CONCATENATE(Cover!$D$6,"fdd/view?i=",J193)</f>
        <v>https://www.dgiwg.org/FAD/fdd/view?i=70396</v>
      </c>
      <c r="L193" s="209" t="s">
        <v>1296</v>
      </c>
      <c r="M193" s="207"/>
      <c r="N193" s="207"/>
      <c r="O193" s="232"/>
      <c r="P193" s="211"/>
      <c r="Q193" s="188"/>
    </row>
    <row r="194" spans="1:17" ht="63.75" x14ac:dyDescent="0.2">
      <c r="A194" s="190" t="str">
        <f t="shared" ref="A194:A257" si="3">HYPERLINK(K194,L194)</f>
        <v>powerLevelDifference_neper</v>
      </c>
      <c r="B194" s="414" t="str">
        <f>HYPERLINK("[#]PhysicalQuantities!A36:N36","powerLevelDifference")</f>
        <v>powerLevelDifference</v>
      </c>
      <c r="C194" s="415" t="s">
        <v>315</v>
      </c>
      <c r="D194" s="191" t="s">
        <v>1297</v>
      </c>
      <c r="E194" s="191">
        <v>1</v>
      </c>
      <c r="F194" s="192" t="s">
        <v>1298</v>
      </c>
      <c r="G194" s="191" t="s">
        <v>1299</v>
      </c>
      <c r="H194" s="193"/>
      <c r="I194" s="193"/>
      <c r="J194" s="191">
        <v>70375</v>
      </c>
      <c r="K194" s="194" t="str">
        <f>CONCATENATE(Cover!$D$6,"fdd/view?i=",J194)</f>
        <v>https://www.dgiwg.org/FAD/fdd/view?i=70375</v>
      </c>
      <c r="L194" s="194" t="s">
        <v>1300</v>
      </c>
      <c r="M194" s="193"/>
      <c r="N194" s="193"/>
      <c r="O194" s="239"/>
      <c r="P194" s="196"/>
      <c r="Q194" s="188"/>
    </row>
    <row r="195" spans="1:17" ht="63.75" x14ac:dyDescent="0.2">
      <c r="A195" s="197" t="str">
        <f t="shared" si="3"/>
        <v>powerLevelDifference_bel</v>
      </c>
      <c r="B195" s="409"/>
      <c r="C195" s="416"/>
      <c r="D195" s="198" t="s">
        <v>1301</v>
      </c>
      <c r="E195" s="198">
        <v>2</v>
      </c>
      <c r="F195" s="199" t="s">
        <v>1302</v>
      </c>
      <c r="G195" s="1" t="s">
        <v>1303</v>
      </c>
      <c r="H195" s="200"/>
      <c r="I195" s="200"/>
      <c r="J195" s="201">
        <v>70373</v>
      </c>
      <c r="K195" s="25" t="str">
        <f>CONCATENATE(Cover!$D$6,"fdd/view?i=",J195)</f>
        <v>https://www.dgiwg.org/FAD/fdd/view?i=70373</v>
      </c>
      <c r="L195" s="25" t="s">
        <v>1304</v>
      </c>
      <c r="M195" s="200"/>
      <c r="N195" s="200"/>
      <c r="O195" s="172"/>
      <c r="P195" s="202"/>
      <c r="Q195" s="188"/>
    </row>
    <row r="196" spans="1:17" ht="38.25" x14ac:dyDescent="0.2">
      <c r="A196" s="203" t="str">
        <f t="shared" si="3"/>
        <v>powerLevelDifference_decibel</v>
      </c>
      <c r="B196" s="410"/>
      <c r="C196" s="417"/>
      <c r="D196" s="204" t="s">
        <v>1306</v>
      </c>
      <c r="E196" s="204">
        <v>3</v>
      </c>
      <c r="F196" s="205" t="s">
        <v>1307</v>
      </c>
      <c r="G196" s="206" t="s">
        <v>1308</v>
      </c>
      <c r="H196" s="207"/>
      <c r="I196" s="207"/>
      <c r="J196" s="208">
        <v>70264</v>
      </c>
      <c r="K196" s="209" t="str">
        <f>CONCATENATE(Cover!$D$6,"fdd/view?i=",J196)</f>
        <v>https://www.dgiwg.org/FAD/fdd/view?i=70264</v>
      </c>
      <c r="L196" s="209" t="s">
        <v>1309</v>
      </c>
      <c r="M196" s="207"/>
      <c r="N196" s="207"/>
      <c r="O196" s="210" t="s">
        <v>1305</v>
      </c>
      <c r="P196" s="211"/>
      <c r="Q196" s="188"/>
    </row>
    <row r="197" spans="1:17" ht="76.5" x14ac:dyDescent="0.2">
      <c r="A197" s="190" t="str">
        <f t="shared" si="3"/>
        <v>powerLevelDiffLenGradient_neperPerMetre</v>
      </c>
      <c r="B197" s="414" t="str">
        <f>HYPERLINK("[#]PhysicalQuantities!A37:N37","powerLevelDiffLenGradient")</f>
        <v>powerLevelDiffLenGradient</v>
      </c>
      <c r="C197" s="415" t="s">
        <v>318</v>
      </c>
      <c r="D197" s="191" t="s">
        <v>1310</v>
      </c>
      <c r="E197" s="191">
        <v>1</v>
      </c>
      <c r="F197" s="192" t="s">
        <v>1311</v>
      </c>
      <c r="G197" s="191" t="s">
        <v>1312</v>
      </c>
      <c r="H197" s="191" t="s">
        <v>1313</v>
      </c>
      <c r="I197" s="193"/>
      <c r="J197" s="191">
        <v>70376</v>
      </c>
      <c r="K197" s="194" t="str">
        <f>CONCATENATE(Cover!$D$6,"fdd/view?i=",J197)</f>
        <v>https://www.dgiwg.org/FAD/fdd/view?i=70376</v>
      </c>
      <c r="L197" s="194" t="s">
        <v>1314</v>
      </c>
      <c r="M197" s="193"/>
      <c r="N197" s="193"/>
      <c r="O197" s="239"/>
      <c r="P197" s="196"/>
      <c r="Q197" s="188"/>
    </row>
    <row r="198" spans="1:17" ht="76.5" x14ac:dyDescent="0.2">
      <c r="A198" s="197" t="str">
        <f t="shared" si="3"/>
        <v>powerLevelDiffLenGradient_belPerMetre</v>
      </c>
      <c r="B198" s="409"/>
      <c r="C198" s="416"/>
      <c r="D198" s="198" t="s">
        <v>1315</v>
      </c>
      <c r="E198" s="198">
        <v>2</v>
      </c>
      <c r="F198" s="199" t="s">
        <v>1316</v>
      </c>
      <c r="G198" s="1" t="s">
        <v>1317</v>
      </c>
      <c r="H198" s="1" t="s">
        <v>1318</v>
      </c>
      <c r="I198" s="200"/>
      <c r="J198" s="201">
        <v>70374</v>
      </c>
      <c r="K198" s="25" t="str">
        <f>CONCATENATE(Cover!$D$6,"fdd/view?i=",J198)</f>
        <v>https://www.dgiwg.org/FAD/fdd/view?i=70374</v>
      </c>
      <c r="L198" s="25" t="s">
        <v>1319</v>
      </c>
      <c r="M198" s="200"/>
      <c r="N198" s="200"/>
      <c r="O198" s="172"/>
      <c r="P198" s="202"/>
      <c r="Q198" s="188"/>
    </row>
    <row r="199" spans="1:17" ht="38.25" x14ac:dyDescent="0.2">
      <c r="A199" s="203" t="str">
        <f t="shared" si="3"/>
        <v>powerLevelDiffLenGradient_decibelPerMetre</v>
      </c>
      <c r="B199" s="410"/>
      <c r="C199" s="417"/>
      <c r="D199" s="204" t="s">
        <v>1320</v>
      </c>
      <c r="E199" s="204">
        <v>3</v>
      </c>
      <c r="F199" s="205" t="s">
        <v>1321</v>
      </c>
      <c r="G199" s="206" t="s">
        <v>1322</v>
      </c>
      <c r="H199" s="207"/>
      <c r="I199" s="207"/>
      <c r="J199" s="208">
        <v>70265</v>
      </c>
      <c r="K199" s="209" t="str">
        <f>CONCATENATE(Cover!$D$6,"fdd/view?i=",J199)</f>
        <v>https://www.dgiwg.org/FAD/fdd/view?i=70265</v>
      </c>
      <c r="L199" s="209" t="s">
        <v>1323</v>
      </c>
      <c r="M199" s="207"/>
      <c r="N199" s="207"/>
      <c r="O199" s="232"/>
      <c r="P199" s="211"/>
      <c r="Q199" s="188"/>
    </row>
    <row r="200" spans="1:17" ht="25.5" x14ac:dyDescent="0.2">
      <c r="A200" s="190" t="str">
        <f t="shared" si="3"/>
        <v>pressure_megaPascal</v>
      </c>
      <c r="B200" s="414" t="str">
        <f>HYPERLINK("[#]PhysicalQuantities!A38:N38","pressure")</f>
        <v>pressure</v>
      </c>
      <c r="C200" s="415" t="s">
        <v>321</v>
      </c>
      <c r="D200" s="221" t="s">
        <v>1325</v>
      </c>
      <c r="E200" s="221">
        <v>1</v>
      </c>
      <c r="F200" s="222" t="s">
        <v>1326</v>
      </c>
      <c r="G200" s="223" t="s">
        <v>1327</v>
      </c>
      <c r="H200" s="224"/>
      <c r="I200" s="224"/>
      <c r="J200" s="225">
        <v>70266</v>
      </c>
      <c r="K200" s="226" t="str">
        <f>CONCATENATE(Cover!$D$6,"fdd/view?i=",J200)</f>
        <v>https://www.dgiwg.org/FAD/fdd/view?i=70266</v>
      </c>
      <c r="L200" s="226" t="s">
        <v>1328</v>
      </c>
      <c r="M200" s="224"/>
      <c r="N200" s="224"/>
      <c r="O200" s="233" t="s">
        <v>1324</v>
      </c>
      <c r="P200" s="196"/>
      <c r="Q200" s="188"/>
    </row>
    <row r="201" spans="1:17" ht="25.5" x14ac:dyDescent="0.2">
      <c r="A201" s="197" t="str">
        <f t="shared" si="3"/>
        <v>pressure_kiloPascal</v>
      </c>
      <c r="B201" s="409"/>
      <c r="C201" s="416"/>
      <c r="D201" s="198" t="s">
        <v>1330</v>
      </c>
      <c r="E201" s="198">
        <v>2</v>
      </c>
      <c r="F201" s="199" t="s">
        <v>1331</v>
      </c>
      <c r="G201" s="1" t="s">
        <v>1332</v>
      </c>
      <c r="H201" s="200"/>
      <c r="I201" s="200"/>
      <c r="J201" s="201">
        <v>70267</v>
      </c>
      <c r="K201" s="25" t="str">
        <f>CONCATENATE(Cover!$D$6,"fdd/view?i=",J201)</f>
        <v>https://www.dgiwg.org/FAD/fdd/view?i=70267</v>
      </c>
      <c r="L201" s="25" t="s">
        <v>1333</v>
      </c>
      <c r="M201" s="200"/>
      <c r="N201" s="200"/>
      <c r="O201" s="13" t="s">
        <v>1329</v>
      </c>
      <c r="P201" s="202"/>
      <c r="Q201" s="188"/>
    </row>
    <row r="202" spans="1:17" ht="25.5" x14ac:dyDescent="0.2">
      <c r="A202" s="197" t="str">
        <f t="shared" si="3"/>
        <v>pressure_hectoPascal</v>
      </c>
      <c r="B202" s="409"/>
      <c r="C202" s="416"/>
      <c r="D202" s="198" t="s">
        <v>1335</v>
      </c>
      <c r="E202" s="198">
        <v>3</v>
      </c>
      <c r="F202" s="199" t="s">
        <v>1336</v>
      </c>
      <c r="G202" s="1" t="s">
        <v>1337</v>
      </c>
      <c r="H202" s="200"/>
      <c r="I202" s="200"/>
      <c r="J202" s="201">
        <v>70268</v>
      </c>
      <c r="K202" s="25" t="str">
        <f>CONCATENATE(Cover!$D$6,"fdd/view?i=",J202)</f>
        <v>https://www.dgiwg.org/FAD/fdd/view?i=70268</v>
      </c>
      <c r="L202" s="25" t="s">
        <v>1338</v>
      </c>
      <c r="M202" s="200"/>
      <c r="N202" s="200"/>
      <c r="O202" s="13" t="s">
        <v>1334</v>
      </c>
      <c r="P202" s="202"/>
      <c r="Q202" s="188"/>
    </row>
    <row r="203" spans="1:17" ht="38.25" x14ac:dyDescent="0.2">
      <c r="A203" s="197" t="str">
        <f t="shared" si="3"/>
        <v>pressure_pascal</v>
      </c>
      <c r="B203" s="409"/>
      <c r="C203" s="416"/>
      <c r="D203" s="228" t="s">
        <v>1340</v>
      </c>
      <c r="E203" s="228">
        <v>4</v>
      </c>
      <c r="F203" s="229" t="s">
        <v>1341</v>
      </c>
      <c r="G203" s="228" t="s">
        <v>1342</v>
      </c>
      <c r="H203" s="230"/>
      <c r="I203" s="228" t="s">
        <v>1343</v>
      </c>
      <c r="J203" s="228">
        <v>70269</v>
      </c>
      <c r="K203" s="231" t="str">
        <f>CONCATENATE(Cover!$D$6,"fdd/view?i=",J203)</f>
        <v>https://www.dgiwg.org/FAD/fdd/view?i=70269</v>
      </c>
      <c r="L203" s="231" t="s">
        <v>1344</v>
      </c>
      <c r="M203" s="230"/>
      <c r="N203" s="230"/>
      <c r="O203" s="187" t="s">
        <v>1339</v>
      </c>
      <c r="P203" s="202"/>
      <c r="Q203" s="188"/>
    </row>
    <row r="204" spans="1:17" ht="25.5" x14ac:dyDescent="0.2">
      <c r="A204" s="197" t="str">
        <f t="shared" si="3"/>
        <v>pressure_kilobar</v>
      </c>
      <c r="B204" s="409"/>
      <c r="C204" s="416"/>
      <c r="D204" s="198" t="s">
        <v>1346</v>
      </c>
      <c r="E204" s="198">
        <v>5</v>
      </c>
      <c r="F204" s="199" t="s">
        <v>1347</v>
      </c>
      <c r="G204" s="1" t="s">
        <v>1348</v>
      </c>
      <c r="H204" s="200"/>
      <c r="I204" s="200"/>
      <c r="J204" s="201">
        <v>70270</v>
      </c>
      <c r="K204" s="25" t="str">
        <f>CONCATENATE(Cover!$D$6,"fdd/view?i=",J204)</f>
        <v>https://www.dgiwg.org/FAD/fdd/view?i=70270</v>
      </c>
      <c r="L204" s="25" t="s">
        <v>1349</v>
      </c>
      <c r="M204" s="200"/>
      <c r="N204" s="200"/>
      <c r="O204" s="13" t="s">
        <v>1345</v>
      </c>
      <c r="P204" s="202"/>
      <c r="Q204" s="188"/>
    </row>
    <row r="205" spans="1:17" ht="25.5" x14ac:dyDescent="0.2">
      <c r="A205" s="197" t="str">
        <f t="shared" si="3"/>
        <v>pressure_bar</v>
      </c>
      <c r="B205" s="409"/>
      <c r="C205" s="416"/>
      <c r="D205" s="198" t="s">
        <v>1351</v>
      </c>
      <c r="E205" s="198">
        <v>6</v>
      </c>
      <c r="F205" s="199" t="s">
        <v>1352</v>
      </c>
      <c r="G205" s="1" t="s">
        <v>1353</v>
      </c>
      <c r="H205" s="200"/>
      <c r="I205" s="200"/>
      <c r="J205" s="201">
        <v>70271</v>
      </c>
      <c r="K205" s="25" t="str">
        <f>CONCATENATE(Cover!$D$6,"fdd/view?i=",J205)</f>
        <v>https://www.dgiwg.org/FAD/fdd/view?i=70271</v>
      </c>
      <c r="L205" s="25" t="s">
        <v>1354</v>
      </c>
      <c r="M205" s="200"/>
      <c r="N205" s="200"/>
      <c r="O205" s="13" t="s">
        <v>1350</v>
      </c>
      <c r="P205" s="202"/>
      <c r="Q205" s="188"/>
    </row>
    <row r="206" spans="1:17" ht="25.5" x14ac:dyDescent="0.2">
      <c r="A206" s="197" t="str">
        <f t="shared" si="3"/>
        <v>pressure_centibar</v>
      </c>
      <c r="B206" s="409"/>
      <c r="C206" s="416"/>
      <c r="D206" s="198" t="s">
        <v>1355</v>
      </c>
      <c r="E206" s="198">
        <v>7</v>
      </c>
      <c r="F206" s="199" t="s">
        <v>1356</v>
      </c>
      <c r="G206" s="1" t="s">
        <v>1357</v>
      </c>
      <c r="H206" s="200"/>
      <c r="I206" s="200"/>
      <c r="J206" s="201">
        <v>70272</v>
      </c>
      <c r="K206" s="25" t="str">
        <f>CONCATENATE(Cover!$D$6,"fdd/view?i=",J206)</f>
        <v>https://www.dgiwg.org/FAD/fdd/view?i=70272</v>
      </c>
      <c r="L206" s="25" t="s">
        <v>1358</v>
      </c>
      <c r="M206" s="200"/>
      <c r="N206" s="200"/>
      <c r="O206" s="172"/>
      <c r="P206" s="202"/>
      <c r="Q206" s="188"/>
    </row>
    <row r="207" spans="1:17" ht="25.5" x14ac:dyDescent="0.2">
      <c r="A207" s="197" t="str">
        <f t="shared" si="3"/>
        <v>pressure_millibar</v>
      </c>
      <c r="B207" s="409"/>
      <c r="C207" s="416"/>
      <c r="D207" s="198" t="s">
        <v>1360</v>
      </c>
      <c r="E207" s="198">
        <v>8</v>
      </c>
      <c r="F207" s="199" t="s">
        <v>1361</v>
      </c>
      <c r="G207" s="1" t="s">
        <v>1362</v>
      </c>
      <c r="H207" s="200"/>
      <c r="I207" s="200"/>
      <c r="J207" s="201">
        <v>70273</v>
      </c>
      <c r="K207" s="25" t="str">
        <f>CONCATENATE(Cover!$D$6,"fdd/view?i=",J207)</f>
        <v>https://www.dgiwg.org/FAD/fdd/view?i=70273</v>
      </c>
      <c r="L207" s="25" t="s">
        <v>1363</v>
      </c>
      <c r="M207" s="200"/>
      <c r="N207" s="200"/>
      <c r="O207" s="13" t="s">
        <v>1359</v>
      </c>
      <c r="P207" s="202"/>
      <c r="Q207" s="188"/>
    </row>
    <row r="208" spans="1:17" ht="25.5" x14ac:dyDescent="0.2">
      <c r="A208" s="197" t="str">
        <f t="shared" si="3"/>
        <v>pressure_standardAtmosphere</v>
      </c>
      <c r="B208" s="409"/>
      <c r="C208" s="416"/>
      <c r="D208" s="198" t="s">
        <v>1365</v>
      </c>
      <c r="E208" s="198">
        <v>9</v>
      </c>
      <c r="F208" s="199" t="s">
        <v>1366</v>
      </c>
      <c r="G208" s="1" t="s">
        <v>1367</v>
      </c>
      <c r="H208" s="200"/>
      <c r="I208" s="200"/>
      <c r="J208" s="201">
        <v>70274</v>
      </c>
      <c r="K208" s="25" t="str">
        <f>CONCATENATE(Cover!$D$6,"fdd/view?i=",J208)</f>
        <v>https://www.dgiwg.org/FAD/fdd/view?i=70274</v>
      </c>
      <c r="L208" s="25" t="s">
        <v>1368</v>
      </c>
      <c r="M208" s="200"/>
      <c r="N208" s="200"/>
      <c r="O208" s="13" t="s">
        <v>1364</v>
      </c>
      <c r="P208" s="202"/>
      <c r="Q208" s="188"/>
    </row>
    <row r="209" spans="1:17" ht="25.5" x14ac:dyDescent="0.2">
      <c r="A209" s="197" t="str">
        <f t="shared" si="3"/>
        <v>pressure_kilogramForcePerSquareMetre</v>
      </c>
      <c r="B209" s="409"/>
      <c r="C209" s="416"/>
      <c r="D209" s="198" t="s">
        <v>1370</v>
      </c>
      <c r="E209" s="198">
        <v>10</v>
      </c>
      <c r="F209" s="199" t="s">
        <v>1371</v>
      </c>
      <c r="G209" s="1" t="s">
        <v>1372</v>
      </c>
      <c r="H209" s="200"/>
      <c r="I209" s="200"/>
      <c r="J209" s="201">
        <v>70275</v>
      </c>
      <c r="K209" s="25" t="str">
        <f>CONCATENATE(Cover!$D$6,"fdd/view?i=",J209)</f>
        <v>https://www.dgiwg.org/FAD/fdd/view?i=70275</v>
      </c>
      <c r="L209" s="25" t="s">
        <v>1373</v>
      </c>
      <c r="M209" s="200"/>
      <c r="N209" s="200"/>
      <c r="O209" s="13" t="s">
        <v>1369</v>
      </c>
      <c r="P209" s="202"/>
      <c r="Q209" s="188"/>
    </row>
    <row r="210" spans="1:17" ht="25.5" x14ac:dyDescent="0.2">
      <c r="A210" s="197" t="str">
        <f t="shared" si="3"/>
        <v>pressure_poundForcePerSquareInch</v>
      </c>
      <c r="B210" s="409"/>
      <c r="C210" s="416"/>
      <c r="D210" s="198" t="s">
        <v>1375</v>
      </c>
      <c r="E210" s="198">
        <v>11</v>
      </c>
      <c r="F210" s="199" t="s">
        <v>1376</v>
      </c>
      <c r="G210" s="1" t="s">
        <v>1377</v>
      </c>
      <c r="H210" s="200"/>
      <c r="I210" s="200"/>
      <c r="J210" s="201">
        <v>70276</v>
      </c>
      <c r="K210" s="25" t="str">
        <f>CONCATENATE(Cover!$D$6,"fdd/view?i=",J210)</f>
        <v>https://www.dgiwg.org/FAD/fdd/view?i=70276</v>
      </c>
      <c r="L210" s="25" t="s">
        <v>1378</v>
      </c>
      <c r="M210" s="200"/>
      <c r="N210" s="200"/>
      <c r="O210" s="13" t="s">
        <v>1374</v>
      </c>
      <c r="P210" s="202"/>
      <c r="Q210" s="188"/>
    </row>
    <row r="211" spans="1:17" ht="25.5" x14ac:dyDescent="0.2">
      <c r="A211" s="197" t="str">
        <f t="shared" si="3"/>
        <v>pressure_torr</v>
      </c>
      <c r="B211" s="409"/>
      <c r="C211" s="416"/>
      <c r="D211" s="198" t="s">
        <v>1380</v>
      </c>
      <c r="E211" s="198">
        <v>12</v>
      </c>
      <c r="F211" s="199" t="s">
        <v>1381</v>
      </c>
      <c r="G211" s="1" t="s">
        <v>1382</v>
      </c>
      <c r="H211" s="200"/>
      <c r="I211" s="200"/>
      <c r="J211" s="201">
        <v>70277</v>
      </c>
      <c r="K211" s="25" t="str">
        <f>CONCATENATE(Cover!$D$6,"fdd/view?i=",J211)</f>
        <v>https://www.dgiwg.org/FAD/fdd/view?i=70277</v>
      </c>
      <c r="L211" s="25" t="s">
        <v>1383</v>
      </c>
      <c r="M211" s="200"/>
      <c r="N211" s="200"/>
      <c r="O211" s="13" t="s">
        <v>1379</v>
      </c>
      <c r="P211" s="202"/>
      <c r="Q211" s="188"/>
    </row>
    <row r="212" spans="1:17" ht="25.5" x14ac:dyDescent="0.2">
      <c r="A212" s="203" t="str">
        <f t="shared" si="3"/>
        <v>pressure_millimetresOfMercury</v>
      </c>
      <c r="B212" s="410"/>
      <c r="C212" s="417"/>
      <c r="D212" s="204" t="s">
        <v>1384</v>
      </c>
      <c r="E212" s="204">
        <v>13</v>
      </c>
      <c r="F212" s="205" t="s">
        <v>1385</v>
      </c>
      <c r="G212" s="206" t="s">
        <v>1386</v>
      </c>
      <c r="H212" s="207"/>
      <c r="I212" s="207"/>
      <c r="J212" s="208">
        <v>70278</v>
      </c>
      <c r="K212" s="209" t="str">
        <f>CONCATENATE(Cover!$D$6,"fdd/view?i=",J212)</f>
        <v>https://www.dgiwg.org/FAD/fdd/view?i=70278</v>
      </c>
      <c r="L212" s="209" t="s">
        <v>1387</v>
      </c>
      <c r="M212" s="207"/>
      <c r="N212" s="207"/>
      <c r="O212" s="232"/>
      <c r="P212" s="211"/>
      <c r="Q212" s="188"/>
    </row>
    <row r="213" spans="1:17" ht="25.5" x14ac:dyDescent="0.2">
      <c r="A213" s="190" t="str">
        <f t="shared" si="3"/>
        <v>pureNumber_unitless</v>
      </c>
      <c r="B213" s="414" t="str">
        <f>HYPERLINK("[#]PhysicalQuantities!A39:N39","pureNumber")</f>
        <v>pureNumber</v>
      </c>
      <c r="C213" s="415" t="s">
        <v>324</v>
      </c>
      <c r="D213" s="191" t="s">
        <v>1388</v>
      </c>
      <c r="E213" s="191">
        <v>1</v>
      </c>
      <c r="F213" s="192" t="s">
        <v>1389</v>
      </c>
      <c r="G213" s="191" t="s">
        <v>1390</v>
      </c>
      <c r="H213" s="193"/>
      <c r="I213" s="193"/>
      <c r="J213" s="191">
        <v>70280</v>
      </c>
      <c r="K213" s="194" t="str">
        <f>CONCATENATE(Cover!$D$6,"fdd/view?i=",J213)</f>
        <v>https://www.dgiwg.org/FAD/fdd/view?i=70280</v>
      </c>
      <c r="L213" s="194" t="s">
        <v>1391</v>
      </c>
      <c r="M213" s="193"/>
      <c r="N213" s="193"/>
      <c r="O213" s="239"/>
      <c r="P213" s="196"/>
      <c r="Q213" s="188"/>
    </row>
    <row r="214" spans="1:17" ht="25.5" x14ac:dyDescent="0.2">
      <c r="A214" s="197" t="str">
        <f t="shared" si="3"/>
        <v>pureNumber_ratio</v>
      </c>
      <c r="B214" s="409"/>
      <c r="C214" s="416"/>
      <c r="D214" s="198" t="s">
        <v>1392</v>
      </c>
      <c r="E214" s="198">
        <v>2</v>
      </c>
      <c r="F214" s="199" t="s">
        <v>1393</v>
      </c>
      <c r="G214" s="1" t="s">
        <v>1394</v>
      </c>
      <c r="H214" s="200"/>
      <c r="I214" s="200"/>
      <c r="J214" s="201">
        <v>70281</v>
      </c>
      <c r="K214" s="25" t="str">
        <f>CONCATENATE(Cover!$D$6,"fdd/view?i=",J214)</f>
        <v>https://www.dgiwg.org/FAD/fdd/view?i=70281</v>
      </c>
      <c r="L214" s="25" t="s">
        <v>1395</v>
      </c>
      <c r="M214" s="200"/>
      <c r="N214" s="200"/>
      <c r="O214" s="172"/>
      <c r="P214" s="202"/>
      <c r="Q214" s="188"/>
    </row>
    <row r="215" spans="1:17" ht="25.5" x14ac:dyDescent="0.2">
      <c r="A215" s="197" t="str">
        <f t="shared" si="3"/>
        <v>pureNumber_percent</v>
      </c>
      <c r="B215" s="409"/>
      <c r="C215" s="416"/>
      <c r="D215" s="198" t="s">
        <v>1397</v>
      </c>
      <c r="E215" s="198">
        <v>3</v>
      </c>
      <c r="F215" s="199" t="s">
        <v>1398</v>
      </c>
      <c r="G215" s="1" t="s">
        <v>1399</v>
      </c>
      <c r="H215" s="200"/>
      <c r="I215" s="200"/>
      <c r="J215" s="201">
        <v>70282</v>
      </c>
      <c r="K215" s="25" t="str">
        <f>CONCATENATE(Cover!$D$6,"fdd/view?i=",J215)</f>
        <v>https://www.dgiwg.org/FAD/fdd/view?i=70282</v>
      </c>
      <c r="L215" s="25" t="s">
        <v>1400</v>
      </c>
      <c r="M215" s="200"/>
      <c r="N215" s="200"/>
      <c r="O215" s="13" t="s">
        <v>1396</v>
      </c>
      <c r="P215" s="202"/>
      <c r="Q215" s="188"/>
    </row>
    <row r="216" spans="1:17" ht="25.5" x14ac:dyDescent="0.2">
      <c r="A216" s="197" t="str">
        <f t="shared" si="3"/>
        <v>pureNumber_partsPerMillion</v>
      </c>
      <c r="B216" s="409"/>
      <c r="C216" s="416"/>
      <c r="D216" s="198" t="s">
        <v>1402</v>
      </c>
      <c r="E216" s="198">
        <v>4</v>
      </c>
      <c r="F216" s="199" t="s">
        <v>1403</v>
      </c>
      <c r="G216" s="1" t="s">
        <v>1404</v>
      </c>
      <c r="H216" s="200"/>
      <c r="I216" s="200"/>
      <c r="J216" s="201">
        <v>70283</v>
      </c>
      <c r="K216" s="25" t="str">
        <f>CONCATENATE(Cover!$D$6,"fdd/view?i=",J216)</f>
        <v>https://www.dgiwg.org/FAD/fdd/view?i=70283</v>
      </c>
      <c r="L216" s="25" t="s">
        <v>1405</v>
      </c>
      <c r="M216" s="200"/>
      <c r="N216" s="200"/>
      <c r="O216" s="13" t="s">
        <v>1401</v>
      </c>
      <c r="P216" s="202"/>
      <c r="Q216" s="188"/>
    </row>
    <row r="217" spans="1:17" ht="25.5" x14ac:dyDescent="0.2">
      <c r="A217" s="197" t="str">
        <f t="shared" si="3"/>
        <v>pureNumber_partsPerBillion</v>
      </c>
      <c r="B217" s="409"/>
      <c r="C217" s="416"/>
      <c r="D217" s="198" t="s">
        <v>1407</v>
      </c>
      <c r="E217" s="198">
        <v>5</v>
      </c>
      <c r="F217" s="199" t="s">
        <v>1408</v>
      </c>
      <c r="G217" s="1" t="s">
        <v>1409</v>
      </c>
      <c r="H217" s="200"/>
      <c r="I217" s="200"/>
      <c r="J217" s="201">
        <v>70284</v>
      </c>
      <c r="K217" s="25" t="str">
        <f>CONCATENATE(Cover!$D$6,"fdd/view?i=",J217)</f>
        <v>https://www.dgiwg.org/FAD/fdd/view?i=70284</v>
      </c>
      <c r="L217" s="25" t="s">
        <v>1410</v>
      </c>
      <c r="M217" s="200"/>
      <c r="N217" s="200"/>
      <c r="O217" s="13" t="s">
        <v>1406</v>
      </c>
      <c r="P217" s="202"/>
      <c r="Q217" s="188"/>
    </row>
    <row r="218" spans="1:17" ht="25.5" x14ac:dyDescent="0.2">
      <c r="A218" s="197" t="str">
        <f t="shared" si="3"/>
        <v>pureNumber_partsPerThousand</v>
      </c>
      <c r="B218" s="409"/>
      <c r="C218" s="416"/>
      <c r="D218" s="198" t="s">
        <v>1412</v>
      </c>
      <c r="E218" s="198">
        <v>6</v>
      </c>
      <c r="F218" s="199" t="s">
        <v>1413</v>
      </c>
      <c r="G218" s="1" t="s">
        <v>1414</v>
      </c>
      <c r="H218" s="200"/>
      <c r="I218" s="200"/>
      <c r="J218" s="201">
        <v>70287</v>
      </c>
      <c r="K218" s="25" t="str">
        <f>CONCATENATE(Cover!$D$6,"fdd/view?i=",J218)</f>
        <v>https://www.dgiwg.org/FAD/fdd/view?i=70287</v>
      </c>
      <c r="L218" s="25" t="s">
        <v>1415</v>
      </c>
      <c r="M218" s="200"/>
      <c r="N218" s="200"/>
      <c r="O218" s="13" t="s">
        <v>1411</v>
      </c>
      <c r="P218" s="202"/>
      <c r="Q218" s="188"/>
    </row>
    <row r="219" spans="1:17" ht="25.5" x14ac:dyDescent="0.2">
      <c r="A219" s="203" t="str">
        <f t="shared" si="3"/>
        <v>pureNumber_partsPerTrillion</v>
      </c>
      <c r="B219" s="410"/>
      <c r="C219" s="417"/>
      <c r="D219" s="204" t="s">
        <v>1416</v>
      </c>
      <c r="E219" s="204">
        <v>7</v>
      </c>
      <c r="F219" s="205" t="s">
        <v>1417</v>
      </c>
      <c r="G219" s="206" t="s">
        <v>1418</v>
      </c>
      <c r="H219" s="207"/>
      <c r="I219" s="207"/>
      <c r="J219" s="208">
        <v>70288</v>
      </c>
      <c r="K219" s="209" t="str">
        <f>CONCATENATE(Cover!$D$6,"fdd/view?i=",J219)</f>
        <v>https://www.dgiwg.org/FAD/fdd/view?i=70288</v>
      </c>
      <c r="L219" s="209" t="s">
        <v>1419</v>
      </c>
      <c r="M219" s="207"/>
      <c r="N219" s="207"/>
      <c r="O219" s="232"/>
      <c r="P219" s="211"/>
      <c r="Q219" s="188"/>
    </row>
    <row r="220" spans="1:17" ht="38.25" x14ac:dyDescent="0.2">
      <c r="A220" s="190" t="str">
        <f t="shared" si="3"/>
        <v>radiationAbsorbedDose_gray</v>
      </c>
      <c r="B220" s="414" t="str">
        <f>HYPERLINK("[#]PhysicalQuantities!A40:N40","radiationAbsorbedDose")</f>
        <v>radiationAbsorbedDose</v>
      </c>
      <c r="C220" s="415" t="s">
        <v>327</v>
      </c>
      <c r="D220" s="191" t="s">
        <v>1421</v>
      </c>
      <c r="E220" s="191">
        <v>1</v>
      </c>
      <c r="F220" s="192" t="s">
        <v>1422</v>
      </c>
      <c r="G220" s="191" t="s">
        <v>1423</v>
      </c>
      <c r="H220" s="193"/>
      <c r="I220" s="193"/>
      <c r="J220" s="191">
        <v>70289</v>
      </c>
      <c r="K220" s="194" t="str">
        <f>CONCATENATE(Cover!$D$6,"fdd/view?i=",J220)</f>
        <v>https://www.dgiwg.org/FAD/fdd/view?i=70289</v>
      </c>
      <c r="L220" s="194" t="s">
        <v>1424</v>
      </c>
      <c r="M220" s="193"/>
      <c r="N220" s="193"/>
      <c r="O220" s="195" t="s">
        <v>1420</v>
      </c>
      <c r="P220" s="196"/>
      <c r="Q220" s="188"/>
    </row>
    <row r="221" spans="1:17" ht="38.25" x14ac:dyDescent="0.2">
      <c r="A221" s="203" t="str">
        <f t="shared" si="3"/>
        <v>radiationAbsorbedDose_radiationAbsorbedDose</v>
      </c>
      <c r="B221" s="410"/>
      <c r="C221" s="417"/>
      <c r="D221" s="204" t="s">
        <v>326</v>
      </c>
      <c r="E221" s="204">
        <v>2</v>
      </c>
      <c r="F221" s="205" t="s">
        <v>327</v>
      </c>
      <c r="G221" s="206" t="s">
        <v>1426</v>
      </c>
      <c r="H221" s="207"/>
      <c r="I221" s="206" t="s">
        <v>1427</v>
      </c>
      <c r="J221" s="208">
        <v>70290</v>
      </c>
      <c r="K221" s="209" t="str">
        <f>CONCATENATE(Cover!$D$6,"fdd/view?i=",J221)</f>
        <v>https://www.dgiwg.org/FAD/fdd/view?i=70290</v>
      </c>
      <c r="L221" s="209" t="s">
        <v>1428</v>
      </c>
      <c r="M221" s="207"/>
      <c r="N221" s="207"/>
      <c r="O221" s="210" t="s">
        <v>1425</v>
      </c>
      <c r="P221" s="211"/>
      <c r="Q221" s="188"/>
    </row>
    <row r="222" spans="1:17" ht="51" x14ac:dyDescent="0.2">
      <c r="A222" s="190" t="str">
        <f t="shared" si="3"/>
        <v>radiationDoseEquivalent_sievert</v>
      </c>
      <c r="B222" s="414" t="str">
        <f>HYPERLINK("[#]PhysicalQuantities!A41:N41","radiationDoseEquivalent")</f>
        <v>radiationDoseEquivalent</v>
      </c>
      <c r="C222" s="415" t="s">
        <v>330</v>
      </c>
      <c r="D222" s="191" t="s">
        <v>1430</v>
      </c>
      <c r="E222" s="191">
        <v>1</v>
      </c>
      <c r="F222" s="192" t="s">
        <v>1431</v>
      </c>
      <c r="G222" s="191" t="s">
        <v>1432</v>
      </c>
      <c r="H222" s="193"/>
      <c r="I222" s="193"/>
      <c r="J222" s="191">
        <v>70291</v>
      </c>
      <c r="K222" s="194" t="str">
        <f>CONCATENATE(Cover!$D$6,"fdd/view?i=",J222)</f>
        <v>https://www.dgiwg.org/FAD/fdd/view?i=70291</v>
      </c>
      <c r="L222" s="194" t="s">
        <v>1433</v>
      </c>
      <c r="M222" s="193"/>
      <c r="N222" s="193"/>
      <c r="O222" s="195" t="s">
        <v>1429</v>
      </c>
      <c r="P222" s="196"/>
      <c r="Q222" s="188"/>
    </row>
    <row r="223" spans="1:17" ht="38.25" x14ac:dyDescent="0.2">
      <c r="A223" s="203" t="str">
        <f t="shared" si="3"/>
        <v>radiationDoseEquivalent_rontgenEquivalentMan</v>
      </c>
      <c r="B223" s="410"/>
      <c r="C223" s="417"/>
      <c r="D223" s="204" t="s">
        <v>1435</v>
      </c>
      <c r="E223" s="204">
        <v>2</v>
      </c>
      <c r="F223" s="205" t="s">
        <v>1436</v>
      </c>
      <c r="G223" s="206" t="s">
        <v>1437</v>
      </c>
      <c r="H223" s="207"/>
      <c r="I223" s="206" t="s">
        <v>1438</v>
      </c>
      <c r="J223" s="208">
        <v>70292</v>
      </c>
      <c r="K223" s="209" t="str">
        <f>CONCATENATE(Cover!$D$6,"fdd/view?i=",J223)</f>
        <v>https://www.dgiwg.org/FAD/fdd/view?i=70292</v>
      </c>
      <c r="L223" s="209" t="s">
        <v>1439</v>
      </c>
      <c r="M223" s="207"/>
      <c r="N223" s="207"/>
      <c r="O223" s="210" t="s">
        <v>1434</v>
      </c>
      <c r="P223" s="211"/>
      <c r="Q223" s="188"/>
    </row>
    <row r="224" spans="1:17" ht="25.5" x14ac:dyDescent="0.2">
      <c r="A224" s="190" t="str">
        <f t="shared" si="3"/>
        <v>radionuclideActivity_gigabecquerel</v>
      </c>
      <c r="B224" s="414" t="str">
        <f>HYPERLINK("[#]PhysicalQuantities!A42:N42","radionuclideActivity")</f>
        <v>radionuclideActivity</v>
      </c>
      <c r="C224" s="415" t="s">
        <v>333</v>
      </c>
      <c r="D224" s="221" t="s">
        <v>1441</v>
      </c>
      <c r="E224" s="221">
        <v>1</v>
      </c>
      <c r="F224" s="222" t="s">
        <v>1442</v>
      </c>
      <c r="G224" s="223" t="s">
        <v>1443</v>
      </c>
      <c r="H224" s="224"/>
      <c r="I224" s="224"/>
      <c r="J224" s="225">
        <v>70293</v>
      </c>
      <c r="K224" s="226" t="str">
        <f>CONCATENATE(Cover!$D$6,"fdd/view?i=",J224)</f>
        <v>https://www.dgiwg.org/FAD/fdd/view?i=70293</v>
      </c>
      <c r="L224" s="226" t="s">
        <v>1444</v>
      </c>
      <c r="M224" s="224"/>
      <c r="N224" s="224"/>
      <c r="O224" s="233" t="s">
        <v>1440</v>
      </c>
      <c r="P224" s="196"/>
      <c r="Q224" s="188"/>
    </row>
    <row r="225" spans="1:17" ht="25.5" x14ac:dyDescent="0.2">
      <c r="A225" s="197" t="str">
        <f t="shared" si="3"/>
        <v>radionuclideActivity_megabecquerel</v>
      </c>
      <c r="B225" s="409"/>
      <c r="C225" s="416"/>
      <c r="D225" s="198" t="s">
        <v>1446</v>
      </c>
      <c r="E225" s="198">
        <v>2</v>
      </c>
      <c r="F225" s="199" t="s">
        <v>1447</v>
      </c>
      <c r="G225" s="1" t="s">
        <v>1448</v>
      </c>
      <c r="H225" s="200"/>
      <c r="I225" s="200"/>
      <c r="J225" s="201">
        <v>70294</v>
      </c>
      <c r="K225" s="25" t="str">
        <f>CONCATENATE(Cover!$D$6,"fdd/view?i=",J225)</f>
        <v>https://www.dgiwg.org/FAD/fdd/view?i=70294</v>
      </c>
      <c r="L225" s="25" t="s">
        <v>1449</v>
      </c>
      <c r="M225" s="200"/>
      <c r="N225" s="200"/>
      <c r="O225" s="13" t="s">
        <v>1445</v>
      </c>
      <c r="P225" s="202"/>
      <c r="Q225" s="188"/>
    </row>
    <row r="226" spans="1:17" ht="25.5" x14ac:dyDescent="0.2">
      <c r="A226" s="197" t="str">
        <f t="shared" si="3"/>
        <v>radionuclideActivity_kilobecquerel</v>
      </c>
      <c r="B226" s="409"/>
      <c r="C226" s="416"/>
      <c r="D226" s="198" t="s">
        <v>1451</v>
      </c>
      <c r="E226" s="198">
        <v>3</v>
      </c>
      <c r="F226" s="199" t="s">
        <v>1452</v>
      </c>
      <c r="G226" s="1" t="s">
        <v>1453</v>
      </c>
      <c r="H226" s="200"/>
      <c r="I226" s="200"/>
      <c r="J226" s="201">
        <v>70295</v>
      </c>
      <c r="K226" s="25" t="str">
        <f>CONCATENATE(Cover!$D$6,"fdd/view?i=",J226)</f>
        <v>https://www.dgiwg.org/FAD/fdd/view?i=70295</v>
      </c>
      <c r="L226" s="25" t="s">
        <v>1454</v>
      </c>
      <c r="M226" s="200"/>
      <c r="N226" s="200"/>
      <c r="O226" s="13" t="s">
        <v>1450</v>
      </c>
      <c r="P226" s="202"/>
      <c r="Q226" s="188"/>
    </row>
    <row r="227" spans="1:17" ht="38.25" x14ac:dyDescent="0.2">
      <c r="A227" s="203" t="str">
        <f t="shared" si="3"/>
        <v>radionuclideActivity_becquerel</v>
      </c>
      <c r="B227" s="410"/>
      <c r="C227" s="417"/>
      <c r="D227" s="234" t="s">
        <v>1456</v>
      </c>
      <c r="E227" s="234">
        <v>4</v>
      </c>
      <c r="F227" s="235" t="s">
        <v>1457</v>
      </c>
      <c r="G227" s="234" t="s">
        <v>1458</v>
      </c>
      <c r="H227" s="236"/>
      <c r="I227" s="236"/>
      <c r="J227" s="234">
        <v>70296</v>
      </c>
      <c r="K227" s="237" t="str">
        <f>CONCATENATE(Cover!$D$6,"fdd/view?i=",J227)</f>
        <v>https://www.dgiwg.org/FAD/fdd/view?i=70296</v>
      </c>
      <c r="L227" s="237" t="s">
        <v>1459</v>
      </c>
      <c r="M227" s="236"/>
      <c r="N227" s="236"/>
      <c r="O227" s="238" t="s">
        <v>1455</v>
      </c>
      <c r="P227" s="211"/>
      <c r="Q227" s="188"/>
    </row>
    <row r="228" spans="1:17" x14ac:dyDescent="0.2">
      <c r="A228" s="190" t="str">
        <f t="shared" si="3"/>
        <v>rate_perSecond</v>
      </c>
      <c r="B228" s="414" t="str">
        <f>HYPERLINK("[#]PhysicalQuantities!A43:N43","rate")</f>
        <v>rate</v>
      </c>
      <c r="C228" s="415" t="s">
        <v>336</v>
      </c>
      <c r="D228" s="191" t="s">
        <v>1460</v>
      </c>
      <c r="E228" s="191">
        <v>1</v>
      </c>
      <c r="F228" s="192" t="s">
        <v>1461</v>
      </c>
      <c r="G228" s="191" t="s">
        <v>1462</v>
      </c>
      <c r="H228" s="193"/>
      <c r="I228" s="193"/>
      <c r="J228" s="191">
        <v>70360</v>
      </c>
      <c r="K228" s="194" t="str">
        <f>CONCATENATE(Cover!$D$6,"fdd/view?i=",J228)</f>
        <v>https://www.dgiwg.org/FAD/fdd/view?i=70360</v>
      </c>
      <c r="L228" s="194" t="s">
        <v>1463</v>
      </c>
      <c r="M228" s="193"/>
      <c r="N228" s="193"/>
      <c r="O228" s="239"/>
      <c r="P228" s="196"/>
      <c r="Q228" s="188"/>
    </row>
    <row r="229" spans="1:17" ht="25.5" x14ac:dyDescent="0.2">
      <c r="A229" s="197" t="str">
        <f t="shared" si="3"/>
        <v>rate_perMinute</v>
      </c>
      <c r="B229" s="409"/>
      <c r="C229" s="416"/>
      <c r="D229" s="198" t="s">
        <v>1464</v>
      </c>
      <c r="E229" s="198">
        <v>2</v>
      </c>
      <c r="F229" s="199" t="s">
        <v>1465</v>
      </c>
      <c r="G229" s="1" t="s">
        <v>1466</v>
      </c>
      <c r="H229" s="200"/>
      <c r="I229" s="200"/>
      <c r="J229" s="201">
        <v>70361</v>
      </c>
      <c r="K229" s="25" t="str">
        <f>CONCATENATE(Cover!$D$6,"fdd/view?i=",J229)</f>
        <v>https://www.dgiwg.org/FAD/fdd/view?i=70361</v>
      </c>
      <c r="L229" s="25" t="s">
        <v>1467</v>
      </c>
      <c r="M229" s="200"/>
      <c r="N229" s="200"/>
      <c r="O229" s="172"/>
      <c r="P229" s="202"/>
      <c r="Q229" s="188"/>
    </row>
    <row r="230" spans="1:17" ht="25.5" x14ac:dyDescent="0.2">
      <c r="A230" s="197" t="str">
        <f t="shared" si="3"/>
        <v>rate_perHour</v>
      </c>
      <c r="B230" s="409"/>
      <c r="C230" s="416"/>
      <c r="D230" s="198" t="s">
        <v>1468</v>
      </c>
      <c r="E230" s="198">
        <v>3</v>
      </c>
      <c r="F230" s="199" t="s">
        <v>1469</v>
      </c>
      <c r="G230" s="1" t="s">
        <v>1470</v>
      </c>
      <c r="H230" s="200"/>
      <c r="I230" s="200"/>
      <c r="J230" s="201">
        <v>70362</v>
      </c>
      <c r="K230" s="25" t="str">
        <f>CONCATENATE(Cover!$D$6,"fdd/view?i=",J230)</f>
        <v>https://www.dgiwg.org/FAD/fdd/view?i=70362</v>
      </c>
      <c r="L230" s="25" t="s">
        <v>1471</v>
      </c>
      <c r="M230" s="200"/>
      <c r="N230" s="200"/>
      <c r="O230" s="172"/>
      <c r="P230" s="202"/>
      <c r="Q230" s="188"/>
    </row>
    <row r="231" spans="1:17" ht="25.5" x14ac:dyDescent="0.2">
      <c r="A231" s="197" t="str">
        <f t="shared" si="3"/>
        <v>rate_perDay</v>
      </c>
      <c r="B231" s="409"/>
      <c r="C231" s="416"/>
      <c r="D231" s="198" t="s">
        <v>1472</v>
      </c>
      <c r="E231" s="198">
        <v>4</v>
      </c>
      <c r="F231" s="199" t="s">
        <v>1473</v>
      </c>
      <c r="G231" s="1" t="s">
        <v>1474</v>
      </c>
      <c r="H231" s="200"/>
      <c r="I231" s="200"/>
      <c r="J231" s="201">
        <v>70363</v>
      </c>
      <c r="K231" s="25" t="str">
        <f>CONCATENATE(Cover!$D$6,"fdd/view?i=",J231)</f>
        <v>https://www.dgiwg.org/FAD/fdd/view?i=70363</v>
      </c>
      <c r="L231" s="25" t="s">
        <v>1475</v>
      </c>
      <c r="M231" s="200"/>
      <c r="N231" s="200"/>
      <c r="O231" s="172"/>
      <c r="P231" s="202"/>
      <c r="Q231" s="188"/>
    </row>
    <row r="232" spans="1:17" ht="63.75" x14ac:dyDescent="0.2">
      <c r="A232" s="197" t="str">
        <f t="shared" si="3"/>
        <v>rate_perAnnum</v>
      </c>
      <c r="B232" s="409"/>
      <c r="C232" s="416"/>
      <c r="D232" s="198" t="s">
        <v>1476</v>
      </c>
      <c r="E232" s="198">
        <v>5</v>
      </c>
      <c r="F232" s="199" t="s">
        <v>1477</v>
      </c>
      <c r="G232" s="1" t="s">
        <v>1478</v>
      </c>
      <c r="H232" s="200"/>
      <c r="I232" s="200"/>
      <c r="J232" s="201">
        <v>70364</v>
      </c>
      <c r="K232" s="25" t="str">
        <f>CONCATENATE(Cover!$D$6,"fdd/view?i=",J232)</f>
        <v>https://www.dgiwg.org/FAD/fdd/view?i=70364</v>
      </c>
      <c r="L232" s="25" t="s">
        <v>1479</v>
      </c>
      <c r="M232" s="200"/>
      <c r="N232" s="200"/>
      <c r="O232" s="172"/>
      <c r="P232" s="202"/>
      <c r="Q232" s="188"/>
    </row>
    <row r="233" spans="1:17" ht="63.75" x14ac:dyDescent="0.2">
      <c r="A233" s="197" t="str">
        <f t="shared" si="3"/>
        <v>rate_percentPerAnnum</v>
      </c>
      <c r="B233" s="409"/>
      <c r="C233" s="416"/>
      <c r="D233" s="198" t="s">
        <v>1480</v>
      </c>
      <c r="E233" s="198">
        <v>6</v>
      </c>
      <c r="F233" s="199" t="s">
        <v>1481</v>
      </c>
      <c r="G233" s="1" t="s">
        <v>1482</v>
      </c>
      <c r="H233" s="200"/>
      <c r="I233" s="200"/>
      <c r="J233" s="201">
        <v>70365</v>
      </c>
      <c r="K233" s="25" t="str">
        <f>CONCATENATE(Cover!$D$6,"fdd/view?i=",J233)</f>
        <v>https://www.dgiwg.org/FAD/fdd/view?i=70365</v>
      </c>
      <c r="L233" s="25" t="s">
        <v>1483</v>
      </c>
      <c r="M233" s="200"/>
      <c r="N233" s="200"/>
      <c r="O233" s="172"/>
      <c r="P233" s="202"/>
      <c r="Q233" s="188"/>
    </row>
    <row r="234" spans="1:17" ht="63.75" x14ac:dyDescent="0.2">
      <c r="A234" s="203" t="str">
        <f t="shared" si="3"/>
        <v>rate_partsPerThousandPerAnnum</v>
      </c>
      <c r="B234" s="410"/>
      <c r="C234" s="417"/>
      <c r="D234" s="204" t="s">
        <v>1484</v>
      </c>
      <c r="E234" s="204">
        <v>7</v>
      </c>
      <c r="F234" s="205" t="s">
        <v>1485</v>
      </c>
      <c r="G234" s="206" t="s">
        <v>1486</v>
      </c>
      <c r="H234" s="207"/>
      <c r="I234" s="207"/>
      <c r="J234" s="208">
        <v>70366</v>
      </c>
      <c r="K234" s="209" t="str">
        <f>CONCATENATE(Cover!$D$6,"fdd/view?i=",J234)</f>
        <v>https://www.dgiwg.org/FAD/fdd/view?i=70366</v>
      </c>
      <c r="L234" s="209" t="s">
        <v>1487</v>
      </c>
      <c r="M234" s="207"/>
      <c r="N234" s="207"/>
      <c r="O234" s="232"/>
      <c r="P234" s="211"/>
      <c r="Q234" s="188"/>
    </row>
    <row r="235" spans="1:17" ht="25.5" x14ac:dyDescent="0.2">
      <c r="A235" s="190" t="str">
        <f t="shared" si="3"/>
        <v>reciprocalArea_perSquareMetre</v>
      </c>
      <c r="B235" s="414" t="str">
        <f>HYPERLINK("[#]PhysicalQuantities!A44:N44","reciprocalArea")</f>
        <v>reciprocalArea</v>
      </c>
      <c r="C235" s="415" t="s">
        <v>339</v>
      </c>
      <c r="D235" s="191" t="s">
        <v>1489</v>
      </c>
      <c r="E235" s="191">
        <v>1</v>
      </c>
      <c r="F235" s="192" t="s">
        <v>1490</v>
      </c>
      <c r="G235" s="191" t="s">
        <v>1491</v>
      </c>
      <c r="H235" s="193"/>
      <c r="I235" s="193"/>
      <c r="J235" s="191">
        <v>70297</v>
      </c>
      <c r="K235" s="194" t="str">
        <f>CONCATENATE(Cover!$D$6,"fdd/view?i=",J235)</f>
        <v>https://www.dgiwg.org/FAD/fdd/view?i=70297</v>
      </c>
      <c r="L235" s="194" t="s">
        <v>1492</v>
      </c>
      <c r="M235" s="193"/>
      <c r="N235" s="193"/>
      <c r="O235" s="195" t="s">
        <v>1488</v>
      </c>
      <c r="P235" s="196"/>
      <c r="Q235" s="188"/>
    </row>
    <row r="236" spans="1:17" ht="25.5" x14ac:dyDescent="0.2">
      <c r="A236" s="197" t="str">
        <f t="shared" si="3"/>
        <v>reciprocalArea_perSquareKilometre</v>
      </c>
      <c r="B236" s="409"/>
      <c r="C236" s="416"/>
      <c r="D236" s="198" t="s">
        <v>1493</v>
      </c>
      <c r="E236" s="198">
        <v>2</v>
      </c>
      <c r="F236" s="199" t="s">
        <v>1494</v>
      </c>
      <c r="G236" s="1" t="s">
        <v>1495</v>
      </c>
      <c r="H236" s="200"/>
      <c r="I236" s="200"/>
      <c r="J236" s="201">
        <v>70298</v>
      </c>
      <c r="K236" s="25" t="str">
        <f>CONCATENATE(Cover!$D$6,"fdd/view?i=",J236)</f>
        <v>https://www.dgiwg.org/FAD/fdd/view?i=70298</v>
      </c>
      <c r="L236" s="25" t="s">
        <v>1496</v>
      </c>
      <c r="M236" s="200"/>
      <c r="N236" s="200"/>
      <c r="O236" s="172"/>
      <c r="P236" s="202"/>
      <c r="Q236" s="188"/>
    </row>
    <row r="237" spans="1:17" ht="38.25" x14ac:dyDescent="0.2">
      <c r="A237" s="203" t="str">
        <f t="shared" si="3"/>
        <v>reciprocalArea_perSquareStatuteMile</v>
      </c>
      <c r="B237" s="410"/>
      <c r="C237" s="417"/>
      <c r="D237" s="204" t="s">
        <v>1497</v>
      </c>
      <c r="E237" s="204">
        <v>3</v>
      </c>
      <c r="F237" s="205" t="s">
        <v>1498</v>
      </c>
      <c r="G237" s="206" t="s">
        <v>1499</v>
      </c>
      <c r="H237" s="207"/>
      <c r="I237" s="207"/>
      <c r="J237" s="208">
        <v>70299</v>
      </c>
      <c r="K237" s="209" t="str">
        <f>CONCATENATE(Cover!$D$6,"fdd/view?i=",J237)</f>
        <v>https://www.dgiwg.org/FAD/fdd/view?i=70299</v>
      </c>
      <c r="L237" s="209" t="s">
        <v>1500</v>
      </c>
      <c r="M237" s="207"/>
      <c r="N237" s="207"/>
      <c r="O237" s="232"/>
      <c r="P237" s="211"/>
      <c r="Q237" s="188"/>
    </row>
    <row r="238" spans="1:17" ht="25.5" x14ac:dyDescent="0.2">
      <c r="A238" s="190" t="str">
        <f t="shared" si="3"/>
        <v>reciprocalTime_reciprocalSecond</v>
      </c>
      <c r="B238" s="414" t="str">
        <f>HYPERLINK("[#]PhysicalQuantities!A45:N45","reciprocalTime")</f>
        <v>reciprocalTime</v>
      </c>
      <c r="C238" s="415" t="s">
        <v>343</v>
      </c>
      <c r="D238" s="191" t="s">
        <v>1502</v>
      </c>
      <c r="E238" s="191">
        <v>1</v>
      </c>
      <c r="F238" s="192" t="s">
        <v>1503</v>
      </c>
      <c r="G238" s="191" t="s">
        <v>1504</v>
      </c>
      <c r="H238" s="193"/>
      <c r="I238" s="193"/>
      <c r="J238" s="191">
        <v>70353</v>
      </c>
      <c r="K238" s="194" t="str">
        <f>CONCATENATE(Cover!$D$6,"fdd/view?i=",J238)</f>
        <v>https://www.dgiwg.org/FAD/fdd/view?i=70353</v>
      </c>
      <c r="L238" s="194" t="s">
        <v>1505</v>
      </c>
      <c r="M238" s="193"/>
      <c r="N238" s="193"/>
      <c r="O238" s="195" t="s">
        <v>1501</v>
      </c>
      <c r="P238" s="196"/>
      <c r="Q238" s="188"/>
    </row>
    <row r="239" spans="1:17" ht="25.5" x14ac:dyDescent="0.2">
      <c r="A239" s="197" t="str">
        <f t="shared" si="3"/>
        <v>reciprocalTime_reciprocalMinute</v>
      </c>
      <c r="B239" s="409"/>
      <c r="C239" s="416"/>
      <c r="D239" s="198" t="s">
        <v>1507</v>
      </c>
      <c r="E239" s="198">
        <v>2</v>
      </c>
      <c r="F239" s="199" t="s">
        <v>1508</v>
      </c>
      <c r="G239" s="1" t="s">
        <v>1509</v>
      </c>
      <c r="H239" s="200"/>
      <c r="I239" s="200"/>
      <c r="J239" s="201">
        <v>70354</v>
      </c>
      <c r="K239" s="25" t="str">
        <f>CONCATENATE(Cover!$D$6,"fdd/view?i=",J239)</f>
        <v>https://www.dgiwg.org/FAD/fdd/view?i=70354</v>
      </c>
      <c r="L239" s="25" t="s">
        <v>1510</v>
      </c>
      <c r="M239" s="200"/>
      <c r="N239" s="200"/>
      <c r="O239" s="13" t="s">
        <v>1506</v>
      </c>
      <c r="P239" s="202"/>
      <c r="Q239" s="188"/>
    </row>
    <row r="240" spans="1:17" ht="38.25" x14ac:dyDescent="0.2">
      <c r="A240" s="197" t="str">
        <f t="shared" si="3"/>
        <v>reciprocalTime_reciprocalHour</v>
      </c>
      <c r="B240" s="409"/>
      <c r="C240" s="416"/>
      <c r="D240" s="198" t="s">
        <v>1511</v>
      </c>
      <c r="E240" s="198">
        <v>3</v>
      </c>
      <c r="F240" s="199" t="s">
        <v>1512</v>
      </c>
      <c r="G240" s="1" t="s">
        <v>1513</v>
      </c>
      <c r="H240" s="200"/>
      <c r="I240" s="200"/>
      <c r="J240" s="201">
        <v>70355</v>
      </c>
      <c r="K240" s="25" t="str">
        <f>CONCATENATE(Cover!$D$6,"fdd/view?i=",J240)</f>
        <v>https://www.dgiwg.org/FAD/fdd/view?i=70355</v>
      </c>
      <c r="L240" s="25" t="s">
        <v>1514</v>
      </c>
      <c r="M240" s="200"/>
      <c r="N240" s="200"/>
      <c r="O240" s="172"/>
      <c r="P240" s="202"/>
      <c r="Q240" s="188"/>
    </row>
    <row r="241" spans="1:17" ht="38.25" x14ac:dyDescent="0.2">
      <c r="A241" s="197" t="str">
        <f t="shared" si="3"/>
        <v>reciprocalTime_reciprocalDay</v>
      </c>
      <c r="B241" s="409"/>
      <c r="C241" s="416"/>
      <c r="D241" s="198" t="s">
        <v>1515</v>
      </c>
      <c r="E241" s="198">
        <v>4</v>
      </c>
      <c r="F241" s="199" t="s">
        <v>1516</v>
      </c>
      <c r="G241" s="1" t="s">
        <v>1517</v>
      </c>
      <c r="H241" s="200"/>
      <c r="I241" s="200"/>
      <c r="J241" s="201">
        <v>70356</v>
      </c>
      <c r="K241" s="25" t="str">
        <f>CONCATENATE(Cover!$D$6,"fdd/view?i=",J241)</f>
        <v>https://www.dgiwg.org/FAD/fdd/view?i=70356</v>
      </c>
      <c r="L241" s="25" t="s">
        <v>1518</v>
      </c>
      <c r="M241" s="200"/>
      <c r="N241" s="200"/>
      <c r="O241" s="172"/>
      <c r="P241" s="202"/>
      <c r="Q241" s="188"/>
    </row>
    <row r="242" spans="1:17" ht="63.75" x14ac:dyDescent="0.2">
      <c r="A242" s="203" t="str">
        <f t="shared" si="3"/>
        <v>reciprocalTime_reciprocalYear</v>
      </c>
      <c r="B242" s="410"/>
      <c r="C242" s="417"/>
      <c r="D242" s="204" t="s">
        <v>1519</v>
      </c>
      <c r="E242" s="204">
        <v>5</v>
      </c>
      <c r="F242" s="205" t="s">
        <v>1520</v>
      </c>
      <c r="G242" s="206" t="s">
        <v>1521</v>
      </c>
      <c r="H242" s="207"/>
      <c r="I242" s="207"/>
      <c r="J242" s="208">
        <v>70357</v>
      </c>
      <c r="K242" s="209" t="str">
        <f>CONCATENATE(Cover!$D$6,"fdd/view?i=",J242)</f>
        <v>https://www.dgiwg.org/FAD/fdd/view?i=70357</v>
      </c>
      <c r="L242" s="209" t="s">
        <v>1522</v>
      </c>
      <c r="M242" s="207"/>
      <c r="N242" s="207"/>
      <c r="O242" s="232"/>
      <c r="P242" s="211"/>
      <c r="Q242" s="188"/>
    </row>
    <row r="243" spans="1:17" ht="51" x14ac:dyDescent="0.2">
      <c r="A243" s="212" t="str">
        <f t="shared" si="3"/>
        <v>solidAngle_steradian</v>
      </c>
      <c r="B243" s="213" t="str">
        <f>HYPERLINK("[#]PhysicalQuantities!A46:N46","solidAngle")</f>
        <v>solidAngle</v>
      </c>
      <c r="C243" s="214" t="s">
        <v>346</v>
      </c>
      <c r="D243" s="215" t="s">
        <v>1524</v>
      </c>
      <c r="E243" s="215">
        <v>1</v>
      </c>
      <c r="F243" s="216" t="s">
        <v>1525</v>
      </c>
      <c r="G243" s="215" t="s">
        <v>1526</v>
      </c>
      <c r="H243" s="217"/>
      <c r="I243" s="217"/>
      <c r="J243" s="215">
        <v>70300</v>
      </c>
      <c r="K243" s="218" t="str">
        <f>CONCATENATE(Cover!$D$6,"fdd/view?i=",J243)</f>
        <v>https://www.dgiwg.org/FAD/fdd/view?i=70300</v>
      </c>
      <c r="L243" s="218" t="s">
        <v>1527</v>
      </c>
      <c r="M243" s="217"/>
      <c r="N243" s="217"/>
      <c r="O243" s="219" t="s">
        <v>1523</v>
      </c>
      <c r="P243" s="220"/>
      <c r="Q243" s="188"/>
    </row>
    <row r="244" spans="1:17" ht="38.25" x14ac:dyDescent="0.2">
      <c r="A244" s="190" t="str">
        <f t="shared" si="3"/>
        <v>soundSpeedRatio_machNumber</v>
      </c>
      <c r="B244" s="414" t="str">
        <f>HYPERLINK("[#]PhysicalQuantities!A47:N47","soundSpeedRatio")</f>
        <v>soundSpeedRatio</v>
      </c>
      <c r="C244" s="415" t="s">
        <v>349</v>
      </c>
      <c r="D244" s="191" t="s">
        <v>1528</v>
      </c>
      <c r="E244" s="191">
        <v>1</v>
      </c>
      <c r="F244" s="192" t="s">
        <v>1529</v>
      </c>
      <c r="G244" s="191" t="s">
        <v>1530</v>
      </c>
      <c r="H244" s="193"/>
      <c r="I244" s="193"/>
      <c r="J244" s="191">
        <v>70285</v>
      </c>
      <c r="K244" s="194" t="str">
        <f>CONCATENATE(Cover!$D$6,"fdd/view?i=",J244)</f>
        <v>https://www.dgiwg.org/FAD/fdd/view?i=70285</v>
      </c>
      <c r="L244" s="194" t="s">
        <v>1531</v>
      </c>
      <c r="M244" s="193"/>
      <c r="N244" s="193"/>
      <c r="O244" s="239"/>
      <c r="P244" s="196"/>
      <c r="Q244" s="188"/>
    </row>
    <row r="245" spans="1:17" ht="38.25" x14ac:dyDescent="0.2">
      <c r="A245" s="203" t="str">
        <f t="shared" si="3"/>
        <v>soundSpeedRatio_deciMachNumber</v>
      </c>
      <c r="B245" s="410"/>
      <c r="C245" s="417"/>
      <c r="D245" s="204" t="s">
        <v>1532</v>
      </c>
      <c r="E245" s="204">
        <v>2</v>
      </c>
      <c r="F245" s="205" t="s">
        <v>1533</v>
      </c>
      <c r="G245" s="206" t="s">
        <v>1534</v>
      </c>
      <c r="H245" s="207"/>
      <c r="I245" s="207"/>
      <c r="J245" s="208">
        <v>70286</v>
      </c>
      <c r="K245" s="209" t="str">
        <f>CONCATENATE(Cover!$D$6,"fdd/view?i=",J245)</f>
        <v>https://www.dgiwg.org/FAD/fdd/view?i=70286</v>
      </c>
      <c r="L245" s="209" t="s">
        <v>1535</v>
      </c>
      <c r="M245" s="207"/>
      <c r="N245" s="207"/>
      <c r="O245" s="232"/>
      <c r="P245" s="211"/>
      <c r="Q245" s="188"/>
    </row>
    <row r="246" spans="1:17" ht="25.5" x14ac:dyDescent="0.2">
      <c r="A246" s="190" t="str">
        <f t="shared" si="3"/>
        <v>speed_metrePerSecond</v>
      </c>
      <c r="B246" s="414" t="str">
        <f>HYPERLINK("[#]PhysicalQuantities!A48:N48","speed")</f>
        <v>speed</v>
      </c>
      <c r="C246" s="415" t="s">
        <v>352</v>
      </c>
      <c r="D246" s="191" t="s">
        <v>1537</v>
      </c>
      <c r="E246" s="191">
        <v>1</v>
      </c>
      <c r="F246" s="192" t="s">
        <v>1538</v>
      </c>
      <c r="G246" s="191" t="s">
        <v>1539</v>
      </c>
      <c r="H246" s="193"/>
      <c r="I246" s="193"/>
      <c r="J246" s="191">
        <v>70301</v>
      </c>
      <c r="K246" s="194" t="str">
        <f>CONCATENATE(Cover!$D$6,"fdd/view?i=",J246)</f>
        <v>https://www.dgiwg.org/FAD/fdd/view?i=70301</v>
      </c>
      <c r="L246" s="194" t="s">
        <v>1540</v>
      </c>
      <c r="M246" s="193"/>
      <c r="N246" s="193"/>
      <c r="O246" s="195" t="s">
        <v>1536</v>
      </c>
      <c r="P246" s="196"/>
      <c r="Q246" s="188"/>
    </row>
    <row r="247" spans="1:17" ht="25.5" x14ac:dyDescent="0.2">
      <c r="A247" s="197" t="str">
        <f t="shared" si="3"/>
        <v>speed_decimetrePerSecond</v>
      </c>
      <c r="B247" s="409"/>
      <c r="C247" s="416"/>
      <c r="D247" s="198" t="s">
        <v>1541</v>
      </c>
      <c r="E247" s="198">
        <v>2</v>
      </c>
      <c r="F247" s="199" t="s">
        <v>1542</v>
      </c>
      <c r="G247" s="1" t="s">
        <v>1543</v>
      </c>
      <c r="H247" s="200"/>
      <c r="I247" s="200"/>
      <c r="J247" s="201">
        <v>70302</v>
      </c>
      <c r="K247" s="25" t="str">
        <f>CONCATENATE(Cover!$D$6,"fdd/view?i=",J247)</f>
        <v>https://www.dgiwg.org/FAD/fdd/view?i=70302</v>
      </c>
      <c r="L247" s="25" t="s">
        <v>1544</v>
      </c>
      <c r="M247" s="200"/>
      <c r="N247" s="200"/>
      <c r="O247" s="172"/>
      <c r="P247" s="202"/>
      <c r="Q247" s="188"/>
    </row>
    <row r="248" spans="1:17" ht="25.5" x14ac:dyDescent="0.2">
      <c r="A248" s="197" t="str">
        <f t="shared" si="3"/>
        <v>speed_kilometrePerHour</v>
      </c>
      <c r="B248" s="409"/>
      <c r="C248" s="416"/>
      <c r="D248" s="198" t="s">
        <v>1546</v>
      </c>
      <c r="E248" s="198">
        <v>3</v>
      </c>
      <c r="F248" s="199" t="s">
        <v>1547</v>
      </c>
      <c r="G248" s="1" t="s">
        <v>1548</v>
      </c>
      <c r="H248" s="200"/>
      <c r="I248" s="200"/>
      <c r="J248" s="201">
        <v>70303</v>
      </c>
      <c r="K248" s="25" t="str">
        <f>CONCATENATE(Cover!$D$6,"fdd/view?i=",J248)</f>
        <v>https://www.dgiwg.org/FAD/fdd/view?i=70303</v>
      </c>
      <c r="L248" s="25" t="s">
        <v>1549</v>
      </c>
      <c r="M248" s="200"/>
      <c r="N248" s="200"/>
      <c r="O248" s="13" t="s">
        <v>1545</v>
      </c>
      <c r="P248" s="202"/>
      <c r="Q248" s="188"/>
    </row>
    <row r="249" spans="1:17" ht="25.5" x14ac:dyDescent="0.2">
      <c r="A249" s="197" t="str">
        <f t="shared" si="3"/>
        <v>speed_hectometrePerHour</v>
      </c>
      <c r="B249" s="409"/>
      <c r="C249" s="416"/>
      <c r="D249" s="198" t="s">
        <v>1550</v>
      </c>
      <c r="E249" s="198">
        <v>4</v>
      </c>
      <c r="F249" s="199" t="s">
        <v>1551</v>
      </c>
      <c r="G249" s="1" t="s">
        <v>1552</v>
      </c>
      <c r="H249" s="200"/>
      <c r="I249" s="200"/>
      <c r="J249" s="201">
        <v>70304</v>
      </c>
      <c r="K249" s="25" t="str">
        <f>CONCATENATE(Cover!$D$6,"fdd/view?i=",J249)</f>
        <v>https://www.dgiwg.org/FAD/fdd/view?i=70304</v>
      </c>
      <c r="L249" s="25" t="s">
        <v>1553</v>
      </c>
      <c r="M249" s="200"/>
      <c r="N249" s="200"/>
      <c r="O249" s="172"/>
      <c r="P249" s="202"/>
      <c r="Q249" s="188"/>
    </row>
    <row r="250" spans="1:17" ht="25.5" x14ac:dyDescent="0.2">
      <c r="A250" s="197" t="str">
        <f t="shared" si="3"/>
        <v>speed_decaknot</v>
      </c>
      <c r="B250" s="409"/>
      <c r="C250" s="416"/>
      <c r="D250" s="198" t="s">
        <v>1554</v>
      </c>
      <c r="E250" s="198">
        <v>5</v>
      </c>
      <c r="F250" s="199" t="s">
        <v>1555</v>
      </c>
      <c r="G250" s="1" t="s">
        <v>1556</v>
      </c>
      <c r="H250" s="1" t="s">
        <v>1557</v>
      </c>
      <c r="I250" s="200"/>
      <c r="J250" s="201">
        <v>70305</v>
      </c>
      <c r="K250" s="25" t="str">
        <f>CONCATENATE(Cover!$D$6,"fdd/view?i=",J250)</f>
        <v>https://www.dgiwg.org/FAD/fdd/view?i=70305</v>
      </c>
      <c r="L250" s="25" t="s">
        <v>1558</v>
      </c>
      <c r="M250" s="200"/>
      <c r="N250" s="200"/>
      <c r="O250" s="172"/>
      <c r="P250" s="202"/>
      <c r="Q250" s="188"/>
    </row>
    <row r="251" spans="1:17" ht="25.5" x14ac:dyDescent="0.2">
      <c r="A251" s="197" t="str">
        <f t="shared" si="3"/>
        <v>speed_knot</v>
      </c>
      <c r="B251" s="409"/>
      <c r="C251" s="416"/>
      <c r="D251" s="198" t="s">
        <v>1560</v>
      </c>
      <c r="E251" s="198">
        <v>6</v>
      </c>
      <c r="F251" s="199" t="s">
        <v>1561</v>
      </c>
      <c r="G251" s="1" t="s">
        <v>1562</v>
      </c>
      <c r="H251" s="1" t="s">
        <v>1563</v>
      </c>
      <c r="I251" s="200"/>
      <c r="J251" s="201">
        <v>70306</v>
      </c>
      <c r="K251" s="25" t="str">
        <f>CONCATENATE(Cover!$D$6,"fdd/view?i=",J251)</f>
        <v>https://www.dgiwg.org/FAD/fdd/view?i=70306</v>
      </c>
      <c r="L251" s="25" t="s">
        <v>1564</v>
      </c>
      <c r="M251" s="200"/>
      <c r="N251" s="200"/>
      <c r="O251" s="13" t="s">
        <v>1559</v>
      </c>
      <c r="P251" s="202"/>
      <c r="Q251" s="188"/>
    </row>
    <row r="252" spans="1:17" ht="25.5" x14ac:dyDescent="0.2">
      <c r="A252" s="197" t="str">
        <f t="shared" si="3"/>
        <v>speed_statuteMilePerHour</v>
      </c>
      <c r="B252" s="409"/>
      <c r="C252" s="416"/>
      <c r="D252" s="198" t="s">
        <v>1566</v>
      </c>
      <c r="E252" s="198">
        <v>7</v>
      </c>
      <c r="F252" s="199" t="s">
        <v>1567</v>
      </c>
      <c r="G252" s="1" t="s">
        <v>1568</v>
      </c>
      <c r="H252" s="200"/>
      <c r="I252" s="200"/>
      <c r="J252" s="201">
        <v>70307</v>
      </c>
      <c r="K252" s="25" t="str">
        <f>CONCATENATE(Cover!$D$6,"fdd/view?i=",J252)</f>
        <v>https://www.dgiwg.org/FAD/fdd/view?i=70307</v>
      </c>
      <c r="L252" s="25" t="s">
        <v>1569</v>
      </c>
      <c r="M252" s="200"/>
      <c r="N252" s="200"/>
      <c r="O252" s="13" t="s">
        <v>1565</v>
      </c>
      <c r="P252" s="202"/>
      <c r="Q252" s="188"/>
    </row>
    <row r="253" spans="1:17" ht="25.5" x14ac:dyDescent="0.2">
      <c r="A253" s="197" t="str">
        <f t="shared" si="3"/>
        <v>speed_footPerSecond</v>
      </c>
      <c r="B253" s="409"/>
      <c r="C253" s="416"/>
      <c r="D253" s="198" t="s">
        <v>1571</v>
      </c>
      <c r="E253" s="198">
        <v>8</v>
      </c>
      <c r="F253" s="199" t="s">
        <v>1572</v>
      </c>
      <c r="G253" s="1" t="s">
        <v>1573</v>
      </c>
      <c r="H253" s="200"/>
      <c r="I253" s="200"/>
      <c r="J253" s="201">
        <v>70308</v>
      </c>
      <c r="K253" s="25" t="str">
        <f>CONCATENATE(Cover!$D$6,"fdd/view?i=",J253)</f>
        <v>https://www.dgiwg.org/FAD/fdd/view?i=70308</v>
      </c>
      <c r="L253" s="25" t="s">
        <v>1574</v>
      </c>
      <c r="M253" s="200"/>
      <c r="N253" s="200"/>
      <c r="O253" s="13" t="s">
        <v>1570</v>
      </c>
      <c r="P253" s="202"/>
      <c r="Q253" s="188"/>
    </row>
    <row r="254" spans="1:17" ht="38.25" x14ac:dyDescent="0.2">
      <c r="A254" s="197" t="str">
        <f t="shared" si="3"/>
        <v>speed_dataMilePerHour</v>
      </c>
      <c r="B254" s="409"/>
      <c r="C254" s="416"/>
      <c r="D254" s="198" t="s">
        <v>1575</v>
      </c>
      <c r="E254" s="198">
        <v>9</v>
      </c>
      <c r="F254" s="199" t="s">
        <v>1576</v>
      </c>
      <c r="G254" s="1" t="s">
        <v>1577</v>
      </c>
      <c r="H254" s="200"/>
      <c r="I254" s="200"/>
      <c r="J254" s="201">
        <v>70309</v>
      </c>
      <c r="K254" s="25" t="str">
        <f>CONCATENATE(Cover!$D$6,"fdd/view?i=",J254)</f>
        <v>https://www.dgiwg.org/FAD/fdd/view?i=70309</v>
      </c>
      <c r="L254" s="25" t="s">
        <v>1578</v>
      </c>
      <c r="M254" s="200"/>
      <c r="N254" s="200"/>
      <c r="O254" s="172"/>
      <c r="P254" s="202"/>
      <c r="Q254" s="188"/>
    </row>
    <row r="255" spans="1:17" ht="25.5" x14ac:dyDescent="0.2">
      <c r="A255" s="197" t="str">
        <f t="shared" si="3"/>
        <v>speed_kilometrePerDay</v>
      </c>
      <c r="B255" s="409"/>
      <c r="C255" s="416"/>
      <c r="D255" s="198" t="s">
        <v>1579</v>
      </c>
      <c r="E255" s="198">
        <v>10</v>
      </c>
      <c r="F255" s="199" t="s">
        <v>1580</v>
      </c>
      <c r="G255" s="1" t="s">
        <v>1581</v>
      </c>
      <c r="H255" s="200"/>
      <c r="I255" s="200"/>
      <c r="J255" s="201">
        <v>70310</v>
      </c>
      <c r="K255" s="25" t="str">
        <f>CONCATENATE(Cover!$D$6,"fdd/view?i=",J255)</f>
        <v>https://www.dgiwg.org/FAD/fdd/view?i=70310</v>
      </c>
      <c r="L255" s="25" t="s">
        <v>1582</v>
      </c>
      <c r="M255" s="200"/>
      <c r="N255" s="200"/>
      <c r="O255" s="172"/>
      <c r="P255" s="202"/>
      <c r="Q255" s="188"/>
    </row>
    <row r="256" spans="1:17" ht="25.5" x14ac:dyDescent="0.2">
      <c r="A256" s="197" t="str">
        <f t="shared" si="3"/>
        <v>speed_metrePerDay</v>
      </c>
      <c r="B256" s="409"/>
      <c r="C256" s="416"/>
      <c r="D256" s="198" t="s">
        <v>1583</v>
      </c>
      <c r="E256" s="198">
        <v>11</v>
      </c>
      <c r="F256" s="199" t="s">
        <v>1584</v>
      </c>
      <c r="G256" s="1" t="s">
        <v>1585</v>
      </c>
      <c r="H256" s="200"/>
      <c r="I256" s="200"/>
      <c r="J256" s="201">
        <v>70311</v>
      </c>
      <c r="K256" s="25" t="str">
        <f>CONCATENATE(Cover!$D$6,"fdd/view?i=",J256)</f>
        <v>https://www.dgiwg.org/FAD/fdd/view?i=70311</v>
      </c>
      <c r="L256" s="25" t="s">
        <v>1586</v>
      </c>
      <c r="M256" s="200"/>
      <c r="N256" s="200"/>
      <c r="O256" s="172"/>
      <c r="P256" s="202"/>
      <c r="Q256" s="188"/>
    </row>
    <row r="257" spans="1:17" ht="25.5" x14ac:dyDescent="0.2">
      <c r="A257" s="197" t="str">
        <f t="shared" si="3"/>
        <v>speed_millimetrePerDay</v>
      </c>
      <c r="B257" s="409"/>
      <c r="C257" s="416"/>
      <c r="D257" s="198" t="s">
        <v>1587</v>
      </c>
      <c r="E257" s="198">
        <v>12</v>
      </c>
      <c r="F257" s="199" t="s">
        <v>1588</v>
      </c>
      <c r="G257" s="1" t="s">
        <v>1589</v>
      </c>
      <c r="H257" s="200"/>
      <c r="I257" s="200"/>
      <c r="J257" s="201">
        <v>70312</v>
      </c>
      <c r="K257" s="25" t="str">
        <f>CONCATENATE(Cover!$D$6,"fdd/view?i=",J257)</f>
        <v>https://www.dgiwg.org/FAD/fdd/view?i=70312</v>
      </c>
      <c r="L257" s="25" t="s">
        <v>1590</v>
      </c>
      <c r="M257" s="200"/>
      <c r="N257" s="200"/>
      <c r="O257" s="172"/>
      <c r="P257" s="202"/>
      <c r="Q257" s="188"/>
    </row>
    <row r="258" spans="1:17" ht="25.5" x14ac:dyDescent="0.2">
      <c r="A258" s="203" t="str">
        <f t="shared" ref="A258:A297" si="4">HYPERLINK(K258,L258)</f>
        <v>speed_millimetrePerHour</v>
      </c>
      <c r="B258" s="410"/>
      <c r="C258" s="417"/>
      <c r="D258" s="204" t="s">
        <v>1591</v>
      </c>
      <c r="E258" s="204">
        <v>13</v>
      </c>
      <c r="F258" s="205" t="s">
        <v>1592</v>
      </c>
      <c r="G258" s="206" t="s">
        <v>1593</v>
      </c>
      <c r="H258" s="207"/>
      <c r="I258" s="207"/>
      <c r="J258" s="208">
        <v>70313</v>
      </c>
      <c r="K258" s="209" t="str">
        <f>CONCATENATE(Cover!$D$6,"fdd/view?i=",J258)</f>
        <v>https://www.dgiwg.org/FAD/fdd/view?i=70313</v>
      </c>
      <c r="L258" s="209" t="s">
        <v>1594</v>
      </c>
      <c r="M258" s="207"/>
      <c r="N258" s="207"/>
      <c r="O258" s="232"/>
      <c r="P258" s="211"/>
      <c r="Q258" s="188"/>
    </row>
    <row r="259" spans="1:17" ht="38.25" x14ac:dyDescent="0.2">
      <c r="A259" s="190" t="str">
        <f t="shared" si="4"/>
        <v>surfaceMassDensityRate_kilogramPerSqMetreSecond</v>
      </c>
      <c r="B259" s="414" t="str">
        <f>HYPERLINK("[#]PhysicalQuantities!A49:N49","surfaceMassDensityRate")</f>
        <v>surfaceMassDensityRate</v>
      </c>
      <c r="C259" s="415" t="s">
        <v>355</v>
      </c>
      <c r="D259" s="191" t="s">
        <v>1595</v>
      </c>
      <c r="E259" s="191">
        <v>1</v>
      </c>
      <c r="F259" s="192" t="s">
        <v>1596</v>
      </c>
      <c r="G259" s="191" t="s">
        <v>1597</v>
      </c>
      <c r="H259" s="193"/>
      <c r="I259" s="193"/>
      <c r="J259" s="191">
        <v>70314</v>
      </c>
      <c r="K259" s="194" t="str">
        <f>CONCATENATE(Cover!$D$6,"fdd/view?i=",J259)</f>
        <v>https://www.dgiwg.org/FAD/fdd/view?i=70314</v>
      </c>
      <c r="L259" s="194" t="s">
        <v>1598</v>
      </c>
      <c r="M259" s="193"/>
      <c r="N259" s="193"/>
      <c r="O259" s="239"/>
      <c r="P259" s="196"/>
      <c r="Q259" s="188"/>
    </row>
    <row r="260" spans="1:17" ht="38.25" x14ac:dyDescent="0.2">
      <c r="A260" s="203" t="str">
        <f t="shared" si="4"/>
        <v>surfaceMassDensityRate_microgramPerSqMetreSecond</v>
      </c>
      <c r="B260" s="410"/>
      <c r="C260" s="417"/>
      <c r="D260" s="204" t="s">
        <v>1599</v>
      </c>
      <c r="E260" s="204">
        <v>2</v>
      </c>
      <c r="F260" s="205" t="s">
        <v>1600</v>
      </c>
      <c r="G260" s="206" t="s">
        <v>1601</v>
      </c>
      <c r="H260" s="207"/>
      <c r="I260" s="207"/>
      <c r="J260" s="208">
        <v>70315</v>
      </c>
      <c r="K260" s="209" t="str">
        <f>CONCATENATE(Cover!$D$6,"fdd/view?i=",J260)</f>
        <v>https://www.dgiwg.org/FAD/fdd/view?i=70315</v>
      </c>
      <c r="L260" s="209" t="s">
        <v>1602</v>
      </c>
      <c r="M260" s="207"/>
      <c r="N260" s="207"/>
      <c r="O260" s="232"/>
      <c r="P260" s="211"/>
      <c r="Q260" s="188"/>
    </row>
    <row r="261" spans="1:17" ht="38.25" x14ac:dyDescent="0.2">
      <c r="A261" s="190" t="str">
        <f t="shared" si="4"/>
        <v>thermodynamicTemperature_kelvin</v>
      </c>
      <c r="B261" s="414" t="str">
        <f>HYPERLINK("[#]PhysicalQuantities!A50:N50","thermodynamicTemperature")</f>
        <v>thermodynamicTemperature</v>
      </c>
      <c r="C261" s="415" t="s">
        <v>358</v>
      </c>
      <c r="D261" s="191" t="s">
        <v>1604</v>
      </c>
      <c r="E261" s="191">
        <v>1</v>
      </c>
      <c r="F261" s="192" t="s">
        <v>1605</v>
      </c>
      <c r="G261" s="191" t="s">
        <v>1606</v>
      </c>
      <c r="H261" s="193"/>
      <c r="I261" s="193"/>
      <c r="J261" s="191">
        <v>70316</v>
      </c>
      <c r="K261" s="194" t="str">
        <f>CONCATENATE(Cover!$D$6,"fdd/view?i=",J261)</f>
        <v>https://www.dgiwg.org/FAD/fdd/view?i=70316</v>
      </c>
      <c r="L261" s="194" t="s">
        <v>1607</v>
      </c>
      <c r="M261" s="193"/>
      <c r="N261" s="193"/>
      <c r="O261" s="195" t="s">
        <v>1603</v>
      </c>
      <c r="P261" s="196"/>
      <c r="Q261" s="188"/>
    </row>
    <row r="262" spans="1:17" ht="89.25" x14ac:dyDescent="0.2">
      <c r="A262" s="197" t="str">
        <f t="shared" si="4"/>
        <v>thermodynamicTemperature_degreeCelsius</v>
      </c>
      <c r="B262" s="409"/>
      <c r="C262" s="416"/>
      <c r="D262" s="198" t="s">
        <v>1609</v>
      </c>
      <c r="E262" s="198">
        <v>2</v>
      </c>
      <c r="F262" s="199" t="s">
        <v>1610</v>
      </c>
      <c r="G262" s="1" t="s">
        <v>1611</v>
      </c>
      <c r="H262" s="200"/>
      <c r="I262" s="1" t="s">
        <v>1612</v>
      </c>
      <c r="J262" s="201">
        <v>70317</v>
      </c>
      <c r="K262" s="25" t="str">
        <f>CONCATENATE(Cover!$D$6,"fdd/view?i=",J262)</f>
        <v>https://www.dgiwg.org/FAD/fdd/view?i=70317</v>
      </c>
      <c r="L262" s="25" t="s">
        <v>1613</v>
      </c>
      <c r="M262" s="200"/>
      <c r="N262" s="200"/>
      <c r="O262" s="13" t="s">
        <v>1608</v>
      </c>
      <c r="P262" s="202"/>
      <c r="Q262" s="188"/>
    </row>
    <row r="263" spans="1:17" ht="89.25" x14ac:dyDescent="0.2">
      <c r="A263" s="203" t="str">
        <f t="shared" si="4"/>
        <v>thermodynamicTemperature_degreeFahrenheit</v>
      </c>
      <c r="B263" s="410"/>
      <c r="C263" s="417"/>
      <c r="D263" s="204" t="s">
        <v>1615</v>
      </c>
      <c r="E263" s="204">
        <v>3</v>
      </c>
      <c r="F263" s="205" t="s">
        <v>1616</v>
      </c>
      <c r="G263" s="206" t="s">
        <v>1617</v>
      </c>
      <c r="H263" s="207"/>
      <c r="I263" s="207"/>
      <c r="J263" s="208">
        <v>70318</v>
      </c>
      <c r="K263" s="209" t="str">
        <f>CONCATENATE(Cover!$D$6,"fdd/view?i=",J263)</f>
        <v>https://www.dgiwg.org/FAD/fdd/view?i=70318</v>
      </c>
      <c r="L263" s="209" t="s">
        <v>1618</v>
      </c>
      <c r="M263" s="207"/>
      <c r="N263" s="207"/>
      <c r="O263" s="210" t="s">
        <v>1614</v>
      </c>
      <c r="P263" s="211"/>
      <c r="Q263" s="188"/>
    </row>
    <row r="264" spans="1:17" ht="63.75" x14ac:dyDescent="0.2">
      <c r="A264" s="190" t="str">
        <f t="shared" si="4"/>
        <v>time_tropicalYear</v>
      </c>
      <c r="B264" s="414" t="str">
        <f>HYPERLINK("[#]PhysicalQuantities!A51:N51","time")</f>
        <v>time</v>
      </c>
      <c r="C264" s="415" t="s">
        <v>361</v>
      </c>
      <c r="D264" s="221" t="s">
        <v>1620</v>
      </c>
      <c r="E264" s="221">
        <v>1</v>
      </c>
      <c r="F264" s="222" t="s">
        <v>1621</v>
      </c>
      <c r="G264" s="223" t="s">
        <v>1622</v>
      </c>
      <c r="H264" s="224"/>
      <c r="I264" s="223" t="s">
        <v>1623</v>
      </c>
      <c r="J264" s="225">
        <v>70319</v>
      </c>
      <c r="K264" s="226" t="str">
        <f>CONCATENATE(Cover!$D$6,"fdd/view?i=",J264)</f>
        <v>https://www.dgiwg.org/FAD/fdd/view?i=70319</v>
      </c>
      <c r="L264" s="226" t="s">
        <v>1624</v>
      </c>
      <c r="M264" s="224"/>
      <c r="N264" s="224"/>
      <c r="O264" s="233" t="s">
        <v>1619</v>
      </c>
      <c r="P264" s="196"/>
      <c r="Q264" s="188"/>
    </row>
    <row r="265" spans="1:17" ht="51" x14ac:dyDescent="0.2">
      <c r="A265" s="197" t="str">
        <f t="shared" si="4"/>
        <v>time_siderealYear</v>
      </c>
      <c r="B265" s="409"/>
      <c r="C265" s="416"/>
      <c r="D265" s="198" t="s">
        <v>1626</v>
      </c>
      <c r="E265" s="198">
        <v>2</v>
      </c>
      <c r="F265" s="199" t="s">
        <v>1627</v>
      </c>
      <c r="G265" s="1" t="s">
        <v>1628</v>
      </c>
      <c r="H265" s="200"/>
      <c r="I265" s="200"/>
      <c r="J265" s="201">
        <v>70320</v>
      </c>
      <c r="K265" s="25" t="str">
        <f>CONCATENATE(Cover!$D$6,"fdd/view?i=",J265)</f>
        <v>https://www.dgiwg.org/FAD/fdd/view?i=70320</v>
      </c>
      <c r="L265" s="25" t="s">
        <v>1629</v>
      </c>
      <c r="M265" s="200"/>
      <c r="N265" s="200"/>
      <c r="O265" s="13" t="s">
        <v>1625</v>
      </c>
      <c r="P265" s="202"/>
      <c r="Q265" s="188"/>
    </row>
    <row r="266" spans="1:17" ht="25.5" x14ac:dyDescent="0.2">
      <c r="A266" s="197" t="str">
        <f t="shared" si="4"/>
        <v>time_week</v>
      </c>
      <c r="B266" s="409"/>
      <c r="C266" s="416"/>
      <c r="D266" s="198" t="s">
        <v>1631</v>
      </c>
      <c r="E266" s="198">
        <v>3</v>
      </c>
      <c r="F266" s="199" t="s">
        <v>1632</v>
      </c>
      <c r="G266" s="1" t="s">
        <v>1633</v>
      </c>
      <c r="H266" s="200"/>
      <c r="I266" s="200"/>
      <c r="J266" s="201">
        <v>70321</v>
      </c>
      <c r="K266" s="25" t="str">
        <f>CONCATENATE(Cover!$D$6,"fdd/view?i=",J266)</f>
        <v>https://www.dgiwg.org/FAD/fdd/view?i=70321</v>
      </c>
      <c r="L266" s="25" t="s">
        <v>1634</v>
      </c>
      <c r="M266" s="200"/>
      <c r="N266" s="200"/>
      <c r="O266" s="13" t="s">
        <v>1630</v>
      </c>
      <c r="P266" s="202"/>
      <c r="Q266" s="188"/>
    </row>
    <row r="267" spans="1:17" ht="25.5" x14ac:dyDescent="0.2">
      <c r="A267" s="197" t="str">
        <f t="shared" si="4"/>
        <v>time_day</v>
      </c>
      <c r="B267" s="409"/>
      <c r="C267" s="416"/>
      <c r="D267" s="198" t="s">
        <v>1636</v>
      </c>
      <c r="E267" s="198">
        <v>4</v>
      </c>
      <c r="F267" s="199" t="s">
        <v>1637</v>
      </c>
      <c r="G267" s="1" t="s">
        <v>1638</v>
      </c>
      <c r="H267" s="200"/>
      <c r="I267" s="200"/>
      <c r="J267" s="201">
        <v>70322</v>
      </c>
      <c r="K267" s="25" t="str">
        <f>CONCATENATE(Cover!$D$6,"fdd/view?i=",J267)</f>
        <v>https://www.dgiwg.org/FAD/fdd/view?i=70322</v>
      </c>
      <c r="L267" s="25" t="s">
        <v>1639</v>
      </c>
      <c r="M267" s="200"/>
      <c r="N267" s="200"/>
      <c r="O267" s="13" t="s">
        <v>1635</v>
      </c>
      <c r="P267" s="202"/>
      <c r="Q267" s="188"/>
    </row>
    <row r="268" spans="1:17" ht="25.5" x14ac:dyDescent="0.2">
      <c r="A268" s="197" t="str">
        <f t="shared" si="4"/>
        <v>time_hour</v>
      </c>
      <c r="B268" s="409"/>
      <c r="C268" s="416"/>
      <c r="D268" s="198" t="s">
        <v>1641</v>
      </c>
      <c r="E268" s="198">
        <v>5</v>
      </c>
      <c r="F268" s="199" t="s">
        <v>1642</v>
      </c>
      <c r="G268" s="1" t="s">
        <v>1643</v>
      </c>
      <c r="H268" s="200"/>
      <c r="I268" s="200"/>
      <c r="J268" s="201">
        <v>70323</v>
      </c>
      <c r="K268" s="25" t="str">
        <f>CONCATENATE(Cover!$D$6,"fdd/view?i=",J268)</f>
        <v>https://www.dgiwg.org/FAD/fdd/view?i=70323</v>
      </c>
      <c r="L268" s="25" t="s">
        <v>1644</v>
      </c>
      <c r="M268" s="200"/>
      <c r="N268" s="200"/>
      <c r="O268" s="13" t="s">
        <v>1640</v>
      </c>
      <c r="P268" s="202"/>
      <c r="Q268" s="188"/>
    </row>
    <row r="269" spans="1:17" ht="25.5" x14ac:dyDescent="0.2">
      <c r="A269" s="197" t="str">
        <f t="shared" si="4"/>
        <v>time_minute</v>
      </c>
      <c r="B269" s="409"/>
      <c r="C269" s="416"/>
      <c r="D269" s="198" t="s">
        <v>1646</v>
      </c>
      <c r="E269" s="198">
        <v>6</v>
      </c>
      <c r="F269" s="199" t="s">
        <v>1647</v>
      </c>
      <c r="G269" s="1" t="s">
        <v>1648</v>
      </c>
      <c r="H269" s="200"/>
      <c r="I269" s="200"/>
      <c r="J269" s="201">
        <v>70324</v>
      </c>
      <c r="K269" s="25" t="str">
        <f>CONCATENATE(Cover!$D$6,"fdd/view?i=",J269)</f>
        <v>https://www.dgiwg.org/FAD/fdd/view?i=70324</v>
      </c>
      <c r="L269" s="25" t="s">
        <v>1649</v>
      </c>
      <c r="M269" s="200"/>
      <c r="N269" s="200"/>
      <c r="O269" s="13" t="s">
        <v>1645</v>
      </c>
      <c r="P269" s="202"/>
      <c r="Q269" s="188"/>
    </row>
    <row r="270" spans="1:17" ht="51" x14ac:dyDescent="0.2">
      <c r="A270" s="197" t="str">
        <f t="shared" si="4"/>
        <v>time_second</v>
      </c>
      <c r="B270" s="409"/>
      <c r="C270" s="416"/>
      <c r="D270" s="228" t="s">
        <v>1651</v>
      </c>
      <c r="E270" s="228">
        <v>7</v>
      </c>
      <c r="F270" s="229" t="s">
        <v>1652</v>
      </c>
      <c r="G270" s="228" t="s">
        <v>1653</v>
      </c>
      <c r="H270" s="230"/>
      <c r="I270" s="230"/>
      <c r="J270" s="228">
        <v>70325</v>
      </c>
      <c r="K270" s="231" t="str">
        <f>CONCATENATE(Cover!$D$6,"fdd/view?i=",J270)</f>
        <v>https://www.dgiwg.org/FAD/fdd/view?i=70325</v>
      </c>
      <c r="L270" s="231" t="s">
        <v>1654</v>
      </c>
      <c r="M270" s="230"/>
      <c r="N270" s="230"/>
      <c r="O270" s="187" t="s">
        <v>1650</v>
      </c>
      <c r="P270" s="202"/>
      <c r="Q270" s="188"/>
    </row>
    <row r="271" spans="1:17" ht="25.5" x14ac:dyDescent="0.2">
      <c r="A271" s="203" t="str">
        <f t="shared" si="4"/>
        <v>time_millisecond</v>
      </c>
      <c r="B271" s="410"/>
      <c r="C271" s="417"/>
      <c r="D271" s="204" t="s">
        <v>1656</v>
      </c>
      <c r="E271" s="204">
        <v>8</v>
      </c>
      <c r="F271" s="205" t="s">
        <v>1657</v>
      </c>
      <c r="G271" s="206" t="s">
        <v>1658</v>
      </c>
      <c r="H271" s="207"/>
      <c r="I271" s="207"/>
      <c r="J271" s="208">
        <v>70326</v>
      </c>
      <c r="K271" s="209" t="str">
        <f>CONCATENATE(Cover!$D$6,"fdd/view?i=",J271)</f>
        <v>https://www.dgiwg.org/FAD/fdd/view?i=70326</v>
      </c>
      <c r="L271" s="209" t="s">
        <v>1659</v>
      </c>
      <c r="M271" s="207"/>
      <c r="N271" s="207"/>
      <c r="O271" s="210" t="s">
        <v>1655</v>
      </c>
      <c r="P271" s="211"/>
      <c r="Q271" s="188"/>
    </row>
    <row r="272" spans="1:17" ht="25.5" x14ac:dyDescent="0.2">
      <c r="A272" s="190" t="str">
        <f t="shared" si="4"/>
        <v>volume_cubicMetre</v>
      </c>
      <c r="B272" s="414" t="str">
        <f>HYPERLINK("[#]PhysicalQuantities!A52:N52","volume")</f>
        <v>volume</v>
      </c>
      <c r="C272" s="415" t="s">
        <v>364</v>
      </c>
      <c r="D272" s="191" t="s">
        <v>1661</v>
      </c>
      <c r="E272" s="191">
        <v>1</v>
      </c>
      <c r="F272" s="192" t="s">
        <v>1662</v>
      </c>
      <c r="G272" s="191" t="s">
        <v>1663</v>
      </c>
      <c r="H272" s="193"/>
      <c r="I272" s="193"/>
      <c r="J272" s="191">
        <v>70327</v>
      </c>
      <c r="K272" s="194" t="str">
        <f>CONCATENATE(Cover!$D$6,"fdd/view?i=",J272)</f>
        <v>https://www.dgiwg.org/FAD/fdd/view?i=70327</v>
      </c>
      <c r="L272" s="194" t="s">
        <v>1664</v>
      </c>
      <c r="M272" s="193"/>
      <c r="N272" s="193"/>
      <c r="O272" s="195" t="s">
        <v>1660</v>
      </c>
      <c r="P272" s="196"/>
      <c r="Q272" s="188"/>
    </row>
    <row r="273" spans="1:17" ht="38.25" x14ac:dyDescent="0.2">
      <c r="A273" s="197" t="str">
        <f t="shared" si="4"/>
        <v>volume_cubicDecimetre</v>
      </c>
      <c r="B273" s="409"/>
      <c r="C273" s="416"/>
      <c r="D273" s="198" t="s">
        <v>1666</v>
      </c>
      <c r="E273" s="198">
        <v>2</v>
      </c>
      <c r="F273" s="199" t="s">
        <v>1667</v>
      </c>
      <c r="G273" s="1" t="s">
        <v>1668</v>
      </c>
      <c r="H273" s="200"/>
      <c r="I273" s="200"/>
      <c r="J273" s="201">
        <v>70328</v>
      </c>
      <c r="K273" s="25" t="str">
        <f>CONCATENATE(Cover!$D$6,"fdd/view?i=",J273)</f>
        <v>https://www.dgiwg.org/FAD/fdd/view?i=70328</v>
      </c>
      <c r="L273" s="25" t="s">
        <v>1669</v>
      </c>
      <c r="M273" s="200"/>
      <c r="N273" s="200"/>
      <c r="O273" s="13" t="s">
        <v>1665</v>
      </c>
      <c r="P273" s="202"/>
      <c r="Q273" s="188"/>
    </row>
    <row r="274" spans="1:17" ht="38.25" x14ac:dyDescent="0.2">
      <c r="A274" s="197" t="str">
        <f t="shared" si="4"/>
        <v>volume_cubicCentimetre</v>
      </c>
      <c r="B274" s="409"/>
      <c r="C274" s="416"/>
      <c r="D274" s="198" t="s">
        <v>1671</v>
      </c>
      <c r="E274" s="198">
        <v>3</v>
      </c>
      <c r="F274" s="199" t="s">
        <v>1672</v>
      </c>
      <c r="G274" s="1" t="s">
        <v>1673</v>
      </c>
      <c r="H274" s="200"/>
      <c r="I274" s="200"/>
      <c r="J274" s="201">
        <v>70329</v>
      </c>
      <c r="K274" s="25" t="str">
        <f>CONCATENATE(Cover!$D$6,"fdd/view?i=",J274)</f>
        <v>https://www.dgiwg.org/FAD/fdd/view?i=70329</v>
      </c>
      <c r="L274" s="25" t="s">
        <v>1674</v>
      </c>
      <c r="M274" s="200"/>
      <c r="N274" s="200"/>
      <c r="O274" s="13" t="s">
        <v>1670</v>
      </c>
      <c r="P274" s="202"/>
      <c r="Q274" s="188"/>
    </row>
    <row r="275" spans="1:17" ht="38.25" x14ac:dyDescent="0.2">
      <c r="A275" s="197" t="str">
        <f t="shared" si="4"/>
        <v>volume_cubicMillimetre</v>
      </c>
      <c r="B275" s="409"/>
      <c r="C275" s="416"/>
      <c r="D275" s="198" t="s">
        <v>1676</v>
      </c>
      <c r="E275" s="198">
        <v>4</v>
      </c>
      <c r="F275" s="199" t="s">
        <v>1677</v>
      </c>
      <c r="G275" s="1" t="s">
        <v>1678</v>
      </c>
      <c r="H275" s="200"/>
      <c r="I275" s="200"/>
      <c r="J275" s="201">
        <v>70330</v>
      </c>
      <c r="K275" s="25" t="str">
        <f>CONCATENATE(Cover!$D$6,"fdd/view?i=",J275)</f>
        <v>https://www.dgiwg.org/FAD/fdd/view?i=70330</v>
      </c>
      <c r="L275" s="25" t="s">
        <v>1679</v>
      </c>
      <c r="M275" s="200"/>
      <c r="N275" s="200"/>
      <c r="O275" s="13" t="s">
        <v>1675</v>
      </c>
      <c r="P275" s="202"/>
      <c r="Q275" s="188"/>
    </row>
    <row r="276" spans="1:17" ht="25.5" x14ac:dyDescent="0.2">
      <c r="A276" s="197" t="str">
        <f t="shared" si="4"/>
        <v>volume_cubicYard</v>
      </c>
      <c r="B276" s="409"/>
      <c r="C276" s="416"/>
      <c r="D276" s="198" t="s">
        <v>1681</v>
      </c>
      <c r="E276" s="198">
        <v>5</v>
      </c>
      <c r="F276" s="199" t="s">
        <v>1682</v>
      </c>
      <c r="G276" s="1" t="s">
        <v>1683</v>
      </c>
      <c r="H276" s="200"/>
      <c r="I276" s="200"/>
      <c r="J276" s="201">
        <v>70331</v>
      </c>
      <c r="K276" s="25" t="str">
        <f>CONCATENATE(Cover!$D$6,"fdd/view?i=",J276)</f>
        <v>https://www.dgiwg.org/FAD/fdd/view?i=70331</v>
      </c>
      <c r="L276" s="25" t="s">
        <v>1684</v>
      </c>
      <c r="M276" s="200"/>
      <c r="N276" s="200"/>
      <c r="O276" s="13" t="s">
        <v>1680</v>
      </c>
      <c r="P276" s="202"/>
      <c r="Q276" s="188"/>
    </row>
    <row r="277" spans="1:17" ht="25.5" x14ac:dyDescent="0.2">
      <c r="A277" s="197" t="str">
        <f t="shared" si="4"/>
        <v>volume_cubicFoot</v>
      </c>
      <c r="B277" s="409"/>
      <c r="C277" s="416"/>
      <c r="D277" s="198" t="s">
        <v>1686</v>
      </c>
      <c r="E277" s="198">
        <v>6</v>
      </c>
      <c r="F277" s="199" t="s">
        <v>1687</v>
      </c>
      <c r="G277" s="1" t="s">
        <v>1688</v>
      </c>
      <c r="H277" s="200"/>
      <c r="I277" s="200"/>
      <c r="J277" s="201">
        <v>70332</v>
      </c>
      <c r="K277" s="25" t="str">
        <f>CONCATENATE(Cover!$D$6,"fdd/view?i=",J277)</f>
        <v>https://www.dgiwg.org/FAD/fdd/view?i=70332</v>
      </c>
      <c r="L277" s="25" t="s">
        <v>1689</v>
      </c>
      <c r="M277" s="200"/>
      <c r="N277" s="200"/>
      <c r="O277" s="13" t="s">
        <v>1685</v>
      </c>
      <c r="P277" s="202"/>
      <c r="Q277" s="188"/>
    </row>
    <row r="278" spans="1:17" ht="25.5" x14ac:dyDescent="0.2">
      <c r="A278" s="197" t="str">
        <f t="shared" si="4"/>
        <v>volume_cubicInch</v>
      </c>
      <c r="B278" s="409"/>
      <c r="C278" s="416"/>
      <c r="D278" s="198" t="s">
        <v>1691</v>
      </c>
      <c r="E278" s="198">
        <v>7</v>
      </c>
      <c r="F278" s="199" t="s">
        <v>1692</v>
      </c>
      <c r="G278" s="1" t="s">
        <v>1693</v>
      </c>
      <c r="H278" s="200"/>
      <c r="I278" s="200"/>
      <c r="J278" s="201">
        <v>70333</v>
      </c>
      <c r="K278" s="25" t="str">
        <f>CONCATENATE(Cover!$D$6,"fdd/view?i=",J278)</f>
        <v>https://www.dgiwg.org/FAD/fdd/view?i=70333</v>
      </c>
      <c r="L278" s="25" t="s">
        <v>1694</v>
      </c>
      <c r="M278" s="200"/>
      <c r="N278" s="200"/>
      <c r="O278" s="13" t="s">
        <v>1690</v>
      </c>
      <c r="P278" s="202"/>
      <c r="Q278" s="188"/>
    </row>
    <row r="279" spans="1:17" ht="38.25" x14ac:dyDescent="0.2">
      <c r="A279" s="197" t="str">
        <f t="shared" si="4"/>
        <v>volume_litre</v>
      </c>
      <c r="B279" s="409"/>
      <c r="C279" s="416"/>
      <c r="D279" s="198" t="s">
        <v>1696</v>
      </c>
      <c r="E279" s="198">
        <v>8</v>
      </c>
      <c r="F279" s="199" t="s">
        <v>1697</v>
      </c>
      <c r="G279" s="1" t="s">
        <v>1698</v>
      </c>
      <c r="H279" s="200"/>
      <c r="I279" s="200"/>
      <c r="J279" s="201">
        <v>70334</v>
      </c>
      <c r="K279" s="25" t="str">
        <f>CONCATENATE(Cover!$D$6,"fdd/view?i=",J279)</f>
        <v>https://www.dgiwg.org/FAD/fdd/view?i=70334</v>
      </c>
      <c r="L279" s="25" t="s">
        <v>1699</v>
      </c>
      <c r="M279" s="200"/>
      <c r="N279" s="200"/>
      <c r="O279" s="13" t="s">
        <v>1695</v>
      </c>
      <c r="P279" s="202"/>
      <c r="Q279" s="188"/>
    </row>
    <row r="280" spans="1:17" ht="25.5" x14ac:dyDescent="0.2">
      <c r="A280" s="197" t="str">
        <f t="shared" si="4"/>
        <v>volume_decilitre</v>
      </c>
      <c r="B280" s="409"/>
      <c r="C280" s="416"/>
      <c r="D280" s="198" t="s">
        <v>1701</v>
      </c>
      <c r="E280" s="198">
        <v>9</v>
      </c>
      <c r="F280" s="199" t="s">
        <v>1702</v>
      </c>
      <c r="G280" s="1" t="s">
        <v>1703</v>
      </c>
      <c r="H280" s="200"/>
      <c r="I280" s="200"/>
      <c r="J280" s="201">
        <v>70335</v>
      </c>
      <c r="K280" s="25" t="str">
        <f>CONCATENATE(Cover!$D$6,"fdd/view?i=",J280)</f>
        <v>https://www.dgiwg.org/FAD/fdd/view?i=70335</v>
      </c>
      <c r="L280" s="25" t="s">
        <v>1704</v>
      </c>
      <c r="M280" s="200"/>
      <c r="N280" s="200"/>
      <c r="O280" s="13" t="s">
        <v>1700</v>
      </c>
      <c r="P280" s="202"/>
      <c r="Q280" s="188"/>
    </row>
    <row r="281" spans="1:17" ht="38.25" x14ac:dyDescent="0.2">
      <c r="A281" s="197" t="str">
        <f t="shared" si="4"/>
        <v>volume_millilitre</v>
      </c>
      <c r="B281" s="409"/>
      <c r="C281" s="416"/>
      <c r="D281" s="198" t="s">
        <v>1706</v>
      </c>
      <c r="E281" s="198">
        <v>10</v>
      </c>
      <c r="F281" s="199" t="s">
        <v>1707</v>
      </c>
      <c r="G281" s="1" t="s">
        <v>1708</v>
      </c>
      <c r="H281" s="200"/>
      <c r="I281" s="200"/>
      <c r="J281" s="201">
        <v>70336</v>
      </c>
      <c r="K281" s="25" t="str">
        <f>CONCATENATE(Cover!$D$6,"fdd/view?i=",J281)</f>
        <v>https://www.dgiwg.org/FAD/fdd/view?i=70336</v>
      </c>
      <c r="L281" s="25" t="s">
        <v>1709</v>
      </c>
      <c r="M281" s="200"/>
      <c r="N281" s="200"/>
      <c r="O281" s="13" t="s">
        <v>1705</v>
      </c>
      <c r="P281" s="202"/>
      <c r="Q281" s="188"/>
    </row>
    <row r="282" spans="1:17" ht="25.5" x14ac:dyDescent="0.2">
      <c r="A282" s="197" t="str">
        <f t="shared" si="4"/>
        <v>volume_usGallon</v>
      </c>
      <c r="B282" s="409"/>
      <c r="C282" s="416"/>
      <c r="D282" s="198" t="s">
        <v>1711</v>
      </c>
      <c r="E282" s="198">
        <v>11</v>
      </c>
      <c r="F282" s="199" t="s">
        <v>1712</v>
      </c>
      <c r="G282" s="1" t="s">
        <v>1713</v>
      </c>
      <c r="H282" s="200"/>
      <c r="I282" s="200"/>
      <c r="J282" s="201">
        <v>70337</v>
      </c>
      <c r="K282" s="25" t="str">
        <f>CONCATENATE(Cover!$D$6,"fdd/view?i=",J282)</f>
        <v>https://www.dgiwg.org/FAD/fdd/view?i=70337</v>
      </c>
      <c r="L282" s="25" t="s">
        <v>1714</v>
      </c>
      <c r="M282" s="200"/>
      <c r="N282" s="200"/>
      <c r="O282" s="13" t="s">
        <v>1710</v>
      </c>
      <c r="P282" s="202"/>
      <c r="Q282" s="188"/>
    </row>
    <row r="283" spans="1:17" ht="25.5" x14ac:dyDescent="0.2">
      <c r="A283" s="197" t="str">
        <f t="shared" si="4"/>
        <v>volume_usQuart</v>
      </c>
      <c r="B283" s="409"/>
      <c r="C283" s="416"/>
      <c r="D283" s="198" t="s">
        <v>1716</v>
      </c>
      <c r="E283" s="198">
        <v>12</v>
      </c>
      <c r="F283" s="199" t="s">
        <v>1717</v>
      </c>
      <c r="G283" s="1" t="s">
        <v>1718</v>
      </c>
      <c r="H283" s="200"/>
      <c r="I283" s="200"/>
      <c r="J283" s="201">
        <v>70338</v>
      </c>
      <c r="K283" s="25" t="str">
        <f>CONCATENATE(Cover!$D$6,"fdd/view?i=",J283)</f>
        <v>https://www.dgiwg.org/FAD/fdd/view?i=70338</v>
      </c>
      <c r="L283" s="25" t="s">
        <v>1719</v>
      </c>
      <c r="M283" s="200"/>
      <c r="N283" s="200"/>
      <c r="O283" s="13" t="s">
        <v>1715</v>
      </c>
      <c r="P283" s="202"/>
      <c r="Q283" s="188"/>
    </row>
    <row r="284" spans="1:17" ht="25.5" x14ac:dyDescent="0.2">
      <c r="A284" s="197" t="str">
        <f t="shared" si="4"/>
        <v>volume_usPint</v>
      </c>
      <c r="B284" s="409"/>
      <c r="C284" s="416"/>
      <c r="D284" s="198" t="s">
        <v>1721</v>
      </c>
      <c r="E284" s="198">
        <v>13</v>
      </c>
      <c r="F284" s="199" t="s">
        <v>1722</v>
      </c>
      <c r="G284" s="1" t="s">
        <v>1723</v>
      </c>
      <c r="H284" s="200"/>
      <c r="I284" s="200"/>
      <c r="J284" s="201">
        <v>70339</v>
      </c>
      <c r="K284" s="25" t="str">
        <f>CONCATENATE(Cover!$D$6,"fdd/view?i=",J284)</f>
        <v>https://www.dgiwg.org/FAD/fdd/view?i=70339</v>
      </c>
      <c r="L284" s="25" t="s">
        <v>1724</v>
      </c>
      <c r="M284" s="200"/>
      <c r="N284" s="200"/>
      <c r="O284" s="13" t="s">
        <v>1720</v>
      </c>
      <c r="P284" s="202"/>
      <c r="Q284" s="188"/>
    </row>
    <row r="285" spans="1:17" ht="25.5" x14ac:dyDescent="0.2">
      <c r="A285" s="197" t="str">
        <f t="shared" si="4"/>
        <v>volume_usCup</v>
      </c>
      <c r="B285" s="409"/>
      <c r="C285" s="416"/>
      <c r="D285" s="198" t="s">
        <v>1726</v>
      </c>
      <c r="E285" s="198">
        <v>14</v>
      </c>
      <c r="F285" s="199" t="s">
        <v>1727</v>
      </c>
      <c r="G285" s="1" t="s">
        <v>1728</v>
      </c>
      <c r="H285" s="200"/>
      <c r="I285" s="200"/>
      <c r="J285" s="201">
        <v>70340</v>
      </c>
      <c r="K285" s="25" t="str">
        <f>CONCATENATE(Cover!$D$6,"fdd/view?i=",J285)</f>
        <v>https://www.dgiwg.org/FAD/fdd/view?i=70340</v>
      </c>
      <c r="L285" s="25" t="s">
        <v>1729</v>
      </c>
      <c r="M285" s="200"/>
      <c r="N285" s="200"/>
      <c r="O285" s="13" t="s">
        <v>1725</v>
      </c>
      <c r="P285" s="202"/>
      <c r="Q285" s="188"/>
    </row>
    <row r="286" spans="1:17" ht="25.5" x14ac:dyDescent="0.2">
      <c r="A286" s="197" t="str">
        <f t="shared" si="4"/>
        <v>volume_usFluidOunce</v>
      </c>
      <c r="B286" s="409"/>
      <c r="C286" s="416"/>
      <c r="D286" s="198" t="s">
        <v>1731</v>
      </c>
      <c r="E286" s="198">
        <v>15</v>
      </c>
      <c r="F286" s="199" t="s">
        <v>1732</v>
      </c>
      <c r="G286" s="1" t="s">
        <v>1733</v>
      </c>
      <c r="H286" s="200"/>
      <c r="I286" s="200"/>
      <c r="J286" s="201">
        <v>70341</v>
      </c>
      <c r="K286" s="25" t="str">
        <f>CONCATENATE(Cover!$D$6,"fdd/view?i=",J286)</f>
        <v>https://www.dgiwg.org/FAD/fdd/view?i=70341</v>
      </c>
      <c r="L286" s="25" t="s">
        <v>1734</v>
      </c>
      <c r="M286" s="200"/>
      <c r="N286" s="200"/>
      <c r="O286" s="13" t="s">
        <v>1730</v>
      </c>
      <c r="P286" s="202"/>
      <c r="Q286" s="188"/>
    </row>
    <row r="287" spans="1:17" ht="191.25" x14ac:dyDescent="0.2">
      <c r="A287" s="203" t="str">
        <f t="shared" si="4"/>
        <v>volume_usBarrelOil</v>
      </c>
      <c r="B287" s="410"/>
      <c r="C287" s="417"/>
      <c r="D287" s="204" t="s">
        <v>1735</v>
      </c>
      <c r="E287" s="204">
        <v>16</v>
      </c>
      <c r="F287" s="205" t="s">
        <v>1736</v>
      </c>
      <c r="G287" s="206" t="s">
        <v>1737</v>
      </c>
      <c r="H287" s="206" t="s">
        <v>1738</v>
      </c>
      <c r="I287" s="207"/>
      <c r="J287" s="208">
        <v>70394</v>
      </c>
      <c r="K287" s="209" t="str">
        <f>CONCATENATE(Cover!$D$6,"fdd/view?i=",J287)</f>
        <v>https://www.dgiwg.org/FAD/fdd/view?i=70394</v>
      </c>
      <c r="L287" s="209" t="s">
        <v>1739</v>
      </c>
      <c r="M287" s="207"/>
      <c r="N287" s="207"/>
      <c r="O287" s="232"/>
      <c r="P287" s="211"/>
      <c r="Q287" s="188"/>
    </row>
    <row r="288" spans="1:17" ht="25.5" x14ac:dyDescent="0.2">
      <c r="A288" s="190" t="str">
        <f t="shared" si="4"/>
        <v>volumeFlowRate_cubicMetrePerSecond</v>
      </c>
      <c r="B288" s="414" t="str">
        <f>HYPERLINK("[#]PhysicalQuantities!A53:N53","volumeFlowRate")</f>
        <v>volumeFlowRate</v>
      </c>
      <c r="C288" s="415" t="s">
        <v>367</v>
      </c>
      <c r="D288" s="191" t="s">
        <v>1741</v>
      </c>
      <c r="E288" s="191">
        <v>1</v>
      </c>
      <c r="F288" s="192" t="s">
        <v>1742</v>
      </c>
      <c r="G288" s="191" t="s">
        <v>1743</v>
      </c>
      <c r="H288" s="193"/>
      <c r="I288" s="193"/>
      <c r="J288" s="191">
        <v>70342</v>
      </c>
      <c r="K288" s="194" t="str">
        <f>CONCATENATE(Cover!$D$6,"fdd/view?i=",J288)</f>
        <v>https://www.dgiwg.org/FAD/fdd/view?i=70342</v>
      </c>
      <c r="L288" s="194" t="s">
        <v>1744</v>
      </c>
      <c r="M288" s="193"/>
      <c r="N288" s="193"/>
      <c r="O288" s="195" t="s">
        <v>1740</v>
      </c>
      <c r="P288" s="196"/>
      <c r="Q288" s="188"/>
    </row>
    <row r="289" spans="1:17" ht="25.5" x14ac:dyDescent="0.2">
      <c r="A289" s="197" t="str">
        <f t="shared" si="4"/>
        <v>volumeFlowRate_litrePerSecond</v>
      </c>
      <c r="B289" s="409"/>
      <c r="C289" s="416"/>
      <c r="D289" s="198" t="s">
        <v>1745</v>
      </c>
      <c r="E289" s="198">
        <v>2</v>
      </c>
      <c r="F289" s="199" t="s">
        <v>1746</v>
      </c>
      <c r="G289" s="1" t="s">
        <v>1747</v>
      </c>
      <c r="H289" s="200"/>
      <c r="I289" s="200"/>
      <c r="J289" s="201">
        <v>70343</v>
      </c>
      <c r="K289" s="25" t="str">
        <f>CONCATENATE(Cover!$D$6,"fdd/view?i=",J289)</f>
        <v>https://www.dgiwg.org/FAD/fdd/view?i=70343</v>
      </c>
      <c r="L289" s="25" t="s">
        <v>1748</v>
      </c>
      <c r="M289" s="200"/>
      <c r="N289" s="200"/>
      <c r="O289" s="172"/>
      <c r="P289" s="202"/>
      <c r="Q289" s="188"/>
    </row>
    <row r="290" spans="1:17" ht="25.5" x14ac:dyDescent="0.2">
      <c r="A290" s="197" t="str">
        <f t="shared" si="4"/>
        <v>volumeFlowRate_cubicMetrePerMinute</v>
      </c>
      <c r="B290" s="409"/>
      <c r="C290" s="416"/>
      <c r="D290" s="198" t="s">
        <v>1749</v>
      </c>
      <c r="E290" s="198">
        <v>3</v>
      </c>
      <c r="F290" s="199" t="s">
        <v>1750</v>
      </c>
      <c r="G290" s="1" t="s">
        <v>1751</v>
      </c>
      <c r="H290" s="200"/>
      <c r="I290" s="200"/>
      <c r="J290" s="201">
        <v>70344</v>
      </c>
      <c r="K290" s="25" t="str">
        <f>CONCATENATE(Cover!$D$6,"fdd/view?i=",J290)</f>
        <v>https://www.dgiwg.org/FAD/fdd/view?i=70344</v>
      </c>
      <c r="L290" s="25" t="s">
        <v>1752</v>
      </c>
      <c r="M290" s="200"/>
      <c r="N290" s="200"/>
      <c r="O290" s="172"/>
      <c r="P290" s="202"/>
      <c r="Q290" s="188"/>
    </row>
    <row r="291" spans="1:17" ht="25.5" x14ac:dyDescent="0.2">
      <c r="A291" s="197" t="str">
        <f t="shared" si="4"/>
        <v>volumeFlowRate_litrePerMinute</v>
      </c>
      <c r="B291" s="409"/>
      <c r="C291" s="416"/>
      <c r="D291" s="198" t="s">
        <v>1754</v>
      </c>
      <c r="E291" s="198">
        <v>4</v>
      </c>
      <c r="F291" s="199" t="s">
        <v>1755</v>
      </c>
      <c r="G291" s="1" t="s">
        <v>1756</v>
      </c>
      <c r="H291" s="200"/>
      <c r="I291" s="200"/>
      <c r="J291" s="201">
        <v>70345</v>
      </c>
      <c r="K291" s="25" t="str">
        <f>CONCATENATE(Cover!$D$6,"fdd/view?i=",J291)</f>
        <v>https://www.dgiwg.org/FAD/fdd/view?i=70345</v>
      </c>
      <c r="L291" s="25" t="s">
        <v>1757</v>
      </c>
      <c r="M291" s="200"/>
      <c r="N291" s="200"/>
      <c r="O291" s="13" t="s">
        <v>1753</v>
      </c>
      <c r="P291" s="202"/>
      <c r="Q291" s="188"/>
    </row>
    <row r="292" spans="1:17" ht="25.5" x14ac:dyDescent="0.2">
      <c r="A292" s="197" t="str">
        <f t="shared" si="4"/>
        <v>volumeFlowRate_cubicMetrePerHour</v>
      </c>
      <c r="B292" s="409"/>
      <c r="C292" s="416"/>
      <c r="D292" s="198" t="s">
        <v>1759</v>
      </c>
      <c r="E292" s="198">
        <v>5</v>
      </c>
      <c r="F292" s="199" t="s">
        <v>1760</v>
      </c>
      <c r="G292" s="1" t="s">
        <v>1761</v>
      </c>
      <c r="H292" s="200"/>
      <c r="I292" s="200"/>
      <c r="J292" s="201">
        <v>70346</v>
      </c>
      <c r="K292" s="25" t="str">
        <f>CONCATENATE(Cover!$D$6,"fdd/view?i=",J292)</f>
        <v>https://www.dgiwg.org/FAD/fdd/view?i=70346</v>
      </c>
      <c r="L292" s="25" t="s">
        <v>1762</v>
      </c>
      <c r="M292" s="200"/>
      <c r="N292" s="200"/>
      <c r="O292" s="13" t="s">
        <v>1758</v>
      </c>
      <c r="P292" s="202"/>
      <c r="Q292" s="188"/>
    </row>
    <row r="293" spans="1:17" ht="25.5" x14ac:dyDescent="0.2">
      <c r="A293" s="197" t="str">
        <f t="shared" si="4"/>
        <v>volumeFlowRate_litrePerHour</v>
      </c>
      <c r="B293" s="409"/>
      <c r="C293" s="416"/>
      <c r="D293" s="198" t="s">
        <v>1764</v>
      </c>
      <c r="E293" s="198">
        <v>6</v>
      </c>
      <c r="F293" s="199" t="s">
        <v>1765</v>
      </c>
      <c r="G293" s="1" t="s">
        <v>1766</v>
      </c>
      <c r="H293" s="200"/>
      <c r="I293" s="200"/>
      <c r="J293" s="201">
        <v>70347</v>
      </c>
      <c r="K293" s="25" t="str">
        <f>CONCATENATE(Cover!$D$6,"fdd/view?i=",J293)</f>
        <v>https://www.dgiwg.org/FAD/fdd/view?i=70347</v>
      </c>
      <c r="L293" s="25" t="s">
        <v>1767</v>
      </c>
      <c r="M293" s="200"/>
      <c r="N293" s="200"/>
      <c r="O293" s="13" t="s">
        <v>1763</v>
      </c>
      <c r="P293" s="202"/>
      <c r="Q293" s="188"/>
    </row>
    <row r="294" spans="1:17" ht="25.5" x14ac:dyDescent="0.2">
      <c r="A294" s="197" t="str">
        <f t="shared" si="4"/>
        <v>volumeFlowRate_cubicMetrePerDay</v>
      </c>
      <c r="B294" s="409"/>
      <c r="C294" s="416"/>
      <c r="D294" s="198" t="s">
        <v>1768</v>
      </c>
      <c r="E294" s="198">
        <v>7</v>
      </c>
      <c r="F294" s="199" t="s">
        <v>1769</v>
      </c>
      <c r="G294" s="1" t="s">
        <v>1770</v>
      </c>
      <c r="H294" s="200"/>
      <c r="I294" s="200"/>
      <c r="J294" s="201">
        <v>70397</v>
      </c>
      <c r="K294" s="25" t="str">
        <f>CONCATENATE(Cover!$D$6,"fdd/view?i=",J294)</f>
        <v>https://www.dgiwg.org/FAD/fdd/view?i=70397</v>
      </c>
      <c r="L294" s="25" t="s">
        <v>1771</v>
      </c>
      <c r="M294" s="200"/>
      <c r="N294" s="200"/>
      <c r="O294" s="172"/>
      <c r="P294" s="202"/>
      <c r="Q294" s="188"/>
    </row>
    <row r="295" spans="1:17" ht="25.5" x14ac:dyDescent="0.2">
      <c r="A295" s="197" t="str">
        <f t="shared" si="4"/>
        <v>volumeFlowRate_cubicMetrePerAnnum</v>
      </c>
      <c r="B295" s="409"/>
      <c r="C295" s="416"/>
      <c r="D295" s="198" t="s">
        <v>1772</v>
      </c>
      <c r="E295" s="198">
        <v>8</v>
      </c>
      <c r="F295" s="199" t="s">
        <v>1773</v>
      </c>
      <c r="G295" s="1" t="s">
        <v>1774</v>
      </c>
      <c r="H295" s="200"/>
      <c r="I295" s="200"/>
      <c r="J295" s="201">
        <v>70393</v>
      </c>
      <c r="K295" s="25" t="str">
        <f>CONCATENATE(Cover!$D$6,"fdd/view?i=",J295)</f>
        <v>https://www.dgiwg.org/FAD/fdd/view?i=70393</v>
      </c>
      <c r="L295" s="25" t="s">
        <v>1775</v>
      </c>
      <c r="M295" s="200"/>
      <c r="N295" s="200"/>
      <c r="O295" s="172"/>
      <c r="P295" s="202"/>
      <c r="Q295" s="188"/>
    </row>
    <row r="296" spans="1:17" ht="38.25" x14ac:dyDescent="0.2">
      <c r="A296" s="203" t="str">
        <f t="shared" si="4"/>
        <v>volumeFlowRate_millionCubicMetrePerAnnum</v>
      </c>
      <c r="B296" s="410"/>
      <c r="C296" s="417"/>
      <c r="D296" s="204" t="s">
        <v>1776</v>
      </c>
      <c r="E296" s="204">
        <v>9</v>
      </c>
      <c r="F296" s="205" t="s">
        <v>1777</v>
      </c>
      <c r="G296" s="206" t="s">
        <v>1778</v>
      </c>
      <c r="H296" s="207"/>
      <c r="I296" s="207"/>
      <c r="J296" s="208">
        <v>70398</v>
      </c>
      <c r="K296" s="209" t="str">
        <f>CONCATENATE(Cover!$D$6,"fdd/view?i=",J296)</f>
        <v>https://www.dgiwg.org/FAD/fdd/view?i=70398</v>
      </c>
      <c r="L296" s="209" t="s">
        <v>1779</v>
      </c>
      <c r="M296" s="207"/>
      <c r="N296" s="207"/>
      <c r="O296" s="232"/>
      <c r="P296" s="211"/>
      <c r="Q296" s="188"/>
    </row>
    <row r="297" spans="1:17" ht="25.5" x14ac:dyDescent="0.2">
      <c r="A297" s="212" t="str">
        <f t="shared" si="4"/>
        <v>volumeFraction_cubicMetrePerCubicMetre</v>
      </c>
      <c r="B297" s="213" t="str">
        <f>HYPERLINK("[#]PhysicalQuantities!A54:N54","volumeFraction")</f>
        <v>volumeFraction</v>
      </c>
      <c r="C297" s="214" t="s">
        <v>370</v>
      </c>
      <c r="D297" s="215" t="s">
        <v>1780</v>
      </c>
      <c r="E297" s="215">
        <v>1</v>
      </c>
      <c r="F297" s="216" t="s">
        <v>1781</v>
      </c>
      <c r="G297" s="215" t="s">
        <v>1782</v>
      </c>
      <c r="H297" s="217"/>
      <c r="I297" s="217"/>
      <c r="J297" s="215">
        <v>70348</v>
      </c>
      <c r="K297" s="218" t="str">
        <f>CONCATENATE(Cover!$D$6,"fdd/view?i=",J297)</f>
        <v>https://www.dgiwg.org/FAD/fdd/view?i=70348</v>
      </c>
      <c r="L297" s="218" t="s">
        <v>1783</v>
      </c>
      <c r="M297" s="217"/>
      <c r="N297" s="217"/>
      <c r="O297" s="247"/>
      <c r="P297" s="220"/>
      <c r="Q297" s="188"/>
    </row>
  </sheetData>
  <mergeCells count="94">
    <mergeCell ref="B2:B5"/>
    <mergeCell ref="C2:C5"/>
    <mergeCell ref="B7:B18"/>
    <mergeCell ref="C7:C18"/>
    <mergeCell ref="B19:B22"/>
    <mergeCell ref="C19:C22"/>
    <mergeCell ref="B23:B26"/>
    <mergeCell ref="C23:C26"/>
    <mergeCell ref="B27:B29"/>
    <mergeCell ref="C27:C29"/>
    <mergeCell ref="B30:B37"/>
    <mergeCell ref="C30:C37"/>
    <mergeCell ref="B38:B41"/>
    <mergeCell ref="C38:C41"/>
    <mergeCell ref="B42:B44"/>
    <mergeCell ref="C42:C44"/>
    <mergeCell ref="B45:B48"/>
    <mergeCell ref="C45:C48"/>
    <mergeCell ref="B49:B52"/>
    <mergeCell ref="C49:C52"/>
    <mergeCell ref="B53:B62"/>
    <mergeCell ref="C53:C62"/>
    <mergeCell ref="B63:B67"/>
    <mergeCell ref="C63:C67"/>
    <mergeCell ref="B68:B71"/>
    <mergeCell ref="C68:C71"/>
    <mergeCell ref="B73:B75"/>
    <mergeCell ref="C73:C75"/>
    <mergeCell ref="B76:B77"/>
    <mergeCell ref="C76:C77"/>
    <mergeCell ref="B78:B79"/>
    <mergeCell ref="C78:C79"/>
    <mergeCell ref="B80:B110"/>
    <mergeCell ref="C80:C110"/>
    <mergeCell ref="B111:B112"/>
    <mergeCell ref="C111:C112"/>
    <mergeCell ref="B113:B114"/>
    <mergeCell ref="C113:C114"/>
    <mergeCell ref="B117:B120"/>
    <mergeCell ref="C117:C120"/>
    <mergeCell ref="B121:B123"/>
    <mergeCell ref="C121:C123"/>
    <mergeCell ref="B124:B125"/>
    <mergeCell ref="C124:C125"/>
    <mergeCell ref="B126:B136"/>
    <mergeCell ref="C126:C136"/>
    <mergeCell ref="B137:B143"/>
    <mergeCell ref="C137:C143"/>
    <mergeCell ref="B144:B146"/>
    <mergeCell ref="C144:C146"/>
    <mergeCell ref="B147:B150"/>
    <mergeCell ref="C147:C150"/>
    <mergeCell ref="B151:B153"/>
    <mergeCell ref="C151:C153"/>
    <mergeCell ref="B154:B155"/>
    <mergeCell ref="C154:C155"/>
    <mergeCell ref="B156:B179"/>
    <mergeCell ref="C156:C179"/>
    <mergeCell ref="B180:B193"/>
    <mergeCell ref="C180:C193"/>
    <mergeCell ref="B194:B196"/>
    <mergeCell ref="C194:C196"/>
    <mergeCell ref="B197:B199"/>
    <mergeCell ref="C197:C199"/>
    <mergeCell ref="B200:B212"/>
    <mergeCell ref="C200:C212"/>
    <mergeCell ref="B213:B219"/>
    <mergeCell ref="C213:C219"/>
    <mergeCell ref="B220:B221"/>
    <mergeCell ref="C220:C221"/>
    <mergeCell ref="B222:B223"/>
    <mergeCell ref="C222:C223"/>
    <mergeCell ref="B224:B227"/>
    <mergeCell ref="C224:C227"/>
    <mergeCell ref="B228:B234"/>
    <mergeCell ref="C228:C234"/>
    <mergeCell ref="B235:B237"/>
    <mergeCell ref="C235:C237"/>
    <mergeCell ref="B238:B242"/>
    <mergeCell ref="C238:C242"/>
    <mergeCell ref="B244:B245"/>
    <mergeCell ref="C244:C245"/>
    <mergeCell ref="B246:B258"/>
    <mergeCell ref="C246:C258"/>
    <mergeCell ref="B272:B287"/>
    <mergeCell ref="C272:C287"/>
    <mergeCell ref="B288:B296"/>
    <mergeCell ref="C288:C296"/>
    <mergeCell ref="B259:B260"/>
    <mergeCell ref="C259:C260"/>
    <mergeCell ref="B261:B263"/>
    <mergeCell ref="C261:C263"/>
    <mergeCell ref="B264:B271"/>
    <mergeCell ref="C264:C271"/>
  </mergeCells>
  <pageMargins left="0.75" right="0.75" top="1" bottom="1" header="0.5" footer="0.5"/>
  <pageSetup orientation="portrait"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sheetPr>
  <dimension ref="A1:E15"/>
  <sheetViews>
    <sheetView zoomScale="80" workbookViewId="0">
      <pane xSplit="3" ySplit="1" topLeftCell="D2" activePane="bottomRight" state="frozen"/>
      <selection pane="topRight" activeCell="D1" sqref="D1"/>
      <selection pane="bottomLeft" activeCell="A2" sqref="A2"/>
      <selection pane="bottomRight"/>
    </sheetView>
  </sheetViews>
  <sheetFormatPr baseColWidth="10" defaultColWidth="9.140625" defaultRowHeight="12.75" x14ac:dyDescent="0.2"/>
  <cols>
    <col min="1" max="1" width="7.28515625" style="38" bestFit="1" customWidth="1"/>
    <col min="2" max="2" width="18.7109375" style="32" customWidth="1"/>
    <col min="3" max="3" width="30.7109375" style="14" customWidth="1"/>
    <col min="4" max="4" width="69.7109375" style="15" customWidth="1"/>
    <col min="5" max="5" width="85.7109375" style="15" customWidth="1"/>
    <col min="6" max="16384" width="9.140625" style="13"/>
  </cols>
  <sheetData>
    <row r="1" spans="1:5" s="46" customFormat="1" ht="27" customHeight="1" x14ac:dyDescent="0.2">
      <c r="A1" s="43" t="s">
        <v>88</v>
      </c>
      <c r="B1" s="45" t="s">
        <v>35</v>
      </c>
      <c r="C1" s="40" t="s">
        <v>32</v>
      </c>
      <c r="D1" s="40" t="s">
        <v>33</v>
      </c>
      <c r="E1" s="97" t="s">
        <v>31</v>
      </c>
    </row>
    <row r="2" spans="1:5" ht="63.75" x14ac:dyDescent="0.2">
      <c r="A2" s="375" t="str">
        <f>HYPERLINK("[#]Subgroups!A2:D2","01")</f>
        <v>01</v>
      </c>
      <c r="B2" s="32" t="s">
        <v>55857</v>
      </c>
      <c r="C2" s="14" t="s">
        <v>55858</v>
      </c>
      <c r="D2" s="15" t="s">
        <v>55859</v>
      </c>
      <c r="E2" s="359"/>
    </row>
    <row r="3" spans="1:5" ht="25.5" x14ac:dyDescent="0.2">
      <c r="A3" s="375" t="str">
        <f>HYPERLINK("[#]Subgroups!A10:D10","02")</f>
        <v>02</v>
      </c>
      <c r="B3" s="32" t="s">
        <v>55860</v>
      </c>
      <c r="C3" s="14" t="s">
        <v>55861</v>
      </c>
      <c r="D3" s="15" t="s">
        <v>55862</v>
      </c>
      <c r="E3" s="360" t="s">
        <v>55863</v>
      </c>
    </row>
    <row r="4" spans="1:5" ht="38.25" x14ac:dyDescent="0.2">
      <c r="A4" s="375" t="str">
        <f>HYPERLINK("[#]Subgroups!A17:D17","03")</f>
        <v>03</v>
      </c>
      <c r="B4" s="32" t="s">
        <v>32521</v>
      </c>
      <c r="C4" s="14" t="s">
        <v>32521</v>
      </c>
      <c r="D4" s="15" t="s">
        <v>55864</v>
      </c>
      <c r="E4" s="359"/>
    </row>
    <row r="5" spans="1:5" ht="25.5" x14ac:dyDescent="0.2">
      <c r="A5" s="375" t="str">
        <f>HYPERLINK("[#]Subgroups!A27:D27","04")</f>
        <v>04</v>
      </c>
      <c r="B5" s="32" t="s">
        <v>55865</v>
      </c>
      <c r="C5" s="14" t="s">
        <v>55866</v>
      </c>
      <c r="D5" s="15" t="s">
        <v>55867</v>
      </c>
      <c r="E5" s="359"/>
    </row>
    <row r="6" spans="1:5" ht="25.5" x14ac:dyDescent="0.2">
      <c r="A6" s="375" t="str">
        <f>HYPERLINK("[#]Subgroups!A39:D39","05")</f>
        <v>05</v>
      </c>
      <c r="B6" s="32" t="s">
        <v>51989</v>
      </c>
      <c r="C6" s="14" t="s">
        <v>51989</v>
      </c>
      <c r="D6" s="15" t="s">
        <v>55868</v>
      </c>
      <c r="E6" s="359"/>
    </row>
    <row r="7" spans="1:5" x14ac:dyDescent="0.2">
      <c r="A7" s="375" t="str">
        <f>HYPERLINK("[#]Subgroups!A48:D48","06")</f>
        <v>06</v>
      </c>
      <c r="B7" s="32" t="s">
        <v>55869</v>
      </c>
      <c r="C7" s="14" t="s">
        <v>55869</v>
      </c>
      <c r="D7" s="15" t="s">
        <v>55870</v>
      </c>
      <c r="E7" s="359"/>
    </row>
    <row r="8" spans="1:5" ht="38.25" x14ac:dyDescent="0.2">
      <c r="A8" s="375" t="str">
        <f>HYPERLINK("[#]Subgroups!A56:D56","07")</f>
        <v>07</v>
      </c>
      <c r="B8" s="32" t="s">
        <v>55871</v>
      </c>
      <c r="C8" s="14" t="s">
        <v>55871</v>
      </c>
      <c r="D8" s="15" t="s">
        <v>55872</v>
      </c>
      <c r="E8" s="359"/>
    </row>
    <row r="9" spans="1:5" x14ac:dyDescent="0.2">
      <c r="A9" s="375" t="str">
        <f>HYPERLINK("[#]Subgroups!A58:D58","08")</f>
        <v>08</v>
      </c>
      <c r="B9" s="32" t="s">
        <v>19897</v>
      </c>
      <c r="C9" s="14" t="s">
        <v>19897</v>
      </c>
      <c r="D9" s="15" t="s">
        <v>55873</v>
      </c>
      <c r="E9" s="360" t="s">
        <v>55874</v>
      </c>
    </row>
    <row r="10" spans="1:5" ht="25.5" x14ac:dyDescent="0.2">
      <c r="A10" s="375" t="str">
        <f>HYPERLINK("[#]Subgroups!A63:D63","09")</f>
        <v>09</v>
      </c>
      <c r="B10" s="32" t="s">
        <v>20504</v>
      </c>
      <c r="C10" s="14" t="s">
        <v>20504</v>
      </c>
      <c r="D10" s="15" t="s">
        <v>55875</v>
      </c>
      <c r="E10" s="359"/>
    </row>
    <row r="11" spans="1:5" ht="25.5" x14ac:dyDescent="0.2">
      <c r="A11" s="375" t="str">
        <f>HYPERLINK("[#]Subgroups!A66:D66","10")</f>
        <v>10</v>
      </c>
      <c r="B11" s="32" t="s">
        <v>55876</v>
      </c>
      <c r="C11" s="14" t="s">
        <v>55877</v>
      </c>
      <c r="D11" s="15" t="s">
        <v>55878</v>
      </c>
      <c r="E11" s="359"/>
    </row>
    <row r="12" spans="1:5" ht="25.5" x14ac:dyDescent="0.2">
      <c r="A12" s="375" t="str">
        <f>HYPERLINK("[#]Subgroups!A69:D69","20")</f>
        <v>20</v>
      </c>
      <c r="B12" s="32" t="s">
        <v>55879</v>
      </c>
      <c r="C12" s="14" t="s">
        <v>55879</v>
      </c>
      <c r="D12" s="15" t="s">
        <v>55880</v>
      </c>
      <c r="E12" s="359"/>
    </row>
    <row r="13" spans="1:5" x14ac:dyDescent="0.2">
      <c r="A13" s="375" t="str">
        <f>HYPERLINK("[#]Subgroups!A74:D74","21")</f>
        <v>21</v>
      </c>
      <c r="B13" s="32" t="s">
        <v>55881</v>
      </c>
      <c r="C13" s="14" t="s">
        <v>55882</v>
      </c>
      <c r="D13" s="15" t="s">
        <v>55883</v>
      </c>
      <c r="E13" s="359"/>
    </row>
    <row r="14" spans="1:5" ht="25.5" x14ac:dyDescent="0.2">
      <c r="A14" s="375" t="str">
        <f>HYPERLINK("[#]Subgroups!A76:D76","22")</f>
        <v>22</v>
      </c>
      <c r="B14" s="32" t="s">
        <v>55884</v>
      </c>
      <c r="C14" s="14" t="s">
        <v>55885</v>
      </c>
      <c r="D14" s="15" t="s">
        <v>55886</v>
      </c>
      <c r="E14" s="359"/>
    </row>
    <row r="15" spans="1:5" ht="25.5" x14ac:dyDescent="0.2">
      <c r="A15" s="376" t="str">
        <f>HYPERLINK("[#]Subgroups!A82:D82","23")</f>
        <v>23</v>
      </c>
      <c r="B15" s="361" t="s">
        <v>55887</v>
      </c>
      <c r="C15" s="325" t="s">
        <v>55887</v>
      </c>
      <c r="D15" s="210" t="s">
        <v>55888</v>
      </c>
      <c r="E15" s="362" t="s">
        <v>55889</v>
      </c>
    </row>
  </sheetData>
  <pageMargins left="0.53" right="0.39" top="0.56000000000000005" bottom="0.56000000000000005" header="0.43" footer="0.4"/>
  <pageSetup scale="65" orientation="landscape" r:id="rId1"/>
  <headerFooter alignWithMargins="0">
    <oddHeader>&amp;A</oddHead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sheetPr>
  <dimension ref="A1:F83"/>
  <sheetViews>
    <sheetView zoomScale="80" workbookViewId="0">
      <pane xSplit="4" ySplit="1" topLeftCell="E2" activePane="bottomRight" state="frozen"/>
      <selection pane="topRight" activeCell="D1" sqref="D1"/>
      <selection pane="bottomLeft" activeCell="A2" sqref="A2"/>
      <selection pane="bottomRight"/>
    </sheetView>
  </sheetViews>
  <sheetFormatPr baseColWidth="10" defaultColWidth="9.140625" defaultRowHeight="12.75" x14ac:dyDescent="0.2"/>
  <cols>
    <col min="1" max="1" width="7.28515625" style="38" bestFit="1" customWidth="1"/>
    <col min="2" max="2" width="11" style="33" customWidth="1"/>
    <col min="3" max="3" width="18.7109375" style="32" customWidth="1"/>
    <col min="4" max="4" width="30.7109375" style="14" customWidth="1"/>
    <col min="5" max="5" width="69.7109375" style="15" customWidth="1"/>
    <col min="6" max="6" width="85.7109375" style="15" customWidth="1"/>
    <col min="7" max="16384" width="9.140625" style="13"/>
  </cols>
  <sheetData>
    <row r="1" spans="1:6" s="46" customFormat="1" ht="27" customHeight="1" x14ac:dyDescent="0.2">
      <c r="A1" s="43" t="s">
        <v>88</v>
      </c>
      <c r="B1" s="44" t="s">
        <v>86</v>
      </c>
      <c r="C1" s="45" t="s">
        <v>35</v>
      </c>
      <c r="D1" s="40" t="s">
        <v>32</v>
      </c>
      <c r="E1" s="40" t="s">
        <v>33</v>
      </c>
      <c r="F1" s="97" t="s">
        <v>31</v>
      </c>
    </row>
    <row r="2" spans="1:6" ht="25.5" x14ac:dyDescent="0.2">
      <c r="A2" s="418" t="str">
        <f>HYPERLINK("[#]Groups!A2:D2","01")</f>
        <v>01</v>
      </c>
      <c r="B2" s="363" t="s">
        <v>55890</v>
      </c>
      <c r="C2" s="364" t="s">
        <v>55891</v>
      </c>
      <c r="D2" s="333" t="s">
        <v>55891</v>
      </c>
      <c r="E2" s="233" t="s">
        <v>55892</v>
      </c>
      <c r="F2" s="365"/>
    </row>
    <row r="3" spans="1:6" ht="25.5" x14ac:dyDescent="0.2">
      <c r="A3" s="419"/>
      <c r="B3" s="33" t="s">
        <v>55893</v>
      </c>
      <c r="C3" s="32" t="s">
        <v>55894</v>
      </c>
      <c r="D3" s="318" t="s">
        <v>55895</v>
      </c>
      <c r="E3" s="13" t="s">
        <v>55896</v>
      </c>
      <c r="F3" s="359"/>
    </row>
    <row r="4" spans="1:6" ht="25.5" x14ac:dyDescent="0.2">
      <c r="A4" s="419"/>
      <c r="B4" s="33" t="s">
        <v>55897</v>
      </c>
      <c r="C4" s="32" t="s">
        <v>30416</v>
      </c>
      <c r="D4" s="318" t="s">
        <v>30416</v>
      </c>
      <c r="E4" s="13" t="s">
        <v>55898</v>
      </c>
      <c r="F4" s="360" t="s">
        <v>55899</v>
      </c>
    </row>
    <row r="5" spans="1:6" ht="25.5" x14ac:dyDescent="0.2">
      <c r="A5" s="419"/>
      <c r="B5" s="33" t="s">
        <v>55900</v>
      </c>
      <c r="C5" s="32" t="s">
        <v>55901</v>
      </c>
      <c r="D5" s="318" t="s">
        <v>55902</v>
      </c>
      <c r="E5" s="13" t="s">
        <v>55903</v>
      </c>
      <c r="F5" s="360" t="s">
        <v>55904</v>
      </c>
    </row>
    <row r="6" spans="1:6" x14ac:dyDescent="0.2">
      <c r="A6" s="419"/>
      <c r="B6" s="33" t="s">
        <v>55905</v>
      </c>
      <c r="C6" s="32" t="s">
        <v>53051</v>
      </c>
      <c r="D6" s="318" t="s">
        <v>53051</v>
      </c>
      <c r="E6" s="13" t="s">
        <v>55906</v>
      </c>
      <c r="F6" s="359"/>
    </row>
    <row r="7" spans="1:6" ht="25.5" x14ac:dyDescent="0.2">
      <c r="A7" s="419"/>
      <c r="B7" s="33" t="s">
        <v>55907</v>
      </c>
      <c r="C7" s="32" t="s">
        <v>55908</v>
      </c>
      <c r="D7" s="318" t="s">
        <v>55909</v>
      </c>
      <c r="E7" s="13" t="s">
        <v>55910</v>
      </c>
      <c r="F7" s="359"/>
    </row>
    <row r="8" spans="1:6" ht="25.5" x14ac:dyDescent="0.2">
      <c r="A8" s="419"/>
      <c r="B8" s="33" t="s">
        <v>55911</v>
      </c>
      <c r="C8" s="32" t="s">
        <v>55912</v>
      </c>
      <c r="D8" s="318" t="s">
        <v>55913</v>
      </c>
      <c r="E8" s="13" t="s">
        <v>55914</v>
      </c>
      <c r="F8" s="359"/>
    </row>
    <row r="9" spans="1:6" ht="25.5" x14ac:dyDescent="0.2">
      <c r="A9" s="420"/>
      <c r="B9" s="366" t="s">
        <v>55915</v>
      </c>
      <c r="C9" s="361" t="s">
        <v>55916</v>
      </c>
      <c r="D9" s="325" t="s">
        <v>55917</v>
      </c>
      <c r="E9" s="210" t="s">
        <v>55918</v>
      </c>
      <c r="F9" s="367"/>
    </row>
    <row r="10" spans="1:6" x14ac:dyDescent="0.2">
      <c r="A10" s="418" t="str">
        <f>HYPERLINK("[#]Groups!A3:D3","02")</f>
        <v>02</v>
      </c>
      <c r="B10" s="363" t="s">
        <v>55919</v>
      </c>
      <c r="C10" s="364" t="s">
        <v>55920</v>
      </c>
      <c r="D10" s="333" t="s">
        <v>55920</v>
      </c>
      <c r="E10" s="233" t="s">
        <v>55921</v>
      </c>
      <c r="F10" s="365"/>
    </row>
    <row r="11" spans="1:6" ht="25.5" x14ac:dyDescent="0.2">
      <c r="A11" s="419"/>
      <c r="B11" s="33" t="s">
        <v>55922</v>
      </c>
      <c r="C11" s="32" t="s">
        <v>55923</v>
      </c>
      <c r="D11" s="318" t="s">
        <v>55924</v>
      </c>
      <c r="E11" s="13" t="s">
        <v>55925</v>
      </c>
      <c r="F11" s="359"/>
    </row>
    <row r="12" spans="1:6" x14ac:dyDescent="0.2">
      <c r="A12" s="419"/>
      <c r="B12" s="33" t="s">
        <v>55926</v>
      </c>
      <c r="C12" s="32" t="s">
        <v>55927</v>
      </c>
      <c r="D12" s="318" t="s">
        <v>55928</v>
      </c>
      <c r="E12" s="13" t="s">
        <v>55929</v>
      </c>
      <c r="F12" s="360" t="s">
        <v>55930</v>
      </c>
    </row>
    <row r="13" spans="1:6" ht="25.5" x14ac:dyDescent="0.2">
      <c r="A13" s="419"/>
      <c r="B13" s="33" t="s">
        <v>55931</v>
      </c>
      <c r="C13" s="32" t="s">
        <v>55932</v>
      </c>
      <c r="D13" s="318" t="s">
        <v>55932</v>
      </c>
      <c r="E13" s="13" t="s">
        <v>55933</v>
      </c>
      <c r="F13" s="359"/>
    </row>
    <row r="14" spans="1:6" ht="25.5" x14ac:dyDescent="0.2">
      <c r="A14" s="419"/>
      <c r="B14" s="33" t="s">
        <v>55934</v>
      </c>
      <c r="C14" s="32" t="s">
        <v>55935</v>
      </c>
      <c r="D14" s="318" t="s">
        <v>55936</v>
      </c>
      <c r="E14" s="13" t="s">
        <v>55937</v>
      </c>
      <c r="F14" s="359"/>
    </row>
    <row r="15" spans="1:6" ht="25.5" x14ac:dyDescent="0.2">
      <c r="A15" s="419"/>
      <c r="B15" s="33" t="s">
        <v>55938</v>
      </c>
      <c r="C15" s="32" t="s">
        <v>55939</v>
      </c>
      <c r="D15" s="318" t="s">
        <v>55940</v>
      </c>
      <c r="E15" s="13" t="s">
        <v>55941</v>
      </c>
      <c r="F15" s="359"/>
    </row>
    <row r="16" spans="1:6" ht="25.5" x14ac:dyDescent="0.2">
      <c r="A16" s="420"/>
      <c r="B16" s="366" t="s">
        <v>55942</v>
      </c>
      <c r="C16" s="361" t="s">
        <v>55943</v>
      </c>
      <c r="D16" s="325" t="s">
        <v>55944</v>
      </c>
      <c r="E16" s="210" t="s">
        <v>55945</v>
      </c>
      <c r="F16" s="362" t="s">
        <v>55946</v>
      </c>
    </row>
    <row r="17" spans="1:6" ht="25.5" x14ac:dyDescent="0.2">
      <c r="A17" s="418" t="str">
        <f>HYPERLINK("[#]Groups!A4:D4","03")</f>
        <v>03</v>
      </c>
      <c r="B17" s="363" t="s">
        <v>55947</v>
      </c>
      <c r="C17" s="364" t="s">
        <v>55948</v>
      </c>
      <c r="D17" s="333" t="s">
        <v>55948</v>
      </c>
      <c r="E17" s="233" t="s">
        <v>55949</v>
      </c>
      <c r="F17" s="365"/>
    </row>
    <row r="18" spans="1:6" ht="25.5" x14ac:dyDescent="0.2">
      <c r="A18" s="419"/>
      <c r="B18" s="33" t="s">
        <v>55950</v>
      </c>
      <c r="C18" s="32" t="s">
        <v>55951</v>
      </c>
      <c r="D18" s="318" t="s">
        <v>55952</v>
      </c>
      <c r="E18" s="13" t="s">
        <v>55953</v>
      </c>
      <c r="F18" s="359"/>
    </row>
    <row r="19" spans="1:6" ht="25.5" x14ac:dyDescent="0.2">
      <c r="A19" s="419"/>
      <c r="B19" s="33" t="s">
        <v>55954</v>
      </c>
      <c r="C19" s="32" t="s">
        <v>55955</v>
      </c>
      <c r="D19" s="318" t="s">
        <v>55956</v>
      </c>
      <c r="E19" s="13" t="s">
        <v>55957</v>
      </c>
      <c r="F19" s="359"/>
    </row>
    <row r="20" spans="1:6" x14ac:dyDescent="0.2">
      <c r="A20" s="419"/>
      <c r="B20" s="33" t="s">
        <v>55958</v>
      </c>
      <c r="C20" s="32" t="s">
        <v>55959</v>
      </c>
      <c r="D20" s="318" t="s">
        <v>55960</v>
      </c>
      <c r="E20" s="13" t="s">
        <v>55961</v>
      </c>
      <c r="F20" s="359"/>
    </row>
    <row r="21" spans="1:6" x14ac:dyDescent="0.2">
      <c r="A21" s="419"/>
      <c r="B21" s="33" t="s">
        <v>55962</v>
      </c>
      <c r="C21" s="32" t="s">
        <v>55963</v>
      </c>
      <c r="D21" s="318" t="s">
        <v>55964</v>
      </c>
      <c r="E21" s="13" t="s">
        <v>55965</v>
      </c>
      <c r="F21" s="359"/>
    </row>
    <row r="22" spans="1:6" x14ac:dyDescent="0.2">
      <c r="A22" s="419"/>
      <c r="B22" s="33" t="s">
        <v>55966</v>
      </c>
      <c r="C22" s="32" t="s">
        <v>55967</v>
      </c>
      <c r="D22" s="318" t="s">
        <v>55967</v>
      </c>
      <c r="E22" s="13" t="s">
        <v>55968</v>
      </c>
      <c r="F22" s="360" t="s">
        <v>55969</v>
      </c>
    </row>
    <row r="23" spans="1:6" ht="25.5" x14ac:dyDescent="0.2">
      <c r="A23" s="419"/>
      <c r="B23" s="33" t="s">
        <v>55970</v>
      </c>
      <c r="C23" s="32" t="s">
        <v>55971</v>
      </c>
      <c r="D23" s="318" t="s">
        <v>55972</v>
      </c>
      <c r="E23" s="13" t="s">
        <v>55973</v>
      </c>
      <c r="F23" s="360" t="s">
        <v>55974</v>
      </c>
    </row>
    <row r="24" spans="1:6" ht="25.5" x14ac:dyDescent="0.2">
      <c r="A24" s="419"/>
      <c r="B24" s="33" t="s">
        <v>55975</v>
      </c>
      <c r="C24" s="32" t="s">
        <v>55976</v>
      </c>
      <c r="D24" s="318" t="s">
        <v>55977</v>
      </c>
      <c r="E24" s="13" t="s">
        <v>55978</v>
      </c>
      <c r="F24" s="359"/>
    </row>
    <row r="25" spans="1:6" ht="51" x14ac:dyDescent="0.2">
      <c r="A25" s="419"/>
      <c r="B25" s="33" t="s">
        <v>55979</v>
      </c>
      <c r="C25" s="32" t="s">
        <v>55980</v>
      </c>
      <c r="D25" s="318" t="s">
        <v>55981</v>
      </c>
      <c r="E25" s="13" t="s">
        <v>55982</v>
      </c>
      <c r="F25" s="359"/>
    </row>
    <row r="26" spans="1:6" ht="25.5" x14ac:dyDescent="0.2">
      <c r="A26" s="420"/>
      <c r="B26" s="366" t="s">
        <v>55983</v>
      </c>
      <c r="C26" s="361" t="s">
        <v>55984</v>
      </c>
      <c r="D26" s="325" t="s">
        <v>55985</v>
      </c>
      <c r="E26" s="210" t="s">
        <v>55986</v>
      </c>
      <c r="F26" s="367"/>
    </row>
    <row r="27" spans="1:6" ht="25.5" x14ac:dyDescent="0.2">
      <c r="A27" s="418" t="str">
        <f>HYPERLINK("[#]Groups!A5:D5","04")</f>
        <v>04</v>
      </c>
      <c r="B27" s="363" t="s">
        <v>55987</v>
      </c>
      <c r="C27" s="364" t="s">
        <v>55988</v>
      </c>
      <c r="D27" s="333" t="s">
        <v>55989</v>
      </c>
      <c r="E27" s="233" t="s">
        <v>55990</v>
      </c>
      <c r="F27" s="365"/>
    </row>
    <row r="28" spans="1:6" ht="25.5" x14ac:dyDescent="0.2">
      <c r="A28" s="419"/>
      <c r="B28" s="33" t="s">
        <v>55991</v>
      </c>
      <c r="C28" s="32" t="s">
        <v>55992</v>
      </c>
      <c r="D28" s="318" t="s">
        <v>55993</v>
      </c>
      <c r="E28" s="13" t="s">
        <v>55994</v>
      </c>
      <c r="F28" s="359"/>
    </row>
    <row r="29" spans="1:6" ht="25.5" x14ac:dyDescent="0.2">
      <c r="A29" s="419"/>
      <c r="B29" s="33" t="s">
        <v>55995</v>
      </c>
      <c r="C29" s="32" t="s">
        <v>55996</v>
      </c>
      <c r="D29" s="318" t="s">
        <v>55996</v>
      </c>
      <c r="E29" s="13" t="s">
        <v>55997</v>
      </c>
      <c r="F29" s="359"/>
    </row>
    <row r="30" spans="1:6" x14ac:dyDescent="0.2">
      <c r="A30" s="419"/>
      <c r="B30" s="33" t="s">
        <v>55998</v>
      </c>
      <c r="C30" s="32" t="s">
        <v>55999</v>
      </c>
      <c r="D30" s="318" t="s">
        <v>56000</v>
      </c>
      <c r="E30" s="13" t="s">
        <v>56001</v>
      </c>
      <c r="F30" s="359"/>
    </row>
    <row r="31" spans="1:6" ht="25.5" x14ac:dyDescent="0.2">
      <c r="A31" s="419"/>
      <c r="B31" s="33" t="s">
        <v>56002</v>
      </c>
      <c r="C31" s="32" t="s">
        <v>56003</v>
      </c>
      <c r="D31" s="318" t="s">
        <v>56004</v>
      </c>
      <c r="E31" s="13" t="s">
        <v>56005</v>
      </c>
      <c r="F31" s="359"/>
    </row>
    <row r="32" spans="1:6" ht="25.5" x14ac:dyDescent="0.2">
      <c r="A32" s="419"/>
      <c r="B32" s="33" t="s">
        <v>56006</v>
      </c>
      <c r="C32" s="32" t="s">
        <v>56007</v>
      </c>
      <c r="D32" s="318" t="s">
        <v>56008</v>
      </c>
      <c r="E32" s="13" t="s">
        <v>56009</v>
      </c>
      <c r="F32" s="359"/>
    </row>
    <row r="33" spans="1:6" x14ac:dyDescent="0.2">
      <c r="A33" s="419"/>
      <c r="B33" s="33" t="s">
        <v>56010</v>
      </c>
      <c r="C33" s="32" t="s">
        <v>56011</v>
      </c>
      <c r="D33" s="318" t="s">
        <v>56012</v>
      </c>
      <c r="E33" s="13" t="s">
        <v>56013</v>
      </c>
      <c r="F33" s="359"/>
    </row>
    <row r="34" spans="1:6" ht="25.5" x14ac:dyDescent="0.2">
      <c r="A34" s="419"/>
      <c r="B34" s="33" t="s">
        <v>56014</v>
      </c>
      <c r="C34" s="32" t="s">
        <v>56015</v>
      </c>
      <c r="D34" s="318" t="s">
        <v>56016</v>
      </c>
      <c r="E34" s="13" t="s">
        <v>56017</v>
      </c>
      <c r="F34" s="359"/>
    </row>
    <row r="35" spans="1:6" x14ac:dyDescent="0.2">
      <c r="A35" s="419"/>
      <c r="B35" s="33" t="s">
        <v>56018</v>
      </c>
      <c r="C35" s="32" t="s">
        <v>56019</v>
      </c>
      <c r="D35" s="318" t="s">
        <v>46701</v>
      </c>
      <c r="E35" s="13" t="s">
        <v>56020</v>
      </c>
      <c r="F35" s="359"/>
    </row>
    <row r="36" spans="1:6" ht="25.5" x14ac:dyDescent="0.2">
      <c r="A36" s="419"/>
      <c r="B36" s="33" t="s">
        <v>56021</v>
      </c>
      <c r="C36" s="32" t="s">
        <v>56022</v>
      </c>
      <c r="D36" s="318" t="s">
        <v>56023</v>
      </c>
      <c r="E36" s="13" t="s">
        <v>56024</v>
      </c>
      <c r="F36" s="359"/>
    </row>
    <row r="37" spans="1:6" x14ac:dyDescent="0.2">
      <c r="A37" s="419"/>
      <c r="B37" s="33" t="s">
        <v>56025</v>
      </c>
      <c r="C37" s="32" t="s">
        <v>56026</v>
      </c>
      <c r="D37" s="318" t="s">
        <v>56027</v>
      </c>
      <c r="E37" s="13" t="s">
        <v>56028</v>
      </c>
      <c r="F37" s="359"/>
    </row>
    <row r="38" spans="1:6" ht="25.5" x14ac:dyDescent="0.2">
      <c r="A38" s="420"/>
      <c r="B38" s="366" t="s">
        <v>56029</v>
      </c>
      <c r="C38" s="361" t="s">
        <v>56030</v>
      </c>
      <c r="D38" s="325" t="s">
        <v>56031</v>
      </c>
      <c r="E38" s="210" t="s">
        <v>56032</v>
      </c>
      <c r="F38" s="367"/>
    </row>
    <row r="39" spans="1:6" ht="25.5" x14ac:dyDescent="0.2">
      <c r="A39" s="418" t="str">
        <f>HYPERLINK("[#]Groups!A6:D6","05")</f>
        <v>05</v>
      </c>
      <c r="B39" s="363" t="s">
        <v>56033</v>
      </c>
      <c r="C39" s="364" t="s">
        <v>54418</v>
      </c>
      <c r="D39" s="333" t="s">
        <v>54418</v>
      </c>
      <c r="E39" s="233" t="s">
        <v>56034</v>
      </c>
      <c r="F39" s="368" t="s">
        <v>56035</v>
      </c>
    </row>
    <row r="40" spans="1:6" ht="25.5" x14ac:dyDescent="0.2">
      <c r="A40" s="419"/>
      <c r="B40" s="33" t="s">
        <v>56036</v>
      </c>
      <c r="C40" s="32" t="s">
        <v>56037</v>
      </c>
      <c r="D40" s="318" t="s">
        <v>56037</v>
      </c>
      <c r="E40" s="13" t="s">
        <v>56038</v>
      </c>
      <c r="F40" s="360" t="s">
        <v>56039</v>
      </c>
    </row>
    <row r="41" spans="1:6" ht="25.5" x14ac:dyDescent="0.2">
      <c r="A41" s="419"/>
      <c r="B41" s="33" t="s">
        <v>56040</v>
      </c>
      <c r="C41" s="32" t="s">
        <v>56041</v>
      </c>
      <c r="D41" s="318" t="s">
        <v>56041</v>
      </c>
      <c r="E41" s="13" t="s">
        <v>56042</v>
      </c>
      <c r="F41" s="359"/>
    </row>
    <row r="42" spans="1:6" ht="25.5" x14ac:dyDescent="0.2">
      <c r="A42" s="419"/>
      <c r="B42" s="33" t="s">
        <v>56043</v>
      </c>
      <c r="C42" s="32" t="s">
        <v>56044</v>
      </c>
      <c r="D42" s="318" t="s">
        <v>56044</v>
      </c>
      <c r="E42" s="13" t="s">
        <v>56045</v>
      </c>
      <c r="F42" s="359"/>
    </row>
    <row r="43" spans="1:6" ht="25.5" x14ac:dyDescent="0.2">
      <c r="A43" s="419"/>
      <c r="B43" s="33" t="s">
        <v>56046</v>
      </c>
      <c r="C43" s="32" t="s">
        <v>56047</v>
      </c>
      <c r="D43" s="318" t="s">
        <v>56048</v>
      </c>
      <c r="E43" s="13" t="s">
        <v>56049</v>
      </c>
      <c r="F43" s="360" t="s">
        <v>56050</v>
      </c>
    </row>
    <row r="44" spans="1:6" ht="25.5" x14ac:dyDescent="0.2">
      <c r="A44" s="419"/>
      <c r="B44" s="33" t="s">
        <v>56051</v>
      </c>
      <c r="C44" s="32" t="s">
        <v>56052</v>
      </c>
      <c r="D44" s="318" t="s">
        <v>56053</v>
      </c>
      <c r="E44" s="13" t="s">
        <v>56054</v>
      </c>
      <c r="F44" s="359"/>
    </row>
    <row r="45" spans="1:6" ht="25.5" x14ac:dyDescent="0.2">
      <c r="A45" s="419"/>
      <c r="B45" s="33" t="s">
        <v>56055</v>
      </c>
      <c r="C45" s="32" t="s">
        <v>56056</v>
      </c>
      <c r="D45" s="318" t="s">
        <v>56056</v>
      </c>
      <c r="E45" s="13" t="s">
        <v>56057</v>
      </c>
      <c r="F45" s="359"/>
    </row>
    <row r="46" spans="1:6" ht="25.5" x14ac:dyDescent="0.2">
      <c r="A46" s="419"/>
      <c r="B46" s="33" t="s">
        <v>56058</v>
      </c>
      <c r="C46" s="32" t="s">
        <v>56059</v>
      </c>
      <c r="D46" s="318" t="s">
        <v>56059</v>
      </c>
      <c r="E46" s="13" t="s">
        <v>56060</v>
      </c>
      <c r="F46" s="359"/>
    </row>
    <row r="47" spans="1:6" ht="25.5" x14ac:dyDescent="0.2">
      <c r="A47" s="420"/>
      <c r="B47" s="366" t="s">
        <v>56061</v>
      </c>
      <c r="C47" s="361" t="s">
        <v>56062</v>
      </c>
      <c r="D47" s="325" t="s">
        <v>56063</v>
      </c>
      <c r="E47" s="210" t="s">
        <v>56064</v>
      </c>
      <c r="F47" s="367"/>
    </row>
    <row r="48" spans="1:6" ht="25.5" x14ac:dyDescent="0.2">
      <c r="A48" s="418" t="str">
        <f>HYPERLINK("[#]Groups!A7:D7","06")</f>
        <v>06</v>
      </c>
      <c r="B48" s="363" t="s">
        <v>56065</v>
      </c>
      <c r="C48" s="364" t="s">
        <v>56066</v>
      </c>
      <c r="D48" s="333" t="s">
        <v>56067</v>
      </c>
      <c r="E48" s="233" t="s">
        <v>56068</v>
      </c>
      <c r="F48" s="368" t="s">
        <v>56069</v>
      </c>
    </row>
    <row r="49" spans="1:6" ht="25.5" x14ac:dyDescent="0.2">
      <c r="A49" s="419"/>
      <c r="B49" s="33" t="s">
        <v>56070</v>
      </c>
      <c r="C49" s="32" t="s">
        <v>56071</v>
      </c>
      <c r="D49" s="318" t="s">
        <v>56071</v>
      </c>
      <c r="E49" s="13" t="s">
        <v>56072</v>
      </c>
      <c r="F49" s="359"/>
    </row>
    <row r="50" spans="1:6" x14ac:dyDescent="0.2">
      <c r="A50" s="419"/>
      <c r="B50" s="33" t="s">
        <v>56073</v>
      </c>
      <c r="C50" s="32" t="s">
        <v>36862</v>
      </c>
      <c r="D50" s="318" t="s">
        <v>36862</v>
      </c>
      <c r="E50" s="13" t="s">
        <v>56074</v>
      </c>
      <c r="F50" s="359"/>
    </row>
    <row r="51" spans="1:6" ht="25.5" x14ac:dyDescent="0.2">
      <c r="A51" s="419"/>
      <c r="B51" s="33" t="s">
        <v>56075</v>
      </c>
      <c r="C51" s="32" t="s">
        <v>5882</v>
      </c>
      <c r="D51" s="318" t="s">
        <v>5882</v>
      </c>
      <c r="E51" s="13" t="s">
        <v>56076</v>
      </c>
      <c r="F51" s="359"/>
    </row>
    <row r="52" spans="1:6" x14ac:dyDescent="0.2">
      <c r="A52" s="419"/>
      <c r="B52" s="33" t="s">
        <v>56077</v>
      </c>
      <c r="C52" s="32" t="s">
        <v>56078</v>
      </c>
      <c r="D52" s="318" t="s">
        <v>56079</v>
      </c>
      <c r="E52" s="13" t="s">
        <v>56080</v>
      </c>
      <c r="F52" s="359"/>
    </row>
    <row r="53" spans="1:6" ht="25.5" x14ac:dyDescent="0.2">
      <c r="A53" s="419"/>
      <c r="B53" s="33" t="s">
        <v>56081</v>
      </c>
      <c r="C53" s="32" t="s">
        <v>56082</v>
      </c>
      <c r="D53" s="318" t="s">
        <v>56083</v>
      </c>
      <c r="E53" s="13" t="s">
        <v>56084</v>
      </c>
      <c r="F53" s="359"/>
    </row>
    <row r="54" spans="1:6" x14ac:dyDescent="0.2">
      <c r="A54" s="419"/>
      <c r="B54" s="33" t="s">
        <v>56085</v>
      </c>
      <c r="C54" s="32" t="s">
        <v>29286</v>
      </c>
      <c r="D54" s="318" t="s">
        <v>29286</v>
      </c>
      <c r="E54" s="13" t="s">
        <v>56086</v>
      </c>
      <c r="F54" s="359"/>
    </row>
    <row r="55" spans="1:6" ht="25.5" x14ac:dyDescent="0.2">
      <c r="A55" s="420"/>
      <c r="B55" s="366" t="s">
        <v>56087</v>
      </c>
      <c r="C55" s="361" t="s">
        <v>29290</v>
      </c>
      <c r="D55" s="325" t="s">
        <v>29290</v>
      </c>
      <c r="E55" s="210" t="s">
        <v>56088</v>
      </c>
      <c r="F55" s="367"/>
    </row>
    <row r="56" spans="1:6" ht="25.5" x14ac:dyDescent="0.2">
      <c r="A56" s="418" t="str">
        <f>HYPERLINK("[#]Groups!A8:D8","07")</f>
        <v>07</v>
      </c>
      <c r="B56" s="363" t="s">
        <v>56089</v>
      </c>
      <c r="C56" s="364" t="s">
        <v>56090</v>
      </c>
      <c r="D56" s="333" t="s">
        <v>56091</v>
      </c>
      <c r="E56" s="233" t="s">
        <v>56092</v>
      </c>
      <c r="F56" s="365"/>
    </row>
    <row r="57" spans="1:6" ht="25.5" x14ac:dyDescent="0.2">
      <c r="A57" s="420"/>
      <c r="B57" s="366" t="s">
        <v>56093</v>
      </c>
      <c r="C57" s="361" t="s">
        <v>56094</v>
      </c>
      <c r="D57" s="325" t="s">
        <v>56095</v>
      </c>
      <c r="E57" s="210" t="s">
        <v>56096</v>
      </c>
      <c r="F57" s="367"/>
    </row>
    <row r="58" spans="1:6" ht="51" x14ac:dyDescent="0.2">
      <c r="A58" s="418" t="str">
        <f>HYPERLINK("[#]Groups!A9:D9","08")</f>
        <v>08</v>
      </c>
      <c r="B58" s="363" t="s">
        <v>56097</v>
      </c>
      <c r="C58" s="364" t="s">
        <v>56098</v>
      </c>
      <c r="D58" s="333" t="s">
        <v>56099</v>
      </c>
      <c r="E58" s="233" t="s">
        <v>56100</v>
      </c>
      <c r="F58" s="365"/>
    </row>
    <row r="59" spans="1:6" ht="25.5" x14ac:dyDescent="0.2">
      <c r="A59" s="419"/>
      <c r="B59" s="33" t="s">
        <v>56101</v>
      </c>
      <c r="C59" s="32" t="s">
        <v>56102</v>
      </c>
      <c r="D59" s="318" t="s">
        <v>56103</v>
      </c>
      <c r="E59" s="13" t="s">
        <v>56104</v>
      </c>
      <c r="F59" s="359"/>
    </row>
    <row r="60" spans="1:6" ht="38.25" x14ac:dyDescent="0.2">
      <c r="A60" s="419"/>
      <c r="B60" s="33" t="s">
        <v>56105</v>
      </c>
      <c r="C60" s="32" t="s">
        <v>56106</v>
      </c>
      <c r="D60" s="318" t="s">
        <v>56107</v>
      </c>
      <c r="E60" s="13" t="s">
        <v>56108</v>
      </c>
      <c r="F60" s="359"/>
    </row>
    <row r="61" spans="1:6" ht="38.25" x14ac:dyDescent="0.2">
      <c r="A61" s="419"/>
      <c r="B61" s="33" t="s">
        <v>56109</v>
      </c>
      <c r="C61" s="32" t="s">
        <v>56110</v>
      </c>
      <c r="D61" s="318" t="s">
        <v>56111</v>
      </c>
      <c r="E61" s="13" t="s">
        <v>56112</v>
      </c>
      <c r="F61" s="359"/>
    </row>
    <row r="62" spans="1:6" ht="25.5" x14ac:dyDescent="0.2">
      <c r="A62" s="420"/>
      <c r="B62" s="366" t="s">
        <v>56113</v>
      </c>
      <c r="C62" s="361" t="s">
        <v>56114</v>
      </c>
      <c r="D62" s="325" t="s">
        <v>56115</v>
      </c>
      <c r="E62" s="210" t="s">
        <v>56116</v>
      </c>
      <c r="F62" s="362" t="s">
        <v>56117</v>
      </c>
    </row>
    <row r="63" spans="1:6" ht="25.5" x14ac:dyDescent="0.2">
      <c r="A63" s="418" t="str">
        <f>HYPERLINK("[#]Groups!A10:D10","09")</f>
        <v>09</v>
      </c>
      <c r="B63" s="363" t="s">
        <v>56118</v>
      </c>
      <c r="C63" s="364" t="s">
        <v>56119</v>
      </c>
      <c r="D63" s="333" t="s">
        <v>56120</v>
      </c>
      <c r="E63" s="233" t="s">
        <v>56121</v>
      </c>
      <c r="F63" s="365"/>
    </row>
    <row r="64" spans="1:6" ht="38.25" x14ac:dyDescent="0.2">
      <c r="A64" s="419"/>
      <c r="B64" s="33" t="s">
        <v>56122</v>
      </c>
      <c r="C64" s="32" t="s">
        <v>56123</v>
      </c>
      <c r="D64" s="318" t="s">
        <v>56124</v>
      </c>
      <c r="E64" s="13" t="s">
        <v>56125</v>
      </c>
      <c r="F64" s="359"/>
    </row>
    <row r="65" spans="1:6" ht="25.5" x14ac:dyDescent="0.2">
      <c r="A65" s="420"/>
      <c r="B65" s="366" t="s">
        <v>56126</v>
      </c>
      <c r="C65" s="361" t="s">
        <v>56127</v>
      </c>
      <c r="D65" s="325" t="s">
        <v>56128</v>
      </c>
      <c r="E65" s="210" t="s">
        <v>56129</v>
      </c>
      <c r="F65" s="367"/>
    </row>
    <row r="66" spans="1:6" ht="25.5" x14ac:dyDescent="0.2">
      <c r="A66" s="418" t="str">
        <f>HYPERLINK("[#]Groups!A11:D11","10")</f>
        <v>10</v>
      </c>
      <c r="B66" s="363" t="s">
        <v>56130</v>
      </c>
      <c r="C66" s="364" t="s">
        <v>56131</v>
      </c>
      <c r="D66" s="333" t="s">
        <v>56132</v>
      </c>
      <c r="E66" s="233" t="s">
        <v>56133</v>
      </c>
      <c r="F66" s="365"/>
    </row>
    <row r="67" spans="1:6" ht="25.5" x14ac:dyDescent="0.2">
      <c r="A67" s="419"/>
      <c r="B67" s="33" t="s">
        <v>56134</v>
      </c>
      <c r="C67" s="32" t="s">
        <v>56135</v>
      </c>
      <c r="D67" s="318" t="s">
        <v>56136</v>
      </c>
      <c r="E67" s="13" t="s">
        <v>56137</v>
      </c>
      <c r="F67" s="359"/>
    </row>
    <row r="68" spans="1:6" ht="25.5" x14ac:dyDescent="0.2">
      <c r="A68" s="420"/>
      <c r="B68" s="366" t="s">
        <v>56138</v>
      </c>
      <c r="C68" s="361" t="s">
        <v>56139</v>
      </c>
      <c r="D68" s="325" t="s">
        <v>56140</v>
      </c>
      <c r="E68" s="210" t="s">
        <v>56141</v>
      </c>
      <c r="F68" s="367"/>
    </row>
    <row r="69" spans="1:6" x14ac:dyDescent="0.2">
      <c r="A69" s="418" t="str">
        <f>HYPERLINK("[#]Groups!A12:D12","20")</f>
        <v>20</v>
      </c>
      <c r="B69" s="363" t="s">
        <v>56142</v>
      </c>
      <c r="C69" s="364" t="s">
        <v>56143</v>
      </c>
      <c r="D69" s="333" t="s">
        <v>56143</v>
      </c>
      <c r="E69" s="233" t="s">
        <v>56144</v>
      </c>
      <c r="F69" s="368" t="s">
        <v>56145</v>
      </c>
    </row>
    <row r="70" spans="1:6" ht="38.25" x14ac:dyDescent="0.2">
      <c r="A70" s="419"/>
      <c r="B70" s="33" t="s">
        <v>56146</v>
      </c>
      <c r="C70" s="32" t="s">
        <v>56147</v>
      </c>
      <c r="D70" s="318" t="s">
        <v>56148</v>
      </c>
      <c r="E70" s="13" t="s">
        <v>56149</v>
      </c>
      <c r="F70" s="359"/>
    </row>
    <row r="71" spans="1:6" ht="25.5" x14ac:dyDescent="0.2">
      <c r="A71" s="419"/>
      <c r="B71" s="33" t="s">
        <v>56150</v>
      </c>
      <c r="C71" s="32" t="s">
        <v>56151</v>
      </c>
      <c r="D71" s="318" t="s">
        <v>56152</v>
      </c>
      <c r="E71" s="13" t="s">
        <v>56153</v>
      </c>
      <c r="F71" s="359"/>
    </row>
    <row r="72" spans="1:6" ht="38.25" x14ac:dyDescent="0.2">
      <c r="A72" s="419"/>
      <c r="B72" s="33" t="s">
        <v>56154</v>
      </c>
      <c r="C72" s="32" t="s">
        <v>56155</v>
      </c>
      <c r="D72" s="318" t="s">
        <v>56155</v>
      </c>
      <c r="E72" s="13" t="s">
        <v>56156</v>
      </c>
      <c r="F72" s="359"/>
    </row>
    <row r="73" spans="1:6" ht="25.5" x14ac:dyDescent="0.2">
      <c r="A73" s="420"/>
      <c r="B73" s="366" t="s">
        <v>56157</v>
      </c>
      <c r="C73" s="361" t="s">
        <v>56158</v>
      </c>
      <c r="D73" s="325" t="s">
        <v>56159</v>
      </c>
      <c r="E73" s="210" t="s">
        <v>56160</v>
      </c>
      <c r="F73" s="367"/>
    </row>
    <row r="74" spans="1:6" x14ac:dyDescent="0.2">
      <c r="A74" s="418" t="str">
        <f>HYPERLINK("[#]Groups!A13:D13","21")</f>
        <v>21</v>
      </c>
      <c r="B74" s="363" t="s">
        <v>56161</v>
      </c>
      <c r="C74" s="364" t="s">
        <v>56162</v>
      </c>
      <c r="D74" s="333" t="s">
        <v>56162</v>
      </c>
      <c r="E74" s="233" t="s">
        <v>56163</v>
      </c>
      <c r="F74" s="365"/>
    </row>
    <row r="75" spans="1:6" ht="25.5" x14ac:dyDescent="0.2">
      <c r="A75" s="420"/>
      <c r="B75" s="366" t="s">
        <v>56164</v>
      </c>
      <c r="C75" s="361" t="s">
        <v>56165</v>
      </c>
      <c r="D75" s="325" t="s">
        <v>56165</v>
      </c>
      <c r="E75" s="210" t="s">
        <v>56166</v>
      </c>
      <c r="F75" s="367"/>
    </row>
    <row r="76" spans="1:6" ht="25.5" x14ac:dyDescent="0.2">
      <c r="A76" s="418" t="str">
        <f>HYPERLINK("[#]Groups!A14:D14","22")</f>
        <v>22</v>
      </c>
      <c r="B76" s="363" t="s">
        <v>56167</v>
      </c>
      <c r="C76" s="364" t="s">
        <v>56168</v>
      </c>
      <c r="D76" s="333" t="s">
        <v>56168</v>
      </c>
      <c r="E76" s="233" t="s">
        <v>56169</v>
      </c>
      <c r="F76" s="365"/>
    </row>
    <row r="77" spans="1:6" ht="25.5" x14ac:dyDescent="0.2">
      <c r="A77" s="419"/>
      <c r="B77" s="33" t="s">
        <v>56170</v>
      </c>
      <c r="C77" s="32" t="s">
        <v>56171</v>
      </c>
      <c r="D77" s="318" t="s">
        <v>56171</v>
      </c>
      <c r="E77" s="13" t="s">
        <v>56172</v>
      </c>
      <c r="F77" s="359"/>
    </row>
    <row r="78" spans="1:6" ht="25.5" x14ac:dyDescent="0.2">
      <c r="A78" s="419"/>
      <c r="B78" s="33" t="s">
        <v>56173</v>
      </c>
      <c r="C78" s="32" t="s">
        <v>56174</v>
      </c>
      <c r="D78" s="318" t="s">
        <v>56175</v>
      </c>
      <c r="E78" s="13" t="s">
        <v>56176</v>
      </c>
      <c r="F78" s="359"/>
    </row>
    <row r="79" spans="1:6" ht="25.5" x14ac:dyDescent="0.2">
      <c r="A79" s="419"/>
      <c r="B79" s="33" t="s">
        <v>56177</v>
      </c>
      <c r="C79" s="32" t="s">
        <v>56178</v>
      </c>
      <c r="D79" s="318" t="s">
        <v>56178</v>
      </c>
      <c r="E79" s="13" t="s">
        <v>56179</v>
      </c>
      <c r="F79" s="359"/>
    </row>
    <row r="80" spans="1:6" ht="25.5" x14ac:dyDescent="0.2">
      <c r="A80" s="419"/>
      <c r="B80" s="33" t="s">
        <v>56180</v>
      </c>
      <c r="C80" s="32" t="s">
        <v>56181</v>
      </c>
      <c r="D80" s="318" t="s">
        <v>56182</v>
      </c>
      <c r="E80" s="13" t="s">
        <v>56183</v>
      </c>
      <c r="F80" s="359"/>
    </row>
    <row r="81" spans="1:6" ht="25.5" x14ac:dyDescent="0.2">
      <c r="A81" s="420"/>
      <c r="B81" s="366" t="s">
        <v>56184</v>
      </c>
      <c r="C81" s="361" t="s">
        <v>56185</v>
      </c>
      <c r="D81" s="325" t="s">
        <v>56186</v>
      </c>
      <c r="E81" s="210" t="s">
        <v>56187</v>
      </c>
      <c r="F81" s="362" t="s">
        <v>56188</v>
      </c>
    </row>
    <row r="82" spans="1:6" ht="25.5" x14ac:dyDescent="0.2">
      <c r="A82" s="418" t="str">
        <f>HYPERLINK("[#]Groups!A15:D15","23")</f>
        <v>23</v>
      </c>
      <c r="B82" s="363" t="s">
        <v>56189</v>
      </c>
      <c r="C82" s="364" t="s">
        <v>3638</v>
      </c>
      <c r="D82" s="333" t="s">
        <v>3640</v>
      </c>
      <c r="E82" s="233" t="s">
        <v>56190</v>
      </c>
      <c r="F82" s="368" t="s">
        <v>56191</v>
      </c>
    </row>
    <row r="83" spans="1:6" ht="25.5" x14ac:dyDescent="0.2">
      <c r="A83" s="420"/>
      <c r="B83" s="366" t="s">
        <v>56192</v>
      </c>
      <c r="C83" s="361" t="s">
        <v>2721</v>
      </c>
      <c r="D83" s="325" t="s">
        <v>2721</v>
      </c>
      <c r="E83" s="210" t="s">
        <v>56193</v>
      </c>
      <c r="F83" s="362" t="s">
        <v>56194</v>
      </c>
    </row>
  </sheetData>
  <mergeCells count="14">
    <mergeCell ref="A48:A55"/>
    <mergeCell ref="A2:A9"/>
    <mergeCell ref="A10:A16"/>
    <mergeCell ref="A17:A26"/>
    <mergeCell ref="A27:A38"/>
    <mergeCell ref="A39:A47"/>
    <mergeCell ref="A76:A81"/>
    <mergeCell ref="A82:A83"/>
    <mergeCell ref="A56:A57"/>
    <mergeCell ref="A58:A62"/>
    <mergeCell ref="A63:A65"/>
    <mergeCell ref="A66:A68"/>
    <mergeCell ref="A69:A73"/>
    <mergeCell ref="A74:A75"/>
  </mergeCells>
  <pageMargins left="0.53" right="0.39" top="0.56000000000000005" bottom="0.56000000000000005" header="0.43" footer="0.4"/>
  <pageSetup scale="65" orientation="landscape" r:id="rId1"/>
  <headerFooter alignWithMargins="0">
    <oddHeader>&amp;A</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4</vt:i4>
      </vt:variant>
    </vt:vector>
  </HeadingPairs>
  <TitlesOfParts>
    <vt:vector size="13" baseType="lpstr">
      <vt:lpstr>Cover</vt:lpstr>
      <vt:lpstr>FeatureConcepts</vt:lpstr>
      <vt:lpstr>AttributeConcepts</vt:lpstr>
      <vt:lpstr>Datatypes</vt:lpstr>
      <vt:lpstr>DatatypeListedValues</vt:lpstr>
      <vt:lpstr>PhysicalQuantities</vt:lpstr>
      <vt:lpstr>UnitsOfMeasure</vt:lpstr>
      <vt:lpstr>Groups</vt:lpstr>
      <vt:lpstr>Subgroups</vt:lpstr>
      <vt:lpstr>FeatureConcepts!Títulos_a_imprimir</vt:lpstr>
      <vt:lpstr>Groups!Títulos_a_imprimir</vt:lpstr>
      <vt:lpstr>PhysicalQuantities!Títulos_a_imprimir</vt:lpstr>
      <vt:lpstr>Subgroups!Títulos_a_imprimir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Feature Data Dictionary</dc:title>
  <dc:creator>MITRE Employee</dc:creator>
  <cp:lastModifiedBy>Florencia Manduca</cp:lastModifiedBy>
  <dcterms:created xsi:type="dcterms:W3CDTF">2019-06-15T14:48:37Z</dcterms:created>
  <dcterms:modified xsi:type="dcterms:W3CDTF">2017-03-02T16:13:45Z</dcterms:modified>
</cp:coreProperties>
</file>